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drawings/drawing16.xml" ContentType="application/vnd.openxmlformats-officedocument.drawingml.chartshapes+xml"/>
  <Override PartName="/xl/charts/chart1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4430" yWindow="0" windowWidth="14400" windowHeight="12645" tabRatio="867"/>
  </bookViews>
  <sheets>
    <sheet name="CatchSummary" sheetId="2" r:id="rId1"/>
    <sheet name="Tag&amp;Biosample" sheetId="14" r:id="rId2"/>
    <sheet name="FWRecaptures" sheetId="47" r:id="rId3"/>
    <sheet name="Tab_Catch Summary" sheetId="26" r:id="rId4"/>
    <sheet name="Tab_Curry Samples" sheetId="25" r:id="rId5"/>
    <sheet name="Figs_CatchTags" sheetId="28" r:id="rId6"/>
    <sheet name="Fig_EffortRPM" sheetId="29" r:id="rId7"/>
    <sheet name="Fig_NTU" sheetId="48" r:id="rId8"/>
    <sheet name="Summary info" sheetId="42" r:id="rId9"/>
    <sheet name="SalmonPivot" sheetId="6" r:id="rId10"/>
    <sheet name="RadioPivot" sheetId="15" r:id="rId11"/>
    <sheet name="OtherPivot" sheetId="8" r:id="rId12"/>
    <sheet name="EffortRPMPivot" sheetId="12" r:id="rId13"/>
    <sheet name="Freq-Chan" sheetId="18" r:id="rId14"/>
    <sheet name="ReleaseSites" sheetId="17" r:id="rId15"/>
  </sheets>
  <definedNames>
    <definedName name="_xlnm._FilterDatabase" localSheetId="0" hidden="1">CatchSummary!$I$1:$I$890</definedName>
    <definedName name="_xlnm._FilterDatabase" localSheetId="13" hidden="1">'Freq-Chan'!$A$3:$F$48</definedName>
    <definedName name="_xlnm._FilterDatabase" localSheetId="2" hidden="1">FWRecaptures!$A$1:$AJ$101</definedName>
    <definedName name="_xlnm._FilterDatabase" localSheetId="1" hidden="1">'Tag&amp;Biosample'!$A$1:$AD$3629</definedName>
    <definedName name="_xlnm.Print_Area" localSheetId="6">Fig_EffortRPM!$A$1:$K$30</definedName>
    <definedName name="_xlnm.Print_Area" localSheetId="5">Figs_CatchTags!$I$1:$P$49</definedName>
    <definedName name="_xlnm.Print_Area" localSheetId="3">'Tab_Catch Summary'!$A$1:$S$294</definedName>
    <definedName name="_xlnm.Print_Area" localSheetId="4">'Tab_Curry Samples'!$A$1:$L$17</definedName>
    <definedName name="_xlnm.Print_Area" localSheetId="1">'Tag&amp;Biosample'!$A$1:$P$50</definedName>
    <definedName name="_xlnm.Print_Titles" localSheetId="3">'Tab_Catch Summary'!$1:$3</definedName>
    <definedName name="solver_cvg" localSheetId="1" hidden="1">0.0001</definedName>
    <definedName name="solver_drv" localSheetId="1" hidden="1">1</definedName>
    <definedName name="solver_est" localSheetId="1" hidden="1">1</definedName>
    <definedName name="solver_itr" localSheetId="1" hidden="1">100</definedName>
    <definedName name="solver_lin" localSheetId="1" hidden="1">2</definedName>
    <definedName name="solver_neg" localSheetId="1" hidden="1">2</definedName>
    <definedName name="solver_num" localSheetId="1" hidden="1">0</definedName>
    <definedName name="solver_nwt" localSheetId="1" hidden="1">1</definedName>
    <definedName name="solver_opt" localSheetId="1" hidden="1">'Tag&amp;Biosample'!#REF!</definedName>
    <definedName name="solver_pre" localSheetId="1" hidden="1">0.000001</definedName>
    <definedName name="solver_scl" localSheetId="1" hidden="1">2</definedName>
    <definedName name="solver_sho" localSheetId="1" hidden="1">2</definedName>
    <definedName name="solver_tim" localSheetId="1" hidden="1">100</definedName>
    <definedName name="solver_tol" localSheetId="1" hidden="1">0.05</definedName>
    <definedName name="solver_typ" localSheetId="1" hidden="1">1</definedName>
    <definedName name="solver_val" localSheetId="1" hidden="1">0</definedName>
  </definedNames>
  <calcPr calcId="145621"/>
  <pivotCaches>
    <pivotCache cacheId="127" r:id="rId16"/>
    <pivotCache cacheId="128" r:id="rId17"/>
  </pivotCaches>
</workbook>
</file>

<file path=xl/calcChain.xml><?xml version="1.0" encoding="utf-8"?>
<calcChain xmlns="http://schemas.openxmlformats.org/spreadsheetml/2006/main">
  <c r="O8" i="25" l="1"/>
  <c r="O9" i="25"/>
  <c r="O10" i="25"/>
  <c r="O7" i="25"/>
  <c r="O6" i="25"/>
  <c r="O5" i="25"/>
  <c r="BM25" i="26" l="1"/>
  <c r="BM24" i="26"/>
  <c r="V24" i="26" l="1"/>
  <c r="W24" i="26"/>
  <c r="X24" i="26"/>
  <c r="Y24" i="26"/>
  <c r="Z24" i="26"/>
  <c r="AA24" i="26"/>
  <c r="AB24" i="26"/>
  <c r="AC24" i="26"/>
  <c r="AD24" i="26"/>
  <c r="AE24" i="26"/>
  <c r="AF24" i="26"/>
  <c r="AG24" i="26"/>
  <c r="AO24" i="26"/>
  <c r="AP24" i="26"/>
  <c r="AQ24" i="26"/>
  <c r="AR24" i="26"/>
  <c r="AS24" i="26"/>
  <c r="AT24" i="26"/>
  <c r="V25" i="26"/>
  <c r="W25" i="26"/>
  <c r="X25" i="26"/>
  <c r="Y25" i="26"/>
  <c r="Z25" i="26"/>
  <c r="AA25" i="26"/>
  <c r="AB25" i="26"/>
  <c r="AC25" i="26"/>
  <c r="AD25" i="26"/>
  <c r="AE25" i="26"/>
  <c r="AF25" i="26"/>
  <c r="AG25" i="26"/>
  <c r="AO25" i="26"/>
  <c r="AP25" i="26"/>
  <c r="AQ25" i="26"/>
  <c r="AR25" i="26"/>
  <c r="AS25" i="26"/>
  <c r="AT25" i="26"/>
  <c r="B286" i="26"/>
  <c r="B287" i="26"/>
  <c r="B288" i="26"/>
  <c r="B289" i="26"/>
  <c r="U13" i="26"/>
  <c r="U15" i="26"/>
  <c r="U17" i="26"/>
  <c r="U19" i="26"/>
  <c r="U21" i="26"/>
  <c r="U23" i="26"/>
  <c r="U25" i="26"/>
  <c r="U27" i="26"/>
  <c r="U29" i="26"/>
  <c r="U30" i="26"/>
  <c r="U32" i="26"/>
  <c r="U41" i="26"/>
  <c r="U48" i="26"/>
  <c r="U55" i="26"/>
  <c r="U57" i="26"/>
  <c r="U59" i="26"/>
  <c r="U61" i="26"/>
  <c r="U63" i="26"/>
  <c r="U65" i="26"/>
  <c r="U67" i="26"/>
  <c r="U69" i="26"/>
  <c r="U43" i="26"/>
  <c r="U50" i="26"/>
  <c r="U31" i="26"/>
  <c r="U71" i="26"/>
  <c r="U79" i="26"/>
  <c r="U46" i="26"/>
  <c r="U40" i="26"/>
  <c r="U77" i="26"/>
  <c r="U42" i="26"/>
  <c r="U72" i="26"/>
  <c r="U87" i="26"/>
  <c r="U95" i="26"/>
  <c r="U78" i="26"/>
  <c r="U86" i="26"/>
  <c r="U53" i="26"/>
  <c r="U81" i="26"/>
  <c r="U89" i="26"/>
  <c r="U97" i="26"/>
  <c r="U74" i="26"/>
  <c r="U84" i="26"/>
  <c r="U92" i="26"/>
  <c r="U94" i="26"/>
  <c r="J286" i="26"/>
  <c r="R286" i="26"/>
  <c r="P286" i="26"/>
  <c r="L287" i="26"/>
  <c r="J289" i="26"/>
  <c r="S286" i="26"/>
  <c r="J287" i="26"/>
  <c r="R287" i="26"/>
  <c r="L286" i="26"/>
  <c r="G287" i="26"/>
  <c r="R288" i="26"/>
  <c r="D287" i="26"/>
  <c r="G288" i="26"/>
  <c r="F289" i="26"/>
  <c r="D288" i="26"/>
  <c r="G286" i="26"/>
  <c r="U12" i="26"/>
  <c r="U14" i="26"/>
  <c r="U16" i="26"/>
  <c r="U18" i="26"/>
  <c r="U20" i="26"/>
  <c r="U22" i="26"/>
  <c r="U24" i="26"/>
  <c r="U26" i="26"/>
  <c r="U28" i="26"/>
  <c r="U33" i="26"/>
  <c r="U38" i="26"/>
  <c r="U36" i="26"/>
  <c r="U45" i="26"/>
  <c r="U52" i="26"/>
  <c r="U56" i="26"/>
  <c r="U58" i="26"/>
  <c r="U60" i="26"/>
  <c r="U62" i="26"/>
  <c r="U64" i="26"/>
  <c r="U66" i="26"/>
  <c r="U68" i="26"/>
  <c r="U39" i="26"/>
  <c r="U47" i="26"/>
  <c r="U54" i="26"/>
  <c r="U44" i="26"/>
  <c r="U75" i="26"/>
  <c r="U35" i="26"/>
  <c r="U34" i="26"/>
  <c r="U73" i="26"/>
  <c r="U37" i="26"/>
  <c r="U49" i="26"/>
  <c r="U83" i="26"/>
  <c r="U91" i="26"/>
  <c r="U70" i="26"/>
  <c r="U82" i="26"/>
  <c r="U90" i="26"/>
  <c r="U76" i="26"/>
  <c r="U85" i="26"/>
  <c r="U93" i="26"/>
  <c r="U51" i="26"/>
  <c r="U80" i="26"/>
  <c r="U88" i="26"/>
  <c r="U96" i="26"/>
  <c r="F286" i="26"/>
  <c r="N286" i="26"/>
  <c r="I287" i="26"/>
  <c r="N288" i="26"/>
  <c r="U287" i="26"/>
  <c r="R289" i="26"/>
  <c r="F287" i="26"/>
  <c r="N287" i="26"/>
  <c r="D286" i="26"/>
  <c r="U286" i="26"/>
  <c r="S287" i="26"/>
  <c r="I286" i="26"/>
  <c r="P287" i="26"/>
  <c r="S288" i="26"/>
  <c r="N289" i="26"/>
  <c r="G289" i="26"/>
  <c r="AH24" i="26" l="1"/>
  <c r="AH25" i="26"/>
  <c r="C286" i="26"/>
  <c r="C287" i="26"/>
  <c r="V3626" i="14"/>
  <c r="Y3626" i="14"/>
  <c r="V3627" i="14"/>
  <c r="Y3627" i="14"/>
  <c r="V3628" i="14"/>
  <c r="Y3628" i="14"/>
  <c r="H287" i="26"/>
  <c r="D289" i="26"/>
  <c r="M289" i="26"/>
  <c r="M287" i="26"/>
  <c r="Q286" i="26"/>
  <c r="I288" i="26"/>
  <c r="E289" i="26"/>
  <c r="E287" i="26"/>
  <c r="M286" i="26"/>
  <c r="J288" i="26"/>
  <c r="O287" i="26"/>
  <c r="Q289" i="26"/>
  <c r="E286" i="26"/>
  <c r="F288" i="26"/>
  <c r="Q287" i="26"/>
  <c r="S289" i="26"/>
  <c r="K287" i="26"/>
  <c r="U288" i="26"/>
  <c r="M288" i="26"/>
  <c r="P288" i="26"/>
  <c r="O286" i="26"/>
  <c r="L288" i="26"/>
  <c r="I289" i="26"/>
  <c r="K286" i="26"/>
  <c r="U289" i="26"/>
  <c r="H286" i="26"/>
  <c r="P289" i="26"/>
  <c r="Q288" i="26"/>
  <c r="L289" i="26"/>
  <c r="V286" i="26" l="1"/>
  <c r="Z286" i="26"/>
  <c r="AA288" i="26"/>
  <c r="Z287" i="26"/>
  <c r="Y286" i="26"/>
  <c r="Y288" i="26"/>
  <c r="V287" i="26"/>
  <c r="W286" i="26"/>
  <c r="C288" i="26"/>
  <c r="C289" i="26"/>
  <c r="AA286" i="26"/>
  <c r="X287" i="26"/>
  <c r="Y287" i="26"/>
  <c r="X286" i="26"/>
  <c r="V289" i="26"/>
  <c r="Y289" i="26"/>
  <c r="AA289" i="26"/>
  <c r="W287" i="26"/>
  <c r="AA287" i="26"/>
  <c r="AC68" i="47"/>
  <c r="AB68" i="47"/>
  <c r="AE68" i="47" s="1"/>
  <c r="X68" i="47"/>
  <c r="W68" i="47"/>
  <c r="V68" i="47"/>
  <c r="U68" i="47"/>
  <c r="T68" i="47"/>
  <c r="S68" i="47"/>
  <c r="AC67" i="47"/>
  <c r="AE67" i="47" s="1"/>
  <c r="AB67" i="47"/>
  <c r="X67" i="47"/>
  <c r="W67" i="47"/>
  <c r="V67" i="47"/>
  <c r="U67" i="47"/>
  <c r="T67" i="47"/>
  <c r="S67" i="47"/>
  <c r="AC66" i="47"/>
  <c r="AB66" i="47"/>
  <c r="AE66" i="47" s="1"/>
  <c r="X66" i="47"/>
  <c r="W66" i="47"/>
  <c r="V66" i="47"/>
  <c r="U66" i="47"/>
  <c r="T66" i="47"/>
  <c r="S66" i="47"/>
  <c r="AC65" i="47"/>
  <c r="AB65" i="47"/>
  <c r="AE65" i="47" s="1"/>
  <c r="X65" i="47"/>
  <c r="W65" i="47"/>
  <c r="V65" i="47"/>
  <c r="U65" i="47"/>
  <c r="T65" i="47"/>
  <c r="S65" i="47"/>
  <c r="AC64" i="47"/>
  <c r="AB64" i="47"/>
  <c r="AE64" i="47" s="1"/>
  <c r="X64" i="47"/>
  <c r="W64" i="47"/>
  <c r="V64" i="47"/>
  <c r="U64" i="47"/>
  <c r="T64" i="47"/>
  <c r="S64" i="47"/>
  <c r="AC63" i="47"/>
  <c r="AE63" i="47" s="1"/>
  <c r="AB63" i="47"/>
  <c r="X63" i="47"/>
  <c r="W63" i="47"/>
  <c r="V63" i="47"/>
  <c r="U63" i="47"/>
  <c r="T63" i="47"/>
  <c r="S63" i="47"/>
  <c r="AE62" i="47"/>
  <c r="AC62" i="47"/>
  <c r="AB62" i="47"/>
  <c r="X62" i="47"/>
  <c r="W62" i="47"/>
  <c r="V62" i="47"/>
  <c r="U62" i="47"/>
  <c r="T62" i="47"/>
  <c r="S62" i="47"/>
  <c r="AC61" i="47"/>
  <c r="AB61" i="47"/>
  <c r="X61" i="47"/>
  <c r="W61" i="47"/>
  <c r="V61" i="47"/>
  <c r="U61" i="47"/>
  <c r="T61" i="47"/>
  <c r="S61" i="47"/>
  <c r="E288" i="26"/>
  <c r="H288" i="26"/>
  <c r="O288" i="26"/>
  <c r="O289" i="26"/>
  <c r="K289" i="26"/>
  <c r="H289" i="26"/>
  <c r="K288" i="26"/>
  <c r="Z289" i="26" l="1"/>
  <c r="X288" i="26"/>
  <c r="Z288" i="26"/>
  <c r="W289" i="26"/>
  <c r="W288" i="26"/>
  <c r="X289" i="26"/>
  <c r="V288" i="26"/>
  <c r="AE61" i="47"/>
  <c r="AE60" i="47"/>
  <c r="AC60" i="47"/>
  <c r="AB60" i="47"/>
  <c r="X60" i="47"/>
  <c r="W60" i="47"/>
  <c r="V60" i="47"/>
  <c r="U60" i="47"/>
  <c r="S60" i="47"/>
  <c r="AC59" i="47"/>
  <c r="AB59" i="47"/>
  <c r="X59" i="47"/>
  <c r="W59" i="47"/>
  <c r="V59" i="47"/>
  <c r="U59" i="47"/>
  <c r="S59" i="47"/>
  <c r="AC58" i="47"/>
  <c r="AB58" i="47"/>
  <c r="X58" i="47"/>
  <c r="W58" i="47"/>
  <c r="V58" i="47"/>
  <c r="U58" i="47"/>
  <c r="S58" i="47"/>
  <c r="AC57" i="47"/>
  <c r="AB57" i="47"/>
  <c r="X57" i="47"/>
  <c r="W57" i="47"/>
  <c r="V57" i="47"/>
  <c r="U57" i="47"/>
  <c r="S57" i="47"/>
  <c r="AC56" i="47"/>
  <c r="AB56" i="47"/>
  <c r="X56" i="47"/>
  <c r="W56" i="47"/>
  <c r="V56" i="47"/>
  <c r="U56" i="47"/>
  <c r="S56" i="47"/>
  <c r="AE56" i="47" l="1"/>
  <c r="AE57" i="47"/>
  <c r="AE58" i="47"/>
  <c r="AE59" i="47"/>
  <c r="J788" i="2" l="1"/>
  <c r="S2999" i="14" l="1"/>
  <c r="V2999" i="14"/>
  <c r="S3000" i="14"/>
  <c r="V3000" i="14"/>
  <c r="S3001" i="14"/>
  <c r="V3001" i="14"/>
  <c r="S2841" i="14" l="1"/>
  <c r="AC55" i="47" l="1"/>
  <c r="AB55" i="47"/>
  <c r="AE55" i="47" s="1"/>
  <c r="X55" i="47"/>
  <c r="W55" i="47"/>
  <c r="V55" i="47"/>
  <c r="U55" i="47"/>
  <c r="S55" i="47"/>
  <c r="AC54" i="47"/>
  <c r="AB54" i="47"/>
  <c r="X54" i="47"/>
  <c r="W54" i="47"/>
  <c r="V54" i="47"/>
  <c r="U54" i="47"/>
  <c r="S54" i="47"/>
  <c r="AC53" i="47"/>
  <c r="AB53" i="47"/>
  <c r="AE53" i="47" s="1"/>
  <c r="X53" i="47"/>
  <c r="W53" i="47"/>
  <c r="V53" i="47"/>
  <c r="U53" i="47"/>
  <c r="S53" i="47"/>
  <c r="AC52" i="47"/>
  <c r="AB52" i="47"/>
  <c r="X52" i="47"/>
  <c r="W52" i="47"/>
  <c r="V52" i="47"/>
  <c r="U52" i="47"/>
  <c r="S52" i="47"/>
  <c r="AC51" i="47"/>
  <c r="AB51" i="47"/>
  <c r="AE51" i="47" s="1"/>
  <c r="X51" i="47"/>
  <c r="W51" i="47"/>
  <c r="V51" i="47"/>
  <c r="U51" i="47"/>
  <c r="S51" i="47"/>
  <c r="AC50" i="47"/>
  <c r="AB50" i="47"/>
  <c r="AE50" i="47" s="1"/>
  <c r="X50" i="47"/>
  <c r="W50" i="47"/>
  <c r="V50" i="47"/>
  <c r="U50" i="47"/>
  <c r="S50" i="47"/>
  <c r="AC49" i="47"/>
  <c r="AB49" i="47"/>
  <c r="AE49" i="47" s="1"/>
  <c r="X49" i="47"/>
  <c r="W49" i="47"/>
  <c r="V49" i="47"/>
  <c r="U49" i="47"/>
  <c r="S49" i="47"/>
  <c r="AC48" i="47"/>
  <c r="AB48" i="47"/>
  <c r="X48" i="47"/>
  <c r="W48" i="47"/>
  <c r="V48" i="47"/>
  <c r="U48" i="47"/>
  <c r="S48" i="47"/>
  <c r="AC47" i="47"/>
  <c r="AB47" i="47"/>
  <c r="AE47" i="47" s="1"/>
  <c r="X47" i="47"/>
  <c r="W47" i="47"/>
  <c r="V47" i="47"/>
  <c r="U47" i="47"/>
  <c r="S47" i="47"/>
  <c r="AC46" i="47"/>
  <c r="AB46" i="47"/>
  <c r="X46" i="47"/>
  <c r="W46" i="47"/>
  <c r="V46" i="47"/>
  <c r="U46" i="47"/>
  <c r="S46" i="47"/>
  <c r="AE54" i="47" l="1"/>
  <c r="AE52" i="47"/>
  <c r="AE46" i="47"/>
  <c r="AE48" i="47"/>
  <c r="V3629" i="14"/>
  <c r="S3629" i="14"/>
  <c r="S3628" i="14"/>
  <c r="S3627" i="14"/>
  <c r="S3626" i="14"/>
  <c r="V3625" i="14"/>
  <c r="S3625" i="14"/>
  <c r="V3624" i="14"/>
  <c r="S3624" i="14"/>
  <c r="V3623" i="14"/>
  <c r="S3623" i="14"/>
  <c r="V3622" i="14"/>
  <c r="S3622" i="14"/>
  <c r="V3621" i="14"/>
  <c r="S3621" i="14"/>
  <c r="V3620" i="14"/>
  <c r="S3620" i="14"/>
  <c r="V3619" i="14"/>
  <c r="S3619" i="14"/>
  <c r="V3618" i="14"/>
  <c r="S3618" i="14"/>
  <c r="V3617" i="14"/>
  <c r="S3617" i="14"/>
  <c r="V3616" i="14"/>
  <c r="S3616" i="14"/>
  <c r="V3615" i="14"/>
  <c r="S3615" i="14"/>
  <c r="V3614" i="14"/>
  <c r="S3614" i="14"/>
  <c r="V3613" i="14"/>
  <c r="S3613" i="14"/>
  <c r="V3612" i="14"/>
  <c r="S3612" i="14"/>
  <c r="V3611" i="14"/>
  <c r="S3611" i="14"/>
  <c r="V3610" i="14"/>
  <c r="S3610" i="14"/>
  <c r="V3609" i="14"/>
  <c r="S3609" i="14"/>
  <c r="V3608" i="14"/>
  <c r="S3608" i="14"/>
  <c r="V3607" i="14"/>
  <c r="S3607" i="14"/>
  <c r="V3606" i="14"/>
  <c r="S3606" i="14"/>
  <c r="V3605" i="14"/>
  <c r="S3605" i="14"/>
  <c r="V3604" i="14"/>
  <c r="S3604" i="14"/>
  <c r="V3603" i="14"/>
  <c r="S3603" i="14"/>
  <c r="V3602" i="14"/>
  <c r="S3602" i="14"/>
  <c r="V3601" i="14"/>
  <c r="S3601" i="14"/>
  <c r="V3600" i="14"/>
  <c r="S3600" i="14"/>
  <c r="V3599" i="14"/>
  <c r="S3599" i="14"/>
  <c r="V3598" i="14"/>
  <c r="S3598" i="14"/>
  <c r="V3597" i="14"/>
  <c r="S3597" i="14"/>
  <c r="V3596" i="14"/>
  <c r="S3596" i="14"/>
  <c r="V3595" i="14"/>
  <c r="S3595" i="14"/>
  <c r="V3594" i="14"/>
  <c r="S3594" i="14"/>
  <c r="V3593" i="14"/>
  <c r="S3593" i="14"/>
  <c r="V3592" i="14"/>
  <c r="S3592" i="14"/>
  <c r="V3591" i="14"/>
  <c r="S3591" i="14"/>
  <c r="V3590" i="14"/>
  <c r="S3590" i="14"/>
  <c r="V3589" i="14"/>
  <c r="S3589" i="14"/>
  <c r="V3588" i="14"/>
  <c r="S3588" i="14"/>
  <c r="V3587" i="14"/>
  <c r="S3587" i="14"/>
  <c r="V3586" i="14"/>
  <c r="S3586" i="14"/>
  <c r="V3585" i="14"/>
  <c r="S3585" i="14"/>
  <c r="V3584" i="14"/>
  <c r="S3584" i="14"/>
  <c r="V3583" i="14"/>
  <c r="S3583" i="14"/>
  <c r="V3582" i="14"/>
  <c r="S3582" i="14"/>
  <c r="V3581" i="14"/>
  <c r="S3581" i="14"/>
  <c r="V3580" i="14"/>
  <c r="S3580" i="14"/>
  <c r="V3579" i="14"/>
  <c r="S3579" i="14"/>
  <c r="V3578" i="14"/>
  <c r="S3578" i="14"/>
  <c r="V3577" i="14"/>
  <c r="S3577" i="14"/>
  <c r="V3576" i="14"/>
  <c r="S3576" i="14"/>
  <c r="V3575" i="14"/>
  <c r="S3575" i="14"/>
  <c r="V3574" i="14"/>
  <c r="S3574" i="14"/>
  <c r="V3573" i="14"/>
  <c r="S3573" i="14"/>
  <c r="V3572" i="14"/>
  <c r="S3572" i="14"/>
  <c r="V3571" i="14"/>
  <c r="S3571" i="14"/>
  <c r="V3570" i="14"/>
  <c r="S3570" i="14"/>
  <c r="V3569" i="14"/>
  <c r="S3569" i="14"/>
  <c r="V3568" i="14"/>
  <c r="S3568" i="14"/>
  <c r="V3567" i="14"/>
  <c r="S3567" i="14"/>
  <c r="V3566" i="14"/>
  <c r="S3566" i="14"/>
  <c r="V3565" i="14"/>
  <c r="S3565" i="14"/>
  <c r="V3564" i="14"/>
  <c r="S3564" i="14"/>
  <c r="V3563" i="14"/>
  <c r="S3563" i="14"/>
  <c r="V3562" i="14"/>
  <c r="S3562" i="14"/>
  <c r="V3561" i="14"/>
  <c r="S3561" i="14"/>
  <c r="V3560" i="14"/>
  <c r="S3560" i="14"/>
  <c r="V3559" i="14"/>
  <c r="S3559" i="14"/>
  <c r="V3558" i="14"/>
  <c r="S3558" i="14"/>
  <c r="V3557" i="14"/>
  <c r="S3557" i="14"/>
  <c r="V3556" i="14"/>
  <c r="S3556" i="14"/>
  <c r="V3555" i="14"/>
  <c r="S3555" i="14"/>
  <c r="V3554" i="14"/>
  <c r="S3554" i="14"/>
  <c r="V3553" i="14"/>
  <c r="S3553" i="14"/>
  <c r="V3552" i="14"/>
  <c r="S3552" i="14"/>
  <c r="V3551" i="14"/>
  <c r="S3551" i="14"/>
  <c r="V3550" i="14"/>
  <c r="S3550" i="14"/>
  <c r="V3549" i="14"/>
  <c r="S3549" i="14"/>
  <c r="V3548" i="14"/>
  <c r="S3548" i="14"/>
  <c r="V3547" i="14"/>
  <c r="S3547" i="14"/>
  <c r="V3546" i="14"/>
  <c r="S3546" i="14"/>
  <c r="V3545" i="14"/>
  <c r="S3545" i="14"/>
  <c r="V3544" i="14"/>
  <c r="S3544" i="14"/>
  <c r="V3543" i="14"/>
  <c r="S3543" i="14"/>
  <c r="V3542" i="14"/>
  <c r="S3542" i="14"/>
  <c r="V3541" i="14"/>
  <c r="S3541" i="14"/>
  <c r="V3540" i="14"/>
  <c r="S3540" i="14"/>
  <c r="V3539" i="14"/>
  <c r="S3539" i="14"/>
  <c r="V3538" i="14"/>
  <c r="S3538" i="14"/>
  <c r="V3537" i="14"/>
  <c r="S3537" i="14"/>
  <c r="V3536" i="14"/>
  <c r="S3536" i="14"/>
  <c r="V3535" i="14"/>
  <c r="S3535" i="14"/>
  <c r="V3534" i="14"/>
  <c r="S3534" i="14"/>
  <c r="V3533" i="14"/>
  <c r="S3533" i="14"/>
  <c r="V3532" i="14"/>
  <c r="S3532" i="14"/>
  <c r="V3531" i="14"/>
  <c r="S3531" i="14"/>
  <c r="V3530" i="14"/>
  <c r="S3530" i="14"/>
  <c r="V3529" i="14"/>
  <c r="S3529" i="14"/>
  <c r="V3528" i="14"/>
  <c r="S3528" i="14"/>
  <c r="V3527" i="14"/>
  <c r="S3527" i="14"/>
  <c r="V3526" i="14"/>
  <c r="S3526" i="14"/>
  <c r="V3525" i="14"/>
  <c r="S3525" i="14"/>
  <c r="V3524" i="14"/>
  <c r="S3524" i="14"/>
  <c r="V3523" i="14"/>
  <c r="S3523" i="14"/>
  <c r="V3522" i="14"/>
  <c r="S3522" i="14"/>
  <c r="V3521" i="14"/>
  <c r="S3521" i="14"/>
  <c r="V3520" i="14"/>
  <c r="S3520" i="14"/>
  <c r="V3519" i="14"/>
  <c r="S3519" i="14"/>
  <c r="V3518" i="14"/>
  <c r="S3518" i="14"/>
  <c r="V3517" i="14"/>
  <c r="S3517" i="14"/>
  <c r="V3516" i="14"/>
  <c r="S3516" i="14"/>
  <c r="V3515" i="14"/>
  <c r="S3515" i="14"/>
  <c r="V3514" i="14"/>
  <c r="S3514" i="14"/>
  <c r="V3513" i="14"/>
  <c r="S3513" i="14"/>
  <c r="V3512" i="14"/>
  <c r="S3512" i="14"/>
  <c r="V3511" i="14"/>
  <c r="S3511" i="14"/>
  <c r="V3510" i="14"/>
  <c r="S3510" i="14"/>
  <c r="V3509" i="14"/>
  <c r="S3509" i="14"/>
  <c r="V3508" i="14"/>
  <c r="S3508" i="14"/>
  <c r="V3507" i="14"/>
  <c r="S3507" i="14"/>
  <c r="V3506" i="14"/>
  <c r="S3506" i="14"/>
  <c r="V3505" i="14"/>
  <c r="S3505" i="14"/>
  <c r="V3504" i="14"/>
  <c r="S3504" i="14"/>
  <c r="V3503" i="14"/>
  <c r="S3503" i="14"/>
  <c r="V3502" i="14"/>
  <c r="S3502" i="14"/>
  <c r="V3501" i="14"/>
  <c r="S3501" i="14"/>
  <c r="V3500" i="14"/>
  <c r="S3500" i="14"/>
  <c r="V3499" i="14"/>
  <c r="S3499" i="14"/>
  <c r="V3498" i="14"/>
  <c r="S3498" i="14"/>
  <c r="V3497" i="14"/>
  <c r="S3497" i="14"/>
  <c r="V3496" i="14"/>
  <c r="S3496" i="14"/>
  <c r="V3495" i="14"/>
  <c r="S3495" i="14"/>
  <c r="V3494" i="14"/>
  <c r="S3494" i="14"/>
  <c r="V3493" i="14"/>
  <c r="S3493" i="14"/>
  <c r="V3492" i="14"/>
  <c r="S3492" i="14"/>
  <c r="V3491" i="14"/>
  <c r="S3491" i="14"/>
  <c r="V3490" i="14"/>
  <c r="S3490" i="14"/>
  <c r="V3489" i="14"/>
  <c r="S3489" i="14"/>
  <c r="V3488" i="14"/>
  <c r="S3488" i="14"/>
  <c r="V3487" i="14"/>
  <c r="S3487" i="14"/>
  <c r="V3486" i="14"/>
  <c r="S3486" i="14"/>
  <c r="V3485" i="14"/>
  <c r="S3485" i="14"/>
  <c r="V3484" i="14"/>
  <c r="S3484" i="14"/>
  <c r="V3483" i="14"/>
  <c r="S3483" i="14"/>
  <c r="V3482" i="14"/>
  <c r="S3482" i="14"/>
  <c r="V3481" i="14"/>
  <c r="S3481" i="14"/>
  <c r="V3480" i="14"/>
  <c r="S3480" i="14"/>
  <c r="V3479" i="14"/>
  <c r="S3479" i="14"/>
  <c r="V3478" i="14"/>
  <c r="S3478" i="14"/>
  <c r="V3477" i="14"/>
  <c r="S3477" i="14"/>
  <c r="V3476" i="14"/>
  <c r="S3476" i="14"/>
  <c r="V3475" i="14"/>
  <c r="S3475" i="14"/>
  <c r="V3474" i="14"/>
  <c r="S3474" i="14"/>
  <c r="V3473" i="14"/>
  <c r="S3473" i="14"/>
  <c r="V3472" i="14"/>
  <c r="S3472" i="14"/>
  <c r="V3471" i="14"/>
  <c r="S3471" i="14"/>
  <c r="V3470" i="14"/>
  <c r="S3470" i="14"/>
  <c r="V3469" i="14"/>
  <c r="S3469" i="14"/>
  <c r="V3468" i="14"/>
  <c r="S3468" i="14"/>
  <c r="V3467" i="14"/>
  <c r="S3467" i="14"/>
  <c r="V3466" i="14"/>
  <c r="S3466" i="14"/>
  <c r="V3465" i="14"/>
  <c r="S3465" i="14"/>
  <c r="V3464" i="14"/>
  <c r="S3464" i="14"/>
  <c r="V3463" i="14"/>
  <c r="S3463" i="14"/>
  <c r="V3462" i="14"/>
  <c r="S3462" i="14"/>
  <c r="V3461" i="14"/>
  <c r="S3461" i="14"/>
  <c r="V3460" i="14"/>
  <c r="S3460" i="14"/>
  <c r="V3459" i="14"/>
  <c r="S3459" i="14"/>
  <c r="V3458" i="14"/>
  <c r="S3458" i="14"/>
  <c r="V3457" i="14"/>
  <c r="S3457" i="14"/>
  <c r="V3456" i="14"/>
  <c r="S3456" i="14"/>
  <c r="V3455" i="14"/>
  <c r="S3455" i="14"/>
  <c r="V3454" i="14"/>
  <c r="S3454" i="14"/>
  <c r="V3453" i="14"/>
  <c r="S3453" i="14"/>
  <c r="V3452" i="14"/>
  <c r="S3452" i="14"/>
  <c r="V3451" i="14"/>
  <c r="S3451" i="14"/>
  <c r="V3450" i="14"/>
  <c r="S3450" i="14"/>
  <c r="V3449" i="14"/>
  <c r="S3449" i="14"/>
  <c r="V3448" i="14"/>
  <c r="S3448" i="14"/>
  <c r="V3447" i="14"/>
  <c r="S3447" i="14"/>
  <c r="V3446" i="14"/>
  <c r="S3446" i="14"/>
  <c r="V3445" i="14"/>
  <c r="S3445" i="14"/>
  <c r="V3444" i="14"/>
  <c r="S3444" i="14"/>
  <c r="V3443" i="14"/>
  <c r="S3443" i="14"/>
  <c r="V3442" i="14"/>
  <c r="S3442" i="14"/>
  <c r="V3441" i="14"/>
  <c r="S3441" i="14"/>
  <c r="V3440" i="14"/>
  <c r="S3440" i="14"/>
  <c r="V3439" i="14"/>
  <c r="S3439" i="14"/>
  <c r="V3438" i="14"/>
  <c r="S3438" i="14"/>
  <c r="V3437" i="14"/>
  <c r="S3437" i="14"/>
  <c r="V3436" i="14"/>
  <c r="S3436" i="14"/>
  <c r="V3435" i="14"/>
  <c r="S3435" i="14"/>
  <c r="V3434" i="14"/>
  <c r="S3434" i="14"/>
  <c r="V3433" i="14"/>
  <c r="S3433" i="14"/>
  <c r="V3432" i="14"/>
  <c r="S3432" i="14"/>
  <c r="V3431" i="14"/>
  <c r="S3431" i="14"/>
  <c r="V3430" i="14"/>
  <c r="S3430" i="14"/>
  <c r="V3429" i="14"/>
  <c r="S3429" i="14"/>
  <c r="V3428" i="14"/>
  <c r="S3428" i="14"/>
  <c r="V3427" i="14"/>
  <c r="S3427" i="14"/>
  <c r="V3426" i="14"/>
  <c r="S3426" i="14"/>
  <c r="V3425" i="14"/>
  <c r="S3425" i="14"/>
  <c r="V3424" i="14"/>
  <c r="S3424" i="14"/>
  <c r="V3423" i="14"/>
  <c r="S3423" i="14"/>
  <c r="V3422" i="14"/>
  <c r="S3422" i="14"/>
  <c r="V3421" i="14"/>
  <c r="S3421" i="14"/>
  <c r="V3420" i="14"/>
  <c r="S3420" i="14"/>
  <c r="V3419" i="14"/>
  <c r="S3419" i="14"/>
  <c r="V3418" i="14"/>
  <c r="S3418" i="14"/>
  <c r="V3417" i="14"/>
  <c r="S3417" i="14"/>
  <c r="V3416" i="14"/>
  <c r="S3416" i="14"/>
  <c r="V3415" i="14"/>
  <c r="S3415" i="14"/>
  <c r="V3414" i="14"/>
  <c r="S3414" i="14"/>
  <c r="V3413" i="14"/>
  <c r="S3413" i="14"/>
  <c r="V3412" i="14"/>
  <c r="S3412" i="14"/>
  <c r="V3411" i="14"/>
  <c r="S3411" i="14"/>
  <c r="V3410" i="14"/>
  <c r="S3410" i="14"/>
  <c r="V3409" i="14"/>
  <c r="S3409" i="14"/>
  <c r="V3408" i="14"/>
  <c r="S3408" i="14"/>
  <c r="V3407" i="14"/>
  <c r="S3407" i="14"/>
  <c r="V3406" i="14"/>
  <c r="S3406" i="14"/>
  <c r="V3405" i="14"/>
  <c r="S3405" i="14"/>
  <c r="V3404" i="14"/>
  <c r="S3404" i="14"/>
  <c r="V3403" i="14"/>
  <c r="S3403" i="14"/>
  <c r="V3402" i="14"/>
  <c r="S3402" i="14"/>
  <c r="V3401" i="14"/>
  <c r="S3401" i="14"/>
  <c r="V3400" i="14"/>
  <c r="S3400" i="14"/>
  <c r="V3399" i="14"/>
  <c r="S3399" i="14"/>
  <c r="V3398" i="14"/>
  <c r="S3398" i="14"/>
  <c r="V3397" i="14"/>
  <c r="S3397" i="14"/>
  <c r="V3396" i="14"/>
  <c r="S3396" i="14"/>
  <c r="V3395" i="14"/>
  <c r="S3395" i="14"/>
  <c r="V3394" i="14"/>
  <c r="S3394" i="14"/>
  <c r="V3393" i="14"/>
  <c r="S3393" i="14"/>
  <c r="V3392" i="14"/>
  <c r="S3392" i="14"/>
  <c r="V3391" i="14"/>
  <c r="S3391" i="14"/>
  <c r="V3390" i="14"/>
  <c r="S3390" i="14"/>
  <c r="V3389" i="14"/>
  <c r="S3389" i="14"/>
  <c r="V3388" i="14"/>
  <c r="S3388" i="14"/>
  <c r="V3387" i="14"/>
  <c r="S3387" i="14"/>
  <c r="V3386" i="14"/>
  <c r="S3386" i="14"/>
  <c r="V3385" i="14"/>
  <c r="S3385" i="14"/>
  <c r="V3384" i="14"/>
  <c r="S3384" i="14"/>
  <c r="V3383" i="14"/>
  <c r="S3383" i="14"/>
  <c r="V3382" i="14"/>
  <c r="S3382" i="14"/>
  <c r="V3381" i="14"/>
  <c r="S3381" i="14"/>
  <c r="V3380" i="14"/>
  <c r="S3380" i="14"/>
  <c r="V3379" i="14"/>
  <c r="S3379" i="14"/>
  <c r="V3378" i="14"/>
  <c r="S3378" i="14"/>
  <c r="V3377" i="14"/>
  <c r="S3377" i="14"/>
  <c r="V3376" i="14"/>
  <c r="S3376" i="14"/>
  <c r="V3375" i="14"/>
  <c r="S3375" i="14"/>
  <c r="V3374" i="14"/>
  <c r="S3374" i="14"/>
  <c r="V3373" i="14"/>
  <c r="S3373" i="14"/>
  <c r="V3372" i="14"/>
  <c r="S3372" i="14"/>
  <c r="V3371" i="14"/>
  <c r="S3371" i="14"/>
  <c r="V3370" i="14"/>
  <c r="S3370" i="14"/>
  <c r="V3369" i="14"/>
  <c r="S3369" i="14"/>
  <c r="V3368" i="14"/>
  <c r="S3368" i="14"/>
  <c r="V3367" i="14"/>
  <c r="S3367" i="14"/>
  <c r="V3366" i="14"/>
  <c r="S3366" i="14"/>
  <c r="V3365" i="14"/>
  <c r="S3365" i="14"/>
  <c r="V3364" i="14"/>
  <c r="S3364" i="14"/>
  <c r="V3363" i="14"/>
  <c r="S3363" i="14"/>
  <c r="V3362" i="14"/>
  <c r="S3362" i="14"/>
  <c r="V3361" i="14"/>
  <c r="S3361" i="14"/>
  <c r="V3360" i="14"/>
  <c r="S3360" i="14"/>
  <c r="V3359" i="14"/>
  <c r="S3359" i="14"/>
  <c r="V3358" i="14"/>
  <c r="S3358" i="14"/>
  <c r="V3357" i="14"/>
  <c r="S3357" i="14"/>
  <c r="V3356" i="14"/>
  <c r="S3356" i="14"/>
  <c r="V3355" i="14"/>
  <c r="S3355" i="14"/>
  <c r="V3354" i="14"/>
  <c r="S3354" i="14"/>
  <c r="V3353" i="14"/>
  <c r="S3353" i="14"/>
  <c r="V3352" i="14"/>
  <c r="S3352" i="14"/>
  <c r="V3351" i="14"/>
  <c r="S3351" i="14"/>
  <c r="V3350" i="14"/>
  <c r="S3350" i="14"/>
  <c r="V3349" i="14"/>
  <c r="S3349" i="14"/>
  <c r="V3348" i="14"/>
  <c r="S3348" i="14"/>
  <c r="V3347" i="14"/>
  <c r="S3347" i="14"/>
  <c r="V3346" i="14"/>
  <c r="S3346" i="14"/>
  <c r="V3345" i="14"/>
  <c r="S3345" i="14"/>
  <c r="V3344" i="14"/>
  <c r="S3344" i="14"/>
  <c r="V3343" i="14"/>
  <c r="S3343" i="14"/>
  <c r="V3342" i="14"/>
  <c r="S3342" i="14"/>
  <c r="V3341" i="14"/>
  <c r="S3341" i="14"/>
  <c r="V3340" i="14"/>
  <c r="S3340" i="14"/>
  <c r="V3339" i="14"/>
  <c r="S3339" i="14"/>
  <c r="V3338" i="14"/>
  <c r="S3338" i="14"/>
  <c r="V3337" i="14"/>
  <c r="S3337" i="14"/>
  <c r="V3336" i="14"/>
  <c r="S3336" i="14"/>
  <c r="V3335" i="14"/>
  <c r="S3335" i="14"/>
  <c r="V3334" i="14"/>
  <c r="S3334" i="14"/>
  <c r="V3333" i="14"/>
  <c r="S3333" i="14"/>
  <c r="V3332" i="14"/>
  <c r="S3332" i="14"/>
  <c r="V3331" i="14"/>
  <c r="S3331" i="14"/>
  <c r="V3330" i="14"/>
  <c r="S3330" i="14"/>
  <c r="V3329" i="14"/>
  <c r="S3329" i="14"/>
  <c r="V3328" i="14"/>
  <c r="S3328" i="14"/>
  <c r="V3327" i="14"/>
  <c r="S3327" i="14"/>
  <c r="V3326" i="14"/>
  <c r="S3326" i="14"/>
  <c r="V3325" i="14"/>
  <c r="S3325" i="14"/>
  <c r="V3324" i="14"/>
  <c r="S3324" i="14"/>
  <c r="V3323" i="14"/>
  <c r="S3323" i="14"/>
  <c r="V3322" i="14"/>
  <c r="S3322" i="14"/>
  <c r="V3321" i="14"/>
  <c r="S3321" i="14"/>
  <c r="V3320" i="14"/>
  <c r="S3320" i="14"/>
  <c r="V3319" i="14"/>
  <c r="S3319" i="14"/>
  <c r="V3318" i="14"/>
  <c r="S3318" i="14"/>
  <c r="V3317" i="14"/>
  <c r="S3317" i="14"/>
  <c r="V3316" i="14"/>
  <c r="S3316" i="14"/>
  <c r="V3315" i="14"/>
  <c r="S3315" i="14"/>
  <c r="V3314" i="14"/>
  <c r="S3314" i="14"/>
  <c r="V3313" i="14"/>
  <c r="S3313" i="14"/>
  <c r="V3312" i="14"/>
  <c r="S3312" i="14"/>
  <c r="V3311" i="14"/>
  <c r="S3311" i="14"/>
  <c r="V3310" i="14"/>
  <c r="S3310" i="14"/>
  <c r="V3309" i="14"/>
  <c r="S3309" i="14"/>
  <c r="V3308" i="14"/>
  <c r="S3308" i="14"/>
  <c r="V3307" i="14"/>
  <c r="S3307" i="14"/>
  <c r="V3306" i="14"/>
  <c r="S3306" i="14"/>
  <c r="V3305" i="14"/>
  <c r="S3305" i="14"/>
  <c r="V3304" i="14"/>
  <c r="S3304" i="14"/>
  <c r="V3303" i="14"/>
  <c r="S3303" i="14"/>
  <c r="V3302" i="14"/>
  <c r="S3302" i="14"/>
  <c r="V3301" i="14"/>
  <c r="S3301" i="14"/>
  <c r="V3300" i="14"/>
  <c r="S3300" i="14"/>
  <c r="V3299" i="14"/>
  <c r="S3299" i="14"/>
  <c r="V3298" i="14"/>
  <c r="S3298" i="14"/>
  <c r="V3297" i="14"/>
  <c r="S3297" i="14"/>
  <c r="V3296" i="14"/>
  <c r="S3296" i="14"/>
  <c r="V3295" i="14"/>
  <c r="S3295" i="14"/>
  <c r="V3294" i="14"/>
  <c r="S3294" i="14"/>
  <c r="V3293" i="14"/>
  <c r="S3293" i="14"/>
  <c r="V3292" i="14"/>
  <c r="S3292" i="14"/>
  <c r="V3291" i="14"/>
  <c r="S3291" i="14"/>
  <c r="V3290" i="14"/>
  <c r="S3290" i="14"/>
  <c r="V3289" i="14"/>
  <c r="S3289" i="14"/>
  <c r="V3288" i="14"/>
  <c r="S3288" i="14"/>
  <c r="V3287" i="14"/>
  <c r="S3287" i="14"/>
  <c r="V3286" i="14"/>
  <c r="S3286" i="14"/>
  <c r="V3285" i="14"/>
  <c r="S3285" i="14"/>
  <c r="V3284" i="14"/>
  <c r="S3284" i="14"/>
  <c r="V3283" i="14"/>
  <c r="S3283" i="14"/>
  <c r="V3282" i="14"/>
  <c r="S3282" i="14"/>
  <c r="V3281" i="14"/>
  <c r="S3281" i="14"/>
  <c r="V3280" i="14"/>
  <c r="S3280" i="14"/>
  <c r="V3279" i="14"/>
  <c r="S3279" i="14"/>
  <c r="V3278" i="14"/>
  <c r="S3278" i="14"/>
  <c r="V3277" i="14"/>
  <c r="S3277" i="14"/>
  <c r="V3276" i="14"/>
  <c r="S3276" i="14"/>
  <c r="V3275" i="14"/>
  <c r="S3275" i="14"/>
  <c r="V3274" i="14"/>
  <c r="S3274" i="14"/>
  <c r="V3273" i="14"/>
  <c r="S3273" i="14"/>
  <c r="V3272" i="14"/>
  <c r="S3272" i="14"/>
  <c r="V3271" i="14"/>
  <c r="S3271" i="14"/>
  <c r="V3270" i="14"/>
  <c r="S3270" i="14"/>
  <c r="V3269" i="14"/>
  <c r="S3269" i="14"/>
  <c r="V3268" i="14"/>
  <c r="S3268" i="14"/>
  <c r="V3267" i="14"/>
  <c r="S3267" i="14"/>
  <c r="V3266" i="14"/>
  <c r="S3266" i="14"/>
  <c r="V3265" i="14"/>
  <c r="S3265" i="14"/>
  <c r="V3264" i="14"/>
  <c r="S3264" i="14"/>
  <c r="V3263" i="14"/>
  <c r="S3263" i="14"/>
  <c r="V3262" i="14"/>
  <c r="S3262" i="14"/>
  <c r="V3261" i="14"/>
  <c r="S3261" i="14"/>
  <c r="V3260" i="14"/>
  <c r="S3260" i="14"/>
  <c r="V3259" i="14"/>
  <c r="S3259" i="14"/>
  <c r="V3258" i="14"/>
  <c r="S3258" i="14"/>
  <c r="V3257" i="14"/>
  <c r="S3257" i="14"/>
  <c r="V3256" i="14"/>
  <c r="S3256" i="14"/>
  <c r="V3255" i="14"/>
  <c r="S3255" i="14"/>
  <c r="V3254" i="14"/>
  <c r="S3254" i="14"/>
  <c r="V3253" i="14"/>
  <c r="S3253" i="14"/>
  <c r="V3252" i="14"/>
  <c r="S3252" i="14"/>
  <c r="V3251" i="14"/>
  <c r="S3251" i="14"/>
  <c r="V3250" i="14"/>
  <c r="S3250" i="14"/>
  <c r="V3249" i="14"/>
  <c r="S3249" i="14"/>
  <c r="V3248" i="14"/>
  <c r="S3248" i="14"/>
  <c r="V3247" i="14"/>
  <c r="S3247" i="14"/>
  <c r="V3246" i="14"/>
  <c r="S3246" i="14"/>
  <c r="V3245" i="14"/>
  <c r="S3245" i="14"/>
  <c r="V3244" i="14"/>
  <c r="S3244" i="14"/>
  <c r="V3243" i="14"/>
  <c r="S3243" i="14"/>
  <c r="V3242" i="14"/>
  <c r="S3242" i="14"/>
  <c r="V3241" i="14"/>
  <c r="S3241" i="14"/>
  <c r="V3240" i="14"/>
  <c r="S3240" i="14"/>
  <c r="V3239" i="14"/>
  <c r="S3239" i="14"/>
  <c r="V3238" i="14"/>
  <c r="S3238" i="14"/>
  <c r="V3237" i="14"/>
  <c r="S3237" i="14"/>
  <c r="V3236" i="14"/>
  <c r="S3236" i="14"/>
  <c r="V3235" i="14"/>
  <c r="S3235" i="14"/>
  <c r="V3234" i="14"/>
  <c r="S3234" i="14"/>
  <c r="V3233" i="14"/>
  <c r="S3233" i="14"/>
  <c r="V3232" i="14"/>
  <c r="S3232" i="14"/>
  <c r="V3231" i="14"/>
  <c r="S3231" i="14"/>
  <c r="V3230" i="14"/>
  <c r="S3230" i="14"/>
  <c r="V3229" i="14"/>
  <c r="S3229" i="14"/>
  <c r="V3228" i="14"/>
  <c r="S3228" i="14"/>
  <c r="V3227" i="14"/>
  <c r="S3227" i="14"/>
  <c r="V3226" i="14"/>
  <c r="S3226" i="14"/>
  <c r="V3225" i="14"/>
  <c r="S3225" i="14"/>
  <c r="V3224" i="14"/>
  <c r="S3224" i="14"/>
  <c r="V3223" i="14"/>
  <c r="S3223" i="14"/>
  <c r="V3222" i="14"/>
  <c r="S3222" i="14"/>
  <c r="V3221" i="14"/>
  <c r="S3221" i="14"/>
  <c r="V3220" i="14"/>
  <c r="S3220" i="14"/>
  <c r="V3219" i="14"/>
  <c r="S3219" i="14"/>
  <c r="V3218" i="14"/>
  <c r="S3218" i="14"/>
  <c r="V3217" i="14"/>
  <c r="S3217" i="14"/>
  <c r="V3216" i="14"/>
  <c r="S3216" i="14"/>
  <c r="V3215" i="14"/>
  <c r="S3215" i="14"/>
  <c r="V3214" i="14"/>
  <c r="S3214" i="14"/>
  <c r="V3213" i="14"/>
  <c r="S3213" i="14"/>
  <c r="V3212" i="14"/>
  <c r="S3212" i="14"/>
  <c r="V3211" i="14"/>
  <c r="S3211" i="14"/>
  <c r="V3210" i="14"/>
  <c r="S3210" i="14"/>
  <c r="V3209" i="14"/>
  <c r="S3209" i="14"/>
  <c r="V3208" i="14"/>
  <c r="S3208" i="14"/>
  <c r="V3207" i="14"/>
  <c r="S3207" i="14"/>
  <c r="V3206" i="14"/>
  <c r="S3206" i="14"/>
  <c r="V3205" i="14"/>
  <c r="S3205" i="14"/>
  <c r="V3204" i="14"/>
  <c r="S3204" i="14"/>
  <c r="V3203" i="14"/>
  <c r="S3203" i="14"/>
  <c r="V3202" i="14"/>
  <c r="S3202" i="14"/>
  <c r="V3201" i="14"/>
  <c r="S3201" i="14"/>
  <c r="V3200" i="14"/>
  <c r="S3200" i="14"/>
  <c r="V3199" i="14"/>
  <c r="S3199" i="14"/>
  <c r="V3198" i="14"/>
  <c r="S3198" i="14"/>
  <c r="V3197" i="14"/>
  <c r="S3197" i="14"/>
  <c r="V3196" i="14"/>
  <c r="S3196" i="14"/>
  <c r="V3195" i="14"/>
  <c r="S3195" i="14"/>
  <c r="V3194" i="14"/>
  <c r="S3194" i="14"/>
  <c r="V3193" i="14"/>
  <c r="S3193" i="14"/>
  <c r="V3192" i="14"/>
  <c r="S3192" i="14"/>
  <c r="V3191" i="14"/>
  <c r="S3191" i="14"/>
  <c r="V3190" i="14"/>
  <c r="S3190" i="14"/>
  <c r="V3189" i="14"/>
  <c r="S3189" i="14"/>
  <c r="V3188" i="14"/>
  <c r="S3188" i="14"/>
  <c r="V3187" i="14"/>
  <c r="S3187" i="14"/>
  <c r="V3186" i="14"/>
  <c r="S3186" i="14"/>
  <c r="V3185" i="14"/>
  <c r="S3185" i="14"/>
  <c r="V3184" i="14"/>
  <c r="S3184" i="14"/>
  <c r="V3183" i="14"/>
  <c r="S3183" i="14"/>
  <c r="V3182" i="14"/>
  <c r="S3182" i="14"/>
  <c r="V3181" i="14"/>
  <c r="S3181" i="14"/>
  <c r="V3180" i="14"/>
  <c r="S3180" i="14"/>
  <c r="V3179" i="14"/>
  <c r="S3179" i="14"/>
  <c r="V3178" i="14"/>
  <c r="S3178" i="14"/>
  <c r="V3177" i="14"/>
  <c r="S3177" i="14"/>
  <c r="V3176" i="14"/>
  <c r="S3176" i="14"/>
  <c r="V3175" i="14"/>
  <c r="S3175" i="14"/>
  <c r="V3174" i="14"/>
  <c r="S3174" i="14"/>
  <c r="V3173" i="14"/>
  <c r="S3173" i="14"/>
  <c r="V3172" i="14"/>
  <c r="S3172" i="14"/>
  <c r="V3171" i="14"/>
  <c r="S3171" i="14"/>
  <c r="V3170" i="14"/>
  <c r="S3170" i="14"/>
  <c r="V3169" i="14"/>
  <c r="S3169" i="14"/>
  <c r="V3168" i="14"/>
  <c r="S3168" i="14"/>
  <c r="V3167" i="14"/>
  <c r="S3167" i="14"/>
  <c r="V3166" i="14"/>
  <c r="S3166" i="14"/>
  <c r="V3165" i="14"/>
  <c r="S3165" i="14"/>
  <c r="V3164" i="14"/>
  <c r="S3164" i="14"/>
  <c r="V3163" i="14"/>
  <c r="S3163" i="14"/>
  <c r="V3162" i="14"/>
  <c r="S3162" i="14"/>
  <c r="V3161" i="14"/>
  <c r="S3161" i="14"/>
  <c r="V3160" i="14"/>
  <c r="S3160" i="14"/>
  <c r="V3159" i="14"/>
  <c r="S3159" i="14"/>
  <c r="V3158" i="14"/>
  <c r="S3158" i="14"/>
  <c r="V3157" i="14"/>
  <c r="S3157" i="14"/>
  <c r="V3156" i="14"/>
  <c r="S3156" i="14"/>
  <c r="V3155" i="14"/>
  <c r="S3155" i="14"/>
  <c r="V3154" i="14"/>
  <c r="S3154" i="14"/>
  <c r="V3153" i="14"/>
  <c r="S3153" i="14"/>
  <c r="V3152" i="14"/>
  <c r="S3152" i="14"/>
  <c r="V3151" i="14"/>
  <c r="S3151" i="14"/>
  <c r="V3150" i="14"/>
  <c r="S3150" i="14"/>
  <c r="V3149" i="14"/>
  <c r="S3149" i="14"/>
  <c r="V3148" i="14"/>
  <c r="S3148" i="14"/>
  <c r="V3147" i="14"/>
  <c r="S3147" i="14"/>
  <c r="V3146" i="14"/>
  <c r="S3146" i="14"/>
  <c r="V3145" i="14"/>
  <c r="S3145" i="14"/>
  <c r="V3144" i="14"/>
  <c r="S3144" i="14"/>
  <c r="V3143" i="14"/>
  <c r="S3143" i="14"/>
  <c r="V3142" i="14"/>
  <c r="S3142" i="14"/>
  <c r="V3141" i="14"/>
  <c r="S3141" i="14"/>
  <c r="V3140" i="14"/>
  <c r="S3140" i="14"/>
  <c r="V3139" i="14"/>
  <c r="S3139" i="14"/>
  <c r="V3138" i="14"/>
  <c r="S3138" i="14"/>
  <c r="V3137" i="14"/>
  <c r="S3137" i="14"/>
  <c r="V3136" i="14"/>
  <c r="S3136" i="14"/>
  <c r="V3135" i="14"/>
  <c r="S3135" i="14"/>
  <c r="V3134" i="14"/>
  <c r="S3134" i="14"/>
  <c r="V3133" i="14"/>
  <c r="S3133" i="14"/>
  <c r="V3132" i="14"/>
  <c r="S3132" i="14"/>
  <c r="V3131" i="14"/>
  <c r="S3131" i="14"/>
  <c r="V3130" i="14"/>
  <c r="S3130" i="14"/>
  <c r="V3129" i="14"/>
  <c r="S3129" i="14"/>
  <c r="V3128" i="14"/>
  <c r="S3128" i="14"/>
  <c r="V3127" i="14"/>
  <c r="S3127" i="14"/>
  <c r="V3126" i="14"/>
  <c r="S3126" i="14"/>
  <c r="V3125" i="14"/>
  <c r="S3125" i="14"/>
  <c r="V3124" i="14"/>
  <c r="S3124" i="14"/>
  <c r="V3123" i="14"/>
  <c r="S3123" i="14"/>
  <c r="V3122" i="14"/>
  <c r="S3122" i="14"/>
  <c r="V3121" i="14"/>
  <c r="S3121" i="14"/>
  <c r="V3120" i="14"/>
  <c r="S3120" i="14"/>
  <c r="V3119" i="14"/>
  <c r="S3119" i="14"/>
  <c r="V3118" i="14"/>
  <c r="S3118" i="14"/>
  <c r="V3117" i="14"/>
  <c r="S3117" i="14"/>
  <c r="V3116" i="14"/>
  <c r="S3116" i="14"/>
  <c r="V3115" i="14"/>
  <c r="S3115" i="14"/>
  <c r="V3114" i="14"/>
  <c r="S3114" i="14"/>
  <c r="V3113" i="14"/>
  <c r="S3113" i="14"/>
  <c r="V3112" i="14"/>
  <c r="S3112" i="14"/>
  <c r="V3111" i="14"/>
  <c r="S3111" i="14"/>
  <c r="V3110" i="14"/>
  <c r="S3110" i="14"/>
  <c r="V3109" i="14"/>
  <c r="S3109" i="14"/>
  <c r="V3108" i="14"/>
  <c r="S3108" i="14"/>
  <c r="V3107" i="14"/>
  <c r="S3107" i="14"/>
  <c r="V3106" i="14"/>
  <c r="S3106" i="14"/>
  <c r="V3105" i="14"/>
  <c r="S3105" i="14"/>
  <c r="V3104" i="14"/>
  <c r="S3104" i="14"/>
  <c r="V3103" i="14"/>
  <c r="S3103" i="14"/>
  <c r="V3102" i="14"/>
  <c r="S3102" i="14"/>
  <c r="V3101" i="14"/>
  <c r="S3101" i="14"/>
  <c r="V3100" i="14"/>
  <c r="S3100" i="14"/>
  <c r="V3099" i="14"/>
  <c r="S3099" i="14"/>
  <c r="V3098" i="14"/>
  <c r="S3098" i="14"/>
  <c r="V3097" i="14"/>
  <c r="S3097" i="14"/>
  <c r="V3096" i="14"/>
  <c r="S3096" i="14"/>
  <c r="V3095" i="14"/>
  <c r="S3095" i="14"/>
  <c r="V3094" i="14"/>
  <c r="S3094" i="14"/>
  <c r="V3093" i="14"/>
  <c r="S3093" i="14"/>
  <c r="V3092" i="14"/>
  <c r="S3092" i="14"/>
  <c r="V3091" i="14"/>
  <c r="S3091" i="14"/>
  <c r="V3090" i="14"/>
  <c r="S3090" i="14"/>
  <c r="V3089" i="14"/>
  <c r="S3089" i="14"/>
  <c r="V3088" i="14"/>
  <c r="S3088" i="14"/>
  <c r="V3087" i="14"/>
  <c r="S3087" i="14"/>
  <c r="V3086" i="14"/>
  <c r="S3086" i="14"/>
  <c r="V3085" i="14"/>
  <c r="S3085" i="14"/>
  <c r="V3084" i="14"/>
  <c r="S3084" i="14"/>
  <c r="V3083" i="14"/>
  <c r="S3083" i="14"/>
  <c r="V3082" i="14"/>
  <c r="S3082" i="14"/>
  <c r="V3081" i="14"/>
  <c r="S3081" i="14"/>
  <c r="V3080" i="14"/>
  <c r="S3080" i="14"/>
  <c r="V3079" i="14"/>
  <c r="S3079" i="14"/>
  <c r="V3078" i="14"/>
  <c r="S3078" i="14"/>
  <c r="V3077" i="14"/>
  <c r="S3077" i="14"/>
  <c r="V3076" i="14"/>
  <c r="S3076" i="14"/>
  <c r="V3075" i="14"/>
  <c r="S3075" i="14"/>
  <c r="V3074" i="14"/>
  <c r="S3074" i="14"/>
  <c r="V3073" i="14"/>
  <c r="S3073" i="14"/>
  <c r="V3072" i="14"/>
  <c r="S3072" i="14"/>
  <c r="V3071" i="14"/>
  <c r="S3071" i="14"/>
  <c r="V3070" i="14"/>
  <c r="S3070" i="14"/>
  <c r="V3069" i="14"/>
  <c r="S3069" i="14"/>
  <c r="V3068" i="14"/>
  <c r="S3068" i="14"/>
  <c r="V3067" i="14"/>
  <c r="S3067" i="14"/>
  <c r="V3066" i="14"/>
  <c r="S3066" i="14"/>
  <c r="V3065" i="14"/>
  <c r="S3065" i="14"/>
  <c r="V3064" i="14"/>
  <c r="S3064" i="14"/>
  <c r="V3063" i="14"/>
  <c r="S3063" i="14"/>
  <c r="V3062" i="14"/>
  <c r="S3062" i="14"/>
  <c r="V3061" i="14"/>
  <c r="S3061" i="14"/>
  <c r="V3060" i="14"/>
  <c r="S3060" i="14"/>
  <c r="V3059" i="14"/>
  <c r="S3059" i="14"/>
  <c r="V3058" i="14"/>
  <c r="S3058" i="14"/>
  <c r="V3057" i="14"/>
  <c r="S3057" i="14"/>
  <c r="V3056" i="14"/>
  <c r="S3056" i="14"/>
  <c r="V3055" i="14"/>
  <c r="S3055" i="14"/>
  <c r="V3054" i="14"/>
  <c r="S3054" i="14"/>
  <c r="V3053" i="14"/>
  <c r="S3053" i="14"/>
  <c r="V3052" i="14"/>
  <c r="S3052" i="14"/>
  <c r="V3051" i="14"/>
  <c r="S3051" i="14"/>
  <c r="V3050" i="14"/>
  <c r="S3050" i="14"/>
  <c r="V3049" i="14"/>
  <c r="S3049" i="14"/>
  <c r="V3048" i="14"/>
  <c r="S3048" i="14"/>
  <c r="V3047" i="14"/>
  <c r="S3047" i="14"/>
  <c r="V3046" i="14"/>
  <c r="S3046" i="14"/>
  <c r="V3045" i="14"/>
  <c r="S3045" i="14"/>
  <c r="V3044" i="14"/>
  <c r="S3044" i="14"/>
  <c r="V3043" i="14"/>
  <c r="S3043" i="14"/>
  <c r="V3042" i="14"/>
  <c r="S3042" i="14"/>
  <c r="V3041" i="14"/>
  <c r="S3041" i="14"/>
  <c r="V3040" i="14"/>
  <c r="S3040" i="14"/>
  <c r="V3039" i="14"/>
  <c r="S3039" i="14"/>
  <c r="V3038" i="14"/>
  <c r="S3038" i="14"/>
  <c r="V3037" i="14"/>
  <c r="S3037" i="14"/>
  <c r="V3036" i="14"/>
  <c r="S3036" i="14"/>
  <c r="V3035" i="14"/>
  <c r="S3035" i="14"/>
  <c r="V3034" i="14"/>
  <c r="S3034" i="14"/>
  <c r="V3033" i="14"/>
  <c r="S3033" i="14"/>
  <c r="V3032" i="14"/>
  <c r="S3032" i="14"/>
  <c r="V3031" i="14"/>
  <c r="S3031" i="14"/>
  <c r="V3030" i="14"/>
  <c r="S3030" i="14"/>
  <c r="V3029" i="14"/>
  <c r="S3029" i="14"/>
  <c r="V3028" i="14"/>
  <c r="S3028" i="14"/>
  <c r="V3027" i="14"/>
  <c r="S3027" i="14"/>
  <c r="V3026" i="14"/>
  <c r="S3026" i="14"/>
  <c r="V3025" i="14"/>
  <c r="S3025" i="14"/>
  <c r="V3024" i="14"/>
  <c r="S3024" i="14"/>
  <c r="V3023" i="14"/>
  <c r="S3023" i="14"/>
  <c r="V3022" i="14"/>
  <c r="S3022" i="14"/>
  <c r="V3021" i="14"/>
  <c r="S3021" i="14"/>
  <c r="V3020" i="14"/>
  <c r="S3020" i="14"/>
  <c r="V3019" i="14"/>
  <c r="S3019" i="14"/>
  <c r="V3018" i="14"/>
  <c r="S3018" i="14"/>
  <c r="V3017" i="14"/>
  <c r="S3017" i="14"/>
  <c r="V3016" i="14"/>
  <c r="S3016" i="14"/>
  <c r="V3015" i="14"/>
  <c r="S3015" i="14"/>
  <c r="V3014" i="14"/>
  <c r="S3014" i="14"/>
  <c r="V3013" i="14"/>
  <c r="S3013" i="14"/>
  <c r="V3012" i="14"/>
  <c r="S3012" i="14"/>
  <c r="V3011" i="14"/>
  <c r="S3011" i="14"/>
  <c r="V3010" i="14"/>
  <c r="S3010" i="14"/>
  <c r="V3009" i="14"/>
  <c r="S3009" i="14"/>
  <c r="V3008" i="14"/>
  <c r="S3008" i="14"/>
  <c r="V3007" i="14"/>
  <c r="S3007" i="14"/>
  <c r="V3006" i="14"/>
  <c r="S3006" i="14"/>
  <c r="V3005" i="14"/>
  <c r="S3005" i="14"/>
  <c r="V3004" i="14"/>
  <c r="S3004" i="14"/>
  <c r="V3003" i="14"/>
  <c r="S3003" i="14"/>
  <c r="V3002" i="14"/>
  <c r="S3002" i="14"/>
  <c r="V2998" i="14"/>
  <c r="S2998" i="14"/>
  <c r="V2997" i="14"/>
  <c r="S2997" i="14"/>
  <c r="V2996" i="14"/>
  <c r="S2996" i="14"/>
  <c r="V2995" i="14"/>
  <c r="S2995" i="14"/>
  <c r="V2994" i="14"/>
  <c r="S2994" i="14"/>
  <c r="V2993" i="14"/>
  <c r="S2993" i="14"/>
  <c r="V2992" i="14"/>
  <c r="S2992" i="14"/>
  <c r="V2991" i="14"/>
  <c r="S2991" i="14"/>
  <c r="V2990" i="14"/>
  <c r="S2990" i="14"/>
  <c r="V2989" i="14"/>
  <c r="S2989" i="14"/>
  <c r="V2988" i="14"/>
  <c r="S2988" i="14"/>
  <c r="V2987" i="14"/>
  <c r="S2987" i="14"/>
  <c r="V2986" i="14"/>
  <c r="S2986" i="14"/>
  <c r="V2985" i="14"/>
  <c r="S2985" i="14"/>
  <c r="V2984" i="14"/>
  <c r="S2984" i="14"/>
  <c r="V2983" i="14"/>
  <c r="S2983" i="14"/>
  <c r="V2982" i="14"/>
  <c r="S2982" i="14"/>
  <c r="V2981" i="14"/>
  <c r="S2981" i="14"/>
  <c r="V2980" i="14"/>
  <c r="S2980" i="14"/>
  <c r="V2979" i="14"/>
  <c r="S2979" i="14"/>
  <c r="V2978" i="14"/>
  <c r="S2978" i="14"/>
  <c r="V2977" i="14"/>
  <c r="S2977" i="14"/>
  <c r="V2976" i="14"/>
  <c r="S2976" i="14"/>
  <c r="V2975" i="14"/>
  <c r="S2975" i="14"/>
  <c r="V2974" i="14"/>
  <c r="S2974" i="14"/>
  <c r="V2973" i="14"/>
  <c r="S2973" i="14"/>
  <c r="V2972" i="14"/>
  <c r="S2972" i="14"/>
  <c r="V2971" i="14"/>
  <c r="S2971" i="14"/>
  <c r="V2970" i="14"/>
  <c r="S2970" i="14"/>
  <c r="V2969" i="14"/>
  <c r="S2969" i="14"/>
  <c r="V2968" i="14"/>
  <c r="S2968" i="14"/>
  <c r="V2967" i="14"/>
  <c r="S2967" i="14"/>
  <c r="V2966" i="14"/>
  <c r="S2966" i="14"/>
  <c r="V2965" i="14"/>
  <c r="S2965" i="14"/>
  <c r="V2964" i="14"/>
  <c r="S2964" i="14"/>
  <c r="V2963" i="14"/>
  <c r="S2963" i="14"/>
  <c r="V2962" i="14"/>
  <c r="S2962" i="14"/>
  <c r="V2961" i="14"/>
  <c r="S2961" i="14"/>
  <c r="V2960" i="14"/>
  <c r="S2960" i="14"/>
  <c r="V2959" i="14"/>
  <c r="S2959" i="14"/>
  <c r="V2958" i="14"/>
  <c r="S2958" i="14"/>
  <c r="V2957" i="14"/>
  <c r="S2957" i="14"/>
  <c r="V2956" i="14"/>
  <c r="S2956" i="14"/>
  <c r="V2955" i="14"/>
  <c r="S2955" i="14"/>
  <c r="V2954" i="14"/>
  <c r="S2954" i="14"/>
  <c r="V2953" i="14"/>
  <c r="S2953" i="14"/>
  <c r="V2952" i="14"/>
  <c r="S2952" i="14"/>
  <c r="V2951" i="14"/>
  <c r="S2951" i="14"/>
  <c r="V2950" i="14"/>
  <c r="S2950" i="14"/>
  <c r="V2949" i="14"/>
  <c r="S2949" i="14"/>
  <c r="V2948" i="14"/>
  <c r="S2948" i="14"/>
  <c r="V2947" i="14"/>
  <c r="S2947" i="14"/>
  <c r="V2946" i="14"/>
  <c r="S2946" i="14"/>
  <c r="V2945" i="14"/>
  <c r="S2945" i="14"/>
  <c r="V2944" i="14"/>
  <c r="S2944" i="14"/>
  <c r="V2943" i="14"/>
  <c r="S2943" i="14"/>
  <c r="V2942" i="14"/>
  <c r="S2942" i="14"/>
  <c r="V2941" i="14"/>
  <c r="S2941" i="14"/>
  <c r="V2940" i="14"/>
  <c r="S2940" i="14"/>
  <c r="V2939" i="14"/>
  <c r="S2939" i="14"/>
  <c r="V2938" i="14"/>
  <c r="S2938" i="14"/>
  <c r="V2937" i="14"/>
  <c r="S2937" i="14"/>
  <c r="V2936" i="14"/>
  <c r="S2936" i="14"/>
  <c r="V2935" i="14"/>
  <c r="S2935" i="14"/>
  <c r="V2934" i="14"/>
  <c r="S2934" i="14"/>
  <c r="V2933" i="14"/>
  <c r="S2933" i="14"/>
  <c r="V2932" i="14"/>
  <c r="S2932" i="14"/>
  <c r="V2931" i="14"/>
  <c r="S2931" i="14"/>
  <c r="V2930" i="14"/>
  <c r="S2930" i="14"/>
  <c r="V2929" i="14"/>
  <c r="S2929" i="14"/>
  <c r="V2928" i="14"/>
  <c r="S2928" i="14"/>
  <c r="V2927" i="14"/>
  <c r="S2927" i="14"/>
  <c r="V2926" i="14"/>
  <c r="S2926" i="14"/>
  <c r="V2925" i="14"/>
  <c r="S2925" i="14"/>
  <c r="V2924" i="14"/>
  <c r="S2924" i="14"/>
  <c r="V2923" i="14"/>
  <c r="S2923" i="14"/>
  <c r="V2922" i="14"/>
  <c r="S2922" i="14"/>
  <c r="V2921" i="14"/>
  <c r="S2921" i="14"/>
  <c r="V2920" i="14"/>
  <c r="S2920" i="14"/>
  <c r="V2919" i="14"/>
  <c r="S2919" i="14"/>
  <c r="V2918" i="14"/>
  <c r="S2918" i="14"/>
  <c r="V2917" i="14"/>
  <c r="S2917" i="14"/>
  <c r="V2916" i="14"/>
  <c r="S2916" i="14"/>
  <c r="V2915" i="14"/>
  <c r="S2915" i="14"/>
  <c r="V2914" i="14"/>
  <c r="S2914" i="14"/>
  <c r="V2913" i="14"/>
  <c r="S2913" i="14"/>
  <c r="V2912" i="14"/>
  <c r="S2912" i="14"/>
  <c r="V2911" i="14"/>
  <c r="S2911" i="14"/>
  <c r="V2910" i="14"/>
  <c r="S2910" i="14"/>
  <c r="V2909" i="14"/>
  <c r="S2909" i="14"/>
  <c r="V2908" i="14"/>
  <c r="S2908" i="14"/>
  <c r="V2907" i="14"/>
  <c r="S2907" i="14"/>
  <c r="V2906" i="14"/>
  <c r="S2906" i="14"/>
  <c r="V2905" i="14"/>
  <c r="S2905" i="14"/>
  <c r="V2904" i="14"/>
  <c r="S2904" i="14"/>
  <c r="V2903" i="14"/>
  <c r="S2903" i="14"/>
  <c r="V2902" i="14"/>
  <c r="S2902" i="14"/>
  <c r="V2901" i="14"/>
  <c r="S2901" i="14"/>
  <c r="V2900" i="14"/>
  <c r="S2900" i="14"/>
  <c r="V2899" i="14"/>
  <c r="S2899" i="14"/>
  <c r="V2898" i="14"/>
  <c r="S2898" i="14"/>
  <c r="V2897" i="14"/>
  <c r="S2897" i="14"/>
  <c r="V2896" i="14"/>
  <c r="S2896" i="14"/>
  <c r="V2895" i="14"/>
  <c r="S2895" i="14"/>
  <c r="V2894" i="14"/>
  <c r="S2894" i="14"/>
  <c r="V2893" i="14"/>
  <c r="S2893" i="14"/>
  <c r="V2892" i="14"/>
  <c r="S2892" i="14"/>
  <c r="V2891" i="14"/>
  <c r="S2891" i="14"/>
  <c r="V2890" i="14"/>
  <c r="S2890" i="14"/>
  <c r="V2889" i="14"/>
  <c r="S2889" i="14"/>
  <c r="V2888" i="14"/>
  <c r="S2888" i="14"/>
  <c r="V2887" i="14"/>
  <c r="S2887" i="14"/>
  <c r="V2886" i="14"/>
  <c r="S2886" i="14"/>
  <c r="V2885" i="14"/>
  <c r="S2885" i="14"/>
  <c r="V2884" i="14"/>
  <c r="S2884" i="14"/>
  <c r="V2883" i="14"/>
  <c r="S2883" i="14"/>
  <c r="V2882" i="14"/>
  <c r="S2882" i="14"/>
  <c r="V2881" i="14"/>
  <c r="S2881" i="14"/>
  <c r="V2880" i="14"/>
  <c r="S2880" i="14"/>
  <c r="V2879" i="14"/>
  <c r="S2879" i="14"/>
  <c r="V2878" i="14"/>
  <c r="S2878" i="14"/>
  <c r="V2877" i="14"/>
  <c r="S2877" i="14"/>
  <c r="V2876" i="14"/>
  <c r="S2876" i="14"/>
  <c r="V2875" i="14"/>
  <c r="S2875" i="14"/>
  <c r="V2874" i="14"/>
  <c r="S2874" i="14"/>
  <c r="V2873" i="14"/>
  <c r="S2873" i="14"/>
  <c r="V2872" i="14"/>
  <c r="S2872" i="14"/>
  <c r="V2871" i="14"/>
  <c r="S2871" i="14"/>
  <c r="V2870" i="14"/>
  <c r="S2870" i="14"/>
  <c r="V2869" i="14"/>
  <c r="S2869" i="14"/>
  <c r="V2868" i="14"/>
  <c r="S2868" i="14"/>
  <c r="V2867" i="14"/>
  <c r="S2867" i="14"/>
  <c r="V2866" i="14"/>
  <c r="S2866" i="14"/>
  <c r="V2865" i="14"/>
  <c r="S2865" i="14"/>
  <c r="V2864" i="14"/>
  <c r="S2864" i="14"/>
  <c r="V2863" i="14"/>
  <c r="S2863" i="14"/>
  <c r="V2862" i="14"/>
  <c r="S2862" i="14"/>
  <c r="V2861" i="14"/>
  <c r="S2861" i="14"/>
  <c r="V2860" i="14"/>
  <c r="S2860" i="14"/>
  <c r="V2859" i="14"/>
  <c r="S2859" i="14"/>
  <c r="V2858" i="14"/>
  <c r="S2858" i="14"/>
  <c r="V2857" i="14"/>
  <c r="S2857" i="14"/>
  <c r="V2856" i="14"/>
  <c r="S2856" i="14"/>
  <c r="V2855" i="14"/>
  <c r="S2855" i="14"/>
  <c r="V2854" i="14"/>
  <c r="S2854" i="14"/>
  <c r="V2853" i="14"/>
  <c r="S2853" i="14"/>
  <c r="V2852" i="14"/>
  <c r="S2852" i="14"/>
  <c r="V2851" i="14"/>
  <c r="S2851" i="14"/>
  <c r="V2850" i="14"/>
  <c r="S2850" i="14"/>
  <c r="V2849" i="14"/>
  <c r="S2849" i="14"/>
  <c r="V2848" i="14"/>
  <c r="S2848" i="14"/>
  <c r="V2847" i="14"/>
  <c r="S2847" i="14"/>
  <c r="V2846" i="14"/>
  <c r="S2846" i="14"/>
  <c r="V2845" i="14"/>
  <c r="S2845" i="14"/>
  <c r="V2844" i="14"/>
  <c r="S2844" i="14"/>
  <c r="V2843" i="14"/>
  <c r="S2843" i="14"/>
  <c r="V2842" i="14"/>
  <c r="S2842" i="14"/>
  <c r="V2841" i="14"/>
  <c r="V2840" i="14"/>
  <c r="S2840" i="14"/>
  <c r="V2839" i="14"/>
  <c r="S2839" i="14"/>
  <c r="V2838" i="14"/>
  <c r="S2838" i="14"/>
  <c r="V2837" i="14"/>
  <c r="S2837" i="14"/>
  <c r="V2836" i="14"/>
  <c r="S2836" i="14"/>
  <c r="V2835" i="14"/>
  <c r="S2835" i="14"/>
  <c r="V2834" i="14"/>
  <c r="S2834" i="14"/>
  <c r="V2833" i="14"/>
  <c r="S2833" i="14"/>
  <c r="V2832" i="14"/>
  <c r="S2832" i="14"/>
  <c r="V2831" i="14"/>
  <c r="S2831" i="14"/>
  <c r="V2830" i="14"/>
  <c r="S2830" i="14"/>
  <c r="V2829" i="14"/>
  <c r="S2829" i="14"/>
  <c r="V2828" i="14"/>
  <c r="S2828" i="14"/>
  <c r="V2827" i="14"/>
  <c r="S2827" i="14"/>
  <c r="V2826" i="14"/>
  <c r="S2826" i="14"/>
  <c r="V2825" i="14"/>
  <c r="S2825" i="14"/>
  <c r="V2824" i="14"/>
  <c r="S2824" i="14"/>
  <c r="V2823" i="14"/>
  <c r="S2823" i="14"/>
  <c r="V2822" i="14"/>
  <c r="S2822" i="14"/>
  <c r="V2821" i="14"/>
  <c r="S2821" i="14"/>
  <c r="V2820" i="14"/>
  <c r="S2820" i="14"/>
  <c r="V2819" i="14"/>
  <c r="S2819" i="14"/>
  <c r="V2818" i="14"/>
  <c r="S2818" i="14"/>
  <c r="V2817" i="14"/>
  <c r="S2817" i="14"/>
  <c r="V2816" i="14"/>
  <c r="S2816" i="14"/>
  <c r="V2815" i="14"/>
  <c r="S2815" i="14"/>
  <c r="V2814" i="14"/>
  <c r="S2814" i="14"/>
  <c r="V2813" i="14"/>
  <c r="S2813" i="14"/>
  <c r="V2812" i="14"/>
  <c r="S2812" i="14"/>
  <c r="V2811" i="14"/>
  <c r="S2811" i="14"/>
  <c r="V2810" i="14"/>
  <c r="S2810" i="14"/>
  <c r="V2809" i="14"/>
  <c r="S2809" i="14"/>
  <c r="V2808" i="14"/>
  <c r="S2808" i="14"/>
  <c r="V2807" i="14"/>
  <c r="S2807" i="14"/>
  <c r="V2806" i="14"/>
  <c r="S2806" i="14"/>
  <c r="V2805" i="14"/>
  <c r="S2805" i="14"/>
  <c r="V2804" i="14"/>
  <c r="S2804" i="14"/>
  <c r="V2803" i="14"/>
  <c r="S2803" i="14"/>
  <c r="V2802" i="14"/>
  <c r="S2802" i="14"/>
  <c r="V2801" i="14"/>
  <c r="S2801" i="14"/>
  <c r="V2800" i="14"/>
  <c r="S2800" i="14"/>
  <c r="V2799" i="14"/>
  <c r="S2799" i="14"/>
  <c r="V2798" i="14"/>
  <c r="S2798" i="14"/>
  <c r="V2797" i="14"/>
  <c r="S2797" i="14"/>
  <c r="V2796" i="14"/>
  <c r="S2796" i="14"/>
  <c r="V2795" i="14"/>
  <c r="S2795" i="14"/>
  <c r="V2794" i="14"/>
  <c r="S2794" i="14"/>
  <c r="V2793" i="14"/>
  <c r="S2793" i="14"/>
  <c r="V2792" i="14"/>
  <c r="S2792" i="14"/>
  <c r="V2791" i="14"/>
  <c r="S2791" i="14"/>
  <c r="V2790" i="14"/>
  <c r="S2790" i="14"/>
  <c r="V2789" i="14"/>
  <c r="S2789" i="14"/>
  <c r="V2788" i="14"/>
  <c r="S2788" i="14"/>
  <c r="V2787" i="14"/>
  <c r="S2787" i="14"/>
  <c r="V2786" i="14"/>
  <c r="S2786" i="14"/>
  <c r="V2785" i="14"/>
  <c r="S2785" i="14"/>
  <c r="V2784" i="14"/>
  <c r="S2784" i="14"/>
  <c r="V2783" i="14"/>
  <c r="S2783" i="14"/>
  <c r="V2782" i="14"/>
  <c r="S2782" i="14"/>
  <c r="V2781" i="14"/>
  <c r="S2781" i="14"/>
  <c r="V2780" i="14"/>
  <c r="S2780" i="14"/>
  <c r="V2779" i="14"/>
  <c r="S2779" i="14"/>
  <c r="V2778" i="14"/>
  <c r="S2778" i="14"/>
  <c r="V2777" i="14"/>
  <c r="S2777" i="14"/>
  <c r="V2776" i="14"/>
  <c r="S2776" i="14"/>
  <c r="V2775" i="14"/>
  <c r="S2775" i="14"/>
  <c r="V2774" i="14"/>
  <c r="S2774" i="14"/>
  <c r="V2773" i="14"/>
  <c r="S2773" i="14"/>
  <c r="V2772" i="14"/>
  <c r="S2772" i="14"/>
  <c r="V2771" i="14"/>
  <c r="S2771" i="14"/>
  <c r="V2770" i="14"/>
  <c r="S2770" i="14"/>
  <c r="V2769" i="14"/>
  <c r="S2769" i="14"/>
  <c r="V2768" i="14"/>
  <c r="S2768" i="14"/>
  <c r="V2767" i="14"/>
  <c r="S2767" i="14"/>
  <c r="V2766" i="14"/>
  <c r="S2766" i="14"/>
  <c r="V2765" i="14"/>
  <c r="S2765" i="14"/>
  <c r="V2764" i="14"/>
  <c r="S2764" i="14"/>
  <c r="V2763" i="14"/>
  <c r="S2763" i="14"/>
  <c r="V2762" i="14"/>
  <c r="S2762" i="14"/>
  <c r="V2761" i="14"/>
  <c r="S2761" i="14"/>
  <c r="V2760" i="14"/>
  <c r="S2760" i="14"/>
  <c r="V2759" i="14"/>
  <c r="S2759" i="14"/>
  <c r="V2758" i="14"/>
  <c r="S2758" i="14"/>
  <c r="V2757" i="14"/>
  <c r="S2757" i="14"/>
  <c r="V2756" i="14"/>
  <c r="S2756" i="14"/>
  <c r="V2755" i="14"/>
  <c r="S2755" i="14"/>
  <c r="V2754" i="14"/>
  <c r="S2754" i="14"/>
  <c r="V2753" i="14"/>
  <c r="S2753" i="14"/>
  <c r="V2752" i="14"/>
  <c r="S2752" i="14"/>
  <c r="V2751" i="14"/>
  <c r="S2751" i="14"/>
  <c r="V2750" i="14"/>
  <c r="S2750" i="14"/>
  <c r="V2749" i="14"/>
  <c r="S2749" i="14"/>
  <c r="V2748" i="14"/>
  <c r="S2748" i="14"/>
  <c r="V2747" i="14"/>
  <c r="S2747" i="14"/>
  <c r="V2746" i="14"/>
  <c r="S2746" i="14"/>
  <c r="V2745" i="14"/>
  <c r="S2745" i="14"/>
  <c r="V2744" i="14"/>
  <c r="S2744" i="14"/>
  <c r="V2743" i="14"/>
  <c r="S2743" i="14"/>
  <c r="V2742" i="14"/>
  <c r="S2742" i="14"/>
  <c r="V2741" i="14"/>
  <c r="S2741" i="14"/>
  <c r="V2740" i="14"/>
  <c r="S2740" i="14"/>
  <c r="V2739" i="14"/>
  <c r="S2739" i="14"/>
  <c r="V2738" i="14"/>
  <c r="S2738" i="14"/>
  <c r="V2737" i="14"/>
  <c r="S2737" i="14"/>
  <c r="V2736" i="14"/>
  <c r="S2736" i="14"/>
  <c r="V2735" i="14"/>
  <c r="S2735" i="14"/>
  <c r="V2734" i="14"/>
  <c r="S2734" i="14"/>
  <c r="V2733" i="14"/>
  <c r="S2733" i="14"/>
  <c r="V2732" i="14"/>
  <c r="S2732" i="14"/>
  <c r="V2731" i="14"/>
  <c r="S2731" i="14"/>
  <c r="V2730" i="14"/>
  <c r="S2730" i="14"/>
  <c r="V2729" i="14"/>
  <c r="S2729" i="14"/>
  <c r="V2728" i="14"/>
  <c r="S2728" i="14"/>
  <c r="V2727" i="14"/>
  <c r="S2727" i="14"/>
  <c r="V2726" i="14"/>
  <c r="S2726" i="14"/>
  <c r="V2725" i="14"/>
  <c r="S2725" i="14"/>
  <c r="V2724" i="14"/>
  <c r="S2724" i="14"/>
  <c r="V2723" i="14"/>
  <c r="S2723" i="14"/>
  <c r="V2722" i="14"/>
  <c r="S2722" i="14"/>
  <c r="V2721" i="14"/>
  <c r="S2721" i="14"/>
  <c r="V2720" i="14"/>
  <c r="S2720" i="14"/>
  <c r="V2719" i="14"/>
  <c r="S2719" i="14"/>
  <c r="V2718" i="14"/>
  <c r="S2718" i="14"/>
  <c r="V2717" i="14"/>
  <c r="S2717" i="14"/>
  <c r="V2716" i="14"/>
  <c r="S2716" i="14"/>
  <c r="V2715" i="14"/>
  <c r="S2715" i="14"/>
  <c r="V2714" i="14"/>
  <c r="S2714" i="14"/>
  <c r="V2713" i="14"/>
  <c r="S2713" i="14"/>
  <c r="V2712" i="14"/>
  <c r="S2712" i="14"/>
  <c r="V2711" i="14"/>
  <c r="S2711" i="14"/>
  <c r="V2710" i="14"/>
  <c r="S2710" i="14"/>
  <c r="V2709" i="14"/>
  <c r="S2709" i="14"/>
  <c r="V2708" i="14"/>
  <c r="S2708" i="14"/>
  <c r="V2707" i="14"/>
  <c r="S2707" i="14"/>
  <c r="V2706" i="14"/>
  <c r="S2706" i="14"/>
  <c r="V2705" i="14"/>
  <c r="S2705" i="14"/>
  <c r="V2704" i="14"/>
  <c r="S2704" i="14"/>
  <c r="V2703" i="14"/>
  <c r="S2703" i="14"/>
  <c r="V2702" i="14"/>
  <c r="S2702" i="14"/>
  <c r="V2701" i="14"/>
  <c r="S2701" i="14"/>
  <c r="V2700" i="14"/>
  <c r="S2700" i="14"/>
  <c r="V2699" i="14"/>
  <c r="S2699" i="14"/>
  <c r="V2698" i="14"/>
  <c r="S2698" i="14"/>
  <c r="V2697" i="14"/>
  <c r="S2697" i="14"/>
  <c r="V2696" i="14"/>
  <c r="S2696" i="14"/>
  <c r="V2695" i="14"/>
  <c r="S2695" i="14"/>
  <c r="V2694" i="14"/>
  <c r="S2694" i="14"/>
  <c r="V2693" i="14"/>
  <c r="S2693" i="14"/>
  <c r="V2692" i="14"/>
  <c r="S2692" i="14"/>
  <c r="V2691" i="14"/>
  <c r="S2691" i="14"/>
  <c r="V2690" i="14"/>
  <c r="S2690" i="14"/>
  <c r="V2689" i="14"/>
  <c r="S2689" i="14"/>
  <c r="V2688" i="14"/>
  <c r="S2688" i="14"/>
  <c r="V2687" i="14"/>
  <c r="S2687" i="14"/>
  <c r="V2686" i="14"/>
  <c r="S2686" i="14"/>
  <c r="V2685" i="14"/>
  <c r="S2685" i="14"/>
  <c r="V2684" i="14"/>
  <c r="S2684" i="14"/>
  <c r="V2683" i="14"/>
  <c r="S2683" i="14"/>
  <c r="V2682" i="14"/>
  <c r="S2682" i="14"/>
  <c r="V2681" i="14"/>
  <c r="S2681" i="14"/>
  <c r="V2680" i="14"/>
  <c r="S2680" i="14"/>
  <c r="V2679" i="14"/>
  <c r="S2679" i="14"/>
  <c r="V2678" i="14"/>
  <c r="S2678" i="14"/>
  <c r="V2677" i="14"/>
  <c r="S2677" i="14"/>
  <c r="V2676" i="14"/>
  <c r="S2676" i="14"/>
  <c r="V2675" i="14"/>
  <c r="S2675" i="14"/>
  <c r="V2674" i="14"/>
  <c r="S2674" i="14"/>
  <c r="V2673" i="14"/>
  <c r="S2673" i="14"/>
  <c r="V2672" i="14"/>
  <c r="S2672" i="14"/>
  <c r="V2671" i="14"/>
  <c r="S2671" i="14"/>
  <c r="V2670" i="14"/>
  <c r="S2670" i="14"/>
  <c r="V2669" i="14"/>
  <c r="S2669" i="14"/>
  <c r="V2668" i="14"/>
  <c r="S2668" i="14"/>
  <c r="V2667" i="14"/>
  <c r="S2667" i="14"/>
  <c r="V2666" i="14"/>
  <c r="S2666" i="14"/>
  <c r="V2665" i="14"/>
  <c r="S2665" i="14"/>
  <c r="V2664" i="14"/>
  <c r="S2664" i="14"/>
  <c r="V2663" i="14"/>
  <c r="S2663" i="14"/>
  <c r="V2662" i="14"/>
  <c r="S2662" i="14"/>
  <c r="V2661" i="14"/>
  <c r="S2661" i="14"/>
  <c r="V2660" i="14"/>
  <c r="S2660" i="14"/>
  <c r="V2659" i="14"/>
  <c r="S2659" i="14"/>
  <c r="V2658" i="14"/>
  <c r="S2658" i="14"/>
  <c r="V2657" i="14"/>
  <c r="S2657" i="14"/>
  <c r="V2656" i="14"/>
  <c r="S2656" i="14"/>
  <c r="V2655" i="14"/>
  <c r="S2655" i="14"/>
  <c r="V2654" i="14"/>
  <c r="S2654" i="14"/>
  <c r="V2653" i="14"/>
  <c r="S2653" i="14"/>
  <c r="V2652" i="14"/>
  <c r="S2652" i="14"/>
  <c r="V2651" i="14"/>
  <c r="S2651" i="14"/>
  <c r="V2650" i="14"/>
  <c r="S2650" i="14"/>
  <c r="V2649" i="14"/>
  <c r="S2649" i="14"/>
  <c r="V2648" i="14"/>
  <c r="S2648" i="14"/>
  <c r="V2647" i="14"/>
  <c r="S2647" i="14"/>
  <c r="V2646" i="14"/>
  <c r="S2646" i="14"/>
  <c r="V2645" i="14"/>
  <c r="S2645" i="14"/>
  <c r="V2644" i="14"/>
  <c r="S2644" i="14"/>
  <c r="V2643" i="14"/>
  <c r="S2643" i="14"/>
  <c r="V2642" i="14"/>
  <c r="S2642" i="14"/>
  <c r="V2641" i="14"/>
  <c r="S2641" i="14"/>
  <c r="V2640" i="14"/>
  <c r="S2640" i="14"/>
  <c r="V2639" i="14"/>
  <c r="S2639" i="14"/>
  <c r="V2638" i="14"/>
  <c r="S2638" i="14"/>
  <c r="V2637" i="14"/>
  <c r="S2637" i="14"/>
  <c r="V2636" i="14"/>
  <c r="S2636" i="14"/>
  <c r="V2635" i="14"/>
  <c r="S2635" i="14"/>
  <c r="V2634" i="14"/>
  <c r="S2634" i="14"/>
  <c r="V2633" i="14"/>
  <c r="S2633" i="14"/>
  <c r="V2632" i="14"/>
  <c r="S2632" i="14"/>
  <c r="V2631" i="14"/>
  <c r="S2631" i="14"/>
  <c r="V2630" i="14"/>
  <c r="S2630" i="14"/>
  <c r="V2629" i="14"/>
  <c r="S2629" i="14"/>
  <c r="V2628" i="14"/>
  <c r="S2628" i="14"/>
  <c r="V2627" i="14"/>
  <c r="S2627" i="14"/>
  <c r="V2626" i="14"/>
  <c r="S2626" i="14"/>
  <c r="V2625" i="14"/>
  <c r="S2625" i="14"/>
  <c r="V2624" i="14"/>
  <c r="S2624" i="14"/>
  <c r="V2623" i="14"/>
  <c r="S2623" i="14"/>
  <c r="V2622" i="14"/>
  <c r="S2622" i="14"/>
  <c r="V2621" i="14"/>
  <c r="S2621" i="14"/>
  <c r="V2620" i="14"/>
  <c r="S2620" i="14"/>
  <c r="V2619" i="14"/>
  <c r="S2619" i="14"/>
  <c r="V2618" i="14"/>
  <c r="S2618" i="14"/>
  <c r="V2617" i="14"/>
  <c r="S2617" i="14"/>
  <c r="V2616" i="14"/>
  <c r="S2616" i="14"/>
  <c r="V2615" i="14"/>
  <c r="S2615" i="14"/>
  <c r="V2614" i="14"/>
  <c r="S2614" i="14"/>
  <c r="V2613" i="14"/>
  <c r="S2613" i="14"/>
  <c r="V2612" i="14"/>
  <c r="S2612" i="14"/>
  <c r="V2611" i="14"/>
  <c r="S2611" i="14"/>
  <c r="V2610" i="14"/>
  <c r="S2610" i="14"/>
  <c r="V2609" i="14"/>
  <c r="S2609" i="14"/>
  <c r="V2608" i="14"/>
  <c r="S2608" i="14"/>
  <c r="V2607" i="14"/>
  <c r="S2607" i="14"/>
  <c r="V2606" i="14"/>
  <c r="S2606" i="14"/>
  <c r="V2605" i="14"/>
  <c r="S2605" i="14"/>
  <c r="V2604" i="14"/>
  <c r="S2604" i="14"/>
  <c r="V2603" i="14"/>
  <c r="S2603" i="14"/>
  <c r="V2602" i="14"/>
  <c r="S2602" i="14"/>
  <c r="V2601" i="14"/>
  <c r="S2601" i="14"/>
  <c r="V2600" i="14"/>
  <c r="S2600" i="14"/>
  <c r="V2599" i="14"/>
  <c r="S2599" i="14"/>
  <c r="V2598" i="14"/>
  <c r="S2598" i="14"/>
  <c r="V2597" i="14"/>
  <c r="S2597" i="14"/>
  <c r="V2596" i="14"/>
  <c r="S2596" i="14"/>
  <c r="V2595" i="14"/>
  <c r="S2595" i="14"/>
  <c r="V2594" i="14"/>
  <c r="S2594" i="14"/>
  <c r="V2593" i="14"/>
  <c r="S2593" i="14"/>
  <c r="V2592" i="14"/>
  <c r="S2592" i="14"/>
  <c r="V2591" i="14"/>
  <c r="S2591" i="14"/>
  <c r="V2590" i="14"/>
  <c r="S2590" i="14"/>
  <c r="V2589" i="14"/>
  <c r="S2589" i="14"/>
  <c r="V2588" i="14"/>
  <c r="S2588" i="14"/>
  <c r="V2587" i="14"/>
  <c r="S2587" i="14"/>
  <c r="V2586" i="14"/>
  <c r="S2586" i="14"/>
  <c r="V2585" i="14"/>
  <c r="S2585" i="14"/>
  <c r="V2584" i="14"/>
  <c r="S2584" i="14"/>
  <c r="V2583" i="14"/>
  <c r="S2583" i="14"/>
  <c r="V2582" i="14"/>
  <c r="S2582" i="14"/>
  <c r="V2581" i="14"/>
  <c r="S2581" i="14"/>
  <c r="V2580" i="14"/>
  <c r="S2580" i="14"/>
  <c r="V2579" i="14"/>
  <c r="S2579" i="14"/>
  <c r="V2578" i="14"/>
  <c r="S2578" i="14"/>
  <c r="V2577" i="14"/>
  <c r="S2577" i="14"/>
  <c r="V2576" i="14"/>
  <c r="S2576" i="14"/>
  <c r="V2575" i="14"/>
  <c r="S2575" i="14"/>
  <c r="V2574" i="14"/>
  <c r="S2574" i="14"/>
  <c r="V2573" i="14"/>
  <c r="S2573" i="14"/>
  <c r="V2572" i="14"/>
  <c r="S2572" i="14"/>
  <c r="V2571" i="14"/>
  <c r="S2571" i="14"/>
  <c r="V2570" i="14"/>
  <c r="S2570" i="14"/>
  <c r="V2569" i="14"/>
  <c r="S2569" i="14"/>
  <c r="V2568" i="14"/>
  <c r="S2568" i="14"/>
  <c r="V2567" i="14"/>
  <c r="S2567" i="14"/>
  <c r="V2566" i="14"/>
  <c r="S2566" i="14"/>
  <c r="V2565" i="14"/>
  <c r="S2565" i="14"/>
  <c r="V2564" i="14"/>
  <c r="S2564" i="14"/>
  <c r="V2563" i="14"/>
  <c r="S2563" i="14"/>
  <c r="V2562" i="14"/>
  <c r="S2562" i="14"/>
  <c r="V2561" i="14"/>
  <c r="S2561" i="14"/>
  <c r="V2560" i="14"/>
  <c r="S2560" i="14"/>
  <c r="V2559" i="14"/>
  <c r="S2559" i="14"/>
  <c r="V2558" i="14"/>
  <c r="S2558" i="14"/>
  <c r="V2557" i="14"/>
  <c r="S2557" i="14"/>
  <c r="V2556" i="14"/>
  <c r="S2556" i="14"/>
  <c r="V2555" i="14"/>
  <c r="S2555" i="14"/>
  <c r="V2554" i="14"/>
  <c r="S2554" i="14"/>
  <c r="V2553" i="14"/>
  <c r="S2553" i="14"/>
  <c r="V2552" i="14"/>
  <c r="S2552" i="14"/>
  <c r="V2551" i="14"/>
  <c r="S2551" i="14"/>
  <c r="V2550" i="14"/>
  <c r="S2550" i="14"/>
  <c r="V2549" i="14"/>
  <c r="S2549" i="14"/>
  <c r="V2548" i="14"/>
  <c r="S2548" i="14"/>
  <c r="V2547" i="14"/>
  <c r="S2547" i="14"/>
  <c r="V2546" i="14"/>
  <c r="S2546" i="14"/>
  <c r="V2545" i="14"/>
  <c r="S2545" i="14"/>
  <c r="V2544" i="14"/>
  <c r="S2544" i="14"/>
  <c r="V2543" i="14"/>
  <c r="S2543" i="14"/>
  <c r="V2542" i="14"/>
  <c r="S2542" i="14"/>
  <c r="V2541" i="14"/>
  <c r="S2541" i="14"/>
  <c r="V2540" i="14"/>
  <c r="S2540" i="14"/>
  <c r="V2539" i="14"/>
  <c r="S2539" i="14"/>
  <c r="V2538" i="14"/>
  <c r="S2538" i="14"/>
  <c r="V2537" i="14"/>
  <c r="S2537" i="14"/>
  <c r="V2536" i="14"/>
  <c r="S2536" i="14"/>
  <c r="V2535" i="14"/>
  <c r="S2535" i="14"/>
  <c r="V2534" i="14"/>
  <c r="S2534" i="14"/>
  <c r="V2533" i="14"/>
  <c r="S2533" i="14"/>
  <c r="V2532" i="14"/>
  <c r="S2532" i="14"/>
  <c r="V2531" i="14"/>
  <c r="S2531" i="14"/>
  <c r="V2530" i="14"/>
  <c r="S2530" i="14"/>
  <c r="V2529" i="14"/>
  <c r="S2529" i="14"/>
  <c r="V2528" i="14"/>
  <c r="S2528" i="14"/>
  <c r="V2527" i="14"/>
  <c r="S2527" i="14"/>
  <c r="V2526" i="14"/>
  <c r="S2526" i="14"/>
  <c r="V2525" i="14"/>
  <c r="S2525" i="14"/>
  <c r="V2524" i="14"/>
  <c r="S2524" i="14"/>
  <c r="V2523" i="14"/>
  <c r="S2523" i="14"/>
  <c r="V2522" i="14"/>
  <c r="S2522" i="14"/>
  <c r="V2521" i="14"/>
  <c r="S2521" i="14"/>
  <c r="V2520" i="14"/>
  <c r="S2520" i="14"/>
  <c r="V2519" i="14"/>
  <c r="S2519" i="14"/>
  <c r="V2518" i="14"/>
  <c r="S2518" i="14"/>
  <c r="V2517" i="14"/>
  <c r="S2517" i="14"/>
  <c r="V2516" i="14"/>
  <c r="S2516" i="14"/>
  <c r="V2515" i="14"/>
  <c r="S2515" i="14"/>
  <c r="V2514" i="14"/>
  <c r="S2514" i="14"/>
  <c r="V2513" i="14"/>
  <c r="S2513" i="14"/>
  <c r="V2512" i="14"/>
  <c r="S2512" i="14"/>
  <c r="V2511" i="14"/>
  <c r="S2511" i="14"/>
  <c r="V2510" i="14"/>
  <c r="S2510" i="14"/>
  <c r="V2509" i="14"/>
  <c r="S2509" i="14"/>
  <c r="V2508" i="14"/>
  <c r="S2508" i="14"/>
  <c r="V2507" i="14"/>
  <c r="S2507" i="14"/>
  <c r="V2506" i="14"/>
  <c r="S2506" i="14"/>
  <c r="V2505" i="14"/>
  <c r="S2505" i="14"/>
  <c r="V2504" i="14"/>
  <c r="S2504" i="14"/>
  <c r="V2503" i="14"/>
  <c r="S2503" i="14"/>
  <c r="V2502" i="14"/>
  <c r="S2502" i="14"/>
  <c r="V2501" i="14"/>
  <c r="S2501" i="14"/>
  <c r="V2500" i="14"/>
  <c r="S2500" i="14"/>
  <c r="V2499" i="14"/>
  <c r="S2499" i="14"/>
  <c r="V2498" i="14"/>
  <c r="S2498" i="14"/>
  <c r="V2497" i="14"/>
  <c r="S2497" i="14"/>
  <c r="V2496" i="14"/>
  <c r="S2496" i="14"/>
  <c r="V2495" i="14"/>
  <c r="S2495" i="14"/>
  <c r="V2494" i="14"/>
  <c r="S2494" i="14"/>
  <c r="V2493" i="14"/>
  <c r="S2493" i="14"/>
  <c r="V2492" i="14"/>
  <c r="S2492" i="14"/>
  <c r="V2491" i="14"/>
  <c r="S2491" i="14"/>
  <c r="V2490" i="14"/>
  <c r="S2490" i="14"/>
  <c r="V2489" i="14"/>
  <c r="S2489" i="14"/>
  <c r="V2488" i="14"/>
  <c r="S2488" i="14"/>
  <c r="V2487" i="14"/>
  <c r="S2487" i="14"/>
  <c r="V2486" i="14"/>
  <c r="S2486" i="14"/>
  <c r="V2485" i="14"/>
  <c r="S2485" i="14"/>
  <c r="V2484" i="14"/>
  <c r="S2484" i="14"/>
  <c r="V2483" i="14"/>
  <c r="S2483" i="14"/>
  <c r="V2482" i="14"/>
  <c r="S2482" i="14"/>
  <c r="V2481" i="14"/>
  <c r="S2481" i="14"/>
  <c r="V2480" i="14"/>
  <c r="S2480" i="14"/>
  <c r="V2479" i="14"/>
  <c r="S2479" i="14"/>
  <c r="V2478" i="14"/>
  <c r="S2478" i="14"/>
  <c r="V2477" i="14"/>
  <c r="S2477" i="14"/>
  <c r="V2476" i="14"/>
  <c r="S2476" i="14"/>
  <c r="V2475" i="14"/>
  <c r="S2475" i="14"/>
  <c r="V2474" i="14"/>
  <c r="S2474" i="14"/>
  <c r="V2473" i="14"/>
  <c r="S2473" i="14"/>
  <c r="V2472" i="14"/>
  <c r="S2472" i="14"/>
  <c r="V2471" i="14"/>
  <c r="S2471" i="14"/>
  <c r="V2470" i="14"/>
  <c r="S2470" i="14"/>
  <c r="V2469" i="14"/>
  <c r="S2469" i="14"/>
  <c r="V2468" i="14"/>
  <c r="S2468" i="14"/>
  <c r="V2467" i="14"/>
  <c r="S2467" i="14"/>
  <c r="V2466" i="14"/>
  <c r="S2466" i="14"/>
  <c r="V2465" i="14"/>
  <c r="S2465" i="14"/>
  <c r="V2464" i="14"/>
  <c r="S2464" i="14"/>
  <c r="V2463" i="14"/>
  <c r="S2463" i="14"/>
  <c r="V2462" i="14"/>
  <c r="S2462" i="14"/>
  <c r="V2461" i="14"/>
  <c r="S2461" i="14"/>
  <c r="V2460" i="14"/>
  <c r="S2460" i="14"/>
  <c r="V2459" i="14"/>
  <c r="S2459" i="14"/>
  <c r="V2458" i="14"/>
  <c r="S2458" i="14"/>
  <c r="V2457" i="14"/>
  <c r="S2457" i="14"/>
  <c r="V2456" i="14"/>
  <c r="S2456" i="14"/>
  <c r="V2455" i="14"/>
  <c r="S2455" i="14"/>
  <c r="V2454" i="14"/>
  <c r="S2454" i="14"/>
  <c r="V2453" i="14"/>
  <c r="S2453" i="14"/>
  <c r="V2452" i="14"/>
  <c r="S2452" i="14"/>
  <c r="V2451" i="14"/>
  <c r="S2451" i="14"/>
  <c r="V2450" i="14"/>
  <c r="S2450" i="14"/>
  <c r="V2449" i="14"/>
  <c r="S2449" i="14"/>
  <c r="V2448" i="14"/>
  <c r="S2448" i="14"/>
  <c r="V2447" i="14"/>
  <c r="S2447" i="14"/>
  <c r="V2446" i="14"/>
  <c r="S2446" i="14"/>
  <c r="V2445" i="14"/>
  <c r="S2445" i="14"/>
  <c r="V2444" i="14"/>
  <c r="S2444" i="14"/>
  <c r="V2443" i="14"/>
  <c r="S2443" i="14"/>
  <c r="V2442" i="14"/>
  <c r="S2442" i="14"/>
  <c r="V2441" i="14"/>
  <c r="S2441" i="14"/>
  <c r="V2440" i="14"/>
  <c r="S2440" i="14"/>
  <c r="V2439" i="14"/>
  <c r="S2439" i="14"/>
  <c r="V2438" i="14"/>
  <c r="S2438" i="14"/>
  <c r="V2437" i="14"/>
  <c r="S2437" i="14"/>
  <c r="V2436" i="14"/>
  <c r="S2436" i="14"/>
  <c r="V2435" i="14"/>
  <c r="S2435" i="14"/>
  <c r="V2434" i="14"/>
  <c r="S2434" i="14"/>
  <c r="V2433" i="14"/>
  <c r="S2433" i="14"/>
  <c r="V2432" i="14"/>
  <c r="S2432" i="14"/>
  <c r="V2431" i="14"/>
  <c r="S2431" i="14"/>
  <c r="V2430" i="14"/>
  <c r="S2430" i="14"/>
  <c r="V2429" i="14"/>
  <c r="S2429" i="14"/>
  <c r="V2428" i="14"/>
  <c r="S2428" i="14"/>
  <c r="V2427" i="14"/>
  <c r="S2427" i="14"/>
  <c r="V2426" i="14"/>
  <c r="S2426" i="14"/>
  <c r="V2425" i="14"/>
  <c r="S2425" i="14"/>
  <c r="V2424" i="14"/>
  <c r="S2424" i="14"/>
  <c r="V2423" i="14"/>
  <c r="S2423" i="14"/>
  <c r="V2422" i="14"/>
  <c r="S2422" i="14"/>
  <c r="V2421" i="14"/>
  <c r="S2421" i="14"/>
  <c r="V2420" i="14"/>
  <c r="S2420" i="14"/>
  <c r="V2419" i="14"/>
  <c r="S2419" i="14"/>
  <c r="V2418" i="14"/>
  <c r="S2418" i="14"/>
  <c r="V2417" i="14"/>
  <c r="S2417" i="14"/>
  <c r="V2416" i="14"/>
  <c r="S2416" i="14"/>
  <c r="V2415" i="14"/>
  <c r="S2415" i="14"/>
  <c r="V2414" i="14"/>
  <c r="S2414" i="14"/>
  <c r="V2413" i="14"/>
  <c r="S2413" i="14"/>
  <c r="V2412" i="14"/>
  <c r="S2412" i="14"/>
  <c r="V2411" i="14"/>
  <c r="S2411" i="14"/>
  <c r="V2410" i="14"/>
  <c r="S2410" i="14"/>
  <c r="V2409" i="14"/>
  <c r="S2409" i="14"/>
  <c r="V2408" i="14"/>
  <c r="S2408" i="14"/>
  <c r="V2407" i="14"/>
  <c r="S2407" i="14"/>
  <c r="V2406" i="14"/>
  <c r="S2406" i="14"/>
  <c r="V2405" i="14"/>
  <c r="S2405" i="14"/>
  <c r="V2404" i="14"/>
  <c r="S2404" i="14"/>
  <c r="V2403" i="14"/>
  <c r="S2403" i="14"/>
  <c r="V2402" i="14"/>
  <c r="S2402" i="14"/>
  <c r="V2401" i="14"/>
  <c r="S2401" i="14"/>
  <c r="V2400" i="14"/>
  <c r="S2400" i="14"/>
  <c r="V2399" i="14"/>
  <c r="S2399" i="14"/>
  <c r="V2398" i="14"/>
  <c r="S2398" i="14"/>
  <c r="V2397" i="14"/>
  <c r="S2397" i="14"/>
  <c r="V2396" i="14"/>
  <c r="S2396" i="14"/>
  <c r="V2395" i="14"/>
  <c r="S2395" i="14"/>
  <c r="V2394" i="14"/>
  <c r="S2394" i="14"/>
  <c r="V2393" i="14"/>
  <c r="S2393" i="14"/>
  <c r="V2392" i="14"/>
  <c r="S2392" i="14"/>
  <c r="V2391" i="14"/>
  <c r="S2391" i="14"/>
  <c r="V2390" i="14"/>
  <c r="S2390" i="14"/>
  <c r="V2389" i="14"/>
  <c r="S2389" i="14"/>
  <c r="V2388" i="14"/>
  <c r="S2388" i="14"/>
  <c r="V2387" i="14"/>
  <c r="S2387" i="14"/>
  <c r="V2386" i="14"/>
  <c r="S2386" i="14"/>
  <c r="V2385" i="14"/>
  <c r="S2385" i="14"/>
  <c r="V2384" i="14"/>
  <c r="S2384" i="14"/>
  <c r="V2383" i="14"/>
  <c r="S2383" i="14"/>
  <c r="V2382" i="14"/>
  <c r="S2382" i="14"/>
  <c r="V2381" i="14"/>
  <c r="S2381" i="14"/>
  <c r="V2380" i="14"/>
  <c r="S2380" i="14"/>
  <c r="V2379" i="14"/>
  <c r="S2379" i="14"/>
  <c r="V2378" i="14"/>
  <c r="S2378" i="14"/>
  <c r="V2377" i="14"/>
  <c r="S2377" i="14"/>
  <c r="V2376" i="14"/>
  <c r="S2376" i="14"/>
  <c r="V2375" i="14"/>
  <c r="S2375" i="14"/>
  <c r="V2374" i="14"/>
  <c r="S2374" i="14"/>
  <c r="V2373" i="14"/>
  <c r="S2373" i="14"/>
  <c r="V2372" i="14"/>
  <c r="S2372" i="14"/>
  <c r="V2371" i="14"/>
  <c r="S2371" i="14"/>
  <c r="V2370" i="14"/>
  <c r="S2370" i="14"/>
  <c r="V2369" i="14"/>
  <c r="S2369" i="14"/>
  <c r="V2368" i="14"/>
  <c r="S2368" i="14"/>
  <c r="V2367" i="14"/>
  <c r="S2367" i="14"/>
  <c r="V2366" i="14"/>
  <c r="S2366" i="14"/>
  <c r="V2365" i="14"/>
  <c r="S2365" i="14"/>
  <c r="V2364" i="14"/>
  <c r="S2364" i="14"/>
  <c r="V2363" i="14"/>
  <c r="S2363" i="14"/>
  <c r="V2362" i="14"/>
  <c r="S2362" i="14"/>
  <c r="V2361" i="14"/>
  <c r="S2361" i="14"/>
  <c r="V2360" i="14"/>
  <c r="S2360" i="14"/>
  <c r="V2359" i="14"/>
  <c r="S2359" i="14"/>
  <c r="V2358" i="14"/>
  <c r="S2358" i="14"/>
  <c r="V2357" i="14"/>
  <c r="S2357" i="14"/>
  <c r="V2356" i="14"/>
  <c r="S2356" i="14"/>
  <c r="V2355" i="14"/>
  <c r="S2355" i="14"/>
  <c r="V2354" i="14"/>
  <c r="S2354" i="14"/>
  <c r="V2353" i="14"/>
  <c r="S2353" i="14"/>
  <c r="V2352" i="14"/>
  <c r="S2352" i="14"/>
  <c r="V2351" i="14"/>
  <c r="S2351" i="14"/>
  <c r="V2350" i="14"/>
  <c r="S2350" i="14"/>
  <c r="V2349" i="14"/>
  <c r="S2349" i="14"/>
  <c r="V2348" i="14"/>
  <c r="S2348" i="14"/>
  <c r="V2347" i="14"/>
  <c r="S2347" i="14"/>
  <c r="V2346" i="14"/>
  <c r="S2346" i="14"/>
  <c r="V2345" i="14"/>
  <c r="S2345" i="14"/>
  <c r="V2344" i="14"/>
  <c r="S2344" i="14"/>
  <c r="V2343" i="14"/>
  <c r="S2343" i="14"/>
  <c r="V2342" i="14"/>
  <c r="S2342" i="14"/>
  <c r="V2341" i="14"/>
  <c r="S2341" i="14"/>
  <c r="V2340" i="14"/>
  <c r="S2340" i="14"/>
  <c r="V2339" i="14"/>
  <c r="S2339" i="14"/>
  <c r="V2338" i="14"/>
  <c r="S2338" i="14"/>
  <c r="V2337" i="14"/>
  <c r="S2337" i="14"/>
  <c r="V2336" i="14"/>
  <c r="S2336" i="14"/>
  <c r="V2335" i="14"/>
  <c r="S2335" i="14"/>
  <c r="V2334" i="14"/>
  <c r="S2334" i="14"/>
  <c r="V2333" i="14"/>
  <c r="S2333" i="14"/>
  <c r="V2332" i="14"/>
  <c r="S2332" i="14"/>
  <c r="V2331" i="14"/>
  <c r="S2331" i="14"/>
  <c r="V2330" i="14"/>
  <c r="S2330" i="14"/>
  <c r="V2329" i="14"/>
  <c r="S2329" i="14"/>
  <c r="V2328" i="14"/>
  <c r="S2328" i="14"/>
  <c r="V2327" i="14"/>
  <c r="S2327" i="14"/>
  <c r="V2326" i="14"/>
  <c r="S2326" i="14"/>
  <c r="V2325" i="14"/>
  <c r="S2325" i="14"/>
  <c r="V2324" i="14"/>
  <c r="S2324" i="14"/>
  <c r="V2323" i="14"/>
  <c r="S2323" i="14"/>
  <c r="V2322" i="14"/>
  <c r="S2322" i="14"/>
  <c r="V2321" i="14"/>
  <c r="S2321" i="14"/>
  <c r="V2320" i="14"/>
  <c r="S2320" i="14"/>
  <c r="V2319" i="14"/>
  <c r="S2319" i="14"/>
  <c r="V2318" i="14"/>
  <c r="S2318" i="14"/>
  <c r="V2317" i="14"/>
  <c r="S2317" i="14"/>
  <c r="V2316" i="14"/>
  <c r="S2316" i="14"/>
  <c r="V2315" i="14"/>
  <c r="S2315" i="14"/>
  <c r="V2314" i="14"/>
  <c r="S2314" i="14"/>
  <c r="V2313" i="14"/>
  <c r="S2313" i="14"/>
  <c r="V2312" i="14"/>
  <c r="S2312" i="14"/>
  <c r="V2311" i="14"/>
  <c r="S2311" i="14"/>
  <c r="V2310" i="14"/>
  <c r="S2310" i="14"/>
  <c r="V2309" i="14"/>
  <c r="S2309" i="14"/>
  <c r="V2308" i="14"/>
  <c r="S2308" i="14"/>
  <c r="V2307" i="14"/>
  <c r="S2307" i="14"/>
  <c r="V2306" i="14"/>
  <c r="S2306" i="14"/>
  <c r="V2305" i="14"/>
  <c r="S2305" i="14"/>
  <c r="V2304" i="14"/>
  <c r="S2304" i="14"/>
  <c r="V2303" i="14"/>
  <c r="S2303" i="14"/>
  <c r="V2302" i="14"/>
  <c r="S2302" i="14"/>
  <c r="V2301" i="14"/>
  <c r="S2301" i="14"/>
  <c r="V2300" i="14"/>
  <c r="S2300" i="14"/>
  <c r="V2299" i="14"/>
  <c r="S2299" i="14"/>
  <c r="V2298" i="14"/>
  <c r="S2298" i="14"/>
  <c r="V2297" i="14"/>
  <c r="S2297" i="14"/>
  <c r="V2296" i="14"/>
  <c r="S2296" i="14"/>
  <c r="V2295" i="14"/>
  <c r="S2295" i="14"/>
  <c r="V2294" i="14"/>
  <c r="S2294" i="14"/>
  <c r="V2293" i="14"/>
  <c r="S2293" i="14"/>
  <c r="V2292" i="14"/>
  <c r="S2292" i="14"/>
  <c r="V2291" i="14"/>
  <c r="S2291" i="14"/>
  <c r="V2290" i="14"/>
  <c r="S2290" i="14"/>
  <c r="V2289" i="14"/>
  <c r="S2289" i="14"/>
  <c r="V2288" i="14"/>
  <c r="S2288" i="14"/>
  <c r="V2287" i="14"/>
  <c r="S2287" i="14"/>
  <c r="V2286" i="14"/>
  <c r="S2286" i="14"/>
  <c r="V2285" i="14"/>
  <c r="S2285" i="14"/>
  <c r="V2284" i="14"/>
  <c r="S2284" i="14"/>
  <c r="V2283" i="14"/>
  <c r="S2283" i="14"/>
  <c r="V2282" i="14"/>
  <c r="S2282" i="14"/>
  <c r="V2281" i="14"/>
  <c r="S2281" i="14"/>
  <c r="V2280" i="14"/>
  <c r="S2280" i="14"/>
  <c r="V2279" i="14"/>
  <c r="S2279" i="14"/>
  <c r="V2278" i="14"/>
  <c r="S2278" i="14"/>
  <c r="V2277" i="14"/>
  <c r="S2277" i="14"/>
  <c r="V2276" i="14"/>
  <c r="S2276" i="14"/>
  <c r="V2275" i="14"/>
  <c r="S2275" i="14"/>
  <c r="V2274" i="14"/>
  <c r="S2274" i="14"/>
  <c r="V2273" i="14"/>
  <c r="S2273" i="14"/>
  <c r="V2272" i="14"/>
  <c r="S2272" i="14"/>
  <c r="V2271" i="14"/>
  <c r="S2271" i="14"/>
  <c r="V2270" i="14"/>
  <c r="S2270" i="14"/>
  <c r="V2269" i="14"/>
  <c r="S2269" i="14"/>
  <c r="V2268" i="14"/>
  <c r="S2268" i="14"/>
  <c r="V2267" i="14"/>
  <c r="S2267" i="14"/>
  <c r="V2266" i="14"/>
  <c r="S2266" i="14"/>
  <c r="V2265" i="14"/>
  <c r="S2265" i="14"/>
  <c r="V2264" i="14"/>
  <c r="S2264" i="14"/>
  <c r="V2263" i="14"/>
  <c r="S2263" i="14"/>
  <c r="V2262" i="14"/>
  <c r="S2262" i="14"/>
  <c r="V2261" i="14"/>
  <c r="S2261" i="14"/>
  <c r="V2260" i="14"/>
  <c r="S2260" i="14"/>
  <c r="V2259" i="14"/>
  <c r="S2259" i="14"/>
  <c r="V2258" i="14"/>
  <c r="S2258" i="14"/>
  <c r="V2257" i="14"/>
  <c r="S2257" i="14"/>
  <c r="V2256" i="14"/>
  <c r="S2256" i="14"/>
  <c r="V2255" i="14"/>
  <c r="S2255" i="14"/>
  <c r="V2254" i="14"/>
  <c r="S2254" i="14"/>
  <c r="V2253" i="14"/>
  <c r="S2253" i="14"/>
  <c r="V2252" i="14"/>
  <c r="S2252" i="14"/>
  <c r="V2251" i="14"/>
  <c r="S2251" i="14"/>
  <c r="V2250" i="14"/>
  <c r="S2250" i="14"/>
  <c r="V2249" i="14"/>
  <c r="S2249" i="14"/>
  <c r="V2248" i="14"/>
  <c r="S2248" i="14"/>
  <c r="V2247" i="14"/>
  <c r="S2247" i="14"/>
  <c r="V2246" i="14"/>
  <c r="S2246" i="14"/>
  <c r="V2245" i="14"/>
  <c r="S2245" i="14"/>
  <c r="V2244" i="14"/>
  <c r="S2244" i="14"/>
  <c r="V2243" i="14"/>
  <c r="S2243" i="14"/>
  <c r="V2242" i="14"/>
  <c r="S2242" i="14"/>
  <c r="V2241" i="14"/>
  <c r="S2241" i="14"/>
  <c r="V2240" i="14"/>
  <c r="S2240" i="14"/>
  <c r="V2239" i="14"/>
  <c r="S2239" i="14"/>
  <c r="V2238" i="14"/>
  <c r="S2238" i="14"/>
  <c r="V2237" i="14"/>
  <c r="S2237" i="14"/>
  <c r="V2236" i="14"/>
  <c r="S2236" i="14"/>
  <c r="V2235" i="14"/>
  <c r="S2235" i="14"/>
  <c r="V2234" i="14"/>
  <c r="S2234" i="14"/>
  <c r="V2233" i="14"/>
  <c r="S2233" i="14"/>
  <c r="V2232" i="14"/>
  <c r="S2232" i="14"/>
  <c r="V2231" i="14"/>
  <c r="S2231" i="14"/>
  <c r="V2230" i="14"/>
  <c r="S2230" i="14"/>
  <c r="V2229" i="14"/>
  <c r="S2229" i="14"/>
  <c r="V2228" i="14"/>
  <c r="S2228" i="14"/>
  <c r="V2227" i="14"/>
  <c r="S2227" i="14"/>
  <c r="V2226" i="14"/>
  <c r="S2226" i="14"/>
  <c r="V2225" i="14"/>
  <c r="S2225" i="14"/>
  <c r="V2224" i="14"/>
  <c r="S2224" i="14"/>
  <c r="V2223" i="14"/>
  <c r="S2223" i="14"/>
  <c r="V2222" i="14"/>
  <c r="S2222" i="14"/>
  <c r="V2221" i="14"/>
  <c r="S2221" i="14"/>
  <c r="V2220" i="14"/>
  <c r="S2220" i="14"/>
  <c r="V2219" i="14"/>
  <c r="S2219" i="14"/>
  <c r="V2218" i="14"/>
  <c r="S2218" i="14"/>
  <c r="V2217" i="14"/>
  <c r="S2217" i="14"/>
  <c r="V2216" i="14"/>
  <c r="S2216" i="14"/>
  <c r="V2215" i="14"/>
  <c r="S2215" i="14"/>
  <c r="V2214" i="14"/>
  <c r="S2214" i="14"/>
  <c r="V2213" i="14"/>
  <c r="S2213" i="14"/>
  <c r="V2212" i="14"/>
  <c r="S2212" i="14"/>
  <c r="V2211" i="14"/>
  <c r="S2211" i="14"/>
  <c r="V2210" i="14"/>
  <c r="S2210" i="14"/>
  <c r="V2209" i="14"/>
  <c r="S2209" i="14"/>
  <c r="V2208" i="14"/>
  <c r="S2208" i="14"/>
  <c r="V2207" i="14"/>
  <c r="S2207" i="14"/>
  <c r="V2206" i="14"/>
  <c r="S2206" i="14"/>
  <c r="V2205" i="14"/>
  <c r="S2205" i="14"/>
  <c r="V2204" i="14"/>
  <c r="S2204" i="14"/>
  <c r="V2203" i="14"/>
  <c r="S2203" i="14"/>
  <c r="V2202" i="14"/>
  <c r="S2202" i="14"/>
  <c r="V2201" i="14"/>
  <c r="S2201" i="14"/>
  <c r="V2200" i="14"/>
  <c r="S2200" i="14"/>
  <c r="V2199" i="14"/>
  <c r="S2199" i="14"/>
  <c r="V2198" i="14"/>
  <c r="S2198" i="14"/>
  <c r="V2197" i="14"/>
  <c r="S2197" i="14"/>
  <c r="V2196" i="14"/>
  <c r="S2196" i="14"/>
  <c r="V2195" i="14"/>
  <c r="S2195" i="14"/>
  <c r="V2194" i="14"/>
  <c r="S2194" i="14"/>
  <c r="V2193" i="14"/>
  <c r="S2193" i="14"/>
  <c r="V2192" i="14"/>
  <c r="S2192" i="14"/>
  <c r="V2191" i="14"/>
  <c r="S2191" i="14"/>
  <c r="V2190" i="14"/>
  <c r="S2190" i="14"/>
  <c r="V2189" i="14"/>
  <c r="S2189" i="14"/>
  <c r="V2188" i="14"/>
  <c r="S2188" i="14"/>
  <c r="V2187" i="14"/>
  <c r="S2187" i="14"/>
  <c r="V2186" i="14"/>
  <c r="S2186" i="14"/>
  <c r="V2185" i="14"/>
  <c r="S2185" i="14"/>
  <c r="V2184" i="14"/>
  <c r="S2184" i="14"/>
  <c r="V2183" i="14"/>
  <c r="S2183" i="14"/>
  <c r="V2182" i="14"/>
  <c r="S2182" i="14"/>
  <c r="V2181" i="14"/>
  <c r="S2181" i="14"/>
  <c r="V2180" i="14"/>
  <c r="S2180" i="14"/>
  <c r="V2179" i="14"/>
  <c r="S2179" i="14"/>
  <c r="V2178" i="14"/>
  <c r="S2178" i="14"/>
  <c r="V2177" i="14"/>
  <c r="S2177" i="14"/>
  <c r="V2176" i="14"/>
  <c r="S2176" i="14"/>
  <c r="V2175" i="14"/>
  <c r="S2175" i="14"/>
  <c r="V2174" i="14"/>
  <c r="S2174" i="14"/>
  <c r="V2173" i="14"/>
  <c r="S2173" i="14"/>
  <c r="V2172" i="14"/>
  <c r="S2172" i="14"/>
  <c r="V2171" i="14"/>
  <c r="S2171" i="14"/>
  <c r="V2170" i="14"/>
  <c r="S2170" i="14"/>
  <c r="V2169" i="14"/>
  <c r="S2169" i="14"/>
  <c r="V2168" i="14"/>
  <c r="S2168" i="14"/>
  <c r="V2167" i="14"/>
  <c r="S2167" i="14"/>
  <c r="V2166" i="14"/>
  <c r="S2166" i="14"/>
  <c r="V2165" i="14"/>
  <c r="S2165" i="14"/>
  <c r="V2164" i="14"/>
  <c r="S2164" i="14"/>
  <c r="V2163" i="14"/>
  <c r="S2163" i="14"/>
  <c r="V2162" i="14"/>
  <c r="S2162" i="14"/>
  <c r="V2161" i="14"/>
  <c r="S2161" i="14"/>
  <c r="V2160" i="14"/>
  <c r="S2160" i="14"/>
  <c r="V2159" i="14"/>
  <c r="S2159" i="14"/>
  <c r="V2158" i="14"/>
  <c r="S2158" i="14"/>
  <c r="V2157" i="14"/>
  <c r="S2157" i="14"/>
  <c r="V2156" i="14"/>
  <c r="S2156" i="14"/>
  <c r="V2155" i="14"/>
  <c r="S2155" i="14"/>
  <c r="V2154" i="14"/>
  <c r="S2154" i="14"/>
  <c r="V2153" i="14"/>
  <c r="S2153" i="14"/>
  <c r="V2152" i="14"/>
  <c r="S2152" i="14"/>
  <c r="V2151" i="14"/>
  <c r="S2151" i="14"/>
  <c r="V2150" i="14"/>
  <c r="S2150" i="14"/>
  <c r="V2149" i="14"/>
  <c r="S2149" i="14"/>
  <c r="V2148" i="14"/>
  <c r="S2148" i="14"/>
  <c r="V2147" i="14"/>
  <c r="S2147" i="14"/>
  <c r="V2146" i="14"/>
  <c r="S2146" i="14"/>
  <c r="V2145" i="14"/>
  <c r="S2145" i="14"/>
  <c r="V2144" i="14"/>
  <c r="S2144" i="14"/>
  <c r="V2143" i="14"/>
  <c r="S2143" i="14"/>
  <c r="V2142" i="14"/>
  <c r="S2142" i="14"/>
  <c r="V2141" i="14"/>
  <c r="S2141" i="14"/>
  <c r="V2140" i="14"/>
  <c r="S2140" i="14"/>
  <c r="V2139" i="14"/>
  <c r="S2139" i="14"/>
  <c r="V2138" i="14"/>
  <c r="S2138" i="14"/>
  <c r="V2137" i="14"/>
  <c r="S2137" i="14"/>
  <c r="V2136" i="14"/>
  <c r="S2136" i="14"/>
  <c r="V2135" i="14"/>
  <c r="S2135" i="14"/>
  <c r="V2134" i="14"/>
  <c r="S2134" i="14"/>
  <c r="V2133" i="14"/>
  <c r="S2133" i="14"/>
  <c r="V2132" i="14"/>
  <c r="S2132" i="14"/>
  <c r="V2131" i="14"/>
  <c r="S2131" i="14"/>
  <c r="V2130" i="14"/>
  <c r="S2130" i="14"/>
  <c r="V2129" i="14"/>
  <c r="S2129" i="14"/>
  <c r="V2128" i="14"/>
  <c r="S2128" i="14"/>
  <c r="V2127" i="14"/>
  <c r="S2127" i="14"/>
  <c r="V2126" i="14"/>
  <c r="S2126" i="14"/>
  <c r="V2125" i="14"/>
  <c r="S2125" i="14"/>
  <c r="V2124" i="14"/>
  <c r="S2124" i="14"/>
  <c r="V2123" i="14"/>
  <c r="S2123" i="14"/>
  <c r="V2122" i="14"/>
  <c r="S2122" i="14"/>
  <c r="V2121" i="14"/>
  <c r="S2121" i="14"/>
  <c r="V2120" i="14"/>
  <c r="S2120" i="14"/>
  <c r="V2119" i="14"/>
  <c r="S2119" i="14"/>
  <c r="V2118" i="14"/>
  <c r="S2118" i="14"/>
  <c r="V2117" i="14"/>
  <c r="S2117" i="14"/>
  <c r="V2116" i="14"/>
  <c r="S2116" i="14"/>
  <c r="V2115" i="14"/>
  <c r="S2115" i="14"/>
  <c r="V2114" i="14"/>
  <c r="S2114" i="14"/>
  <c r="V2113" i="14"/>
  <c r="S2113" i="14"/>
  <c r="V2112" i="14"/>
  <c r="S2112" i="14"/>
  <c r="V2111" i="14"/>
  <c r="S2111" i="14"/>
  <c r="V2110" i="14"/>
  <c r="S2110" i="14"/>
  <c r="V2109" i="14"/>
  <c r="S2109" i="14"/>
  <c r="V2108" i="14"/>
  <c r="S2108" i="14"/>
  <c r="V2107" i="14"/>
  <c r="S2107" i="14"/>
  <c r="V2106" i="14"/>
  <c r="S2106" i="14"/>
  <c r="V2105" i="14"/>
  <c r="S2105" i="14"/>
  <c r="V2104" i="14"/>
  <c r="S2104" i="14"/>
  <c r="V2103" i="14"/>
  <c r="S2103" i="14"/>
  <c r="V2102" i="14"/>
  <c r="S2102" i="14"/>
  <c r="V2101" i="14"/>
  <c r="S2101" i="14"/>
  <c r="V2100" i="14"/>
  <c r="S2100" i="14"/>
  <c r="V2099" i="14"/>
  <c r="S2099" i="14"/>
  <c r="V2098" i="14"/>
  <c r="S2098" i="14"/>
  <c r="V2097" i="14"/>
  <c r="S2097" i="14"/>
  <c r="V2096" i="14"/>
  <c r="S2096" i="14"/>
  <c r="V2095" i="14"/>
  <c r="S2095" i="14"/>
  <c r="V2094" i="14"/>
  <c r="S2094" i="14"/>
  <c r="V2093" i="14"/>
  <c r="S2093" i="14"/>
  <c r="V2092" i="14"/>
  <c r="S2092" i="14"/>
  <c r="V2091" i="14"/>
  <c r="S2091" i="14"/>
  <c r="V2090" i="14"/>
  <c r="S2090" i="14"/>
  <c r="V2089" i="14"/>
  <c r="S2089" i="14"/>
  <c r="V2088" i="14"/>
  <c r="S2088" i="14"/>
  <c r="V2087" i="14"/>
  <c r="S2087" i="14"/>
  <c r="V2086" i="14"/>
  <c r="S2086" i="14"/>
  <c r="V2085" i="14"/>
  <c r="S2085" i="14"/>
  <c r="V2084" i="14"/>
  <c r="S2084" i="14"/>
  <c r="V2083" i="14"/>
  <c r="S2083" i="14"/>
  <c r="V2082" i="14"/>
  <c r="S2082" i="14"/>
  <c r="V2081" i="14"/>
  <c r="S2081" i="14"/>
  <c r="V2080" i="14"/>
  <c r="S2080" i="14"/>
  <c r="V2079" i="14"/>
  <c r="S2079" i="14"/>
  <c r="V2078" i="14"/>
  <c r="S2078" i="14"/>
  <c r="V2077" i="14"/>
  <c r="S2077" i="14"/>
  <c r="V2076" i="14"/>
  <c r="S2076" i="14"/>
  <c r="V2075" i="14"/>
  <c r="S2075" i="14"/>
  <c r="V2074" i="14"/>
  <c r="S2074" i="14"/>
  <c r="V2073" i="14"/>
  <c r="S2073" i="14"/>
  <c r="V2072" i="14"/>
  <c r="S2072" i="14"/>
  <c r="V2071" i="14"/>
  <c r="S2071" i="14"/>
  <c r="V2070" i="14"/>
  <c r="S2070" i="14"/>
  <c r="V2069" i="14"/>
  <c r="S2069" i="14"/>
  <c r="V2068" i="14"/>
  <c r="S2068" i="14"/>
  <c r="V2067" i="14"/>
  <c r="S2067" i="14"/>
  <c r="V2066" i="14"/>
  <c r="S2066" i="14"/>
  <c r="V2065" i="14"/>
  <c r="S2065" i="14"/>
  <c r="V2064" i="14"/>
  <c r="S2064" i="14"/>
  <c r="V2063" i="14"/>
  <c r="S2063" i="14"/>
  <c r="V2062" i="14"/>
  <c r="S2062" i="14"/>
  <c r="V2061" i="14"/>
  <c r="S2061" i="14"/>
  <c r="V2060" i="14"/>
  <c r="S2060" i="14"/>
  <c r="V2059" i="14"/>
  <c r="S2059" i="14"/>
  <c r="V2058" i="14"/>
  <c r="S2058" i="14"/>
  <c r="V2057" i="14"/>
  <c r="S2057" i="14"/>
  <c r="V2056" i="14"/>
  <c r="S2056" i="14"/>
  <c r="V2055" i="14"/>
  <c r="S2055" i="14"/>
  <c r="V2054" i="14"/>
  <c r="S2054" i="14"/>
  <c r="V2053" i="14"/>
  <c r="S2053" i="14"/>
  <c r="V2052" i="14"/>
  <c r="S2052" i="14"/>
  <c r="V2051" i="14"/>
  <c r="S2051" i="14"/>
  <c r="V2050" i="14"/>
  <c r="S2050" i="14"/>
  <c r="V2049" i="14"/>
  <c r="S2049" i="14"/>
  <c r="V2048" i="14"/>
  <c r="S2048" i="14"/>
  <c r="V2047" i="14"/>
  <c r="S2047" i="14"/>
  <c r="V2046" i="14"/>
  <c r="S2046" i="14"/>
  <c r="V2045" i="14"/>
  <c r="S2045" i="14"/>
  <c r="V2044" i="14"/>
  <c r="S2044" i="14"/>
  <c r="V2043" i="14"/>
  <c r="S2043" i="14"/>
  <c r="V2042" i="14"/>
  <c r="S2042" i="14"/>
  <c r="V2041" i="14"/>
  <c r="S2041" i="14"/>
  <c r="V2040" i="14"/>
  <c r="S2040" i="14"/>
  <c r="V2039" i="14"/>
  <c r="S2039" i="14"/>
  <c r="V2038" i="14"/>
  <c r="S2038" i="14"/>
  <c r="V2037" i="14"/>
  <c r="S2037" i="14"/>
  <c r="V2036" i="14"/>
  <c r="S2036" i="14"/>
  <c r="V2035" i="14"/>
  <c r="S2035" i="14"/>
  <c r="S42" i="47" l="1"/>
  <c r="S43" i="47"/>
  <c r="C6" i="42"/>
  <c r="V2034" i="14" l="1"/>
  <c r="S2034" i="14"/>
  <c r="V2033" i="14"/>
  <c r="S2033" i="14"/>
  <c r="V2032" i="14"/>
  <c r="S2032" i="14"/>
  <c r="V2031" i="14"/>
  <c r="S2031" i="14"/>
  <c r="V2030" i="14"/>
  <c r="S2030" i="14"/>
  <c r="V2029" i="14"/>
  <c r="S2029" i="14"/>
  <c r="V2028" i="14"/>
  <c r="S2028" i="14"/>
  <c r="V2027" i="14"/>
  <c r="S2027" i="14"/>
  <c r="V2026" i="14"/>
  <c r="S2026" i="14"/>
  <c r="V2025" i="14"/>
  <c r="S2025" i="14"/>
  <c r="V2024" i="14"/>
  <c r="S2024" i="14"/>
  <c r="V2023" i="14"/>
  <c r="S2023" i="14"/>
  <c r="V2022" i="14"/>
  <c r="S2022" i="14"/>
  <c r="V2021" i="14"/>
  <c r="S2021" i="14"/>
  <c r="V2020" i="14"/>
  <c r="S2020" i="14"/>
  <c r="V2019" i="14"/>
  <c r="S2019" i="14"/>
  <c r="V2018" i="14"/>
  <c r="S2018" i="14"/>
  <c r="V2017" i="14"/>
  <c r="S2017" i="14"/>
  <c r="V2016" i="14"/>
  <c r="S2016" i="14"/>
  <c r="V2015" i="14"/>
  <c r="S2015" i="14"/>
  <c r="V2014" i="14"/>
  <c r="S2014" i="14"/>
  <c r="V2013" i="14"/>
  <c r="S2013" i="14"/>
  <c r="V2012" i="14"/>
  <c r="S2012" i="14"/>
  <c r="V2011" i="14"/>
  <c r="S2011" i="14"/>
  <c r="V2010" i="14"/>
  <c r="S2010" i="14"/>
  <c r="V2009" i="14"/>
  <c r="S2009" i="14"/>
  <c r="V2008" i="14"/>
  <c r="S2008" i="14"/>
  <c r="V2007" i="14"/>
  <c r="S2007" i="14"/>
  <c r="V2006" i="14"/>
  <c r="S2006" i="14"/>
  <c r="V2005" i="14"/>
  <c r="S2005" i="14"/>
  <c r="V2004" i="14"/>
  <c r="S2004" i="14"/>
  <c r="V2003" i="14"/>
  <c r="S2003" i="14"/>
  <c r="V2002" i="14"/>
  <c r="S2002" i="14"/>
  <c r="V2001" i="14"/>
  <c r="S2001" i="14"/>
  <c r="V2000" i="14"/>
  <c r="S2000" i="14"/>
  <c r="V1999" i="14"/>
  <c r="S1999" i="14"/>
  <c r="V1998" i="14"/>
  <c r="S1998" i="14"/>
  <c r="V1997" i="14"/>
  <c r="S1997" i="14"/>
  <c r="V1996" i="14"/>
  <c r="S1996" i="14"/>
  <c r="V1995" i="14"/>
  <c r="S1995" i="14"/>
  <c r="V1994" i="14"/>
  <c r="S1994" i="14"/>
  <c r="V1993" i="14"/>
  <c r="S1993" i="14"/>
  <c r="V1992" i="14"/>
  <c r="S1992" i="14"/>
  <c r="V1991" i="14"/>
  <c r="S1991" i="14"/>
  <c r="V1990" i="14"/>
  <c r="S1990" i="14"/>
  <c r="V1989" i="14"/>
  <c r="S1989" i="14"/>
  <c r="V1988" i="14"/>
  <c r="S1988" i="14"/>
  <c r="V1987" i="14"/>
  <c r="S1987" i="14"/>
  <c r="V1986" i="14"/>
  <c r="S1986" i="14"/>
  <c r="V1985" i="14"/>
  <c r="S1985" i="14"/>
  <c r="V1984" i="14"/>
  <c r="S1984" i="14"/>
  <c r="V1983" i="14"/>
  <c r="S1983" i="14"/>
  <c r="V1982" i="14"/>
  <c r="S1982" i="14"/>
  <c r="V1981" i="14"/>
  <c r="S1981" i="14"/>
  <c r="V1980" i="14"/>
  <c r="S1980" i="14"/>
  <c r="V1979" i="14"/>
  <c r="S1979" i="14"/>
  <c r="V1978" i="14"/>
  <c r="S1978" i="14"/>
  <c r="V1977" i="14"/>
  <c r="S1977" i="14"/>
  <c r="V1976" i="14"/>
  <c r="S1976" i="14"/>
  <c r="V1975" i="14"/>
  <c r="S1975" i="14"/>
  <c r="V1974" i="14"/>
  <c r="S1974" i="14"/>
  <c r="V1973" i="14"/>
  <c r="S1973" i="14"/>
  <c r="V1972" i="14"/>
  <c r="S1972" i="14"/>
  <c r="V1971" i="14"/>
  <c r="S1971" i="14"/>
  <c r="V1970" i="14"/>
  <c r="S1970" i="14"/>
  <c r="V1969" i="14"/>
  <c r="S1969" i="14"/>
  <c r="V1968" i="14"/>
  <c r="S1968" i="14"/>
  <c r="V1967" i="14"/>
  <c r="S1967" i="14"/>
  <c r="V1966" i="14"/>
  <c r="S1966" i="14"/>
  <c r="V1965" i="14"/>
  <c r="S1965" i="14"/>
  <c r="V1964" i="14"/>
  <c r="S1964" i="14"/>
  <c r="V1963" i="14"/>
  <c r="S1963" i="14"/>
  <c r="V1962" i="14"/>
  <c r="S1962" i="14"/>
  <c r="V1961" i="14"/>
  <c r="S1961" i="14"/>
  <c r="V1960" i="14"/>
  <c r="S1960" i="14"/>
  <c r="V1959" i="14"/>
  <c r="S1959" i="14"/>
  <c r="V1958" i="14"/>
  <c r="S1958" i="14"/>
  <c r="V1957" i="14"/>
  <c r="S1957" i="14"/>
  <c r="V1956" i="14"/>
  <c r="S1956" i="14"/>
  <c r="V1955" i="14"/>
  <c r="S1955" i="14"/>
  <c r="V1954" i="14"/>
  <c r="S1954" i="14"/>
  <c r="V1953" i="14"/>
  <c r="S1953" i="14"/>
  <c r="V1952" i="14"/>
  <c r="S1952" i="14"/>
  <c r="V1951" i="14"/>
  <c r="S1951" i="14"/>
  <c r="V1950" i="14"/>
  <c r="S1950" i="14"/>
  <c r="V1949" i="14"/>
  <c r="S1949" i="14"/>
  <c r="V1948" i="14"/>
  <c r="S1948" i="14"/>
  <c r="V1947" i="14"/>
  <c r="S1947" i="14"/>
  <c r="V1946" i="14"/>
  <c r="S1946" i="14"/>
  <c r="V1945" i="14"/>
  <c r="S1945" i="14"/>
  <c r="V1944" i="14"/>
  <c r="S1944" i="14"/>
  <c r="V1943" i="14"/>
  <c r="S1943" i="14"/>
  <c r="V1942" i="14"/>
  <c r="S1942" i="14"/>
  <c r="V1941" i="14"/>
  <c r="S1941" i="14"/>
  <c r="V1940" i="14"/>
  <c r="S1940" i="14"/>
  <c r="V1939" i="14"/>
  <c r="S1939" i="14"/>
  <c r="V1938" i="14"/>
  <c r="S1938" i="14"/>
  <c r="V1937" i="14"/>
  <c r="S1937" i="14"/>
  <c r="V1936" i="14"/>
  <c r="S1936" i="14"/>
  <c r="V1935" i="14"/>
  <c r="S1935" i="14"/>
  <c r="V1934" i="14"/>
  <c r="S1934" i="14"/>
  <c r="V1933" i="14"/>
  <c r="S1933" i="14"/>
  <c r="V1932" i="14"/>
  <c r="S1932" i="14"/>
  <c r="V1931" i="14"/>
  <c r="S1931" i="14"/>
  <c r="V1930" i="14"/>
  <c r="S1930" i="14"/>
  <c r="V1929" i="14"/>
  <c r="S1929" i="14"/>
  <c r="V1928" i="14"/>
  <c r="S1928" i="14"/>
  <c r="V1927" i="14"/>
  <c r="S1927" i="14"/>
  <c r="V1926" i="14"/>
  <c r="S1926" i="14"/>
  <c r="V1925" i="14"/>
  <c r="S1925" i="14"/>
  <c r="V1924" i="14"/>
  <c r="S1924" i="14"/>
  <c r="V1923" i="14"/>
  <c r="S1923" i="14"/>
  <c r="V1922" i="14"/>
  <c r="S1922" i="14"/>
  <c r="V1921" i="14"/>
  <c r="S1921" i="14"/>
  <c r="V1920" i="14"/>
  <c r="S1920" i="14"/>
  <c r="V1919" i="14"/>
  <c r="S1919" i="14"/>
  <c r="V1918" i="14"/>
  <c r="S1918" i="14"/>
  <c r="V1917" i="14"/>
  <c r="S1917" i="14"/>
  <c r="V1916" i="14"/>
  <c r="S1916" i="14"/>
  <c r="V1915" i="14"/>
  <c r="S1915" i="14"/>
  <c r="V1914" i="14"/>
  <c r="S1914" i="14"/>
  <c r="V1913" i="14"/>
  <c r="S1913" i="14"/>
  <c r="V1912" i="14"/>
  <c r="S1912" i="14"/>
  <c r="V1911" i="14"/>
  <c r="S1911" i="14"/>
  <c r="V1910" i="14"/>
  <c r="S1910" i="14"/>
  <c r="V1909" i="14"/>
  <c r="S1909" i="14"/>
  <c r="V1908" i="14"/>
  <c r="S1908" i="14"/>
  <c r="V1907" i="14"/>
  <c r="S1907" i="14"/>
  <c r="V1906" i="14"/>
  <c r="S1906" i="14"/>
  <c r="V1905" i="14"/>
  <c r="S1905" i="14"/>
  <c r="V1904" i="14"/>
  <c r="S1904" i="14"/>
  <c r="V1903" i="14"/>
  <c r="S1903" i="14"/>
  <c r="V1902" i="14"/>
  <c r="S1902" i="14"/>
  <c r="V1901" i="14"/>
  <c r="S1901" i="14"/>
  <c r="V1900" i="14"/>
  <c r="S1900" i="14"/>
  <c r="V1899" i="14"/>
  <c r="S1899" i="14"/>
  <c r="V1898" i="14"/>
  <c r="S1898" i="14"/>
  <c r="V1897" i="14"/>
  <c r="S1897" i="14"/>
  <c r="V1896" i="14"/>
  <c r="S1896" i="14"/>
  <c r="V1895" i="14"/>
  <c r="S1895" i="14"/>
  <c r="V1894" i="14"/>
  <c r="S1894" i="14"/>
  <c r="V1893" i="14"/>
  <c r="S1893" i="14"/>
  <c r="V1892" i="14"/>
  <c r="S1892" i="14"/>
  <c r="V1891" i="14"/>
  <c r="S1891" i="14"/>
  <c r="V1890" i="14"/>
  <c r="S1890" i="14"/>
  <c r="V1889" i="14"/>
  <c r="S1889" i="14"/>
  <c r="V1888" i="14"/>
  <c r="S1888" i="14"/>
  <c r="V1887" i="14"/>
  <c r="S1887" i="14"/>
  <c r="V1886" i="14"/>
  <c r="S1886" i="14"/>
  <c r="V1885" i="14"/>
  <c r="S1885" i="14"/>
  <c r="V1884" i="14"/>
  <c r="S1884" i="14"/>
  <c r="V1883" i="14"/>
  <c r="S1883" i="14"/>
  <c r="V1882" i="14"/>
  <c r="S1882" i="14"/>
  <c r="V1881" i="14"/>
  <c r="S1881" i="14"/>
  <c r="V1880" i="14"/>
  <c r="S1880" i="14"/>
  <c r="V1879" i="14"/>
  <c r="S1879" i="14"/>
  <c r="V1878" i="14"/>
  <c r="S1878" i="14"/>
  <c r="V1877" i="14"/>
  <c r="S1877" i="14"/>
  <c r="V1876" i="14"/>
  <c r="S1876" i="14"/>
  <c r="V1875" i="14"/>
  <c r="S1875" i="14"/>
  <c r="V1874" i="14"/>
  <c r="S1874" i="14"/>
  <c r="V1873" i="14"/>
  <c r="S1873" i="14"/>
  <c r="V1872" i="14"/>
  <c r="S1872" i="14"/>
  <c r="V1871" i="14"/>
  <c r="S1871" i="14"/>
  <c r="V1870" i="14"/>
  <c r="S1870" i="14"/>
  <c r="V1869" i="14"/>
  <c r="S1869" i="14"/>
  <c r="V1868" i="14"/>
  <c r="S1868" i="14"/>
  <c r="V1867" i="14"/>
  <c r="S1867" i="14"/>
  <c r="V1866" i="14"/>
  <c r="S1866" i="14"/>
  <c r="V1865" i="14"/>
  <c r="S1865" i="14"/>
  <c r="V1864" i="14"/>
  <c r="S1864" i="14"/>
  <c r="V1863" i="14"/>
  <c r="S1863" i="14"/>
  <c r="V1862" i="14"/>
  <c r="S1862" i="14"/>
  <c r="V1861" i="14"/>
  <c r="S1861" i="14"/>
  <c r="V1860" i="14"/>
  <c r="S1860" i="14"/>
  <c r="V1859" i="14"/>
  <c r="S1859" i="14"/>
  <c r="V1858" i="14"/>
  <c r="S1858" i="14"/>
  <c r="V1857" i="14"/>
  <c r="S1857" i="14"/>
  <c r="V1856" i="14"/>
  <c r="S1856" i="14"/>
  <c r="V1855" i="14"/>
  <c r="S1855" i="14"/>
  <c r="V1854" i="14"/>
  <c r="S1854" i="14"/>
  <c r="V1853" i="14"/>
  <c r="S1853" i="14"/>
  <c r="V1852" i="14"/>
  <c r="S1852" i="14"/>
  <c r="V1851" i="14"/>
  <c r="S1851" i="14"/>
  <c r="V1850" i="14"/>
  <c r="S1850" i="14"/>
  <c r="V1849" i="14"/>
  <c r="S1849" i="14"/>
  <c r="V1848" i="14"/>
  <c r="S1848" i="14"/>
  <c r="V1847" i="14"/>
  <c r="S1847" i="14"/>
  <c r="V1846" i="14"/>
  <c r="S1846" i="14"/>
  <c r="V1845" i="14"/>
  <c r="S1845" i="14"/>
  <c r="V1844" i="14"/>
  <c r="S1844" i="14"/>
  <c r="V1843" i="14"/>
  <c r="S1843" i="14"/>
  <c r="V1842" i="14"/>
  <c r="S1842" i="14"/>
  <c r="V1841" i="14"/>
  <c r="S1841" i="14"/>
  <c r="V1840" i="14"/>
  <c r="S1840" i="14"/>
  <c r="V1839" i="14"/>
  <c r="S1839" i="14"/>
  <c r="V1838" i="14"/>
  <c r="S1838" i="14"/>
  <c r="V1837" i="14"/>
  <c r="S1837" i="14"/>
  <c r="V1836" i="14"/>
  <c r="S1836" i="14"/>
  <c r="V1835" i="14"/>
  <c r="S1835" i="14"/>
  <c r="V1834" i="14"/>
  <c r="S1834" i="14"/>
  <c r="V1833" i="14"/>
  <c r="S1833" i="14"/>
  <c r="V1832" i="14"/>
  <c r="S1832" i="14"/>
  <c r="V1831" i="14"/>
  <c r="S1831" i="14"/>
  <c r="V1830" i="14"/>
  <c r="S1830" i="14"/>
  <c r="V1829" i="14"/>
  <c r="S1829" i="14"/>
  <c r="V1828" i="14"/>
  <c r="S1828" i="14"/>
  <c r="V1827" i="14"/>
  <c r="S1827" i="14"/>
  <c r="V1826" i="14"/>
  <c r="S1826" i="14"/>
  <c r="V1825" i="14"/>
  <c r="S1825" i="14"/>
  <c r="V1824" i="14"/>
  <c r="S1824" i="14"/>
  <c r="V1823" i="14"/>
  <c r="S1823" i="14"/>
  <c r="V1822" i="14"/>
  <c r="S1822" i="14"/>
  <c r="V1821" i="14"/>
  <c r="S1821" i="14"/>
  <c r="V1820" i="14"/>
  <c r="S1820" i="14"/>
  <c r="V1819" i="14"/>
  <c r="S1819" i="14"/>
  <c r="V1818" i="14"/>
  <c r="S1818" i="14"/>
  <c r="V1817" i="14"/>
  <c r="S1817" i="14"/>
  <c r="V1816" i="14"/>
  <c r="S1816" i="14"/>
  <c r="V1815" i="14"/>
  <c r="S1815" i="14"/>
  <c r="V1814" i="14"/>
  <c r="S1814" i="14"/>
  <c r="V1813" i="14"/>
  <c r="S1813" i="14"/>
  <c r="V1812" i="14"/>
  <c r="S1812" i="14"/>
  <c r="V1811" i="14"/>
  <c r="S1811" i="14"/>
  <c r="V1810" i="14"/>
  <c r="S1810" i="14"/>
  <c r="V1809" i="14"/>
  <c r="S1809" i="14"/>
  <c r="V1808" i="14"/>
  <c r="S1808" i="14"/>
  <c r="V1807" i="14"/>
  <c r="S1807" i="14"/>
  <c r="V1806" i="14"/>
  <c r="S1806" i="14"/>
  <c r="V1805" i="14"/>
  <c r="S1805" i="14"/>
  <c r="V1804" i="14"/>
  <c r="S1804" i="14"/>
  <c r="V1803" i="14"/>
  <c r="S1803" i="14"/>
  <c r="V1802" i="14"/>
  <c r="S1802" i="14"/>
  <c r="V1801" i="14"/>
  <c r="S1801" i="14"/>
  <c r="V1800" i="14"/>
  <c r="S1800" i="14"/>
  <c r="V1799" i="14"/>
  <c r="S1799" i="14"/>
  <c r="V1798" i="14"/>
  <c r="S1798" i="14"/>
  <c r="V1797" i="14"/>
  <c r="S1797" i="14"/>
  <c r="V1796" i="14"/>
  <c r="S1796" i="14"/>
  <c r="V1795" i="14"/>
  <c r="S1795" i="14"/>
  <c r="V1794" i="14"/>
  <c r="S1794" i="14"/>
  <c r="V1793" i="14"/>
  <c r="S1793" i="14"/>
  <c r="V1792" i="14"/>
  <c r="S1792" i="14"/>
  <c r="V1791" i="14"/>
  <c r="S1791" i="14"/>
  <c r="V1790" i="14"/>
  <c r="S1790" i="14"/>
  <c r="V1789" i="14"/>
  <c r="S1789" i="14"/>
  <c r="V1788" i="14"/>
  <c r="S1788" i="14"/>
  <c r="V1787" i="14"/>
  <c r="S1787" i="14"/>
  <c r="V1786" i="14"/>
  <c r="S1786" i="14"/>
  <c r="V1785" i="14"/>
  <c r="S1785" i="14"/>
  <c r="V1784" i="14"/>
  <c r="S1784" i="14"/>
  <c r="V1783" i="14"/>
  <c r="S1783" i="14"/>
  <c r="V1782" i="14"/>
  <c r="S1782" i="14"/>
  <c r="V1781" i="14"/>
  <c r="S1781" i="14"/>
  <c r="V1780" i="14"/>
  <c r="S1780" i="14"/>
  <c r="V1779" i="14"/>
  <c r="S1779" i="14"/>
  <c r="V1778" i="14"/>
  <c r="S1778" i="14"/>
  <c r="V1777" i="14"/>
  <c r="S1777" i="14"/>
  <c r="V1776" i="14"/>
  <c r="S1776" i="14"/>
  <c r="V1775" i="14"/>
  <c r="S1775" i="14"/>
  <c r="V1774" i="14"/>
  <c r="S1774" i="14"/>
  <c r="V1773" i="14"/>
  <c r="S1773" i="14"/>
  <c r="V1772" i="14"/>
  <c r="S1772" i="14"/>
  <c r="V1771" i="14"/>
  <c r="S1771" i="14"/>
  <c r="V1770" i="14"/>
  <c r="S1770" i="14"/>
  <c r="V1769" i="14"/>
  <c r="S1769" i="14"/>
  <c r="V1768" i="14"/>
  <c r="S1768" i="14"/>
  <c r="V1767" i="14"/>
  <c r="S1767" i="14"/>
  <c r="V1766" i="14"/>
  <c r="S1766" i="14"/>
  <c r="V1765" i="14"/>
  <c r="S1765" i="14"/>
  <c r="V1764" i="14"/>
  <c r="S1764" i="14"/>
  <c r="V1763" i="14"/>
  <c r="S1763" i="14"/>
  <c r="V1762" i="14"/>
  <c r="S1762" i="14"/>
  <c r="V1761" i="14"/>
  <c r="S1761" i="14"/>
  <c r="V1760" i="14"/>
  <c r="S1760" i="14"/>
  <c r="V1759" i="14"/>
  <c r="S1759" i="14"/>
  <c r="V1758" i="14"/>
  <c r="S1758" i="14"/>
  <c r="V1757" i="14"/>
  <c r="S1757" i="14"/>
  <c r="V1756" i="14"/>
  <c r="S1756" i="14"/>
  <c r="V1755" i="14"/>
  <c r="S1755" i="14"/>
  <c r="V1754" i="14"/>
  <c r="S1754" i="14"/>
  <c r="V1753" i="14"/>
  <c r="S1753" i="14"/>
  <c r="V1752" i="14"/>
  <c r="S1752" i="14"/>
  <c r="V1751" i="14"/>
  <c r="S1751" i="14"/>
  <c r="V1750" i="14"/>
  <c r="S1750" i="14"/>
  <c r="V1749" i="14"/>
  <c r="S1749" i="14"/>
  <c r="V1748" i="14"/>
  <c r="S1748" i="14"/>
  <c r="V1747" i="14"/>
  <c r="S1747" i="14"/>
  <c r="V1746" i="14"/>
  <c r="S1746" i="14"/>
  <c r="V1745" i="14"/>
  <c r="S1745" i="14"/>
  <c r="V1744" i="14"/>
  <c r="S1744" i="14"/>
  <c r="V1743" i="14"/>
  <c r="S1743" i="14"/>
  <c r="V1742" i="14"/>
  <c r="S1742" i="14"/>
  <c r="V1741" i="14"/>
  <c r="S1741" i="14"/>
  <c r="V1740" i="14"/>
  <c r="S1740" i="14"/>
  <c r="V1739" i="14"/>
  <c r="S1739" i="14"/>
  <c r="V1738" i="14"/>
  <c r="S1738" i="14"/>
  <c r="V1737" i="14"/>
  <c r="S1737" i="14"/>
  <c r="V1736" i="14"/>
  <c r="S1736" i="14"/>
  <c r="V1735" i="14"/>
  <c r="S1735" i="14"/>
  <c r="V1734" i="14"/>
  <c r="S1734" i="14"/>
  <c r="V1733" i="14"/>
  <c r="S1733" i="14"/>
  <c r="V1732" i="14"/>
  <c r="S1732" i="14"/>
  <c r="V1731" i="14"/>
  <c r="S1731" i="14"/>
  <c r="V1730" i="14"/>
  <c r="S1730" i="14"/>
  <c r="V1729" i="14"/>
  <c r="S1729" i="14"/>
  <c r="V1728" i="14"/>
  <c r="S1728" i="14"/>
  <c r="V1727" i="14"/>
  <c r="S1727" i="14"/>
  <c r="V1726" i="14"/>
  <c r="S1726" i="14"/>
  <c r="V1725" i="14"/>
  <c r="S1725" i="14"/>
  <c r="V1724" i="14"/>
  <c r="S1724" i="14"/>
  <c r="V1723" i="14"/>
  <c r="S1723" i="14"/>
  <c r="V1722" i="14"/>
  <c r="S1722" i="14"/>
  <c r="V1721" i="14"/>
  <c r="S1721" i="14"/>
  <c r="V1720" i="14"/>
  <c r="S1720" i="14"/>
  <c r="V1719" i="14"/>
  <c r="S1719" i="14"/>
  <c r="V1718" i="14"/>
  <c r="S1718" i="14"/>
  <c r="V1717" i="14"/>
  <c r="S1717" i="14"/>
  <c r="V1716" i="14"/>
  <c r="S1716" i="14"/>
  <c r="V1715" i="14"/>
  <c r="S1715" i="14"/>
  <c r="V1714" i="14"/>
  <c r="S1714" i="14"/>
  <c r="V1713" i="14"/>
  <c r="S1713" i="14"/>
  <c r="V1712" i="14"/>
  <c r="S1712" i="14"/>
  <c r="V1711" i="14"/>
  <c r="S1711" i="14"/>
  <c r="V1710" i="14"/>
  <c r="S1710" i="14"/>
  <c r="V1709" i="14"/>
  <c r="S1709" i="14"/>
  <c r="V1708" i="14"/>
  <c r="S1708" i="14"/>
  <c r="V1707" i="14"/>
  <c r="S1707" i="14"/>
  <c r="V1706" i="14"/>
  <c r="S1706" i="14"/>
  <c r="V1705" i="14"/>
  <c r="S1705" i="14"/>
  <c r="V1704" i="14"/>
  <c r="S1704" i="14"/>
  <c r="V1703" i="14"/>
  <c r="S1703" i="14"/>
  <c r="V1702" i="14"/>
  <c r="S1702" i="14"/>
  <c r="V1701" i="14"/>
  <c r="S1701" i="14"/>
  <c r="V1700" i="14"/>
  <c r="S1700" i="14"/>
  <c r="V1699" i="14"/>
  <c r="S1699" i="14"/>
  <c r="V1698" i="14"/>
  <c r="S1698" i="14"/>
  <c r="V1697" i="14"/>
  <c r="S1697" i="14"/>
  <c r="V1696" i="14"/>
  <c r="S1696" i="14"/>
  <c r="V1695" i="14"/>
  <c r="S1695" i="14"/>
  <c r="V1694" i="14"/>
  <c r="S1694" i="14"/>
  <c r="V1693" i="14"/>
  <c r="S1693" i="14"/>
  <c r="V1692" i="14"/>
  <c r="S1692" i="14"/>
  <c r="V1691" i="14"/>
  <c r="S1691" i="14"/>
  <c r="V1690" i="14"/>
  <c r="S1690" i="14"/>
  <c r="V1689" i="14"/>
  <c r="S1689" i="14"/>
  <c r="V1688" i="14"/>
  <c r="S1688" i="14"/>
  <c r="V1687" i="14"/>
  <c r="S1687" i="14"/>
  <c r="V1686" i="14"/>
  <c r="S1686" i="14"/>
  <c r="V1685" i="14"/>
  <c r="S1685" i="14"/>
  <c r="V1684" i="14"/>
  <c r="S1684" i="14"/>
  <c r="V1683" i="14"/>
  <c r="S1683" i="14"/>
  <c r="V1682" i="14"/>
  <c r="S1682" i="14"/>
  <c r="V1681" i="14"/>
  <c r="S1681" i="14"/>
  <c r="V1680" i="14"/>
  <c r="S1680" i="14"/>
  <c r="V1679" i="14"/>
  <c r="S1679" i="14"/>
  <c r="V1678" i="14"/>
  <c r="S1678" i="14"/>
  <c r="V1677" i="14"/>
  <c r="S1677" i="14"/>
  <c r="V1676" i="14"/>
  <c r="S1676" i="14"/>
  <c r="V1675" i="14"/>
  <c r="S1675" i="14"/>
  <c r="V1674" i="14"/>
  <c r="S1674" i="14"/>
  <c r="V1673" i="14"/>
  <c r="S1673" i="14"/>
  <c r="V1672" i="14"/>
  <c r="S1672" i="14"/>
  <c r="V1671" i="14"/>
  <c r="S1671" i="14"/>
  <c r="V1670" i="14"/>
  <c r="S1670" i="14"/>
  <c r="V1669" i="14"/>
  <c r="S1669" i="14"/>
  <c r="V1668" i="14"/>
  <c r="S1668" i="14"/>
  <c r="V1667" i="14"/>
  <c r="S1667" i="14"/>
  <c r="V1666" i="14"/>
  <c r="S1666" i="14"/>
  <c r="V1665" i="14"/>
  <c r="S1665" i="14"/>
  <c r="V1664" i="14"/>
  <c r="S1664" i="14"/>
  <c r="V1663" i="14"/>
  <c r="S1663" i="14"/>
  <c r="V1662" i="14"/>
  <c r="S1662" i="14"/>
  <c r="V1661" i="14"/>
  <c r="S1661" i="14"/>
  <c r="V1660" i="14"/>
  <c r="S1660" i="14"/>
  <c r="V1659" i="14"/>
  <c r="S1659" i="14"/>
  <c r="V1658" i="14"/>
  <c r="S1658" i="14"/>
  <c r="V1657" i="14"/>
  <c r="S1657" i="14"/>
  <c r="V1656" i="14"/>
  <c r="S1656" i="14"/>
  <c r="V1655" i="14"/>
  <c r="S1655" i="14"/>
  <c r="V1654" i="14"/>
  <c r="S1654" i="14"/>
  <c r="V1653" i="14"/>
  <c r="S1653" i="14"/>
  <c r="V1652" i="14"/>
  <c r="S1652" i="14"/>
  <c r="V1651" i="14"/>
  <c r="S1651" i="14"/>
  <c r="V1650" i="14"/>
  <c r="S1650" i="14"/>
  <c r="V1649" i="14"/>
  <c r="S1649" i="14"/>
  <c r="V1648" i="14"/>
  <c r="S1648" i="14"/>
  <c r="V1647" i="14"/>
  <c r="S1647" i="14"/>
  <c r="V1646" i="14"/>
  <c r="S1646" i="14"/>
  <c r="V1645" i="14"/>
  <c r="S1645" i="14"/>
  <c r="V1644" i="14"/>
  <c r="S1644" i="14"/>
  <c r="V1643" i="14"/>
  <c r="S1643" i="14"/>
  <c r="V1642" i="14"/>
  <c r="S1642" i="14"/>
  <c r="V1641" i="14"/>
  <c r="S1641" i="14"/>
  <c r="V1640" i="14"/>
  <c r="S1640" i="14"/>
  <c r="V1639" i="14"/>
  <c r="S1639" i="14"/>
  <c r="V1638" i="14"/>
  <c r="S1638" i="14"/>
  <c r="V1637" i="14"/>
  <c r="S1637" i="14"/>
  <c r="V1636" i="14"/>
  <c r="S1636" i="14"/>
  <c r="V1635" i="14"/>
  <c r="S1635" i="14"/>
  <c r="V1634" i="14"/>
  <c r="S1634" i="14"/>
  <c r="V1633" i="14"/>
  <c r="S1633" i="14"/>
  <c r="V1632" i="14"/>
  <c r="S1632" i="14"/>
  <c r="V1631" i="14"/>
  <c r="S1631" i="14"/>
  <c r="V1630" i="14"/>
  <c r="S1630" i="14"/>
  <c r="V1629" i="14"/>
  <c r="S1629" i="14"/>
  <c r="V1628" i="14"/>
  <c r="S1628" i="14"/>
  <c r="V1627" i="14"/>
  <c r="S1627" i="14"/>
  <c r="V1626" i="14"/>
  <c r="S1626" i="14"/>
  <c r="V1625" i="14"/>
  <c r="S1625" i="14"/>
  <c r="V1624" i="14"/>
  <c r="S1624" i="14"/>
  <c r="V1623" i="14"/>
  <c r="S1623" i="14"/>
  <c r="V1622" i="14"/>
  <c r="S1622" i="14"/>
  <c r="V1621" i="14"/>
  <c r="S1621" i="14"/>
  <c r="V1620" i="14"/>
  <c r="S1620" i="14"/>
  <c r="V1619" i="14"/>
  <c r="S1619" i="14"/>
  <c r="V1618" i="14"/>
  <c r="S1618" i="14"/>
  <c r="V1617" i="14"/>
  <c r="S1617" i="14"/>
  <c r="V1616" i="14"/>
  <c r="S1616" i="14"/>
  <c r="V1615" i="14"/>
  <c r="S1615" i="14"/>
  <c r="V1614" i="14"/>
  <c r="S1614" i="14"/>
  <c r="V1613" i="14"/>
  <c r="S1613" i="14"/>
  <c r="V1612" i="14"/>
  <c r="S1612" i="14"/>
  <c r="V1611" i="14"/>
  <c r="S1611" i="14"/>
  <c r="V1610" i="14"/>
  <c r="S1610" i="14"/>
  <c r="V1609" i="14"/>
  <c r="S1609" i="14"/>
  <c r="V1608" i="14"/>
  <c r="S1608" i="14"/>
  <c r="V1607" i="14"/>
  <c r="S1607" i="14"/>
  <c r="V1606" i="14"/>
  <c r="S1606" i="14"/>
  <c r="V1605" i="14"/>
  <c r="S1605" i="14"/>
  <c r="V1604" i="14"/>
  <c r="S1604" i="14"/>
  <c r="V1603" i="14"/>
  <c r="S1603" i="14"/>
  <c r="V1602" i="14"/>
  <c r="S1602" i="14"/>
  <c r="V1601" i="14"/>
  <c r="S1601" i="14"/>
  <c r="V1600" i="14"/>
  <c r="S1600" i="14"/>
  <c r="V1599" i="14"/>
  <c r="S1599" i="14"/>
  <c r="V1598" i="14"/>
  <c r="S1598" i="14"/>
  <c r="V1597" i="14"/>
  <c r="S1597" i="14"/>
  <c r="V1596" i="14"/>
  <c r="S1596" i="14"/>
  <c r="V1595" i="14"/>
  <c r="S1595" i="14"/>
  <c r="V1594" i="14"/>
  <c r="S1594" i="14"/>
  <c r="V1593" i="14"/>
  <c r="S1593" i="14"/>
  <c r="V1592" i="14"/>
  <c r="S1592" i="14"/>
  <c r="V1591" i="14"/>
  <c r="S1591" i="14"/>
  <c r="V1590" i="14"/>
  <c r="S1590" i="14"/>
  <c r="V1589" i="14"/>
  <c r="S1589" i="14"/>
  <c r="V1588" i="14"/>
  <c r="S1588" i="14"/>
  <c r="V1587" i="14"/>
  <c r="S1587" i="14"/>
  <c r="V1586" i="14"/>
  <c r="S1586" i="14"/>
  <c r="V1585" i="14"/>
  <c r="S1585" i="14"/>
  <c r="V1584" i="14"/>
  <c r="S1584" i="14"/>
  <c r="V1583" i="14"/>
  <c r="S1583" i="14"/>
  <c r="V1582" i="14"/>
  <c r="S1582" i="14"/>
  <c r="V1581" i="14"/>
  <c r="S1581" i="14"/>
  <c r="V1580" i="14"/>
  <c r="S1580" i="14"/>
  <c r="V1579" i="14"/>
  <c r="S1579" i="14"/>
  <c r="V1578" i="14"/>
  <c r="S1578" i="14"/>
  <c r="V1577" i="14"/>
  <c r="S1577" i="14"/>
  <c r="V1576" i="14"/>
  <c r="S1576" i="14"/>
  <c r="V1575" i="14"/>
  <c r="S1575" i="14"/>
  <c r="V1574" i="14"/>
  <c r="S1574" i="14"/>
  <c r="V1573" i="14"/>
  <c r="S1573" i="14"/>
  <c r="V1572" i="14"/>
  <c r="S1572" i="14"/>
  <c r="V1571" i="14"/>
  <c r="S1571" i="14"/>
  <c r="V1570" i="14"/>
  <c r="S1570" i="14"/>
  <c r="V1569" i="14"/>
  <c r="S1569" i="14"/>
  <c r="V1568" i="14"/>
  <c r="S1568" i="14"/>
  <c r="V1567" i="14"/>
  <c r="S1567" i="14"/>
  <c r="V1566" i="14"/>
  <c r="S1566" i="14"/>
  <c r="V1565" i="14"/>
  <c r="S1565" i="14"/>
  <c r="V1564" i="14"/>
  <c r="S1564" i="14"/>
  <c r="V1563" i="14"/>
  <c r="S1563" i="14"/>
  <c r="V1562" i="14"/>
  <c r="S1562" i="14"/>
  <c r="V1561" i="14"/>
  <c r="S1561" i="14"/>
  <c r="V1560" i="14"/>
  <c r="S1560" i="14"/>
  <c r="V1559" i="14"/>
  <c r="S1559" i="14"/>
  <c r="V1558" i="14"/>
  <c r="S1558" i="14"/>
  <c r="V1557" i="14"/>
  <c r="S1557" i="14"/>
  <c r="V1556" i="14"/>
  <c r="S1556" i="14"/>
  <c r="V1555" i="14"/>
  <c r="S1555" i="14"/>
  <c r="V1554" i="14"/>
  <c r="S1554" i="14"/>
  <c r="V1553" i="14"/>
  <c r="S1553" i="14"/>
  <c r="V1552" i="14"/>
  <c r="S1552" i="14"/>
  <c r="V1551" i="14"/>
  <c r="S1551" i="14"/>
  <c r="V1550" i="14"/>
  <c r="S1550" i="14"/>
  <c r="V1549" i="14"/>
  <c r="S1549" i="14"/>
  <c r="V1548" i="14"/>
  <c r="S1548" i="14"/>
  <c r="V1547" i="14"/>
  <c r="S1547" i="14"/>
  <c r="V1546" i="14"/>
  <c r="S1546" i="14"/>
  <c r="V1545" i="14"/>
  <c r="S1545" i="14"/>
  <c r="V1544" i="14"/>
  <c r="S1544" i="14"/>
  <c r="V1543" i="14"/>
  <c r="S1543" i="14"/>
  <c r="V1542" i="14"/>
  <c r="S1542" i="14"/>
  <c r="V1541" i="14"/>
  <c r="S1541" i="14"/>
  <c r="V1540" i="14"/>
  <c r="S1540" i="14"/>
  <c r="V1539" i="14"/>
  <c r="S1539" i="14"/>
  <c r="V1538" i="14"/>
  <c r="S1538" i="14"/>
  <c r="V1537" i="14"/>
  <c r="S1537" i="14"/>
  <c r="V1536" i="14"/>
  <c r="S1536" i="14"/>
  <c r="V1535" i="14"/>
  <c r="S1535" i="14"/>
  <c r="V1534" i="14"/>
  <c r="S1534" i="14"/>
  <c r="V1533" i="14"/>
  <c r="S1533" i="14"/>
  <c r="V1532" i="14"/>
  <c r="S1532" i="14"/>
  <c r="V1531" i="14"/>
  <c r="S1531" i="14"/>
  <c r="V1530" i="14"/>
  <c r="S1530" i="14"/>
  <c r="V1529" i="14"/>
  <c r="S1529" i="14"/>
  <c r="V1528" i="14"/>
  <c r="S1528" i="14"/>
  <c r="V1527" i="14"/>
  <c r="S1527" i="14"/>
  <c r="V1526" i="14"/>
  <c r="S1526" i="14"/>
  <c r="V1525" i="14"/>
  <c r="S1525" i="14"/>
  <c r="V1524" i="14"/>
  <c r="S1524" i="14"/>
  <c r="V1523" i="14"/>
  <c r="S1523" i="14"/>
  <c r="V1522" i="14"/>
  <c r="S1522" i="14"/>
  <c r="V1521" i="14"/>
  <c r="S1521" i="14"/>
  <c r="V1520" i="14"/>
  <c r="S1520" i="14"/>
  <c r="V1519" i="14"/>
  <c r="S1519" i="14"/>
  <c r="V1518" i="14"/>
  <c r="S1518" i="14"/>
  <c r="V1517" i="14"/>
  <c r="S1517" i="14"/>
  <c r="V1516" i="14"/>
  <c r="S1516" i="14"/>
  <c r="V1515" i="14"/>
  <c r="S1515" i="14"/>
  <c r="V1514" i="14"/>
  <c r="S1514" i="14"/>
  <c r="V1513" i="14"/>
  <c r="S1513" i="14"/>
  <c r="V1512" i="14"/>
  <c r="S1512" i="14"/>
  <c r="V1511" i="14"/>
  <c r="S1511" i="14"/>
  <c r="V1510" i="14"/>
  <c r="S1510" i="14"/>
  <c r="V1509" i="14"/>
  <c r="S1509" i="14"/>
  <c r="V1508" i="14"/>
  <c r="S1508" i="14"/>
  <c r="V1507" i="14"/>
  <c r="S1507" i="14"/>
  <c r="V1506" i="14"/>
  <c r="S1506" i="14"/>
  <c r="V1505" i="14"/>
  <c r="S1505" i="14"/>
  <c r="V1504" i="14"/>
  <c r="S1504" i="14"/>
  <c r="V1503" i="14"/>
  <c r="S1503" i="14"/>
  <c r="V1502" i="14"/>
  <c r="S1502" i="14"/>
  <c r="V1501" i="14"/>
  <c r="S1501" i="14"/>
  <c r="V1500" i="14"/>
  <c r="S1500" i="14"/>
  <c r="V1499" i="14"/>
  <c r="S1499" i="14"/>
  <c r="V1498" i="14"/>
  <c r="S1498" i="14"/>
  <c r="V1497" i="14"/>
  <c r="S1497" i="14"/>
  <c r="V1496" i="14"/>
  <c r="S1496" i="14"/>
  <c r="V1495" i="14"/>
  <c r="S1495" i="14"/>
  <c r="V1494" i="14"/>
  <c r="S1494" i="14"/>
  <c r="V1493" i="14"/>
  <c r="S1493" i="14"/>
  <c r="V1492" i="14"/>
  <c r="S1492" i="14"/>
  <c r="V1491" i="14"/>
  <c r="S1491" i="14"/>
  <c r="V1490" i="14"/>
  <c r="S1490" i="14"/>
  <c r="V1489" i="14"/>
  <c r="S1489" i="14"/>
  <c r="V1488" i="14"/>
  <c r="S1488" i="14"/>
  <c r="V1487" i="14"/>
  <c r="S1487" i="14"/>
  <c r="V1486" i="14"/>
  <c r="S1486" i="14"/>
  <c r="V1485" i="14"/>
  <c r="S1485" i="14"/>
  <c r="V1484" i="14"/>
  <c r="S1484" i="14"/>
  <c r="V1483" i="14"/>
  <c r="S1483" i="14"/>
  <c r="V1482" i="14"/>
  <c r="S1482" i="14"/>
  <c r="V1481" i="14"/>
  <c r="S1481" i="14"/>
  <c r="V1480" i="14"/>
  <c r="S1480" i="14"/>
  <c r="V1479" i="14"/>
  <c r="S1479" i="14"/>
  <c r="V1478" i="14"/>
  <c r="S1478" i="14"/>
  <c r="V1477" i="14"/>
  <c r="S1477" i="14"/>
  <c r="V1476" i="14"/>
  <c r="S1476" i="14"/>
  <c r="V1475" i="14"/>
  <c r="S1475" i="14"/>
  <c r="V1474" i="14"/>
  <c r="S1474" i="14"/>
  <c r="V1473" i="14"/>
  <c r="S1473" i="14"/>
  <c r="V1472" i="14"/>
  <c r="S1472" i="14"/>
  <c r="V1471" i="14"/>
  <c r="S1471" i="14"/>
  <c r="V1470" i="14"/>
  <c r="S1470" i="14"/>
  <c r="V1469" i="14"/>
  <c r="S1469" i="14"/>
  <c r="V1468" i="14"/>
  <c r="S1468" i="14"/>
  <c r="V1467" i="14"/>
  <c r="S1467" i="14"/>
  <c r="V1466" i="14"/>
  <c r="S1466" i="14"/>
  <c r="V1465" i="14"/>
  <c r="S1465" i="14"/>
  <c r="V1464" i="14"/>
  <c r="S1464" i="14"/>
  <c r="V1463" i="14"/>
  <c r="S1463" i="14"/>
  <c r="V1462" i="14"/>
  <c r="S1462" i="14"/>
  <c r="V1461" i="14"/>
  <c r="S1461" i="14"/>
  <c r="V1460" i="14"/>
  <c r="S1460" i="14"/>
  <c r="V1459" i="14"/>
  <c r="S1459" i="14"/>
  <c r="V1458" i="14"/>
  <c r="S1458" i="14"/>
  <c r="V1457" i="14"/>
  <c r="S1457" i="14"/>
  <c r="V1456" i="14"/>
  <c r="S1456" i="14"/>
  <c r="V1455" i="14"/>
  <c r="S1455" i="14"/>
  <c r="V1454" i="14"/>
  <c r="S1454" i="14"/>
  <c r="V1453" i="14"/>
  <c r="S1453" i="14"/>
  <c r="V1452" i="14"/>
  <c r="S1452" i="14"/>
  <c r="V1451" i="14"/>
  <c r="S1451" i="14"/>
  <c r="V1450" i="14"/>
  <c r="S1450" i="14"/>
  <c r="V1449" i="14"/>
  <c r="S1449" i="14"/>
  <c r="V1448" i="14"/>
  <c r="S1448" i="14"/>
  <c r="V1447" i="14"/>
  <c r="S1447" i="14"/>
  <c r="V1446" i="14"/>
  <c r="S1446" i="14"/>
  <c r="V1445" i="14"/>
  <c r="S1445" i="14"/>
  <c r="V1444" i="14"/>
  <c r="S1444" i="14"/>
  <c r="V1443" i="14"/>
  <c r="S1443" i="14"/>
  <c r="V1442" i="14"/>
  <c r="S1442" i="14"/>
  <c r="V1441" i="14"/>
  <c r="S1441" i="14"/>
  <c r="V1440" i="14"/>
  <c r="S1440" i="14"/>
  <c r="V1439" i="14"/>
  <c r="S1439" i="14"/>
  <c r="V1438" i="14"/>
  <c r="S1438" i="14"/>
  <c r="V1437" i="14"/>
  <c r="S1437" i="14"/>
  <c r="V1436" i="14"/>
  <c r="S1436" i="14"/>
  <c r="V1435" i="14"/>
  <c r="S1435" i="14"/>
  <c r="V1434" i="14"/>
  <c r="S1434" i="14"/>
  <c r="V1433" i="14"/>
  <c r="S1433" i="14"/>
  <c r="V1432" i="14"/>
  <c r="S1432" i="14"/>
  <c r="V1431" i="14"/>
  <c r="S1431" i="14"/>
  <c r="V1430" i="14"/>
  <c r="S1430" i="14"/>
  <c r="V1429" i="14"/>
  <c r="S1429" i="14"/>
  <c r="V1428" i="14"/>
  <c r="S1428" i="14"/>
  <c r="V1427" i="14"/>
  <c r="S1427" i="14"/>
  <c r="V1426" i="14"/>
  <c r="S1426" i="14"/>
  <c r="V1425" i="14"/>
  <c r="S1425" i="14"/>
  <c r="V1424" i="14"/>
  <c r="S1424" i="14"/>
  <c r="V1423" i="14"/>
  <c r="S1423" i="14"/>
  <c r="V1422" i="14"/>
  <c r="S1422" i="14"/>
  <c r="V1421" i="14"/>
  <c r="S1421" i="14"/>
  <c r="V1420" i="14"/>
  <c r="S1420" i="14"/>
  <c r="V1419" i="14"/>
  <c r="S1419" i="14"/>
  <c r="V1418" i="14"/>
  <c r="S1418" i="14"/>
  <c r="V1417" i="14"/>
  <c r="S1417" i="14"/>
  <c r="V1416" i="14"/>
  <c r="S1416" i="14"/>
  <c r="V1415" i="14"/>
  <c r="S1415" i="14"/>
  <c r="V1414" i="14"/>
  <c r="S1414" i="14"/>
  <c r="V1413" i="14"/>
  <c r="S1413" i="14"/>
  <c r="V1412" i="14"/>
  <c r="S1412" i="14"/>
  <c r="V1411" i="14"/>
  <c r="S1411" i="14"/>
  <c r="V1410" i="14"/>
  <c r="S1410" i="14"/>
  <c r="V1409" i="14"/>
  <c r="S1409" i="14"/>
  <c r="V1408" i="14"/>
  <c r="S1408" i="14"/>
  <c r="V1407" i="14"/>
  <c r="S1407" i="14"/>
  <c r="V1406" i="14"/>
  <c r="S1406" i="14"/>
  <c r="V1405" i="14"/>
  <c r="S1405" i="14"/>
  <c r="V1404" i="14"/>
  <c r="S1404" i="14"/>
  <c r="V1403" i="14"/>
  <c r="S1403" i="14"/>
  <c r="V1402" i="14"/>
  <c r="S1402" i="14"/>
  <c r="V1401" i="14"/>
  <c r="S1401" i="14"/>
  <c r="V1400" i="14"/>
  <c r="S1400" i="14"/>
  <c r="V1399" i="14"/>
  <c r="S1399" i="14"/>
  <c r="V1398" i="14"/>
  <c r="S1398" i="14"/>
  <c r="V1397" i="14"/>
  <c r="S1397" i="14"/>
  <c r="V1396" i="14"/>
  <c r="S1396" i="14"/>
  <c r="V1395" i="14"/>
  <c r="S1395" i="14"/>
  <c r="V1394" i="14"/>
  <c r="S1394" i="14"/>
  <c r="V1393" i="14"/>
  <c r="S1393" i="14"/>
  <c r="V1392" i="14"/>
  <c r="S1392" i="14"/>
  <c r="V1391" i="14"/>
  <c r="S1391" i="14"/>
  <c r="V1390" i="14"/>
  <c r="S1390" i="14"/>
  <c r="V1389" i="14"/>
  <c r="S1389" i="14"/>
  <c r="V1388" i="14"/>
  <c r="S1388" i="14"/>
  <c r="V1387" i="14"/>
  <c r="S1387" i="14"/>
  <c r="V1386" i="14"/>
  <c r="S1386" i="14"/>
  <c r="V1385" i="14"/>
  <c r="S1385" i="14"/>
  <c r="V1384" i="14"/>
  <c r="S1384" i="14"/>
  <c r="V1383" i="14"/>
  <c r="S1383" i="14"/>
  <c r="V1382" i="14"/>
  <c r="S1382" i="14"/>
  <c r="V1381" i="14"/>
  <c r="S1381" i="14"/>
  <c r="V1380" i="14"/>
  <c r="S1380" i="14"/>
  <c r="V1379" i="14"/>
  <c r="S1379" i="14"/>
  <c r="V1378" i="14"/>
  <c r="S1378" i="14"/>
  <c r="V1377" i="14"/>
  <c r="S1377" i="14"/>
  <c r="V1376" i="14"/>
  <c r="S1376" i="14"/>
  <c r="V1375" i="14"/>
  <c r="S1375" i="14"/>
  <c r="V1374" i="14"/>
  <c r="S1374" i="14"/>
  <c r="V1373" i="14"/>
  <c r="S1373" i="14"/>
  <c r="V1372" i="14"/>
  <c r="S1372" i="14"/>
  <c r="V1371" i="14"/>
  <c r="S1371" i="14"/>
  <c r="V1370" i="14"/>
  <c r="S1370" i="14"/>
  <c r="V1369" i="14"/>
  <c r="S1369" i="14"/>
  <c r="V1368" i="14"/>
  <c r="S1368" i="14"/>
  <c r="V1367" i="14"/>
  <c r="S1367" i="14"/>
  <c r="V1366" i="14"/>
  <c r="S1366" i="14"/>
  <c r="V1365" i="14"/>
  <c r="S1365" i="14"/>
  <c r="V1364" i="14"/>
  <c r="S1364" i="14"/>
  <c r="V1363" i="14"/>
  <c r="S1363" i="14"/>
  <c r="V1362" i="14"/>
  <c r="S1362" i="14"/>
  <c r="V1361" i="14"/>
  <c r="S1361" i="14"/>
  <c r="V1360" i="14"/>
  <c r="S1360" i="14"/>
  <c r="V1359" i="14"/>
  <c r="S1359" i="14"/>
  <c r="V1358" i="14"/>
  <c r="S1358" i="14"/>
  <c r="V1357" i="14"/>
  <c r="S1357" i="14"/>
  <c r="V1356" i="14"/>
  <c r="S1356" i="14"/>
  <c r="V1355" i="14"/>
  <c r="S1355" i="14"/>
  <c r="V1354" i="14"/>
  <c r="S1354" i="14"/>
  <c r="V1353" i="14"/>
  <c r="S1353" i="14"/>
  <c r="V1352" i="14"/>
  <c r="S1352" i="14"/>
  <c r="V1351" i="14"/>
  <c r="S1351" i="14"/>
  <c r="V1350" i="14"/>
  <c r="S1350" i="14"/>
  <c r="V1349" i="14"/>
  <c r="S1349" i="14"/>
  <c r="V1348" i="14"/>
  <c r="S1348" i="14"/>
  <c r="V1347" i="14"/>
  <c r="S1347" i="14"/>
  <c r="V1346" i="14"/>
  <c r="S1346" i="14"/>
  <c r="V1345" i="14"/>
  <c r="S1345" i="14"/>
  <c r="V1344" i="14"/>
  <c r="S1344" i="14"/>
  <c r="V1343" i="14"/>
  <c r="S1343" i="14"/>
  <c r="V1342" i="14"/>
  <c r="S1342" i="14"/>
  <c r="V1341" i="14"/>
  <c r="S1341" i="14"/>
  <c r="V1340" i="14"/>
  <c r="S1340" i="14"/>
  <c r="V1339" i="14"/>
  <c r="S1339" i="14"/>
  <c r="V1338" i="14"/>
  <c r="S1338" i="14"/>
  <c r="V1337" i="14"/>
  <c r="S1337" i="14"/>
  <c r="V1336" i="14"/>
  <c r="S1336" i="14"/>
  <c r="V1335" i="14"/>
  <c r="S1335" i="14"/>
  <c r="V1334" i="14"/>
  <c r="S1334" i="14"/>
  <c r="V1333" i="14"/>
  <c r="S1333" i="14"/>
  <c r="V1332" i="14"/>
  <c r="S1332" i="14"/>
  <c r="V1331" i="14"/>
  <c r="S1331" i="14"/>
  <c r="V1330" i="14"/>
  <c r="S1330" i="14"/>
  <c r="V1329" i="14"/>
  <c r="S1329" i="14"/>
  <c r="V1328" i="14"/>
  <c r="S1328" i="14"/>
  <c r="V1327" i="14"/>
  <c r="S1327" i="14"/>
  <c r="V1326" i="14"/>
  <c r="S1326" i="14"/>
  <c r="V1325" i="14"/>
  <c r="S1325" i="14"/>
  <c r="V1324" i="14"/>
  <c r="S1324" i="14"/>
  <c r="V1323" i="14"/>
  <c r="S1323" i="14"/>
  <c r="V1322" i="14"/>
  <c r="S1322" i="14"/>
  <c r="V1321" i="14"/>
  <c r="S1321" i="14"/>
  <c r="V1320" i="14"/>
  <c r="S1320" i="14"/>
  <c r="V1319" i="14"/>
  <c r="S1319" i="14"/>
  <c r="V1318" i="14"/>
  <c r="S1318" i="14"/>
  <c r="V1317" i="14"/>
  <c r="S1317" i="14"/>
  <c r="V1316" i="14"/>
  <c r="S1316" i="14"/>
  <c r="V1315" i="14"/>
  <c r="S1315" i="14"/>
  <c r="V1314" i="14"/>
  <c r="S1314" i="14"/>
  <c r="V1313" i="14"/>
  <c r="S1313" i="14"/>
  <c r="V1312" i="14"/>
  <c r="S1312" i="14"/>
  <c r="V1311" i="14"/>
  <c r="S1311" i="14"/>
  <c r="V1310" i="14"/>
  <c r="S1310" i="14"/>
  <c r="V1309" i="14"/>
  <c r="S1309" i="14"/>
  <c r="V1308" i="14"/>
  <c r="S1308" i="14"/>
  <c r="V1307" i="14"/>
  <c r="S1307" i="14"/>
  <c r="V1306" i="14"/>
  <c r="S1306" i="14"/>
  <c r="V1305" i="14"/>
  <c r="S1305" i="14"/>
  <c r="V1304" i="14"/>
  <c r="S1304" i="14"/>
  <c r="V1303" i="14"/>
  <c r="S1303" i="14"/>
  <c r="V1302" i="14"/>
  <c r="S1302" i="14"/>
  <c r="V1301" i="14"/>
  <c r="S1301" i="14"/>
  <c r="V1300" i="14"/>
  <c r="S1300" i="14"/>
  <c r="V1299" i="14"/>
  <c r="S1299" i="14"/>
  <c r="V1298" i="14"/>
  <c r="S1298" i="14"/>
  <c r="V1297" i="14"/>
  <c r="S1297" i="14"/>
  <c r="V1296" i="14"/>
  <c r="S1296" i="14"/>
  <c r="V1295" i="14"/>
  <c r="S1295" i="14"/>
  <c r="V1294" i="14"/>
  <c r="S1294" i="14"/>
  <c r="V1293" i="14"/>
  <c r="S1293" i="14"/>
  <c r="V1292" i="14"/>
  <c r="S1292" i="14"/>
  <c r="V1291" i="14"/>
  <c r="S1291" i="14"/>
  <c r="V1290" i="14"/>
  <c r="S1290" i="14"/>
  <c r="V1289" i="14"/>
  <c r="S1289" i="14"/>
  <c r="V1288" i="14"/>
  <c r="S1288" i="14"/>
  <c r="V1287" i="14"/>
  <c r="S1287" i="14"/>
  <c r="V1286" i="14"/>
  <c r="S1286" i="14"/>
  <c r="V1285" i="14"/>
  <c r="S1285" i="14"/>
  <c r="V1284" i="14"/>
  <c r="S1284" i="14"/>
  <c r="V1283" i="14"/>
  <c r="S1283" i="14"/>
  <c r="V1282" i="14"/>
  <c r="S1282" i="14"/>
  <c r="V1281" i="14"/>
  <c r="S1281" i="14"/>
  <c r="V1280" i="14"/>
  <c r="S1280" i="14"/>
  <c r="V1279" i="14"/>
  <c r="S1279" i="14"/>
  <c r="V1278" i="14"/>
  <c r="S1278" i="14"/>
  <c r="V1277" i="14"/>
  <c r="S1277" i="14"/>
  <c r="V1276" i="14"/>
  <c r="S1276" i="14"/>
  <c r="V1275" i="14"/>
  <c r="S1275" i="14"/>
  <c r="V1274" i="14"/>
  <c r="S1274" i="14"/>
  <c r="V1273" i="14"/>
  <c r="S1273" i="14"/>
  <c r="V1272" i="14"/>
  <c r="S1272" i="14"/>
  <c r="V1271" i="14"/>
  <c r="S1271" i="14"/>
  <c r="V1270" i="14"/>
  <c r="S1270" i="14"/>
  <c r="V1269" i="14"/>
  <c r="S1269" i="14"/>
  <c r="V1268" i="14"/>
  <c r="S1268" i="14"/>
  <c r="V1267" i="14"/>
  <c r="S1267" i="14"/>
  <c r="V1266" i="14"/>
  <c r="S1266" i="14"/>
  <c r="V1265" i="14"/>
  <c r="S1265" i="14"/>
  <c r="V1264" i="14"/>
  <c r="S1264" i="14"/>
  <c r="V1263" i="14"/>
  <c r="S1263" i="14"/>
  <c r="V1262" i="14"/>
  <c r="S1262" i="14"/>
  <c r="V1261" i="14"/>
  <c r="S1261" i="14"/>
  <c r="V1260" i="14"/>
  <c r="S1260" i="14"/>
  <c r="V1259" i="14"/>
  <c r="S1259" i="14"/>
  <c r="V1258" i="14"/>
  <c r="S1258" i="14"/>
  <c r="V1257" i="14"/>
  <c r="S1257" i="14"/>
  <c r="V1256" i="14"/>
  <c r="S1256" i="14"/>
  <c r="V1255" i="14"/>
  <c r="S1255" i="14"/>
  <c r="V1254" i="14"/>
  <c r="S1254" i="14"/>
  <c r="V1253" i="14"/>
  <c r="S1253" i="14"/>
  <c r="V1252" i="14"/>
  <c r="S1252" i="14"/>
  <c r="V1251" i="14"/>
  <c r="S1251" i="14"/>
  <c r="V1250" i="14"/>
  <c r="S1250" i="14"/>
  <c r="V1249" i="14"/>
  <c r="S1249" i="14"/>
  <c r="V1248" i="14"/>
  <c r="S1248" i="14"/>
  <c r="V1247" i="14"/>
  <c r="S1247" i="14"/>
  <c r="V1246" i="14"/>
  <c r="S1246" i="14"/>
  <c r="V1245" i="14"/>
  <c r="S1245" i="14"/>
  <c r="V1244" i="14"/>
  <c r="S1244" i="14"/>
  <c r="V1243" i="14"/>
  <c r="S1243" i="14"/>
  <c r="V1242" i="14"/>
  <c r="S1242" i="14"/>
  <c r="V1241" i="14"/>
  <c r="S1241" i="14"/>
  <c r="V1240" i="14"/>
  <c r="S1240" i="14"/>
  <c r="V1239" i="14"/>
  <c r="S1239" i="14"/>
  <c r="V1238" i="14"/>
  <c r="S1238" i="14"/>
  <c r="V1237" i="14"/>
  <c r="S1237" i="14"/>
  <c r="V1236" i="14"/>
  <c r="S1236" i="14"/>
  <c r="V1235" i="14"/>
  <c r="S1235" i="14"/>
  <c r="V1234" i="14"/>
  <c r="S1234" i="14"/>
  <c r="V1233" i="14"/>
  <c r="S1233" i="14"/>
  <c r="V1232" i="14"/>
  <c r="S1232" i="14"/>
  <c r="V1231" i="14"/>
  <c r="S1231" i="14"/>
  <c r="V1230" i="14"/>
  <c r="S1230" i="14"/>
  <c r="V1229" i="14"/>
  <c r="S1229" i="14"/>
  <c r="V1228" i="14"/>
  <c r="S1228" i="14"/>
  <c r="V1227" i="14"/>
  <c r="S1227" i="14"/>
  <c r="V1226" i="14"/>
  <c r="S1226" i="14"/>
  <c r="V1225" i="14"/>
  <c r="S1225" i="14"/>
  <c r="V1224" i="14"/>
  <c r="S1224" i="14"/>
  <c r="V1223" i="14"/>
  <c r="S1223" i="14"/>
  <c r="V1222" i="14"/>
  <c r="S1222" i="14"/>
  <c r="V1221" i="14"/>
  <c r="S1221" i="14"/>
  <c r="V1220" i="14"/>
  <c r="S1220" i="14"/>
  <c r="V1219" i="14"/>
  <c r="S1219" i="14"/>
  <c r="V1218" i="14"/>
  <c r="S1218" i="14"/>
  <c r="V1217" i="14"/>
  <c r="S1217" i="14"/>
  <c r="V1216" i="14"/>
  <c r="S1216" i="14"/>
  <c r="V1215" i="14"/>
  <c r="S1215" i="14"/>
  <c r="V1214" i="14"/>
  <c r="S1214" i="14"/>
  <c r="V1213" i="14"/>
  <c r="S1213" i="14"/>
  <c r="V1212" i="14"/>
  <c r="S1212" i="14"/>
  <c r="V1211" i="14"/>
  <c r="S1211" i="14"/>
  <c r="V1210" i="14"/>
  <c r="S1210" i="14"/>
  <c r="V1209" i="14"/>
  <c r="S1209" i="14"/>
  <c r="V1208" i="14"/>
  <c r="S1208" i="14"/>
  <c r="V1207" i="14"/>
  <c r="S1207" i="14"/>
  <c r="V1206" i="14"/>
  <c r="S1206" i="14"/>
  <c r="V1205" i="14"/>
  <c r="S1205" i="14"/>
  <c r="V1204" i="14"/>
  <c r="S1204" i="14"/>
  <c r="V1203" i="14"/>
  <c r="S1203" i="14"/>
  <c r="V1202" i="14"/>
  <c r="S1202" i="14"/>
  <c r="V1201" i="14"/>
  <c r="S1201" i="14"/>
  <c r="V1200" i="14"/>
  <c r="S1200" i="14"/>
  <c r="V1199" i="14"/>
  <c r="S1199" i="14"/>
  <c r="V1198" i="14"/>
  <c r="S1198" i="14"/>
  <c r="V1197" i="14"/>
  <c r="S1197" i="14"/>
  <c r="V1196" i="14"/>
  <c r="S1196" i="14"/>
  <c r="V1195" i="14"/>
  <c r="S1195" i="14"/>
  <c r="V1194" i="14"/>
  <c r="S1194" i="14"/>
  <c r="V1193" i="14"/>
  <c r="S1193" i="14"/>
  <c r="V1192" i="14"/>
  <c r="S1192" i="14"/>
  <c r="V1191" i="14"/>
  <c r="S1191" i="14"/>
  <c r="V1190" i="14"/>
  <c r="S1190" i="14"/>
  <c r="V1189" i="14"/>
  <c r="S1189" i="14"/>
  <c r="V1188" i="14"/>
  <c r="S1188" i="14"/>
  <c r="V1187" i="14"/>
  <c r="S1187" i="14"/>
  <c r="V1186" i="14"/>
  <c r="S1186" i="14"/>
  <c r="V1185" i="14"/>
  <c r="S1185" i="14"/>
  <c r="V1184" i="14"/>
  <c r="S1184" i="14"/>
  <c r="V1183" i="14"/>
  <c r="S1183" i="14"/>
  <c r="V1182" i="14"/>
  <c r="S1182" i="14"/>
  <c r="V1181" i="14"/>
  <c r="S1181" i="14"/>
  <c r="V1180" i="14"/>
  <c r="S1180" i="14"/>
  <c r="V1179" i="14"/>
  <c r="S1179" i="14"/>
  <c r="V1178" i="14"/>
  <c r="S1178" i="14"/>
  <c r="V1177" i="14"/>
  <c r="S1177" i="14"/>
  <c r="V1176" i="14"/>
  <c r="S1176" i="14"/>
  <c r="V1175" i="14"/>
  <c r="S1175" i="14"/>
  <c r="V1174" i="14"/>
  <c r="S1174" i="14"/>
  <c r="V1173" i="14"/>
  <c r="S1173" i="14"/>
  <c r="V1172" i="14"/>
  <c r="S1172" i="14"/>
  <c r="V1171" i="14"/>
  <c r="S1171" i="14"/>
  <c r="V1170" i="14"/>
  <c r="S1170" i="14"/>
  <c r="V1169" i="14"/>
  <c r="S1169" i="14"/>
  <c r="V1168" i="14"/>
  <c r="S1168" i="14"/>
  <c r="V1167" i="14"/>
  <c r="S1167" i="14"/>
  <c r="V1166" i="14"/>
  <c r="S1166" i="14"/>
  <c r="V1165" i="14"/>
  <c r="S1165" i="14"/>
  <c r="V1164" i="14"/>
  <c r="S1164" i="14"/>
  <c r="V1163" i="14"/>
  <c r="S1163" i="14"/>
  <c r="V1162" i="14"/>
  <c r="S1162" i="14"/>
  <c r="V1161" i="14"/>
  <c r="S1161" i="14"/>
  <c r="V1160" i="14"/>
  <c r="S1160" i="14"/>
  <c r="V1159" i="14"/>
  <c r="S1159" i="14"/>
  <c r="V1158" i="14"/>
  <c r="S1158" i="14"/>
  <c r="V1157" i="14"/>
  <c r="S1157" i="14"/>
  <c r="V1156" i="14"/>
  <c r="S1156" i="14"/>
  <c r="V1155" i="14"/>
  <c r="S1155" i="14"/>
  <c r="V1154" i="14"/>
  <c r="S1154" i="14"/>
  <c r="V1153" i="14"/>
  <c r="S1153" i="14"/>
  <c r="V1152" i="14"/>
  <c r="S1152" i="14"/>
  <c r="V1151" i="14"/>
  <c r="S1151" i="14"/>
  <c r="V1150" i="14"/>
  <c r="S1150" i="14"/>
  <c r="V1149" i="14"/>
  <c r="S1149" i="14"/>
  <c r="V1148" i="14"/>
  <c r="S1148" i="14"/>
  <c r="V1147" i="14"/>
  <c r="S1147" i="14"/>
  <c r="V1146" i="14"/>
  <c r="S1146" i="14"/>
  <c r="V1145" i="14"/>
  <c r="S1145" i="14"/>
  <c r="V1144" i="14"/>
  <c r="S1144" i="14"/>
  <c r="V1143" i="14"/>
  <c r="S1143" i="14"/>
  <c r="V1142" i="14"/>
  <c r="S1142" i="14"/>
  <c r="V1141" i="14"/>
  <c r="S1141" i="14"/>
  <c r="V1140" i="14"/>
  <c r="S1140" i="14"/>
  <c r="V1139" i="14"/>
  <c r="S1139" i="14"/>
  <c r="V1138" i="14"/>
  <c r="S1138" i="14"/>
  <c r="V1137" i="14"/>
  <c r="S1137" i="14"/>
  <c r="V1136" i="14"/>
  <c r="S1136" i="14"/>
  <c r="V1135" i="14"/>
  <c r="S1135" i="14"/>
  <c r="V1134" i="14"/>
  <c r="S1134" i="14"/>
  <c r="V1133" i="14"/>
  <c r="S1133" i="14"/>
  <c r="V1132" i="14"/>
  <c r="S1132" i="14"/>
  <c r="V1131" i="14"/>
  <c r="S1131" i="14"/>
  <c r="V1130" i="14"/>
  <c r="S1130" i="14"/>
  <c r="V1129" i="14"/>
  <c r="S1129" i="14"/>
  <c r="V1128" i="14"/>
  <c r="S1128" i="14"/>
  <c r="V1127" i="14"/>
  <c r="S1127" i="14"/>
  <c r="V1126" i="14"/>
  <c r="S1126" i="14"/>
  <c r="V1125" i="14"/>
  <c r="S1125" i="14"/>
  <c r="V1124" i="14"/>
  <c r="S1124" i="14"/>
  <c r="V1123" i="14"/>
  <c r="S1123" i="14"/>
  <c r="V1122" i="14"/>
  <c r="S1122" i="14"/>
  <c r="V1121" i="14"/>
  <c r="S1121" i="14"/>
  <c r="V1120" i="14"/>
  <c r="S1120" i="14"/>
  <c r="V1119" i="14"/>
  <c r="S1119" i="14"/>
  <c r="V1118" i="14"/>
  <c r="S1118" i="14"/>
  <c r="V1117" i="14"/>
  <c r="S1117" i="14"/>
  <c r="V1116" i="14"/>
  <c r="S1116" i="14"/>
  <c r="V1115" i="14"/>
  <c r="S1115" i="14"/>
  <c r="V1114" i="14"/>
  <c r="S1114" i="14"/>
  <c r="V1113" i="14"/>
  <c r="S1113" i="14"/>
  <c r="V1112" i="14"/>
  <c r="S1112" i="14"/>
  <c r="V1111" i="14"/>
  <c r="S1111" i="14"/>
  <c r="V1110" i="14"/>
  <c r="S1110" i="14"/>
  <c r="V1109" i="14"/>
  <c r="S1109" i="14"/>
  <c r="V1108" i="14"/>
  <c r="S1108" i="14"/>
  <c r="V1107" i="14"/>
  <c r="S1107" i="14"/>
  <c r="V1106" i="14"/>
  <c r="S1106" i="14"/>
  <c r="V1105" i="14"/>
  <c r="S1105" i="14"/>
  <c r="V1104" i="14"/>
  <c r="S1104" i="14"/>
  <c r="V1103" i="14"/>
  <c r="S1103" i="14"/>
  <c r="V1102" i="14"/>
  <c r="S1102" i="14"/>
  <c r="V1101" i="14"/>
  <c r="S1101" i="14"/>
  <c r="V1100" i="14"/>
  <c r="S1100" i="14"/>
  <c r="V1099" i="14"/>
  <c r="S1099" i="14"/>
  <c r="V1098" i="14"/>
  <c r="S1098" i="14"/>
  <c r="V1097" i="14"/>
  <c r="S1097" i="14"/>
  <c r="V1096" i="14"/>
  <c r="S1096" i="14"/>
  <c r="V1095" i="14"/>
  <c r="S1095" i="14"/>
  <c r="V1094" i="14"/>
  <c r="S1094" i="14"/>
  <c r="V1093" i="14"/>
  <c r="S1093" i="14"/>
  <c r="V1092" i="14"/>
  <c r="S1092" i="14"/>
  <c r="V1091" i="14"/>
  <c r="S1091" i="14"/>
  <c r="V1090" i="14"/>
  <c r="S1090" i="14"/>
  <c r="V1089" i="14"/>
  <c r="S1089" i="14"/>
  <c r="V1088" i="14"/>
  <c r="S1088" i="14"/>
  <c r="V1087" i="14"/>
  <c r="S1087" i="14"/>
  <c r="V1086" i="14"/>
  <c r="S1086" i="14"/>
  <c r="V1085" i="14"/>
  <c r="S1085" i="14"/>
  <c r="V1084" i="14"/>
  <c r="S1084" i="14"/>
  <c r="V1083" i="14"/>
  <c r="S1083" i="14"/>
  <c r="V1082" i="14"/>
  <c r="S1082" i="14"/>
  <c r="V1081" i="14"/>
  <c r="S1081" i="14"/>
  <c r="V1080" i="14"/>
  <c r="S1080" i="14"/>
  <c r="V1079" i="14"/>
  <c r="S1079" i="14"/>
  <c r="V1078" i="14"/>
  <c r="S1078" i="14"/>
  <c r="V1077" i="14"/>
  <c r="S1077" i="14"/>
  <c r="V1076" i="14"/>
  <c r="S1076" i="14"/>
  <c r="V1075" i="14"/>
  <c r="S1075" i="14"/>
  <c r="V1074" i="14"/>
  <c r="S1074" i="14"/>
  <c r="V1073" i="14"/>
  <c r="S1073" i="14"/>
  <c r="V1072" i="14"/>
  <c r="S1072" i="14"/>
  <c r="V1071" i="14"/>
  <c r="S1071" i="14"/>
  <c r="V1070" i="14"/>
  <c r="S1070" i="14"/>
  <c r="V1069" i="14"/>
  <c r="S1069" i="14"/>
  <c r="V1068" i="14"/>
  <c r="S1068" i="14"/>
  <c r="V1067" i="14"/>
  <c r="S1067" i="14"/>
  <c r="V1066" i="14"/>
  <c r="S1066" i="14"/>
  <c r="V1065" i="14"/>
  <c r="S1065" i="14"/>
  <c r="V1064" i="14"/>
  <c r="S1064" i="14"/>
  <c r="V1063" i="14"/>
  <c r="S1063" i="14"/>
  <c r="V1062" i="14"/>
  <c r="S1062" i="14"/>
  <c r="V1061" i="14"/>
  <c r="S1061" i="14"/>
  <c r="V1060" i="14"/>
  <c r="S1060" i="14"/>
  <c r="V1059" i="14"/>
  <c r="S1059" i="14"/>
  <c r="V1058" i="14"/>
  <c r="S1058" i="14"/>
  <c r="V1057" i="14"/>
  <c r="S1057" i="14"/>
  <c r="V1056" i="14"/>
  <c r="S1056" i="14"/>
  <c r="V1055" i="14"/>
  <c r="S1055" i="14"/>
  <c r="V1054" i="14"/>
  <c r="S1054" i="14"/>
  <c r="V1053" i="14"/>
  <c r="S1053" i="14"/>
  <c r="V1052" i="14"/>
  <c r="S1052" i="14"/>
  <c r="V1051" i="14"/>
  <c r="S1051" i="14"/>
  <c r="V1050" i="14"/>
  <c r="S1050" i="14"/>
  <c r="V1049" i="14"/>
  <c r="S1049" i="14"/>
  <c r="V1048" i="14"/>
  <c r="S1048" i="14"/>
  <c r="V1047" i="14"/>
  <c r="S1047" i="14"/>
  <c r="V1046" i="14"/>
  <c r="S1046" i="14"/>
  <c r="V1045" i="14"/>
  <c r="S1045" i="14"/>
  <c r="V1044" i="14"/>
  <c r="S1044" i="14"/>
  <c r="V1043" i="14"/>
  <c r="S1043" i="14"/>
  <c r="V1042" i="14"/>
  <c r="S1042" i="14"/>
  <c r="V1041" i="14"/>
  <c r="S1041" i="14"/>
  <c r="V1040" i="14"/>
  <c r="S1040" i="14"/>
  <c r="V1039" i="14"/>
  <c r="S1039" i="14"/>
  <c r="V1038" i="14"/>
  <c r="S1038" i="14"/>
  <c r="V1037" i="14"/>
  <c r="S1037" i="14"/>
  <c r="V1036" i="14"/>
  <c r="S1036" i="14"/>
  <c r="V1035" i="14"/>
  <c r="S1035" i="14"/>
  <c r="V1034" i="14"/>
  <c r="S1034" i="14"/>
  <c r="V1033" i="14"/>
  <c r="S1033" i="14"/>
  <c r="V1032" i="14"/>
  <c r="S1032" i="14"/>
  <c r="V1031" i="14"/>
  <c r="S1031" i="14"/>
  <c r="V1030" i="14"/>
  <c r="S1030" i="14"/>
  <c r="V1029" i="14"/>
  <c r="S1029" i="14"/>
  <c r="V1028" i="14"/>
  <c r="S1028" i="14"/>
  <c r="V1027" i="14"/>
  <c r="S1027" i="14"/>
  <c r="V1026" i="14"/>
  <c r="S1026" i="14"/>
  <c r="V1025" i="14"/>
  <c r="S1025" i="14"/>
  <c r="V1024" i="14"/>
  <c r="S1024" i="14"/>
  <c r="V1023" i="14"/>
  <c r="S1023" i="14"/>
  <c r="V1022" i="14"/>
  <c r="S1022" i="14"/>
  <c r="V1021" i="14"/>
  <c r="S1021" i="14"/>
  <c r="V1020" i="14"/>
  <c r="S1020" i="14"/>
  <c r="V1019" i="14"/>
  <c r="S1019" i="14"/>
  <c r="V1018" i="14"/>
  <c r="S1018" i="14"/>
  <c r="V1017" i="14"/>
  <c r="S1017" i="14"/>
  <c r="V1016" i="14"/>
  <c r="S1016" i="14"/>
  <c r="V1015" i="14"/>
  <c r="S1015" i="14"/>
  <c r="V1014" i="14"/>
  <c r="S1014" i="14"/>
  <c r="V1013" i="14"/>
  <c r="S1013" i="14"/>
  <c r="V1012" i="14"/>
  <c r="S1012" i="14"/>
  <c r="V1011" i="14"/>
  <c r="S1011" i="14"/>
  <c r="V1010" i="14"/>
  <c r="S1010" i="14"/>
  <c r="V1009" i="14"/>
  <c r="S1009" i="14"/>
  <c r="V1008" i="14"/>
  <c r="S1008" i="14"/>
  <c r="V1007" i="14"/>
  <c r="S1007" i="14"/>
  <c r="V1006" i="14"/>
  <c r="S1006" i="14"/>
  <c r="V1005" i="14"/>
  <c r="S1005" i="14"/>
  <c r="V1004" i="14"/>
  <c r="S1004" i="14"/>
  <c r="V1003" i="14"/>
  <c r="S1003" i="14"/>
  <c r="V1002" i="14"/>
  <c r="S1002" i="14"/>
  <c r="V1001" i="14"/>
  <c r="S1001" i="14"/>
  <c r="V1000" i="14"/>
  <c r="S1000" i="14"/>
  <c r="V999" i="14"/>
  <c r="S999" i="14"/>
  <c r="V998" i="14"/>
  <c r="S998" i="14"/>
  <c r="V997" i="14"/>
  <c r="S997" i="14"/>
  <c r="V996" i="14"/>
  <c r="S996" i="14"/>
  <c r="V995" i="14"/>
  <c r="S995" i="14"/>
  <c r="V994" i="14"/>
  <c r="S994" i="14"/>
  <c r="V993" i="14"/>
  <c r="S993" i="14"/>
  <c r="V992" i="14"/>
  <c r="S992" i="14"/>
  <c r="V991" i="14"/>
  <c r="S991" i="14"/>
  <c r="V990" i="14"/>
  <c r="S990" i="14"/>
  <c r="V989" i="14"/>
  <c r="S989" i="14"/>
  <c r="V988" i="14"/>
  <c r="S988" i="14"/>
  <c r="V987" i="14"/>
  <c r="S987" i="14"/>
  <c r="V986" i="14"/>
  <c r="S986" i="14"/>
  <c r="V985" i="14"/>
  <c r="S985" i="14"/>
  <c r="V984" i="14"/>
  <c r="S984" i="14"/>
  <c r="V983" i="14"/>
  <c r="S983" i="14"/>
  <c r="V982" i="14"/>
  <c r="S982" i="14"/>
  <c r="V981" i="14"/>
  <c r="S981" i="14"/>
  <c r="V980" i="14"/>
  <c r="S980" i="14"/>
  <c r="V979" i="14"/>
  <c r="S979" i="14"/>
  <c r="V978" i="14"/>
  <c r="S978" i="14"/>
  <c r="V977" i="14"/>
  <c r="S977" i="14"/>
  <c r="V976" i="14"/>
  <c r="S976" i="14"/>
  <c r="V975" i="14"/>
  <c r="S975" i="14"/>
  <c r="V974" i="14"/>
  <c r="S974" i="14"/>
  <c r="V973" i="14"/>
  <c r="S973" i="14"/>
  <c r="V972" i="14"/>
  <c r="S972" i="14"/>
  <c r="V971" i="14"/>
  <c r="S971" i="14"/>
  <c r="V970" i="14"/>
  <c r="S970" i="14"/>
  <c r="V969" i="14"/>
  <c r="S969" i="14"/>
  <c r="V968" i="14"/>
  <c r="S968" i="14"/>
  <c r="V967" i="14"/>
  <c r="S967" i="14"/>
  <c r="V966" i="14"/>
  <c r="S966" i="14"/>
  <c r="V965" i="14"/>
  <c r="S965" i="14"/>
  <c r="V964" i="14"/>
  <c r="S964" i="14"/>
  <c r="V963" i="14"/>
  <c r="S963" i="14"/>
  <c r="V962" i="14"/>
  <c r="S962" i="14"/>
  <c r="V961" i="14"/>
  <c r="S961" i="14"/>
  <c r="V960" i="14"/>
  <c r="S960" i="14"/>
  <c r="V959" i="14"/>
  <c r="S959" i="14"/>
  <c r="V958" i="14"/>
  <c r="S958" i="14"/>
  <c r="V957" i="14"/>
  <c r="S957" i="14"/>
  <c r="V956" i="14"/>
  <c r="S956" i="14"/>
  <c r="V955" i="14"/>
  <c r="S955" i="14"/>
  <c r="V954" i="14"/>
  <c r="S954" i="14"/>
  <c r="V953" i="14"/>
  <c r="S953" i="14"/>
  <c r="V952" i="14"/>
  <c r="S952" i="14"/>
  <c r="V951" i="14"/>
  <c r="S951" i="14"/>
  <c r="V950" i="14"/>
  <c r="S950" i="14"/>
  <c r="V949" i="14"/>
  <c r="S949" i="14"/>
  <c r="V948" i="14"/>
  <c r="S948" i="14"/>
  <c r="V947" i="14"/>
  <c r="S947" i="14"/>
  <c r="V946" i="14"/>
  <c r="S946" i="14"/>
  <c r="V945" i="14"/>
  <c r="S945" i="14"/>
  <c r="V944" i="14"/>
  <c r="S944" i="14"/>
  <c r="V943" i="14"/>
  <c r="S943" i="14"/>
  <c r="V942" i="14"/>
  <c r="S942" i="14"/>
  <c r="V941" i="14"/>
  <c r="S941" i="14"/>
  <c r="V940" i="14"/>
  <c r="S940" i="14"/>
  <c r="V939" i="14"/>
  <c r="S939" i="14"/>
  <c r="V938" i="14"/>
  <c r="S938" i="14"/>
  <c r="V937" i="14"/>
  <c r="S937" i="14"/>
  <c r="V936" i="14"/>
  <c r="S936" i="14"/>
  <c r="V935" i="14"/>
  <c r="S935" i="14"/>
  <c r="V934" i="14"/>
  <c r="S934" i="14"/>
  <c r="V933" i="14"/>
  <c r="S933" i="14"/>
  <c r="V932" i="14"/>
  <c r="S932" i="14"/>
  <c r="V931" i="14"/>
  <c r="S931" i="14"/>
  <c r="V930" i="14"/>
  <c r="S930" i="14"/>
  <c r="V929" i="14"/>
  <c r="S929" i="14"/>
  <c r="V928" i="14"/>
  <c r="S928" i="14"/>
  <c r="V927" i="14"/>
  <c r="S927" i="14"/>
  <c r="V926" i="14"/>
  <c r="S926" i="14"/>
  <c r="V925" i="14"/>
  <c r="S925" i="14"/>
  <c r="V924" i="14"/>
  <c r="S924" i="14"/>
  <c r="V923" i="14"/>
  <c r="S923" i="14"/>
  <c r="V922" i="14"/>
  <c r="S922" i="14"/>
  <c r="V921" i="14"/>
  <c r="S921" i="14"/>
  <c r="V920" i="14"/>
  <c r="S920" i="14"/>
  <c r="V919" i="14"/>
  <c r="S919" i="14"/>
  <c r="V918" i="14"/>
  <c r="S918" i="14"/>
  <c r="V917" i="14"/>
  <c r="S917" i="14"/>
  <c r="V916" i="14"/>
  <c r="S916" i="14"/>
  <c r="V915" i="14"/>
  <c r="S915" i="14"/>
  <c r="V914" i="14"/>
  <c r="S914" i="14"/>
  <c r="V913" i="14"/>
  <c r="S913" i="14"/>
  <c r="V912" i="14"/>
  <c r="S912" i="14"/>
  <c r="V911" i="14"/>
  <c r="S911" i="14"/>
  <c r="V910" i="14"/>
  <c r="S910" i="14"/>
  <c r="V909" i="14"/>
  <c r="S909" i="14"/>
  <c r="V908" i="14"/>
  <c r="S908" i="14"/>
  <c r="V907" i="14"/>
  <c r="S907" i="14"/>
  <c r="V906" i="14"/>
  <c r="S906" i="14"/>
  <c r="V905" i="14"/>
  <c r="S905" i="14"/>
  <c r="V904" i="14"/>
  <c r="S904" i="14"/>
  <c r="V903" i="14"/>
  <c r="S903" i="14"/>
  <c r="V902" i="14"/>
  <c r="S902" i="14"/>
  <c r="V901" i="14"/>
  <c r="S901" i="14"/>
  <c r="V900" i="14"/>
  <c r="S900" i="14"/>
  <c r="V899" i="14"/>
  <c r="S899" i="14"/>
  <c r="V898" i="14"/>
  <c r="S898" i="14"/>
  <c r="V897" i="14"/>
  <c r="S897" i="14"/>
  <c r="V896" i="14"/>
  <c r="S896" i="14"/>
  <c r="V895" i="14"/>
  <c r="S895" i="14"/>
  <c r="V894" i="14"/>
  <c r="S894" i="14"/>
  <c r="V893" i="14"/>
  <c r="S893" i="14"/>
  <c r="V892" i="14"/>
  <c r="S892" i="14"/>
  <c r="V891" i="14"/>
  <c r="S891" i="14"/>
  <c r="V890" i="14"/>
  <c r="S890" i="14"/>
  <c r="V889" i="14"/>
  <c r="S889" i="14"/>
  <c r="V888" i="14"/>
  <c r="S888" i="14"/>
  <c r="V887" i="14"/>
  <c r="S887" i="14"/>
  <c r="V886" i="14"/>
  <c r="S886" i="14"/>
  <c r="V885" i="14"/>
  <c r="S885" i="14"/>
  <c r="V884" i="14"/>
  <c r="S884" i="14"/>
  <c r="V883" i="14"/>
  <c r="S883" i="14"/>
  <c r="V882" i="14"/>
  <c r="S882" i="14"/>
  <c r="V881" i="14"/>
  <c r="S881" i="14"/>
  <c r="V880" i="14"/>
  <c r="S880" i="14"/>
  <c r="V879" i="14"/>
  <c r="S879" i="14"/>
  <c r="V878" i="14"/>
  <c r="S878" i="14"/>
  <c r="V877" i="14"/>
  <c r="S877" i="14"/>
  <c r="V876" i="14"/>
  <c r="S876" i="14"/>
  <c r="V875" i="14"/>
  <c r="S875" i="14"/>
  <c r="V874" i="14"/>
  <c r="S874" i="14"/>
  <c r="V873" i="14"/>
  <c r="S873" i="14"/>
  <c r="V872" i="14"/>
  <c r="S872" i="14"/>
  <c r="V871" i="14"/>
  <c r="S871" i="14"/>
  <c r="V870" i="14"/>
  <c r="S870" i="14"/>
  <c r="V869" i="14"/>
  <c r="S869" i="14"/>
  <c r="V868" i="14"/>
  <c r="S868" i="14"/>
  <c r="V867" i="14"/>
  <c r="S867" i="14"/>
  <c r="V866" i="14"/>
  <c r="S866" i="14"/>
  <c r="V865" i="14"/>
  <c r="S865" i="14"/>
  <c r="V864" i="14"/>
  <c r="S864" i="14"/>
  <c r="V863" i="14"/>
  <c r="S863" i="14"/>
  <c r="V862" i="14"/>
  <c r="S862" i="14"/>
  <c r="V861" i="14"/>
  <c r="S861" i="14"/>
  <c r="V860" i="14"/>
  <c r="S860" i="14"/>
  <c r="V859" i="14"/>
  <c r="S859" i="14"/>
  <c r="V858" i="14"/>
  <c r="S858" i="14"/>
  <c r="V857" i="14"/>
  <c r="S857" i="14"/>
  <c r="V856" i="14"/>
  <c r="S856" i="14"/>
  <c r="V855" i="14"/>
  <c r="S855" i="14"/>
  <c r="V854" i="14"/>
  <c r="S854" i="14"/>
  <c r="V853" i="14"/>
  <c r="S853" i="14"/>
  <c r="V852" i="14"/>
  <c r="S852" i="14"/>
  <c r="V851" i="14"/>
  <c r="S851" i="14"/>
  <c r="V850" i="14"/>
  <c r="S850" i="14"/>
  <c r="V849" i="14"/>
  <c r="S849" i="14"/>
  <c r="V848" i="14"/>
  <c r="S848" i="14"/>
  <c r="V847" i="14"/>
  <c r="S847" i="14"/>
  <c r="V846" i="14"/>
  <c r="S846" i="14"/>
  <c r="V845" i="14"/>
  <c r="S845" i="14"/>
  <c r="V844" i="14"/>
  <c r="S844" i="14"/>
  <c r="V843" i="14"/>
  <c r="S843" i="14"/>
  <c r="V842" i="14"/>
  <c r="S842" i="14"/>
  <c r="V841" i="14"/>
  <c r="S841" i="14"/>
  <c r="V840" i="14"/>
  <c r="S840" i="14"/>
  <c r="V839" i="14"/>
  <c r="S839" i="14"/>
  <c r="V838" i="14"/>
  <c r="S838" i="14"/>
  <c r="V837" i="14"/>
  <c r="S837" i="14"/>
  <c r="V836" i="14"/>
  <c r="S836" i="14"/>
  <c r="V835" i="14"/>
  <c r="S835" i="14"/>
  <c r="V834" i="14"/>
  <c r="S834" i="14"/>
  <c r="V833" i="14"/>
  <c r="S833" i="14"/>
  <c r="V832" i="14"/>
  <c r="S832" i="14"/>
  <c r="V831" i="14"/>
  <c r="S831" i="14"/>
  <c r="V830" i="14"/>
  <c r="S830" i="14"/>
  <c r="V829" i="14"/>
  <c r="S829" i="14"/>
  <c r="V828" i="14"/>
  <c r="S828" i="14"/>
  <c r="V827" i="14"/>
  <c r="S827" i="14"/>
  <c r="V826" i="14"/>
  <c r="S826" i="14"/>
  <c r="V825" i="14"/>
  <c r="S825" i="14"/>
  <c r="V824" i="14"/>
  <c r="S824" i="14"/>
  <c r="V823" i="14"/>
  <c r="S823" i="14"/>
  <c r="V822" i="14"/>
  <c r="S822" i="14"/>
  <c r="V821" i="14"/>
  <c r="S821" i="14"/>
  <c r="V820" i="14"/>
  <c r="S820" i="14"/>
  <c r="V819" i="14"/>
  <c r="S819" i="14"/>
  <c r="V818" i="14"/>
  <c r="S818" i="14"/>
  <c r="V817" i="14"/>
  <c r="S817" i="14"/>
  <c r="V816" i="14"/>
  <c r="S816" i="14"/>
  <c r="V815" i="14"/>
  <c r="S815" i="14"/>
  <c r="V814" i="14"/>
  <c r="S814" i="14"/>
  <c r="V813" i="14"/>
  <c r="S813" i="14"/>
  <c r="V812" i="14"/>
  <c r="S812" i="14"/>
  <c r="V811" i="14"/>
  <c r="S811" i="14"/>
  <c r="V810" i="14"/>
  <c r="S810" i="14"/>
  <c r="V809" i="14"/>
  <c r="S809" i="14"/>
  <c r="V808" i="14"/>
  <c r="S808" i="14"/>
  <c r="V807" i="14"/>
  <c r="S807" i="14"/>
  <c r="V806" i="14"/>
  <c r="S806" i="14"/>
  <c r="V805" i="14"/>
  <c r="S805" i="14"/>
  <c r="V804" i="14"/>
  <c r="S804" i="14"/>
  <c r="V803" i="14"/>
  <c r="S803" i="14"/>
  <c r="V802" i="14"/>
  <c r="S802" i="14"/>
  <c r="V801" i="14"/>
  <c r="S801" i="14"/>
  <c r="V800" i="14"/>
  <c r="S800" i="14"/>
  <c r="V799" i="14"/>
  <c r="S799" i="14"/>
  <c r="V798" i="14"/>
  <c r="S798" i="14"/>
  <c r="V797" i="14"/>
  <c r="S797" i="14"/>
  <c r="V796" i="14"/>
  <c r="S796" i="14"/>
  <c r="V795" i="14"/>
  <c r="S795" i="14"/>
  <c r="V794" i="14"/>
  <c r="S794" i="14"/>
  <c r="V793" i="14"/>
  <c r="S793" i="14"/>
  <c r="V792" i="14"/>
  <c r="S792" i="14"/>
  <c r="V791" i="14"/>
  <c r="S791" i="14"/>
  <c r="V790" i="14"/>
  <c r="S790" i="14"/>
  <c r="V789" i="14"/>
  <c r="S789" i="14"/>
  <c r="V788" i="14"/>
  <c r="S788" i="14"/>
  <c r="V787" i="14"/>
  <c r="S787" i="14"/>
  <c r="V786" i="14"/>
  <c r="S786" i="14"/>
  <c r="V785" i="14"/>
  <c r="S785" i="14"/>
  <c r="V784" i="14"/>
  <c r="S784" i="14"/>
  <c r="V783" i="14"/>
  <c r="S783" i="14"/>
  <c r="V782" i="14"/>
  <c r="S782" i="14"/>
  <c r="V781" i="14"/>
  <c r="S781" i="14"/>
  <c r="V780" i="14"/>
  <c r="S780" i="14"/>
  <c r="V779" i="14"/>
  <c r="S779" i="14"/>
  <c r="V778" i="14"/>
  <c r="S778" i="14"/>
  <c r="V777" i="14"/>
  <c r="S777" i="14"/>
  <c r="V776" i="14"/>
  <c r="S776" i="14"/>
  <c r="V775" i="14"/>
  <c r="S775" i="14"/>
  <c r="V774" i="14"/>
  <c r="S774" i="14"/>
  <c r="V773" i="14"/>
  <c r="S773" i="14"/>
  <c r="V772" i="14"/>
  <c r="S772" i="14"/>
  <c r="V771" i="14"/>
  <c r="S771" i="14"/>
  <c r="V770" i="14"/>
  <c r="S770" i="14"/>
  <c r="V769" i="14"/>
  <c r="S769" i="14"/>
  <c r="V768" i="14"/>
  <c r="S768" i="14"/>
  <c r="V767" i="14"/>
  <c r="S767" i="14"/>
  <c r="V766" i="14"/>
  <c r="S766" i="14"/>
  <c r="V765" i="14"/>
  <c r="S765" i="14"/>
  <c r="V764" i="14"/>
  <c r="S764" i="14"/>
  <c r="V763" i="14"/>
  <c r="S763" i="14"/>
  <c r="V762" i="14"/>
  <c r="S762" i="14"/>
  <c r="V761" i="14"/>
  <c r="S761" i="14"/>
  <c r="V760" i="14"/>
  <c r="S760" i="14"/>
  <c r="V759" i="14"/>
  <c r="S759" i="14"/>
  <c r="V758" i="14"/>
  <c r="S758" i="14"/>
  <c r="V757" i="14"/>
  <c r="S757" i="14"/>
  <c r="V756" i="14"/>
  <c r="S756" i="14"/>
  <c r="V755" i="14"/>
  <c r="S755" i="14"/>
  <c r="V754" i="14"/>
  <c r="S754" i="14"/>
  <c r="V753" i="14"/>
  <c r="S753" i="14"/>
  <c r="V752" i="14"/>
  <c r="S752" i="14"/>
  <c r="V751" i="14"/>
  <c r="S751" i="14"/>
  <c r="V750" i="14"/>
  <c r="S750" i="14"/>
  <c r="V749" i="14"/>
  <c r="S749" i="14"/>
  <c r="V748" i="14"/>
  <c r="S748" i="14"/>
  <c r="V747" i="14"/>
  <c r="S747" i="14"/>
  <c r="V746" i="14"/>
  <c r="S746" i="14"/>
  <c r="V745" i="14"/>
  <c r="S745" i="14"/>
  <c r="V744" i="14"/>
  <c r="S744" i="14"/>
  <c r="V743" i="14"/>
  <c r="S743" i="14"/>
  <c r="V742" i="14"/>
  <c r="S742" i="14"/>
  <c r="V741" i="14"/>
  <c r="S741" i="14"/>
  <c r="V740" i="14"/>
  <c r="S740" i="14"/>
  <c r="V739" i="14"/>
  <c r="S739" i="14"/>
  <c r="V738" i="14"/>
  <c r="S738" i="14"/>
  <c r="V737" i="14"/>
  <c r="S737" i="14"/>
  <c r="V736" i="14"/>
  <c r="S736" i="14"/>
  <c r="V735" i="14"/>
  <c r="S735" i="14"/>
  <c r="V734" i="14"/>
  <c r="S734" i="14"/>
  <c r="V733" i="14"/>
  <c r="S733" i="14"/>
  <c r="V732" i="14"/>
  <c r="S732" i="14"/>
  <c r="V731" i="14"/>
  <c r="S731" i="14"/>
  <c r="V730" i="14"/>
  <c r="S730" i="14"/>
  <c r="V729" i="14"/>
  <c r="S729" i="14"/>
  <c r="V728" i="14"/>
  <c r="S728" i="14"/>
  <c r="V727" i="14"/>
  <c r="S727" i="14"/>
  <c r="V726" i="14"/>
  <c r="S726" i="14"/>
  <c r="V725" i="14"/>
  <c r="S725" i="14"/>
  <c r="V724" i="14"/>
  <c r="S724" i="14"/>
  <c r="V723" i="14"/>
  <c r="S723" i="14"/>
  <c r="V722" i="14"/>
  <c r="S722" i="14"/>
  <c r="V721" i="14"/>
  <c r="S721" i="14"/>
  <c r="V720" i="14"/>
  <c r="S720" i="14"/>
  <c r="V719" i="14"/>
  <c r="S719" i="14"/>
  <c r="V718" i="14"/>
  <c r="S718" i="14"/>
  <c r="V717" i="14"/>
  <c r="S717" i="14"/>
  <c r="V716" i="14"/>
  <c r="S716" i="14"/>
  <c r="V715" i="14"/>
  <c r="S715" i="14"/>
  <c r="V714" i="14"/>
  <c r="S714" i="14"/>
  <c r="V713" i="14"/>
  <c r="S713" i="14"/>
  <c r="V712" i="14"/>
  <c r="S712" i="14"/>
  <c r="V711" i="14"/>
  <c r="S711" i="14"/>
  <c r="V710" i="14"/>
  <c r="S710" i="14"/>
  <c r="V709" i="14"/>
  <c r="S709" i="14"/>
  <c r="V708" i="14"/>
  <c r="S708" i="14"/>
  <c r="V707" i="14"/>
  <c r="S707" i="14"/>
  <c r="V706" i="14"/>
  <c r="S706" i="14"/>
  <c r="V705" i="14"/>
  <c r="S705" i="14"/>
  <c r="V704" i="14"/>
  <c r="S704" i="14"/>
  <c r="V703" i="14"/>
  <c r="S703" i="14"/>
  <c r="V702" i="14"/>
  <c r="S702" i="14"/>
  <c r="V701" i="14"/>
  <c r="S701" i="14"/>
  <c r="V700" i="14"/>
  <c r="S700" i="14"/>
  <c r="V699" i="14"/>
  <c r="S699" i="14"/>
  <c r="V698" i="14"/>
  <c r="S698" i="14"/>
  <c r="V697" i="14"/>
  <c r="S697" i="14"/>
  <c r="V696" i="14"/>
  <c r="S696" i="14"/>
  <c r="V695" i="14"/>
  <c r="S695" i="14"/>
  <c r="V694" i="14"/>
  <c r="S694" i="14"/>
  <c r="V693" i="14"/>
  <c r="S693" i="14"/>
  <c r="V692" i="14"/>
  <c r="S692" i="14"/>
  <c r="V691" i="14"/>
  <c r="S691" i="14"/>
  <c r="V690" i="14"/>
  <c r="S690" i="14"/>
  <c r="V689" i="14"/>
  <c r="S689" i="14"/>
  <c r="V688" i="14"/>
  <c r="S688" i="14"/>
  <c r="V687" i="14"/>
  <c r="S687" i="14"/>
  <c r="V686" i="14"/>
  <c r="S686" i="14"/>
  <c r="V685" i="14"/>
  <c r="S685" i="14"/>
  <c r="V684" i="14"/>
  <c r="S684" i="14"/>
  <c r="V683" i="14"/>
  <c r="S683" i="14"/>
  <c r="V682" i="14"/>
  <c r="S682" i="14"/>
  <c r="V681" i="14"/>
  <c r="S681" i="14"/>
  <c r="V680" i="14"/>
  <c r="S680" i="14"/>
  <c r="V679" i="14"/>
  <c r="S679" i="14"/>
  <c r="V678" i="14"/>
  <c r="S678" i="14"/>
  <c r="V677" i="14"/>
  <c r="S677" i="14"/>
  <c r="V676" i="14"/>
  <c r="S676" i="14"/>
  <c r="V675" i="14"/>
  <c r="S675" i="14"/>
  <c r="V674" i="14"/>
  <c r="S674" i="14"/>
  <c r="V673" i="14"/>
  <c r="S673" i="14"/>
  <c r="V672" i="14"/>
  <c r="S672" i="14"/>
  <c r="V671" i="14"/>
  <c r="S671" i="14"/>
  <c r="V670" i="14"/>
  <c r="S670" i="14"/>
  <c r="V669" i="14"/>
  <c r="S669" i="14"/>
  <c r="V668" i="14"/>
  <c r="S668" i="14"/>
  <c r="V667" i="14"/>
  <c r="S667" i="14"/>
  <c r="V666" i="14"/>
  <c r="S666" i="14"/>
  <c r="V665" i="14"/>
  <c r="S665" i="14"/>
  <c r="V664" i="14"/>
  <c r="S664" i="14"/>
  <c r="V663" i="14"/>
  <c r="S663" i="14"/>
  <c r="V662" i="14"/>
  <c r="S662" i="14"/>
  <c r="V661" i="14"/>
  <c r="S661" i="14"/>
  <c r="V660" i="14"/>
  <c r="S660" i="14"/>
  <c r="V659" i="14"/>
  <c r="S659" i="14"/>
  <c r="V658" i="14"/>
  <c r="S658" i="14"/>
  <c r="V657" i="14"/>
  <c r="S657" i="14"/>
  <c r="V656" i="14"/>
  <c r="S656" i="14"/>
  <c r="V655" i="14"/>
  <c r="S655" i="14"/>
  <c r="V654" i="14"/>
  <c r="S654" i="14"/>
  <c r="V653" i="14"/>
  <c r="S653" i="14"/>
  <c r="V652" i="14"/>
  <c r="S652" i="14"/>
  <c r="V651" i="14"/>
  <c r="S651" i="14"/>
  <c r="V650" i="14"/>
  <c r="S650" i="14"/>
  <c r="V649" i="14"/>
  <c r="S649" i="14"/>
  <c r="V648" i="14"/>
  <c r="S648" i="14"/>
  <c r="V647" i="14"/>
  <c r="S647" i="14"/>
  <c r="V646" i="14"/>
  <c r="S646" i="14"/>
  <c r="V645" i="14"/>
  <c r="S645" i="14"/>
  <c r="V644" i="14"/>
  <c r="S644" i="14"/>
  <c r="V643" i="14"/>
  <c r="S643" i="14"/>
  <c r="V642" i="14"/>
  <c r="S642" i="14"/>
  <c r="V641" i="14"/>
  <c r="S641" i="14"/>
  <c r="V640" i="14"/>
  <c r="S640" i="14"/>
  <c r="V639" i="14"/>
  <c r="S639" i="14"/>
  <c r="V638" i="14"/>
  <c r="S638" i="14"/>
  <c r="V637" i="14"/>
  <c r="S637" i="14"/>
  <c r="V636" i="14"/>
  <c r="S636" i="14"/>
  <c r="V635" i="14"/>
  <c r="S635" i="14"/>
  <c r="V634" i="14"/>
  <c r="S634" i="14"/>
  <c r="V633" i="14"/>
  <c r="S633" i="14"/>
  <c r="V632" i="14"/>
  <c r="S632" i="14"/>
  <c r="V631" i="14"/>
  <c r="S631" i="14"/>
  <c r="V630" i="14"/>
  <c r="S630" i="14"/>
  <c r="V629" i="14"/>
  <c r="S629" i="14"/>
  <c r="V628" i="14"/>
  <c r="S628" i="14"/>
  <c r="V627" i="14"/>
  <c r="S627" i="14"/>
  <c r="V626" i="14"/>
  <c r="S626" i="14"/>
  <c r="V625" i="14"/>
  <c r="S625" i="14"/>
  <c r="V624" i="14"/>
  <c r="S624" i="14"/>
  <c r="V623" i="14"/>
  <c r="S623" i="14"/>
  <c r="V622" i="14"/>
  <c r="S622" i="14"/>
  <c r="V621" i="14"/>
  <c r="S621" i="14"/>
  <c r="V620" i="14"/>
  <c r="S620" i="14"/>
  <c r="V619" i="14"/>
  <c r="S619" i="14"/>
  <c r="V618" i="14"/>
  <c r="S618" i="14"/>
  <c r="V617" i="14"/>
  <c r="S617" i="14"/>
  <c r="V616" i="14"/>
  <c r="S616" i="14"/>
  <c r="V615" i="14"/>
  <c r="S615" i="14"/>
  <c r="V614" i="14"/>
  <c r="S614" i="14"/>
  <c r="V613" i="14"/>
  <c r="S613" i="14"/>
  <c r="V612" i="14"/>
  <c r="S612" i="14"/>
  <c r="V611" i="14"/>
  <c r="S611" i="14"/>
  <c r="V610" i="14"/>
  <c r="S610" i="14"/>
  <c r="V609" i="14"/>
  <c r="S609" i="14"/>
  <c r="V608" i="14"/>
  <c r="S608" i="14"/>
  <c r="V607" i="14"/>
  <c r="S607" i="14"/>
  <c r="V606" i="14"/>
  <c r="S606" i="14"/>
  <c r="V605" i="14"/>
  <c r="S605" i="14"/>
  <c r="V604" i="14"/>
  <c r="S604" i="14"/>
  <c r="V603" i="14"/>
  <c r="S603" i="14"/>
  <c r="V602" i="14"/>
  <c r="S602" i="14"/>
  <c r="V601" i="14"/>
  <c r="S601" i="14"/>
  <c r="V600" i="14"/>
  <c r="S600" i="14"/>
  <c r="V599" i="14"/>
  <c r="S599" i="14"/>
  <c r="V598" i="14"/>
  <c r="S598" i="14"/>
  <c r="V597" i="14"/>
  <c r="S597" i="14"/>
  <c r="V596" i="14"/>
  <c r="S596" i="14"/>
  <c r="V595" i="14"/>
  <c r="S595" i="14"/>
  <c r="V594" i="14"/>
  <c r="S594" i="14"/>
  <c r="V593" i="14"/>
  <c r="S593" i="14"/>
  <c r="V592" i="14"/>
  <c r="S592" i="14"/>
  <c r="V591" i="14"/>
  <c r="S591" i="14"/>
  <c r="V590" i="14"/>
  <c r="S590" i="14"/>
  <c r="V589" i="14"/>
  <c r="S589" i="14"/>
  <c r="V588" i="14"/>
  <c r="S588" i="14"/>
  <c r="V587" i="14"/>
  <c r="S587" i="14"/>
  <c r="V586" i="14"/>
  <c r="S586" i="14"/>
  <c r="V585" i="14"/>
  <c r="S585" i="14"/>
  <c r="V584" i="14"/>
  <c r="S584" i="14"/>
  <c r="V583" i="14"/>
  <c r="S583" i="14"/>
  <c r="V582" i="14"/>
  <c r="S582" i="14"/>
  <c r="V581" i="14"/>
  <c r="S581" i="14"/>
  <c r="V580" i="14"/>
  <c r="S580" i="14"/>
  <c r="V579" i="14"/>
  <c r="S579" i="14"/>
  <c r="V578" i="14"/>
  <c r="S578" i="14"/>
  <c r="V577" i="14"/>
  <c r="S577" i="14"/>
  <c r="V576" i="14"/>
  <c r="S576" i="14"/>
  <c r="V575" i="14"/>
  <c r="S575" i="14"/>
  <c r="V574" i="14"/>
  <c r="S574" i="14"/>
  <c r="V573" i="14"/>
  <c r="S573" i="14"/>
  <c r="V572" i="14"/>
  <c r="S572" i="14"/>
  <c r="V571" i="14"/>
  <c r="S571" i="14"/>
  <c r="V570" i="14"/>
  <c r="S570" i="14"/>
  <c r="V569" i="14"/>
  <c r="S569" i="14"/>
  <c r="V568" i="14"/>
  <c r="S568" i="14"/>
  <c r="V567" i="14"/>
  <c r="S567" i="14"/>
  <c r="V566" i="14"/>
  <c r="S566" i="14"/>
  <c r="V565" i="14"/>
  <c r="S565" i="14"/>
  <c r="V564" i="14"/>
  <c r="S564" i="14"/>
  <c r="V563" i="14"/>
  <c r="S563" i="14"/>
  <c r="V562" i="14"/>
  <c r="S562" i="14"/>
  <c r="V561" i="14"/>
  <c r="S561" i="14"/>
  <c r="V560" i="14"/>
  <c r="S560" i="14"/>
  <c r="V559" i="14"/>
  <c r="S559" i="14"/>
  <c r="V558" i="14"/>
  <c r="S558" i="14"/>
  <c r="V557" i="14"/>
  <c r="S557" i="14"/>
  <c r="V556" i="14"/>
  <c r="S556" i="14"/>
  <c r="V555" i="14"/>
  <c r="S555" i="14"/>
  <c r="V554" i="14"/>
  <c r="S554" i="14"/>
  <c r="V553" i="14"/>
  <c r="S553" i="14"/>
  <c r="V552" i="14"/>
  <c r="S552" i="14"/>
  <c r="V551" i="14"/>
  <c r="S551" i="14"/>
  <c r="V550" i="14"/>
  <c r="S550" i="14"/>
  <c r="V549" i="14"/>
  <c r="S549" i="14"/>
  <c r="V548" i="14"/>
  <c r="S548" i="14"/>
  <c r="V547" i="14"/>
  <c r="S547" i="14"/>
  <c r="V546" i="14"/>
  <c r="S546" i="14"/>
  <c r="V545" i="14"/>
  <c r="S545" i="14"/>
  <c r="V544" i="14"/>
  <c r="S544" i="14"/>
  <c r="V543" i="14"/>
  <c r="S543" i="14"/>
  <c r="V542" i="14"/>
  <c r="S542" i="14"/>
  <c r="V541" i="14"/>
  <c r="S541" i="14"/>
  <c r="V540" i="14"/>
  <c r="S540" i="14"/>
  <c r="V539" i="14"/>
  <c r="S539" i="14"/>
  <c r="V538" i="14"/>
  <c r="S538" i="14"/>
  <c r="V537" i="14"/>
  <c r="S537" i="14"/>
  <c r="V536" i="14"/>
  <c r="S536" i="14"/>
  <c r="V535" i="14"/>
  <c r="S535" i="14"/>
  <c r="V534" i="14"/>
  <c r="S534" i="14"/>
  <c r="V533" i="14"/>
  <c r="S533" i="14"/>
  <c r="V532" i="14"/>
  <c r="S532" i="14"/>
  <c r="V531" i="14"/>
  <c r="S531" i="14"/>
  <c r="V530" i="14"/>
  <c r="S530" i="14"/>
  <c r="V529" i="14"/>
  <c r="S529" i="14"/>
  <c r="V528" i="14"/>
  <c r="S528" i="14"/>
  <c r="V527" i="14"/>
  <c r="S527" i="14"/>
  <c r="V526" i="14"/>
  <c r="S526" i="14"/>
  <c r="V525" i="14"/>
  <c r="S525" i="14"/>
  <c r="V524" i="14"/>
  <c r="S524" i="14"/>
  <c r="V523" i="14"/>
  <c r="S523" i="14"/>
  <c r="V522" i="14"/>
  <c r="S522" i="14"/>
  <c r="V521" i="14"/>
  <c r="S521" i="14"/>
  <c r="V520" i="14"/>
  <c r="S520" i="14"/>
  <c r="V519" i="14"/>
  <c r="S519" i="14"/>
  <c r="V518" i="14"/>
  <c r="S518" i="14"/>
  <c r="V517" i="14"/>
  <c r="S517" i="14"/>
  <c r="V516" i="14"/>
  <c r="S516" i="14"/>
  <c r="V515" i="14"/>
  <c r="S515" i="14"/>
  <c r="V514" i="14"/>
  <c r="S514" i="14"/>
  <c r="V513" i="14"/>
  <c r="S513" i="14"/>
  <c r="V512" i="14"/>
  <c r="S512" i="14"/>
  <c r="V511" i="14"/>
  <c r="S511" i="14"/>
  <c r="V510" i="14"/>
  <c r="S510" i="14"/>
  <c r="V509" i="14"/>
  <c r="S509" i="14"/>
  <c r="V508" i="14"/>
  <c r="S508" i="14"/>
  <c r="V507" i="14"/>
  <c r="S507" i="14"/>
  <c r="V506" i="14"/>
  <c r="S506" i="14"/>
  <c r="V505" i="14"/>
  <c r="S505" i="14"/>
  <c r="V504" i="14"/>
  <c r="S504" i="14"/>
  <c r="V503" i="14"/>
  <c r="S503" i="14"/>
  <c r="V502" i="14"/>
  <c r="S502" i="14"/>
  <c r="V501" i="14"/>
  <c r="S501" i="14"/>
  <c r="V500" i="14"/>
  <c r="S500" i="14"/>
  <c r="V499" i="14"/>
  <c r="S499" i="14"/>
  <c r="V498" i="14"/>
  <c r="S498" i="14"/>
  <c r="V497" i="14"/>
  <c r="S497" i="14"/>
  <c r="V496" i="14"/>
  <c r="S496" i="14"/>
  <c r="V495" i="14"/>
  <c r="S495" i="14"/>
  <c r="V494" i="14"/>
  <c r="S494" i="14"/>
  <c r="V493" i="14"/>
  <c r="S493" i="14"/>
  <c r="V492" i="14"/>
  <c r="S492" i="14"/>
  <c r="V491" i="14"/>
  <c r="S491" i="14"/>
  <c r="V490" i="14"/>
  <c r="S490" i="14"/>
  <c r="V489" i="14"/>
  <c r="S489" i="14"/>
  <c r="V488" i="14"/>
  <c r="S488" i="14"/>
  <c r="V487" i="14"/>
  <c r="S487" i="14"/>
  <c r="V486" i="14"/>
  <c r="S486" i="14"/>
  <c r="V485" i="14"/>
  <c r="S485" i="14"/>
  <c r="V484" i="14"/>
  <c r="S484" i="14"/>
  <c r="V483" i="14"/>
  <c r="S483" i="14"/>
  <c r="V482" i="14"/>
  <c r="S482" i="14"/>
  <c r="V481" i="14"/>
  <c r="S481" i="14"/>
  <c r="V480" i="14"/>
  <c r="S480" i="14"/>
  <c r="V479" i="14"/>
  <c r="S479" i="14"/>
  <c r="V478" i="14"/>
  <c r="S478" i="14"/>
  <c r="V477" i="14"/>
  <c r="S477" i="14"/>
  <c r="V476" i="14"/>
  <c r="S476" i="14"/>
  <c r="V475" i="14"/>
  <c r="S475" i="14"/>
  <c r="V474" i="14"/>
  <c r="S474" i="14"/>
  <c r="V473" i="14"/>
  <c r="S473" i="14"/>
  <c r="V472" i="14"/>
  <c r="S472" i="14"/>
  <c r="V471" i="14"/>
  <c r="S471" i="14"/>
  <c r="V470" i="14"/>
  <c r="S470" i="14"/>
  <c r="V469" i="14"/>
  <c r="S469" i="14"/>
  <c r="V468" i="14"/>
  <c r="S468" i="14"/>
  <c r="V467" i="14"/>
  <c r="S467" i="14"/>
  <c r="V466" i="14"/>
  <c r="S466" i="14"/>
  <c r="V465" i="14"/>
  <c r="S465" i="14"/>
  <c r="V464" i="14"/>
  <c r="S464" i="14"/>
  <c r="V463" i="14"/>
  <c r="S463" i="14"/>
  <c r="V462" i="14"/>
  <c r="S462" i="14"/>
  <c r="V461" i="14"/>
  <c r="S461" i="14"/>
  <c r="V460" i="14"/>
  <c r="S460" i="14"/>
  <c r="V459" i="14"/>
  <c r="S459" i="14"/>
  <c r="V458" i="14"/>
  <c r="S458" i="14"/>
  <c r="V457" i="14"/>
  <c r="S457" i="14"/>
  <c r="V456" i="14"/>
  <c r="S456" i="14"/>
  <c r="V455" i="14"/>
  <c r="S455" i="14"/>
  <c r="V454" i="14"/>
  <c r="S454" i="14"/>
  <c r="V453" i="14"/>
  <c r="S453" i="14"/>
  <c r="V452" i="14"/>
  <c r="S452" i="14"/>
  <c r="V451" i="14"/>
  <c r="S451" i="14"/>
  <c r="V450" i="14"/>
  <c r="S450" i="14"/>
  <c r="V449" i="14"/>
  <c r="S449" i="14"/>
  <c r="V448" i="14"/>
  <c r="S448" i="14"/>
  <c r="V447" i="14"/>
  <c r="S447" i="14"/>
  <c r="V446" i="14"/>
  <c r="S446" i="14"/>
  <c r="V445" i="14"/>
  <c r="S445" i="14"/>
  <c r="V444" i="14"/>
  <c r="S444" i="14"/>
  <c r="V443" i="14"/>
  <c r="S443" i="14"/>
  <c r="V442" i="14"/>
  <c r="S442" i="14"/>
  <c r="V441" i="14"/>
  <c r="S441" i="14"/>
  <c r="V440" i="14"/>
  <c r="S440" i="14"/>
  <c r="V439" i="14"/>
  <c r="S439" i="14"/>
  <c r="V438" i="14"/>
  <c r="S438" i="14"/>
  <c r="V437" i="14"/>
  <c r="S437" i="14"/>
  <c r="V436" i="14"/>
  <c r="S436" i="14"/>
  <c r="V435" i="14"/>
  <c r="S435" i="14"/>
  <c r="V434" i="14"/>
  <c r="S434" i="14"/>
  <c r="V433" i="14"/>
  <c r="S433" i="14"/>
  <c r="V432" i="14"/>
  <c r="S432" i="14"/>
  <c r="V431" i="14"/>
  <c r="S431" i="14"/>
  <c r="V430" i="14"/>
  <c r="S430" i="14"/>
  <c r="V429" i="14"/>
  <c r="S429" i="14"/>
  <c r="V428" i="14"/>
  <c r="S428" i="14"/>
  <c r="V427" i="14"/>
  <c r="S427" i="14"/>
  <c r="V426" i="14"/>
  <c r="S426" i="14"/>
  <c r="V425" i="14"/>
  <c r="S425" i="14"/>
  <c r="V424" i="14"/>
  <c r="S424" i="14"/>
  <c r="V423" i="14"/>
  <c r="S423" i="14"/>
  <c r="V422" i="14"/>
  <c r="S422" i="14"/>
  <c r="V421" i="14"/>
  <c r="S421" i="14"/>
  <c r="V420" i="14"/>
  <c r="S420" i="14"/>
  <c r="V419" i="14"/>
  <c r="S419" i="14"/>
  <c r="V418" i="14"/>
  <c r="S418" i="14"/>
  <c r="V417" i="14"/>
  <c r="S417" i="14"/>
  <c r="V416" i="14"/>
  <c r="S416" i="14"/>
  <c r="V415" i="14"/>
  <c r="S415" i="14"/>
  <c r="V414" i="14"/>
  <c r="S414" i="14"/>
  <c r="V413" i="14"/>
  <c r="S413" i="14"/>
  <c r="V412" i="14"/>
  <c r="S412" i="14"/>
  <c r="V411" i="14"/>
  <c r="S411" i="14"/>
  <c r="V410" i="14"/>
  <c r="S410" i="14"/>
  <c r="V409" i="14"/>
  <c r="S409" i="14"/>
  <c r="V408" i="14"/>
  <c r="S408" i="14"/>
  <c r="V407" i="14"/>
  <c r="S407" i="14"/>
  <c r="V406" i="14"/>
  <c r="S406" i="14"/>
  <c r="V405" i="14"/>
  <c r="S405" i="14"/>
  <c r="V404" i="14"/>
  <c r="S404" i="14"/>
  <c r="V403" i="14"/>
  <c r="S403" i="14"/>
  <c r="V402" i="14"/>
  <c r="S402" i="14"/>
  <c r="V401" i="14"/>
  <c r="S401" i="14"/>
  <c r="V400" i="14"/>
  <c r="S400" i="14"/>
  <c r="V399" i="14"/>
  <c r="S399" i="14"/>
  <c r="V398" i="14"/>
  <c r="S398" i="14"/>
  <c r="V397" i="14"/>
  <c r="S397" i="14"/>
  <c r="V396" i="14"/>
  <c r="S396" i="14"/>
  <c r="V395" i="14"/>
  <c r="S395" i="14"/>
  <c r="V394" i="14"/>
  <c r="S394" i="14"/>
  <c r="V393" i="14"/>
  <c r="S393" i="14"/>
  <c r="V392" i="14"/>
  <c r="S392" i="14"/>
  <c r="V391" i="14"/>
  <c r="S391" i="14"/>
  <c r="V390" i="14"/>
  <c r="S390" i="14"/>
  <c r="V389" i="14"/>
  <c r="S389" i="14"/>
  <c r="V388" i="14"/>
  <c r="S388" i="14"/>
  <c r="V387" i="14"/>
  <c r="S387" i="14"/>
  <c r="V386" i="14"/>
  <c r="S386" i="14"/>
  <c r="V385" i="14"/>
  <c r="S385" i="14"/>
  <c r="V384" i="14"/>
  <c r="S384" i="14"/>
  <c r="V383" i="14"/>
  <c r="S383" i="14"/>
  <c r="V382" i="14"/>
  <c r="S382" i="14"/>
  <c r="V381" i="14"/>
  <c r="S381" i="14"/>
  <c r="V380" i="14"/>
  <c r="S380" i="14"/>
  <c r="V379" i="14"/>
  <c r="S379" i="14"/>
  <c r="V378" i="14"/>
  <c r="S378" i="14"/>
  <c r="V377" i="14"/>
  <c r="S377" i="14"/>
  <c r="V376" i="14"/>
  <c r="S376" i="14"/>
  <c r="V375" i="14"/>
  <c r="S375" i="14"/>
  <c r="V374" i="14"/>
  <c r="S374" i="14"/>
  <c r="V373" i="14"/>
  <c r="S373" i="14"/>
  <c r="V372" i="14"/>
  <c r="S372" i="14"/>
  <c r="V371" i="14"/>
  <c r="S371" i="14"/>
  <c r="V370" i="14"/>
  <c r="S370" i="14"/>
  <c r="V369" i="14"/>
  <c r="S369" i="14"/>
  <c r="V368" i="14"/>
  <c r="S368" i="14"/>
  <c r="V367" i="14"/>
  <c r="S367" i="14"/>
  <c r="V366" i="14"/>
  <c r="S366" i="14"/>
  <c r="V365" i="14"/>
  <c r="S365" i="14"/>
  <c r="V364" i="14"/>
  <c r="S364" i="14"/>
  <c r="V363" i="14"/>
  <c r="S363" i="14"/>
  <c r="V362" i="14"/>
  <c r="S362" i="14"/>
  <c r="V361" i="14"/>
  <c r="S361" i="14"/>
  <c r="V360" i="14"/>
  <c r="S360" i="14"/>
  <c r="V359" i="14"/>
  <c r="S359" i="14"/>
  <c r="V358" i="14"/>
  <c r="S358" i="14"/>
  <c r="V357" i="14"/>
  <c r="S357" i="14"/>
  <c r="V356" i="14"/>
  <c r="S356" i="14"/>
  <c r="V355" i="14"/>
  <c r="S355" i="14"/>
  <c r="V354" i="14"/>
  <c r="S354" i="14"/>
  <c r="V353" i="14"/>
  <c r="S353" i="14"/>
  <c r="V352" i="14"/>
  <c r="S352" i="14"/>
  <c r="V351" i="14"/>
  <c r="S351" i="14"/>
  <c r="V350" i="14"/>
  <c r="S350" i="14"/>
  <c r="V349" i="14"/>
  <c r="S349" i="14"/>
  <c r="V348" i="14"/>
  <c r="S348" i="14"/>
  <c r="V347" i="14"/>
  <c r="S347" i="14"/>
  <c r="V346" i="14"/>
  <c r="S346" i="14"/>
  <c r="V345" i="14"/>
  <c r="S345" i="14"/>
  <c r="V344" i="14"/>
  <c r="S344" i="14"/>
  <c r="V343" i="14"/>
  <c r="S343" i="14"/>
  <c r="V342" i="14"/>
  <c r="S342" i="14"/>
  <c r="V341" i="14"/>
  <c r="S341" i="14"/>
  <c r="V340" i="14"/>
  <c r="S340" i="14"/>
  <c r="V339" i="14"/>
  <c r="S339" i="14"/>
  <c r="V338" i="14"/>
  <c r="S338" i="14"/>
  <c r="V337" i="14"/>
  <c r="S337" i="14"/>
  <c r="V336" i="14"/>
  <c r="S336" i="14"/>
  <c r="V335" i="14"/>
  <c r="S335" i="14"/>
  <c r="V334" i="14"/>
  <c r="S334" i="14"/>
  <c r="V333" i="14"/>
  <c r="S333" i="14"/>
  <c r="V332" i="14"/>
  <c r="S332" i="14"/>
  <c r="V331" i="14"/>
  <c r="S331" i="14"/>
  <c r="V330" i="14"/>
  <c r="S330" i="14"/>
  <c r="V329" i="14"/>
  <c r="S329" i="14"/>
  <c r="V328" i="14"/>
  <c r="S328" i="14"/>
  <c r="V327" i="14"/>
  <c r="S327" i="14"/>
  <c r="V326" i="14"/>
  <c r="S326" i="14"/>
  <c r="V325" i="14"/>
  <c r="S325" i="14"/>
  <c r="V324" i="14"/>
  <c r="S324" i="14"/>
  <c r="V323" i="14"/>
  <c r="S323" i="14"/>
  <c r="V322" i="14"/>
  <c r="S322" i="14"/>
  <c r="V321" i="14"/>
  <c r="S321" i="14"/>
  <c r="V320" i="14"/>
  <c r="S320" i="14"/>
  <c r="V319" i="14"/>
  <c r="S319" i="14"/>
  <c r="V318" i="14"/>
  <c r="S318" i="14"/>
  <c r="V317" i="14"/>
  <c r="S317" i="14"/>
  <c r="V316" i="14"/>
  <c r="S316" i="14"/>
  <c r="V315" i="14"/>
  <c r="S315" i="14"/>
  <c r="V314" i="14"/>
  <c r="S314" i="14"/>
  <c r="V313" i="14"/>
  <c r="S313" i="14"/>
  <c r="V312" i="14"/>
  <c r="S312" i="14"/>
  <c r="V311" i="14"/>
  <c r="S311" i="14"/>
  <c r="V310" i="14"/>
  <c r="S310" i="14"/>
  <c r="V309" i="14"/>
  <c r="S309" i="14"/>
  <c r="V308" i="14"/>
  <c r="S308" i="14"/>
  <c r="V307" i="14"/>
  <c r="S307" i="14"/>
  <c r="V306" i="14"/>
  <c r="S306" i="14"/>
  <c r="V305" i="14"/>
  <c r="S305" i="14"/>
  <c r="V304" i="14"/>
  <c r="S304" i="14"/>
  <c r="V303" i="14"/>
  <c r="S303" i="14"/>
  <c r="V302" i="14"/>
  <c r="S302" i="14"/>
  <c r="V301" i="14"/>
  <c r="S301" i="14"/>
  <c r="V300" i="14"/>
  <c r="S300" i="14"/>
  <c r="V299" i="14"/>
  <c r="S299" i="14"/>
  <c r="V298" i="14"/>
  <c r="S298" i="14"/>
  <c r="V297" i="14"/>
  <c r="S297" i="14"/>
  <c r="V296" i="14"/>
  <c r="S296" i="14"/>
  <c r="V295" i="14"/>
  <c r="S295" i="14"/>
  <c r="V294" i="14"/>
  <c r="S294" i="14"/>
  <c r="V293" i="14"/>
  <c r="S293" i="14"/>
  <c r="V292" i="14"/>
  <c r="S292" i="14"/>
  <c r="V291" i="14"/>
  <c r="S291" i="14"/>
  <c r="V290" i="14"/>
  <c r="S290" i="14"/>
  <c r="V289" i="14"/>
  <c r="S289" i="14"/>
  <c r="V288" i="14"/>
  <c r="S288" i="14"/>
  <c r="V287" i="14"/>
  <c r="S287" i="14"/>
  <c r="V286" i="14"/>
  <c r="S286" i="14"/>
  <c r="V285" i="14"/>
  <c r="S285" i="14"/>
  <c r="V284" i="14"/>
  <c r="S284" i="14"/>
  <c r="V283" i="14"/>
  <c r="S283" i="14"/>
  <c r="V282" i="14"/>
  <c r="S282" i="14"/>
  <c r="V281" i="14"/>
  <c r="S281" i="14"/>
  <c r="V280" i="14"/>
  <c r="S280" i="14"/>
  <c r="V279" i="14"/>
  <c r="S279" i="14"/>
  <c r="V278" i="14"/>
  <c r="S278" i="14"/>
  <c r="V277" i="14"/>
  <c r="S277" i="14"/>
  <c r="V276" i="14"/>
  <c r="S276" i="14"/>
  <c r="V275" i="14"/>
  <c r="S275" i="14"/>
  <c r="V274" i="14"/>
  <c r="S274" i="14"/>
  <c r="V273" i="14"/>
  <c r="S273" i="14"/>
  <c r="V272" i="14"/>
  <c r="S272" i="14"/>
  <c r="V271" i="14"/>
  <c r="S271" i="14"/>
  <c r="V270" i="14"/>
  <c r="S270" i="14"/>
  <c r="V269" i="14"/>
  <c r="S269" i="14"/>
  <c r="V268" i="14"/>
  <c r="S268" i="14"/>
  <c r="V267" i="14"/>
  <c r="S267" i="14"/>
  <c r="V266" i="14"/>
  <c r="S266" i="14"/>
  <c r="V265" i="14"/>
  <c r="S265" i="14"/>
  <c r="V264" i="14"/>
  <c r="S264" i="14"/>
  <c r="V263" i="14"/>
  <c r="S263" i="14"/>
  <c r="V262" i="14"/>
  <c r="S262" i="14"/>
  <c r="V261" i="14"/>
  <c r="S261" i="14"/>
  <c r="V260" i="14"/>
  <c r="S260" i="14"/>
  <c r="V259" i="14"/>
  <c r="S259" i="14"/>
  <c r="V258" i="14"/>
  <c r="S258" i="14"/>
  <c r="V257" i="14"/>
  <c r="S257" i="14"/>
  <c r="V256" i="14"/>
  <c r="S256" i="14"/>
  <c r="V255" i="14"/>
  <c r="S255" i="14"/>
  <c r="V254" i="14"/>
  <c r="S254" i="14"/>
  <c r="V253" i="14"/>
  <c r="S253" i="14"/>
  <c r="V252" i="14"/>
  <c r="S252" i="14"/>
  <c r="V251" i="14"/>
  <c r="S251" i="14"/>
  <c r="V250" i="14"/>
  <c r="S250" i="14"/>
  <c r="V249" i="14"/>
  <c r="S249" i="14"/>
  <c r="V248" i="14"/>
  <c r="S248" i="14"/>
  <c r="V247" i="14"/>
  <c r="S247" i="14"/>
  <c r="V246" i="14"/>
  <c r="S246" i="14"/>
  <c r="V245" i="14"/>
  <c r="S245" i="14"/>
  <c r="V244" i="14"/>
  <c r="S244" i="14"/>
  <c r="V243" i="14"/>
  <c r="S243" i="14"/>
  <c r="V242" i="14"/>
  <c r="S242" i="14"/>
  <c r="V241" i="14"/>
  <c r="S241" i="14"/>
  <c r="V240" i="14"/>
  <c r="S240" i="14"/>
  <c r="V239" i="14"/>
  <c r="S239" i="14"/>
  <c r="V238" i="14"/>
  <c r="S238" i="14"/>
  <c r="V237" i="14"/>
  <c r="S237" i="14"/>
  <c r="V236" i="14"/>
  <c r="S236" i="14"/>
  <c r="V235" i="14"/>
  <c r="S235" i="14"/>
  <c r="V234" i="14"/>
  <c r="S234" i="14"/>
  <c r="V233" i="14"/>
  <c r="S233" i="14"/>
  <c r="V232" i="14"/>
  <c r="S232" i="14"/>
  <c r="V231" i="14"/>
  <c r="S231" i="14"/>
  <c r="V230" i="14"/>
  <c r="S230" i="14"/>
  <c r="V229" i="14"/>
  <c r="S229" i="14"/>
  <c r="V228" i="14"/>
  <c r="S228" i="14"/>
  <c r="V227" i="14"/>
  <c r="S227" i="14"/>
  <c r="V226" i="14"/>
  <c r="S226" i="14"/>
  <c r="V225" i="14"/>
  <c r="S225" i="14"/>
  <c r="V224" i="14"/>
  <c r="S224" i="14"/>
  <c r="V223" i="14"/>
  <c r="S223" i="14"/>
  <c r="V222" i="14"/>
  <c r="S222" i="14"/>
  <c r="V221" i="14"/>
  <c r="S221" i="14"/>
  <c r="V220" i="14"/>
  <c r="S220" i="14"/>
  <c r="V219" i="14"/>
  <c r="S219" i="14"/>
  <c r="V218" i="14"/>
  <c r="S218" i="14"/>
  <c r="V217" i="14"/>
  <c r="S217" i="14"/>
  <c r="V216" i="14"/>
  <c r="S216" i="14"/>
  <c r="V215" i="14"/>
  <c r="S215" i="14"/>
  <c r="V214" i="14"/>
  <c r="S214" i="14"/>
  <c r="V213" i="14"/>
  <c r="S213" i="14"/>
  <c r="V212" i="14"/>
  <c r="S212" i="14"/>
  <c r="V211" i="14"/>
  <c r="S211" i="14"/>
  <c r="V210" i="14"/>
  <c r="S210" i="14"/>
  <c r="V209" i="14"/>
  <c r="S209" i="14"/>
  <c r="V208" i="14"/>
  <c r="S208" i="14"/>
  <c r="V207" i="14"/>
  <c r="S207" i="14"/>
  <c r="V206" i="14"/>
  <c r="S206" i="14"/>
  <c r="V205" i="14"/>
  <c r="S205" i="14"/>
  <c r="V204" i="14"/>
  <c r="S204" i="14"/>
  <c r="V203" i="14"/>
  <c r="S203" i="14"/>
  <c r="V202" i="14"/>
  <c r="S202" i="14"/>
  <c r="V201" i="14"/>
  <c r="S201" i="14"/>
  <c r="V200" i="14"/>
  <c r="S200" i="14"/>
  <c r="V199" i="14"/>
  <c r="S199" i="14"/>
  <c r="V198" i="14"/>
  <c r="S198" i="14"/>
  <c r="V197" i="14"/>
  <c r="S197" i="14"/>
  <c r="V196" i="14"/>
  <c r="S196" i="14"/>
  <c r="V195" i="14"/>
  <c r="S195" i="14"/>
  <c r="V194" i="14"/>
  <c r="S194" i="14"/>
  <c r="V193" i="14"/>
  <c r="S193" i="14"/>
  <c r="V192" i="14"/>
  <c r="S192" i="14"/>
  <c r="V191" i="14"/>
  <c r="S191" i="14"/>
  <c r="V190" i="14"/>
  <c r="S190" i="14"/>
  <c r="V189" i="14"/>
  <c r="S189" i="14"/>
  <c r="V188" i="14"/>
  <c r="S188" i="14"/>
  <c r="V187" i="14"/>
  <c r="S187" i="14"/>
  <c r="V186" i="14"/>
  <c r="S186" i="14"/>
  <c r="V185" i="14"/>
  <c r="S185" i="14"/>
  <c r="V184" i="14"/>
  <c r="S184" i="14"/>
  <c r="V183" i="14"/>
  <c r="S183" i="14"/>
  <c r="V182" i="14"/>
  <c r="S182" i="14"/>
  <c r="V181" i="14"/>
  <c r="S181" i="14"/>
  <c r="V180" i="14"/>
  <c r="S180" i="14"/>
  <c r="V179" i="14"/>
  <c r="S179" i="14"/>
  <c r="V178" i="14"/>
  <c r="S178" i="14"/>
  <c r="V177" i="14"/>
  <c r="S177" i="14"/>
  <c r="V176" i="14"/>
  <c r="S176" i="14"/>
  <c r="V175" i="14"/>
  <c r="S175" i="14"/>
  <c r="V174" i="14"/>
  <c r="S174" i="14"/>
  <c r="V173" i="14"/>
  <c r="S173" i="14"/>
  <c r="V172" i="14"/>
  <c r="S172" i="14"/>
  <c r="V171" i="14"/>
  <c r="S171" i="14"/>
  <c r="V170" i="14"/>
  <c r="S170" i="14"/>
  <c r="V169" i="14"/>
  <c r="S169" i="14"/>
  <c r="V168" i="14"/>
  <c r="S168" i="14"/>
  <c r="V167" i="14"/>
  <c r="S167" i="14"/>
  <c r="V166" i="14"/>
  <c r="S166" i="14"/>
  <c r="V165" i="14"/>
  <c r="S165" i="14"/>
  <c r="V164" i="14"/>
  <c r="S164" i="14"/>
  <c r="V163" i="14"/>
  <c r="S163" i="14"/>
  <c r="V162" i="14"/>
  <c r="S162" i="14"/>
  <c r="V161" i="14"/>
  <c r="S161" i="14"/>
  <c r="V160" i="14"/>
  <c r="S160" i="14"/>
  <c r="V159" i="14"/>
  <c r="S159" i="14"/>
  <c r="V158" i="14"/>
  <c r="S158" i="14"/>
  <c r="V157" i="14"/>
  <c r="S157" i="14"/>
  <c r="V156" i="14"/>
  <c r="S156" i="14"/>
  <c r="V155" i="14"/>
  <c r="S155" i="14"/>
  <c r="V154" i="14"/>
  <c r="S154" i="14"/>
  <c r="V153" i="14"/>
  <c r="S153" i="14"/>
  <c r="V152" i="14"/>
  <c r="S152" i="14"/>
  <c r="V151" i="14"/>
  <c r="S151" i="14"/>
  <c r="V150" i="14"/>
  <c r="S150" i="14"/>
  <c r="V149" i="14"/>
  <c r="S149" i="14"/>
  <c r="V148" i="14"/>
  <c r="S148" i="14"/>
  <c r="V147" i="14"/>
  <c r="S147" i="14"/>
  <c r="V146" i="14"/>
  <c r="S146" i="14"/>
  <c r="V145" i="14"/>
  <c r="S145" i="14"/>
  <c r="V144" i="14"/>
  <c r="S144" i="14"/>
  <c r="V143" i="14"/>
  <c r="S143" i="14"/>
  <c r="V142" i="14"/>
  <c r="S142" i="14"/>
  <c r="V141" i="14"/>
  <c r="S141" i="14"/>
  <c r="V140" i="14"/>
  <c r="S140" i="14"/>
  <c r="V139" i="14"/>
  <c r="S139" i="14"/>
  <c r="V138" i="14"/>
  <c r="S138" i="14"/>
  <c r="V137" i="14"/>
  <c r="S137" i="14"/>
  <c r="V136" i="14"/>
  <c r="S136" i="14"/>
  <c r="V135" i="14"/>
  <c r="S135" i="14"/>
  <c r="V134" i="14"/>
  <c r="S134" i="14"/>
  <c r="V133" i="14"/>
  <c r="S133" i="14"/>
  <c r="V132" i="14"/>
  <c r="S132" i="14"/>
  <c r="V131" i="14"/>
  <c r="S131" i="14"/>
  <c r="V130" i="14"/>
  <c r="S130" i="14"/>
  <c r="V129" i="14"/>
  <c r="S129" i="14"/>
  <c r="V128" i="14"/>
  <c r="S128" i="14"/>
  <c r="V127" i="14"/>
  <c r="S127" i="14"/>
  <c r="V126" i="14"/>
  <c r="S126" i="14"/>
  <c r="V125" i="14"/>
  <c r="S125" i="14"/>
  <c r="V124" i="14"/>
  <c r="S124" i="14"/>
  <c r="V123" i="14"/>
  <c r="S123" i="14"/>
  <c r="V122" i="14"/>
  <c r="S122" i="14"/>
  <c r="V121" i="14"/>
  <c r="S121" i="14"/>
  <c r="V120" i="14"/>
  <c r="S120" i="14"/>
  <c r="V119" i="14"/>
  <c r="S119" i="14"/>
  <c r="V118" i="14"/>
  <c r="S118" i="14"/>
  <c r="V117" i="14"/>
  <c r="S117" i="14"/>
  <c r="V116" i="14"/>
  <c r="S116" i="14"/>
  <c r="V115" i="14"/>
  <c r="S115" i="14"/>
  <c r="V114" i="14"/>
  <c r="S114" i="14"/>
  <c r="V113" i="14"/>
  <c r="S113" i="14"/>
  <c r="V112" i="14"/>
  <c r="S112" i="14"/>
  <c r="V111" i="14"/>
  <c r="S111" i="14"/>
  <c r="V110" i="14"/>
  <c r="S110" i="14"/>
  <c r="V109" i="14"/>
  <c r="S109" i="14"/>
  <c r="V108" i="14"/>
  <c r="S108" i="14"/>
  <c r="V107" i="14"/>
  <c r="S107" i="14"/>
  <c r="V106" i="14"/>
  <c r="S106" i="14"/>
  <c r="V105" i="14"/>
  <c r="S105" i="14"/>
  <c r="V104" i="14"/>
  <c r="S104" i="14"/>
  <c r="V103" i="14"/>
  <c r="S103" i="14"/>
  <c r="V102" i="14"/>
  <c r="S102" i="14"/>
  <c r="V101" i="14"/>
  <c r="S101" i="14"/>
  <c r="V100" i="14"/>
  <c r="S100" i="14"/>
  <c r="V99" i="14"/>
  <c r="S99" i="14"/>
  <c r="V98" i="14"/>
  <c r="S98" i="14"/>
  <c r="V97" i="14"/>
  <c r="S97" i="14"/>
  <c r="V96" i="14"/>
  <c r="S96" i="14"/>
  <c r="V95" i="14"/>
  <c r="S95" i="14"/>
  <c r="V94" i="14"/>
  <c r="S94" i="14"/>
  <c r="V93" i="14"/>
  <c r="S93" i="14"/>
  <c r="V92" i="14"/>
  <c r="S92" i="14"/>
  <c r="V91" i="14"/>
  <c r="S91" i="14"/>
  <c r="V90" i="14"/>
  <c r="S90" i="14"/>
  <c r="V89" i="14"/>
  <c r="S89" i="14"/>
  <c r="V88" i="14"/>
  <c r="S88" i="14"/>
  <c r="V87" i="14"/>
  <c r="S87" i="14"/>
  <c r="V86" i="14"/>
  <c r="S86" i="14"/>
  <c r="V85" i="14"/>
  <c r="S85" i="14"/>
  <c r="V84" i="14"/>
  <c r="S84" i="14"/>
  <c r="V83" i="14"/>
  <c r="S83" i="14"/>
  <c r="V82" i="14"/>
  <c r="S82" i="14"/>
  <c r="V81" i="14"/>
  <c r="S81" i="14"/>
  <c r="V80" i="14"/>
  <c r="S80" i="14"/>
  <c r="V79" i="14"/>
  <c r="S79" i="14"/>
  <c r="V78" i="14"/>
  <c r="S78" i="14"/>
  <c r="V77" i="14"/>
  <c r="S77" i="14"/>
  <c r="V76" i="14"/>
  <c r="S76" i="14"/>
  <c r="V75" i="14"/>
  <c r="S75" i="14"/>
  <c r="V74" i="14"/>
  <c r="S74" i="14"/>
  <c r="V73" i="14"/>
  <c r="S73" i="14"/>
  <c r="V72" i="14"/>
  <c r="S72" i="14"/>
  <c r="V71" i="14"/>
  <c r="S71" i="14"/>
  <c r="V70" i="14"/>
  <c r="S70" i="14"/>
  <c r="V69" i="14"/>
  <c r="S69" i="14"/>
  <c r="V68" i="14"/>
  <c r="S68" i="14"/>
  <c r="V67" i="14"/>
  <c r="S67" i="14"/>
  <c r="V66" i="14"/>
  <c r="S66" i="14"/>
  <c r="V65" i="14"/>
  <c r="S65" i="14"/>
  <c r="V64" i="14"/>
  <c r="S64" i="14"/>
  <c r="V63" i="14"/>
  <c r="S63" i="14"/>
  <c r="V62" i="14"/>
  <c r="S62" i="14"/>
  <c r="V61" i="14"/>
  <c r="S61" i="14"/>
  <c r="V60" i="14"/>
  <c r="S60" i="14"/>
  <c r="V59" i="14"/>
  <c r="S59" i="14"/>
  <c r="V58" i="14"/>
  <c r="S58" i="14"/>
  <c r="V57" i="14"/>
  <c r="S57" i="14"/>
  <c r="V56" i="14"/>
  <c r="S56" i="14"/>
  <c r="V55" i="14"/>
  <c r="S55" i="14"/>
  <c r="V54" i="14"/>
  <c r="S54" i="14"/>
  <c r="V53" i="14"/>
  <c r="S53" i="14"/>
  <c r="V52" i="14"/>
  <c r="S52" i="14"/>
  <c r="V51" i="14"/>
  <c r="S51" i="14"/>
  <c r="V50" i="14"/>
  <c r="S50" i="14"/>
  <c r="V49" i="14"/>
  <c r="S49" i="14"/>
  <c r="V48" i="14"/>
  <c r="S48" i="14"/>
  <c r="V47" i="14"/>
  <c r="S47" i="14"/>
  <c r="V46" i="14"/>
  <c r="S46" i="14"/>
  <c r="V45" i="14"/>
  <c r="S45" i="14"/>
  <c r="V44" i="14"/>
  <c r="S44" i="14"/>
  <c r="V43" i="14"/>
  <c r="S43" i="14"/>
  <c r="V42" i="14"/>
  <c r="S42" i="14"/>
  <c r="V41" i="14"/>
  <c r="S41" i="14"/>
  <c r="V40" i="14"/>
  <c r="S40" i="14"/>
  <c r="V39" i="14"/>
  <c r="S39" i="14"/>
  <c r="V38" i="14"/>
  <c r="S38" i="14"/>
  <c r="V37" i="14"/>
  <c r="S37" i="14"/>
  <c r="V36" i="14"/>
  <c r="S36" i="14"/>
  <c r="V35" i="14"/>
  <c r="S35" i="14"/>
  <c r="V34" i="14"/>
  <c r="S34" i="14"/>
  <c r="V33" i="14"/>
  <c r="S33" i="14"/>
  <c r="V32" i="14"/>
  <c r="S32" i="14"/>
  <c r="V31" i="14"/>
  <c r="S31" i="14"/>
  <c r="V30" i="14"/>
  <c r="S30" i="14"/>
  <c r="V29" i="14"/>
  <c r="S29" i="14"/>
  <c r="V28" i="14"/>
  <c r="S28" i="14"/>
  <c r="V27" i="14"/>
  <c r="S27" i="14"/>
  <c r="V26" i="14"/>
  <c r="S26" i="14"/>
  <c r="V25" i="14"/>
  <c r="S25" i="14"/>
  <c r="V24" i="14"/>
  <c r="S24" i="14"/>
  <c r="V23" i="14"/>
  <c r="S23" i="14"/>
  <c r="V22" i="14"/>
  <c r="S22" i="14"/>
  <c r="V21" i="14"/>
  <c r="S21" i="14"/>
  <c r="V20" i="14"/>
  <c r="S20" i="14"/>
  <c r="V19" i="14"/>
  <c r="S19" i="14"/>
  <c r="V18" i="14"/>
  <c r="S18" i="14"/>
  <c r="V17" i="14"/>
  <c r="S17" i="14"/>
  <c r="V16" i="14"/>
  <c r="S16" i="14"/>
  <c r="V15" i="14"/>
  <c r="S15" i="14"/>
  <c r="V14" i="14"/>
  <c r="S14" i="14"/>
  <c r="V13" i="14"/>
  <c r="S13" i="14"/>
  <c r="V12" i="14"/>
  <c r="S12" i="14"/>
  <c r="V11" i="14"/>
  <c r="S11" i="14"/>
  <c r="V10" i="14"/>
  <c r="S10" i="14"/>
  <c r="V9" i="14"/>
  <c r="S9" i="14"/>
  <c r="V8" i="14"/>
  <c r="S8" i="14"/>
  <c r="V7" i="14"/>
  <c r="S7" i="14"/>
  <c r="V6" i="14"/>
  <c r="S6" i="14"/>
  <c r="V5" i="14"/>
  <c r="S5" i="14"/>
  <c r="V4" i="14"/>
  <c r="S4" i="14"/>
  <c r="V3" i="14"/>
  <c r="S3" i="14"/>
  <c r="AA622" i="2" l="1"/>
  <c r="J610" i="2" l="1"/>
  <c r="J611" i="2"/>
  <c r="J609" i="2" l="1"/>
  <c r="J595" i="2" l="1"/>
  <c r="J590" i="2" l="1"/>
  <c r="AA590" i="2"/>
  <c r="AA574" i="2" l="1"/>
  <c r="BE532" i="2" l="1"/>
  <c r="J561" i="2" l="1"/>
  <c r="J560" i="2"/>
  <c r="AC45" i="47" l="1"/>
  <c r="AB45" i="47"/>
  <c r="X45" i="47"/>
  <c r="W45" i="47"/>
  <c r="V45" i="47"/>
  <c r="U45" i="47"/>
  <c r="S45" i="47"/>
  <c r="AC44" i="47"/>
  <c r="AB44" i="47"/>
  <c r="X44" i="47"/>
  <c r="W44" i="47"/>
  <c r="V44" i="47"/>
  <c r="U44" i="47"/>
  <c r="S44" i="47"/>
  <c r="AC43" i="47"/>
  <c r="AB43" i="47"/>
  <c r="X43" i="47"/>
  <c r="W43" i="47"/>
  <c r="V43" i="47"/>
  <c r="U43" i="47"/>
  <c r="AC42" i="47"/>
  <c r="AB42" i="47"/>
  <c r="X42" i="47"/>
  <c r="W42" i="47"/>
  <c r="V42" i="47"/>
  <c r="U42" i="47"/>
  <c r="AC41" i="47"/>
  <c r="AB41" i="47"/>
  <c r="X41" i="47"/>
  <c r="W41" i="47"/>
  <c r="V41" i="47"/>
  <c r="U41" i="47"/>
  <c r="S41" i="47"/>
  <c r="AC40" i="47"/>
  <c r="AB40" i="47"/>
  <c r="X40" i="47"/>
  <c r="W40" i="47"/>
  <c r="V40" i="47"/>
  <c r="U40" i="47"/>
  <c r="S40" i="47"/>
  <c r="AC39" i="47"/>
  <c r="AB39" i="47"/>
  <c r="X39" i="47"/>
  <c r="W39" i="47"/>
  <c r="V39" i="47"/>
  <c r="U39" i="47"/>
  <c r="S39" i="47"/>
  <c r="AE42" i="47" l="1"/>
  <c r="AE44" i="47"/>
  <c r="AE39" i="47"/>
  <c r="AE41" i="47"/>
  <c r="AE43" i="47"/>
  <c r="AE45" i="47"/>
  <c r="AE40" i="47"/>
  <c r="J552" i="2"/>
  <c r="J549" i="2" l="1"/>
  <c r="W19" i="47" l="1"/>
  <c r="V19" i="47"/>
  <c r="U19" i="47"/>
  <c r="S19" i="47"/>
  <c r="AC38" i="47"/>
  <c r="AB38" i="47"/>
  <c r="X38" i="47"/>
  <c r="W38" i="47"/>
  <c r="V38" i="47"/>
  <c r="U38" i="47"/>
  <c r="S38" i="47"/>
  <c r="AC37" i="47"/>
  <c r="AB37" i="47"/>
  <c r="X37" i="47"/>
  <c r="W37" i="47"/>
  <c r="V37" i="47"/>
  <c r="U37" i="47"/>
  <c r="S37" i="47"/>
  <c r="AC36" i="47"/>
  <c r="AB36" i="47"/>
  <c r="X36" i="47"/>
  <c r="W36" i="47"/>
  <c r="V36" i="47"/>
  <c r="U36" i="47"/>
  <c r="S36" i="47"/>
  <c r="AC35" i="47"/>
  <c r="AB35" i="47"/>
  <c r="X35" i="47"/>
  <c r="W35" i="47"/>
  <c r="V35" i="47"/>
  <c r="U35" i="47"/>
  <c r="S35" i="47"/>
  <c r="AC34" i="47"/>
  <c r="AB34" i="47"/>
  <c r="X34" i="47"/>
  <c r="W34" i="47"/>
  <c r="V34" i="47"/>
  <c r="U34" i="47"/>
  <c r="S34" i="47"/>
  <c r="AE34" i="47" l="1"/>
  <c r="AE35" i="47"/>
  <c r="AE36" i="47"/>
  <c r="AE37" i="47"/>
  <c r="AE38" i="47"/>
  <c r="J528" i="2"/>
  <c r="N528" i="2"/>
  <c r="R528" i="2"/>
  <c r="W528" i="2"/>
  <c r="AA528" i="2"/>
  <c r="AE528" i="2"/>
  <c r="AJ528" i="2"/>
  <c r="AR528" i="2"/>
  <c r="AX528" i="2"/>
  <c r="AY528" i="2"/>
  <c r="AZ528" i="2"/>
  <c r="BA528" i="2"/>
  <c r="BB528" i="2"/>
  <c r="BC528" i="2"/>
  <c r="BD528" i="2"/>
  <c r="BE528" i="2"/>
  <c r="BF528" i="2"/>
  <c r="BG528" i="2"/>
  <c r="BH528" i="2"/>
  <c r="BI528" i="2"/>
  <c r="BJ528" i="2"/>
  <c r="BK528" i="2"/>
  <c r="BL528" i="2"/>
  <c r="BM528" i="2"/>
  <c r="BN528" i="2"/>
  <c r="BO528" i="2"/>
  <c r="BP528" i="2"/>
  <c r="BQ528" i="2"/>
  <c r="J529" i="2"/>
  <c r="N529" i="2"/>
  <c r="R529" i="2"/>
  <c r="W529" i="2"/>
  <c r="AA529" i="2"/>
  <c r="AE529" i="2"/>
  <c r="AJ529" i="2"/>
  <c r="AR529" i="2"/>
  <c r="AX529" i="2"/>
  <c r="AY529" i="2"/>
  <c r="AZ529" i="2"/>
  <c r="BA529" i="2"/>
  <c r="BB529" i="2"/>
  <c r="BC529" i="2"/>
  <c r="BD529" i="2"/>
  <c r="BE529" i="2"/>
  <c r="BF529" i="2"/>
  <c r="BG529" i="2"/>
  <c r="BH529" i="2"/>
  <c r="BI529" i="2"/>
  <c r="BJ529" i="2"/>
  <c r="BK529" i="2"/>
  <c r="BL529" i="2"/>
  <c r="BM529" i="2"/>
  <c r="BN529" i="2"/>
  <c r="BO529" i="2"/>
  <c r="BP529" i="2"/>
  <c r="BQ529" i="2"/>
  <c r="J530" i="2"/>
  <c r="N530" i="2"/>
  <c r="R530" i="2"/>
  <c r="W530" i="2"/>
  <c r="AA530" i="2"/>
  <c r="AE530" i="2"/>
  <c r="AJ530" i="2"/>
  <c r="AR530" i="2"/>
  <c r="AX530" i="2"/>
  <c r="AY530" i="2"/>
  <c r="AZ530" i="2"/>
  <c r="BA530" i="2"/>
  <c r="BB530" i="2"/>
  <c r="BC530" i="2"/>
  <c r="BD530" i="2"/>
  <c r="BE530" i="2"/>
  <c r="BF530" i="2"/>
  <c r="BG530" i="2"/>
  <c r="BH530" i="2"/>
  <c r="BI530" i="2"/>
  <c r="BJ530" i="2"/>
  <c r="BK530" i="2"/>
  <c r="BL530" i="2"/>
  <c r="BM530" i="2"/>
  <c r="BN530" i="2"/>
  <c r="BO530" i="2"/>
  <c r="BP530" i="2"/>
  <c r="BQ530" i="2"/>
  <c r="J531" i="2"/>
  <c r="N531" i="2"/>
  <c r="R531" i="2"/>
  <c r="W531" i="2"/>
  <c r="AA531" i="2"/>
  <c r="AE531" i="2"/>
  <c r="AJ531" i="2"/>
  <c r="AR531" i="2"/>
  <c r="AX531" i="2"/>
  <c r="AY531" i="2"/>
  <c r="AZ531" i="2"/>
  <c r="BA531" i="2"/>
  <c r="BB531" i="2"/>
  <c r="BC531" i="2"/>
  <c r="BD531" i="2"/>
  <c r="BE531" i="2"/>
  <c r="BF531" i="2"/>
  <c r="BG531" i="2"/>
  <c r="BH531" i="2"/>
  <c r="BI531" i="2"/>
  <c r="BJ531" i="2"/>
  <c r="BK531" i="2"/>
  <c r="BL531" i="2"/>
  <c r="BM531" i="2"/>
  <c r="BN531" i="2"/>
  <c r="BO531" i="2"/>
  <c r="BP531" i="2"/>
  <c r="BQ531" i="2"/>
  <c r="J532" i="2"/>
  <c r="N532" i="2"/>
  <c r="R532" i="2"/>
  <c r="W532" i="2"/>
  <c r="AA532" i="2"/>
  <c r="AE532" i="2"/>
  <c r="AJ532" i="2"/>
  <c r="AR532" i="2"/>
  <c r="AX532" i="2"/>
  <c r="AY532" i="2"/>
  <c r="AZ532" i="2"/>
  <c r="BA532" i="2"/>
  <c r="BB532" i="2"/>
  <c r="BC532" i="2"/>
  <c r="BD532" i="2"/>
  <c r="BF532" i="2"/>
  <c r="BG532" i="2"/>
  <c r="BH532" i="2"/>
  <c r="BI532" i="2"/>
  <c r="BJ532" i="2"/>
  <c r="BK532" i="2"/>
  <c r="BL532" i="2"/>
  <c r="BM532" i="2"/>
  <c r="BN532" i="2"/>
  <c r="BO532" i="2"/>
  <c r="BP532" i="2"/>
  <c r="BQ532" i="2"/>
  <c r="J533" i="2"/>
  <c r="N533" i="2"/>
  <c r="R533" i="2"/>
  <c r="W533" i="2"/>
  <c r="AA533" i="2"/>
  <c r="AE533" i="2"/>
  <c r="AJ533" i="2"/>
  <c r="AR533" i="2"/>
  <c r="AX533" i="2"/>
  <c r="AY533" i="2"/>
  <c r="AZ533" i="2"/>
  <c r="BA533" i="2"/>
  <c r="BB533" i="2"/>
  <c r="BC533" i="2"/>
  <c r="BD533" i="2"/>
  <c r="BE533" i="2"/>
  <c r="BF533" i="2"/>
  <c r="BG533" i="2"/>
  <c r="BH533" i="2"/>
  <c r="BI533" i="2"/>
  <c r="BJ533" i="2"/>
  <c r="BK533" i="2"/>
  <c r="BL533" i="2"/>
  <c r="BM533" i="2"/>
  <c r="BN533" i="2"/>
  <c r="BO533" i="2"/>
  <c r="BP533" i="2"/>
  <c r="BQ533" i="2"/>
  <c r="J534" i="2"/>
  <c r="N534" i="2"/>
  <c r="R534" i="2"/>
  <c r="W534" i="2"/>
  <c r="AA534" i="2"/>
  <c r="AE534" i="2"/>
  <c r="AJ534" i="2"/>
  <c r="AR534" i="2"/>
  <c r="AX534" i="2"/>
  <c r="AY534" i="2"/>
  <c r="AZ534" i="2"/>
  <c r="BA534" i="2"/>
  <c r="BB534" i="2"/>
  <c r="BC534" i="2"/>
  <c r="BD534" i="2"/>
  <c r="BE534" i="2"/>
  <c r="BF534" i="2"/>
  <c r="BG534" i="2"/>
  <c r="BH534" i="2"/>
  <c r="BI534" i="2"/>
  <c r="BJ534" i="2"/>
  <c r="BK534" i="2"/>
  <c r="BL534" i="2"/>
  <c r="BM534" i="2"/>
  <c r="BN534" i="2"/>
  <c r="BO534" i="2"/>
  <c r="BP534" i="2"/>
  <c r="BQ534" i="2"/>
  <c r="J521" i="2" l="1"/>
  <c r="AC33" i="47" l="1"/>
  <c r="AB33" i="47"/>
  <c r="X33" i="47"/>
  <c r="W33" i="47"/>
  <c r="V33" i="47"/>
  <c r="U33" i="47"/>
  <c r="S33" i="47"/>
  <c r="AC32" i="47"/>
  <c r="AB32" i="47"/>
  <c r="X32" i="47"/>
  <c r="W32" i="47"/>
  <c r="V32" i="47"/>
  <c r="U32" i="47"/>
  <c r="S32" i="47"/>
  <c r="AC31" i="47"/>
  <c r="AB31" i="47"/>
  <c r="X31" i="47"/>
  <c r="W31" i="47"/>
  <c r="V31" i="47"/>
  <c r="U31" i="47"/>
  <c r="S31" i="47"/>
  <c r="AC30" i="47"/>
  <c r="AB30" i="47"/>
  <c r="X30" i="47"/>
  <c r="W30" i="47"/>
  <c r="V30" i="47"/>
  <c r="U30" i="47"/>
  <c r="S30" i="47"/>
  <c r="AE32" i="47" l="1"/>
  <c r="AE33" i="47"/>
  <c r="AE30" i="47"/>
  <c r="AE31" i="47"/>
  <c r="J522" i="2"/>
  <c r="J523" i="2"/>
  <c r="J524" i="2"/>
  <c r="J525" i="2"/>
  <c r="J526" i="2"/>
  <c r="J527" i="2"/>
  <c r="J517" i="2" l="1"/>
  <c r="J502" i="2" l="1"/>
  <c r="N502" i="2"/>
  <c r="R502" i="2"/>
  <c r="W502" i="2"/>
  <c r="AA502" i="2"/>
  <c r="AC29" i="47" l="1"/>
  <c r="AB29" i="47"/>
  <c r="X29" i="47"/>
  <c r="W29" i="47"/>
  <c r="V29" i="47"/>
  <c r="U29" i="47"/>
  <c r="S29" i="47"/>
  <c r="AC28" i="47"/>
  <c r="AB28" i="47"/>
  <c r="X28" i="47"/>
  <c r="W28" i="47"/>
  <c r="V28" i="47"/>
  <c r="U28" i="47"/>
  <c r="S28" i="47"/>
  <c r="AC27" i="47"/>
  <c r="AB27" i="47"/>
  <c r="X27" i="47"/>
  <c r="W27" i="47"/>
  <c r="V27" i="47"/>
  <c r="U27" i="47"/>
  <c r="S27" i="47"/>
  <c r="AC26" i="47"/>
  <c r="AB26" i="47"/>
  <c r="X26" i="47"/>
  <c r="W26" i="47"/>
  <c r="V26" i="47"/>
  <c r="U26" i="47"/>
  <c r="S26" i="47"/>
  <c r="AC25" i="47"/>
  <c r="AB25" i="47"/>
  <c r="X25" i="47"/>
  <c r="W25" i="47"/>
  <c r="V25" i="47"/>
  <c r="U25" i="47"/>
  <c r="S25" i="47"/>
  <c r="AC19" i="47"/>
  <c r="AB19" i="47"/>
  <c r="X19" i="47"/>
  <c r="AE19" i="47" l="1"/>
  <c r="AE25" i="47"/>
  <c r="AE26" i="47"/>
  <c r="AE27" i="47"/>
  <c r="AE28" i="47"/>
  <c r="AE29" i="47"/>
  <c r="J498" i="2" l="1"/>
  <c r="J496" i="2"/>
  <c r="J497" i="2"/>
  <c r="J499" i="2"/>
  <c r="J500" i="2"/>
  <c r="J501" i="2"/>
  <c r="J503" i="2"/>
  <c r="J504" i="2"/>
  <c r="J505" i="2"/>
  <c r="J506" i="2"/>
  <c r="J507" i="2"/>
  <c r="J508" i="2"/>
  <c r="J509" i="2"/>
  <c r="J510" i="2"/>
  <c r="J511" i="2"/>
  <c r="J512" i="2"/>
  <c r="J513" i="2"/>
  <c r="J514" i="2"/>
  <c r="J515" i="2"/>
  <c r="J516" i="2"/>
  <c r="J518" i="2"/>
  <c r="J519" i="2"/>
  <c r="J520" i="2"/>
  <c r="J535" i="2"/>
  <c r="J536" i="2"/>
  <c r="J537" i="2"/>
  <c r="J538" i="2"/>
  <c r="J539" i="2"/>
  <c r="J540" i="2"/>
  <c r="J541" i="2"/>
  <c r="J542" i="2"/>
  <c r="J543" i="2"/>
  <c r="J544" i="2"/>
  <c r="J545" i="2"/>
  <c r="J546" i="2"/>
  <c r="J547" i="2"/>
  <c r="J548" i="2"/>
  <c r="J550" i="2"/>
  <c r="J551" i="2"/>
  <c r="J553" i="2"/>
  <c r="J554" i="2"/>
  <c r="J555" i="2"/>
  <c r="J556" i="2"/>
  <c r="J557" i="2"/>
  <c r="J558" i="2"/>
  <c r="J559"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1" i="2"/>
  <c r="J592" i="2"/>
  <c r="J593" i="2"/>
  <c r="J594" i="2"/>
  <c r="J596" i="2"/>
  <c r="J597" i="2"/>
  <c r="J598" i="2"/>
  <c r="J599" i="2"/>
  <c r="J600" i="2"/>
  <c r="J601" i="2"/>
  <c r="J602" i="2"/>
  <c r="J603" i="2"/>
  <c r="J604" i="2"/>
  <c r="J605" i="2"/>
  <c r="J606" i="2"/>
  <c r="J607" i="2"/>
  <c r="J608"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495" i="2"/>
  <c r="J492" i="2"/>
  <c r="AC24" i="47" l="1"/>
  <c r="AB24" i="47"/>
  <c r="X24" i="47"/>
  <c r="W24" i="47"/>
  <c r="V24" i="47"/>
  <c r="U24" i="47"/>
  <c r="S24" i="47"/>
  <c r="AC23" i="47"/>
  <c r="AB23" i="47"/>
  <c r="X23" i="47"/>
  <c r="W23" i="47"/>
  <c r="V23" i="47"/>
  <c r="U23" i="47"/>
  <c r="S23" i="47"/>
  <c r="AC22" i="47"/>
  <c r="AB22" i="47"/>
  <c r="X22" i="47"/>
  <c r="W22" i="47"/>
  <c r="V22" i="47"/>
  <c r="U22" i="47"/>
  <c r="S22" i="47"/>
  <c r="AC21" i="47"/>
  <c r="AB21" i="47"/>
  <c r="X21" i="47"/>
  <c r="W21" i="47"/>
  <c r="V21" i="47"/>
  <c r="U21" i="47"/>
  <c r="S21" i="47"/>
  <c r="AC20" i="47"/>
  <c r="AB20" i="47"/>
  <c r="X20" i="47"/>
  <c r="W20" i="47"/>
  <c r="V20" i="47"/>
  <c r="U20" i="47"/>
  <c r="S20" i="47"/>
  <c r="J483" i="2"/>
  <c r="AE20" i="47" l="1"/>
  <c r="AE21" i="47"/>
  <c r="AE23" i="47"/>
  <c r="AE22" i="47"/>
  <c r="AE24" i="47"/>
  <c r="AX466" i="2"/>
  <c r="AY466" i="2"/>
  <c r="AZ466" i="2"/>
  <c r="BA466" i="2"/>
  <c r="BB466" i="2"/>
  <c r="BC466" i="2"/>
  <c r="BD466" i="2"/>
  <c r="J475" i="2" l="1"/>
  <c r="J468" i="2"/>
  <c r="J467" i="2"/>
  <c r="J466" i="2"/>
  <c r="J459" i="2" l="1"/>
  <c r="J460" i="2"/>
  <c r="J461" i="2"/>
  <c r="J462" i="2"/>
  <c r="J463" i="2"/>
  <c r="J464" i="2"/>
  <c r="J465" i="2"/>
  <c r="J469" i="2"/>
  <c r="J470" i="2"/>
  <c r="J471" i="2"/>
  <c r="J472" i="2"/>
  <c r="J473" i="2"/>
  <c r="J474" i="2"/>
  <c r="J476" i="2"/>
  <c r="J477" i="2"/>
  <c r="J478" i="2"/>
  <c r="J479" i="2"/>
  <c r="J480" i="2"/>
  <c r="J481" i="2"/>
  <c r="J482" i="2"/>
  <c r="J484" i="2"/>
  <c r="J485" i="2"/>
  <c r="J486" i="2"/>
  <c r="J487" i="2"/>
  <c r="J488" i="2"/>
  <c r="J489" i="2"/>
  <c r="J490" i="2"/>
  <c r="J491" i="2"/>
  <c r="J493" i="2"/>
  <c r="J494" i="2"/>
  <c r="J452" i="2" l="1"/>
  <c r="J444" i="2"/>
  <c r="J442" i="2"/>
  <c r="J439" i="2" l="1"/>
  <c r="J432" i="2"/>
  <c r="J433" i="2"/>
  <c r="J434" i="2"/>
  <c r="J435" i="2"/>
  <c r="J436" i="2"/>
  <c r="J437" i="2"/>
  <c r="J438" i="2"/>
  <c r="J440" i="2"/>
  <c r="J441" i="2"/>
  <c r="J443" i="2"/>
  <c r="J445" i="2"/>
  <c r="J446" i="2"/>
  <c r="J447" i="2"/>
  <c r="J448" i="2"/>
  <c r="J449" i="2"/>
  <c r="J450" i="2"/>
  <c r="J451" i="2"/>
  <c r="J453" i="2"/>
  <c r="J454" i="2"/>
  <c r="J455" i="2"/>
  <c r="J456" i="2"/>
  <c r="J457" i="2"/>
  <c r="J458" i="2"/>
  <c r="J426" i="2" l="1"/>
  <c r="J427" i="2"/>
  <c r="J428" i="2"/>
  <c r="J429" i="2"/>
  <c r="J430" i="2"/>
  <c r="J431" i="2"/>
  <c r="J423" i="2"/>
  <c r="J424" i="2"/>
  <c r="J425" i="2"/>
  <c r="J422" i="2"/>
  <c r="J421" i="2"/>
  <c r="J419" i="2"/>
  <c r="AC18" i="47" l="1"/>
  <c r="AB18" i="47"/>
  <c r="X18" i="47"/>
  <c r="W18" i="47"/>
  <c r="V18" i="47"/>
  <c r="U18" i="47"/>
  <c r="S18" i="47"/>
  <c r="AC17" i="47"/>
  <c r="AB17" i="47"/>
  <c r="X17" i="47"/>
  <c r="W17" i="47"/>
  <c r="V17" i="47"/>
  <c r="U17" i="47"/>
  <c r="S17" i="47"/>
  <c r="AC16" i="47"/>
  <c r="AB16" i="47"/>
  <c r="X16" i="47"/>
  <c r="W16" i="47"/>
  <c r="V16" i="47"/>
  <c r="U16" i="47"/>
  <c r="S16" i="47"/>
  <c r="AC15" i="47"/>
  <c r="AB15" i="47"/>
  <c r="X15" i="47"/>
  <c r="W15" i="47"/>
  <c r="V15" i="47"/>
  <c r="U15" i="47"/>
  <c r="S15" i="47"/>
  <c r="AC14" i="47"/>
  <c r="AB14" i="47"/>
  <c r="X14" i="47"/>
  <c r="W14" i="47"/>
  <c r="V14" i="47"/>
  <c r="U14" i="47"/>
  <c r="S14" i="47"/>
  <c r="AE18" i="47" l="1"/>
  <c r="AE17" i="47"/>
  <c r="AE14" i="47"/>
  <c r="AE15" i="47"/>
  <c r="AE16" i="47"/>
  <c r="J405" i="2"/>
  <c r="J395" i="2"/>
  <c r="J391" i="2" l="1"/>
  <c r="J383" i="2"/>
  <c r="J381" i="2" l="1"/>
  <c r="J379" i="2"/>
  <c r="J373" i="2"/>
  <c r="J371" i="2"/>
  <c r="J332" i="2" l="1"/>
  <c r="J369" i="2" l="1"/>
  <c r="J368" i="2"/>
  <c r="J366" i="2"/>
  <c r="J365" i="2"/>
  <c r="J364" i="2"/>
  <c r="J363" i="2"/>
  <c r="J362" i="2"/>
  <c r="J361" i="2"/>
  <c r="J359" i="2"/>
  <c r="J358" i="2"/>
  <c r="J356" i="2"/>
  <c r="J355" i="2"/>
  <c r="J354" i="2"/>
  <c r="J353" i="2"/>
  <c r="J352" i="2"/>
  <c r="J351" i="2"/>
  <c r="J350" i="2"/>
  <c r="J349" i="2"/>
  <c r="J347" i="2"/>
  <c r="J346" i="2"/>
  <c r="J345" i="2"/>
  <c r="J344" i="2"/>
  <c r="J343" i="2"/>
  <c r="J342" i="2"/>
  <c r="J341" i="2"/>
  <c r="J340" i="2"/>
  <c r="J339" i="2"/>
  <c r="J338" i="2"/>
  <c r="J337" i="2"/>
  <c r="J336" i="2"/>
  <c r="J335" i="2"/>
  <c r="J333" i="2"/>
  <c r="AC13" i="47"/>
  <c r="AB13" i="47"/>
  <c r="X13" i="47"/>
  <c r="W13" i="47"/>
  <c r="V13" i="47"/>
  <c r="U13" i="47"/>
  <c r="S13" i="47"/>
  <c r="AC12" i="47"/>
  <c r="AB12" i="47"/>
  <c r="X12" i="47"/>
  <c r="W12" i="47"/>
  <c r="V12" i="47"/>
  <c r="U12" i="47"/>
  <c r="S12" i="47"/>
  <c r="AC11" i="47"/>
  <c r="AB11" i="47"/>
  <c r="X11" i="47"/>
  <c r="W11" i="47"/>
  <c r="V11" i="47"/>
  <c r="U11" i="47"/>
  <c r="S11" i="47"/>
  <c r="AC10" i="47"/>
  <c r="AB10" i="47"/>
  <c r="X10" i="47"/>
  <c r="W10" i="47"/>
  <c r="V10" i="47"/>
  <c r="U10" i="47"/>
  <c r="S10" i="47"/>
  <c r="AE10" i="47" l="1"/>
  <c r="AE11" i="47"/>
  <c r="AE12" i="47"/>
  <c r="AE13" i="47"/>
  <c r="J330" i="2"/>
  <c r="J318" i="2"/>
  <c r="J317" i="2"/>
  <c r="J310" i="2"/>
  <c r="J309" i="2"/>
  <c r="AC9" i="47" l="1"/>
  <c r="AB9" i="47"/>
  <c r="X9" i="47"/>
  <c r="W9" i="47"/>
  <c r="V9" i="47"/>
  <c r="U9" i="47"/>
  <c r="S9" i="47"/>
  <c r="AC8" i="47"/>
  <c r="AB8" i="47"/>
  <c r="X8" i="47"/>
  <c r="W8" i="47"/>
  <c r="V8" i="47"/>
  <c r="U8" i="47"/>
  <c r="S8" i="47"/>
  <c r="AC7" i="47"/>
  <c r="AB7" i="47"/>
  <c r="X7" i="47"/>
  <c r="W7" i="47"/>
  <c r="V7" i="47"/>
  <c r="U7" i="47"/>
  <c r="S7" i="47"/>
  <c r="AC6" i="47"/>
  <c r="AB6" i="47"/>
  <c r="X6" i="47"/>
  <c r="W6" i="47"/>
  <c r="V6" i="47"/>
  <c r="U6" i="47"/>
  <c r="S6" i="47"/>
  <c r="AE9" i="47" l="1"/>
  <c r="AE8" i="47"/>
  <c r="AE7" i="47"/>
  <c r="AE6" i="47"/>
  <c r="AC5" i="47"/>
  <c r="AB5" i="47"/>
  <c r="X5" i="47"/>
  <c r="W5" i="47"/>
  <c r="V5" i="47"/>
  <c r="U5" i="47"/>
  <c r="S5" i="47"/>
  <c r="AC4" i="47"/>
  <c r="AB4" i="47"/>
  <c r="X4" i="47"/>
  <c r="W4" i="47"/>
  <c r="V4" i="47"/>
  <c r="U4" i="47"/>
  <c r="S4" i="47"/>
  <c r="AE4" i="47" l="1"/>
  <c r="AE5" i="47"/>
  <c r="J303" i="2"/>
  <c r="J298" i="2"/>
  <c r="J293" i="2" l="1"/>
  <c r="W3" i="47" l="1"/>
  <c r="X3" i="47"/>
  <c r="X2" i="47"/>
  <c r="W2" i="47"/>
  <c r="S3" i="47"/>
  <c r="U3" i="47"/>
  <c r="V3" i="47"/>
  <c r="AB3" i="47"/>
  <c r="AC3" i="47"/>
  <c r="AE3" i="47" l="1"/>
  <c r="J261" i="2"/>
  <c r="J260" i="2"/>
  <c r="J224" i="2" l="1"/>
  <c r="J205" i="2" l="1"/>
  <c r="J177" i="2" l="1"/>
  <c r="J172" i="2" l="1"/>
  <c r="J148" i="2" l="1"/>
  <c r="V2" i="14" l="1"/>
  <c r="U196" i="26"/>
  <c r="F134" i="2" l="1"/>
  <c r="W100" i="26" l="1"/>
  <c r="AA100" i="26"/>
  <c r="Y100" i="26"/>
  <c r="Z100" i="26"/>
  <c r="X100" i="26"/>
  <c r="V100" i="26"/>
  <c r="W134" i="2"/>
  <c r="R122" i="2"/>
  <c r="J122" i="2" l="1"/>
  <c r="N122" i="2"/>
  <c r="W122" i="2"/>
  <c r="AA122" i="2"/>
  <c r="AE122" i="2"/>
  <c r="AJ122" i="2"/>
  <c r="AR122" i="2"/>
  <c r="AX122" i="2"/>
  <c r="AY122" i="2"/>
  <c r="AZ122" i="2"/>
  <c r="BA122" i="2"/>
  <c r="BB122" i="2"/>
  <c r="BC122" i="2"/>
  <c r="BD122" i="2"/>
  <c r="BE122" i="2"/>
  <c r="BF122" i="2"/>
  <c r="BG122" i="2"/>
  <c r="BH122" i="2"/>
  <c r="BI122" i="2"/>
  <c r="BJ122" i="2"/>
  <c r="BK122" i="2"/>
  <c r="BL122" i="2"/>
  <c r="BM122" i="2"/>
  <c r="BN122" i="2"/>
  <c r="BO122" i="2"/>
  <c r="BP122" i="2"/>
  <c r="BQ122" i="2"/>
  <c r="J123" i="2"/>
  <c r="N123" i="2"/>
  <c r="R123" i="2"/>
  <c r="W123" i="2"/>
  <c r="AA123" i="2"/>
  <c r="AE123" i="2"/>
  <c r="AJ123" i="2"/>
  <c r="AR123" i="2"/>
  <c r="AX123" i="2"/>
  <c r="AY123" i="2"/>
  <c r="AZ123" i="2"/>
  <c r="BA123" i="2"/>
  <c r="BB123" i="2"/>
  <c r="BC123" i="2"/>
  <c r="BD123" i="2"/>
  <c r="BE123" i="2"/>
  <c r="BF123" i="2"/>
  <c r="BG123" i="2"/>
  <c r="BH123" i="2"/>
  <c r="BI123" i="2"/>
  <c r="BJ123" i="2"/>
  <c r="BK123" i="2"/>
  <c r="BL123" i="2"/>
  <c r="BM123" i="2"/>
  <c r="BN123" i="2"/>
  <c r="BO123" i="2"/>
  <c r="BP123" i="2"/>
  <c r="BQ123" i="2"/>
  <c r="J107" i="2"/>
  <c r="J92" i="2" l="1"/>
  <c r="N92" i="2"/>
  <c r="R92" i="2"/>
  <c r="W92" i="2"/>
  <c r="AA92" i="2"/>
  <c r="AE92" i="2"/>
  <c r="AJ92" i="2"/>
  <c r="AR92" i="2"/>
  <c r="AX92" i="2"/>
  <c r="AY92" i="2"/>
  <c r="AZ92" i="2"/>
  <c r="BA92" i="2"/>
  <c r="BB92" i="2"/>
  <c r="BC92" i="2"/>
  <c r="BD92" i="2"/>
  <c r="BE92" i="2"/>
  <c r="BF92" i="2"/>
  <c r="BG92" i="2"/>
  <c r="BH92" i="2"/>
  <c r="BI92" i="2"/>
  <c r="BJ92" i="2"/>
  <c r="BK92" i="2"/>
  <c r="BL92" i="2"/>
  <c r="BM92" i="2"/>
  <c r="BN92" i="2"/>
  <c r="BO92" i="2"/>
  <c r="BP92" i="2"/>
  <c r="BQ92" i="2"/>
  <c r="J93" i="2"/>
  <c r="N93" i="2"/>
  <c r="R93" i="2"/>
  <c r="W93" i="2"/>
  <c r="AA93" i="2"/>
  <c r="AE93" i="2"/>
  <c r="AJ93" i="2"/>
  <c r="AR93" i="2"/>
  <c r="AX93" i="2"/>
  <c r="AY93" i="2"/>
  <c r="AZ93" i="2"/>
  <c r="BA93" i="2"/>
  <c r="BB93" i="2"/>
  <c r="BC93" i="2"/>
  <c r="BD93" i="2"/>
  <c r="BE93" i="2"/>
  <c r="BF93" i="2"/>
  <c r="BG93" i="2"/>
  <c r="BH93" i="2"/>
  <c r="BI93" i="2"/>
  <c r="BJ93" i="2"/>
  <c r="BK93" i="2"/>
  <c r="BL93" i="2"/>
  <c r="BM93" i="2"/>
  <c r="BN93" i="2"/>
  <c r="BO93" i="2"/>
  <c r="BP93" i="2"/>
  <c r="BQ93" i="2"/>
  <c r="J94" i="2"/>
  <c r="N94" i="2"/>
  <c r="R94" i="2"/>
  <c r="W94" i="2"/>
  <c r="AA94" i="2"/>
  <c r="AE94" i="2"/>
  <c r="AJ94" i="2"/>
  <c r="AR94" i="2"/>
  <c r="AX94" i="2"/>
  <c r="AY94" i="2"/>
  <c r="AZ94" i="2"/>
  <c r="BA94" i="2"/>
  <c r="BB94" i="2"/>
  <c r="BC94" i="2"/>
  <c r="BD94" i="2"/>
  <c r="BE94" i="2"/>
  <c r="BF94" i="2"/>
  <c r="BG94" i="2"/>
  <c r="BH94" i="2"/>
  <c r="BI94" i="2"/>
  <c r="BJ94" i="2"/>
  <c r="BK94" i="2"/>
  <c r="BL94" i="2"/>
  <c r="BM94" i="2"/>
  <c r="BN94" i="2"/>
  <c r="BO94" i="2"/>
  <c r="BP94" i="2"/>
  <c r="BQ94" i="2"/>
  <c r="J95" i="2"/>
  <c r="N95" i="2"/>
  <c r="R95" i="2"/>
  <c r="W95" i="2"/>
  <c r="AA95" i="2"/>
  <c r="AE95" i="2"/>
  <c r="AJ95" i="2"/>
  <c r="AR95" i="2"/>
  <c r="AX95" i="2"/>
  <c r="AY95" i="2"/>
  <c r="AZ95" i="2"/>
  <c r="BA95" i="2"/>
  <c r="BB95" i="2"/>
  <c r="BC95" i="2"/>
  <c r="BD95" i="2"/>
  <c r="BE95" i="2"/>
  <c r="BF95" i="2"/>
  <c r="BG95" i="2"/>
  <c r="BH95" i="2"/>
  <c r="BI95" i="2"/>
  <c r="BJ95" i="2"/>
  <c r="BK95" i="2"/>
  <c r="BL95" i="2"/>
  <c r="BM95" i="2"/>
  <c r="BN95" i="2"/>
  <c r="BO95" i="2"/>
  <c r="BP95" i="2"/>
  <c r="BQ95" i="2"/>
  <c r="J96" i="2"/>
  <c r="N96" i="2"/>
  <c r="R96" i="2"/>
  <c r="W96" i="2"/>
  <c r="AA96" i="2"/>
  <c r="AE96" i="2"/>
  <c r="AJ96" i="2"/>
  <c r="AR96" i="2"/>
  <c r="AX96" i="2"/>
  <c r="AY96" i="2"/>
  <c r="AZ96" i="2"/>
  <c r="BA96" i="2"/>
  <c r="BB96" i="2"/>
  <c r="BC96" i="2"/>
  <c r="BD96" i="2"/>
  <c r="BE96" i="2"/>
  <c r="BF96" i="2"/>
  <c r="BG96" i="2"/>
  <c r="BH96" i="2"/>
  <c r="BI96" i="2"/>
  <c r="BJ96" i="2"/>
  <c r="BK96" i="2"/>
  <c r="BL96" i="2"/>
  <c r="BM96" i="2"/>
  <c r="BN96" i="2"/>
  <c r="BO96" i="2"/>
  <c r="BP96" i="2"/>
  <c r="BQ96" i="2"/>
  <c r="J97" i="2"/>
  <c r="N97" i="2"/>
  <c r="R97" i="2"/>
  <c r="W97" i="2"/>
  <c r="AA97" i="2"/>
  <c r="AE97" i="2"/>
  <c r="AJ97" i="2"/>
  <c r="AR97" i="2"/>
  <c r="AX97" i="2"/>
  <c r="AY97" i="2"/>
  <c r="AZ97" i="2"/>
  <c r="BA97" i="2"/>
  <c r="BB97" i="2"/>
  <c r="BC97" i="2"/>
  <c r="BD97" i="2"/>
  <c r="BE97" i="2"/>
  <c r="BF97" i="2"/>
  <c r="BG97" i="2"/>
  <c r="BH97" i="2"/>
  <c r="BI97" i="2"/>
  <c r="BJ97" i="2"/>
  <c r="BK97" i="2"/>
  <c r="BL97" i="2"/>
  <c r="BM97" i="2"/>
  <c r="BN97" i="2"/>
  <c r="BO97" i="2"/>
  <c r="BP97" i="2"/>
  <c r="BQ97" i="2"/>
  <c r="J98" i="2"/>
  <c r="N98" i="2"/>
  <c r="R98" i="2"/>
  <c r="W98" i="2"/>
  <c r="AA98" i="2"/>
  <c r="AE98" i="2"/>
  <c r="AJ98" i="2"/>
  <c r="AR98" i="2"/>
  <c r="AX98" i="2"/>
  <c r="AY98" i="2"/>
  <c r="AZ98" i="2"/>
  <c r="BA98" i="2"/>
  <c r="BB98" i="2"/>
  <c r="BC98" i="2"/>
  <c r="BD98" i="2"/>
  <c r="BE98" i="2"/>
  <c r="BF98" i="2"/>
  <c r="BG98" i="2"/>
  <c r="BH98" i="2"/>
  <c r="BI98" i="2"/>
  <c r="BJ98" i="2"/>
  <c r="BK98" i="2"/>
  <c r="BL98" i="2"/>
  <c r="BM98" i="2"/>
  <c r="BN98" i="2"/>
  <c r="BO98" i="2"/>
  <c r="BP98" i="2"/>
  <c r="BQ98" i="2"/>
  <c r="J99" i="2"/>
  <c r="N99" i="2"/>
  <c r="R99" i="2"/>
  <c r="W99" i="2"/>
  <c r="AA99" i="2"/>
  <c r="AE99" i="2"/>
  <c r="AJ99" i="2"/>
  <c r="AR99" i="2"/>
  <c r="AX99" i="2"/>
  <c r="AY99" i="2"/>
  <c r="AZ99" i="2"/>
  <c r="BA99" i="2"/>
  <c r="BB99" i="2"/>
  <c r="BC99" i="2"/>
  <c r="BD99" i="2"/>
  <c r="BE99" i="2"/>
  <c r="BF99" i="2"/>
  <c r="BG99" i="2"/>
  <c r="BH99" i="2"/>
  <c r="BI99" i="2"/>
  <c r="BJ99" i="2"/>
  <c r="BK99" i="2"/>
  <c r="BL99" i="2"/>
  <c r="BM99" i="2"/>
  <c r="BN99" i="2"/>
  <c r="BO99" i="2"/>
  <c r="BP99" i="2"/>
  <c r="BQ99" i="2"/>
  <c r="J100" i="2"/>
  <c r="N100" i="2"/>
  <c r="R100" i="2"/>
  <c r="W100" i="2"/>
  <c r="AA100" i="2"/>
  <c r="AE100" i="2"/>
  <c r="AJ100" i="2"/>
  <c r="AR100" i="2"/>
  <c r="AX100" i="2"/>
  <c r="AY100" i="2"/>
  <c r="AZ100" i="2"/>
  <c r="BA100" i="2"/>
  <c r="BB100" i="2"/>
  <c r="BC100" i="2"/>
  <c r="BD100" i="2"/>
  <c r="BE100" i="2"/>
  <c r="BF100" i="2"/>
  <c r="BG100" i="2"/>
  <c r="BH100" i="2"/>
  <c r="BI100" i="2"/>
  <c r="BJ100" i="2"/>
  <c r="BK100" i="2"/>
  <c r="BL100" i="2"/>
  <c r="BM100" i="2"/>
  <c r="BN100" i="2"/>
  <c r="BO100" i="2"/>
  <c r="BP100" i="2"/>
  <c r="BQ100" i="2"/>
  <c r="AZ890" i="2" l="1"/>
  <c r="AY890" i="2"/>
  <c r="AX890" i="2"/>
  <c r="AZ889" i="2"/>
  <c r="AY889" i="2"/>
  <c r="AX889" i="2"/>
  <c r="AZ888" i="2"/>
  <c r="AY888" i="2"/>
  <c r="AX888" i="2"/>
  <c r="AZ887" i="2"/>
  <c r="AY887" i="2"/>
  <c r="AX887" i="2"/>
  <c r="AZ886" i="2"/>
  <c r="AY886" i="2"/>
  <c r="AX886" i="2"/>
  <c r="AZ885" i="2"/>
  <c r="AY885" i="2"/>
  <c r="AX885" i="2"/>
  <c r="AZ884" i="2"/>
  <c r="AY884" i="2"/>
  <c r="AX884" i="2"/>
  <c r="AZ883" i="2"/>
  <c r="AY883" i="2"/>
  <c r="AX883" i="2"/>
  <c r="AZ882" i="2"/>
  <c r="AY882" i="2"/>
  <c r="AX882" i="2"/>
  <c r="AZ881" i="2"/>
  <c r="AY881" i="2"/>
  <c r="AX881" i="2"/>
  <c r="AZ880" i="2"/>
  <c r="AY880" i="2"/>
  <c r="AX880" i="2"/>
  <c r="AZ879" i="2"/>
  <c r="AY879" i="2"/>
  <c r="AX879" i="2"/>
  <c r="AZ878" i="2"/>
  <c r="AY878" i="2"/>
  <c r="AX878" i="2"/>
  <c r="AZ877" i="2"/>
  <c r="AY877" i="2"/>
  <c r="AX877" i="2"/>
  <c r="AZ876" i="2"/>
  <c r="AY876" i="2"/>
  <c r="AX876" i="2"/>
  <c r="AZ875" i="2"/>
  <c r="AY875" i="2"/>
  <c r="AX875" i="2"/>
  <c r="AZ874" i="2"/>
  <c r="AY874" i="2"/>
  <c r="AX874" i="2"/>
  <c r="AZ873" i="2"/>
  <c r="AY873" i="2"/>
  <c r="AX873" i="2"/>
  <c r="AZ872" i="2"/>
  <c r="AY872" i="2"/>
  <c r="AX872" i="2"/>
  <c r="AZ871" i="2"/>
  <c r="AY871" i="2"/>
  <c r="AX871" i="2"/>
  <c r="AZ870" i="2"/>
  <c r="AY870" i="2"/>
  <c r="AX870" i="2"/>
  <c r="AZ869" i="2"/>
  <c r="AY869" i="2"/>
  <c r="AX869" i="2"/>
  <c r="AZ868" i="2"/>
  <c r="AY868" i="2"/>
  <c r="AX868" i="2"/>
  <c r="AZ867" i="2"/>
  <c r="AY867" i="2"/>
  <c r="AX867" i="2"/>
  <c r="AZ866" i="2"/>
  <c r="AY866" i="2"/>
  <c r="AX866" i="2"/>
  <c r="AZ865" i="2"/>
  <c r="AY865" i="2"/>
  <c r="AX865" i="2"/>
  <c r="AZ864" i="2"/>
  <c r="AY864" i="2"/>
  <c r="AX864" i="2"/>
  <c r="AZ863" i="2"/>
  <c r="AY863" i="2"/>
  <c r="AX863" i="2"/>
  <c r="AZ862" i="2"/>
  <c r="AY862" i="2"/>
  <c r="AX862" i="2"/>
  <c r="AZ861" i="2"/>
  <c r="AY861" i="2"/>
  <c r="AX861" i="2"/>
  <c r="AZ860" i="2"/>
  <c r="AY860" i="2"/>
  <c r="AX860" i="2"/>
  <c r="AZ859" i="2"/>
  <c r="AY859" i="2"/>
  <c r="AX859" i="2"/>
  <c r="AZ858" i="2"/>
  <c r="AY858" i="2"/>
  <c r="AX858" i="2"/>
  <c r="AZ857" i="2"/>
  <c r="AY857" i="2"/>
  <c r="AX857" i="2"/>
  <c r="AZ856" i="2"/>
  <c r="AY856" i="2"/>
  <c r="AX856" i="2"/>
  <c r="AZ855" i="2"/>
  <c r="AY855" i="2"/>
  <c r="AX855" i="2"/>
  <c r="AZ854" i="2"/>
  <c r="AY854" i="2"/>
  <c r="AX854" i="2"/>
  <c r="AZ853" i="2"/>
  <c r="AY853" i="2"/>
  <c r="AX853" i="2"/>
  <c r="AZ852" i="2"/>
  <c r="AY852" i="2"/>
  <c r="AX852" i="2"/>
  <c r="AZ851" i="2"/>
  <c r="AY851" i="2"/>
  <c r="AX851" i="2"/>
  <c r="AZ850" i="2"/>
  <c r="AY850" i="2"/>
  <c r="AX850" i="2"/>
  <c r="AZ849" i="2"/>
  <c r="AY849" i="2"/>
  <c r="AX849" i="2"/>
  <c r="AZ848" i="2"/>
  <c r="AY848" i="2"/>
  <c r="AX848" i="2"/>
  <c r="AZ847" i="2"/>
  <c r="AY847" i="2"/>
  <c r="AX847" i="2"/>
  <c r="AZ846" i="2"/>
  <c r="AY846" i="2"/>
  <c r="AX846" i="2"/>
  <c r="AZ845" i="2"/>
  <c r="AY845" i="2"/>
  <c r="AX845" i="2"/>
  <c r="AZ844" i="2"/>
  <c r="AY844" i="2"/>
  <c r="AX844" i="2"/>
  <c r="AZ843" i="2"/>
  <c r="AY843" i="2"/>
  <c r="AX843" i="2"/>
  <c r="AZ842" i="2"/>
  <c r="AY842" i="2"/>
  <c r="AX842" i="2"/>
  <c r="AZ841" i="2"/>
  <c r="AY841" i="2"/>
  <c r="AX841" i="2"/>
  <c r="AZ840" i="2"/>
  <c r="AY840" i="2"/>
  <c r="AX840" i="2"/>
  <c r="AZ839" i="2"/>
  <c r="AY839" i="2"/>
  <c r="AX839" i="2"/>
  <c r="AZ838" i="2"/>
  <c r="AY838" i="2"/>
  <c r="AX838" i="2"/>
  <c r="AZ837" i="2"/>
  <c r="AY837" i="2"/>
  <c r="AX837" i="2"/>
  <c r="AZ836" i="2"/>
  <c r="AY836" i="2"/>
  <c r="AX836" i="2"/>
  <c r="AZ835" i="2"/>
  <c r="AY835" i="2"/>
  <c r="AX835" i="2"/>
  <c r="AZ834" i="2"/>
  <c r="AY834" i="2"/>
  <c r="AX834" i="2"/>
  <c r="AZ833" i="2"/>
  <c r="AY833" i="2"/>
  <c r="AX833" i="2"/>
  <c r="AZ832" i="2"/>
  <c r="AY832" i="2"/>
  <c r="AX832" i="2"/>
  <c r="AZ831" i="2"/>
  <c r="AY831" i="2"/>
  <c r="AX831" i="2"/>
  <c r="AZ830" i="2"/>
  <c r="AY830" i="2"/>
  <c r="AX830" i="2"/>
  <c r="AZ829" i="2"/>
  <c r="AY829" i="2"/>
  <c r="AX829" i="2"/>
  <c r="AZ828" i="2"/>
  <c r="AY828" i="2"/>
  <c r="AX828" i="2"/>
  <c r="AZ827" i="2"/>
  <c r="AY827" i="2"/>
  <c r="AX827" i="2"/>
  <c r="AZ826" i="2"/>
  <c r="AY826" i="2"/>
  <c r="AX826" i="2"/>
  <c r="AZ825" i="2"/>
  <c r="AY825" i="2"/>
  <c r="AX825" i="2"/>
  <c r="AZ824" i="2"/>
  <c r="AY824" i="2"/>
  <c r="AX824" i="2"/>
  <c r="AZ823" i="2"/>
  <c r="AY823" i="2"/>
  <c r="AX823" i="2"/>
  <c r="AZ822" i="2"/>
  <c r="AY822" i="2"/>
  <c r="AX822" i="2"/>
  <c r="AZ821" i="2"/>
  <c r="AY821" i="2"/>
  <c r="AX821" i="2"/>
  <c r="AZ820" i="2"/>
  <c r="AY820" i="2"/>
  <c r="AX820" i="2"/>
  <c r="AZ819" i="2"/>
  <c r="AY819" i="2"/>
  <c r="AX819" i="2"/>
  <c r="AZ818" i="2"/>
  <c r="AY818" i="2"/>
  <c r="AX818" i="2"/>
  <c r="AZ817" i="2"/>
  <c r="AY817" i="2"/>
  <c r="AX817" i="2"/>
  <c r="AZ816" i="2"/>
  <c r="AY816" i="2"/>
  <c r="AX816" i="2"/>
  <c r="AZ815" i="2"/>
  <c r="AY815" i="2"/>
  <c r="AX815" i="2"/>
  <c r="AZ814" i="2"/>
  <c r="AY814" i="2"/>
  <c r="AX814" i="2"/>
  <c r="AZ813" i="2"/>
  <c r="AY813" i="2"/>
  <c r="AX813" i="2"/>
  <c r="AZ812" i="2"/>
  <c r="AY812" i="2"/>
  <c r="AX812" i="2"/>
  <c r="AZ811" i="2"/>
  <c r="AY811" i="2"/>
  <c r="AX811" i="2"/>
  <c r="AZ810" i="2"/>
  <c r="AY810" i="2"/>
  <c r="AX810" i="2"/>
  <c r="AZ809" i="2"/>
  <c r="AY809" i="2"/>
  <c r="AX809" i="2"/>
  <c r="AZ808" i="2"/>
  <c r="AY808" i="2"/>
  <c r="AX808" i="2"/>
  <c r="AZ807" i="2"/>
  <c r="AY807" i="2"/>
  <c r="AX807" i="2"/>
  <c r="AZ806" i="2"/>
  <c r="AY806" i="2"/>
  <c r="AX806" i="2"/>
  <c r="AZ805" i="2"/>
  <c r="AY805" i="2"/>
  <c r="AX805" i="2"/>
  <c r="AZ804" i="2"/>
  <c r="AY804" i="2"/>
  <c r="AX804" i="2"/>
  <c r="AZ803" i="2"/>
  <c r="AY803" i="2"/>
  <c r="AX803" i="2"/>
  <c r="AZ802" i="2"/>
  <c r="AY802" i="2"/>
  <c r="AX802" i="2"/>
  <c r="AZ801" i="2"/>
  <c r="AY801" i="2"/>
  <c r="AX801" i="2"/>
  <c r="AZ800" i="2"/>
  <c r="AY800" i="2"/>
  <c r="AX800" i="2"/>
  <c r="AZ799" i="2"/>
  <c r="AY799" i="2"/>
  <c r="AX799" i="2"/>
  <c r="AZ798" i="2"/>
  <c r="AY798" i="2"/>
  <c r="AX798" i="2"/>
  <c r="AZ797" i="2"/>
  <c r="AY797" i="2"/>
  <c r="AX797" i="2"/>
  <c r="AZ796" i="2"/>
  <c r="AY796" i="2"/>
  <c r="AX796" i="2"/>
  <c r="AZ795" i="2"/>
  <c r="AY795" i="2"/>
  <c r="AX795" i="2"/>
  <c r="AZ794" i="2"/>
  <c r="AY794" i="2"/>
  <c r="AX794" i="2"/>
  <c r="AZ793" i="2"/>
  <c r="AY793" i="2"/>
  <c r="AX793" i="2"/>
  <c r="AZ792" i="2"/>
  <c r="AY792" i="2"/>
  <c r="AX792" i="2"/>
  <c r="AZ791" i="2"/>
  <c r="AY791" i="2"/>
  <c r="AX791" i="2"/>
  <c r="AZ790" i="2"/>
  <c r="AY790" i="2"/>
  <c r="AX790" i="2"/>
  <c r="AZ789" i="2"/>
  <c r="AY789" i="2"/>
  <c r="AX789" i="2"/>
  <c r="AZ788" i="2"/>
  <c r="AY788" i="2"/>
  <c r="AX788" i="2"/>
  <c r="AZ787" i="2"/>
  <c r="AY787" i="2"/>
  <c r="AX787" i="2"/>
  <c r="AZ786" i="2"/>
  <c r="AY786" i="2"/>
  <c r="AX786" i="2"/>
  <c r="AZ785" i="2"/>
  <c r="AY785" i="2"/>
  <c r="AX785" i="2"/>
  <c r="AZ784" i="2"/>
  <c r="AY784" i="2"/>
  <c r="AX784" i="2"/>
  <c r="AZ783" i="2"/>
  <c r="AY783" i="2"/>
  <c r="AX783" i="2"/>
  <c r="AZ782" i="2"/>
  <c r="AY782" i="2"/>
  <c r="AX782" i="2"/>
  <c r="AZ781" i="2"/>
  <c r="AY781" i="2"/>
  <c r="AX781" i="2"/>
  <c r="AZ780" i="2"/>
  <c r="AY780" i="2"/>
  <c r="AX780" i="2"/>
  <c r="AZ779" i="2"/>
  <c r="AY779" i="2"/>
  <c r="AX779" i="2"/>
  <c r="AZ778" i="2"/>
  <c r="AY778" i="2"/>
  <c r="AX778" i="2"/>
  <c r="AZ777" i="2"/>
  <c r="AY777" i="2"/>
  <c r="AX777" i="2"/>
  <c r="AZ776" i="2"/>
  <c r="AY776" i="2"/>
  <c r="AX776" i="2"/>
  <c r="AZ775" i="2"/>
  <c r="AY775" i="2"/>
  <c r="AX775" i="2"/>
  <c r="AZ774" i="2"/>
  <c r="AY774" i="2"/>
  <c r="AX774" i="2"/>
  <c r="AZ773" i="2"/>
  <c r="AY773" i="2"/>
  <c r="AX773" i="2"/>
  <c r="AZ772" i="2"/>
  <c r="AY772" i="2"/>
  <c r="AX772" i="2"/>
  <c r="AZ771" i="2"/>
  <c r="AY771" i="2"/>
  <c r="AX771" i="2"/>
  <c r="AZ770" i="2"/>
  <c r="AY770" i="2"/>
  <c r="AX770" i="2"/>
  <c r="AZ769" i="2"/>
  <c r="AY769" i="2"/>
  <c r="AX769" i="2"/>
  <c r="AZ768" i="2"/>
  <c r="AY768" i="2"/>
  <c r="AX768" i="2"/>
  <c r="AZ767" i="2"/>
  <c r="AY767" i="2"/>
  <c r="AX767" i="2"/>
  <c r="AZ766" i="2"/>
  <c r="AY766" i="2"/>
  <c r="AX766" i="2"/>
  <c r="AZ765" i="2"/>
  <c r="AY765" i="2"/>
  <c r="AX765" i="2"/>
  <c r="AZ764" i="2"/>
  <c r="AY764" i="2"/>
  <c r="AX764" i="2"/>
  <c r="AZ763" i="2"/>
  <c r="AY763" i="2"/>
  <c r="AX763" i="2"/>
  <c r="AZ762" i="2"/>
  <c r="AY762" i="2"/>
  <c r="AX762" i="2"/>
  <c r="AZ761" i="2"/>
  <c r="AY761" i="2"/>
  <c r="AX761" i="2"/>
  <c r="AZ760" i="2"/>
  <c r="AY760" i="2"/>
  <c r="AX760" i="2"/>
  <c r="AZ759" i="2"/>
  <c r="AY759" i="2"/>
  <c r="AX759" i="2"/>
  <c r="AZ758" i="2"/>
  <c r="AY758" i="2"/>
  <c r="AX758" i="2"/>
  <c r="AZ757" i="2"/>
  <c r="AY757" i="2"/>
  <c r="AX757" i="2"/>
  <c r="AZ756" i="2"/>
  <c r="AY756" i="2"/>
  <c r="AX756" i="2"/>
  <c r="AZ755" i="2"/>
  <c r="AY755" i="2"/>
  <c r="AX755" i="2"/>
  <c r="AZ754" i="2"/>
  <c r="AY754" i="2"/>
  <c r="AX754" i="2"/>
  <c r="AZ753" i="2"/>
  <c r="AY753" i="2"/>
  <c r="AX753" i="2"/>
  <c r="AZ752" i="2"/>
  <c r="AY752" i="2"/>
  <c r="AX752" i="2"/>
  <c r="AZ751" i="2"/>
  <c r="AY751" i="2"/>
  <c r="AX751" i="2"/>
  <c r="AZ750" i="2"/>
  <c r="AY750" i="2"/>
  <c r="AX750" i="2"/>
  <c r="AZ749" i="2"/>
  <c r="AY749" i="2"/>
  <c r="AX749" i="2"/>
  <c r="AZ748" i="2"/>
  <c r="AY748" i="2"/>
  <c r="AX748" i="2"/>
  <c r="AZ747" i="2"/>
  <c r="AY747" i="2"/>
  <c r="AX747" i="2"/>
  <c r="AZ746" i="2"/>
  <c r="AY746" i="2"/>
  <c r="AX746" i="2"/>
  <c r="AZ745" i="2"/>
  <c r="AY745" i="2"/>
  <c r="AX745" i="2"/>
  <c r="AZ744" i="2"/>
  <c r="AY744" i="2"/>
  <c r="AX744" i="2"/>
  <c r="AZ743" i="2"/>
  <c r="AY743" i="2"/>
  <c r="AX743" i="2"/>
  <c r="AZ742" i="2"/>
  <c r="AY742" i="2"/>
  <c r="AX742" i="2"/>
  <c r="AZ741" i="2"/>
  <c r="AY741" i="2"/>
  <c r="AX741" i="2"/>
  <c r="AZ740" i="2"/>
  <c r="AY740" i="2"/>
  <c r="AX740" i="2"/>
  <c r="AZ739" i="2"/>
  <c r="AY739" i="2"/>
  <c r="AX739" i="2"/>
  <c r="AZ738" i="2"/>
  <c r="AY738" i="2"/>
  <c r="AX738" i="2"/>
  <c r="AZ737" i="2"/>
  <c r="AY737" i="2"/>
  <c r="AX737" i="2"/>
  <c r="AZ736" i="2"/>
  <c r="AY736" i="2"/>
  <c r="AX736" i="2"/>
  <c r="AZ735" i="2"/>
  <c r="AY735" i="2"/>
  <c r="AX735" i="2"/>
  <c r="AZ734" i="2"/>
  <c r="AY734" i="2"/>
  <c r="AX734" i="2"/>
  <c r="AZ733" i="2"/>
  <c r="AY733" i="2"/>
  <c r="AX733" i="2"/>
  <c r="AZ732" i="2"/>
  <c r="AY732" i="2"/>
  <c r="AX732" i="2"/>
  <c r="AZ731" i="2"/>
  <c r="AY731" i="2"/>
  <c r="AX731" i="2"/>
  <c r="AZ730" i="2"/>
  <c r="AY730" i="2"/>
  <c r="AX730" i="2"/>
  <c r="AZ729" i="2"/>
  <c r="AY729" i="2"/>
  <c r="AX729" i="2"/>
  <c r="AZ728" i="2"/>
  <c r="AY728" i="2"/>
  <c r="AX728" i="2"/>
  <c r="AZ727" i="2"/>
  <c r="AY727" i="2"/>
  <c r="AX727" i="2"/>
  <c r="AZ726" i="2"/>
  <c r="AY726" i="2"/>
  <c r="AX726" i="2"/>
  <c r="AZ725" i="2"/>
  <c r="AY725" i="2"/>
  <c r="AX725" i="2"/>
  <c r="AZ724" i="2"/>
  <c r="AY724" i="2"/>
  <c r="AX724" i="2"/>
  <c r="AZ723" i="2"/>
  <c r="AY723" i="2"/>
  <c r="AX723" i="2"/>
  <c r="AZ722" i="2"/>
  <c r="AY722" i="2"/>
  <c r="AX722" i="2"/>
  <c r="AZ721" i="2"/>
  <c r="AY721" i="2"/>
  <c r="AX721" i="2"/>
  <c r="AZ720" i="2"/>
  <c r="AY720" i="2"/>
  <c r="AX720" i="2"/>
  <c r="AZ719" i="2"/>
  <c r="AY719" i="2"/>
  <c r="AX719" i="2"/>
  <c r="AZ718" i="2"/>
  <c r="AY718" i="2"/>
  <c r="AX718" i="2"/>
  <c r="AZ717" i="2"/>
  <c r="AY717" i="2"/>
  <c r="AX717" i="2"/>
  <c r="AZ716" i="2"/>
  <c r="AY716" i="2"/>
  <c r="AX716" i="2"/>
  <c r="AZ715" i="2"/>
  <c r="AY715" i="2"/>
  <c r="AX715" i="2"/>
  <c r="AZ714" i="2"/>
  <c r="AY714" i="2"/>
  <c r="AX714" i="2"/>
  <c r="AZ713" i="2"/>
  <c r="AY713" i="2"/>
  <c r="AX713" i="2"/>
  <c r="AZ712" i="2"/>
  <c r="AY712" i="2"/>
  <c r="AX712" i="2"/>
  <c r="AZ711" i="2"/>
  <c r="AY711" i="2"/>
  <c r="AX711" i="2"/>
  <c r="AZ710" i="2"/>
  <c r="AY710" i="2"/>
  <c r="AX710" i="2"/>
  <c r="AZ709" i="2"/>
  <c r="AY709" i="2"/>
  <c r="AX709" i="2"/>
  <c r="AZ708" i="2"/>
  <c r="AY708" i="2"/>
  <c r="AX708" i="2"/>
  <c r="AZ707" i="2"/>
  <c r="AY707" i="2"/>
  <c r="AX707" i="2"/>
  <c r="AZ706" i="2"/>
  <c r="AY706" i="2"/>
  <c r="AX706" i="2"/>
  <c r="AZ705" i="2"/>
  <c r="AY705" i="2"/>
  <c r="AX705" i="2"/>
  <c r="AZ704" i="2"/>
  <c r="AY704" i="2"/>
  <c r="AX704" i="2"/>
  <c r="AZ703" i="2"/>
  <c r="AY703" i="2"/>
  <c r="AX703" i="2"/>
  <c r="AZ702" i="2"/>
  <c r="AY702" i="2"/>
  <c r="AX702" i="2"/>
  <c r="AZ701" i="2"/>
  <c r="AY701" i="2"/>
  <c r="AX701" i="2"/>
  <c r="AZ700" i="2"/>
  <c r="AY700" i="2"/>
  <c r="AX700" i="2"/>
  <c r="AZ699" i="2"/>
  <c r="AY699" i="2"/>
  <c r="AX699" i="2"/>
  <c r="AZ698" i="2"/>
  <c r="AY698" i="2"/>
  <c r="AX698" i="2"/>
  <c r="AZ697" i="2"/>
  <c r="AY697" i="2"/>
  <c r="AX697" i="2"/>
  <c r="AZ696" i="2"/>
  <c r="AY696" i="2"/>
  <c r="AX696" i="2"/>
  <c r="AZ695" i="2"/>
  <c r="AY695" i="2"/>
  <c r="AX695" i="2"/>
  <c r="AZ694" i="2"/>
  <c r="AY694" i="2"/>
  <c r="AX694" i="2"/>
  <c r="AZ693" i="2"/>
  <c r="AY693" i="2"/>
  <c r="AX693" i="2"/>
  <c r="AZ692" i="2"/>
  <c r="AY692" i="2"/>
  <c r="AX692" i="2"/>
  <c r="AZ691" i="2"/>
  <c r="AY691" i="2"/>
  <c r="AX691" i="2"/>
  <c r="AZ690" i="2"/>
  <c r="AY690" i="2"/>
  <c r="AX690" i="2"/>
  <c r="AZ689" i="2"/>
  <c r="AY689" i="2"/>
  <c r="AX689" i="2"/>
  <c r="AZ688" i="2"/>
  <c r="AY688" i="2"/>
  <c r="AX688" i="2"/>
  <c r="AZ687" i="2"/>
  <c r="AY687" i="2"/>
  <c r="AX687" i="2"/>
  <c r="AZ686" i="2"/>
  <c r="AY686" i="2"/>
  <c r="AX686" i="2"/>
  <c r="AZ685" i="2"/>
  <c r="AY685" i="2"/>
  <c r="AX685" i="2"/>
  <c r="AZ684" i="2"/>
  <c r="AY684" i="2"/>
  <c r="AX684" i="2"/>
  <c r="AZ683" i="2"/>
  <c r="AY683" i="2"/>
  <c r="AX683" i="2"/>
  <c r="AZ682" i="2"/>
  <c r="AY682" i="2"/>
  <c r="AX682" i="2"/>
  <c r="AZ681" i="2"/>
  <c r="AY681" i="2"/>
  <c r="AX681" i="2"/>
  <c r="AZ680" i="2"/>
  <c r="AY680" i="2"/>
  <c r="AX680" i="2"/>
  <c r="AZ679" i="2"/>
  <c r="AY679" i="2"/>
  <c r="AX679" i="2"/>
  <c r="AZ678" i="2"/>
  <c r="AY678" i="2"/>
  <c r="AX678" i="2"/>
  <c r="AZ677" i="2"/>
  <c r="AY677" i="2"/>
  <c r="AX677" i="2"/>
  <c r="AZ676" i="2"/>
  <c r="AY676" i="2"/>
  <c r="AX676" i="2"/>
  <c r="AZ675" i="2"/>
  <c r="AY675" i="2"/>
  <c r="AX675" i="2"/>
  <c r="AZ674" i="2"/>
  <c r="AY674" i="2"/>
  <c r="AX674" i="2"/>
  <c r="AZ673" i="2"/>
  <c r="AY673" i="2"/>
  <c r="AX673" i="2"/>
  <c r="AZ672" i="2"/>
  <c r="AY672" i="2"/>
  <c r="AX672" i="2"/>
  <c r="AZ671" i="2"/>
  <c r="AY671" i="2"/>
  <c r="AX671" i="2"/>
  <c r="AZ670" i="2"/>
  <c r="AY670" i="2"/>
  <c r="AX670" i="2"/>
  <c r="AZ669" i="2"/>
  <c r="AY669" i="2"/>
  <c r="AX669" i="2"/>
  <c r="AZ668" i="2"/>
  <c r="AY668" i="2"/>
  <c r="AX668" i="2"/>
  <c r="AZ667" i="2"/>
  <c r="AY667" i="2"/>
  <c r="AX667" i="2"/>
  <c r="AZ666" i="2"/>
  <c r="AY666" i="2"/>
  <c r="AX666" i="2"/>
  <c r="AZ665" i="2"/>
  <c r="AY665" i="2"/>
  <c r="AX665" i="2"/>
  <c r="AZ664" i="2"/>
  <c r="AY664" i="2"/>
  <c r="AX664" i="2"/>
  <c r="AZ663" i="2"/>
  <c r="AY663" i="2"/>
  <c r="AX663" i="2"/>
  <c r="AZ662" i="2"/>
  <c r="AY662" i="2"/>
  <c r="AX662" i="2"/>
  <c r="AZ661" i="2"/>
  <c r="AY661" i="2"/>
  <c r="AX661" i="2"/>
  <c r="AZ660" i="2"/>
  <c r="AY660" i="2"/>
  <c r="AX660" i="2"/>
  <c r="AZ659" i="2"/>
  <c r="AY659" i="2"/>
  <c r="AX659" i="2"/>
  <c r="AZ658" i="2"/>
  <c r="AY658" i="2"/>
  <c r="AX658" i="2"/>
  <c r="AZ657" i="2"/>
  <c r="AY657" i="2"/>
  <c r="AX657" i="2"/>
  <c r="AZ656" i="2"/>
  <c r="AY656" i="2"/>
  <c r="AX656" i="2"/>
  <c r="AZ655" i="2"/>
  <c r="AY655" i="2"/>
  <c r="AX655" i="2"/>
  <c r="AZ654" i="2"/>
  <c r="AY654" i="2"/>
  <c r="AX654" i="2"/>
  <c r="AZ653" i="2"/>
  <c r="AY653" i="2"/>
  <c r="AX653" i="2"/>
  <c r="AZ652" i="2"/>
  <c r="AY652" i="2"/>
  <c r="AX652" i="2"/>
  <c r="AZ651" i="2"/>
  <c r="AY651" i="2"/>
  <c r="AX651" i="2"/>
  <c r="AZ650" i="2"/>
  <c r="AY650" i="2"/>
  <c r="AX650" i="2"/>
  <c r="AZ649" i="2"/>
  <c r="AY649" i="2"/>
  <c r="AX649" i="2"/>
  <c r="AZ648" i="2"/>
  <c r="AY648" i="2"/>
  <c r="AX648" i="2"/>
  <c r="AZ647" i="2"/>
  <c r="AY647" i="2"/>
  <c r="AX647" i="2"/>
  <c r="AZ646" i="2"/>
  <c r="AY646" i="2"/>
  <c r="AX646" i="2"/>
  <c r="AZ645" i="2"/>
  <c r="AY645" i="2"/>
  <c r="AX645" i="2"/>
  <c r="AZ644" i="2"/>
  <c r="AY644" i="2"/>
  <c r="AX644" i="2"/>
  <c r="AZ643" i="2"/>
  <c r="AY643" i="2"/>
  <c r="AX643" i="2"/>
  <c r="AZ642" i="2"/>
  <c r="AY642" i="2"/>
  <c r="AX642" i="2"/>
  <c r="AZ641" i="2"/>
  <c r="AY641" i="2"/>
  <c r="AX641" i="2"/>
  <c r="AZ640" i="2"/>
  <c r="AY640" i="2"/>
  <c r="AX640" i="2"/>
  <c r="AZ639" i="2"/>
  <c r="AY639" i="2"/>
  <c r="AX639" i="2"/>
  <c r="AZ638" i="2"/>
  <c r="AY638" i="2"/>
  <c r="AX638" i="2"/>
  <c r="AZ637" i="2"/>
  <c r="AY637" i="2"/>
  <c r="AX637" i="2"/>
  <c r="AZ636" i="2"/>
  <c r="AY636" i="2"/>
  <c r="AX636" i="2"/>
  <c r="AZ635" i="2"/>
  <c r="AY635" i="2"/>
  <c r="AX635" i="2"/>
  <c r="AZ634" i="2"/>
  <c r="AY634" i="2"/>
  <c r="AX634" i="2"/>
  <c r="AZ633" i="2"/>
  <c r="AY633" i="2"/>
  <c r="AX633" i="2"/>
  <c r="AZ632" i="2"/>
  <c r="AY632" i="2"/>
  <c r="AX632" i="2"/>
  <c r="AZ631" i="2"/>
  <c r="AY631" i="2"/>
  <c r="AX631" i="2"/>
  <c r="AZ630" i="2"/>
  <c r="AY630" i="2"/>
  <c r="AX630" i="2"/>
  <c r="AZ629" i="2"/>
  <c r="AY629" i="2"/>
  <c r="AX629" i="2"/>
  <c r="AZ628" i="2"/>
  <c r="AY628" i="2"/>
  <c r="AX628" i="2"/>
  <c r="AZ627" i="2"/>
  <c r="AY627" i="2"/>
  <c r="AX627" i="2"/>
  <c r="AZ626" i="2"/>
  <c r="AY626" i="2"/>
  <c r="AX626" i="2"/>
  <c r="AZ625" i="2"/>
  <c r="AY625" i="2"/>
  <c r="AX625" i="2"/>
  <c r="AZ624" i="2"/>
  <c r="AY624" i="2"/>
  <c r="AX624" i="2"/>
  <c r="AZ623" i="2"/>
  <c r="AY623" i="2"/>
  <c r="AX623" i="2"/>
  <c r="AZ622" i="2"/>
  <c r="AY622" i="2"/>
  <c r="AX622" i="2"/>
  <c r="AZ621" i="2"/>
  <c r="AY621" i="2"/>
  <c r="AX621" i="2"/>
  <c r="AZ620" i="2"/>
  <c r="AY620" i="2"/>
  <c r="AX620" i="2"/>
  <c r="AZ619" i="2"/>
  <c r="AY619" i="2"/>
  <c r="AX619" i="2"/>
  <c r="AZ618" i="2"/>
  <c r="AY618" i="2"/>
  <c r="AX618" i="2"/>
  <c r="AZ617" i="2"/>
  <c r="AY617" i="2"/>
  <c r="AX617" i="2"/>
  <c r="AZ616" i="2"/>
  <c r="AY616" i="2"/>
  <c r="AX616" i="2"/>
  <c r="AZ615" i="2"/>
  <c r="AY615" i="2"/>
  <c r="AX615" i="2"/>
  <c r="AZ614" i="2"/>
  <c r="AY614" i="2"/>
  <c r="AX614" i="2"/>
  <c r="AZ613" i="2"/>
  <c r="AY613" i="2"/>
  <c r="AX613" i="2"/>
  <c r="AZ612" i="2"/>
  <c r="AY612" i="2"/>
  <c r="AX612" i="2"/>
  <c r="AZ611" i="2"/>
  <c r="AY611" i="2"/>
  <c r="AX611" i="2"/>
  <c r="AZ610" i="2"/>
  <c r="AY610" i="2"/>
  <c r="AX610" i="2"/>
  <c r="AZ609" i="2"/>
  <c r="AY609" i="2"/>
  <c r="AX609" i="2"/>
  <c r="AZ608" i="2"/>
  <c r="AY608" i="2"/>
  <c r="AX608" i="2"/>
  <c r="AZ607" i="2"/>
  <c r="AY607" i="2"/>
  <c r="AX607" i="2"/>
  <c r="AZ606" i="2"/>
  <c r="AY606" i="2"/>
  <c r="AX606" i="2"/>
  <c r="AZ605" i="2"/>
  <c r="AY605" i="2"/>
  <c r="AX605" i="2"/>
  <c r="AZ604" i="2"/>
  <c r="AY604" i="2"/>
  <c r="AX604" i="2"/>
  <c r="AZ603" i="2"/>
  <c r="AY603" i="2"/>
  <c r="AX603" i="2"/>
  <c r="AZ602" i="2"/>
  <c r="AY602" i="2"/>
  <c r="AX602" i="2"/>
  <c r="AZ601" i="2"/>
  <c r="AY601" i="2"/>
  <c r="AX601" i="2"/>
  <c r="AZ600" i="2"/>
  <c r="AY600" i="2"/>
  <c r="AX600" i="2"/>
  <c r="AZ599" i="2"/>
  <c r="AY599" i="2"/>
  <c r="AX599" i="2"/>
  <c r="AZ598" i="2"/>
  <c r="AY598" i="2"/>
  <c r="AX598" i="2"/>
  <c r="AZ597" i="2"/>
  <c r="AY597" i="2"/>
  <c r="AX597" i="2"/>
  <c r="AZ596" i="2"/>
  <c r="AY596" i="2"/>
  <c r="AX596" i="2"/>
  <c r="AZ595" i="2"/>
  <c r="AY595" i="2"/>
  <c r="AX595" i="2"/>
  <c r="AZ594" i="2"/>
  <c r="AY594" i="2"/>
  <c r="AX594" i="2"/>
  <c r="AZ593" i="2"/>
  <c r="AY593" i="2"/>
  <c r="AX593" i="2"/>
  <c r="AZ592" i="2"/>
  <c r="AY592" i="2"/>
  <c r="AX592" i="2"/>
  <c r="AZ591" i="2"/>
  <c r="AY591" i="2"/>
  <c r="AX591" i="2"/>
  <c r="AZ590" i="2"/>
  <c r="AY590" i="2"/>
  <c r="AX590" i="2"/>
  <c r="AZ589" i="2"/>
  <c r="AY589" i="2"/>
  <c r="AX589" i="2"/>
  <c r="AZ588" i="2"/>
  <c r="AY588" i="2"/>
  <c r="AX588" i="2"/>
  <c r="AZ587" i="2"/>
  <c r="AY587" i="2"/>
  <c r="AX587" i="2"/>
  <c r="AZ586" i="2"/>
  <c r="AY586" i="2"/>
  <c r="AX586" i="2"/>
  <c r="AZ585" i="2"/>
  <c r="AY585" i="2"/>
  <c r="AX585" i="2"/>
  <c r="AZ584" i="2"/>
  <c r="AY584" i="2"/>
  <c r="AX584" i="2"/>
  <c r="AZ583" i="2"/>
  <c r="AY583" i="2"/>
  <c r="AX583" i="2"/>
  <c r="AZ582" i="2"/>
  <c r="AY582" i="2"/>
  <c r="AX582" i="2"/>
  <c r="AZ581" i="2"/>
  <c r="AY581" i="2"/>
  <c r="AX581" i="2"/>
  <c r="AZ580" i="2"/>
  <c r="AY580" i="2"/>
  <c r="AX580" i="2"/>
  <c r="AZ579" i="2"/>
  <c r="AY579" i="2"/>
  <c r="AX579" i="2"/>
  <c r="AZ578" i="2"/>
  <c r="AY578" i="2"/>
  <c r="AX578" i="2"/>
  <c r="AZ577" i="2"/>
  <c r="AY577" i="2"/>
  <c r="AX577" i="2"/>
  <c r="AZ576" i="2"/>
  <c r="AY576" i="2"/>
  <c r="AX576" i="2"/>
  <c r="AZ575" i="2"/>
  <c r="AY575" i="2"/>
  <c r="AX575" i="2"/>
  <c r="AZ574" i="2"/>
  <c r="AY574" i="2"/>
  <c r="AX574" i="2"/>
  <c r="AZ573" i="2"/>
  <c r="AY573" i="2"/>
  <c r="AX573" i="2"/>
  <c r="AZ572" i="2"/>
  <c r="AY572" i="2"/>
  <c r="AX572" i="2"/>
  <c r="AZ571" i="2"/>
  <c r="AY571" i="2"/>
  <c r="AX571" i="2"/>
  <c r="AZ570" i="2"/>
  <c r="AY570" i="2"/>
  <c r="AX570" i="2"/>
  <c r="AZ569" i="2"/>
  <c r="AY569" i="2"/>
  <c r="AX569" i="2"/>
  <c r="AZ568" i="2"/>
  <c r="AY568" i="2"/>
  <c r="AX568" i="2"/>
  <c r="AZ567" i="2"/>
  <c r="AY567" i="2"/>
  <c r="AX567" i="2"/>
  <c r="AZ566" i="2"/>
  <c r="AY566" i="2"/>
  <c r="AX566" i="2"/>
  <c r="AZ565" i="2"/>
  <c r="AY565" i="2"/>
  <c r="AX565" i="2"/>
  <c r="AZ564" i="2"/>
  <c r="AY564" i="2"/>
  <c r="AX564" i="2"/>
  <c r="AZ563" i="2"/>
  <c r="AY563" i="2"/>
  <c r="AX563" i="2"/>
  <c r="AZ562" i="2"/>
  <c r="AY562" i="2"/>
  <c r="AX562" i="2"/>
  <c r="AZ561" i="2"/>
  <c r="AY561" i="2"/>
  <c r="AX561" i="2"/>
  <c r="AZ560" i="2"/>
  <c r="AY560" i="2"/>
  <c r="AX560" i="2"/>
  <c r="AZ559" i="2"/>
  <c r="AY559" i="2"/>
  <c r="AX559" i="2"/>
  <c r="AZ558" i="2"/>
  <c r="AY558" i="2"/>
  <c r="AX558" i="2"/>
  <c r="AZ557" i="2"/>
  <c r="AY557" i="2"/>
  <c r="AX557" i="2"/>
  <c r="AZ556" i="2"/>
  <c r="AY556" i="2"/>
  <c r="AX556" i="2"/>
  <c r="AZ555" i="2"/>
  <c r="AY555" i="2"/>
  <c r="AX555" i="2"/>
  <c r="AZ554" i="2"/>
  <c r="AY554" i="2"/>
  <c r="AX554" i="2"/>
  <c r="AZ553" i="2"/>
  <c r="AY553" i="2"/>
  <c r="AX553" i="2"/>
  <c r="AZ552" i="2"/>
  <c r="AY552" i="2"/>
  <c r="AX552" i="2"/>
  <c r="AZ551" i="2"/>
  <c r="AY551" i="2"/>
  <c r="AX551" i="2"/>
  <c r="AZ550" i="2"/>
  <c r="AY550" i="2"/>
  <c r="AX550" i="2"/>
  <c r="AZ549" i="2"/>
  <c r="AY549" i="2"/>
  <c r="AX549" i="2"/>
  <c r="AZ548" i="2"/>
  <c r="AY548" i="2"/>
  <c r="AX548" i="2"/>
  <c r="AZ547" i="2"/>
  <c r="AY547" i="2"/>
  <c r="AX547" i="2"/>
  <c r="AZ546" i="2"/>
  <c r="AY546" i="2"/>
  <c r="AX546" i="2"/>
  <c r="AZ545" i="2"/>
  <c r="AY545" i="2"/>
  <c r="AX545" i="2"/>
  <c r="AZ544" i="2"/>
  <c r="AY544" i="2"/>
  <c r="AX544" i="2"/>
  <c r="AZ543" i="2"/>
  <c r="AY543" i="2"/>
  <c r="AX543" i="2"/>
  <c r="AZ542" i="2"/>
  <c r="AY542" i="2"/>
  <c r="AX542" i="2"/>
  <c r="AZ541" i="2"/>
  <c r="AY541" i="2"/>
  <c r="AX541" i="2"/>
  <c r="AZ540" i="2"/>
  <c r="AY540" i="2"/>
  <c r="AX540" i="2"/>
  <c r="AZ539" i="2"/>
  <c r="AY539" i="2"/>
  <c r="AX539" i="2"/>
  <c r="AZ538" i="2"/>
  <c r="AY538" i="2"/>
  <c r="AX538" i="2"/>
  <c r="AZ537" i="2"/>
  <c r="AY537" i="2"/>
  <c r="AX537" i="2"/>
  <c r="AZ536" i="2"/>
  <c r="AY536" i="2"/>
  <c r="AX536" i="2"/>
  <c r="AZ535" i="2"/>
  <c r="AY535" i="2"/>
  <c r="AX535" i="2"/>
  <c r="AZ527" i="2"/>
  <c r="AY527" i="2"/>
  <c r="AX527" i="2"/>
  <c r="AZ526" i="2"/>
  <c r="AY526" i="2"/>
  <c r="AX526" i="2"/>
  <c r="AZ525" i="2"/>
  <c r="AY525" i="2"/>
  <c r="AX525" i="2"/>
  <c r="AZ524" i="2"/>
  <c r="AY524" i="2"/>
  <c r="AX524" i="2"/>
  <c r="AZ523" i="2"/>
  <c r="AY523" i="2"/>
  <c r="AX523" i="2"/>
  <c r="AZ522" i="2"/>
  <c r="AY522" i="2"/>
  <c r="AX522" i="2"/>
  <c r="AZ521" i="2"/>
  <c r="AY521" i="2"/>
  <c r="AX521" i="2"/>
  <c r="AZ520" i="2"/>
  <c r="AY520" i="2"/>
  <c r="AX520" i="2"/>
  <c r="AZ519" i="2"/>
  <c r="AY519" i="2"/>
  <c r="AX519" i="2"/>
  <c r="AZ518" i="2"/>
  <c r="AY518" i="2"/>
  <c r="AX518" i="2"/>
  <c r="AZ517" i="2"/>
  <c r="AY517" i="2"/>
  <c r="AX517" i="2"/>
  <c r="AZ516" i="2"/>
  <c r="AY516" i="2"/>
  <c r="AX516" i="2"/>
  <c r="AZ515" i="2"/>
  <c r="AY515" i="2"/>
  <c r="AX515" i="2"/>
  <c r="AZ514" i="2"/>
  <c r="AY514" i="2"/>
  <c r="AX514" i="2"/>
  <c r="AZ513" i="2"/>
  <c r="AY513" i="2"/>
  <c r="AX513" i="2"/>
  <c r="AZ512" i="2"/>
  <c r="AY512" i="2"/>
  <c r="AX512" i="2"/>
  <c r="AZ511" i="2"/>
  <c r="AY511" i="2"/>
  <c r="AX511" i="2"/>
  <c r="AZ510" i="2"/>
  <c r="AY510" i="2"/>
  <c r="AX510" i="2"/>
  <c r="AZ509" i="2"/>
  <c r="AY509" i="2"/>
  <c r="AX509" i="2"/>
  <c r="AZ508" i="2"/>
  <c r="AY508" i="2"/>
  <c r="AX508" i="2"/>
  <c r="AZ507" i="2"/>
  <c r="AY507" i="2"/>
  <c r="AX507" i="2"/>
  <c r="AZ506" i="2"/>
  <c r="AY506" i="2"/>
  <c r="AX506" i="2"/>
  <c r="AZ505" i="2"/>
  <c r="AY505" i="2"/>
  <c r="AX505" i="2"/>
  <c r="AZ504" i="2"/>
  <c r="AY504" i="2"/>
  <c r="AX504" i="2"/>
  <c r="AZ503" i="2"/>
  <c r="AY503" i="2"/>
  <c r="AX503" i="2"/>
  <c r="AZ502" i="2"/>
  <c r="AY502" i="2"/>
  <c r="AX502" i="2"/>
  <c r="AZ501" i="2"/>
  <c r="AY501" i="2"/>
  <c r="AX501" i="2"/>
  <c r="AZ500" i="2"/>
  <c r="AY500" i="2"/>
  <c r="AX500" i="2"/>
  <c r="AZ499" i="2"/>
  <c r="AY499" i="2"/>
  <c r="AX499" i="2"/>
  <c r="AZ498" i="2"/>
  <c r="AY498" i="2"/>
  <c r="AX498" i="2"/>
  <c r="AZ497" i="2"/>
  <c r="AY497" i="2"/>
  <c r="AX497" i="2"/>
  <c r="AZ496" i="2"/>
  <c r="AY496" i="2"/>
  <c r="AX496" i="2"/>
  <c r="AZ495" i="2"/>
  <c r="AY495" i="2"/>
  <c r="AX495" i="2"/>
  <c r="AZ494" i="2"/>
  <c r="AY494" i="2"/>
  <c r="AX494" i="2"/>
  <c r="AZ493" i="2"/>
  <c r="AY493" i="2"/>
  <c r="AX493" i="2"/>
  <c r="AZ492" i="2"/>
  <c r="AY492" i="2"/>
  <c r="AX492" i="2"/>
  <c r="AZ491" i="2"/>
  <c r="AY491" i="2"/>
  <c r="AX491" i="2"/>
  <c r="AZ490" i="2"/>
  <c r="AY490" i="2"/>
  <c r="AX490" i="2"/>
  <c r="AZ489" i="2"/>
  <c r="AY489" i="2"/>
  <c r="AX489" i="2"/>
  <c r="AZ488" i="2"/>
  <c r="AY488" i="2"/>
  <c r="AX488" i="2"/>
  <c r="AZ487" i="2"/>
  <c r="AY487" i="2"/>
  <c r="AX487" i="2"/>
  <c r="AZ486" i="2"/>
  <c r="AY486" i="2"/>
  <c r="AX486" i="2"/>
  <c r="AZ485" i="2"/>
  <c r="AY485" i="2"/>
  <c r="AX485" i="2"/>
  <c r="AZ484" i="2"/>
  <c r="AY484" i="2"/>
  <c r="AX484" i="2"/>
  <c r="AZ483" i="2"/>
  <c r="AY483" i="2"/>
  <c r="AX483" i="2"/>
  <c r="AZ482" i="2"/>
  <c r="AY482" i="2"/>
  <c r="AX482" i="2"/>
  <c r="AZ481" i="2"/>
  <c r="AY481" i="2"/>
  <c r="AX481" i="2"/>
  <c r="AZ480" i="2"/>
  <c r="AY480" i="2"/>
  <c r="AX480" i="2"/>
  <c r="AZ479" i="2"/>
  <c r="AY479" i="2"/>
  <c r="AX479" i="2"/>
  <c r="AZ478" i="2"/>
  <c r="AY478" i="2"/>
  <c r="AX478" i="2"/>
  <c r="AZ477" i="2"/>
  <c r="AY477" i="2"/>
  <c r="AX477" i="2"/>
  <c r="AZ476" i="2"/>
  <c r="AY476" i="2"/>
  <c r="AX476" i="2"/>
  <c r="AZ475" i="2"/>
  <c r="AY475" i="2"/>
  <c r="AX475" i="2"/>
  <c r="AZ474" i="2"/>
  <c r="AY474" i="2"/>
  <c r="AX474" i="2"/>
  <c r="AZ473" i="2"/>
  <c r="AY473" i="2"/>
  <c r="AX473" i="2"/>
  <c r="AZ472" i="2"/>
  <c r="AY472" i="2"/>
  <c r="AX472" i="2"/>
  <c r="AZ471" i="2"/>
  <c r="AY471" i="2"/>
  <c r="AX471" i="2"/>
  <c r="AZ470" i="2"/>
  <c r="AY470" i="2"/>
  <c r="AX470" i="2"/>
  <c r="AZ469" i="2"/>
  <c r="AY469" i="2"/>
  <c r="AX469" i="2"/>
  <c r="AZ468" i="2"/>
  <c r="AY468" i="2"/>
  <c r="AX468" i="2"/>
  <c r="AZ467" i="2"/>
  <c r="AY467" i="2"/>
  <c r="AX467" i="2"/>
  <c r="AZ465" i="2"/>
  <c r="AY465" i="2"/>
  <c r="AX465" i="2"/>
  <c r="AZ464" i="2"/>
  <c r="AY464" i="2"/>
  <c r="AX464" i="2"/>
  <c r="AZ463" i="2"/>
  <c r="AY463" i="2"/>
  <c r="AX463" i="2"/>
  <c r="AZ462" i="2"/>
  <c r="AY462" i="2"/>
  <c r="AX462" i="2"/>
  <c r="AZ461" i="2"/>
  <c r="AY461" i="2"/>
  <c r="AX461" i="2"/>
  <c r="AZ460" i="2"/>
  <c r="AY460" i="2"/>
  <c r="AX460" i="2"/>
  <c r="AZ459" i="2"/>
  <c r="AY459" i="2"/>
  <c r="AX459" i="2"/>
  <c r="AZ458" i="2"/>
  <c r="AY458" i="2"/>
  <c r="AX458" i="2"/>
  <c r="AZ457" i="2"/>
  <c r="AY457" i="2"/>
  <c r="AX457" i="2"/>
  <c r="AZ456" i="2"/>
  <c r="AY456" i="2"/>
  <c r="AX456" i="2"/>
  <c r="AZ455" i="2"/>
  <c r="AY455" i="2"/>
  <c r="AX455" i="2"/>
  <c r="AZ454" i="2"/>
  <c r="AY454" i="2"/>
  <c r="AX454" i="2"/>
  <c r="AZ453" i="2"/>
  <c r="AY453" i="2"/>
  <c r="AX453" i="2"/>
  <c r="AZ452" i="2"/>
  <c r="AY452" i="2"/>
  <c r="AX452" i="2"/>
  <c r="AZ451" i="2"/>
  <c r="AY451" i="2"/>
  <c r="AX451" i="2"/>
  <c r="AZ450" i="2"/>
  <c r="AY450" i="2"/>
  <c r="AX450" i="2"/>
  <c r="AZ449" i="2"/>
  <c r="AY449" i="2"/>
  <c r="AX449" i="2"/>
  <c r="AZ448" i="2"/>
  <c r="AY448" i="2"/>
  <c r="AX448" i="2"/>
  <c r="AZ447" i="2"/>
  <c r="AY447" i="2"/>
  <c r="AX447" i="2"/>
  <c r="AZ446" i="2"/>
  <c r="AY446" i="2"/>
  <c r="AX446" i="2"/>
  <c r="AZ445" i="2"/>
  <c r="AY445" i="2"/>
  <c r="AX445" i="2"/>
  <c r="AZ444" i="2"/>
  <c r="AY444" i="2"/>
  <c r="AX444" i="2"/>
  <c r="AZ443" i="2"/>
  <c r="AY443" i="2"/>
  <c r="AX443" i="2"/>
  <c r="AZ442" i="2"/>
  <c r="AY442" i="2"/>
  <c r="AX442" i="2"/>
  <c r="AZ441" i="2"/>
  <c r="AY441" i="2"/>
  <c r="AX441" i="2"/>
  <c r="AZ440" i="2"/>
  <c r="AY440" i="2"/>
  <c r="AX440" i="2"/>
  <c r="AZ439" i="2"/>
  <c r="AY439" i="2"/>
  <c r="AX439" i="2"/>
  <c r="AZ438" i="2"/>
  <c r="AY438" i="2"/>
  <c r="AX438" i="2"/>
  <c r="AZ437" i="2"/>
  <c r="AY437" i="2"/>
  <c r="AX437" i="2"/>
  <c r="AZ436" i="2"/>
  <c r="AY436" i="2"/>
  <c r="AX436" i="2"/>
  <c r="AZ435" i="2"/>
  <c r="AY435" i="2"/>
  <c r="AX435" i="2"/>
  <c r="AZ434" i="2"/>
  <c r="AY434" i="2"/>
  <c r="AX434" i="2"/>
  <c r="AZ433" i="2"/>
  <c r="AY433" i="2"/>
  <c r="AX433" i="2"/>
  <c r="AZ432" i="2"/>
  <c r="AY432" i="2"/>
  <c r="AX432" i="2"/>
  <c r="AZ431" i="2"/>
  <c r="AY431" i="2"/>
  <c r="AX431" i="2"/>
  <c r="AZ430" i="2"/>
  <c r="AY430" i="2"/>
  <c r="AX430" i="2"/>
  <c r="AZ429" i="2"/>
  <c r="AY429" i="2"/>
  <c r="AX429" i="2"/>
  <c r="AZ428" i="2"/>
  <c r="AY428" i="2"/>
  <c r="AX428" i="2"/>
  <c r="AZ427" i="2"/>
  <c r="AY427" i="2"/>
  <c r="AX427" i="2"/>
  <c r="AZ426" i="2"/>
  <c r="AY426" i="2"/>
  <c r="AX426" i="2"/>
  <c r="AZ425" i="2"/>
  <c r="AY425" i="2"/>
  <c r="AX425" i="2"/>
  <c r="AZ424" i="2"/>
  <c r="AY424" i="2"/>
  <c r="AX424" i="2"/>
  <c r="AZ423" i="2"/>
  <c r="AY423" i="2"/>
  <c r="AX423" i="2"/>
  <c r="AZ422" i="2"/>
  <c r="AY422" i="2"/>
  <c r="AX422" i="2"/>
  <c r="AZ421" i="2"/>
  <c r="AY421" i="2"/>
  <c r="AX421" i="2"/>
  <c r="AZ420" i="2"/>
  <c r="AY420" i="2"/>
  <c r="AX420" i="2"/>
  <c r="AZ419" i="2"/>
  <c r="AY419" i="2"/>
  <c r="AX419" i="2"/>
  <c r="AZ418" i="2"/>
  <c r="AY418" i="2"/>
  <c r="AX418" i="2"/>
  <c r="AZ417" i="2"/>
  <c r="AY417" i="2"/>
  <c r="AX417" i="2"/>
  <c r="AZ416" i="2"/>
  <c r="AY416" i="2"/>
  <c r="AX416" i="2"/>
  <c r="AZ415" i="2"/>
  <c r="AY415" i="2"/>
  <c r="AX415" i="2"/>
  <c r="AZ414" i="2"/>
  <c r="AY414" i="2"/>
  <c r="AX414" i="2"/>
  <c r="AZ413" i="2"/>
  <c r="AY413" i="2"/>
  <c r="AX413" i="2"/>
  <c r="AZ412" i="2"/>
  <c r="AY412" i="2"/>
  <c r="AX412" i="2"/>
  <c r="AZ411" i="2"/>
  <c r="AY411" i="2"/>
  <c r="AX411" i="2"/>
  <c r="AZ410" i="2"/>
  <c r="AY410" i="2"/>
  <c r="AX410" i="2"/>
  <c r="AZ409" i="2"/>
  <c r="AY409" i="2"/>
  <c r="AX409" i="2"/>
  <c r="AZ408" i="2"/>
  <c r="AY408" i="2"/>
  <c r="AX408" i="2"/>
  <c r="AZ407" i="2"/>
  <c r="AY407" i="2"/>
  <c r="AX407" i="2"/>
  <c r="AZ406" i="2"/>
  <c r="AY406" i="2"/>
  <c r="AX406" i="2"/>
  <c r="AZ405" i="2"/>
  <c r="AY405" i="2"/>
  <c r="AX405" i="2"/>
  <c r="AZ404" i="2"/>
  <c r="AY404" i="2"/>
  <c r="AX404" i="2"/>
  <c r="AZ403" i="2"/>
  <c r="AY403" i="2"/>
  <c r="AX403" i="2"/>
  <c r="AZ402" i="2"/>
  <c r="AY402" i="2"/>
  <c r="AX402" i="2"/>
  <c r="AZ401" i="2"/>
  <c r="AY401" i="2"/>
  <c r="AX401" i="2"/>
  <c r="AZ400" i="2"/>
  <c r="AY400" i="2"/>
  <c r="AX400" i="2"/>
  <c r="AZ399" i="2"/>
  <c r="AY399" i="2"/>
  <c r="AX399" i="2"/>
  <c r="AZ398" i="2"/>
  <c r="AY398" i="2"/>
  <c r="AX398" i="2"/>
  <c r="AZ397" i="2"/>
  <c r="AY397" i="2"/>
  <c r="AX397" i="2"/>
  <c r="AZ396" i="2"/>
  <c r="AY396" i="2"/>
  <c r="AX396" i="2"/>
  <c r="AZ395" i="2"/>
  <c r="AY395" i="2"/>
  <c r="AX395" i="2"/>
  <c r="AZ394" i="2"/>
  <c r="AY394" i="2"/>
  <c r="AX394" i="2"/>
  <c r="AZ393" i="2"/>
  <c r="AY393" i="2"/>
  <c r="AX393" i="2"/>
  <c r="AZ392" i="2"/>
  <c r="AY392" i="2"/>
  <c r="AX392" i="2"/>
  <c r="AZ391" i="2"/>
  <c r="AY391" i="2"/>
  <c r="AX391" i="2"/>
  <c r="AZ390" i="2"/>
  <c r="AY390" i="2"/>
  <c r="AX390" i="2"/>
  <c r="AZ389" i="2"/>
  <c r="AY389" i="2"/>
  <c r="AX389" i="2"/>
  <c r="AZ388" i="2"/>
  <c r="AY388" i="2"/>
  <c r="AX388" i="2"/>
  <c r="AZ387" i="2"/>
  <c r="AY387" i="2"/>
  <c r="AX387" i="2"/>
  <c r="AZ386" i="2"/>
  <c r="AY386" i="2"/>
  <c r="AX386" i="2"/>
  <c r="AZ385" i="2"/>
  <c r="AY385" i="2"/>
  <c r="AX385" i="2"/>
  <c r="AZ384" i="2"/>
  <c r="AY384" i="2"/>
  <c r="AX384" i="2"/>
  <c r="AZ383" i="2"/>
  <c r="AY383" i="2"/>
  <c r="AX383" i="2"/>
  <c r="AZ382" i="2"/>
  <c r="AY382" i="2"/>
  <c r="AX382" i="2"/>
  <c r="AZ381" i="2"/>
  <c r="AY381" i="2"/>
  <c r="AX381" i="2"/>
  <c r="AZ380" i="2"/>
  <c r="AY380" i="2"/>
  <c r="AX380" i="2"/>
  <c r="AZ379" i="2"/>
  <c r="AY379" i="2"/>
  <c r="AX379" i="2"/>
  <c r="AZ378" i="2"/>
  <c r="AY378" i="2"/>
  <c r="AX378" i="2"/>
  <c r="AZ377" i="2"/>
  <c r="AY377" i="2"/>
  <c r="AX377" i="2"/>
  <c r="AZ376" i="2"/>
  <c r="AY376" i="2"/>
  <c r="AX376" i="2"/>
  <c r="AZ375" i="2"/>
  <c r="AY375" i="2"/>
  <c r="AX375" i="2"/>
  <c r="AZ374" i="2"/>
  <c r="AY374" i="2"/>
  <c r="AX374" i="2"/>
  <c r="AZ373" i="2"/>
  <c r="AY373" i="2"/>
  <c r="AX373" i="2"/>
  <c r="AZ372" i="2"/>
  <c r="AY372" i="2"/>
  <c r="AX372" i="2"/>
  <c r="AZ371" i="2"/>
  <c r="AY371" i="2"/>
  <c r="AX371" i="2"/>
  <c r="AZ370" i="2"/>
  <c r="AY370" i="2"/>
  <c r="AX370" i="2"/>
  <c r="AZ369" i="2"/>
  <c r="AY369" i="2"/>
  <c r="AX369" i="2"/>
  <c r="AZ368" i="2"/>
  <c r="AY368" i="2"/>
  <c r="AX368" i="2"/>
  <c r="AZ367" i="2"/>
  <c r="AY367" i="2"/>
  <c r="AX367" i="2"/>
  <c r="AZ366" i="2"/>
  <c r="AY366" i="2"/>
  <c r="AX366" i="2"/>
  <c r="AZ365" i="2"/>
  <c r="AY365" i="2"/>
  <c r="AX365" i="2"/>
  <c r="AZ364" i="2"/>
  <c r="AY364" i="2"/>
  <c r="AX364" i="2"/>
  <c r="AZ363" i="2"/>
  <c r="AY363" i="2"/>
  <c r="AX363" i="2"/>
  <c r="AZ362" i="2"/>
  <c r="AY362" i="2"/>
  <c r="AX362" i="2"/>
  <c r="AZ361" i="2"/>
  <c r="AY361" i="2"/>
  <c r="AX361" i="2"/>
  <c r="AZ360" i="2"/>
  <c r="AY360" i="2"/>
  <c r="AX360" i="2"/>
  <c r="AZ359" i="2"/>
  <c r="AY359" i="2"/>
  <c r="AX359" i="2"/>
  <c r="AZ358" i="2"/>
  <c r="AY358" i="2"/>
  <c r="AX358" i="2"/>
  <c r="AZ357" i="2"/>
  <c r="AY357" i="2"/>
  <c r="AX357" i="2"/>
  <c r="AZ356" i="2"/>
  <c r="AY356" i="2"/>
  <c r="AX356" i="2"/>
  <c r="AZ355" i="2"/>
  <c r="AY355" i="2"/>
  <c r="AX355" i="2"/>
  <c r="AZ354" i="2"/>
  <c r="AY354" i="2"/>
  <c r="AX354" i="2"/>
  <c r="AZ353" i="2"/>
  <c r="AY353" i="2"/>
  <c r="AX353" i="2"/>
  <c r="AZ352" i="2"/>
  <c r="AY352" i="2"/>
  <c r="AX352" i="2"/>
  <c r="AZ351" i="2"/>
  <c r="AY351" i="2"/>
  <c r="AX351" i="2"/>
  <c r="AZ350" i="2"/>
  <c r="AY350" i="2"/>
  <c r="AX350" i="2"/>
  <c r="AZ349" i="2"/>
  <c r="AY349" i="2"/>
  <c r="AX349" i="2"/>
  <c r="AZ348" i="2"/>
  <c r="AY348" i="2"/>
  <c r="AX348" i="2"/>
  <c r="AZ347" i="2"/>
  <c r="AY347" i="2"/>
  <c r="AX347" i="2"/>
  <c r="AZ346" i="2"/>
  <c r="AY346" i="2"/>
  <c r="AX346" i="2"/>
  <c r="AZ345" i="2"/>
  <c r="AY345" i="2"/>
  <c r="AX345" i="2"/>
  <c r="AZ344" i="2"/>
  <c r="AY344" i="2"/>
  <c r="AX344" i="2"/>
  <c r="AZ343" i="2"/>
  <c r="AY343" i="2"/>
  <c r="AX343" i="2"/>
  <c r="AZ342" i="2"/>
  <c r="AY342" i="2"/>
  <c r="AX342" i="2"/>
  <c r="AZ341" i="2"/>
  <c r="AY341" i="2"/>
  <c r="AX341" i="2"/>
  <c r="AZ340" i="2"/>
  <c r="AY340" i="2"/>
  <c r="AX340" i="2"/>
  <c r="AZ339" i="2"/>
  <c r="AY339" i="2"/>
  <c r="AX339" i="2"/>
  <c r="AZ338" i="2"/>
  <c r="AY338" i="2"/>
  <c r="AX338" i="2"/>
  <c r="AZ337" i="2"/>
  <c r="AY337" i="2"/>
  <c r="AX337" i="2"/>
  <c r="AZ336" i="2"/>
  <c r="AY336" i="2"/>
  <c r="AX336" i="2"/>
  <c r="AZ335" i="2"/>
  <c r="AY335" i="2"/>
  <c r="AX335" i="2"/>
  <c r="AZ334" i="2"/>
  <c r="AY334" i="2"/>
  <c r="AX334" i="2"/>
  <c r="AZ333" i="2"/>
  <c r="AY333" i="2"/>
  <c r="AX333" i="2"/>
  <c r="AZ332" i="2"/>
  <c r="AY332" i="2"/>
  <c r="AX332" i="2"/>
  <c r="AZ331" i="2"/>
  <c r="AY331" i="2"/>
  <c r="AX331" i="2"/>
  <c r="AZ330" i="2"/>
  <c r="AY330" i="2"/>
  <c r="AX330" i="2"/>
  <c r="AZ329" i="2"/>
  <c r="AY329" i="2"/>
  <c r="AX329" i="2"/>
  <c r="AZ328" i="2"/>
  <c r="AY328" i="2"/>
  <c r="AX328" i="2"/>
  <c r="AZ327" i="2"/>
  <c r="AY327" i="2"/>
  <c r="AX327" i="2"/>
  <c r="AZ326" i="2"/>
  <c r="AY326" i="2"/>
  <c r="AX326" i="2"/>
  <c r="AZ325" i="2"/>
  <c r="AY325" i="2"/>
  <c r="AX325" i="2"/>
  <c r="AZ324" i="2"/>
  <c r="AY324" i="2"/>
  <c r="AX324" i="2"/>
  <c r="AZ323" i="2"/>
  <c r="AY323" i="2"/>
  <c r="AX323" i="2"/>
  <c r="AZ322" i="2"/>
  <c r="AY322" i="2"/>
  <c r="AX322" i="2"/>
  <c r="AZ321" i="2"/>
  <c r="AY321" i="2"/>
  <c r="AX321" i="2"/>
  <c r="AZ320" i="2"/>
  <c r="AY320" i="2"/>
  <c r="AX320" i="2"/>
  <c r="AZ319" i="2"/>
  <c r="AY319" i="2"/>
  <c r="AX319" i="2"/>
  <c r="AZ318" i="2"/>
  <c r="AY318" i="2"/>
  <c r="AX318" i="2"/>
  <c r="AZ317" i="2"/>
  <c r="AY317" i="2"/>
  <c r="AX317" i="2"/>
  <c r="AZ316" i="2"/>
  <c r="AY316" i="2"/>
  <c r="AX316" i="2"/>
  <c r="AZ315" i="2"/>
  <c r="AY315" i="2"/>
  <c r="AX315" i="2"/>
  <c r="AZ314" i="2"/>
  <c r="AY314" i="2"/>
  <c r="AX314" i="2"/>
  <c r="AZ313" i="2"/>
  <c r="AY313" i="2"/>
  <c r="AX313" i="2"/>
  <c r="AZ312" i="2"/>
  <c r="AY312" i="2"/>
  <c r="AX312" i="2"/>
  <c r="AZ311" i="2"/>
  <c r="AY311" i="2"/>
  <c r="AX311" i="2"/>
  <c r="AZ310" i="2"/>
  <c r="AY310" i="2"/>
  <c r="AX310" i="2"/>
  <c r="AZ309" i="2"/>
  <c r="AY309" i="2"/>
  <c r="AX309" i="2"/>
  <c r="AZ308" i="2"/>
  <c r="AY308" i="2"/>
  <c r="AX308" i="2"/>
  <c r="AZ307" i="2"/>
  <c r="AY307" i="2"/>
  <c r="AX307" i="2"/>
  <c r="AZ306" i="2"/>
  <c r="AY306" i="2"/>
  <c r="AX306" i="2"/>
  <c r="AZ305" i="2"/>
  <c r="AY305" i="2"/>
  <c r="AX305" i="2"/>
  <c r="AZ304" i="2"/>
  <c r="AY304" i="2"/>
  <c r="AX304" i="2"/>
  <c r="AZ303" i="2"/>
  <c r="AY303" i="2"/>
  <c r="AX303" i="2"/>
  <c r="AZ302" i="2"/>
  <c r="AY302" i="2"/>
  <c r="AX302" i="2"/>
  <c r="AZ301" i="2"/>
  <c r="AY301" i="2"/>
  <c r="AX301" i="2"/>
  <c r="AZ300" i="2"/>
  <c r="AY300" i="2"/>
  <c r="AX300" i="2"/>
  <c r="AZ299" i="2"/>
  <c r="AY299" i="2"/>
  <c r="AX299" i="2"/>
  <c r="AZ298" i="2"/>
  <c r="AY298" i="2"/>
  <c r="AX298" i="2"/>
  <c r="AZ297" i="2"/>
  <c r="AY297" i="2"/>
  <c r="AX297" i="2"/>
  <c r="AZ296" i="2"/>
  <c r="AY296" i="2"/>
  <c r="AX296" i="2"/>
  <c r="AZ295" i="2"/>
  <c r="AY295" i="2"/>
  <c r="AX295" i="2"/>
  <c r="AZ294" i="2"/>
  <c r="AY294" i="2"/>
  <c r="AX294" i="2"/>
  <c r="AZ293" i="2"/>
  <c r="AY293" i="2"/>
  <c r="AX293" i="2"/>
  <c r="AZ292" i="2"/>
  <c r="AY292" i="2"/>
  <c r="AX292" i="2"/>
  <c r="AZ291" i="2"/>
  <c r="AY291" i="2"/>
  <c r="AX291" i="2"/>
  <c r="AZ290" i="2"/>
  <c r="AY290" i="2"/>
  <c r="AX290" i="2"/>
  <c r="AZ289" i="2"/>
  <c r="AY289" i="2"/>
  <c r="AX289" i="2"/>
  <c r="AZ288" i="2"/>
  <c r="AY288" i="2"/>
  <c r="AX288" i="2"/>
  <c r="AZ287" i="2"/>
  <c r="AY287" i="2"/>
  <c r="AX287" i="2"/>
  <c r="AZ286" i="2"/>
  <c r="AY286" i="2"/>
  <c r="AX286" i="2"/>
  <c r="AZ285" i="2"/>
  <c r="AY285" i="2"/>
  <c r="AX285" i="2"/>
  <c r="AZ284" i="2"/>
  <c r="AY284" i="2"/>
  <c r="AX284" i="2"/>
  <c r="AZ283" i="2"/>
  <c r="AY283" i="2"/>
  <c r="AX283" i="2"/>
  <c r="AZ282" i="2"/>
  <c r="AY282" i="2"/>
  <c r="AX282" i="2"/>
  <c r="AZ281" i="2"/>
  <c r="AY281" i="2"/>
  <c r="AX281" i="2"/>
  <c r="AZ280" i="2"/>
  <c r="AY280" i="2"/>
  <c r="AX280" i="2"/>
  <c r="AZ279" i="2"/>
  <c r="AY279" i="2"/>
  <c r="AX279" i="2"/>
  <c r="AZ278" i="2"/>
  <c r="AY278" i="2"/>
  <c r="AX278" i="2"/>
  <c r="AZ277" i="2"/>
  <c r="AY277" i="2"/>
  <c r="AX277" i="2"/>
  <c r="AZ276" i="2"/>
  <c r="AY276" i="2"/>
  <c r="AX276" i="2"/>
  <c r="AZ275" i="2"/>
  <c r="AY275" i="2"/>
  <c r="AX275" i="2"/>
  <c r="AZ274" i="2"/>
  <c r="AY274" i="2"/>
  <c r="AX274" i="2"/>
  <c r="AZ273" i="2"/>
  <c r="AY273" i="2"/>
  <c r="AX273" i="2"/>
  <c r="AZ272" i="2"/>
  <c r="AY272" i="2"/>
  <c r="AX272" i="2"/>
  <c r="AZ271" i="2"/>
  <c r="AY271" i="2"/>
  <c r="AX271" i="2"/>
  <c r="AZ270" i="2"/>
  <c r="AY270" i="2"/>
  <c r="AX270" i="2"/>
  <c r="AZ269" i="2"/>
  <c r="AY269" i="2"/>
  <c r="AX269" i="2"/>
  <c r="AZ268" i="2"/>
  <c r="AY268" i="2"/>
  <c r="AX268" i="2"/>
  <c r="AZ267" i="2"/>
  <c r="AY267" i="2"/>
  <c r="AX267" i="2"/>
  <c r="AZ266" i="2"/>
  <c r="AY266" i="2"/>
  <c r="AX266" i="2"/>
  <c r="AZ265" i="2"/>
  <c r="AY265" i="2"/>
  <c r="AX265" i="2"/>
  <c r="AZ264" i="2"/>
  <c r="AY264" i="2"/>
  <c r="AX264" i="2"/>
  <c r="AZ263" i="2"/>
  <c r="AY263" i="2"/>
  <c r="AX263" i="2"/>
  <c r="AZ262" i="2"/>
  <c r="AY262" i="2"/>
  <c r="AX262" i="2"/>
  <c r="AZ261" i="2"/>
  <c r="AY261" i="2"/>
  <c r="AX261" i="2"/>
  <c r="AZ260" i="2"/>
  <c r="AY260" i="2"/>
  <c r="AX260" i="2"/>
  <c r="AZ259" i="2"/>
  <c r="AY259" i="2"/>
  <c r="AX259" i="2"/>
  <c r="AZ258" i="2"/>
  <c r="AY258" i="2"/>
  <c r="AX258" i="2"/>
  <c r="AZ254" i="2"/>
  <c r="AY254" i="2"/>
  <c r="AX254" i="2"/>
  <c r="AZ253" i="2"/>
  <c r="AY253" i="2"/>
  <c r="AX253" i="2"/>
  <c r="AZ252" i="2"/>
  <c r="AY252" i="2"/>
  <c r="AX252" i="2"/>
  <c r="AZ251" i="2"/>
  <c r="AY251" i="2"/>
  <c r="AX251" i="2"/>
  <c r="AZ250" i="2"/>
  <c r="AY250" i="2"/>
  <c r="AX250" i="2"/>
  <c r="AZ249" i="2"/>
  <c r="AY249" i="2"/>
  <c r="AX249" i="2"/>
  <c r="AZ248" i="2"/>
  <c r="AY248" i="2"/>
  <c r="AX248" i="2"/>
  <c r="AZ247" i="2"/>
  <c r="AY247" i="2"/>
  <c r="AX247" i="2"/>
  <c r="AZ246" i="2"/>
  <c r="AY246" i="2"/>
  <c r="AX246" i="2"/>
  <c r="AZ245" i="2"/>
  <c r="AY245" i="2"/>
  <c r="AX245" i="2"/>
  <c r="AZ244" i="2"/>
  <c r="AY244" i="2"/>
  <c r="AX244" i="2"/>
  <c r="AZ243" i="2"/>
  <c r="AY243" i="2"/>
  <c r="AX243" i="2"/>
  <c r="AZ242" i="2"/>
  <c r="AY242" i="2"/>
  <c r="AX242" i="2"/>
  <c r="AZ241" i="2"/>
  <c r="AY241" i="2"/>
  <c r="AX241" i="2"/>
  <c r="AZ240" i="2"/>
  <c r="AY240" i="2"/>
  <c r="AX240" i="2"/>
  <c r="AZ239" i="2"/>
  <c r="AY239" i="2"/>
  <c r="AX239" i="2"/>
  <c r="AZ238" i="2"/>
  <c r="AY238" i="2"/>
  <c r="AX238" i="2"/>
  <c r="AZ237" i="2"/>
  <c r="AY237" i="2"/>
  <c r="AX237" i="2"/>
  <c r="AZ236" i="2"/>
  <c r="AY236" i="2"/>
  <c r="AX236" i="2"/>
  <c r="AZ235" i="2"/>
  <c r="AY235" i="2"/>
  <c r="AX235" i="2"/>
  <c r="AZ234" i="2"/>
  <c r="AY234" i="2"/>
  <c r="AX234" i="2"/>
  <c r="AZ233" i="2"/>
  <c r="AY233" i="2"/>
  <c r="AX233" i="2"/>
  <c r="AZ232" i="2"/>
  <c r="AY232" i="2"/>
  <c r="AX232" i="2"/>
  <c r="AZ231" i="2"/>
  <c r="AY231" i="2"/>
  <c r="AX231" i="2"/>
  <c r="AZ230" i="2"/>
  <c r="AY230" i="2"/>
  <c r="AX230" i="2"/>
  <c r="AZ229" i="2"/>
  <c r="AY229" i="2"/>
  <c r="AX229" i="2"/>
  <c r="AZ228" i="2"/>
  <c r="AY228" i="2"/>
  <c r="AX228" i="2"/>
  <c r="AZ227" i="2"/>
  <c r="AY227" i="2"/>
  <c r="AX227" i="2"/>
  <c r="AZ226" i="2"/>
  <c r="AY226" i="2"/>
  <c r="AX226" i="2"/>
  <c r="AZ225" i="2"/>
  <c r="AY225" i="2"/>
  <c r="AX225" i="2"/>
  <c r="AZ224" i="2"/>
  <c r="AY224" i="2"/>
  <c r="AX224" i="2"/>
  <c r="AZ223" i="2"/>
  <c r="AY223" i="2"/>
  <c r="AX223" i="2"/>
  <c r="AZ222" i="2"/>
  <c r="AY222" i="2"/>
  <c r="AX222" i="2"/>
  <c r="AZ221" i="2"/>
  <c r="AY221" i="2"/>
  <c r="AX221" i="2"/>
  <c r="AZ220" i="2"/>
  <c r="AY220" i="2"/>
  <c r="AX220" i="2"/>
  <c r="AZ219" i="2"/>
  <c r="AY219" i="2"/>
  <c r="AX219" i="2"/>
  <c r="AZ218" i="2"/>
  <c r="AY218" i="2"/>
  <c r="AX218" i="2"/>
  <c r="AZ217" i="2"/>
  <c r="AY217" i="2"/>
  <c r="AX217" i="2"/>
  <c r="AZ216" i="2"/>
  <c r="AY216" i="2"/>
  <c r="AX216" i="2"/>
  <c r="AZ215" i="2"/>
  <c r="AY215" i="2"/>
  <c r="AX215" i="2"/>
  <c r="AZ214" i="2"/>
  <c r="AY214" i="2"/>
  <c r="AX214" i="2"/>
  <c r="AZ213" i="2"/>
  <c r="AY213" i="2"/>
  <c r="AX213" i="2"/>
  <c r="AZ212" i="2"/>
  <c r="AY212" i="2"/>
  <c r="AX212" i="2"/>
  <c r="AZ211" i="2"/>
  <c r="AY211" i="2"/>
  <c r="AX211" i="2"/>
  <c r="AZ210" i="2"/>
  <c r="AY210" i="2"/>
  <c r="AX210" i="2"/>
  <c r="AZ209" i="2"/>
  <c r="AY209" i="2"/>
  <c r="AX209" i="2"/>
  <c r="AZ208" i="2"/>
  <c r="AY208" i="2"/>
  <c r="AX208" i="2"/>
  <c r="AZ207" i="2"/>
  <c r="AY207" i="2"/>
  <c r="AX207" i="2"/>
  <c r="AZ206" i="2"/>
  <c r="AY206" i="2"/>
  <c r="AX206" i="2"/>
  <c r="AZ205" i="2"/>
  <c r="AY205" i="2"/>
  <c r="AX205" i="2"/>
  <c r="AZ204" i="2"/>
  <c r="AY204" i="2"/>
  <c r="AX204" i="2"/>
  <c r="AZ203" i="2"/>
  <c r="AY203" i="2"/>
  <c r="AX203" i="2"/>
  <c r="AZ202" i="2"/>
  <c r="AY202" i="2"/>
  <c r="AX202" i="2"/>
  <c r="AZ201" i="2"/>
  <c r="AY201" i="2"/>
  <c r="AX201" i="2"/>
  <c r="AZ200" i="2"/>
  <c r="AY200" i="2"/>
  <c r="AX200" i="2"/>
  <c r="AZ199" i="2"/>
  <c r="AY199" i="2"/>
  <c r="AX199" i="2"/>
  <c r="AZ198" i="2"/>
  <c r="AY198" i="2"/>
  <c r="AX198" i="2"/>
  <c r="AZ197" i="2"/>
  <c r="AY197" i="2"/>
  <c r="AX197" i="2"/>
  <c r="AZ196" i="2"/>
  <c r="AY196" i="2"/>
  <c r="AX196" i="2"/>
  <c r="AZ195" i="2"/>
  <c r="AY195" i="2"/>
  <c r="AX195" i="2"/>
  <c r="AZ194" i="2"/>
  <c r="AY194" i="2"/>
  <c r="AX194" i="2"/>
  <c r="AZ193" i="2"/>
  <c r="AY193" i="2"/>
  <c r="AX193" i="2"/>
  <c r="AZ192" i="2"/>
  <c r="AY192" i="2"/>
  <c r="AX192" i="2"/>
  <c r="AZ191" i="2"/>
  <c r="AY191" i="2"/>
  <c r="AX191" i="2"/>
  <c r="AZ190" i="2"/>
  <c r="AY190" i="2"/>
  <c r="AX190" i="2"/>
  <c r="AZ189" i="2"/>
  <c r="AY189" i="2"/>
  <c r="AX189" i="2"/>
  <c r="AZ188" i="2"/>
  <c r="AY188" i="2"/>
  <c r="AX188" i="2"/>
  <c r="AZ187" i="2"/>
  <c r="AY187" i="2"/>
  <c r="AX187" i="2"/>
  <c r="AZ186" i="2"/>
  <c r="AY186" i="2"/>
  <c r="AX186" i="2"/>
  <c r="AZ185" i="2"/>
  <c r="AY185" i="2"/>
  <c r="AX185" i="2"/>
  <c r="AZ184" i="2"/>
  <c r="AY184" i="2"/>
  <c r="AX184" i="2"/>
  <c r="AZ183" i="2"/>
  <c r="AY183" i="2"/>
  <c r="AX183" i="2"/>
  <c r="AZ182" i="2"/>
  <c r="AY182" i="2"/>
  <c r="AX182" i="2"/>
  <c r="AZ181" i="2"/>
  <c r="AY181" i="2"/>
  <c r="AX181" i="2"/>
  <c r="AZ180" i="2"/>
  <c r="AY180" i="2"/>
  <c r="AX180" i="2"/>
  <c r="AZ179" i="2"/>
  <c r="AY179" i="2"/>
  <c r="AX179" i="2"/>
  <c r="AZ178" i="2"/>
  <c r="AY178" i="2"/>
  <c r="AX178" i="2"/>
  <c r="AZ177" i="2"/>
  <c r="AY177" i="2"/>
  <c r="AX177" i="2"/>
  <c r="AZ176" i="2"/>
  <c r="AY176" i="2"/>
  <c r="AX176" i="2"/>
  <c r="AZ175" i="2"/>
  <c r="AY175" i="2"/>
  <c r="AX175" i="2"/>
  <c r="AZ174" i="2"/>
  <c r="AY174" i="2"/>
  <c r="AX174" i="2"/>
  <c r="AZ173" i="2"/>
  <c r="AY173" i="2"/>
  <c r="AX173" i="2"/>
  <c r="AZ172" i="2"/>
  <c r="AY172" i="2"/>
  <c r="AX172" i="2"/>
  <c r="AZ171" i="2"/>
  <c r="AY171" i="2"/>
  <c r="AX171" i="2"/>
  <c r="AZ170" i="2"/>
  <c r="AY170" i="2"/>
  <c r="AX170" i="2"/>
  <c r="AZ169" i="2"/>
  <c r="AY169" i="2"/>
  <c r="AX169" i="2"/>
  <c r="AZ168" i="2"/>
  <c r="AY168" i="2"/>
  <c r="AX168" i="2"/>
  <c r="AZ167" i="2"/>
  <c r="AY167" i="2"/>
  <c r="AX167" i="2"/>
  <c r="AZ166" i="2"/>
  <c r="AY166" i="2"/>
  <c r="AX166" i="2"/>
  <c r="AZ165" i="2"/>
  <c r="AY165" i="2"/>
  <c r="AX165" i="2"/>
  <c r="AZ164" i="2"/>
  <c r="AY164" i="2"/>
  <c r="AX164" i="2"/>
  <c r="AZ163" i="2"/>
  <c r="AY163" i="2"/>
  <c r="AX163" i="2"/>
  <c r="AZ162" i="2"/>
  <c r="AY162" i="2"/>
  <c r="AX162" i="2"/>
  <c r="AZ161" i="2"/>
  <c r="AY161" i="2"/>
  <c r="AX161" i="2"/>
  <c r="AZ160" i="2"/>
  <c r="AY160" i="2"/>
  <c r="AX160" i="2"/>
  <c r="AZ159" i="2"/>
  <c r="AY159" i="2"/>
  <c r="AX159" i="2"/>
  <c r="AZ158" i="2"/>
  <c r="AY158" i="2"/>
  <c r="AX158" i="2"/>
  <c r="AZ157" i="2"/>
  <c r="AY157" i="2"/>
  <c r="AX157" i="2"/>
  <c r="AZ156" i="2"/>
  <c r="AY156" i="2"/>
  <c r="AX156" i="2"/>
  <c r="AZ155" i="2"/>
  <c r="AY155" i="2"/>
  <c r="AX155" i="2"/>
  <c r="AZ154" i="2"/>
  <c r="AY154" i="2"/>
  <c r="AX154" i="2"/>
  <c r="AZ153" i="2"/>
  <c r="AY153" i="2"/>
  <c r="AX153" i="2"/>
  <c r="AZ152" i="2"/>
  <c r="AY152" i="2"/>
  <c r="AX152" i="2"/>
  <c r="AZ151" i="2"/>
  <c r="AY151" i="2"/>
  <c r="AX151" i="2"/>
  <c r="AZ150" i="2"/>
  <c r="AY150" i="2"/>
  <c r="AX150" i="2"/>
  <c r="AZ149" i="2"/>
  <c r="AY149" i="2"/>
  <c r="AX149" i="2"/>
  <c r="AZ148" i="2"/>
  <c r="AY148" i="2"/>
  <c r="AX148" i="2"/>
  <c r="AZ147" i="2"/>
  <c r="AY147" i="2"/>
  <c r="AX147" i="2"/>
  <c r="AZ146" i="2"/>
  <c r="AY146" i="2"/>
  <c r="AX146" i="2"/>
  <c r="AZ145" i="2"/>
  <c r="AY145" i="2"/>
  <c r="AX145" i="2"/>
  <c r="AZ144" i="2"/>
  <c r="AY144" i="2"/>
  <c r="AX144" i="2"/>
  <c r="AZ143" i="2"/>
  <c r="AY143" i="2"/>
  <c r="AX143" i="2"/>
  <c r="AZ142" i="2"/>
  <c r="AY142" i="2"/>
  <c r="AX142" i="2"/>
  <c r="AZ141" i="2"/>
  <c r="AY141" i="2"/>
  <c r="AX141" i="2"/>
  <c r="AZ140" i="2"/>
  <c r="AY140" i="2"/>
  <c r="AX140" i="2"/>
  <c r="AZ139" i="2"/>
  <c r="AY139" i="2"/>
  <c r="AX139" i="2"/>
  <c r="AZ138" i="2"/>
  <c r="AY138" i="2"/>
  <c r="AX138" i="2"/>
  <c r="AZ137" i="2"/>
  <c r="AY137" i="2"/>
  <c r="AX137" i="2"/>
  <c r="AZ136" i="2"/>
  <c r="AY136" i="2"/>
  <c r="AX136" i="2"/>
  <c r="AZ135" i="2"/>
  <c r="AY135" i="2"/>
  <c r="AX135" i="2"/>
  <c r="AZ134" i="2"/>
  <c r="AY134" i="2"/>
  <c r="AX134" i="2"/>
  <c r="AZ133" i="2"/>
  <c r="AY133" i="2"/>
  <c r="AX133" i="2"/>
  <c r="AZ132" i="2"/>
  <c r="AY132" i="2"/>
  <c r="AX132" i="2"/>
  <c r="AZ131" i="2"/>
  <c r="AY131" i="2"/>
  <c r="AX131" i="2"/>
  <c r="AZ130" i="2"/>
  <c r="AY130" i="2"/>
  <c r="AX130" i="2"/>
  <c r="AZ129" i="2"/>
  <c r="AY129" i="2"/>
  <c r="AX129" i="2"/>
  <c r="AZ128" i="2"/>
  <c r="AY128" i="2"/>
  <c r="AX128" i="2"/>
  <c r="AZ127" i="2"/>
  <c r="AY127" i="2"/>
  <c r="AX127" i="2"/>
  <c r="AZ126" i="2"/>
  <c r="AY126" i="2"/>
  <c r="AX126" i="2"/>
  <c r="AZ125" i="2"/>
  <c r="AY125" i="2"/>
  <c r="AX125" i="2"/>
  <c r="AZ124" i="2"/>
  <c r="AY124" i="2"/>
  <c r="AX124" i="2"/>
  <c r="AZ121" i="2"/>
  <c r="AY121" i="2"/>
  <c r="AX121" i="2"/>
  <c r="AZ120" i="2"/>
  <c r="AY120" i="2"/>
  <c r="AX120" i="2"/>
  <c r="AZ119" i="2"/>
  <c r="AY119" i="2"/>
  <c r="AX119" i="2"/>
  <c r="AZ118" i="2"/>
  <c r="AY118" i="2"/>
  <c r="AX118" i="2"/>
  <c r="AZ117" i="2"/>
  <c r="AY117" i="2"/>
  <c r="AX117" i="2"/>
  <c r="AZ116" i="2"/>
  <c r="AY116" i="2"/>
  <c r="AX116" i="2"/>
  <c r="AZ115" i="2"/>
  <c r="AY115" i="2"/>
  <c r="AX115" i="2"/>
  <c r="AZ114" i="2"/>
  <c r="AY114" i="2"/>
  <c r="AX114" i="2"/>
  <c r="AZ113" i="2"/>
  <c r="AY113" i="2"/>
  <c r="AX113" i="2"/>
  <c r="AZ112" i="2"/>
  <c r="AY112" i="2"/>
  <c r="AX112" i="2"/>
  <c r="AZ111" i="2"/>
  <c r="AY111" i="2"/>
  <c r="AX111" i="2"/>
  <c r="AZ110" i="2"/>
  <c r="AY110" i="2"/>
  <c r="AX110" i="2"/>
  <c r="AZ109" i="2"/>
  <c r="AY109" i="2"/>
  <c r="AX109" i="2"/>
  <c r="AZ108" i="2"/>
  <c r="AY108" i="2"/>
  <c r="AX108" i="2"/>
  <c r="AZ107" i="2"/>
  <c r="AY107" i="2"/>
  <c r="AX107" i="2"/>
  <c r="AZ106" i="2"/>
  <c r="AY106" i="2"/>
  <c r="AX106" i="2"/>
  <c r="AZ105" i="2"/>
  <c r="AY105" i="2"/>
  <c r="AX105" i="2"/>
  <c r="AZ104" i="2"/>
  <c r="AY104" i="2"/>
  <c r="AX104" i="2"/>
  <c r="AZ103" i="2"/>
  <c r="AY103" i="2"/>
  <c r="AX103" i="2"/>
  <c r="AZ102" i="2"/>
  <c r="AY102" i="2"/>
  <c r="AX102" i="2"/>
  <c r="AZ101" i="2"/>
  <c r="AY101" i="2"/>
  <c r="AX101" i="2"/>
  <c r="AZ91" i="2"/>
  <c r="AY91" i="2"/>
  <c r="AX91" i="2"/>
  <c r="AZ90" i="2"/>
  <c r="AY90" i="2"/>
  <c r="AX90" i="2"/>
  <c r="AZ89" i="2"/>
  <c r="AY89" i="2"/>
  <c r="AX89" i="2"/>
  <c r="AZ88" i="2"/>
  <c r="AY88" i="2"/>
  <c r="AX88" i="2"/>
  <c r="AZ87" i="2"/>
  <c r="AY87" i="2"/>
  <c r="AX87" i="2"/>
  <c r="AZ86" i="2"/>
  <c r="AY86" i="2"/>
  <c r="AX86" i="2"/>
  <c r="AZ85" i="2"/>
  <c r="AY85" i="2"/>
  <c r="AX85" i="2"/>
  <c r="AZ84" i="2"/>
  <c r="AY84" i="2"/>
  <c r="AX84" i="2"/>
  <c r="AZ83" i="2"/>
  <c r="AY83" i="2"/>
  <c r="AX83" i="2"/>
  <c r="AZ82" i="2"/>
  <c r="AY82" i="2"/>
  <c r="AX82" i="2"/>
  <c r="AZ81" i="2"/>
  <c r="AY81" i="2"/>
  <c r="AX81" i="2"/>
  <c r="AZ80" i="2"/>
  <c r="AY80" i="2"/>
  <c r="AX80" i="2"/>
  <c r="AZ79" i="2"/>
  <c r="AY79" i="2"/>
  <c r="AX79" i="2"/>
  <c r="AZ78" i="2"/>
  <c r="AY78" i="2"/>
  <c r="AX78" i="2"/>
  <c r="AZ77" i="2"/>
  <c r="AY77" i="2"/>
  <c r="AX77" i="2"/>
  <c r="AZ76" i="2"/>
  <c r="AY76" i="2"/>
  <c r="AX76" i="2"/>
  <c r="AZ75" i="2"/>
  <c r="AY75" i="2"/>
  <c r="AX75" i="2"/>
  <c r="AZ74" i="2"/>
  <c r="AY74" i="2"/>
  <c r="AX74" i="2"/>
  <c r="AZ73" i="2"/>
  <c r="AY73" i="2"/>
  <c r="AX73" i="2"/>
  <c r="AZ72" i="2"/>
  <c r="AY72" i="2"/>
  <c r="AX72" i="2"/>
  <c r="AZ71" i="2"/>
  <c r="AY71" i="2"/>
  <c r="AX71" i="2"/>
  <c r="AZ70" i="2"/>
  <c r="AY70" i="2"/>
  <c r="AX70" i="2"/>
  <c r="AZ69" i="2"/>
  <c r="AY69" i="2"/>
  <c r="AX69" i="2"/>
  <c r="AZ68" i="2"/>
  <c r="AY68" i="2"/>
  <c r="AX68" i="2"/>
  <c r="AZ67" i="2"/>
  <c r="AY67" i="2"/>
  <c r="AX67" i="2"/>
  <c r="AZ66" i="2"/>
  <c r="AY66" i="2"/>
  <c r="AX66" i="2"/>
  <c r="AZ65" i="2"/>
  <c r="AY65" i="2"/>
  <c r="AX65" i="2"/>
  <c r="AZ64" i="2"/>
  <c r="AY64" i="2"/>
  <c r="AX64" i="2"/>
  <c r="AZ63" i="2"/>
  <c r="AY63" i="2"/>
  <c r="AX63" i="2"/>
  <c r="AZ62" i="2"/>
  <c r="AY62" i="2"/>
  <c r="AX62" i="2"/>
  <c r="AZ61" i="2"/>
  <c r="AY61" i="2"/>
  <c r="AX61" i="2"/>
  <c r="AZ60" i="2"/>
  <c r="AY60" i="2"/>
  <c r="AX60" i="2"/>
  <c r="AZ59" i="2"/>
  <c r="AY59" i="2"/>
  <c r="AX59" i="2"/>
  <c r="AZ58" i="2"/>
  <c r="AY58" i="2"/>
  <c r="AX58" i="2"/>
  <c r="AZ57" i="2"/>
  <c r="AY57" i="2"/>
  <c r="AX57" i="2"/>
  <c r="AZ56" i="2"/>
  <c r="AY56" i="2"/>
  <c r="AX56" i="2"/>
  <c r="AZ55" i="2"/>
  <c r="AY55" i="2"/>
  <c r="AX55" i="2"/>
  <c r="AZ54" i="2"/>
  <c r="AY54" i="2"/>
  <c r="AX54" i="2"/>
  <c r="AZ53" i="2"/>
  <c r="AY53" i="2"/>
  <c r="AX53" i="2"/>
  <c r="AZ52" i="2"/>
  <c r="AY52" i="2"/>
  <c r="AX52" i="2"/>
  <c r="AZ51" i="2"/>
  <c r="AY51" i="2"/>
  <c r="AX51" i="2"/>
  <c r="AZ50" i="2"/>
  <c r="AY50" i="2"/>
  <c r="AX50" i="2"/>
  <c r="AZ49" i="2"/>
  <c r="AY49" i="2"/>
  <c r="AX49" i="2"/>
  <c r="AZ48" i="2"/>
  <c r="AY48" i="2"/>
  <c r="AX48" i="2"/>
  <c r="AZ47" i="2"/>
  <c r="AY47" i="2"/>
  <c r="AX47" i="2"/>
  <c r="AZ46" i="2"/>
  <c r="AY46" i="2"/>
  <c r="AX46" i="2"/>
  <c r="AZ45" i="2"/>
  <c r="AY45" i="2"/>
  <c r="AX45" i="2"/>
  <c r="AZ44" i="2"/>
  <c r="AY44" i="2"/>
  <c r="AX44" i="2"/>
  <c r="AZ43" i="2"/>
  <c r="AY43" i="2"/>
  <c r="AX43" i="2"/>
  <c r="AZ42" i="2"/>
  <c r="AY42" i="2"/>
  <c r="AX42" i="2"/>
  <c r="AZ41" i="2"/>
  <c r="AY41" i="2"/>
  <c r="AX41" i="2"/>
  <c r="AZ40" i="2"/>
  <c r="AY40" i="2"/>
  <c r="AX40" i="2"/>
  <c r="AZ39" i="2"/>
  <c r="AY39" i="2"/>
  <c r="AX39" i="2"/>
  <c r="AZ38" i="2"/>
  <c r="AY38" i="2"/>
  <c r="AX38" i="2"/>
  <c r="AZ37" i="2"/>
  <c r="AY37" i="2"/>
  <c r="AX37" i="2"/>
  <c r="AZ36" i="2"/>
  <c r="AY36" i="2"/>
  <c r="AX36" i="2"/>
  <c r="AZ35" i="2"/>
  <c r="AY35" i="2"/>
  <c r="AX35" i="2"/>
  <c r="AZ34" i="2"/>
  <c r="AY34" i="2"/>
  <c r="AX34" i="2"/>
  <c r="AZ33" i="2"/>
  <c r="AY33" i="2"/>
  <c r="AX33" i="2"/>
  <c r="AZ32" i="2"/>
  <c r="AY32" i="2"/>
  <c r="AX32" i="2"/>
  <c r="AZ31" i="2"/>
  <c r="AY31" i="2"/>
  <c r="AX31" i="2"/>
  <c r="AZ30" i="2"/>
  <c r="AY30" i="2"/>
  <c r="AX30" i="2"/>
  <c r="AZ29" i="2"/>
  <c r="AY29" i="2"/>
  <c r="AX29" i="2"/>
  <c r="AZ28" i="2"/>
  <c r="AY28" i="2"/>
  <c r="AX28" i="2"/>
  <c r="AZ27" i="2"/>
  <c r="AY27" i="2"/>
  <c r="AX27" i="2"/>
  <c r="AZ26" i="2"/>
  <c r="AY26" i="2"/>
  <c r="AX26" i="2"/>
  <c r="AZ25" i="2"/>
  <c r="AY25" i="2"/>
  <c r="AX25" i="2"/>
  <c r="AZ24" i="2"/>
  <c r="AY24" i="2"/>
  <c r="AX24" i="2"/>
  <c r="AZ23" i="2"/>
  <c r="AY23" i="2"/>
  <c r="AX23" i="2"/>
  <c r="AZ22" i="2"/>
  <c r="AY22" i="2"/>
  <c r="AX22" i="2"/>
  <c r="AZ21" i="2"/>
  <c r="AY21" i="2"/>
  <c r="AX21" i="2"/>
  <c r="AZ20" i="2"/>
  <c r="AY20" i="2"/>
  <c r="AX20" i="2"/>
  <c r="AZ19" i="2"/>
  <c r="AY19" i="2"/>
  <c r="AX19" i="2"/>
  <c r="AZ18" i="2"/>
  <c r="AY18" i="2"/>
  <c r="AX18" i="2"/>
  <c r="AZ17" i="2"/>
  <c r="AY17" i="2"/>
  <c r="AX17" i="2"/>
  <c r="AZ16" i="2"/>
  <c r="AY16" i="2"/>
  <c r="AX16" i="2"/>
  <c r="AZ15" i="2"/>
  <c r="AY15" i="2"/>
  <c r="AX15" i="2"/>
  <c r="AZ14" i="2"/>
  <c r="AY14" i="2"/>
  <c r="AX14" i="2"/>
  <c r="AZ13" i="2"/>
  <c r="AY13" i="2"/>
  <c r="AX13" i="2"/>
  <c r="AZ12" i="2"/>
  <c r="AY12" i="2"/>
  <c r="AX12" i="2"/>
  <c r="AZ11" i="2"/>
  <c r="AY11" i="2"/>
  <c r="AX11" i="2"/>
  <c r="AZ10" i="2"/>
  <c r="AY10" i="2"/>
  <c r="AX10" i="2"/>
  <c r="AZ9" i="2"/>
  <c r="AY9" i="2"/>
  <c r="AX9" i="2"/>
  <c r="AZ8" i="2"/>
  <c r="AY8" i="2"/>
  <c r="AX8" i="2"/>
  <c r="AZ7" i="2"/>
  <c r="AY7" i="2"/>
  <c r="AX7" i="2"/>
  <c r="AZ6" i="2"/>
  <c r="AY6" i="2"/>
  <c r="AX6" i="2"/>
  <c r="AZ5" i="2"/>
  <c r="AY5" i="2"/>
  <c r="AX5" i="2"/>
  <c r="AZ4" i="2"/>
  <c r="AY4" i="2"/>
  <c r="AX4" i="2"/>
  <c r="BQ91" i="2" l="1"/>
  <c r="BP91" i="2"/>
  <c r="BO91" i="2"/>
  <c r="BN91" i="2"/>
  <c r="BM91" i="2"/>
  <c r="BL91" i="2"/>
  <c r="BK91" i="2"/>
  <c r="BJ91" i="2"/>
  <c r="BI91" i="2"/>
  <c r="BH91" i="2"/>
  <c r="BG91" i="2"/>
  <c r="BF91" i="2"/>
  <c r="BE91" i="2"/>
  <c r="BD91" i="2"/>
  <c r="BC91" i="2"/>
  <c r="BB91" i="2"/>
  <c r="BA91" i="2"/>
  <c r="AR91" i="2"/>
  <c r="AJ91" i="2"/>
  <c r="AE91" i="2"/>
  <c r="AA91" i="2"/>
  <c r="W91" i="2"/>
  <c r="R91" i="2"/>
  <c r="N91" i="2"/>
  <c r="J91" i="2"/>
  <c r="BQ90" i="2"/>
  <c r="BP90" i="2"/>
  <c r="BO90" i="2"/>
  <c r="BN90" i="2"/>
  <c r="BM90" i="2"/>
  <c r="BL90" i="2"/>
  <c r="BK90" i="2"/>
  <c r="BJ90" i="2"/>
  <c r="BI90" i="2"/>
  <c r="BH90" i="2"/>
  <c r="BG90" i="2"/>
  <c r="BF90" i="2"/>
  <c r="BE90" i="2"/>
  <c r="BD90" i="2"/>
  <c r="BC90" i="2"/>
  <c r="BB90" i="2"/>
  <c r="BA90" i="2"/>
  <c r="AR90" i="2"/>
  <c r="AJ90" i="2"/>
  <c r="AE90" i="2"/>
  <c r="AA90" i="2"/>
  <c r="W90" i="2"/>
  <c r="R90" i="2"/>
  <c r="N90" i="2"/>
  <c r="J90" i="2"/>
  <c r="BQ89" i="2"/>
  <c r="BP89" i="2"/>
  <c r="BO89" i="2"/>
  <c r="BN89" i="2"/>
  <c r="BM89" i="2"/>
  <c r="BL89" i="2"/>
  <c r="BK89" i="2"/>
  <c r="BJ89" i="2"/>
  <c r="BI89" i="2"/>
  <c r="BH89" i="2"/>
  <c r="BG89" i="2"/>
  <c r="BF89" i="2"/>
  <c r="BE89" i="2"/>
  <c r="BD89" i="2"/>
  <c r="BC89" i="2"/>
  <c r="BB89" i="2"/>
  <c r="BA89" i="2"/>
  <c r="AR89" i="2"/>
  <c r="AJ89" i="2"/>
  <c r="AE89" i="2"/>
  <c r="AA89" i="2"/>
  <c r="W89" i="2"/>
  <c r="R89" i="2"/>
  <c r="N89" i="2"/>
  <c r="J89" i="2"/>
  <c r="BQ88" i="2"/>
  <c r="BP88" i="2"/>
  <c r="BO88" i="2"/>
  <c r="BN88" i="2"/>
  <c r="BM88" i="2"/>
  <c r="BL88" i="2"/>
  <c r="BK88" i="2"/>
  <c r="BJ88" i="2"/>
  <c r="BI88" i="2"/>
  <c r="BH88" i="2"/>
  <c r="BG88" i="2"/>
  <c r="BF88" i="2"/>
  <c r="BE88" i="2"/>
  <c r="BD88" i="2"/>
  <c r="BC88" i="2"/>
  <c r="BB88" i="2"/>
  <c r="BA88" i="2"/>
  <c r="AR88" i="2"/>
  <c r="AJ88" i="2"/>
  <c r="AE88" i="2"/>
  <c r="AA88" i="2"/>
  <c r="W88" i="2"/>
  <c r="R88" i="2"/>
  <c r="N88" i="2"/>
  <c r="J88" i="2"/>
  <c r="BQ87" i="2"/>
  <c r="BP87" i="2"/>
  <c r="BO87" i="2"/>
  <c r="BN87" i="2"/>
  <c r="BM87" i="2"/>
  <c r="BL87" i="2"/>
  <c r="BK87" i="2"/>
  <c r="BJ87" i="2"/>
  <c r="BI87" i="2"/>
  <c r="BH87" i="2"/>
  <c r="BG87" i="2"/>
  <c r="BF87" i="2"/>
  <c r="BE87" i="2"/>
  <c r="BD87" i="2"/>
  <c r="BC87" i="2"/>
  <c r="BB87" i="2"/>
  <c r="BA87" i="2"/>
  <c r="AR87" i="2"/>
  <c r="AJ87" i="2"/>
  <c r="AE87" i="2"/>
  <c r="AA87" i="2"/>
  <c r="W87" i="2"/>
  <c r="R87" i="2"/>
  <c r="N87" i="2"/>
  <c r="J87" i="2"/>
  <c r="BQ86" i="2"/>
  <c r="BP86" i="2"/>
  <c r="BO86" i="2"/>
  <c r="BN86" i="2"/>
  <c r="BM86" i="2"/>
  <c r="BL86" i="2"/>
  <c r="BK86" i="2"/>
  <c r="BJ86" i="2"/>
  <c r="BI86" i="2"/>
  <c r="BH86" i="2"/>
  <c r="BG86" i="2"/>
  <c r="BF86" i="2"/>
  <c r="BE86" i="2"/>
  <c r="BD86" i="2"/>
  <c r="BC86" i="2"/>
  <c r="BB86" i="2"/>
  <c r="BA86" i="2"/>
  <c r="AR86" i="2"/>
  <c r="AJ86" i="2"/>
  <c r="AE86" i="2"/>
  <c r="AA86" i="2"/>
  <c r="W86" i="2"/>
  <c r="R86" i="2"/>
  <c r="N86" i="2"/>
  <c r="J86" i="2"/>
  <c r="BQ85" i="2"/>
  <c r="BP85" i="2"/>
  <c r="BO85" i="2"/>
  <c r="BN85" i="2"/>
  <c r="BM85" i="2"/>
  <c r="BL85" i="2"/>
  <c r="BK85" i="2"/>
  <c r="BJ85" i="2"/>
  <c r="BI85" i="2"/>
  <c r="BH85" i="2"/>
  <c r="BG85" i="2"/>
  <c r="BF85" i="2"/>
  <c r="BE85" i="2"/>
  <c r="BD85" i="2"/>
  <c r="BC85" i="2"/>
  <c r="BB85" i="2"/>
  <c r="BA85" i="2"/>
  <c r="AR85" i="2"/>
  <c r="AJ85" i="2"/>
  <c r="AE85" i="2"/>
  <c r="AA85" i="2"/>
  <c r="W85" i="2"/>
  <c r="R85" i="2"/>
  <c r="N85" i="2"/>
  <c r="J85" i="2"/>
  <c r="BQ84" i="2"/>
  <c r="BP84" i="2"/>
  <c r="BO84" i="2"/>
  <c r="BN84" i="2"/>
  <c r="BM84" i="2"/>
  <c r="BL84" i="2"/>
  <c r="BK84" i="2"/>
  <c r="BJ84" i="2"/>
  <c r="BI84" i="2"/>
  <c r="BH84" i="2"/>
  <c r="BG84" i="2"/>
  <c r="BF84" i="2"/>
  <c r="BE84" i="2"/>
  <c r="BD84" i="2"/>
  <c r="BC84" i="2"/>
  <c r="BB84" i="2"/>
  <c r="BA84" i="2"/>
  <c r="AR84" i="2"/>
  <c r="AJ84" i="2"/>
  <c r="AE84" i="2"/>
  <c r="AA84" i="2"/>
  <c r="W84" i="2"/>
  <c r="R84" i="2"/>
  <c r="N84" i="2"/>
  <c r="J84" i="2"/>
  <c r="BQ83" i="2"/>
  <c r="BP83" i="2"/>
  <c r="BO83" i="2"/>
  <c r="BN83" i="2"/>
  <c r="BM83" i="2"/>
  <c r="BL83" i="2"/>
  <c r="BK83" i="2"/>
  <c r="BJ83" i="2"/>
  <c r="BI83" i="2"/>
  <c r="BH83" i="2"/>
  <c r="BG83" i="2"/>
  <c r="BF83" i="2"/>
  <c r="BE83" i="2"/>
  <c r="BD83" i="2"/>
  <c r="BC83" i="2"/>
  <c r="BB83" i="2"/>
  <c r="BA83" i="2"/>
  <c r="AR83" i="2"/>
  <c r="AJ83" i="2"/>
  <c r="AE83" i="2"/>
  <c r="AA83" i="2"/>
  <c r="W83" i="2"/>
  <c r="R83" i="2"/>
  <c r="N83" i="2"/>
  <c r="J83" i="2"/>
  <c r="AE78" i="2" l="1"/>
  <c r="B197" i="26" l="1"/>
  <c r="L17" i="25"/>
  <c r="C17" i="25"/>
  <c r="C14" i="25"/>
  <c r="C15" i="25"/>
  <c r="L13" i="25"/>
  <c r="C16" i="25"/>
  <c r="C12" i="25"/>
  <c r="C13" i="25"/>
  <c r="C11" i="25"/>
  <c r="U197" i="26"/>
  <c r="B198" i="26" l="1"/>
  <c r="B199" i="26" s="1"/>
  <c r="BA4" i="2"/>
  <c r="BB4" i="2"/>
  <c r="BC4" i="2"/>
  <c r="BD4" i="2"/>
  <c r="BE4" i="2"/>
  <c r="BF4" i="2"/>
  <c r="BG4" i="2"/>
  <c r="BH4" i="2"/>
  <c r="BI4" i="2"/>
  <c r="BJ4" i="2"/>
  <c r="BK4" i="2"/>
  <c r="BL4" i="2"/>
  <c r="BM4" i="2"/>
  <c r="BN4" i="2"/>
  <c r="BO4" i="2"/>
  <c r="BP4" i="2"/>
  <c r="BQ4" i="2"/>
  <c r="BA5" i="2"/>
  <c r="BB5" i="2"/>
  <c r="BC5" i="2"/>
  <c r="BD5" i="2"/>
  <c r="BE5" i="2"/>
  <c r="BF5" i="2"/>
  <c r="BG5" i="2"/>
  <c r="BH5" i="2"/>
  <c r="BI5" i="2"/>
  <c r="BJ5" i="2"/>
  <c r="BK5" i="2"/>
  <c r="BL5" i="2"/>
  <c r="BM5" i="2"/>
  <c r="BN5" i="2"/>
  <c r="BO5" i="2"/>
  <c r="BP5" i="2"/>
  <c r="BQ5" i="2"/>
  <c r="BA6" i="2"/>
  <c r="BB6" i="2"/>
  <c r="BC6" i="2"/>
  <c r="BD6" i="2"/>
  <c r="BE6" i="2"/>
  <c r="BF6" i="2"/>
  <c r="BG6" i="2"/>
  <c r="BH6" i="2"/>
  <c r="BI6" i="2"/>
  <c r="BJ6" i="2"/>
  <c r="BK6" i="2"/>
  <c r="BL6" i="2"/>
  <c r="BM6" i="2"/>
  <c r="BN6" i="2"/>
  <c r="BO6" i="2"/>
  <c r="BP6" i="2"/>
  <c r="BQ6" i="2"/>
  <c r="BA7" i="2"/>
  <c r="BB7" i="2"/>
  <c r="BC7" i="2"/>
  <c r="BD7" i="2"/>
  <c r="BE7" i="2"/>
  <c r="BF7" i="2"/>
  <c r="BG7" i="2"/>
  <c r="BH7" i="2"/>
  <c r="BI7" i="2"/>
  <c r="BJ7" i="2"/>
  <c r="BK7" i="2"/>
  <c r="BL7" i="2"/>
  <c r="BM7" i="2"/>
  <c r="BN7" i="2"/>
  <c r="BO7" i="2"/>
  <c r="BP7" i="2"/>
  <c r="BQ7" i="2"/>
  <c r="BA8" i="2"/>
  <c r="BB8" i="2"/>
  <c r="BC8" i="2"/>
  <c r="BD8" i="2"/>
  <c r="BE8" i="2"/>
  <c r="BF8" i="2"/>
  <c r="BG8" i="2"/>
  <c r="BH8" i="2"/>
  <c r="BI8" i="2"/>
  <c r="BJ8" i="2"/>
  <c r="BK8" i="2"/>
  <c r="BL8" i="2"/>
  <c r="BM8" i="2"/>
  <c r="BN8" i="2"/>
  <c r="BO8" i="2"/>
  <c r="BP8" i="2"/>
  <c r="BQ8" i="2"/>
  <c r="BA9" i="2"/>
  <c r="BB9" i="2"/>
  <c r="BC9" i="2"/>
  <c r="BD9" i="2"/>
  <c r="BE9" i="2"/>
  <c r="BF9" i="2"/>
  <c r="BG9" i="2"/>
  <c r="BH9" i="2"/>
  <c r="BI9" i="2"/>
  <c r="BJ9" i="2"/>
  <c r="BK9" i="2"/>
  <c r="BL9" i="2"/>
  <c r="BM9" i="2"/>
  <c r="BN9" i="2"/>
  <c r="BO9" i="2"/>
  <c r="BP9" i="2"/>
  <c r="BQ9" i="2"/>
  <c r="BA10" i="2"/>
  <c r="BB10" i="2"/>
  <c r="BC10" i="2"/>
  <c r="BD10" i="2"/>
  <c r="BE10" i="2"/>
  <c r="BF10" i="2"/>
  <c r="BG10" i="2"/>
  <c r="BH10" i="2"/>
  <c r="BI10" i="2"/>
  <c r="BJ10" i="2"/>
  <c r="BK10" i="2"/>
  <c r="BL10" i="2"/>
  <c r="BM10" i="2"/>
  <c r="BN10" i="2"/>
  <c r="BO10" i="2"/>
  <c r="BP10" i="2"/>
  <c r="BQ10" i="2"/>
  <c r="BA11" i="2"/>
  <c r="BB11" i="2"/>
  <c r="BC11" i="2"/>
  <c r="BD11" i="2"/>
  <c r="BE11" i="2"/>
  <c r="BF11" i="2"/>
  <c r="BG11" i="2"/>
  <c r="BH11" i="2"/>
  <c r="BI11" i="2"/>
  <c r="BJ11" i="2"/>
  <c r="BK11" i="2"/>
  <c r="BL11" i="2"/>
  <c r="BM11" i="2"/>
  <c r="BN11" i="2"/>
  <c r="BO11" i="2"/>
  <c r="BP11" i="2"/>
  <c r="BQ11" i="2"/>
  <c r="BA12" i="2"/>
  <c r="BB12" i="2"/>
  <c r="BC12" i="2"/>
  <c r="BD12" i="2"/>
  <c r="BE12" i="2"/>
  <c r="BF12" i="2"/>
  <c r="BG12" i="2"/>
  <c r="BH12" i="2"/>
  <c r="BI12" i="2"/>
  <c r="BJ12" i="2"/>
  <c r="BK12" i="2"/>
  <c r="BL12" i="2"/>
  <c r="BM12" i="2"/>
  <c r="BN12" i="2"/>
  <c r="BO12" i="2"/>
  <c r="BP12" i="2"/>
  <c r="BQ12" i="2"/>
  <c r="BA13" i="2"/>
  <c r="BB13" i="2"/>
  <c r="BC13" i="2"/>
  <c r="BD13" i="2"/>
  <c r="BE13" i="2"/>
  <c r="BF13" i="2"/>
  <c r="BG13" i="2"/>
  <c r="BH13" i="2"/>
  <c r="BI13" i="2"/>
  <c r="BJ13" i="2"/>
  <c r="BK13" i="2"/>
  <c r="BL13" i="2"/>
  <c r="BM13" i="2"/>
  <c r="BN13" i="2"/>
  <c r="BO13" i="2"/>
  <c r="BP13" i="2"/>
  <c r="BQ13" i="2"/>
  <c r="BA14" i="2"/>
  <c r="BB14" i="2"/>
  <c r="BC14" i="2"/>
  <c r="BD14" i="2"/>
  <c r="BE14" i="2"/>
  <c r="BF14" i="2"/>
  <c r="BG14" i="2"/>
  <c r="BH14" i="2"/>
  <c r="BI14" i="2"/>
  <c r="BJ14" i="2"/>
  <c r="BK14" i="2"/>
  <c r="BL14" i="2"/>
  <c r="BM14" i="2"/>
  <c r="BN14" i="2"/>
  <c r="BO14" i="2"/>
  <c r="BP14" i="2"/>
  <c r="BQ14" i="2"/>
  <c r="BA15" i="2"/>
  <c r="BB15" i="2"/>
  <c r="BC15" i="2"/>
  <c r="BD15" i="2"/>
  <c r="BE15" i="2"/>
  <c r="BF15" i="2"/>
  <c r="BG15" i="2"/>
  <c r="BH15" i="2"/>
  <c r="BI15" i="2"/>
  <c r="BJ15" i="2"/>
  <c r="BK15" i="2"/>
  <c r="BL15" i="2"/>
  <c r="BM15" i="2"/>
  <c r="BN15" i="2"/>
  <c r="BO15" i="2"/>
  <c r="BP15" i="2"/>
  <c r="BQ15" i="2"/>
  <c r="BA16" i="2"/>
  <c r="BB16" i="2"/>
  <c r="BC16" i="2"/>
  <c r="BD16" i="2"/>
  <c r="BE16" i="2"/>
  <c r="BF16" i="2"/>
  <c r="BG16" i="2"/>
  <c r="BH16" i="2"/>
  <c r="BI16" i="2"/>
  <c r="BJ16" i="2"/>
  <c r="BK16" i="2"/>
  <c r="BL16" i="2"/>
  <c r="BM16" i="2"/>
  <c r="BN16" i="2"/>
  <c r="BO16" i="2"/>
  <c r="BP16" i="2"/>
  <c r="BQ16" i="2"/>
  <c r="BA17" i="2"/>
  <c r="BB17" i="2"/>
  <c r="BC17" i="2"/>
  <c r="BD17" i="2"/>
  <c r="BE17" i="2"/>
  <c r="BF17" i="2"/>
  <c r="BG17" i="2"/>
  <c r="BH17" i="2"/>
  <c r="BI17" i="2"/>
  <c r="BJ17" i="2"/>
  <c r="BK17" i="2"/>
  <c r="BL17" i="2"/>
  <c r="BM17" i="2"/>
  <c r="BN17" i="2"/>
  <c r="BO17" i="2"/>
  <c r="BP17" i="2"/>
  <c r="BQ17" i="2"/>
  <c r="BA18" i="2"/>
  <c r="BB18" i="2"/>
  <c r="BC18" i="2"/>
  <c r="BD18" i="2"/>
  <c r="BE18" i="2"/>
  <c r="BF18" i="2"/>
  <c r="BG18" i="2"/>
  <c r="BH18" i="2"/>
  <c r="BI18" i="2"/>
  <c r="BJ18" i="2"/>
  <c r="BK18" i="2"/>
  <c r="BL18" i="2"/>
  <c r="BM18" i="2"/>
  <c r="BN18" i="2"/>
  <c r="BO18" i="2"/>
  <c r="BP18" i="2"/>
  <c r="BQ18" i="2"/>
  <c r="BA19" i="2"/>
  <c r="BB19" i="2"/>
  <c r="BC19" i="2"/>
  <c r="BD19" i="2"/>
  <c r="BE19" i="2"/>
  <c r="BF19" i="2"/>
  <c r="BG19" i="2"/>
  <c r="BH19" i="2"/>
  <c r="BI19" i="2"/>
  <c r="BJ19" i="2"/>
  <c r="BK19" i="2"/>
  <c r="BL19" i="2"/>
  <c r="BM19" i="2"/>
  <c r="BN19" i="2"/>
  <c r="BO19" i="2"/>
  <c r="BP19" i="2"/>
  <c r="BQ19" i="2"/>
  <c r="BA20" i="2"/>
  <c r="BB20" i="2"/>
  <c r="BC20" i="2"/>
  <c r="BD20" i="2"/>
  <c r="BE20" i="2"/>
  <c r="BF20" i="2"/>
  <c r="BG20" i="2"/>
  <c r="BH20" i="2"/>
  <c r="BI20" i="2"/>
  <c r="BJ20" i="2"/>
  <c r="BK20" i="2"/>
  <c r="BL20" i="2"/>
  <c r="BM20" i="2"/>
  <c r="BN20" i="2"/>
  <c r="BO20" i="2"/>
  <c r="BP20" i="2"/>
  <c r="BQ20" i="2"/>
  <c r="BA21" i="2"/>
  <c r="BB21" i="2"/>
  <c r="BC21" i="2"/>
  <c r="BD21" i="2"/>
  <c r="BE21" i="2"/>
  <c r="BF21" i="2"/>
  <c r="BG21" i="2"/>
  <c r="BH21" i="2"/>
  <c r="BI21" i="2"/>
  <c r="BJ21" i="2"/>
  <c r="BK21" i="2"/>
  <c r="BL21" i="2"/>
  <c r="BM21" i="2"/>
  <c r="BN21" i="2"/>
  <c r="BO21" i="2"/>
  <c r="BP21" i="2"/>
  <c r="BQ21" i="2"/>
  <c r="BA22" i="2"/>
  <c r="BB22" i="2"/>
  <c r="BC22" i="2"/>
  <c r="BD22" i="2"/>
  <c r="BE22" i="2"/>
  <c r="BF22" i="2"/>
  <c r="BG22" i="2"/>
  <c r="BH22" i="2"/>
  <c r="BI22" i="2"/>
  <c r="BJ22" i="2"/>
  <c r="BK22" i="2"/>
  <c r="BL22" i="2"/>
  <c r="BM22" i="2"/>
  <c r="BN22" i="2"/>
  <c r="BO22" i="2"/>
  <c r="BP22" i="2"/>
  <c r="BQ22" i="2"/>
  <c r="BA23" i="2"/>
  <c r="BB23" i="2"/>
  <c r="BC23" i="2"/>
  <c r="BD23" i="2"/>
  <c r="BE23" i="2"/>
  <c r="BF23" i="2"/>
  <c r="BG23" i="2"/>
  <c r="BH23" i="2"/>
  <c r="BI23" i="2"/>
  <c r="BJ23" i="2"/>
  <c r="BK23" i="2"/>
  <c r="BL23" i="2"/>
  <c r="BM23" i="2"/>
  <c r="BN23" i="2"/>
  <c r="BO23" i="2"/>
  <c r="BP23" i="2"/>
  <c r="BQ23" i="2"/>
  <c r="BA24" i="2"/>
  <c r="BB24" i="2"/>
  <c r="BC24" i="2"/>
  <c r="BD24" i="2"/>
  <c r="BE24" i="2"/>
  <c r="BF24" i="2"/>
  <c r="BG24" i="2"/>
  <c r="BH24" i="2"/>
  <c r="BI24" i="2"/>
  <c r="BJ24" i="2"/>
  <c r="BK24" i="2"/>
  <c r="BL24" i="2"/>
  <c r="BM24" i="2"/>
  <c r="BN24" i="2"/>
  <c r="BO24" i="2"/>
  <c r="BP24" i="2"/>
  <c r="BQ24" i="2"/>
  <c r="BA25" i="2"/>
  <c r="BB25" i="2"/>
  <c r="BC25" i="2"/>
  <c r="BD25" i="2"/>
  <c r="BE25" i="2"/>
  <c r="BF25" i="2"/>
  <c r="BG25" i="2"/>
  <c r="BH25" i="2"/>
  <c r="BI25" i="2"/>
  <c r="BJ25" i="2"/>
  <c r="BK25" i="2"/>
  <c r="BL25" i="2"/>
  <c r="BM25" i="2"/>
  <c r="BN25" i="2"/>
  <c r="BO25" i="2"/>
  <c r="BP25" i="2"/>
  <c r="BQ25" i="2"/>
  <c r="BA26" i="2"/>
  <c r="BB26" i="2"/>
  <c r="BC26" i="2"/>
  <c r="BD26" i="2"/>
  <c r="BE26" i="2"/>
  <c r="BF26" i="2"/>
  <c r="BG26" i="2"/>
  <c r="BH26" i="2"/>
  <c r="BI26" i="2"/>
  <c r="BJ26" i="2"/>
  <c r="BK26" i="2"/>
  <c r="BL26" i="2"/>
  <c r="BM26" i="2"/>
  <c r="BN26" i="2"/>
  <c r="BO26" i="2"/>
  <c r="BP26" i="2"/>
  <c r="BQ26" i="2"/>
  <c r="BA27" i="2"/>
  <c r="BB27" i="2"/>
  <c r="BC27" i="2"/>
  <c r="BD27" i="2"/>
  <c r="BE27" i="2"/>
  <c r="BF27" i="2"/>
  <c r="BG27" i="2"/>
  <c r="BH27" i="2"/>
  <c r="BI27" i="2"/>
  <c r="BJ27" i="2"/>
  <c r="BK27" i="2"/>
  <c r="BL27" i="2"/>
  <c r="BM27" i="2"/>
  <c r="BN27" i="2"/>
  <c r="BO27" i="2"/>
  <c r="BP27" i="2"/>
  <c r="BQ27" i="2"/>
  <c r="BA28" i="2"/>
  <c r="BB28" i="2"/>
  <c r="BC28" i="2"/>
  <c r="BD28" i="2"/>
  <c r="BE28" i="2"/>
  <c r="BF28" i="2"/>
  <c r="BG28" i="2"/>
  <c r="BH28" i="2"/>
  <c r="BI28" i="2"/>
  <c r="BJ28" i="2"/>
  <c r="BK28" i="2"/>
  <c r="BL28" i="2"/>
  <c r="BM28" i="2"/>
  <c r="BN28" i="2"/>
  <c r="BO28" i="2"/>
  <c r="BP28" i="2"/>
  <c r="BQ28" i="2"/>
  <c r="BA29" i="2"/>
  <c r="BB29" i="2"/>
  <c r="BC29" i="2"/>
  <c r="BD29" i="2"/>
  <c r="BE29" i="2"/>
  <c r="BF29" i="2"/>
  <c r="BG29" i="2"/>
  <c r="BH29" i="2"/>
  <c r="BI29" i="2"/>
  <c r="BJ29" i="2"/>
  <c r="BK29" i="2"/>
  <c r="BL29" i="2"/>
  <c r="BM29" i="2"/>
  <c r="BN29" i="2"/>
  <c r="BO29" i="2"/>
  <c r="BP29" i="2"/>
  <c r="BQ29" i="2"/>
  <c r="BA30" i="2"/>
  <c r="BB30" i="2"/>
  <c r="BC30" i="2"/>
  <c r="BD30" i="2"/>
  <c r="BE30" i="2"/>
  <c r="BF30" i="2"/>
  <c r="BG30" i="2"/>
  <c r="BH30" i="2"/>
  <c r="BI30" i="2"/>
  <c r="BJ30" i="2"/>
  <c r="BK30" i="2"/>
  <c r="BL30" i="2"/>
  <c r="BM30" i="2"/>
  <c r="BN30" i="2"/>
  <c r="BO30" i="2"/>
  <c r="BP30" i="2"/>
  <c r="BQ30" i="2"/>
  <c r="BA31" i="2"/>
  <c r="BB31" i="2"/>
  <c r="BC31" i="2"/>
  <c r="BD31" i="2"/>
  <c r="BE31" i="2"/>
  <c r="BF31" i="2"/>
  <c r="BG31" i="2"/>
  <c r="BH31" i="2"/>
  <c r="BI31" i="2"/>
  <c r="BJ31" i="2"/>
  <c r="BK31" i="2"/>
  <c r="BL31" i="2"/>
  <c r="BM31" i="2"/>
  <c r="BN31" i="2"/>
  <c r="BO31" i="2"/>
  <c r="BP31" i="2"/>
  <c r="BQ31" i="2"/>
  <c r="BA32" i="2"/>
  <c r="BB32" i="2"/>
  <c r="BC32" i="2"/>
  <c r="BD32" i="2"/>
  <c r="BE32" i="2"/>
  <c r="BF32" i="2"/>
  <c r="BG32" i="2"/>
  <c r="BH32" i="2"/>
  <c r="BI32" i="2"/>
  <c r="BJ32" i="2"/>
  <c r="BK32" i="2"/>
  <c r="BL32" i="2"/>
  <c r="BM32" i="2"/>
  <c r="BN32" i="2"/>
  <c r="BO32" i="2"/>
  <c r="BP32" i="2"/>
  <c r="BQ32" i="2"/>
  <c r="BA33" i="2"/>
  <c r="BB33" i="2"/>
  <c r="BC33" i="2"/>
  <c r="BD33" i="2"/>
  <c r="BE33" i="2"/>
  <c r="BF33" i="2"/>
  <c r="BG33" i="2"/>
  <c r="BH33" i="2"/>
  <c r="BI33" i="2"/>
  <c r="BJ33" i="2"/>
  <c r="BK33" i="2"/>
  <c r="BL33" i="2"/>
  <c r="BM33" i="2"/>
  <c r="BN33" i="2"/>
  <c r="BO33" i="2"/>
  <c r="BP33" i="2"/>
  <c r="BQ33" i="2"/>
  <c r="BA34" i="2"/>
  <c r="BB34" i="2"/>
  <c r="BC34" i="2"/>
  <c r="BD34" i="2"/>
  <c r="BE34" i="2"/>
  <c r="BF34" i="2"/>
  <c r="BG34" i="2"/>
  <c r="BH34" i="2"/>
  <c r="BI34" i="2"/>
  <c r="BJ34" i="2"/>
  <c r="BK34" i="2"/>
  <c r="BL34" i="2"/>
  <c r="BM34" i="2"/>
  <c r="BN34" i="2"/>
  <c r="BO34" i="2"/>
  <c r="BP34" i="2"/>
  <c r="BQ34" i="2"/>
  <c r="BA35" i="2"/>
  <c r="BB35" i="2"/>
  <c r="BC35" i="2"/>
  <c r="BD35" i="2"/>
  <c r="BE35" i="2"/>
  <c r="BF35" i="2"/>
  <c r="BG35" i="2"/>
  <c r="BH35" i="2"/>
  <c r="BI35" i="2"/>
  <c r="BJ35" i="2"/>
  <c r="BK35" i="2"/>
  <c r="BL35" i="2"/>
  <c r="BM35" i="2"/>
  <c r="BN35" i="2"/>
  <c r="BO35" i="2"/>
  <c r="BP35" i="2"/>
  <c r="BQ35" i="2"/>
  <c r="BA36" i="2"/>
  <c r="BB36" i="2"/>
  <c r="BC36" i="2"/>
  <c r="BD36" i="2"/>
  <c r="BE36" i="2"/>
  <c r="BF36" i="2"/>
  <c r="BG36" i="2"/>
  <c r="BH36" i="2"/>
  <c r="BI36" i="2"/>
  <c r="BJ36" i="2"/>
  <c r="BK36" i="2"/>
  <c r="BL36" i="2"/>
  <c r="BM36" i="2"/>
  <c r="BN36" i="2"/>
  <c r="BO36" i="2"/>
  <c r="BP36" i="2"/>
  <c r="BQ36" i="2"/>
  <c r="BA37" i="2"/>
  <c r="BB37" i="2"/>
  <c r="BC37" i="2"/>
  <c r="BD37" i="2"/>
  <c r="BE37" i="2"/>
  <c r="BF37" i="2"/>
  <c r="BG37" i="2"/>
  <c r="BH37" i="2"/>
  <c r="BI37" i="2"/>
  <c r="BJ37" i="2"/>
  <c r="BK37" i="2"/>
  <c r="BL37" i="2"/>
  <c r="BM37" i="2"/>
  <c r="BN37" i="2"/>
  <c r="BO37" i="2"/>
  <c r="BP37" i="2"/>
  <c r="BQ37" i="2"/>
  <c r="BA38" i="2"/>
  <c r="BB38" i="2"/>
  <c r="BC38" i="2"/>
  <c r="BD38" i="2"/>
  <c r="BE38" i="2"/>
  <c r="BF38" i="2"/>
  <c r="BG38" i="2"/>
  <c r="BH38" i="2"/>
  <c r="BI38" i="2"/>
  <c r="BJ38" i="2"/>
  <c r="BK38" i="2"/>
  <c r="BL38" i="2"/>
  <c r="BM38" i="2"/>
  <c r="BN38" i="2"/>
  <c r="BO38" i="2"/>
  <c r="BP38" i="2"/>
  <c r="BQ38" i="2"/>
  <c r="BA39" i="2"/>
  <c r="BB39" i="2"/>
  <c r="BC39" i="2"/>
  <c r="BD39" i="2"/>
  <c r="BE39" i="2"/>
  <c r="BF39" i="2"/>
  <c r="BG39" i="2"/>
  <c r="BH39" i="2"/>
  <c r="BI39" i="2"/>
  <c r="BJ39" i="2"/>
  <c r="BK39" i="2"/>
  <c r="BL39" i="2"/>
  <c r="BM39" i="2"/>
  <c r="BN39" i="2"/>
  <c r="BO39" i="2"/>
  <c r="BP39" i="2"/>
  <c r="BQ39" i="2"/>
  <c r="BA40" i="2"/>
  <c r="BB40" i="2"/>
  <c r="BC40" i="2"/>
  <c r="BD40" i="2"/>
  <c r="BE40" i="2"/>
  <c r="BF40" i="2"/>
  <c r="BG40" i="2"/>
  <c r="BH40" i="2"/>
  <c r="BI40" i="2"/>
  <c r="BJ40" i="2"/>
  <c r="BK40" i="2"/>
  <c r="BL40" i="2"/>
  <c r="BM40" i="2"/>
  <c r="BN40" i="2"/>
  <c r="BO40" i="2"/>
  <c r="BP40" i="2"/>
  <c r="BQ40" i="2"/>
  <c r="BA41" i="2"/>
  <c r="BB41" i="2"/>
  <c r="BC41" i="2"/>
  <c r="BD41" i="2"/>
  <c r="BE41" i="2"/>
  <c r="BF41" i="2"/>
  <c r="BG41" i="2"/>
  <c r="BH41" i="2"/>
  <c r="BI41" i="2"/>
  <c r="BJ41" i="2"/>
  <c r="BK41" i="2"/>
  <c r="BL41" i="2"/>
  <c r="BM41" i="2"/>
  <c r="BN41" i="2"/>
  <c r="BO41" i="2"/>
  <c r="BP41" i="2"/>
  <c r="BQ41" i="2"/>
  <c r="BA42" i="2"/>
  <c r="BB42" i="2"/>
  <c r="BC42" i="2"/>
  <c r="BD42" i="2"/>
  <c r="BE42" i="2"/>
  <c r="BF42" i="2"/>
  <c r="BG42" i="2"/>
  <c r="BH42" i="2"/>
  <c r="BI42" i="2"/>
  <c r="BJ42" i="2"/>
  <c r="BK42" i="2"/>
  <c r="BL42" i="2"/>
  <c r="BM42" i="2"/>
  <c r="BN42" i="2"/>
  <c r="BO42" i="2"/>
  <c r="BP42" i="2"/>
  <c r="BQ42" i="2"/>
  <c r="BA43" i="2"/>
  <c r="BB43" i="2"/>
  <c r="BC43" i="2"/>
  <c r="BD43" i="2"/>
  <c r="BE43" i="2"/>
  <c r="BF43" i="2"/>
  <c r="BG43" i="2"/>
  <c r="BH43" i="2"/>
  <c r="BI43" i="2"/>
  <c r="BJ43" i="2"/>
  <c r="BK43" i="2"/>
  <c r="BL43" i="2"/>
  <c r="BM43" i="2"/>
  <c r="BN43" i="2"/>
  <c r="BO43" i="2"/>
  <c r="BP43" i="2"/>
  <c r="BQ43" i="2"/>
  <c r="BA44" i="2"/>
  <c r="BB44" i="2"/>
  <c r="BC44" i="2"/>
  <c r="BD44" i="2"/>
  <c r="BE44" i="2"/>
  <c r="BF44" i="2"/>
  <c r="BG44" i="2"/>
  <c r="BH44" i="2"/>
  <c r="BI44" i="2"/>
  <c r="BJ44" i="2"/>
  <c r="BK44" i="2"/>
  <c r="BL44" i="2"/>
  <c r="BM44" i="2"/>
  <c r="BN44" i="2"/>
  <c r="BO44" i="2"/>
  <c r="BP44" i="2"/>
  <c r="BQ44" i="2"/>
  <c r="BA45" i="2"/>
  <c r="BB45" i="2"/>
  <c r="BC45" i="2"/>
  <c r="BD45" i="2"/>
  <c r="BE45" i="2"/>
  <c r="BF45" i="2"/>
  <c r="BG45" i="2"/>
  <c r="BH45" i="2"/>
  <c r="BI45" i="2"/>
  <c r="BJ45" i="2"/>
  <c r="BK45" i="2"/>
  <c r="BL45" i="2"/>
  <c r="BM45" i="2"/>
  <c r="BN45" i="2"/>
  <c r="BO45" i="2"/>
  <c r="BP45" i="2"/>
  <c r="BQ45" i="2"/>
  <c r="BA46" i="2"/>
  <c r="BB46" i="2"/>
  <c r="BC46" i="2"/>
  <c r="BD46" i="2"/>
  <c r="BE46" i="2"/>
  <c r="BF46" i="2"/>
  <c r="BG46" i="2"/>
  <c r="BH46" i="2"/>
  <c r="BI46" i="2"/>
  <c r="BJ46" i="2"/>
  <c r="BK46" i="2"/>
  <c r="BL46" i="2"/>
  <c r="BM46" i="2"/>
  <c r="BN46" i="2"/>
  <c r="BO46" i="2"/>
  <c r="BP46" i="2"/>
  <c r="BQ46" i="2"/>
  <c r="BA47" i="2"/>
  <c r="BB47" i="2"/>
  <c r="BC47" i="2"/>
  <c r="BD47" i="2"/>
  <c r="BE47" i="2"/>
  <c r="BF47" i="2"/>
  <c r="BG47" i="2"/>
  <c r="BH47" i="2"/>
  <c r="BI47" i="2"/>
  <c r="BJ47" i="2"/>
  <c r="BK47" i="2"/>
  <c r="BL47" i="2"/>
  <c r="BM47" i="2"/>
  <c r="BN47" i="2"/>
  <c r="BO47" i="2"/>
  <c r="BP47" i="2"/>
  <c r="BQ47" i="2"/>
  <c r="BA48" i="2"/>
  <c r="BB48" i="2"/>
  <c r="BC48" i="2"/>
  <c r="BD48" i="2"/>
  <c r="BE48" i="2"/>
  <c r="BF48" i="2"/>
  <c r="BG48" i="2"/>
  <c r="BH48" i="2"/>
  <c r="BI48" i="2"/>
  <c r="BJ48" i="2"/>
  <c r="BK48" i="2"/>
  <c r="BL48" i="2"/>
  <c r="BM48" i="2"/>
  <c r="BN48" i="2"/>
  <c r="BO48" i="2"/>
  <c r="BP48" i="2"/>
  <c r="BQ48" i="2"/>
  <c r="BA49" i="2"/>
  <c r="BB49" i="2"/>
  <c r="BC49" i="2"/>
  <c r="BD49" i="2"/>
  <c r="BE49" i="2"/>
  <c r="BF49" i="2"/>
  <c r="BG49" i="2"/>
  <c r="BH49" i="2"/>
  <c r="BI49" i="2"/>
  <c r="BJ49" i="2"/>
  <c r="BK49" i="2"/>
  <c r="BL49" i="2"/>
  <c r="BM49" i="2"/>
  <c r="BN49" i="2"/>
  <c r="BO49" i="2"/>
  <c r="BP49" i="2"/>
  <c r="BQ49" i="2"/>
  <c r="BA50" i="2"/>
  <c r="BB50" i="2"/>
  <c r="BC50" i="2"/>
  <c r="BD50" i="2"/>
  <c r="BE50" i="2"/>
  <c r="BF50" i="2"/>
  <c r="BG50" i="2"/>
  <c r="BH50" i="2"/>
  <c r="BI50" i="2"/>
  <c r="BJ50" i="2"/>
  <c r="BK50" i="2"/>
  <c r="BL50" i="2"/>
  <c r="BM50" i="2"/>
  <c r="BN50" i="2"/>
  <c r="BO50" i="2"/>
  <c r="BP50" i="2"/>
  <c r="BQ50" i="2"/>
  <c r="BA51" i="2"/>
  <c r="BB51" i="2"/>
  <c r="BC51" i="2"/>
  <c r="BD51" i="2"/>
  <c r="BE51" i="2"/>
  <c r="BF51" i="2"/>
  <c r="BG51" i="2"/>
  <c r="BH51" i="2"/>
  <c r="BI51" i="2"/>
  <c r="BJ51" i="2"/>
  <c r="BK51" i="2"/>
  <c r="BL51" i="2"/>
  <c r="BM51" i="2"/>
  <c r="BN51" i="2"/>
  <c r="BO51" i="2"/>
  <c r="BP51" i="2"/>
  <c r="BQ51" i="2"/>
  <c r="BA52" i="2"/>
  <c r="BB52" i="2"/>
  <c r="BC52" i="2"/>
  <c r="BD52" i="2"/>
  <c r="BE52" i="2"/>
  <c r="BF52" i="2"/>
  <c r="BG52" i="2"/>
  <c r="BH52" i="2"/>
  <c r="BI52" i="2"/>
  <c r="BJ52" i="2"/>
  <c r="BK52" i="2"/>
  <c r="BL52" i="2"/>
  <c r="BM52" i="2"/>
  <c r="BN52" i="2"/>
  <c r="BO52" i="2"/>
  <c r="BP52" i="2"/>
  <c r="BQ52" i="2"/>
  <c r="BA53" i="2"/>
  <c r="BB53" i="2"/>
  <c r="BC53" i="2"/>
  <c r="BD53" i="2"/>
  <c r="BE53" i="2"/>
  <c r="BF53" i="2"/>
  <c r="BG53" i="2"/>
  <c r="BH53" i="2"/>
  <c r="BI53" i="2"/>
  <c r="BJ53" i="2"/>
  <c r="BK53" i="2"/>
  <c r="BL53" i="2"/>
  <c r="BM53" i="2"/>
  <c r="BN53" i="2"/>
  <c r="BO53" i="2"/>
  <c r="BP53" i="2"/>
  <c r="BQ53" i="2"/>
  <c r="BA54" i="2"/>
  <c r="BB54" i="2"/>
  <c r="BC54" i="2"/>
  <c r="BD54" i="2"/>
  <c r="BE54" i="2"/>
  <c r="BF54" i="2"/>
  <c r="BG54" i="2"/>
  <c r="BH54" i="2"/>
  <c r="BI54" i="2"/>
  <c r="BJ54" i="2"/>
  <c r="BK54" i="2"/>
  <c r="BL54" i="2"/>
  <c r="BM54" i="2"/>
  <c r="BN54" i="2"/>
  <c r="BO54" i="2"/>
  <c r="BP54" i="2"/>
  <c r="BQ54" i="2"/>
  <c r="BA55" i="2"/>
  <c r="BB55" i="2"/>
  <c r="BC55" i="2"/>
  <c r="BD55" i="2"/>
  <c r="BE55" i="2"/>
  <c r="BF55" i="2"/>
  <c r="BG55" i="2"/>
  <c r="BH55" i="2"/>
  <c r="BI55" i="2"/>
  <c r="BJ55" i="2"/>
  <c r="BK55" i="2"/>
  <c r="BL55" i="2"/>
  <c r="BM55" i="2"/>
  <c r="BN55" i="2"/>
  <c r="BO55" i="2"/>
  <c r="BP55" i="2"/>
  <c r="BQ55" i="2"/>
  <c r="BA56" i="2"/>
  <c r="BB56" i="2"/>
  <c r="BC56" i="2"/>
  <c r="BD56" i="2"/>
  <c r="BE56" i="2"/>
  <c r="BF56" i="2"/>
  <c r="BG56" i="2"/>
  <c r="BH56" i="2"/>
  <c r="BI56" i="2"/>
  <c r="BJ56" i="2"/>
  <c r="BK56" i="2"/>
  <c r="BL56" i="2"/>
  <c r="BM56" i="2"/>
  <c r="BN56" i="2"/>
  <c r="BO56" i="2"/>
  <c r="BP56" i="2"/>
  <c r="BQ56" i="2"/>
  <c r="BA57" i="2"/>
  <c r="BB57" i="2"/>
  <c r="BC57" i="2"/>
  <c r="BD57" i="2"/>
  <c r="BE57" i="2"/>
  <c r="BF57" i="2"/>
  <c r="BG57" i="2"/>
  <c r="BH57" i="2"/>
  <c r="BI57" i="2"/>
  <c r="BJ57" i="2"/>
  <c r="BK57" i="2"/>
  <c r="BL57" i="2"/>
  <c r="BM57" i="2"/>
  <c r="BN57" i="2"/>
  <c r="BO57" i="2"/>
  <c r="BP57" i="2"/>
  <c r="BQ57" i="2"/>
  <c r="BA58" i="2"/>
  <c r="BB58" i="2"/>
  <c r="BC58" i="2"/>
  <c r="BD58" i="2"/>
  <c r="BE58" i="2"/>
  <c r="BF58" i="2"/>
  <c r="BG58" i="2"/>
  <c r="BH58" i="2"/>
  <c r="BI58" i="2"/>
  <c r="BJ58" i="2"/>
  <c r="BK58" i="2"/>
  <c r="BL58" i="2"/>
  <c r="BM58" i="2"/>
  <c r="BN58" i="2"/>
  <c r="BO58" i="2"/>
  <c r="BP58" i="2"/>
  <c r="BQ58" i="2"/>
  <c r="BA59" i="2"/>
  <c r="BB59" i="2"/>
  <c r="BC59" i="2"/>
  <c r="BD59" i="2"/>
  <c r="BE59" i="2"/>
  <c r="BF59" i="2"/>
  <c r="BG59" i="2"/>
  <c r="BH59" i="2"/>
  <c r="BI59" i="2"/>
  <c r="BJ59" i="2"/>
  <c r="BK59" i="2"/>
  <c r="BL59" i="2"/>
  <c r="BM59" i="2"/>
  <c r="BN59" i="2"/>
  <c r="BO59" i="2"/>
  <c r="BP59" i="2"/>
  <c r="BQ59" i="2"/>
  <c r="BA60" i="2"/>
  <c r="BB60" i="2"/>
  <c r="BC60" i="2"/>
  <c r="BD60" i="2"/>
  <c r="BE60" i="2"/>
  <c r="BF60" i="2"/>
  <c r="BG60" i="2"/>
  <c r="BH60" i="2"/>
  <c r="BI60" i="2"/>
  <c r="BJ60" i="2"/>
  <c r="BK60" i="2"/>
  <c r="BL60" i="2"/>
  <c r="BM60" i="2"/>
  <c r="BN60" i="2"/>
  <c r="BO60" i="2"/>
  <c r="BP60" i="2"/>
  <c r="BQ60" i="2"/>
  <c r="BA61" i="2"/>
  <c r="BB61" i="2"/>
  <c r="BC61" i="2"/>
  <c r="BD61" i="2"/>
  <c r="BE61" i="2"/>
  <c r="BF61" i="2"/>
  <c r="BG61" i="2"/>
  <c r="BH61" i="2"/>
  <c r="BI61" i="2"/>
  <c r="BJ61" i="2"/>
  <c r="BK61" i="2"/>
  <c r="BL61" i="2"/>
  <c r="BM61" i="2"/>
  <c r="BN61" i="2"/>
  <c r="BO61" i="2"/>
  <c r="BP61" i="2"/>
  <c r="BQ61" i="2"/>
  <c r="BA62" i="2"/>
  <c r="BB62" i="2"/>
  <c r="BC62" i="2"/>
  <c r="BD62" i="2"/>
  <c r="BE62" i="2"/>
  <c r="BF62" i="2"/>
  <c r="BG62" i="2"/>
  <c r="BH62" i="2"/>
  <c r="BI62" i="2"/>
  <c r="BJ62" i="2"/>
  <c r="BK62" i="2"/>
  <c r="BL62" i="2"/>
  <c r="BM62" i="2"/>
  <c r="BN62" i="2"/>
  <c r="BO62" i="2"/>
  <c r="BP62" i="2"/>
  <c r="BQ62" i="2"/>
  <c r="BA63" i="2"/>
  <c r="BB63" i="2"/>
  <c r="BC63" i="2"/>
  <c r="BD63" i="2"/>
  <c r="BE63" i="2"/>
  <c r="BF63" i="2"/>
  <c r="BG63" i="2"/>
  <c r="BH63" i="2"/>
  <c r="BI63" i="2"/>
  <c r="BJ63" i="2"/>
  <c r="BK63" i="2"/>
  <c r="BL63" i="2"/>
  <c r="BM63" i="2"/>
  <c r="BN63" i="2"/>
  <c r="BO63" i="2"/>
  <c r="BP63" i="2"/>
  <c r="BQ63" i="2"/>
  <c r="BA64" i="2"/>
  <c r="BB64" i="2"/>
  <c r="BC64" i="2"/>
  <c r="BD64" i="2"/>
  <c r="BE64" i="2"/>
  <c r="BF64" i="2"/>
  <c r="BG64" i="2"/>
  <c r="BH64" i="2"/>
  <c r="BI64" i="2"/>
  <c r="BJ64" i="2"/>
  <c r="BK64" i="2"/>
  <c r="BL64" i="2"/>
  <c r="BM64" i="2"/>
  <c r="BN64" i="2"/>
  <c r="BO64" i="2"/>
  <c r="BP64" i="2"/>
  <c r="BQ64" i="2"/>
  <c r="BA65" i="2"/>
  <c r="BB65" i="2"/>
  <c r="BC65" i="2"/>
  <c r="BD65" i="2"/>
  <c r="BE65" i="2"/>
  <c r="BF65" i="2"/>
  <c r="BG65" i="2"/>
  <c r="BH65" i="2"/>
  <c r="BI65" i="2"/>
  <c r="BJ65" i="2"/>
  <c r="BK65" i="2"/>
  <c r="BL65" i="2"/>
  <c r="BM65" i="2"/>
  <c r="BN65" i="2"/>
  <c r="BO65" i="2"/>
  <c r="BP65" i="2"/>
  <c r="BQ65" i="2"/>
  <c r="BA66" i="2"/>
  <c r="BB66" i="2"/>
  <c r="BC66" i="2"/>
  <c r="BD66" i="2"/>
  <c r="BE66" i="2"/>
  <c r="BF66" i="2"/>
  <c r="BG66" i="2"/>
  <c r="BH66" i="2"/>
  <c r="BI66" i="2"/>
  <c r="BJ66" i="2"/>
  <c r="BK66" i="2"/>
  <c r="BL66" i="2"/>
  <c r="BM66" i="2"/>
  <c r="BN66" i="2"/>
  <c r="BO66" i="2"/>
  <c r="BP66" i="2"/>
  <c r="BQ66" i="2"/>
  <c r="BA67" i="2"/>
  <c r="BB67" i="2"/>
  <c r="BC67" i="2"/>
  <c r="BD67" i="2"/>
  <c r="BE67" i="2"/>
  <c r="BF67" i="2"/>
  <c r="BG67" i="2"/>
  <c r="BH67" i="2"/>
  <c r="BI67" i="2"/>
  <c r="BJ67" i="2"/>
  <c r="BK67" i="2"/>
  <c r="BL67" i="2"/>
  <c r="BM67" i="2"/>
  <c r="BN67" i="2"/>
  <c r="BO67" i="2"/>
  <c r="BP67" i="2"/>
  <c r="BQ67" i="2"/>
  <c r="BA68" i="2"/>
  <c r="BB68" i="2"/>
  <c r="BC68" i="2"/>
  <c r="BD68" i="2"/>
  <c r="BE68" i="2"/>
  <c r="BF68" i="2"/>
  <c r="BG68" i="2"/>
  <c r="BH68" i="2"/>
  <c r="BI68" i="2"/>
  <c r="BJ68" i="2"/>
  <c r="BK68" i="2"/>
  <c r="BL68" i="2"/>
  <c r="BM68" i="2"/>
  <c r="BN68" i="2"/>
  <c r="BO68" i="2"/>
  <c r="BP68" i="2"/>
  <c r="BQ68" i="2"/>
  <c r="BA69" i="2"/>
  <c r="BB69" i="2"/>
  <c r="BC69" i="2"/>
  <c r="BD69" i="2"/>
  <c r="BE69" i="2"/>
  <c r="BF69" i="2"/>
  <c r="BG69" i="2"/>
  <c r="BH69" i="2"/>
  <c r="BI69" i="2"/>
  <c r="BJ69" i="2"/>
  <c r="BK69" i="2"/>
  <c r="BL69" i="2"/>
  <c r="BM69" i="2"/>
  <c r="BN69" i="2"/>
  <c r="BO69" i="2"/>
  <c r="BP69" i="2"/>
  <c r="BQ69" i="2"/>
  <c r="BA70" i="2"/>
  <c r="BB70" i="2"/>
  <c r="BC70" i="2"/>
  <c r="BD70" i="2"/>
  <c r="BE70" i="2"/>
  <c r="BF70" i="2"/>
  <c r="BG70" i="2"/>
  <c r="BH70" i="2"/>
  <c r="BI70" i="2"/>
  <c r="BJ70" i="2"/>
  <c r="BK70" i="2"/>
  <c r="BL70" i="2"/>
  <c r="BM70" i="2"/>
  <c r="BN70" i="2"/>
  <c r="BO70" i="2"/>
  <c r="BP70" i="2"/>
  <c r="BQ70" i="2"/>
  <c r="BA71" i="2"/>
  <c r="BB71" i="2"/>
  <c r="BC71" i="2"/>
  <c r="BD71" i="2"/>
  <c r="BE71" i="2"/>
  <c r="BF71" i="2"/>
  <c r="BG71" i="2"/>
  <c r="BH71" i="2"/>
  <c r="BI71" i="2"/>
  <c r="BJ71" i="2"/>
  <c r="BK71" i="2"/>
  <c r="BL71" i="2"/>
  <c r="BM71" i="2"/>
  <c r="BN71" i="2"/>
  <c r="BO71" i="2"/>
  <c r="BP71" i="2"/>
  <c r="BQ71" i="2"/>
  <c r="BA72" i="2"/>
  <c r="BB72" i="2"/>
  <c r="BC72" i="2"/>
  <c r="BD72" i="2"/>
  <c r="BE72" i="2"/>
  <c r="BF72" i="2"/>
  <c r="BG72" i="2"/>
  <c r="BH72" i="2"/>
  <c r="BI72" i="2"/>
  <c r="BJ72" i="2"/>
  <c r="BK72" i="2"/>
  <c r="BL72" i="2"/>
  <c r="BM72" i="2"/>
  <c r="BN72" i="2"/>
  <c r="BO72" i="2"/>
  <c r="BP72" i="2"/>
  <c r="BQ72" i="2"/>
  <c r="BA73" i="2"/>
  <c r="BB73" i="2"/>
  <c r="BC73" i="2"/>
  <c r="BD73" i="2"/>
  <c r="BE73" i="2"/>
  <c r="BF73" i="2"/>
  <c r="BG73" i="2"/>
  <c r="BH73" i="2"/>
  <c r="BI73" i="2"/>
  <c r="BJ73" i="2"/>
  <c r="BK73" i="2"/>
  <c r="BL73" i="2"/>
  <c r="BM73" i="2"/>
  <c r="BN73" i="2"/>
  <c r="BO73" i="2"/>
  <c r="BP73" i="2"/>
  <c r="BQ73" i="2"/>
  <c r="BA74" i="2"/>
  <c r="BB74" i="2"/>
  <c r="BC74" i="2"/>
  <c r="BD74" i="2"/>
  <c r="BE74" i="2"/>
  <c r="BF74" i="2"/>
  <c r="BG74" i="2"/>
  <c r="BH74" i="2"/>
  <c r="BI74" i="2"/>
  <c r="BJ74" i="2"/>
  <c r="BK74" i="2"/>
  <c r="BL74" i="2"/>
  <c r="BM74" i="2"/>
  <c r="BN74" i="2"/>
  <c r="BO74" i="2"/>
  <c r="BP74" i="2"/>
  <c r="BQ74" i="2"/>
  <c r="BA75" i="2"/>
  <c r="BB75" i="2"/>
  <c r="BC75" i="2"/>
  <c r="BD75" i="2"/>
  <c r="BE75" i="2"/>
  <c r="BF75" i="2"/>
  <c r="BG75" i="2"/>
  <c r="BH75" i="2"/>
  <c r="BI75" i="2"/>
  <c r="BJ75" i="2"/>
  <c r="BK75" i="2"/>
  <c r="BL75" i="2"/>
  <c r="BM75" i="2"/>
  <c r="BN75" i="2"/>
  <c r="BO75" i="2"/>
  <c r="BP75" i="2"/>
  <c r="BQ75" i="2"/>
  <c r="BA76" i="2"/>
  <c r="BB76" i="2"/>
  <c r="BC76" i="2"/>
  <c r="BD76" i="2"/>
  <c r="BE76" i="2"/>
  <c r="BF76" i="2"/>
  <c r="BG76" i="2"/>
  <c r="BH76" i="2"/>
  <c r="BI76" i="2"/>
  <c r="BJ76" i="2"/>
  <c r="BK76" i="2"/>
  <c r="BL76" i="2"/>
  <c r="BM76" i="2"/>
  <c r="BN76" i="2"/>
  <c r="BO76" i="2"/>
  <c r="BP76" i="2"/>
  <c r="BQ76" i="2"/>
  <c r="BA77" i="2"/>
  <c r="BB77" i="2"/>
  <c r="BC77" i="2"/>
  <c r="BD77" i="2"/>
  <c r="BE77" i="2"/>
  <c r="BF77" i="2"/>
  <c r="BG77" i="2"/>
  <c r="BH77" i="2"/>
  <c r="BI77" i="2"/>
  <c r="BJ77" i="2"/>
  <c r="BK77" i="2"/>
  <c r="BL77" i="2"/>
  <c r="BM77" i="2"/>
  <c r="BN77" i="2"/>
  <c r="BO77" i="2"/>
  <c r="BP77" i="2"/>
  <c r="BQ77" i="2"/>
  <c r="BA78" i="2"/>
  <c r="BB78" i="2"/>
  <c r="BC78" i="2"/>
  <c r="BD78" i="2"/>
  <c r="BE78" i="2"/>
  <c r="BF78" i="2"/>
  <c r="BG78" i="2"/>
  <c r="BH78" i="2"/>
  <c r="BI78" i="2"/>
  <c r="BJ78" i="2"/>
  <c r="BK78" i="2"/>
  <c r="BL78" i="2"/>
  <c r="BM78" i="2"/>
  <c r="BN78" i="2"/>
  <c r="BO78" i="2"/>
  <c r="BP78" i="2"/>
  <c r="BQ78" i="2"/>
  <c r="BA79" i="2"/>
  <c r="BB79" i="2"/>
  <c r="BC79" i="2"/>
  <c r="BD79" i="2"/>
  <c r="BE79" i="2"/>
  <c r="BF79" i="2"/>
  <c r="BG79" i="2"/>
  <c r="BH79" i="2"/>
  <c r="BI79" i="2"/>
  <c r="BJ79" i="2"/>
  <c r="BK79" i="2"/>
  <c r="BL79" i="2"/>
  <c r="BM79" i="2"/>
  <c r="BN79" i="2"/>
  <c r="BO79" i="2"/>
  <c r="BP79" i="2"/>
  <c r="BQ79" i="2"/>
  <c r="BA80" i="2"/>
  <c r="BB80" i="2"/>
  <c r="BC80" i="2"/>
  <c r="BD80" i="2"/>
  <c r="BE80" i="2"/>
  <c r="BF80" i="2"/>
  <c r="BG80" i="2"/>
  <c r="BH80" i="2"/>
  <c r="BI80" i="2"/>
  <c r="BJ80" i="2"/>
  <c r="BK80" i="2"/>
  <c r="BL80" i="2"/>
  <c r="BM80" i="2"/>
  <c r="BN80" i="2"/>
  <c r="BO80" i="2"/>
  <c r="BP80" i="2"/>
  <c r="BQ80" i="2"/>
  <c r="BA81" i="2"/>
  <c r="BB81" i="2"/>
  <c r="BC81" i="2"/>
  <c r="BD81" i="2"/>
  <c r="BE81" i="2"/>
  <c r="BF81" i="2"/>
  <c r="BG81" i="2"/>
  <c r="BH81" i="2"/>
  <c r="BI81" i="2"/>
  <c r="BJ81" i="2"/>
  <c r="BK81" i="2"/>
  <c r="BL81" i="2"/>
  <c r="BM81" i="2"/>
  <c r="BN81" i="2"/>
  <c r="BO81" i="2"/>
  <c r="BP81" i="2"/>
  <c r="BQ81" i="2"/>
  <c r="BA82" i="2"/>
  <c r="BB82" i="2"/>
  <c r="BC82" i="2"/>
  <c r="BD82" i="2"/>
  <c r="BE82" i="2"/>
  <c r="BF82" i="2"/>
  <c r="BG82" i="2"/>
  <c r="BH82" i="2"/>
  <c r="BI82" i="2"/>
  <c r="BJ82" i="2"/>
  <c r="BK82" i="2"/>
  <c r="BL82" i="2"/>
  <c r="BM82" i="2"/>
  <c r="BN82" i="2"/>
  <c r="BO82" i="2"/>
  <c r="BP82" i="2"/>
  <c r="BQ82" i="2"/>
  <c r="BA101" i="2"/>
  <c r="BB101" i="2"/>
  <c r="BC101" i="2"/>
  <c r="BD101" i="2"/>
  <c r="BE101" i="2"/>
  <c r="BF101" i="2"/>
  <c r="BG101" i="2"/>
  <c r="BH101" i="2"/>
  <c r="BI101" i="2"/>
  <c r="BJ101" i="2"/>
  <c r="BK101" i="2"/>
  <c r="BL101" i="2"/>
  <c r="BM101" i="2"/>
  <c r="BN101" i="2"/>
  <c r="BO101" i="2"/>
  <c r="BP101" i="2"/>
  <c r="BQ101" i="2"/>
  <c r="BA102" i="2"/>
  <c r="BB102" i="2"/>
  <c r="BC102" i="2"/>
  <c r="BD102" i="2"/>
  <c r="BE102" i="2"/>
  <c r="BF102" i="2"/>
  <c r="BG102" i="2"/>
  <c r="BH102" i="2"/>
  <c r="BI102" i="2"/>
  <c r="BJ102" i="2"/>
  <c r="BK102" i="2"/>
  <c r="BL102" i="2"/>
  <c r="BM102" i="2"/>
  <c r="BN102" i="2"/>
  <c r="BO102" i="2"/>
  <c r="BP102" i="2"/>
  <c r="BQ102" i="2"/>
  <c r="BA103" i="2"/>
  <c r="BB103" i="2"/>
  <c r="BC103" i="2"/>
  <c r="BD103" i="2"/>
  <c r="BE103" i="2"/>
  <c r="BF103" i="2"/>
  <c r="BG103" i="2"/>
  <c r="BH103" i="2"/>
  <c r="BI103" i="2"/>
  <c r="BJ103" i="2"/>
  <c r="BK103" i="2"/>
  <c r="BL103" i="2"/>
  <c r="BM103" i="2"/>
  <c r="BN103" i="2"/>
  <c r="BO103" i="2"/>
  <c r="BP103" i="2"/>
  <c r="BQ103" i="2"/>
  <c r="BA104" i="2"/>
  <c r="BB104" i="2"/>
  <c r="BC104" i="2"/>
  <c r="BD104" i="2"/>
  <c r="BE104" i="2"/>
  <c r="BF104" i="2"/>
  <c r="BG104" i="2"/>
  <c r="BH104" i="2"/>
  <c r="BI104" i="2"/>
  <c r="BJ104" i="2"/>
  <c r="BK104" i="2"/>
  <c r="BL104" i="2"/>
  <c r="BM104" i="2"/>
  <c r="BN104" i="2"/>
  <c r="BO104" i="2"/>
  <c r="BP104" i="2"/>
  <c r="BQ104" i="2"/>
  <c r="BA105" i="2"/>
  <c r="BB105" i="2"/>
  <c r="BC105" i="2"/>
  <c r="BD105" i="2"/>
  <c r="BE105" i="2"/>
  <c r="BF105" i="2"/>
  <c r="BG105" i="2"/>
  <c r="BH105" i="2"/>
  <c r="BI105" i="2"/>
  <c r="BJ105" i="2"/>
  <c r="BK105" i="2"/>
  <c r="BL105" i="2"/>
  <c r="BM105" i="2"/>
  <c r="BN105" i="2"/>
  <c r="BO105" i="2"/>
  <c r="BP105" i="2"/>
  <c r="BQ105" i="2"/>
  <c r="BA106" i="2"/>
  <c r="BB106" i="2"/>
  <c r="BC106" i="2"/>
  <c r="BD106" i="2"/>
  <c r="BE106" i="2"/>
  <c r="BF106" i="2"/>
  <c r="BG106" i="2"/>
  <c r="BH106" i="2"/>
  <c r="BI106" i="2"/>
  <c r="BJ106" i="2"/>
  <c r="BK106" i="2"/>
  <c r="BL106" i="2"/>
  <c r="BM106" i="2"/>
  <c r="BN106" i="2"/>
  <c r="BO106" i="2"/>
  <c r="BP106" i="2"/>
  <c r="BQ106" i="2"/>
  <c r="BA107" i="2"/>
  <c r="BB107" i="2"/>
  <c r="BC107" i="2"/>
  <c r="BD107" i="2"/>
  <c r="BE107" i="2"/>
  <c r="BF107" i="2"/>
  <c r="BG107" i="2"/>
  <c r="BH107" i="2"/>
  <c r="BI107" i="2"/>
  <c r="BJ107" i="2"/>
  <c r="BK107" i="2"/>
  <c r="BL107" i="2"/>
  <c r="BM107" i="2"/>
  <c r="BN107" i="2"/>
  <c r="BO107" i="2"/>
  <c r="BP107" i="2"/>
  <c r="BQ107" i="2"/>
  <c r="BA108" i="2"/>
  <c r="BB108" i="2"/>
  <c r="BC108" i="2"/>
  <c r="BD108" i="2"/>
  <c r="BE108" i="2"/>
  <c r="BF108" i="2"/>
  <c r="BG108" i="2"/>
  <c r="BH108" i="2"/>
  <c r="BI108" i="2"/>
  <c r="BJ108" i="2"/>
  <c r="BK108" i="2"/>
  <c r="BL108" i="2"/>
  <c r="BM108" i="2"/>
  <c r="BN108" i="2"/>
  <c r="BO108" i="2"/>
  <c r="BP108" i="2"/>
  <c r="BQ108" i="2"/>
  <c r="BA109" i="2"/>
  <c r="BB109" i="2"/>
  <c r="BC109" i="2"/>
  <c r="BD109" i="2"/>
  <c r="BE109" i="2"/>
  <c r="BF109" i="2"/>
  <c r="BG109" i="2"/>
  <c r="BH109" i="2"/>
  <c r="BI109" i="2"/>
  <c r="BJ109" i="2"/>
  <c r="BK109" i="2"/>
  <c r="BL109" i="2"/>
  <c r="BM109" i="2"/>
  <c r="BN109" i="2"/>
  <c r="BO109" i="2"/>
  <c r="BP109" i="2"/>
  <c r="BQ109" i="2"/>
  <c r="BA110" i="2"/>
  <c r="BB110" i="2"/>
  <c r="BC110" i="2"/>
  <c r="BD110" i="2"/>
  <c r="BE110" i="2"/>
  <c r="BF110" i="2"/>
  <c r="BG110" i="2"/>
  <c r="BH110" i="2"/>
  <c r="BI110" i="2"/>
  <c r="BJ110" i="2"/>
  <c r="BK110" i="2"/>
  <c r="BL110" i="2"/>
  <c r="BM110" i="2"/>
  <c r="BN110" i="2"/>
  <c r="BO110" i="2"/>
  <c r="BP110" i="2"/>
  <c r="BQ110" i="2"/>
  <c r="BA111" i="2"/>
  <c r="BB111" i="2"/>
  <c r="BC111" i="2"/>
  <c r="BD111" i="2"/>
  <c r="BE111" i="2"/>
  <c r="BF111" i="2"/>
  <c r="BG111" i="2"/>
  <c r="BH111" i="2"/>
  <c r="BI111" i="2"/>
  <c r="BJ111" i="2"/>
  <c r="BK111" i="2"/>
  <c r="BL111" i="2"/>
  <c r="BM111" i="2"/>
  <c r="BN111" i="2"/>
  <c r="BO111" i="2"/>
  <c r="BP111" i="2"/>
  <c r="BQ111" i="2"/>
  <c r="BA112" i="2"/>
  <c r="BB112" i="2"/>
  <c r="BC112" i="2"/>
  <c r="BD112" i="2"/>
  <c r="BE112" i="2"/>
  <c r="BF112" i="2"/>
  <c r="BG112" i="2"/>
  <c r="BH112" i="2"/>
  <c r="BI112" i="2"/>
  <c r="BJ112" i="2"/>
  <c r="BK112" i="2"/>
  <c r="BL112" i="2"/>
  <c r="BM112" i="2"/>
  <c r="BN112" i="2"/>
  <c r="BO112" i="2"/>
  <c r="BP112" i="2"/>
  <c r="BQ112" i="2"/>
  <c r="BA113" i="2"/>
  <c r="BB113" i="2"/>
  <c r="BC113" i="2"/>
  <c r="BD113" i="2"/>
  <c r="BE113" i="2"/>
  <c r="BF113" i="2"/>
  <c r="BG113" i="2"/>
  <c r="BH113" i="2"/>
  <c r="BI113" i="2"/>
  <c r="BJ113" i="2"/>
  <c r="BK113" i="2"/>
  <c r="BL113" i="2"/>
  <c r="BM113" i="2"/>
  <c r="BN113" i="2"/>
  <c r="BO113" i="2"/>
  <c r="BP113" i="2"/>
  <c r="BQ113" i="2"/>
  <c r="BA114" i="2"/>
  <c r="BB114" i="2"/>
  <c r="BC114" i="2"/>
  <c r="BD114" i="2"/>
  <c r="BE114" i="2"/>
  <c r="BF114" i="2"/>
  <c r="BG114" i="2"/>
  <c r="BH114" i="2"/>
  <c r="BI114" i="2"/>
  <c r="BJ114" i="2"/>
  <c r="BK114" i="2"/>
  <c r="BL114" i="2"/>
  <c r="BM114" i="2"/>
  <c r="BN114" i="2"/>
  <c r="BO114" i="2"/>
  <c r="BP114" i="2"/>
  <c r="BQ114" i="2"/>
  <c r="BA115" i="2"/>
  <c r="BB115" i="2"/>
  <c r="BC115" i="2"/>
  <c r="BD115" i="2"/>
  <c r="BE115" i="2"/>
  <c r="BF115" i="2"/>
  <c r="BG115" i="2"/>
  <c r="BH115" i="2"/>
  <c r="BI115" i="2"/>
  <c r="BJ115" i="2"/>
  <c r="BK115" i="2"/>
  <c r="BL115" i="2"/>
  <c r="BM115" i="2"/>
  <c r="BN115" i="2"/>
  <c r="BO115" i="2"/>
  <c r="BP115" i="2"/>
  <c r="BQ115" i="2"/>
  <c r="BA116" i="2"/>
  <c r="BB116" i="2"/>
  <c r="BC116" i="2"/>
  <c r="BD116" i="2"/>
  <c r="BE116" i="2"/>
  <c r="BF116" i="2"/>
  <c r="BG116" i="2"/>
  <c r="BH116" i="2"/>
  <c r="BI116" i="2"/>
  <c r="BJ116" i="2"/>
  <c r="BK116" i="2"/>
  <c r="BL116" i="2"/>
  <c r="BM116" i="2"/>
  <c r="BN116" i="2"/>
  <c r="BO116" i="2"/>
  <c r="BP116" i="2"/>
  <c r="BQ116" i="2"/>
  <c r="BA117" i="2"/>
  <c r="BB117" i="2"/>
  <c r="BC117" i="2"/>
  <c r="BD117" i="2"/>
  <c r="BE117" i="2"/>
  <c r="BF117" i="2"/>
  <c r="BG117" i="2"/>
  <c r="BH117" i="2"/>
  <c r="BI117" i="2"/>
  <c r="BJ117" i="2"/>
  <c r="BK117" i="2"/>
  <c r="BL117" i="2"/>
  <c r="BM117" i="2"/>
  <c r="BN117" i="2"/>
  <c r="BO117" i="2"/>
  <c r="BP117" i="2"/>
  <c r="BQ117" i="2"/>
  <c r="BA118" i="2"/>
  <c r="BB118" i="2"/>
  <c r="BC118" i="2"/>
  <c r="BD118" i="2"/>
  <c r="BE118" i="2"/>
  <c r="BF118" i="2"/>
  <c r="BG118" i="2"/>
  <c r="BH118" i="2"/>
  <c r="BI118" i="2"/>
  <c r="BJ118" i="2"/>
  <c r="BK118" i="2"/>
  <c r="BL118" i="2"/>
  <c r="BM118" i="2"/>
  <c r="BN118" i="2"/>
  <c r="BO118" i="2"/>
  <c r="BP118" i="2"/>
  <c r="BQ118" i="2"/>
  <c r="BA119" i="2"/>
  <c r="BB119" i="2"/>
  <c r="BC119" i="2"/>
  <c r="BD119" i="2"/>
  <c r="BE119" i="2"/>
  <c r="BF119" i="2"/>
  <c r="BG119" i="2"/>
  <c r="BH119" i="2"/>
  <c r="BI119" i="2"/>
  <c r="BJ119" i="2"/>
  <c r="BK119" i="2"/>
  <c r="BL119" i="2"/>
  <c r="BM119" i="2"/>
  <c r="BN119" i="2"/>
  <c r="BO119" i="2"/>
  <c r="BP119" i="2"/>
  <c r="BQ119" i="2"/>
  <c r="BA120" i="2"/>
  <c r="BB120" i="2"/>
  <c r="BC120" i="2"/>
  <c r="BD120" i="2"/>
  <c r="BE120" i="2"/>
  <c r="BF120" i="2"/>
  <c r="BG120" i="2"/>
  <c r="BH120" i="2"/>
  <c r="BI120" i="2"/>
  <c r="BJ120" i="2"/>
  <c r="BK120" i="2"/>
  <c r="BL120" i="2"/>
  <c r="BM120" i="2"/>
  <c r="BN120" i="2"/>
  <c r="BO120" i="2"/>
  <c r="BP120" i="2"/>
  <c r="BQ120" i="2"/>
  <c r="BA121" i="2"/>
  <c r="BB121" i="2"/>
  <c r="BC121" i="2"/>
  <c r="BD121" i="2"/>
  <c r="BE121" i="2"/>
  <c r="BF121" i="2"/>
  <c r="BG121" i="2"/>
  <c r="BH121" i="2"/>
  <c r="BI121" i="2"/>
  <c r="BJ121" i="2"/>
  <c r="BK121" i="2"/>
  <c r="BL121" i="2"/>
  <c r="BM121" i="2"/>
  <c r="BN121" i="2"/>
  <c r="BO121" i="2"/>
  <c r="BP121" i="2"/>
  <c r="BQ121" i="2"/>
  <c r="BA124" i="2"/>
  <c r="BB124" i="2"/>
  <c r="BC124" i="2"/>
  <c r="BD124" i="2"/>
  <c r="BE124" i="2"/>
  <c r="BF124" i="2"/>
  <c r="BG124" i="2"/>
  <c r="BH124" i="2"/>
  <c r="BI124" i="2"/>
  <c r="BJ124" i="2"/>
  <c r="BK124" i="2"/>
  <c r="BL124" i="2"/>
  <c r="BM124" i="2"/>
  <c r="BN124" i="2"/>
  <c r="BO124" i="2"/>
  <c r="BP124" i="2"/>
  <c r="BQ124" i="2"/>
  <c r="BA125" i="2"/>
  <c r="BB125" i="2"/>
  <c r="BC125" i="2"/>
  <c r="BD125" i="2"/>
  <c r="BE125" i="2"/>
  <c r="BF125" i="2"/>
  <c r="BG125" i="2"/>
  <c r="BH125" i="2"/>
  <c r="BI125" i="2"/>
  <c r="BJ125" i="2"/>
  <c r="BK125" i="2"/>
  <c r="BL125" i="2"/>
  <c r="BM125" i="2"/>
  <c r="BN125" i="2"/>
  <c r="BO125" i="2"/>
  <c r="BP125" i="2"/>
  <c r="BQ125" i="2"/>
  <c r="BA126" i="2"/>
  <c r="BB126" i="2"/>
  <c r="BC126" i="2"/>
  <c r="BD126" i="2"/>
  <c r="BE126" i="2"/>
  <c r="BF126" i="2"/>
  <c r="BG126" i="2"/>
  <c r="BH126" i="2"/>
  <c r="BI126" i="2"/>
  <c r="BJ126" i="2"/>
  <c r="BK126" i="2"/>
  <c r="BL126" i="2"/>
  <c r="BM126" i="2"/>
  <c r="BN126" i="2"/>
  <c r="BO126" i="2"/>
  <c r="BP126" i="2"/>
  <c r="BQ126" i="2"/>
  <c r="BA127" i="2"/>
  <c r="BB127" i="2"/>
  <c r="BC127" i="2"/>
  <c r="BD127" i="2"/>
  <c r="BE127" i="2"/>
  <c r="BF127" i="2"/>
  <c r="BG127" i="2"/>
  <c r="BH127" i="2"/>
  <c r="BI127" i="2"/>
  <c r="BJ127" i="2"/>
  <c r="BK127" i="2"/>
  <c r="BL127" i="2"/>
  <c r="BM127" i="2"/>
  <c r="BN127" i="2"/>
  <c r="BO127" i="2"/>
  <c r="BP127" i="2"/>
  <c r="BQ127" i="2"/>
  <c r="BA128" i="2"/>
  <c r="BB128" i="2"/>
  <c r="BC128" i="2"/>
  <c r="BD128" i="2"/>
  <c r="BE128" i="2"/>
  <c r="BF128" i="2"/>
  <c r="BG128" i="2"/>
  <c r="BH128" i="2"/>
  <c r="BI128" i="2"/>
  <c r="BJ128" i="2"/>
  <c r="BK128" i="2"/>
  <c r="BL128" i="2"/>
  <c r="BM128" i="2"/>
  <c r="BN128" i="2"/>
  <c r="BO128" i="2"/>
  <c r="BP128" i="2"/>
  <c r="BQ128" i="2"/>
  <c r="BA129" i="2"/>
  <c r="BB129" i="2"/>
  <c r="BC129" i="2"/>
  <c r="BD129" i="2"/>
  <c r="BE129" i="2"/>
  <c r="BF129" i="2"/>
  <c r="BG129" i="2"/>
  <c r="BH129" i="2"/>
  <c r="BI129" i="2"/>
  <c r="BJ129" i="2"/>
  <c r="BK129" i="2"/>
  <c r="BL129" i="2"/>
  <c r="BM129" i="2"/>
  <c r="BN129" i="2"/>
  <c r="BO129" i="2"/>
  <c r="BP129" i="2"/>
  <c r="BQ129" i="2"/>
  <c r="BA130" i="2"/>
  <c r="BB130" i="2"/>
  <c r="BC130" i="2"/>
  <c r="BD130" i="2"/>
  <c r="BE130" i="2"/>
  <c r="BF130" i="2"/>
  <c r="BG130" i="2"/>
  <c r="BH130" i="2"/>
  <c r="BI130" i="2"/>
  <c r="BJ130" i="2"/>
  <c r="BK130" i="2"/>
  <c r="BL130" i="2"/>
  <c r="BM130" i="2"/>
  <c r="BN130" i="2"/>
  <c r="BO130" i="2"/>
  <c r="BP130" i="2"/>
  <c r="BQ130" i="2"/>
  <c r="BA131" i="2"/>
  <c r="BB131" i="2"/>
  <c r="BC131" i="2"/>
  <c r="BD131" i="2"/>
  <c r="BE131" i="2"/>
  <c r="BF131" i="2"/>
  <c r="BG131" i="2"/>
  <c r="BH131" i="2"/>
  <c r="BI131" i="2"/>
  <c r="BJ131" i="2"/>
  <c r="BK131" i="2"/>
  <c r="BL131" i="2"/>
  <c r="BM131" i="2"/>
  <c r="BN131" i="2"/>
  <c r="BO131" i="2"/>
  <c r="BP131" i="2"/>
  <c r="BQ131" i="2"/>
  <c r="BA132" i="2"/>
  <c r="BB132" i="2"/>
  <c r="BC132" i="2"/>
  <c r="BD132" i="2"/>
  <c r="BE132" i="2"/>
  <c r="BF132" i="2"/>
  <c r="BG132" i="2"/>
  <c r="BH132" i="2"/>
  <c r="BI132" i="2"/>
  <c r="BJ132" i="2"/>
  <c r="BK132" i="2"/>
  <c r="BL132" i="2"/>
  <c r="BM132" i="2"/>
  <c r="BN132" i="2"/>
  <c r="BO132" i="2"/>
  <c r="BP132" i="2"/>
  <c r="BQ132" i="2"/>
  <c r="BA133" i="2"/>
  <c r="BB133" i="2"/>
  <c r="BC133" i="2"/>
  <c r="BD133" i="2"/>
  <c r="BE133" i="2"/>
  <c r="BF133" i="2"/>
  <c r="BG133" i="2"/>
  <c r="BH133" i="2"/>
  <c r="BI133" i="2"/>
  <c r="BJ133" i="2"/>
  <c r="BK133" i="2"/>
  <c r="BL133" i="2"/>
  <c r="BM133" i="2"/>
  <c r="BN133" i="2"/>
  <c r="BO133" i="2"/>
  <c r="BP133" i="2"/>
  <c r="BQ133" i="2"/>
  <c r="BA134" i="2"/>
  <c r="BB134" i="2"/>
  <c r="BC134" i="2"/>
  <c r="BD134" i="2"/>
  <c r="BE134" i="2"/>
  <c r="BF134" i="2"/>
  <c r="BG134" i="2"/>
  <c r="BH134" i="2"/>
  <c r="BI134" i="2"/>
  <c r="BJ134" i="2"/>
  <c r="BK134" i="2"/>
  <c r="BL134" i="2"/>
  <c r="BM134" i="2"/>
  <c r="BN134" i="2"/>
  <c r="BO134" i="2"/>
  <c r="BP134" i="2"/>
  <c r="BQ134" i="2"/>
  <c r="BA135" i="2"/>
  <c r="BB135" i="2"/>
  <c r="BC135" i="2"/>
  <c r="BD135" i="2"/>
  <c r="BE135" i="2"/>
  <c r="BF135" i="2"/>
  <c r="BG135" i="2"/>
  <c r="BH135" i="2"/>
  <c r="BI135" i="2"/>
  <c r="BJ135" i="2"/>
  <c r="BK135" i="2"/>
  <c r="BL135" i="2"/>
  <c r="BM135" i="2"/>
  <c r="BN135" i="2"/>
  <c r="BO135" i="2"/>
  <c r="BP135" i="2"/>
  <c r="BQ135" i="2"/>
  <c r="BA136" i="2"/>
  <c r="BB136" i="2"/>
  <c r="BC136" i="2"/>
  <c r="BD136" i="2"/>
  <c r="BE136" i="2"/>
  <c r="BF136" i="2"/>
  <c r="BG136" i="2"/>
  <c r="BH136" i="2"/>
  <c r="BI136" i="2"/>
  <c r="BJ136" i="2"/>
  <c r="BK136" i="2"/>
  <c r="BL136" i="2"/>
  <c r="BM136" i="2"/>
  <c r="BN136" i="2"/>
  <c r="BO136" i="2"/>
  <c r="BP136" i="2"/>
  <c r="BQ136" i="2"/>
  <c r="BA137" i="2"/>
  <c r="BB137" i="2"/>
  <c r="BC137" i="2"/>
  <c r="BD137" i="2"/>
  <c r="BE137" i="2"/>
  <c r="BF137" i="2"/>
  <c r="BG137" i="2"/>
  <c r="BH137" i="2"/>
  <c r="BI137" i="2"/>
  <c r="BJ137" i="2"/>
  <c r="BK137" i="2"/>
  <c r="BL137" i="2"/>
  <c r="BM137" i="2"/>
  <c r="BN137" i="2"/>
  <c r="BO137" i="2"/>
  <c r="BP137" i="2"/>
  <c r="BQ137" i="2"/>
  <c r="BA138" i="2"/>
  <c r="BB138" i="2"/>
  <c r="BC138" i="2"/>
  <c r="BD138" i="2"/>
  <c r="BE138" i="2"/>
  <c r="BF138" i="2"/>
  <c r="BG138" i="2"/>
  <c r="BH138" i="2"/>
  <c r="BI138" i="2"/>
  <c r="BJ138" i="2"/>
  <c r="BK138" i="2"/>
  <c r="BL138" i="2"/>
  <c r="BM138" i="2"/>
  <c r="BN138" i="2"/>
  <c r="BO138" i="2"/>
  <c r="BP138" i="2"/>
  <c r="BQ138" i="2"/>
  <c r="BA139" i="2"/>
  <c r="BB139" i="2"/>
  <c r="BC139" i="2"/>
  <c r="BD139" i="2"/>
  <c r="BE139" i="2"/>
  <c r="BF139" i="2"/>
  <c r="BG139" i="2"/>
  <c r="BH139" i="2"/>
  <c r="BI139" i="2"/>
  <c r="BJ139" i="2"/>
  <c r="BK139" i="2"/>
  <c r="BL139" i="2"/>
  <c r="BM139" i="2"/>
  <c r="BN139" i="2"/>
  <c r="BO139" i="2"/>
  <c r="BP139" i="2"/>
  <c r="BQ139" i="2"/>
  <c r="BA140" i="2"/>
  <c r="BB140" i="2"/>
  <c r="BC140" i="2"/>
  <c r="BD140" i="2"/>
  <c r="BE140" i="2"/>
  <c r="BF140" i="2"/>
  <c r="BG140" i="2"/>
  <c r="BH140" i="2"/>
  <c r="BI140" i="2"/>
  <c r="BJ140" i="2"/>
  <c r="BK140" i="2"/>
  <c r="BL140" i="2"/>
  <c r="BM140" i="2"/>
  <c r="BN140" i="2"/>
  <c r="BO140" i="2"/>
  <c r="BP140" i="2"/>
  <c r="BQ140" i="2"/>
  <c r="BA141" i="2"/>
  <c r="BB141" i="2"/>
  <c r="BC141" i="2"/>
  <c r="BD141" i="2"/>
  <c r="BE141" i="2"/>
  <c r="BF141" i="2"/>
  <c r="BG141" i="2"/>
  <c r="BH141" i="2"/>
  <c r="BI141" i="2"/>
  <c r="BJ141" i="2"/>
  <c r="BK141" i="2"/>
  <c r="BL141" i="2"/>
  <c r="BM141" i="2"/>
  <c r="BN141" i="2"/>
  <c r="BO141" i="2"/>
  <c r="BP141" i="2"/>
  <c r="BQ141" i="2"/>
  <c r="BA142" i="2"/>
  <c r="BB142" i="2"/>
  <c r="BC142" i="2"/>
  <c r="BD142" i="2"/>
  <c r="BE142" i="2"/>
  <c r="BF142" i="2"/>
  <c r="BG142" i="2"/>
  <c r="BH142" i="2"/>
  <c r="BI142" i="2"/>
  <c r="BJ142" i="2"/>
  <c r="BK142" i="2"/>
  <c r="BL142" i="2"/>
  <c r="BM142" i="2"/>
  <c r="BN142" i="2"/>
  <c r="BO142" i="2"/>
  <c r="BP142" i="2"/>
  <c r="BQ142" i="2"/>
  <c r="BA143" i="2"/>
  <c r="BB143" i="2"/>
  <c r="BC143" i="2"/>
  <c r="BD143" i="2"/>
  <c r="BE143" i="2"/>
  <c r="BF143" i="2"/>
  <c r="BG143" i="2"/>
  <c r="BH143" i="2"/>
  <c r="BI143" i="2"/>
  <c r="BJ143" i="2"/>
  <c r="BK143" i="2"/>
  <c r="BL143" i="2"/>
  <c r="BM143" i="2"/>
  <c r="BN143" i="2"/>
  <c r="BO143" i="2"/>
  <c r="BP143" i="2"/>
  <c r="BQ143" i="2"/>
  <c r="BA144" i="2"/>
  <c r="BB144" i="2"/>
  <c r="BC144" i="2"/>
  <c r="BD144" i="2"/>
  <c r="BE144" i="2"/>
  <c r="BF144" i="2"/>
  <c r="BG144" i="2"/>
  <c r="BH144" i="2"/>
  <c r="BI144" i="2"/>
  <c r="BJ144" i="2"/>
  <c r="BK144" i="2"/>
  <c r="BL144" i="2"/>
  <c r="BM144" i="2"/>
  <c r="BN144" i="2"/>
  <c r="BO144" i="2"/>
  <c r="BP144" i="2"/>
  <c r="BQ144" i="2"/>
  <c r="BA145" i="2"/>
  <c r="BB145" i="2"/>
  <c r="BC145" i="2"/>
  <c r="BD145" i="2"/>
  <c r="BE145" i="2"/>
  <c r="BF145" i="2"/>
  <c r="BG145" i="2"/>
  <c r="BH145" i="2"/>
  <c r="BI145" i="2"/>
  <c r="BJ145" i="2"/>
  <c r="BK145" i="2"/>
  <c r="BL145" i="2"/>
  <c r="BM145" i="2"/>
  <c r="BN145" i="2"/>
  <c r="BO145" i="2"/>
  <c r="BP145" i="2"/>
  <c r="BQ145" i="2"/>
  <c r="BA146" i="2"/>
  <c r="BB146" i="2"/>
  <c r="BC146" i="2"/>
  <c r="BD146" i="2"/>
  <c r="BE146" i="2"/>
  <c r="BF146" i="2"/>
  <c r="BG146" i="2"/>
  <c r="BH146" i="2"/>
  <c r="BI146" i="2"/>
  <c r="BJ146" i="2"/>
  <c r="BK146" i="2"/>
  <c r="BL146" i="2"/>
  <c r="BM146" i="2"/>
  <c r="BN146" i="2"/>
  <c r="BO146" i="2"/>
  <c r="BP146" i="2"/>
  <c r="BQ146" i="2"/>
  <c r="BA147" i="2"/>
  <c r="BB147" i="2"/>
  <c r="BC147" i="2"/>
  <c r="BD147" i="2"/>
  <c r="BE147" i="2"/>
  <c r="BF147" i="2"/>
  <c r="BG147" i="2"/>
  <c r="BH147" i="2"/>
  <c r="BI147" i="2"/>
  <c r="BJ147" i="2"/>
  <c r="BK147" i="2"/>
  <c r="BL147" i="2"/>
  <c r="BM147" i="2"/>
  <c r="BN147" i="2"/>
  <c r="BO147" i="2"/>
  <c r="BP147" i="2"/>
  <c r="BQ147" i="2"/>
  <c r="BA148" i="2"/>
  <c r="BB148" i="2"/>
  <c r="BC148" i="2"/>
  <c r="BD148" i="2"/>
  <c r="BE148" i="2"/>
  <c r="BF148" i="2"/>
  <c r="BG148" i="2"/>
  <c r="BH148" i="2"/>
  <c r="BI148" i="2"/>
  <c r="BJ148" i="2"/>
  <c r="BK148" i="2"/>
  <c r="BL148" i="2"/>
  <c r="BM148" i="2"/>
  <c r="BN148" i="2"/>
  <c r="BO148" i="2"/>
  <c r="BP148" i="2"/>
  <c r="BQ148" i="2"/>
  <c r="BA149" i="2"/>
  <c r="BB149" i="2"/>
  <c r="BC149" i="2"/>
  <c r="BD149" i="2"/>
  <c r="BE149" i="2"/>
  <c r="BF149" i="2"/>
  <c r="BG149" i="2"/>
  <c r="BH149" i="2"/>
  <c r="BI149" i="2"/>
  <c r="BJ149" i="2"/>
  <c r="BK149" i="2"/>
  <c r="BL149" i="2"/>
  <c r="BM149" i="2"/>
  <c r="BN149" i="2"/>
  <c r="BO149" i="2"/>
  <c r="BP149" i="2"/>
  <c r="BQ149" i="2"/>
  <c r="BA150" i="2"/>
  <c r="BB150" i="2"/>
  <c r="BC150" i="2"/>
  <c r="BD150" i="2"/>
  <c r="BE150" i="2"/>
  <c r="BF150" i="2"/>
  <c r="BG150" i="2"/>
  <c r="BH150" i="2"/>
  <c r="BI150" i="2"/>
  <c r="BJ150" i="2"/>
  <c r="BK150" i="2"/>
  <c r="BL150" i="2"/>
  <c r="BM150" i="2"/>
  <c r="BN150" i="2"/>
  <c r="BO150" i="2"/>
  <c r="BP150" i="2"/>
  <c r="BQ150" i="2"/>
  <c r="BA151" i="2"/>
  <c r="BB151" i="2"/>
  <c r="BC151" i="2"/>
  <c r="BD151" i="2"/>
  <c r="BE151" i="2"/>
  <c r="BF151" i="2"/>
  <c r="BG151" i="2"/>
  <c r="BH151" i="2"/>
  <c r="BI151" i="2"/>
  <c r="BJ151" i="2"/>
  <c r="BK151" i="2"/>
  <c r="BL151" i="2"/>
  <c r="BM151" i="2"/>
  <c r="BN151" i="2"/>
  <c r="BO151" i="2"/>
  <c r="BP151" i="2"/>
  <c r="BQ151" i="2"/>
  <c r="BA152" i="2"/>
  <c r="BB152" i="2"/>
  <c r="BC152" i="2"/>
  <c r="BD152" i="2"/>
  <c r="BE152" i="2"/>
  <c r="BF152" i="2"/>
  <c r="BG152" i="2"/>
  <c r="BH152" i="2"/>
  <c r="BI152" i="2"/>
  <c r="BJ152" i="2"/>
  <c r="BK152" i="2"/>
  <c r="BL152" i="2"/>
  <c r="BM152" i="2"/>
  <c r="BN152" i="2"/>
  <c r="BO152" i="2"/>
  <c r="BP152" i="2"/>
  <c r="BQ152" i="2"/>
  <c r="BA153" i="2"/>
  <c r="BB153" i="2"/>
  <c r="BC153" i="2"/>
  <c r="BD153" i="2"/>
  <c r="BE153" i="2"/>
  <c r="BF153" i="2"/>
  <c r="BG153" i="2"/>
  <c r="BH153" i="2"/>
  <c r="BI153" i="2"/>
  <c r="BJ153" i="2"/>
  <c r="BK153" i="2"/>
  <c r="BL153" i="2"/>
  <c r="BM153" i="2"/>
  <c r="BN153" i="2"/>
  <c r="BO153" i="2"/>
  <c r="BP153" i="2"/>
  <c r="BQ153" i="2"/>
  <c r="BA154" i="2"/>
  <c r="BB154" i="2"/>
  <c r="BC154" i="2"/>
  <c r="BD154" i="2"/>
  <c r="BE154" i="2"/>
  <c r="BF154" i="2"/>
  <c r="BG154" i="2"/>
  <c r="BH154" i="2"/>
  <c r="BI154" i="2"/>
  <c r="BJ154" i="2"/>
  <c r="BK154" i="2"/>
  <c r="BL154" i="2"/>
  <c r="BM154" i="2"/>
  <c r="BN154" i="2"/>
  <c r="BO154" i="2"/>
  <c r="BP154" i="2"/>
  <c r="BQ154" i="2"/>
  <c r="BA155" i="2"/>
  <c r="BB155" i="2"/>
  <c r="BC155" i="2"/>
  <c r="BD155" i="2"/>
  <c r="BE155" i="2"/>
  <c r="BF155" i="2"/>
  <c r="BG155" i="2"/>
  <c r="BH155" i="2"/>
  <c r="BI155" i="2"/>
  <c r="BJ155" i="2"/>
  <c r="BK155" i="2"/>
  <c r="BL155" i="2"/>
  <c r="BM155" i="2"/>
  <c r="BN155" i="2"/>
  <c r="BO155" i="2"/>
  <c r="BP155" i="2"/>
  <c r="BQ155" i="2"/>
  <c r="BA156" i="2"/>
  <c r="BB156" i="2"/>
  <c r="BC156" i="2"/>
  <c r="BD156" i="2"/>
  <c r="BE156" i="2"/>
  <c r="BF156" i="2"/>
  <c r="BG156" i="2"/>
  <c r="BH156" i="2"/>
  <c r="BI156" i="2"/>
  <c r="BJ156" i="2"/>
  <c r="BK156" i="2"/>
  <c r="BL156" i="2"/>
  <c r="BM156" i="2"/>
  <c r="BN156" i="2"/>
  <c r="BO156" i="2"/>
  <c r="BP156" i="2"/>
  <c r="BQ156" i="2"/>
  <c r="BA157" i="2"/>
  <c r="BB157" i="2"/>
  <c r="BC157" i="2"/>
  <c r="BD157" i="2"/>
  <c r="BE157" i="2"/>
  <c r="BF157" i="2"/>
  <c r="BG157" i="2"/>
  <c r="BH157" i="2"/>
  <c r="BI157" i="2"/>
  <c r="BJ157" i="2"/>
  <c r="BK157" i="2"/>
  <c r="BL157" i="2"/>
  <c r="BM157" i="2"/>
  <c r="BN157" i="2"/>
  <c r="BO157" i="2"/>
  <c r="BP157" i="2"/>
  <c r="BQ157" i="2"/>
  <c r="BA158" i="2"/>
  <c r="BB158" i="2"/>
  <c r="BC158" i="2"/>
  <c r="BD158" i="2"/>
  <c r="BE158" i="2"/>
  <c r="BF158" i="2"/>
  <c r="BG158" i="2"/>
  <c r="BH158" i="2"/>
  <c r="BI158" i="2"/>
  <c r="BJ158" i="2"/>
  <c r="BK158" i="2"/>
  <c r="BL158" i="2"/>
  <c r="BM158" i="2"/>
  <c r="BN158" i="2"/>
  <c r="BO158" i="2"/>
  <c r="BP158" i="2"/>
  <c r="BQ158" i="2"/>
  <c r="BA159" i="2"/>
  <c r="BB159" i="2"/>
  <c r="BC159" i="2"/>
  <c r="BD159" i="2"/>
  <c r="BE159" i="2"/>
  <c r="BF159" i="2"/>
  <c r="BG159" i="2"/>
  <c r="BH159" i="2"/>
  <c r="BI159" i="2"/>
  <c r="BJ159" i="2"/>
  <c r="BK159" i="2"/>
  <c r="BL159" i="2"/>
  <c r="BM159" i="2"/>
  <c r="BN159" i="2"/>
  <c r="BO159" i="2"/>
  <c r="BP159" i="2"/>
  <c r="BQ159" i="2"/>
  <c r="BA160" i="2"/>
  <c r="BB160" i="2"/>
  <c r="BC160" i="2"/>
  <c r="BD160" i="2"/>
  <c r="BE160" i="2"/>
  <c r="BF160" i="2"/>
  <c r="BG160" i="2"/>
  <c r="BH160" i="2"/>
  <c r="BI160" i="2"/>
  <c r="BJ160" i="2"/>
  <c r="BK160" i="2"/>
  <c r="BL160" i="2"/>
  <c r="BM160" i="2"/>
  <c r="BN160" i="2"/>
  <c r="BO160" i="2"/>
  <c r="BP160" i="2"/>
  <c r="BQ160" i="2"/>
  <c r="BA161" i="2"/>
  <c r="BB161" i="2"/>
  <c r="BC161" i="2"/>
  <c r="BD161" i="2"/>
  <c r="BE161" i="2"/>
  <c r="BF161" i="2"/>
  <c r="BG161" i="2"/>
  <c r="BH161" i="2"/>
  <c r="BI161" i="2"/>
  <c r="BJ161" i="2"/>
  <c r="BK161" i="2"/>
  <c r="BL161" i="2"/>
  <c r="BM161" i="2"/>
  <c r="BN161" i="2"/>
  <c r="BO161" i="2"/>
  <c r="BP161" i="2"/>
  <c r="BQ161" i="2"/>
  <c r="BA162" i="2"/>
  <c r="BB162" i="2"/>
  <c r="BC162" i="2"/>
  <c r="BD162" i="2"/>
  <c r="BE162" i="2"/>
  <c r="BF162" i="2"/>
  <c r="BG162" i="2"/>
  <c r="BH162" i="2"/>
  <c r="BI162" i="2"/>
  <c r="BJ162" i="2"/>
  <c r="BK162" i="2"/>
  <c r="BL162" i="2"/>
  <c r="BM162" i="2"/>
  <c r="BN162" i="2"/>
  <c r="BO162" i="2"/>
  <c r="BP162" i="2"/>
  <c r="BQ162" i="2"/>
  <c r="BA163" i="2"/>
  <c r="BB163" i="2"/>
  <c r="BC163" i="2"/>
  <c r="BD163" i="2"/>
  <c r="BE163" i="2"/>
  <c r="BF163" i="2"/>
  <c r="BG163" i="2"/>
  <c r="BH163" i="2"/>
  <c r="BI163" i="2"/>
  <c r="BJ163" i="2"/>
  <c r="BK163" i="2"/>
  <c r="BL163" i="2"/>
  <c r="BM163" i="2"/>
  <c r="BN163" i="2"/>
  <c r="BO163" i="2"/>
  <c r="BP163" i="2"/>
  <c r="BQ163" i="2"/>
  <c r="BA164" i="2"/>
  <c r="BB164" i="2"/>
  <c r="BC164" i="2"/>
  <c r="BD164" i="2"/>
  <c r="BE164" i="2"/>
  <c r="BF164" i="2"/>
  <c r="BG164" i="2"/>
  <c r="BH164" i="2"/>
  <c r="BI164" i="2"/>
  <c r="BJ164" i="2"/>
  <c r="BK164" i="2"/>
  <c r="BL164" i="2"/>
  <c r="BM164" i="2"/>
  <c r="BN164" i="2"/>
  <c r="BO164" i="2"/>
  <c r="BP164" i="2"/>
  <c r="BQ164" i="2"/>
  <c r="BA165" i="2"/>
  <c r="BB165" i="2"/>
  <c r="BC165" i="2"/>
  <c r="BD165" i="2"/>
  <c r="BE165" i="2"/>
  <c r="BF165" i="2"/>
  <c r="BG165" i="2"/>
  <c r="BH165" i="2"/>
  <c r="BI165" i="2"/>
  <c r="BJ165" i="2"/>
  <c r="BK165" i="2"/>
  <c r="BL165" i="2"/>
  <c r="BM165" i="2"/>
  <c r="BN165" i="2"/>
  <c r="BO165" i="2"/>
  <c r="BP165" i="2"/>
  <c r="BQ165" i="2"/>
  <c r="BA166" i="2"/>
  <c r="BB166" i="2"/>
  <c r="BC166" i="2"/>
  <c r="BD166" i="2"/>
  <c r="BE166" i="2"/>
  <c r="BF166" i="2"/>
  <c r="BG166" i="2"/>
  <c r="BH166" i="2"/>
  <c r="BI166" i="2"/>
  <c r="BJ166" i="2"/>
  <c r="BK166" i="2"/>
  <c r="BL166" i="2"/>
  <c r="BM166" i="2"/>
  <c r="BN166" i="2"/>
  <c r="BO166" i="2"/>
  <c r="BP166" i="2"/>
  <c r="BQ166" i="2"/>
  <c r="BA167" i="2"/>
  <c r="BB167" i="2"/>
  <c r="BC167" i="2"/>
  <c r="BD167" i="2"/>
  <c r="BE167" i="2"/>
  <c r="BF167" i="2"/>
  <c r="BG167" i="2"/>
  <c r="BH167" i="2"/>
  <c r="BI167" i="2"/>
  <c r="BJ167" i="2"/>
  <c r="BK167" i="2"/>
  <c r="BL167" i="2"/>
  <c r="BM167" i="2"/>
  <c r="BN167" i="2"/>
  <c r="BO167" i="2"/>
  <c r="BP167" i="2"/>
  <c r="BQ167" i="2"/>
  <c r="BA168" i="2"/>
  <c r="BB168" i="2"/>
  <c r="BC168" i="2"/>
  <c r="BD168" i="2"/>
  <c r="BE168" i="2"/>
  <c r="BF168" i="2"/>
  <c r="BG168" i="2"/>
  <c r="BH168" i="2"/>
  <c r="BI168" i="2"/>
  <c r="BJ168" i="2"/>
  <c r="BK168" i="2"/>
  <c r="BL168" i="2"/>
  <c r="BM168" i="2"/>
  <c r="BN168" i="2"/>
  <c r="BO168" i="2"/>
  <c r="BP168" i="2"/>
  <c r="BQ168" i="2"/>
  <c r="BA169" i="2"/>
  <c r="BB169" i="2"/>
  <c r="BC169" i="2"/>
  <c r="BD169" i="2"/>
  <c r="BE169" i="2"/>
  <c r="BF169" i="2"/>
  <c r="BG169" i="2"/>
  <c r="BH169" i="2"/>
  <c r="BI169" i="2"/>
  <c r="BJ169" i="2"/>
  <c r="BK169" i="2"/>
  <c r="BL169" i="2"/>
  <c r="BM169" i="2"/>
  <c r="BN169" i="2"/>
  <c r="BO169" i="2"/>
  <c r="BP169" i="2"/>
  <c r="BQ169" i="2"/>
  <c r="BA170" i="2"/>
  <c r="BB170" i="2"/>
  <c r="BC170" i="2"/>
  <c r="BD170" i="2"/>
  <c r="BE170" i="2"/>
  <c r="BF170" i="2"/>
  <c r="BG170" i="2"/>
  <c r="BH170" i="2"/>
  <c r="BI170" i="2"/>
  <c r="BJ170" i="2"/>
  <c r="BK170" i="2"/>
  <c r="BL170" i="2"/>
  <c r="BM170" i="2"/>
  <c r="BN170" i="2"/>
  <c r="BO170" i="2"/>
  <c r="BP170" i="2"/>
  <c r="BQ170" i="2"/>
  <c r="BA171" i="2"/>
  <c r="BB171" i="2"/>
  <c r="BC171" i="2"/>
  <c r="BD171" i="2"/>
  <c r="BE171" i="2"/>
  <c r="BF171" i="2"/>
  <c r="BG171" i="2"/>
  <c r="BH171" i="2"/>
  <c r="BI171" i="2"/>
  <c r="BJ171" i="2"/>
  <c r="BK171" i="2"/>
  <c r="BL171" i="2"/>
  <c r="BM171" i="2"/>
  <c r="BN171" i="2"/>
  <c r="BO171" i="2"/>
  <c r="BP171" i="2"/>
  <c r="BQ171" i="2"/>
  <c r="BA172" i="2"/>
  <c r="BB172" i="2"/>
  <c r="BC172" i="2"/>
  <c r="BD172" i="2"/>
  <c r="BE172" i="2"/>
  <c r="BF172" i="2"/>
  <c r="BG172" i="2"/>
  <c r="BH172" i="2"/>
  <c r="BI172" i="2"/>
  <c r="BJ172" i="2"/>
  <c r="BK172" i="2"/>
  <c r="BL172" i="2"/>
  <c r="BM172" i="2"/>
  <c r="BN172" i="2"/>
  <c r="BO172" i="2"/>
  <c r="BP172" i="2"/>
  <c r="BQ172" i="2"/>
  <c r="BA173" i="2"/>
  <c r="BB173" i="2"/>
  <c r="BC173" i="2"/>
  <c r="BD173" i="2"/>
  <c r="BE173" i="2"/>
  <c r="BF173" i="2"/>
  <c r="BG173" i="2"/>
  <c r="BH173" i="2"/>
  <c r="BI173" i="2"/>
  <c r="BJ173" i="2"/>
  <c r="BK173" i="2"/>
  <c r="BL173" i="2"/>
  <c r="BM173" i="2"/>
  <c r="BN173" i="2"/>
  <c r="BO173" i="2"/>
  <c r="BP173" i="2"/>
  <c r="BQ173" i="2"/>
  <c r="BA174" i="2"/>
  <c r="BB174" i="2"/>
  <c r="BC174" i="2"/>
  <c r="BD174" i="2"/>
  <c r="BE174" i="2"/>
  <c r="BF174" i="2"/>
  <c r="BG174" i="2"/>
  <c r="BH174" i="2"/>
  <c r="BI174" i="2"/>
  <c r="BJ174" i="2"/>
  <c r="BK174" i="2"/>
  <c r="BL174" i="2"/>
  <c r="BM174" i="2"/>
  <c r="BN174" i="2"/>
  <c r="BO174" i="2"/>
  <c r="BP174" i="2"/>
  <c r="BQ174" i="2"/>
  <c r="BA175" i="2"/>
  <c r="BB175" i="2"/>
  <c r="BC175" i="2"/>
  <c r="BD175" i="2"/>
  <c r="BE175" i="2"/>
  <c r="BF175" i="2"/>
  <c r="BG175" i="2"/>
  <c r="BH175" i="2"/>
  <c r="BI175" i="2"/>
  <c r="BJ175" i="2"/>
  <c r="BK175" i="2"/>
  <c r="BL175" i="2"/>
  <c r="BM175" i="2"/>
  <c r="BN175" i="2"/>
  <c r="BO175" i="2"/>
  <c r="BP175" i="2"/>
  <c r="BQ175" i="2"/>
  <c r="BA176" i="2"/>
  <c r="BB176" i="2"/>
  <c r="BC176" i="2"/>
  <c r="BD176" i="2"/>
  <c r="BE176" i="2"/>
  <c r="BF176" i="2"/>
  <c r="BG176" i="2"/>
  <c r="BH176" i="2"/>
  <c r="BI176" i="2"/>
  <c r="BJ176" i="2"/>
  <c r="BK176" i="2"/>
  <c r="BL176" i="2"/>
  <c r="BM176" i="2"/>
  <c r="BN176" i="2"/>
  <c r="BO176" i="2"/>
  <c r="BP176" i="2"/>
  <c r="BQ176" i="2"/>
  <c r="BA177" i="2"/>
  <c r="BB177" i="2"/>
  <c r="BC177" i="2"/>
  <c r="BD177" i="2"/>
  <c r="BE177" i="2"/>
  <c r="BF177" i="2"/>
  <c r="BG177" i="2"/>
  <c r="BH177" i="2"/>
  <c r="BI177" i="2"/>
  <c r="BJ177" i="2"/>
  <c r="BK177" i="2"/>
  <c r="BL177" i="2"/>
  <c r="BM177" i="2"/>
  <c r="BN177" i="2"/>
  <c r="BO177" i="2"/>
  <c r="BP177" i="2"/>
  <c r="BQ177" i="2"/>
  <c r="BA178" i="2"/>
  <c r="BB178" i="2"/>
  <c r="BC178" i="2"/>
  <c r="BD178" i="2"/>
  <c r="BE178" i="2"/>
  <c r="BF178" i="2"/>
  <c r="BG178" i="2"/>
  <c r="BH178" i="2"/>
  <c r="BI178" i="2"/>
  <c r="BJ178" i="2"/>
  <c r="BK178" i="2"/>
  <c r="BL178" i="2"/>
  <c r="BM178" i="2"/>
  <c r="BN178" i="2"/>
  <c r="BO178" i="2"/>
  <c r="BP178" i="2"/>
  <c r="BQ178" i="2"/>
  <c r="BA179" i="2"/>
  <c r="BB179" i="2"/>
  <c r="BC179" i="2"/>
  <c r="BD179" i="2"/>
  <c r="BE179" i="2"/>
  <c r="BF179" i="2"/>
  <c r="BG179" i="2"/>
  <c r="BH179" i="2"/>
  <c r="BI179" i="2"/>
  <c r="BJ179" i="2"/>
  <c r="BK179" i="2"/>
  <c r="BL179" i="2"/>
  <c r="BM179" i="2"/>
  <c r="BN179" i="2"/>
  <c r="BO179" i="2"/>
  <c r="BP179" i="2"/>
  <c r="BQ179" i="2"/>
  <c r="BA180" i="2"/>
  <c r="BB180" i="2"/>
  <c r="BC180" i="2"/>
  <c r="BD180" i="2"/>
  <c r="BE180" i="2"/>
  <c r="BF180" i="2"/>
  <c r="BG180" i="2"/>
  <c r="BH180" i="2"/>
  <c r="BI180" i="2"/>
  <c r="BJ180" i="2"/>
  <c r="BK180" i="2"/>
  <c r="BL180" i="2"/>
  <c r="BM180" i="2"/>
  <c r="BN180" i="2"/>
  <c r="BO180" i="2"/>
  <c r="BP180" i="2"/>
  <c r="BQ180" i="2"/>
  <c r="BA181" i="2"/>
  <c r="BB181" i="2"/>
  <c r="BC181" i="2"/>
  <c r="BD181" i="2"/>
  <c r="BE181" i="2"/>
  <c r="BF181" i="2"/>
  <c r="BG181" i="2"/>
  <c r="BH181" i="2"/>
  <c r="BI181" i="2"/>
  <c r="BJ181" i="2"/>
  <c r="BK181" i="2"/>
  <c r="BL181" i="2"/>
  <c r="BM181" i="2"/>
  <c r="BN181" i="2"/>
  <c r="BO181" i="2"/>
  <c r="BP181" i="2"/>
  <c r="BQ181" i="2"/>
  <c r="BA182" i="2"/>
  <c r="BB182" i="2"/>
  <c r="BC182" i="2"/>
  <c r="BD182" i="2"/>
  <c r="BE182" i="2"/>
  <c r="BF182" i="2"/>
  <c r="BG182" i="2"/>
  <c r="BH182" i="2"/>
  <c r="BI182" i="2"/>
  <c r="BJ182" i="2"/>
  <c r="BK182" i="2"/>
  <c r="BL182" i="2"/>
  <c r="BM182" i="2"/>
  <c r="BN182" i="2"/>
  <c r="BO182" i="2"/>
  <c r="BP182" i="2"/>
  <c r="BQ182" i="2"/>
  <c r="BA183" i="2"/>
  <c r="BB183" i="2"/>
  <c r="BC183" i="2"/>
  <c r="BD183" i="2"/>
  <c r="BE183" i="2"/>
  <c r="BF183" i="2"/>
  <c r="BG183" i="2"/>
  <c r="BH183" i="2"/>
  <c r="BI183" i="2"/>
  <c r="BJ183" i="2"/>
  <c r="BK183" i="2"/>
  <c r="BL183" i="2"/>
  <c r="BM183" i="2"/>
  <c r="BN183" i="2"/>
  <c r="BO183" i="2"/>
  <c r="BP183" i="2"/>
  <c r="BQ183" i="2"/>
  <c r="BA184" i="2"/>
  <c r="BB184" i="2"/>
  <c r="BC184" i="2"/>
  <c r="BD184" i="2"/>
  <c r="BE184" i="2"/>
  <c r="BF184" i="2"/>
  <c r="BG184" i="2"/>
  <c r="BH184" i="2"/>
  <c r="BI184" i="2"/>
  <c r="BJ184" i="2"/>
  <c r="BK184" i="2"/>
  <c r="BL184" i="2"/>
  <c r="BM184" i="2"/>
  <c r="BN184" i="2"/>
  <c r="BO184" i="2"/>
  <c r="BP184" i="2"/>
  <c r="BQ184" i="2"/>
  <c r="BA185" i="2"/>
  <c r="BB185" i="2"/>
  <c r="BC185" i="2"/>
  <c r="BD185" i="2"/>
  <c r="BE185" i="2"/>
  <c r="BF185" i="2"/>
  <c r="BG185" i="2"/>
  <c r="BH185" i="2"/>
  <c r="BI185" i="2"/>
  <c r="BJ185" i="2"/>
  <c r="BK185" i="2"/>
  <c r="BL185" i="2"/>
  <c r="BM185" i="2"/>
  <c r="BN185" i="2"/>
  <c r="BO185" i="2"/>
  <c r="BP185" i="2"/>
  <c r="BQ185" i="2"/>
  <c r="BA186" i="2"/>
  <c r="BB186" i="2"/>
  <c r="BC186" i="2"/>
  <c r="BD186" i="2"/>
  <c r="BE186" i="2"/>
  <c r="BF186" i="2"/>
  <c r="BG186" i="2"/>
  <c r="BH186" i="2"/>
  <c r="BI186" i="2"/>
  <c r="BJ186" i="2"/>
  <c r="BK186" i="2"/>
  <c r="BL186" i="2"/>
  <c r="BM186" i="2"/>
  <c r="BN186" i="2"/>
  <c r="BO186" i="2"/>
  <c r="BP186" i="2"/>
  <c r="BQ186" i="2"/>
  <c r="BA187" i="2"/>
  <c r="BB187" i="2"/>
  <c r="BC187" i="2"/>
  <c r="BD187" i="2"/>
  <c r="BE187" i="2"/>
  <c r="BF187" i="2"/>
  <c r="BG187" i="2"/>
  <c r="BH187" i="2"/>
  <c r="BI187" i="2"/>
  <c r="BJ187" i="2"/>
  <c r="BK187" i="2"/>
  <c r="BL187" i="2"/>
  <c r="BM187" i="2"/>
  <c r="BN187" i="2"/>
  <c r="BO187" i="2"/>
  <c r="BP187" i="2"/>
  <c r="BQ187" i="2"/>
  <c r="BA188" i="2"/>
  <c r="BB188" i="2"/>
  <c r="BC188" i="2"/>
  <c r="BD188" i="2"/>
  <c r="BE188" i="2"/>
  <c r="BF188" i="2"/>
  <c r="BG188" i="2"/>
  <c r="BH188" i="2"/>
  <c r="BI188" i="2"/>
  <c r="BJ188" i="2"/>
  <c r="BK188" i="2"/>
  <c r="BL188" i="2"/>
  <c r="BM188" i="2"/>
  <c r="BN188" i="2"/>
  <c r="BO188" i="2"/>
  <c r="BP188" i="2"/>
  <c r="BQ188" i="2"/>
  <c r="BA189" i="2"/>
  <c r="BB189" i="2"/>
  <c r="BC189" i="2"/>
  <c r="BD189" i="2"/>
  <c r="BE189" i="2"/>
  <c r="BF189" i="2"/>
  <c r="BG189" i="2"/>
  <c r="BH189" i="2"/>
  <c r="BI189" i="2"/>
  <c r="BJ189" i="2"/>
  <c r="BK189" i="2"/>
  <c r="BL189" i="2"/>
  <c r="BM189" i="2"/>
  <c r="BN189" i="2"/>
  <c r="BO189" i="2"/>
  <c r="BP189" i="2"/>
  <c r="BQ189" i="2"/>
  <c r="BA190" i="2"/>
  <c r="BB190" i="2"/>
  <c r="BC190" i="2"/>
  <c r="BD190" i="2"/>
  <c r="BE190" i="2"/>
  <c r="BF190" i="2"/>
  <c r="BG190" i="2"/>
  <c r="BH190" i="2"/>
  <c r="BI190" i="2"/>
  <c r="BJ190" i="2"/>
  <c r="BK190" i="2"/>
  <c r="BL190" i="2"/>
  <c r="BM190" i="2"/>
  <c r="BN190" i="2"/>
  <c r="BO190" i="2"/>
  <c r="BP190" i="2"/>
  <c r="BQ190" i="2"/>
  <c r="BA191" i="2"/>
  <c r="BB191" i="2"/>
  <c r="BC191" i="2"/>
  <c r="BD191" i="2"/>
  <c r="BE191" i="2"/>
  <c r="BF191" i="2"/>
  <c r="BG191" i="2"/>
  <c r="BH191" i="2"/>
  <c r="BI191" i="2"/>
  <c r="BJ191" i="2"/>
  <c r="BK191" i="2"/>
  <c r="BL191" i="2"/>
  <c r="BM191" i="2"/>
  <c r="BN191" i="2"/>
  <c r="BO191" i="2"/>
  <c r="BP191" i="2"/>
  <c r="BQ191" i="2"/>
  <c r="BA192" i="2"/>
  <c r="BB192" i="2"/>
  <c r="BC192" i="2"/>
  <c r="BD192" i="2"/>
  <c r="BE192" i="2"/>
  <c r="BF192" i="2"/>
  <c r="BG192" i="2"/>
  <c r="BH192" i="2"/>
  <c r="BI192" i="2"/>
  <c r="BJ192" i="2"/>
  <c r="BK192" i="2"/>
  <c r="BL192" i="2"/>
  <c r="BM192" i="2"/>
  <c r="BN192" i="2"/>
  <c r="BO192" i="2"/>
  <c r="BP192" i="2"/>
  <c r="BQ192" i="2"/>
  <c r="BA193" i="2"/>
  <c r="BB193" i="2"/>
  <c r="BC193" i="2"/>
  <c r="BD193" i="2"/>
  <c r="BE193" i="2"/>
  <c r="BF193" i="2"/>
  <c r="BG193" i="2"/>
  <c r="BH193" i="2"/>
  <c r="BI193" i="2"/>
  <c r="BJ193" i="2"/>
  <c r="BK193" i="2"/>
  <c r="BL193" i="2"/>
  <c r="BM193" i="2"/>
  <c r="BN193" i="2"/>
  <c r="BO193" i="2"/>
  <c r="BP193" i="2"/>
  <c r="BQ193" i="2"/>
  <c r="BA194" i="2"/>
  <c r="BB194" i="2"/>
  <c r="BC194" i="2"/>
  <c r="BD194" i="2"/>
  <c r="BE194" i="2"/>
  <c r="BF194" i="2"/>
  <c r="BG194" i="2"/>
  <c r="BH194" i="2"/>
  <c r="BI194" i="2"/>
  <c r="BJ194" i="2"/>
  <c r="BK194" i="2"/>
  <c r="BL194" i="2"/>
  <c r="BM194" i="2"/>
  <c r="BN194" i="2"/>
  <c r="BO194" i="2"/>
  <c r="BP194" i="2"/>
  <c r="BQ194" i="2"/>
  <c r="BA195" i="2"/>
  <c r="BB195" i="2"/>
  <c r="BC195" i="2"/>
  <c r="BD195" i="2"/>
  <c r="BE195" i="2"/>
  <c r="BF195" i="2"/>
  <c r="BG195" i="2"/>
  <c r="BH195" i="2"/>
  <c r="BI195" i="2"/>
  <c r="BJ195" i="2"/>
  <c r="BK195" i="2"/>
  <c r="BL195" i="2"/>
  <c r="BM195" i="2"/>
  <c r="BN195" i="2"/>
  <c r="BO195" i="2"/>
  <c r="BP195" i="2"/>
  <c r="BQ195" i="2"/>
  <c r="BA196" i="2"/>
  <c r="BB196" i="2"/>
  <c r="BC196" i="2"/>
  <c r="BD196" i="2"/>
  <c r="BE196" i="2"/>
  <c r="BF196" i="2"/>
  <c r="BG196" i="2"/>
  <c r="BH196" i="2"/>
  <c r="BI196" i="2"/>
  <c r="BJ196" i="2"/>
  <c r="BK196" i="2"/>
  <c r="BL196" i="2"/>
  <c r="BM196" i="2"/>
  <c r="BN196" i="2"/>
  <c r="BO196" i="2"/>
  <c r="BP196" i="2"/>
  <c r="BQ196" i="2"/>
  <c r="BA197" i="2"/>
  <c r="BB197" i="2"/>
  <c r="BC197" i="2"/>
  <c r="BD197" i="2"/>
  <c r="BE197" i="2"/>
  <c r="BF197" i="2"/>
  <c r="BG197" i="2"/>
  <c r="BH197" i="2"/>
  <c r="BI197" i="2"/>
  <c r="BJ197" i="2"/>
  <c r="BK197" i="2"/>
  <c r="BL197" i="2"/>
  <c r="BM197" i="2"/>
  <c r="BN197" i="2"/>
  <c r="BO197" i="2"/>
  <c r="BP197" i="2"/>
  <c r="BQ197" i="2"/>
  <c r="BA198" i="2"/>
  <c r="BB198" i="2"/>
  <c r="BC198" i="2"/>
  <c r="BD198" i="2"/>
  <c r="BE198" i="2"/>
  <c r="BF198" i="2"/>
  <c r="BG198" i="2"/>
  <c r="BH198" i="2"/>
  <c r="BI198" i="2"/>
  <c r="BJ198" i="2"/>
  <c r="BK198" i="2"/>
  <c r="BL198" i="2"/>
  <c r="BM198" i="2"/>
  <c r="BN198" i="2"/>
  <c r="BO198" i="2"/>
  <c r="BP198" i="2"/>
  <c r="BQ198" i="2"/>
  <c r="BA199" i="2"/>
  <c r="BB199" i="2"/>
  <c r="BC199" i="2"/>
  <c r="BD199" i="2"/>
  <c r="BE199" i="2"/>
  <c r="BF199" i="2"/>
  <c r="BG199" i="2"/>
  <c r="BH199" i="2"/>
  <c r="BI199" i="2"/>
  <c r="BJ199" i="2"/>
  <c r="BK199" i="2"/>
  <c r="BL199" i="2"/>
  <c r="BM199" i="2"/>
  <c r="BN199" i="2"/>
  <c r="BO199" i="2"/>
  <c r="BP199" i="2"/>
  <c r="BQ199" i="2"/>
  <c r="BA200" i="2"/>
  <c r="BB200" i="2"/>
  <c r="BC200" i="2"/>
  <c r="BD200" i="2"/>
  <c r="BE200" i="2"/>
  <c r="BF200" i="2"/>
  <c r="BG200" i="2"/>
  <c r="BH200" i="2"/>
  <c r="BI200" i="2"/>
  <c r="BJ200" i="2"/>
  <c r="BK200" i="2"/>
  <c r="BL200" i="2"/>
  <c r="BM200" i="2"/>
  <c r="BN200" i="2"/>
  <c r="BO200" i="2"/>
  <c r="BP200" i="2"/>
  <c r="BQ200" i="2"/>
  <c r="BA201" i="2"/>
  <c r="BB201" i="2"/>
  <c r="BC201" i="2"/>
  <c r="BD201" i="2"/>
  <c r="BE201" i="2"/>
  <c r="BF201" i="2"/>
  <c r="BG201" i="2"/>
  <c r="BH201" i="2"/>
  <c r="BI201" i="2"/>
  <c r="BJ201" i="2"/>
  <c r="BK201" i="2"/>
  <c r="BL201" i="2"/>
  <c r="BM201" i="2"/>
  <c r="BN201" i="2"/>
  <c r="BO201" i="2"/>
  <c r="BP201" i="2"/>
  <c r="BQ201" i="2"/>
  <c r="BA202" i="2"/>
  <c r="BB202" i="2"/>
  <c r="BC202" i="2"/>
  <c r="BD202" i="2"/>
  <c r="BE202" i="2"/>
  <c r="BF202" i="2"/>
  <c r="BG202" i="2"/>
  <c r="BH202" i="2"/>
  <c r="BI202" i="2"/>
  <c r="BJ202" i="2"/>
  <c r="BK202" i="2"/>
  <c r="BL202" i="2"/>
  <c r="BM202" i="2"/>
  <c r="BN202" i="2"/>
  <c r="BO202" i="2"/>
  <c r="BP202" i="2"/>
  <c r="BQ202" i="2"/>
  <c r="BA203" i="2"/>
  <c r="BB203" i="2"/>
  <c r="BC203" i="2"/>
  <c r="BD203" i="2"/>
  <c r="BE203" i="2"/>
  <c r="BF203" i="2"/>
  <c r="BG203" i="2"/>
  <c r="BH203" i="2"/>
  <c r="BI203" i="2"/>
  <c r="BJ203" i="2"/>
  <c r="BK203" i="2"/>
  <c r="BL203" i="2"/>
  <c r="BM203" i="2"/>
  <c r="BN203" i="2"/>
  <c r="BO203" i="2"/>
  <c r="BP203" i="2"/>
  <c r="BQ203" i="2"/>
  <c r="BA204" i="2"/>
  <c r="BB204" i="2"/>
  <c r="BC204" i="2"/>
  <c r="BD204" i="2"/>
  <c r="BE204" i="2"/>
  <c r="BF204" i="2"/>
  <c r="BG204" i="2"/>
  <c r="BH204" i="2"/>
  <c r="BI204" i="2"/>
  <c r="BJ204" i="2"/>
  <c r="BK204" i="2"/>
  <c r="BL204" i="2"/>
  <c r="BM204" i="2"/>
  <c r="BN204" i="2"/>
  <c r="BO204" i="2"/>
  <c r="BP204" i="2"/>
  <c r="BQ204" i="2"/>
  <c r="BA205" i="2"/>
  <c r="BB205" i="2"/>
  <c r="BC205" i="2"/>
  <c r="BD205" i="2"/>
  <c r="BE205" i="2"/>
  <c r="BF205" i="2"/>
  <c r="BG205" i="2"/>
  <c r="BH205" i="2"/>
  <c r="BI205" i="2"/>
  <c r="BJ205" i="2"/>
  <c r="BK205" i="2"/>
  <c r="BL205" i="2"/>
  <c r="BM205" i="2"/>
  <c r="BN205" i="2"/>
  <c r="BO205" i="2"/>
  <c r="BP205" i="2"/>
  <c r="BQ205" i="2"/>
  <c r="BA206" i="2"/>
  <c r="BB206" i="2"/>
  <c r="BC206" i="2"/>
  <c r="BD206" i="2"/>
  <c r="BE206" i="2"/>
  <c r="BF206" i="2"/>
  <c r="BG206" i="2"/>
  <c r="BH206" i="2"/>
  <c r="BI206" i="2"/>
  <c r="BJ206" i="2"/>
  <c r="BK206" i="2"/>
  <c r="BL206" i="2"/>
  <c r="BM206" i="2"/>
  <c r="BN206" i="2"/>
  <c r="BO206" i="2"/>
  <c r="BP206" i="2"/>
  <c r="BQ206" i="2"/>
  <c r="BA207" i="2"/>
  <c r="BB207" i="2"/>
  <c r="BC207" i="2"/>
  <c r="BD207" i="2"/>
  <c r="BE207" i="2"/>
  <c r="BF207" i="2"/>
  <c r="BG207" i="2"/>
  <c r="BH207" i="2"/>
  <c r="BI207" i="2"/>
  <c r="BJ207" i="2"/>
  <c r="BK207" i="2"/>
  <c r="BL207" i="2"/>
  <c r="BM207" i="2"/>
  <c r="BN207" i="2"/>
  <c r="BO207" i="2"/>
  <c r="BP207" i="2"/>
  <c r="BQ207" i="2"/>
  <c r="BA208" i="2"/>
  <c r="BB208" i="2"/>
  <c r="BC208" i="2"/>
  <c r="BD208" i="2"/>
  <c r="BE208" i="2"/>
  <c r="BF208" i="2"/>
  <c r="BG208" i="2"/>
  <c r="BH208" i="2"/>
  <c r="BI208" i="2"/>
  <c r="BJ208" i="2"/>
  <c r="BK208" i="2"/>
  <c r="BL208" i="2"/>
  <c r="BM208" i="2"/>
  <c r="BN208" i="2"/>
  <c r="BO208" i="2"/>
  <c r="BP208" i="2"/>
  <c r="BQ208" i="2"/>
  <c r="BA209" i="2"/>
  <c r="BB209" i="2"/>
  <c r="BC209" i="2"/>
  <c r="BD209" i="2"/>
  <c r="BE209" i="2"/>
  <c r="BF209" i="2"/>
  <c r="BG209" i="2"/>
  <c r="BH209" i="2"/>
  <c r="BI209" i="2"/>
  <c r="BJ209" i="2"/>
  <c r="BK209" i="2"/>
  <c r="BL209" i="2"/>
  <c r="BM209" i="2"/>
  <c r="BN209" i="2"/>
  <c r="BO209" i="2"/>
  <c r="BP209" i="2"/>
  <c r="BQ209" i="2"/>
  <c r="BA210" i="2"/>
  <c r="BB210" i="2"/>
  <c r="BC210" i="2"/>
  <c r="BD210" i="2"/>
  <c r="BE210" i="2"/>
  <c r="BF210" i="2"/>
  <c r="BG210" i="2"/>
  <c r="BH210" i="2"/>
  <c r="BI210" i="2"/>
  <c r="BJ210" i="2"/>
  <c r="BK210" i="2"/>
  <c r="BL210" i="2"/>
  <c r="BM210" i="2"/>
  <c r="BN210" i="2"/>
  <c r="BO210" i="2"/>
  <c r="BP210" i="2"/>
  <c r="BQ210" i="2"/>
  <c r="BA211" i="2"/>
  <c r="BB211" i="2"/>
  <c r="BC211" i="2"/>
  <c r="BD211" i="2"/>
  <c r="BE211" i="2"/>
  <c r="BF211" i="2"/>
  <c r="BG211" i="2"/>
  <c r="BH211" i="2"/>
  <c r="BI211" i="2"/>
  <c r="BJ211" i="2"/>
  <c r="BK211" i="2"/>
  <c r="BL211" i="2"/>
  <c r="BM211" i="2"/>
  <c r="BN211" i="2"/>
  <c r="BO211" i="2"/>
  <c r="BP211" i="2"/>
  <c r="BQ211" i="2"/>
  <c r="BA212" i="2"/>
  <c r="BB212" i="2"/>
  <c r="BC212" i="2"/>
  <c r="BD212" i="2"/>
  <c r="BE212" i="2"/>
  <c r="BF212" i="2"/>
  <c r="BG212" i="2"/>
  <c r="BH212" i="2"/>
  <c r="BI212" i="2"/>
  <c r="BJ212" i="2"/>
  <c r="BK212" i="2"/>
  <c r="BL212" i="2"/>
  <c r="BM212" i="2"/>
  <c r="BN212" i="2"/>
  <c r="BO212" i="2"/>
  <c r="BP212" i="2"/>
  <c r="BQ212" i="2"/>
  <c r="BA213" i="2"/>
  <c r="BB213" i="2"/>
  <c r="BC213" i="2"/>
  <c r="BD213" i="2"/>
  <c r="BE213" i="2"/>
  <c r="BF213" i="2"/>
  <c r="BG213" i="2"/>
  <c r="BH213" i="2"/>
  <c r="BI213" i="2"/>
  <c r="BJ213" i="2"/>
  <c r="BK213" i="2"/>
  <c r="BL213" i="2"/>
  <c r="BM213" i="2"/>
  <c r="BN213" i="2"/>
  <c r="BO213" i="2"/>
  <c r="BP213" i="2"/>
  <c r="BQ213" i="2"/>
  <c r="BA214" i="2"/>
  <c r="BB214" i="2"/>
  <c r="BC214" i="2"/>
  <c r="BD214" i="2"/>
  <c r="BE214" i="2"/>
  <c r="BF214" i="2"/>
  <c r="BG214" i="2"/>
  <c r="BH214" i="2"/>
  <c r="BI214" i="2"/>
  <c r="BJ214" i="2"/>
  <c r="BK214" i="2"/>
  <c r="BL214" i="2"/>
  <c r="BM214" i="2"/>
  <c r="BN214" i="2"/>
  <c r="BO214" i="2"/>
  <c r="BP214" i="2"/>
  <c r="BQ214" i="2"/>
  <c r="BA215" i="2"/>
  <c r="BB215" i="2"/>
  <c r="BC215" i="2"/>
  <c r="BD215" i="2"/>
  <c r="BE215" i="2"/>
  <c r="BF215" i="2"/>
  <c r="BG215" i="2"/>
  <c r="BH215" i="2"/>
  <c r="BI215" i="2"/>
  <c r="BJ215" i="2"/>
  <c r="BK215" i="2"/>
  <c r="BL215" i="2"/>
  <c r="BM215" i="2"/>
  <c r="BN215" i="2"/>
  <c r="BO215" i="2"/>
  <c r="BP215" i="2"/>
  <c r="BQ215" i="2"/>
  <c r="BA216" i="2"/>
  <c r="BB216" i="2"/>
  <c r="BC216" i="2"/>
  <c r="BD216" i="2"/>
  <c r="BE216" i="2"/>
  <c r="BF216" i="2"/>
  <c r="BG216" i="2"/>
  <c r="BH216" i="2"/>
  <c r="BI216" i="2"/>
  <c r="BJ216" i="2"/>
  <c r="BK216" i="2"/>
  <c r="BL216" i="2"/>
  <c r="BM216" i="2"/>
  <c r="BN216" i="2"/>
  <c r="BO216" i="2"/>
  <c r="BP216" i="2"/>
  <c r="BQ216" i="2"/>
  <c r="BA217" i="2"/>
  <c r="BB217" i="2"/>
  <c r="BC217" i="2"/>
  <c r="BD217" i="2"/>
  <c r="BE217" i="2"/>
  <c r="BF217" i="2"/>
  <c r="BG217" i="2"/>
  <c r="BH217" i="2"/>
  <c r="BI217" i="2"/>
  <c r="BJ217" i="2"/>
  <c r="BK217" i="2"/>
  <c r="BL217" i="2"/>
  <c r="BM217" i="2"/>
  <c r="BN217" i="2"/>
  <c r="BO217" i="2"/>
  <c r="BP217" i="2"/>
  <c r="BQ217" i="2"/>
  <c r="BA218" i="2"/>
  <c r="BB218" i="2"/>
  <c r="BC218" i="2"/>
  <c r="BD218" i="2"/>
  <c r="BE218" i="2"/>
  <c r="BF218" i="2"/>
  <c r="BG218" i="2"/>
  <c r="BH218" i="2"/>
  <c r="BI218" i="2"/>
  <c r="BJ218" i="2"/>
  <c r="BK218" i="2"/>
  <c r="BL218" i="2"/>
  <c r="BM218" i="2"/>
  <c r="BN218" i="2"/>
  <c r="BO218" i="2"/>
  <c r="BP218" i="2"/>
  <c r="BQ218" i="2"/>
  <c r="BA219" i="2"/>
  <c r="BB219" i="2"/>
  <c r="BC219" i="2"/>
  <c r="BD219" i="2"/>
  <c r="BE219" i="2"/>
  <c r="BF219" i="2"/>
  <c r="BG219" i="2"/>
  <c r="BH219" i="2"/>
  <c r="BI219" i="2"/>
  <c r="BJ219" i="2"/>
  <c r="BK219" i="2"/>
  <c r="BL219" i="2"/>
  <c r="BM219" i="2"/>
  <c r="BN219" i="2"/>
  <c r="BO219" i="2"/>
  <c r="BP219" i="2"/>
  <c r="BQ219" i="2"/>
  <c r="BA220" i="2"/>
  <c r="BB220" i="2"/>
  <c r="BC220" i="2"/>
  <c r="BD220" i="2"/>
  <c r="BE220" i="2"/>
  <c r="BF220" i="2"/>
  <c r="BG220" i="2"/>
  <c r="BH220" i="2"/>
  <c r="BI220" i="2"/>
  <c r="BJ220" i="2"/>
  <c r="BK220" i="2"/>
  <c r="BL220" i="2"/>
  <c r="BM220" i="2"/>
  <c r="BN220" i="2"/>
  <c r="BO220" i="2"/>
  <c r="BP220" i="2"/>
  <c r="BQ220" i="2"/>
  <c r="BA221" i="2"/>
  <c r="BB221" i="2"/>
  <c r="BC221" i="2"/>
  <c r="BD221" i="2"/>
  <c r="BE221" i="2"/>
  <c r="BF221" i="2"/>
  <c r="BG221" i="2"/>
  <c r="BH221" i="2"/>
  <c r="BI221" i="2"/>
  <c r="BJ221" i="2"/>
  <c r="BK221" i="2"/>
  <c r="BL221" i="2"/>
  <c r="BM221" i="2"/>
  <c r="BN221" i="2"/>
  <c r="BO221" i="2"/>
  <c r="BP221" i="2"/>
  <c r="BQ221" i="2"/>
  <c r="BA222" i="2"/>
  <c r="BB222" i="2"/>
  <c r="BC222" i="2"/>
  <c r="BD222" i="2"/>
  <c r="BE222" i="2"/>
  <c r="BF222" i="2"/>
  <c r="BG222" i="2"/>
  <c r="BH222" i="2"/>
  <c r="BI222" i="2"/>
  <c r="BJ222" i="2"/>
  <c r="BK222" i="2"/>
  <c r="BL222" i="2"/>
  <c r="BM222" i="2"/>
  <c r="BN222" i="2"/>
  <c r="BO222" i="2"/>
  <c r="BP222" i="2"/>
  <c r="BQ222" i="2"/>
  <c r="BA223" i="2"/>
  <c r="BB223" i="2"/>
  <c r="BC223" i="2"/>
  <c r="BD223" i="2"/>
  <c r="BE223" i="2"/>
  <c r="BF223" i="2"/>
  <c r="BG223" i="2"/>
  <c r="BH223" i="2"/>
  <c r="BI223" i="2"/>
  <c r="BJ223" i="2"/>
  <c r="BK223" i="2"/>
  <c r="BL223" i="2"/>
  <c r="BM223" i="2"/>
  <c r="BN223" i="2"/>
  <c r="BO223" i="2"/>
  <c r="BP223" i="2"/>
  <c r="BQ223" i="2"/>
  <c r="BA224" i="2"/>
  <c r="BB224" i="2"/>
  <c r="BC224" i="2"/>
  <c r="BD224" i="2"/>
  <c r="BE224" i="2"/>
  <c r="BF224" i="2"/>
  <c r="BG224" i="2"/>
  <c r="BH224" i="2"/>
  <c r="BI224" i="2"/>
  <c r="BJ224" i="2"/>
  <c r="BK224" i="2"/>
  <c r="BL224" i="2"/>
  <c r="BM224" i="2"/>
  <c r="BN224" i="2"/>
  <c r="BO224" i="2"/>
  <c r="BP224" i="2"/>
  <c r="BQ224" i="2"/>
  <c r="BA225" i="2"/>
  <c r="BB225" i="2"/>
  <c r="BC225" i="2"/>
  <c r="BD225" i="2"/>
  <c r="BE225" i="2"/>
  <c r="BF225" i="2"/>
  <c r="BG225" i="2"/>
  <c r="BH225" i="2"/>
  <c r="BI225" i="2"/>
  <c r="BJ225" i="2"/>
  <c r="BK225" i="2"/>
  <c r="BL225" i="2"/>
  <c r="BM225" i="2"/>
  <c r="BN225" i="2"/>
  <c r="BO225" i="2"/>
  <c r="BP225" i="2"/>
  <c r="BQ225" i="2"/>
  <c r="BA226" i="2"/>
  <c r="BB226" i="2"/>
  <c r="BC226" i="2"/>
  <c r="BD226" i="2"/>
  <c r="BE226" i="2"/>
  <c r="BF226" i="2"/>
  <c r="BG226" i="2"/>
  <c r="BH226" i="2"/>
  <c r="BI226" i="2"/>
  <c r="BJ226" i="2"/>
  <c r="BK226" i="2"/>
  <c r="BL226" i="2"/>
  <c r="BM226" i="2"/>
  <c r="BN226" i="2"/>
  <c r="BO226" i="2"/>
  <c r="BP226" i="2"/>
  <c r="BQ226" i="2"/>
  <c r="BA227" i="2"/>
  <c r="BB227" i="2"/>
  <c r="BC227" i="2"/>
  <c r="BD227" i="2"/>
  <c r="BE227" i="2"/>
  <c r="BF227" i="2"/>
  <c r="BG227" i="2"/>
  <c r="BH227" i="2"/>
  <c r="BI227" i="2"/>
  <c r="BJ227" i="2"/>
  <c r="BK227" i="2"/>
  <c r="BL227" i="2"/>
  <c r="BM227" i="2"/>
  <c r="BN227" i="2"/>
  <c r="BO227" i="2"/>
  <c r="BP227" i="2"/>
  <c r="BQ227" i="2"/>
  <c r="BA228" i="2"/>
  <c r="BB228" i="2"/>
  <c r="BC228" i="2"/>
  <c r="BD228" i="2"/>
  <c r="BE228" i="2"/>
  <c r="BF228" i="2"/>
  <c r="BG228" i="2"/>
  <c r="BH228" i="2"/>
  <c r="BI228" i="2"/>
  <c r="BJ228" i="2"/>
  <c r="BK228" i="2"/>
  <c r="BL228" i="2"/>
  <c r="BM228" i="2"/>
  <c r="BN228" i="2"/>
  <c r="BO228" i="2"/>
  <c r="BP228" i="2"/>
  <c r="BQ228" i="2"/>
  <c r="BA229" i="2"/>
  <c r="BB229" i="2"/>
  <c r="BC229" i="2"/>
  <c r="BD229" i="2"/>
  <c r="BE229" i="2"/>
  <c r="BF229" i="2"/>
  <c r="BG229" i="2"/>
  <c r="BH229" i="2"/>
  <c r="BI229" i="2"/>
  <c r="BJ229" i="2"/>
  <c r="BK229" i="2"/>
  <c r="BL229" i="2"/>
  <c r="BM229" i="2"/>
  <c r="BN229" i="2"/>
  <c r="BO229" i="2"/>
  <c r="BP229" i="2"/>
  <c r="BQ229" i="2"/>
  <c r="BA230" i="2"/>
  <c r="BB230" i="2"/>
  <c r="BC230" i="2"/>
  <c r="BD230" i="2"/>
  <c r="BE230" i="2"/>
  <c r="BF230" i="2"/>
  <c r="BG230" i="2"/>
  <c r="BH230" i="2"/>
  <c r="BI230" i="2"/>
  <c r="BJ230" i="2"/>
  <c r="BK230" i="2"/>
  <c r="BL230" i="2"/>
  <c r="BM230" i="2"/>
  <c r="BN230" i="2"/>
  <c r="BO230" i="2"/>
  <c r="BP230" i="2"/>
  <c r="BQ230" i="2"/>
  <c r="BA231" i="2"/>
  <c r="BB231" i="2"/>
  <c r="BC231" i="2"/>
  <c r="BD231" i="2"/>
  <c r="BE231" i="2"/>
  <c r="BF231" i="2"/>
  <c r="BG231" i="2"/>
  <c r="BH231" i="2"/>
  <c r="BI231" i="2"/>
  <c r="BJ231" i="2"/>
  <c r="BK231" i="2"/>
  <c r="BL231" i="2"/>
  <c r="BM231" i="2"/>
  <c r="BN231" i="2"/>
  <c r="BO231" i="2"/>
  <c r="BP231" i="2"/>
  <c r="BQ231" i="2"/>
  <c r="BA232" i="2"/>
  <c r="BB232" i="2"/>
  <c r="BC232" i="2"/>
  <c r="BD232" i="2"/>
  <c r="BE232" i="2"/>
  <c r="BF232" i="2"/>
  <c r="BG232" i="2"/>
  <c r="BH232" i="2"/>
  <c r="BI232" i="2"/>
  <c r="BJ232" i="2"/>
  <c r="BK232" i="2"/>
  <c r="BL232" i="2"/>
  <c r="BM232" i="2"/>
  <c r="BN232" i="2"/>
  <c r="BO232" i="2"/>
  <c r="BP232" i="2"/>
  <c r="BQ232" i="2"/>
  <c r="BA233" i="2"/>
  <c r="BB233" i="2"/>
  <c r="BC233" i="2"/>
  <c r="BD233" i="2"/>
  <c r="BE233" i="2"/>
  <c r="BF233" i="2"/>
  <c r="BG233" i="2"/>
  <c r="BH233" i="2"/>
  <c r="BI233" i="2"/>
  <c r="BJ233" i="2"/>
  <c r="BK233" i="2"/>
  <c r="BL233" i="2"/>
  <c r="BM233" i="2"/>
  <c r="BN233" i="2"/>
  <c r="BO233" i="2"/>
  <c r="BP233" i="2"/>
  <c r="BQ233" i="2"/>
  <c r="BA234" i="2"/>
  <c r="BB234" i="2"/>
  <c r="BC234" i="2"/>
  <c r="BD234" i="2"/>
  <c r="BE234" i="2"/>
  <c r="BF234" i="2"/>
  <c r="BG234" i="2"/>
  <c r="BH234" i="2"/>
  <c r="BI234" i="2"/>
  <c r="BJ234" i="2"/>
  <c r="BK234" i="2"/>
  <c r="BL234" i="2"/>
  <c r="BM234" i="2"/>
  <c r="BN234" i="2"/>
  <c r="BO234" i="2"/>
  <c r="BP234" i="2"/>
  <c r="BQ234" i="2"/>
  <c r="BA235" i="2"/>
  <c r="BB235" i="2"/>
  <c r="BC235" i="2"/>
  <c r="BD235" i="2"/>
  <c r="BE235" i="2"/>
  <c r="BF235" i="2"/>
  <c r="BG235" i="2"/>
  <c r="BH235" i="2"/>
  <c r="BI235" i="2"/>
  <c r="BJ235" i="2"/>
  <c r="BK235" i="2"/>
  <c r="BL235" i="2"/>
  <c r="BM235" i="2"/>
  <c r="BN235" i="2"/>
  <c r="BO235" i="2"/>
  <c r="BP235" i="2"/>
  <c r="BQ235" i="2"/>
  <c r="BA236" i="2"/>
  <c r="BB236" i="2"/>
  <c r="BC236" i="2"/>
  <c r="BD236" i="2"/>
  <c r="BE236" i="2"/>
  <c r="BF236" i="2"/>
  <c r="BG236" i="2"/>
  <c r="BH236" i="2"/>
  <c r="BI236" i="2"/>
  <c r="BJ236" i="2"/>
  <c r="BK236" i="2"/>
  <c r="BL236" i="2"/>
  <c r="BM236" i="2"/>
  <c r="BN236" i="2"/>
  <c r="BO236" i="2"/>
  <c r="BP236" i="2"/>
  <c r="BQ236" i="2"/>
  <c r="BA237" i="2"/>
  <c r="BB237" i="2"/>
  <c r="BC237" i="2"/>
  <c r="BD237" i="2"/>
  <c r="BE237" i="2"/>
  <c r="BF237" i="2"/>
  <c r="BG237" i="2"/>
  <c r="BH237" i="2"/>
  <c r="BI237" i="2"/>
  <c r="BJ237" i="2"/>
  <c r="BK237" i="2"/>
  <c r="BL237" i="2"/>
  <c r="BM237" i="2"/>
  <c r="BN237" i="2"/>
  <c r="BO237" i="2"/>
  <c r="BP237" i="2"/>
  <c r="BQ237" i="2"/>
  <c r="BA238" i="2"/>
  <c r="BB238" i="2"/>
  <c r="BC238" i="2"/>
  <c r="BD238" i="2"/>
  <c r="BE238" i="2"/>
  <c r="BF238" i="2"/>
  <c r="BG238" i="2"/>
  <c r="BH238" i="2"/>
  <c r="BI238" i="2"/>
  <c r="BJ238" i="2"/>
  <c r="BK238" i="2"/>
  <c r="BL238" i="2"/>
  <c r="BM238" i="2"/>
  <c r="BN238" i="2"/>
  <c r="BO238" i="2"/>
  <c r="BP238" i="2"/>
  <c r="BQ238" i="2"/>
  <c r="BA239" i="2"/>
  <c r="BB239" i="2"/>
  <c r="BC239" i="2"/>
  <c r="BD239" i="2"/>
  <c r="BE239" i="2"/>
  <c r="BF239" i="2"/>
  <c r="BG239" i="2"/>
  <c r="BH239" i="2"/>
  <c r="BI239" i="2"/>
  <c r="BJ239" i="2"/>
  <c r="BK239" i="2"/>
  <c r="BL239" i="2"/>
  <c r="BM239" i="2"/>
  <c r="BN239" i="2"/>
  <c r="BO239" i="2"/>
  <c r="BP239" i="2"/>
  <c r="BQ239" i="2"/>
  <c r="BA240" i="2"/>
  <c r="BB240" i="2"/>
  <c r="BC240" i="2"/>
  <c r="BD240" i="2"/>
  <c r="BE240" i="2"/>
  <c r="BF240" i="2"/>
  <c r="BG240" i="2"/>
  <c r="BH240" i="2"/>
  <c r="BI240" i="2"/>
  <c r="BJ240" i="2"/>
  <c r="BK240" i="2"/>
  <c r="BL240" i="2"/>
  <c r="BM240" i="2"/>
  <c r="BN240" i="2"/>
  <c r="BO240" i="2"/>
  <c r="BP240" i="2"/>
  <c r="BQ240" i="2"/>
  <c r="BA241" i="2"/>
  <c r="BB241" i="2"/>
  <c r="BC241" i="2"/>
  <c r="BD241" i="2"/>
  <c r="BE241" i="2"/>
  <c r="BF241" i="2"/>
  <c r="BG241" i="2"/>
  <c r="BH241" i="2"/>
  <c r="BI241" i="2"/>
  <c r="BJ241" i="2"/>
  <c r="BK241" i="2"/>
  <c r="BL241" i="2"/>
  <c r="BM241" i="2"/>
  <c r="BN241" i="2"/>
  <c r="BO241" i="2"/>
  <c r="BP241" i="2"/>
  <c r="BQ241" i="2"/>
  <c r="BA242" i="2"/>
  <c r="BB242" i="2"/>
  <c r="BC242" i="2"/>
  <c r="BD242" i="2"/>
  <c r="BE242" i="2"/>
  <c r="BF242" i="2"/>
  <c r="BG242" i="2"/>
  <c r="BH242" i="2"/>
  <c r="BI242" i="2"/>
  <c r="BJ242" i="2"/>
  <c r="BK242" i="2"/>
  <c r="BL242" i="2"/>
  <c r="BM242" i="2"/>
  <c r="BN242" i="2"/>
  <c r="BO242" i="2"/>
  <c r="BP242" i="2"/>
  <c r="BQ242" i="2"/>
  <c r="BA243" i="2"/>
  <c r="BB243" i="2"/>
  <c r="BC243" i="2"/>
  <c r="BD243" i="2"/>
  <c r="BE243" i="2"/>
  <c r="BF243" i="2"/>
  <c r="BG243" i="2"/>
  <c r="BH243" i="2"/>
  <c r="BI243" i="2"/>
  <c r="BJ243" i="2"/>
  <c r="BK243" i="2"/>
  <c r="BL243" i="2"/>
  <c r="BM243" i="2"/>
  <c r="BN243" i="2"/>
  <c r="BO243" i="2"/>
  <c r="BP243" i="2"/>
  <c r="BQ243" i="2"/>
  <c r="BA244" i="2"/>
  <c r="BB244" i="2"/>
  <c r="BC244" i="2"/>
  <c r="BD244" i="2"/>
  <c r="BE244" i="2"/>
  <c r="BF244" i="2"/>
  <c r="BG244" i="2"/>
  <c r="BH244" i="2"/>
  <c r="BI244" i="2"/>
  <c r="BJ244" i="2"/>
  <c r="BK244" i="2"/>
  <c r="BL244" i="2"/>
  <c r="BM244" i="2"/>
  <c r="BN244" i="2"/>
  <c r="BO244" i="2"/>
  <c r="BP244" i="2"/>
  <c r="BQ244" i="2"/>
  <c r="BA245" i="2"/>
  <c r="BB245" i="2"/>
  <c r="BC245" i="2"/>
  <c r="BD245" i="2"/>
  <c r="BE245" i="2"/>
  <c r="BF245" i="2"/>
  <c r="BG245" i="2"/>
  <c r="BH245" i="2"/>
  <c r="BI245" i="2"/>
  <c r="BJ245" i="2"/>
  <c r="BK245" i="2"/>
  <c r="BL245" i="2"/>
  <c r="BM245" i="2"/>
  <c r="BN245" i="2"/>
  <c r="BO245" i="2"/>
  <c r="BP245" i="2"/>
  <c r="BQ245" i="2"/>
  <c r="BA246" i="2"/>
  <c r="BB246" i="2"/>
  <c r="BC246" i="2"/>
  <c r="BD246" i="2"/>
  <c r="BE246" i="2"/>
  <c r="BF246" i="2"/>
  <c r="BG246" i="2"/>
  <c r="BH246" i="2"/>
  <c r="BI246" i="2"/>
  <c r="BJ246" i="2"/>
  <c r="BK246" i="2"/>
  <c r="BL246" i="2"/>
  <c r="BM246" i="2"/>
  <c r="BN246" i="2"/>
  <c r="BO246" i="2"/>
  <c r="BP246" i="2"/>
  <c r="BQ246" i="2"/>
  <c r="BA247" i="2"/>
  <c r="BB247" i="2"/>
  <c r="BC247" i="2"/>
  <c r="BD247" i="2"/>
  <c r="BE247" i="2"/>
  <c r="BF247" i="2"/>
  <c r="BG247" i="2"/>
  <c r="BH247" i="2"/>
  <c r="BI247" i="2"/>
  <c r="BJ247" i="2"/>
  <c r="BK247" i="2"/>
  <c r="BL247" i="2"/>
  <c r="BM247" i="2"/>
  <c r="BN247" i="2"/>
  <c r="BO247" i="2"/>
  <c r="BP247" i="2"/>
  <c r="BQ247" i="2"/>
  <c r="BA248" i="2"/>
  <c r="BB248" i="2"/>
  <c r="BC248" i="2"/>
  <c r="BD248" i="2"/>
  <c r="BE248" i="2"/>
  <c r="BF248" i="2"/>
  <c r="BG248" i="2"/>
  <c r="BH248" i="2"/>
  <c r="BI248" i="2"/>
  <c r="BJ248" i="2"/>
  <c r="BK248" i="2"/>
  <c r="BL248" i="2"/>
  <c r="BM248" i="2"/>
  <c r="BN248" i="2"/>
  <c r="BO248" i="2"/>
  <c r="BP248" i="2"/>
  <c r="BQ248" i="2"/>
  <c r="BA249" i="2"/>
  <c r="BB249" i="2"/>
  <c r="BC249" i="2"/>
  <c r="BD249" i="2"/>
  <c r="BE249" i="2"/>
  <c r="BF249" i="2"/>
  <c r="BG249" i="2"/>
  <c r="BH249" i="2"/>
  <c r="BI249" i="2"/>
  <c r="BJ249" i="2"/>
  <c r="BK249" i="2"/>
  <c r="BL249" i="2"/>
  <c r="BM249" i="2"/>
  <c r="BN249" i="2"/>
  <c r="BO249" i="2"/>
  <c r="BP249" i="2"/>
  <c r="BQ249" i="2"/>
  <c r="BA250" i="2"/>
  <c r="BB250" i="2"/>
  <c r="BC250" i="2"/>
  <c r="BD250" i="2"/>
  <c r="BE250" i="2"/>
  <c r="BF250" i="2"/>
  <c r="BG250" i="2"/>
  <c r="BH250" i="2"/>
  <c r="BI250" i="2"/>
  <c r="BJ250" i="2"/>
  <c r="BK250" i="2"/>
  <c r="BL250" i="2"/>
  <c r="BM250" i="2"/>
  <c r="BN250" i="2"/>
  <c r="BO250" i="2"/>
  <c r="BP250" i="2"/>
  <c r="BQ250" i="2"/>
  <c r="BA251" i="2"/>
  <c r="BB251" i="2"/>
  <c r="BC251" i="2"/>
  <c r="BD251" i="2"/>
  <c r="BE251" i="2"/>
  <c r="BF251" i="2"/>
  <c r="BG251" i="2"/>
  <c r="BH251" i="2"/>
  <c r="BI251" i="2"/>
  <c r="BJ251" i="2"/>
  <c r="BK251" i="2"/>
  <c r="BL251" i="2"/>
  <c r="BM251" i="2"/>
  <c r="BN251" i="2"/>
  <c r="BO251" i="2"/>
  <c r="BP251" i="2"/>
  <c r="BQ251" i="2"/>
  <c r="BA252" i="2"/>
  <c r="BB252" i="2"/>
  <c r="BC252" i="2"/>
  <c r="BD252" i="2"/>
  <c r="BE252" i="2"/>
  <c r="BF252" i="2"/>
  <c r="BG252" i="2"/>
  <c r="BH252" i="2"/>
  <c r="BI252" i="2"/>
  <c r="BJ252" i="2"/>
  <c r="BK252" i="2"/>
  <c r="BL252" i="2"/>
  <c r="BM252" i="2"/>
  <c r="BN252" i="2"/>
  <c r="BO252" i="2"/>
  <c r="BP252" i="2"/>
  <c r="BQ252" i="2"/>
  <c r="BA253" i="2"/>
  <c r="BB253" i="2"/>
  <c r="BC253" i="2"/>
  <c r="BD253" i="2"/>
  <c r="BE253" i="2"/>
  <c r="BF253" i="2"/>
  <c r="BG253" i="2"/>
  <c r="BH253" i="2"/>
  <c r="BI253" i="2"/>
  <c r="BJ253" i="2"/>
  <c r="BK253" i="2"/>
  <c r="BL253" i="2"/>
  <c r="BM253" i="2"/>
  <c r="BN253" i="2"/>
  <c r="BO253" i="2"/>
  <c r="BP253" i="2"/>
  <c r="BQ253" i="2"/>
  <c r="BA254" i="2"/>
  <c r="BB254" i="2"/>
  <c r="BC254" i="2"/>
  <c r="BD254" i="2"/>
  <c r="BE254" i="2"/>
  <c r="BF254" i="2"/>
  <c r="BG254" i="2"/>
  <c r="BH254" i="2"/>
  <c r="BI254" i="2"/>
  <c r="BJ254" i="2"/>
  <c r="BK254" i="2"/>
  <c r="BL254" i="2"/>
  <c r="BM254" i="2"/>
  <c r="BN254" i="2"/>
  <c r="BO254" i="2"/>
  <c r="BP254" i="2"/>
  <c r="BQ254" i="2"/>
  <c r="BA258" i="2"/>
  <c r="BB258" i="2"/>
  <c r="BC258" i="2"/>
  <c r="BD258" i="2"/>
  <c r="BE258" i="2"/>
  <c r="BF258" i="2"/>
  <c r="BG258" i="2"/>
  <c r="BH258" i="2"/>
  <c r="BI258" i="2"/>
  <c r="BJ258" i="2"/>
  <c r="BK258" i="2"/>
  <c r="BL258" i="2"/>
  <c r="BM258" i="2"/>
  <c r="BN258" i="2"/>
  <c r="BO258" i="2"/>
  <c r="BP258" i="2"/>
  <c r="BQ258" i="2"/>
  <c r="BA259" i="2"/>
  <c r="BB259" i="2"/>
  <c r="BC259" i="2"/>
  <c r="BD259" i="2"/>
  <c r="BE259" i="2"/>
  <c r="BF259" i="2"/>
  <c r="BG259" i="2"/>
  <c r="BH259" i="2"/>
  <c r="BI259" i="2"/>
  <c r="BJ259" i="2"/>
  <c r="BK259" i="2"/>
  <c r="BL259" i="2"/>
  <c r="BM259" i="2"/>
  <c r="BN259" i="2"/>
  <c r="BO259" i="2"/>
  <c r="BP259" i="2"/>
  <c r="BQ259" i="2"/>
  <c r="BA260" i="2"/>
  <c r="BB260" i="2"/>
  <c r="BC260" i="2"/>
  <c r="BD260" i="2"/>
  <c r="BE260" i="2"/>
  <c r="BF260" i="2"/>
  <c r="BG260" i="2"/>
  <c r="BH260" i="2"/>
  <c r="BI260" i="2"/>
  <c r="BJ260" i="2"/>
  <c r="BK260" i="2"/>
  <c r="BL260" i="2"/>
  <c r="BM260" i="2"/>
  <c r="BN260" i="2"/>
  <c r="BO260" i="2"/>
  <c r="BP260" i="2"/>
  <c r="BQ260" i="2"/>
  <c r="BA261" i="2"/>
  <c r="BB261" i="2"/>
  <c r="BC261" i="2"/>
  <c r="BD261" i="2"/>
  <c r="BE261" i="2"/>
  <c r="BF261" i="2"/>
  <c r="BG261" i="2"/>
  <c r="BH261" i="2"/>
  <c r="BI261" i="2"/>
  <c r="BJ261" i="2"/>
  <c r="BK261" i="2"/>
  <c r="BL261" i="2"/>
  <c r="BM261" i="2"/>
  <c r="BN261" i="2"/>
  <c r="BO261" i="2"/>
  <c r="BP261" i="2"/>
  <c r="BQ261" i="2"/>
  <c r="BA262" i="2"/>
  <c r="BB262" i="2"/>
  <c r="BC262" i="2"/>
  <c r="BD262" i="2"/>
  <c r="BE262" i="2"/>
  <c r="BF262" i="2"/>
  <c r="BG262" i="2"/>
  <c r="BH262" i="2"/>
  <c r="BI262" i="2"/>
  <c r="BJ262" i="2"/>
  <c r="BK262" i="2"/>
  <c r="BL262" i="2"/>
  <c r="BM262" i="2"/>
  <c r="BN262" i="2"/>
  <c r="BO262" i="2"/>
  <c r="BP262" i="2"/>
  <c r="BQ262" i="2"/>
  <c r="BA263" i="2"/>
  <c r="BB263" i="2"/>
  <c r="BC263" i="2"/>
  <c r="BD263" i="2"/>
  <c r="BE263" i="2"/>
  <c r="BF263" i="2"/>
  <c r="BG263" i="2"/>
  <c r="BH263" i="2"/>
  <c r="BI263" i="2"/>
  <c r="BJ263" i="2"/>
  <c r="BK263" i="2"/>
  <c r="BL263" i="2"/>
  <c r="BM263" i="2"/>
  <c r="BN263" i="2"/>
  <c r="BO263" i="2"/>
  <c r="BP263" i="2"/>
  <c r="BQ263" i="2"/>
  <c r="BA264" i="2"/>
  <c r="BB264" i="2"/>
  <c r="BC264" i="2"/>
  <c r="BD264" i="2"/>
  <c r="BE264" i="2"/>
  <c r="BF264" i="2"/>
  <c r="BG264" i="2"/>
  <c r="BH264" i="2"/>
  <c r="BI264" i="2"/>
  <c r="BJ264" i="2"/>
  <c r="BK264" i="2"/>
  <c r="BL264" i="2"/>
  <c r="BM264" i="2"/>
  <c r="BN264" i="2"/>
  <c r="BO264" i="2"/>
  <c r="BP264" i="2"/>
  <c r="BQ264" i="2"/>
  <c r="BA265" i="2"/>
  <c r="BB265" i="2"/>
  <c r="BC265" i="2"/>
  <c r="BD265" i="2"/>
  <c r="BE265" i="2"/>
  <c r="BF265" i="2"/>
  <c r="BG265" i="2"/>
  <c r="BH265" i="2"/>
  <c r="BI265" i="2"/>
  <c r="BJ265" i="2"/>
  <c r="BK265" i="2"/>
  <c r="BL265" i="2"/>
  <c r="BM265" i="2"/>
  <c r="BN265" i="2"/>
  <c r="BO265" i="2"/>
  <c r="BP265" i="2"/>
  <c r="BQ265" i="2"/>
  <c r="BA266" i="2"/>
  <c r="BB266" i="2"/>
  <c r="BC266" i="2"/>
  <c r="BD266" i="2"/>
  <c r="BE266" i="2"/>
  <c r="BF266" i="2"/>
  <c r="BG266" i="2"/>
  <c r="BH266" i="2"/>
  <c r="BI266" i="2"/>
  <c r="BJ266" i="2"/>
  <c r="BK266" i="2"/>
  <c r="BL266" i="2"/>
  <c r="BM266" i="2"/>
  <c r="BN266" i="2"/>
  <c r="BO266" i="2"/>
  <c r="BP266" i="2"/>
  <c r="BQ266" i="2"/>
  <c r="BA267" i="2"/>
  <c r="BB267" i="2"/>
  <c r="BC267" i="2"/>
  <c r="BD267" i="2"/>
  <c r="BE267" i="2"/>
  <c r="BF267" i="2"/>
  <c r="BG267" i="2"/>
  <c r="BH267" i="2"/>
  <c r="BI267" i="2"/>
  <c r="BJ267" i="2"/>
  <c r="BK267" i="2"/>
  <c r="BL267" i="2"/>
  <c r="BM267" i="2"/>
  <c r="BN267" i="2"/>
  <c r="BO267" i="2"/>
  <c r="BP267" i="2"/>
  <c r="BQ267" i="2"/>
  <c r="BA268" i="2"/>
  <c r="BB268" i="2"/>
  <c r="BC268" i="2"/>
  <c r="BD268" i="2"/>
  <c r="BE268" i="2"/>
  <c r="BF268" i="2"/>
  <c r="BG268" i="2"/>
  <c r="BH268" i="2"/>
  <c r="BI268" i="2"/>
  <c r="BJ268" i="2"/>
  <c r="BK268" i="2"/>
  <c r="BL268" i="2"/>
  <c r="BM268" i="2"/>
  <c r="BN268" i="2"/>
  <c r="BO268" i="2"/>
  <c r="BP268" i="2"/>
  <c r="BQ268" i="2"/>
  <c r="BA269" i="2"/>
  <c r="BB269" i="2"/>
  <c r="BC269" i="2"/>
  <c r="BD269" i="2"/>
  <c r="BE269" i="2"/>
  <c r="BF269" i="2"/>
  <c r="BG269" i="2"/>
  <c r="BH269" i="2"/>
  <c r="BI269" i="2"/>
  <c r="BJ269" i="2"/>
  <c r="BK269" i="2"/>
  <c r="BL269" i="2"/>
  <c r="BM269" i="2"/>
  <c r="BN269" i="2"/>
  <c r="BO269" i="2"/>
  <c r="BP269" i="2"/>
  <c r="BQ269" i="2"/>
  <c r="BA270" i="2"/>
  <c r="BB270" i="2"/>
  <c r="BC270" i="2"/>
  <c r="BD270" i="2"/>
  <c r="BE270" i="2"/>
  <c r="BF270" i="2"/>
  <c r="BG270" i="2"/>
  <c r="BH270" i="2"/>
  <c r="BI270" i="2"/>
  <c r="BJ270" i="2"/>
  <c r="BK270" i="2"/>
  <c r="BL270" i="2"/>
  <c r="BM270" i="2"/>
  <c r="BN270" i="2"/>
  <c r="BO270" i="2"/>
  <c r="BP270" i="2"/>
  <c r="BQ270" i="2"/>
  <c r="BA271" i="2"/>
  <c r="BB271" i="2"/>
  <c r="BC271" i="2"/>
  <c r="BD271" i="2"/>
  <c r="BE271" i="2"/>
  <c r="BF271" i="2"/>
  <c r="BG271" i="2"/>
  <c r="BH271" i="2"/>
  <c r="BI271" i="2"/>
  <c r="BJ271" i="2"/>
  <c r="BK271" i="2"/>
  <c r="BL271" i="2"/>
  <c r="BM271" i="2"/>
  <c r="BN271" i="2"/>
  <c r="BO271" i="2"/>
  <c r="BP271" i="2"/>
  <c r="BQ271" i="2"/>
  <c r="BA272" i="2"/>
  <c r="BB272" i="2"/>
  <c r="BC272" i="2"/>
  <c r="BD272" i="2"/>
  <c r="BE272" i="2"/>
  <c r="BF272" i="2"/>
  <c r="BG272" i="2"/>
  <c r="BH272" i="2"/>
  <c r="BI272" i="2"/>
  <c r="BJ272" i="2"/>
  <c r="BK272" i="2"/>
  <c r="BL272" i="2"/>
  <c r="BM272" i="2"/>
  <c r="BN272" i="2"/>
  <c r="BO272" i="2"/>
  <c r="BP272" i="2"/>
  <c r="BQ272" i="2"/>
  <c r="BA273" i="2"/>
  <c r="BB273" i="2"/>
  <c r="BC273" i="2"/>
  <c r="BD273" i="2"/>
  <c r="BE273" i="2"/>
  <c r="BF273" i="2"/>
  <c r="BG273" i="2"/>
  <c r="BH273" i="2"/>
  <c r="BI273" i="2"/>
  <c r="BJ273" i="2"/>
  <c r="BK273" i="2"/>
  <c r="BL273" i="2"/>
  <c r="BM273" i="2"/>
  <c r="BN273" i="2"/>
  <c r="BO273" i="2"/>
  <c r="BP273" i="2"/>
  <c r="BQ273" i="2"/>
  <c r="BA274" i="2"/>
  <c r="BB274" i="2"/>
  <c r="BC274" i="2"/>
  <c r="BD274" i="2"/>
  <c r="BE274" i="2"/>
  <c r="BF274" i="2"/>
  <c r="BG274" i="2"/>
  <c r="BH274" i="2"/>
  <c r="BI274" i="2"/>
  <c r="BJ274" i="2"/>
  <c r="BK274" i="2"/>
  <c r="BL274" i="2"/>
  <c r="BM274" i="2"/>
  <c r="BN274" i="2"/>
  <c r="BO274" i="2"/>
  <c r="BP274" i="2"/>
  <c r="BQ274" i="2"/>
  <c r="BA275" i="2"/>
  <c r="BB275" i="2"/>
  <c r="BC275" i="2"/>
  <c r="BD275" i="2"/>
  <c r="BE275" i="2"/>
  <c r="BF275" i="2"/>
  <c r="BG275" i="2"/>
  <c r="BH275" i="2"/>
  <c r="BI275" i="2"/>
  <c r="BJ275" i="2"/>
  <c r="BK275" i="2"/>
  <c r="BL275" i="2"/>
  <c r="BM275" i="2"/>
  <c r="BN275" i="2"/>
  <c r="BO275" i="2"/>
  <c r="BP275" i="2"/>
  <c r="BQ275" i="2"/>
  <c r="BA276" i="2"/>
  <c r="BB276" i="2"/>
  <c r="BC276" i="2"/>
  <c r="BD276" i="2"/>
  <c r="BE276" i="2"/>
  <c r="BF276" i="2"/>
  <c r="BG276" i="2"/>
  <c r="BH276" i="2"/>
  <c r="BI276" i="2"/>
  <c r="BJ276" i="2"/>
  <c r="BK276" i="2"/>
  <c r="BL276" i="2"/>
  <c r="BM276" i="2"/>
  <c r="BN276" i="2"/>
  <c r="BO276" i="2"/>
  <c r="BP276" i="2"/>
  <c r="BQ276" i="2"/>
  <c r="BA277" i="2"/>
  <c r="BB277" i="2"/>
  <c r="BC277" i="2"/>
  <c r="BD277" i="2"/>
  <c r="BE277" i="2"/>
  <c r="BF277" i="2"/>
  <c r="BG277" i="2"/>
  <c r="BH277" i="2"/>
  <c r="BI277" i="2"/>
  <c r="BJ277" i="2"/>
  <c r="BK277" i="2"/>
  <c r="BL277" i="2"/>
  <c r="BM277" i="2"/>
  <c r="BN277" i="2"/>
  <c r="BO277" i="2"/>
  <c r="BP277" i="2"/>
  <c r="BQ277" i="2"/>
  <c r="BA278" i="2"/>
  <c r="BB278" i="2"/>
  <c r="BC278" i="2"/>
  <c r="BD278" i="2"/>
  <c r="BE278" i="2"/>
  <c r="BF278" i="2"/>
  <c r="BG278" i="2"/>
  <c r="BH278" i="2"/>
  <c r="BI278" i="2"/>
  <c r="BJ278" i="2"/>
  <c r="BK278" i="2"/>
  <c r="BL278" i="2"/>
  <c r="BM278" i="2"/>
  <c r="BN278" i="2"/>
  <c r="BO278" i="2"/>
  <c r="BP278" i="2"/>
  <c r="BQ278" i="2"/>
  <c r="BA279" i="2"/>
  <c r="BB279" i="2"/>
  <c r="BC279" i="2"/>
  <c r="BD279" i="2"/>
  <c r="BE279" i="2"/>
  <c r="BF279" i="2"/>
  <c r="BG279" i="2"/>
  <c r="BH279" i="2"/>
  <c r="BI279" i="2"/>
  <c r="BJ279" i="2"/>
  <c r="BK279" i="2"/>
  <c r="BL279" i="2"/>
  <c r="BM279" i="2"/>
  <c r="BN279" i="2"/>
  <c r="BO279" i="2"/>
  <c r="BP279" i="2"/>
  <c r="BQ279" i="2"/>
  <c r="BA280" i="2"/>
  <c r="BB280" i="2"/>
  <c r="BC280" i="2"/>
  <c r="BD280" i="2"/>
  <c r="BE280" i="2"/>
  <c r="BF280" i="2"/>
  <c r="BG280" i="2"/>
  <c r="BH280" i="2"/>
  <c r="BI280" i="2"/>
  <c r="BJ280" i="2"/>
  <c r="BK280" i="2"/>
  <c r="BL280" i="2"/>
  <c r="BM280" i="2"/>
  <c r="BN280" i="2"/>
  <c r="BO280" i="2"/>
  <c r="BP280" i="2"/>
  <c r="BQ280" i="2"/>
  <c r="BA281" i="2"/>
  <c r="BB281" i="2"/>
  <c r="BC281" i="2"/>
  <c r="BD281" i="2"/>
  <c r="BE281" i="2"/>
  <c r="BF281" i="2"/>
  <c r="BG281" i="2"/>
  <c r="BH281" i="2"/>
  <c r="BI281" i="2"/>
  <c r="BJ281" i="2"/>
  <c r="BK281" i="2"/>
  <c r="BL281" i="2"/>
  <c r="BM281" i="2"/>
  <c r="BN281" i="2"/>
  <c r="BO281" i="2"/>
  <c r="BP281" i="2"/>
  <c r="BQ281" i="2"/>
  <c r="BA282" i="2"/>
  <c r="BB282" i="2"/>
  <c r="BC282" i="2"/>
  <c r="BD282" i="2"/>
  <c r="BE282" i="2"/>
  <c r="BF282" i="2"/>
  <c r="BG282" i="2"/>
  <c r="BH282" i="2"/>
  <c r="BI282" i="2"/>
  <c r="BJ282" i="2"/>
  <c r="BK282" i="2"/>
  <c r="BL282" i="2"/>
  <c r="BM282" i="2"/>
  <c r="BN282" i="2"/>
  <c r="BO282" i="2"/>
  <c r="BP282" i="2"/>
  <c r="BQ282" i="2"/>
  <c r="BA283" i="2"/>
  <c r="BB283" i="2"/>
  <c r="BC283" i="2"/>
  <c r="BD283" i="2"/>
  <c r="BE283" i="2"/>
  <c r="BF283" i="2"/>
  <c r="BG283" i="2"/>
  <c r="BH283" i="2"/>
  <c r="BI283" i="2"/>
  <c r="BJ283" i="2"/>
  <c r="BK283" i="2"/>
  <c r="BL283" i="2"/>
  <c r="BM283" i="2"/>
  <c r="BN283" i="2"/>
  <c r="BO283" i="2"/>
  <c r="BP283" i="2"/>
  <c r="BQ283" i="2"/>
  <c r="BA284" i="2"/>
  <c r="BB284" i="2"/>
  <c r="BC284" i="2"/>
  <c r="BD284" i="2"/>
  <c r="BE284" i="2"/>
  <c r="BF284" i="2"/>
  <c r="BG284" i="2"/>
  <c r="BH284" i="2"/>
  <c r="BI284" i="2"/>
  <c r="BJ284" i="2"/>
  <c r="BK284" i="2"/>
  <c r="BL284" i="2"/>
  <c r="BM284" i="2"/>
  <c r="BN284" i="2"/>
  <c r="BO284" i="2"/>
  <c r="BP284" i="2"/>
  <c r="BQ284" i="2"/>
  <c r="BA285" i="2"/>
  <c r="BB285" i="2"/>
  <c r="BC285" i="2"/>
  <c r="BD285" i="2"/>
  <c r="BE285" i="2"/>
  <c r="BF285" i="2"/>
  <c r="BG285" i="2"/>
  <c r="BH285" i="2"/>
  <c r="BI285" i="2"/>
  <c r="BJ285" i="2"/>
  <c r="BK285" i="2"/>
  <c r="BL285" i="2"/>
  <c r="BM285" i="2"/>
  <c r="BN285" i="2"/>
  <c r="BO285" i="2"/>
  <c r="BP285" i="2"/>
  <c r="BQ285" i="2"/>
  <c r="BA286" i="2"/>
  <c r="BB286" i="2"/>
  <c r="BC286" i="2"/>
  <c r="BD286" i="2"/>
  <c r="BE286" i="2"/>
  <c r="BF286" i="2"/>
  <c r="BG286" i="2"/>
  <c r="BH286" i="2"/>
  <c r="BI286" i="2"/>
  <c r="BJ286" i="2"/>
  <c r="BK286" i="2"/>
  <c r="BL286" i="2"/>
  <c r="BM286" i="2"/>
  <c r="BN286" i="2"/>
  <c r="BO286" i="2"/>
  <c r="BP286" i="2"/>
  <c r="BQ286" i="2"/>
  <c r="BA287" i="2"/>
  <c r="BB287" i="2"/>
  <c r="BC287" i="2"/>
  <c r="BD287" i="2"/>
  <c r="BE287" i="2"/>
  <c r="BF287" i="2"/>
  <c r="BG287" i="2"/>
  <c r="BH287" i="2"/>
  <c r="BI287" i="2"/>
  <c r="BJ287" i="2"/>
  <c r="BK287" i="2"/>
  <c r="BL287" i="2"/>
  <c r="BM287" i="2"/>
  <c r="BN287" i="2"/>
  <c r="BO287" i="2"/>
  <c r="BP287" i="2"/>
  <c r="BQ287" i="2"/>
  <c r="BA288" i="2"/>
  <c r="BB288" i="2"/>
  <c r="BC288" i="2"/>
  <c r="BD288" i="2"/>
  <c r="BE288" i="2"/>
  <c r="BF288" i="2"/>
  <c r="BG288" i="2"/>
  <c r="BH288" i="2"/>
  <c r="BI288" i="2"/>
  <c r="BJ288" i="2"/>
  <c r="BK288" i="2"/>
  <c r="BL288" i="2"/>
  <c r="BM288" i="2"/>
  <c r="BN288" i="2"/>
  <c r="BO288" i="2"/>
  <c r="BP288" i="2"/>
  <c r="BQ288" i="2"/>
  <c r="BA289" i="2"/>
  <c r="BB289" i="2"/>
  <c r="BC289" i="2"/>
  <c r="BD289" i="2"/>
  <c r="BE289" i="2"/>
  <c r="BF289" i="2"/>
  <c r="BG289" i="2"/>
  <c r="BH289" i="2"/>
  <c r="BI289" i="2"/>
  <c r="BJ289" i="2"/>
  <c r="BK289" i="2"/>
  <c r="BL289" i="2"/>
  <c r="BM289" i="2"/>
  <c r="BN289" i="2"/>
  <c r="BO289" i="2"/>
  <c r="BP289" i="2"/>
  <c r="BQ289" i="2"/>
  <c r="BA290" i="2"/>
  <c r="BB290" i="2"/>
  <c r="BC290" i="2"/>
  <c r="BD290" i="2"/>
  <c r="BE290" i="2"/>
  <c r="BF290" i="2"/>
  <c r="BG290" i="2"/>
  <c r="BH290" i="2"/>
  <c r="BI290" i="2"/>
  <c r="BJ290" i="2"/>
  <c r="BK290" i="2"/>
  <c r="BL290" i="2"/>
  <c r="BM290" i="2"/>
  <c r="BN290" i="2"/>
  <c r="BO290" i="2"/>
  <c r="BP290" i="2"/>
  <c r="BQ290" i="2"/>
  <c r="BA291" i="2"/>
  <c r="BB291" i="2"/>
  <c r="BC291" i="2"/>
  <c r="BD291" i="2"/>
  <c r="BE291" i="2"/>
  <c r="BF291" i="2"/>
  <c r="BG291" i="2"/>
  <c r="BH291" i="2"/>
  <c r="BI291" i="2"/>
  <c r="BJ291" i="2"/>
  <c r="BK291" i="2"/>
  <c r="BL291" i="2"/>
  <c r="BM291" i="2"/>
  <c r="BN291" i="2"/>
  <c r="BO291" i="2"/>
  <c r="BP291" i="2"/>
  <c r="BQ291" i="2"/>
  <c r="BA292" i="2"/>
  <c r="BB292" i="2"/>
  <c r="BC292" i="2"/>
  <c r="BD292" i="2"/>
  <c r="BE292" i="2"/>
  <c r="BF292" i="2"/>
  <c r="BG292" i="2"/>
  <c r="BH292" i="2"/>
  <c r="BI292" i="2"/>
  <c r="BJ292" i="2"/>
  <c r="BK292" i="2"/>
  <c r="BL292" i="2"/>
  <c r="BM292" i="2"/>
  <c r="BN292" i="2"/>
  <c r="BO292" i="2"/>
  <c r="BP292" i="2"/>
  <c r="BQ292" i="2"/>
  <c r="BA293" i="2"/>
  <c r="BB293" i="2"/>
  <c r="BC293" i="2"/>
  <c r="BD293" i="2"/>
  <c r="BE293" i="2"/>
  <c r="BF293" i="2"/>
  <c r="BG293" i="2"/>
  <c r="BH293" i="2"/>
  <c r="BI293" i="2"/>
  <c r="BJ293" i="2"/>
  <c r="BK293" i="2"/>
  <c r="BL293" i="2"/>
  <c r="BM293" i="2"/>
  <c r="BN293" i="2"/>
  <c r="BO293" i="2"/>
  <c r="BP293" i="2"/>
  <c r="BQ293" i="2"/>
  <c r="BA294" i="2"/>
  <c r="BB294" i="2"/>
  <c r="BC294" i="2"/>
  <c r="BD294" i="2"/>
  <c r="BE294" i="2"/>
  <c r="BF294" i="2"/>
  <c r="BG294" i="2"/>
  <c r="BH294" i="2"/>
  <c r="BI294" i="2"/>
  <c r="BJ294" i="2"/>
  <c r="BK294" i="2"/>
  <c r="BL294" i="2"/>
  <c r="BM294" i="2"/>
  <c r="BN294" i="2"/>
  <c r="BO294" i="2"/>
  <c r="BP294" i="2"/>
  <c r="BQ294" i="2"/>
  <c r="BA295" i="2"/>
  <c r="BB295" i="2"/>
  <c r="BC295" i="2"/>
  <c r="BD295" i="2"/>
  <c r="BE295" i="2"/>
  <c r="BF295" i="2"/>
  <c r="BG295" i="2"/>
  <c r="BH295" i="2"/>
  <c r="BI295" i="2"/>
  <c r="BJ295" i="2"/>
  <c r="BK295" i="2"/>
  <c r="BL295" i="2"/>
  <c r="BM295" i="2"/>
  <c r="BN295" i="2"/>
  <c r="BO295" i="2"/>
  <c r="BP295" i="2"/>
  <c r="BQ295" i="2"/>
  <c r="BA296" i="2"/>
  <c r="BB296" i="2"/>
  <c r="BC296" i="2"/>
  <c r="BD296" i="2"/>
  <c r="BE296" i="2"/>
  <c r="BF296" i="2"/>
  <c r="BG296" i="2"/>
  <c r="BH296" i="2"/>
  <c r="BI296" i="2"/>
  <c r="BJ296" i="2"/>
  <c r="BK296" i="2"/>
  <c r="BL296" i="2"/>
  <c r="BM296" i="2"/>
  <c r="BN296" i="2"/>
  <c r="BO296" i="2"/>
  <c r="BP296" i="2"/>
  <c r="BQ296" i="2"/>
  <c r="BA297" i="2"/>
  <c r="BB297" i="2"/>
  <c r="BC297" i="2"/>
  <c r="BD297" i="2"/>
  <c r="BE297" i="2"/>
  <c r="BF297" i="2"/>
  <c r="BG297" i="2"/>
  <c r="BH297" i="2"/>
  <c r="BI297" i="2"/>
  <c r="BJ297" i="2"/>
  <c r="BK297" i="2"/>
  <c r="BL297" i="2"/>
  <c r="BM297" i="2"/>
  <c r="BN297" i="2"/>
  <c r="BO297" i="2"/>
  <c r="BP297" i="2"/>
  <c r="BQ297" i="2"/>
  <c r="BA298" i="2"/>
  <c r="BB298" i="2"/>
  <c r="BC298" i="2"/>
  <c r="BD298" i="2"/>
  <c r="BE298" i="2"/>
  <c r="BF298" i="2"/>
  <c r="BG298" i="2"/>
  <c r="BH298" i="2"/>
  <c r="BI298" i="2"/>
  <c r="BJ298" i="2"/>
  <c r="BK298" i="2"/>
  <c r="BL298" i="2"/>
  <c r="BM298" i="2"/>
  <c r="BN298" i="2"/>
  <c r="BO298" i="2"/>
  <c r="BP298" i="2"/>
  <c r="BQ298" i="2"/>
  <c r="BA299" i="2"/>
  <c r="BB299" i="2"/>
  <c r="BC299" i="2"/>
  <c r="BD299" i="2"/>
  <c r="BE299" i="2"/>
  <c r="BF299" i="2"/>
  <c r="BG299" i="2"/>
  <c r="BH299" i="2"/>
  <c r="BI299" i="2"/>
  <c r="BJ299" i="2"/>
  <c r="BK299" i="2"/>
  <c r="BL299" i="2"/>
  <c r="BM299" i="2"/>
  <c r="BN299" i="2"/>
  <c r="BO299" i="2"/>
  <c r="BP299" i="2"/>
  <c r="BQ299" i="2"/>
  <c r="BA300" i="2"/>
  <c r="BB300" i="2"/>
  <c r="BC300" i="2"/>
  <c r="BD300" i="2"/>
  <c r="BE300" i="2"/>
  <c r="BF300" i="2"/>
  <c r="BG300" i="2"/>
  <c r="BH300" i="2"/>
  <c r="BI300" i="2"/>
  <c r="BJ300" i="2"/>
  <c r="BK300" i="2"/>
  <c r="BL300" i="2"/>
  <c r="BM300" i="2"/>
  <c r="BN300" i="2"/>
  <c r="BO300" i="2"/>
  <c r="BP300" i="2"/>
  <c r="BQ300" i="2"/>
  <c r="BA301" i="2"/>
  <c r="BB301" i="2"/>
  <c r="BC301" i="2"/>
  <c r="BD301" i="2"/>
  <c r="BE301" i="2"/>
  <c r="BF301" i="2"/>
  <c r="BG301" i="2"/>
  <c r="BH301" i="2"/>
  <c r="BI301" i="2"/>
  <c r="BJ301" i="2"/>
  <c r="BK301" i="2"/>
  <c r="BL301" i="2"/>
  <c r="BM301" i="2"/>
  <c r="BN301" i="2"/>
  <c r="BO301" i="2"/>
  <c r="BP301" i="2"/>
  <c r="BQ301" i="2"/>
  <c r="BA302" i="2"/>
  <c r="BB302" i="2"/>
  <c r="BC302" i="2"/>
  <c r="BD302" i="2"/>
  <c r="BE302" i="2"/>
  <c r="BF302" i="2"/>
  <c r="BG302" i="2"/>
  <c r="BH302" i="2"/>
  <c r="BI302" i="2"/>
  <c r="BJ302" i="2"/>
  <c r="BK302" i="2"/>
  <c r="BL302" i="2"/>
  <c r="BM302" i="2"/>
  <c r="BN302" i="2"/>
  <c r="BO302" i="2"/>
  <c r="BP302" i="2"/>
  <c r="BQ302" i="2"/>
  <c r="BA303" i="2"/>
  <c r="BB303" i="2"/>
  <c r="BC303" i="2"/>
  <c r="BD303" i="2"/>
  <c r="BE303" i="2"/>
  <c r="BF303" i="2"/>
  <c r="BG303" i="2"/>
  <c r="BH303" i="2"/>
  <c r="BI303" i="2"/>
  <c r="BJ303" i="2"/>
  <c r="BK303" i="2"/>
  <c r="BL303" i="2"/>
  <c r="BM303" i="2"/>
  <c r="BN303" i="2"/>
  <c r="BO303" i="2"/>
  <c r="BP303" i="2"/>
  <c r="BQ303" i="2"/>
  <c r="BA304" i="2"/>
  <c r="BB304" i="2"/>
  <c r="BC304" i="2"/>
  <c r="BD304" i="2"/>
  <c r="BE304" i="2"/>
  <c r="BF304" i="2"/>
  <c r="BG304" i="2"/>
  <c r="BH304" i="2"/>
  <c r="BI304" i="2"/>
  <c r="BJ304" i="2"/>
  <c r="BK304" i="2"/>
  <c r="BL304" i="2"/>
  <c r="BM304" i="2"/>
  <c r="BN304" i="2"/>
  <c r="BO304" i="2"/>
  <c r="BP304" i="2"/>
  <c r="BQ304" i="2"/>
  <c r="BA305" i="2"/>
  <c r="BB305" i="2"/>
  <c r="BC305" i="2"/>
  <c r="BD305" i="2"/>
  <c r="BE305" i="2"/>
  <c r="BF305" i="2"/>
  <c r="BG305" i="2"/>
  <c r="BH305" i="2"/>
  <c r="BI305" i="2"/>
  <c r="BJ305" i="2"/>
  <c r="BK305" i="2"/>
  <c r="BL305" i="2"/>
  <c r="BM305" i="2"/>
  <c r="BN305" i="2"/>
  <c r="BO305" i="2"/>
  <c r="BP305" i="2"/>
  <c r="BQ305" i="2"/>
  <c r="BA306" i="2"/>
  <c r="BB306" i="2"/>
  <c r="BC306" i="2"/>
  <c r="BD306" i="2"/>
  <c r="BE306" i="2"/>
  <c r="BF306" i="2"/>
  <c r="BG306" i="2"/>
  <c r="BH306" i="2"/>
  <c r="BI306" i="2"/>
  <c r="BJ306" i="2"/>
  <c r="BK306" i="2"/>
  <c r="BL306" i="2"/>
  <c r="BM306" i="2"/>
  <c r="BN306" i="2"/>
  <c r="BO306" i="2"/>
  <c r="BP306" i="2"/>
  <c r="BQ306" i="2"/>
  <c r="BA307" i="2"/>
  <c r="BB307" i="2"/>
  <c r="BC307" i="2"/>
  <c r="BD307" i="2"/>
  <c r="BE307" i="2"/>
  <c r="BF307" i="2"/>
  <c r="BG307" i="2"/>
  <c r="BH307" i="2"/>
  <c r="BI307" i="2"/>
  <c r="BJ307" i="2"/>
  <c r="BK307" i="2"/>
  <c r="BL307" i="2"/>
  <c r="BM307" i="2"/>
  <c r="BN307" i="2"/>
  <c r="BO307" i="2"/>
  <c r="BP307" i="2"/>
  <c r="BQ307" i="2"/>
  <c r="BA308" i="2"/>
  <c r="BB308" i="2"/>
  <c r="BC308" i="2"/>
  <c r="BD308" i="2"/>
  <c r="BE308" i="2"/>
  <c r="BF308" i="2"/>
  <c r="BG308" i="2"/>
  <c r="BH308" i="2"/>
  <c r="BI308" i="2"/>
  <c r="BJ308" i="2"/>
  <c r="BK308" i="2"/>
  <c r="BL308" i="2"/>
  <c r="BM308" i="2"/>
  <c r="BN308" i="2"/>
  <c r="BO308" i="2"/>
  <c r="BP308" i="2"/>
  <c r="BQ308" i="2"/>
  <c r="BA309" i="2"/>
  <c r="BB309" i="2"/>
  <c r="BC309" i="2"/>
  <c r="BD309" i="2"/>
  <c r="BE309" i="2"/>
  <c r="BF309" i="2"/>
  <c r="BG309" i="2"/>
  <c r="BH309" i="2"/>
  <c r="BI309" i="2"/>
  <c r="BJ309" i="2"/>
  <c r="BK309" i="2"/>
  <c r="BL309" i="2"/>
  <c r="BM309" i="2"/>
  <c r="BN309" i="2"/>
  <c r="BO309" i="2"/>
  <c r="BP309" i="2"/>
  <c r="BQ309" i="2"/>
  <c r="BA310" i="2"/>
  <c r="BB310" i="2"/>
  <c r="BC310" i="2"/>
  <c r="BD310" i="2"/>
  <c r="BE310" i="2"/>
  <c r="BF310" i="2"/>
  <c r="BG310" i="2"/>
  <c r="BH310" i="2"/>
  <c r="BI310" i="2"/>
  <c r="BJ310" i="2"/>
  <c r="BK310" i="2"/>
  <c r="BL310" i="2"/>
  <c r="BM310" i="2"/>
  <c r="BN310" i="2"/>
  <c r="BO310" i="2"/>
  <c r="BP310" i="2"/>
  <c r="BQ310" i="2"/>
  <c r="BA311" i="2"/>
  <c r="BB311" i="2"/>
  <c r="BC311" i="2"/>
  <c r="BD311" i="2"/>
  <c r="BE311" i="2"/>
  <c r="BF311" i="2"/>
  <c r="BG311" i="2"/>
  <c r="BH311" i="2"/>
  <c r="BI311" i="2"/>
  <c r="BJ311" i="2"/>
  <c r="BK311" i="2"/>
  <c r="BL311" i="2"/>
  <c r="BM311" i="2"/>
  <c r="BN311" i="2"/>
  <c r="BO311" i="2"/>
  <c r="BP311" i="2"/>
  <c r="BQ311" i="2"/>
  <c r="BA312" i="2"/>
  <c r="BB312" i="2"/>
  <c r="BC312" i="2"/>
  <c r="BD312" i="2"/>
  <c r="BE312" i="2"/>
  <c r="BF312" i="2"/>
  <c r="BG312" i="2"/>
  <c r="BH312" i="2"/>
  <c r="BI312" i="2"/>
  <c r="BJ312" i="2"/>
  <c r="BK312" i="2"/>
  <c r="BL312" i="2"/>
  <c r="BM312" i="2"/>
  <c r="BN312" i="2"/>
  <c r="BO312" i="2"/>
  <c r="BP312" i="2"/>
  <c r="BQ312" i="2"/>
  <c r="BA313" i="2"/>
  <c r="BB313" i="2"/>
  <c r="BC313" i="2"/>
  <c r="BD313" i="2"/>
  <c r="BE313" i="2"/>
  <c r="BF313" i="2"/>
  <c r="BG313" i="2"/>
  <c r="BH313" i="2"/>
  <c r="BI313" i="2"/>
  <c r="BJ313" i="2"/>
  <c r="BK313" i="2"/>
  <c r="BL313" i="2"/>
  <c r="BM313" i="2"/>
  <c r="BN313" i="2"/>
  <c r="BO313" i="2"/>
  <c r="BP313" i="2"/>
  <c r="BQ313" i="2"/>
  <c r="BA314" i="2"/>
  <c r="BB314" i="2"/>
  <c r="BC314" i="2"/>
  <c r="BD314" i="2"/>
  <c r="BE314" i="2"/>
  <c r="BF314" i="2"/>
  <c r="BG314" i="2"/>
  <c r="BH314" i="2"/>
  <c r="BI314" i="2"/>
  <c r="BJ314" i="2"/>
  <c r="BK314" i="2"/>
  <c r="BL314" i="2"/>
  <c r="BM314" i="2"/>
  <c r="BN314" i="2"/>
  <c r="BO314" i="2"/>
  <c r="BP314" i="2"/>
  <c r="BQ314" i="2"/>
  <c r="BA315" i="2"/>
  <c r="BB315" i="2"/>
  <c r="BC315" i="2"/>
  <c r="BD315" i="2"/>
  <c r="BE315" i="2"/>
  <c r="BF315" i="2"/>
  <c r="BG315" i="2"/>
  <c r="BH315" i="2"/>
  <c r="BI315" i="2"/>
  <c r="BJ315" i="2"/>
  <c r="BK315" i="2"/>
  <c r="BL315" i="2"/>
  <c r="BM315" i="2"/>
  <c r="BN315" i="2"/>
  <c r="BO315" i="2"/>
  <c r="BP315" i="2"/>
  <c r="BQ315" i="2"/>
  <c r="BA316" i="2"/>
  <c r="BB316" i="2"/>
  <c r="BC316" i="2"/>
  <c r="BD316" i="2"/>
  <c r="BE316" i="2"/>
  <c r="BF316" i="2"/>
  <c r="BG316" i="2"/>
  <c r="BH316" i="2"/>
  <c r="BI316" i="2"/>
  <c r="BJ316" i="2"/>
  <c r="BK316" i="2"/>
  <c r="BL316" i="2"/>
  <c r="BM316" i="2"/>
  <c r="BN316" i="2"/>
  <c r="BO316" i="2"/>
  <c r="BP316" i="2"/>
  <c r="BQ316" i="2"/>
  <c r="BA317" i="2"/>
  <c r="BB317" i="2"/>
  <c r="BC317" i="2"/>
  <c r="BD317" i="2"/>
  <c r="BE317" i="2"/>
  <c r="BF317" i="2"/>
  <c r="BG317" i="2"/>
  <c r="BH317" i="2"/>
  <c r="BI317" i="2"/>
  <c r="BJ317" i="2"/>
  <c r="BK317" i="2"/>
  <c r="BL317" i="2"/>
  <c r="BM317" i="2"/>
  <c r="BN317" i="2"/>
  <c r="BO317" i="2"/>
  <c r="BP317" i="2"/>
  <c r="BQ317" i="2"/>
  <c r="BA318" i="2"/>
  <c r="BB318" i="2"/>
  <c r="BC318" i="2"/>
  <c r="BD318" i="2"/>
  <c r="BE318" i="2"/>
  <c r="BF318" i="2"/>
  <c r="BG318" i="2"/>
  <c r="BH318" i="2"/>
  <c r="BI318" i="2"/>
  <c r="BJ318" i="2"/>
  <c r="BK318" i="2"/>
  <c r="BL318" i="2"/>
  <c r="BM318" i="2"/>
  <c r="BN318" i="2"/>
  <c r="BO318" i="2"/>
  <c r="BP318" i="2"/>
  <c r="BQ318" i="2"/>
  <c r="BA319" i="2"/>
  <c r="BB319" i="2"/>
  <c r="BC319" i="2"/>
  <c r="BD319" i="2"/>
  <c r="BE319" i="2"/>
  <c r="BF319" i="2"/>
  <c r="BG319" i="2"/>
  <c r="BH319" i="2"/>
  <c r="BI319" i="2"/>
  <c r="BJ319" i="2"/>
  <c r="BK319" i="2"/>
  <c r="BL319" i="2"/>
  <c r="BM319" i="2"/>
  <c r="BN319" i="2"/>
  <c r="BO319" i="2"/>
  <c r="BP319" i="2"/>
  <c r="BQ319" i="2"/>
  <c r="BA320" i="2"/>
  <c r="BB320" i="2"/>
  <c r="BC320" i="2"/>
  <c r="BD320" i="2"/>
  <c r="BE320" i="2"/>
  <c r="BF320" i="2"/>
  <c r="BG320" i="2"/>
  <c r="BH320" i="2"/>
  <c r="BI320" i="2"/>
  <c r="BJ320" i="2"/>
  <c r="BK320" i="2"/>
  <c r="BL320" i="2"/>
  <c r="BM320" i="2"/>
  <c r="BN320" i="2"/>
  <c r="BO320" i="2"/>
  <c r="BP320" i="2"/>
  <c r="BQ320" i="2"/>
  <c r="BA321" i="2"/>
  <c r="BB321" i="2"/>
  <c r="BC321" i="2"/>
  <c r="BD321" i="2"/>
  <c r="BE321" i="2"/>
  <c r="BF321" i="2"/>
  <c r="BG321" i="2"/>
  <c r="BH321" i="2"/>
  <c r="BI321" i="2"/>
  <c r="BJ321" i="2"/>
  <c r="BK321" i="2"/>
  <c r="BL321" i="2"/>
  <c r="BM321" i="2"/>
  <c r="BN321" i="2"/>
  <c r="BO321" i="2"/>
  <c r="BP321" i="2"/>
  <c r="BQ321" i="2"/>
  <c r="BA322" i="2"/>
  <c r="BB322" i="2"/>
  <c r="BC322" i="2"/>
  <c r="BD322" i="2"/>
  <c r="BE322" i="2"/>
  <c r="BF322" i="2"/>
  <c r="BG322" i="2"/>
  <c r="BH322" i="2"/>
  <c r="BI322" i="2"/>
  <c r="BJ322" i="2"/>
  <c r="BK322" i="2"/>
  <c r="BL322" i="2"/>
  <c r="BM322" i="2"/>
  <c r="BN322" i="2"/>
  <c r="BO322" i="2"/>
  <c r="BP322" i="2"/>
  <c r="BQ322" i="2"/>
  <c r="BA323" i="2"/>
  <c r="BB323" i="2"/>
  <c r="BC323" i="2"/>
  <c r="BD323" i="2"/>
  <c r="BE323" i="2"/>
  <c r="BF323" i="2"/>
  <c r="BG323" i="2"/>
  <c r="BH323" i="2"/>
  <c r="BI323" i="2"/>
  <c r="BJ323" i="2"/>
  <c r="BK323" i="2"/>
  <c r="BL323" i="2"/>
  <c r="BM323" i="2"/>
  <c r="BN323" i="2"/>
  <c r="BO323" i="2"/>
  <c r="BP323" i="2"/>
  <c r="BQ323" i="2"/>
  <c r="BA324" i="2"/>
  <c r="BB324" i="2"/>
  <c r="BC324" i="2"/>
  <c r="BD324" i="2"/>
  <c r="BE324" i="2"/>
  <c r="BF324" i="2"/>
  <c r="BG324" i="2"/>
  <c r="BH324" i="2"/>
  <c r="BI324" i="2"/>
  <c r="BJ324" i="2"/>
  <c r="BK324" i="2"/>
  <c r="BL324" i="2"/>
  <c r="BM324" i="2"/>
  <c r="BN324" i="2"/>
  <c r="BO324" i="2"/>
  <c r="BP324" i="2"/>
  <c r="BQ324" i="2"/>
  <c r="BA325" i="2"/>
  <c r="BB325" i="2"/>
  <c r="BC325" i="2"/>
  <c r="BD325" i="2"/>
  <c r="BE325" i="2"/>
  <c r="BF325" i="2"/>
  <c r="BG325" i="2"/>
  <c r="BH325" i="2"/>
  <c r="BI325" i="2"/>
  <c r="BJ325" i="2"/>
  <c r="BK325" i="2"/>
  <c r="BL325" i="2"/>
  <c r="BM325" i="2"/>
  <c r="BN325" i="2"/>
  <c r="BO325" i="2"/>
  <c r="BP325" i="2"/>
  <c r="BQ325" i="2"/>
  <c r="BA326" i="2"/>
  <c r="BB326" i="2"/>
  <c r="BC326" i="2"/>
  <c r="BD326" i="2"/>
  <c r="BE326" i="2"/>
  <c r="BF326" i="2"/>
  <c r="BG326" i="2"/>
  <c r="BH326" i="2"/>
  <c r="BI326" i="2"/>
  <c r="BJ326" i="2"/>
  <c r="BK326" i="2"/>
  <c r="BL326" i="2"/>
  <c r="BM326" i="2"/>
  <c r="BN326" i="2"/>
  <c r="BO326" i="2"/>
  <c r="BP326" i="2"/>
  <c r="BQ326" i="2"/>
  <c r="BA327" i="2"/>
  <c r="BB327" i="2"/>
  <c r="BC327" i="2"/>
  <c r="BD327" i="2"/>
  <c r="BE327" i="2"/>
  <c r="BF327" i="2"/>
  <c r="BG327" i="2"/>
  <c r="BH327" i="2"/>
  <c r="BI327" i="2"/>
  <c r="BJ327" i="2"/>
  <c r="BK327" i="2"/>
  <c r="BL327" i="2"/>
  <c r="BM327" i="2"/>
  <c r="BN327" i="2"/>
  <c r="BO327" i="2"/>
  <c r="BP327" i="2"/>
  <c r="BQ327" i="2"/>
  <c r="BA328" i="2"/>
  <c r="BB328" i="2"/>
  <c r="BC328" i="2"/>
  <c r="BD328" i="2"/>
  <c r="BE328" i="2"/>
  <c r="BF328" i="2"/>
  <c r="BG328" i="2"/>
  <c r="BH328" i="2"/>
  <c r="BI328" i="2"/>
  <c r="BJ328" i="2"/>
  <c r="BK328" i="2"/>
  <c r="BL328" i="2"/>
  <c r="BM328" i="2"/>
  <c r="BN328" i="2"/>
  <c r="BO328" i="2"/>
  <c r="BP328" i="2"/>
  <c r="BQ328" i="2"/>
  <c r="BA329" i="2"/>
  <c r="BB329" i="2"/>
  <c r="BC329" i="2"/>
  <c r="BD329" i="2"/>
  <c r="BE329" i="2"/>
  <c r="BF329" i="2"/>
  <c r="BG329" i="2"/>
  <c r="BH329" i="2"/>
  <c r="BI329" i="2"/>
  <c r="BJ329" i="2"/>
  <c r="BK329" i="2"/>
  <c r="BL329" i="2"/>
  <c r="BM329" i="2"/>
  <c r="BN329" i="2"/>
  <c r="BO329" i="2"/>
  <c r="BP329" i="2"/>
  <c r="BQ329" i="2"/>
  <c r="BA330" i="2"/>
  <c r="BB330" i="2"/>
  <c r="BC330" i="2"/>
  <c r="BD330" i="2"/>
  <c r="BE330" i="2"/>
  <c r="BF330" i="2"/>
  <c r="BG330" i="2"/>
  <c r="BH330" i="2"/>
  <c r="BI330" i="2"/>
  <c r="BJ330" i="2"/>
  <c r="BK330" i="2"/>
  <c r="BL330" i="2"/>
  <c r="BM330" i="2"/>
  <c r="BN330" i="2"/>
  <c r="BO330" i="2"/>
  <c r="BP330" i="2"/>
  <c r="BQ330" i="2"/>
  <c r="BA331" i="2"/>
  <c r="BB331" i="2"/>
  <c r="BC331" i="2"/>
  <c r="BD331" i="2"/>
  <c r="BE331" i="2"/>
  <c r="BF331" i="2"/>
  <c r="BG331" i="2"/>
  <c r="BH331" i="2"/>
  <c r="BI331" i="2"/>
  <c r="BJ331" i="2"/>
  <c r="BK331" i="2"/>
  <c r="BL331" i="2"/>
  <c r="BM331" i="2"/>
  <c r="BN331" i="2"/>
  <c r="BO331" i="2"/>
  <c r="BP331" i="2"/>
  <c r="BQ331" i="2"/>
  <c r="BA332" i="2"/>
  <c r="BB332" i="2"/>
  <c r="BC332" i="2"/>
  <c r="BD332" i="2"/>
  <c r="BE332" i="2"/>
  <c r="BF332" i="2"/>
  <c r="BG332" i="2"/>
  <c r="BH332" i="2"/>
  <c r="BI332" i="2"/>
  <c r="BJ332" i="2"/>
  <c r="BK332" i="2"/>
  <c r="BL332" i="2"/>
  <c r="BM332" i="2"/>
  <c r="BN332" i="2"/>
  <c r="BO332" i="2"/>
  <c r="BP332" i="2"/>
  <c r="BQ332" i="2"/>
  <c r="BA333" i="2"/>
  <c r="BB333" i="2"/>
  <c r="BC333" i="2"/>
  <c r="BD333" i="2"/>
  <c r="BE333" i="2"/>
  <c r="BF333" i="2"/>
  <c r="BG333" i="2"/>
  <c r="BH333" i="2"/>
  <c r="BI333" i="2"/>
  <c r="BJ333" i="2"/>
  <c r="BK333" i="2"/>
  <c r="BL333" i="2"/>
  <c r="BM333" i="2"/>
  <c r="BN333" i="2"/>
  <c r="BO333" i="2"/>
  <c r="BP333" i="2"/>
  <c r="BQ333" i="2"/>
  <c r="BA334" i="2"/>
  <c r="BB334" i="2"/>
  <c r="BC334" i="2"/>
  <c r="BD334" i="2"/>
  <c r="BE334" i="2"/>
  <c r="BF334" i="2"/>
  <c r="BG334" i="2"/>
  <c r="BH334" i="2"/>
  <c r="BI334" i="2"/>
  <c r="BJ334" i="2"/>
  <c r="BK334" i="2"/>
  <c r="BL334" i="2"/>
  <c r="BM334" i="2"/>
  <c r="BN334" i="2"/>
  <c r="BO334" i="2"/>
  <c r="BP334" i="2"/>
  <c r="BQ334" i="2"/>
  <c r="BA335" i="2"/>
  <c r="BB335" i="2"/>
  <c r="BC335" i="2"/>
  <c r="BD335" i="2"/>
  <c r="BE335" i="2"/>
  <c r="BF335" i="2"/>
  <c r="BG335" i="2"/>
  <c r="BH335" i="2"/>
  <c r="BI335" i="2"/>
  <c r="BJ335" i="2"/>
  <c r="BK335" i="2"/>
  <c r="BL335" i="2"/>
  <c r="BM335" i="2"/>
  <c r="BN335" i="2"/>
  <c r="BO335" i="2"/>
  <c r="BP335" i="2"/>
  <c r="BQ335" i="2"/>
  <c r="BA336" i="2"/>
  <c r="BB336" i="2"/>
  <c r="BC336" i="2"/>
  <c r="BD336" i="2"/>
  <c r="BE336" i="2"/>
  <c r="BF336" i="2"/>
  <c r="BG336" i="2"/>
  <c r="BH336" i="2"/>
  <c r="BI336" i="2"/>
  <c r="BJ336" i="2"/>
  <c r="BK336" i="2"/>
  <c r="BL336" i="2"/>
  <c r="BM336" i="2"/>
  <c r="BN336" i="2"/>
  <c r="BO336" i="2"/>
  <c r="BP336" i="2"/>
  <c r="BQ336" i="2"/>
  <c r="BA337" i="2"/>
  <c r="BB337" i="2"/>
  <c r="BC337" i="2"/>
  <c r="BD337" i="2"/>
  <c r="BE337" i="2"/>
  <c r="BF337" i="2"/>
  <c r="BG337" i="2"/>
  <c r="BH337" i="2"/>
  <c r="BI337" i="2"/>
  <c r="BJ337" i="2"/>
  <c r="BK337" i="2"/>
  <c r="BL337" i="2"/>
  <c r="BM337" i="2"/>
  <c r="BN337" i="2"/>
  <c r="BO337" i="2"/>
  <c r="BP337" i="2"/>
  <c r="BQ337" i="2"/>
  <c r="BA338" i="2"/>
  <c r="BB338" i="2"/>
  <c r="BC338" i="2"/>
  <c r="BD338" i="2"/>
  <c r="BE338" i="2"/>
  <c r="BF338" i="2"/>
  <c r="BG338" i="2"/>
  <c r="BH338" i="2"/>
  <c r="BI338" i="2"/>
  <c r="BJ338" i="2"/>
  <c r="BK338" i="2"/>
  <c r="BL338" i="2"/>
  <c r="BM338" i="2"/>
  <c r="BN338" i="2"/>
  <c r="BO338" i="2"/>
  <c r="BP338" i="2"/>
  <c r="BQ338" i="2"/>
  <c r="BA339" i="2"/>
  <c r="BB339" i="2"/>
  <c r="BC339" i="2"/>
  <c r="BD339" i="2"/>
  <c r="BE339" i="2"/>
  <c r="BF339" i="2"/>
  <c r="BG339" i="2"/>
  <c r="BH339" i="2"/>
  <c r="BI339" i="2"/>
  <c r="BJ339" i="2"/>
  <c r="BK339" i="2"/>
  <c r="BL339" i="2"/>
  <c r="BM339" i="2"/>
  <c r="BN339" i="2"/>
  <c r="BO339" i="2"/>
  <c r="BP339" i="2"/>
  <c r="BQ339" i="2"/>
  <c r="BA340" i="2"/>
  <c r="BB340" i="2"/>
  <c r="BC340" i="2"/>
  <c r="BD340" i="2"/>
  <c r="BE340" i="2"/>
  <c r="BF340" i="2"/>
  <c r="BG340" i="2"/>
  <c r="BH340" i="2"/>
  <c r="BI340" i="2"/>
  <c r="BJ340" i="2"/>
  <c r="BK340" i="2"/>
  <c r="BL340" i="2"/>
  <c r="BM340" i="2"/>
  <c r="BN340" i="2"/>
  <c r="BO340" i="2"/>
  <c r="BP340" i="2"/>
  <c r="BQ340" i="2"/>
  <c r="BA341" i="2"/>
  <c r="BB341" i="2"/>
  <c r="BC341" i="2"/>
  <c r="BD341" i="2"/>
  <c r="BE341" i="2"/>
  <c r="BF341" i="2"/>
  <c r="BG341" i="2"/>
  <c r="BH341" i="2"/>
  <c r="BI341" i="2"/>
  <c r="BJ341" i="2"/>
  <c r="BK341" i="2"/>
  <c r="BL341" i="2"/>
  <c r="BM341" i="2"/>
  <c r="BN341" i="2"/>
  <c r="BO341" i="2"/>
  <c r="BP341" i="2"/>
  <c r="BQ341" i="2"/>
  <c r="BA342" i="2"/>
  <c r="BB342" i="2"/>
  <c r="BC342" i="2"/>
  <c r="BD342" i="2"/>
  <c r="BE342" i="2"/>
  <c r="BF342" i="2"/>
  <c r="BG342" i="2"/>
  <c r="BH342" i="2"/>
  <c r="BI342" i="2"/>
  <c r="BJ342" i="2"/>
  <c r="BK342" i="2"/>
  <c r="BL342" i="2"/>
  <c r="BM342" i="2"/>
  <c r="BN342" i="2"/>
  <c r="BO342" i="2"/>
  <c r="BP342" i="2"/>
  <c r="BQ342" i="2"/>
  <c r="BA343" i="2"/>
  <c r="BB343" i="2"/>
  <c r="BC343" i="2"/>
  <c r="BD343" i="2"/>
  <c r="BE343" i="2"/>
  <c r="BF343" i="2"/>
  <c r="BG343" i="2"/>
  <c r="BH343" i="2"/>
  <c r="BI343" i="2"/>
  <c r="BJ343" i="2"/>
  <c r="BK343" i="2"/>
  <c r="BL343" i="2"/>
  <c r="BM343" i="2"/>
  <c r="BN343" i="2"/>
  <c r="BO343" i="2"/>
  <c r="BP343" i="2"/>
  <c r="BQ343" i="2"/>
  <c r="BA344" i="2"/>
  <c r="BB344" i="2"/>
  <c r="BC344" i="2"/>
  <c r="BD344" i="2"/>
  <c r="BE344" i="2"/>
  <c r="BF344" i="2"/>
  <c r="BG344" i="2"/>
  <c r="BH344" i="2"/>
  <c r="BI344" i="2"/>
  <c r="BJ344" i="2"/>
  <c r="BK344" i="2"/>
  <c r="BL344" i="2"/>
  <c r="BM344" i="2"/>
  <c r="BN344" i="2"/>
  <c r="BO344" i="2"/>
  <c r="BP344" i="2"/>
  <c r="BQ344" i="2"/>
  <c r="BA345" i="2"/>
  <c r="BB345" i="2"/>
  <c r="BC345" i="2"/>
  <c r="BD345" i="2"/>
  <c r="BE345" i="2"/>
  <c r="BF345" i="2"/>
  <c r="BG345" i="2"/>
  <c r="BH345" i="2"/>
  <c r="BI345" i="2"/>
  <c r="BJ345" i="2"/>
  <c r="BK345" i="2"/>
  <c r="BL345" i="2"/>
  <c r="BM345" i="2"/>
  <c r="BN345" i="2"/>
  <c r="BO345" i="2"/>
  <c r="BP345" i="2"/>
  <c r="BQ345" i="2"/>
  <c r="BA346" i="2"/>
  <c r="BB346" i="2"/>
  <c r="BC346" i="2"/>
  <c r="BD346" i="2"/>
  <c r="BE346" i="2"/>
  <c r="BF346" i="2"/>
  <c r="BG346" i="2"/>
  <c r="BH346" i="2"/>
  <c r="BI346" i="2"/>
  <c r="BJ346" i="2"/>
  <c r="BK346" i="2"/>
  <c r="BL346" i="2"/>
  <c r="BM346" i="2"/>
  <c r="BN346" i="2"/>
  <c r="BO346" i="2"/>
  <c r="BP346" i="2"/>
  <c r="BQ346" i="2"/>
  <c r="BA347" i="2"/>
  <c r="BB347" i="2"/>
  <c r="BC347" i="2"/>
  <c r="BD347" i="2"/>
  <c r="BE347" i="2"/>
  <c r="BF347" i="2"/>
  <c r="BG347" i="2"/>
  <c r="BH347" i="2"/>
  <c r="BI347" i="2"/>
  <c r="BJ347" i="2"/>
  <c r="BK347" i="2"/>
  <c r="BL347" i="2"/>
  <c r="BM347" i="2"/>
  <c r="BN347" i="2"/>
  <c r="BO347" i="2"/>
  <c r="BP347" i="2"/>
  <c r="BQ347" i="2"/>
  <c r="BA348" i="2"/>
  <c r="BB348" i="2"/>
  <c r="BC348" i="2"/>
  <c r="BD348" i="2"/>
  <c r="BE348" i="2"/>
  <c r="BF348" i="2"/>
  <c r="BG348" i="2"/>
  <c r="BH348" i="2"/>
  <c r="BI348" i="2"/>
  <c r="BJ348" i="2"/>
  <c r="BK348" i="2"/>
  <c r="BL348" i="2"/>
  <c r="BM348" i="2"/>
  <c r="BN348" i="2"/>
  <c r="BO348" i="2"/>
  <c r="BP348" i="2"/>
  <c r="BQ348" i="2"/>
  <c r="BA349" i="2"/>
  <c r="BB349" i="2"/>
  <c r="BC349" i="2"/>
  <c r="BD349" i="2"/>
  <c r="BE349" i="2"/>
  <c r="BF349" i="2"/>
  <c r="BG349" i="2"/>
  <c r="BH349" i="2"/>
  <c r="BI349" i="2"/>
  <c r="BJ349" i="2"/>
  <c r="BK349" i="2"/>
  <c r="BL349" i="2"/>
  <c r="BM349" i="2"/>
  <c r="BN349" i="2"/>
  <c r="BO349" i="2"/>
  <c r="BP349" i="2"/>
  <c r="BQ349" i="2"/>
  <c r="BA350" i="2"/>
  <c r="BB350" i="2"/>
  <c r="BC350" i="2"/>
  <c r="BD350" i="2"/>
  <c r="BE350" i="2"/>
  <c r="BF350" i="2"/>
  <c r="BG350" i="2"/>
  <c r="BH350" i="2"/>
  <c r="BI350" i="2"/>
  <c r="BJ350" i="2"/>
  <c r="BK350" i="2"/>
  <c r="BL350" i="2"/>
  <c r="BM350" i="2"/>
  <c r="BN350" i="2"/>
  <c r="BO350" i="2"/>
  <c r="BP350" i="2"/>
  <c r="BQ350" i="2"/>
  <c r="BA351" i="2"/>
  <c r="BB351" i="2"/>
  <c r="BC351" i="2"/>
  <c r="BD351" i="2"/>
  <c r="BE351" i="2"/>
  <c r="BF351" i="2"/>
  <c r="BG351" i="2"/>
  <c r="BH351" i="2"/>
  <c r="BI351" i="2"/>
  <c r="BJ351" i="2"/>
  <c r="BK351" i="2"/>
  <c r="BL351" i="2"/>
  <c r="BM351" i="2"/>
  <c r="BN351" i="2"/>
  <c r="BO351" i="2"/>
  <c r="BP351" i="2"/>
  <c r="BQ351" i="2"/>
  <c r="BA352" i="2"/>
  <c r="BB352" i="2"/>
  <c r="BC352" i="2"/>
  <c r="BD352" i="2"/>
  <c r="BE352" i="2"/>
  <c r="BF352" i="2"/>
  <c r="BG352" i="2"/>
  <c r="BH352" i="2"/>
  <c r="BI352" i="2"/>
  <c r="BJ352" i="2"/>
  <c r="BK352" i="2"/>
  <c r="BL352" i="2"/>
  <c r="BM352" i="2"/>
  <c r="BN352" i="2"/>
  <c r="BO352" i="2"/>
  <c r="BP352" i="2"/>
  <c r="BQ352" i="2"/>
  <c r="BA353" i="2"/>
  <c r="BB353" i="2"/>
  <c r="BC353" i="2"/>
  <c r="BD353" i="2"/>
  <c r="BE353" i="2"/>
  <c r="BF353" i="2"/>
  <c r="BG353" i="2"/>
  <c r="BH353" i="2"/>
  <c r="BI353" i="2"/>
  <c r="BJ353" i="2"/>
  <c r="BK353" i="2"/>
  <c r="BL353" i="2"/>
  <c r="BM353" i="2"/>
  <c r="BN353" i="2"/>
  <c r="BO353" i="2"/>
  <c r="BP353" i="2"/>
  <c r="BQ353" i="2"/>
  <c r="BA354" i="2"/>
  <c r="BB354" i="2"/>
  <c r="BC354" i="2"/>
  <c r="BD354" i="2"/>
  <c r="BE354" i="2"/>
  <c r="BF354" i="2"/>
  <c r="BG354" i="2"/>
  <c r="BH354" i="2"/>
  <c r="BI354" i="2"/>
  <c r="BJ354" i="2"/>
  <c r="BK354" i="2"/>
  <c r="BL354" i="2"/>
  <c r="BM354" i="2"/>
  <c r="BN354" i="2"/>
  <c r="BO354" i="2"/>
  <c r="BP354" i="2"/>
  <c r="BQ354" i="2"/>
  <c r="BA355" i="2"/>
  <c r="BB355" i="2"/>
  <c r="BC355" i="2"/>
  <c r="BD355" i="2"/>
  <c r="BE355" i="2"/>
  <c r="BF355" i="2"/>
  <c r="BG355" i="2"/>
  <c r="BH355" i="2"/>
  <c r="BI355" i="2"/>
  <c r="BJ355" i="2"/>
  <c r="BK355" i="2"/>
  <c r="BL355" i="2"/>
  <c r="BM355" i="2"/>
  <c r="BN355" i="2"/>
  <c r="BO355" i="2"/>
  <c r="BP355" i="2"/>
  <c r="BQ355" i="2"/>
  <c r="BA356" i="2"/>
  <c r="BB356" i="2"/>
  <c r="BC356" i="2"/>
  <c r="BD356" i="2"/>
  <c r="BE356" i="2"/>
  <c r="BF356" i="2"/>
  <c r="BG356" i="2"/>
  <c r="BH356" i="2"/>
  <c r="BI356" i="2"/>
  <c r="BJ356" i="2"/>
  <c r="BK356" i="2"/>
  <c r="BL356" i="2"/>
  <c r="BM356" i="2"/>
  <c r="BN356" i="2"/>
  <c r="BO356" i="2"/>
  <c r="BP356" i="2"/>
  <c r="BQ356" i="2"/>
  <c r="BA357" i="2"/>
  <c r="BB357" i="2"/>
  <c r="BC357" i="2"/>
  <c r="BD357" i="2"/>
  <c r="BE357" i="2"/>
  <c r="BF357" i="2"/>
  <c r="BG357" i="2"/>
  <c r="BH357" i="2"/>
  <c r="BI357" i="2"/>
  <c r="BJ357" i="2"/>
  <c r="BK357" i="2"/>
  <c r="BL357" i="2"/>
  <c r="BM357" i="2"/>
  <c r="BN357" i="2"/>
  <c r="BO357" i="2"/>
  <c r="BP357" i="2"/>
  <c r="BQ357" i="2"/>
  <c r="BA358" i="2"/>
  <c r="BB358" i="2"/>
  <c r="BC358" i="2"/>
  <c r="BD358" i="2"/>
  <c r="BE358" i="2"/>
  <c r="BF358" i="2"/>
  <c r="BG358" i="2"/>
  <c r="BH358" i="2"/>
  <c r="BI358" i="2"/>
  <c r="BJ358" i="2"/>
  <c r="BK358" i="2"/>
  <c r="BL358" i="2"/>
  <c r="BM358" i="2"/>
  <c r="BN358" i="2"/>
  <c r="BO358" i="2"/>
  <c r="BP358" i="2"/>
  <c r="BQ358" i="2"/>
  <c r="BA359" i="2"/>
  <c r="BB359" i="2"/>
  <c r="BC359" i="2"/>
  <c r="BD359" i="2"/>
  <c r="BE359" i="2"/>
  <c r="BF359" i="2"/>
  <c r="BG359" i="2"/>
  <c r="BH359" i="2"/>
  <c r="BI359" i="2"/>
  <c r="BJ359" i="2"/>
  <c r="BK359" i="2"/>
  <c r="BL359" i="2"/>
  <c r="BM359" i="2"/>
  <c r="BN359" i="2"/>
  <c r="BO359" i="2"/>
  <c r="BP359" i="2"/>
  <c r="BQ359" i="2"/>
  <c r="BA360" i="2"/>
  <c r="BB360" i="2"/>
  <c r="BC360" i="2"/>
  <c r="BD360" i="2"/>
  <c r="BE360" i="2"/>
  <c r="BF360" i="2"/>
  <c r="BG360" i="2"/>
  <c r="BH360" i="2"/>
  <c r="BI360" i="2"/>
  <c r="BJ360" i="2"/>
  <c r="BK360" i="2"/>
  <c r="BL360" i="2"/>
  <c r="BM360" i="2"/>
  <c r="BN360" i="2"/>
  <c r="BO360" i="2"/>
  <c r="BP360" i="2"/>
  <c r="BQ360" i="2"/>
  <c r="BA361" i="2"/>
  <c r="BB361" i="2"/>
  <c r="BC361" i="2"/>
  <c r="BD361" i="2"/>
  <c r="BE361" i="2"/>
  <c r="BF361" i="2"/>
  <c r="BG361" i="2"/>
  <c r="BH361" i="2"/>
  <c r="BI361" i="2"/>
  <c r="BJ361" i="2"/>
  <c r="BK361" i="2"/>
  <c r="BL361" i="2"/>
  <c r="BM361" i="2"/>
  <c r="BN361" i="2"/>
  <c r="BO361" i="2"/>
  <c r="BP361" i="2"/>
  <c r="BQ361" i="2"/>
  <c r="BA362" i="2"/>
  <c r="BB362" i="2"/>
  <c r="BC362" i="2"/>
  <c r="BD362" i="2"/>
  <c r="BE362" i="2"/>
  <c r="BF362" i="2"/>
  <c r="BG362" i="2"/>
  <c r="BH362" i="2"/>
  <c r="BI362" i="2"/>
  <c r="BJ362" i="2"/>
  <c r="BK362" i="2"/>
  <c r="BL362" i="2"/>
  <c r="BM362" i="2"/>
  <c r="BN362" i="2"/>
  <c r="BO362" i="2"/>
  <c r="BP362" i="2"/>
  <c r="BQ362" i="2"/>
  <c r="BA363" i="2"/>
  <c r="BB363" i="2"/>
  <c r="BC363" i="2"/>
  <c r="BD363" i="2"/>
  <c r="BE363" i="2"/>
  <c r="BF363" i="2"/>
  <c r="BG363" i="2"/>
  <c r="BH363" i="2"/>
  <c r="BI363" i="2"/>
  <c r="BJ363" i="2"/>
  <c r="BK363" i="2"/>
  <c r="BL363" i="2"/>
  <c r="BM363" i="2"/>
  <c r="BN363" i="2"/>
  <c r="BO363" i="2"/>
  <c r="BP363" i="2"/>
  <c r="BQ363" i="2"/>
  <c r="BA364" i="2"/>
  <c r="BB364" i="2"/>
  <c r="BC364" i="2"/>
  <c r="BD364" i="2"/>
  <c r="BE364" i="2"/>
  <c r="BF364" i="2"/>
  <c r="BG364" i="2"/>
  <c r="BH364" i="2"/>
  <c r="BI364" i="2"/>
  <c r="BJ364" i="2"/>
  <c r="BK364" i="2"/>
  <c r="BL364" i="2"/>
  <c r="BM364" i="2"/>
  <c r="BN364" i="2"/>
  <c r="BO364" i="2"/>
  <c r="BP364" i="2"/>
  <c r="BQ364" i="2"/>
  <c r="BA365" i="2"/>
  <c r="BB365" i="2"/>
  <c r="BC365" i="2"/>
  <c r="BD365" i="2"/>
  <c r="BE365" i="2"/>
  <c r="BF365" i="2"/>
  <c r="BG365" i="2"/>
  <c r="BH365" i="2"/>
  <c r="BI365" i="2"/>
  <c r="BJ365" i="2"/>
  <c r="BK365" i="2"/>
  <c r="BL365" i="2"/>
  <c r="BM365" i="2"/>
  <c r="BN365" i="2"/>
  <c r="BO365" i="2"/>
  <c r="BP365" i="2"/>
  <c r="BQ365" i="2"/>
  <c r="BA366" i="2"/>
  <c r="BB366" i="2"/>
  <c r="BC366" i="2"/>
  <c r="BD366" i="2"/>
  <c r="BE366" i="2"/>
  <c r="BF366" i="2"/>
  <c r="BG366" i="2"/>
  <c r="BH366" i="2"/>
  <c r="BI366" i="2"/>
  <c r="BJ366" i="2"/>
  <c r="BK366" i="2"/>
  <c r="BL366" i="2"/>
  <c r="BM366" i="2"/>
  <c r="BN366" i="2"/>
  <c r="BO366" i="2"/>
  <c r="BP366" i="2"/>
  <c r="BQ366" i="2"/>
  <c r="BA367" i="2"/>
  <c r="BB367" i="2"/>
  <c r="BC367" i="2"/>
  <c r="BD367" i="2"/>
  <c r="BE367" i="2"/>
  <c r="BF367" i="2"/>
  <c r="BG367" i="2"/>
  <c r="BH367" i="2"/>
  <c r="BI367" i="2"/>
  <c r="BJ367" i="2"/>
  <c r="BK367" i="2"/>
  <c r="BL367" i="2"/>
  <c r="BM367" i="2"/>
  <c r="BN367" i="2"/>
  <c r="BO367" i="2"/>
  <c r="BP367" i="2"/>
  <c r="BQ367" i="2"/>
  <c r="BA368" i="2"/>
  <c r="BB368" i="2"/>
  <c r="BC368" i="2"/>
  <c r="BD368" i="2"/>
  <c r="BE368" i="2"/>
  <c r="BF368" i="2"/>
  <c r="BG368" i="2"/>
  <c r="BH368" i="2"/>
  <c r="BI368" i="2"/>
  <c r="BJ368" i="2"/>
  <c r="BK368" i="2"/>
  <c r="BL368" i="2"/>
  <c r="BM368" i="2"/>
  <c r="BN368" i="2"/>
  <c r="BO368" i="2"/>
  <c r="BP368" i="2"/>
  <c r="BQ368" i="2"/>
  <c r="BA369" i="2"/>
  <c r="BB369" i="2"/>
  <c r="BC369" i="2"/>
  <c r="BD369" i="2"/>
  <c r="BE369" i="2"/>
  <c r="BF369" i="2"/>
  <c r="BG369" i="2"/>
  <c r="BH369" i="2"/>
  <c r="BI369" i="2"/>
  <c r="BJ369" i="2"/>
  <c r="BK369" i="2"/>
  <c r="BL369" i="2"/>
  <c r="BM369" i="2"/>
  <c r="BN369" i="2"/>
  <c r="BO369" i="2"/>
  <c r="BP369" i="2"/>
  <c r="BQ369" i="2"/>
  <c r="BA370" i="2"/>
  <c r="BB370" i="2"/>
  <c r="BC370" i="2"/>
  <c r="BD370" i="2"/>
  <c r="BE370" i="2"/>
  <c r="BF370" i="2"/>
  <c r="BG370" i="2"/>
  <c r="BH370" i="2"/>
  <c r="BI370" i="2"/>
  <c r="BJ370" i="2"/>
  <c r="BK370" i="2"/>
  <c r="BL370" i="2"/>
  <c r="BM370" i="2"/>
  <c r="BN370" i="2"/>
  <c r="BO370" i="2"/>
  <c r="BP370" i="2"/>
  <c r="BQ370" i="2"/>
  <c r="BA371" i="2"/>
  <c r="BB371" i="2"/>
  <c r="BC371" i="2"/>
  <c r="BD371" i="2"/>
  <c r="BE371" i="2"/>
  <c r="BF371" i="2"/>
  <c r="BG371" i="2"/>
  <c r="BH371" i="2"/>
  <c r="BI371" i="2"/>
  <c r="BJ371" i="2"/>
  <c r="BK371" i="2"/>
  <c r="BL371" i="2"/>
  <c r="BM371" i="2"/>
  <c r="BN371" i="2"/>
  <c r="BO371" i="2"/>
  <c r="BP371" i="2"/>
  <c r="BQ371" i="2"/>
  <c r="BA372" i="2"/>
  <c r="BB372" i="2"/>
  <c r="BC372" i="2"/>
  <c r="BD372" i="2"/>
  <c r="BE372" i="2"/>
  <c r="BF372" i="2"/>
  <c r="BG372" i="2"/>
  <c r="BH372" i="2"/>
  <c r="BI372" i="2"/>
  <c r="BJ372" i="2"/>
  <c r="BK372" i="2"/>
  <c r="BL372" i="2"/>
  <c r="BM372" i="2"/>
  <c r="BN372" i="2"/>
  <c r="BO372" i="2"/>
  <c r="BP372" i="2"/>
  <c r="BQ372" i="2"/>
  <c r="BA373" i="2"/>
  <c r="BB373" i="2"/>
  <c r="BC373" i="2"/>
  <c r="BD373" i="2"/>
  <c r="BE373" i="2"/>
  <c r="BF373" i="2"/>
  <c r="BG373" i="2"/>
  <c r="BH373" i="2"/>
  <c r="BI373" i="2"/>
  <c r="BJ373" i="2"/>
  <c r="BK373" i="2"/>
  <c r="BL373" i="2"/>
  <c r="BM373" i="2"/>
  <c r="BN373" i="2"/>
  <c r="BO373" i="2"/>
  <c r="BP373" i="2"/>
  <c r="BQ373" i="2"/>
  <c r="BA374" i="2"/>
  <c r="BB374" i="2"/>
  <c r="BC374" i="2"/>
  <c r="BD374" i="2"/>
  <c r="BE374" i="2"/>
  <c r="BF374" i="2"/>
  <c r="BG374" i="2"/>
  <c r="BH374" i="2"/>
  <c r="BI374" i="2"/>
  <c r="BJ374" i="2"/>
  <c r="BK374" i="2"/>
  <c r="BL374" i="2"/>
  <c r="BM374" i="2"/>
  <c r="BN374" i="2"/>
  <c r="BO374" i="2"/>
  <c r="BP374" i="2"/>
  <c r="BQ374" i="2"/>
  <c r="BA375" i="2"/>
  <c r="BB375" i="2"/>
  <c r="BC375" i="2"/>
  <c r="BD375" i="2"/>
  <c r="BE375" i="2"/>
  <c r="BF375" i="2"/>
  <c r="BG375" i="2"/>
  <c r="BH375" i="2"/>
  <c r="BI375" i="2"/>
  <c r="BJ375" i="2"/>
  <c r="BK375" i="2"/>
  <c r="BL375" i="2"/>
  <c r="BM375" i="2"/>
  <c r="BN375" i="2"/>
  <c r="BO375" i="2"/>
  <c r="BP375" i="2"/>
  <c r="BQ375" i="2"/>
  <c r="BA376" i="2"/>
  <c r="BB376" i="2"/>
  <c r="BC376" i="2"/>
  <c r="BD376" i="2"/>
  <c r="BE376" i="2"/>
  <c r="BF376" i="2"/>
  <c r="BG376" i="2"/>
  <c r="BH376" i="2"/>
  <c r="BI376" i="2"/>
  <c r="BJ376" i="2"/>
  <c r="BK376" i="2"/>
  <c r="BL376" i="2"/>
  <c r="BM376" i="2"/>
  <c r="BN376" i="2"/>
  <c r="BO376" i="2"/>
  <c r="BP376" i="2"/>
  <c r="BQ376" i="2"/>
  <c r="BA377" i="2"/>
  <c r="BB377" i="2"/>
  <c r="BC377" i="2"/>
  <c r="BD377" i="2"/>
  <c r="BE377" i="2"/>
  <c r="BF377" i="2"/>
  <c r="BG377" i="2"/>
  <c r="BH377" i="2"/>
  <c r="BI377" i="2"/>
  <c r="BJ377" i="2"/>
  <c r="BK377" i="2"/>
  <c r="BL377" i="2"/>
  <c r="BM377" i="2"/>
  <c r="BN377" i="2"/>
  <c r="BO377" i="2"/>
  <c r="BP377" i="2"/>
  <c r="BQ377" i="2"/>
  <c r="BA378" i="2"/>
  <c r="BB378" i="2"/>
  <c r="BC378" i="2"/>
  <c r="BD378" i="2"/>
  <c r="BE378" i="2"/>
  <c r="BF378" i="2"/>
  <c r="BG378" i="2"/>
  <c r="BH378" i="2"/>
  <c r="BI378" i="2"/>
  <c r="BJ378" i="2"/>
  <c r="BK378" i="2"/>
  <c r="BL378" i="2"/>
  <c r="BM378" i="2"/>
  <c r="BN378" i="2"/>
  <c r="BO378" i="2"/>
  <c r="BP378" i="2"/>
  <c r="BQ378" i="2"/>
  <c r="BA379" i="2"/>
  <c r="BB379" i="2"/>
  <c r="BC379" i="2"/>
  <c r="BD379" i="2"/>
  <c r="BE379" i="2"/>
  <c r="BF379" i="2"/>
  <c r="BG379" i="2"/>
  <c r="BH379" i="2"/>
  <c r="BI379" i="2"/>
  <c r="BJ379" i="2"/>
  <c r="BK379" i="2"/>
  <c r="BL379" i="2"/>
  <c r="BM379" i="2"/>
  <c r="BN379" i="2"/>
  <c r="BO379" i="2"/>
  <c r="BP379" i="2"/>
  <c r="BQ379" i="2"/>
  <c r="BA380" i="2"/>
  <c r="BB380" i="2"/>
  <c r="BC380" i="2"/>
  <c r="BD380" i="2"/>
  <c r="BE380" i="2"/>
  <c r="BF380" i="2"/>
  <c r="BG380" i="2"/>
  <c r="BH380" i="2"/>
  <c r="BI380" i="2"/>
  <c r="BJ380" i="2"/>
  <c r="BK380" i="2"/>
  <c r="BL380" i="2"/>
  <c r="BM380" i="2"/>
  <c r="BN380" i="2"/>
  <c r="BO380" i="2"/>
  <c r="BP380" i="2"/>
  <c r="BQ380" i="2"/>
  <c r="BA381" i="2"/>
  <c r="BB381" i="2"/>
  <c r="BC381" i="2"/>
  <c r="BD381" i="2"/>
  <c r="BE381" i="2"/>
  <c r="BF381" i="2"/>
  <c r="BG381" i="2"/>
  <c r="BH381" i="2"/>
  <c r="BI381" i="2"/>
  <c r="BJ381" i="2"/>
  <c r="BK381" i="2"/>
  <c r="BL381" i="2"/>
  <c r="BM381" i="2"/>
  <c r="BN381" i="2"/>
  <c r="BO381" i="2"/>
  <c r="BP381" i="2"/>
  <c r="BQ381" i="2"/>
  <c r="BA382" i="2"/>
  <c r="BB382" i="2"/>
  <c r="BC382" i="2"/>
  <c r="BD382" i="2"/>
  <c r="BE382" i="2"/>
  <c r="BF382" i="2"/>
  <c r="BG382" i="2"/>
  <c r="BH382" i="2"/>
  <c r="BI382" i="2"/>
  <c r="BJ382" i="2"/>
  <c r="BK382" i="2"/>
  <c r="BL382" i="2"/>
  <c r="BM382" i="2"/>
  <c r="BN382" i="2"/>
  <c r="BO382" i="2"/>
  <c r="BP382" i="2"/>
  <c r="BQ382" i="2"/>
  <c r="BA383" i="2"/>
  <c r="BB383" i="2"/>
  <c r="BC383" i="2"/>
  <c r="BD383" i="2"/>
  <c r="BE383" i="2"/>
  <c r="BF383" i="2"/>
  <c r="BG383" i="2"/>
  <c r="BH383" i="2"/>
  <c r="BI383" i="2"/>
  <c r="BJ383" i="2"/>
  <c r="BK383" i="2"/>
  <c r="BL383" i="2"/>
  <c r="BM383" i="2"/>
  <c r="BN383" i="2"/>
  <c r="BO383" i="2"/>
  <c r="BP383" i="2"/>
  <c r="BQ383" i="2"/>
  <c r="BA384" i="2"/>
  <c r="BB384" i="2"/>
  <c r="BC384" i="2"/>
  <c r="BD384" i="2"/>
  <c r="BE384" i="2"/>
  <c r="BF384" i="2"/>
  <c r="BG384" i="2"/>
  <c r="BH384" i="2"/>
  <c r="BI384" i="2"/>
  <c r="BJ384" i="2"/>
  <c r="BK384" i="2"/>
  <c r="BL384" i="2"/>
  <c r="BM384" i="2"/>
  <c r="BN384" i="2"/>
  <c r="BO384" i="2"/>
  <c r="BP384" i="2"/>
  <c r="BQ384" i="2"/>
  <c r="BA385" i="2"/>
  <c r="BB385" i="2"/>
  <c r="BC385" i="2"/>
  <c r="BD385" i="2"/>
  <c r="BE385" i="2"/>
  <c r="BF385" i="2"/>
  <c r="BG385" i="2"/>
  <c r="BH385" i="2"/>
  <c r="BI385" i="2"/>
  <c r="BJ385" i="2"/>
  <c r="BK385" i="2"/>
  <c r="BL385" i="2"/>
  <c r="BM385" i="2"/>
  <c r="BN385" i="2"/>
  <c r="BO385" i="2"/>
  <c r="BP385" i="2"/>
  <c r="BQ385" i="2"/>
  <c r="BA386" i="2"/>
  <c r="BB386" i="2"/>
  <c r="BC386" i="2"/>
  <c r="BD386" i="2"/>
  <c r="BE386" i="2"/>
  <c r="BF386" i="2"/>
  <c r="BG386" i="2"/>
  <c r="BH386" i="2"/>
  <c r="BI386" i="2"/>
  <c r="BJ386" i="2"/>
  <c r="BK386" i="2"/>
  <c r="BL386" i="2"/>
  <c r="BM386" i="2"/>
  <c r="BN386" i="2"/>
  <c r="BO386" i="2"/>
  <c r="BP386" i="2"/>
  <c r="BQ386" i="2"/>
  <c r="BA387" i="2"/>
  <c r="BB387" i="2"/>
  <c r="BC387" i="2"/>
  <c r="BD387" i="2"/>
  <c r="BE387" i="2"/>
  <c r="BF387" i="2"/>
  <c r="BG387" i="2"/>
  <c r="BH387" i="2"/>
  <c r="BI387" i="2"/>
  <c r="BJ387" i="2"/>
  <c r="BK387" i="2"/>
  <c r="BL387" i="2"/>
  <c r="BM387" i="2"/>
  <c r="BN387" i="2"/>
  <c r="BO387" i="2"/>
  <c r="BP387" i="2"/>
  <c r="BQ387" i="2"/>
  <c r="BA388" i="2"/>
  <c r="BB388" i="2"/>
  <c r="BC388" i="2"/>
  <c r="BD388" i="2"/>
  <c r="BE388" i="2"/>
  <c r="BF388" i="2"/>
  <c r="BG388" i="2"/>
  <c r="BH388" i="2"/>
  <c r="BI388" i="2"/>
  <c r="BJ388" i="2"/>
  <c r="BK388" i="2"/>
  <c r="BL388" i="2"/>
  <c r="BM388" i="2"/>
  <c r="BN388" i="2"/>
  <c r="BO388" i="2"/>
  <c r="BP388" i="2"/>
  <c r="BQ388" i="2"/>
  <c r="BA389" i="2"/>
  <c r="BB389" i="2"/>
  <c r="BC389" i="2"/>
  <c r="BD389" i="2"/>
  <c r="BE389" i="2"/>
  <c r="BF389" i="2"/>
  <c r="BG389" i="2"/>
  <c r="BH389" i="2"/>
  <c r="BI389" i="2"/>
  <c r="BJ389" i="2"/>
  <c r="BK389" i="2"/>
  <c r="BL389" i="2"/>
  <c r="BM389" i="2"/>
  <c r="BN389" i="2"/>
  <c r="BO389" i="2"/>
  <c r="BP389" i="2"/>
  <c r="BQ389" i="2"/>
  <c r="BA390" i="2"/>
  <c r="BB390" i="2"/>
  <c r="BC390" i="2"/>
  <c r="BD390" i="2"/>
  <c r="BE390" i="2"/>
  <c r="BF390" i="2"/>
  <c r="BG390" i="2"/>
  <c r="BH390" i="2"/>
  <c r="BI390" i="2"/>
  <c r="BJ390" i="2"/>
  <c r="BK390" i="2"/>
  <c r="BL390" i="2"/>
  <c r="BM390" i="2"/>
  <c r="BN390" i="2"/>
  <c r="BO390" i="2"/>
  <c r="BP390" i="2"/>
  <c r="BQ390" i="2"/>
  <c r="BA391" i="2"/>
  <c r="BB391" i="2"/>
  <c r="BC391" i="2"/>
  <c r="BD391" i="2"/>
  <c r="BE391" i="2"/>
  <c r="BF391" i="2"/>
  <c r="BG391" i="2"/>
  <c r="BH391" i="2"/>
  <c r="BI391" i="2"/>
  <c r="BJ391" i="2"/>
  <c r="BK391" i="2"/>
  <c r="BL391" i="2"/>
  <c r="BM391" i="2"/>
  <c r="BN391" i="2"/>
  <c r="BO391" i="2"/>
  <c r="BP391" i="2"/>
  <c r="BQ391" i="2"/>
  <c r="BA392" i="2"/>
  <c r="BB392" i="2"/>
  <c r="BC392" i="2"/>
  <c r="BD392" i="2"/>
  <c r="BE392" i="2"/>
  <c r="BF392" i="2"/>
  <c r="BG392" i="2"/>
  <c r="BH392" i="2"/>
  <c r="BI392" i="2"/>
  <c r="BJ392" i="2"/>
  <c r="BK392" i="2"/>
  <c r="BL392" i="2"/>
  <c r="BM392" i="2"/>
  <c r="BN392" i="2"/>
  <c r="BO392" i="2"/>
  <c r="BP392" i="2"/>
  <c r="BQ392" i="2"/>
  <c r="BA393" i="2"/>
  <c r="BB393" i="2"/>
  <c r="BC393" i="2"/>
  <c r="BD393" i="2"/>
  <c r="BE393" i="2"/>
  <c r="BF393" i="2"/>
  <c r="BG393" i="2"/>
  <c r="BH393" i="2"/>
  <c r="BI393" i="2"/>
  <c r="BJ393" i="2"/>
  <c r="BK393" i="2"/>
  <c r="BL393" i="2"/>
  <c r="BM393" i="2"/>
  <c r="BN393" i="2"/>
  <c r="BO393" i="2"/>
  <c r="BP393" i="2"/>
  <c r="BQ393" i="2"/>
  <c r="BA394" i="2"/>
  <c r="BB394" i="2"/>
  <c r="BC394" i="2"/>
  <c r="BD394" i="2"/>
  <c r="BE394" i="2"/>
  <c r="BF394" i="2"/>
  <c r="BG394" i="2"/>
  <c r="BH394" i="2"/>
  <c r="BI394" i="2"/>
  <c r="BJ394" i="2"/>
  <c r="BK394" i="2"/>
  <c r="BL394" i="2"/>
  <c r="BM394" i="2"/>
  <c r="BN394" i="2"/>
  <c r="BO394" i="2"/>
  <c r="BP394" i="2"/>
  <c r="BQ394" i="2"/>
  <c r="BA395" i="2"/>
  <c r="BB395" i="2"/>
  <c r="BC395" i="2"/>
  <c r="BD395" i="2"/>
  <c r="BE395" i="2"/>
  <c r="BF395" i="2"/>
  <c r="BG395" i="2"/>
  <c r="BH395" i="2"/>
  <c r="BI395" i="2"/>
  <c r="BJ395" i="2"/>
  <c r="BK395" i="2"/>
  <c r="BL395" i="2"/>
  <c r="BM395" i="2"/>
  <c r="BN395" i="2"/>
  <c r="BO395" i="2"/>
  <c r="BP395" i="2"/>
  <c r="BQ395" i="2"/>
  <c r="BA396" i="2"/>
  <c r="BB396" i="2"/>
  <c r="BC396" i="2"/>
  <c r="BD396" i="2"/>
  <c r="BE396" i="2"/>
  <c r="BF396" i="2"/>
  <c r="BG396" i="2"/>
  <c r="BH396" i="2"/>
  <c r="BI396" i="2"/>
  <c r="BJ396" i="2"/>
  <c r="BK396" i="2"/>
  <c r="BL396" i="2"/>
  <c r="BM396" i="2"/>
  <c r="BN396" i="2"/>
  <c r="BO396" i="2"/>
  <c r="BP396" i="2"/>
  <c r="BQ396" i="2"/>
  <c r="BA397" i="2"/>
  <c r="BB397" i="2"/>
  <c r="BC397" i="2"/>
  <c r="BD397" i="2"/>
  <c r="BE397" i="2"/>
  <c r="BF397" i="2"/>
  <c r="BG397" i="2"/>
  <c r="BH397" i="2"/>
  <c r="BI397" i="2"/>
  <c r="BJ397" i="2"/>
  <c r="BK397" i="2"/>
  <c r="BL397" i="2"/>
  <c r="BM397" i="2"/>
  <c r="BN397" i="2"/>
  <c r="BO397" i="2"/>
  <c r="BP397" i="2"/>
  <c r="BQ397" i="2"/>
  <c r="BA398" i="2"/>
  <c r="BB398" i="2"/>
  <c r="BC398" i="2"/>
  <c r="BD398" i="2"/>
  <c r="BE398" i="2"/>
  <c r="BF398" i="2"/>
  <c r="BG398" i="2"/>
  <c r="BH398" i="2"/>
  <c r="BI398" i="2"/>
  <c r="BJ398" i="2"/>
  <c r="BK398" i="2"/>
  <c r="BL398" i="2"/>
  <c r="BM398" i="2"/>
  <c r="BN398" i="2"/>
  <c r="BO398" i="2"/>
  <c r="BP398" i="2"/>
  <c r="BQ398" i="2"/>
  <c r="BA399" i="2"/>
  <c r="BB399" i="2"/>
  <c r="BC399" i="2"/>
  <c r="BD399" i="2"/>
  <c r="BE399" i="2"/>
  <c r="BF399" i="2"/>
  <c r="BG399" i="2"/>
  <c r="BH399" i="2"/>
  <c r="BI399" i="2"/>
  <c r="BJ399" i="2"/>
  <c r="BK399" i="2"/>
  <c r="BL399" i="2"/>
  <c r="BM399" i="2"/>
  <c r="BN399" i="2"/>
  <c r="BO399" i="2"/>
  <c r="BP399" i="2"/>
  <c r="BQ399" i="2"/>
  <c r="BA400" i="2"/>
  <c r="BB400" i="2"/>
  <c r="BC400" i="2"/>
  <c r="BD400" i="2"/>
  <c r="BE400" i="2"/>
  <c r="BF400" i="2"/>
  <c r="BG400" i="2"/>
  <c r="BH400" i="2"/>
  <c r="BI400" i="2"/>
  <c r="BJ400" i="2"/>
  <c r="BK400" i="2"/>
  <c r="BL400" i="2"/>
  <c r="BM400" i="2"/>
  <c r="BN400" i="2"/>
  <c r="BO400" i="2"/>
  <c r="BP400" i="2"/>
  <c r="BQ400" i="2"/>
  <c r="BA401" i="2"/>
  <c r="BB401" i="2"/>
  <c r="BC401" i="2"/>
  <c r="BD401" i="2"/>
  <c r="BE401" i="2"/>
  <c r="BF401" i="2"/>
  <c r="BG401" i="2"/>
  <c r="BH401" i="2"/>
  <c r="BI401" i="2"/>
  <c r="BJ401" i="2"/>
  <c r="BK401" i="2"/>
  <c r="BL401" i="2"/>
  <c r="BM401" i="2"/>
  <c r="BN401" i="2"/>
  <c r="BO401" i="2"/>
  <c r="BP401" i="2"/>
  <c r="BQ401" i="2"/>
  <c r="BA402" i="2"/>
  <c r="BB402" i="2"/>
  <c r="BC402" i="2"/>
  <c r="BD402" i="2"/>
  <c r="BE402" i="2"/>
  <c r="BF402" i="2"/>
  <c r="BG402" i="2"/>
  <c r="BH402" i="2"/>
  <c r="BI402" i="2"/>
  <c r="BJ402" i="2"/>
  <c r="BK402" i="2"/>
  <c r="BL402" i="2"/>
  <c r="BM402" i="2"/>
  <c r="BN402" i="2"/>
  <c r="BO402" i="2"/>
  <c r="BP402" i="2"/>
  <c r="BQ402" i="2"/>
  <c r="BA403" i="2"/>
  <c r="BB403" i="2"/>
  <c r="BC403" i="2"/>
  <c r="BD403" i="2"/>
  <c r="BE403" i="2"/>
  <c r="BF403" i="2"/>
  <c r="BG403" i="2"/>
  <c r="BH403" i="2"/>
  <c r="BI403" i="2"/>
  <c r="BJ403" i="2"/>
  <c r="BK403" i="2"/>
  <c r="BL403" i="2"/>
  <c r="BM403" i="2"/>
  <c r="BN403" i="2"/>
  <c r="BO403" i="2"/>
  <c r="BP403" i="2"/>
  <c r="BQ403" i="2"/>
  <c r="BA404" i="2"/>
  <c r="BB404" i="2"/>
  <c r="BC404" i="2"/>
  <c r="BD404" i="2"/>
  <c r="BE404" i="2"/>
  <c r="BF404" i="2"/>
  <c r="BG404" i="2"/>
  <c r="BH404" i="2"/>
  <c r="BI404" i="2"/>
  <c r="BJ404" i="2"/>
  <c r="BK404" i="2"/>
  <c r="BL404" i="2"/>
  <c r="BM404" i="2"/>
  <c r="BN404" i="2"/>
  <c r="BO404" i="2"/>
  <c r="BP404" i="2"/>
  <c r="BQ404" i="2"/>
  <c r="BA405" i="2"/>
  <c r="BB405" i="2"/>
  <c r="BC405" i="2"/>
  <c r="BD405" i="2"/>
  <c r="BE405" i="2"/>
  <c r="BF405" i="2"/>
  <c r="BG405" i="2"/>
  <c r="BH405" i="2"/>
  <c r="BI405" i="2"/>
  <c r="BJ405" i="2"/>
  <c r="BK405" i="2"/>
  <c r="BL405" i="2"/>
  <c r="BM405" i="2"/>
  <c r="BN405" i="2"/>
  <c r="BO405" i="2"/>
  <c r="BP405" i="2"/>
  <c r="BQ405" i="2"/>
  <c r="BA406" i="2"/>
  <c r="BB406" i="2"/>
  <c r="BC406" i="2"/>
  <c r="BD406" i="2"/>
  <c r="BE406" i="2"/>
  <c r="BF406" i="2"/>
  <c r="BG406" i="2"/>
  <c r="BH406" i="2"/>
  <c r="BI406" i="2"/>
  <c r="BJ406" i="2"/>
  <c r="BK406" i="2"/>
  <c r="BL406" i="2"/>
  <c r="BM406" i="2"/>
  <c r="BN406" i="2"/>
  <c r="BO406" i="2"/>
  <c r="BP406" i="2"/>
  <c r="BQ406" i="2"/>
  <c r="BA407" i="2"/>
  <c r="BB407" i="2"/>
  <c r="BC407" i="2"/>
  <c r="BD407" i="2"/>
  <c r="BE407" i="2"/>
  <c r="BF407" i="2"/>
  <c r="BG407" i="2"/>
  <c r="BH407" i="2"/>
  <c r="BI407" i="2"/>
  <c r="BJ407" i="2"/>
  <c r="BK407" i="2"/>
  <c r="BL407" i="2"/>
  <c r="BM407" i="2"/>
  <c r="BN407" i="2"/>
  <c r="BO407" i="2"/>
  <c r="BP407" i="2"/>
  <c r="BQ407" i="2"/>
  <c r="BA408" i="2"/>
  <c r="BB408" i="2"/>
  <c r="BC408" i="2"/>
  <c r="BD408" i="2"/>
  <c r="BE408" i="2"/>
  <c r="BF408" i="2"/>
  <c r="BG408" i="2"/>
  <c r="BH408" i="2"/>
  <c r="BI408" i="2"/>
  <c r="BJ408" i="2"/>
  <c r="BK408" i="2"/>
  <c r="BL408" i="2"/>
  <c r="BM408" i="2"/>
  <c r="BN408" i="2"/>
  <c r="BO408" i="2"/>
  <c r="BP408" i="2"/>
  <c r="BQ408" i="2"/>
  <c r="BA409" i="2"/>
  <c r="BB409" i="2"/>
  <c r="BC409" i="2"/>
  <c r="BD409" i="2"/>
  <c r="BE409" i="2"/>
  <c r="BF409" i="2"/>
  <c r="BG409" i="2"/>
  <c r="BH409" i="2"/>
  <c r="BI409" i="2"/>
  <c r="BJ409" i="2"/>
  <c r="BK409" i="2"/>
  <c r="BL409" i="2"/>
  <c r="BM409" i="2"/>
  <c r="BN409" i="2"/>
  <c r="BO409" i="2"/>
  <c r="BP409" i="2"/>
  <c r="BQ409" i="2"/>
  <c r="BA410" i="2"/>
  <c r="BB410" i="2"/>
  <c r="BC410" i="2"/>
  <c r="BD410" i="2"/>
  <c r="BE410" i="2"/>
  <c r="BF410" i="2"/>
  <c r="BG410" i="2"/>
  <c r="BH410" i="2"/>
  <c r="BI410" i="2"/>
  <c r="BJ410" i="2"/>
  <c r="BK410" i="2"/>
  <c r="BL410" i="2"/>
  <c r="BM410" i="2"/>
  <c r="BN410" i="2"/>
  <c r="BO410" i="2"/>
  <c r="BP410" i="2"/>
  <c r="BQ410" i="2"/>
  <c r="BA411" i="2"/>
  <c r="BB411" i="2"/>
  <c r="BC411" i="2"/>
  <c r="BD411" i="2"/>
  <c r="BE411" i="2"/>
  <c r="BF411" i="2"/>
  <c r="BG411" i="2"/>
  <c r="BH411" i="2"/>
  <c r="BI411" i="2"/>
  <c r="BJ411" i="2"/>
  <c r="BK411" i="2"/>
  <c r="BL411" i="2"/>
  <c r="BM411" i="2"/>
  <c r="BN411" i="2"/>
  <c r="BO411" i="2"/>
  <c r="BP411" i="2"/>
  <c r="BQ411" i="2"/>
  <c r="BA412" i="2"/>
  <c r="BB412" i="2"/>
  <c r="BC412" i="2"/>
  <c r="BD412" i="2"/>
  <c r="BE412" i="2"/>
  <c r="BF412" i="2"/>
  <c r="BG412" i="2"/>
  <c r="BH412" i="2"/>
  <c r="BI412" i="2"/>
  <c r="BJ412" i="2"/>
  <c r="BK412" i="2"/>
  <c r="BL412" i="2"/>
  <c r="BM412" i="2"/>
  <c r="BN412" i="2"/>
  <c r="BO412" i="2"/>
  <c r="BP412" i="2"/>
  <c r="BQ412" i="2"/>
  <c r="BA413" i="2"/>
  <c r="BB413" i="2"/>
  <c r="BC413" i="2"/>
  <c r="BD413" i="2"/>
  <c r="BE413" i="2"/>
  <c r="BF413" i="2"/>
  <c r="BG413" i="2"/>
  <c r="BH413" i="2"/>
  <c r="BI413" i="2"/>
  <c r="BJ413" i="2"/>
  <c r="BK413" i="2"/>
  <c r="BL413" i="2"/>
  <c r="BM413" i="2"/>
  <c r="BN413" i="2"/>
  <c r="BO413" i="2"/>
  <c r="BP413" i="2"/>
  <c r="BQ413" i="2"/>
  <c r="BA414" i="2"/>
  <c r="BB414" i="2"/>
  <c r="BC414" i="2"/>
  <c r="BD414" i="2"/>
  <c r="BE414" i="2"/>
  <c r="BF414" i="2"/>
  <c r="BG414" i="2"/>
  <c r="BH414" i="2"/>
  <c r="BI414" i="2"/>
  <c r="BJ414" i="2"/>
  <c r="BK414" i="2"/>
  <c r="BL414" i="2"/>
  <c r="BM414" i="2"/>
  <c r="BN414" i="2"/>
  <c r="BO414" i="2"/>
  <c r="BP414" i="2"/>
  <c r="BQ414" i="2"/>
  <c r="BA415" i="2"/>
  <c r="BB415" i="2"/>
  <c r="BC415" i="2"/>
  <c r="BD415" i="2"/>
  <c r="BE415" i="2"/>
  <c r="BF415" i="2"/>
  <c r="BG415" i="2"/>
  <c r="BH415" i="2"/>
  <c r="BI415" i="2"/>
  <c r="BJ415" i="2"/>
  <c r="BK415" i="2"/>
  <c r="BL415" i="2"/>
  <c r="BM415" i="2"/>
  <c r="BN415" i="2"/>
  <c r="BO415" i="2"/>
  <c r="BP415" i="2"/>
  <c r="BQ415" i="2"/>
  <c r="BA416" i="2"/>
  <c r="BB416" i="2"/>
  <c r="BC416" i="2"/>
  <c r="BD416" i="2"/>
  <c r="BE416" i="2"/>
  <c r="BF416" i="2"/>
  <c r="BG416" i="2"/>
  <c r="BH416" i="2"/>
  <c r="BI416" i="2"/>
  <c r="BJ416" i="2"/>
  <c r="BK416" i="2"/>
  <c r="BL416" i="2"/>
  <c r="BM416" i="2"/>
  <c r="BN416" i="2"/>
  <c r="BO416" i="2"/>
  <c r="BP416" i="2"/>
  <c r="BQ416" i="2"/>
  <c r="BA417" i="2"/>
  <c r="BB417" i="2"/>
  <c r="BC417" i="2"/>
  <c r="BD417" i="2"/>
  <c r="BE417" i="2"/>
  <c r="BF417" i="2"/>
  <c r="BG417" i="2"/>
  <c r="BH417" i="2"/>
  <c r="BI417" i="2"/>
  <c r="BJ417" i="2"/>
  <c r="BK417" i="2"/>
  <c r="BL417" i="2"/>
  <c r="BM417" i="2"/>
  <c r="BN417" i="2"/>
  <c r="BO417" i="2"/>
  <c r="BP417" i="2"/>
  <c r="BQ417" i="2"/>
  <c r="BA418" i="2"/>
  <c r="BB418" i="2"/>
  <c r="BC418" i="2"/>
  <c r="BD418" i="2"/>
  <c r="BE418" i="2"/>
  <c r="BF418" i="2"/>
  <c r="BG418" i="2"/>
  <c r="BH418" i="2"/>
  <c r="BI418" i="2"/>
  <c r="BJ418" i="2"/>
  <c r="BK418" i="2"/>
  <c r="BL418" i="2"/>
  <c r="BM418" i="2"/>
  <c r="BN418" i="2"/>
  <c r="BO418" i="2"/>
  <c r="BP418" i="2"/>
  <c r="BQ418" i="2"/>
  <c r="BA419" i="2"/>
  <c r="BB419" i="2"/>
  <c r="BC419" i="2"/>
  <c r="BD419" i="2"/>
  <c r="BE419" i="2"/>
  <c r="BF419" i="2"/>
  <c r="BG419" i="2"/>
  <c r="BH419" i="2"/>
  <c r="BI419" i="2"/>
  <c r="BJ419" i="2"/>
  <c r="BK419" i="2"/>
  <c r="BL419" i="2"/>
  <c r="BM419" i="2"/>
  <c r="BN419" i="2"/>
  <c r="BO419" i="2"/>
  <c r="BP419" i="2"/>
  <c r="BQ419" i="2"/>
  <c r="BA420" i="2"/>
  <c r="BB420" i="2"/>
  <c r="BC420" i="2"/>
  <c r="BD420" i="2"/>
  <c r="BE420" i="2"/>
  <c r="BF420" i="2"/>
  <c r="BG420" i="2"/>
  <c r="BH420" i="2"/>
  <c r="BI420" i="2"/>
  <c r="BJ420" i="2"/>
  <c r="BK420" i="2"/>
  <c r="BL420" i="2"/>
  <c r="BM420" i="2"/>
  <c r="BN420" i="2"/>
  <c r="BO420" i="2"/>
  <c r="BP420" i="2"/>
  <c r="BQ420" i="2"/>
  <c r="BA421" i="2"/>
  <c r="BB421" i="2"/>
  <c r="BC421" i="2"/>
  <c r="BD421" i="2"/>
  <c r="BE421" i="2"/>
  <c r="BF421" i="2"/>
  <c r="BG421" i="2"/>
  <c r="BH421" i="2"/>
  <c r="BI421" i="2"/>
  <c r="BJ421" i="2"/>
  <c r="BK421" i="2"/>
  <c r="BL421" i="2"/>
  <c r="BM421" i="2"/>
  <c r="BN421" i="2"/>
  <c r="BO421" i="2"/>
  <c r="BP421" i="2"/>
  <c r="BQ421" i="2"/>
  <c r="BA422" i="2"/>
  <c r="BB422" i="2"/>
  <c r="BC422" i="2"/>
  <c r="BD422" i="2"/>
  <c r="BE422" i="2"/>
  <c r="BF422" i="2"/>
  <c r="BG422" i="2"/>
  <c r="BH422" i="2"/>
  <c r="BI422" i="2"/>
  <c r="BJ422" i="2"/>
  <c r="BK422" i="2"/>
  <c r="BL422" i="2"/>
  <c r="BM422" i="2"/>
  <c r="BN422" i="2"/>
  <c r="BO422" i="2"/>
  <c r="BP422" i="2"/>
  <c r="BQ422" i="2"/>
  <c r="BA423" i="2"/>
  <c r="BB423" i="2"/>
  <c r="BC423" i="2"/>
  <c r="BD423" i="2"/>
  <c r="BE423" i="2"/>
  <c r="BF423" i="2"/>
  <c r="BG423" i="2"/>
  <c r="BH423" i="2"/>
  <c r="BI423" i="2"/>
  <c r="BJ423" i="2"/>
  <c r="BK423" i="2"/>
  <c r="BL423" i="2"/>
  <c r="BM423" i="2"/>
  <c r="BN423" i="2"/>
  <c r="BO423" i="2"/>
  <c r="BP423" i="2"/>
  <c r="BQ423" i="2"/>
  <c r="BA424" i="2"/>
  <c r="BB424" i="2"/>
  <c r="BC424" i="2"/>
  <c r="BD424" i="2"/>
  <c r="BE424" i="2"/>
  <c r="BF424" i="2"/>
  <c r="BG424" i="2"/>
  <c r="BH424" i="2"/>
  <c r="BI424" i="2"/>
  <c r="BJ424" i="2"/>
  <c r="BK424" i="2"/>
  <c r="BL424" i="2"/>
  <c r="BM424" i="2"/>
  <c r="BN424" i="2"/>
  <c r="BO424" i="2"/>
  <c r="BP424" i="2"/>
  <c r="BQ424" i="2"/>
  <c r="BA425" i="2"/>
  <c r="BB425" i="2"/>
  <c r="BC425" i="2"/>
  <c r="BD425" i="2"/>
  <c r="BE425" i="2"/>
  <c r="BF425" i="2"/>
  <c r="BG425" i="2"/>
  <c r="BH425" i="2"/>
  <c r="BI425" i="2"/>
  <c r="BJ425" i="2"/>
  <c r="BK425" i="2"/>
  <c r="BL425" i="2"/>
  <c r="BM425" i="2"/>
  <c r="BN425" i="2"/>
  <c r="BO425" i="2"/>
  <c r="BP425" i="2"/>
  <c r="BQ425" i="2"/>
  <c r="BA426" i="2"/>
  <c r="BB426" i="2"/>
  <c r="BC426" i="2"/>
  <c r="BD426" i="2"/>
  <c r="BE426" i="2"/>
  <c r="BF426" i="2"/>
  <c r="BG426" i="2"/>
  <c r="BH426" i="2"/>
  <c r="BI426" i="2"/>
  <c r="BJ426" i="2"/>
  <c r="BK426" i="2"/>
  <c r="BL426" i="2"/>
  <c r="BM426" i="2"/>
  <c r="BN426" i="2"/>
  <c r="BO426" i="2"/>
  <c r="BP426" i="2"/>
  <c r="BQ426" i="2"/>
  <c r="BA427" i="2"/>
  <c r="BB427" i="2"/>
  <c r="BC427" i="2"/>
  <c r="BD427" i="2"/>
  <c r="BE427" i="2"/>
  <c r="BF427" i="2"/>
  <c r="BG427" i="2"/>
  <c r="BH427" i="2"/>
  <c r="BI427" i="2"/>
  <c r="BJ427" i="2"/>
  <c r="BK427" i="2"/>
  <c r="BL427" i="2"/>
  <c r="BM427" i="2"/>
  <c r="BN427" i="2"/>
  <c r="BO427" i="2"/>
  <c r="BP427" i="2"/>
  <c r="BQ427" i="2"/>
  <c r="BA428" i="2"/>
  <c r="BB428" i="2"/>
  <c r="BC428" i="2"/>
  <c r="BD428" i="2"/>
  <c r="BE428" i="2"/>
  <c r="BF428" i="2"/>
  <c r="BG428" i="2"/>
  <c r="BH428" i="2"/>
  <c r="BI428" i="2"/>
  <c r="BJ428" i="2"/>
  <c r="BK428" i="2"/>
  <c r="BL428" i="2"/>
  <c r="BM428" i="2"/>
  <c r="BN428" i="2"/>
  <c r="BO428" i="2"/>
  <c r="BP428" i="2"/>
  <c r="BQ428" i="2"/>
  <c r="BA429" i="2"/>
  <c r="BB429" i="2"/>
  <c r="BC429" i="2"/>
  <c r="BD429" i="2"/>
  <c r="BE429" i="2"/>
  <c r="BF429" i="2"/>
  <c r="BG429" i="2"/>
  <c r="BH429" i="2"/>
  <c r="BI429" i="2"/>
  <c r="BJ429" i="2"/>
  <c r="BK429" i="2"/>
  <c r="BL429" i="2"/>
  <c r="BM429" i="2"/>
  <c r="BN429" i="2"/>
  <c r="BO429" i="2"/>
  <c r="BP429" i="2"/>
  <c r="BQ429" i="2"/>
  <c r="BA430" i="2"/>
  <c r="BB430" i="2"/>
  <c r="BC430" i="2"/>
  <c r="BD430" i="2"/>
  <c r="BE430" i="2"/>
  <c r="BF430" i="2"/>
  <c r="BG430" i="2"/>
  <c r="BH430" i="2"/>
  <c r="BI430" i="2"/>
  <c r="BJ430" i="2"/>
  <c r="BK430" i="2"/>
  <c r="BL430" i="2"/>
  <c r="BM430" i="2"/>
  <c r="BN430" i="2"/>
  <c r="BO430" i="2"/>
  <c r="BP430" i="2"/>
  <c r="BQ430" i="2"/>
  <c r="BA431" i="2"/>
  <c r="BB431" i="2"/>
  <c r="BC431" i="2"/>
  <c r="BD431" i="2"/>
  <c r="BE431" i="2"/>
  <c r="BF431" i="2"/>
  <c r="BG431" i="2"/>
  <c r="BH431" i="2"/>
  <c r="BI431" i="2"/>
  <c r="BJ431" i="2"/>
  <c r="BK431" i="2"/>
  <c r="BL431" i="2"/>
  <c r="BM431" i="2"/>
  <c r="BN431" i="2"/>
  <c r="BO431" i="2"/>
  <c r="BP431" i="2"/>
  <c r="BQ431" i="2"/>
  <c r="BA432" i="2"/>
  <c r="BB432" i="2"/>
  <c r="BC432" i="2"/>
  <c r="BD432" i="2"/>
  <c r="BE432" i="2"/>
  <c r="BF432" i="2"/>
  <c r="BG432" i="2"/>
  <c r="BH432" i="2"/>
  <c r="BI432" i="2"/>
  <c r="BJ432" i="2"/>
  <c r="BK432" i="2"/>
  <c r="BL432" i="2"/>
  <c r="BM432" i="2"/>
  <c r="BN432" i="2"/>
  <c r="BO432" i="2"/>
  <c r="BP432" i="2"/>
  <c r="BQ432" i="2"/>
  <c r="BA433" i="2"/>
  <c r="BB433" i="2"/>
  <c r="BC433" i="2"/>
  <c r="BD433" i="2"/>
  <c r="BE433" i="2"/>
  <c r="BF433" i="2"/>
  <c r="BG433" i="2"/>
  <c r="BH433" i="2"/>
  <c r="BI433" i="2"/>
  <c r="BJ433" i="2"/>
  <c r="BK433" i="2"/>
  <c r="BL433" i="2"/>
  <c r="BM433" i="2"/>
  <c r="BN433" i="2"/>
  <c r="BO433" i="2"/>
  <c r="BP433" i="2"/>
  <c r="BQ433" i="2"/>
  <c r="BA434" i="2"/>
  <c r="BB434" i="2"/>
  <c r="BC434" i="2"/>
  <c r="BD434" i="2"/>
  <c r="BE434" i="2"/>
  <c r="BF434" i="2"/>
  <c r="BG434" i="2"/>
  <c r="BH434" i="2"/>
  <c r="BI434" i="2"/>
  <c r="BJ434" i="2"/>
  <c r="BK434" i="2"/>
  <c r="BL434" i="2"/>
  <c r="BM434" i="2"/>
  <c r="BN434" i="2"/>
  <c r="BO434" i="2"/>
  <c r="BP434" i="2"/>
  <c r="BQ434" i="2"/>
  <c r="BA435" i="2"/>
  <c r="BB435" i="2"/>
  <c r="BC435" i="2"/>
  <c r="BD435" i="2"/>
  <c r="BE435" i="2"/>
  <c r="BF435" i="2"/>
  <c r="BG435" i="2"/>
  <c r="BH435" i="2"/>
  <c r="BI435" i="2"/>
  <c r="BJ435" i="2"/>
  <c r="BK435" i="2"/>
  <c r="BL435" i="2"/>
  <c r="BM435" i="2"/>
  <c r="BN435" i="2"/>
  <c r="BO435" i="2"/>
  <c r="BP435" i="2"/>
  <c r="BQ435" i="2"/>
  <c r="BA436" i="2"/>
  <c r="BB436" i="2"/>
  <c r="BC436" i="2"/>
  <c r="BD436" i="2"/>
  <c r="BE436" i="2"/>
  <c r="BF436" i="2"/>
  <c r="BG436" i="2"/>
  <c r="BH436" i="2"/>
  <c r="BI436" i="2"/>
  <c r="BJ436" i="2"/>
  <c r="BK436" i="2"/>
  <c r="BL436" i="2"/>
  <c r="BM436" i="2"/>
  <c r="BN436" i="2"/>
  <c r="BO436" i="2"/>
  <c r="BP436" i="2"/>
  <c r="BQ436" i="2"/>
  <c r="BA437" i="2"/>
  <c r="BB437" i="2"/>
  <c r="BC437" i="2"/>
  <c r="BD437" i="2"/>
  <c r="BE437" i="2"/>
  <c r="BF437" i="2"/>
  <c r="BG437" i="2"/>
  <c r="BH437" i="2"/>
  <c r="BI437" i="2"/>
  <c r="BJ437" i="2"/>
  <c r="BK437" i="2"/>
  <c r="BL437" i="2"/>
  <c r="BM437" i="2"/>
  <c r="BN437" i="2"/>
  <c r="BO437" i="2"/>
  <c r="BP437" i="2"/>
  <c r="BQ437" i="2"/>
  <c r="BA438" i="2"/>
  <c r="BB438" i="2"/>
  <c r="BC438" i="2"/>
  <c r="BD438" i="2"/>
  <c r="BE438" i="2"/>
  <c r="BF438" i="2"/>
  <c r="BG438" i="2"/>
  <c r="BH438" i="2"/>
  <c r="BI438" i="2"/>
  <c r="BJ438" i="2"/>
  <c r="BK438" i="2"/>
  <c r="BL438" i="2"/>
  <c r="BM438" i="2"/>
  <c r="BN438" i="2"/>
  <c r="BO438" i="2"/>
  <c r="BP438" i="2"/>
  <c r="BQ438" i="2"/>
  <c r="BA439" i="2"/>
  <c r="BB439" i="2"/>
  <c r="BC439" i="2"/>
  <c r="BD439" i="2"/>
  <c r="BE439" i="2"/>
  <c r="BF439" i="2"/>
  <c r="BG439" i="2"/>
  <c r="BH439" i="2"/>
  <c r="BI439" i="2"/>
  <c r="BJ439" i="2"/>
  <c r="BK439" i="2"/>
  <c r="BL439" i="2"/>
  <c r="BM439" i="2"/>
  <c r="BN439" i="2"/>
  <c r="BO439" i="2"/>
  <c r="BP439" i="2"/>
  <c r="BQ439" i="2"/>
  <c r="BA440" i="2"/>
  <c r="BB440" i="2"/>
  <c r="BC440" i="2"/>
  <c r="BD440" i="2"/>
  <c r="BE440" i="2"/>
  <c r="BF440" i="2"/>
  <c r="BG440" i="2"/>
  <c r="BH440" i="2"/>
  <c r="BI440" i="2"/>
  <c r="BJ440" i="2"/>
  <c r="BK440" i="2"/>
  <c r="BL440" i="2"/>
  <c r="BM440" i="2"/>
  <c r="BN440" i="2"/>
  <c r="BO440" i="2"/>
  <c r="BP440" i="2"/>
  <c r="BQ440" i="2"/>
  <c r="BA441" i="2"/>
  <c r="BB441" i="2"/>
  <c r="BC441" i="2"/>
  <c r="BD441" i="2"/>
  <c r="BE441" i="2"/>
  <c r="BF441" i="2"/>
  <c r="BG441" i="2"/>
  <c r="BH441" i="2"/>
  <c r="BI441" i="2"/>
  <c r="BJ441" i="2"/>
  <c r="BK441" i="2"/>
  <c r="BL441" i="2"/>
  <c r="BM441" i="2"/>
  <c r="BN441" i="2"/>
  <c r="BO441" i="2"/>
  <c r="BP441" i="2"/>
  <c r="BQ441" i="2"/>
  <c r="BA442" i="2"/>
  <c r="BB442" i="2"/>
  <c r="BC442" i="2"/>
  <c r="BD442" i="2"/>
  <c r="BE442" i="2"/>
  <c r="BF442" i="2"/>
  <c r="BG442" i="2"/>
  <c r="BH442" i="2"/>
  <c r="BI442" i="2"/>
  <c r="BJ442" i="2"/>
  <c r="BK442" i="2"/>
  <c r="BL442" i="2"/>
  <c r="BM442" i="2"/>
  <c r="BN442" i="2"/>
  <c r="BO442" i="2"/>
  <c r="BP442" i="2"/>
  <c r="BQ442" i="2"/>
  <c r="BA443" i="2"/>
  <c r="BB443" i="2"/>
  <c r="BC443" i="2"/>
  <c r="BD443" i="2"/>
  <c r="BE443" i="2"/>
  <c r="BF443" i="2"/>
  <c r="BG443" i="2"/>
  <c r="BH443" i="2"/>
  <c r="BI443" i="2"/>
  <c r="BJ443" i="2"/>
  <c r="BK443" i="2"/>
  <c r="BL443" i="2"/>
  <c r="BM443" i="2"/>
  <c r="BN443" i="2"/>
  <c r="BO443" i="2"/>
  <c r="BP443" i="2"/>
  <c r="BQ443" i="2"/>
  <c r="BA444" i="2"/>
  <c r="BB444" i="2"/>
  <c r="BC444" i="2"/>
  <c r="BD444" i="2"/>
  <c r="BE444" i="2"/>
  <c r="BF444" i="2"/>
  <c r="BG444" i="2"/>
  <c r="BH444" i="2"/>
  <c r="BI444" i="2"/>
  <c r="BJ444" i="2"/>
  <c r="BK444" i="2"/>
  <c r="BL444" i="2"/>
  <c r="BM444" i="2"/>
  <c r="BN444" i="2"/>
  <c r="BO444" i="2"/>
  <c r="BP444" i="2"/>
  <c r="BQ444" i="2"/>
  <c r="BA445" i="2"/>
  <c r="BB445" i="2"/>
  <c r="BC445" i="2"/>
  <c r="BD445" i="2"/>
  <c r="BE445" i="2"/>
  <c r="BF445" i="2"/>
  <c r="BG445" i="2"/>
  <c r="BH445" i="2"/>
  <c r="BI445" i="2"/>
  <c r="BJ445" i="2"/>
  <c r="BK445" i="2"/>
  <c r="BL445" i="2"/>
  <c r="BM445" i="2"/>
  <c r="BN445" i="2"/>
  <c r="BO445" i="2"/>
  <c r="BP445" i="2"/>
  <c r="BQ445" i="2"/>
  <c r="BA446" i="2"/>
  <c r="BB446" i="2"/>
  <c r="BC446" i="2"/>
  <c r="BD446" i="2"/>
  <c r="BE446" i="2"/>
  <c r="BF446" i="2"/>
  <c r="BG446" i="2"/>
  <c r="BH446" i="2"/>
  <c r="BI446" i="2"/>
  <c r="BJ446" i="2"/>
  <c r="BK446" i="2"/>
  <c r="BL446" i="2"/>
  <c r="BM446" i="2"/>
  <c r="BN446" i="2"/>
  <c r="BO446" i="2"/>
  <c r="BP446" i="2"/>
  <c r="BQ446" i="2"/>
  <c r="BA447" i="2"/>
  <c r="BB447" i="2"/>
  <c r="BC447" i="2"/>
  <c r="BD447" i="2"/>
  <c r="BE447" i="2"/>
  <c r="BF447" i="2"/>
  <c r="BG447" i="2"/>
  <c r="BH447" i="2"/>
  <c r="BI447" i="2"/>
  <c r="BJ447" i="2"/>
  <c r="BK447" i="2"/>
  <c r="BL447" i="2"/>
  <c r="BM447" i="2"/>
  <c r="BN447" i="2"/>
  <c r="BO447" i="2"/>
  <c r="BP447" i="2"/>
  <c r="BQ447" i="2"/>
  <c r="BA448" i="2"/>
  <c r="BB448" i="2"/>
  <c r="BC448" i="2"/>
  <c r="BD448" i="2"/>
  <c r="BE448" i="2"/>
  <c r="BF448" i="2"/>
  <c r="BG448" i="2"/>
  <c r="BH448" i="2"/>
  <c r="BI448" i="2"/>
  <c r="BJ448" i="2"/>
  <c r="BK448" i="2"/>
  <c r="BL448" i="2"/>
  <c r="BM448" i="2"/>
  <c r="BN448" i="2"/>
  <c r="BO448" i="2"/>
  <c r="BP448" i="2"/>
  <c r="BQ448" i="2"/>
  <c r="BA449" i="2"/>
  <c r="BB449" i="2"/>
  <c r="BC449" i="2"/>
  <c r="BD449" i="2"/>
  <c r="BE449" i="2"/>
  <c r="BF449" i="2"/>
  <c r="BG449" i="2"/>
  <c r="BH449" i="2"/>
  <c r="BI449" i="2"/>
  <c r="BJ449" i="2"/>
  <c r="BK449" i="2"/>
  <c r="BL449" i="2"/>
  <c r="BM449" i="2"/>
  <c r="BN449" i="2"/>
  <c r="BO449" i="2"/>
  <c r="BP449" i="2"/>
  <c r="BQ449" i="2"/>
  <c r="BA450" i="2"/>
  <c r="BB450" i="2"/>
  <c r="BC450" i="2"/>
  <c r="BD450" i="2"/>
  <c r="BE450" i="2"/>
  <c r="BF450" i="2"/>
  <c r="BG450" i="2"/>
  <c r="BH450" i="2"/>
  <c r="BI450" i="2"/>
  <c r="BJ450" i="2"/>
  <c r="BK450" i="2"/>
  <c r="BL450" i="2"/>
  <c r="BM450" i="2"/>
  <c r="BN450" i="2"/>
  <c r="BO450" i="2"/>
  <c r="BP450" i="2"/>
  <c r="BQ450" i="2"/>
  <c r="BA451" i="2"/>
  <c r="BB451" i="2"/>
  <c r="BC451" i="2"/>
  <c r="BD451" i="2"/>
  <c r="BE451" i="2"/>
  <c r="BF451" i="2"/>
  <c r="BG451" i="2"/>
  <c r="BH451" i="2"/>
  <c r="BI451" i="2"/>
  <c r="BJ451" i="2"/>
  <c r="BK451" i="2"/>
  <c r="BL451" i="2"/>
  <c r="BM451" i="2"/>
  <c r="BN451" i="2"/>
  <c r="BO451" i="2"/>
  <c r="BP451" i="2"/>
  <c r="BQ451" i="2"/>
  <c r="BA452" i="2"/>
  <c r="BB452" i="2"/>
  <c r="BC452" i="2"/>
  <c r="BD452" i="2"/>
  <c r="BE452" i="2"/>
  <c r="BF452" i="2"/>
  <c r="BG452" i="2"/>
  <c r="BH452" i="2"/>
  <c r="BI452" i="2"/>
  <c r="BJ452" i="2"/>
  <c r="BK452" i="2"/>
  <c r="BL452" i="2"/>
  <c r="BM452" i="2"/>
  <c r="BN452" i="2"/>
  <c r="BO452" i="2"/>
  <c r="BP452" i="2"/>
  <c r="BQ452" i="2"/>
  <c r="BA453" i="2"/>
  <c r="BB453" i="2"/>
  <c r="BC453" i="2"/>
  <c r="BD453" i="2"/>
  <c r="BE453" i="2"/>
  <c r="BF453" i="2"/>
  <c r="BG453" i="2"/>
  <c r="BH453" i="2"/>
  <c r="BI453" i="2"/>
  <c r="BJ453" i="2"/>
  <c r="BK453" i="2"/>
  <c r="BL453" i="2"/>
  <c r="BM453" i="2"/>
  <c r="BN453" i="2"/>
  <c r="BO453" i="2"/>
  <c r="BP453" i="2"/>
  <c r="BQ453" i="2"/>
  <c r="BA454" i="2"/>
  <c r="BB454" i="2"/>
  <c r="BC454" i="2"/>
  <c r="BD454" i="2"/>
  <c r="BE454" i="2"/>
  <c r="BF454" i="2"/>
  <c r="BG454" i="2"/>
  <c r="BH454" i="2"/>
  <c r="BI454" i="2"/>
  <c r="BJ454" i="2"/>
  <c r="BK454" i="2"/>
  <c r="BL454" i="2"/>
  <c r="BM454" i="2"/>
  <c r="BN454" i="2"/>
  <c r="BO454" i="2"/>
  <c r="BP454" i="2"/>
  <c r="BQ454" i="2"/>
  <c r="BA455" i="2"/>
  <c r="BB455" i="2"/>
  <c r="BC455" i="2"/>
  <c r="BD455" i="2"/>
  <c r="BE455" i="2"/>
  <c r="BF455" i="2"/>
  <c r="BG455" i="2"/>
  <c r="BH455" i="2"/>
  <c r="BI455" i="2"/>
  <c r="BJ455" i="2"/>
  <c r="BK455" i="2"/>
  <c r="BL455" i="2"/>
  <c r="BM455" i="2"/>
  <c r="BN455" i="2"/>
  <c r="BO455" i="2"/>
  <c r="BP455" i="2"/>
  <c r="BQ455" i="2"/>
  <c r="BA456" i="2"/>
  <c r="BB456" i="2"/>
  <c r="BC456" i="2"/>
  <c r="BD456" i="2"/>
  <c r="BE456" i="2"/>
  <c r="BF456" i="2"/>
  <c r="BG456" i="2"/>
  <c r="BH456" i="2"/>
  <c r="BI456" i="2"/>
  <c r="BJ456" i="2"/>
  <c r="BK456" i="2"/>
  <c r="BL456" i="2"/>
  <c r="BM456" i="2"/>
  <c r="BN456" i="2"/>
  <c r="BO456" i="2"/>
  <c r="BP456" i="2"/>
  <c r="BQ456" i="2"/>
  <c r="BA457" i="2"/>
  <c r="BB457" i="2"/>
  <c r="BC457" i="2"/>
  <c r="BD457" i="2"/>
  <c r="BE457" i="2"/>
  <c r="BF457" i="2"/>
  <c r="BG457" i="2"/>
  <c r="BH457" i="2"/>
  <c r="BI457" i="2"/>
  <c r="BJ457" i="2"/>
  <c r="BK457" i="2"/>
  <c r="BL457" i="2"/>
  <c r="BM457" i="2"/>
  <c r="BN457" i="2"/>
  <c r="BO457" i="2"/>
  <c r="BP457" i="2"/>
  <c r="BQ457" i="2"/>
  <c r="BA458" i="2"/>
  <c r="BB458" i="2"/>
  <c r="BC458" i="2"/>
  <c r="BD458" i="2"/>
  <c r="BE458" i="2"/>
  <c r="BF458" i="2"/>
  <c r="BG458" i="2"/>
  <c r="BH458" i="2"/>
  <c r="BI458" i="2"/>
  <c r="BJ458" i="2"/>
  <c r="BK458" i="2"/>
  <c r="BL458" i="2"/>
  <c r="BM458" i="2"/>
  <c r="BN458" i="2"/>
  <c r="BO458" i="2"/>
  <c r="BP458" i="2"/>
  <c r="BQ458" i="2"/>
  <c r="BA459" i="2"/>
  <c r="BB459" i="2"/>
  <c r="BC459" i="2"/>
  <c r="BD459" i="2"/>
  <c r="BE459" i="2"/>
  <c r="BF459" i="2"/>
  <c r="BG459" i="2"/>
  <c r="BH459" i="2"/>
  <c r="BI459" i="2"/>
  <c r="BJ459" i="2"/>
  <c r="BK459" i="2"/>
  <c r="BL459" i="2"/>
  <c r="BM459" i="2"/>
  <c r="BN459" i="2"/>
  <c r="BO459" i="2"/>
  <c r="BP459" i="2"/>
  <c r="BQ459" i="2"/>
  <c r="BA460" i="2"/>
  <c r="BB460" i="2"/>
  <c r="BC460" i="2"/>
  <c r="BD460" i="2"/>
  <c r="BE460" i="2"/>
  <c r="BF460" i="2"/>
  <c r="BG460" i="2"/>
  <c r="BH460" i="2"/>
  <c r="BI460" i="2"/>
  <c r="BJ460" i="2"/>
  <c r="BK460" i="2"/>
  <c r="BL460" i="2"/>
  <c r="BM460" i="2"/>
  <c r="BN460" i="2"/>
  <c r="BO460" i="2"/>
  <c r="BP460" i="2"/>
  <c r="BQ460" i="2"/>
  <c r="BA461" i="2"/>
  <c r="BB461" i="2"/>
  <c r="BC461" i="2"/>
  <c r="BD461" i="2"/>
  <c r="BE461" i="2"/>
  <c r="BF461" i="2"/>
  <c r="BG461" i="2"/>
  <c r="BH461" i="2"/>
  <c r="BI461" i="2"/>
  <c r="BJ461" i="2"/>
  <c r="BK461" i="2"/>
  <c r="BL461" i="2"/>
  <c r="BM461" i="2"/>
  <c r="BN461" i="2"/>
  <c r="BO461" i="2"/>
  <c r="BP461" i="2"/>
  <c r="BQ461" i="2"/>
  <c r="BA462" i="2"/>
  <c r="BB462" i="2"/>
  <c r="BC462" i="2"/>
  <c r="BD462" i="2"/>
  <c r="BE462" i="2"/>
  <c r="BF462" i="2"/>
  <c r="BG462" i="2"/>
  <c r="BH462" i="2"/>
  <c r="BI462" i="2"/>
  <c r="BJ462" i="2"/>
  <c r="BK462" i="2"/>
  <c r="BL462" i="2"/>
  <c r="BM462" i="2"/>
  <c r="BN462" i="2"/>
  <c r="BO462" i="2"/>
  <c r="BP462" i="2"/>
  <c r="BQ462" i="2"/>
  <c r="BA463" i="2"/>
  <c r="BB463" i="2"/>
  <c r="BC463" i="2"/>
  <c r="BD463" i="2"/>
  <c r="BE463" i="2"/>
  <c r="BF463" i="2"/>
  <c r="BG463" i="2"/>
  <c r="BH463" i="2"/>
  <c r="BI463" i="2"/>
  <c r="BJ463" i="2"/>
  <c r="BK463" i="2"/>
  <c r="BL463" i="2"/>
  <c r="BM463" i="2"/>
  <c r="BN463" i="2"/>
  <c r="BO463" i="2"/>
  <c r="BP463" i="2"/>
  <c r="BQ463" i="2"/>
  <c r="BA464" i="2"/>
  <c r="BB464" i="2"/>
  <c r="BC464" i="2"/>
  <c r="BD464" i="2"/>
  <c r="BE464" i="2"/>
  <c r="BF464" i="2"/>
  <c r="BG464" i="2"/>
  <c r="BH464" i="2"/>
  <c r="BI464" i="2"/>
  <c r="BJ464" i="2"/>
  <c r="BK464" i="2"/>
  <c r="BL464" i="2"/>
  <c r="BM464" i="2"/>
  <c r="BN464" i="2"/>
  <c r="BO464" i="2"/>
  <c r="BP464" i="2"/>
  <c r="BQ464" i="2"/>
  <c r="BA465" i="2"/>
  <c r="BB465" i="2"/>
  <c r="BC465" i="2"/>
  <c r="BD465" i="2"/>
  <c r="BE465" i="2"/>
  <c r="BF465" i="2"/>
  <c r="BG465" i="2"/>
  <c r="BH465" i="2"/>
  <c r="BI465" i="2"/>
  <c r="BJ465" i="2"/>
  <c r="BK465" i="2"/>
  <c r="BL465" i="2"/>
  <c r="BM465" i="2"/>
  <c r="BN465" i="2"/>
  <c r="BO465" i="2"/>
  <c r="BP465" i="2"/>
  <c r="BQ465" i="2"/>
  <c r="BE466" i="2"/>
  <c r="BF466" i="2"/>
  <c r="BG466" i="2"/>
  <c r="BH466" i="2"/>
  <c r="BI466" i="2"/>
  <c r="BJ466" i="2"/>
  <c r="BK466" i="2"/>
  <c r="BL466" i="2"/>
  <c r="BM466" i="2"/>
  <c r="BN466" i="2"/>
  <c r="BO466" i="2"/>
  <c r="BP466" i="2"/>
  <c r="BQ466" i="2"/>
  <c r="BA467" i="2"/>
  <c r="BB467" i="2"/>
  <c r="BC467" i="2"/>
  <c r="BD467" i="2"/>
  <c r="BE467" i="2"/>
  <c r="BF467" i="2"/>
  <c r="BG467" i="2"/>
  <c r="BH467" i="2"/>
  <c r="BI467" i="2"/>
  <c r="BJ467" i="2"/>
  <c r="BK467" i="2"/>
  <c r="BL467" i="2"/>
  <c r="BM467" i="2"/>
  <c r="BN467" i="2"/>
  <c r="BO467" i="2"/>
  <c r="BP467" i="2"/>
  <c r="BQ467" i="2"/>
  <c r="BA468" i="2"/>
  <c r="BB468" i="2"/>
  <c r="BC468" i="2"/>
  <c r="BD468" i="2"/>
  <c r="BE468" i="2"/>
  <c r="BF468" i="2"/>
  <c r="BG468" i="2"/>
  <c r="BH468" i="2"/>
  <c r="BI468" i="2"/>
  <c r="BJ468" i="2"/>
  <c r="BK468" i="2"/>
  <c r="BL468" i="2"/>
  <c r="BM468" i="2"/>
  <c r="BN468" i="2"/>
  <c r="BO468" i="2"/>
  <c r="BP468" i="2"/>
  <c r="BQ468" i="2"/>
  <c r="BA469" i="2"/>
  <c r="BB469" i="2"/>
  <c r="BC469" i="2"/>
  <c r="BD469" i="2"/>
  <c r="BE469" i="2"/>
  <c r="BF469" i="2"/>
  <c r="BG469" i="2"/>
  <c r="BH469" i="2"/>
  <c r="BI469" i="2"/>
  <c r="BJ469" i="2"/>
  <c r="BK469" i="2"/>
  <c r="BL469" i="2"/>
  <c r="BM469" i="2"/>
  <c r="BN469" i="2"/>
  <c r="BO469" i="2"/>
  <c r="BP469" i="2"/>
  <c r="BQ469" i="2"/>
  <c r="BA470" i="2"/>
  <c r="BB470" i="2"/>
  <c r="BC470" i="2"/>
  <c r="BD470" i="2"/>
  <c r="BE470" i="2"/>
  <c r="BF470" i="2"/>
  <c r="BG470" i="2"/>
  <c r="BH470" i="2"/>
  <c r="BI470" i="2"/>
  <c r="BJ470" i="2"/>
  <c r="BK470" i="2"/>
  <c r="BL470" i="2"/>
  <c r="BM470" i="2"/>
  <c r="BN470" i="2"/>
  <c r="BO470" i="2"/>
  <c r="BP470" i="2"/>
  <c r="BQ470" i="2"/>
  <c r="BA471" i="2"/>
  <c r="BB471" i="2"/>
  <c r="BC471" i="2"/>
  <c r="BD471" i="2"/>
  <c r="BE471" i="2"/>
  <c r="BF471" i="2"/>
  <c r="BG471" i="2"/>
  <c r="BH471" i="2"/>
  <c r="BI471" i="2"/>
  <c r="BJ471" i="2"/>
  <c r="BK471" i="2"/>
  <c r="BL471" i="2"/>
  <c r="BM471" i="2"/>
  <c r="BN471" i="2"/>
  <c r="BO471" i="2"/>
  <c r="BP471" i="2"/>
  <c r="BQ471" i="2"/>
  <c r="BA472" i="2"/>
  <c r="BB472" i="2"/>
  <c r="BC472" i="2"/>
  <c r="BD472" i="2"/>
  <c r="BE472" i="2"/>
  <c r="BF472" i="2"/>
  <c r="BG472" i="2"/>
  <c r="BH472" i="2"/>
  <c r="BI472" i="2"/>
  <c r="BJ472" i="2"/>
  <c r="BK472" i="2"/>
  <c r="BL472" i="2"/>
  <c r="BM472" i="2"/>
  <c r="BN472" i="2"/>
  <c r="BO472" i="2"/>
  <c r="BP472" i="2"/>
  <c r="BQ472" i="2"/>
  <c r="BA473" i="2"/>
  <c r="BB473" i="2"/>
  <c r="BC473" i="2"/>
  <c r="BD473" i="2"/>
  <c r="BE473" i="2"/>
  <c r="BF473" i="2"/>
  <c r="BG473" i="2"/>
  <c r="BH473" i="2"/>
  <c r="BI473" i="2"/>
  <c r="BJ473" i="2"/>
  <c r="BK473" i="2"/>
  <c r="BL473" i="2"/>
  <c r="BM473" i="2"/>
  <c r="BN473" i="2"/>
  <c r="BO473" i="2"/>
  <c r="BP473" i="2"/>
  <c r="BQ473" i="2"/>
  <c r="BA474" i="2"/>
  <c r="BB474" i="2"/>
  <c r="BC474" i="2"/>
  <c r="BD474" i="2"/>
  <c r="BE474" i="2"/>
  <c r="BF474" i="2"/>
  <c r="BG474" i="2"/>
  <c r="BH474" i="2"/>
  <c r="BI474" i="2"/>
  <c r="BJ474" i="2"/>
  <c r="BK474" i="2"/>
  <c r="BL474" i="2"/>
  <c r="BM474" i="2"/>
  <c r="BN474" i="2"/>
  <c r="BO474" i="2"/>
  <c r="BP474" i="2"/>
  <c r="BQ474" i="2"/>
  <c r="BA475" i="2"/>
  <c r="BB475" i="2"/>
  <c r="BC475" i="2"/>
  <c r="BD475" i="2"/>
  <c r="BE475" i="2"/>
  <c r="BF475" i="2"/>
  <c r="BG475" i="2"/>
  <c r="BH475" i="2"/>
  <c r="BI475" i="2"/>
  <c r="BJ475" i="2"/>
  <c r="BK475" i="2"/>
  <c r="BL475" i="2"/>
  <c r="BM475" i="2"/>
  <c r="BN475" i="2"/>
  <c r="BO475" i="2"/>
  <c r="BP475" i="2"/>
  <c r="BQ475" i="2"/>
  <c r="BA476" i="2"/>
  <c r="BB476" i="2"/>
  <c r="BC476" i="2"/>
  <c r="BD476" i="2"/>
  <c r="BE476" i="2"/>
  <c r="BF476" i="2"/>
  <c r="BG476" i="2"/>
  <c r="BH476" i="2"/>
  <c r="BI476" i="2"/>
  <c r="BJ476" i="2"/>
  <c r="BK476" i="2"/>
  <c r="BL476" i="2"/>
  <c r="BM476" i="2"/>
  <c r="BN476" i="2"/>
  <c r="BO476" i="2"/>
  <c r="BP476" i="2"/>
  <c r="BQ476" i="2"/>
  <c r="BA477" i="2"/>
  <c r="BB477" i="2"/>
  <c r="BC477" i="2"/>
  <c r="BD477" i="2"/>
  <c r="BE477" i="2"/>
  <c r="BF477" i="2"/>
  <c r="BG477" i="2"/>
  <c r="BH477" i="2"/>
  <c r="BI477" i="2"/>
  <c r="BJ477" i="2"/>
  <c r="BK477" i="2"/>
  <c r="BL477" i="2"/>
  <c r="BM477" i="2"/>
  <c r="BN477" i="2"/>
  <c r="BO477" i="2"/>
  <c r="BP477" i="2"/>
  <c r="BQ477" i="2"/>
  <c r="BA478" i="2"/>
  <c r="BB478" i="2"/>
  <c r="BC478" i="2"/>
  <c r="BD478" i="2"/>
  <c r="BE478" i="2"/>
  <c r="BF478" i="2"/>
  <c r="BG478" i="2"/>
  <c r="BH478" i="2"/>
  <c r="BI478" i="2"/>
  <c r="BJ478" i="2"/>
  <c r="BK478" i="2"/>
  <c r="BL478" i="2"/>
  <c r="BM478" i="2"/>
  <c r="BN478" i="2"/>
  <c r="BO478" i="2"/>
  <c r="BP478" i="2"/>
  <c r="BQ478" i="2"/>
  <c r="BA479" i="2"/>
  <c r="BB479" i="2"/>
  <c r="BC479" i="2"/>
  <c r="BD479" i="2"/>
  <c r="BE479" i="2"/>
  <c r="BF479" i="2"/>
  <c r="BG479" i="2"/>
  <c r="BH479" i="2"/>
  <c r="BI479" i="2"/>
  <c r="BJ479" i="2"/>
  <c r="BK479" i="2"/>
  <c r="BL479" i="2"/>
  <c r="BM479" i="2"/>
  <c r="BN479" i="2"/>
  <c r="BO479" i="2"/>
  <c r="BP479" i="2"/>
  <c r="BQ479" i="2"/>
  <c r="BA480" i="2"/>
  <c r="BB480" i="2"/>
  <c r="BC480" i="2"/>
  <c r="BD480" i="2"/>
  <c r="BE480" i="2"/>
  <c r="BF480" i="2"/>
  <c r="BG480" i="2"/>
  <c r="BH480" i="2"/>
  <c r="BI480" i="2"/>
  <c r="BJ480" i="2"/>
  <c r="BK480" i="2"/>
  <c r="BL480" i="2"/>
  <c r="BM480" i="2"/>
  <c r="BN480" i="2"/>
  <c r="BO480" i="2"/>
  <c r="BP480" i="2"/>
  <c r="BQ480" i="2"/>
  <c r="BA481" i="2"/>
  <c r="BB481" i="2"/>
  <c r="BC481" i="2"/>
  <c r="BD481" i="2"/>
  <c r="BE481" i="2"/>
  <c r="BF481" i="2"/>
  <c r="BG481" i="2"/>
  <c r="BH481" i="2"/>
  <c r="BI481" i="2"/>
  <c r="BJ481" i="2"/>
  <c r="BK481" i="2"/>
  <c r="BL481" i="2"/>
  <c r="BM481" i="2"/>
  <c r="BN481" i="2"/>
  <c r="BO481" i="2"/>
  <c r="BP481" i="2"/>
  <c r="BQ481" i="2"/>
  <c r="BA482" i="2"/>
  <c r="BB482" i="2"/>
  <c r="BC482" i="2"/>
  <c r="BD482" i="2"/>
  <c r="BE482" i="2"/>
  <c r="BF482" i="2"/>
  <c r="BG482" i="2"/>
  <c r="BH482" i="2"/>
  <c r="BI482" i="2"/>
  <c r="BJ482" i="2"/>
  <c r="BK482" i="2"/>
  <c r="BL482" i="2"/>
  <c r="BM482" i="2"/>
  <c r="BN482" i="2"/>
  <c r="BO482" i="2"/>
  <c r="BP482" i="2"/>
  <c r="BQ482" i="2"/>
  <c r="BA483" i="2"/>
  <c r="BB483" i="2"/>
  <c r="BC483" i="2"/>
  <c r="BD483" i="2"/>
  <c r="BE483" i="2"/>
  <c r="BF483" i="2"/>
  <c r="BG483" i="2"/>
  <c r="BH483" i="2"/>
  <c r="BI483" i="2"/>
  <c r="BJ483" i="2"/>
  <c r="BK483" i="2"/>
  <c r="BL483" i="2"/>
  <c r="BM483" i="2"/>
  <c r="BN483" i="2"/>
  <c r="BO483" i="2"/>
  <c r="BP483" i="2"/>
  <c r="BQ483" i="2"/>
  <c r="BA484" i="2"/>
  <c r="BB484" i="2"/>
  <c r="BC484" i="2"/>
  <c r="BD484" i="2"/>
  <c r="BE484" i="2"/>
  <c r="BF484" i="2"/>
  <c r="BG484" i="2"/>
  <c r="BH484" i="2"/>
  <c r="BI484" i="2"/>
  <c r="BJ484" i="2"/>
  <c r="BK484" i="2"/>
  <c r="BL484" i="2"/>
  <c r="BM484" i="2"/>
  <c r="BN484" i="2"/>
  <c r="BO484" i="2"/>
  <c r="BP484" i="2"/>
  <c r="BQ484" i="2"/>
  <c r="BA485" i="2"/>
  <c r="BB485" i="2"/>
  <c r="BC485" i="2"/>
  <c r="BD485" i="2"/>
  <c r="BE485" i="2"/>
  <c r="BF485" i="2"/>
  <c r="BG485" i="2"/>
  <c r="BH485" i="2"/>
  <c r="BI485" i="2"/>
  <c r="BJ485" i="2"/>
  <c r="BK485" i="2"/>
  <c r="BL485" i="2"/>
  <c r="BM485" i="2"/>
  <c r="BN485" i="2"/>
  <c r="BO485" i="2"/>
  <c r="BP485" i="2"/>
  <c r="BQ485" i="2"/>
  <c r="BA486" i="2"/>
  <c r="BB486" i="2"/>
  <c r="BC486" i="2"/>
  <c r="BD486" i="2"/>
  <c r="BE486" i="2"/>
  <c r="BF486" i="2"/>
  <c r="BG486" i="2"/>
  <c r="BH486" i="2"/>
  <c r="BI486" i="2"/>
  <c r="BJ486" i="2"/>
  <c r="BK486" i="2"/>
  <c r="BL486" i="2"/>
  <c r="BM486" i="2"/>
  <c r="BN486" i="2"/>
  <c r="BO486" i="2"/>
  <c r="BP486" i="2"/>
  <c r="BQ486" i="2"/>
  <c r="BA487" i="2"/>
  <c r="BB487" i="2"/>
  <c r="BC487" i="2"/>
  <c r="BD487" i="2"/>
  <c r="BE487" i="2"/>
  <c r="BF487" i="2"/>
  <c r="BG487" i="2"/>
  <c r="BH487" i="2"/>
  <c r="BI487" i="2"/>
  <c r="BJ487" i="2"/>
  <c r="BK487" i="2"/>
  <c r="BL487" i="2"/>
  <c r="BM487" i="2"/>
  <c r="BN487" i="2"/>
  <c r="BO487" i="2"/>
  <c r="BP487" i="2"/>
  <c r="BQ487" i="2"/>
  <c r="BA488" i="2"/>
  <c r="BB488" i="2"/>
  <c r="BC488" i="2"/>
  <c r="BD488" i="2"/>
  <c r="BE488" i="2"/>
  <c r="BF488" i="2"/>
  <c r="BG488" i="2"/>
  <c r="BH488" i="2"/>
  <c r="BI488" i="2"/>
  <c r="BJ488" i="2"/>
  <c r="BK488" i="2"/>
  <c r="BL488" i="2"/>
  <c r="BM488" i="2"/>
  <c r="BN488" i="2"/>
  <c r="BO488" i="2"/>
  <c r="BP488" i="2"/>
  <c r="BQ488" i="2"/>
  <c r="BA489" i="2"/>
  <c r="BB489" i="2"/>
  <c r="BC489" i="2"/>
  <c r="BD489" i="2"/>
  <c r="BE489" i="2"/>
  <c r="BF489" i="2"/>
  <c r="BG489" i="2"/>
  <c r="BH489" i="2"/>
  <c r="BI489" i="2"/>
  <c r="BJ489" i="2"/>
  <c r="BK489" i="2"/>
  <c r="BL489" i="2"/>
  <c r="BM489" i="2"/>
  <c r="BN489" i="2"/>
  <c r="BO489" i="2"/>
  <c r="BP489" i="2"/>
  <c r="BQ489" i="2"/>
  <c r="BA490" i="2"/>
  <c r="BB490" i="2"/>
  <c r="BC490" i="2"/>
  <c r="BD490" i="2"/>
  <c r="BE490" i="2"/>
  <c r="BF490" i="2"/>
  <c r="BG490" i="2"/>
  <c r="BH490" i="2"/>
  <c r="BI490" i="2"/>
  <c r="BJ490" i="2"/>
  <c r="BK490" i="2"/>
  <c r="BL490" i="2"/>
  <c r="BM490" i="2"/>
  <c r="BN490" i="2"/>
  <c r="BO490" i="2"/>
  <c r="BP490" i="2"/>
  <c r="BQ490" i="2"/>
  <c r="BA491" i="2"/>
  <c r="BB491" i="2"/>
  <c r="BC491" i="2"/>
  <c r="BD491" i="2"/>
  <c r="BE491" i="2"/>
  <c r="BF491" i="2"/>
  <c r="BG491" i="2"/>
  <c r="BH491" i="2"/>
  <c r="BI491" i="2"/>
  <c r="BJ491" i="2"/>
  <c r="BK491" i="2"/>
  <c r="BL491" i="2"/>
  <c r="BM491" i="2"/>
  <c r="BN491" i="2"/>
  <c r="BO491" i="2"/>
  <c r="BP491" i="2"/>
  <c r="BQ491" i="2"/>
  <c r="BA492" i="2"/>
  <c r="BB492" i="2"/>
  <c r="BC492" i="2"/>
  <c r="BD492" i="2"/>
  <c r="BE492" i="2"/>
  <c r="BF492" i="2"/>
  <c r="BG492" i="2"/>
  <c r="BH492" i="2"/>
  <c r="BI492" i="2"/>
  <c r="BJ492" i="2"/>
  <c r="BK492" i="2"/>
  <c r="BL492" i="2"/>
  <c r="BM492" i="2"/>
  <c r="BN492" i="2"/>
  <c r="BO492" i="2"/>
  <c r="BP492" i="2"/>
  <c r="BQ492" i="2"/>
  <c r="BA493" i="2"/>
  <c r="BB493" i="2"/>
  <c r="BC493" i="2"/>
  <c r="BD493" i="2"/>
  <c r="BE493" i="2"/>
  <c r="BF493" i="2"/>
  <c r="BG493" i="2"/>
  <c r="BH493" i="2"/>
  <c r="BI493" i="2"/>
  <c r="BJ493" i="2"/>
  <c r="BK493" i="2"/>
  <c r="BL493" i="2"/>
  <c r="BM493" i="2"/>
  <c r="BN493" i="2"/>
  <c r="BO493" i="2"/>
  <c r="BP493" i="2"/>
  <c r="BQ493" i="2"/>
  <c r="BA494" i="2"/>
  <c r="BB494" i="2"/>
  <c r="BC494" i="2"/>
  <c r="BD494" i="2"/>
  <c r="BE494" i="2"/>
  <c r="BF494" i="2"/>
  <c r="BG494" i="2"/>
  <c r="BH494" i="2"/>
  <c r="BI494" i="2"/>
  <c r="BJ494" i="2"/>
  <c r="BK494" i="2"/>
  <c r="BL494" i="2"/>
  <c r="BM494" i="2"/>
  <c r="BN494" i="2"/>
  <c r="BO494" i="2"/>
  <c r="BP494" i="2"/>
  <c r="BQ494" i="2"/>
  <c r="BA495" i="2"/>
  <c r="BB495" i="2"/>
  <c r="BC495" i="2"/>
  <c r="BD495" i="2"/>
  <c r="BE495" i="2"/>
  <c r="BF495" i="2"/>
  <c r="BG495" i="2"/>
  <c r="BH495" i="2"/>
  <c r="BI495" i="2"/>
  <c r="BJ495" i="2"/>
  <c r="BK495" i="2"/>
  <c r="BL495" i="2"/>
  <c r="BM495" i="2"/>
  <c r="BN495" i="2"/>
  <c r="BO495" i="2"/>
  <c r="BP495" i="2"/>
  <c r="BQ495" i="2"/>
  <c r="BA496" i="2"/>
  <c r="BB496" i="2"/>
  <c r="BC496" i="2"/>
  <c r="BD496" i="2"/>
  <c r="BE496" i="2"/>
  <c r="BF496" i="2"/>
  <c r="BG496" i="2"/>
  <c r="BH496" i="2"/>
  <c r="BI496" i="2"/>
  <c r="BJ496" i="2"/>
  <c r="BK496" i="2"/>
  <c r="BL496" i="2"/>
  <c r="BM496" i="2"/>
  <c r="BN496" i="2"/>
  <c r="BO496" i="2"/>
  <c r="BP496" i="2"/>
  <c r="BQ496" i="2"/>
  <c r="BA497" i="2"/>
  <c r="BB497" i="2"/>
  <c r="BC497" i="2"/>
  <c r="BD497" i="2"/>
  <c r="BE497" i="2"/>
  <c r="BF497" i="2"/>
  <c r="BG497" i="2"/>
  <c r="BH497" i="2"/>
  <c r="BI497" i="2"/>
  <c r="BJ497" i="2"/>
  <c r="BK497" i="2"/>
  <c r="BL497" i="2"/>
  <c r="BM497" i="2"/>
  <c r="BN497" i="2"/>
  <c r="BO497" i="2"/>
  <c r="BP497" i="2"/>
  <c r="BQ497" i="2"/>
  <c r="BA498" i="2"/>
  <c r="BB498" i="2"/>
  <c r="BC498" i="2"/>
  <c r="BD498" i="2"/>
  <c r="BE498" i="2"/>
  <c r="BF498" i="2"/>
  <c r="BG498" i="2"/>
  <c r="BH498" i="2"/>
  <c r="BI498" i="2"/>
  <c r="BJ498" i="2"/>
  <c r="BK498" i="2"/>
  <c r="BL498" i="2"/>
  <c r="BM498" i="2"/>
  <c r="BN498" i="2"/>
  <c r="BO498" i="2"/>
  <c r="BP498" i="2"/>
  <c r="BQ498" i="2"/>
  <c r="BA499" i="2"/>
  <c r="BB499" i="2"/>
  <c r="BC499" i="2"/>
  <c r="BD499" i="2"/>
  <c r="BE499" i="2"/>
  <c r="BF499" i="2"/>
  <c r="BG499" i="2"/>
  <c r="BH499" i="2"/>
  <c r="BI499" i="2"/>
  <c r="BJ499" i="2"/>
  <c r="BK499" i="2"/>
  <c r="BL499" i="2"/>
  <c r="BM499" i="2"/>
  <c r="BN499" i="2"/>
  <c r="BO499" i="2"/>
  <c r="BP499" i="2"/>
  <c r="BQ499" i="2"/>
  <c r="BA500" i="2"/>
  <c r="BB500" i="2"/>
  <c r="BC500" i="2"/>
  <c r="BD500" i="2"/>
  <c r="BE500" i="2"/>
  <c r="BF500" i="2"/>
  <c r="BG500" i="2"/>
  <c r="BH500" i="2"/>
  <c r="BI500" i="2"/>
  <c r="BJ500" i="2"/>
  <c r="BK500" i="2"/>
  <c r="BL500" i="2"/>
  <c r="BM500" i="2"/>
  <c r="BN500" i="2"/>
  <c r="BO500" i="2"/>
  <c r="BP500" i="2"/>
  <c r="BQ500" i="2"/>
  <c r="BA501" i="2"/>
  <c r="BB501" i="2"/>
  <c r="BC501" i="2"/>
  <c r="BD501" i="2"/>
  <c r="BE501" i="2"/>
  <c r="BF501" i="2"/>
  <c r="BG501" i="2"/>
  <c r="BH501" i="2"/>
  <c r="BI501" i="2"/>
  <c r="BJ501" i="2"/>
  <c r="BK501" i="2"/>
  <c r="BL501" i="2"/>
  <c r="BM501" i="2"/>
  <c r="BN501" i="2"/>
  <c r="BO501" i="2"/>
  <c r="BP501" i="2"/>
  <c r="BQ501" i="2"/>
  <c r="BA502" i="2"/>
  <c r="BB502" i="2"/>
  <c r="BC502" i="2"/>
  <c r="BD502" i="2"/>
  <c r="BE502" i="2"/>
  <c r="BF502" i="2"/>
  <c r="BG502" i="2"/>
  <c r="BH502" i="2"/>
  <c r="BI502" i="2"/>
  <c r="BJ502" i="2"/>
  <c r="BK502" i="2"/>
  <c r="BL502" i="2"/>
  <c r="BM502" i="2"/>
  <c r="BN502" i="2"/>
  <c r="BO502" i="2"/>
  <c r="BP502" i="2"/>
  <c r="BQ502" i="2"/>
  <c r="BA503" i="2"/>
  <c r="BB503" i="2"/>
  <c r="BC503" i="2"/>
  <c r="BD503" i="2"/>
  <c r="BE503" i="2"/>
  <c r="BF503" i="2"/>
  <c r="BG503" i="2"/>
  <c r="BH503" i="2"/>
  <c r="BI503" i="2"/>
  <c r="BJ503" i="2"/>
  <c r="BK503" i="2"/>
  <c r="BL503" i="2"/>
  <c r="BM503" i="2"/>
  <c r="BN503" i="2"/>
  <c r="BO503" i="2"/>
  <c r="BP503" i="2"/>
  <c r="BQ503" i="2"/>
  <c r="BA504" i="2"/>
  <c r="BB504" i="2"/>
  <c r="BC504" i="2"/>
  <c r="BD504" i="2"/>
  <c r="BE504" i="2"/>
  <c r="BF504" i="2"/>
  <c r="BG504" i="2"/>
  <c r="BH504" i="2"/>
  <c r="BI504" i="2"/>
  <c r="BJ504" i="2"/>
  <c r="BK504" i="2"/>
  <c r="BL504" i="2"/>
  <c r="BM504" i="2"/>
  <c r="BN504" i="2"/>
  <c r="BO504" i="2"/>
  <c r="BP504" i="2"/>
  <c r="BQ504" i="2"/>
  <c r="BA505" i="2"/>
  <c r="BB505" i="2"/>
  <c r="BC505" i="2"/>
  <c r="BD505" i="2"/>
  <c r="BE505" i="2"/>
  <c r="BF505" i="2"/>
  <c r="BG505" i="2"/>
  <c r="BH505" i="2"/>
  <c r="BI505" i="2"/>
  <c r="BJ505" i="2"/>
  <c r="BK505" i="2"/>
  <c r="BL505" i="2"/>
  <c r="BM505" i="2"/>
  <c r="BN505" i="2"/>
  <c r="BO505" i="2"/>
  <c r="BP505" i="2"/>
  <c r="BQ505" i="2"/>
  <c r="BA506" i="2"/>
  <c r="BB506" i="2"/>
  <c r="BC506" i="2"/>
  <c r="BD506" i="2"/>
  <c r="BE506" i="2"/>
  <c r="BF506" i="2"/>
  <c r="BG506" i="2"/>
  <c r="BH506" i="2"/>
  <c r="BI506" i="2"/>
  <c r="BJ506" i="2"/>
  <c r="BK506" i="2"/>
  <c r="BL506" i="2"/>
  <c r="BM506" i="2"/>
  <c r="BN506" i="2"/>
  <c r="BO506" i="2"/>
  <c r="BP506" i="2"/>
  <c r="BQ506" i="2"/>
  <c r="BA507" i="2"/>
  <c r="BB507" i="2"/>
  <c r="BC507" i="2"/>
  <c r="BD507" i="2"/>
  <c r="BE507" i="2"/>
  <c r="BF507" i="2"/>
  <c r="BG507" i="2"/>
  <c r="BH507" i="2"/>
  <c r="BI507" i="2"/>
  <c r="BJ507" i="2"/>
  <c r="BK507" i="2"/>
  <c r="BL507" i="2"/>
  <c r="BM507" i="2"/>
  <c r="BN507" i="2"/>
  <c r="BO507" i="2"/>
  <c r="BP507" i="2"/>
  <c r="BQ507" i="2"/>
  <c r="BA508" i="2"/>
  <c r="BB508" i="2"/>
  <c r="BC508" i="2"/>
  <c r="BD508" i="2"/>
  <c r="BE508" i="2"/>
  <c r="BF508" i="2"/>
  <c r="BG508" i="2"/>
  <c r="BH508" i="2"/>
  <c r="BI508" i="2"/>
  <c r="BJ508" i="2"/>
  <c r="BK508" i="2"/>
  <c r="BL508" i="2"/>
  <c r="BM508" i="2"/>
  <c r="BN508" i="2"/>
  <c r="BO508" i="2"/>
  <c r="BP508" i="2"/>
  <c r="BQ508" i="2"/>
  <c r="BA509" i="2"/>
  <c r="BB509" i="2"/>
  <c r="BC509" i="2"/>
  <c r="BD509" i="2"/>
  <c r="BE509" i="2"/>
  <c r="BF509" i="2"/>
  <c r="BG509" i="2"/>
  <c r="BH509" i="2"/>
  <c r="BI509" i="2"/>
  <c r="BJ509" i="2"/>
  <c r="BK509" i="2"/>
  <c r="BL509" i="2"/>
  <c r="BM509" i="2"/>
  <c r="BN509" i="2"/>
  <c r="BO509" i="2"/>
  <c r="BP509" i="2"/>
  <c r="BQ509" i="2"/>
  <c r="BA510" i="2"/>
  <c r="BB510" i="2"/>
  <c r="BC510" i="2"/>
  <c r="BD510" i="2"/>
  <c r="BE510" i="2"/>
  <c r="BF510" i="2"/>
  <c r="BG510" i="2"/>
  <c r="BH510" i="2"/>
  <c r="BI510" i="2"/>
  <c r="BJ510" i="2"/>
  <c r="BK510" i="2"/>
  <c r="BL510" i="2"/>
  <c r="BM510" i="2"/>
  <c r="BN510" i="2"/>
  <c r="BO510" i="2"/>
  <c r="BP510" i="2"/>
  <c r="BQ510" i="2"/>
  <c r="BA511" i="2"/>
  <c r="BB511" i="2"/>
  <c r="BC511" i="2"/>
  <c r="BD511" i="2"/>
  <c r="BE511" i="2"/>
  <c r="BF511" i="2"/>
  <c r="BG511" i="2"/>
  <c r="BH511" i="2"/>
  <c r="BI511" i="2"/>
  <c r="BJ511" i="2"/>
  <c r="BK511" i="2"/>
  <c r="BL511" i="2"/>
  <c r="BM511" i="2"/>
  <c r="BN511" i="2"/>
  <c r="BO511" i="2"/>
  <c r="BP511" i="2"/>
  <c r="BQ511" i="2"/>
  <c r="BA512" i="2"/>
  <c r="BB512" i="2"/>
  <c r="BC512" i="2"/>
  <c r="BD512" i="2"/>
  <c r="BE512" i="2"/>
  <c r="BF512" i="2"/>
  <c r="BG512" i="2"/>
  <c r="BH512" i="2"/>
  <c r="BI512" i="2"/>
  <c r="BJ512" i="2"/>
  <c r="BK512" i="2"/>
  <c r="BL512" i="2"/>
  <c r="BM512" i="2"/>
  <c r="BN512" i="2"/>
  <c r="BO512" i="2"/>
  <c r="BP512" i="2"/>
  <c r="BQ512" i="2"/>
  <c r="BA513" i="2"/>
  <c r="BB513" i="2"/>
  <c r="BC513" i="2"/>
  <c r="BD513" i="2"/>
  <c r="BE513" i="2"/>
  <c r="BF513" i="2"/>
  <c r="BG513" i="2"/>
  <c r="BH513" i="2"/>
  <c r="BI513" i="2"/>
  <c r="BJ513" i="2"/>
  <c r="BK513" i="2"/>
  <c r="BL513" i="2"/>
  <c r="BM513" i="2"/>
  <c r="BN513" i="2"/>
  <c r="BO513" i="2"/>
  <c r="BP513" i="2"/>
  <c r="BQ513" i="2"/>
  <c r="BA514" i="2"/>
  <c r="BB514" i="2"/>
  <c r="BC514" i="2"/>
  <c r="BD514" i="2"/>
  <c r="BE514" i="2"/>
  <c r="BF514" i="2"/>
  <c r="BG514" i="2"/>
  <c r="BH514" i="2"/>
  <c r="BI514" i="2"/>
  <c r="BJ514" i="2"/>
  <c r="BK514" i="2"/>
  <c r="BL514" i="2"/>
  <c r="BM514" i="2"/>
  <c r="BN514" i="2"/>
  <c r="BO514" i="2"/>
  <c r="BP514" i="2"/>
  <c r="BQ514" i="2"/>
  <c r="BA515" i="2"/>
  <c r="BB515" i="2"/>
  <c r="BC515" i="2"/>
  <c r="BD515" i="2"/>
  <c r="BE515" i="2"/>
  <c r="BF515" i="2"/>
  <c r="BG515" i="2"/>
  <c r="BH515" i="2"/>
  <c r="BI515" i="2"/>
  <c r="BJ515" i="2"/>
  <c r="BK515" i="2"/>
  <c r="BL515" i="2"/>
  <c r="BM515" i="2"/>
  <c r="BN515" i="2"/>
  <c r="BO515" i="2"/>
  <c r="BP515" i="2"/>
  <c r="BQ515" i="2"/>
  <c r="BA516" i="2"/>
  <c r="BB516" i="2"/>
  <c r="BC516" i="2"/>
  <c r="BD516" i="2"/>
  <c r="BE516" i="2"/>
  <c r="BF516" i="2"/>
  <c r="BG516" i="2"/>
  <c r="BH516" i="2"/>
  <c r="BI516" i="2"/>
  <c r="BJ516" i="2"/>
  <c r="BK516" i="2"/>
  <c r="BL516" i="2"/>
  <c r="BM516" i="2"/>
  <c r="BN516" i="2"/>
  <c r="BO516" i="2"/>
  <c r="BP516" i="2"/>
  <c r="BQ516" i="2"/>
  <c r="BA517" i="2"/>
  <c r="BB517" i="2"/>
  <c r="BC517" i="2"/>
  <c r="BD517" i="2"/>
  <c r="BE517" i="2"/>
  <c r="BF517" i="2"/>
  <c r="BG517" i="2"/>
  <c r="BH517" i="2"/>
  <c r="BI517" i="2"/>
  <c r="BJ517" i="2"/>
  <c r="BK517" i="2"/>
  <c r="BL517" i="2"/>
  <c r="BM517" i="2"/>
  <c r="BN517" i="2"/>
  <c r="BO517" i="2"/>
  <c r="BP517" i="2"/>
  <c r="BQ517" i="2"/>
  <c r="BA518" i="2"/>
  <c r="BB518" i="2"/>
  <c r="BC518" i="2"/>
  <c r="BD518" i="2"/>
  <c r="BE518" i="2"/>
  <c r="BF518" i="2"/>
  <c r="BG518" i="2"/>
  <c r="BH518" i="2"/>
  <c r="BI518" i="2"/>
  <c r="BJ518" i="2"/>
  <c r="BK518" i="2"/>
  <c r="BL518" i="2"/>
  <c r="BM518" i="2"/>
  <c r="BN518" i="2"/>
  <c r="BO518" i="2"/>
  <c r="BP518" i="2"/>
  <c r="BQ518" i="2"/>
  <c r="BA519" i="2"/>
  <c r="BB519" i="2"/>
  <c r="BC519" i="2"/>
  <c r="BD519" i="2"/>
  <c r="BE519" i="2"/>
  <c r="BF519" i="2"/>
  <c r="BG519" i="2"/>
  <c r="BH519" i="2"/>
  <c r="BI519" i="2"/>
  <c r="BJ519" i="2"/>
  <c r="BK519" i="2"/>
  <c r="BL519" i="2"/>
  <c r="BM519" i="2"/>
  <c r="BN519" i="2"/>
  <c r="BO519" i="2"/>
  <c r="BP519" i="2"/>
  <c r="BQ519" i="2"/>
  <c r="BA520" i="2"/>
  <c r="BB520" i="2"/>
  <c r="BC520" i="2"/>
  <c r="BD520" i="2"/>
  <c r="BE520" i="2"/>
  <c r="BF520" i="2"/>
  <c r="BG520" i="2"/>
  <c r="BH520" i="2"/>
  <c r="BI520" i="2"/>
  <c r="BJ520" i="2"/>
  <c r="BK520" i="2"/>
  <c r="BL520" i="2"/>
  <c r="BM520" i="2"/>
  <c r="BN520" i="2"/>
  <c r="BO520" i="2"/>
  <c r="BP520" i="2"/>
  <c r="BQ520" i="2"/>
  <c r="BA521" i="2"/>
  <c r="BB521" i="2"/>
  <c r="BC521" i="2"/>
  <c r="BD521" i="2"/>
  <c r="BE521" i="2"/>
  <c r="BF521" i="2"/>
  <c r="BG521" i="2"/>
  <c r="BH521" i="2"/>
  <c r="BI521" i="2"/>
  <c r="BJ521" i="2"/>
  <c r="BK521" i="2"/>
  <c r="BL521" i="2"/>
  <c r="BM521" i="2"/>
  <c r="BN521" i="2"/>
  <c r="BO521" i="2"/>
  <c r="BP521" i="2"/>
  <c r="BQ521" i="2"/>
  <c r="BA522" i="2"/>
  <c r="BB522" i="2"/>
  <c r="BC522" i="2"/>
  <c r="BD522" i="2"/>
  <c r="BE522" i="2"/>
  <c r="BF522" i="2"/>
  <c r="BG522" i="2"/>
  <c r="BH522" i="2"/>
  <c r="BI522" i="2"/>
  <c r="BJ522" i="2"/>
  <c r="BK522" i="2"/>
  <c r="BL522" i="2"/>
  <c r="BM522" i="2"/>
  <c r="BN522" i="2"/>
  <c r="BO522" i="2"/>
  <c r="BP522" i="2"/>
  <c r="BQ522" i="2"/>
  <c r="BA523" i="2"/>
  <c r="BB523" i="2"/>
  <c r="BC523" i="2"/>
  <c r="BD523" i="2"/>
  <c r="BE523" i="2"/>
  <c r="BF523" i="2"/>
  <c r="BG523" i="2"/>
  <c r="BH523" i="2"/>
  <c r="BI523" i="2"/>
  <c r="BJ523" i="2"/>
  <c r="BK523" i="2"/>
  <c r="BL523" i="2"/>
  <c r="BM523" i="2"/>
  <c r="BN523" i="2"/>
  <c r="BO523" i="2"/>
  <c r="BP523" i="2"/>
  <c r="BQ523" i="2"/>
  <c r="BA524" i="2"/>
  <c r="BB524" i="2"/>
  <c r="BC524" i="2"/>
  <c r="BD524" i="2"/>
  <c r="BE524" i="2"/>
  <c r="BF524" i="2"/>
  <c r="BG524" i="2"/>
  <c r="BH524" i="2"/>
  <c r="BI524" i="2"/>
  <c r="BJ524" i="2"/>
  <c r="BK524" i="2"/>
  <c r="BL524" i="2"/>
  <c r="BM524" i="2"/>
  <c r="BN524" i="2"/>
  <c r="BO524" i="2"/>
  <c r="BP524" i="2"/>
  <c r="BQ524" i="2"/>
  <c r="BA525" i="2"/>
  <c r="BB525" i="2"/>
  <c r="BC525" i="2"/>
  <c r="BD525" i="2"/>
  <c r="BE525" i="2"/>
  <c r="BF525" i="2"/>
  <c r="BG525" i="2"/>
  <c r="BH525" i="2"/>
  <c r="BI525" i="2"/>
  <c r="BJ525" i="2"/>
  <c r="BK525" i="2"/>
  <c r="BL525" i="2"/>
  <c r="BM525" i="2"/>
  <c r="BN525" i="2"/>
  <c r="BO525" i="2"/>
  <c r="BP525" i="2"/>
  <c r="BQ525" i="2"/>
  <c r="BA526" i="2"/>
  <c r="BB526" i="2"/>
  <c r="BC526" i="2"/>
  <c r="BD526" i="2"/>
  <c r="BE526" i="2"/>
  <c r="BF526" i="2"/>
  <c r="BG526" i="2"/>
  <c r="BH526" i="2"/>
  <c r="BI526" i="2"/>
  <c r="BJ526" i="2"/>
  <c r="BK526" i="2"/>
  <c r="BL526" i="2"/>
  <c r="BM526" i="2"/>
  <c r="BN526" i="2"/>
  <c r="BO526" i="2"/>
  <c r="BP526" i="2"/>
  <c r="BQ526" i="2"/>
  <c r="BA527" i="2"/>
  <c r="BB527" i="2"/>
  <c r="BC527" i="2"/>
  <c r="BD527" i="2"/>
  <c r="BE527" i="2"/>
  <c r="BF527" i="2"/>
  <c r="BG527" i="2"/>
  <c r="BH527" i="2"/>
  <c r="BI527" i="2"/>
  <c r="BJ527" i="2"/>
  <c r="BK527" i="2"/>
  <c r="BL527" i="2"/>
  <c r="BM527" i="2"/>
  <c r="BN527" i="2"/>
  <c r="BO527" i="2"/>
  <c r="BP527" i="2"/>
  <c r="BQ527" i="2"/>
  <c r="BA535" i="2"/>
  <c r="BB535" i="2"/>
  <c r="BC535" i="2"/>
  <c r="BD535" i="2"/>
  <c r="BE535" i="2"/>
  <c r="BF535" i="2"/>
  <c r="BG535" i="2"/>
  <c r="BH535" i="2"/>
  <c r="BI535" i="2"/>
  <c r="BJ535" i="2"/>
  <c r="BK535" i="2"/>
  <c r="BL535" i="2"/>
  <c r="BM535" i="2"/>
  <c r="BN535" i="2"/>
  <c r="BO535" i="2"/>
  <c r="BP535" i="2"/>
  <c r="BQ535" i="2"/>
  <c r="BA536" i="2"/>
  <c r="BB536" i="2"/>
  <c r="BC536" i="2"/>
  <c r="BD536" i="2"/>
  <c r="BE536" i="2"/>
  <c r="BF536" i="2"/>
  <c r="BG536" i="2"/>
  <c r="BH536" i="2"/>
  <c r="BI536" i="2"/>
  <c r="BJ536" i="2"/>
  <c r="BK536" i="2"/>
  <c r="BL536" i="2"/>
  <c r="BM536" i="2"/>
  <c r="BN536" i="2"/>
  <c r="BO536" i="2"/>
  <c r="BP536" i="2"/>
  <c r="BQ536" i="2"/>
  <c r="BA537" i="2"/>
  <c r="BB537" i="2"/>
  <c r="BC537" i="2"/>
  <c r="BD537" i="2"/>
  <c r="BE537" i="2"/>
  <c r="BF537" i="2"/>
  <c r="BG537" i="2"/>
  <c r="BH537" i="2"/>
  <c r="BI537" i="2"/>
  <c r="BJ537" i="2"/>
  <c r="BK537" i="2"/>
  <c r="BL537" i="2"/>
  <c r="BM537" i="2"/>
  <c r="BN537" i="2"/>
  <c r="BO537" i="2"/>
  <c r="BP537" i="2"/>
  <c r="BQ537" i="2"/>
  <c r="BA538" i="2"/>
  <c r="BB538" i="2"/>
  <c r="BC538" i="2"/>
  <c r="BD538" i="2"/>
  <c r="BE538" i="2"/>
  <c r="BF538" i="2"/>
  <c r="BG538" i="2"/>
  <c r="BH538" i="2"/>
  <c r="BI538" i="2"/>
  <c r="BJ538" i="2"/>
  <c r="BK538" i="2"/>
  <c r="BL538" i="2"/>
  <c r="BM538" i="2"/>
  <c r="BN538" i="2"/>
  <c r="BO538" i="2"/>
  <c r="BP538" i="2"/>
  <c r="BQ538" i="2"/>
  <c r="BA539" i="2"/>
  <c r="BB539" i="2"/>
  <c r="BC539" i="2"/>
  <c r="BD539" i="2"/>
  <c r="BE539" i="2"/>
  <c r="BF539" i="2"/>
  <c r="BG539" i="2"/>
  <c r="BH539" i="2"/>
  <c r="BI539" i="2"/>
  <c r="BJ539" i="2"/>
  <c r="BK539" i="2"/>
  <c r="BL539" i="2"/>
  <c r="BM539" i="2"/>
  <c r="BN539" i="2"/>
  <c r="BO539" i="2"/>
  <c r="BP539" i="2"/>
  <c r="BQ539" i="2"/>
  <c r="BA540" i="2"/>
  <c r="BB540" i="2"/>
  <c r="BC540" i="2"/>
  <c r="BD540" i="2"/>
  <c r="BE540" i="2"/>
  <c r="BF540" i="2"/>
  <c r="BG540" i="2"/>
  <c r="BH540" i="2"/>
  <c r="BI540" i="2"/>
  <c r="BJ540" i="2"/>
  <c r="BK540" i="2"/>
  <c r="BL540" i="2"/>
  <c r="BM540" i="2"/>
  <c r="BN540" i="2"/>
  <c r="BO540" i="2"/>
  <c r="BP540" i="2"/>
  <c r="BQ540" i="2"/>
  <c r="BA541" i="2"/>
  <c r="BB541" i="2"/>
  <c r="BC541" i="2"/>
  <c r="BD541" i="2"/>
  <c r="BE541" i="2"/>
  <c r="BF541" i="2"/>
  <c r="BG541" i="2"/>
  <c r="BH541" i="2"/>
  <c r="BI541" i="2"/>
  <c r="BJ541" i="2"/>
  <c r="BK541" i="2"/>
  <c r="BL541" i="2"/>
  <c r="BM541" i="2"/>
  <c r="BN541" i="2"/>
  <c r="BO541" i="2"/>
  <c r="BP541" i="2"/>
  <c r="BQ541" i="2"/>
  <c r="BA542" i="2"/>
  <c r="BB542" i="2"/>
  <c r="BC542" i="2"/>
  <c r="BD542" i="2"/>
  <c r="BE542" i="2"/>
  <c r="BF542" i="2"/>
  <c r="BG542" i="2"/>
  <c r="BH542" i="2"/>
  <c r="BI542" i="2"/>
  <c r="BJ542" i="2"/>
  <c r="BK542" i="2"/>
  <c r="BL542" i="2"/>
  <c r="BM542" i="2"/>
  <c r="BN542" i="2"/>
  <c r="BO542" i="2"/>
  <c r="BP542" i="2"/>
  <c r="BQ542" i="2"/>
  <c r="BA543" i="2"/>
  <c r="BB543" i="2"/>
  <c r="BC543" i="2"/>
  <c r="BD543" i="2"/>
  <c r="BE543" i="2"/>
  <c r="BF543" i="2"/>
  <c r="BG543" i="2"/>
  <c r="BH543" i="2"/>
  <c r="BI543" i="2"/>
  <c r="BJ543" i="2"/>
  <c r="BK543" i="2"/>
  <c r="BL543" i="2"/>
  <c r="BM543" i="2"/>
  <c r="BN543" i="2"/>
  <c r="BO543" i="2"/>
  <c r="BP543" i="2"/>
  <c r="BQ543" i="2"/>
  <c r="BA544" i="2"/>
  <c r="BB544" i="2"/>
  <c r="BC544" i="2"/>
  <c r="BD544" i="2"/>
  <c r="BE544" i="2"/>
  <c r="BF544" i="2"/>
  <c r="BG544" i="2"/>
  <c r="BH544" i="2"/>
  <c r="BI544" i="2"/>
  <c r="BJ544" i="2"/>
  <c r="BK544" i="2"/>
  <c r="BL544" i="2"/>
  <c r="BM544" i="2"/>
  <c r="BN544" i="2"/>
  <c r="BO544" i="2"/>
  <c r="BP544" i="2"/>
  <c r="BQ544" i="2"/>
  <c r="BA545" i="2"/>
  <c r="BB545" i="2"/>
  <c r="BC545" i="2"/>
  <c r="BD545" i="2"/>
  <c r="BE545" i="2"/>
  <c r="BF545" i="2"/>
  <c r="BG545" i="2"/>
  <c r="BH545" i="2"/>
  <c r="BI545" i="2"/>
  <c r="BJ545" i="2"/>
  <c r="BK545" i="2"/>
  <c r="BL545" i="2"/>
  <c r="BM545" i="2"/>
  <c r="BN545" i="2"/>
  <c r="BO545" i="2"/>
  <c r="BP545" i="2"/>
  <c r="BQ545" i="2"/>
  <c r="BA546" i="2"/>
  <c r="BB546" i="2"/>
  <c r="BC546" i="2"/>
  <c r="BD546" i="2"/>
  <c r="BE546" i="2"/>
  <c r="BF546" i="2"/>
  <c r="BG546" i="2"/>
  <c r="BH546" i="2"/>
  <c r="BI546" i="2"/>
  <c r="BJ546" i="2"/>
  <c r="BK546" i="2"/>
  <c r="BL546" i="2"/>
  <c r="BM546" i="2"/>
  <c r="BN546" i="2"/>
  <c r="BO546" i="2"/>
  <c r="BP546" i="2"/>
  <c r="BQ546" i="2"/>
  <c r="BA547" i="2"/>
  <c r="BB547" i="2"/>
  <c r="BC547" i="2"/>
  <c r="BD547" i="2"/>
  <c r="BE547" i="2"/>
  <c r="BF547" i="2"/>
  <c r="BG547" i="2"/>
  <c r="BH547" i="2"/>
  <c r="BI547" i="2"/>
  <c r="BJ547" i="2"/>
  <c r="BK547" i="2"/>
  <c r="BL547" i="2"/>
  <c r="BM547" i="2"/>
  <c r="BN547" i="2"/>
  <c r="BO547" i="2"/>
  <c r="BP547" i="2"/>
  <c r="BQ547" i="2"/>
  <c r="BA548" i="2"/>
  <c r="BB548" i="2"/>
  <c r="BC548" i="2"/>
  <c r="BD548" i="2"/>
  <c r="BE548" i="2"/>
  <c r="BF548" i="2"/>
  <c r="BG548" i="2"/>
  <c r="BH548" i="2"/>
  <c r="BI548" i="2"/>
  <c r="BJ548" i="2"/>
  <c r="BK548" i="2"/>
  <c r="BL548" i="2"/>
  <c r="BM548" i="2"/>
  <c r="BN548" i="2"/>
  <c r="BO548" i="2"/>
  <c r="BP548" i="2"/>
  <c r="BQ548" i="2"/>
  <c r="BA549" i="2"/>
  <c r="BB549" i="2"/>
  <c r="BC549" i="2"/>
  <c r="BD549" i="2"/>
  <c r="BE549" i="2"/>
  <c r="BF549" i="2"/>
  <c r="BG549" i="2"/>
  <c r="BH549" i="2"/>
  <c r="BI549" i="2"/>
  <c r="BJ549" i="2"/>
  <c r="BK549" i="2"/>
  <c r="BL549" i="2"/>
  <c r="BM549" i="2"/>
  <c r="BN549" i="2"/>
  <c r="BO549" i="2"/>
  <c r="BP549" i="2"/>
  <c r="BQ549" i="2"/>
  <c r="BA550" i="2"/>
  <c r="BB550" i="2"/>
  <c r="BC550" i="2"/>
  <c r="BD550" i="2"/>
  <c r="BE550" i="2"/>
  <c r="BF550" i="2"/>
  <c r="BG550" i="2"/>
  <c r="BH550" i="2"/>
  <c r="BI550" i="2"/>
  <c r="BJ550" i="2"/>
  <c r="BK550" i="2"/>
  <c r="BL550" i="2"/>
  <c r="BM550" i="2"/>
  <c r="BN550" i="2"/>
  <c r="BO550" i="2"/>
  <c r="BP550" i="2"/>
  <c r="BQ550" i="2"/>
  <c r="BA551" i="2"/>
  <c r="BB551" i="2"/>
  <c r="BC551" i="2"/>
  <c r="BD551" i="2"/>
  <c r="BE551" i="2"/>
  <c r="BF551" i="2"/>
  <c r="BG551" i="2"/>
  <c r="BH551" i="2"/>
  <c r="BI551" i="2"/>
  <c r="BJ551" i="2"/>
  <c r="BK551" i="2"/>
  <c r="BL551" i="2"/>
  <c r="BM551" i="2"/>
  <c r="BN551" i="2"/>
  <c r="BO551" i="2"/>
  <c r="BP551" i="2"/>
  <c r="BQ551" i="2"/>
  <c r="BA552" i="2"/>
  <c r="BB552" i="2"/>
  <c r="BC552" i="2"/>
  <c r="BD552" i="2"/>
  <c r="BE552" i="2"/>
  <c r="BF552" i="2"/>
  <c r="BG552" i="2"/>
  <c r="BH552" i="2"/>
  <c r="BI552" i="2"/>
  <c r="BJ552" i="2"/>
  <c r="BK552" i="2"/>
  <c r="BL552" i="2"/>
  <c r="BM552" i="2"/>
  <c r="BN552" i="2"/>
  <c r="BO552" i="2"/>
  <c r="BP552" i="2"/>
  <c r="BQ552" i="2"/>
  <c r="BA553" i="2"/>
  <c r="BB553" i="2"/>
  <c r="BC553" i="2"/>
  <c r="BD553" i="2"/>
  <c r="BE553" i="2"/>
  <c r="BF553" i="2"/>
  <c r="BG553" i="2"/>
  <c r="BH553" i="2"/>
  <c r="BI553" i="2"/>
  <c r="BJ553" i="2"/>
  <c r="BK553" i="2"/>
  <c r="BL553" i="2"/>
  <c r="BM553" i="2"/>
  <c r="BN553" i="2"/>
  <c r="BO553" i="2"/>
  <c r="BP553" i="2"/>
  <c r="BQ553" i="2"/>
  <c r="BA554" i="2"/>
  <c r="BB554" i="2"/>
  <c r="BC554" i="2"/>
  <c r="BD554" i="2"/>
  <c r="BE554" i="2"/>
  <c r="BF554" i="2"/>
  <c r="BG554" i="2"/>
  <c r="BH554" i="2"/>
  <c r="BI554" i="2"/>
  <c r="BJ554" i="2"/>
  <c r="BK554" i="2"/>
  <c r="BL554" i="2"/>
  <c r="BM554" i="2"/>
  <c r="BN554" i="2"/>
  <c r="BO554" i="2"/>
  <c r="BP554" i="2"/>
  <c r="BQ554" i="2"/>
  <c r="BA555" i="2"/>
  <c r="BB555" i="2"/>
  <c r="BC555" i="2"/>
  <c r="BD555" i="2"/>
  <c r="BE555" i="2"/>
  <c r="BF555" i="2"/>
  <c r="BG555" i="2"/>
  <c r="BH555" i="2"/>
  <c r="BI555" i="2"/>
  <c r="BJ555" i="2"/>
  <c r="BK555" i="2"/>
  <c r="BL555" i="2"/>
  <c r="BM555" i="2"/>
  <c r="BN555" i="2"/>
  <c r="BO555" i="2"/>
  <c r="BP555" i="2"/>
  <c r="BQ555" i="2"/>
  <c r="BA556" i="2"/>
  <c r="BB556" i="2"/>
  <c r="BC556" i="2"/>
  <c r="BD556" i="2"/>
  <c r="BE556" i="2"/>
  <c r="BF556" i="2"/>
  <c r="BG556" i="2"/>
  <c r="BH556" i="2"/>
  <c r="BI556" i="2"/>
  <c r="BJ556" i="2"/>
  <c r="BK556" i="2"/>
  <c r="BL556" i="2"/>
  <c r="BM556" i="2"/>
  <c r="BN556" i="2"/>
  <c r="BO556" i="2"/>
  <c r="BP556" i="2"/>
  <c r="BQ556" i="2"/>
  <c r="BA557" i="2"/>
  <c r="BB557" i="2"/>
  <c r="BC557" i="2"/>
  <c r="BD557" i="2"/>
  <c r="BE557" i="2"/>
  <c r="BF557" i="2"/>
  <c r="BG557" i="2"/>
  <c r="BH557" i="2"/>
  <c r="BI557" i="2"/>
  <c r="BJ557" i="2"/>
  <c r="BK557" i="2"/>
  <c r="BL557" i="2"/>
  <c r="BM557" i="2"/>
  <c r="BN557" i="2"/>
  <c r="BO557" i="2"/>
  <c r="BP557" i="2"/>
  <c r="BQ557" i="2"/>
  <c r="BA558" i="2"/>
  <c r="BB558" i="2"/>
  <c r="BC558" i="2"/>
  <c r="BD558" i="2"/>
  <c r="BE558" i="2"/>
  <c r="BF558" i="2"/>
  <c r="BG558" i="2"/>
  <c r="BH558" i="2"/>
  <c r="BI558" i="2"/>
  <c r="BJ558" i="2"/>
  <c r="BK558" i="2"/>
  <c r="BL558" i="2"/>
  <c r="BM558" i="2"/>
  <c r="BN558" i="2"/>
  <c r="BO558" i="2"/>
  <c r="BP558" i="2"/>
  <c r="BQ558" i="2"/>
  <c r="BA559" i="2"/>
  <c r="BB559" i="2"/>
  <c r="BC559" i="2"/>
  <c r="BD559" i="2"/>
  <c r="BE559" i="2"/>
  <c r="BF559" i="2"/>
  <c r="BG559" i="2"/>
  <c r="BH559" i="2"/>
  <c r="BI559" i="2"/>
  <c r="BJ559" i="2"/>
  <c r="BK559" i="2"/>
  <c r="BL559" i="2"/>
  <c r="BM559" i="2"/>
  <c r="BN559" i="2"/>
  <c r="BO559" i="2"/>
  <c r="BP559" i="2"/>
  <c r="BQ559" i="2"/>
  <c r="BA560" i="2"/>
  <c r="BB560" i="2"/>
  <c r="BC560" i="2"/>
  <c r="BD560" i="2"/>
  <c r="BE560" i="2"/>
  <c r="BF560" i="2"/>
  <c r="BG560" i="2"/>
  <c r="BH560" i="2"/>
  <c r="BI560" i="2"/>
  <c r="BJ560" i="2"/>
  <c r="BK560" i="2"/>
  <c r="BL560" i="2"/>
  <c r="BM560" i="2"/>
  <c r="BN560" i="2"/>
  <c r="BO560" i="2"/>
  <c r="BP560" i="2"/>
  <c r="BQ560" i="2"/>
  <c r="BA561" i="2"/>
  <c r="BB561" i="2"/>
  <c r="BC561" i="2"/>
  <c r="BD561" i="2"/>
  <c r="BE561" i="2"/>
  <c r="BF561" i="2"/>
  <c r="BG561" i="2"/>
  <c r="BH561" i="2"/>
  <c r="BI561" i="2"/>
  <c r="BJ561" i="2"/>
  <c r="BK561" i="2"/>
  <c r="BL561" i="2"/>
  <c r="BM561" i="2"/>
  <c r="BN561" i="2"/>
  <c r="BO561" i="2"/>
  <c r="BP561" i="2"/>
  <c r="BQ561" i="2"/>
  <c r="BA562" i="2"/>
  <c r="BB562" i="2"/>
  <c r="BC562" i="2"/>
  <c r="BD562" i="2"/>
  <c r="BE562" i="2"/>
  <c r="BF562" i="2"/>
  <c r="BG562" i="2"/>
  <c r="BH562" i="2"/>
  <c r="BI562" i="2"/>
  <c r="BJ562" i="2"/>
  <c r="BK562" i="2"/>
  <c r="BL562" i="2"/>
  <c r="BM562" i="2"/>
  <c r="BN562" i="2"/>
  <c r="BO562" i="2"/>
  <c r="BP562" i="2"/>
  <c r="BQ562" i="2"/>
  <c r="BA563" i="2"/>
  <c r="BB563" i="2"/>
  <c r="BC563" i="2"/>
  <c r="BD563" i="2"/>
  <c r="BE563" i="2"/>
  <c r="BF563" i="2"/>
  <c r="BG563" i="2"/>
  <c r="BH563" i="2"/>
  <c r="BI563" i="2"/>
  <c r="BJ563" i="2"/>
  <c r="BK563" i="2"/>
  <c r="BL563" i="2"/>
  <c r="BM563" i="2"/>
  <c r="BN563" i="2"/>
  <c r="BO563" i="2"/>
  <c r="BP563" i="2"/>
  <c r="BQ563" i="2"/>
  <c r="BA564" i="2"/>
  <c r="BB564" i="2"/>
  <c r="BC564" i="2"/>
  <c r="BD564" i="2"/>
  <c r="BE564" i="2"/>
  <c r="BF564" i="2"/>
  <c r="BG564" i="2"/>
  <c r="BH564" i="2"/>
  <c r="BI564" i="2"/>
  <c r="BJ564" i="2"/>
  <c r="BK564" i="2"/>
  <c r="BL564" i="2"/>
  <c r="BM564" i="2"/>
  <c r="BN564" i="2"/>
  <c r="BO564" i="2"/>
  <c r="BP564" i="2"/>
  <c r="BQ564" i="2"/>
  <c r="BA565" i="2"/>
  <c r="BB565" i="2"/>
  <c r="BC565" i="2"/>
  <c r="BD565" i="2"/>
  <c r="BE565" i="2"/>
  <c r="BF565" i="2"/>
  <c r="BG565" i="2"/>
  <c r="BH565" i="2"/>
  <c r="BI565" i="2"/>
  <c r="BJ565" i="2"/>
  <c r="BK565" i="2"/>
  <c r="BL565" i="2"/>
  <c r="BM565" i="2"/>
  <c r="BN565" i="2"/>
  <c r="BO565" i="2"/>
  <c r="BP565" i="2"/>
  <c r="BQ565" i="2"/>
  <c r="BA566" i="2"/>
  <c r="BB566" i="2"/>
  <c r="BC566" i="2"/>
  <c r="BD566" i="2"/>
  <c r="BE566" i="2"/>
  <c r="BF566" i="2"/>
  <c r="BG566" i="2"/>
  <c r="BH566" i="2"/>
  <c r="BI566" i="2"/>
  <c r="BJ566" i="2"/>
  <c r="BK566" i="2"/>
  <c r="BL566" i="2"/>
  <c r="BM566" i="2"/>
  <c r="BN566" i="2"/>
  <c r="BO566" i="2"/>
  <c r="BP566" i="2"/>
  <c r="BQ566" i="2"/>
  <c r="BA567" i="2"/>
  <c r="BB567" i="2"/>
  <c r="BC567" i="2"/>
  <c r="BD567" i="2"/>
  <c r="BE567" i="2"/>
  <c r="BF567" i="2"/>
  <c r="BG567" i="2"/>
  <c r="BH567" i="2"/>
  <c r="BI567" i="2"/>
  <c r="BJ567" i="2"/>
  <c r="BK567" i="2"/>
  <c r="BL567" i="2"/>
  <c r="BM567" i="2"/>
  <c r="BN567" i="2"/>
  <c r="BO567" i="2"/>
  <c r="BP567" i="2"/>
  <c r="BQ567" i="2"/>
  <c r="BA568" i="2"/>
  <c r="BB568" i="2"/>
  <c r="BC568" i="2"/>
  <c r="BD568" i="2"/>
  <c r="BE568" i="2"/>
  <c r="BF568" i="2"/>
  <c r="BG568" i="2"/>
  <c r="BH568" i="2"/>
  <c r="BI568" i="2"/>
  <c r="BJ568" i="2"/>
  <c r="BK568" i="2"/>
  <c r="BL568" i="2"/>
  <c r="BM568" i="2"/>
  <c r="BN568" i="2"/>
  <c r="BO568" i="2"/>
  <c r="BP568" i="2"/>
  <c r="BQ568" i="2"/>
  <c r="BA569" i="2"/>
  <c r="BB569" i="2"/>
  <c r="BC569" i="2"/>
  <c r="BD569" i="2"/>
  <c r="BE569" i="2"/>
  <c r="BF569" i="2"/>
  <c r="BG569" i="2"/>
  <c r="BH569" i="2"/>
  <c r="BI569" i="2"/>
  <c r="BJ569" i="2"/>
  <c r="BK569" i="2"/>
  <c r="BL569" i="2"/>
  <c r="BM569" i="2"/>
  <c r="BN569" i="2"/>
  <c r="BO569" i="2"/>
  <c r="BP569" i="2"/>
  <c r="BQ569" i="2"/>
  <c r="BA570" i="2"/>
  <c r="BB570" i="2"/>
  <c r="BC570" i="2"/>
  <c r="BD570" i="2"/>
  <c r="BE570" i="2"/>
  <c r="BF570" i="2"/>
  <c r="BG570" i="2"/>
  <c r="BH570" i="2"/>
  <c r="BI570" i="2"/>
  <c r="BJ570" i="2"/>
  <c r="BK570" i="2"/>
  <c r="BL570" i="2"/>
  <c r="BM570" i="2"/>
  <c r="BN570" i="2"/>
  <c r="BO570" i="2"/>
  <c r="BP570" i="2"/>
  <c r="BQ570" i="2"/>
  <c r="BA571" i="2"/>
  <c r="BB571" i="2"/>
  <c r="BC571" i="2"/>
  <c r="BD571" i="2"/>
  <c r="BE571" i="2"/>
  <c r="BF571" i="2"/>
  <c r="BG571" i="2"/>
  <c r="BH571" i="2"/>
  <c r="BI571" i="2"/>
  <c r="BJ571" i="2"/>
  <c r="BK571" i="2"/>
  <c r="BL571" i="2"/>
  <c r="BM571" i="2"/>
  <c r="BN571" i="2"/>
  <c r="BO571" i="2"/>
  <c r="BP571" i="2"/>
  <c r="BQ571" i="2"/>
  <c r="BA572" i="2"/>
  <c r="BB572" i="2"/>
  <c r="BC572" i="2"/>
  <c r="BD572" i="2"/>
  <c r="BE572" i="2"/>
  <c r="BF572" i="2"/>
  <c r="BG572" i="2"/>
  <c r="BH572" i="2"/>
  <c r="BI572" i="2"/>
  <c r="BJ572" i="2"/>
  <c r="BK572" i="2"/>
  <c r="BL572" i="2"/>
  <c r="BM572" i="2"/>
  <c r="BN572" i="2"/>
  <c r="BO572" i="2"/>
  <c r="BP572" i="2"/>
  <c r="BQ572" i="2"/>
  <c r="BA573" i="2"/>
  <c r="BB573" i="2"/>
  <c r="BC573" i="2"/>
  <c r="BD573" i="2"/>
  <c r="BE573" i="2"/>
  <c r="BF573" i="2"/>
  <c r="BG573" i="2"/>
  <c r="BH573" i="2"/>
  <c r="BI573" i="2"/>
  <c r="BJ573" i="2"/>
  <c r="BK573" i="2"/>
  <c r="BL573" i="2"/>
  <c r="BM573" i="2"/>
  <c r="BN573" i="2"/>
  <c r="BO573" i="2"/>
  <c r="BP573" i="2"/>
  <c r="BQ573" i="2"/>
  <c r="BA574" i="2"/>
  <c r="BB574" i="2"/>
  <c r="BC574" i="2"/>
  <c r="BD574" i="2"/>
  <c r="BE574" i="2"/>
  <c r="BF574" i="2"/>
  <c r="BG574" i="2"/>
  <c r="BH574" i="2"/>
  <c r="BI574" i="2"/>
  <c r="BJ574" i="2"/>
  <c r="BK574" i="2"/>
  <c r="BL574" i="2"/>
  <c r="BM574" i="2"/>
  <c r="BN574" i="2"/>
  <c r="BO574" i="2"/>
  <c r="BP574" i="2"/>
  <c r="BQ574" i="2"/>
  <c r="BA575" i="2"/>
  <c r="BB575" i="2"/>
  <c r="BC575" i="2"/>
  <c r="BD575" i="2"/>
  <c r="BE575" i="2"/>
  <c r="BF575" i="2"/>
  <c r="BG575" i="2"/>
  <c r="BH575" i="2"/>
  <c r="BI575" i="2"/>
  <c r="BJ575" i="2"/>
  <c r="BK575" i="2"/>
  <c r="BL575" i="2"/>
  <c r="BM575" i="2"/>
  <c r="BN575" i="2"/>
  <c r="BO575" i="2"/>
  <c r="BP575" i="2"/>
  <c r="BQ575" i="2"/>
  <c r="BA576" i="2"/>
  <c r="BB576" i="2"/>
  <c r="BC576" i="2"/>
  <c r="BD576" i="2"/>
  <c r="BE576" i="2"/>
  <c r="BF576" i="2"/>
  <c r="BG576" i="2"/>
  <c r="BH576" i="2"/>
  <c r="BI576" i="2"/>
  <c r="BJ576" i="2"/>
  <c r="BK576" i="2"/>
  <c r="BL576" i="2"/>
  <c r="BM576" i="2"/>
  <c r="BN576" i="2"/>
  <c r="BO576" i="2"/>
  <c r="BP576" i="2"/>
  <c r="BQ576" i="2"/>
  <c r="BA577" i="2"/>
  <c r="BB577" i="2"/>
  <c r="BC577" i="2"/>
  <c r="BD577" i="2"/>
  <c r="BE577" i="2"/>
  <c r="BF577" i="2"/>
  <c r="BG577" i="2"/>
  <c r="BH577" i="2"/>
  <c r="BI577" i="2"/>
  <c r="BJ577" i="2"/>
  <c r="BK577" i="2"/>
  <c r="BL577" i="2"/>
  <c r="BM577" i="2"/>
  <c r="BN577" i="2"/>
  <c r="BO577" i="2"/>
  <c r="BP577" i="2"/>
  <c r="BQ577" i="2"/>
  <c r="BA578" i="2"/>
  <c r="BB578" i="2"/>
  <c r="BC578" i="2"/>
  <c r="BD578" i="2"/>
  <c r="BE578" i="2"/>
  <c r="BF578" i="2"/>
  <c r="BG578" i="2"/>
  <c r="BH578" i="2"/>
  <c r="BI578" i="2"/>
  <c r="BJ578" i="2"/>
  <c r="BK578" i="2"/>
  <c r="BL578" i="2"/>
  <c r="BM578" i="2"/>
  <c r="BN578" i="2"/>
  <c r="BO578" i="2"/>
  <c r="BP578" i="2"/>
  <c r="BQ578" i="2"/>
  <c r="BA579" i="2"/>
  <c r="BB579" i="2"/>
  <c r="BC579" i="2"/>
  <c r="BD579" i="2"/>
  <c r="BE579" i="2"/>
  <c r="BF579" i="2"/>
  <c r="BG579" i="2"/>
  <c r="BH579" i="2"/>
  <c r="BI579" i="2"/>
  <c r="BJ579" i="2"/>
  <c r="BK579" i="2"/>
  <c r="BL579" i="2"/>
  <c r="BM579" i="2"/>
  <c r="BN579" i="2"/>
  <c r="BO579" i="2"/>
  <c r="BP579" i="2"/>
  <c r="BQ579" i="2"/>
  <c r="BA580" i="2"/>
  <c r="BB580" i="2"/>
  <c r="BC580" i="2"/>
  <c r="BD580" i="2"/>
  <c r="BE580" i="2"/>
  <c r="BF580" i="2"/>
  <c r="BG580" i="2"/>
  <c r="BH580" i="2"/>
  <c r="BI580" i="2"/>
  <c r="BJ580" i="2"/>
  <c r="BK580" i="2"/>
  <c r="BL580" i="2"/>
  <c r="BM580" i="2"/>
  <c r="BN580" i="2"/>
  <c r="BO580" i="2"/>
  <c r="BP580" i="2"/>
  <c r="BQ580" i="2"/>
  <c r="BA581" i="2"/>
  <c r="BB581" i="2"/>
  <c r="BC581" i="2"/>
  <c r="BD581" i="2"/>
  <c r="BE581" i="2"/>
  <c r="BF581" i="2"/>
  <c r="BG581" i="2"/>
  <c r="BH581" i="2"/>
  <c r="BI581" i="2"/>
  <c r="BJ581" i="2"/>
  <c r="BK581" i="2"/>
  <c r="BL581" i="2"/>
  <c r="BM581" i="2"/>
  <c r="BN581" i="2"/>
  <c r="BO581" i="2"/>
  <c r="BP581" i="2"/>
  <c r="BQ581" i="2"/>
  <c r="BA582" i="2"/>
  <c r="BB582" i="2"/>
  <c r="BC582" i="2"/>
  <c r="BD582" i="2"/>
  <c r="BE582" i="2"/>
  <c r="BF582" i="2"/>
  <c r="BG582" i="2"/>
  <c r="BH582" i="2"/>
  <c r="BI582" i="2"/>
  <c r="BJ582" i="2"/>
  <c r="BK582" i="2"/>
  <c r="BL582" i="2"/>
  <c r="BM582" i="2"/>
  <c r="BN582" i="2"/>
  <c r="BO582" i="2"/>
  <c r="BP582" i="2"/>
  <c r="BQ582" i="2"/>
  <c r="BA583" i="2"/>
  <c r="BB583" i="2"/>
  <c r="BC583" i="2"/>
  <c r="BD583" i="2"/>
  <c r="BE583" i="2"/>
  <c r="BF583" i="2"/>
  <c r="BG583" i="2"/>
  <c r="BH583" i="2"/>
  <c r="BI583" i="2"/>
  <c r="BJ583" i="2"/>
  <c r="BK583" i="2"/>
  <c r="BL583" i="2"/>
  <c r="BM583" i="2"/>
  <c r="BN583" i="2"/>
  <c r="BO583" i="2"/>
  <c r="BP583" i="2"/>
  <c r="BQ583" i="2"/>
  <c r="BA584" i="2"/>
  <c r="BB584" i="2"/>
  <c r="BC584" i="2"/>
  <c r="BD584" i="2"/>
  <c r="BE584" i="2"/>
  <c r="BF584" i="2"/>
  <c r="BG584" i="2"/>
  <c r="BH584" i="2"/>
  <c r="BI584" i="2"/>
  <c r="BJ584" i="2"/>
  <c r="BK584" i="2"/>
  <c r="BL584" i="2"/>
  <c r="BM584" i="2"/>
  <c r="BN584" i="2"/>
  <c r="BO584" i="2"/>
  <c r="BP584" i="2"/>
  <c r="BQ584" i="2"/>
  <c r="BA585" i="2"/>
  <c r="BB585" i="2"/>
  <c r="BC585" i="2"/>
  <c r="BD585" i="2"/>
  <c r="BE585" i="2"/>
  <c r="BF585" i="2"/>
  <c r="BG585" i="2"/>
  <c r="BH585" i="2"/>
  <c r="BI585" i="2"/>
  <c r="BJ585" i="2"/>
  <c r="BK585" i="2"/>
  <c r="BL585" i="2"/>
  <c r="BM585" i="2"/>
  <c r="BN585" i="2"/>
  <c r="BO585" i="2"/>
  <c r="BP585" i="2"/>
  <c r="BQ585" i="2"/>
  <c r="BA586" i="2"/>
  <c r="BB586" i="2"/>
  <c r="BC586" i="2"/>
  <c r="BD586" i="2"/>
  <c r="BE586" i="2"/>
  <c r="BF586" i="2"/>
  <c r="BG586" i="2"/>
  <c r="BH586" i="2"/>
  <c r="BI586" i="2"/>
  <c r="BJ586" i="2"/>
  <c r="BK586" i="2"/>
  <c r="BL586" i="2"/>
  <c r="BM586" i="2"/>
  <c r="BN586" i="2"/>
  <c r="BO586" i="2"/>
  <c r="BP586" i="2"/>
  <c r="BQ586" i="2"/>
  <c r="BA587" i="2"/>
  <c r="BB587" i="2"/>
  <c r="BC587" i="2"/>
  <c r="BD587" i="2"/>
  <c r="BE587" i="2"/>
  <c r="BF587" i="2"/>
  <c r="BG587" i="2"/>
  <c r="BH587" i="2"/>
  <c r="BI587" i="2"/>
  <c r="BJ587" i="2"/>
  <c r="BK587" i="2"/>
  <c r="BL587" i="2"/>
  <c r="BM587" i="2"/>
  <c r="BN587" i="2"/>
  <c r="BO587" i="2"/>
  <c r="BP587" i="2"/>
  <c r="BQ587" i="2"/>
  <c r="BA588" i="2"/>
  <c r="BB588" i="2"/>
  <c r="BC588" i="2"/>
  <c r="BD588" i="2"/>
  <c r="BE588" i="2"/>
  <c r="BF588" i="2"/>
  <c r="BG588" i="2"/>
  <c r="BH588" i="2"/>
  <c r="BI588" i="2"/>
  <c r="BJ588" i="2"/>
  <c r="BK588" i="2"/>
  <c r="BL588" i="2"/>
  <c r="BM588" i="2"/>
  <c r="BN588" i="2"/>
  <c r="BO588" i="2"/>
  <c r="BP588" i="2"/>
  <c r="BQ588" i="2"/>
  <c r="BA589" i="2"/>
  <c r="BB589" i="2"/>
  <c r="BC589" i="2"/>
  <c r="BD589" i="2"/>
  <c r="BE589" i="2"/>
  <c r="BF589" i="2"/>
  <c r="BG589" i="2"/>
  <c r="BH589" i="2"/>
  <c r="BI589" i="2"/>
  <c r="BJ589" i="2"/>
  <c r="BK589" i="2"/>
  <c r="BL589" i="2"/>
  <c r="BM589" i="2"/>
  <c r="BN589" i="2"/>
  <c r="BO589" i="2"/>
  <c r="BP589" i="2"/>
  <c r="BQ589" i="2"/>
  <c r="BA590" i="2"/>
  <c r="BB590" i="2"/>
  <c r="BC590" i="2"/>
  <c r="BD590" i="2"/>
  <c r="BE590" i="2"/>
  <c r="BF590" i="2"/>
  <c r="BG590" i="2"/>
  <c r="BH590" i="2"/>
  <c r="BI590" i="2"/>
  <c r="BJ590" i="2"/>
  <c r="BK590" i="2"/>
  <c r="BL590" i="2"/>
  <c r="BM590" i="2"/>
  <c r="BN590" i="2"/>
  <c r="BO590" i="2"/>
  <c r="BP590" i="2"/>
  <c r="BQ590" i="2"/>
  <c r="BA591" i="2"/>
  <c r="BB591" i="2"/>
  <c r="BC591" i="2"/>
  <c r="BD591" i="2"/>
  <c r="BE591" i="2"/>
  <c r="BF591" i="2"/>
  <c r="BG591" i="2"/>
  <c r="BH591" i="2"/>
  <c r="BI591" i="2"/>
  <c r="BJ591" i="2"/>
  <c r="BK591" i="2"/>
  <c r="BL591" i="2"/>
  <c r="BM591" i="2"/>
  <c r="BN591" i="2"/>
  <c r="BO591" i="2"/>
  <c r="BP591" i="2"/>
  <c r="BQ591" i="2"/>
  <c r="BA592" i="2"/>
  <c r="BB592" i="2"/>
  <c r="BC592" i="2"/>
  <c r="BD592" i="2"/>
  <c r="BE592" i="2"/>
  <c r="BF592" i="2"/>
  <c r="BG592" i="2"/>
  <c r="BH592" i="2"/>
  <c r="BI592" i="2"/>
  <c r="BJ592" i="2"/>
  <c r="BK592" i="2"/>
  <c r="BL592" i="2"/>
  <c r="BM592" i="2"/>
  <c r="BN592" i="2"/>
  <c r="BO592" i="2"/>
  <c r="BP592" i="2"/>
  <c r="BQ592" i="2"/>
  <c r="BA593" i="2"/>
  <c r="BB593" i="2"/>
  <c r="BC593" i="2"/>
  <c r="BD593" i="2"/>
  <c r="BE593" i="2"/>
  <c r="BF593" i="2"/>
  <c r="BG593" i="2"/>
  <c r="BH593" i="2"/>
  <c r="BI593" i="2"/>
  <c r="BJ593" i="2"/>
  <c r="BK593" i="2"/>
  <c r="BL593" i="2"/>
  <c r="BM593" i="2"/>
  <c r="BN593" i="2"/>
  <c r="BO593" i="2"/>
  <c r="BP593" i="2"/>
  <c r="BQ593" i="2"/>
  <c r="BA594" i="2"/>
  <c r="BB594" i="2"/>
  <c r="BC594" i="2"/>
  <c r="BD594" i="2"/>
  <c r="BE594" i="2"/>
  <c r="BF594" i="2"/>
  <c r="BG594" i="2"/>
  <c r="BH594" i="2"/>
  <c r="BI594" i="2"/>
  <c r="BJ594" i="2"/>
  <c r="BK594" i="2"/>
  <c r="BL594" i="2"/>
  <c r="BM594" i="2"/>
  <c r="BN594" i="2"/>
  <c r="BO594" i="2"/>
  <c r="BP594" i="2"/>
  <c r="BQ594" i="2"/>
  <c r="BA595" i="2"/>
  <c r="BB595" i="2"/>
  <c r="BC595" i="2"/>
  <c r="BD595" i="2"/>
  <c r="BE595" i="2"/>
  <c r="BF595" i="2"/>
  <c r="BG595" i="2"/>
  <c r="BH595" i="2"/>
  <c r="BI595" i="2"/>
  <c r="BJ595" i="2"/>
  <c r="BK595" i="2"/>
  <c r="BL595" i="2"/>
  <c r="BM595" i="2"/>
  <c r="BN595" i="2"/>
  <c r="BO595" i="2"/>
  <c r="BP595" i="2"/>
  <c r="BQ595" i="2"/>
  <c r="BA596" i="2"/>
  <c r="BB596" i="2"/>
  <c r="BC596" i="2"/>
  <c r="BD596" i="2"/>
  <c r="BE596" i="2"/>
  <c r="BF596" i="2"/>
  <c r="BG596" i="2"/>
  <c r="BH596" i="2"/>
  <c r="BI596" i="2"/>
  <c r="BJ596" i="2"/>
  <c r="BK596" i="2"/>
  <c r="BL596" i="2"/>
  <c r="BM596" i="2"/>
  <c r="BN596" i="2"/>
  <c r="BO596" i="2"/>
  <c r="BP596" i="2"/>
  <c r="BQ596" i="2"/>
  <c r="BA597" i="2"/>
  <c r="BB597" i="2"/>
  <c r="BC597" i="2"/>
  <c r="BD597" i="2"/>
  <c r="BE597" i="2"/>
  <c r="BF597" i="2"/>
  <c r="BG597" i="2"/>
  <c r="BH597" i="2"/>
  <c r="BI597" i="2"/>
  <c r="BJ597" i="2"/>
  <c r="BK597" i="2"/>
  <c r="BL597" i="2"/>
  <c r="BM597" i="2"/>
  <c r="BN597" i="2"/>
  <c r="BO597" i="2"/>
  <c r="BP597" i="2"/>
  <c r="BQ597" i="2"/>
  <c r="BA598" i="2"/>
  <c r="BB598" i="2"/>
  <c r="BC598" i="2"/>
  <c r="BD598" i="2"/>
  <c r="BE598" i="2"/>
  <c r="BF598" i="2"/>
  <c r="BG598" i="2"/>
  <c r="BH598" i="2"/>
  <c r="BI598" i="2"/>
  <c r="BJ598" i="2"/>
  <c r="BK598" i="2"/>
  <c r="BL598" i="2"/>
  <c r="BM598" i="2"/>
  <c r="BN598" i="2"/>
  <c r="BO598" i="2"/>
  <c r="BP598" i="2"/>
  <c r="BQ598" i="2"/>
  <c r="BA599" i="2"/>
  <c r="BB599" i="2"/>
  <c r="BC599" i="2"/>
  <c r="BD599" i="2"/>
  <c r="BE599" i="2"/>
  <c r="BF599" i="2"/>
  <c r="BG599" i="2"/>
  <c r="BH599" i="2"/>
  <c r="BI599" i="2"/>
  <c r="BJ599" i="2"/>
  <c r="BK599" i="2"/>
  <c r="BL599" i="2"/>
  <c r="BM599" i="2"/>
  <c r="BN599" i="2"/>
  <c r="BO599" i="2"/>
  <c r="BP599" i="2"/>
  <c r="BQ599" i="2"/>
  <c r="BA600" i="2"/>
  <c r="BB600" i="2"/>
  <c r="BC600" i="2"/>
  <c r="BD600" i="2"/>
  <c r="BE600" i="2"/>
  <c r="BF600" i="2"/>
  <c r="BG600" i="2"/>
  <c r="BH600" i="2"/>
  <c r="BI600" i="2"/>
  <c r="BJ600" i="2"/>
  <c r="BK600" i="2"/>
  <c r="BL600" i="2"/>
  <c r="BM600" i="2"/>
  <c r="BN600" i="2"/>
  <c r="BO600" i="2"/>
  <c r="BP600" i="2"/>
  <c r="BQ600" i="2"/>
  <c r="BA601" i="2"/>
  <c r="BB601" i="2"/>
  <c r="BC601" i="2"/>
  <c r="BD601" i="2"/>
  <c r="BE601" i="2"/>
  <c r="BF601" i="2"/>
  <c r="BG601" i="2"/>
  <c r="BH601" i="2"/>
  <c r="BI601" i="2"/>
  <c r="BJ601" i="2"/>
  <c r="BK601" i="2"/>
  <c r="BL601" i="2"/>
  <c r="BM601" i="2"/>
  <c r="BN601" i="2"/>
  <c r="BO601" i="2"/>
  <c r="BP601" i="2"/>
  <c r="BQ601" i="2"/>
  <c r="BA602" i="2"/>
  <c r="BB602" i="2"/>
  <c r="BC602" i="2"/>
  <c r="BD602" i="2"/>
  <c r="BE602" i="2"/>
  <c r="BF602" i="2"/>
  <c r="BG602" i="2"/>
  <c r="BH602" i="2"/>
  <c r="BI602" i="2"/>
  <c r="BJ602" i="2"/>
  <c r="BK602" i="2"/>
  <c r="BL602" i="2"/>
  <c r="BM602" i="2"/>
  <c r="BN602" i="2"/>
  <c r="BO602" i="2"/>
  <c r="BP602" i="2"/>
  <c r="BQ602" i="2"/>
  <c r="BA603" i="2"/>
  <c r="BB603" i="2"/>
  <c r="BC603" i="2"/>
  <c r="BD603" i="2"/>
  <c r="BE603" i="2"/>
  <c r="BF603" i="2"/>
  <c r="BG603" i="2"/>
  <c r="BH603" i="2"/>
  <c r="BI603" i="2"/>
  <c r="BJ603" i="2"/>
  <c r="BK603" i="2"/>
  <c r="BL603" i="2"/>
  <c r="BM603" i="2"/>
  <c r="BN603" i="2"/>
  <c r="BO603" i="2"/>
  <c r="BP603" i="2"/>
  <c r="BQ603" i="2"/>
  <c r="BA604" i="2"/>
  <c r="BB604" i="2"/>
  <c r="BC604" i="2"/>
  <c r="BD604" i="2"/>
  <c r="BE604" i="2"/>
  <c r="BF604" i="2"/>
  <c r="BG604" i="2"/>
  <c r="BH604" i="2"/>
  <c r="BI604" i="2"/>
  <c r="BJ604" i="2"/>
  <c r="BK604" i="2"/>
  <c r="BL604" i="2"/>
  <c r="BM604" i="2"/>
  <c r="BN604" i="2"/>
  <c r="BO604" i="2"/>
  <c r="BP604" i="2"/>
  <c r="BQ604" i="2"/>
  <c r="BA605" i="2"/>
  <c r="BB605" i="2"/>
  <c r="BC605" i="2"/>
  <c r="BD605" i="2"/>
  <c r="BE605" i="2"/>
  <c r="BF605" i="2"/>
  <c r="BG605" i="2"/>
  <c r="BH605" i="2"/>
  <c r="BI605" i="2"/>
  <c r="BJ605" i="2"/>
  <c r="BK605" i="2"/>
  <c r="BL605" i="2"/>
  <c r="BM605" i="2"/>
  <c r="BN605" i="2"/>
  <c r="BO605" i="2"/>
  <c r="BP605" i="2"/>
  <c r="BQ605" i="2"/>
  <c r="BA606" i="2"/>
  <c r="BB606" i="2"/>
  <c r="BC606" i="2"/>
  <c r="BD606" i="2"/>
  <c r="BE606" i="2"/>
  <c r="BF606" i="2"/>
  <c r="BG606" i="2"/>
  <c r="BH606" i="2"/>
  <c r="BI606" i="2"/>
  <c r="BJ606" i="2"/>
  <c r="BK606" i="2"/>
  <c r="BL606" i="2"/>
  <c r="BM606" i="2"/>
  <c r="BN606" i="2"/>
  <c r="BO606" i="2"/>
  <c r="BP606" i="2"/>
  <c r="BQ606" i="2"/>
  <c r="BA607" i="2"/>
  <c r="BB607" i="2"/>
  <c r="BC607" i="2"/>
  <c r="BD607" i="2"/>
  <c r="BE607" i="2"/>
  <c r="BF607" i="2"/>
  <c r="BG607" i="2"/>
  <c r="BH607" i="2"/>
  <c r="BI607" i="2"/>
  <c r="BJ607" i="2"/>
  <c r="BK607" i="2"/>
  <c r="BL607" i="2"/>
  <c r="BM607" i="2"/>
  <c r="BN607" i="2"/>
  <c r="BO607" i="2"/>
  <c r="BP607" i="2"/>
  <c r="BQ607" i="2"/>
  <c r="BA608" i="2"/>
  <c r="BB608" i="2"/>
  <c r="BC608" i="2"/>
  <c r="BD608" i="2"/>
  <c r="BE608" i="2"/>
  <c r="BF608" i="2"/>
  <c r="BG608" i="2"/>
  <c r="BH608" i="2"/>
  <c r="BI608" i="2"/>
  <c r="BJ608" i="2"/>
  <c r="BK608" i="2"/>
  <c r="BL608" i="2"/>
  <c r="BM608" i="2"/>
  <c r="BN608" i="2"/>
  <c r="BO608" i="2"/>
  <c r="BP608" i="2"/>
  <c r="BQ608" i="2"/>
  <c r="BA609" i="2"/>
  <c r="BB609" i="2"/>
  <c r="BC609" i="2"/>
  <c r="BD609" i="2"/>
  <c r="BE609" i="2"/>
  <c r="BF609" i="2"/>
  <c r="BG609" i="2"/>
  <c r="BH609" i="2"/>
  <c r="BI609" i="2"/>
  <c r="BJ609" i="2"/>
  <c r="BK609" i="2"/>
  <c r="BL609" i="2"/>
  <c r="BM609" i="2"/>
  <c r="BN609" i="2"/>
  <c r="BO609" i="2"/>
  <c r="BP609" i="2"/>
  <c r="BQ609" i="2"/>
  <c r="BA610" i="2"/>
  <c r="BB610" i="2"/>
  <c r="BC610" i="2"/>
  <c r="BD610" i="2"/>
  <c r="BE610" i="2"/>
  <c r="BF610" i="2"/>
  <c r="BG610" i="2"/>
  <c r="BH610" i="2"/>
  <c r="BI610" i="2"/>
  <c r="BJ610" i="2"/>
  <c r="BK610" i="2"/>
  <c r="BL610" i="2"/>
  <c r="BM610" i="2"/>
  <c r="BN610" i="2"/>
  <c r="BO610" i="2"/>
  <c r="BP610" i="2"/>
  <c r="BQ610" i="2"/>
  <c r="BA611" i="2"/>
  <c r="BB611" i="2"/>
  <c r="BC611" i="2"/>
  <c r="BD611" i="2"/>
  <c r="BE611" i="2"/>
  <c r="BF611" i="2"/>
  <c r="BG611" i="2"/>
  <c r="BH611" i="2"/>
  <c r="BI611" i="2"/>
  <c r="BJ611" i="2"/>
  <c r="BK611" i="2"/>
  <c r="BL611" i="2"/>
  <c r="BM611" i="2"/>
  <c r="BN611" i="2"/>
  <c r="BO611" i="2"/>
  <c r="BP611" i="2"/>
  <c r="BQ611" i="2"/>
  <c r="BA612" i="2"/>
  <c r="BB612" i="2"/>
  <c r="BC612" i="2"/>
  <c r="BD612" i="2"/>
  <c r="BE612" i="2"/>
  <c r="BF612" i="2"/>
  <c r="BG612" i="2"/>
  <c r="BH612" i="2"/>
  <c r="BI612" i="2"/>
  <c r="BJ612" i="2"/>
  <c r="BK612" i="2"/>
  <c r="BL612" i="2"/>
  <c r="BM612" i="2"/>
  <c r="BN612" i="2"/>
  <c r="BO612" i="2"/>
  <c r="BP612" i="2"/>
  <c r="BQ612" i="2"/>
  <c r="BA613" i="2"/>
  <c r="BB613" i="2"/>
  <c r="BC613" i="2"/>
  <c r="BD613" i="2"/>
  <c r="BE613" i="2"/>
  <c r="BF613" i="2"/>
  <c r="BG613" i="2"/>
  <c r="BH613" i="2"/>
  <c r="BI613" i="2"/>
  <c r="BJ613" i="2"/>
  <c r="BK613" i="2"/>
  <c r="BL613" i="2"/>
  <c r="BM613" i="2"/>
  <c r="BN613" i="2"/>
  <c r="BO613" i="2"/>
  <c r="BP613" i="2"/>
  <c r="BQ613" i="2"/>
  <c r="BA614" i="2"/>
  <c r="BB614" i="2"/>
  <c r="BC614" i="2"/>
  <c r="BD614" i="2"/>
  <c r="BE614" i="2"/>
  <c r="BF614" i="2"/>
  <c r="BG614" i="2"/>
  <c r="BH614" i="2"/>
  <c r="BI614" i="2"/>
  <c r="BJ614" i="2"/>
  <c r="BK614" i="2"/>
  <c r="BL614" i="2"/>
  <c r="BM614" i="2"/>
  <c r="BN614" i="2"/>
  <c r="BO614" i="2"/>
  <c r="BP614" i="2"/>
  <c r="BQ614" i="2"/>
  <c r="BA615" i="2"/>
  <c r="BB615" i="2"/>
  <c r="BC615" i="2"/>
  <c r="BD615" i="2"/>
  <c r="BE615" i="2"/>
  <c r="BF615" i="2"/>
  <c r="BG615" i="2"/>
  <c r="BH615" i="2"/>
  <c r="BI615" i="2"/>
  <c r="BJ615" i="2"/>
  <c r="BK615" i="2"/>
  <c r="BL615" i="2"/>
  <c r="BM615" i="2"/>
  <c r="BN615" i="2"/>
  <c r="BO615" i="2"/>
  <c r="BP615" i="2"/>
  <c r="BQ615" i="2"/>
  <c r="BA616" i="2"/>
  <c r="BB616" i="2"/>
  <c r="BC616" i="2"/>
  <c r="BD616" i="2"/>
  <c r="BE616" i="2"/>
  <c r="BF616" i="2"/>
  <c r="BG616" i="2"/>
  <c r="BH616" i="2"/>
  <c r="BI616" i="2"/>
  <c r="BJ616" i="2"/>
  <c r="BK616" i="2"/>
  <c r="BL616" i="2"/>
  <c r="BM616" i="2"/>
  <c r="BN616" i="2"/>
  <c r="BO616" i="2"/>
  <c r="BP616" i="2"/>
  <c r="BQ616" i="2"/>
  <c r="BA617" i="2"/>
  <c r="BB617" i="2"/>
  <c r="BC617" i="2"/>
  <c r="BD617" i="2"/>
  <c r="BE617" i="2"/>
  <c r="BF617" i="2"/>
  <c r="BG617" i="2"/>
  <c r="BH617" i="2"/>
  <c r="BI617" i="2"/>
  <c r="BJ617" i="2"/>
  <c r="BK617" i="2"/>
  <c r="BL617" i="2"/>
  <c r="BM617" i="2"/>
  <c r="BN617" i="2"/>
  <c r="BO617" i="2"/>
  <c r="BP617" i="2"/>
  <c r="BQ617" i="2"/>
  <c r="BA618" i="2"/>
  <c r="BB618" i="2"/>
  <c r="BC618" i="2"/>
  <c r="BD618" i="2"/>
  <c r="BE618" i="2"/>
  <c r="BF618" i="2"/>
  <c r="BG618" i="2"/>
  <c r="BH618" i="2"/>
  <c r="BI618" i="2"/>
  <c r="BJ618" i="2"/>
  <c r="BK618" i="2"/>
  <c r="BL618" i="2"/>
  <c r="BM618" i="2"/>
  <c r="BN618" i="2"/>
  <c r="BO618" i="2"/>
  <c r="BP618" i="2"/>
  <c r="BQ618" i="2"/>
  <c r="BA619" i="2"/>
  <c r="BB619" i="2"/>
  <c r="BC619" i="2"/>
  <c r="BD619" i="2"/>
  <c r="BE619" i="2"/>
  <c r="BF619" i="2"/>
  <c r="BG619" i="2"/>
  <c r="BH619" i="2"/>
  <c r="BI619" i="2"/>
  <c r="BJ619" i="2"/>
  <c r="BK619" i="2"/>
  <c r="BL619" i="2"/>
  <c r="BM619" i="2"/>
  <c r="BN619" i="2"/>
  <c r="BO619" i="2"/>
  <c r="BP619" i="2"/>
  <c r="BQ619" i="2"/>
  <c r="BA620" i="2"/>
  <c r="BB620" i="2"/>
  <c r="BC620" i="2"/>
  <c r="BD620" i="2"/>
  <c r="BE620" i="2"/>
  <c r="BF620" i="2"/>
  <c r="BG620" i="2"/>
  <c r="BH620" i="2"/>
  <c r="BI620" i="2"/>
  <c r="BJ620" i="2"/>
  <c r="BK620" i="2"/>
  <c r="BL620" i="2"/>
  <c r="BM620" i="2"/>
  <c r="BN620" i="2"/>
  <c r="BO620" i="2"/>
  <c r="BP620" i="2"/>
  <c r="BQ620" i="2"/>
  <c r="BA621" i="2"/>
  <c r="BB621" i="2"/>
  <c r="BC621" i="2"/>
  <c r="BD621" i="2"/>
  <c r="BE621" i="2"/>
  <c r="BF621" i="2"/>
  <c r="BG621" i="2"/>
  <c r="BH621" i="2"/>
  <c r="BI621" i="2"/>
  <c r="BJ621" i="2"/>
  <c r="BK621" i="2"/>
  <c r="BL621" i="2"/>
  <c r="BM621" i="2"/>
  <c r="BN621" i="2"/>
  <c r="BO621" i="2"/>
  <c r="BP621" i="2"/>
  <c r="BQ621" i="2"/>
  <c r="BA622" i="2"/>
  <c r="BB622" i="2"/>
  <c r="BC622" i="2"/>
  <c r="BD622" i="2"/>
  <c r="BE622" i="2"/>
  <c r="BF622" i="2"/>
  <c r="BG622" i="2"/>
  <c r="BH622" i="2"/>
  <c r="BI622" i="2"/>
  <c r="BJ622" i="2"/>
  <c r="BK622" i="2"/>
  <c r="BL622" i="2"/>
  <c r="BM622" i="2"/>
  <c r="BN622" i="2"/>
  <c r="BO622" i="2"/>
  <c r="BP622" i="2"/>
  <c r="BQ622" i="2"/>
  <c r="BA623" i="2"/>
  <c r="BB623" i="2"/>
  <c r="BC623" i="2"/>
  <c r="BD623" i="2"/>
  <c r="BE623" i="2"/>
  <c r="BF623" i="2"/>
  <c r="BG623" i="2"/>
  <c r="BH623" i="2"/>
  <c r="BI623" i="2"/>
  <c r="BJ623" i="2"/>
  <c r="BK623" i="2"/>
  <c r="BL623" i="2"/>
  <c r="BM623" i="2"/>
  <c r="BN623" i="2"/>
  <c r="BO623" i="2"/>
  <c r="BP623" i="2"/>
  <c r="BQ623" i="2"/>
  <c r="BA624" i="2"/>
  <c r="BB624" i="2"/>
  <c r="BC624" i="2"/>
  <c r="BD624" i="2"/>
  <c r="BE624" i="2"/>
  <c r="BF624" i="2"/>
  <c r="BG624" i="2"/>
  <c r="BH624" i="2"/>
  <c r="BI624" i="2"/>
  <c r="BJ624" i="2"/>
  <c r="BK624" i="2"/>
  <c r="BL624" i="2"/>
  <c r="BM624" i="2"/>
  <c r="BN624" i="2"/>
  <c r="BO624" i="2"/>
  <c r="BP624" i="2"/>
  <c r="BQ624" i="2"/>
  <c r="BA625" i="2"/>
  <c r="BB625" i="2"/>
  <c r="BC625" i="2"/>
  <c r="BD625" i="2"/>
  <c r="BE625" i="2"/>
  <c r="BF625" i="2"/>
  <c r="BG625" i="2"/>
  <c r="BH625" i="2"/>
  <c r="BI625" i="2"/>
  <c r="BJ625" i="2"/>
  <c r="BK625" i="2"/>
  <c r="BL625" i="2"/>
  <c r="BM625" i="2"/>
  <c r="BN625" i="2"/>
  <c r="BO625" i="2"/>
  <c r="BP625" i="2"/>
  <c r="BQ625" i="2"/>
  <c r="BA626" i="2"/>
  <c r="BB626" i="2"/>
  <c r="BC626" i="2"/>
  <c r="BD626" i="2"/>
  <c r="BE626" i="2"/>
  <c r="BF626" i="2"/>
  <c r="BG626" i="2"/>
  <c r="BH626" i="2"/>
  <c r="BI626" i="2"/>
  <c r="BJ626" i="2"/>
  <c r="BK626" i="2"/>
  <c r="BL626" i="2"/>
  <c r="BM626" i="2"/>
  <c r="BN626" i="2"/>
  <c r="BO626" i="2"/>
  <c r="BP626" i="2"/>
  <c r="BQ626" i="2"/>
  <c r="BA627" i="2"/>
  <c r="BB627" i="2"/>
  <c r="BC627" i="2"/>
  <c r="BD627" i="2"/>
  <c r="BE627" i="2"/>
  <c r="BF627" i="2"/>
  <c r="BG627" i="2"/>
  <c r="BH627" i="2"/>
  <c r="BI627" i="2"/>
  <c r="BJ627" i="2"/>
  <c r="BK627" i="2"/>
  <c r="BL627" i="2"/>
  <c r="BM627" i="2"/>
  <c r="BN627" i="2"/>
  <c r="BO627" i="2"/>
  <c r="BP627" i="2"/>
  <c r="BQ627" i="2"/>
  <c r="BA628" i="2"/>
  <c r="BB628" i="2"/>
  <c r="BC628" i="2"/>
  <c r="BD628" i="2"/>
  <c r="BE628" i="2"/>
  <c r="BF628" i="2"/>
  <c r="BG628" i="2"/>
  <c r="BH628" i="2"/>
  <c r="BI628" i="2"/>
  <c r="BJ628" i="2"/>
  <c r="BK628" i="2"/>
  <c r="BL628" i="2"/>
  <c r="BM628" i="2"/>
  <c r="BN628" i="2"/>
  <c r="BO628" i="2"/>
  <c r="BP628" i="2"/>
  <c r="BQ628" i="2"/>
  <c r="BA629" i="2"/>
  <c r="BB629" i="2"/>
  <c r="BC629" i="2"/>
  <c r="BD629" i="2"/>
  <c r="BE629" i="2"/>
  <c r="BF629" i="2"/>
  <c r="BG629" i="2"/>
  <c r="BH629" i="2"/>
  <c r="BI629" i="2"/>
  <c r="BJ629" i="2"/>
  <c r="BK629" i="2"/>
  <c r="BL629" i="2"/>
  <c r="BM629" i="2"/>
  <c r="BN629" i="2"/>
  <c r="BO629" i="2"/>
  <c r="BP629" i="2"/>
  <c r="BQ629" i="2"/>
  <c r="BA630" i="2"/>
  <c r="BB630" i="2"/>
  <c r="BC630" i="2"/>
  <c r="BD630" i="2"/>
  <c r="BE630" i="2"/>
  <c r="BF630" i="2"/>
  <c r="BG630" i="2"/>
  <c r="BH630" i="2"/>
  <c r="BI630" i="2"/>
  <c r="BJ630" i="2"/>
  <c r="BK630" i="2"/>
  <c r="BL630" i="2"/>
  <c r="BM630" i="2"/>
  <c r="BN630" i="2"/>
  <c r="BO630" i="2"/>
  <c r="BP630" i="2"/>
  <c r="BQ630" i="2"/>
  <c r="BA631" i="2"/>
  <c r="BB631" i="2"/>
  <c r="BC631" i="2"/>
  <c r="BD631" i="2"/>
  <c r="BE631" i="2"/>
  <c r="BF631" i="2"/>
  <c r="BG631" i="2"/>
  <c r="BH631" i="2"/>
  <c r="BI631" i="2"/>
  <c r="BJ631" i="2"/>
  <c r="BK631" i="2"/>
  <c r="BL631" i="2"/>
  <c r="BM631" i="2"/>
  <c r="BN631" i="2"/>
  <c r="BO631" i="2"/>
  <c r="BP631" i="2"/>
  <c r="BQ631" i="2"/>
  <c r="BA632" i="2"/>
  <c r="BB632" i="2"/>
  <c r="BC632" i="2"/>
  <c r="BD632" i="2"/>
  <c r="BE632" i="2"/>
  <c r="BF632" i="2"/>
  <c r="BG632" i="2"/>
  <c r="BH632" i="2"/>
  <c r="BI632" i="2"/>
  <c r="BJ632" i="2"/>
  <c r="BK632" i="2"/>
  <c r="BL632" i="2"/>
  <c r="BM632" i="2"/>
  <c r="BN632" i="2"/>
  <c r="BO632" i="2"/>
  <c r="BP632" i="2"/>
  <c r="BQ632" i="2"/>
  <c r="BA633" i="2"/>
  <c r="BB633" i="2"/>
  <c r="BC633" i="2"/>
  <c r="BD633" i="2"/>
  <c r="BE633" i="2"/>
  <c r="BF633" i="2"/>
  <c r="BG633" i="2"/>
  <c r="BH633" i="2"/>
  <c r="BI633" i="2"/>
  <c r="BJ633" i="2"/>
  <c r="BK633" i="2"/>
  <c r="BL633" i="2"/>
  <c r="BM633" i="2"/>
  <c r="BN633" i="2"/>
  <c r="BO633" i="2"/>
  <c r="BP633" i="2"/>
  <c r="BQ633" i="2"/>
  <c r="BA634" i="2"/>
  <c r="BB634" i="2"/>
  <c r="BC634" i="2"/>
  <c r="BD634" i="2"/>
  <c r="BE634" i="2"/>
  <c r="BF634" i="2"/>
  <c r="BG634" i="2"/>
  <c r="BH634" i="2"/>
  <c r="BI634" i="2"/>
  <c r="BJ634" i="2"/>
  <c r="BK634" i="2"/>
  <c r="BL634" i="2"/>
  <c r="BM634" i="2"/>
  <c r="BN634" i="2"/>
  <c r="BO634" i="2"/>
  <c r="BP634" i="2"/>
  <c r="BQ634" i="2"/>
  <c r="BA635" i="2"/>
  <c r="BB635" i="2"/>
  <c r="BC635" i="2"/>
  <c r="BD635" i="2"/>
  <c r="BE635" i="2"/>
  <c r="BF635" i="2"/>
  <c r="BG635" i="2"/>
  <c r="BH635" i="2"/>
  <c r="BI635" i="2"/>
  <c r="BJ635" i="2"/>
  <c r="BK635" i="2"/>
  <c r="BL635" i="2"/>
  <c r="BM635" i="2"/>
  <c r="BN635" i="2"/>
  <c r="BO635" i="2"/>
  <c r="BP635" i="2"/>
  <c r="BQ635" i="2"/>
  <c r="BA636" i="2"/>
  <c r="BB636" i="2"/>
  <c r="BC636" i="2"/>
  <c r="BD636" i="2"/>
  <c r="BE636" i="2"/>
  <c r="BF636" i="2"/>
  <c r="BG636" i="2"/>
  <c r="BH636" i="2"/>
  <c r="BI636" i="2"/>
  <c r="BJ636" i="2"/>
  <c r="BK636" i="2"/>
  <c r="BL636" i="2"/>
  <c r="BM636" i="2"/>
  <c r="BN636" i="2"/>
  <c r="BO636" i="2"/>
  <c r="BP636" i="2"/>
  <c r="BQ636" i="2"/>
  <c r="BA637" i="2"/>
  <c r="BB637" i="2"/>
  <c r="BC637" i="2"/>
  <c r="BD637" i="2"/>
  <c r="BE637" i="2"/>
  <c r="BF637" i="2"/>
  <c r="BG637" i="2"/>
  <c r="BH637" i="2"/>
  <c r="BI637" i="2"/>
  <c r="BJ637" i="2"/>
  <c r="BK637" i="2"/>
  <c r="BL637" i="2"/>
  <c r="BM637" i="2"/>
  <c r="BN637" i="2"/>
  <c r="BO637" i="2"/>
  <c r="BP637" i="2"/>
  <c r="BQ637" i="2"/>
  <c r="BA638" i="2"/>
  <c r="BB638" i="2"/>
  <c r="BC638" i="2"/>
  <c r="BD638" i="2"/>
  <c r="BE638" i="2"/>
  <c r="BF638" i="2"/>
  <c r="BG638" i="2"/>
  <c r="BH638" i="2"/>
  <c r="BI638" i="2"/>
  <c r="BJ638" i="2"/>
  <c r="BK638" i="2"/>
  <c r="BL638" i="2"/>
  <c r="BM638" i="2"/>
  <c r="BN638" i="2"/>
  <c r="BO638" i="2"/>
  <c r="BP638" i="2"/>
  <c r="BQ638" i="2"/>
  <c r="BA639" i="2"/>
  <c r="BB639" i="2"/>
  <c r="BC639" i="2"/>
  <c r="BD639" i="2"/>
  <c r="BE639" i="2"/>
  <c r="BF639" i="2"/>
  <c r="BG639" i="2"/>
  <c r="BH639" i="2"/>
  <c r="BI639" i="2"/>
  <c r="BJ639" i="2"/>
  <c r="BK639" i="2"/>
  <c r="BL639" i="2"/>
  <c r="BM639" i="2"/>
  <c r="BN639" i="2"/>
  <c r="BO639" i="2"/>
  <c r="BP639" i="2"/>
  <c r="BQ639" i="2"/>
  <c r="BA640" i="2"/>
  <c r="BB640" i="2"/>
  <c r="BC640" i="2"/>
  <c r="BD640" i="2"/>
  <c r="BE640" i="2"/>
  <c r="BF640" i="2"/>
  <c r="BG640" i="2"/>
  <c r="BH640" i="2"/>
  <c r="BI640" i="2"/>
  <c r="BJ640" i="2"/>
  <c r="BK640" i="2"/>
  <c r="BL640" i="2"/>
  <c r="BM640" i="2"/>
  <c r="BN640" i="2"/>
  <c r="BO640" i="2"/>
  <c r="BP640" i="2"/>
  <c r="BQ640" i="2"/>
  <c r="BA641" i="2"/>
  <c r="BB641" i="2"/>
  <c r="BC641" i="2"/>
  <c r="BD641" i="2"/>
  <c r="BE641" i="2"/>
  <c r="BF641" i="2"/>
  <c r="BG641" i="2"/>
  <c r="BH641" i="2"/>
  <c r="BI641" i="2"/>
  <c r="BJ641" i="2"/>
  <c r="BK641" i="2"/>
  <c r="BL641" i="2"/>
  <c r="BM641" i="2"/>
  <c r="BN641" i="2"/>
  <c r="BO641" i="2"/>
  <c r="BP641" i="2"/>
  <c r="BQ641" i="2"/>
  <c r="BA642" i="2"/>
  <c r="BB642" i="2"/>
  <c r="BC642" i="2"/>
  <c r="BD642" i="2"/>
  <c r="BE642" i="2"/>
  <c r="BF642" i="2"/>
  <c r="BG642" i="2"/>
  <c r="BH642" i="2"/>
  <c r="BI642" i="2"/>
  <c r="BJ642" i="2"/>
  <c r="BK642" i="2"/>
  <c r="BL642" i="2"/>
  <c r="BM642" i="2"/>
  <c r="BN642" i="2"/>
  <c r="BO642" i="2"/>
  <c r="BP642" i="2"/>
  <c r="BQ642" i="2"/>
  <c r="BA643" i="2"/>
  <c r="BB643" i="2"/>
  <c r="BC643" i="2"/>
  <c r="BD643" i="2"/>
  <c r="BE643" i="2"/>
  <c r="BF643" i="2"/>
  <c r="BG643" i="2"/>
  <c r="BH643" i="2"/>
  <c r="BI643" i="2"/>
  <c r="BJ643" i="2"/>
  <c r="BK643" i="2"/>
  <c r="BL643" i="2"/>
  <c r="BM643" i="2"/>
  <c r="BN643" i="2"/>
  <c r="BO643" i="2"/>
  <c r="BP643" i="2"/>
  <c r="BQ643" i="2"/>
  <c r="BA644" i="2"/>
  <c r="BB644" i="2"/>
  <c r="BC644" i="2"/>
  <c r="BD644" i="2"/>
  <c r="BE644" i="2"/>
  <c r="BF644" i="2"/>
  <c r="BG644" i="2"/>
  <c r="BH644" i="2"/>
  <c r="BI644" i="2"/>
  <c r="BJ644" i="2"/>
  <c r="BK644" i="2"/>
  <c r="BL644" i="2"/>
  <c r="BM644" i="2"/>
  <c r="BN644" i="2"/>
  <c r="BO644" i="2"/>
  <c r="BP644" i="2"/>
  <c r="BQ644" i="2"/>
  <c r="BA645" i="2"/>
  <c r="BB645" i="2"/>
  <c r="BC645" i="2"/>
  <c r="BD645" i="2"/>
  <c r="BE645" i="2"/>
  <c r="BF645" i="2"/>
  <c r="BG645" i="2"/>
  <c r="BH645" i="2"/>
  <c r="BI645" i="2"/>
  <c r="BJ645" i="2"/>
  <c r="BK645" i="2"/>
  <c r="BL645" i="2"/>
  <c r="BM645" i="2"/>
  <c r="BN645" i="2"/>
  <c r="BO645" i="2"/>
  <c r="BP645" i="2"/>
  <c r="BQ645" i="2"/>
  <c r="BA646" i="2"/>
  <c r="BB646" i="2"/>
  <c r="BC646" i="2"/>
  <c r="BD646" i="2"/>
  <c r="BE646" i="2"/>
  <c r="BF646" i="2"/>
  <c r="BG646" i="2"/>
  <c r="BH646" i="2"/>
  <c r="BI646" i="2"/>
  <c r="BJ646" i="2"/>
  <c r="BK646" i="2"/>
  <c r="BL646" i="2"/>
  <c r="BM646" i="2"/>
  <c r="BN646" i="2"/>
  <c r="BO646" i="2"/>
  <c r="BP646" i="2"/>
  <c r="BQ646" i="2"/>
  <c r="BA647" i="2"/>
  <c r="BB647" i="2"/>
  <c r="BC647" i="2"/>
  <c r="BD647" i="2"/>
  <c r="BE647" i="2"/>
  <c r="BF647" i="2"/>
  <c r="BG647" i="2"/>
  <c r="BH647" i="2"/>
  <c r="BI647" i="2"/>
  <c r="BJ647" i="2"/>
  <c r="BK647" i="2"/>
  <c r="BL647" i="2"/>
  <c r="BM647" i="2"/>
  <c r="BN647" i="2"/>
  <c r="BO647" i="2"/>
  <c r="BP647" i="2"/>
  <c r="BQ647" i="2"/>
  <c r="BA648" i="2"/>
  <c r="BB648" i="2"/>
  <c r="BC648" i="2"/>
  <c r="BD648" i="2"/>
  <c r="BE648" i="2"/>
  <c r="BF648" i="2"/>
  <c r="BG648" i="2"/>
  <c r="BH648" i="2"/>
  <c r="BI648" i="2"/>
  <c r="BJ648" i="2"/>
  <c r="BK648" i="2"/>
  <c r="BL648" i="2"/>
  <c r="BM648" i="2"/>
  <c r="BN648" i="2"/>
  <c r="BO648" i="2"/>
  <c r="BP648" i="2"/>
  <c r="BQ648" i="2"/>
  <c r="BA649" i="2"/>
  <c r="BB649" i="2"/>
  <c r="BC649" i="2"/>
  <c r="BD649" i="2"/>
  <c r="BE649" i="2"/>
  <c r="BF649" i="2"/>
  <c r="BG649" i="2"/>
  <c r="BH649" i="2"/>
  <c r="BI649" i="2"/>
  <c r="BJ649" i="2"/>
  <c r="BK649" i="2"/>
  <c r="BL649" i="2"/>
  <c r="BM649" i="2"/>
  <c r="BN649" i="2"/>
  <c r="BO649" i="2"/>
  <c r="BP649" i="2"/>
  <c r="BQ649" i="2"/>
  <c r="BA650" i="2"/>
  <c r="BB650" i="2"/>
  <c r="BC650" i="2"/>
  <c r="BD650" i="2"/>
  <c r="BE650" i="2"/>
  <c r="BF650" i="2"/>
  <c r="BG650" i="2"/>
  <c r="BH650" i="2"/>
  <c r="BI650" i="2"/>
  <c r="BJ650" i="2"/>
  <c r="BK650" i="2"/>
  <c r="BL650" i="2"/>
  <c r="BM650" i="2"/>
  <c r="BN650" i="2"/>
  <c r="BO650" i="2"/>
  <c r="BP650" i="2"/>
  <c r="BQ650" i="2"/>
  <c r="BA651" i="2"/>
  <c r="BB651" i="2"/>
  <c r="BC651" i="2"/>
  <c r="BD651" i="2"/>
  <c r="BE651" i="2"/>
  <c r="BF651" i="2"/>
  <c r="BG651" i="2"/>
  <c r="BH651" i="2"/>
  <c r="BI651" i="2"/>
  <c r="BJ651" i="2"/>
  <c r="BK651" i="2"/>
  <c r="BL651" i="2"/>
  <c r="BM651" i="2"/>
  <c r="BN651" i="2"/>
  <c r="BO651" i="2"/>
  <c r="BP651" i="2"/>
  <c r="BQ651" i="2"/>
  <c r="BA652" i="2"/>
  <c r="BB652" i="2"/>
  <c r="BC652" i="2"/>
  <c r="BD652" i="2"/>
  <c r="BE652" i="2"/>
  <c r="BF652" i="2"/>
  <c r="BG652" i="2"/>
  <c r="BH652" i="2"/>
  <c r="BI652" i="2"/>
  <c r="BJ652" i="2"/>
  <c r="BK652" i="2"/>
  <c r="BL652" i="2"/>
  <c r="BM652" i="2"/>
  <c r="BN652" i="2"/>
  <c r="BO652" i="2"/>
  <c r="BP652" i="2"/>
  <c r="BQ652" i="2"/>
  <c r="BA653" i="2"/>
  <c r="BB653" i="2"/>
  <c r="BC653" i="2"/>
  <c r="BD653" i="2"/>
  <c r="BE653" i="2"/>
  <c r="BF653" i="2"/>
  <c r="BG653" i="2"/>
  <c r="BH653" i="2"/>
  <c r="BI653" i="2"/>
  <c r="BJ653" i="2"/>
  <c r="BK653" i="2"/>
  <c r="BL653" i="2"/>
  <c r="BM653" i="2"/>
  <c r="BN653" i="2"/>
  <c r="BO653" i="2"/>
  <c r="BP653" i="2"/>
  <c r="BQ653" i="2"/>
  <c r="BA654" i="2"/>
  <c r="BB654" i="2"/>
  <c r="BC654" i="2"/>
  <c r="BD654" i="2"/>
  <c r="BE654" i="2"/>
  <c r="BF654" i="2"/>
  <c r="BG654" i="2"/>
  <c r="BH654" i="2"/>
  <c r="BI654" i="2"/>
  <c r="BJ654" i="2"/>
  <c r="BK654" i="2"/>
  <c r="BL654" i="2"/>
  <c r="BM654" i="2"/>
  <c r="BN654" i="2"/>
  <c r="BO654" i="2"/>
  <c r="BP654" i="2"/>
  <c r="BQ654" i="2"/>
  <c r="BA655" i="2"/>
  <c r="BB655" i="2"/>
  <c r="BC655" i="2"/>
  <c r="BD655" i="2"/>
  <c r="BE655" i="2"/>
  <c r="BF655" i="2"/>
  <c r="BG655" i="2"/>
  <c r="BH655" i="2"/>
  <c r="BI655" i="2"/>
  <c r="BJ655" i="2"/>
  <c r="BK655" i="2"/>
  <c r="BL655" i="2"/>
  <c r="BM655" i="2"/>
  <c r="BN655" i="2"/>
  <c r="BO655" i="2"/>
  <c r="BP655" i="2"/>
  <c r="BQ655" i="2"/>
  <c r="BA656" i="2"/>
  <c r="BB656" i="2"/>
  <c r="BC656" i="2"/>
  <c r="BD656" i="2"/>
  <c r="BE656" i="2"/>
  <c r="BF656" i="2"/>
  <c r="BG656" i="2"/>
  <c r="BH656" i="2"/>
  <c r="BI656" i="2"/>
  <c r="BJ656" i="2"/>
  <c r="BK656" i="2"/>
  <c r="BL656" i="2"/>
  <c r="BM656" i="2"/>
  <c r="BN656" i="2"/>
  <c r="BO656" i="2"/>
  <c r="BP656" i="2"/>
  <c r="BQ656" i="2"/>
  <c r="BA657" i="2"/>
  <c r="BB657" i="2"/>
  <c r="BC657" i="2"/>
  <c r="BD657" i="2"/>
  <c r="BE657" i="2"/>
  <c r="BF657" i="2"/>
  <c r="BG657" i="2"/>
  <c r="BH657" i="2"/>
  <c r="BI657" i="2"/>
  <c r="BJ657" i="2"/>
  <c r="BK657" i="2"/>
  <c r="BL657" i="2"/>
  <c r="BM657" i="2"/>
  <c r="BN657" i="2"/>
  <c r="BO657" i="2"/>
  <c r="BP657" i="2"/>
  <c r="BQ657" i="2"/>
  <c r="BA658" i="2"/>
  <c r="BB658" i="2"/>
  <c r="BC658" i="2"/>
  <c r="BD658" i="2"/>
  <c r="BE658" i="2"/>
  <c r="BF658" i="2"/>
  <c r="BG658" i="2"/>
  <c r="BH658" i="2"/>
  <c r="BI658" i="2"/>
  <c r="BJ658" i="2"/>
  <c r="BK658" i="2"/>
  <c r="BL658" i="2"/>
  <c r="BM658" i="2"/>
  <c r="BN658" i="2"/>
  <c r="BO658" i="2"/>
  <c r="BP658" i="2"/>
  <c r="BQ658" i="2"/>
  <c r="BA659" i="2"/>
  <c r="BB659" i="2"/>
  <c r="BC659" i="2"/>
  <c r="BD659" i="2"/>
  <c r="BE659" i="2"/>
  <c r="BF659" i="2"/>
  <c r="BG659" i="2"/>
  <c r="BH659" i="2"/>
  <c r="BI659" i="2"/>
  <c r="BJ659" i="2"/>
  <c r="BK659" i="2"/>
  <c r="BL659" i="2"/>
  <c r="BM659" i="2"/>
  <c r="BN659" i="2"/>
  <c r="BO659" i="2"/>
  <c r="BP659" i="2"/>
  <c r="BQ659" i="2"/>
  <c r="BA660" i="2"/>
  <c r="BB660" i="2"/>
  <c r="BC660" i="2"/>
  <c r="BD660" i="2"/>
  <c r="BE660" i="2"/>
  <c r="BF660" i="2"/>
  <c r="BG660" i="2"/>
  <c r="BH660" i="2"/>
  <c r="BI660" i="2"/>
  <c r="BJ660" i="2"/>
  <c r="BK660" i="2"/>
  <c r="BL660" i="2"/>
  <c r="BM660" i="2"/>
  <c r="BN660" i="2"/>
  <c r="BO660" i="2"/>
  <c r="BP660" i="2"/>
  <c r="BQ660" i="2"/>
  <c r="BA661" i="2"/>
  <c r="BB661" i="2"/>
  <c r="BC661" i="2"/>
  <c r="BD661" i="2"/>
  <c r="BE661" i="2"/>
  <c r="BF661" i="2"/>
  <c r="BG661" i="2"/>
  <c r="BH661" i="2"/>
  <c r="BI661" i="2"/>
  <c r="BJ661" i="2"/>
  <c r="BK661" i="2"/>
  <c r="BL661" i="2"/>
  <c r="BM661" i="2"/>
  <c r="BN661" i="2"/>
  <c r="BO661" i="2"/>
  <c r="BP661" i="2"/>
  <c r="BQ661" i="2"/>
  <c r="BA662" i="2"/>
  <c r="BB662" i="2"/>
  <c r="BC662" i="2"/>
  <c r="BD662" i="2"/>
  <c r="BE662" i="2"/>
  <c r="BF662" i="2"/>
  <c r="BG662" i="2"/>
  <c r="BH662" i="2"/>
  <c r="BI662" i="2"/>
  <c r="BJ662" i="2"/>
  <c r="BK662" i="2"/>
  <c r="BL662" i="2"/>
  <c r="BM662" i="2"/>
  <c r="BN662" i="2"/>
  <c r="BO662" i="2"/>
  <c r="BP662" i="2"/>
  <c r="BQ662" i="2"/>
  <c r="BA663" i="2"/>
  <c r="BB663" i="2"/>
  <c r="BC663" i="2"/>
  <c r="BD663" i="2"/>
  <c r="BE663" i="2"/>
  <c r="BF663" i="2"/>
  <c r="BG663" i="2"/>
  <c r="BH663" i="2"/>
  <c r="BI663" i="2"/>
  <c r="BJ663" i="2"/>
  <c r="BK663" i="2"/>
  <c r="BL663" i="2"/>
  <c r="BM663" i="2"/>
  <c r="BN663" i="2"/>
  <c r="BO663" i="2"/>
  <c r="BP663" i="2"/>
  <c r="BQ663" i="2"/>
  <c r="BA664" i="2"/>
  <c r="BB664" i="2"/>
  <c r="BC664" i="2"/>
  <c r="BD664" i="2"/>
  <c r="BE664" i="2"/>
  <c r="BF664" i="2"/>
  <c r="BG664" i="2"/>
  <c r="BH664" i="2"/>
  <c r="BI664" i="2"/>
  <c r="BJ664" i="2"/>
  <c r="BK664" i="2"/>
  <c r="BL664" i="2"/>
  <c r="BM664" i="2"/>
  <c r="BN664" i="2"/>
  <c r="BO664" i="2"/>
  <c r="BP664" i="2"/>
  <c r="BQ664" i="2"/>
  <c r="BA665" i="2"/>
  <c r="BB665" i="2"/>
  <c r="BC665" i="2"/>
  <c r="BD665" i="2"/>
  <c r="BE665" i="2"/>
  <c r="BF665" i="2"/>
  <c r="BG665" i="2"/>
  <c r="BH665" i="2"/>
  <c r="BI665" i="2"/>
  <c r="BJ665" i="2"/>
  <c r="BK665" i="2"/>
  <c r="BL665" i="2"/>
  <c r="BM665" i="2"/>
  <c r="BN665" i="2"/>
  <c r="BO665" i="2"/>
  <c r="BP665" i="2"/>
  <c r="BQ665" i="2"/>
  <c r="BA666" i="2"/>
  <c r="BB666" i="2"/>
  <c r="BC666" i="2"/>
  <c r="BD666" i="2"/>
  <c r="BE666" i="2"/>
  <c r="BF666" i="2"/>
  <c r="BG666" i="2"/>
  <c r="BH666" i="2"/>
  <c r="BI666" i="2"/>
  <c r="BJ666" i="2"/>
  <c r="BK666" i="2"/>
  <c r="BL666" i="2"/>
  <c r="BM666" i="2"/>
  <c r="BN666" i="2"/>
  <c r="BO666" i="2"/>
  <c r="BP666" i="2"/>
  <c r="BQ666" i="2"/>
  <c r="BA667" i="2"/>
  <c r="BB667" i="2"/>
  <c r="BC667" i="2"/>
  <c r="BD667" i="2"/>
  <c r="BE667" i="2"/>
  <c r="BF667" i="2"/>
  <c r="BG667" i="2"/>
  <c r="BH667" i="2"/>
  <c r="BI667" i="2"/>
  <c r="BJ667" i="2"/>
  <c r="BK667" i="2"/>
  <c r="BL667" i="2"/>
  <c r="BM667" i="2"/>
  <c r="BN667" i="2"/>
  <c r="BO667" i="2"/>
  <c r="BP667" i="2"/>
  <c r="BQ667" i="2"/>
  <c r="BA668" i="2"/>
  <c r="BB668" i="2"/>
  <c r="BC668" i="2"/>
  <c r="BD668" i="2"/>
  <c r="BE668" i="2"/>
  <c r="BF668" i="2"/>
  <c r="BG668" i="2"/>
  <c r="BH668" i="2"/>
  <c r="BI668" i="2"/>
  <c r="BJ668" i="2"/>
  <c r="BK668" i="2"/>
  <c r="BL668" i="2"/>
  <c r="BM668" i="2"/>
  <c r="BN668" i="2"/>
  <c r="BO668" i="2"/>
  <c r="BP668" i="2"/>
  <c r="BQ668" i="2"/>
  <c r="BA669" i="2"/>
  <c r="BB669" i="2"/>
  <c r="BC669" i="2"/>
  <c r="BD669" i="2"/>
  <c r="BE669" i="2"/>
  <c r="BF669" i="2"/>
  <c r="BG669" i="2"/>
  <c r="BH669" i="2"/>
  <c r="BI669" i="2"/>
  <c r="BJ669" i="2"/>
  <c r="BK669" i="2"/>
  <c r="BL669" i="2"/>
  <c r="BM669" i="2"/>
  <c r="BN669" i="2"/>
  <c r="BO669" i="2"/>
  <c r="BP669" i="2"/>
  <c r="BQ669" i="2"/>
  <c r="BA670" i="2"/>
  <c r="BB670" i="2"/>
  <c r="BC670" i="2"/>
  <c r="BD670" i="2"/>
  <c r="BE670" i="2"/>
  <c r="BF670" i="2"/>
  <c r="BG670" i="2"/>
  <c r="BH670" i="2"/>
  <c r="BI670" i="2"/>
  <c r="BJ670" i="2"/>
  <c r="BK670" i="2"/>
  <c r="BL670" i="2"/>
  <c r="BM670" i="2"/>
  <c r="BN670" i="2"/>
  <c r="BO670" i="2"/>
  <c r="BP670" i="2"/>
  <c r="BQ670" i="2"/>
  <c r="BA671" i="2"/>
  <c r="BB671" i="2"/>
  <c r="BC671" i="2"/>
  <c r="BD671" i="2"/>
  <c r="BE671" i="2"/>
  <c r="BF671" i="2"/>
  <c r="BG671" i="2"/>
  <c r="BH671" i="2"/>
  <c r="BI671" i="2"/>
  <c r="BJ671" i="2"/>
  <c r="BK671" i="2"/>
  <c r="BL671" i="2"/>
  <c r="BM671" i="2"/>
  <c r="BN671" i="2"/>
  <c r="BO671" i="2"/>
  <c r="BP671" i="2"/>
  <c r="BQ671" i="2"/>
  <c r="BA672" i="2"/>
  <c r="BB672" i="2"/>
  <c r="BC672" i="2"/>
  <c r="BD672" i="2"/>
  <c r="BE672" i="2"/>
  <c r="BF672" i="2"/>
  <c r="BG672" i="2"/>
  <c r="BH672" i="2"/>
  <c r="BI672" i="2"/>
  <c r="BJ672" i="2"/>
  <c r="BK672" i="2"/>
  <c r="BL672" i="2"/>
  <c r="BM672" i="2"/>
  <c r="BN672" i="2"/>
  <c r="BO672" i="2"/>
  <c r="BP672" i="2"/>
  <c r="BQ672" i="2"/>
  <c r="BA673" i="2"/>
  <c r="BB673" i="2"/>
  <c r="BC673" i="2"/>
  <c r="BD673" i="2"/>
  <c r="BE673" i="2"/>
  <c r="BF673" i="2"/>
  <c r="BG673" i="2"/>
  <c r="BH673" i="2"/>
  <c r="BI673" i="2"/>
  <c r="BJ673" i="2"/>
  <c r="BK673" i="2"/>
  <c r="BL673" i="2"/>
  <c r="BM673" i="2"/>
  <c r="BN673" i="2"/>
  <c r="BO673" i="2"/>
  <c r="BP673" i="2"/>
  <c r="BQ673" i="2"/>
  <c r="BA674" i="2"/>
  <c r="BB674" i="2"/>
  <c r="BC674" i="2"/>
  <c r="BD674" i="2"/>
  <c r="BE674" i="2"/>
  <c r="BF674" i="2"/>
  <c r="BG674" i="2"/>
  <c r="BH674" i="2"/>
  <c r="BI674" i="2"/>
  <c r="BJ674" i="2"/>
  <c r="BK674" i="2"/>
  <c r="BL674" i="2"/>
  <c r="BM674" i="2"/>
  <c r="BN674" i="2"/>
  <c r="BO674" i="2"/>
  <c r="BP674" i="2"/>
  <c r="BQ674" i="2"/>
  <c r="BA675" i="2"/>
  <c r="BB675" i="2"/>
  <c r="BC675" i="2"/>
  <c r="BD675" i="2"/>
  <c r="BE675" i="2"/>
  <c r="BF675" i="2"/>
  <c r="BG675" i="2"/>
  <c r="BH675" i="2"/>
  <c r="BI675" i="2"/>
  <c r="BJ675" i="2"/>
  <c r="BK675" i="2"/>
  <c r="BL675" i="2"/>
  <c r="BM675" i="2"/>
  <c r="BN675" i="2"/>
  <c r="BO675" i="2"/>
  <c r="BP675" i="2"/>
  <c r="BQ675" i="2"/>
  <c r="BA676" i="2"/>
  <c r="BB676" i="2"/>
  <c r="BC676" i="2"/>
  <c r="BD676" i="2"/>
  <c r="BE676" i="2"/>
  <c r="BF676" i="2"/>
  <c r="BG676" i="2"/>
  <c r="BH676" i="2"/>
  <c r="BI676" i="2"/>
  <c r="BJ676" i="2"/>
  <c r="BK676" i="2"/>
  <c r="BL676" i="2"/>
  <c r="BM676" i="2"/>
  <c r="BN676" i="2"/>
  <c r="BO676" i="2"/>
  <c r="BP676" i="2"/>
  <c r="BQ676" i="2"/>
  <c r="BA677" i="2"/>
  <c r="BB677" i="2"/>
  <c r="BC677" i="2"/>
  <c r="BD677" i="2"/>
  <c r="BE677" i="2"/>
  <c r="BF677" i="2"/>
  <c r="BG677" i="2"/>
  <c r="BH677" i="2"/>
  <c r="BI677" i="2"/>
  <c r="BJ677" i="2"/>
  <c r="BK677" i="2"/>
  <c r="BL677" i="2"/>
  <c r="BM677" i="2"/>
  <c r="BN677" i="2"/>
  <c r="BO677" i="2"/>
  <c r="BP677" i="2"/>
  <c r="BQ677" i="2"/>
  <c r="BA678" i="2"/>
  <c r="BB678" i="2"/>
  <c r="BC678" i="2"/>
  <c r="BD678" i="2"/>
  <c r="BE678" i="2"/>
  <c r="BF678" i="2"/>
  <c r="BG678" i="2"/>
  <c r="BH678" i="2"/>
  <c r="BI678" i="2"/>
  <c r="BJ678" i="2"/>
  <c r="BK678" i="2"/>
  <c r="BL678" i="2"/>
  <c r="BM678" i="2"/>
  <c r="BN678" i="2"/>
  <c r="BO678" i="2"/>
  <c r="BP678" i="2"/>
  <c r="BQ678" i="2"/>
  <c r="BA679" i="2"/>
  <c r="BB679" i="2"/>
  <c r="BC679" i="2"/>
  <c r="BD679" i="2"/>
  <c r="BE679" i="2"/>
  <c r="BF679" i="2"/>
  <c r="BG679" i="2"/>
  <c r="BH679" i="2"/>
  <c r="BI679" i="2"/>
  <c r="BJ679" i="2"/>
  <c r="BK679" i="2"/>
  <c r="BL679" i="2"/>
  <c r="BM679" i="2"/>
  <c r="BN679" i="2"/>
  <c r="BO679" i="2"/>
  <c r="BP679" i="2"/>
  <c r="BQ679" i="2"/>
  <c r="BA680" i="2"/>
  <c r="BB680" i="2"/>
  <c r="BC680" i="2"/>
  <c r="BD680" i="2"/>
  <c r="BE680" i="2"/>
  <c r="BF680" i="2"/>
  <c r="BG680" i="2"/>
  <c r="BH680" i="2"/>
  <c r="BI680" i="2"/>
  <c r="BJ680" i="2"/>
  <c r="BK680" i="2"/>
  <c r="BL680" i="2"/>
  <c r="BM680" i="2"/>
  <c r="BN680" i="2"/>
  <c r="BO680" i="2"/>
  <c r="BP680" i="2"/>
  <c r="BQ680" i="2"/>
  <c r="BA681" i="2"/>
  <c r="BB681" i="2"/>
  <c r="BC681" i="2"/>
  <c r="BD681" i="2"/>
  <c r="BE681" i="2"/>
  <c r="BF681" i="2"/>
  <c r="BG681" i="2"/>
  <c r="BH681" i="2"/>
  <c r="BI681" i="2"/>
  <c r="BJ681" i="2"/>
  <c r="BK681" i="2"/>
  <c r="BL681" i="2"/>
  <c r="BM681" i="2"/>
  <c r="BN681" i="2"/>
  <c r="BO681" i="2"/>
  <c r="BP681" i="2"/>
  <c r="BQ681" i="2"/>
  <c r="BA682" i="2"/>
  <c r="BB682" i="2"/>
  <c r="BC682" i="2"/>
  <c r="BD682" i="2"/>
  <c r="BE682" i="2"/>
  <c r="BF682" i="2"/>
  <c r="BG682" i="2"/>
  <c r="BH682" i="2"/>
  <c r="BI682" i="2"/>
  <c r="BJ682" i="2"/>
  <c r="BK682" i="2"/>
  <c r="BL682" i="2"/>
  <c r="BM682" i="2"/>
  <c r="BN682" i="2"/>
  <c r="BO682" i="2"/>
  <c r="BP682" i="2"/>
  <c r="BQ682" i="2"/>
  <c r="BA683" i="2"/>
  <c r="BB683" i="2"/>
  <c r="BC683" i="2"/>
  <c r="BD683" i="2"/>
  <c r="BE683" i="2"/>
  <c r="BF683" i="2"/>
  <c r="BG683" i="2"/>
  <c r="BH683" i="2"/>
  <c r="BI683" i="2"/>
  <c r="BJ683" i="2"/>
  <c r="BK683" i="2"/>
  <c r="BL683" i="2"/>
  <c r="BM683" i="2"/>
  <c r="BN683" i="2"/>
  <c r="BO683" i="2"/>
  <c r="BP683" i="2"/>
  <c r="BQ683" i="2"/>
  <c r="BA684" i="2"/>
  <c r="BB684" i="2"/>
  <c r="BC684" i="2"/>
  <c r="BD684" i="2"/>
  <c r="BE684" i="2"/>
  <c r="BF684" i="2"/>
  <c r="BG684" i="2"/>
  <c r="BH684" i="2"/>
  <c r="BI684" i="2"/>
  <c r="BJ684" i="2"/>
  <c r="BK684" i="2"/>
  <c r="BL684" i="2"/>
  <c r="BM684" i="2"/>
  <c r="BN684" i="2"/>
  <c r="BO684" i="2"/>
  <c r="BP684" i="2"/>
  <c r="BQ684" i="2"/>
  <c r="BA685" i="2"/>
  <c r="BB685" i="2"/>
  <c r="BC685" i="2"/>
  <c r="BD685" i="2"/>
  <c r="BE685" i="2"/>
  <c r="BF685" i="2"/>
  <c r="BG685" i="2"/>
  <c r="BH685" i="2"/>
  <c r="BI685" i="2"/>
  <c r="BJ685" i="2"/>
  <c r="BK685" i="2"/>
  <c r="BL685" i="2"/>
  <c r="BM685" i="2"/>
  <c r="BN685" i="2"/>
  <c r="BO685" i="2"/>
  <c r="BP685" i="2"/>
  <c r="BQ685" i="2"/>
  <c r="BA686" i="2"/>
  <c r="BB686" i="2"/>
  <c r="BC686" i="2"/>
  <c r="BD686" i="2"/>
  <c r="BE686" i="2"/>
  <c r="BF686" i="2"/>
  <c r="BG686" i="2"/>
  <c r="BH686" i="2"/>
  <c r="BI686" i="2"/>
  <c r="BJ686" i="2"/>
  <c r="BK686" i="2"/>
  <c r="BL686" i="2"/>
  <c r="BM686" i="2"/>
  <c r="BN686" i="2"/>
  <c r="BO686" i="2"/>
  <c r="BP686" i="2"/>
  <c r="BQ686" i="2"/>
  <c r="BA687" i="2"/>
  <c r="BB687" i="2"/>
  <c r="BC687" i="2"/>
  <c r="BD687" i="2"/>
  <c r="BE687" i="2"/>
  <c r="BF687" i="2"/>
  <c r="BG687" i="2"/>
  <c r="BH687" i="2"/>
  <c r="BI687" i="2"/>
  <c r="BJ687" i="2"/>
  <c r="BK687" i="2"/>
  <c r="BL687" i="2"/>
  <c r="BM687" i="2"/>
  <c r="BN687" i="2"/>
  <c r="BO687" i="2"/>
  <c r="BP687" i="2"/>
  <c r="BQ687" i="2"/>
  <c r="BA688" i="2"/>
  <c r="BB688" i="2"/>
  <c r="BC688" i="2"/>
  <c r="BD688" i="2"/>
  <c r="BE688" i="2"/>
  <c r="BF688" i="2"/>
  <c r="BG688" i="2"/>
  <c r="BH688" i="2"/>
  <c r="BI688" i="2"/>
  <c r="BJ688" i="2"/>
  <c r="BK688" i="2"/>
  <c r="BL688" i="2"/>
  <c r="BM688" i="2"/>
  <c r="BN688" i="2"/>
  <c r="BO688" i="2"/>
  <c r="BP688" i="2"/>
  <c r="BQ688" i="2"/>
  <c r="BA689" i="2"/>
  <c r="BB689" i="2"/>
  <c r="BC689" i="2"/>
  <c r="BD689" i="2"/>
  <c r="BE689" i="2"/>
  <c r="BF689" i="2"/>
  <c r="BG689" i="2"/>
  <c r="BH689" i="2"/>
  <c r="BI689" i="2"/>
  <c r="BJ689" i="2"/>
  <c r="BK689" i="2"/>
  <c r="BL689" i="2"/>
  <c r="BM689" i="2"/>
  <c r="BN689" i="2"/>
  <c r="BO689" i="2"/>
  <c r="BP689" i="2"/>
  <c r="BQ689" i="2"/>
  <c r="BA690" i="2"/>
  <c r="BB690" i="2"/>
  <c r="BC690" i="2"/>
  <c r="BD690" i="2"/>
  <c r="BE690" i="2"/>
  <c r="BF690" i="2"/>
  <c r="BG690" i="2"/>
  <c r="BH690" i="2"/>
  <c r="BI690" i="2"/>
  <c r="BJ690" i="2"/>
  <c r="BK690" i="2"/>
  <c r="BL690" i="2"/>
  <c r="BM690" i="2"/>
  <c r="BN690" i="2"/>
  <c r="BO690" i="2"/>
  <c r="BP690" i="2"/>
  <c r="BQ690" i="2"/>
  <c r="BA691" i="2"/>
  <c r="BB691" i="2"/>
  <c r="BC691" i="2"/>
  <c r="BD691" i="2"/>
  <c r="BE691" i="2"/>
  <c r="BF691" i="2"/>
  <c r="BG691" i="2"/>
  <c r="BH691" i="2"/>
  <c r="BI691" i="2"/>
  <c r="BJ691" i="2"/>
  <c r="BK691" i="2"/>
  <c r="BL691" i="2"/>
  <c r="BM691" i="2"/>
  <c r="BN691" i="2"/>
  <c r="BO691" i="2"/>
  <c r="BP691" i="2"/>
  <c r="BQ691" i="2"/>
  <c r="BA692" i="2"/>
  <c r="BB692" i="2"/>
  <c r="BC692" i="2"/>
  <c r="BD692" i="2"/>
  <c r="BE692" i="2"/>
  <c r="BF692" i="2"/>
  <c r="BG692" i="2"/>
  <c r="BH692" i="2"/>
  <c r="BI692" i="2"/>
  <c r="BJ692" i="2"/>
  <c r="BK692" i="2"/>
  <c r="BL692" i="2"/>
  <c r="BM692" i="2"/>
  <c r="BN692" i="2"/>
  <c r="BO692" i="2"/>
  <c r="BP692" i="2"/>
  <c r="BQ692" i="2"/>
  <c r="BA693" i="2"/>
  <c r="BB693" i="2"/>
  <c r="BC693" i="2"/>
  <c r="BD693" i="2"/>
  <c r="BE693" i="2"/>
  <c r="BF693" i="2"/>
  <c r="BG693" i="2"/>
  <c r="BH693" i="2"/>
  <c r="BI693" i="2"/>
  <c r="BJ693" i="2"/>
  <c r="BK693" i="2"/>
  <c r="BL693" i="2"/>
  <c r="BM693" i="2"/>
  <c r="BN693" i="2"/>
  <c r="BO693" i="2"/>
  <c r="BP693" i="2"/>
  <c r="BQ693" i="2"/>
  <c r="BA694" i="2"/>
  <c r="BB694" i="2"/>
  <c r="BC694" i="2"/>
  <c r="BD694" i="2"/>
  <c r="BE694" i="2"/>
  <c r="BF694" i="2"/>
  <c r="BG694" i="2"/>
  <c r="BH694" i="2"/>
  <c r="BI694" i="2"/>
  <c r="BJ694" i="2"/>
  <c r="BK694" i="2"/>
  <c r="BL694" i="2"/>
  <c r="BM694" i="2"/>
  <c r="BN694" i="2"/>
  <c r="BO694" i="2"/>
  <c r="BP694" i="2"/>
  <c r="BQ694" i="2"/>
  <c r="BA695" i="2"/>
  <c r="BB695" i="2"/>
  <c r="BC695" i="2"/>
  <c r="BD695" i="2"/>
  <c r="BE695" i="2"/>
  <c r="BF695" i="2"/>
  <c r="BG695" i="2"/>
  <c r="BH695" i="2"/>
  <c r="BI695" i="2"/>
  <c r="BJ695" i="2"/>
  <c r="BK695" i="2"/>
  <c r="BL695" i="2"/>
  <c r="BM695" i="2"/>
  <c r="BN695" i="2"/>
  <c r="BO695" i="2"/>
  <c r="BP695" i="2"/>
  <c r="BQ695" i="2"/>
  <c r="BA696" i="2"/>
  <c r="BB696" i="2"/>
  <c r="BC696" i="2"/>
  <c r="BD696" i="2"/>
  <c r="BE696" i="2"/>
  <c r="BF696" i="2"/>
  <c r="BG696" i="2"/>
  <c r="BH696" i="2"/>
  <c r="BI696" i="2"/>
  <c r="BJ696" i="2"/>
  <c r="BK696" i="2"/>
  <c r="BL696" i="2"/>
  <c r="BM696" i="2"/>
  <c r="BN696" i="2"/>
  <c r="BO696" i="2"/>
  <c r="BP696" i="2"/>
  <c r="BQ696" i="2"/>
  <c r="BA697" i="2"/>
  <c r="BB697" i="2"/>
  <c r="BC697" i="2"/>
  <c r="BD697" i="2"/>
  <c r="BE697" i="2"/>
  <c r="BF697" i="2"/>
  <c r="BG697" i="2"/>
  <c r="BH697" i="2"/>
  <c r="BI697" i="2"/>
  <c r="BJ697" i="2"/>
  <c r="BK697" i="2"/>
  <c r="BL697" i="2"/>
  <c r="BM697" i="2"/>
  <c r="BN697" i="2"/>
  <c r="BO697" i="2"/>
  <c r="BP697" i="2"/>
  <c r="BQ697" i="2"/>
  <c r="BA698" i="2"/>
  <c r="BB698" i="2"/>
  <c r="BC698" i="2"/>
  <c r="BD698" i="2"/>
  <c r="BE698" i="2"/>
  <c r="BF698" i="2"/>
  <c r="BG698" i="2"/>
  <c r="BH698" i="2"/>
  <c r="BI698" i="2"/>
  <c r="BJ698" i="2"/>
  <c r="BK698" i="2"/>
  <c r="BL698" i="2"/>
  <c r="BM698" i="2"/>
  <c r="BN698" i="2"/>
  <c r="BO698" i="2"/>
  <c r="BP698" i="2"/>
  <c r="BQ698" i="2"/>
  <c r="BA699" i="2"/>
  <c r="BB699" i="2"/>
  <c r="BC699" i="2"/>
  <c r="BD699" i="2"/>
  <c r="BE699" i="2"/>
  <c r="BF699" i="2"/>
  <c r="BG699" i="2"/>
  <c r="BH699" i="2"/>
  <c r="BI699" i="2"/>
  <c r="BJ699" i="2"/>
  <c r="BK699" i="2"/>
  <c r="BL699" i="2"/>
  <c r="BM699" i="2"/>
  <c r="BN699" i="2"/>
  <c r="BO699" i="2"/>
  <c r="BP699" i="2"/>
  <c r="BQ699" i="2"/>
  <c r="BA700" i="2"/>
  <c r="BB700" i="2"/>
  <c r="BC700" i="2"/>
  <c r="BD700" i="2"/>
  <c r="BE700" i="2"/>
  <c r="BF700" i="2"/>
  <c r="BG700" i="2"/>
  <c r="BH700" i="2"/>
  <c r="BI700" i="2"/>
  <c r="BJ700" i="2"/>
  <c r="BK700" i="2"/>
  <c r="BL700" i="2"/>
  <c r="BM700" i="2"/>
  <c r="BN700" i="2"/>
  <c r="BO700" i="2"/>
  <c r="BP700" i="2"/>
  <c r="BQ700" i="2"/>
  <c r="BA701" i="2"/>
  <c r="BB701" i="2"/>
  <c r="BC701" i="2"/>
  <c r="BD701" i="2"/>
  <c r="BE701" i="2"/>
  <c r="BF701" i="2"/>
  <c r="BG701" i="2"/>
  <c r="BH701" i="2"/>
  <c r="BI701" i="2"/>
  <c r="BJ701" i="2"/>
  <c r="BK701" i="2"/>
  <c r="BL701" i="2"/>
  <c r="BM701" i="2"/>
  <c r="BN701" i="2"/>
  <c r="BO701" i="2"/>
  <c r="BP701" i="2"/>
  <c r="BQ701" i="2"/>
  <c r="BA702" i="2"/>
  <c r="BB702" i="2"/>
  <c r="BC702" i="2"/>
  <c r="BD702" i="2"/>
  <c r="BE702" i="2"/>
  <c r="BF702" i="2"/>
  <c r="BG702" i="2"/>
  <c r="BH702" i="2"/>
  <c r="BI702" i="2"/>
  <c r="BJ702" i="2"/>
  <c r="BK702" i="2"/>
  <c r="BL702" i="2"/>
  <c r="BM702" i="2"/>
  <c r="BN702" i="2"/>
  <c r="BO702" i="2"/>
  <c r="BP702" i="2"/>
  <c r="BQ702" i="2"/>
  <c r="BA703" i="2"/>
  <c r="BB703" i="2"/>
  <c r="BC703" i="2"/>
  <c r="BD703" i="2"/>
  <c r="BE703" i="2"/>
  <c r="BF703" i="2"/>
  <c r="BG703" i="2"/>
  <c r="BH703" i="2"/>
  <c r="BI703" i="2"/>
  <c r="BJ703" i="2"/>
  <c r="BK703" i="2"/>
  <c r="BL703" i="2"/>
  <c r="BM703" i="2"/>
  <c r="BN703" i="2"/>
  <c r="BO703" i="2"/>
  <c r="BP703" i="2"/>
  <c r="BQ703" i="2"/>
  <c r="BA704" i="2"/>
  <c r="BB704" i="2"/>
  <c r="BC704" i="2"/>
  <c r="BD704" i="2"/>
  <c r="BE704" i="2"/>
  <c r="BF704" i="2"/>
  <c r="BG704" i="2"/>
  <c r="BH704" i="2"/>
  <c r="BI704" i="2"/>
  <c r="BJ704" i="2"/>
  <c r="BK704" i="2"/>
  <c r="BL704" i="2"/>
  <c r="BM704" i="2"/>
  <c r="BN704" i="2"/>
  <c r="BO704" i="2"/>
  <c r="BP704" i="2"/>
  <c r="BQ704" i="2"/>
  <c r="BA705" i="2"/>
  <c r="BB705" i="2"/>
  <c r="BC705" i="2"/>
  <c r="BD705" i="2"/>
  <c r="BE705" i="2"/>
  <c r="BF705" i="2"/>
  <c r="BG705" i="2"/>
  <c r="BH705" i="2"/>
  <c r="BI705" i="2"/>
  <c r="BJ705" i="2"/>
  <c r="BK705" i="2"/>
  <c r="BL705" i="2"/>
  <c r="BM705" i="2"/>
  <c r="BN705" i="2"/>
  <c r="BO705" i="2"/>
  <c r="BP705" i="2"/>
  <c r="BQ705" i="2"/>
  <c r="BA706" i="2"/>
  <c r="BB706" i="2"/>
  <c r="BC706" i="2"/>
  <c r="BD706" i="2"/>
  <c r="BE706" i="2"/>
  <c r="BF706" i="2"/>
  <c r="BG706" i="2"/>
  <c r="BH706" i="2"/>
  <c r="BI706" i="2"/>
  <c r="BJ706" i="2"/>
  <c r="BK706" i="2"/>
  <c r="BL706" i="2"/>
  <c r="BM706" i="2"/>
  <c r="BN706" i="2"/>
  <c r="BO706" i="2"/>
  <c r="BP706" i="2"/>
  <c r="BQ706" i="2"/>
  <c r="BA707" i="2"/>
  <c r="BB707" i="2"/>
  <c r="BC707" i="2"/>
  <c r="BD707" i="2"/>
  <c r="BE707" i="2"/>
  <c r="BF707" i="2"/>
  <c r="BG707" i="2"/>
  <c r="BH707" i="2"/>
  <c r="BI707" i="2"/>
  <c r="BJ707" i="2"/>
  <c r="BK707" i="2"/>
  <c r="BL707" i="2"/>
  <c r="BM707" i="2"/>
  <c r="BN707" i="2"/>
  <c r="BO707" i="2"/>
  <c r="BP707" i="2"/>
  <c r="BQ707" i="2"/>
  <c r="BA708" i="2"/>
  <c r="BB708" i="2"/>
  <c r="BC708" i="2"/>
  <c r="BD708" i="2"/>
  <c r="BE708" i="2"/>
  <c r="BF708" i="2"/>
  <c r="BG708" i="2"/>
  <c r="BH708" i="2"/>
  <c r="BI708" i="2"/>
  <c r="BJ708" i="2"/>
  <c r="BK708" i="2"/>
  <c r="BL708" i="2"/>
  <c r="BM708" i="2"/>
  <c r="BN708" i="2"/>
  <c r="BO708" i="2"/>
  <c r="BP708" i="2"/>
  <c r="BQ708" i="2"/>
  <c r="BA709" i="2"/>
  <c r="BB709" i="2"/>
  <c r="BC709" i="2"/>
  <c r="BD709" i="2"/>
  <c r="BE709" i="2"/>
  <c r="BF709" i="2"/>
  <c r="BG709" i="2"/>
  <c r="BH709" i="2"/>
  <c r="BI709" i="2"/>
  <c r="BJ709" i="2"/>
  <c r="BK709" i="2"/>
  <c r="BL709" i="2"/>
  <c r="BM709" i="2"/>
  <c r="BN709" i="2"/>
  <c r="BO709" i="2"/>
  <c r="BP709" i="2"/>
  <c r="BQ709" i="2"/>
  <c r="BA710" i="2"/>
  <c r="BB710" i="2"/>
  <c r="BC710" i="2"/>
  <c r="BD710" i="2"/>
  <c r="BE710" i="2"/>
  <c r="BF710" i="2"/>
  <c r="BG710" i="2"/>
  <c r="BH710" i="2"/>
  <c r="BI710" i="2"/>
  <c r="BJ710" i="2"/>
  <c r="BK710" i="2"/>
  <c r="BL710" i="2"/>
  <c r="BM710" i="2"/>
  <c r="BN710" i="2"/>
  <c r="BO710" i="2"/>
  <c r="BP710" i="2"/>
  <c r="BQ710" i="2"/>
  <c r="BA711" i="2"/>
  <c r="BB711" i="2"/>
  <c r="BC711" i="2"/>
  <c r="BD711" i="2"/>
  <c r="BE711" i="2"/>
  <c r="BF711" i="2"/>
  <c r="BG711" i="2"/>
  <c r="BH711" i="2"/>
  <c r="BI711" i="2"/>
  <c r="BJ711" i="2"/>
  <c r="BK711" i="2"/>
  <c r="BL711" i="2"/>
  <c r="BM711" i="2"/>
  <c r="BN711" i="2"/>
  <c r="BO711" i="2"/>
  <c r="BP711" i="2"/>
  <c r="BQ711" i="2"/>
  <c r="BA712" i="2"/>
  <c r="BB712" i="2"/>
  <c r="BC712" i="2"/>
  <c r="BD712" i="2"/>
  <c r="BE712" i="2"/>
  <c r="BF712" i="2"/>
  <c r="BG712" i="2"/>
  <c r="BH712" i="2"/>
  <c r="BI712" i="2"/>
  <c r="BJ712" i="2"/>
  <c r="BK712" i="2"/>
  <c r="BL712" i="2"/>
  <c r="BM712" i="2"/>
  <c r="BN712" i="2"/>
  <c r="BO712" i="2"/>
  <c r="BP712" i="2"/>
  <c r="BQ712" i="2"/>
  <c r="BA713" i="2"/>
  <c r="BB713" i="2"/>
  <c r="BC713" i="2"/>
  <c r="BD713" i="2"/>
  <c r="BE713" i="2"/>
  <c r="BF713" i="2"/>
  <c r="BG713" i="2"/>
  <c r="BH713" i="2"/>
  <c r="BI713" i="2"/>
  <c r="BJ713" i="2"/>
  <c r="BK713" i="2"/>
  <c r="BL713" i="2"/>
  <c r="BM713" i="2"/>
  <c r="BN713" i="2"/>
  <c r="BO713" i="2"/>
  <c r="BP713" i="2"/>
  <c r="BQ713" i="2"/>
  <c r="BA714" i="2"/>
  <c r="BB714" i="2"/>
  <c r="BC714" i="2"/>
  <c r="BD714" i="2"/>
  <c r="BE714" i="2"/>
  <c r="BF714" i="2"/>
  <c r="BG714" i="2"/>
  <c r="BH714" i="2"/>
  <c r="BI714" i="2"/>
  <c r="BJ714" i="2"/>
  <c r="BK714" i="2"/>
  <c r="BL714" i="2"/>
  <c r="BM714" i="2"/>
  <c r="BN714" i="2"/>
  <c r="BO714" i="2"/>
  <c r="BP714" i="2"/>
  <c r="BQ714" i="2"/>
  <c r="BA715" i="2"/>
  <c r="BB715" i="2"/>
  <c r="BC715" i="2"/>
  <c r="BD715" i="2"/>
  <c r="BE715" i="2"/>
  <c r="BF715" i="2"/>
  <c r="BG715" i="2"/>
  <c r="BH715" i="2"/>
  <c r="BI715" i="2"/>
  <c r="BJ715" i="2"/>
  <c r="BK715" i="2"/>
  <c r="BL715" i="2"/>
  <c r="BM715" i="2"/>
  <c r="BN715" i="2"/>
  <c r="BO715" i="2"/>
  <c r="BP715" i="2"/>
  <c r="BQ715" i="2"/>
  <c r="BA716" i="2"/>
  <c r="BB716" i="2"/>
  <c r="BC716" i="2"/>
  <c r="BD716" i="2"/>
  <c r="BE716" i="2"/>
  <c r="BF716" i="2"/>
  <c r="BG716" i="2"/>
  <c r="BH716" i="2"/>
  <c r="BI716" i="2"/>
  <c r="BJ716" i="2"/>
  <c r="BK716" i="2"/>
  <c r="BL716" i="2"/>
  <c r="BM716" i="2"/>
  <c r="BN716" i="2"/>
  <c r="BO716" i="2"/>
  <c r="BP716" i="2"/>
  <c r="BQ716" i="2"/>
  <c r="BA717" i="2"/>
  <c r="BB717" i="2"/>
  <c r="BC717" i="2"/>
  <c r="BD717" i="2"/>
  <c r="BE717" i="2"/>
  <c r="BF717" i="2"/>
  <c r="BG717" i="2"/>
  <c r="BH717" i="2"/>
  <c r="BI717" i="2"/>
  <c r="BJ717" i="2"/>
  <c r="BK717" i="2"/>
  <c r="BL717" i="2"/>
  <c r="BM717" i="2"/>
  <c r="BN717" i="2"/>
  <c r="BO717" i="2"/>
  <c r="BP717" i="2"/>
  <c r="BQ717" i="2"/>
  <c r="BA718" i="2"/>
  <c r="BB718" i="2"/>
  <c r="BC718" i="2"/>
  <c r="BD718" i="2"/>
  <c r="BE718" i="2"/>
  <c r="BF718" i="2"/>
  <c r="BG718" i="2"/>
  <c r="BH718" i="2"/>
  <c r="BI718" i="2"/>
  <c r="BJ718" i="2"/>
  <c r="BK718" i="2"/>
  <c r="BL718" i="2"/>
  <c r="BM718" i="2"/>
  <c r="BN718" i="2"/>
  <c r="BO718" i="2"/>
  <c r="BP718" i="2"/>
  <c r="BQ718" i="2"/>
  <c r="BA719" i="2"/>
  <c r="BB719" i="2"/>
  <c r="BC719" i="2"/>
  <c r="BD719" i="2"/>
  <c r="BE719" i="2"/>
  <c r="BF719" i="2"/>
  <c r="BG719" i="2"/>
  <c r="BH719" i="2"/>
  <c r="BI719" i="2"/>
  <c r="BJ719" i="2"/>
  <c r="BK719" i="2"/>
  <c r="BL719" i="2"/>
  <c r="BM719" i="2"/>
  <c r="BN719" i="2"/>
  <c r="BO719" i="2"/>
  <c r="BP719" i="2"/>
  <c r="BQ719" i="2"/>
  <c r="BA720" i="2"/>
  <c r="BB720" i="2"/>
  <c r="BC720" i="2"/>
  <c r="BD720" i="2"/>
  <c r="BE720" i="2"/>
  <c r="BF720" i="2"/>
  <c r="BG720" i="2"/>
  <c r="BH720" i="2"/>
  <c r="BI720" i="2"/>
  <c r="BJ720" i="2"/>
  <c r="BK720" i="2"/>
  <c r="BL720" i="2"/>
  <c r="BM720" i="2"/>
  <c r="BN720" i="2"/>
  <c r="BO720" i="2"/>
  <c r="BP720" i="2"/>
  <c r="BQ720" i="2"/>
  <c r="BA721" i="2"/>
  <c r="BB721" i="2"/>
  <c r="BC721" i="2"/>
  <c r="BD721" i="2"/>
  <c r="BE721" i="2"/>
  <c r="BF721" i="2"/>
  <c r="BG721" i="2"/>
  <c r="BH721" i="2"/>
  <c r="BI721" i="2"/>
  <c r="BJ721" i="2"/>
  <c r="BK721" i="2"/>
  <c r="BL721" i="2"/>
  <c r="BM721" i="2"/>
  <c r="BN721" i="2"/>
  <c r="BO721" i="2"/>
  <c r="BP721" i="2"/>
  <c r="BQ721" i="2"/>
  <c r="BA722" i="2"/>
  <c r="BB722" i="2"/>
  <c r="BC722" i="2"/>
  <c r="BD722" i="2"/>
  <c r="BE722" i="2"/>
  <c r="BF722" i="2"/>
  <c r="BG722" i="2"/>
  <c r="BH722" i="2"/>
  <c r="BI722" i="2"/>
  <c r="BJ722" i="2"/>
  <c r="BK722" i="2"/>
  <c r="BL722" i="2"/>
  <c r="BM722" i="2"/>
  <c r="BN722" i="2"/>
  <c r="BO722" i="2"/>
  <c r="BP722" i="2"/>
  <c r="BQ722" i="2"/>
  <c r="BA723" i="2"/>
  <c r="BB723" i="2"/>
  <c r="BC723" i="2"/>
  <c r="BD723" i="2"/>
  <c r="BE723" i="2"/>
  <c r="BF723" i="2"/>
  <c r="BG723" i="2"/>
  <c r="BH723" i="2"/>
  <c r="BI723" i="2"/>
  <c r="BJ723" i="2"/>
  <c r="BK723" i="2"/>
  <c r="BL723" i="2"/>
  <c r="BM723" i="2"/>
  <c r="BN723" i="2"/>
  <c r="BO723" i="2"/>
  <c r="BP723" i="2"/>
  <c r="BQ723" i="2"/>
  <c r="BA724" i="2"/>
  <c r="BB724" i="2"/>
  <c r="BC724" i="2"/>
  <c r="BD724" i="2"/>
  <c r="BE724" i="2"/>
  <c r="BF724" i="2"/>
  <c r="BG724" i="2"/>
  <c r="BH724" i="2"/>
  <c r="BI724" i="2"/>
  <c r="BJ724" i="2"/>
  <c r="BK724" i="2"/>
  <c r="BL724" i="2"/>
  <c r="BM724" i="2"/>
  <c r="BN724" i="2"/>
  <c r="BO724" i="2"/>
  <c r="BP724" i="2"/>
  <c r="BQ724" i="2"/>
  <c r="BA725" i="2"/>
  <c r="BB725" i="2"/>
  <c r="BC725" i="2"/>
  <c r="BD725" i="2"/>
  <c r="BE725" i="2"/>
  <c r="BF725" i="2"/>
  <c r="BG725" i="2"/>
  <c r="BH725" i="2"/>
  <c r="BI725" i="2"/>
  <c r="BJ725" i="2"/>
  <c r="BK725" i="2"/>
  <c r="BL725" i="2"/>
  <c r="BM725" i="2"/>
  <c r="BN725" i="2"/>
  <c r="BO725" i="2"/>
  <c r="BP725" i="2"/>
  <c r="BQ725" i="2"/>
  <c r="BA726" i="2"/>
  <c r="BB726" i="2"/>
  <c r="BC726" i="2"/>
  <c r="BD726" i="2"/>
  <c r="BE726" i="2"/>
  <c r="BF726" i="2"/>
  <c r="BG726" i="2"/>
  <c r="BH726" i="2"/>
  <c r="BI726" i="2"/>
  <c r="BJ726" i="2"/>
  <c r="BK726" i="2"/>
  <c r="BL726" i="2"/>
  <c r="BM726" i="2"/>
  <c r="BN726" i="2"/>
  <c r="BO726" i="2"/>
  <c r="BP726" i="2"/>
  <c r="BQ726" i="2"/>
  <c r="BA727" i="2"/>
  <c r="BB727" i="2"/>
  <c r="BC727" i="2"/>
  <c r="BD727" i="2"/>
  <c r="BE727" i="2"/>
  <c r="BF727" i="2"/>
  <c r="BG727" i="2"/>
  <c r="BH727" i="2"/>
  <c r="BI727" i="2"/>
  <c r="BJ727" i="2"/>
  <c r="BK727" i="2"/>
  <c r="BL727" i="2"/>
  <c r="BM727" i="2"/>
  <c r="BN727" i="2"/>
  <c r="BO727" i="2"/>
  <c r="BP727" i="2"/>
  <c r="BQ727" i="2"/>
  <c r="BA728" i="2"/>
  <c r="BB728" i="2"/>
  <c r="BC728" i="2"/>
  <c r="BD728" i="2"/>
  <c r="BE728" i="2"/>
  <c r="BF728" i="2"/>
  <c r="BG728" i="2"/>
  <c r="BH728" i="2"/>
  <c r="BI728" i="2"/>
  <c r="BJ728" i="2"/>
  <c r="BK728" i="2"/>
  <c r="BL728" i="2"/>
  <c r="BM728" i="2"/>
  <c r="BN728" i="2"/>
  <c r="BO728" i="2"/>
  <c r="BP728" i="2"/>
  <c r="BQ728" i="2"/>
  <c r="BA729" i="2"/>
  <c r="BB729" i="2"/>
  <c r="BC729" i="2"/>
  <c r="BD729" i="2"/>
  <c r="BE729" i="2"/>
  <c r="BF729" i="2"/>
  <c r="BG729" i="2"/>
  <c r="BH729" i="2"/>
  <c r="BI729" i="2"/>
  <c r="BJ729" i="2"/>
  <c r="BK729" i="2"/>
  <c r="BL729" i="2"/>
  <c r="BM729" i="2"/>
  <c r="BN729" i="2"/>
  <c r="BO729" i="2"/>
  <c r="BP729" i="2"/>
  <c r="BQ729" i="2"/>
  <c r="BA730" i="2"/>
  <c r="BB730" i="2"/>
  <c r="BC730" i="2"/>
  <c r="BD730" i="2"/>
  <c r="BE730" i="2"/>
  <c r="BF730" i="2"/>
  <c r="BG730" i="2"/>
  <c r="BH730" i="2"/>
  <c r="BI730" i="2"/>
  <c r="BJ730" i="2"/>
  <c r="BK730" i="2"/>
  <c r="BL730" i="2"/>
  <c r="BM730" i="2"/>
  <c r="BN730" i="2"/>
  <c r="BO730" i="2"/>
  <c r="BP730" i="2"/>
  <c r="BQ730" i="2"/>
  <c r="BA731" i="2"/>
  <c r="BB731" i="2"/>
  <c r="BC731" i="2"/>
  <c r="BD731" i="2"/>
  <c r="BE731" i="2"/>
  <c r="BF731" i="2"/>
  <c r="BG731" i="2"/>
  <c r="BH731" i="2"/>
  <c r="BI731" i="2"/>
  <c r="BJ731" i="2"/>
  <c r="BK731" i="2"/>
  <c r="BL731" i="2"/>
  <c r="BM731" i="2"/>
  <c r="BN731" i="2"/>
  <c r="BO731" i="2"/>
  <c r="BP731" i="2"/>
  <c r="BQ731" i="2"/>
  <c r="BA732" i="2"/>
  <c r="BB732" i="2"/>
  <c r="BC732" i="2"/>
  <c r="BD732" i="2"/>
  <c r="BE732" i="2"/>
  <c r="BF732" i="2"/>
  <c r="BG732" i="2"/>
  <c r="BH732" i="2"/>
  <c r="BI732" i="2"/>
  <c r="BJ732" i="2"/>
  <c r="BK732" i="2"/>
  <c r="BL732" i="2"/>
  <c r="BM732" i="2"/>
  <c r="BN732" i="2"/>
  <c r="BO732" i="2"/>
  <c r="BP732" i="2"/>
  <c r="BQ732" i="2"/>
  <c r="BA733" i="2"/>
  <c r="BB733" i="2"/>
  <c r="BC733" i="2"/>
  <c r="BD733" i="2"/>
  <c r="BE733" i="2"/>
  <c r="BF733" i="2"/>
  <c r="BG733" i="2"/>
  <c r="BH733" i="2"/>
  <c r="BI733" i="2"/>
  <c r="BJ733" i="2"/>
  <c r="BK733" i="2"/>
  <c r="BL733" i="2"/>
  <c r="BM733" i="2"/>
  <c r="BN733" i="2"/>
  <c r="BO733" i="2"/>
  <c r="BP733" i="2"/>
  <c r="BQ733" i="2"/>
  <c r="BA734" i="2"/>
  <c r="BB734" i="2"/>
  <c r="BC734" i="2"/>
  <c r="BD734" i="2"/>
  <c r="BE734" i="2"/>
  <c r="BF734" i="2"/>
  <c r="BG734" i="2"/>
  <c r="BH734" i="2"/>
  <c r="BI734" i="2"/>
  <c r="BJ734" i="2"/>
  <c r="BK734" i="2"/>
  <c r="BL734" i="2"/>
  <c r="BM734" i="2"/>
  <c r="BN734" i="2"/>
  <c r="BO734" i="2"/>
  <c r="BP734" i="2"/>
  <c r="BQ734" i="2"/>
  <c r="BA735" i="2"/>
  <c r="BB735" i="2"/>
  <c r="BC735" i="2"/>
  <c r="BD735" i="2"/>
  <c r="BE735" i="2"/>
  <c r="BF735" i="2"/>
  <c r="BG735" i="2"/>
  <c r="BH735" i="2"/>
  <c r="BI735" i="2"/>
  <c r="BJ735" i="2"/>
  <c r="BK735" i="2"/>
  <c r="BL735" i="2"/>
  <c r="BM735" i="2"/>
  <c r="BN735" i="2"/>
  <c r="BO735" i="2"/>
  <c r="BP735" i="2"/>
  <c r="BQ735" i="2"/>
  <c r="BA736" i="2"/>
  <c r="BB736" i="2"/>
  <c r="BC736" i="2"/>
  <c r="BD736" i="2"/>
  <c r="BE736" i="2"/>
  <c r="BF736" i="2"/>
  <c r="BG736" i="2"/>
  <c r="BH736" i="2"/>
  <c r="BI736" i="2"/>
  <c r="BJ736" i="2"/>
  <c r="BK736" i="2"/>
  <c r="BL736" i="2"/>
  <c r="BM736" i="2"/>
  <c r="BN736" i="2"/>
  <c r="BO736" i="2"/>
  <c r="BP736" i="2"/>
  <c r="BQ736" i="2"/>
  <c r="BA737" i="2"/>
  <c r="BB737" i="2"/>
  <c r="BC737" i="2"/>
  <c r="BD737" i="2"/>
  <c r="BE737" i="2"/>
  <c r="BF737" i="2"/>
  <c r="BG737" i="2"/>
  <c r="BH737" i="2"/>
  <c r="BI737" i="2"/>
  <c r="BJ737" i="2"/>
  <c r="BK737" i="2"/>
  <c r="BL737" i="2"/>
  <c r="BM737" i="2"/>
  <c r="BN737" i="2"/>
  <c r="BO737" i="2"/>
  <c r="BP737" i="2"/>
  <c r="BQ737" i="2"/>
  <c r="BA738" i="2"/>
  <c r="BB738" i="2"/>
  <c r="BC738" i="2"/>
  <c r="BD738" i="2"/>
  <c r="BE738" i="2"/>
  <c r="BF738" i="2"/>
  <c r="BG738" i="2"/>
  <c r="BH738" i="2"/>
  <c r="BI738" i="2"/>
  <c r="BJ738" i="2"/>
  <c r="BK738" i="2"/>
  <c r="BL738" i="2"/>
  <c r="BM738" i="2"/>
  <c r="BN738" i="2"/>
  <c r="BO738" i="2"/>
  <c r="BP738" i="2"/>
  <c r="BQ738" i="2"/>
  <c r="BA739" i="2"/>
  <c r="BB739" i="2"/>
  <c r="BC739" i="2"/>
  <c r="BD739" i="2"/>
  <c r="BE739" i="2"/>
  <c r="BF739" i="2"/>
  <c r="BG739" i="2"/>
  <c r="BH739" i="2"/>
  <c r="BI739" i="2"/>
  <c r="BJ739" i="2"/>
  <c r="BK739" i="2"/>
  <c r="BL739" i="2"/>
  <c r="BM739" i="2"/>
  <c r="BN739" i="2"/>
  <c r="BO739" i="2"/>
  <c r="BP739" i="2"/>
  <c r="BQ739" i="2"/>
  <c r="BA740" i="2"/>
  <c r="BB740" i="2"/>
  <c r="BC740" i="2"/>
  <c r="BD740" i="2"/>
  <c r="BE740" i="2"/>
  <c r="BF740" i="2"/>
  <c r="BG740" i="2"/>
  <c r="BH740" i="2"/>
  <c r="BI740" i="2"/>
  <c r="BJ740" i="2"/>
  <c r="BK740" i="2"/>
  <c r="BL740" i="2"/>
  <c r="BM740" i="2"/>
  <c r="BN740" i="2"/>
  <c r="BO740" i="2"/>
  <c r="BP740" i="2"/>
  <c r="BQ740" i="2"/>
  <c r="BA741" i="2"/>
  <c r="BB741" i="2"/>
  <c r="BC741" i="2"/>
  <c r="BD741" i="2"/>
  <c r="BE741" i="2"/>
  <c r="BF741" i="2"/>
  <c r="BG741" i="2"/>
  <c r="BH741" i="2"/>
  <c r="BI741" i="2"/>
  <c r="BJ741" i="2"/>
  <c r="BK741" i="2"/>
  <c r="BL741" i="2"/>
  <c r="BM741" i="2"/>
  <c r="BN741" i="2"/>
  <c r="BO741" i="2"/>
  <c r="BP741" i="2"/>
  <c r="BQ741" i="2"/>
  <c r="BA742" i="2"/>
  <c r="BB742" i="2"/>
  <c r="BC742" i="2"/>
  <c r="BD742" i="2"/>
  <c r="BE742" i="2"/>
  <c r="BF742" i="2"/>
  <c r="BG742" i="2"/>
  <c r="BH742" i="2"/>
  <c r="BI742" i="2"/>
  <c r="BJ742" i="2"/>
  <c r="BK742" i="2"/>
  <c r="BL742" i="2"/>
  <c r="BM742" i="2"/>
  <c r="BN742" i="2"/>
  <c r="BO742" i="2"/>
  <c r="BP742" i="2"/>
  <c r="BQ742" i="2"/>
  <c r="BA743" i="2"/>
  <c r="BB743" i="2"/>
  <c r="BC743" i="2"/>
  <c r="BD743" i="2"/>
  <c r="BE743" i="2"/>
  <c r="BF743" i="2"/>
  <c r="BG743" i="2"/>
  <c r="BH743" i="2"/>
  <c r="BI743" i="2"/>
  <c r="BJ743" i="2"/>
  <c r="BK743" i="2"/>
  <c r="BL743" i="2"/>
  <c r="BM743" i="2"/>
  <c r="BN743" i="2"/>
  <c r="BO743" i="2"/>
  <c r="BP743" i="2"/>
  <c r="BQ743" i="2"/>
  <c r="BA744" i="2"/>
  <c r="BB744" i="2"/>
  <c r="BC744" i="2"/>
  <c r="BD744" i="2"/>
  <c r="BE744" i="2"/>
  <c r="BF744" i="2"/>
  <c r="BG744" i="2"/>
  <c r="BH744" i="2"/>
  <c r="BI744" i="2"/>
  <c r="BJ744" i="2"/>
  <c r="BK744" i="2"/>
  <c r="BL744" i="2"/>
  <c r="BM744" i="2"/>
  <c r="BN744" i="2"/>
  <c r="BO744" i="2"/>
  <c r="BP744" i="2"/>
  <c r="BQ744" i="2"/>
  <c r="BA745" i="2"/>
  <c r="BB745" i="2"/>
  <c r="BC745" i="2"/>
  <c r="BD745" i="2"/>
  <c r="BE745" i="2"/>
  <c r="BF745" i="2"/>
  <c r="BG745" i="2"/>
  <c r="BH745" i="2"/>
  <c r="BI745" i="2"/>
  <c r="BJ745" i="2"/>
  <c r="BK745" i="2"/>
  <c r="BL745" i="2"/>
  <c r="BM745" i="2"/>
  <c r="BN745" i="2"/>
  <c r="BO745" i="2"/>
  <c r="BP745" i="2"/>
  <c r="BQ745" i="2"/>
  <c r="BA746" i="2"/>
  <c r="BB746" i="2"/>
  <c r="BC746" i="2"/>
  <c r="BD746" i="2"/>
  <c r="BE746" i="2"/>
  <c r="BF746" i="2"/>
  <c r="BG746" i="2"/>
  <c r="BH746" i="2"/>
  <c r="BI746" i="2"/>
  <c r="BJ746" i="2"/>
  <c r="BK746" i="2"/>
  <c r="BL746" i="2"/>
  <c r="BM746" i="2"/>
  <c r="BN746" i="2"/>
  <c r="BO746" i="2"/>
  <c r="BP746" i="2"/>
  <c r="BQ746" i="2"/>
  <c r="BA747" i="2"/>
  <c r="BB747" i="2"/>
  <c r="BC747" i="2"/>
  <c r="BD747" i="2"/>
  <c r="BE747" i="2"/>
  <c r="BF747" i="2"/>
  <c r="BG747" i="2"/>
  <c r="BH747" i="2"/>
  <c r="BI747" i="2"/>
  <c r="BJ747" i="2"/>
  <c r="BK747" i="2"/>
  <c r="BL747" i="2"/>
  <c r="BM747" i="2"/>
  <c r="BN747" i="2"/>
  <c r="BO747" i="2"/>
  <c r="BP747" i="2"/>
  <c r="BQ747" i="2"/>
  <c r="BA748" i="2"/>
  <c r="BB748" i="2"/>
  <c r="BC748" i="2"/>
  <c r="BD748" i="2"/>
  <c r="BE748" i="2"/>
  <c r="BF748" i="2"/>
  <c r="BG748" i="2"/>
  <c r="BH748" i="2"/>
  <c r="BI748" i="2"/>
  <c r="BJ748" i="2"/>
  <c r="BK748" i="2"/>
  <c r="BL748" i="2"/>
  <c r="BM748" i="2"/>
  <c r="BN748" i="2"/>
  <c r="BO748" i="2"/>
  <c r="BP748" i="2"/>
  <c r="BQ748" i="2"/>
  <c r="BA749" i="2"/>
  <c r="BB749" i="2"/>
  <c r="BC749" i="2"/>
  <c r="BD749" i="2"/>
  <c r="BE749" i="2"/>
  <c r="BF749" i="2"/>
  <c r="BG749" i="2"/>
  <c r="BH749" i="2"/>
  <c r="BI749" i="2"/>
  <c r="BJ749" i="2"/>
  <c r="BK749" i="2"/>
  <c r="BL749" i="2"/>
  <c r="BM749" i="2"/>
  <c r="BN749" i="2"/>
  <c r="BO749" i="2"/>
  <c r="BP749" i="2"/>
  <c r="BQ749" i="2"/>
  <c r="BA750" i="2"/>
  <c r="BB750" i="2"/>
  <c r="BC750" i="2"/>
  <c r="BD750" i="2"/>
  <c r="BE750" i="2"/>
  <c r="BF750" i="2"/>
  <c r="BG750" i="2"/>
  <c r="BH750" i="2"/>
  <c r="BI750" i="2"/>
  <c r="BJ750" i="2"/>
  <c r="BK750" i="2"/>
  <c r="BL750" i="2"/>
  <c r="BM750" i="2"/>
  <c r="BN750" i="2"/>
  <c r="BO750" i="2"/>
  <c r="BP750" i="2"/>
  <c r="BQ750" i="2"/>
  <c r="BA751" i="2"/>
  <c r="BB751" i="2"/>
  <c r="BC751" i="2"/>
  <c r="BD751" i="2"/>
  <c r="BE751" i="2"/>
  <c r="BF751" i="2"/>
  <c r="BG751" i="2"/>
  <c r="BH751" i="2"/>
  <c r="BI751" i="2"/>
  <c r="BJ751" i="2"/>
  <c r="BK751" i="2"/>
  <c r="BL751" i="2"/>
  <c r="BM751" i="2"/>
  <c r="BN751" i="2"/>
  <c r="BO751" i="2"/>
  <c r="BP751" i="2"/>
  <c r="BQ751" i="2"/>
  <c r="BA752" i="2"/>
  <c r="BB752" i="2"/>
  <c r="BC752" i="2"/>
  <c r="BD752" i="2"/>
  <c r="BE752" i="2"/>
  <c r="BF752" i="2"/>
  <c r="BG752" i="2"/>
  <c r="BH752" i="2"/>
  <c r="BI752" i="2"/>
  <c r="BJ752" i="2"/>
  <c r="BK752" i="2"/>
  <c r="BL752" i="2"/>
  <c r="BM752" i="2"/>
  <c r="BN752" i="2"/>
  <c r="BO752" i="2"/>
  <c r="BP752" i="2"/>
  <c r="BQ752" i="2"/>
  <c r="BA753" i="2"/>
  <c r="BB753" i="2"/>
  <c r="BC753" i="2"/>
  <c r="BD753" i="2"/>
  <c r="BE753" i="2"/>
  <c r="BF753" i="2"/>
  <c r="BG753" i="2"/>
  <c r="BH753" i="2"/>
  <c r="BI753" i="2"/>
  <c r="BJ753" i="2"/>
  <c r="BK753" i="2"/>
  <c r="BL753" i="2"/>
  <c r="BM753" i="2"/>
  <c r="BN753" i="2"/>
  <c r="BO753" i="2"/>
  <c r="BP753" i="2"/>
  <c r="BQ753" i="2"/>
  <c r="BA754" i="2"/>
  <c r="BB754" i="2"/>
  <c r="BC754" i="2"/>
  <c r="BD754" i="2"/>
  <c r="BE754" i="2"/>
  <c r="BF754" i="2"/>
  <c r="BG754" i="2"/>
  <c r="BH754" i="2"/>
  <c r="BI754" i="2"/>
  <c r="BJ754" i="2"/>
  <c r="BK754" i="2"/>
  <c r="BL754" i="2"/>
  <c r="BM754" i="2"/>
  <c r="BN754" i="2"/>
  <c r="BO754" i="2"/>
  <c r="BP754" i="2"/>
  <c r="BQ754" i="2"/>
  <c r="BA755" i="2"/>
  <c r="BB755" i="2"/>
  <c r="BC755" i="2"/>
  <c r="BD755" i="2"/>
  <c r="BE755" i="2"/>
  <c r="BF755" i="2"/>
  <c r="BG755" i="2"/>
  <c r="BH755" i="2"/>
  <c r="BI755" i="2"/>
  <c r="BJ755" i="2"/>
  <c r="BK755" i="2"/>
  <c r="BL755" i="2"/>
  <c r="BM755" i="2"/>
  <c r="BN755" i="2"/>
  <c r="BO755" i="2"/>
  <c r="BP755" i="2"/>
  <c r="BQ755" i="2"/>
  <c r="BA756" i="2"/>
  <c r="BB756" i="2"/>
  <c r="BC756" i="2"/>
  <c r="BD756" i="2"/>
  <c r="BE756" i="2"/>
  <c r="BF756" i="2"/>
  <c r="BG756" i="2"/>
  <c r="BH756" i="2"/>
  <c r="BI756" i="2"/>
  <c r="BJ756" i="2"/>
  <c r="BK756" i="2"/>
  <c r="BL756" i="2"/>
  <c r="BM756" i="2"/>
  <c r="BN756" i="2"/>
  <c r="BO756" i="2"/>
  <c r="BP756" i="2"/>
  <c r="BQ756" i="2"/>
  <c r="BA757" i="2"/>
  <c r="BB757" i="2"/>
  <c r="BC757" i="2"/>
  <c r="BD757" i="2"/>
  <c r="BE757" i="2"/>
  <c r="BF757" i="2"/>
  <c r="BG757" i="2"/>
  <c r="BH757" i="2"/>
  <c r="BI757" i="2"/>
  <c r="BJ757" i="2"/>
  <c r="BK757" i="2"/>
  <c r="BL757" i="2"/>
  <c r="BM757" i="2"/>
  <c r="BN757" i="2"/>
  <c r="BO757" i="2"/>
  <c r="BP757" i="2"/>
  <c r="BQ757" i="2"/>
  <c r="BA758" i="2"/>
  <c r="BB758" i="2"/>
  <c r="BC758" i="2"/>
  <c r="BD758" i="2"/>
  <c r="BE758" i="2"/>
  <c r="BF758" i="2"/>
  <c r="BG758" i="2"/>
  <c r="BH758" i="2"/>
  <c r="BI758" i="2"/>
  <c r="BJ758" i="2"/>
  <c r="BK758" i="2"/>
  <c r="BL758" i="2"/>
  <c r="BM758" i="2"/>
  <c r="BN758" i="2"/>
  <c r="BO758" i="2"/>
  <c r="BP758" i="2"/>
  <c r="BQ758" i="2"/>
  <c r="BA759" i="2"/>
  <c r="BB759" i="2"/>
  <c r="BC759" i="2"/>
  <c r="BD759" i="2"/>
  <c r="BE759" i="2"/>
  <c r="BF759" i="2"/>
  <c r="BG759" i="2"/>
  <c r="BH759" i="2"/>
  <c r="BI759" i="2"/>
  <c r="BJ759" i="2"/>
  <c r="BK759" i="2"/>
  <c r="BL759" i="2"/>
  <c r="BM759" i="2"/>
  <c r="BN759" i="2"/>
  <c r="BO759" i="2"/>
  <c r="BP759" i="2"/>
  <c r="BQ759" i="2"/>
  <c r="BA760" i="2"/>
  <c r="BB760" i="2"/>
  <c r="BC760" i="2"/>
  <c r="BD760" i="2"/>
  <c r="BE760" i="2"/>
  <c r="BF760" i="2"/>
  <c r="BG760" i="2"/>
  <c r="BH760" i="2"/>
  <c r="BI760" i="2"/>
  <c r="BJ760" i="2"/>
  <c r="BK760" i="2"/>
  <c r="BL760" i="2"/>
  <c r="BM760" i="2"/>
  <c r="BN760" i="2"/>
  <c r="BO760" i="2"/>
  <c r="BP760" i="2"/>
  <c r="BQ760" i="2"/>
  <c r="BA761" i="2"/>
  <c r="BB761" i="2"/>
  <c r="BC761" i="2"/>
  <c r="BD761" i="2"/>
  <c r="BE761" i="2"/>
  <c r="BF761" i="2"/>
  <c r="BG761" i="2"/>
  <c r="BH761" i="2"/>
  <c r="BI761" i="2"/>
  <c r="BJ761" i="2"/>
  <c r="BK761" i="2"/>
  <c r="BL761" i="2"/>
  <c r="BM761" i="2"/>
  <c r="BN761" i="2"/>
  <c r="BO761" i="2"/>
  <c r="BP761" i="2"/>
  <c r="BQ761" i="2"/>
  <c r="BA762" i="2"/>
  <c r="BB762" i="2"/>
  <c r="BC762" i="2"/>
  <c r="BD762" i="2"/>
  <c r="BE762" i="2"/>
  <c r="BF762" i="2"/>
  <c r="BG762" i="2"/>
  <c r="BH762" i="2"/>
  <c r="BI762" i="2"/>
  <c r="BJ762" i="2"/>
  <c r="BK762" i="2"/>
  <c r="BL762" i="2"/>
  <c r="BM762" i="2"/>
  <c r="BN762" i="2"/>
  <c r="BO762" i="2"/>
  <c r="BP762" i="2"/>
  <c r="BQ762" i="2"/>
  <c r="BA763" i="2"/>
  <c r="BB763" i="2"/>
  <c r="BC763" i="2"/>
  <c r="BD763" i="2"/>
  <c r="BE763" i="2"/>
  <c r="BF763" i="2"/>
  <c r="BG763" i="2"/>
  <c r="BH763" i="2"/>
  <c r="BI763" i="2"/>
  <c r="BJ763" i="2"/>
  <c r="BK763" i="2"/>
  <c r="BL763" i="2"/>
  <c r="BM763" i="2"/>
  <c r="BN763" i="2"/>
  <c r="BO763" i="2"/>
  <c r="BP763" i="2"/>
  <c r="BQ763" i="2"/>
  <c r="BA764" i="2"/>
  <c r="BB764" i="2"/>
  <c r="BC764" i="2"/>
  <c r="BD764" i="2"/>
  <c r="BE764" i="2"/>
  <c r="BF764" i="2"/>
  <c r="BG764" i="2"/>
  <c r="BH764" i="2"/>
  <c r="BI764" i="2"/>
  <c r="BJ764" i="2"/>
  <c r="BK764" i="2"/>
  <c r="BL764" i="2"/>
  <c r="BM764" i="2"/>
  <c r="BN764" i="2"/>
  <c r="BO764" i="2"/>
  <c r="BP764" i="2"/>
  <c r="BQ764" i="2"/>
  <c r="BA765" i="2"/>
  <c r="BB765" i="2"/>
  <c r="BC765" i="2"/>
  <c r="BD765" i="2"/>
  <c r="BE765" i="2"/>
  <c r="BF765" i="2"/>
  <c r="BG765" i="2"/>
  <c r="BH765" i="2"/>
  <c r="BI765" i="2"/>
  <c r="BJ765" i="2"/>
  <c r="BK765" i="2"/>
  <c r="BL765" i="2"/>
  <c r="BM765" i="2"/>
  <c r="BN765" i="2"/>
  <c r="BO765" i="2"/>
  <c r="BP765" i="2"/>
  <c r="BQ765" i="2"/>
  <c r="BA766" i="2"/>
  <c r="BB766" i="2"/>
  <c r="BC766" i="2"/>
  <c r="BD766" i="2"/>
  <c r="BE766" i="2"/>
  <c r="BF766" i="2"/>
  <c r="BG766" i="2"/>
  <c r="BH766" i="2"/>
  <c r="BI766" i="2"/>
  <c r="BJ766" i="2"/>
  <c r="BK766" i="2"/>
  <c r="BL766" i="2"/>
  <c r="BM766" i="2"/>
  <c r="BN766" i="2"/>
  <c r="BO766" i="2"/>
  <c r="BP766" i="2"/>
  <c r="BQ766" i="2"/>
  <c r="BA767" i="2"/>
  <c r="BB767" i="2"/>
  <c r="BC767" i="2"/>
  <c r="BD767" i="2"/>
  <c r="BE767" i="2"/>
  <c r="BF767" i="2"/>
  <c r="BG767" i="2"/>
  <c r="BH767" i="2"/>
  <c r="BI767" i="2"/>
  <c r="BJ767" i="2"/>
  <c r="BK767" i="2"/>
  <c r="BL767" i="2"/>
  <c r="BM767" i="2"/>
  <c r="BN767" i="2"/>
  <c r="BO767" i="2"/>
  <c r="BP767" i="2"/>
  <c r="BQ767" i="2"/>
  <c r="BA768" i="2"/>
  <c r="BB768" i="2"/>
  <c r="BC768" i="2"/>
  <c r="BD768" i="2"/>
  <c r="BE768" i="2"/>
  <c r="BF768" i="2"/>
  <c r="BG768" i="2"/>
  <c r="BH768" i="2"/>
  <c r="BI768" i="2"/>
  <c r="BJ768" i="2"/>
  <c r="BK768" i="2"/>
  <c r="BL768" i="2"/>
  <c r="BM768" i="2"/>
  <c r="BN768" i="2"/>
  <c r="BO768" i="2"/>
  <c r="BP768" i="2"/>
  <c r="BQ768" i="2"/>
  <c r="BA769" i="2"/>
  <c r="BB769" i="2"/>
  <c r="BC769" i="2"/>
  <c r="BD769" i="2"/>
  <c r="BE769" i="2"/>
  <c r="BF769" i="2"/>
  <c r="BG769" i="2"/>
  <c r="BH769" i="2"/>
  <c r="BI769" i="2"/>
  <c r="BJ769" i="2"/>
  <c r="BK769" i="2"/>
  <c r="BL769" i="2"/>
  <c r="BM769" i="2"/>
  <c r="BN769" i="2"/>
  <c r="BO769" i="2"/>
  <c r="BP769" i="2"/>
  <c r="BQ769" i="2"/>
  <c r="BA770" i="2"/>
  <c r="BB770" i="2"/>
  <c r="BC770" i="2"/>
  <c r="BD770" i="2"/>
  <c r="BE770" i="2"/>
  <c r="BF770" i="2"/>
  <c r="BG770" i="2"/>
  <c r="BH770" i="2"/>
  <c r="BI770" i="2"/>
  <c r="BJ770" i="2"/>
  <c r="BK770" i="2"/>
  <c r="BL770" i="2"/>
  <c r="BM770" i="2"/>
  <c r="BN770" i="2"/>
  <c r="BO770" i="2"/>
  <c r="BP770" i="2"/>
  <c r="BQ770" i="2"/>
  <c r="BA771" i="2"/>
  <c r="BB771" i="2"/>
  <c r="BC771" i="2"/>
  <c r="BD771" i="2"/>
  <c r="BE771" i="2"/>
  <c r="BF771" i="2"/>
  <c r="BG771" i="2"/>
  <c r="BH771" i="2"/>
  <c r="BI771" i="2"/>
  <c r="BJ771" i="2"/>
  <c r="BK771" i="2"/>
  <c r="BL771" i="2"/>
  <c r="BM771" i="2"/>
  <c r="BN771" i="2"/>
  <c r="BO771" i="2"/>
  <c r="BP771" i="2"/>
  <c r="BQ771" i="2"/>
  <c r="BA772" i="2"/>
  <c r="BB772" i="2"/>
  <c r="BC772" i="2"/>
  <c r="BD772" i="2"/>
  <c r="BE772" i="2"/>
  <c r="BF772" i="2"/>
  <c r="BG772" i="2"/>
  <c r="BH772" i="2"/>
  <c r="BI772" i="2"/>
  <c r="BJ772" i="2"/>
  <c r="BK772" i="2"/>
  <c r="BL772" i="2"/>
  <c r="BM772" i="2"/>
  <c r="BN772" i="2"/>
  <c r="BO772" i="2"/>
  <c r="BP772" i="2"/>
  <c r="BQ772" i="2"/>
  <c r="BA773" i="2"/>
  <c r="BB773" i="2"/>
  <c r="BC773" i="2"/>
  <c r="BD773" i="2"/>
  <c r="BE773" i="2"/>
  <c r="BF773" i="2"/>
  <c r="BG773" i="2"/>
  <c r="BH773" i="2"/>
  <c r="BI773" i="2"/>
  <c r="BJ773" i="2"/>
  <c r="BK773" i="2"/>
  <c r="BL773" i="2"/>
  <c r="BM773" i="2"/>
  <c r="BN773" i="2"/>
  <c r="BO773" i="2"/>
  <c r="BP773" i="2"/>
  <c r="BQ773" i="2"/>
  <c r="BA774" i="2"/>
  <c r="BB774" i="2"/>
  <c r="BC774" i="2"/>
  <c r="BD774" i="2"/>
  <c r="BE774" i="2"/>
  <c r="BF774" i="2"/>
  <c r="BG774" i="2"/>
  <c r="BH774" i="2"/>
  <c r="BI774" i="2"/>
  <c r="BJ774" i="2"/>
  <c r="BK774" i="2"/>
  <c r="BL774" i="2"/>
  <c r="BM774" i="2"/>
  <c r="BN774" i="2"/>
  <c r="BO774" i="2"/>
  <c r="BP774" i="2"/>
  <c r="BQ774" i="2"/>
  <c r="BA775" i="2"/>
  <c r="BB775" i="2"/>
  <c r="BC775" i="2"/>
  <c r="BD775" i="2"/>
  <c r="BE775" i="2"/>
  <c r="BF775" i="2"/>
  <c r="BG775" i="2"/>
  <c r="BH775" i="2"/>
  <c r="BI775" i="2"/>
  <c r="BJ775" i="2"/>
  <c r="BK775" i="2"/>
  <c r="BL775" i="2"/>
  <c r="BM775" i="2"/>
  <c r="BN775" i="2"/>
  <c r="BO775" i="2"/>
  <c r="BP775" i="2"/>
  <c r="BQ775" i="2"/>
  <c r="BA776" i="2"/>
  <c r="BB776" i="2"/>
  <c r="BC776" i="2"/>
  <c r="BD776" i="2"/>
  <c r="BE776" i="2"/>
  <c r="BF776" i="2"/>
  <c r="BG776" i="2"/>
  <c r="BH776" i="2"/>
  <c r="BI776" i="2"/>
  <c r="BJ776" i="2"/>
  <c r="BK776" i="2"/>
  <c r="BL776" i="2"/>
  <c r="BM776" i="2"/>
  <c r="BN776" i="2"/>
  <c r="BO776" i="2"/>
  <c r="BP776" i="2"/>
  <c r="BQ776" i="2"/>
  <c r="BA777" i="2"/>
  <c r="BB777" i="2"/>
  <c r="BC777" i="2"/>
  <c r="BD777" i="2"/>
  <c r="BE777" i="2"/>
  <c r="BF777" i="2"/>
  <c r="BG777" i="2"/>
  <c r="BH777" i="2"/>
  <c r="BI777" i="2"/>
  <c r="BJ777" i="2"/>
  <c r="BK777" i="2"/>
  <c r="BL777" i="2"/>
  <c r="BM777" i="2"/>
  <c r="BN777" i="2"/>
  <c r="BO777" i="2"/>
  <c r="BP777" i="2"/>
  <c r="BQ777" i="2"/>
  <c r="BA778" i="2"/>
  <c r="BB778" i="2"/>
  <c r="BC778" i="2"/>
  <c r="BD778" i="2"/>
  <c r="BE778" i="2"/>
  <c r="BF778" i="2"/>
  <c r="BG778" i="2"/>
  <c r="BH778" i="2"/>
  <c r="BI778" i="2"/>
  <c r="BJ778" i="2"/>
  <c r="BK778" i="2"/>
  <c r="BL778" i="2"/>
  <c r="BM778" i="2"/>
  <c r="BN778" i="2"/>
  <c r="BO778" i="2"/>
  <c r="BP778" i="2"/>
  <c r="BQ778" i="2"/>
  <c r="BA779" i="2"/>
  <c r="BB779" i="2"/>
  <c r="BC779" i="2"/>
  <c r="BD779" i="2"/>
  <c r="BE779" i="2"/>
  <c r="BF779" i="2"/>
  <c r="BG779" i="2"/>
  <c r="BH779" i="2"/>
  <c r="BI779" i="2"/>
  <c r="BJ779" i="2"/>
  <c r="BK779" i="2"/>
  <c r="BL779" i="2"/>
  <c r="BM779" i="2"/>
  <c r="BN779" i="2"/>
  <c r="BO779" i="2"/>
  <c r="BP779" i="2"/>
  <c r="BQ779" i="2"/>
  <c r="BA780" i="2"/>
  <c r="BB780" i="2"/>
  <c r="BC780" i="2"/>
  <c r="BD780" i="2"/>
  <c r="BE780" i="2"/>
  <c r="BF780" i="2"/>
  <c r="BG780" i="2"/>
  <c r="BH780" i="2"/>
  <c r="BI780" i="2"/>
  <c r="BJ780" i="2"/>
  <c r="BK780" i="2"/>
  <c r="BL780" i="2"/>
  <c r="BM780" i="2"/>
  <c r="BN780" i="2"/>
  <c r="BO780" i="2"/>
  <c r="BP780" i="2"/>
  <c r="BQ780" i="2"/>
  <c r="BA781" i="2"/>
  <c r="BB781" i="2"/>
  <c r="BC781" i="2"/>
  <c r="BD781" i="2"/>
  <c r="BE781" i="2"/>
  <c r="BF781" i="2"/>
  <c r="BG781" i="2"/>
  <c r="BH781" i="2"/>
  <c r="BI781" i="2"/>
  <c r="BJ781" i="2"/>
  <c r="BK781" i="2"/>
  <c r="BL781" i="2"/>
  <c r="BM781" i="2"/>
  <c r="BN781" i="2"/>
  <c r="BO781" i="2"/>
  <c r="BP781" i="2"/>
  <c r="BQ781" i="2"/>
  <c r="BA782" i="2"/>
  <c r="BB782" i="2"/>
  <c r="BC782" i="2"/>
  <c r="BD782" i="2"/>
  <c r="BE782" i="2"/>
  <c r="BF782" i="2"/>
  <c r="BG782" i="2"/>
  <c r="BH782" i="2"/>
  <c r="BI782" i="2"/>
  <c r="BJ782" i="2"/>
  <c r="BK782" i="2"/>
  <c r="BL782" i="2"/>
  <c r="BM782" i="2"/>
  <c r="BN782" i="2"/>
  <c r="BO782" i="2"/>
  <c r="BP782" i="2"/>
  <c r="BQ782" i="2"/>
  <c r="BA783" i="2"/>
  <c r="BB783" i="2"/>
  <c r="BC783" i="2"/>
  <c r="BD783" i="2"/>
  <c r="BE783" i="2"/>
  <c r="BF783" i="2"/>
  <c r="BG783" i="2"/>
  <c r="BH783" i="2"/>
  <c r="BI783" i="2"/>
  <c r="BJ783" i="2"/>
  <c r="BK783" i="2"/>
  <c r="BL783" i="2"/>
  <c r="BM783" i="2"/>
  <c r="BN783" i="2"/>
  <c r="BO783" i="2"/>
  <c r="BP783" i="2"/>
  <c r="BQ783" i="2"/>
  <c r="BA784" i="2"/>
  <c r="BB784" i="2"/>
  <c r="BC784" i="2"/>
  <c r="BD784" i="2"/>
  <c r="BE784" i="2"/>
  <c r="BF784" i="2"/>
  <c r="BG784" i="2"/>
  <c r="BH784" i="2"/>
  <c r="BI784" i="2"/>
  <c r="BJ784" i="2"/>
  <c r="BK784" i="2"/>
  <c r="BL784" i="2"/>
  <c r="BM784" i="2"/>
  <c r="BN784" i="2"/>
  <c r="BO784" i="2"/>
  <c r="BP784" i="2"/>
  <c r="BQ784" i="2"/>
  <c r="BA785" i="2"/>
  <c r="BB785" i="2"/>
  <c r="BC785" i="2"/>
  <c r="BD785" i="2"/>
  <c r="BE785" i="2"/>
  <c r="BF785" i="2"/>
  <c r="BG785" i="2"/>
  <c r="BH785" i="2"/>
  <c r="BI785" i="2"/>
  <c r="BJ785" i="2"/>
  <c r="BK785" i="2"/>
  <c r="BL785" i="2"/>
  <c r="BM785" i="2"/>
  <c r="BN785" i="2"/>
  <c r="BO785" i="2"/>
  <c r="BP785" i="2"/>
  <c r="BQ785" i="2"/>
  <c r="BA786" i="2"/>
  <c r="BB786" i="2"/>
  <c r="BC786" i="2"/>
  <c r="BD786" i="2"/>
  <c r="BE786" i="2"/>
  <c r="BF786" i="2"/>
  <c r="BG786" i="2"/>
  <c r="BH786" i="2"/>
  <c r="BI786" i="2"/>
  <c r="BJ786" i="2"/>
  <c r="BK786" i="2"/>
  <c r="BL786" i="2"/>
  <c r="BM786" i="2"/>
  <c r="BN786" i="2"/>
  <c r="BO786" i="2"/>
  <c r="BP786" i="2"/>
  <c r="BQ786" i="2"/>
  <c r="BA787" i="2"/>
  <c r="BB787" i="2"/>
  <c r="BC787" i="2"/>
  <c r="BD787" i="2"/>
  <c r="BE787" i="2"/>
  <c r="BF787" i="2"/>
  <c r="BG787" i="2"/>
  <c r="BH787" i="2"/>
  <c r="BI787" i="2"/>
  <c r="BJ787" i="2"/>
  <c r="BK787" i="2"/>
  <c r="BL787" i="2"/>
  <c r="BM787" i="2"/>
  <c r="BN787" i="2"/>
  <c r="BO787" i="2"/>
  <c r="BP787" i="2"/>
  <c r="BQ787" i="2"/>
  <c r="BA788" i="2"/>
  <c r="BB788" i="2"/>
  <c r="BC788" i="2"/>
  <c r="BD788" i="2"/>
  <c r="BE788" i="2"/>
  <c r="BF788" i="2"/>
  <c r="BG788" i="2"/>
  <c r="BH788" i="2"/>
  <c r="BI788" i="2"/>
  <c r="BJ788" i="2"/>
  <c r="BK788" i="2"/>
  <c r="BL788" i="2"/>
  <c r="BM788" i="2"/>
  <c r="BN788" i="2"/>
  <c r="BO788" i="2"/>
  <c r="BP788" i="2"/>
  <c r="BQ788" i="2"/>
  <c r="BA789" i="2"/>
  <c r="BB789" i="2"/>
  <c r="BC789" i="2"/>
  <c r="BD789" i="2"/>
  <c r="BE789" i="2"/>
  <c r="BF789" i="2"/>
  <c r="BG789" i="2"/>
  <c r="BH789" i="2"/>
  <c r="BI789" i="2"/>
  <c r="BJ789" i="2"/>
  <c r="BK789" i="2"/>
  <c r="BL789" i="2"/>
  <c r="BM789" i="2"/>
  <c r="BN789" i="2"/>
  <c r="BO789" i="2"/>
  <c r="BP789" i="2"/>
  <c r="BQ789" i="2"/>
  <c r="BA790" i="2"/>
  <c r="BB790" i="2"/>
  <c r="BC790" i="2"/>
  <c r="BD790" i="2"/>
  <c r="BE790" i="2"/>
  <c r="BF790" i="2"/>
  <c r="BG790" i="2"/>
  <c r="BH790" i="2"/>
  <c r="BI790" i="2"/>
  <c r="BJ790" i="2"/>
  <c r="BK790" i="2"/>
  <c r="BL790" i="2"/>
  <c r="BM790" i="2"/>
  <c r="BN790" i="2"/>
  <c r="BO790" i="2"/>
  <c r="BP790" i="2"/>
  <c r="BQ790" i="2"/>
  <c r="BA791" i="2"/>
  <c r="BB791" i="2"/>
  <c r="BC791" i="2"/>
  <c r="BD791" i="2"/>
  <c r="BE791" i="2"/>
  <c r="BF791" i="2"/>
  <c r="BG791" i="2"/>
  <c r="BH791" i="2"/>
  <c r="BI791" i="2"/>
  <c r="BJ791" i="2"/>
  <c r="BK791" i="2"/>
  <c r="BL791" i="2"/>
  <c r="BM791" i="2"/>
  <c r="BN791" i="2"/>
  <c r="BO791" i="2"/>
  <c r="BP791" i="2"/>
  <c r="BQ791" i="2"/>
  <c r="BA792" i="2"/>
  <c r="BB792" i="2"/>
  <c r="BC792" i="2"/>
  <c r="BD792" i="2"/>
  <c r="BE792" i="2"/>
  <c r="BF792" i="2"/>
  <c r="BG792" i="2"/>
  <c r="BH792" i="2"/>
  <c r="BI792" i="2"/>
  <c r="BJ792" i="2"/>
  <c r="BK792" i="2"/>
  <c r="BL792" i="2"/>
  <c r="BM792" i="2"/>
  <c r="BN792" i="2"/>
  <c r="BO792" i="2"/>
  <c r="BP792" i="2"/>
  <c r="BQ792" i="2"/>
  <c r="BA793" i="2"/>
  <c r="BB793" i="2"/>
  <c r="BC793" i="2"/>
  <c r="BD793" i="2"/>
  <c r="BE793" i="2"/>
  <c r="BF793" i="2"/>
  <c r="BG793" i="2"/>
  <c r="BH793" i="2"/>
  <c r="BI793" i="2"/>
  <c r="BJ793" i="2"/>
  <c r="BK793" i="2"/>
  <c r="BL793" i="2"/>
  <c r="BM793" i="2"/>
  <c r="BN793" i="2"/>
  <c r="BO793" i="2"/>
  <c r="BP793" i="2"/>
  <c r="BQ793" i="2"/>
  <c r="BA794" i="2"/>
  <c r="BB794" i="2"/>
  <c r="BC794" i="2"/>
  <c r="BD794" i="2"/>
  <c r="BE794" i="2"/>
  <c r="BF794" i="2"/>
  <c r="BG794" i="2"/>
  <c r="BH794" i="2"/>
  <c r="BI794" i="2"/>
  <c r="BJ794" i="2"/>
  <c r="BK794" i="2"/>
  <c r="BL794" i="2"/>
  <c r="BM794" i="2"/>
  <c r="BN794" i="2"/>
  <c r="BO794" i="2"/>
  <c r="BP794" i="2"/>
  <c r="BQ794" i="2"/>
  <c r="BA795" i="2"/>
  <c r="BB795" i="2"/>
  <c r="BC795" i="2"/>
  <c r="BD795" i="2"/>
  <c r="BE795" i="2"/>
  <c r="BF795" i="2"/>
  <c r="BG795" i="2"/>
  <c r="BH795" i="2"/>
  <c r="BI795" i="2"/>
  <c r="BJ795" i="2"/>
  <c r="BK795" i="2"/>
  <c r="BL795" i="2"/>
  <c r="BM795" i="2"/>
  <c r="BN795" i="2"/>
  <c r="BO795" i="2"/>
  <c r="BP795" i="2"/>
  <c r="BQ795" i="2"/>
  <c r="BA796" i="2"/>
  <c r="BB796" i="2"/>
  <c r="BC796" i="2"/>
  <c r="BD796" i="2"/>
  <c r="BE796" i="2"/>
  <c r="BF796" i="2"/>
  <c r="BG796" i="2"/>
  <c r="BH796" i="2"/>
  <c r="BI796" i="2"/>
  <c r="BJ796" i="2"/>
  <c r="BK796" i="2"/>
  <c r="BL796" i="2"/>
  <c r="BM796" i="2"/>
  <c r="BN796" i="2"/>
  <c r="BO796" i="2"/>
  <c r="BP796" i="2"/>
  <c r="BQ796" i="2"/>
  <c r="BA797" i="2"/>
  <c r="BB797" i="2"/>
  <c r="BC797" i="2"/>
  <c r="BD797" i="2"/>
  <c r="BE797" i="2"/>
  <c r="BF797" i="2"/>
  <c r="BG797" i="2"/>
  <c r="BH797" i="2"/>
  <c r="BI797" i="2"/>
  <c r="BJ797" i="2"/>
  <c r="BK797" i="2"/>
  <c r="BL797" i="2"/>
  <c r="BM797" i="2"/>
  <c r="BN797" i="2"/>
  <c r="BO797" i="2"/>
  <c r="BP797" i="2"/>
  <c r="BQ797" i="2"/>
  <c r="BA798" i="2"/>
  <c r="BB798" i="2"/>
  <c r="BC798" i="2"/>
  <c r="BD798" i="2"/>
  <c r="BE798" i="2"/>
  <c r="BF798" i="2"/>
  <c r="BG798" i="2"/>
  <c r="BH798" i="2"/>
  <c r="BI798" i="2"/>
  <c r="BJ798" i="2"/>
  <c r="BK798" i="2"/>
  <c r="BL798" i="2"/>
  <c r="BM798" i="2"/>
  <c r="BN798" i="2"/>
  <c r="BO798" i="2"/>
  <c r="BP798" i="2"/>
  <c r="BQ798" i="2"/>
  <c r="BA799" i="2"/>
  <c r="BB799" i="2"/>
  <c r="BC799" i="2"/>
  <c r="BD799" i="2"/>
  <c r="BE799" i="2"/>
  <c r="BF799" i="2"/>
  <c r="BG799" i="2"/>
  <c r="BH799" i="2"/>
  <c r="BI799" i="2"/>
  <c r="BJ799" i="2"/>
  <c r="BK799" i="2"/>
  <c r="BL799" i="2"/>
  <c r="BM799" i="2"/>
  <c r="BN799" i="2"/>
  <c r="BO799" i="2"/>
  <c r="BP799" i="2"/>
  <c r="BQ799" i="2"/>
  <c r="BA800" i="2"/>
  <c r="BB800" i="2"/>
  <c r="BC800" i="2"/>
  <c r="BD800" i="2"/>
  <c r="BE800" i="2"/>
  <c r="BF800" i="2"/>
  <c r="BG800" i="2"/>
  <c r="BH800" i="2"/>
  <c r="BI800" i="2"/>
  <c r="BJ800" i="2"/>
  <c r="BK800" i="2"/>
  <c r="BL800" i="2"/>
  <c r="BM800" i="2"/>
  <c r="BN800" i="2"/>
  <c r="BO800" i="2"/>
  <c r="BP800" i="2"/>
  <c r="BQ800" i="2"/>
  <c r="BA801" i="2"/>
  <c r="BB801" i="2"/>
  <c r="BC801" i="2"/>
  <c r="BD801" i="2"/>
  <c r="BE801" i="2"/>
  <c r="BF801" i="2"/>
  <c r="BG801" i="2"/>
  <c r="BH801" i="2"/>
  <c r="BI801" i="2"/>
  <c r="BJ801" i="2"/>
  <c r="BK801" i="2"/>
  <c r="BL801" i="2"/>
  <c r="BM801" i="2"/>
  <c r="BN801" i="2"/>
  <c r="BO801" i="2"/>
  <c r="BP801" i="2"/>
  <c r="BQ801" i="2"/>
  <c r="BA802" i="2"/>
  <c r="BB802" i="2"/>
  <c r="BC802" i="2"/>
  <c r="BD802" i="2"/>
  <c r="BE802" i="2"/>
  <c r="BF802" i="2"/>
  <c r="BG802" i="2"/>
  <c r="BH802" i="2"/>
  <c r="BI802" i="2"/>
  <c r="BJ802" i="2"/>
  <c r="BK802" i="2"/>
  <c r="BL802" i="2"/>
  <c r="BM802" i="2"/>
  <c r="BN802" i="2"/>
  <c r="BO802" i="2"/>
  <c r="BP802" i="2"/>
  <c r="BQ802" i="2"/>
  <c r="BA803" i="2"/>
  <c r="BB803" i="2"/>
  <c r="BC803" i="2"/>
  <c r="BD803" i="2"/>
  <c r="BE803" i="2"/>
  <c r="BF803" i="2"/>
  <c r="BG803" i="2"/>
  <c r="BH803" i="2"/>
  <c r="BI803" i="2"/>
  <c r="BJ803" i="2"/>
  <c r="BK803" i="2"/>
  <c r="BL803" i="2"/>
  <c r="BM803" i="2"/>
  <c r="BN803" i="2"/>
  <c r="BO803" i="2"/>
  <c r="BP803" i="2"/>
  <c r="BQ803" i="2"/>
  <c r="BA804" i="2"/>
  <c r="BB804" i="2"/>
  <c r="BC804" i="2"/>
  <c r="BD804" i="2"/>
  <c r="BE804" i="2"/>
  <c r="BF804" i="2"/>
  <c r="BG804" i="2"/>
  <c r="BH804" i="2"/>
  <c r="BI804" i="2"/>
  <c r="BJ804" i="2"/>
  <c r="BK804" i="2"/>
  <c r="BL804" i="2"/>
  <c r="BM804" i="2"/>
  <c r="BN804" i="2"/>
  <c r="BO804" i="2"/>
  <c r="BP804" i="2"/>
  <c r="BQ804" i="2"/>
  <c r="BA805" i="2"/>
  <c r="BB805" i="2"/>
  <c r="BC805" i="2"/>
  <c r="BD805" i="2"/>
  <c r="BE805" i="2"/>
  <c r="BF805" i="2"/>
  <c r="BG805" i="2"/>
  <c r="BH805" i="2"/>
  <c r="BI805" i="2"/>
  <c r="BJ805" i="2"/>
  <c r="BK805" i="2"/>
  <c r="BL805" i="2"/>
  <c r="BM805" i="2"/>
  <c r="BN805" i="2"/>
  <c r="BO805" i="2"/>
  <c r="BP805" i="2"/>
  <c r="BQ805" i="2"/>
  <c r="BA806" i="2"/>
  <c r="BB806" i="2"/>
  <c r="BC806" i="2"/>
  <c r="BD806" i="2"/>
  <c r="BE806" i="2"/>
  <c r="BF806" i="2"/>
  <c r="BG806" i="2"/>
  <c r="BH806" i="2"/>
  <c r="BI806" i="2"/>
  <c r="BJ806" i="2"/>
  <c r="BK806" i="2"/>
  <c r="BL806" i="2"/>
  <c r="BM806" i="2"/>
  <c r="BN806" i="2"/>
  <c r="BO806" i="2"/>
  <c r="BP806" i="2"/>
  <c r="BQ806" i="2"/>
  <c r="BA807" i="2"/>
  <c r="BB807" i="2"/>
  <c r="BC807" i="2"/>
  <c r="BD807" i="2"/>
  <c r="BE807" i="2"/>
  <c r="BF807" i="2"/>
  <c r="BG807" i="2"/>
  <c r="BH807" i="2"/>
  <c r="BI807" i="2"/>
  <c r="BJ807" i="2"/>
  <c r="BK807" i="2"/>
  <c r="BL807" i="2"/>
  <c r="BM807" i="2"/>
  <c r="BN807" i="2"/>
  <c r="BO807" i="2"/>
  <c r="BP807" i="2"/>
  <c r="BQ807" i="2"/>
  <c r="BA808" i="2"/>
  <c r="BB808" i="2"/>
  <c r="BC808" i="2"/>
  <c r="BD808" i="2"/>
  <c r="BE808" i="2"/>
  <c r="BF808" i="2"/>
  <c r="BG808" i="2"/>
  <c r="BH808" i="2"/>
  <c r="BI808" i="2"/>
  <c r="BJ808" i="2"/>
  <c r="BK808" i="2"/>
  <c r="BL808" i="2"/>
  <c r="BM808" i="2"/>
  <c r="BN808" i="2"/>
  <c r="BO808" i="2"/>
  <c r="BP808" i="2"/>
  <c r="BQ808" i="2"/>
  <c r="BA809" i="2"/>
  <c r="BB809" i="2"/>
  <c r="BC809" i="2"/>
  <c r="BD809" i="2"/>
  <c r="BE809" i="2"/>
  <c r="BF809" i="2"/>
  <c r="BG809" i="2"/>
  <c r="BH809" i="2"/>
  <c r="BI809" i="2"/>
  <c r="BJ809" i="2"/>
  <c r="BK809" i="2"/>
  <c r="BL809" i="2"/>
  <c r="BM809" i="2"/>
  <c r="BN809" i="2"/>
  <c r="BO809" i="2"/>
  <c r="BP809" i="2"/>
  <c r="BQ809" i="2"/>
  <c r="BA810" i="2"/>
  <c r="BB810" i="2"/>
  <c r="BC810" i="2"/>
  <c r="BD810" i="2"/>
  <c r="BE810" i="2"/>
  <c r="BF810" i="2"/>
  <c r="BG810" i="2"/>
  <c r="BH810" i="2"/>
  <c r="BI810" i="2"/>
  <c r="BJ810" i="2"/>
  <c r="BK810" i="2"/>
  <c r="BL810" i="2"/>
  <c r="BM810" i="2"/>
  <c r="BN810" i="2"/>
  <c r="BO810" i="2"/>
  <c r="BP810" i="2"/>
  <c r="BQ810" i="2"/>
  <c r="BA811" i="2"/>
  <c r="BB811" i="2"/>
  <c r="BC811" i="2"/>
  <c r="BD811" i="2"/>
  <c r="BE811" i="2"/>
  <c r="BF811" i="2"/>
  <c r="BG811" i="2"/>
  <c r="BH811" i="2"/>
  <c r="BI811" i="2"/>
  <c r="BJ811" i="2"/>
  <c r="BK811" i="2"/>
  <c r="BL811" i="2"/>
  <c r="BM811" i="2"/>
  <c r="BN811" i="2"/>
  <c r="BO811" i="2"/>
  <c r="BP811" i="2"/>
  <c r="BQ811" i="2"/>
  <c r="BA812" i="2"/>
  <c r="BB812" i="2"/>
  <c r="BC812" i="2"/>
  <c r="BD812" i="2"/>
  <c r="BE812" i="2"/>
  <c r="BF812" i="2"/>
  <c r="BG812" i="2"/>
  <c r="BH812" i="2"/>
  <c r="BI812" i="2"/>
  <c r="BJ812" i="2"/>
  <c r="BK812" i="2"/>
  <c r="BL812" i="2"/>
  <c r="BM812" i="2"/>
  <c r="BN812" i="2"/>
  <c r="BO812" i="2"/>
  <c r="BP812" i="2"/>
  <c r="BQ812" i="2"/>
  <c r="BA813" i="2"/>
  <c r="BB813" i="2"/>
  <c r="BC813" i="2"/>
  <c r="BD813" i="2"/>
  <c r="BE813" i="2"/>
  <c r="BF813" i="2"/>
  <c r="BG813" i="2"/>
  <c r="BH813" i="2"/>
  <c r="BI813" i="2"/>
  <c r="BJ813" i="2"/>
  <c r="BK813" i="2"/>
  <c r="BL813" i="2"/>
  <c r="BM813" i="2"/>
  <c r="BN813" i="2"/>
  <c r="BO813" i="2"/>
  <c r="BP813" i="2"/>
  <c r="BQ813" i="2"/>
  <c r="BA814" i="2"/>
  <c r="BB814" i="2"/>
  <c r="BC814" i="2"/>
  <c r="BD814" i="2"/>
  <c r="BE814" i="2"/>
  <c r="BF814" i="2"/>
  <c r="BG814" i="2"/>
  <c r="BH814" i="2"/>
  <c r="BI814" i="2"/>
  <c r="BJ814" i="2"/>
  <c r="BK814" i="2"/>
  <c r="BL814" i="2"/>
  <c r="BM814" i="2"/>
  <c r="BN814" i="2"/>
  <c r="BO814" i="2"/>
  <c r="BP814" i="2"/>
  <c r="BQ814" i="2"/>
  <c r="BA815" i="2"/>
  <c r="BB815" i="2"/>
  <c r="BC815" i="2"/>
  <c r="BD815" i="2"/>
  <c r="BE815" i="2"/>
  <c r="BF815" i="2"/>
  <c r="BG815" i="2"/>
  <c r="BH815" i="2"/>
  <c r="BI815" i="2"/>
  <c r="BJ815" i="2"/>
  <c r="BK815" i="2"/>
  <c r="BL815" i="2"/>
  <c r="BM815" i="2"/>
  <c r="BN815" i="2"/>
  <c r="BO815" i="2"/>
  <c r="BP815" i="2"/>
  <c r="BQ815" i="2"/>
  <c r="BA816" i="2"/>
  <c r="BB816" i="2"/>
  <c r="BC816" i="2"/>
  <c r="BD816" i="2"/>
  <c r="BE816" i="2"/>
  <c r="BF816" i="2"/>
  <c r="BG816" i="2"/>
  <c r="BH816" i="2"/>
  <c r="BI816" i="2"/>
  <c r="BJ816" i="2"/>
  <c r="BK816" i="2"/>
  <c r="BL816" i="2"/>
  <c r="BM816" i="2"/>
  <c r="BN816" i="2"/>
  <c r="BO816" i="2"/>
  <c r="BP816" i="2"/>
  <c r="BQ816" i="2"/>
  <c r="BA817" i="2"/>
  <c r="BB817" i="2"/>
  <c r="BC817" i="2"/>
  <c r="BD817" i="2"/>
  <c r="BE817" i="2"/>
  <c r="BF817" i="2"/>
  <c r="BG817" i="2"/>
  <c r="BH817" i="2"/>
  <c r="BI817" i="2"/>
  <c r="BJ817" i="2"/>
  <c r="BK817" i="2"/>
  <c r="BL817" i="2"/>
  <c r="BM817" i="2"/>
  <c r="BN817" i="2"/>
  <c r="BO817" i="2"/>
  <c r="BP817" i="2"/>
  <c r="BQ817" i="2"/>
  <c r="BA818" i="2"/>
  <c r="BB818" i="2"/>
  <c r="BC818" i="2"/>
  <c r="BD818" i="2"/>
  <c r="BE818" i="2"/>
  <c r="BF818" i="2"/>
  <c r="BG818" i="2"/>
  <c r="BH818" i="2"/>
  <c r="BI818" i="2"/>
  <c r="BJ818" i="2"/>
  <c r="BK818" i="2"/>
  <c r="BL818" i="2"/>
  <c r="BM818" i="2"/>
  <c r="BN818" i="2"/>
  <c r="BO818" i="2"/>
  <c r="BP818" i="2"/>
  <c r="BQ818" i="2"/>
  <c r="BA819" i="2"/>
  <c r="BB819" i="2"/>
  <c r="BC819" i="2"/>
  <c r="BD819" i="2"/>
  <c r="BE819" i="2"/>
  <c r="BF819" i="2"/>
  <c r="BG819" i="2"/>
  <c r="BH819" i="2"/>
  <c r="BI819" i="2"/>
  <c r="BJ819" i="2"/>
  <c r="BK819" i="2"/>
  <c r="BL819" i="2"/>
  <c r="BM819" i="2"/>
  <c r="BN819" i="2"/>
  <c r="BO819" i="2"/>
  <c r="BP819" i="2"/>
  <c r="BQ819" i="2"/>
  <c r="BA820" i="2"/>
  <c r="BB820" i="2"/>
  <c r="BC820" i="2"/>
  <c r="BD820" i="2"/>
  <c r="BE820" i="2"/>
  <c r="BF820" i="2"/>
  <c r="BG820" i="2"/>
  <c r="BH820" i="2"/>
  <c r="BI820" i="2"/>
  <c r="BJ820" i="2"/>
  <c r="BK820" i="2"/>
  <c r="BL820" i="2"/>
  <c r="BM820" i="2"/>
  <c r="BN820" i="2"/>
  <c r="BO820" i="2"/>
  <c r="BP820" i="2"/>
  <c r="BQ820" i="2"/>
  <c r="BA821" i="2"/>
  <c r="BB821" i="2"/>
  <c r="BC821" i="2"/>
  <c r="BD821" i="2"/>
  <c r="BE821" i="2"/>
  <c r="BF821" i="2"/>
  <c r="BG821" i="2"/>
  <c r="BH821" i="2"/>
  <c r="BI821" i="2"/>
  <c r="BJ821" i="2"/>
  <c r="BK821" i="2"/>
  <c r="BL821" i="2"/>
  <c r="BM821" i="2"/>
  <c r="BN821" i="2"/>
  <c r="BO821" i="2"/>
  <c r="BP821" i="2"/>
  <c r="BQ821" i="2"/>
  <c r="BA822" i="2"/>
  <c r="BB822" i="2"/>
  <c r="BC822" i="2"/>
  <c r="BD822" i="2"/>
  <c r="BE822" i="2"/>
  <c r="BF822" i="2"/>
  <c r="BG822" i="2"/>
  <c r="BH822" i="2"/>
  <c r="BI822" i="2"/>
  <c r="BJ822" i="2"/>
  <c r="BK822" i="2"/>
  <c r="BL822" i="2"/>
  <c r="BM822" i="2"/>
  <c r="BN822" i="2"/>
  <c r="BO822" i="2"/>
  <c r="BP822" i="2"/>
  <c r="BQ822" i="2"/>
  <c r="BA823" i="2"/>
  <c r="BB823" i="2"/>
  <c r="BC823" i="2"/>
  <c r="BD823" i="2"/>
  <c r="BE823" i="2"/>
  <c r="BF823" i="2"/>
  <c r="BG823" i="2"/>
  <c r="BH823" i="2"/>
  <c r="BI823" i="2"/>
  <c r="BJ823" i="2"/>
  <c r="BK823" i="2"/>
  <c r="BL823" i="2"/>
  <c r="BM823" i="2"/>
  <c r="BN823" i="2"/>
  <c r="BO823" i="2"/>
  <c r="BP823" i="2"/>
  <c r="BQ823" i="2"/>
  <c r="BA824" i="2"/>
  <c r="BB824" i="2"/>
  <c r="BC824" i="2"/>
  <c r="BD824" i="2"/>
  <c r="BE824" i="2"/>
  <c r="BF824" i="2"/>
  <c r="BG824" i="2"/>
  <c r="BH824" i="2"/>
  <c r="BI824" i="2"/>
  <c r="BJ824" i="2"/>
  <c r="BK824" i="2"/>
  <c r="BL824" i="2"/>
  <c r="BM824" i="2"/>
  <c r="BN824" i="2"/>
  <c r="BO824" i="2"/>
  <c r="BP824" i="2"/>
  <c r="BQ824" i="2"/>
  <c r="BA825" i="2"/>
  <c r="BB825" i="2"/>
  <c r="BC825" i="2"/>
  <c r="BD825" i="2"/>
  <c r="BE825" i="2"/>
  <c r="BF825" i="2"/>
  <c r="BG825" i="2"/>
  <c r="BH825" i="2"/>
  <c r="BI825" i="2"/>
  <c r="BJ825" i="2"/>
  <c r="BK825" i="2"/>
  <c r="BL825" i="2"/>
  <c r="BM825" i="2"/>
  <c r="BN825" i="2"/>
  <c r="BO825" i="2"/>
  <c r="BP825" i="2"/>
  <c r="BQ825" i="2"/>
  <c r="BA826" i="2"/>
  <c r="BB826" i="2"/>
  <c r="BC826" i="2"/>
  <c r="BD826" i="2"/>
  <c r="BE826" i="2"/>
  <c r="BF826" i="2"/>
  <c r="BG826" i="2"/>
  <c r="BH826" i="2"/>
  <c r="BI826" i="2"/>
  <c r="BJ826" i="2"/>
  <c r="BK826" i="2"/>
  <c r="BL826" i="2"/>
  <c r="BM826" i="2"/>
  <c r="BN826" i="2"/>
  <c r="BO826" i="2"/>
  <c r="BP826" i="2"/>
  <c r="BQ826" i="2"/>
  <c r="BA827" i="2"/>
  <c r="BB827" i="2"/>
  <c r="BC827" i="2"/>
  <c r="BD827" i="2"/>
  <c r="BE827" i="2"/>
  <c r="BF827" i="2"/>
  <c r="BG827" i="2"/>
  <c r="BH827" i="2"/>
  <c r="BI827" i="2"/>
  <c r="BJ827" i="2"/>
  <c r="BK827" i="2"/>
  <c r="BL827" i="2"/>
  <c r="BM827" i="2"/>
  <c r="BN827" i="2"/>
  <c r="BO827" i="2"/>
  <c r="BP827" i="2"/>
  <c r="BQ827" i="2"/>
  <c r="BA828" i="2"/>
  <c r="BB828" i="2"/>
  <c r="BC828" i="2"/>
  <c r="BD828" i="2"/>
  <c r="BE828" i="2"/>
  <c r="BF828" i="2"/>
  <c r="BG828" i="2"/>
  <c r="BH828" i="2"/>
  <c r="BI828" i="2"/>
  <c r="BJ828" i="2"/>
  <c r="BK828" i="2"/>
  <c r="BL828" i="2"/>
  <c r="BM828" i="2"/>
  <c r="BN828" i="2"/>
  <c r="BO828" i="2"/>
  <c r="BP828" i="2"/>
  <c r="BQ828" i="2"/>
  <c r="BA829" i="2"/>
  <c r="BB829" i="2"/>
  <c r="BC829" i="2"/>
  <c r="BD829" i="2"/>
  <c r="BE829" i="2"/>
  <c r="BF829" i="2"/>
  <c r="BG829" i="2"/>
  <c r="BH829" i="2"/>
  <c r="BI829" i="2"/>
  <c r="BJ829" i="2"/>
  <c r="BK829" i="2"/>
  <c r="BL829" i="2"/>
  <c r="BM829" i="2"/>
  <c r="BN829" i="2"/>
  <c r="BO829" i="2"/>
  <c r="BP829" i="2"/>
  <c r="BQ829" i="2"/>
  <c r="BA830" i="2"/>
  <c r="BB830" i="2"/>
  <c r="BC830" i="2"/>
  <c r="BD830" i="2"/>
  <c r="BE830" i="2"/>
  <c r="BF830" i="2"/>
  <c r="BG830" i="2"/>
  <c r="BH830" i="2"/>
  <c r="BI830" i="2"/>
  <c r="BJ830" i="2"/>
  <c r="BK830" i="2"/>
  <c r="BL830" i="2"/>
  <c r="BM830" i="2"/>
  <c r="BN830" i="2"/>
  <c r="BO830" i="2"/>
  <c r="BP830" i="2"/>
  <c r="BQ830" i="2"/>
  <c r="BA831" i="2"/>
  <c r="BB831" i="2"/>
  <c r="BC831" i="2"/>
  <c r="BD831" i="2"/>
  <c r="BE831" i="2"/>
  <c r="BF831" i="2"/>
  <c r="BG831" i="2"/>
  <c r="BH831" i="2"/>
  <c r="BI831" i="2"/>
  <c r="BJ831" i="2"/>
  <c r="BK831" i="2"/>
  <c r="BL831" i="2"/>
  <c r="BM831" i="2"/>
  <c r="BN831" i="2"/>
  <c r="BO831" i="2"/>
  <c r="BP831" i="2"/>
  <c r="BQ831" i="2"/>
  <c r="BA832" i="2"/>
  <c r="BB832" i="2"/>
  <c r="BC832" i="2"/>
  <c r="BD832" i="2"/>
  <c r="BE832" i="2"/>
  <c r="BF832" i="2"/>
  <c r="BG832" i="2"/>
  <c r="BH832" i="2"/>
  <c r="BI832" i="2"/>
  <c r="BJ832" i="2"/>
  <c r="BK832" i="2"/>
  <c r="BL832" i="2"/>
  <c r="BM832" i="2"/>
  <c r="BN832" i="2"/>
  <c r="BO832" i="2"/>
  <c r="BP832" i="2"/>
  <c r="BQ832" i="2"/>
  <c r="BA833" i="2"/>
  <c r="BB833" i="2"/>
  <c r="BC833" i="2"/>
  <c r="BD833" i="2"/>
  <c r="BE833" i="2"/>
  <c r="BF833" i="2"/>
  <c r="BG833" i="2"/>
  <c r="BH833" i="2"/>
  <c r="BI833" i="2"/>
  <c r="BJ833" i="2"/>
  <c r="BK833" i="2"/>
  <c r="BL833" i="2"/>
  <c r="BM833" i="2"/>
  <c r="BN833" i="2"/>
  <c r="BO833" i="2"/>
  <c r="BP833" i="2"/>
  <c r="BQ833" i="2"/>
  <c r="BA834" i="2"/>
  <c r="BB834" i="2"/>
  <c r="BC834" i="2"/>
  <c r="BD834" i="2"/>
  <c r="BE834" i="2"/>
  <c r="BF834" i="2"/>
  <c r="BG834" i="2"/>
  <c r="BH834" i="2"/>
  <c r="BI834" i="2"/>
  <c r="BJ834" i="2"/>
  <c r="BK834" i="2"/>
  <c r="BL834" i="2"/>
  <c r="BM834" i="2"/>
  <c r="BN834" i="2"/>
  <c r="BO834" i="2"/>
  <c r="BP834" i="2"/>
  <c r="BQ834" i="2"/>
  <c r="BA835" i="2"/>
  <c r="BB835" i="2"/>
  <c r="BC835" i="2"/>
  <c r="BD835" i="2"/>
  <c r="BE835" i="2"/>
  <c r="BF835" i="2"/>
  <c r="BG835" i="2"/>
  <c r="BH835" i="2"/>
  <c r="BI835" i="2"/>
  <c r="BJ835" i="2"/>
  <c r="BK835" i="2"/>
  <c r="BL835" i="2"/>
  <c r="BM835" i="2"/>
  <c r="BN835" i="2"/>
  <c r="BO835" i="2"/>
  <c r="BP835" i="2"/>
  <c r="BQ835" i="2"/>
  <c r="BA836" i="2"/>
  <c r="BB836" i="2"/>
  <c r="BC836" i="2"/>
  <c r="BD836" i="2"/>
  <c r="BE836" i="2"/>
  <c r="BF836" i="2"/>
  <c r="BG836" i="2"/>
  <c r="BH836" i="2"/>
  <c r="BI836" i="2"/>
  <c r="BJ836" i="2"/>
  <c r="BK836" i="2"/>
  <c r="BL836" i="2"/>
  <c r="BM836" i="2"/>
  <c r="BN836" i="2"/>
  <c r="BO836" i="2"/>
  <c r="BP836" i="2"/>
  <c r="BQ836" i="2"/>
  <c r="BA837" i="2"/>
  <c r="BB837" i="2"/>
  <c r="BC837" i="2"/>
  <c r="BD837" i="2"/>
  <c r="BE837" i="2"/>
  <c r="BF837" i="2"/>
  <c r="BG837" i="2"/>
  <c r="BH837" i="2"/>
  <c r="BI837" i="2"/>
  <c r="BJ837" i="2"/>
  <c r="BK837" i="2"/>
  <c r="BL837" i="2"/>
  <c r="BM837" i="2"/>
  <c r="BN837" i="2"/>
  <c r="BO837" i="2"/>
  <c r="BP837" i="2"/>
  <c r="BQ837" i="2"/>
  <c r="BA838" i="2"/>
  <c r="BB838" i="2"/>
  <c r="BC838" i="2"/>
  <c r="BD838" i="2"/>
  <c r="BE838" i="2"/>
  <c r="BF838" i="2"/>
  <c r="BG838" i="2"/>
  <c r="BH838" i="2"/>
  <c r="BI838" i="2"/>
  <c r="BJ838" i="2"/>
  <c r="BK838" i="2"/>
  <c r="BL838" i="2"/>
  <c r="BM838" i="2"/>
  <c r="BN838" i="2"/>
  <c r="BO838" i="2"/>
  <c r="BP838" i="2"/>
  <c r="BQ838" i="2"/>
  <c r="BA839" i="2"/>
  <c r="BB839" i="2"/>
  <c r="BC839" i="2"/>
  <c r="BD839" i="2"/>
  <c r="BE839" i="2"/>
  <c r="BF839" i="2"/>
  <c r="BG839" i="2"/>
  <c r="BH839" i="2"/>
  <c r="BI839" i="2"/>
  <c r="BJ839" i="2"/>
  <c r="BK839" i="2"/>
  <c r="BL839" i="2"/>
  <c r="BM839" i="2"/>
  <c r="BN839" i="2"/>
  <c r="BO839" i="2"/>
  <c r="BP839" i="2"/>
  <c r="BQ839" i="2"/>
  <c r="BA840" i="2"/>
  <c r="BB840" i="2"/>
  <c r="BC840" i="2"/>
  <c r="BD840" i="2"/>
  <c r="BE840" i="2"/>
  <c r="BF840" i="2"/>
  <c r="BG840" i="2"/>
  <c r="BH840" i="2"/>
  <c r="BI840" i="2"/>
  <c r="BJ840" i="2"/>
  <c r="BK840" i="2"/>
  <c r="BL840" i="2"/>
  <c r="BM840" i="2"/>
  <c r="BN840" i="2"/>
  <c r="BO840" i="2"/>
  <c r="BP840" i="2"/>
  <c r="BQ840" i="2"/>
  <c r="BA841" i="2"/>
  <c r="BB841" i="2"/>
  <c r="BC841" i="2"/>
  <c r="BD841" i="2"/>
  <c r="BE841" i="2"/>
  <c r="BF841" i="2"/>
  <c r="BG841" i="2"/>
  <c r="BH841" i="2"/>
  <c r="BI841" i="2"/>
  <c r="BJ841" i="2"/>
  <c r="BK841" i="2"/>
  <c r="BL841" i="2"/>
  <c r="BM841" i="2"/>
  <c r="BN841" i="2"/>
  <c r="BO841" i="2"/>
  <c r="BP841" i="2"/>
  <c r="BQ841" i="2"/>
  <c r="BA842" i="2"/>
  <c r="BB842" i="2"/>
  <c r="BC842" i="2"/>
  <c r="BD842" i="2"/>
  <c r="BE842" i="2"/>
  <c r="BF842" i="2"/>
  <c r="BG842" i="2"/>
  <c r="BH842" i="2"/>
  <c r="BI842" i="2"/>
  <c r="BJ842" i="2"/>
  <c r="BK842" i="2"/>
  <c r="BL842" i="2"/>
  <c r="BM842" i="2"/>
  <c r="BN842" i="2"/>
  <c r="BO842" i="2"/>
  <c r="BP842" i="2"/>
  <c r="BQ842" i="2"/>
  <c r="BA843" i="2"/>
  <c r="BB843" i="2"/>
  <c r="BC843" i="2"/>
  <c r="BD843" i="2"/>
  <c r="BE843" i="2"/>
  <c r="BF843" i="2"/>
  <c r="BG843" i="2"/>
  <c r="BH843" i="2"/>
  <c r="BI843" i="2"/>
  <c r="BJ843" i="2"/>
  <c r="BK843" i="2"/>
  <c r="BL843" i="2"/>
  <c r="BM843" i="2"/>
  <c r="BN843" i="2"/>
  <c r="BO843" i="2"/>
  <c r="BP843" i="2"/>
  <c r="BQ843" i="2"/>
  <c r="BA844" i="2"/>
  <c r="BB844" i="2"/>
  <c r="BC844" i="2"/>
  <c r="BD844" i="2"/>
  <c r="BE844" i="2"/>
  <c r="BF844" i="2"/>
  <c r="BG844" i="2"/>
  <c r="BH844" i="2"/>
  <c r="BI844" i="2"/>
  <c r="BJ844" i="2"/>
  <c r="BK844" i="2"/>
  <c r="BL844" i="2"/>
  <c r="BM844" i="2"/>
  <c r="BN844" i="2"/>
  <c r="BO844" i="2"/>
  <c r="BP844" i="2"/>
  <c r="BQ844" i="2"/>
  <c r="BA845" i="2"/>
  <c r="BB845" i="2"/>
  <c r="BC845" i="2"/>
  <c r="BD845" i="2"/>
  <c r="BE845" i="2"/>
  <c r="BF845" i="2"/>
  <c r="BG845" i="2"/>
  <c r="BH845" i="2"/>
  <c r="BI845" i="2"/>
  <c r="BJ845" i="2"/>
  <c r="BK845" i="2"/>
  <c r="BL845" i="2"/>
  <c r="BM845" i="2"/>
  <c r="BN845" i="2"/>
  <c r="BO845" i="2"/>
  <c r="BP845" i="2"/>
  <c r="BQ845" i="2"/>
  <c r="BA846" i="2"/>
  <c r="BB846" i="2"/>
  <c r="BC846" i="2"/>
  <c r="BD846" i="2"/>
  <c r="BE846" i="2"/>
  <c r="BF846" i="2"/>
  <c r="BG846" i="2"/>
  <c r="BH846" i="2"/>
  <c r="BI846" i="2"/>
  <c r="BJ846" i="2"/>
  <c r="BK846" i="2"/>
  <c r="BL846" i="2"/>
  <c r="BM846" i="2"/>
  <c r="BN846" i="2"/>
  <c r="BO846" i="2"/>
  <c r="BP846" i="2"/>
  <c r="BQ846" i="2"/>
  <c r="BA847" i="2"/>
  <c r="BB847" i="2"/>
  <c r="BC847" i="2"/>
  <c r="BD847" i="2"/>
  <c r="BE847" i="2"/>
  <c r="BF847" i="2"/>
  <c r="BG847" i="2"/>
  <c r="BH847" i="2"/>
  <c r="BI847" i="2"/>
  <c r="BJ847" i="2"/>
  <c r="BK847" i="2"/>
  <c r="BL847" i="2"/>
  <c r="BM847" i="2"/>
  <c r="BN847" i="2"/>
  <c r="BO847" i="2"/>
  <c r="BP847" i="2"/>
  <c r="BQ847" i="2"/>
  <c r="BA848" i="2"/>
  <c r="BB848" i="2"/>
  <c r="BC848" i="2"/>
  <c r="BD848" i="2"/>
  <c r="BE848" i="2"/>
  <c r="BF848" i="2"/>
  <c r="BG848" i="2"/>
  <c r="BH848" i="2"/>
  <c r="BI848" i="2"/>
  <c r="BJ848" i="2"/>
  <c r="BK848" i="2"/>
  <c r="BL848" i="2"/>
  <c r="BM848" i="2"/>
  <c r="BN848" i="2"/>
  <c r="BO848" i="2"/>
  <c r="BP848" i="2"/>
  <c r="BQ848" i="2"/>
  <c r="BA849" i="2"/>
  <c r="BB849" i="2"/>
  <c r="BC849" i="2"/>
  <c r="BD849" i="2"/>
  <c r="BE849" i="2"/>
  <c r="BF849" i="2"/>
  <c r="BG849" i="2"/>
  <c r="BH849" i="2"/>
  <c r="BI849" i="2"/>
  <c r="BJ849" i="2"/>
  <c r="BK849" i="2"/>
  <c r="BL849" i="2"/>
  <c r="BM849" i="2"/>
  <c r="BN849" i="2"/>
  <c r="BO849" i="2"/>
  <c r="BP849" i="2"/>
  <c r="BQ849" i="2"/>
  <c r="BA850" i="2"/>
  <c r="BB850" i="2"/>
  <c r="BC850" i="2"/>
  <c r="BD850" i="2"/>
  <c r="BE850" i="2"/>
  <c r="BF850" i="2"/>
  <c r="BG850" i="2"/>
  <c r="BH850" i="2"/>
  <c r="BI850" i="2"/>
  <c r="BJ850" i="2"/>
  <c r="BK850" i="2"/>
  <c r="BL850" i="2"/>
  <c r="BM850" i="2"/>
  <c r="BN850" i="2"/>
  <c r="BO850" i="2"/>
  <c r="BP850" i="2"/>
  <c r="BQ850" i="2"/>
  <c r="BA851" i="2"/>
  <c r="BB851" i="2"/>
  <c r="BC851" i="2"/>
  <c r="BD851" i="2"/>
  <c r="BE851" i="2"/>
  <c r="BF851" i="2"/>
  <c r="BG851" i="2"/>
  <c r="BH851" i="2"/>
  <c r="BI851" i="2"/>
  <c r="BJ851" i="2"/>
  <c r="BK851" i="2"/>
  <c r="BL851" i="2"/>
  <c r="BM851" i="2"/>
  <c r="BN851" i="2"/>
  <c r="BO851" i="2"/>
  <c r="BP851" i="2"/>
  <c r="BQ851" i="2"/>
  <c r="BA852" i="2"/>
  <c r="BB852" i="2"/>
  <c r="BC852" i="2"/>
  <c r="BD852" i="2"/>
  <c r="BE852" i="2"/>
  <c r="BF852" i="2"/>
  <c r="BG852" i="2"/>
  <c r="BH852" i="2"/>
  <c r="BI852" i="2"/>
  <c r="BJ852" i="2"/>
  <c r="BK852" i="2"/>
  <c r="BL852" i="2"/>
  <c r="BM852" i="2"/>
  <c r="BN852" i="2"/>
  <c r="BO852" i="2"/>
  <c r="BP852" i="2"/>
  <c r="BQ852" i="2"/>
  <c r="BA853" i="2"/>
  <c r="BB853" i="2"/>
  <c r="BC853" i="2"/>
  <c r="BD853" i="2"/>
  <c r="BE853" i="2"/>
  <c r="BF853" i="2"/>
  <c r="BG853" i="2"/>
  <c r="BH853" i="2"/>
  <c r="BI853" i="2"/>
  <c r="BJ853" i="2"/>
  <c r="BK853" i="2"/>
  <c r="BL853" i="2"/>
  <c r="BM853" i="2"/>
  <c r="BN853" i="2"/>
  <c r="BO853" i="2"/>
  <c r="BP853" i="2"/>
  <c r="BQ853" i="2"/>
  <c r="BA854" i="2"/>
  <c r="BB854" i="2"/>
  <c r="BC854" i="2"/>
  <c r="BD854" i="2"/>
  <c r="BE854" i="2"/>
  <c r="BF854" i="2"/>
  <c r="BG854" i="2"/>
  <c r="BH854" i="2"/>
  <c r="BI854" i="2"/>
  <c r="BJ854" i="2"/>
  <c r="BK854" i="2"/>
  <c r="BL854" i="2"/>
  <c r="BM854" i="2"/>
  <c r="BN854" i="2"/>
  <c r="BO854" i="2"/>
  <c r="BP854" i="2"/>
  <c r="BQ854" i="2"/>
  <c r="BA855" i="2"/>
  <c r="BB855" i="2"/>
  <c r="BC855" i="2"/>
  <c r="BD855" i="2"/>
  <c r="BE855" i="2"/>
  <c r="BF855" i="2"/>
  <c r="BG855" i="2"/>
  <c r="BH855" i="2"/>
  <c r="BI855" i="2"/>
  <c r="BJ855" i="2"/>
  <c r="BK855" i="2"/>
  <c r="BL855" i="2"/>
  <c r="BM855" i="2"/>
  <c r="BN855" i="2"/>
  <c r="BO855" i="2"/>
  <c r="BP855" i="2"/>
  <c r="BQ855" i="2"/>
  <c r="BA856" i="2"/>
  <c r="BB856" i="2"/>
  <c r="BC856" i="2"/>
  <c r="BD856" i="2"/>
  <c r="BE856" i="2"/>
  <c r="BF856" i="2"/>
  <c r="BG856" i="2"/>
  <c r="BH856" i="2"/>
  <c r="BI856" i="2"/>
  <c r="BJ856" i="2"/>
  <c r="BK856" i="2"/>
  <c r="BL856" i="2"/>
  <c r="BM856" i="2"/>
  <c r="BN856" i="2"/>
  <c r="BO856" i="2"/>
  <c r="BP856" i="2"/>
  <c r="BQ856" i="2"/>
  <c r="BA857" i="2"/>
  <c r="BB857" i="2"/>
  <c r="BC857" i="2"/>
  <c r="BD857" i="2"/>
  <c r="BE857" i="2"/>
  <c r="BF857" i="2"/>
  <c r="BG857" i="2"/>
  <c r="BH857" i="2"/>
  <c r="BI857" i="2"/>
  <c r="BJ857" i="2"/>
  <c r="BK857" i="2"/>
  <c r="BL857" i="2"/>
  <c r="BM857" i="2"/>
  <c r="BN857" i="2"/>
  <c r="BO857" i="2"/>
  <c r="BP857" i="2"/>
  <c r="BQ857" i="2"/>
  <c r="BA858" i="2"/>
  <c r="BB858" i="2"/>
  <c r="BC858" i="2"/>
  <c r="BD858" i="2"/>
  <c r="BE858" i="2"/>
  <c r="BF858" i="2"/>
  <c r="BG858" i="2"/>
  <c r="BH858" i="2"/>
  <c r="BI858" i="2"/>
  <c r="BJ858" i="2"/>
  <c r="BK858" i="2"/>
  <c r="BL858" i="2"/>
  <c r="BM858" i="2"/>
  <c r="BN858" i="2"/>
  <c r="BO858" i="2"/>
  <c r="BP858" i="2"/>
  <c r="BQ858" i="2"/>
  <c r="BA859" i="2"/>
  <c r="BB859" i="2"/>
  <c r="BC859" i="2"/>
  <c r="BD859" i="2"/>
  <c r="BE859" i="2"/>
  <c r="BF859" i="2"/>
  <c r="BG859" i="2"/>
  <c r="BH859" i="2"/>
  <c r="BI859" i="2"/>
  <c r="BJ859" i="2"/>
  <c r="BK859" i="2"/>
  <c r="BL859" i="2"/>
  <c r="BM859" i="2"/>
  <c r="BN859" i="2"/>
  <c r="BO859" i="2"/>
  <c r="BP859" i="2"/>
  <c r="BQ859" i="2"/>
  <c r="BA860" i="2"/>
  <c r="BB860" i="2"/>
  <c r="BC860" i="2"/>
  <c r="BD860" i="2"/>
  <c r="BE860" i="2"/>
  <c r="BF860" i="2"/>
  <c r="BG860" i="2"/>
  <c r="BH860" i="2"/>
  <c r="BI860" i="2"/>
  <c r="BJ860" i="2"/>
  <c r="BK860" i="2"/>
  <c r="BL860" i="2"/>
  <c r="BM860" i="2"/>
  <c r="BN860" i="2"/>
  <c r="BO860" i="2"/>
  <c r="BP860" i="2"/>
  <c r="BQ860" i="2"/>
  <c r="BA861" i="2"/>
  <c r="BB861" i="2"/>
  <c r="BC861" i="2"/>
  <c r="BD861" i="2"/>
  <c r="BE861" i="2"/>
  <c r="BF861" i="2"/>
  <c r="BG861" i="2"/>
  <c r="BH861" i="2"/>
  <c r="BI861" i="2"/>
  <c r="BJ861" i="2"/>
  <c r="BK861" i="2"/>
  <c r="BL861" i="2"/>
  <c r="BM861" i="2"/>
  <c r="BN861" i="2"/>
  <c r="BO861" i="2"/>
  <c r="BP861" i="2"/>
  <c r="BQ861" i="2"/>
  <c r="BA862" i="2"/>
  <c r="BB862" i="2"/>
  <c r="BC862" i="2"/>
  <c r="BD862" i="2"/>
  <c r="BE862" i="2"/>
  <c r="BF862" i="2"/>
  <c r="BG862" i="2"/>
  <c r="BH862" i="2"/>
  <c r="BI862" i="2"/>
  <c r="BJ862" i="2"/>
  <c r="BK862" i="2"/>
  <c r="BL862" i="2"/>
  <c r="BM862" i="2"/>
  <c r="BN862" i="2"/>
  <c r="BO862" i="2"/>
  <c r="BP862" i="2"/>
  <c r="BQ862" i="2"/>
  <c r="BA863" i="2"/>
  <c r="BB863" i="2"/>
  <c r="BC863" i="2"/>
  <c r="BD863" i="2"/>
  <c r="BE863" i="2"/>
  <c r="BF863" i="2"/>
  <c r="BG863" i="2"/>
  <c r="BH863" i="2"/>
  <c r="BI863" i="2"/>
  <c r="BJ863" i="2"/>
  <c r="BK863" i="2"/>
  <c r="BL863" i="2"/>
  <c r="BM863" i="2"/>
  <c r="BN863" i="2"/>
  <c r="BO863" i="2"/>
  <c r="BP863" i="2"/>
  <c r="BQ863" i="2"/>
  <c r="BA864" i="2"/>
  <c r="BB864" i="2"/>
  <c r="BC864" i="2"/>
  <c r="BD864" i="2"/>
  <c r="BE864" i="2"/>
  <c r="BF864" i="2"/>
  <c r="BG864" i="2"/>
  <c r="BH864" i="2"/>
  <c r="BI864" i="2"/>
  <c r="BJ864" i="2"/>
  <c r="BK864" i="2"/>
  <c r="BL864" i="2"/>
  <c r="BM864" i="2"/>
  <c r="BN864" i="2"/>
  <c r="BO864" i="2"/>
  <c r="BP864" i="2"/>
  <c r="BQ864" i="2"/>
  <c r="BA865" i="2"/>
  <c r="BB865" i="2"/>
  <c r="BC865" i="2"/>
  <c r="BD865" i="2"/>
  <c r="BE865" i="2"/>
  <c r="BF865" i="2"/>
  <c r="BG865" i="2"/>
  <c r="BH865" i="2"/>
  <c r="BI865" i="2"/>
  <c r="BJ865" i="2"/>
  <c r="BK865" i="2"/>
  <c r="BL865" i="2"/>
  <c r="BM865" i="2"/>
  <c r="BN865" i="2"/>
  <c r="BO865" i="2"/>
  <c r="BP865" i="2"/>
  <c r="BQ865" i="2"/>
  <c r="BA866" i="2"/>
  <c r="BB866" i="2"/>
  <c r="BC866" i="2"/>
  <c r="BD866" i="2"/>
  <c r="BE866" i="2"/>
  <c r="BF866" i="2"/>
  <c r="BG866" i="2"/>
  <c r="BH866" i="2"/>
  <c r="BI866" i="2"/>
  <c r="BJ866" i="2"/>
  <c r="BK866" i="2"/>
  <c r="BL866" i="2"/>
  <c r="BM866" i="2"/>
  <c r="BN866" i="2"/>
  <c r="BO866" i="2"/>
  <c r="BP866" i="2"/>
  <c r="BQ866" i="2"/>
  <c r="BA867" i="2"/>
  <c r="BB867" i="2"/>
  <c r="BC867" i="2"/>
  <c r="BD867" i="2"/>
  <c r="BE867" i="2"/>
  <c r="BF867" i="2"/>
  <c r="BG867" i="2"/>
  <c r="BH867" i="2"/>
  <c r="BI867" i="2"/>
  <c r="BJ867" i="2"/>
  <c r="BK867" i="2"/>
  <c r="BL867" i="2"/>
  <c r="BM867" i="2"/>
  <c r="BN867" i="2"/>
  <c r="BO867" i="2"/>
  <c r="BP867" i="2"/>
  <c r="BQ867" i="2"/>
  <c r="BA868" i="2"/>
  <c r="BB868" i="2"/>
  <c r="BC868" i="2"/>
  <c r="BD868" i="2"/>
  <c r="BE868" i="2"/>
  <c r="BF868" i="2"/>
  <c r="BG868" i="2"/>
  <c r="BH868" i="2"/>
  <c r="BI868" i="2"/>
  <c r="BJ868" i="2"/>
  <c r="BK868" i="2"/>
  <c r="BL868" i="2"/>
  <c r="BM868" i="2"/>
  <c r="BN868" i="2"/>
  <c r="BO868" i="2"/>
  <c r="BP868" i="2"/>
  <c r="BQ868" i="2"/>
  <c r="BA869" i="2"/>
  <c r="BB869" i="2"/>
  <c r="BC869" i="2"/>
  <c r="BD869" i="2"/>
  <c r="BE869" i="2"/>
  <c r="BF869" i="2"/>
  <c r="BG869" i="2"/>
  <c r="BH869" i="2"/>
  <c r="BI869" i="2"/>
  <c r="BJ869" i="2"/>
  <c r="BK869" i="2"/>
  <c r="BL869" i="2"/>
  <c r="BM869" i="2"/>
  <c r="BN869" i="2"/>
  <c r="BO869" i="2"/>
  <c r="BP869" i="2"/>
  <c r="BQ869" i="2"/>
  <c r="BA870" i="2"/>
  <c r="BB870" i="2"/>
  <c r="BC870" i="2"/>
  <c r="BD870" i="2"/>
  <c r="BE870" i="2"/>
  <c r="BF870" i="2"/>
  <c r="BG870" i="2"/>
  <c r="BH870" i="2"/>
  <c r="BI870" i="2"/>
  <c r="BJ870" i="2"/>
  <c r="BK870" i="2"/>
  <c r="BL870" i="2"/>
  <c r="BM870" i="2"/>
  <c r="BN870" i="2"/>
  <c r="BO870" i="2"/>
  <c r="BP870" i="2"/>
  <c r="BQ870" i="2"/>
  <c r="BA871" i="2"/>
  <c r="BB871" i="2"/>
  <c r="BC871" i="2"/>
  <c r="BD871" i="2"/>
  <c r="BE871" i="2"/>
  <c r="BF871" i="2"/>
  <c r="BG871" i="2"/>
  <c r="BH871" i="2"/>
  <c r="BI871" i="2"/>
  <c r="BJ871" i="2"/>
  <c r="BK871" i="2"/>
  <c r="BL871" i="2"/>
  <c r="BM871" i="2"/>
  <c r="BN871" i="2"/>
  <c r="BO871" i="2"/>
  <c r="BP871" i="2"/>
  <c r="BQ871" i="2"/>
  <c r="BA872" i="2"/>
  <c r="BB872" i="2"/>
  <c r="BC872" i="2"/>
  <c r="BD872" i="2"/>
  <c r="BE872" i="2"/>
  <c r="BF872" i="2"/>
  <c r="BG872" i="2"/>
  <c r="BH872" i="2"/>
  <c r="BI872" i="2"/>
  <c r="BJ872" i="2"/>
  <c r="BK872" i="2"/>
  <c r="BL872" i="2"/>
  <c r="BM872" i="2"/>
  <c r="BN872" i="2"/>
  <c r="BO872" i="2"/>
  <c r="BP872" i="2"/>
  <c r="BQ872" i="2"/>
  <c r="BA873" i="2"/>
  <c r="BB873" i="2"/>
  <c r="BC873" i="2"/>
  <c r="BD873" i="2"/>
  <c r="BE873" i="2"/>
  <c r="BF873" i="2"/>
  <c r="BG873" i="2"/>
  <c r="BH873" i="2"/>
  <c r="BI873" i="2"/>
  <c r="BJ873" i="2"/>
  <c r="BK873" i="2"/>
  <c r="BL873" i="2"/>
  <c r="BM873" i="2"/>
  <c r="BN873" i="2"/>
  <c r="BO873" i="2"/>
  <c r="BP873" i="2"/>
  <c r="BQ873" i="2"/>
  <c r="BA874" i="2"/>
  <c r="BB874" i="2"/>
  <c r="BC874" i="2"/>
  <c r="BD874" i="2"/>
  <c r="BE874" i="2"/>
  <c r="BF874" i="2"/>
  <c r="BG874" i="2"/>
  <c r="BH874" i="2"/>
  <c r="BI874" i="2"/>
  <c r="BJ874" i="2"/>
  <c r="BK874" i="2"/>
  <c r="BL874" i="2"/>
  <c r="BM874" i="2"/>
  <c r="BN874" i="2"/>
  <c r="BO874" i="2"/>
  <c r="BP874" i="2"/>
  <c r="BQ874" i="2"/>
  <c r="BA875" i="2"/>
  <c r="BB875" i="2"/>
  <c r="BC875" i="2"/>
  <c r="BD875" i="2"/>
  <c r="BE875" i="2"/>
  <c r="BF875" i="2"/>
  <c r="BG875" i="2"/>
  <c r="BH875" i="2"/>
  <c r="BI875" i="2"/>
  <c r="BJ875" i="2"/>
  <c r="BK875" i="2"/>
  <c r="BL875" i="2"/>
  <c r="BM875" i="2"/>
  <c r="BN875" i="2"/>
  <c r="BO875" i="2"/>
  <c r="BP875" i="2"/>
  <c r="BQ875" i="2"/>
  <c r="BA876" i="2"/>
  <c r="BB876" i="2"/>
  <c r="BC876" i="2"/>
  <c r="BD876" i="2"/>
  <c r="BE876" i="2"/>
  <c r="BF876" i="2"/>
  <c r="BG876" i="2"/>
  <c r="BH876" i="2"/>
  <c r="BI876" i="2"/>
  <c r="BJ876" i="2"/>
  <c r="BK876" i="2"/>
  <c r="BL876" i="2"/>
  <c r="BM876" i="2"/>
  <c r="BN876" i="2"/>
  <c r="BO876" i="2"/>
  <c r="BP876" i="2"/>
  <c r="BQ876" i="2"/>
  <c r="BA877" i="2"/>
  <c r="BB877" i="2"/>
  <c r="BC877" i="2"/>
  <c r="BD877" i="2"/>
  <c r="BE877" i="2"/>
  <c r="BF877" i="2"/>
  <c r="BG877" i="2"/>
  <c r="BH877" i="2"/>
  <c r="BI877" i="2"/>
  <c r="BJ877" i="2"/>
  <c r="BK877" i="2"/>
  <c r="BL877" i="2"/>
  <c r="BM877" i="2"/>
  <c r="BN877" i="2"/>
  <c r="BO877" i="2"/>
  <c r="BP877" i="2"/>
  <c r="BQ877" i="2"/>
  <c r="BA878" i="2"/>
  <c r="BB878" i="2"/>
  <c r="BC878" i="2"/>
  <c r="BD878" i="2"/>
  <c r="BE878" i="2"/>
  <c r="BF878" i="2"/>
  <c r="BG878" i="2"/>
  <c r="BH878" i="2"/>
  <c r="BI878" i="2"/>
  <c r="BJ878" i="2"/>
  <c r="BK878" i="2"/>
  <c r="BL878" i="2"/>
  <c r="BM878" i="2"/>
  <c r="BN878" i="2"/>
  <c r="BO878" i="2"/>
  <c r="BP878" i="2"/>
  <c r="BQ878" i="2"/>
  <c r="BA879" i="2"/>
  <c r="BB879" i="2"/>
  <c r="BC879" i="2"/>
  <c r="BD879" i="2"/>
  <c r="BE879" i="2"/>
  <c r="BF879" i="2"/>
  <c r="BG879" i="2"/>
  <c r="BH879" i="2"/>
  <c r="BI879" i="2"/>
  <c r="BJ879" i="2"/>
  <c r="BK879" i="2"/>
  <c r="BL879" i="2"/>
  <c r="BM879" i="2"/>
  <c r="BN879" i="2"/>
  <c r="BO879" i="2"/>
  <c r="BP879" i="2"/>
  <c r="BQ879" i="2"/>
  <c r="BA880" i="2"/>
  <c r="BB880" i="2"/>
  <c r="BC880" i="2"/>
  <c r="BD880" i="2"/>
  <c r="BE880" i="2"/>
  <c r="BF880" i="2"/>
  <c r="BG880" i="2"/>
  <c r="BH880" i="2"/>
  <c r="BI880" i="2"/>
  <c r="BJ880" i="2"/>
  <c r="BK880" i="2"/>
  <c r="BL880" i="2"/>
  <c r="BM880" i="2"/>
  <c r="BN880" i="2"/>
  <c r="BO880" i="2"/>
  <c r="BP880" i="2"/>
  <c r="BQ880" i="2"/>
  <c r="BA881" i="2"/>
  <c r="BB881" i="2"/>
  <c r="BC881" i="2"/>
  <c r="BD881" i="2"/>
  <c r="BE881" i="2"/>
  <c r="BF881" i="2"/>
  <c r="BG881" i="2"/>
  <c r="BH881" i="2"/>
  <c r="BI881" i="2"/>
  <c r="BJ881" i="2"/>
  <c r="BK881" i="2"/>
  <c r="BL881" i="2"/>
  <c r="BM881" i="2"/>
  <c r="BN881" i="2"/>
  <c r="BO881" i="2"/>
  <c r="BP881" i="2"/>
  <c r="BQ881" i="2"/>
  <c r="BA882" i="2"/>
  <c r="BB882" i="2"/>
  <c r="BC882" i="2"/>
  <c r="BD882" i="2"/>
  <c r="BE882" i="2"/>
  <c r="BF882" i="2"/>
  <c r="BG882" i="2"/>
  <c r="BH882" i="2"/>
  <c r="BI882" i="2"/>
  <c r="BJ882" i="2"/>
  <c r="BK882" i="2"/>
  <c r="BL882" i="2"/>
  <c r="BM882" i="2"/>
  <c r="BN882" i="2"/>
  <c r="BO882" i="2"/>
  <c r="BP882" i="2"/>
  <c r="BQ882" i="2"/>
  <c r="BA883" i="2"/>
  <c r="BB883" i="2"/>
  <c r="BC883" i="2"/>
  <c r="BD883" i="2"/>
  <c r="BE883" i="2"/>
  <c r="BF883" i="2"/>
  <c r="BG883" i="2"/>
  <c r="BH883" i="2"/>
  <c r="BI883" i="2"/>
  <c r="BJ883" i="2"/>
  <c r="BK883" i="2"/>
  <c r="BL883" i="2"/>
  <c r="BM883" i="2"/>
  <c r="BN883" i="2"/>
  <c r="BO883" i="2"/>
  <c r="BP883" i="2"/>
  <c r="BQ883" i="2"/>
  <c r="BA884" i="2"/>
  <c r="BB884" i="2"/>
  <c r="BC884" i="2"/>
  <c r="BD884" i="2"/>
  <c r="BE884" i="2"/>
  <c r="BF884" i="2"/>
  <c r="BG884" i="2"/>
  <c r="BH884" i="2"/>
  <c r="BI884" i="2"/>
  <c r="BJ884" i="2"/>
  <c r="BK884" i="2"/>
  <c r="BL884" i="2"/>
  <c r="BM884" i="2"/>
  <c r="BN884" i="2"/>
  <c r="BO884" i="2"/>
  <c r="BP884" i="2"/>
  <c r="BQ884" i="2"/>
  <c r="BA885" i="2"/>
  <c r="BB885" i="2"/>
  <c r="BC885" i="2"/>
  <c r="BD885" i="2"/>
  <c r="BE885" i="2"/>
  <c r="BF885" i="2"/>
  <c r="BG885" i="2"/>
  <c r="BH885" i="2"/>
  <c r="BI885" i="2"/>
  <c r="BJ885" i="2"/>
  <c r="BK885" i="2"/>
  <c r="BL885" i="2"/>
  <c r="BM885" i="2"/>
  <c r="BN885" i="2"/>
  <c r="BO885" i="2"/>
  <c r="BP885" i="2"/>
  <c r="BQ885" i="2"/>
  <c r="BA886" i="2"/>
  <c r="BB886" i="2"/>
  <c r="BC886" i="2"/>
  <c r="BD886" i="2"/>
  <c r="BE886" i="2"/>
  <c r="BF886" i="2"/>
  <c r="BG886" i="2"/>
  <c r="BH886" i="2"/>
  <c r="BI886" i="2"/>
  <c r="BJ886" i="2"/>
  <c r="BK886" i="2"/>
  <c r="BL886" i="2"/>
  <c r="BM886" i="2"/>
  <c r="BN886" i="2"/>
  <c r="BO886" i="2"/>
  <c r="BP886" i="2"/>
  <c r="BQ886" i="2"/>
  <c r="BA887" i="2"/>
  <c r="BB887" i="2"/>
  <c r="BC887" i="2"/>
  <c r="BD887" i="2"/>
  <c r="BE887" i="2"/>
  <c r="BF887" i="2"/>
  <c r="BG887" i="2"/>
  <c r="BH887" i="2"/>
  <c r="BI887" i="2"/>
  <c r="BJ887" i="2"/>
  <c r="BK887" i="2"/>
  <c r="BL887" i="2"/>
  <c r="BM887" i="2"/>
  <c r="BN887" i="2"/>
  <c r="BO887" i="2"/>
  <c r="BP887" i="2"/>
  <c r="BQ887" i="2"/>
  <c r="BA888" i="2"/>
  <c r="BB888" i="2"/>
  <c r="BC888" i="2"/>
  <c r="BD888" i="2"/>
  <c r="BE888" i="2"/>
  <c r="BF888" i="2"/>
  <c r="BG888" i="2"/>
  <c r="BH888" i="2"/>
  <c r="BI888" i="2"/>
  <c r="BJ888" i="2"/>
  <c r="BK888" i="2"/>
  <c r="BL888" i="2"/>
  <c r="BM888" i="2"/>
  <c r="BN888" i="2"/>
  <c r="BO888" i="2"/>
  <c r="BP888" i="2"/>
  <c r="BQ888" i="2"/>
  <c r="BA889" i="2"/>
  <c r="BB889" i="2"/>
  <c r="BC889" i="2"/>
  <c r="BD889" i="2"/>
  <c r="BE889" i="2"/>
  <c r="BF889" i="2"/>
  <c r="BG889" i="2"/>
  <c r="BH889" i="2"/>
  <c r="BI889" i="2"/>
  <c r="BJ889" i="2"/>
  <c r="BK889" i="2"/>
  <c r="BL889" i="2"/>
  <c r="BM889" i="2"/>
  <c r="BN889" i="2"/>
  <c r="BO889" i="2"/>
  <c r="BP889" i="2"/>
  <c r="BQ889" i="2"/>
  <c r="BA890" i="2"/>
  <c r="BB890" i="2"/>
  <c r="BC890" i="2"/>
  <c r="BD890" i="2"/>
  <c r="BE890" i="2"/>
  <c r="BF890" i="2"/>
  <c r="BG890" i="2"/>
  <c r="BH890" i="2"/>
  <c r="BI890" i="2"/>
  <c r="BJ890" i="2"/>
  <c r="BK890" i="2"/>
  <c r="BL890" i="2"/>
  <c r="BM890" i="2"/>
  <c r="BN890" i="2"/>
  <c r="BO890" i="2"/>
  <c r="BP890" i="2"/>
  <c r="BQ890" i="2"/>
  <c r="BO3" i="2"/>
  <c r="BP3" i="2"/>
  <c r="BQ3" i="2"/>
  <c r="BN3" i="2"/>
  <c r="BL3" i="2"/>
  <c r="BM3" i="2"/>
  <c r="BK3" i="2"/>
  <c r="BI3" i="2"/>
  <c r="BJ3" i="2"/>
  <c r="BH3" i="2"/>
  <c r="BE3" i="2"/>
  <c r="BF3" i="2"/>
  <c r="BG3" i="2"/>
  <c r="BD3" i="2"/>
  <c r="BB3" i="2"/>
  <c r="BC3" i="2"/>
  <c r="BA3" i="2"/>
  <c r="AY3" i="2"/>
  <c r="AZ3" i="2"/>
  <c r="AX3" i="2"/>
  <c r="I199" i="26"/>
  <c r="N199" i="26"/>
  <c r="G199" i="26"/>
  <c r="L199" i="26"/>
  <c r="J199" i="26"/>
  <c r="D199" i="26"/>
  <c r="F199" i="26"/>
  <c r="P199" i="26"/>
  <c r="S199" i="26"/>
  <c r="U199" i="26"/>
  <c r="R199" i="26"/>
  <c r="U198" i="26"/>
  <c r="C199" i="26" l="1"/>
  <c r="B200" i="26"/>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1" i="2"/>
  <c r="AR120" i="2"/>
  <c r="AR119" i="2"/>
  <c r="AR118" i="2"/>
  <c r="AR117" i="2"/>
  <c r="AR116" i="2"/>
  <c r="AR115" i="2"/>
  <c r="AR114" i="2"/>
  <c r="AR113" i="2"/>
  <c r="AR112" i="2"/>
  <c r="AR111" i="2"/>
  <c r="AR110" i="2"/>
  <c r="AR109" i="2"/>
  <c r="AR108" i="2"/>
  <c r="AR107" i="2"/>
  <c r="AR106" i="2"/>
  <c r="AR105" i="2"/>
  <c r="AR104" i="2"/>
  <c r="AR103" i="2"/>
  <c r="AR102" i="2"/>
  <c r="AR101"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J890" i="2"/>
  <c r="AJ889" i="2"/>
  <c r="AJ888" i="2"/>
  <c r="AJ887" i="2"/>
  <c r="AJ886" i="2"/>
  <c r="AJ885" i="2"/>
  <c r="AJ884" i="2"/>
  <c r="AJ883" i="2"/>
  <c r="AJ882" i="2"/>
  <c r="AJ881" i="2"/>
  <c r="AJ880" i="2"/>
  <c r="AJ879" i="2"/>
  <c r="AJ878" i="2"/>
  <c r="AJ877" i="2"/>
  <c r="AJ876" i="2"/>
  <c r="AJ875" i="2"/>
  <c r="AJ874" i="2"/>
  <c r="AJ873" i="2"/>
  <c r="AJ872" i="2"/>
  <c r="AJ871" i="2"/>
  <c r="AJ870" i="2"/>
  <c r="AJ869" i="2"/>
  <c r="AJ868" i="2"/>
  <c r="AJ867" i="2"/>
  <c r="AJ866" i="2"/>
  <c r="AJ865" i="2"/>
  <c r="AJ864" i="2"/>
  <c r="AJ863" i="2"/>
  <c r="AJ862" i="2"/>
  <c r="AJ861" i="2"/>
  <c r="AJ860" i="2"/>
  <c r="AJ859" i="2"/>
  <c r="AJ858" i="2"/>
  <c r="AJ857" i="2"/>
  <c r="AJ856" i="2"/>
  <c r="AJ855" i="2"/>
  <c r="AJ854" i="2"/>
  <c r="AJ853" i="2"/>
  <c r="AJ852" i="2"/>
  <c r="AJ851" i="2"/>
  <c r="AJ850" i="2"/>
  <c r="AJ849" i="2"/>
  <c r="AJ848" i="2"/>
  <c r="AJ847" i="2"/>
  <c r="AJ846" i="2"/>
  <c r="AJ845" i="2"/>
  <c r="AJ844" i="2"/>
  <c r="AJ843" i="2"/>
  <c r="AJ842" i="2"/>
  <c r="AJ841" i="2"/>
  <c r="AJ840" i="2"/>
  <c r="AJ839" i="2"/>
  <c r="AJ838" i="2"/>
  <c r="AJ837" i="2"/>
  <c r="AJ836" i="2"/>
  <c r="AJ835" i="2"/>
  <c r="AJ834" i="2"/>
  <c r="AJ833" i="2"/>
  <c r="AJ832" i="2"/>
  <c r="AJ831" i="2"/>
  <c r="AJ830" i="2"/>
  <c r="AJ829" i="2"/>
  <c r="AJ828" i="2"/>
  <c r="AJ827" i="2"/>
  <c r="AJ826" i="2"/>
  <c r="AJ825" i="2"/>
  <c r="AJ824" i="2"/>
  <c r="AJ823" i="2"/>
  <c r="AJ822" i="2"/>
  <c r="AJ821" i="2"/>
  <c r="AJ820" i="2"/>
  <c r="AJ819" i="2"/>
  <c r="AJ818" i="2"/>
  <c r="AJ817" i="2"/>
  <c r="AJ816" i="2"/>
  <c r="AJ815" i="2"/>
  <c r="AJ814" i="2"/>
  <c r="AJ813" i="2"/>
  <c r="AJ812" i="2"/>
  <c r="AJ811" i="2"/>
  <c r="AJ810" i="2"/>
  <c r="AJ809" i="2"/>
  <c r="AJ808" i="2"/>
  <c r="AJ807" i="2"/>
  <c r="AJ806" i="2"/>
  <c r="AJ805" i="2"/>
  <c r="AJ804" i="2"/>
  <c r="AJ803" i="2"/>
  <c r="AJ802" i="2"/>
  <c r="AJ801" i="2"/>
  <c r="AJ800" i="2"/>
  <c r="AJ799" i="2"/>
  <c r="AJ798" i="2"/>
  <c r="AJ797" i="2"/>
  <c r="AJ796" i="2"/>
  <c r="AJ795" i="2"/>
  <c r="AJ794" i="2"/>
  <c r="AJ793" i="2"/>
  <c r="AJ792" i="2"/>
  <c r="AJ791" i="2"/>
  <c r="AJ790" i="2"/>
  <c r="AJ789" i="2"/>
  <c r="AJ788" i="2"/>
  <c r="AJ787" i="2"/>
  <c r="AJ786" i="2"/>
  <c r="AJ785" i="2"/>
  <c r="AJ784" i="2"/>
  <c r="AJ783" i="2"/>
  <c r="AJ782" i="2"/>
  <c r="AJ781" i="2"/>
  <c r="AJ780" i="2"/>
  <c r="AJ779" i="2"/>
  <c r="AJ778" i="2"/>
  <c r="AJ777" i="2"/>
  <c r="AJ776" i="2"/>
  <c r="AJ775" i="2"/>
  <c r="AJ774" i="2"/>
  <c r="AJ773" i="2"/>
  <c r="AJ772" i="2"/>
  <c r="AJ771" i="2"/>
  <c r="AJ770" i="2"/>
  <c r="AJ769" i="2"/>
  <c r="AJ768" i="2"/>
  <c r="AJ767" i="2"/>
  <c r="AJ766" i="2"/>
  <c r="AJ765" i="2"/>
  <c r="AJ764" i="2"/>
  <c r="AJ763" i="2"/>
  <c r="AJ762" i="2"/>
  <c r="AJ761" i="2"/>
  <c r="AJ760" i="2"/>
  <c r="AJ759" i="2"/>
  <c r="AJ758" i="2"/>
  <c r="AJ757" i="2"/>
  <c r="AJ756" i="2"/>
  <c r="AJ755" i="2"/>
  <c r="AJ754" i="2"/>
  <c r="AJ753" i="2"/>
  <c r="AJ752" i="2"/>
  <c r="AJ751" i="2"/>
  <c r="AJ750" i="2"/>
  <c r="AJ749" i="2"/>
  <c r="AJ748" i="2"/>
  <c r="AJ747" i="2"/>
  <c r="AJ746" i="2"/>
  <c r="AJ745" i="2"/>
  <c r="AJ744" i="2"/>
  <c r="AJ743" i="2"/>
  <c r="AJ742" i="2"/>
  <c r="AJ741" i="2"/>
  <c r="AJ740" i="2"/>
  <c r="AJ739" i="2"/>
  <c r="AJ738" i="2"/>
  <c r="AJ737" i="2"/>
  <c r="AJ736" i="2"/>
  <c r="AJ735" i="2"/>
  <c r="AJ734" i="2"/>
  <c r="AJ733" i="2"/>
  <c r="AJ732" i="2"/>
  <c r="AJ731" i="2"/>
  <c r="AJ730" i="2"/>
  <c r="AJ729" i="2"/>
  <c r="AJ728" i="2"/>
  <c r="AJ727" i="2"/>
  <c r="AJ726" i="2"/>
  <c r="AJ725" i="2"/>
  <c r="AJ724" i="2"/>
  <c r="AJ723" i="2"/>
  <c r="AJ722" i="2"/>
  <c r="AJ721" i="2"/>
  <c r="AJ720" i="2"/>
  <c r="AJ719" i="2"/>
  <c r="AJ718" i="2"/>
  <c r="AJ717" i="2"/>
  <c r="AJ716" i="2"/>
  <c r="AJ715" i="2"/>
  <c r="AJ714" i="2"/>
  <c r="AJ713" i="2"/>
  <c r="AJ712" i="2"/>
  <c r="AJ711" i="2"/>
  <c r="AJ710" i="2"/>
  <c r="AJ709" i="2"/>
  <c r="AJ708" i="2"/>
  <c r="AJ707" i="2"/>
  <c r="AJ706" i="2"/>
  <c r="AJ705" i="2"/>
  <c r="AJ704" i="2"/>
  <c r="AJ703" i="2"/>
  <c r="AJ702" i="2"/>
  <c r="AJ701" i="2"/>
  <c r="AJ700" i="2"/>
  <c r="AJ699" i="2"/>
  <c r="AJ698" i="2"/>
  <c r="AJ697" i="2"/>
  <c r="AJ696" i="2"/>
  <c r="AJ695" i="2"/>
  <c r="AJ694" i="2"/>
  <c r="AJ693" i="2"/>
  <c r="AJ692" i="2"/>
  <c r="AJ691" i="2"/>
  <c r="AJ690" i="2"/>
  <c r="AJ689" i="2"/>
  <c r="AJ688" i="2"/>
  <c r="AJ687" i="2"/>
  <c r="AJ686" i="2"/>
  <c r="AJ685" i="2"/>
  <c r="AJ684" i="2"/>
  <c r="AJ683" i="2"/>
  <c r="AJ682" i="2"/>
  <c r="AJ681" i="2"/>
  <c r="AJ680" i="2"/>
  <c r="AJ679" i="2"/>
  <c r="AJ678" i="2"/>
  <c r="AJ677" i="2"/>
  <c r="AJ676" i="2"/>
  <c r="AJ675" i="2"/>
  <c r="AJ674" i="2"/>
  <c r="AJ673" i="2"/>
  <c r="AJ672" i="2"/>
  <c r="AJ671" i="2"/>
  <c r="AJ670" i="2"/>
  <c r="AJ669" i="2"/>
  <c r="AJ668" i="2"/>
  <c r="AJ667" i="2"/>
  <c r="AJ666" i="2"/>
  <c r="AJ665" i="2"/>
  <c r="AJ664" i="2"/>
  <c r="AJ663" i="2"/>
  <c r="AJ662" i="2"/>
  <c r="AJ661" i="2"/>
  <c r="AJ660" i="2"/>
  <c r="AJ659" i="2"/>
  <c r="AJ658" i="2"/>
  <c r="AJ657" i="2"/>
  <c r="AJ656" i="2"/>
  <c r="AJ655" i="2"/>
  <c r="AJ654" i="2"/>
  <c r="AJ653" i="2"/>
  <c r="AJ652" i="2"/>
  <c r="AJ651" i="2"/>
  <c r="AJ650" i="2"/>
  <c r="AJ649" i="2"/>
  <c r="AJ648" i="2"/>
  <c r="AJ647" i="2"/>
  <c r="AJ646" i="2"/>
  <c r="AJ645" i="2"/>
  <c r="AJ644" i="2"/>
  <c r="AJ643" i="2"/>
  <c r="AJ642" i="2"/>
  <c r="AJ641" i="2"/>
  <c r="AJ640" i="2"/>
  <c r="AJ639" i="2"/>
  <c r="AJ638" i="2"/>
  <c r="AJ637" i="2"/>
  <c r="AJ636" i="2"/>
  <c r="AJ635" i="2"/>
  <c r="AJ634" i="2"/>
  <c r="AJ633" i="2"/>
  <c r="AJ632" i="2"/>
  <c r="AJ631" i="2"/>
  <c r="AJ630" i="2"/>
  <c r="AJ629" i="2"/>
  <c r="AJ628" i="2"/>
  <c r="AJ627" i="2"/>
  <c r="AJ626" i="2"/>
  <c r="AJ625" i="2"/>
  <c r="AJ624" i="2"/>
  <c r="AJ623" i="2"/>
  <c r="AJ622" i="2"/>
  <c r="AJ621" i="2"/>
  <c r="AJ620" i="2"/>
  <c r="AJ619" i="2"/>
  <c r="AJ618" i="2"/>
  <c r="AJ617" i="2"/>
  <c r="AJ616" i="2"/>
  <c r="AJ615" i="2"/>
  <c r="AJ614" i="2"/>
  <c r="AJ613" i="2"/>
  <c r="AJ612" i="2"/>
  <c r="AJ611" i="2"/>
  <c r="AJ610" i="2"/>
  <c r="AJ609" i="2"/>
  <c r="AJ608" i="2"/>
  <c r="AJ607" i="2"/>
  <c r="AJ606" i="2"/>
  <c r="AJ605" i="2"/>
  <c r="AJ604" i="2"/>
  <c r="AJ603" i="2"/>
  <c r="AJ602" i="2"/>
  <c r="AJ601" i="2"/>
  <c r="AJ600" i="2"/>
  <c r="AJ599" i="2"/>
  <c r="AJ598" i="2"/>
  <c r="AJ597" i="2"/>
  <c r="AJ596" i="2"/>
  <c r="AJ595" i="2"/>
  <c r="AJ594" i="2"/>
  <c r="AJ593" i="2"/>
  <c r="AJ592" i="2"/>
  <c r="AJ591" i="2"/>
  <c r="AJ590" i="2"/>
  <c r="AJ589" i="2"/>
  <c r="AJ588" i="2"/>
  <c r="AJ587" i="2"/>
  <c r="AJ586" i="2"/>
  <c r="AJ585" i="2"/>
  <c r="AJ584" i="2"/>
  <c r="AJ583" i="2"/>
  <c r="AJ582" i="2"/>
  <c r="AJ581" i="2"/>
  <c r="AJ580" i="2"/>
  <c r="AJ579" i="2"/>
  <c r="AJ578" i="2"/>
  <c r="AJ577" i="2"/>
  <c r="AJ576" i="2"/>
  <c r="AJ575" i="2"/>
  <c r="AJ574" i="2"/>
  <c r="AJ573" i="2"/>
  <c r="AJ572" i="2"/>
  <c r="AJ571" i="2"/>
  <c r="AJ570" i="2"/>
  <c r="AJ569" i="2"/>
  <c r="AJ568" i="2"/>
  <c r="AJ567" i="2"/>
  <c r="AJ566" i="2"/>
  <c r="AJ565" i="2"/>
  <c r="AJ564" i="2"/>
  <c r="AJ563" i="2"/>
  <c r="AJ562" i="2"/>
  <c r="AJ561" i="2"/>
  <c r="AJ560" i="2"/>
  <c r="AJ559" i="2"/>
  <c r="AJ558" i="2"/>
  <c r="AJ557" i="2"/>
  <c r="AJ556" i="2"/>
  <c r="AJ555" i="2"/>
  <c r="AJ554" i="2"/>
  <c r="AJ553" i="2"/>
  <c r="AJ552" i="2"/>
  <c r="AJ551" i="2"/>
  <c r="AJ550" i="2"/>
  <c r="AJ549" i="2"/>
  <c r="AJ548" i="2"/>
  <c r="AJ547" i="2"/>
  <c r="AJ546" i="2"/>
  <c r="AJ545" i="2"/>
  <c r="AJ544" i="2"/>
  <c r="AJ543" i="2"/>
  <c r="AJ542" i="2"/>
  <c r="AJ541" i="2"/>
  <c r="AJ540" i="2"/>
  <c r="AJ539" i="2"/>
  <c r="AJ538" i="2"/>
  <c r="AJ537" i="2"/>
  <c r="AJ536" i="2"/>
  <c r="AJ535" i="2"/>
  <c r="AJ527" i="2"/>
  <c r="AJ526" i="2"/>
  <c r="AJ525" i="2"/>
  <c r="AJ524" i="2"/>
  <c r="AJ523" i="2"/>
  <c r="AJ522" i="2"/>
  <c r="AJ521" i="2"/>
  <c r="AJ520" i="2"/>
  <c r="AJ519" i="2"/>
  <c r="AJ518" i="2"/>
  <c r="AJ517" i="2"/>
  <c r="AJ516" i="2"/>
  <c r="AJ515" i="2"/>
  <c r="AJ514" i="2"/>
  <c r="AJ513" i="2"/>
  <c r="AJ512" i="2"/>
  <c r="AJ511" i="2"/>
  <c r="AJ510" i="2"/>
  <c r="AJ509" i="2"/>
  <c r="AJ508" i="2"/>
  <c r="AJ507" i="2"/>
  <c r="AJ506" i="2"/>
  <c r="AJ505" i="2"/>
  <c r="AJ504" i="2"/>
  <c r="AJ503" i="2"/>
  <c r="AJ502" i="2"/>
  <c r="AJ501" i="2"/>
  <c r="AJ500" i="2"/>
  <c r="AJ499" i="2"/>
  <c r="AJ498" i="2"/>
  <c r="AJ497" i="2"/>
  <c r="AJ496" i="2"/>
  <c r="AJ495" i="2"/>
  <c r="AJ494" i="2"/>
  <c r="AJ493" i="2"/>
  <c r="AJ492" i="2"/>
  <c r="AJ491" i="2"/>
  <c r="AJ490" i="2"/>
  <c r="AJ489" i="2"/>
  <c r="AJ488" i="2"/>
  <c r="AJ487" i="2"/>
  <c r="AJ486" i="2"/>
  <c r="AJ485" i="2"/>
  <c r="AJ484" i="2"/>
  <c r="AJ483" i="2"/>
  <c r="AJ482" i="2"/>
  <c r="AJ481" i="2"/>
  <c r="AJ480" i="2"/>
  <c r="AJ479" i="2"/>
  <c r="AJ478" i="2"/>
  <c r="AJ477" i="2"/>
  <c r="AJ476" i="2"/>
  <c r="AJ475" i="2"/>
  <c r="AJ474" i="2"/>
  <c r="AJ473" i="2"/>
  <c r="AJ472" i="2"/>
  <c r="AJ471" i="2"/>
  <c r="AJ470" i="2"/>
  <c r="AJ469" i="2"/>
  <c r="AJ468" i="2"/>
  <c r="AJ467" i="2"/>
  <c r="AJ466" i="2"/>
  <c r="AJ465" i="2"/>
  <c r="AJ464" i="2"/>
  <c r="AJ463" i="2"/>
  <c r="AJ462" i="2"/>
  <c r="AJ461" i="2"/>
  <c r="AJ460" i="2"/>
  <c r="AJ459" i="2"/>
  <c r="AJ458" i="2"/>
  <c r="AJ457" i="2"/>
  <c r="AJ456" i="2"/>
  <c r="AJ455" i="2"/>
  <c r="AJ454" i="2"/>
  <c r="AJ453" i="2"/>
  <c r="AJ452" i="2"/>
  <c r="AJ451" i="2"/>
  <c r="AJ450" i="2"/>
  <c r="AJ449" i="2"/>
  <c r="AJ448" i="2"/>
  <c r="AJ447" i="2"/>
  <c r="AJ446" i="2"/>
  <c r="AJ445" i="2"/>
  <c r="AJ444" i="2"/>
  <c r="AJ443" i="2"/>
  <c r="AJ442" i="2"/>
  <c r="AJ441" i="2"/>
  <c r="AJ440" i="2"/>
  <c r="AJ439" i="2"/>
  <c r="AJ438" i="2"/>
  <c r="AJ437" i="2"/>
  <c r="AJ436" i="2"/>
  <c r="AJ435" i="2"/>
  <c r="AJ434" i="2"/>
  <c r="AJ433" i="2"/>
  <c r="AJ432" i="2"/>
  <c r="AJ431" i="2"/>
  <c r="AJ430" i="2"/>
  <c r="AJ429" i="2"/>
  <c r="AJ428" i="2"/>
  <c r="AJ427" i="2"/>
  <c r="AJ426" i="2"/>
  <c r="AJ425" i="2"/>
  <c r="AJ424" i="2"/>
  <c r="AJ423" i="2"/>
  <c r="AJ422" i="2"/>
  <c r="AJ421" i="2"/>
  <c r="AJ420" i="2"/>
  <c r="AJ419" i="2"/>
  <c r="AJ418" i="2"/>
  <c r="AJ417" i="2"/>
  <c r="AJ416" i="2"/>
  <c r="AJ415" i="2"/>
  <c r="AJ414" i="2"/>
  <c r="AJ413" i="2"/>
  <c r="AJ412" i="2"/>
  <c r="AJ411" i="2"/>
  <c r="AJ410" i="2"/>
  <c r="AJ409" i="2"/>
  <c r="AJ408" i="2"/>
  <c r="AJ407" i="2"/>
  <c r="AJ406"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1" i="2"/>
  <c r="AJ370" i="2"/>
  <c r="AJ369" i="2"/>
  <c r="AJ368" i="2"/>
  <c r="AJ367"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J304" i="2"/>
  <c r="AJ303" i="2"/>
  <c r="AJ302" i="2"/>
  <c r="AJ301" i="2"/>
  <c r="AJ300" i="2"/>
  <c r="AJ299" i="2"/>
  <c r="AJ298" i="2"/>
  <c r="AJ297" i="2"/>
  <c r="AJ296" i="2"/>
  <c r="AJ295" i="2"/>
  <c r="AJ294" i="2"/>
  <c r="AJ293" i="2"/>
  <c r="AJ292" i="2"/>
  <c r="AJ291" i="2"/>
  <c r="AJ290" i="2"/>
  <c r="AJ289" i="2"/>
  <c r="AJ288" i="2"/>
  <c r="AJ287" i="2"/>
  <c r="AJ286" i="2"/>
  <c r="AJ285" i="2"/>
  <c r="AJ284" i="2"/>
  <c r="AJ283" i="2"/>
  <c r="AJ282" i="2"/>
  <c r="AJ281" i="2"/>
  <c r="AJ280" i="2"/>
  <c r="AJ279" i="2"/>
  <c r="AJ278" i="2"/>
  <c r="AJ277" i="2"/>
  <c r="AJ276" i="2"/>
  <c r="AJ275" i="2"/>
  <c r="AJ274" i="2"/>
  <c r="AJ273" i="2"/>
  <c r="AJ272" i="2"/>
  <c r="AJ271" i="2"/>
  <c r="AJ270" i="2"/>
  <c r="AJ269" i="2"/>
  <c r="AJ268" i="2"/>
  <c r="AJ267" i="2"/>
  <c r="AJ266" i="2"/>
  <c r="AJ265" i="2"/>
  <c r="AJ264" i="2"/>
  <c r="AJ263" i="2"/>
  <c r="AJ262" i="2"/>
  <c r="AJ261" i="2"/>
  <c r="AJ260" i="2"/>
  <c r="AJ259" i="2"/>
  <c r="AJ258" i="2"/>
  <c r="AJ254" i="2"/>
  <c r="AJ253" i="2"/>
  <c r="AJ252" i="2"/>
  <c r="AJ251" i="2"/>
  <c r="AJ250" i="2"/>
  <c r="AJ249" i="2"/>
  <c r="AJ248" i="2"/>
  <c r="AJ247" i="2"/>
  <c r="AJ246" i="2"/>
  <c r="AJ245" i="2"/>
  <c r="AJ244" i="2"/>
  <c r="AJ243" i="2"/>
  <c r="AJ242" i="2"/>
  <c r="AJ241" i="2"/>
  <c r="AJ240" i="2"/>
  <c r="AJ239" i="2"/>
  <c r="AJ238" i="2"/>
  <c r="AJ237" i="2"/>
  <c r="AJ236" i="2"/>
  <c r="AJ235" i="2"/>
  <c r="AJ234" i="2"/>
  <c r="AJ233" i="2"/>
  <c r="AJ232" i="2"/>
  <c r="AJ231" i="2"/>
  <c r="AJ230" i="2"/>
  <c r="AJ229" i="2"/>
  <c r="AJ228" i="2"/>
  <c r="AJ227" i="2"/>
  <c r="AJ226" i="2"/>
  <c r="AJ225" i="2"/>
  <c r="AJ224" i="2"/>
  <c r="AJ223" i="2"/>
  <c r="AJ222" i="2"/>
  <c r="AJ221" i="2"/>
  <c r="AJ220" i="2"/>
  <c r="AJ219" i="2"/>
  <c r="AJ218" i="2"/>
  <c r="AJ217" i="2"/>
  <c r="AJ216" i="2"/>
  <c r="AJ215" i="2"/>
  <c r="AJ214" i="2"/>
  <c r="AJ213" i="2"/>
  <c r="AJ212" i="2"/>
  <c r="AJ211" i="2"/>
  <c r="AJ210" i="2"/>
  <c r="AJ209" i="2"/>
  <c r="AJ208" i="2"/>
  <c r="AJ207" i="2"/>
  <c r="AJ206" i="2"/>
  <c r="AJ205" i="2"/>
  <c r="AJ204" i="2"/>
  <c r="AJ203" i="2"/>
  <c r="AJ202" i="2"/>
  <c r="AJ201" i="2"/>
  <c r="AJ200" i="2"/>
  <c r="AJ199" i="2"/>
  <c r="AJ198" i="2"/>
  <c r="AJ197" i="2"/>
  <c r="AJ196" i="2"/>
  <c r="AJ195" i="2"/>
  <c r="AJ194" i="2"/>
  <c r="AJ193" i="2"/>
  <c r="AJ192" i="2"/>
  <c r="AJ191" i="2"/>
  <c r="AJ190" i="2"/>
  <c r="AJ189" i="2"/>
  <c r="AJ188" i="2"/>
  <c r="AJ187" i="2"/>
  <c r="AJ186" i="2"/>
  <c r="AJ185" i="2"/>
  <c r="AJ184" i="2"/>
  <c r="AJ183" i="2"/>
  <c r="AJ182" i="2"/>
  <c r="AJ181" i="2"/>
  <c r="AJ180" i="2"/>
  <c r="AJ179" i="2"/>
  <c r="AJ178" i="2"/>
  <c r="AJ177" i="2"/>
  <c r="AJ176" i="2"/>
  <c r="AJ175" i="2"/>
  <c r="AJ174" i="2"/>
  <c r="AJ173" i="2"/>
  <c r="AJ172" i="2"/>
  <c r="AJ171" i="2"/>
  <c r="AJ170" i="2"/>
  <c r="AJ169" i="2"/>
  <c r="AJ168" i="2"/>
  <c r="AJ167" i="2"/>
  <c r="AJ166" i="2"/>
  <c r="AJ165" i="2"/>
  <c r="AJ164" i="2"/>
  <c r="AJ163" i="2"/>
  <c r="AJ162" i="2"/>
  <c r="AJ161" i="2"/>
  <c r="AJ160" i="2"/>
  <c r="AJ159" i="2"/>
  <c r="AJ158" i="2"/>
  <c r="AJ157" i="2"/>
  <c r="AJ156" i="2"/>
  <c r="AJ155" i="2"/>
  <c r="AJ154" i="2"/>
  <c r="AJ153" i="2"/>
  <c r="AJ152" i="2"/>
  <c r="AJ151" i="2"/>
  <c r="AJ150" i="2"/>
  <c r="AJ149" i="2"/>
  <c r="AJ148" i="2"/>
  <c r="AJ147" i="2"/>
  <c r="AJ146" i="2"/>
  <c r="AJ145" i="2"/>
  <c r="AJ144" i="2"/>
  <c r="AJ143" i="2"/>
  <c r="AJ142" i="2"/>
  <c r="AJ141" i="2"/>
  <c r="AJ140" i="2"/>
  <c r="AJ139" i="2"/>
  <c r="AJ138" i="2"/>
  <c r="AJ137" i="2"/>
  <c r="AJ136" i="2"/>
  <c r="AJ135" i="2"/>
  <c r="AJ134" i="2"/>
  <c r="AJ133" i="2"/>
  <c r="AJ132" i="2"/>
  <c r="AJ131" i="2"/>
  <c r="AJ130" i="2"/>
  <c r="AJ129" i="2"/>
  <c r="AJ128" i="2"/>
  <c r="AJ127" i="2"/>
  <c r="AJ126" i="2"/>
  <c r="AJ125" i="2"/>
  <c r="AJ124" i="2"/>
  <c r="AJ121" i="2"/>
  <c r="AJ120" i="2"/>
  <c r="AJ119" i="2"/>
  <c r="AJ118" i="2"/>
  <c r="AJ117" i="2"/>
  <c r="AJ116" i="2"/>
  <c r="AJ115" i="2"/>
  <c r="AJ114" i="2"/>
  <c r="AJ113" i="2"/>
  <c r="AJ112" i="2"/>
  <c r="AJ111" i="2"/>
  <c r="AJ110" i="2"/>
  <c r="AJ109" i="2"/>
  <c r="AJ108" i="2"/>
  <c r="AJ107" i="2"/>
  <c r="AJ106" i="2"/>
  <c r="AJ105" i="2"/>
  <c r="AJ104" i="2"/>
  <c r="AJ103" i="2"/>
  <c r="AJ102" i="2"/>
  <c r="AJ101"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J8" i="2"/>
  <c r="AJ7" i="2"/>
  <c r="AJ6" i="2"/>
  <c r="AJ5" i="2"/>
  <c r="AJ4"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1" i="2"/>
  <c r="AE120" i="2"/>
  <c r="AE119" i="2"/>
  <c r="AE118" i="2"/>
  <c r="AE117" i="2"/>
  <c r="AE116" i="2"/>
  <c r="AE115" i="2"/>
  <c r="AE114" i="2"/>
  <c r="AE113" i="2"/>
  <c r="AE112" i="2"/>
  <c r="AE111" i="2"/>
  <c r="AE110" i="2"/>
  <c r="AE109" i="2"/>
  <c r="AE108" i="2"/>
  <c r="AE107" i="2"/>
  <c r="AE106" i="2"/>
  <c r="AE105" i="2"/>
  <c r="AE104" i="2"/>
  <c r="AE103" i="2"/>
  <c r="AE102" i="2"/>
  <c r="AE101" i="2"/>
  <c r="AE82" i="2"/>
  <c r="AE81" i="2"/>
  <c r="AE80" i="2"/>
  <c r="AE79"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E8" i="2"/>
  <c r="AE7" i="2"/>
  <c r="AE6" i="2"/>
  <c r="AE5" i="2"/>
  <c r="AE4" i="2"/>
  <c r="AA890" i="2"/>
  <c r="AA889" i="2"/>
  <c r="AA888" i="2"/>
  <c r="AA887" i="2"/>
  <c r="AA886" i="2"/>
  <c r="AA885" i="2"/>
  <c r="AA884" i="2"/>
  <c r="AA883" i="2"/>
  <c r="AA882" i="2"/>
  <c r="AA881" i="2"/>
  <c r="AA880" i="2"/>
  <c r="AA879" i="2"/>
  <c r="AA878" i="2"/>
  <c r="AA877" i="2"/>
  <c r="AA876" i="2"/>
  <c r="AA875" i="2"/>
  <c r="AA874" i="2"/>
  <c r="AA873" i="2"/>
  <c r="AA872" i="2"/>
  <c r="AA871" i="2"/>
  <c r="AA870" i="2"/>
  <c r="AA869" i="2"/>
  <c r="AA868" i="2"/>
  <c r="AA867" i="2"/>
  <c r="AA866" i="2"/>
  <c r="AA865" i="2"/>
  <c r="AA864" i="2"/>
  <c r="AA863" i="2"/>
  <c r="AA862" i="2"/>
  <c r="AA861" i="2"/>
  <c r="AA860" i="2"/>
  <c r="AA859" i="2"/>
  <c r="AA858" i="2"/>
  <c r="AA857" i="2"/>
  <c r="AA856" i="2"/>
  <c r="AA855" i="2"/>
  <c r="AA854" i="2"/>
  <c r="AA853" i="2"/>
  <c r="AA852" i="2"/>
  <c r="AA851" i="2"/>
  <c r="AA850" i="2"/>
  <c r="AA849" i="2"/>
  <c r="AA848" i="2"/>
  <c r="AA847" i="2"/>
  <c r="AA846" i="2"/>
  <c r="AA845" i="2"/>
  <c r="AA844" i="2"/>
  <c r="AA843" i="2"/>
  <c r="AA842" i="2"/>
  <c r="AA841" i="2"/>
  <c r="AA840" i="2"/>
  <c r="AA839" i="2"/>
  <c r="AA838" i="2"/>
  <c r="AA837" i="2"/>
  <c r="AA836" i="2"/>
  <c r="AA835" i="2"/>
  <c r="AA834" i="2"/>
  <c r="AA833" i="2"/>
  <c r="AA832" i="2"/>
  <c r="AA831" i="2"/>
  <c r="AA830" i="2"/>
  <c r="AA829" i="2"/>
  <c r="AA828" i="2"/>
  <c r="AA827" i="2"/>
  <c r="AA826" i="2"/>
  <c r="AA825" i="2"/>
  <c r="AA824" i="2"/>
  <c r="AA823" i="2"/>
  <c r="AA822" i="2"/>
  <c r="AA821" i="2"/>
  <c r="AA820" i="2"/>
  <c r="AA819" i="2"/>
  <c r="AA818" i="2"/>
  <c r="AA817" i="2"/>
  <c r="AA816" i="2"/>
  <c r="AA815" i="2"/>
  <c r="AA814" i="2"/>
  <c r="AA813" i="2"/>
  <c r="AA812" i="2"/>
  <c r="AA811" i="2"/>
  <c r="AA810" i="2"/>
  <c r="AA809" i="2"/>
  <c r="AA808" i="2"/>
  <c r="AA807" i="2"/>
  <c r="AA806" i="2"/>
  <c r="AA805" i="2"/>
  <c r="AA804" i="2"/>
  <c r="AA803" i="2"/>
  <c r="AA802" i="2"/>
  <c r="AA801" i="2"/>
  <c r="AA800" i="2"/>
  <c r="AA799" i="2"/>
  <c r="AA798" i="2"/>
  <c r="AA797" i="2"/>
  <c r="AA796" i="2"/>
  <c r="AA795" i="2"/>
  <c r="AA794" i="2"/>
  <c r="AA793" i="2"/>
  <c r="AA792" i="2"/>
  <c r="AA791" i="2"/>
  <c r="AA790" i="2"/>
  <c r="AA789" i="2"/>
  <c r="AA788" i="2"/>
  <c r="AA787" i="2"/>
  <c r="AA786" i="2"/>
  <c r="AA785" i="2"/>
  <c r="AA784" i="2"/>
  <c r="AA783" i="2"/>
  <c r="AA782" i="2"/>
  <c r="AA781" i="2"/>
  <c r="AA780" i="2"/>
  <c r="AA779" i="2"/>
  <c r="AA778" i="2"/>
  <c r="AA777" i="2"/>
  <c r="AA776" i="2"/>
  <c r="AA775" i="2"/>
  <c r="AA774" i="2"/>
  <c r="AA773" i="2"/>
  <c r="AA772" i="2"/>
  <c r="AA771" i="2"/>
  <c r="AA770" i="2"/>
  <c r="AA769" i="2"/>
  <c r="AA768" i="2"/>
  <c r="AA767" i="2"/>
  <c r="AA766" i="2"/>
  <c r="AA765" i="2"/>
  <c r="AA764" i="2"/>
  <c r="AA763" i="2"/>
  <c r="AA762" i="2"/>
  <c r="AA761" i="2"/>
  <c r="AA760" i="2"/>
  <c r="AA759" i="2"/>
  <c r="AA758" i="2"/>
  <c r="AA757" i="2"/>
  <c r="AA756" i="2"/>
  <c r="AA755" i="2"/>
  <c r="AA754" i="2"/>
  <c r="AA753" i="2"/>
  <c r="AA752" i="2"/>
  <c r="AA751" i="2"/>
  <c r="AA750" i="2"/>
  <c r="AA749" i="2"/>
  <c r="AA748" i="2"/>
  <c r="AA747" i="2"/>
  <c r="AA746" i="2"/>
  <c r="AA745" i="2"/>
  <c r="AA744" i="2"/>
  <c r="AA743" i="2"/>
  <c r="AA742" i="2"/>
  <c r="AA741" i="2"/>
  <c r="AA740" i="2"/>
  <c r="AA739" i="2"/>
  <c r="AA738" i="2"/>
  <c r="AA737" i="2"/>
  <c r="AA736" i="2"/>
  <c r="AA735" i="2"/>
  <c r="AA734" i="2"/>
  <c r="AA733" i="2"/>
  <c r="AA732" i="2"/>
  <c r="AA731" i="2"/>
  <c r="AA730" i="2"/>
  <c r="AA729" i="2"/>
  <c r="AA728" i="2"/>
  <c r="AA727" i="2"/>
  <c r="AA726" i="2"/>
  <c r="AA725" i="2"/>
  <c r="AA724" i="2"/>
  <c r="AA723" i="2"/>
  <c r="AA722" i="2"/>
  <c r="AA721" i="2"/>
  <c r="AA720" i="2"/>
  <c r="AA719" i="2"/>
  <c r="AA718" i="2"/>
  <c r="AA717" i="2"/>
  <c r="AA716" i="2"/>
  <c r="AA715" i="2"/>
  <c r="AA714" i="2"/>
  <c r="AA713" i="2"/>
  <c r="AA712" i="2"/>
  <c r="AA711" i="2"/>
  <c r="AA710" i="2"/>
  <c r="AA709" i="2"/>
  <c r="AA708" i="2"/>
  <c r="AA707" i="2"/>
  <c r="AA706" i="2"/>
  <c r="AA705" i="2"/>
  <c r="AA704" i="2"/>
  <c r="AA703" i="2"/>
  <c r="AA702" i="2"/>
  <c r="AA701" i="2"/>
  <c r="AA700" i="2"/>
  <c r="AA699" i="2"/>
  <c r="AA698" i="2"/>
  <c r="AA697" i="2"/>
  <c r="AA696" i="2"/>
  <c r="AA695" i="2"/>
  <c r="AA694" i="2"/>
  <c r="AA693" i="2"/>
  <c r="AA692" i="2"/>
  <c r="AA691" i="2"/>
  <c r="AA690" i="2"/>
  <c r="AA689" i="2"/>
  <c r="AA688" i="2"/>
  <c r="AA687" i="2"/>
  <c r="AA686" i="2"/>
  <c r="AA685" i="2"/>
  <c r="AA684" i="2"/>
  <c r="AA683" i="2"/>
  <c r="AA682" i="2"/>
  <c r="AA681" i="2"/>
  <c r="AA680" i="2"/>
  <c r="AA679" i="2"/>
  <c r="AA678" i="2"/>
  <c r="AA677" i="2"/>
  <c r="AA676" i="2"/>
  <c r="AA675" i="2"/>
  <c r="AA674" i="2"/>
  <c r="AA673" i="2"/>
  <c r="AA672" i="2"/>
  <c r="AA671" i="2"/>
  <c r="AA670" i="2"/>
  <c r="AA669" i="2"/>
  <c r="AA668" i="2"/>
  <c r="AA667" i="2"/>
  <c r="AA666" i="2"/>
  <c r="AA665" i="2"/>
  <c r="AA664" i="2"/>
  <c r="AA663" i="2"/>
  <c r="AA662" i="2"/>
  <c r="AA661" i="2"/>
  <c r="AA660" i="2"/>
  <c r="AA659" i="2"/>
  <c r="AA658" i="2"/>
  <c r="AA657" i="2"/>
  <c r="AA656" i="2"/>
  <c r="AA655" i="2"/>
  <c r="AA654" i="2"/>
  <c r="AA653" i="2"/>
  <c r="AA652" i="2"/>
  <c r="AA651" i="2"/>
  <c r="AA650" i="2"/>
  <c r="AA649" i="2"/>
  <c r="AA648" i="2"/>
  <c r="AA647" i="2"/>
  <c r="AA646" i="2"/>
  <c r="AA645" i="2"/>
  <c r="AA644" i="2"/>
  <c r="AA643" i="2"/>
  <c r="AA642" i="2"/>
  <c r="AA641" i="2"/>
  <c r="AA640" i="2"/>
  <c r="AA639" i="2"/>
  <c r="AA638" i="2"/>
  <c r="AA637" i="2"/>
  <c r="AA636" i="2"/>
  <c r="AA635" i="2"/>
  <c r="AA634" i="2"/>
  <c r="AA633" i="2"/>
  <c r="AA632" i="2"/>
  <c r="AA631" i="2"/>
  <c r="AA630" i="2"/>
  <c r="AA629" i="2"/>
  <c r="AA628" i="2"/>
  <c r="AA627" i="2"/>
  <c r="AA626" i="2"/>
  <c r="AA625" i="2"/>
  <c r="AA624" i="2"/>
  <c r="AA623" i="2"/>
  <c r="AA621" i="2"/>
  <c r="AA620" i="2"/>
  <c r="AA619" i="2"/>
  <c r="AA618" i="2"/>
  <c r="AA617" i="2"/>
  <c r="AA616" i="2"/>
  <c r="AA615" i="2"/>
  <c r="AA614" i="2"/>
  <c r="AA613" i="2"/>
  <c r="AA612" i="2"/>
  <c r="AA611" i="2"/>
  <c r="AA610" i="2"/>
  <c r="AA609" i="2"/>
  <c r="AA608" i="2"/>
  <c r="AA607" i="2"/>
  <c r="AA606" i="2"/>
  <c r="AA605" i="2"/>
  <c r="AA604" i="2"/>
  <c r="AA603" i="2"/>
  <c r="AA602" i="2"/>
  <c r="AA601" i="2"/>
  <c r="AA600" i="2"/>
  <c r="AA599" i="2"/>
  <c r="AA598" i="2"/>
  <c r="AA597" i="2"/>
  <c r="AA596" i="2"/>
  <c r="AA595" i="2"/>
  <c r="AA594" i="2"/>
  <c r="AA593" i="2"/>
  <c r="AA592" i="2"/>
  <c r="AA591" i="2"/>
  <c r="AA589" i="2"/>
  <c r="AA588" i="2"/>
  <c r="AA587" i="2"/>
  <c r="AA586" i="2"/>
  <c r="AA585" i="2"/>
  <c r="AA584" i="2"/>
  <c r="AA583" i="2"/>
  <c r="AA582" i="2"/>
  <c r="AA581" i="2"/>
  <c r="AA580" i="2"/>
  <c r="AA579" i="2"/>
  <c r="AA578" i="2"/>
  <c r="AA577" i="2"/>
  <c r="AA576" i="2"/>
  <c r="AA575" i="2"/>
  <c r="AA573" i="2"/>
  <c r="AA572" i="2"/>
  <c r="AA571" i="2"/>
  <c r="AA570" i="2"/>
  <c r="AA569" i="2"/>
  <c r="AA568" i="2"/>
  <c r="AA567" i="2"/>
  <c r="AA566" i="2"/>
  <c r="AA565" i="2"/>
  <c r="AA564" i="2"/>
  <c r="AA563" i="2"/>
  <c r="AA562" i="2"/>
  <c r="AA561" i="2"/>
  <c r="AA560" i="2"/>
  <c r="AA559" i="2"/>
  <c r="AA558" i="2"/>
  <c r="AA557" i="2"/>
  <c r="AA556" i="2"/>
  <c r="AA555" i="2"/>
  <c r="AA554" i="2"/>
  <c r="AA553" i="2"/>
  <c r="AA552" i="2"/>
  <c r="AA551" i="2"/>
  <c r="AA550" i="2"/>
  <c r="AA549" i="2"/>
  <c r="AA548" i="2"/>
  <c r="AA547" i="2"/>
  <c r="AA546" i="2"/>
  <c r="AA545" i="2"/>
  <c r="AA544" i="2"/>
  <c r="AA543" i="2"/>
  <c r="AA542" i="2"/>
  <c r="AA541" i="2"/>
  <c r="AA540" i="2"/>
  <c r="AA539" i="2"/>
  <c r="AA538" i="2"/>
  <c r="AA537" i="2"/>
  <c r="AA536" i="2"/>
  <c r="AA535" i="2"/>
  <c r="AA527" i="2"/>
  <c r="AA526" i="2"/>
  <c r="AA525" i="2"/>
  <c r="AA524" i="2"/>
  <c r="AA523" i="2"/>
  <c r="AA522" i="2"/>
  <c r="AA521" i="2"/>
  <c r="AA520" i="2"/>
  <c r="AA519" i="2"/>
  <c r="AA518" i="2"/>
  <c r="AA517" i="2"/>
  <c r="AA516" i="2"/>
  <c r="AA515" i="2"/>
  <c r="AA514" i="2"/>
  <c r="AA513" i="2"/>
  <c r="AA512" i="2"/>
  <c r="AA511" i="2"/>
  <c r="AA510" i="2"/>
  <c r="AA509" i="2"/>
  <c r="AA508" i="2"/>
  <c r="AA507" i="2"/>
  <c r="AA506" i="2"/>
  <c r="AA505" i="2"/>
  <c r="AA504" i="2"/>
  <c r="AA503" i="2"/>
  <c r="AA501" i="2"/>
  <c r="AA500" i="2"/>
  <c r="AA499" i="2"/>
  <c r="AA498" i="2"/>
  <c r="AA497" i="2"/>
  <c r="AA496" i="2"/>
  <c r="AA495" i="2"/>
  <c r="AA494" i="2"/>
  <c r="AA493" i="2"/>
  <c r="AA492" i="2"/>
  <c r="AA491" i="2"/>
  <c r="AA490" i="2"/>
  <c r="AA489" i="2"/>
  <c r="AA488" i="2"/>
  <c r="AA487" i="2"/>
  <c r="AA486" i="2"/>
  <c r="AA485" i="2"/>
  <c r="AA484" i="2"/>
  <c r="AA483" i="2"/>
  <c r="AA482" i="2"/>
  <c r="AA481" i="2"/>
  <c r="AA480" i="2"/>
  <c r="AA479" i="2"/>
  <c r="AA478" i="2"/>
  <c r="AA477" i="2"/>
  <c r="AA476" i="2"/>
  <c r="AA475" i="2"/>
  <c r="AA474" i="2"/>
  <c r="AA473" i="2"/>
  <c r="AA472" i="2"/>
  <c r="AA471" i="2"/>
  <c r="AA470" i="2"/>
  <c r="AA469" i="2"/>
  <c r="AA468" i="2"/>
  <c r="AA467" i="2"/>
  <c r="AA466" i="2"/>
  <c r="AA465" i="2"/>
  <c r="AA464" i="2"/>
  <c r="AA463" i="2"/>
  <c r="AA462" i="2"/>
  <c r="AA461" i="2"/>
  <c r="AA460" i="2"/>
  <c r="AA459" i="2"/>
  <c r="AA458" i="2"/>
  <c r="AA457"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1"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AA304" i="2"/>
  <c r="AA303" i="2"/>
  <c r="AA302" i="2"/>
  <c r="AA301" i="2"/>
  <c r="AA300" i="2"/>
  <c r="AA299" i="2"/>
  <c r="AA298" i="2"/>
  <c r="AA297" i="2"/>
  <c r="AA296" i="2"/>
  <c r="AA295" i="2"/>
  <c r="AA294" i="2"/>
  <c r="AA293" i="2"/>
  <c r="AA292" i="2"/>
  <c r="AA291" i="2"/>
  <c r="AA290" i="2"/>
  <c r="AA289" i="2"/>
  <c r="AA288" i="2"/>
  <c r="AA287" i="2"/>
  <c r="AA286" i="2"/>
  <c r="AA285" i="2"/>
  <c r="AA284" i="2"/>
  <c r="AA283" i="2"/>
  <c r="AA282" i="2"/>
  <c r="AA281" i="2"/>
  <c r="AA280" i="2"/>
  <c r="AA279" i="2"/>
  <c r="AA278" i="2"/>
  <c r="AA277" i="2"/>
  <c r="AA276" i="2"/>
  <c r="AA275" i="2"/>
  <c r="AA274" i="2"/>
  <c r="AA273" i="2"/>
  <c r="AA272" i="2"/>
  <c r="AA271" i="2"/>
  <c r="AA270" i="2"/>
  <c r="AA269" i="2"/>
  <c r="AA268" i="2"/>
  <c r="AA267" i="2"/>
  <c r="AA266" i="2"/>
  <c r="AA265" i="2"/>
  <c r="AA264" i="2"/>
  <c r="AA263" i="2"/>
  <c r="AA262" i="2"/>
  <c r="AA261" i="2"/>
  <c r="AA260" i="2"/>
  <c r="AA259" i="2"/>
  <c r="AA258"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5" i="2"/>
  <c r="AA224" i="2"/>
  <c r="AA223" i="2"/>
  <c r="AA222" i="2"/>
  <c r="AA221" i="2"/>
  <c r="AA220" i="2"/>
  <c r="AA219" i="2"/>
  <c r="AA218" i="2"/>
  <c r="AA217" i="2"/>
  <c r="AA216" i="2"/>
  <c r="AA215" i="2"/>
  <c r="AA214" i="2"/>
  <c r="AA213" i="2"/>
  <c r="AA212" i="2"/>
  <c r="AA211" i="2"/>
  <c r="AA210" i="2"/>
  <c r="AA209" i="2"/>
  <c r="AA208" i="2"/>
  <c r="AA207" i="2"/>
  <c r="AA206" i="2"/>
  <c r="AA205" i="2"/>
  <c r="AA204" i="2"/>
  <c r="AA203" i="2"/>
  <c r="AA202" i="2"/>
  <c r="AA201" i="2"/>
  <c r="AA200" i="2"/>
  <c r="AA199" i="2"/>
  <c r="AA198" i="2"/>
  <c r="AA197" i="2"/>
  <c r="AA196" i="2"/>
  <c r="AA195" i="2"/>
  <c r="AA194" i="2"/>
  <c r="AA193" i="2"/>
  <c r="AA192" i="2"/>
  <c r="AA191" i="2"/>
  <c r="AA190" i="2"/>
  <c r="AA189" i="2"/>
  <c r="AA188" i="2"/>
  <c r="AA187" i="2"/>
  <c r="AA186" i="2"/>
  <c r="AA185" i="2"/>
  <c r="AA184" i="2"/>
  <c r="AA183" i="2"/>
  <c r="AA182" i="2"/>
  <c r="AA181" i="2"/>
  <c r="AA180" i="2"/>
  <c r="AA179" i="2"/>
  <c r="AA178" i="2"/>
  <c r="AA177" i="2"/>
  <c r="AA176" i="2"/>
  <c r="AA175" i="2"/>
  <c r="AA174" i="2"/>
  <c r="AA173" i="2"/>
  <c r="AA172" i="2"/>
  <c r="AA171" i="2"/>
  <c r="AA170" i="2"/>
  <c r="AA169" i="2"/>
  <c r="AA168" i="2"/>
  <c r="AA167" i="2"/>
  <c r="AA166" i="2"/>
  <c r="AA165" i="2"/>
  <c r="AA164" i="2"/>
  <c r="AA163" i="2"/>
  <c r="AA162" i="2"/>
  <c r="AA161" i="2"/>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1" i="2"/>
  <c r="AA120" i="2"/>
  <c r="AA119" i="2"/>
  <c r="AA118" i="2"/>
  <c r="AA117" i="2"/>
  <c r="AA116" i="2"/>
  <c r="AA115" i="2"/>
  <c r="AA114" i="2"/>
  <c r="AA113" i="2"/>
  <c r="AA112" i="2"/>
  <c r="AA111" i="2"/>
  <c r="AA110" i="2"/>
  <c r="AA109" i="2"/>
  <c r="AA108" i="2"/>
  <c r="AA107" i="2"/>
  <c r="AA106" i="2"/>
  <c r="AA105" i="2"/>
  <c r="AA104" i="2"/>
  <c r="AA103" i="2"/>
  <c r="AA102" i="2"/>
  <c r="AA101"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AA7" i="2"/>
  <c r="AA6" i="2"/>
  <c r="AA5" i="2"/>
  <c r="AA4"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3" i="2"/>
  <c r="W132" i="2"/>
  <c r="W131" i="2"/>
  <c r="W130" i="2"/>
  <c r="W129" i="2"/>
  <c r="W128" i="2"/>
  <c r="W127" i="2"/>
  <c r="W126" i="2"/>
  <c r="W125" i="2"/>
  <c r="W124" i="2"/>
  <c r="W121" i="2"/>
  <c r="W120" i="2"/>
  <c r="W119" i="2"/>
  <c r="W118" i="2"/>
  <c r="W117" i="2"/>
  <c r="W116" i="2"/>
  <c r="W115" i="2"/>
  <c r="W114" i="2"/>
  <c r="W113" i="2"/>
  <c r="W112" i="2"/>
  <c r="W111" i="2"/>
  <c r="W110" i="2"/>
  <c r="W109" i="2"/>
  <c r="W108" i="2"/>
  <c r="W107" i="2"/>
  <c r="W106" i="2"/>
  <c r="W105" i="2"/>
  <c r="W104" i="2"/>
  <c r="W103" i="2"/>
  <c r="W102" i="2"/>
  <c r="W101"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 r="W8" i="2"/>
  <c r="W7" i="2"/>
  <c r="W6" i="2"/>
  <c r="W5" i="2"/>
  <c r="W4" i="2"/>
  <c r="R890" i="2"/>
  <c r="R889" i="2"/>
  <c r="R888" i="2"/>
  <c r="R887" i="2"/>
  <c r="R886" i="2"/>
  <c r="R885" i="2"/>
  <c r="R884" i="2"/>
  <c r="R883" i="2"/>
  <c r="R882" i="2"/>
  <c r="R881" i="2"/>
  <c r="R880" i="2"/>
  <c r="R879" i="2"/>
  <c r="R878" i="2"/>
  <c r="R877" i="2"/>
  <c r="R876" i="2"/>
  <c r="R875" i="2"/>
  <c r="R874" i="2"/>
  <c r="R873" i="2"/>
  <c r="R872" i="2"/>
  <c r="R871" i="2"/>
  <c r="R870" i="2"/>
  <c r="R869" i="2"/>
  <c r="R868" i="2"/>
  <c r="R867" i="2"/>
  <c r="R866" i="2"/>
  <c r="R865" i="2"/>
  <c r="R864" i="2"/>
  <c r="R863" i="2"/>
  <c r="R862" i="2"/>
  <c r="R861" i="2"/>
  <c r="R860" i="2"/>
  <c r="R859" i="2"/>
  <c r="R858" i="2"/>
  <c r="R857" i="2"/>
  <c r="R856" i="2"/>
  <c r="R855" i="2"/>
  <c r="R854" i="2"/>
  <c r="R853" i="2"/>
  <c r="R852" i="2"/>
  <c r="R851" i="2"/>
  <c r="R850" i="2"/>
  <c r="R849" i="2"/>
  <c r="R848" i="2"/>
  <c r="R847" i="2"/>
  <c r="R846" i="2"/>
  <c r="R845" i="2"/>
  <c r="R844" i="2"/>
  <c r="R843" i="2"/>
  <c r="R842" i="2"/>
  <c r="R841" i="2"/>
  <c r="R840" i="2"/>
  <c r="R839" i="2"/>
  <c r="R838" i="2"/>
  <c r="R837" i="2"/>
  <c r="R836" i="2"/>
  <c r="R835" i="2"/>
  <c r="R834" i="2"/>
  <c r="R833" i="2"/>
  <c r="R832" i="2"/>
  <c r="R831" i="2"/>
  <c r="R830" i="2"/>
  <c r="R829" i="2"/>
  <c r="R828" i="2"/>
  <c r="R827" i="2"/>
  <c r="R826" i="2"/>
  <c r="R825" i="2"/>
  <c r="R824" i="2"/>
  <c r="R823" i="2"/>
  <c r="R822" i="2"/>
  <c r="R821" i="2"/>
  <c r="R820" i="2"/>
  <c r="R819" i="2"/>
  <c r="R818" i="2"/>
  <c r="R817" i="2"/>
  <c r="R816" i="2"/>
  <c r="R815" i="2"/>
  <c r="R814" i="2"/>
  <c r="R813" i="2"/>
  <c r="R812" i="2"/>
  <c r="R811" i="2"/>
  <c r="R810" i="2"/>
  <c r="R809" i="2"/>
  <c r="R808" i="2"/>
  <c r="R807" i="2"/>
  <c r="R806" i="2"/>
  <c r="R805" i="2"/>
  <c r="R804" i="2"/>
  <c r="R803" i="2"/>
  <c r="R802" i="2"/>
  <c r="R801" i="2"/>
  <c r="R800" i="2"/>
  <c r="R799" i="2"/>
  <c r="R798" i="2"/>
  <c r="R797" i="2"/>
  <c r="R796" i="2"/>
  <c r="R795" i="2"/>
  <c r="R794" i="2"/>
  <c r="R793" i="2"/>
  <c r="R792" i="2"/>
  <c r="R791" i="2"/>
  <c r="R790" i="2"/>
  <c r="R789" i="2"/>
  <c r="R788" i="2"/>
  <c r="R787" i="2"/>
  <c r="R786" i="2"/>
  <c r="R785" i="2"/>
  <c r="R784" i="2"/>
  <c r="R783" i="2"/>
  <c r="R782" i="2"/>
  <c r="R781" i="2"/>
  <c r="R780" i="2"/>
  <c r="R779" i="2"/>
  <c r="R778" i="2"/>
  <c r="R777" i="2"/>
  <c r="R776" i="2"/>
  <c r="R775" i="2"/>
  <c r="R774" i="2"/>
  <c r="R773" i="2"/>
  <c r="R772" i="2"/>
  <c r="R771" i="2"/>
  <c r="R770" i="2"/>
  <c r="R769" i="2"/>
  <c r="R768" i="2"/>
  <c r="R767" i="2"/>
  <c r="R766" i="2"/>
  <c r="R765" i="2"/>
  <c r="R764" i="2"/>
  <c r="R763" i="2"/>
  <c r="R762" i="2"/>
  <c r="R761" i="2"/>
  <c r="R760" i="2"/>
  <c r="R759" i="2"/>
  <c r="R758" i="2"/>
  <c r="R757" i="2"/>
  <c r="R756" i="2"/>
  <c r="R755" i="2"/>
  <c r="R754" i="2"/>
  <c r="R753" i="2"/>
  <c r="R752" i="2"/>
  <c r="R751" i="2"/>
  <c r="R750" i="2"/>
  <c r="R749" i="2"/>
  <c r="R748" i="2"/>
  <c r="R747" i="2"/>
  <c r="R746" i="2"/>
  <c r="R745" i="2"/>
  <c r="R744" i="2"/>
  <c r="R743" i="2"/>
  <c r="R742" i="2"/>
  <c r="R741" i="2"/>
  <c r="R740" i="2"/>
  <c r="R739" i="2"/>
  <c r="R738" i="2"/>
  <c r="R737" i="2"/>
  <c r="R736" i="2"/>
  <c r="R735" i="2"/>
  <c r="R734" i="2"/>
  <c r="R733" i="2"/>
  <c r="R732" i="2"/>
  <c r="R731" i="2"/>
  <c r="R730" i="2"/>
  <c r="R729" i="2"/>
  <c r="R728" i="2"/>
  <c r="R727" i="2"/>
  <c r="R726" i="2"/>
  <c r="R725" i="2"/>
  <c r="R724" i="2"/>
  <c r="R723" i="2"/>
  <c r="R722" i="2"/>
  <c r="R721" i="2"/>
  <c r="R720" i="2"/>
  <c r="R719" i="2"/>
  <c r="R718" i="2"/>
  <c r="R717" i="2"/>
  <c r="R716" i="2"/>
  <c r="R715" i="2"/>
  <c r="R714" i="2"/>
  <c r="R713" i="2"/>
  <c r="R712" i="2"/>
  <c r="R711" i="2"/>
  <c r="R710" i="2"/>
  <c r="R709" i="2"/>
  <c r="R708" i="2"/>
  <c r="R707" i="2"/>
  <c r="R706" i="2"/>
  <c r="R705" i="2"/>
  <c r="R704" i="2"/>
  <c r="R703" i="2"/>
  <c r="R702" i="2"/>
  <c r="R701" i="2"/>
  <c r="R700" i="2"/>
  <c r="R699" i="2"/>
  <c r="R698" i="2"/>
  <c r="R697" i="2"/>
  <c r="R696" i="2"/>
  <c r="R695" i="2"/>
  <c r="R694" i="2"/>
  <c r="R693" i="2"/>
  <c r="R692" i="2"/>
  <c r="R691" i="2"/>
  <c r="R690" i="2"/>
  <c r="R689" i="2"/>
  <c r="R688" i="2"/>
  <c r="R687" i="2"/>
  <c r="R686" i="2"/>
  <c r="R685" i="2"/>
  <c r="R684" i="2"/>
  <c r="R683" i="2"/>
  <c r="R682" i="2"/>
  <c r="R681" i="2"/>
  <c r="R680" i="2"/>
  <c r="R679" i="2"/>
  <c r="R678" i="2"/>
  <c r="R677" i="2"/>
  <c r="R676" i="2"/>
  <c r="R675" i="2"/>
  <c r="R674" i="2"/>
  <c r="R673" i="2"/>
  <c r="R672" i="2"/>
  <c r="R671" i="2"/>
  <c r="R670" i="2"/>
  <c r="R669" i="2"/>
  <c r="R668" i="2"/>
  <c r="R667" i="2"/>
  <c r="R666" i="2"/>
  <c r="R665" i="2"/>
  <c r="R664" i="2"/>
  <c r="R663" i="2"/>
  <c r="R662" i="2"/>
  <c r="R661" i="2"/>
  <c r="R660" i="2"/>
  <c r="R659" i="2"/>
  <c r="R658" i="2"/>
  <c r="R657" i="2"/>
  <c r="R656" i="2"/>
  <c r="R655" i="2"/>
  <c r="R654" i="2"/>
  <c r="R653" i="2"/>
  <c r="R652" i="2"/>
  <c r="R651" i="2"/>
  <c r="R650" i="2"/>
  <c r="R649" i="2"/>
  <c r="R648" i="2"/>
  <c r="R647" i="2"/>
  <c r="R646" i="2"/>
  <c r="R645" i="2"/>
  <c r="R644" i="2"/>
  <c r="R643" i="2"/>
  <c r="R642" i="2"/>
  <c r="R641" i="2"/>
  <c r="R640" i="2"/>
  <c r="R639" i="2"/>
  <c r="R638" i="2"/>
  <c r="R637" i="2"/>
  <c r="R636" i="2"/>
  <c r="R635" i="2"/>
  <c r="R634" i="2"/>
  <c r="R633" i="2"/>
  <c r="R632" i="2"/>
  <c r="R631" i="2"/>
  <c r="R630" i="2"/>
  <c r="R629" i="2"/>
  <c r="R628" i="2"/>
  <c r="R627" i="2"/>
  <c r="R626" i="2"/>
  <c r="R625" i="2"/>
  <c r="R624" i="2"/>
  <c r="R623" i="2"/>
  <c r="R622" i="2"/>
  <c r="R621" i="2"/>
  <c r="R620" i="2"/>
  <c r="R619" i="2"/>
  <c r="R618" i="2"/>
  <c r="R617" i="2"/>
  <c r="R616" i="2"/>
  <c r="R615" i="2"/>
  <c r="R614" i="2"/>
  <c r="R613" i="2"/>
  <c r="R612" i="2"/>
  <c r="R611" i="2"/>
  <c r="R610" i="2"/>
  <c r="R609" i="2"/>
  <c r="R608" i="2"/>
  <c r="R607" i="2"/>
  <c r="R606" i="2"/>
  <c r="R605" i="2"/>
  <c r="R604" i="2"/>
  <c r="R603" i="2"/>
  <c r="R602" i="2"/>
  <c r="R601" i="2"/>
  <c r="R600" i="2"/>
  <c r="R599" i="2"/>
  <c r="R598" i="2"/>
  <c r="R597" i="2"/>
  <c r="R596" i="2"/>
  <c r="R595" i="2"/>
  <c r="R594" i="2"/>
  <c r="R593" i="2"/>
  <c r="R592" i="2"/>
  <c r="R591" i="2"/>
  <c r="R590" i="2"/>
  <c r="R589" i="2"/>
  <c r="R588" i="2"/>
  <c r="R587" i="2"/>
  <c r="R586" i="2"/>
  <c r="R585" i="2"/>
  <c r="R584" i="2"/>
  <c r="R583" i="2"/>
  <c r="R582" i="2"/>
  <c r="R581" i="2"/>
  <c r="R580" i="2"/>
  <c r="R579" i="2"/>
  <c r="R578" i="2"/>
  <c r="R577" i="2"/>
  <c r="R576" i="2"/>
  <c r="R575" i="2"/>
  <c r="R574" i="2"/>
  <c r="R573" i="2"/>
  <c r="R572" i="2"/>
  <c r="R571" i="2"/>
  <c r="R570" i="2"/>
  <c r="R569" i="2"/>
  <c r="R568" i="2"/>
  <c r="R567" i="2"/>
  <c r="R566" i="2"/>
  <c r="R565" i="2"/>
  <c r="R564" i="2"/>
  <c r="R563" i="2"/>
  <c r="R562" i="2"/>
  <c r="R561" i="2"/>
  <c r="R560" i="2"/>
  <c r="R559" i="2"/>
  <c r="R558" i="2"/>
  <c r="R557" i="2"/>
  <c r="R556" i="2"/>
  <c r="R555" i="2"/>
  <c r="R554" i="2"/>
  <c r="R553" i="2"/>
  <c r="R552" i="2"/>
  <c r="R551" i="2"/>
  <c r="R550" i="2"/>
  <c r="R549" i="2"/>
  <c r="R548" i="2"/>
  <c r="R547" i="2"/>
  <c r="R546" i="2"/>
  <c r="R545" i="2"/>
  <c r="R544" i="2"/>
  <c r="R543" i="2"/>
  <c r="R542" i="2"/>
  <c r="R541" i="2"/>
  <c r="R540" i="2"/>
  <c r="R539" i="2"/>
  <c r="R538" i="2"/>
  <c r="R537" i="2"/>
  <c r="R536" i="2"/>
  <c r="R535" i="2"/>
  <c r="R527" i="2"/>
  <c r="R526" i="2"/>
  <c r="R525" i="2"/>
  <c r="R524" i="2"/>
  <c r="R523" i="2"/>
  <c r="R522" i="2"/>
  <c r="R521" i="2"/>
  <c r="R520" i="2"/>
  <c r="R519" i="2"/>
  <c r="R518" i="2"/>
  <c r="R517" i="2"/>
  <c r="R516" i="2"/>
  <c r="R515" i="2"/>
  <c r="R514" i="2"/>
  <c r="R513" i="2"/>
  <c r="R512" i="2"/>
  <c r="R511" i="2"/>
  <c r="R510" i="2"/>
  <c r="R509" i="2"/>
  <c r="R508" i="2"/>
  <c r="R507" i="2"/>
  <c r="R506" i="2"/>
  <c r="R505" i="2"/>
  <c r="R504" i="2"/>
  <c r="R503" i="2"/>
  <c r="R501"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1" i="2"/>
  <c r="R120" i="2"/>
  <c r="R119" i="2"/>
  <c r="R118" i="2"/>
  <c r="R117" i="2"/>
  <c r="R116" i="2"/>
  <c r="R115" i="2"/>
  <c r="R114" i="2"/>
  <c r="R113" i="2"/>
  <c r="R112" i="2"/>
  <c r="R111" i="2"/>
  <c r="R110" i="2"/>
  <c r="R109" i="2"/>
  <c r="R108" i="2"/>
  <c r="R107" i="2"/>
  <c r="R106" i="2"/>
  <c r="R105" i="2"/>
  <c r="R104" i="2"/>
  <c r="R103" i="2"/>
  <c r="R102" i="2"/>
  <c r="R101"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101" i="2"/>
  <c r="N102" i="2"/>
  <c r="N103" i="2"/>
  <c r="N104" i="2"/>
  <c r="N105" i="2"/>
  <c r="N106" i="2"/>
  <c r="N107" i="2"/>
  <c r="N108" i="2"/>
  <c r="N109" i="2"/>
  <c r="N110" i="2"/>
  <c r="N111" i="2"/>
  <c r="N112" i="2"/>
  <c r="N113" i="2"/>
  <c r="N114" i="2"/>
  <c r="N115" i="2"/>
  <c r="N116" i="2"/>
  <c r="N117" i="2"/>
  <c r="N118" i="2"/>
  <c r="N119" i="2"/>
  <c r="N120" i="2"/>
  <c r="N121"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3" i="2"/>
  <c r="R3" i="2"/>
  <c r="E199" i="26"/>
  <c r="H199" i="26"/>
  <c r="N200" i="26"/>
  <c r="O199" i="26"/>
  <c r="Q199" i="26"/>
  <c r="M199" i="26"/>
  <c r="K199" i="26"/>
  <c r="S200" i="26"/>
  <c r="R200" i="26"/>
  <c r="X199" i="26" l="1"/>
  <c r="V199" i="26"/>
  <c r="W199" i="26"/>
  <c r="Z199" i="26"/>
  <c r="AA199" i="26"/>
  <c r="Y199" i="26"/>
  <c r="B201" i="26"/>
  <c r="D6" i="42"/>
  <c r="B6" i="42"/>
  <c r="G5" i="25"/>
  <c r="H10" i="25"/>
  <c r="J12" i="25"/>
  <c r="G15" i="25"/>
  <c r="I6" i="25"/>
  <c r="L8" i="25"/>
  <c r="I5" i="25"/>
  <c r="G11" i="25"/>
  <c r="G12" i="25"/>
  <c r="J9" i="25"/>
  <c r="L9" i="25"/>
  <c r="H7" i="25"/>
  <c r="H5" i="25"/>
  <c r="L5" i="25"/>
  <c r="G6" i="25"/>
  <c r="H17" i="25"/>
  <c r="J7" i="25"/>
  <c r="H8" i="25"/>
  <c r="I12" i="25"/>
  <c r="G8" i="25"/>
  <c r="H11" i="25"/>
  <c r="I11" i="25"/>
  <c r="J13" i="25"/>
  <c r="G10" i="25"/>
  <c r="I10" i="25"/>
  <c r="H13" i="25"/>
  <c r="J8" i="25"/>
  <c r="J5" i="25"/>
  <c r="G9" i="25"/>
  <c r="O10" i="15"/>
  <c r="M10" i="15"/>
  <c r="N10" i="15"/>
  <c r="J16" i="25"/>
  <c r="I17" i="25"/>
  <c r="H15" i="25"/>
  <c r="I7" i="25"/>
  <c r="J10" i="25"/>
  <c r="H6" i="25"/>
  <c r="G17" i="25"/>
  <c r="H16" i="25"/>
  <c r="G7" i="25"/>
  <c r="G13" i="25"/>
  <c r="J6" i="25"/>
  <c r="G16" i="25"/>
  <c r="I14" i="25"/>
  <c r="I15" i="25"/>
  <c r="J15" i="25"/>
  <c r="I8" i="25"/>
  <c r="H14" i="25"/>
  <c r="G14" i="25"/>
  <c r="L7" i="25"/>
  <c r="J17" i="25"/>
  <c r="I16" i="25"/>
  <c r="J14" i="25"/>
  <c r="H12" i="25"/>
  <c r="L10" i="25"/>
  <c r="L6" i="25"/>
  <c r="J11" i="25"/>
  <c r="I9" i="25"/>
  <c r="H9" i="25"/>
  <c r="I13" i="25"/>
  <c r="P10" i="15"/>
  <c r="Q10" i="15"/>
  <c r="R10" i="15"/>
  <c r="G200" i="26"/>
  <c r="D4" i="26"/>
  <c r="N4" i="26"/>
  <c r="I200" i="26"/>
  <c r="F200" i="26"/>
  <c r="L200" i="26"/>
  <c r="I4" i="26"/>
  <c r="J4" i="26"/>
  <c r="U200" i="26"/>
  <c r="Q200" i="26"/>
  <c r="D200" i="26"/>
  <c r="L4" i="26"/>
  <c r="U201" i="26"/>
  <c r="S4" i="26"/>
  <c r="U4" i="26"/>
  <c r="M200" i="26"/>
  <c r="P200" i="26"/>
  <c r="P4" i="26"/>
  <c r="J200" i="26"/>
  <c r="R4" i="26"/>
  <c r="F4" i="26"/>
  <c r="G4" i="26"/>
  <c r="C200" i="26" l="1"/>
  <c r="AA200" i="26"/>
  <c r="Y200" i="26"/>
  <c r="C201" i="26"/>
  <c r="B202" i="26"/>
  <c r="AO4" i="26"/>
  <c r="AP4" i="26"/>
  <c r="AR3" i="2"/>
  <c r="E200" i="26"/>
  <c r="J201" i="26"/>
  <c r="P201" i="26"/>
  <c r="L201" i="26"/>
  <c r="K4" i="26"/>
  <c r="S201" i="26"/>
  <c r="Q4" i="26"/>
  <c r="H200" i="26"/>
  <c r="H4" i="26"/>
  <c r="O200" i="26"/>
  <c r="G201" i="26"/>
  <c r="I201" i="26"/>
  <c r="D201" i="26"/>
  <c r="M4" i="26"/>
  <c r="K200" i="26"/>
  <c r="D202" i="26"/>
  <c r="R202" i="26"/>
  <c r="L202" i="26"/>
  <c r="R201" i="26"/>
  <c r="E4" i="26"/>
  <c r="F201" i="26"/>
  <c r="O4" i="26"/>
  <c r="N201" i="26"/>
  <c r="BM4" i="26" l="1"/>
  <c r="BN4" i="26" s="1"/>
  <c r="Z200" i="26"/>
  <c r="X200" i="26"/>
  <c r="W200" i="26"/>
  <c r="V200" i="26"/>
  <c r="B203" i="26"/>
  <c r="Z4" i="26"/>
  <c r="Y4" i="26"/>
  <c r="X4" i="26"/>
  <c r="AA4" i="26"/>
  <c r="AC4" i="26"/>
  <c r="W4" i="26"/>
  <c r="AB4" i="26"/>
  <c r="V4" i="26"/>
  <c r="AV4" i="26"/>
  <c r="AC2" i="47"/>
  <c r="AB2" i="47"/>
  <c r="V2" i="47"/>
  <c r="U2" i="47"/>
  <c r="S2" i="47"/>
  <c r="O201" i="26"/>
  <c r="J202" i="26"/>
  <c r="N202" i="26"/>
  <c r="S202" i="26"/>
  <c r="S203" i="26"/>
  <c r="K202" i="26"/>
  <c r="Q202" i="26"/>
  <c r="G202" i="26"/>
  <c r="N203" i="26"/>
  <c r="I203" i="26"/>
  <c r="M201" i="26"/>
  <c r="E201" i="26"/>
  <c r="K201" i="26"/>
  <c r="I202" i="26"/>
  <c r="Q201" i="26"/>
  <c r="H201" i="26"/>
  <c r="F202" i="26"/>
  <c r="P202" i="26"/>
  <c r="J203" i="26"/>
  <c r="U202" i="26"/>
  <c r="Z201" i="26" l="1"/>
  <c r="AA201" i="26"/>
  <c r="W201" i="26"/>
  <c r="V201" i="26"/>
  <c r="X201" i="26"/>
  <c r="C202" i="26"/>
  <c r="Y201" i="26"/>
  <c r="AA202" i="26"/>
  <c r="X202" i="26"/>
  <c r="B204" i="26"/>
  <c r="AJ4" i="26"/>
  <c r="AE2" i="47"/>
  <c r="H203" i="26"/>
  <c r="L203" i="26"/>
  <c r="F203" i="26"/>
  <c r="H202" i="26"/>
  <c r="G203" i="26"/>
  <c r="P204" i="26"/>
  <c r="L204" i="26"/>
  <c r="E202" i="26"/>
  <c r="R203" i="26"/>
  <c r="M202" i="26"/>
  <c r="O202" i="26"/>
  <c r="J204" i="26"/>
  <c r="M203" i="26"/>
  <c r="U203" i="26"/>
  <c r="S204" i="26"/>
  <c r="P203" i="26"/>
  <c r="D203" i="26"/>
  <c r="G204" i="26"/>
  <c r="C203" i="26" l="1"/>
  <c r="W202" i="26"/>
  <c r="Z202" i="26"/>
  <c r="V202" i="26"/>
  <c r="Y202" i="26"/>
  <c r="Y203" i="26"/>
  <c r="W203" i="26"/>
  <c r="B205" i="26"/>
  <c r="B5" i="26"/>
  <c r="B6" i="26" s="1"/>
  <c r="B101" i="26"/>
  <c r="C4" i="18"/>
  <c r="C5" i="18"/>
  <c r="C6" i="18"/>
  <c r="C7" i="18"/>
  <c r="D3" i="18"/>
  <c r="D4" i="18"/>
  <c r="D5" i="18"/>
  <c r="D6" i="18"/>
  <c r="D7" i="18"/>
  <c r="C8" i="18"/>
  <c r="D8" i="18"/>
  <c r="C9" i="18"/>
  <c r="D9" i="18"/>
  <c r="C10" i="18"/>
  <c r="D10" i="18"/>
  <c r="C11" i="18"/>
  <c r="D11" i="18"/>
  <c r="C12" i="18"/>
  <c r="D12" i="18"/>
  <c r="C13" i="18"/>
  <c r="D13" i="18"/>
  <c r="C14" i="18"/>
  <c r="D14" i="18"/>
  <c r="C15" i="18"/>
  <c r="D15" i="18"/>
  <c r="C16" i="18"/>
  <c r="D16" i="18"/>
  <c r="C17" i="18"/>
  <c r="D17" i="18"/>
  <c r="C18" i="18"/>
  <c r="D18" i="18"/>
  <c r="C19" i="18"/>
  <c r="D19" i="18"/>
  <c r="C20" i="18"/>
  <c r="D20" i="18"/>
  <c r="C21" i="18"/>
  <c r="D21" i="18"/>
  <c r="C22" i="18"/>
  <c r="D22" i="18"/>
  <c r="C23" i="18"/>
  <c r="D23" i="18"/>
  <c r="C24" i="18"/>
  <c r="D24" i="18"/>
  <c r="C25" i="18"/>
  <c r="D25" i="18"/>
  <c r="C26" i="18"/>
  <c r="D26" i="18"/>
  <c r="C27" i="18"/>
  <c r="D27" i="18"/>
  <c r="C28" i="18"/>
  <c r="D28" i="18"/>
  <c r="C29" i="18"/>
  <c r="D29" i="18"/>
  <c r="C30" i="18"/>
  <c r="D30" i="18"/>
  <c r="C31" i="18"/>
  <c r="D31" i="18"/>
  <c r="C32" i="18"/>
  <c r="D32" i="18"/>
  <c r="C33" i="18"/>
  <c r="D33" i="18"/>
  <c r="C34" i="18"/>
  <c r="D34" i="18"/>
  <c r="C35" i="18"/>
  <c r="D35" i="18"/>
  <c r="C36" i="18"/>
  <c r="D36" i="18"/>
  <c r="C37" i="18"/>
  <c r="D37" i="18"/>
  <c r="C38" i="18"/>
  <c r="D38" i="18"/>
  <c r="C39" i="18"/>
  <c r="D39" i="18"/>
  <c r="C40" i="18"/>
  <c r="D40" i="18"/>
  <c r="C41" i="18"/>
  <c r="D41" i="18"/>
  <c r="C42" i="18"/>
  <c r="D42" i="18"/>
  <c r="C43" i="18"/>
  <c r="D43" i="18"/>
  <c r="C44" i="18"/>
  <c r="D44" i="18"/>
  <c r="C45" i="18"/>
  <c r="D45" i="18"/>
  <c r="C46" i="18"/>
  <c r="D46" i="18"/>
  <c r="C47" i="18"/>
  <c r="D47" i="18"/>
  <c r="C48" i="18"/>
  <c r="D48" i="18"/>
  <c r="S2" i="14"/>
  <c r="J331" i="2"/>
  <c r="J329" i="2"/>
  <c r="J328" i="2"/>
  <c r="J314" i="2"/>
  <c r="J297" i="2"/>
  <c r="J296" i="2"/>
  <c r="J295" i="2"/>
  <c r="J294" i="2"/>
  <c r="J292" i="2"/>
  <c r="J291" i="2"/>
  <c r="J290" i="2"/>
  <c r="J289" i="2"/>
  <c r="J288" i="2"/>
  <c r="J287" i="2"/>
  <c r="J286" i="2"/>
  <c r="J285" i="2"/>
  <c r="J284" i="2"/>
  <c r="J283" i="2"/>
  <c r="J282" i="2"/>
  <c r="J281" i="2"/>
  <c r="J280" i="2"/>
  <c r="J279" i="2"/>
  <c r="J278" i="2"/>
  <c r="J277" i="2"/>
  <c r="J276" i="2"/>
  <c r="J275" i="2"/>
  <c r="J3" i="2"/>
  <c r="W3" i="2"/>
  <c r="AA3" i="2"/>
  <c r="AE3" i="2"/>
  <c r="AJ3" i="2"/>
  <c r="J4" i="2"/>
  <c r="J5" i="2"/>
  <c r="J6" i="2"/>
  <c r="J7" i="2"/>
  <c r="J8" i="2"/>
  <c r="J9" i="2"/>
  <c r="J10" i="2"/>
  <c r="J11" i="2"/>
  <c r="J12" i="2"/>
  <c r="J13" i="2"/>
  <c r="J14" i="2"/>
  <c r="J15" i="2"/>
  <c r="J16" i="2"/>
  <c r="J17" i="2"/>
  <c r="J18" i="2"/>
  <c r="J19" i="2"/>
  <c r="J21" i="2"/>
  <c r="J20" i="2"/>
  <c r="J22" i="2"/>
  <c r="J23" i="2"/>
  <c r="J24" i="2"/>
  <c r="J25" i="2"/>
  <c r="J26" i="2"/>
  <c r="J27" i="2"/>
  <c r="J28" i="2"/>
  <c r="J29" i="2"/>
  <c r="J30" i="2"/>
  <c r="J31" i="2"/>
  <c r="J32" i="2"/>
  <c r="J33" i="2"/>
  <c r="J34" i="2"/>
  <c r="J35" i="2"/>
  <c r="J36" i="2"/>
  <c r="J37" i="2"/>
  <c r="J38" i="2"/>
  <c r="J39" i="2"/>
  <c r="J40" i="2"/>
  <c r="J43" i="2"/>
  <c r="J41" i="2"/>
  <c r="J42" i="2"/>
  <c r="J46" i="2"/>
  <c r="J47" i="2"/>
  <c r="J44" i="2"/>
  <c r="J45" i="2"/>
  <c r="J48" i="2"/>
  <c r="J49" i="2"/>
  <c r="J50" i="2"/>
  <c r="J51" i="2"/>
  <c r="J52" i="2"/>
  <c r="J53" i="2"/>
  <c r="J54" i="2"/>
  <c r="J55" i="2"/>
  <c r="J56" i="2"/>
  <c r="J57" i="2"/>
  <c r="J62" i="2"/>
  <c r="J58" i="2"/>
  <c r="J59" i="2"/>
  <c r="J60" i="2"/>
  <c r="J61" i="2"/>
  <c r="J66" i="2"/>
  <c r="J63" i="2"/>
  <c r="J64" i="2"/>
  <c r="J65" i="2"/>
  <c r="J67" i="2"/>
  <c r="J68" i="2"/>
  <c r="J69" i="2"/>
  <c r="J70" i="2"/>
  <c r="J71" i="2"/>
  <c r="J72" i="2"/>
  <c r="J73" i="2"/>
  <c r="J74" i="2"/>
  <c r="J75" i="2"/>
  <c r="J76" i="2"/>
  <c r="J77" i="2"/>
  <c r="J78" i="2"/>
  <c r="J79" i="2"/>
  <c r="J80" i="2"/>
  <c r="J81" i="2"/>
  <c r="J82" i="2"/>
  <c r="J101" i="2"/>
  <c r="J102" i="2"/>
  <c r="J103" i="2"/>
  <c r="J104" i="2"/>
  <c r="J105" i="2"/>
  <c r="J106" i="2"/>
  <c r="J108" i="2"/>
  <c r="J109" i="2"/>
  <c r="J110" i="2"/>
  <c r="J111" i="2"/>
  <c r="J112" i="2"/>
  <c r="J113" i="2"/>
  <c r="J114" i="2"/>
  <c r="J115" i="2"/>
  <c r="J116" i="2"/>
  <c r="J117" i="2"/>
  <c r="J118" i="2"/>
  <c r="J119" i="2"/>
  <c r="J120" i="2"/>
  <c r="J121" i="2"/>
  <c r="J124" i="2"/>
  <c r="J125" i="2"/>
  <c r="J126" i="2"/>
  <c r="J127" i="2"/>
  <c r="J128" i="2"/>
  <c r="J129" i="2"/>
  <c r="J130" i="2"/>
  <c r="J131" i="2"/>
  <c r="J132" i="2"/>
  <c r="J133" i="2"/>
  <c r="J134" i="2"/>
  <c r="J135" i="2"/>
  <c r="J136" i="2"/>
  <c r="J137" i="2"/>
  <c r="J138" i="2"/>
  <c r="J139" i="2"/>
  <c r="J140" i="2"/>
  <c r="J141" i="2"/>
  <c r="J142" i="2"/>
  <c r="J143" i="2"/>
  <c r="J144" i="2"/>
  <c r="J145" i="2"/>
  <c r="J146" i="2"/>
  <c r="J147" i="2"/>
  <c r="J149" i="2"/>
  <c r="J150" i="2"/>
  <c r="J151" i="2"/>
  <c r="J152" i="2"/>
  <c r="J153" i="2"/>
  <c r="J154" i="2"/>
  <c r="J155" i="2"/>
  <c r="J156" i="2"/>
  <c r="J157" i="2"/>
  <c r="J158" i="2"/>
  <c r="J159" i="2"/>
  <c r="J160" i="2"/>
  <c r="J161" i="2"/>
  <c r="J162" i="2"/>
  <c r="J163" i="2"/>
  <c r="J164" i="2"/>
  <c r="J165" i="2"/>
  <c r="J166" i="2"/>
  <c r="J167" i="2"/>
  <c r="J168" i="2"/>
  <c r="J169" i="2"/>
  <c r="J170" i="2"/>
  <c r="J171" i="2"/>
  <c r="J173" i="2"/>
  <c r="J174" i="2"/>
  <c r="J175" i="2"/>
  <c r="J176"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6" i="2"/>
  <c r="J207" i="2"/>
  <c r="J208" i="2"/>
  <c r="J209" i="2"/>
  <c r="J210" i="2"/>
  <c r="J211" i="2"/>
  <c r="J212" i="2"/>
  <c r="J213" i="2"/>
  <c r="J214" i="2"/>
  <c r="J215" i="2"/>
  <c r="J216" i="2"/>
  <c r="J217" i="2"/>
  <c r="J218" i="2"/>
  <c r="J219" i="2"/>
  <c r="J220" i="2"/>
  <c r="J221" i="2"/>
  <c r="J222" i="2"/>
  <c r="J223"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8" i="2"/>
  <c r="J259" i="2"/>
  <c r="J262" i="2"/>
  <c r="J263" i="2"/>
  <c r="J264" i="2"/>
  <c r="J265" i="2"/>
  <c r="J266" i="2"/>
  <c r="J267" i="2"/>
  <c r="J268" i="2"/>
  <c r="J269" i="2"/>
  <c r="J270" i="2"/>
  <c r="J271" i="2"/>
  <c r="J272" i="2"/>
  <c r="J273" i="2"/>
  <c r="J274" i="2"/>
  <c r="J299" i="2"/>
  <c r="J300" i="2"/>
  <c r="J301" i="2"/>
  <c r="J302" i="2"/>
  <c r="J304" i="2"/>
  <c r="J305" i="2"/>
  <c r="J306" i="2"/>
  <c r="J307" i="2"/>
  <c r="J308" i="2"/>
  <c r="J311" i="2"/>
  <c r="J312" i="2"/>
  <c r="J313" i="2"/>
  <c r="J315" i="2"/>
  <c r="J316" i="2"/>
  <c r="J319" i="2"/>
  <c r="J320" i="2"/>
  <c r="J321" i="2"/>
  <c r="J322" i="2"/>
  <c r="J323" i="2"/>
  <c r="J324" i="2"/>
  <c r="J325" i="2"/>
  <c r="J326" i="2"/>
  <c r="J327" i="2"/>
  <c r="J370" i="2"/>
  <c r="J372" i="2"/>
  <c r="J374" i="2"/>
  <c r="J375" i="2"/>
  <c r="J376" i="2"/>
  <c r="J377" i="2"/>
  <c r="J378" i="2"/>
  <c r="J380" i="2"/>
  <c r="J382" i="2"/>
  <c r="J384" i="2"/>
  <c r="J385" i="2"/>
  <c r="J386" i="2"/>
  <c r="J387" i="2"/>
  <c r="J388" i="2"/>
  <c r="J389" i="2"/>
  <c r="J390" i="2"/>
  <c r="J392" i="2"/>
  <c r="J393" i="2"/>
  <c r="J394" i="2"/>
  <c r="J396" i="2"/>
  <c r="J397" i="2"/>
  <c r="J398" i="2"/>
  <c r="J399" i="2"/>
  <c r="J400" i="2"/>
  <c r="J401" i="2"/>
  <c r="J402" i="2"/>
  <c r="J403" i="2"/>
  <c r="J404" i="2"/>
  <c r="J406" i="2"/>
  <c r="J407" i="2"/>
  <c r="J408" i="2"/>
  <c r="J409" i="2"/>
  <c r="J410" i="2"/>
  <c r="J411" i="2"/>
  <c r="J412" i="2"/>
  <c r="J413" i="2"/>
  <c r="J414" i="2"/>
  <c r="J415" i="2"/>
  <c r="J416" i="2"/>
  <c r="J417" i="2"/>
  <c r="J418" i="2"/>
  <c r="J420" i="2"/>
  <c r="P11" i="15"/>
  <c r="O11" i="15"/>
  <c r="M11" i="15"/>
  <c r="R11" i="15"/>
  <c r="N11" i="15"/>
  <c r="Q11" i="15"/>
  <c r="O203" i="26"/>
  <c r="K203" i="26"/>
  <c r="O204" i="26"/>
  <c r="S5" i="26"/>
  <c r="I204" i="26"/>
  <c r="F204" i="26"/>
  <c r="I5" i="26"/>
  <c r="J5" i="26"/>
  <c r="U204" i="26"/>
  <c r="L5" i="26"/>
  <c r="K204" i="26"/>
  <c r="P5" i="26"/>
  <c r="R204" i="26"/>
  <c r="D5" i="26"/>
  <c r="E203" i="26"/>
  <c r="F5" i="26"/>
  <c r="G5" i="26"/>
  <c r="R205" i="26"/>
  <c r="Q203" i="26"/>
  <c r="D204" i="26"/>
  <c r="R5" i="26"/>
  <c r="U5" i="26"/>
  <c r="N5" i="26"/>
  <c r="N204" i="26"/>
  <c r="T60" i="47" l="1"/>
  <c r="T59" i="47"/>
  <c r="T58" i="47"/>
  <c r="T57" i="47"/>
  <c r="T56" i="47"/>
  <c r="Y2999" i="14"/>
  <c r="Y3001" i="14"/>
  <c r="T3000" i="14"/>
  <c r="Y3000" i="14"/>
  <c r="T2999" i="14"/>
  <c r="T3001" i="14"/>
  <c r="T52" i="47"/>
  <c r="T46" i="47"/>
  <c r="T53" i="47"/>
  <c r="T54" i="47"/>
  <c r="T49" i="47"/>
  <c r="T55" i="47"/>
  <c r="T48" i="47"/>
  <c r="T51" i="47"/>
  <c r="T50" i="47"/>
  <c r="T47" i="47"/>
  <c r="T2840" i="14"/>
  <c r="Y2839" i="14"/>
  <c r="T2839" i="14"/>
  <c r="Y2840" i="14"/>
  <c r="T2838" i="14"/>
  <c r="T2836" i="14"/>
  <c r="T2834" i="14"/>
  <c r="T2832" i="14"/>
  <c r="T2830" i="14"/>
  <c r="T2828" i="14"/>
  <c r="T2826" i="14"/>
  <c r="T2824" i="14"/>
  <c r="T2822" i="14"/>
  <c r="T2820" i="14"/>
  <c r="T2818" i="14"/>
  <c r="T2816" i="14"/>
  <c r="T2814" i="14"/>
  <c r="T2812" i="14"/>
  <c r="T2810" i="14"/>
  <c r="T2808" i="14"/>
  <c r="T2806" i="14"/>
  <c r="T2804" i="14"/>
  <c r="T2802" i="14"/>
  <c r="T2800" i="14"/>
  <c r="T2798" i="14"/>
  <c r="T2796" i="14"/>
  <c r="T2794" i="14"/>
  <c r="Y2837" i="14"/>
  <c r="Y2835" i="14"/>
  <c r="Y2833" i="14"/>
  <c r="Y2831" i="14"/>
  <c r="Y2829" i="14"/>
  <c r="Y2827" i="14"/>
  <c r="Y2825" i="14"/>
  <c r="Y2823" i="14"/>
  <c r="Y2821" i="14"/>
  <c r="Y2819" i="14"/>
  <c r="Y2817" i="14"/>
  <c r="Y2815" i="14"/>
  <c r="Y2813" i="14"/>
  <c r="Y2811" i="14"/>
  <c r="Y2809" i="14"/>
  <c r="Y2807" i="14"/>
  <c r="Y2805" i="14"/>
  <c r="Y2803" i="14"/>
  <c r="Y2801" i="14"/>
  <c r="Y2799" i="14"/>
  <c r="Y2797" i="14"/>
  <c r="Y2795" i="14"/>
  <c r="T2837" i="14"/>
  <c r="T2835" i="14"/>
  <c r="T2833" i="14"/>
  <c r="T2831" i="14"/>
  <c r="T2829" i="14"/>
  <c r="T2827" i="14"/>
  <c r="T2825" i="14"/>
  <c r="T2823" i="14"/>
  <c r="T2821" i="14"/>
  <c r="T2819" i="14"/>
  <c r="T2817" i="14"/>
  <c r="T2815" i="14"/>
  <c r="T2813" i="14"/>
  <c r="T2811" i="14"/>
  <c r="T2809" i="14"/>
  <c r="T2807" i="14"/>
  <c r="T2805" i="14"/>
  <c r="T2803" i="14"/>
  <c r="T2801" i="14"/>
  <c r="T2799" i="14"/>
  <c r="T2797" i="14"/>
  <c r="T2795" i="14"/>
  <c r="Y2838" i="14"/>
  <c r="Y2836" i="14"/>
  <c r="Y2834" i="14"/>
  <c r="Y2832" i="14"/>
  <c r="Y2830" i="14"/>
  <c r="Y2828" i="14"/>
  <c r="Y2826" i="14"/>
  <c r="Y2824" i="14"/>
  <c r="Y2822" i="14"/>
  <c r="Y2820" i="14"/>
  <c r="Y2818" i="14"/>
  <c r="Y2816" i="14"/>
  <c r="Y2814" i="14"/>
  <c r="Y2812" i="14"/>
  <c r="Y2810" i="14"/>
  <c r="Y2808" i="14"/>
  <c r="Y2806" i="14"/>
  <c r="Y2804" i="14"/>
  <c r="Y2802" i="14"/>
  <c r="Y2800" i="14"/>
  <c r="Y2798" i="14"/>
  <c r="Y2796" i="14"/>
  <c r="Y2794" i="14"/>
  <c r="Y2792" i="14"/>
  <c r="Y2790" i="14"/>
  <c r="Y2788" i="14"/>
  <c r="Y2786" i="14"/>
  <c r="Y2784" i="14"/>
  <c r="Y2782" i="14"/>
  <c r="Y2780" i="14"/>
  <c r="Y2778" i="14"/>
  <c r="Y2776" i="14"/>
  <c r="Y2774" i="14"/>
  <c r="Y2772" i="14"/>
  <c r="Y2770" i="14"/>
  <c r="Y2768" i="14"/>
  <c r="Y2766" i="14"/>
  <c r="Y2764" i="14"/>
  <c r="Y2762" i="14"/>
  <c r="Y2760" i="14"/>
  <c r="Y2758" i="14"/>
  <c r="Y2756" i="14"/>
  <c r="Y2754" i="14"/>
  <c r="Y2752" i="14"/>
  <c r="Y2750" i="14"/>
  <c r="Y2748" i="14"/>
  <c r="Y2746" i="14"/>
  <c r="Y2744" i="14"/>
  <c r="Y2742" i="14"/>
  <c r="Y2740" i="14"/>
  <c r="T2792" i="14"/>
  <c r="T2790" i="14"/>
  <c r="T2788" i="14"/>
  <c r="T2786" i="14"/>
  <c r="T2784" i="14"/>
  <c r="T2782" i="14"/>
  <c r="T2780" i="14"/>
  <c r="T2778" i="14"/>
  <c r="T2776" i="14"/>
  <c r="T2774" i="14"/>
  <c r="T2772" i="14"/>
  <c r="T2770" i="14"/>
  <c r="T2768" i="14"/>
  <c r="T2766" i="14"/>
  <c r="T2764" i="14"/>
  <c r="T2762" i="14"/>
  <c r="T2760" i="14"/>
  <c r="T2758" i="14"/>
  <c r="T2756" i="14"/>
  <c r="T2754" i="14"/>
  <c r="T2752" i="14"/>
  <c r="T2750" i="14"/>
  <c r="T2748" i="14"/>
  <c r="T2746" i="14"/>
  <c r="Y2793" i="14"/>
  <c r="Y2791" i="14"/>
  <c r="Y2789" i="14"/>
  <c r="Y2787" i="14"/>
  <c r="Y2785" i="14"/>
  <c r="Y2783" i="14"/>
  <c r="Y2781" i="14"/>
  <c r="Y2779" i="14"/>
  <c r="Y2777" i="14"/>
  <c r="Y2775" i="14"/>
  <c r="Y2773" i="14"/>
  <c r="Y2771" i="14"/>
  <c r="Y2769" i="14"/>
  <c r="Y2767" i="14"/>
  <c r="Y2765" i="14"/>
  <c r="Y2763" i="14"/>
  <c r="Y2761" i="14"/>
  <c r="Y2759" i="14"/>
  <c r="Y2757" i="14"/>
  <c r="Y2755" i="14"/>
  <c r="Y2753" i="14"/>
  <c r="Y2751" i="14"/>
  <c r="Y2749" i="14"/>
  <c r="Y2747" i="14"/>
  <c r="Y2745" i="14"/>
  <c r="Y2743" i="14"/>
  <c r="T2793" i="14"/>
  <c r="T2791" i="14"/>
  <c r="T2789" i="14"/>
  <c r="T2787" i="14"/>
  <c r="T2785" i="14"/>
  <c r="T2783" i="14"/>
  <c r="T2781" i="14"/>
  <c r="T2779" i="14"/>
  <c r="T2777" i="14"/>
  <c r="T2775" i="14"/>
  <c r="T2773" i="14"/>
  <c r="T2771" i="14"/>
  <c r="T2769" i="14"/>
  <c r="T2767" i="14"/>
  <c r="T2765" i="14"/>
  <c r="T2763" i="14"/>
  <c r="T2761" i="14"/>
  <c r="T2759" i="14"/>
  <c r="T2757" i="14"/>
  <c r="T2755" i="14"/>
  <c r="T2753" i="14"/>
  <c r="T2751" i="14"/>
  <c r="T2749" i="14"/>
  <c r="T2747" i="14"/>
  <c r="T2745" i="14"/>
  <c r="T2739" i="14"/>
  <c r="T2737" i="14"/>
  <c r="T2735" i="14"/>
  <c r="T2733" i="14"/>
  <c r="T2731" i="14"/>
  <c r="T2729" i="14"/>
  <c r="T2727" i="14"/>
  <c r="T2725" i="14"/>
  <c r="T2723" i="14"/>
  <c r="T2721" i="14"/>
  <c r="T2719" i="14"/>
  <c r="T2717" i="14"/>
  <c r="T2715" i="14"/>
  <c r="T2713" i="14"/>
  <c r="T2711" i="14"/>
  <c r="T2709" i="14"/>
  <c r="T2707" i="14"/>
  <c r="T2705" i="14"/>
  <c r="T2703" i="14"/>
  <c r="T2701" i="14"/>
  <c r="T2699" i="14"/>
  <c r="T2697" i="14"/>
  <c r="T2695" i="14"/>
  <c r="T2693" i="14"/>
  <c r="T2691" i="14"/>
  <c r="T2689" i="14"/>
  <c r="T2687" i="14"/>
  <c r="T2685" i="14"/>
  <c r="T2683" i="14"/>
  <c r="T2681" i="14"/>
  <c r="T2679" i="14"/>
  <c r="T2677" i="14"/>
  <c r="T2675" i="14"/>
  <c r="T2743" i="14"/>
  <c r="Y2738" i="14"/>
  <c r="Y2736" i="14"/>
  <c r="Y2734" i="14"/>
  <c r="Y2732" i="14"/>
  <c r="Y2730" i="14"/>
  <c r="Y2728" i="14"/>
  <c r="Y2726" i="14"/>
  <c r="Y2724" i="14"/>
  <c r="Y2722" i="14"/>
  <c r="Y2720" i="14"/>
  <c r="Y2718" i="14"/>
  <c r="Y2716" i="14"/>
  <c r="Y2714" i="14"/>
  <c r="Y2712" i="14"/>
  <c r="Y2710" i="14"/>
  <c r="Y2708" i="14"/>
  <c r="Y2706" i="14"/>
  <c r="Y2704" i="14"/>
  <c r="Y2702" i="14"/>
  <c r="Y2700" i="14"/>
  <c r="Y2698" i="14"/>
  <c r="Y2696" i="14"/>
  <c r="Y2694" i="14"/>
  <c r="Y2692" i="14"/>
  <c r="Y2690" i="14"/>
  <c r="Y2688" i="14"/>
  <c r="Y2686" i="14"/>
  <c r="Y2684" i="14"/>
  <c r="Y2682" i="14"/>
  <c r="Y2680" i="14"/>
  <c r="Y2678" i="14"/>
  <c r="T2740" i="14"/>
  <c r="T2738" i="14"/>
  <c r="T2736" i="14"/>
  <c r="T2734" i="14"/>
  <c r="T2732" i="14"/>
  <c r="T2730" i="14"/>
  <c r="T2728" i="14"/>
  <c r="T2726" i="14"/>
  <c r="T2724" i="14"/>
  <c r="T2722" i="14"/>
  <c r="T2720" i="14"/>
  <c r="T2718" i="14"/>
  <c r="T2716" i="14"/>
  <c r="T2714" i="14"/>
  <c r="T2712" i="14"/>
  <c r="T2710" i="14"/>
  <c r="T2708" i="14"/>
  <c r="T2706" i="14"/>
  <c r="T2704" i="14"/>
  <c r="T2702" i="14"/>
  <c r="T2700" i="14"/>
  <c r="T2698" i="14"/>
  <c r="T2696" i="14"/>
  <c r="T2694" i="14"/>
  <c r="T2692" i="14"/>
  <c r="T2690" i="14"/>
  <c r="T2688" i="14"/>
  <c r="T2686" i="14"/>
  <c r="T2684" i="14"/>
  <c r="T2682" i="14"/>
  <c r="T2680" i="14"/>
  <c r="T2678" i="14"/>
  <c r="Y2739" i="14"/>
  <c r="Y2737" i="14"/>
  <c r="Y2735" i="14"/>
  <c r="Y2733" i="14"/>
  <c r="Y2731" i="14"/>
  <c r="Y2729" i="14"/>
  <c r="Y2727" i="14"/>
  <c r="Y2725" i="14"/>
  <c r="Y2723" i="14"/>
  <c r="Y2721" i="14"/>
  <c r="Y2719" i="14"/>
  <c r="Y2717" i="14"/>
  <c r="Y2715" i="14"/>
  <c r="Y2713" i="14"/>
  <c r="Y2711" i="14"/>
  <c r="Y2709" i="14"/>
  <c r="Y2707" i="14"/>
  <c r="Y2705" i="14"/>
  <c r="Y2703" i="14"/>
  <c r="Y2701" i="14"/>
  <c r="Y2699" i="14"/>
  <c r="Y2697" i="14"/>
  <c r="Y2695" i="14"/>
  <c r="Y2693" i="14"/>
  <c r="Y2691" i="14"/>
  <c r="Y2689" i="14"/>
  <c r="Y2687" i="14"/>
  <c r="Y2685" i="14"/>
  <c r="Y2683" i="14"/>
  <c r="Y2681" i="14"/>
  <c r="Y2679" i="14"/>
  <c r="Y2677" i="14"/>
  <c r="Y2675" i="14"/>
  <c r="T2742" i="14"/>
  <c r="T2676" i="14"/>
  <c r="Y2673" i="14"/>
  <c r="Y2671" i="14"/>
  <c r="Y2669" i="14"/>
  <c r="Y2667" i="14"/>
  <c r="Y2665" i="14"/>
  <c r="Y2663" i="14"/>
  <c r="Y2661" i="14"/>
  <c r="Y2659" i="14"/>
  <c r="Y2657" i="14"/>
  <c r="Y2655" i="14"/>
  <c r="Y2653" i="14"/>
  <c r="Y2651" i="14"/>
  <c r="Y2649" i="14"/>
  <c r="Y2647" i="14"/>
  <c r="Y2645" i="14"/>
  <c r="Y2643" i="14"/>
  <c r="Y2641" i="14"/>
  <c r="Y2639" i="14"/>
  <c r="Y2637" i="14"/>
  <c r="Y2635" i="14"/>
  <c r="Y2633" i="14"/>
  <c r="Y2631" i="14"/>
  <c r="Y2629" i="14"/>
  <c r="Y2627" i="14"/>
  <c r="Y2625" i="14"/>
  <c r="Y2623" i="14"/>
  <c r="Y2621" i="14"/>
  <c r="Y2619" i="14"/>
  <c r="Y2617" i="14"/>
  <c r="Y2615" i="14"/>
  <c r="Y2613" i="14"/>
  <c r="Y2611" i="14"/>
  <c r="Y2609" i="14"/>
  <c r="Y2741" i="14"/>
  <c r="T2673" i="14"/>
  <c r="T2671" i="14"/>
  <c r="T2669" i="14"/>
  <c r="T2667" i="14"/>
  <c r="T2665" i="14"/>
  <c r="T2663" i="14"/>
  <c r="T2661" i="14"/>
  <c r="T2659" i="14"/>
  <c r="T2657" i="14"/>
  <c r="T2655" i="14"/>
  <c r="T2653" i="14"/>
  <c r="T2651" i="14"/>
  <c r="T2649" i="14"/>
  <c r="T2647" i="14"/>
  <c r="T2645" i="14"/>
  <c r="T2643" i="14"/>
  <c r="T2641" i="14"/>
  <c r="T2639" i="14"/>
  <c r="T2637" i="14"/>
  <c r="T2635" i="14"/>
  <c r="T2633" i="14"/>
  <c r="T2631" i="14"/>
  <c r="T2629" i="14"/>
  <c r="T2627" i="14"/>
  <c r="T2625" i="14"/>
  <c r="T2623" i="14"/>
  <c r="T2621" i="14"/>
  <c r="T2619" i="14"/>
  <c r="T2617" i="14"/>
  <c r="T2615" i="14"/>
  <c r="T2613" i="14"/>
  <c r="T2611" i="14"/>
  <c r="T2741" i="14"/>
  <c r="Y2674" i="14"/>
  <c r="Y2672" i="14"/>
  <c r="Y2670" i="14"/>
  <c r="Y2668" i="14"/>
  <c r="Y2666" i="14"/>
  <c r="Y2664" i="14"/>
  <c r="Y2662" i="14"/>
  <c r="Y2660" i="14"/>
  <c r="Y2658" i="14"/>
  <c r="Y2656" i="14"/>
  <c r="Y2654" i="14"/>
  <c r="Y2652" i="14"/>
  <c r="Y2650" i="14"/>
  <c r="Y2648" i="14"/>
  <c r="Y2646" i="14"/>
  <c r="Y2644" i="14"/>
  <c r="Y2642" i="14"/>
  <c r="Y2640" i="14"/>
  <c r="Y2638" i="14"/>
  <c r="Y2636" i="14"/>
  <c r="Y2634" i="14"/>
  <c r="Y2632" i="14"/>
  <c r="Y2630" i="14"/>
  <c r="Y2628" i="14"/>
  <c r="Y2626" i="14"/>
  <c r="Y2624" i="14"/>
  <c r="Y2622" i="14"/>
  <c r="Y2620" i="14"/>
  <c r="Y2618" i="14"/>
  <c r="Y2616" i="14"/>
  <c r="Y2614" i="14"/>
  <c r="Y2676" i="14"/>
  <c r="T2674" i="14"/>
  <c r="T2672" i="14"/>
  <c r="T2670" i="14"/>
  <c r="T2668" i="14"/>
  <c r="T2666" i="14"/>
  <c r="T2664" i="14"/>
  <c r="T2662" i="14"/>
  <c r="T2660" i="14"/>
  <c r="T2658" i="14"/>
  <c r="T2656" i="14"/>
  <c r="T2654" i="14"/>
  <c r="T2652" i="14"/>
  <c r="T2650" i="14"/>
  <c r="T2648" i="14"/>
  <c r="T2646" i="14"/>
  <c r="T2644" i="14"/>
  <c r="T2642" i="14"/>
  <c r="T2640" i="14"/>
  <c r="T2638" i="14"/>
  <c r="T2636" i="14"/>
  <c r="T2634" i="14"/>
  <c r="T2632" i="14"/>
  <c r="T2630" i="14"/>
  <c r="T2628" i="14"/>
  <c r="T2626" i="14"/>
  <c r="T2624" i="14"/>
  <c r="T2622" i="14"/>
  <c r="T2620" i="14"/>
  <c r="T2618" i="14"/>
  <c r="T2616" i="14"/>
  <c r="T2614" i="14"/>
  <c r="Y2607" i="14"/>
  <c r="Y2605" i="14"/>
  <c r="Y2603" i="14"/>
  <c r="Y2601" i="14"/>
  <c r="Y2599" i="14"/>
  <c r="Y2597" i="14"/>
  <c r="Y2595" i="14"/>
  <c r="Y2593" i="14"/>
  <c r="Y2591" i="14"/>
  <c r="Y2589" i="14"/>
  <c r="Y2587" i="14"/>
  <c r="Y2585" i="14"/>
  <c r="Y2583" i="14"/>
  <c r="Y2581" i="14"/>
  <c r="Y2579" i="14"/>
  <c r="Y2577" i="14"/>
  <c r="Y2575" i="14"/>
  <c r="Y2573" i="14"/>
  <c r="Y2571" i="14"/>
  <c r="Y2569" i="14"/>
  <c r="Y2567" i="14"/>
  <c r="Y2565" i="14"/>
  <c r="Y2563" i="14"/>
  <c r="Y2561" i="14"/>
  <c r="Y2559" i="14"/>
  <c r="Y2557" i="14"/>
  <c r="Y2555" i="14"/>
  <c r="Y2553" i="14"/>
  <c r="Y2551" i="14"/>
  <c r="Y2549" i="14"/>
  <c r="Y2547" i="14"/>
  <c r="Y2545" i="14"/>
  <c r="Y2543" i="14"/>
  <c r="Y2541" i="14"/>
  <c r="Y2539" i="14"/>
  <c r="Y2537" i="14"/>
  <c r="Y2535" i="14"/>
  <c r="Y2533" i="14"/>
  <c r="Y2531" i="14"/>
  <c r="Y2529" i="14"/>
  <c r="Y2527" i="14"/>
  <c r="T2609" i="14"/>
  <c r="T2607" i="14"/>
  <c r="T2605" i="14"/>
  <c r="T2603" i="14"/>
  <c r="T2601" i="14"/>
  <c r="T2599" i="14"/>
  <c r="T2597" i="14"/>
  <c r="T2595" i="14"/>
  <c r="T2593" i="14"/>
  <c r="T2591" i="14"/>
  <c r="T2589" i="14"/>
  <c r="T2587" i="14"/>
  <c r="T2585" i="14"/>
  <c r="T2583" i="14"/>
  <c r="T2581" i="14"/>
  <c r="T2579" i="14"/>
  <c r="T2577" i="14"/>
  <c r="T2575" i="14"/>
  <c r="T2573" i="14"/>
  <c r="T2571" i="14"/>
  <c r="T2569" i="14"/>
  <c r="T2567" i="14"/>
  <c r="T2565" i="14"/>
  <c r="T2563" i="14"/>
  <c r="T2561" i="14"/>
  <c r="T2559" i="14"/>
  <c r="T2557" i="14"/>
  <c r="T2555" i="14"/>
  <c r="T2553" i="14"/>
  <c r="T2551" i="14"/>
  <c r="T2549" i="14"/>
  <c r="T2547" i="14"/>
  <c r="T2545" i="14"/>
  <c r="T2543" i="14"/>
  <c r="T2541" i="14"/>
  <c r="T2539" i="14"/>
  <c r="T2537" i="14"/>
  <c r="T2535" i="14"/>
  <c r="T2533" i="14"/>
  <c r="T2531" i="14"/>
  <c r="T2529" i="14"/>
  <c r="T2527" i="14"/>
  <c r="Y2608" i="14"/>
  <c r="Y2606" i="14"/>
  <c r="Y2604" i="14"/>
  <c r="Y2602" i="14"/>
  <c r="Y2600" i="14"/>
  <c r="Y2598" i="14"/>
  <c r="Y2596" i="14"/>
  <c r="Y2594" i="14"/>
  <c r="Y2592" i="14"/>
  <c r="Y2590" i="14"/>
  <c r="Y2588" i="14"/>
  <c r="Y2586" i="14"/>
  <c r="Y2584" i="14"/>
  <c r="Y2582" i="14"/>
  <c r="Y2580" i="14"/>
  <c r="Y2578" i="14"/>
  <c r="Y2576" i="14"/>
  <c r="Y2574" i="14"/>
  <c r="Y2572" i="14"/>
  <c r="Y2570" i="14"/>
  <c r="Y2568" i="14"/>
  <c r="Y2566" i="14"/>
  <c r="Y2564" i="14"/>
  <c r="Y2562" i="14"/>
  <c r="Y2560" i="14"/>
  <c r="Y2558" i="14"/>
  <c r="Y2556" i="14"/>
  <c r="Y2554" i="14"/>
  <c r="Y2552" i="14"/>
  <c r="Y2550" i="14"/>
  <c r="Y2548" i="14"/>
  <c r="Y2546" i="14"/>
  <c r="Y2544" i="14"/>
  <c r="Y2542" i="14"/>
  <c r="Y2540" i="14"/>
  <c r="Y2538" i="14"/>
  <c r="Y2536" i="14"/>
  <c r="Y2534" i="14"/>
  <c r="Y2532" i="14"/>
  <c r="Y2530" i="14"/>
  <c r="Y2528" i="14"/>
  <c r="T2608" i="14"/>
  <c r="T2606" i="14"/>
  <c r="T2604" i="14"/>
  <c r="T2602" i="14"/>
  <c r="T2600" i="14"/>
  <c r="T2598" i="14"/>
  <c r="T2596" i="14"/>
  <c r="T2594" i="14"/>
  <c r="T2592" i="14"/>
  <c r="T2590" i="14"/>
  <c r="T2588" i="14"/>
  <c r="T2586" i="14"/>
  <c r="T2584" i="14"/>
  <c r="T2582" i="14"/>
  <c r="T2580" i="14"/>
  <c r="T2578" i="14"/>
  <c r="T2576" i="14"/>
  <c r="T2574" i="14"/>
  <c r="T2572" i="14"/>
  <c r="T2570" i="14"/>
  <c r="T2568" i="14"/>
  <c r="T2566" i="14"/>
  <c r="T2564" i="14"/>
  <c r="T2562" i="14"/>
  <c r="T2560" i="14"/>
  <c r="T2558" i="14"/>
  <c r="T2556" i="14"/>
  <c r="T2554" i="14"/>
  <c r="T2552" i="14"/>
  <c r="T2550" i="14"/>
  <c r="T2548" i="14"/>
  <c r="T2546" i="14"/>
  <c r="T2544" i="14"/>
  <c r="T2542" i="14"/>
  <c r="T2540" i="14"/>
  <c r="T2538" i="14"/>
  <c r="T2536" i="14"/>
  <c r="T2534" i="14"/>
  <c r="T2532" i="14"/>
  <c r="T2530" i="14"/>
  <c r="T2528" i="14"/>
  <c r="Y3624" i="14"/>
  <c r="Y3620" i="14"/>
  <c r="Y3616" i="14"/>
  <c r="Y3612" i="14"/>
  <c r="Y3608" i="14"/>
  <c r="Y3604" i="14"/>
  <c r="Y3600" i="14"/>
  <c r="Y3596" i="14"/>
  <c r="Y3592" i="14"/>
  <c r="Y3588" i="14"/>
  <c r="Y3584" i="14"/>
  <c r="Y3580" i="14"/>
  <c r="Y3576" i="14"/>
  <c r="Y3572" i="14"/>
  <c r="Y3568" i="14"/>
  <c r="Y3564" i="14"/>
  <c r="Y3560" i="14"/>
  <c r="Y3556" i="14"/>
  <c r="Y3550" i="14"/>
  <c r="Y3546" i="14"/>
  <c r="Y3542" i="14"/>
  <c r="Y3538" i="14"/>
  <c r="Y3534" i="14"/>
  <c r="Y3530" i="14"/>
  <c r="Y3526" i="14"/>
  <c r="Y3522" i="14"/>
  <c r="Y3518" i="14"/>
  <c r="Y3514" i="14"/>
  <c r="Y3510" i="14"/>
  <c r="Y3506" i="14"/>
  <c r="Y3502" i="14"/>
  <c r="Y3498" i="14"/>
  <c r="Y3494" i="14"/>
  <c r="Y3490" i="14"/>
  <c r="Y3486" i="14"/>
  <c r="Y3484" i="14"/>
  <c r="Y3480" i="14"/>
  <c r="Y3476" i="14"/>
  <c r="Y3472" i="14"/>
  <c r="Y3466" i="14"/>
  <c r="Y3462" i="14"/>
  <c r="Y3458" i="14"/>
  <c r="Y3454" i="14"/>
  <c r="Y3450" i="14"/>
  <c r="Y3444" i="14"/>
  <c r="Y3440" i="14"/>
  <c r="Y3434" i="14"/>
  <c r="Y3430" i="14"/>
  <c r="Y3426" i="14"/>
  <c r="Y3422" i="14"/>
  <c r="Y3418" i="14"/>
  <c r="Y3414" i="14"/>
  <c r="Y3410" i="14"/>
  <c r="Y3406" i="14"/>
  <c r="Y3404" i="14"/>
  <c r="Y3398" i="14"/>
  <c r="Y3394" i="14"/>
  <c r="Y3390" i="14"/>
  <c r="Y3386" i="14"/>
  <c r="Y3382" i="14"/>
  <c r="Y3378" i="14"/>
  <c r="Y3376" i="14"/>
  <c r="Y3372" i="14"/>
  <c r="Y3368" i="14"/>
  <c r="Y3364" i="14"/>
  <c r="Y3360" i="14"/>
  <c r="Y3356" i="14"/>
  <c r="Y3352" i="14"/>
  <c r="Y3348" i="14"/>
  <c r="Y3344" i="14"/>
  <c r="Y3340" i="14"/>
  <c r="Y3336" i="14"/>
  <c r="Y3332" i="14"/>
  <c r="Y3328" i="14"/>
  <c r="Y3324" i="14"/>
  <c r="Y3320" i="14"/>
  <c r="Y3316" i="14"/>
  <c r="Y3312" i="14"/>
  <c r="Y3308" i="14"/>
  <c r="T3628" i="14"/>
  <c r="T3624" i="14"/>
  <c r="T3620" i="14"/>
  <c r="T3616" i="14"/>
  <c r="T3612" i="14"/>
  <c r="T3608" i="14"/>
  <c r="T3604" i="14"/>
  <c r="T3600" i="14"/>
  <c r="T3596" i="14"/>
  <c r="T3594" i="14"/>
  <c r="T3590" i="14"/>
  <c r="T3586" i="14"/>
  <c r="T3582" i="14"/>
  <c r="T3578" i="14"/>
  <c r="T3574" i="14"/>
  <c r="T3570" i="14"/>
  <c r="T3566" i="14"/>
  <c r="T3562" i="14"/>
  <c r="T3558" i="14"/>
  <c r="T3554" i="14"/>
  <c r="T3550" i="14"/>
  <c r="T3546" i="14"/>
  <c r="T3542" i="14"/>
  <c r="T3538" i="14"/>
  <c r="T3534" i="14"/>
  <c r="T3530" i="14"/>
  <c r="T3526" i="14"/>
  <c r="T3522" i="14"/>
  <c r="T3518" i="14"/>
  <c r="T3514" i="14"/>
  <c r="T3510" i="14"/>
  <c r="T3506" i="14"/>
  <c r="T3502" i="14"/>
  <c r="T3500" i="14"/>
  <c r="T3496" i="14"/>
  <c r="T3492" i="14"/>
  <c r="T3488" i="14"/>
  <c r="T3484" i="14"/>
  <c r="T3480" i="14"/>
  <c r="T3476" i="14"/>
  <c r="T3472" i="14"/>
  <c r="T3468" i="14"/>
  <c r="T3464" i="14"/>
  <c r="T3460" i="14"/>
  <c r="T3456" i="14"/>
  <c r="T3452" i="14"/>
  <c r="T3448" i="14"/>
  <c r="T3446" i="14"/>
  <c r="T3442" i="14"/>
  <c r="T3438" i="14"/>
  <c r="T3434" i="14"/>
  <c r="T3430" i="14"/>
  <c r="T3426" i="14"/>
  <c r="T3422" i="14"/>
  <c r="T3418" i="14"/>
  <c r="T3414" i="14"/>
  <c r="T3412" i="14"/>
  <c r="T3408" i="14"/>
  <c r="T3404" i="14"/>
  <c r="T3400" i="14"/>
  <c r="T3394" i="14"/>
  <c r="T3390" i="14"/>
  <c r="T3386" i="14"/>
  <c r="T3382" i="14"/>
  <c r="T3378" i="14"/>
  <c r="T3376" i="14"/>
  <c r="T3372" i="14"/>
  <c r="T3368" i="14"/>
  <c r="T3364" i="14"/>
  <c r="T3360" i="14"/>
  <c r="T3356" i="14"/>
  <c r="T3352" i="14"/>
  <c r="T3348" i="14"/>
  <c r="T3344" i="14"/>
  <c r="T3340" i="14"/>
  <c r="T3336" i="14"/>
  <c r="T3332" i="14"/>
  <c r="T3328" i="14"/>
  <c r="T3324" i="14"/>
  <c r="T3320" i="14"/>
  <c r="T3316" i="14"/>
  <c r="T3312" i="14"/>
  <c r="T3308" i="14"/>
  <c r="T3626" i="14"/>
  <c r="T3622" i="14"/>
  <c r="T3618" i="14"/>
  <c r="T3614" i="14"/>
  <c r="T3610" i="14"/>
  <c r="T3606" i="14"/>
  <c r="T3602" i="14"/>
  <c r="T3598" i="14"/>
  <c r="T3592" i="14"/>
  <c r="T3588" i="14"/>
  <c r="T3584" i="14"/>
  <c r="T3580" i="14"/>
  <c r="T3576" i="14"/>
  <c r="T3572" i="14"/>
  <c r="T3568" i="14"/>
  <c r="T3564" i="14"/>
  <c r="T3560" i="14"/>
  <c r="T3556" i="14"/>
  <c r="T3552" i="14"/>
  <c r="T3548" i="14"/>
  <c r="T3544" i="14"/>
  <c r="T3540" i="14"/>
  <c r="T3536" i="14"/>
  <c r="T3532" i="14"/>
  <c r="T3528" i="14"/>
  <c r="T3524" i="14"/>
  <c r="T3520" i="14"/>
  <c r="T3516" i="14"/>
  <c r="T3512" i="14"/>
  <c r="T3508" i="14"/>
  <c r="T3504" i="14"/>
  <c r="T3498" i="14"/>
  <c r="T3494" i="14"/>
  <c r="T3490" i="14"/>
  <c r="T3486" i="14"/>
  <c r="T3482" i="14"/>
  <c r="T3478" i="14"/>
  <c r="T3474" i="14"/>
  <c r="T3470" i="14"/>
  <c r="T3466" i="14"/>
  <c r="T3462" i="14"/>
  <c r="T3458" i="14"/>
  <c r="T3454" i="14"/>
  <c r="T3450" i="14"/>
  <c r="T3444" i="14"/>
  <c r="T3440" i="14"/>
  <c r="T3436" i="14"/>
  <c r="T3432" i="14"/>
  <c r="T3428" i="14"/>
  <c r="T3424" i="14"/>
  <c r="T3420" i="14"/>
  <c r="T3416" i="14"/>
  <c r="T3410" i="14"/>
  <c r="T3406" i="14"/>
  <c r="T3402" i="14"/>
  <c r="T3398" i="14"/>
  <c r="T3396" i="14"/>
  <c r="T3392" i="14"/>
  <c r="T3388" i="14"/>
  <c r="T3384" i="14"/>
  <c r="T3380" i="14"/>
  <c r="T3374" i="14"/>
  <c r="T3370" i="14"/>
  <c r="T3366" i="14"/>
  <c r="T3362" i="14"/>
  <c r="T3358" i="14"/>
  <c r="T3354" i="14"/>
  <c r="T3350" i="14"/>
  <c r="T3346" i="14"/>
  <c r="T3342" i="14"/>
  <c r="T3338" i="14"/>
  <c r="T3334" i="14"/>
  <c r="T3330" i="14"/>
  <c r="T3326" i="14"/>
  <c r="T3322" i="14"/>
  <c r="T3318" i="14"/>
  <c r="T3314" i="14"/>
  <c r="T3310" i="14"/>
  <c r="Y3629" i="14"/>
  <c r="Y3625" i="14"/>
  <c r="Y3621" i="14"/>
  <c r="Y3617" i="14"/>
  <c r="Y3613" i="14"/>
  <c r="Y3609" i="14"/>
  <c r="Y3605" i="14"/>
  <c r="Y3601" i="14"/>
  <c r="Y3597" i="14"/>
  <c r="Y3593" i="14"/>
  <c r="Y3589" i="14"/>
  <c r="Y3585" i="14"/>
  <c r="Y3581" i="14"/>
  <c r="Y3577" i="14"/>
  <c r="Y3573" i="14"/>
  <c r="Y3569" i="14"/>
  <c r="Y3565" i="14"/>
  <c r="Y3561" i="14"/>
  <c r="Y3557" i="14"/>
  <c r="Y3553" i="14"/>
  <c r="Y3549" i="14"/>
  <c r="Y3545" i="14"/>
  <c r="Y3541" i="14"/>
  <c r="Y3537" i="14"/>
  <c r="Y3533" i="14"/>
  <c r="Y3529" i="14"/>
  <c r="Y3525" i="14"/>
  <c r="Y3521" i="14"/>
  <c r="Y3517" i="14"/>
  <c r="Y3513" i="14"/>
  <c r="Y3509" i="14"/>
  <c r="Y3505" i="14"/>
  <c r="Y3501" i="14"/>
  <c r="Y3499" i="14"/>
  <c r="Y3495" i="14"/>
  <c r="Y3491" i="14"/>
  <c r="Y3487" i="14"/>
  <c r="Y3481" i="14"/>
  <c r="Y3477" i="14"/>
  <c r="Y3473" i="14"/>
  <c r="Y3469" i="14"/>
  <c r="Y3465" i="14"/>
  <c r="Y3461" i="14"/>
  <c r="Y3459" i="14"/>
  <c r="Y3455" i="14"/>
  <c r="Y3451" i="14"/>
  <c r="Y3445" i="14"/>
  <c r="Y3441" i="14"/>
  <c r="Y3437" i="14"/>
  <c r="Y3433" i="14"/>
  <c r="Y3429" i="14"/>
  <c r="Y3425" i="14"/>
  <c r="Y3421" i="14"/>
  <c r="Y3419" i="14"/>
  <c r="Y3413" i="14"/>
  <c r="Y3409" i="14"/>
  <c r="Y3405" i="14"/>
  <c r="Y3401" i="14"/>
  <c r="Y3397" i="14"/>
  <c r="Y3393" i="14"/>
  <c r="Y3389" i="14"/>
  <c r="Y3385" i="14"/>
  <c r="Y3381" i="14"/>
  <c r="Y3377" i="14"/>
  <c r="Y3373" i="14"/>
  <c r="Y3369" i="14"/>
  <c r="Y3365" i="14"/>
  <c r="Y3361" i="14"/>
  <c r="Y3357" i="14"/>
  <c r="Y3353" i="14"/>
  <c r="Y3349" i="14"/>
  <c r="Y3345" i="14"/>
  <c r="Y3341" i="14"/>
  <c r="Y3337" i="14"/>
  <c r="Y3333" i="14"/>
  <c r="Y3329" i="14"/>
  <c r="Y3325" i="14"/>
  <c r="Y3321" i="14"/>
  <c r="Y3317" i="14"/>
  <c r="Y3313" i="14"/>
  <c r="Y3623" i="14"/>
  <c r="Y3619" i="14"/>
  <c r="Y3615" i="14"/>
  <c r="Y3611" i="14"/>
  <c r="Y3607" i="14"/>
  <c r="Y3603" i="14"/>
  <c r="Y3599" i="14"/>
  <c r="Y3595" i="14"/>
  <c r="Y3591" i="14"/>
  <c r="Y3587" i="14"/>
  <c r="Y3583" i="14"/>
  <c r="Y3579" i="14"/>
  <c r="Y3575" i="14"/>
  <c r="Y3571" i="14"/>
  <c r="Y3567" i="14"/>
  <c r="Y3563" i="14"/>
  <c r="Y3559" i="14"/>
  <c r="Y3555" i="14"/>
  <c r="Y3551" i="14"/>
  <c r="Y3547" i="14"/>
  <c r="Y3543" i="14"/>
  <c r="Y3539" i="14"/>
  <c r="Y3535" i="14"/>
  <c r="Y3531" i="14"/>
  <c r="Y3527" i="14"/>
  <c r="Y3523" i="14"/>
  <c r="Y3519" i="14"/>
  <c r="Y3515" i="14"/>
  <c r="Y3511" i="14"/>
  <c r="Y3507" i="14"/>
  <c r="Y3503" i="14"/>
  <c r="Y3497" i="14"/>
  <c r="Y3493" i="14"/>
  <c r="Y3489" i="14"/>
  <c r="Y3485" i="14"/>
  <c r="Y3483" i="14"/>
  <c r="Y3479" i="14"/>
  <c r="Y3475" i="14"/>
  <c r="Y3471" i="14"/>
  <c r="Y3467" i="14"/>
  <c r="Y3463" i="14"/>
  <c r="Y3457" i="14"/>
  <c r="Y3453" i="14"/>
  <c r="Y3449" i="14"/>
  <c r="Y3447" i="14"/>
  <c r="Y3443" i="14"/>
  <c r="Y3439" i="14"/>
  <c r="Y3435" i="14"/>
  <c r="Y3431" i="14"/>
  <c r="Y3427" i="14"/>
  <c r="Y3423" i="14"/>
  <c r="Y3417" i="14"/>
  <c r="Y3415" i="14"/>
  <c r="Y3411" i="14"/>
  <c r="Y3407" i="14"/>
  <c r="Y3403" i="14"/>
  <c r="Y3399" i="14"/>
  <c r="Y3395" i="14"/>
  <c r="Y3391" i="14"/>
  <c r="Y3387" i="14"/>
  <c r="Y3383" i="14"/>
  <c r="Y3379" i="14"/>
  <c r="Y3375" i="14"/>
  <c r="Y3371" i="14"/>
  <c r="Y3367" i="14"/>
  <c r="Y3363" i="14"/>
  <c r="Y3359" i="14"/>
  <c r="Y3355" i="14"/>
  <c r="Y3351" i="14"/>
  <c r="Y3347" i="14"/>
  <c r="Y3343" i="14"/>
  <c r="Y3339" i="14"/>
  <c r="Y3335" i="14"/>
  <c r="Y3331" i="14"/>
  <c r="Y3327" i="14"/>
  <c r="Y3323" i="14"/>
  <c r="Y3319" i="14"/>
  <c r="Y3315" i="14"/>
  <c r="Y3311" i="14"/>
  <c r="T3629" i="14"/>
  <c r="T3625" i="14"/>
  <c r="T3621" i="14"/>
  <c r="T3617" i="14"/>
  <c r="T3613" i="14"/>
  <c r="T3609" i="14"/>
  <c r="T3605" i="14"/>
  <c r="T3601" i="14"/>
  <c r="T3597" i="14"/>
  <c r="T3593" i="14"/>
  <c r="T3589" i="14"/>
  <c r="T3585" i="14"/>
  <c r="T3581" i="14"/>
  <c r="T3577" i="14"/>
  <c r="T3573" i="14"/>
  <c r="T3569" i="14"/>
  <c r="T3565" i="14"/>
  <c r="T3561" i="14"/>
  <c r="T3557" i="14"/>
  <c r="T3553" i="14"/>
  <c r="T3549" i="14"/>
  <c r="T3545" i="14"/>
  <c r="T3541" i="14"/>
  <c r="T3537" i="14"/>
  <c r="T3533" i="14"/>
  <c r="T3529" i="14"/>
  <c r="T3525" i="14"/>
  <c r="T3521" i="14"/>
  <c r="T3517" i="14"/>
  <c r="T3513" i="14"/>
  <c r="T3511" i="14"/>
  <c r="T3505" i="14"/>
  <c r="T3501" i="14"/>
  <c r="T3497" i="14"/>
  <c r="T3493" i="14"/>
  <c r="T3491" i="14"/>
  <c r="T3487" i="14"/>
  <c r="T3483" i="14"/>
  <c r="T3479" i="14"/>
  <c r="T3475" i="14"/>
  <c r="T3471" i="14"/>
  <c r="T3467" i="14"/>
  <c r="T3463" i="14"/>
  <c r="T3459" i="14"/>
  <c r="T3455" i="14"/>
  <c r="T3451" i="14"/>
  <c r="T3447" i="14"/>
  <c r="T3443" i="14"/>
  <c r="T3439" i="14"/>
  <c r="T3435" i="14"/>
  <c r="T3431" i="14"/>
  <c r="T3427" i="14"/>
  <c r="T3423" i="14"/>
  <c r="T3419" i="14"/>
  <c r="T3415" i="14"/>
  <c r="T3411" i="14"/>
  <c r="T3407" i="14"/>
  <c r="T3403" i="14"/>
  <c r="T3399" i="14"/>
  <c r="T3395" i="14"/>
  <c r="T3391" i="14"/>
  <c r="T3387" i="14"/>
  <c r="T3383" i="14"/>
  <c r="T3379" i="14"/>
  <c r="T3375" i="14"/>
  <c r="T3371" i="14"/>
  <c r="T3367" i="14"/>
  <c r="T3363" i="14"/>
  <c r="T3359" i="14"/>
  <c r="T3355" i="14"/>
  <c r="T3349" i="14"/>
  <c r="T3345" i="14"/>
  <c r="T3343" i="14"/>
  <c r="T3339" i="14"/>
  <c r="T3335" i="14"/>
  <c r="T3331" i="14"/>
  <c r="T3327" i="14"/>
  <c r="T3323" i="14"/>
  <c r="T3319" i="14"/>
  <c r="T3315" i="14"/>
  <c r="T3311" i="14"/>
  <c r="T3627" i="14"/>
  <c r="T3623" i="14"/>
  <c r="T3619" i="14"/>
  <c r="T3615" i="14"/>
  <c r="T3611" i="14"/>
  <c r="T3607" i="14"/>
  <c r="T3603" i="14"/>
  <c r="T3599" i="14"/>
  <c r="T3595" i="14"/>
  <c r="T3591" i="14"/>
  <c r="T3587" i="14"/>
  <c r="T3583" i="14"/>
  <c r="T3579" i="14"/>
  <c r="T3575" i="14"/>
  <c r="T3571" i="14"/>
  <c r="T3567" i="14"/>
  <c r="T3563" i="14"/>
  <c r="T3559" i="14"/>
  <c r="T3555" i="14"/>
  <c r="T3551" i="14"/>
  <c r="T3547" i="14"/>
  <c r="T3543" i="14"/>
  <c r="T3539" i="14"/>
  <c r="T3535" i="14"/>
  <c r="T3531" i="14"/>
  <c r="T3527" i="14"/>
  <c r="T3523" i="14"/>
  <c r="T3519" i="14"/>
  <c r="T3515" i="14"/>
  <c r="T3509" i="14"/>
  <c r="T3507" i="14"/>
  <c r="T3503" i="14"/>
  <c r="T3499" i="14"/>
  <c r="T3495" i="14"/>
  <c r="T3489" i="14"/>
  <c r="T3485" i="14"/>
  <c r="T3481" i="14"/>
  <c r="T3477" i="14"/>
  <c r="T3473" i="14"/>
  <c r="T3469" i="14"/>
  <c r="T3465" i="14"/>
  <c r="T3461" i="14"/>
  <c r="T3457" i="14"/>
  <c r="T3453" i="14"/>
  <c r="T3449" i="14"/>
  <c r="T3445" i="14"/>
  <c r="T3441" i="14"/>
  <c r="T3437" i="14"/>
  <c r="T3433" i="14"/>
  <c r="T3429" i="14"/>
  <c r="T3425" i="14"/>
  <c r="T3421" i="14"/>
  <c r="T3417" i="14"/>
  <c r="T3413" i="14"/>
  <c r="T3409" i="14"/>
  <c r="T3405" i="14"/>
  <c r="T3401" i="14"/>
  <c r="T3397" i="14"/>
  <c r="T3393" i="14"/>
  <c r="T3389" i="14"/>
  <c r="T3385" i="14"/>
  <c r="T3381" i="14"/>
  <c r="T3377" i="14"/>
  <c r="T3373" i="14"/>
  <c r="T3369" i="14"/>
  <c r="T3365" i="14"/>
  <c r="T3361" i="14"/>
  <c r="T3357" i="14"/>
  <c r="T3353" i="14"/>
  <c r="T3351" i="14"/>
  <c r="T3347" i="14"/>
  <c r="T3341" i="14"/>
  <c r="T3337" i="14"/>
  <c r="T3333" i="14"/>
  <c r="T3329" i="14"/>
  <c r="T3325" i="14"/>
  <c r="T3321" i="14"/>
  <c r="T3317" i="14"/>
  <c r="T3313" i="14"/>
  <c r="Y3622" i="14"/>
  <c r="Y3618" i="14"/>
  <c r="Y3614" i="14"/>
  <c r="Y3610" i="14"/>
  <c r="Y3606" i="14"/>
  <c r="Y3602" i="14"/>
  <c r="Y3598" i="14"/>
  <c r="Y3594" i="14"/>
  <c r="Y3590" i="14"/>
  <c r="Y3586" i="14"/>
  <c r="Y3582" i="14"/>
  <c r="Y3578" i="14"/>
  <c r="Y3574" i="14"/>
  <c r="Y3570" i="14"/>
  <c r="Y3566" i="14"/>
  <c r="Y3562" i="14"/>
  <c r="Y3558" i="14"/>
  <c r="Y3554" i="14"/>
  <c r="Y3552" i="14"/>
  <c r="Y3548" i="14"/>
  <c r="Y3544" i="14"/>
  <c r="Y3540" i="14"/>
  <c r="Y3536" i="14"/>
  <c r="Y3532" i="14"/>
  <c r="Y3528" i="14"/>
  <c r="Y3524" i="14"/>
  <c r="Y3520" i="14"/>
  <c r="Y3516" i="14"/>
  <c r="Y3512" i="14"/>
  <c r="Y3508" i="14"/>
  <c r="Y3504" i="14"/>
  <c r="Y3500" i="14"/>
  <c r="Y3496" i="14"/>
  <c r="Y3492" i="14"/>
  <c r="Y3488" i="14"/>
  <c r="Y3482" i="14"/>
  <c r="Y3478" i="14"/>
  <c r="Y3474" i="14"/>
  <c r="Y3470" i="14"/>
  <c r="Y3468" i="14"/>
  <c r="Y3464" i="14"/>
  <c r="Y3460" i="14"/>
  <c r="Y3456" i="14"/>
  <c r="Y3452" i="14"/>
  <c r="Y3448" i="14"/>
  <c r="Y3446" i="14"/>
  <c r="Y3442" i="14"/>
  <c r="Y3438" i="14"/>
  <c r="Y3436" i="14"/>
  <c r="Y3432" i="14"/>
  <c r="Y3428" i="14"/>
  <c r="Y3424" i="14"/>
  <c r="Y3420" i="14"/>
  <c r="Y3416" i="14"/>
  <c r="Y3412" i="14"/>
  <c r="Y3408" i="14"/>
  <c r="Y3402" i="14"/>
  <c r="Y3400" i="14"/>
  <c r="Y3396" i="14"/>
  <c r="Y3392" i="14"/>
  <c r="Y3388" i="14"/>
  <c r="Y3384" i="14"/>
  <c r="Y3380" i="14"/>
  <c r="Y3374" i="14"/>
  <c r="Y3370" i="14"/>
  <c r="Y3366" i="14"/>
  <c r="Y3362" i="14"/>
  <c r="Y3358" i="14"/>
  <c r="Y3354" i="14"/>
  <c r="Y3350" i="14"/>
  <c r="Y3346" i="14"/>
  <c r="Y3342" i="14"/>
  <c r="Y3338" i="14"/>
  <c r="Y3334" i="14"/>
  <c r="Y3330" i="14"/>
  <c r="Y3326" i="14"/>
  <c r="Y3322" i="14"/>
  <c r="Y3318" i="14"/>
  <c r="Y3314" i="14"/>
  <c r="Y3310" i="14"/>
  <c r="Y3306" i="14"/>
  <c r="Y3307" i="14"/>
  <c r="T3233" i="14"/>
  <c r="T3195" i="14"/>
  <c r="T3191" i="14"/>
  <c r="T3187" i="14"/>
  <c r="T3183" i="14"/>
  <c r="T3179" i="14"/>
  <c r="T3175" i="14"/>
  <c r="T3171" i="14"/>
  <c r="T3167" i="14"/>
  <c r="T3163" i="14"/>
  <c r="T3159" i="14"/>
  <c r="T3155" i="14"/>
  <c r="T3151" i="14"/>
  <c r="T3147" i="14"/>
  <c r="T3143" i="14"/>
  <c r="T3139" i="14"/>
  <c r="T3135" i="14"/>
  <c r="T3131" i="14"/>
  <c r="T3129" i="14"/>
  <c r="T3125" i="14"/>
  <c r="T3121" i="14"/>
  <c r="T3117" i="14"/>
  <c r="T3113" i="14"/>
  <c r="T3109" i="14"/>
  <c r="T3105" i="14"/>
  <c r="T3101" i="14"/>
  <c r="T3099" i="14"/>
  <c r="T3095" i="14"/>
  <c r="T3091" i="14"/>
  <c r="T3087" i="14"/>
  <c r="T3083" i="14"/>
  <c r="T3079" i="14"/>
  <c r="T3075" i="14"/>
  <c r="T3071" i="14"/>
  <c r="T3067" i="14"/>
  <c r="T3063" i="14"/>
  <c r="T3059" i="14"/>
  <c r="T3055" i="14"/>
  <c r="T3051" i="14"/>
  <c r="T3049" i="14"/>
  <c r="T3045" i="14"/>
  <c r="T3041" i="14"/>
  <c r="T3037" i="14"/>
  <c r="T3033" i="14"/>
  <c r="T3029" i="14"/>
  <c r="T3027" i="14"/>
  <c r="T3023" i="14"/>
  <c r="T3019" i="14"/>
  <c r="T3015" i="14"/>
  <c r="T3011" i="14"/>
  <c r="T3009" i="14"/>
  <c r="T3005" i="14"/>
  <c r="T2998" i="14"/>
  <c r="T2994" i="14"/>
  <c r="T2990" i="14"/>
  <c r="T2986" i="14"/>
  <c r="T2982" i="14"/>
  <c r="T2980" i="14"/>
  <c r="T2976" i="14"/>
  <c r="T2972" i="14"/>
  <c r="T2968" i="14"/>
  <c r="T2964" i="14"/>
  <c r="T2960" i="14"/>
  <c r="T2956" i="14"/>
  <c r="T2952" i="14"/>
  <c r="T2948" i="14"/>
  <c r="T2944" i="14"/>
  <c r="T2940" i="14"/>
  <c r="T2938" i="14"/>
  <c r="T2934" i="14"/>
  <c r="T2930" i="14"/>
  <c r="T2926" i="14"/>
  <c r="T2922" i="14"/>
  <c r="T2918" i="14"/>
  <c r="T2914" i="14"/>
  <c r="T2910" i="14"/>
  <c r="T2906" i="14"/>
  <c r="T2904" i="14"/>
  <c r="T2900" i="14"/>
  <c r="T2896" i="14"/>
  <c r="T2892" i="14"/>
  <c r="T2888" i="14"/>
  <c r="T2884" i="14"/>
  <c r="T2880" i="14"/>
  <c r="T2876" i="14"/>
  <c r="T2874" i="14"/>
  <c r="T2870" i="14"/>
  <c r="T2866" i="14"/>
  <c r="T2862" i="14"/>
  <c r="T2860" i="14"/>
  <c r="T2856" i="14"/>
  <c r="T2852" i="14"/>
  <c r="T2848" i="14"/>
  <c r="T2844" i="14"/>
  <c r="T2526" i="14"/>
  <c r="T2522" i="14"/>
  <c r="T2518" i="14"/>
  <c r="T2516" i="14"/>
  <c r="T2512" i="14"/>
  <c r="T2508" i="14"/>
  <c r="T2504" i="14"/>
  <c r="T2500" i="14"/>
  <c r="T2496" i="14"/>
  <c r="T2494" i="14"/>
  <c r="T2490" i="14"/>
  <c r="T2486" i="14"/>
  <c r="T2482" i="14"/>
  <c r="T2478" i="14"/>
  <c r="T2474" i="14"/>
  <c r="T2472" i="14"/>
  <c r="T2468" i="14"/>
  <c r="T2462" i="14"/>
  <c r="T2458" i="14"/>
  <c r="T2456" i="14"/>
  <c r="T2452" i="14"/>
  <c r="T2448" i="14"/>
  <c r="T3305" i="14"/>
  <c r="T3303" i="14"/>
  <c r="T3301" i="14"/>
  <c r="T3299" i="14"/>
  <c r="T3297" i="14"/>
  <c r="T3295" i="14"/>
  <c r="T3293" i="14"/>
  <c r="T3291" i="14"/>
  <c r="T3289" i="14"/>
  <c r="T3287" i="14"/>
  <c r="T3285" i="14"/>
  <c r="T3283" i="14"/>
  <c r="T3281" i="14"/>
  <c r="T3279" i="14"/>
  <c r="T3277" i="14"/>
  <c r="T3275" i="14"/>
  <c r="T3273" i="14"/>
  <c r="T3271" i="14"/>
  <c r="T3269" i="14"/>
  <c r="T3267" i="14"/>
  <c r="T3265" i="14"/>
  <c r="T3263" i="14"/>
  <c r="T3261" i="14"/>
  <c r="T3259" i="14"/>
  <c r="T3257" i="14"/>
  <c r="T3255" i="14"/>
  <c r="T3253" i="14"/>
  <c r="T3251" i="14"/>
  <c r="T3249" i="14"/>
  <c r="T3247" i="14"/>
  <c r="T3245" i="14"/>
  <c r="T3243" i="14"/>
  <c r="T3241" i="14"/>
  <c r="T3239" i="14"/>
  <c r="T3237" i="14"/>
  <c r="T3235" i="14"/>
  <c r="T3231" i="14"/>
  <c r="T3229" i="14"/>
  <c r="T3227" i="14"/>
  <c r="T3225" i="14"/>
  <c r="T3223" i="14"/>
  <c r="T3221" i="14"/>
  <c r="T3219" i="14"/>
  <c r="T3217" i="14"/>
  <c r="T3215" i="14"/>
  <c r="T3213" i="14"/>
  <c r="T3211" i="14"/>
  <c r="T3209" i="14"/>
  <c r="T3207" i="14"/>
  <c r="T3205" i="14"/>
  <c r="T3203" i="14"/>
  <c r="T3201" i="14"/>
  <c r="T3199" i="14"/>
  <c r="T3197" i="14"/>
  <c r="T3193" i="14"/>
  <c r="T3189" i="14"/>
  <c r="T3185" i="14"/>
  <c r="T3181" i="14"/>
  <c r="T3177" i="14"/>
  <c r="T3173" i="14"/>
  <c r="T3169" i="14"/>
  <c r="T3165" i="14"/>
  <c r="T3161" i="14"/>
  <c r="T3157" i="14"/>
  <c r="T3153" i="14"/>
  <c r="T3149" i="14"/>
  <c r="T3145" i="14"/>
  <c r="T3141" i="14"/>
  <c r="T3137" i="14"/>
  <c r="T3133" i="14"/>
  <c r="T3127" i="14"/>
  <c r="T3123" i="14"/>
  <c r="T3119" i="14"/>
  <c r="T3115" i="14"/>
  <c r="T3111" i="14"/>
  <c r="T3107" i="14"/>
  <c r="T3103" i="14"/>
  <c r="T3097" i="14"/>
  <c r="T3093" i="14"/>
  <c r="T3089" i="14"/>
  <c r="T3085" i="14"/>
  <c r="T3081" i="14"/>
  <c r="T3077" i="14"/>
  <c r="T3073" i="14"/>
  <c r="T3069" i="14"/>
  <c r="T3065" i="14"/>
  <c r="T3061" i="14"/>
  <c r="T3057" i="14"/>
  <c r="T3053" i="14"/>
  <c r="T3047" i="14"/>
  <c r="T3043" i="14"/>
  <c r="T3039" i="14"/>
  <c r="T3035" i="14"/>
  <c r="T3031" i="14"/>
  <c r="T3025" i="14"/>
  <c r="T3021" i="14"/>
  <c r="T3017" i="14"/>
  <c r="T3013" i="14"/>
  <c r="T3007" i="14"/>
  <c r="T3003" i="14"/>
  <c r="T2996" i="14"/>
  <c r="T2992" i="14"/>
  <c r="T2988" i="14"/>
  <c r="T2984" i="14"/>
  <c r="T2978" i="14"/>
  <c r="T2974" i="14"/>
  <c r="T2970" i="14"/>
  <c r="T2966" i="14"/>
  <c r="T2962" i="14"/>
  <c r="T2958" i="14"/>
  <c r="T2954" i="14"/>
  <c r="T2950" i="14"/>
  <c r="T2946" i="14"/>
  <c r="T2942" i="14"/>
  <c r="T2936" i="14"/>
  <c r="T2932" i="14"/>
  <c r="T2928" i="14"/>
  <c r="T2924" i="14"/>
  <c r="T2920" i="14"/>
  <c r="T2916" i="14"/>
  <c r="T2912" i="14"/>
  <c r="T2908" i="14"/>
  <c r="T2902" i="14"/>
  <c r="T2898" i="14"/>
  <c r="T2894" i="14"/>
  <c r="T2890" i="14"/>
  <c r="T2886" i="14"/>
  <c r="T2882" i="14"/>
  <c r="T2878" i="14"/>
  <c r="T2872" i="14"/>
  <c r="T2868" i="14"/>
  <c r="T2864" i="14"/>
  <c r="T2858" i="14"/>
  <c r="T2854" i="14"/>
  <c r="T2850" i="14"/>
  <c r="T2846" i="14"/>
  <c r="T2842" i="14"/>
  <c r="T2612" i="14"/>
  <c r="T2524" i="14"/>
  <c r="T2520" i="14"/>
  <c r="T2514" i="14"/>
  <c r="T2510" i="14"/>
  <c r="T2506" i="14"/>
  <c r="T2502" i="14"/>
  <c r="T2498" i="14"/>
  <c r="T2492" i="14"/>
  <c r="T2488" i="14"/>
  <c r="T2484" i="14"/>
  <c r="T2480" i="14"/>
  <c r="T2476" i="14"/>
  <c r="T2470" i="14"/>
  <c r="T2466" i="14"/>
  <c r="T2464" i="14"/>
  <c r="T2460" i="14"/>
  <c r="T2454" i="14"/>
  <c r="T2450" i="14"/>
  <c r="Y3309" i="14"/>
  <c r="T3307" i="14"/>
  <c r="Y3230" i="14"/>
  <c r="Y3194" i="14"/>
  <c r="Y3190" i="14"/>
  <c r="Y3186" i="14"/>
  <c r="Y3182" i="14"/>
  <c r="Y3178" i="14"/>
  <c r="Y3174" i="14"/>
  <c r="Y3170" i="14"/>
  <c r="Y3166" i="14"/>
  <c r="Y3162" i="14"/>
  <c r="Y3158" i="14"/>
  <c r="Y3154" i="14"/>
  <c r="Y3150" i="14"/>
  <c r="Y3146" i="14"/>
  <c r="Y3142" i="14"/>
  <c r="Y3138" i="14"/>
  <c r="Y3134" i="14"/>
  <c r="Y3130" i="14"/>
  <c r="Y3126" i="14"/>
  <c r="Y3122" i="14"/>
  <c r="Y3118" i="14"/>
  <c r="Y3114" i="14"/>
  <c r="Y3110" i="14"/>
  <c r="Y3106" i="14"/>
  <c r="Y3102" i="14"/>
  <c r="Y3098" i="14"/>
  <c r="Y3094" i="14"/>
  <c r="Y3090" i="14"/>
  <c r="Y3086" i="14"/>
  <c r="Y3082" i="14"/>
  <c r="Y3078" i="14"/>
  <c r="Y3074" i="14"/>
  <c r="Y3070" i="14"/>
  <c r="Y3066" i="14"/>
  <c r="Y3062" i="14"/>
  <c r="Y3058" i="14"/>
  <c r="Y3054" i="14"/>
  <c r="Y3050" i="14"/>
  <c r="Y3046" i="14"/>
  <c r="Y3042" i="14"/>
  <c r="Y3038" i="14"/>
  <c r="Y3034" i="14"/>
  <c r="Y3030" i="14"/>
  <c r="Y3026" i="14"/>
  <c r="Y3024" i="14"/>
  <c r="Y3020" i="14"/>
  <c r="Y3016" i="14"/>
  <c r="Y3012" i="14"/>
  <c r="Y3006" i="14"/>
  <c r="Y3002" i="14"/>
  <c r="Y2997" i="14"/>
  <c r="Y2993" i="14"/>
  <c r="Y2989" i="14"/>
  <c r="Y2985" i="14"/>
  <c r="Y2981" i="14"/>
  <c r="Y2977" i="14"/>
  <c r="Y2973" i="14"/>
  <c r="Y2969" i="14"/>
  <c r="Y2965" i="14"/>
  <c r="Y2961" i="14"/>
  <c r="Y2957" i="14"/>
  <c r="Y2953" i="14"/>
  <c r="Y2949" i="14"/>
  <c r="Y2945" i="14"/>
  <c r="Y2941" i="14"/>
  <c r="Y2937" i="14"/>
  <c r="Y2933" i="14"/>
  <c r="Y2929" i="14"/>
  <c r="Y2925" i="14"/>
  <c r="Y2921" i="14"/>
  <c r="Y2917" i="14"/>
  <c r="Y2913" i="14"/>
  <c r="Y2909" i="14"/>
  <c r="Y2905" i="14"/>
  <c r="Y2901" i="14"/>
  <c r="Y2897" i="14"/>
  <c r="Y2893" i="14"/>
  <c r="Y2889" i="14"/>
  <c r="Y2885" i="14"/>
  <c r="Y2881" i="14"/>
  <c r="Y2877" i="14"/>
  <c r="Y2873" i="14"/>
  <c r="Y2869" i="14"/>
  <c r="Y2865" i="14"/>
  <c r="Y2861" i="14"/>
  <c r="Y2857" i="14"/>
  <c r="Y2853" i="14"/>
  <c r="Y2849" i="14"/>
  <c r="Y2845" i="14"/>
  <c r="Y2841" i="14"/>
  <c r="Y2525" i="14"/>
  <c r="Y2521" i="14"/>
  <c r="Y2517" i="14"/>
  <c r="Y2513" i="14"/>
  <c r="Y2509" i="14"/>
  <c r="Y2505" i="14"/>
  <c r="Y2501" i="14"/>
  <c r="Y2497" i="14"/>
  <c r="Y2493" i="14"/>
  <c r="Y2489" i="14"/>
  <c r="Y2485" i="14"/>
  <c r="Y2481" i="14"/>
  <c r="Y2477" i="14"/>
  <c r="Y2473" i="14"/>
  <c r="Y2469" i="14"/>
  <c r="Y2465" i="14"/>
  <c r="Y2461" i="14"/>
  <c r="Y2457" i="14"/>
  <c r="Y2451" i="14"/>
  <c r="Y3304" i="14"/>
  <c r="Y3302" i="14"/>
  <c r="Y3300" i="14"/>
  <c r="Y3298" i="14"/>
  <c r="Y3296" i="14"/>
  <c r="Y3294" i="14"/>
  <c r="Y3292" i="14"/>
  <c r="Y3290" i="14"/>
  <c r="Y3288" i="14"/>
  <c r="Y3286" i="14"/>
  <c r="Y3284" i="14"/>
  <c r="Y3282" i="14"/>
  <c r="Y3280" i="14"/>
  <c r="Y3278" i="14"/>
  <c r="Y3276" i="14"/>
  <c r="Y3274" i="14"/>
  <c r="Y3272" i="14"/>
  <c r="Y3270" i="14"/>
  <c r="Y3268" i="14"/>
  <c r="Y3266" i="14"/>
  <c r="Y3264" i="14"/>
  <c r="Y3262" i="14"/>
  <c r="Y3260" i="14"/>
  <c r="Y3258" i="14"/>
  <c r="Y3256" i="14"/>
  <c r="Y3254" i="14"/>
  <c r="Y3252" i="14"/>
  <c r="Y3250" i="14"/>
  <c r="Y3248" i="14"/>
  <c r="Y3246" i="14"/>
  <c r="Y3244" i="14"/>
  <c r="Y3242" i="14"/>
  <c r="Y3240" i="14"/>
  <c r="Y3238" i="14"/>
  <c r="Y3236" i="14"/>
  <c r="Y3234" i="14"/>
  <c r="Y3232" i="14"/>
  <c r="Y3228" i="14"/>
  <c r="Y3226" i="14"/>
  <c r="Y3224" i="14"/>
  <c r="Y3222" i="14"/>
  <c r="Y3220" i="14"/>
  <c r="Y3218" i="14"/>
  <c r="Y3216" i="14"/>
  <c r="Y3214" i="14"/>
  <c r="Y3212" i="14"/>
  <c r="Y3210" i="14"/>
  <c r="Y3208" i="14"/>
  <c r="Y3206" i="14"/>
  <c r="Y3204" i="14"/>
  <c r="Y3202" i="14"/>
  <c r="Y3200" i="14"/>
  <c r="Y3198" i="14"/>
  <c r="Y3196" i="14"/>
  <c r="Y3192" i="14"/>
  <c r="Y3188" i="14"/>
  <c r="Y3184" i="14"/>
  <c r="Y3180" i="14"/>
  <c r="Y3176" i="14"/>
  <c r="Y3172" i="14"/>
  <c r="Y3168" i="14"/>
  <c r="Y3164" i="14"/>
  <c r="Y3160" i="14"/>
  <c r="Y3156" i="14"/>
  <c r="Y3152" i="14"/>
  <c r="Y3148" i="14"/>
  <c r="Y3144" i="14"/>
  <c r="Y3140" i="14"/>
  <c r="Y3136" i="14"/>
  <c r="Y3132" i="14"/>
  <c r="Y3128" i="14"/>
  <c r="Y3124" i="14"/>
  <c r="Y3120" i="14"/>
  <c r="Y3116" i="14"/>
  <c r="Y3112" i="14"/>
  <c r="Y3108" i="14"/>
  <c r="Y3104" i="14"/>
  <c r="Y3100" i="14"/>
  <c r="Y3096" i="14"/>
  <c r="Y3092" i="14"/>
  <c r="Y3088" i="14"/>
  <c r="Y3084" i="14"/>
  <c r="Y3080" i="14"/>
  <c r="Y3076" i="14"/>
  <c r="Y3072" i="14"/>
  <c r="Y3068" i="14"/>
  <c r="Y3064" i="14"/>
  <c r="Y3060" i="14"/>
  <c r="Y3056" i="14"/>
  <c r="Y3052" i="14"/>
  <c r="Y3048" i="14"/>
  <c r="Y3044" i="14"/>
  <c r="Y3040" i="14"/>
  <c r="Y3036" i="14"/>
  <c r="Y3032" i="14"/>
  <c r="Y3028" i="14"/>
  <c r="Y3022" i="14"/>
  <c r="Y3018" i="14"/>
  <c r="Y3014" i="14"/>
  <c r="Y3010" i="14"/>
  <c r="Y3008" i="14"/>
  <c r="Y3004" i="14"/>
  <c r="Y2995" i="14"/>
  <c r="Y2991" i="14"/>
  <c r="Y2987" i="14"/>
  <c r="Y2983" i="14"/>
  <c r="Y2979" i="14"/>
  <c r="Y2975" i="14"/>
  <c r="Y2971" i="14"/>
  <c r="Y2967" i="14"/>
  <c r="Y2963" i="14"/>
  <c r="Y2959" i="14"/>
  <c r="Y2955" i="14"/>
  <c r="Y2951" i="14"/>
  <c r="Y2947" i="14"/>
  <c r="Y2943" i="14"/>
  <c r="Y2939" i="14"/>
  <c r="Y2935" i="14"/>
  <c r="Y2931" i="14"/>
  <c r="Y2927" i="14"/>
  <c r="Y2923" i="14"/>
  <c r="Y2919" i="14"/>
  <c r="Y2915" i="14"/>
  <c r="Y2911" i="14"/>
  <c r="Y2907" i="14"/>
  <c r="Y2903" i="14"/>
  <c r="Y2899" i="14"/>
  <c r="Y2895" i="14"/>
  <c r="Y2891" i="14"/>
  <c r="Y2887" i="14"/>
  <c r="Y2883" i="14"/>
  <c r="Y2879" i="14"/>
  <c r="Y2875" i="14"/>
  <c r="Y2871" i="14"/>
  <c r="Y2867" i="14"/>
  <c r="Y2863" i="14"/>
  <c r="Y2859" i="14"/>
  <c r="Y2855" i="14"/>
  <c r="Y2851" i="14"/>
  <c r="Y2847" i="14"/>
  <c r="Y2843" i="14"/>
  <c r="Y2523" i="14"/>
  <c r="Y2519" i="14"/>
  <c r="Y2515" i="14"/>
  <c r="Y2511" i="14"/>
  <c r="Y2507" i="14"/>
  <c r="Y2503" i="14"/>
  <c r="Y2499" i="14"/>
  <c r="Y2495" i="14"/>
  <c r="Y2491" i="14"/>
  <c r="Y2487" i="14"/>
  <c r="Y2483" i="14"/>
  <c r="Y2479" i="14"/>
  <c r="Y2475" i="14"/>
  <c r="Y2471" i="14"/>
  <c r="Y2467" i="14"/>
  <c r="Y2463" i="14"/>
  <c r="Y2459" i="14"/>
  <c r="Y2455" i="14"/>
  <c r="Y2453" i="14"/>
  <c r="T3309" i="14"/>
  <c r="T3234" i="14"/>
  <c r="T3196" i="14"/>
  <c r="T3192" i="14"/>
  <c r="T3188" i="14"/>
  <c r="T3184" i="14"/>
  <c r="T3180" i="14"/>
  <c r="T3176" i="14"/>
  <c r="T3172" i="14"/>
  <c r="T3168" i="14"/>
  <c r="T3164" i="14"/>
  <c r="T3160" i="14"/>
  <c r="T3156" i="14"/>
  <c r="T3152" i="14"/>
  <c r="T3148" i="14"/>
  <c r="T3144" i="14"/>
  <c r="T3140" i="14"/>
  <c r="T3136" i="14"/>
  <c r="T3132" i="14"/>
  <c r="T3128" i="14"/>
  <c r="T3124" i="14"/>
  <c r="T3120" i="14"/>
  <c r="T3116" i="14"/>
  <c r="T3112" i="14"/>
  <c r="T3108" i="14"/>
  <c r="T3104" i="14"/>
  <c r="T3100" i="14"/>
  <c r="T3096" i="14"/>
  <c r="T3092" i="14"/>
  <c r="T3088" i="14"/>
  <c r="T3084" i="14"/>
  <c r="T3080" i="14"/>
  <c r="T3076" i="14"/>
  <c r="T3072" i="14"/>
  <c r="T3068" i="14"/>
  <c r="T3064" i="14"/>
  <c r="T3060" i="14"/>
  <c r="T3056" i="14"/>
  <c r="T3052" i="14"/>
  <c r="T3048" i="14"/>
  <c r="T3044" i="14"/>
  <c r="T3040" i="14"/>
  <c r="T3036" i="14"/>
  <c r="T3032" i="14"/>
  <c r="T3028" i="14"/>
  <c r="T3024" i="14"/>
  <c r="T3020" i="14"/>
  <c r="T3016" i="14"/>
  <c r="T3012" i="14"/>
  <c r="T3008" i="14"/>
  <c r="T3004" i="14"/>
  <c r="T2997" i="14"/>
  <c r="T2993" i="14"/>
  <c r="T2989" i="14"/>
  <c r="T2985" i="14"/>
  <c r="T2981" i="14"/>
  <c r="T2977" i="14"/>
  <c r="T2973" i="14"/>
  <c r="T2969" i="14"/>
  <c r="T2965" i="14"/>
  <c r="T2961" i="14"/>
  <c r="T2957" i="14"/>
  <c r="T2953" i="14"/>
  <c r="T2949" i="14"/>
  <c r="T2945" i="14"/>
  <c r="T2943" i="14"/>
  <c r="T2939" i="14"/>
  <c r="T2935" i="14"/>
  <c r="T2931" i="14"/>
  <c r="T2927" i="14"/>
  <c r="T2923" i="14"/>
  <c r="T2919" i="14"/>
  <c r="T2915" i="14"/>
  <c r="T2911" i="14"/>
  <c r="T2907" i="14"/>
  <c r="T2901" i="14"/>
  <c r="T2899" i="14"/>
  <c r="T2895" i="14"/>
  <c r="T2891" i="14"/>
  <c r="T2887" i="14"/>
  <c r="T2883" i="14"/>
  <c r="T2879" i="14"/>
  <c r="T2875" i="14"/>
  <c r="T2871" i="14"/>
  <c r="T2867" i="14"/>
  <c r="T2863" i="14"/>
  <c r="T2859" i="14"/>
  <c r="T2855" i="14"/>
  <c r="T2851" i="14"/>
  <c r="T2847" i="14"/>
  <c r="T2843" i="14"/>
  <c r="Y2610" i="14"/>
  <c r="T2525" i="14"/>
  <c r="T2519" i="14"/>
  <c r="T2515" i="14"/>
  <c r="T2511" i="14"/>
  <c r="T2507" i="14"/>
  <c r="T2503" i="14"/>
  <c r="T2499" i="14"/>
  <c r="T2495" i="14"/>
  <c r="T2491" i="14"/>
  <c r="T2487" i="14"/>
  <c r="T2483" i="14"/>
  <c r="T2479" i="14"/>
  <c r="T2475" i="14"/>
  <c r="T2471" i="14"/>
  <c r="T2469" i="14"/>
  <c r="T2465" i="14"/>
  <c r="T2461" i="14"/>
  <c r="T2457" i="14"/>
  <c r="T2453" i="14"/>
  <c r="T3306" i="14"/>
  <c r="T3304" i="14"/>
  <c r="T3302" i="14"/>
  <c r="T3300" i="14"/>
  <c r="T3298" i="14"/>
  <c r="T3296" i="14"/>
  <c r="T3294" i="14"/>
  <c r="T3292" i="14"/>
  <c r="T3290" i="14"/>
  <c r="T3288" i="14"/>
  <c r="T3286" i="14"/>
  <c r="T3284" i="14"/>
  <c r="T3282" i="14"/>
  <c r="T3280" i="14"/>
  <c r="T3278" i="14"/>
  <c r="T3276" i="14"/>
  <c r="T3274" i="14"/>
  <c r="T3272" i="14"/>
  <c r="T3270" i="14"/>
  <c r="T3268" i="14"/>
  <c r="T3266" i="14"/>
  <c r="T3264" i="14"/>
  <c r="T3262" i="14"/>
  <c r="T3260" i="14"/>
  <c r="T3258" i="14"/>
  <c r="T3256" i="14"/>
  <c r="T3254" i="14"/>
  <c r="T3252" i="14"/>
  <c r="T3250" i="14"/>
  <c r="T3248" i="14"/>
  <c r="T3246" i="14"/>
  <c r="T3244" i="14"/>
  <c r="T3242" i="14"/>
  <c r="T3240" i="14"/>
  <c r="T3238" i="14"/>
  <c r="T3236" i="14"/>
  <c r="T3232" i="14"/>
  <c r="T3230" i="14"/>
  <c r="T3228" i="14"/>
  <c r="T3226" i="14"/>
  <c r="T3224" i="14"/>
  <c r="T3222" i="14"/>
  <c r="T3220" i="14"/>
  <c r="T3218" i="14"/>
  <c r="T3216" i="14"/>
  <c r="T3214" i="14"/>
  <c r="T3212" i="14"/>
  <c r="T3210" i="14"/>
  <c r="T3208" i="14"/>
  <c r="T3206" i="14"/>
  <c r="T3204" i="14"/>
  <c r="T3202" i="14"/>
  <c r="T3200" i="14"/>
  <c r="T3198" i="14"/>
  <c r="T3194" i="14"/>
  <c r="T3190" i="14"/>
  <c r="T3186" i="14"/>
  <c r="T3182" i="14"/>
  <c r="T3178" i="14"/>
  <c r="T3174" i="14"/>
  <c r="T3170" i="14"/>
  <c r="T3166" i="14"/>
  <c r="T3162" i="14"/>
  <c r="T3158" i="14"/>
  <c r="T3154" i="14"/>
  <c r="T3150" i="14"/>
  <c r="T3146" i="14"/>
  <c r="T3142" i="14"/>
  <c r="T3138" i="14"/>
  <c r="T3134" i="14"/>
  <c r="T3130" i="14"/>
  <c r="T3126" i="14"/>
  <c r="T3122" i="14"/>
  <c r="T3118" i="14"/>
  <c r="T3114" i="14"/>
  <c r="T3110" i="14"/>
  <c r="T3106" i="14"/>
  <c r="T3102" i="14"/>
  <c r="T3098" i="14"/>
  <c r="T3094" i="14"/>
  <c r="T3090" i="14"/>
  <c r="T3086" i="14"/>
  <c r="T3082" i="14"/>
  <c r="T3078" i="14"/>
  <c r="T3074" i="14"/>
  <c r="T3070" i="14"/>
  <c r="T3066" i="14"/>
  <c r="T3062" i="14"/>
  <c r="T3058" i="14"/>
  <c r="T3054" i="14"/>
  <c r="T3050" i="14"/>
  <c r="T3046" i="14"/>
  <c r="T3042" i="14"/>
  <c r="T3038" i="14"/>
  <c r="T3034" i="14"/>
  <c r="T3030" i="14"/>
  <c r="T3026" i="14"/>
  <c r="T3022" i="14"/>
  <c r="T3018" i="14"/>
  <c r="T3014" i="14"/>
  <c r="T3010" i="14"/>
  <c r="T3006" i="14"/>
  <c r="T3002" i="14"/>
  <c r="T2995" i="14"/>
  <c r="T2991" i="14"/>
  <c r="T2987" i="14"/>
  <c r="T2983" i="14"/>
  <c r="T2979" i="14"/>
  <c r="T2975" i="14"/>
  <c r="T2971" i="14"/>
  <c r="T2967" i="14"/>
  <c r="T2963" i="14"/>
  <c r="T2959" i="14"/>
  <c r="T2955" i="14"/>
  <c r="T2951" i="14"/>
  <c r="T2947" i="14"/>
  <c r="T2941" i="14"/>
  <c r="T2937" i="14"/>
  <c r="T2933" i="14"/>
  <c r="T2929" i="14"/>
  <c r="T2925" i="14"/>
  <c r="T2921" i="14"/>
  <c r="T2917" i="14"/>
  <c r="T2913" i="14"/>
  <c r="T2909" i="14"/>
  <c r="T2905" i="14"/>
  <c r="T2903" i="14"/>
  <c r="T2897" i="14"/>
  <c r="T2893" i="14"/>
  <c r="T2889" i="14"/>
  <c r="T2885" i="14"/>
  <c r="T2881" i="14"/>
  <c r="T2877" i="14"/>
  <c r="T2873" i="14"/>
  <c r="T2869" i="14"/>
  <c r="T2865" i="14"/>
  <c r="T2861" i="14"/>
  <c r="T2857" i="14"/>
  <c r="T2853" i="14"/>
  <c r="T2849" i="14"/>
  <c r="T2845" i="14"/>
  <c r="T2841" i="14"/>
  <c r="T2523" i="14"/>
  <c r="T2521" i="14"/>
  <c r="T2517" i="14"/>
  <c r="T2513" i="14"/>
  <c r="T2509" i="14"/>
  <c r="T2505" i="14"/>
  <c r="T2501" i="14"/>
  <c r="T2497" i="14"/>
  <c r="T2493" i="14"/>
  <c r="T2489" i="14"/>
  <c r="T2485" i="14"/>
  <c r="T2481" i="14"/>
  <c r="T2477" i="14"/>
  <c r="T2473" i="14"/>
  <c r="T2467" i="14"/>
  <c r="T2463" i="14"/>
  <c r="T2459" i="14"/>
  <c r="T2455" i="14"/>
  <c r="T2451" i="14"/>
  <c r="Y3231" i="14"/>
  <c r="Y3193" i="14"/>
  <c r="Y3187" i="14"/>
  <c r="Y3183" i="14"/>
  <c r="Y3179" i="14"/>
  <c r="Y3175" i="14"/>
  <c r="Y3171" i="14"/>
  <c r="Y3167" i="14"/>
  <c r="Y3163" i="14"/>
  <c r="Y3159" i="14"/>
  <c r="Y3155" i="14"/>
  <c r="Y3151" i="14"/>
  <c r="Y3147" i="14"/>
  <c r="Y3143" i="14"/>
  <c r="Y3137" i="14"/>
  <c r="Y3133" i="14"/>
  <c r="Y3127" i="14"/>
  <c r="Y3123" i="14"/>
  <c r="Y3119" i="14"/>
  <c r="Y3115" i="14"/>
  <c r="Y3111" i="14"/>
  <c r="Y3107" i="14"/>
  <c r="Y3101" i="14"/>
  <c r="Y3097" i="14"/>
  <c r="Y3093" i="14"/>
  <c r="Y3089" i="14"/>
  <c r="Y3087" i="14"/>
  <c r="Y3081" i="14"/>
  <c r="Y3077" i="14"/>
  <c r="Y3073" i="14"/>
  <c r="Y3069" i="14"/>
  <c r="Y3065" i="14"/>
  <c r="Y3061" i="14"/>
  <c r="Y3057" i="14"/>
  <c r="Y3053" i="14"/>
  <c r="Y3047" i="14"/>
  <c r="Y3043" i="14"/>
  <c r="Y3039" i="14"/>
  <c r="Y3035" i="14"/>
  <c r="Y3031" i="14"/>
  <c r="Y3025" i="14"/>
  <c r="Y3021" i="14"/>
  <c r="Y3017" i="14"/>
  <c r="Y3013" i="14"/>
  <c r="Y3009" i="14"/>
  <c r="Y3005" i="14"/>
  <c r="Y2996" i="14"/>
  <c r="Y2992" i="14"/>
  <c r="Y2988" i="14"/>
  <c r="Y2984" i="14"/>
  <c r="Y2978" i="14"/>
  <c r="Y2974" i="14"/>
  <c r="Y2970" i="14"/>
  <c r="Y2966" i="14"/>
  <c r="Y2962" i="14"/>
  <c r="Y2958" i="14"/>
  <c r="Y2954" i="14"/>
  <c r="Y2950" i="14"/>
  <c r="Y2946" i="14"/>
  <c r="Y2942" i="14"/>
  <c r="Y2936" i="14"/>
  <c r="Y2932" i="14"/>
  <c r="Y2928" i="14"/>
  <c r="Y2924" i="14"/>
  <c r="Y2920" i="14"/>
  <c r="Y2916" i="14"/>
  <c r="Y2912" i="14"/>
  <c r="Y2908" i="14"/>
  <c r="Y2904" i="14"/>
  <c r="Y2900" i="14"/>
  <c r="Y2896" i="14"/>
  <c r="Y2892" i="14"/>
  <c r="Y2888" i="14"/>
  <c r="Y2884" i="14"/>
  <c r="Y2880" i="14"/>
  <c r="Y2876" i="14"/>
  <c r="Y2872" i="14"/>
  <c r="Y2868" i="14"/>
  <c r="Y2862" i="14"/>
  <c r="Y2858" i="14"/>
  <c r="Y2854" i="14"/>
  <c r="Y2850" i="14"/>
  <c r="Y2846" i="14"/>
  <c r="Y2842" i="14"/>
  <c r="Y2612" i="14"/>
  <c r="Y2524" i="14"/>
  <c r="Y2520" i="14"/>
  <c r="Y2516" i="14"/>
  <c r="Y2512" i="14"/>
  <c r="Y2508" i="14"/>
  <c r="Y2502" i="14"/>
  <c r="Y2498" i="14"/>
  <c r="Y2494" i="14"/>
  <c r="Y2490" i="14"/>
  <c r="Y2484" i="14"/>
  <c r="Y2480" i="14"/>
  <c r="Y2476" i="14"/>
  <c r="Y2472" i="14"/>
  <c r="Y2468" i="14"/>
  <c r="Y2462" i="14"/>
  <c r="Y2458" i="14"/>
  <c r="Y2454" i="14"/>
  <c r="Y2450" i="14"/>
  <c r="Y3305" i="14"/>
  <c r="Y3303" i="14"/>
  <c r="Y3301" i="14"/>
  <c r="Y3299" i="14"/>
  <c r="Y3297" i="14"/>
  <c r="Y3295" i="14"/>
  <c r="Y3293" i="14"/>
  <c r="Y3291" i="14"/>
  <c r="Y3289" i="14"/>
  <c r="Y3287" i="14"/>
  <c r="Y3285" i="14"/>
  <c r="Y3283" i="14"/>
  <c r="Y3281" i="14"/>
  <c r="Y3279" i="14"/>
  <c r="Y3277" i="14"/>
  <c r="Y3275" i="14"/>
  <c r="Y3273" i="14"/>
  <c r="Y3271" i="14"/>
  <c r="Y3269" i="14"/>
  <c r="Y3267" i="14"/>
  <c r="Y3265" i="14"/>
  <c r="Y3263" i="14"/>
  <c r="Y3261" i="14"/>
  <c r="Y3259" i="14"/>
  <c r="Y3257" i="14"/>
  <c r="Y3255" i="14"/>
  <c r="Y3253" i="14"/>
  <c r="Y3251" i="14"/>
  <c r="Y3249" i="14"/>
  <c r="Y3247" i="14"/>
  <c r="Y3245" i="14"/>
  <c r="Y3243" i="14"/>
  <c r="Y3241" i="14"/>
  <c r="Y3239" i="14"/>
  <c r="Y3237" i="14"/>
  <c r="Y3235" i="14"/>
  <c r="Y3233" i="14"/>
  <c r="Y3229" i="14"/>
  <c r="Y3227" i="14"/>
  <c r="Y3225" i="14"/>
  <c r="Y3223" i="14"/>
  <c r="Y3221" i="14"/>
  <c r="Y3219" i="14"/>
  <c r="Y3217" i="14"/>
  <c r="Y3215" i="14"/>
  <c r="Y3213" i="14"/>
  <c r="Y3211" i="14"/>
  <c r="Y3209" i="14"/>
  <c r="Y3207" i="14"/>
  <c r="Y3205" i="14"/>
  <c r="Y3203" i="14"/>
  <c r="Y3201" i="14"/>
  <c r="Y3199" i="14"/>
  <c r="Y3197" i="14"/>
  <c r="Y3195" i="14"/>
  <c r="Y3191" i="14"/>
  <c r="Y3189" i="14"/>
  <c r="Y3185" i="14"/>
  <c r="Y3181" i="14"/>
  <c r="Y3177" i="14"/>
  <c r="Y3173" i="14"/>
  <c r="Y3169" i="14"/>
  <c r="Y3165" i="14"/>
  <c r="Y3161" i="14"/>
  <c r="Y3157" i="14"/>
  <c r="Y3153" i="14"/>
  <c r="Y3149" i="14"/>
  <c r="Y3145" i="14"/>
  <c r="Y3141" i="14"/>
  <c r="Y3139" i="14"/>
  <c r="Y3135" i="14"/>
  <c r="Y3131" i="14"/>
  <c r="Y3129" i="14"/>
  <c r="Y3125" i="14"/>
  <c r="Y3121" i="14"/>
  <c r="Y3117" i="14"/>
  <c r="Y3113" i="14"/>
  <c r="Y3109" i="14"/>
  <c r="Y3105" i="14"/>
  <c r="Y3103" i="14"/>
  <c r="Y3099" i="14"/>
  <c r="Y3095" i="14"/>
  <c r="Y3091" i="14"/>
  <c r="Y3085" i="14"/>
  <c r="Y3083" i="14"/>
  <c r="Y3079" i="14"/>
  <c r="Y3075" i="14"/>
  <c r="Y3071" i="14"/>
  <c r="Y3067" i="14"/>
  <c r="Y3063" i="14"/>
  <c r="Y3059" i="14"/>
  <c r="Y3055" i="14"/>
  <c r="Y3051" i="14"/>
  <c r="Y3049" i="14"/>
  <c r="Y3045" i="14"/>
  <c r="Y3041" i="14"/>
  <c r="Y3037" i="14"/>
  <c r="Y3033" i="14"/>
  <c r="Y3029" i="14"/>
  <c r="Y3027" i="14"/>
  <c r="Y3023" i="14"/>
  <c r="Y3019" i="14"/>
  <c r="Y3015" i="14"/>
  <c r="Y3011" i="14"/>
  <c r="Y3007" i="14"/>
  <c r="Y3003" i="14"/>
  <c r="Y2998" i="14"/>
  <c r="Y2994" i="14"/>
  <c r="Y2990" i="14"/>
  <c r="Y2986" i="14"/>
  <c r="Y2982" i="14"/>
  <c r="Y2980" i="14"/>
  <c r="Y2976" i="14"/>
  <c r="Y2972" i="14"/>
  <c r="Y2968" i="14"/>
  <c r="Y2964" i="14"/>
  <c r="Y2960" i="14"/>
  <c r="Y2956" i="14"/>
  <c r="Y2952" i="14"/>
  <c r="Y2948" i="14"/>
  <c r="Y2944" i="14"/>
  <c r="Y2940" i="14"/>
  <c r="Y2938" i="14"/>
  <c r="Y2934" i="14"/>
  <c r="Y2930" i="14"/>
  <c r="Y2926" i="14"/>
  <c r="Y2922" i="14"/>
  <c r="Y2918" i="14"/>
  <c r="Y2914" i="14"/>
  <c r="Y2910" i="14"/>
  <c r="Y2906" i="14"/>
  <c r="Y2902" i="14"/>
  <c r="Y2898" i="14"/>
  <c r="Y2894" i="14"/>
  <c r="Y2890" i="14"/>
  <c r="Y2886" i="14"/>
  <c r="Y2882" i="14"/>
  <c r="Y2878" i="14"/>
  <c r="Y2874" i="14"/>
  <c r="Y2870" i="14"/>
  <c r="Y2866" i="14"/>
  <c r="Y2864" i="14"/>
  <c r="Y2860" i="14"/>
  <c r="Y2856" i="14"/>
  <c r="Y2852" i="14"/>
  <c r="Y2848" i="14"/>
  <c r="Y2844" i="14"/>
  <c r="T2744" i="14"/>
  <c r="T2610" i="14"/>
  <c r="Y2526" i="14"/>
  <c r="Y2522" i="14"/>
  <c r="Y2518" i="14"/>
  <c r="Y2514" i="14"/>
  <c r="Y2510" i="14"/>
  <c r="Y2506" i="14"/>
  <c r="Y2504" i="14"/>
  <c r="Y2500" i="14"/>
  <c r="Y2496" i="14"/>
  <c r="Y2492" i="14"/>
  <c r="Y2488" i="14"/>
  <c r="Y2486" i="14"/>
  <c r="Y2482" i="14"/>
  <c r="Y2478" i="14"/>
  <c r="Y2474" i="14"/>
  <c r="Y2470" i="14"/>
  <c r="Y2466" i="14"/>
  <c r="Y2464" i="14"/>
  <c r="Y2460" i="14"/>
  <c r="Y2456" i="14"/>
  <c r="Y2452" i="14"/>
  <c r="T2446" i="14"/>
  <c r="T2444" i="14"/>
  <c r="T2442" i="14"/>
  <c r="T2440" i="14"/>
  <c r="T2438" i="14"/>
  <c r="T2436" i="14"/>
  <c r="T2434" i="14"/>
  <c r="T2432" i="14"/>
  <c r="T2430" i="14"/>
  <c r="T2428" i="14"/>
  <c r="T2426" i="14"/>
  <c r="T2424" i="14"/>
  <c r="T2422" i="14"/>
  <c r="T2420" i="14"/>
  <c r="T2418" i="14"/>
  <c r="T2416" i="14"/>
  <c r="T2414" i="14"/>
  <c r="T2410" i="14"/>
  <c r="T2408" i="14"/>
  <c r="T2406" i="14"/>
  <c r="T2404" i="14"/>
  <c r="T2402" i="14"/>
  <c r="T2398" i="14"/>
  <c r="T2394" i="14"/>
  <c r="T2390" i="14"/>
  <c r="T2386" i="14"/>
  <c r="T2382" i="14"/>
  <c r="T2378" i="14"/>
  <c r="T2374" i="14"/>
  <c r="T2370" i="14"/>
  <c r="T2366" i="14"/>
  <c r="T2362" i="14"/>
  <c r="T2358" i="14"/>
  <c r="T2354" i="14"/>
  <c r="T2350" i="14"/>
  <c r="T2344" i="14"/>
  <c r="T2340" i="14"/>
  <c r="T2336" i="14"/>
  <c r="T2332" i="14"/>
  <c r="T2328" i="14"/>
  <c r="T2324" i="14"/>
  <c r="T2320" i="14"/>
  <c r="T2316" i="14"/>
  <c r="T2312" i="14"/>
  <c r="T2308" i="14"/>
  <c r="T2304" i="14"/>
  <c r="T2300" i="14"/>
  <c r="T2296" i="14"/>
  <c r="T2292" i="14"/>
  <c r="T2288" i="14"/>
  <c r="T2284" i="14"/>
  <c r="T2280" i="14"/>
  <c r="T2276" i="14"/>
  <c r="T2272" i="14"/>
  <c r="T2268" i="14"/>
  <c r="T2264" i="14"/>
  <c r="T2260" i="14"/>
  <c r="T2256" i="14"/>
  <c r="T2252" i="14"/>
  <c r="T2248" i="14"/>
  <c r="T2244" i="14"/>
  <c r="T2240" i="14"/>
  <c r="T2234" i="14"/>
  <c r="T2230" i="14"/>
  <c r="T2226" i="14"/>
  <c r="T2222" i="14"/>
  <c r="T2218" i="14"/>
  <c r="T2214" i="14"/>
  <c r="T2210" i="14"/>
  <c r="T2206" i="14"/>
  <c r="T2202" i="14"/>
  <c r="T2198" i="14"/>
  <c r="T2196" i="14"/>
  <c r="T2192" i="14"/>
  <c r="T2188" i="14"/>
  <c r="T2184" i="14"/>
  <c r="T2180" i="14"/>
  <c r="T2176" i="14"/>
  <c r="T2172" i="14"/>
  <c r="T2168" i="14"/>
  <c r="T2162" i="14"/>
  <c r="T2158" i="14"/>
  <c r="T2154" i="14"/>
  <c r="T2152" i="14"/>
  <c r="T2148" i="14"/>
  <c r="T2144" i="14"/>
  <c r="T2140" i="14"/>
  <c r="T2136" i="14"/>
  <c r="T2132" i="14"/>
  <c r="T2128" i="14"/>
  <c r="T2122" i="14"/>
  <c r="T2118" i="14"/>
  <c r="T2114" i="14"/>
  <c r="T2112" i="14"/>
  <c r="T2108" i="14"/>
  <c r="T2104" i="14"/>
  <c r="T2100" i="14"/>
  <c r="T2096" i="14"/>
  <c r="T2092" i="14"/>
  <c r="T2088" i="14"/>
  <c r="T2084" i="14"/>
  <c r="T2080" i="14"/>
  <c r="T2074" i="14"/>
  <c r="T2070" i="14"/>
  <c r="T2066" i="14"/>
  <c r="T2062" i="14"/>
  <c r="T2058" i="14"/>
  <c r="T2054" i="14"/>
  <c r="T2048" i="14"/>
  <c r="T2044" i="14"/>
  <c r="T2040" i="14"/>
  <c r="T2036" i="14"/>
  <c r="Y2041" i="14"/>
  <c r="T2035" i="14"/>
  <c r="Y2425" i="14"/>
  <c r="Y2409" i="14"/>
  <c r="Y2403" i="14"/>
  <c r="Y2399" i="14"/>
  <c r="Y2395" i="14"/>
  <c r="Y2391" i="14"/>
  <c r="Y2387" i="14"/>
  <c r="Y2383" i="14"/>
  <c r="Y2379" i="14"/>
  <c r="Y2375" i="14"/>
  <c r="Y2371" i="14"/>
  <c r="Y2367" i="14"/>
  <c r="Y2363" i="14"/>
  <c r="Y2359" i="14"/>
  <c r="Y2355" i="14"/>
  <c r="Y2351" i="14"/>
  <c r="Y2347" i="14"/>
  <c r="Y2343" i="14"/>
  <c r="Y2339" i="14"/>
  <c r="Y2335" i="14"/>
  <c r="Y2331" i="14"/>
  <c r="Y2329" i="14"/>
  <c r="Y2325" i="14"/>
  <c r="Y2321" i="14"/>
  <c r="Y2317" i="14"/>
  <c r="Y2313" i="14"/>
  <c r="Y2309" i="14"/>
  <c r="Y2305" i="14"/>
  <c r="Y2301" i="14"/>
  <c r="Y2297" i="14"/>
  <c r="Y2293" i="14"/>
  <c r="Y2289" i="14"/>
  <c r="Y2285" i="14"/>
  <c r="Y2281" i="14"/>
  <c r="Y2277" i="14"/>
  <c r="Y2273" i="14"/>
  <c r="Y2269" i="14"/>
  <c r="Y2265" i="14"/>
  <c r="Y2261" i="14"/>
  <c r="Y2257" i="14"/>
  <c r="Y2253" i="14"/>
  <c r="Y2249" i="14"/>
  <c r="Y2245" i="14"/>
  <c r="Y2241" i="14"/>
  <c r="Y2237" i="14"/>
  <c r="Y2233" i="14"/>
  <c r="Y2229" i="14"/>
  <c r="Y2225" i="14"/>
  <c r="Y2221" i="14"/>
  <c r="Y2217" i="14"/>
  <c r="Y2213" i="14"/>
  <c r="Y2209" i="14"/>
  <c r="Y2205" i="14"/>
  <c r="Y2199" i="14"/>
  <c r="Y2195" i="14"/>
  <c r="Y2193" i="14"/>
  <c r="Y2189" i="14"/>
  <c r="Y2185" i="14"/>
  <c r="Y2181" i="14"/>
  <c r="Y2177" i="14"/>
  <c r="Y2173" i="14"/>
  <c r="Y2169" i="14"/>
  <c r="Y2165" i="14"/>
  <c r="Y2161" i="14"/>
  <c r="Y2157" i="14"/>
  <c r="Y2153" i="14"/>
  <c r="Y2149" i="14"/>
  <c r="Y2145" i="14"/>
  <c r="Y2141" i="14"/>
  <c r="Y2137" i="14"/>
  <c r="Y2133" i="14"/>
  <c r="Y2131" i="14"/>
  <c r="Y2127" i="14"/>
  <c r="Y2123" i="14"/>
  <c r="Y2119" i="14"/>
  <c r="Y2115" i="14"/>
  <c r="Y2111" i="14"/>
  <c r="Y2107" i="14"/>
  <c r="Y2103" i="14"/>
  <c r="Y2099" i="14"/>
  <c r="Y2095" i="14"/>
  <c r="Y2091" i="14"/>
  <c r="Y2087" i="14"/>
  <c r="Y2083" i="14"/>
  <c r="Y2079" i="14"/>
  <c r="Y2075" i="14"/>
  <c r="Y2071" i="14"/>
  <c r="Y2067" i="14"/>
  <c r="Y2063" i="14"/>
  <c r="Y2059" i="14"/>
  <c r="Y2055" i="14"/>
  <c r="Y2051" i="14"/>
  <c r="Y2047" i="14"/>
  <c r="Y2039" i="14"/>
  <c r="Y2447" i="14"/>
  <c r="Y2445" i="14"/>
  <c r="Y2443" i="14"/>
  <c r="Y2441" i="14"/>
  <c r="Y2439" i="14"/>
  <c r="Y2437" i="14"/>
  <c r="Y2435" i="14"/>
  <c r="Y2433" i="14"/>
  <c r="Y2431" i="14"/>
  <c r="Y2429" i="14"/>
  <c r="Y2427" i="14"/>
  <c r="Y2423" i="14"/>
  <c r="Y2421" i="14"/>
  <c r="Y2419" i="14"/>
  <c r="Y2417" i="14"/>
  <c r="Y2415" i="14"/>
  <c r="Y2413" i="14"/>
  <c r="Y2411" i="14"/>
  <c r="Y2407" i="14"/>
  <c r="Y2405" i="14"/>
  <c r="Y2401" i="14"/>
  <c r="Y2397" i="14"/>
  <c r="Y2393" i="14"/>
  <c r="Y2389" i="14"/>
  <c r="Y2385" i="14"/>
  <c r="Y2381" i="14"/>
  <c r="Y2377" i="14"/>
  <c r="Y2373" i="14"/>
  <c r="Y2369" i="14"/>
  <c r="Y2365" i="14"/>
  <c r="Y2361" i="14"/>
  <c r="Y2357" i="14"/>
  <c r="Y2353" i="14"/>
  <c r="Y2349" i="14"/>
  <c r="Y2345" i="14"/>
  <c r="Y2341" i="14"/>
  <c r="Y2337" i="14"/>
  <c r="Y2333" i="14"/>
  <c r="Y2327" i="14"/>
  <c r="Y2323" i="14"/>
  <c r="Y2319" i="14"/>
  <c r="Y2315" i="14"/>
  <c r="Y2311" i="14"/>
  <c r="Y2307" i="14"/>
  <c r="Y2303" i="14"/>
  <c r="Y2299" i="14"/>
  <c r="Y2295" i="14"/>
  <c r="Y2291" i="14"/>
  <c r="Y2287" i="14"/>
  <c r="Y2283" i="14"/>
  <c r="Y2279" i="14"/>
  <c r="Y2275" i="14"/>
  <c r="Y2271" i="14"/>
  <c r="Y2267" i="14"/>
  <c r="Y2263" i="14"/>
  <c r="Y2259" i="14"/>
  <c r="Y2255" i="14"/>
  <c r="Y2251" i="14"/>
  <c r="Y2247" i="14"/>
  <c r="Y2243" i="14"/>
  <c r="Y2239" i="14"/>
  <c r="Y2235" i="14"/>
  <c r="Y2231" i="14"/>
  <c r="Y2227" i="14"/>
  <c r="Y2223" i="14"/>
  <c r="Y2219" i="14"/>
  <c r="Y2215" i="14"/>
  <c r="Y2211" i="14"/>
  <c r="Y2207" i="14"/>
  <c r="Y2203" i="14"/>
  <c r="Y2201" i="14"/>
  <c r="Y2197" i="14"/>
  <c r="Y2191" i="14"/>
  <c r="Y2187" i="14"/>
  <c r="Y2183" i="14"/>
  <c r="Y2179" i="14"/>
  <c r="Y2175" i="14"/>
  <c r="Y2171" i="14"/>
  <c r="Y2167" i="14"/>
  <c r="Y2163" i="14"/>
  <c r="Y2159" i="14"/>
  <c r="Y2155" i="14"/>
  <c r="Y2151" i="14"/>
  <c r="Y2147" i="14"/>
  <c r="Y2143" i="14"/>
  <c r="Y2139" i="14"/>
  <c r="Y2135" i="14"/>
  <c r="Y2129" i="14"/>
  <c r="Y2125" i="14"/>
  <c r="Y2121" i="14"/>
  <c r="Y2117" i="14"/>
  <c r="Y2113" i="14"/>
  <c r="Y2109" i="14"/>
  <c r="Y2105" i="14"/>
  <c r="Y2101" i="14"/>
  <c r="Y2097" i="14"/>
  <c r="Y2093" i="14"/>
  <c r="Y2089" i="14"/>
  <c r="Y2085" i="14"/>
  <c r="Y2081" i="14"/>
  <c r="Y2077" i="14"/>
  <c r="Y2073" i="14"/>
  <c r="Y2069" i="14"/>
  <c r="Y2065" i="14"/>
  <c r="Y2061" i="14"/>
  <c r="Y2057" i="14"/>
  <c r="Y2053" i="14"/>
  <c r="Y2049" i="14"/>
  <c r="Y2045" i="14"/>
  <c r="Y2037" i="14"/>
  <c r="Y2449" i="14"/>
  <c r="T2413" i="14"/>
  <c r="T2401" i="14"/>
  <c r="T2397" i="14"/>
  <c r="T2393" i="14"/>
  <c r="T2389" i="14"/>
  <c r="T2385" i="14"/>
  <c r="T2381" i="14"/>
  <c r="T2377" i="14"/>
  <c r="T2373" i="14"/>
  <c r="T2369" i="14"/>
  <c r="T2365" i="14"/>
  <c r="T2361" i="14"/>
  <c r="T2357" i="14"/>
  <c r="T2353" i="14"/>
  <c r="T2349" i="14"/>
  <c r="T2345" i="14"/>
  <c r="T2341" i="14"/>
  <c r="T2337" i="14"/>
  <c r="T2333" i="14"/>
  <c r="T2329" i="14"/>
  <c r="T2325" i="14"/>
  <c r="T2321" i="14"/>
  <c r="T2317" i="14"/>
  <c r="T2313" i="14"/>
  <c r="T2309" i="14"/>
  <c r="T2305" i="14"/>
  <c r="T2301" i="14"/>
  <c r="T2297" i="14"/>
  <c r="T2293" i="14"/>
  <c r="T2289" i="14"/>
  <c r="T2285" i="14"/>
  <c r="T2281" i="14"/>
  <c r="T2277" i="14"/>
  <c r="T2273" i="14"/>
  <c r="T2269" i="14"/>
  <c r="T2265" i="14"/>
  <c r="T2261" i="14"/>
  <c r="T2257" i="14"/>
  <c r="T2253" i="14"/>
  <c r="T2249" i="14"/>
  <c r="T2245" i="14"/>
  <c r="T2241" i="14"/>
  <c r="T2237" i="14"/>
  <c r="T2233" i="14"/>
  <c r="T2229" i="14"/>
  <c r="T2223" i="14"/>
  <c r="T2219" i="14"/>
  <c r="T2215" i="14"/>
  <c r="T2211" i="14"/>
  <c r="T2207" i="14"/>
  <c r="T2203" i="14"/>
  <c r="T2201" i="14"/>
  <c r="T2197" i="14"/>
  <c r="T2193" i="14"/>
  <c r="T2189" i="14"/>
  <c r="T2185" i="14"/>
  <c r="T2179" i="14"/>
  <c r="T2175" i="14"/>
  <c r="T2171" i="14"/>
  <c r="T2169" i="14"/>
  <c r="T2165" i="14"/>
  <c r="T2161" i="14"/>
  <c r="T2157" i="14"/>
  <c r="T2153" i="14"/>
  <c r="T2149" i="14"/>
  <c r="T2145" i="14"/>
  <c r="T2141" i="14"/>
  <c r="T2137" i="14"/>
  <c r="T2133" i="14"/>
  <c r="T2129" i="14"/>
  <c r="T2125" i="14"/>
  <c r="T2121" i="14"/>
  <c r="T2117" i="14"/>
  <c r="T2113" i="14"/>
  <c r="T2109" i="14"/>
  <c r="T2107" i="14"/>
  <c r="T2103" i="14"/>
  <c r="T2099" i="14"/>
  <c r="T2095" i="14"/>
  <c r="T2091" i="14"/>
  <c r="T2087" i="14"/>
  <c r="T2083" i="14"/>
  <c r="T2077" i="14"/>
  <c r="T2073" i="14"/>
  <c r="T2069" i="14"/>
  <c r="T2065" i="14"/>
  <c r="T2061" i="14"/>
  <c r="T2057" i="14"/>
  <c r="T2053" i="14"/>
  <c r="T2051" i="14"/>
  <c r="T2045" i="14"/>
  <c r="T2041" i="14"/>
  <c r="T2447" i="14"/>
  <c r="T2445" i="14"/>
  <c r="T2443" i="14"/>
  <c r="T2441" i="14"/>
  <c r="T2439" i="14"/>
  <c r="T2437" i="14"/>
  <c r="T2435" i="14"/>
  <c r="T2433" i="14"/>
  <c r="T2431" i="14"/>
  <c r="T2429" i="14"/>
  <c r="T2427" i="14"/>
  <c r="T2425" i="14"/>
  <c r="T2423" i="14"/>
  <c r="T2421" i="14"/>
  <c r="T2419" i="14"/>
  <c r="T2417" i="14"/>
  <c r="T2415" i="14"/>
  <c r="T2411" i="14"/>
  <c r="T2409" i="14"/>
  <c r="T2407" i="14"/>
  <c r="T2405" i="14"/>
  <c r="T2403" i="14"/>
  <c r="T2399" i="14"/>
  <c r="T2395" i="14"/>
  <c r="T2391" i="14"/>
  <c r="T2387" i="14"/>
  <c r="T2383" i="14"/>
  <c r="T2379" i="14"/>
  <c r="T2375" i="14"/>
  <c r="T2371" i="14"/>
  <c r="T2367" i="14"/>
  <c r="T2363" i="14"/>
  <c r="T2359" i="14"/>
  <c r="T2355" i="14"/>
  <c r="T2351" i="14"/>
  <c r="T2347" i="14"/>
  <c r="T2343" i="14"/>
  <c r="T2339" i="14"/>
  <c r="T2335" i="14"/>
  <c r="T2331" i="14"/>
  <c r="T2327" i="14"/>
  <c r="T2323" i="14"/>
  <c r="T2319" i="14"/>
  <c r="T2315" i="14"/>
  <c r="T2311" i="14"/>
  <c r="T2307" i="14"/>
  <c r="T2303" i="14"/>
  <c r="T2299" i="14"/>
  <c r="T2295" i="14"/>
  <c r="T2291" i="14"/>
  <c r="T2287" i="14"/>
  <c r="T2283" i="14"/>
  <c r="T2279" i="14"/>
  <c r="T2275" i="14"/>
  <c r="T2271" i="14"/>
  <c r="T2267" i="14"/>
  <c r="T2263" i="14"/>
  <c r="T2259" i="14"/>
  <c r="T2255" i="14"/>
  <c r="T2251" i="14"/>
  <c r="T2247" i="14"/>
  <c r="T2243" i="14"/>
  <c r="T2239" i="14"/>
  <c r="T2235" i="14"/>
  <c r="T2231" i="14"/>
  <c r="T2227" i="14"/>
  <c r="T2225" i="14"/>
  <c r="T2221" i="14"/>
  <c r="T2217" i="14"/>
  <c r="T2213" i="14"/>
  <c r="T2209" i="14"/>
  <c r="T2205" i="14"/>
  <c r="T2199" i="14"/>
  <c r="T2195" i="14"/>
  <c r="T2191" i="14"/>
  <c r="T2187" i="14"/>
  <c r="T2183" i="14"/>
  <c r="T2181" i="14"/>
  <c r="T2177" i="14"/>
  <c r="T2173" i="14"/>
  <c r="T2167" i="14"/>
  <c r="T2163" i="14"/>
  <c r="T2159" i="14"/>
  <c r="T2155" i="14"/>
  <c r="T2151" i="14"/>
  <c r="T2147" i="14"/>
  <c r="T2143" i="14"/>
  <c r="T2139" i="14"/>
  <c r="T2135" i="14"/>
  <c r="T2131" i="14"/>
  <c r="T2127" i="14"/>
  <c r="T2123" i="14"/>
  <c r="T2119" i="14"/>
  <c r="T2115" i="14"/>
  <c r="T2111" i="14"/>
  <c r="T2105" i="14"/>
  <c r="T2101" i="14"/>
  <c r="T2097" i="14"/>
  <c r="T2093" i="14"/>
  <c r="T2089" i="14"/>
  <c r="T2085" i="14"/>
  <c r="T2081" i="14"/>
  <c r="T2079" i="14"/>
  <c r="T2075" i="14"/>
  <c r="T2071" i="14"/>
  <c r="T2067" i="14"/>
  <c r="T2063" i="14"/>
  <c r="T2059" i="14"/>
  <c r="T2055" i="14"/>
  <c r="T2049" i="14"/>
  <c r="T2047" i="14"/>
  <c r="T2043" i="14"/>
  <c r="T2039" i="14"/>
  <c r="T2449" i="14"/>
  <c r="Y2418" i="14"/>
  <c r="Y2402" i="14"/>
  <c r="Y2398" i="14"/>
  <c r="Y2394" i="14"/>
  <c r="Y2390" i="14"/>
  <c r="Y2386" i="14"/>
  <c r="Y2382" i="14"/>
  <c r="Y2378" i="14"/>
  <c r="Y2374" i="14"/>
  <c r="Y2370" i="14"/>
  <c r="Y2366" i="14"/>
  <c r="Y2362" i="14"/>
  <c r="Y2358" i="14"/>
  <c r="Y2354" i="14"/>
  <c r="Y2350" i="14"/>
  <c r="Y2346" i="14"/>
  <c r="Y2342" i="14"/>
  <c r="Y2338" i="14"/>
  <c r="Y2334" i="14"/>
  <c r="Y2330" i="14"/>
  <c r="Y2326" i="14"/>
  <c r="Y2322" i="14"/>
  <c r="Y2318" i="14"/>
  <c r="Y2314" i="14"/>
  <c r="Y2310" i="14"/>
  <c r="Y2306" i="14"/>
  <c r="Y2302" i="14"/>
  <c r="Y2298" i="14"/>
  <c r="Y2296" i="14"/>
  <c r="Y2292" i="14"/>
  <c r="Y2288" i="14"/>
  <c r="Y2284" i="14"/>
  <c r="Y2280" i="14"/>
  <c r="Y2276" i="14"/>
  <c r="Y2272" i="14"/>
  <c r="Y2268" i="14"/>
  <c r="Y2264" i="14"/>
  <c r="Y2260" i="14"/>
  <c r="Y2256" i="14"/>
  <c r="Y2252" i="14"/>
  <c r="Y2248" i="14"/>
  <c r="Y2244" i="14"/>
  <c r="Y2240" i="14"/>
  <c r="Y2236" i="14"/>
  <c r="Y2232" i="14"/>
  <c r="Y2228" i="14"/>
  <c r="Y2226" i="14"/>
  <c r="Y2222" i="14"/>
  <c r="Y2216" i="14"/>
  <c r="Y2212" i="14"/>
  <c r="Y2208" i="14"/>
  <c r="Y2204" i="14"/>
  <c r="Y2200" i="14"/>
  <c r="Y2196" i="14"/>
  <c r="Y2192" i="14"/>
  <c r="Y2188" i="14"/>
  <c r="Y2184" i="14"/>
  <c r="Y2180" i="14"/>
  <c r="Y2176" i="14"/>
  <c r="Y2172" i="14"/>
  <c r="Y2168" i="14"/>
  <c r="Y2164" i="14"/>
  <c r="Y2160" i="14"/>
  <c r="Y2156" i="14"/>
  <c r="Y2152" i="14"/>
  <c r="Y2148" i="14"/>
  <c r="Y2144" i="14"/>
  <c r="Y2140" i="14"/>
  <c r="Y2136" i="14"/>
  <c r="Y2132" i="14"/>
  <c r="Y2128" i="14"/>
  <c r="Y2124" i="14"/>
  <c r="Y2122" i="14"/>
  <c r="Y2118" i="14"/>
  <c r="Y2114" i="14"/>
  <c r="Y2110" i="14"/>
  <c r="Y2106" i="14"/>
  <c r="Y2100" i="14"/>
  <c r="Y2096" i="14"/>
  <c r="Y2092" i="14"/>
  <c r="Y2088" i="14"/>
  <c r="Y2084" i="14"/>
  <c r="Y2080" i="14"/>
  <c r="Y2076" i="14"/>
  <c r="Y2072" i="14"/>
  <c r="Y2068" i="14"/>
  <c r="Y2064" i="14"/>
  <c r="Y2060" i="14"/>
  <c r="Y2056" i="14"/>
  <c r="Y2052" i="14"/>
  <c r="Y2048" i="14"/>
  <c r="Y2044" i="14"/>
  <c r="Y2040" i="14"/>
  <c r="Y2038" i="14"/>
  <c r="T2037" i="14"/>
  <c r="Y2446" i="14"/>
  <c r="Y2444" i="14"/>
  <c r="Y2442" i="14"/>
  <c r="Y2440" i="14"/>
  <c r="Y2438" i="14"/>
  <c r="Y2436" i="14"/>
  <c r="Y2434" i="14"/>
  <c r="Y2432" i="14"/>
  <c r="Y2430" i="14"/>
  <c r="Y2428" i="14"/>
  <c r="Y2426" i="14"/>
  <c r="Y2424" i="14"/>
  <c r="Y2422" i="14"/>
  <c r="Y2420" i="14"/>
  <c r="Y2416" i="14"/>
  <c r="Y2414" i="14"/>
  <c r="Y2412" i="14"/>
  <c r="Y2410" i="14"/>
  <c r="Y2408" i="14"/>
  <c r="Y2406" i="14"/>
  <c r="Y2404" i="14"/>
  <c r="Y2400" i="14"/>
  <c r="Y2396" i="14"/>
  <c r="Y2392" i="14"/>
  <c r="Y2388" i="14"/>
  <c r="Y2384" i="14"/>
  <c r="Y2380" i="14"/>
  <c r="Y2376" i="14"/>
  <c r="Y2372" i="14"/>
  <c r="Y2368" i="14"/>
  <c r="Y2364" i="14"/>
  <c r="Y2360" i="14"/>
  <c r="Y2356" i="14"/>
  <c r="Y2352" i="14"/>
  <c r="Y2348" i="14"/>
  <c r="Y2344" i="14"/>
  <c r="Y2340" i="14"/>
  <c r="Y2336" i="14"/>
  <c r="Y2332" i="14"/>
  <c r="Y2328" i="14"/>
  <c r="Y2324" i="14"/>
  <c r="Y2320" i="14"/>
  <c r="Y2316" i="14"/>
  <c r="Y2312" i="14"/>
  <c r="Y2308" i="14"/>
  <c r="Y2304" i="14"/>
  <c r="Y2300" i="14"/>
  <c r="Y2294" i="14"/>
  <c r="Y2290" i="14"/>
  <c r="Y2286" i="14"/>
  <c r="Y2282" i="14"/>
  <c r="Y2278" i="14"/>
  <c r="Y2274" i="14"/>
  <c r="Y2270" i="14"/>
  <c r="Y2266" i="14"/>
  <c r="Y2262" i="14"/>
  <c r="Y2258" i="14"/>
  <c r="Y2254" i="14"/>
  <c r="Y2250" i="14"/>
  <c r="Y2246" i="14"/>
  <c r="Y2242" i="14"/>
  <c r="Y2238" i="14"/>
  <c r="Y2234" i="14"/>
  <c r="Y2230" i="14"/>
  <c r="Y2224" i="14"/>
  <c r="Y2220" i="14"/>
  <c r="Y2218" i="14"/>
  <c r="Y2214" i="14"/>
  <c r="Y2210" i="14"/>
  <c r="Y2206" i="14"/>
  <c r="Y2202" i="14"/>
  <c r="Y2198" i="14"/>
  <c r="Y2194" i="14"/>
  <c r="Y2190" i="14"/>
  <c r="Y2186" i="14"/>
  <c r="Y2182" i="14"/>
  <c r="Y2178" i="14"/>
  <c r="Y2174" i="14"/>
  <c r="Y2170" i="14"/>
  <c r="Y2166" i="14"/>
  <c r="Y2162" i="14"/>
  <c r="Y2158" i="14"/>
  <c r="Y2154" i="14"/>
  <c r="Y2150" i="14"/>
  <c r="Y2146" i="14"/>
  <c r="Y2142" i="14"/>
  <c r="Y2138" i="14"/>
  <c r="Y2134" i="14"/>
  <c r="Y2130" i="14"/>
  <c r="Y2126" i="14"/>
  <c r="Y2120" i="14"/>
  <c r="Y2116" i="14"/>
  <c r="Y2112" i="14"/>
  <c r="Y2108" i="14"/>
  <c r="Y2104" i="14"/>
  <c r="Y2102" i="14"/>
  <c r="Y2098" i="14"/>
  <c r="Y2094" i="14"/>
  <c r="Y2090" i="14"/>
  <c r="Y2086" i="14"/>
  <c r="Y2082" i="14"/>
  <c r="Y2078" i="14"/>
  <c r="Y2074" i="14"/>
  <c r="Y2070" i="14"/>
  <c r="Y2066" i="14"/>
  <c r="Y2062" i="14"/>
  <c r="Y2058" i="14"/>
  <c r="Y2054" i="14"/>
  <c r="Y2050" i="14"/>
  <c r="Y2046" i="14"/>
  <c r="Y2042" i="14"/>
  <c r="Y2036" i="14"/>
  <c r="Y2448" i="14"/>
  <c r="T2412" i="14"/>
  <c r="T2400" i="14"/>
  <c r="T2396" i="14"/>
  <c r="T2392" i="14"/>
  <c r="T2388" i="14"/>
  <c r="T2384" i="14"/>
  <c r="T2380" i="14"/>
  <c r="T2376" i="14"/>
  <c r="T2372" i="14"/>
  <c r="T2368" i="14"/>
  <c r="T2364" i="14"/>
  <c r="T2360" i="14"/>
  <c r="T2356" i="14"/>
  <c r="T2352" i="14"/>
  <c r="T2348" i="14"/>
  <c r="T2346" i="14"/>
  <c r="T2342" i="14"/>
  <c r="T2338" i="14"/>
  <c r="T2334" i="14"/>
  <c r="T2330" i="14"/>
  <c r="T2326" i="14"/>
  <c r="T2322" i="14"/>
  <c r="T2318" i="14"/>
  <c r="T2314" i="14"/>
  <c r="T2310" i="14"/>
  <c r="T2306" i="14"/>
  <c r="T2302" i="14"/>
  <c r="T2298" i="14"/>
  <c r="T2294" i="14"/>
  <c r="T2290" i="14"/>
  <c r="T2286" i="14"/>
  <c r="T2282" i="14"/>
  <c r="T2278" i="14"/>
  <c r="T2274" i="14"/>
  <c r="T2270" i="14"/>
  <c r="T2266" i="14"/>
  <c r="T2262" i="14"/>
  <c r="T2258" i="14"/>
  <c r="T2254" i="14"/>
  <c r="T2250" i="14"/>
  <c r="T2246" i="14"/>
  <c r="T2242" i="14"/>
  <c r="T2238" i="14"/>
  <c r="T2236" i="14"/>
  <c r="T2232" i="14"/>
  <c r="T2228" i="14"/>
  <c r="T2224" i="14"/>
  <c r="T2220" i="14"/>
  <c r="T2216" i="14"/>
  <c r="T2212" i="14"/>
  <c r="T2208" i="14"/>
  <c r="T2204" i="14"/>
  <c r="T2200" i="14"/>
  <c r="T2194" i="14"/>
  <c r="T2190" i="14"/>
  <c r="T2186" i="14"/>
  <c r="T2182" i="14"/>
  <c r="T2178" i="14"/>
  <c r="T2174" i="14"/>
  <c r="T2170" i="14"/>
  <c r="T2166" i="14"/>
  <c r="T2164" i="14"/>
  <c r="T2160" i="14"/>
  <c r="T2156" i="14"/>
  <c r="T2150" i="14"/>
  <c r="T2146" i="14"/>
  <c r="T2142" i="14"/>
  <c r="T2138" i="14"/>
  <c r="T2134" i="14"/>
  <c r="T2130" i="14"/>
  <c r="T2126" i="14"/>
  <c r="T2124" i="14"/>
  <c r="T2120" i="14"/>
  <c r="T2116" i="14"/>
  <c r="T2110" i="14"/>
  <c r="T2106" i="14"/>
  <c r="T2102" i="14"/>
  <c r="T2098" i="14"/>
  <c r="T2094" i="14"/>
  <c r="T2090" i="14"/>
  <c r="T2086" i="14"/>
  <c r="T2082" i="14"/>
  <c r="T2078" i="14"/>
  <c r="T2076" i="14"/>
  <c r="T2072" i="14"/>
  <c r="T2068" i="14"/>
  <c r="T2064" i="14"/>
  <c r="T2060" i="14"/>
  <c r="T2056" i="14"/>
  <c r="T2052" i="14"/>
  <c r="T2050" i="14"/>
  <c r="T2046" i="14"/>
  <c r="T2042" i="14"/>
  <c r="T2038" i="14"/>
  <c r="Y2043" i="14"/>
  <c r="Y2035" i="14"/>
  <c r="Y2" i="14"/>
  <c r="Y2034" i="14"/>
  <c r="T2034" i="14"/>
  <c r="Y2033" i="14"/>
  <c r="T2033" i="14"/>
  <c r="Y2032" i="14"/>
  <c r="T2032" i="14"/>
  <c r="Y2031" i="14"/>
  <c r="T2031" i="14"/>
  <c r="Y2030" i="14"/>
  <c r="T2030" i="14"/>
  <c r="Y2029" i="14"/>
  <c r="T2029" i="14"/>
  <c r="Y2028" i="14"/>
  <c r="T2028" i="14"/>
  <c r="Y2027" i="14"/>
  <c r="T2027" i="14"/>
  <c r="Y2026" i="14"/>
  <c r="T2026" i="14"/>
  <c r="Y2025" i="14"/>
  <c r="T2025" i="14"/>
  <c r="Y2024" i="14"/>
  <c r="T2024" i="14"/>
  <c r="Y2023" i="14"/>
  <c r="T2023" i="14"/>
  <c r="Y2022" i="14"/>
  <c r="T2022" i="14"/>
  <c r="Y2021" i="14"/>
  <c r="T2021" i="14"/>
  <c r="Y2020" i="14"/>
  <c r="T2020" i="14"/>
  <c r="Y2019" i="14"/>
  <c r="T2019" i="14"/>
  <c r="Y2018" i="14"/>
  <c r="T2018" i="14"/>
  <c r="Y2017" i="14"/>
  <c r="T2017" i="14"/>
  <c r="Y2016" i="14"/>
  <c r="T2016" i="14"/>
  <c r="Y2015" i="14"/>
  <c r="T2015" i="14"/>
  <c r="Y2014" i="14"/>
  <c r="T2014" i="14"/>
  <c r="Y2013" i="14"/>
  <c r="T2013" i="14"/>
  <c r="Y2012" i="14"/>
  <c r="T2012" i="14"/>
  <c r="Y2011" i="14"/>
  <c r="T2011" i="14"/>
  <c r="Y2010" i="14"/>
  <c r="T2010" i="14"/>
  <c r="Y2009" i="14"/>
  <c r="T2009" i="14"/>
  <c r="Y2008" i="14"/>
  <c r="T2008" i="14"/>
  <c r="Y2007" i="14"/>
  <c r="T2007" i="14"/>
  <c r="Y2006" i="14"/>
  <c r="T2006" i="14"/>
  <c r="Y2005" i="14"/>
  <c r="T2005" i="14"/>
  <c r="Y2004" i="14"/>
  <c r="T2004" i="14"/>
  <c r="Y2003" i="14"/>
  <c r="T2003" i="14"/>
  <c r="Y2002" i="14"/>
  <c r="T2002" i="14"/>
  <c r="Y2001" i="14"/>
  <c r="T2001" i="14"/>
  <c r="Y2000" i="14"/>
  <c r="T2000" i="14"/>
  <c r="Y1999" i="14"/>
  <c r="T1999" i="14"/>
  <c r="Y1998" i="14"/>
  <c r="T1998" i="14"/>
  <c r="Y1997" i="14"/>
  <c r="T1997" i="14"/>
  <c r="Y1996" i="14"/>
  <c r="T1996" i="14"/>
  <c r="Y1995" i="14"/>
  <c r="T1995" i="14"/>
  <c r="Y1994" i="14"/>
  <c r="T1994" i="14"/>
  <c r="Y1993" i="14"/>
  <c r="T1993" i="14"/>
  <c r="Y1992" i="14"/>
  <c r="T1992" i="14"/>
  <c r="Y1991" i="14"/>
  <c r="T1991" i="14"/>
  <c r="Y1990" i="14"/>
  <c r="T1990" i="14"/>
  <c r="Y1989" i="14"/>
  <c r="T1989" i="14"/>
  <c r="Y1988" i="14"/>
  <c r="T1988" i="14"/>
  <c r="Y1987" i="14"/>
  <c r="T1987" i="14"/>
  <c r="Y1986" i="14"/>
  <c r="T1986" i="14"/>
  <c r="Y1985" i="14"/>
  <c r="T1985" i="14"/>
  <c r="Y1984" i="14"/>
  <c r="T1984" i="14"/>
  <c r="Y1983" i="14"/>
  <c r="T1983" i="14"/>
  <c r="Y1982" i="14"/>
  <c r="T1982" i="14"/>
  <c r="Y1981" i="14"/>
  <c r="T1981" i="14"/>
  <c r="Y1980" i="14"/>
  <c r="T1980" i="14"/>
  <c r="Y1979" i="14"/>
  <c r="T1979" i="14"/>
  <c r="Y1978" i="14"/>
  <c r="T1978" i="14"/>
  <c r="Y1977" i="14"/>
  <c r="T1977" i="14"/>
  <c r="Y1976" i="14"/>
  <c r="T1976" i="14"/>
  <c r="Y1975" i="14"/>
  <c r="T1975" i="14"/>
  <c r="Y1974" i="14"/>
  <c r="T1974" i="14"/>
  <c r="Y1973" i="14"/>
  <c r="T1973" i="14"/>
  <c r="Y1972" i="14"/>
  <c r="T1972" i="14"/>
  <c r="Y1971" i="14"/>
  <c r="T1971" i="14"/>
  <c r="Y1970" i="14"/>
  <c r="T1970" i="14"/>
  <c r="Y1969" i="14"/>
  <c r="T1969" i="14"/>
  <c r="Y1968" i="14"/>
  <c r="T1968" i="14"/>
  <c r="Y1967" i="14"/>
  <c r="T1967" i="14"/>
  <c r="Y1966" i="14"/>
  <c r="T1966" i="14"/>
  <c r="Y1965" i="14"/>
  <c r="T1965" i="14"/>
  <c r="Y1964" i="14"/>
  <c r="T1964" i="14"/>
  <c r="Y1963" i="14"/>
  <c r="T1963" i="14"/>
  <c r="Y1962" i="14"/>
  <c r="T1962" i="14"/>
  <c r="Y1961" i="14"/>
  <c r="T1961" i="14"/>
  <c r="Y1960" i="14"/>
  <c r="T1960" i="14"/>
  <c r="Y1959" i="14"/>
  <c r="T1959" i="14"/>
  <c r="Y1958" i="14"/>
  <c r="T1958" i="14"/>
  <c r="Y1957" i="14"/>
  <c r="T1957" i="14"/>
  <c r="Y1956" i="14"/>
  <c r="T1956" i="14"/>
  <c r="Y1955" i="14"/>
  <c r="T1955" i="14"/>
  <c r="Y1954" i="14"/>
  <c r="T1954" i="14"/>
  <c r="Y1953" i="14"/>
  <c r="T1953" i="14"/>
  <c r="Y1952" i="14"/>
  <c r="T1952" i="14"/>
  <c r="Y1951" i="14"/>
  <c r="T1951" i="14"/>
  <c r="Y1950" i="14"/>
  <c r="T1950" i="14"/>
  <c r="Y1949" i="14"/>
  <c r="T1949" i="14"/>
  <c r="Y1948" i="14"/>
  <c r="T1948" i="14"/>
  <c r="Y1947" i="14"/>
  <c r="T1947" i="14"/>
  <c r="Y1946" i="14"/>
  <c r="T1946" i="14"/>
  <c r="Y1945" i="14"/>
  <c r="T1945" i="14"/>
  <c r="Y1944" i="14"/>
  <c r="T1944" i="14"/>
  <c r="Y1943" i="14"/>
  <c r="T1943" i="14"/>
  <c r="Y1942" i="14"/>
  <c r="T1942" i="14"/>
  <c r="Y1941" i="14"/>
  <c r="T1941" i="14"/>
  <c r="Y1940" i="14"/>
  <c r="T1940" i="14"/>
  <c r="Y1939" i="14"/>
  <c r="T1939" i="14"/>
  <c r="Y1938" i="14"/>
  <c r="T1938" i="14"/>
  <c r="Y1937" i="14"/>
  <c r="T1937" i="14"/>
  <c r="Y1936" i="14"/>
  <c r="T1936" i="14"/>
  <c r="Y1935" i="14"/>
  <c r="T1935" i="14"/>
  <c r="Y1934" i="14"/>
  <c r="T1934" i="14"/>
  <c r="Y1933" i="14"/>
  <c r="T1933" i="14"/>
  <c r="Y1932" i="14"/>
  <c r="T1932" i="14"/>
  <c r="Y1931" i="14"/>
  <c r="T1931" i="14"/>
  <c r="Y1930" i="14"/>
  <c r="T1930" i="14"/>
  <c r="Y1929" i="14"/>
  <c r="T1929" i="14"/>
  <c r="Y1928" i="14"/>
  <c r="T1928" i="14"/>
  <c r="Y1927" i="14"/>
  <c r="T1927" i="14"/>
  <c r="Y1926" i="14"/>
  <c r="T1926" i="14"/>
  <c r="Y1925" i="14"/>
  <c r="T1925" i="14"/>
  <c r="Y1924" i="14"/>
  <c r="T1924" i="14"/>
  <c r="Y1923" i="14"/>
  <c r="T1923" i="14"/>
  <c r="Y1922" i="14"/>
  <c r="T1922" i="14"/>
  <c r="Y1921" i="14"/>
  <c r="T1921" i="14"/>
  <c r="Y1920" i="14"/>
  <c r="T1920" i="14"/>
  <c r="Y1919" i="14"/>
  <c r="T1919" i="14"/>
  <c r="Y1918" i="14"/>
  <c r="T1918" i="14"/>
  <c r="Y1917" i="14"/>
  <c r="T1917" i="14"/>
  <c r="Y1916" i="14"/>
  <c r="T1916" i="14"/>
  <c r="Y1915" i="14"/>
  <c r="T1915" i="14"/>
  <c r="Y1914" i="14"/>
  <c r="T1914" i="14"/>
  <c r="Y1913" i="14"/>
  <c r="T1913" i="14"/>
  <c r="Y1912" i="14"/>
  <c r="T1912" i="14"/>
  <c r="Y1911" i="14"/>
  <c r="T1911" i="14"/>
  <c r="Y1910" i="14"/>
  <c r="T1910" i="14"/>
  <c r="Y1909" i="14"/>
  <c r="T1909" i="14"/>
  <c r="Y1908" i="14"/>
  <c r="T1908" i="14"/>
  <c r="Y1907" i="14"/>
  <c r="T1907" i="14"/>
  <c r="Y1906" i="14"/>
  <c r="T1906" i="14"/>
  <c r="Y1905" i="14"/>
  <c r="T1905" i="14"/>
  <c r="Y1904" i="14"/>
  <c r="T1904" i="14"/>
  <c r="Y1903" i="14"/>
  <c r="T1903" i="14"/>
  <c r="Y1902" i="14"/>
  <c r="T1902" i="14"/>
  <c r="Y1901" i="14"/>
  <c r="T1901" i="14"/>
  <c r="Y1900" i="14"/>
  <c r="T1900" i="14"/>
  <c r="Y1899" i="14"/>
  <c r="T1899" i="14"/>
  <c r="Y1898" i="14"/>
  <c r="T1898" i="14"/>
  <c r="Y1897" i="14"/>
  <c r="T1897" i="14"/>
  <c r="Y1896" i="14"/>
  <c r="T1896" i="14"/>
  <c r="Y1895" i="14"/>
  <c r="T1895" i="14"/>
  <c r="Y1894" i="14"/>
  <c r="T1894" i="14"/>
  <c r="Y1893" i="14"/>
  <c r="T1893" i="14"/>
  <c r="Y1892" i="14"/>
  <c r="T1892" i="14"/>
  <c r="Y1891" i="14"/>
  <c r="T1891" i="14"/>
  <c r="Y1890" i="14"/>
  <c r="T1890" i="14"/>
  <c r="Y1889" i="14"/>
  <c r="T1889" i="14"/>
  <c r="Y1888" i="14"/>
  <c r="T1888" i="14"/>
  <c r="Y1887" i="14"/>
  <c r="T1887" i="14"/>
  <c r="Y1886" i="14"/>
  <c r="T1886" i="14"/>
  <c r="Y1885" i="14"/>
  <c r="T1885" i="14"/>
  <c r="Y1884" i="14"/>
  <c r="T1884" i="14"/>
  <c r="Y1883" i="14"/>
  <c r="T1883" i="14"/>
  <c r="Y1882" i="14"/>
  <c r="T1882" i="14"/>
  <c r="Y1881" i="14"/>
  <c r="T1881" i="14"/>
  <c r="Y1880" i="14"/>
  <c r="T1880" i="14"/>
  <c r="Y1879" i="14"/>
  <c r="T1879" i="14"/>
  <c r="Y1878" i="14"/>
  <c r="T1878" i="14"/>
  <c r="Y1877" i="14"/>
  <c r="T1877" i="14"/>
  <c r="Y1876" i="14"/>
  <c r="T1876" i="14"/>
  <c r="Y1875" i="14"/>
  <c r="T1875" i="14"/>
  <c r="Y1874" i="14"/>
  <c r="T1874" i="14"/>
  <c r="Y1873" i="14"/>
  <c r="T1873" i="14"/>
  <c r="Y1872" i="14"/>
  <c r="T1872" i="14"/>
  <c r="Y1871" i="14"/>
  <c r="T1871" i="14"/>
  <c r="Y1870" i="14"/>
  <c r="T1870" i="14"/>
  <c r="Y1869" i="14"/>
  <c r="T1869" i="14"/>
  <c r="Y1868" i="14"/>
  <c r="T1868" i="14"/>
  <c r="Y1867" i="14"/>
  <c r="T1867" i="14"/>
  <c r="Y1866" i="14"/>
  <c r="T1866" i="14"/>
  <c r="Y1865" i="14"/>
  <c r="T1865" i="14"/>
  <c r="Y1864" i="14"/>
  <c r="T1864" i="14"/>
  <c r="Y1863" i="14"/>
  <c r="T1863" i="14"/>
  <c r="Y1862" i="14"/>
  <c r="T1862" i="14"/>
  <c r="Y1861" i="14"/>
  <c r="T1861" i="14"/>
  <c r="Y1860" i="14"/>
  <c r="T1860" i="14"/>
  <c r="Y1859" i="14"/>
  <c r="T1859" i="14"/>
  <c r="Y1858" i="14"/>
  <c r="T1858" i="14"/>
  <c r="Y1857" i="14"/>
  <c r="T1857" i="14"/>
  <c r="Y1856" i="14"/>
  <c r="T1856" i="14"/>
  <c r="Y1855" i="14"/>
  <c r="T1855" i="14"/>
  <c r="Y1854" i="14"/>
  <c r="T1854" i="14"/>
  <c r="Y1853" i="14"/>
  <c r="T1853" i="14"/>
  <c r="Y1852" i="14"/>
  <c r="T1852" i="14"/>
  <c r="Y1851" i="14"/>
  <c r="T1851" i="14"/>
  <c r="Y1850" i="14"/>
  <c r="T1850" i="14"/>
  <c r="Y1849" i="14"/>
  <c r="T1849" i="14"/>
  <c r="Y1848" i="14"/>
  <c r="T1848" i="14"/>
  <c r="Y1847" i="14"/>
  <c r="T1847" i="14"/>
  <c r="Y1846" i="14"/>
  <c r="T1846" i="14"/>
  <c r="Y1845" i="14"/>
  <c r="T1845" i="14"/>
  <c r="Y1844" i="14"/>
  <c r="T1844" i="14"/>
  <c r="Y1843" i="14"/>
  <c r="T1843" i="14"/>
  <c r="Y1842" i="14"/>
  <c r="T1842" i="14"/>
  <c r="Y1841" i="14"/>
  <c r="T1841" i="14"/>
  <c r="Y1840" i="14"/>
  <c r="T1840" i="14"/>
  <c r="Y1839" i="14"/>
  <c r="T1839" i="14"/>
  <c r="Y1838" i="14"/>
  <c r="T1838" i="14"/>
  <c r="Y1837" i="14"/>
  <c r="T1837" i="14"/>
  <c r="Y1836" i="14"/>
  <c r="T1836" i="14"/>
  <c r="Y1835" i="14"/>
  <c r="T1835" i="14"/>
  <c r="Y1834" i="14"/>
  <c r="T1834" i="14"/>
  <c r="Y1833" i="14"/>
  <c r="T1833" i="14"/>
  <c r="Y1832" i="14"/>
  <c r="T1832" i="14"/>
  <c r="Y1831" i="14"/>
  <c r="T1831" i="14"/>
  <c r="Y1830" i="14"/>
  <c r="T1830" i="14"/>
  <c r="Y1829" i="14"/>
  <c r="T1829" i="14"/>
  <c r="Y1828" i="14"/>
  <c r="T1828" i="14"/>
  <c r="Y1827" i="14"/>
  <c r="T1827" i="14"/>
  <c r="Y1826" i="14"/>
  <c r="T1826" i="14"/>
  <c r="Y1825" i="14"/>
  <c r="T1825" i="14"/>
  <c r="Y1824" i="14"/>
  <c r="T1824" i="14"/>
  <c r="Y1823" i="14"/>
  <c r="T1823" i="14"/>
  <c r="Y1822" i="14"/>
  <c r="T1822" i="14"/>
  <c r="Y1821" i="14"/>
  <c r="T1821" i="14"/>
  <c r="Y1820" i="14"/>
  <c r="T1820" i="14"/>
  <c r="Y1819" i="14"/>
  <c r="T1819" i="14"/>
  <c r="Y1818" i="14"/>
  <c r="T1818" i="14"/>
  <c r="Y1817" i="14"/>
  <c r="T1817" i="14"/>
  <c r="Y1816" i="14"/>
  <c r="T1816" i="14"/>
  <c r="Y1815" i="14"/>
  <c r="T1815" i="14"/>
  <c r="Y1814" i="14"/>
  <c r="T1814" i="14"/>
  <c r="Y1813" i="14"/>
  <c r="T1813" i="14"/>
  <c r="Y1812" i="14"/>
  <c r="T1812" i="14"/>
  <c r="Y1811" i="14"/>
  <c r="T1811" i="14"/>
  <c r="Y1810" i="14"/>
  <c r="T1810" i="14"/>
  <c r="Y1809" i="14"/>
  <c r="T1809" i="14"/>
  <c r="Y1808" i="14"/>
  <c r="T1808" i="14"/>
  <c r="Y1807" i="14"/>
  <c r="T1807" i="14"/>
  <c r="Y1806" i="14"/>
  <c r="T1806" i="14"/>
  <c r="Y1805" i="14"/>
  <c r="T1805" i="14"/>
  <c r="Y1804" i="14"/>
  <c r="T1804" i="14"/>
  <c r="Y1803" i="14"/>
  <c r="T1803" i="14"/>
  <c r="Y1802" i="14"/>
  <c r="T1802" i="14"/>
  <c r="Y1801" i="14"/>
  <c r="T1801" i="14"/>
  <c r="Y1800" i="14"/>
  <c r="T1800" i="14"/>
  <c r="Y1799" i="14"/>
  <c r="T1799" i="14"/>
  <c r="Y1798" i="14"/>
  <c r="T1798" i="14"/>
  <c r="Y1797" i="14"/>
  <c r="T1797" i="14"/>
  <c r="Y1796" i="14"/>
  <c r="T1796" i="14"/>
  <c r="Y1795" i="14"/>
  <c r="T1795" i="14"/>
  <c r="Y1794" i="14"/>
  <c r="T1794" i="14"/>
  <c r="Y1793" i="14"/>
  <c r="T1793" i="14"/>
  <c r="Y1792" i="14"/>
  <c r="T1792" i="14"/>
  <c r="Y1791" i="14"/>
  <c r="T1791" i="14"/>
  <c r="Y1790" i="14"/>
  <c r="T1790" i="14"/>
  <c r="Y1789" i="14"/>
  <c r="T1789" i="14"/>
  <c r="Y1788" i="14"/>
  <c r="T1788" i="14"/>
  <c r="Y1787" i="14"/>
  <c r="T1787" i="14"/>
  <c r="Y1786" i="14"/>
  <c r="T1786" i="14"/>
  <c r="Y1785" i="14"/>
  <c r="T1785" i="14"/>
  <c r="Y1784" i="14"/>
  <c r="T1784" i="14"/>
  <c r="Y1783" i="14"/>
  <c r="T1783" i="14"/>
  <c r="Y1782" i="14"/>
  <c r="T1782" i="14"/>
  <c r="Y1781" i="14"/>
  <c r="T1781" i="14"/>
  <c r="Y1780" i="14"/>
  <c r="T1780" i="14"/>
  <c r="Y1779" i="14"/>
  <c r="T1779" i="14"/>
  <c r="Y1778" i="14"/>
  <c r="T1778" i="14"/>
  <c r="Y1777" i="14"/>
  <c r="T1777" i="14"/>
  <c r="Y1776" i="14"/>
  <c r="T1776" i="14"/>
  <c r="Y1775" i="14"/>
  <c r="T1775" i="14"/>
  <c r="Y1774" i="14"/>
  <c r="T1774" i="14"/>
  <c r="Y1773" i="14"/>
  <c r="T1773" i="14"/>
  <c r="Y1772" i="14"/>
  <c r="T1772" i="14"/>
  <c r="Y1771" i="14"/>
  <c r="T1771" i="14"/>
  <c r="Y1770" i="14"/>
  <c r="T1770" i="14"/>
  <c r="Y1769" i="14"/>
  <c r="T1769" i="14"/>
  <c r="Y1768" i="14"/>
  <c r="T1768" i="14"/>
  <c r="Y1767" i="14"/>
  <c r="T1767" i="14"/>
  <c r="Y1766" i="14"/>
  <c r="T1766" i="14"/>
  <c r="Y1765" i="14"/>
  <c r="T1765" i="14"/>
  <c r="Y1764" i="14"/>
  <c r="T1764" i="14"/>
  <c r="Y1763" i="14"/>
  <c r="T1763" i="14"/>
  <c r="Y1762" i="14"/>
  <c r="T1762" i="14"/>
  <c r="Y1761" i="14"/>
  <c r="T1761" i="14"/>
  <c r="Y1760" i="14"/>
  <c r="T1760" i="14"/>
  <c r="Y1759" i="14"/>
  <c r="T1759" i="14"/>
  <c r="Y1758" i="14"/>
  <c r="T1758" i="14"/>
  <c r="Y1757" i="14"/>
  <c r="T1757" i="14"/>
  <c r="Y1756" i="14"/>
  <c r="T1756" i="14"/>
  <c r="Y1755" i="14"/>
  <c r="T1755" i="14"/>
  <c r="Y1754" i="14"/>
  <c r="T1754" i="14"/>
  <c r="Y1753" i="14"/>
  <c r="T1753" i="14"/>
  <c r="Y1752" i="14"/>
  <c r="T1752" i="14"/>
  <c r="Y1751" i="14"/>
  <c r="T1751" i="14"/>
  <c r="Y1750" i="14"/>
  <c r="T1750" i="14"/>
  <c r="Y1749" i="14"/>
  <c r="T1749" i="14"/>
  <c r="Y1748" i="14"/>
  <c r="T1748" i="14"/>
  <c r="Y1747" i="14"/>
  <c r="T1747" i="14"/>
  <c r="Y1746" i="14"/>
  <c r="T1746" i="14"/>
  <c r="Y1745" i="14"/>
  <c r="T1745" i="14"/>
  <c r="Y1744" i="14"/>
  <c r="T1744" i="14"/>
  <c r="Y1743" i="14"/>
  <c r="T1743" i="14"/>
  <c r="Y1742" i="14"/>
  <c r="T1742" i="14"/>
  <c r="Y1741" i="14"/>
  <c r="T1741" i="14"/>
  <c r="Y1740" i="14"/>
  <c r="T1740" i="14"/>
  <c r="Y1739" i="14"/>
  <c r="T1739" i="14"/>
  <c r="Y1738" i="14"/>
  <c r="T1738" i="14"/>
  <c r="Y1737" i="14"/>
  <c r="T1737" i="14"/>
  <c r="Y1736" i="14"/>
  <c r="T1736" i="14"/>
  <c r="Y1735" i="14"/>
  <c r="T1735" i="14"/>
  <c r="Y1734" i="14"/>
  <c r="T1734" i="14"/>
  <c r="Y1733" i="14"/>
  <c r="T1733" i="14"/>
  <c r="Y1732" i="14"/>
  <c r="T1732" i="14"/>
  <c r="Y1731" i="14"/>
  <c r="T1731" i="14"/>
  <c r="Y1730" i="14"/>
  <c r="T1730" i="14"/>
  <c r="Y1729" i="14"/>
  <c r="T1729" i="14"/>
  <c r="Y1728" i="14"/>
  <c r="T1728" i="14"/>
  <c r="Y1727" i="14"/>
  <c r="T1727" i="14"/>
  <c r="Y1726" i="14"/>
  <c r="T1726" i="14"/>
  <c r="Y1725" i="14"/>
  <c r="T1725" i="14"/>
  <c r="Y1724" i="14"/>
  <c r="T1724" i="14"/>
  <c r="Y1723" i="14"/>
  <c r="T1723" i="14"/>
  <c r="Y1722" i="14"/>
  <c r="T1722" i="14"/>
  <c r="Y1721" i="14"/>
  <c r="T1721" i="14"/>
  <c r="Y1720" i="14"/>
  <c r="T1720" i="14"/>
  <c r="Y1719" i="14"/>
  <c r="T1719" i="14"/>
  <c r="Y1718" i="14"/>
  <c r="T1718" i="14"/>
  <c r="Y1717" i="14"/>
  <c r="T1717" i="14"/>
  <c r="Y1716" i="14"/>
  <c r="T1716" i="14"/>
  <c r="Y1715" i="14"/>
  <c r="T1715" i="14"/>
  <c r="Y1714" i="14"/>
  <c r="T1714" i="14"/>
  <c r="Y1713" i="14"/>
  <c r="T1713" i="14"/>
  <c r="Y1712" i="14"/>
  <c r="T1712" i="14"/>
  <c r="Y1711" i="14"/>
  <c r="T1711" i="14"/>
  <c r="Y1710" i="14"/>
  <c r="T1710" i="14"/>
  <c r="Y1709" i="14"/>
  <c r="T1709" i="14"/>
  <c r="Y1708" i="14"/>
  <c r="T1708" i="14"/>
  <c r="Y1707" i="14"/>
  <c r="T1707" i="14"/>
  <c r="Y1706" i="14"/>
  <c r="T1706" i="14"/>
  <c r="Y1705" i="14"/>
  <c r="T1705" i="14"/>
  <c r="Y1704" i="14"/>
  <c r="T1704" i="14"/>
  <c r="Y1703" i="14"/>
  <c r="T1703" i="14"/>
  <c r="Y1702" i="14"/>
  <c r="T1702" i="14"/>
  <c r="Y1701" i="14"/>
  <c r="T1701" i="14"/>
  <c r="Y1700" i="14"/>
  <c r="T1700" i="14"/>
  <c r="Y1699" i="14"/>
  <c r="T1699" i="14"/>
  <c r="Y1698" i="14"/>
  <c r="T1698" i="14"/>
  <c r="Y1697" i="14"/>
  <c r="T1697" i="14"/>
  <c r="Y1696" i="14"/>
  <c r="T1696" i="14"/>
  <c r="Y1695" i="14"/>
  <c r="T1695" i="14"/>
  <c r="Y1694" i="14"/>
  <c r="T1694" i="14"/>
  <c r="Y1693" i="14"/>
  <c r="T1693" i="14"/>
  <c r="Y1692" i="14"/>
  <c r="T1692" i="14"/>
  <c r="Y1691" i="14"/>
  <c r="T1691" i="14"/>
  <c r="Y1690" i="14"/>
  <c r="T1690" i="14"/>
  <c r="Y1689" i="14"/>
  <c r="T1689" i="14"/>
  <c r="Y1688" i="14"/>
  <c r="T1688" i="14"/>
  <c r="Y1687" i="14"/>
  <c r="T1687" i="14"/>
  <c r="Y1686" i="14"/>
  <c r="T1686" i="14"/>
  <c r="Y1685" i="14"/>
  <c r="T1685" i="14"/>
  <c r="Y1684" i="14"/>
  <c r="T1684" i="14"/>
  <c r="Y1683" i="14"/>
  <c r="T1683" i="14"/>
  <c r="Y1682" i="14"/>
  <c r="T1682" i="14"/>
  <c r="Y1681" i="14"/>
  <c r="T1681" i="14"/>
  <c r="Y1680" i="14"/>
  <c r="T1680" i="14"/>
  <c r="Y1679" i="14"/>
  <c r="T1679" i="14"/>
  <c r="Y1678" i="14"/>
  <c r="T1678" i="14"/>
  <c r="Y1677" i="14"/>
  <c r="T1677" i="14"/>
  <c r="Y1676" i="14"/>
  <c r="T1676" i="14"/>
  <c r="Y1675" i="14"/>
  <c r="T1675" i="14"/>
  <c r="Y1674" i="14"/>
  <c r="T1674" i="14"/>
  <c r="Y1673" i="14"/>
  <c r="T1673" i="14"/>
  <c r="Y1672" i="14"/>
  <c r="T1672" i="14"/>
  <c r="Y1671" i="14"/>
  <c r="T1671" i="14"/>
  <c r="Y1670" i="14"/>
  <c r="T1670" i="14"/>
  <c r="Y1669" i="14"/>
  <c r="T1669" i="14"/>
  <c r="Y1668" i="14"/>
  <c r="T1668" i="14"/>
  <c r="Y1667" i="14"/>
  <c r="T1667" i="14"/>
  <c r="Y1666" i="14"/>
  <c r="T1666" i="14"/>
  <c r="Y1665" i="14"/>
  <c r="T1665" i="14"/>
  <c r="Y1664" i="14"/>
  <c r="T1664" i="14"/>
  <c r="Y1663" i="14"/>
  <c r="T1663" i="14"/>
  <c r="Y1662" i="14"/>
  <c r="T1662" i="14"/>
  <c r="Y1661" i="14"/>
  <c r="T1661" i="14"/>
  <c r="Y1660" i="14"/>
  <c r="T1660" i="14"/>
  <c r="Y1659" i="14"/>
  <c r="T1659" i="14"/>
  <c r="Y1658" i="14"/>
  <c r="T1658" i="14"/>
  <c r="Y1657" i="14"/>
  <c r="T1657" i="14"/>
  <c r="Y1656" i="14"/>
  <c r="T1656" i="14"/>
  <c r="Y1655" i="14"/>
  <c r="T1655" i="14"/>
  <c r="Y1654" i="14"/>
  <c r="T1654" i="14"/>
  <c r="Y1653" i="14"/>
  <c r="T1653" i="14"/>
  <c r="Y1652" i="14"/>
  <c r="T1652" i="14"/>
  <c r="Y1651" i="14"/>
  <c r="T1651" i="14"/>
  <c r="Y1650" i="14"/>
  <c r="T1650" i="14"/>
  <c r="Y1649" i="14"/>
  <c r="T1649" i="14"/>
  <c r="Y1648" i="14"/>
  <c r="T1648" i="14"/>
  <c r="Y1647" i="14"/>
  <c r="T1647" i="14"/>
  <c r="Y1646" i="14"/>
  <c r="T1646" i="14"/>
  <c r="Y1645" i="14"/>
  <c r="T1645" i="14"/>
  <c r="Y1644" i="14"/>
  <c r="T1644" i="14"/>
  <c r="Y1643" i="14"/>
  <c r="T1643" i="14"/>
  <c r="Y1642" i="14"/>
  <c r="T1642" i="14"/>
  <c r="Y1641" i="14"/>
  <c r="T1641" i="14"/>
  <c r="Y1640" i="14"/>
  <c r="T1640" i="14"/>
  <c r="Y1639" i="14"/>
  <c r="T1639" i="14"/>
  <c r="Y1638" i="14"/>
  <c r="T1638" i="14"/>
  <c r="Y1637" i="14"/>
  <c r="T1637" i="14"/>
  <c r="Y1636" i="14"/>
  <c r="T1636" i="14"/>
  <c r="Y1635" i="14"/>
  <c r="T1635" i="14"/>
  <c r="Y1634" i="14"/>
  <c r="T1634" i="14"/>
  <c r="Y1633" i="14"/>
  <c r="T1633" i="14"/>
  <c r="Y1632" i="14"/>
  <c r="T1632" i="14"/>
  <c r="Y1631" i="14"/>
  <c r="T1631" i="14"/>
  <c r="Y1630" i="14"/>
  <c r="T1630" i="14"/>
  <c r="Y1629" i="14"/>
  <c r="T1629" i="14"/>
  <c r="Y1628" i="14"/>
  <c r="T1628" i="14"/>
  <c r="Y1627" i="14"/>
  <c r="T1627" i="14"/>
  <c r="Y1626" i="14"/>
  <c r="T1626" i="14"/>
  <c r="Y1625" i="14"/>
  <c r="T1625" i="14"/>
  <c r="Y1624" i="14"/>
  <c r="T1624" i="14"/>
  <c r="Y1623" i="14"/>
  <c r="T1623" i="14"/>
  <c r="Y1622" i="14"/>
  <c r="T1622" i="14"/>
  <c r="Y1621" i="14"/>
  <c r="T1621" i="14"/>
  <c r="Y1620" i="14"/>
  <c r="T1620" i="14"/>
  <c r="Y1619" i="14"/>
  <c r="T1619" i="14"/>
  <c r="Y1618" i="14"/>
  <c r="T1618" i="14"/>
  <c r="Y1617" i="14"/>
  <c r="T1617" i="14"/>
  <c r="Y1616" i="14"/>
  <c r="T1616" i="14"/>
  <c r="Y1615" i="14"/>
  <c r="T1615" i="14"/>
  <c r="Y1614" i="14"/>
  <c r="T1614" i="14"/>
  <c r="Y1613" i="14"/>
  <c r="T1613" i="14"/>
  <c r="Y1612" i="14"/>
  <c r="T1612" i="14"/>
  <c r="Y1611" i="14"/>
  <c r="T1611" i="14"/>
  <c r="Y1610" i="14"/>
  <c r="T1610" i="14"/>
  <c r="Y1609" i="14"/>
  <c r="T1609" i="14"/>
  <c r="Y1608" i="14"/>
  <c r="T1608" i="14"/>
  <c r="Y1607" i="14"/>
  <c r="T1607" i="14"/>
  <c r="Y1606" i="14"/>
  <c r="T1606" i="14"/>
  <c r="Y1605" i="14"/>
  <c r="T1605" i="14"/>
  <c r="Y1604" i="14"/>
  <c r="T1604" i="14"/>
  <c r="Y1603" i="14"/>
  <c r="T1603" i="14"/>
  <c r="Y1602" i="14"/>
  <c r="T1602" i="14"/>
  <c r="Y1601" i="14"/>
  <c r="T1601" i="14"/>
  <c r="Y1600" i="14"/>
  <c r="T1600" i="14"/>
  <c r="Y1599" i="14"/>
  <c r="T1599" i="14"/>
  <c r="Y1598" i="14"/>
  <c r="T1598" i="14"/>
  <c r="Y1597" i="14"/>
  <c r="T1597" i="14"/>
  <c r="Y1596" i="14"/>
  <c r="T1596" i="14"/>
  <c r="Y1595" i="14"/>
  <c r="T1595" i="14"/>
  <c r="Y1594" i="14"/>
  <c r="T1594" i="14"/>
  <c r="Y1593" i="14"/>
  <c r="T1593" i="14"/>
  <c r="Y1592" i="14"/>
  <c r="T1592" i="14"/>
  <c r="Y1591" i="14"/>
  <c r="T1591" i="14"/>
  <c r="Y1590" i="14"/>
  <c r="T1590" i="14"/>
  <c r="Y1589" i="14"/>
  <c r="T1589" i="14"/>
  <c r="Y1588" i="14"/>
  <c r="T1588" i="14"/>
  <c r="Y1587" i="14"/>
  <c r="T1587" i="14"/>
  <c r="Y1586" i="14"/>
  <c r="T1586" i="14"/>
  <c r="Y1585" i="14"/>
  <c r="T1585" i="14"/>
  <c r="Y1584" i="14"/>
  <c r="T1584" i="14"/>
  <c r="Y1583" i="14"/>
  <c r="T1583" i="14"/>
  <c r="Y1582" i="14"/>
  <c r="T1582" i="14"/>
  <c r="Y1581" i="14"/>
  <c r="T1581" i="14"/>
  <c r="Y1580" i="14"/>
  <c r="T1580" i="14"/>
  <c r="Y1579" i="14"/>
  <c r="T1579" i="14"/>
  <c r="Y1578" i="14"/>
  <c r="T1578" i="14"/>
  <c r="Y1577" i="14"/>
  <c r="T1577" i="14"/>
  <c r="Y1576" i="14"/>
  <c r="T1576" i="14"/>
  <c r="Y1575" i="14"/>
  <c r="T1575" i="14"/>
  <c r="Y1574" i="14"/>
  <c r="T1574" i="14"/>
  <c r="Y1573" i="14"/>
  <c r="T1573" i="14"/>
  <c r="Y1572" i="14"/>
  <c r="T1572" i="14"/>
  <c r="Y1571" i="14"/>
  <c r="T1571" i="14"/>
  <c r="Y1570" i="14"/>
  <c r="T1570" i="14"/>
  <c r="Y1569" i="14"/>
  <c r="T1569" i="14"/>
  <c r="Y1568" i="14"/>
  <c r="T1568" i="14"/>
  <c r="Y1567" i="14"/>
  <c r="T1567" i="14"/>
  <c r="Y1566" i="14"/>
  <c r="T1566" i="14"/>
  <c r="Y1565" i="14"/>
  <c r="T1565" i="14"/>
  <c r="Y1564" i="14"/>
  <c r="T1564" i="14"/>
  <c r="Y1563" i="14"/>
  <c r="T1563" i="14"/>
  <c r="Y1562" i="14"/>
  <c r="T1562" i="14"/>
  <c r="Y1561" i="14"/>
  <c r="T1561" i="14"/>
  <c r="Y1560" i="14"/>
  <c r="T1560" i="14"/>
  <c r="Y1559" i="14"/>
  <c r="T1559" i="14"/>
  <c r="Y1558" i="14"/>
  <c r="T1558" i="14"/>
  <c r="Y1557" i="14"/>
  <c r="T1557" i="14"/>
  <c r="Y1556" i="14"/>
  <c r="T1556" i="14"/>
  <c r="Y1555" i="14"/>
  <c r="T1555" i="14"/>
  <c r="Y1554" i="14"/>
  <c r="T1554" i="14"/>
  <c r="Y1553" i="14"/>
  <c r="T1553" i="14"/>
  <c r="Y1552" i="14"/>
  <c r="T1552" i="14"/>
  <c r="Y1551" i="14"/>
  <c r="T1551" i="14"/>
  <c r="Y1550" i="14"/>
  <c r="T1550" i="14"/>
  <c r="Y1549" i="14"/>
  <c r="T1549" i="14"/>
  <c r="Y1548" i="14"/>
  <c r="T1548" i="14"/>
  <c r="Y1547" i="14"/>
  <c r="T1547" i="14"/>
  <c r="Y1546" i="14"/>
  <c r="T1546" i="14"/>
  <c r="Y1545" i="14"/>
  <c r="T1545" i="14"/>
  <c r="Y1544" i="14"/>
  <c r="T1544" i="14"/>
  <c r="Y1543" i="14"/>
  <c r="T1543" i="14"/>
  <c r="Y1542" i="14"/>
  <c r="T1542" i="14"/>
  <c r="Y1541" i="14"/>
  <c r="T1541" i="14"/>
  <c r="Y1540" i="14"/>
  <c r="T1540" i="14"/>
  <c r="Y1539" i="14"/>
  <c r="T1539" i="14"/>
  <c r="Y1538" i="14"/>
  <c r="T1538" i="14"/>
  <c r="Y1537" i="14"/>
  <c r="T1537" i="14"/>
  <c r="Y1536" i="14"/>
  <c r="T1536" i="14"/>
  <c r="Y1535" i="14"/>
  <c r="T1535" i="14"/>
  <c r="Y1534" i="14"/>
  <c r="T1534" i="14"/>
  <c r="Y1533" i="14"/>
  <c r="T1533" i="14"/>
  <c r="Y1532" i="14"/>
  <c r="T1532" i="14"/>
  <c r="Y1531" i="14"/>
  <c r="T1531" i="14"/>
  <c r="Y1530" i="14"/>
  <c r="T1530" i="14"/>
  <c r="Y1529" i="14"/>
  <c r="T1529" i="14"/>
  <c r="Y1528" i="14"/>
  <c r="T1528" i="14"/>
  <c r="Y1527" i="14"/>
  <c r="T1527" i="14"/>
  <c r="Y1526" i="14"/>
  <c r="T1526" i="14"/>
  <c r="Y1525" i="14"/>
  <c r="T1525" i="14"/>
  <c r="Y1524" i="14"/>
  <c r="T1524" i="14"/>
  <c r="Y1523" i="14"/>
  <c r="T1523" i="14"/>
  <c r="Y1522" i="14"/>
  <c r="T1522" i="14"/>
  <c r="Y1521" i="14"/>
  <c r="T1521" i="14"/>
  <c r="Y1520" i="14"/>
  <c r="T1520" i="14"/>
  <c r="Y1519" i="14"/>
  <c r="T1519" i="14"/>
  <c r="Y1518" i="14"/>
  <c r="T1518" i="14"/>
  <c r="Y1517" i="14"/>
  <c r="T1517" i="14"/>
  <c r="Y1516" i="14"/>
  <c r="T1516" i="14"/>
  <c r="Y1515" i="14"/>
  <c r="T1515" i="14"/>
  <c r="Y1514" i="14"/>
  <c r="T1514" i="14"/>
  <c r="Y1513" i="14"/>
  <c r="T1513" i="14"/>
  <c r="Y1512" i="14"/>
  <c r="T1512" i="14"/>
  <c r="Y1511" i="14"/>
  <c r="T1511" i="14"/>
  <c r="Y1510" i="14"/>
  <c r="T1510" i="14"/>
  <c r="Y1509" i="14"/>
  <c r="T1509" i="14"/>
  <c r="Y1508" i="14"/>
  <c r="T1508" i="14"/>
  <c r="Y1507" i="14"/>
  <c r="T1507" i="14"/>
  <c r="Y1506" i="14"/>
  <c r="T1506" i="14"/>
  <c r="Y1505" i="14"/>
  <c r="T1505" i="14"/>
  <c r="Y1504" i="14"/>
  <c r="T1504" i="14"/>
  <c r="Y1503" i="14"/>
  <c r="T1503" i="14"/>
  <c r="Y1502" i="14"/>
  <c r="T1502" i="14"/>
  <c r="Y1501" i="14"/>
  <c r="T1501" i="14"/>
  <c r="Y1500" i="14"/>
  <c r="T1500" i="14"/>
  <c r="Y1499" i="14"/>
  <c r="T1499" i="14"/>
  <c r="Y1498" i="14"/>
  <c r="T1498" i="14"/>
  <c r="Y1497" i="14"/>
  <c r="T1497" i="14"/>
  <c r="Y1496" i="14"/>
  <c r="T1496" i="14"/>
  <c r="Y1495" i="14"/>
  <c r="T1495" i="14"/>
  <c r="Y1494" i="14"/>
  <c r="T1494" i="14"/>
  <c r="Y1493" i="14"/>
  <c r="T1493" i="14"/>
  <c r="Y1492" i="14"/>
  <c r="T1492" i="14"/>
  <c r="Y1491" i="14"/>
  <c r="T1491" i="14"/>
  <c r="Y1490" i="14"/>
  <c r="T1490" i="14"/>
  <c r="Y1489" i="14"/>
  <c r="T1489" i="14"/>
  <c r="Y1488" i="14"/>
  <c r="T1488" i="14"/>
  <c r="Y1487" i="14"/>
  <c r="T1487" i="14"/>
  <c r="Y1486" i="14"/>
  <c r="T1486" i="14"/>
  <c r="Y1485" i="14"/>
  <c r="T1485" i="14"/>
  <c r="Y1484" i="14"/>
  <c r="T1484" i="14"/>
  <c r="Y1483" i="14"/>
  <c r="T1483" i="14"/>
  <c r="Y1482" i="14"/>
  <c r="T1482" i="14"/>
  <c r="Y1481" i="14"/>
  <c r="T1481" i="14"/>
  <c r="Y1480" i="14"/>
  <c r="T1480" i="14"/>
  <c r="Y1479" i="14"/>
  <c r="T1479" i="14"/>
  <c r="Y1478" i="14"/>
  <c r="T1478" i="14"/>
  <c r="Y1477" i="14"/>
  <c r="T1477" i="14"/>
  <c r="Y1476" i="14"/>
  <c r="T1476" i="14"/>
  <c r="Y1475" i="14"/>
  <c r="T1475" i="14"/>
  <c r="Y1474" i="14"/>
  <c r="T1474" i="14"/>
  <c r="Y1473" i="14"/>
  <c r="T1473" i="14"/>
  <c r="Y1472" i="14"/>
  <c r="T1472" i="14"/>
  <c r="Y1471" i="14"/>
  <c r="T1471" i="14"/>
  <c r="Y1470" i="14"/>
  <c r="T1470" i="14"/>
  <c r="Y1469" i="14"/>
  <c r="T1469" i="14"/>
  <c r="Y1468" i="14"/>
  <c r="T1468" i="14"/>
  <c r="Y1467" i="14"/>
  <c r="T1467" i="14"/>
  <c r="Y1466" i="14"/>
  <c r="T1466" i="14"/>
  <c r="Y1465" i="14"/>
  <c r="T1465" i="14"/>
  <c r="Y1464" i="14"/>
  <c r="T1464" i="14"/>
  <c r="Y1463" i="14"/>
  <c r="T1463" i="14"/>
  <c r="Y1462" i="14"/>
  <c r="T1462" i="14"/>
  <c r="Y1461" i="14"/>
  <c r="T1461" i="14"/>
  <c r="Y1460" i="14"/>
  <c r="T1460" i="14"/>
  <c r="Y1459" i="14"/>
  <c r="T1459" i="14"/>
  <c r="Y1458" i="14"/>
  <c r="T1458" i="14"/>
  <c r="Y1457" i="14"/>
  <c r="T1457" i="14"/>
  <c r="Y1456" i="14"/>
  <c r="T1456" i="14"/>
  <c r="Y1455" i="14"/>
  <c r="T1455" i="14"/>
  <c r="Y1454" i="14"/>
  <c r="T1454" i="14"/>
  <c r="Y1453" i="14"/>
  <c r="T1453" i="14"/>
  <c r="Y1452" i="14"/>
  <c r="T1452" i="14"/>
  <c r="Y1451" i="14"/>
  <c r="T1451" i="14"/>
  <c r="Y1450" i="14"/>
  <c r="T1450" i="14"/>
  <c r="Y1449" i="14"/>
  <c r="T1449" i="14"/>
  <c r="Y1448" i="14"/>
  <c r="T1448" i="14"/>
  <c r="Y1447" i="14"/>
  <c r="T1447" i="14"/>
  <c r="Y1446" i="14"/>
  <c r="T1446" i="14"/>
  <c r="Y1445" i="14"/>
  <c r="T1445" i="14"/>
  <c r="Y1444" i="14"/>
  <c r="T1444" i="14"/>
  <c r="Y1443" i="14"/>
  <c r="T1443" i="14"/>
  <c r="Y1442" i="14"/>
  <c r="T1442" i="14"/>
  <c r="Y1441" i="14"/>
  <c r="T1441" i="14"/>
  <c r="Y1440" i="14"/>
  <c r="T1440" i="14"/>
  <c r="Y1439" i="14"/>
  <c r="T1439" i="14"/>
  <c r="Y1438" i="14"/>
  <c r="T1438" i="14"/>
  <c r="Y1437" i="14"/>
  <c r="T1437" i="14"/>
  <c r="Y1436" i="14"/>
  <c r="T1436" i="14"/>
  <c r="Y1435" i="14"/>
  <c r="T1435" i="14"/>
  <c r="Y1434" i="14"/>
  <c r="T1434" i="14"/>
  <c r="Y1433" i="14"/>
  <c r="T1433" i="14"/>
  <c r="Y1432" i="14"/>
  <c r="T1432" i="14"/>
  <c r="Y1431" i="14"/>
  <c r="T1431" i="14"/>
  <c r="Y1430" i="14"/>
  <c r="T1430" i="14"/>
  <c r="Y1429" i="14"/>
  <c r="T1429" i="14"/>
  <c r="Y1428" i="14"/>
  <c r="T1428" i="14"/>
  <c r="Y1427" i="14"/>
  <c r="T1427" i="14"/>
  <c r="Y1426" i="14"/>
  <c r="T1426" i="14"/>
  <c r="Y1425" i="14"/>
  <c r="T1425" i="14"/>
  <c r="Y1424" i="14"/>
  <c r="T1424" i="14"/>
  <c r="Y1423" i="14"/>
  <c r="T1423" i="14"/>
  <c r="Y1422" i="14"/>
  <c r="T1422" i="14"/>
  <c r="Y1421" i="14"/>
  <c r="T1421" i="14"/>
  <c r="Y1420" i="14"/>
  <c r="T1420" i="14"/>
  <c r="Y1419" i="14"/>
  <c r="T1419" i="14"/>
  <c r="Y1418" i="14"/>
  <c r="T1418" i="14"/>
  <c r="Y1417" i="14"/>
  <c r="T1417" i="14"/>
  <c r="Y1416" i="14"/>
  <c r="T1416" i="14"/>
  <c r="Y1415" i="14"/>
  <c r="T1415" i="14"/>
  <c r="Y1414" i="14"/>
  <c r="T1414" i="14"/>
  <c r="Y1413" i="14"/>
  <c r="T1413" i="14"/>
  <c r="Y1412" i="14"/>
  <c r="T1412" i="14"/>
  <c r="Y1411" i="14"/>
  <c r="T1411" i="14"/>
  <c r="Y1410" i="14"/>
  <c r="T1410" i="14"/>
  <c r="Y1409" i="14"/>
  <c r="T1409" i="14"/>
  <c r="Y1408" i="14"/>
  <c r="T1408" i="14"/>
  <c r="Y1407" i="14"/>
  <c r="T1407" i="14"/>
  <c r="Y1406" i="14"/>
  <c r="T1406" i="14"/>
  <c r="Y1405" i="14"/>
  <c r="T1405" i="14"/>
  <c r="Y1404" i="14"/>
  <c r="T1404" i="14"/>
  <c r="Y1403" i="14"/>
  <c r="T1403" i="14"/>
  <c r="Y1402" i="14"/>
  <c r="T1402" i="14"/>
  <c r="Y1401" i="14"/>
  <c r="T1401" i="14"/>
  <c r="Y1400" i="14"/>
  <c r="T1400" i="14"/>
  <c r="Y1399" i="14"/>
  <c r="T1399" i="14"/>
  <c r="Y1398" i="14"/>
  <c r="T1398" i="14"/>
  <c r="Y1397" i="14"/>
  <c r="T1397" i="14"/>
  <c r="Y1396" i="14"/>
  <c r="T1396" i="14"/>
  <c r="Y1395" i="14"/>
  <c r="T1395" i="14"/>
  <c r="Y1394" i="14"/>
  <c r="T1394" i="14"/>
  <c r="Y1393" i="14"/>
  <c r="T1393" i="14"/>
  <c r="Y1392" i="14"/>
  <c r="T1392" i="14"/>
  <c r="Y1391" i="14"/>
  <c r="T1391" i="14"/>
  <c r="Y1390" i="14"/>
  <c r="T1390" i="14"/>
  <c r="Y1389" i="14"/>
  <c r="T1389" i="14"/>
  <c r="Y1388" i="14"/>
  <c r="T1388" i="14"/>
  <c r="Y1387" i="14"/>
  <c r="T1387" i="14"/>
  <c r="Y1386" i="14"/>
  <c r="T1386" i="14"/>
  <c r="Y1385" i="14"/>
  <c r="T1385" i="14"/>
  <c r="Y1384" i="14"/>
  <c r="T1384" i="14"/>
  <c r="Y1383" i="14"/>
  <c r="T1383" i="14"/>
  <c r="Y1382" i="14"/>
  <c r="T1382" i="14"/>
  <c r="Y1381" i="14"/>
  <c r="T1381" i="14"/>
  <c r="Y1380" i="14"/>
  <c r="T1380" i="14"/>
  <c r="Y1379" i="14"/>
  <c r="T1379" i="14"/>
  <c r="Y1378" i="14"/>
  <c r="T1378" i="14"/>
  <c r="Y1377" i="14"/>
  <c r="T1377" i="14"/>
  <c r="Y1376" i="14"/>
  <c r="T1376" i="14"/>
  <c r="Y1375" i="14"/>
  <c r="T1375" i="14"/>
  <c r="Y1374" i="14"/>
  <c r="T1374" i="14"/>
  <c r="Y1373" i="14"/>
  <c r="T1373" i="14"/>
  <c r="Y1372" i="14"/>
  <c r="T1372" i="14"/>
  <c r="Y1371" i="14"/>
  <c r="T1371" i="14"/>
  <c r="Y1370" i="14"/>
  <c r="T1370" i="14"/>
  <c r="Y1369" i="14"/>
  <c r="T1369" i="14"/>
  <c r="Y1368" i="14"/>
  <c r="T1368" i="14"/>
  <c r="Y1367" i="14"/>
  <c r="T1367" i="14"/>
  <c r="Y1366" i="14"/>
  <c r="T1366" i="14"/>
  <c r="Y1365" i="14"/>
  <c r="T1365" i="14"/>
  <c r="Y1364" i="14"/>
  <c r="T1364" i="14"/>
  <c r="Y1363" i="14"/>
  <c r="T1363" i="14"/>
  <c r="Y1362" i="14"/>
  <c r="T1362" i="14"/>
  <c r="Y1361" i="14"/>
  <c r="T1361" i="14"/>
  <c r="Y1360" i="14"/>
  <c r="T1360" i="14"/>
  <c r="Y1359" i="14"/>
  <c r="T1359" i="14"/>
  <c r="Y1358" i="14"/>
  <c r="T1358" i="14"/>
  <c r="Y1357" i="14"/>
  <c r="T1357" i="14"/>
  <c r="Y1356" i="14"/>
  <c r="T1356" i="14"/>
  <c r="Y1355" i="14"/>
  <c r="T1355" i="14"/>
  <c r="Y1354" i="14"/>
  <c r="T1354" i="14"/>
  <c r="Y1353" i="14"/>
  <c r="T1353" i="14"/>
  <c r="Y1352" i="14"/>
  <c r="T1352" i="14"/>
  <c r="Y1351" i="14"/>
  <c r="T1351" i="14"/>
  <c r="Y1350" i="14"/>
  <c r="T1350" i="14"/>
  <c r="Y1349" i="14"/>
  <c r="T1349" i="14"/>
  <c r="Y1348" i="14"/>
  <c r="T1348" i="14"/>
  <c r="Y1347" i="14"/>
  <c r="T1347" i="14"/>
  <c r="Y1346" i="14"/>
  <c r="T1346" i="14"/>
  <c r="Y1345" i="14"/>
  <c r="T1345" i="14"/>
  <c r="Y1344" i="14"/>
  <c r="T1344" i="14"/>
  <c r="Y1343" i="14"/>
  <c r="T1343" i="14"/>
  <c r="Y1342" i="14"/>
  <c r="T1342" i="14"/>
  <c r="Y1341" i="14"/>
  <c r="T1341" i="14"/>
  <c r="Y1340" i="14"/>
  <c r="T1340" i="14"/>
  <c r="Y1339" i="14"/>
  <c r="T1339" i="14"/>
  <c r="Y1338" i="14"/>
  <c r="T1338" i="14"/>
  <c r="Y1337" i="14"/>
  <c r="T1337" i="14"/>
  <c r="Y1336" i="14"/>
  <c r="T1336" i="14"/>
  <c r="Y1335" i="14"/>
  <c r="T1335" i="14"/>
  <c r="Y1334" i="14"/>
  <c r="T1334" i="14"/>
  <c r="Y1333" i="14"/>
  <c r="T1333" i="14"/>
  <c r="Y1332" i="14"/>
  <c r="T1332" i="14"/>
  <c r="Y1331" i="14"/>
  <c r="T1331" i="14"/>
  <c r="Y1330" i="14"/>
  <c r="T1330" i="14"/>
  <c r="Y1329" i="14"/>
  <c r="T1329" i="14"/>
  <c r="Y1328" i="14"/>
  <c r="T1328" i="14"/>
  <c r="Y1327" i="14"/>
  <c r="T1327" i="14"/>
  <c r="Y1326" i="14"/>
  <c r="T1326" i="14"/>
  <c r="Y1325" i="14"/>
  <c r="T1325" i="14"/>
  <c r="Y1324" i="14"/>
  <c r="T1324" i="14"/>
  <c r="Y1323" i="14"/>
  <c r="T1323" i="14"/>
  <c r="Y1322" i="14"/>
  <c r="T1322" i="14"/>
  <c r="Y1321" i="14"/>
  <c r="T1321" i="14"/>
  <c r="Y1320" i="14"/>
  <c r="T1320" i="14"/>
  <c r="Y1319" i="14"/>
  <c r="T1319" i="14"/>
  <c r="Y1318" i="14"/>
  <c r="T1318" i="14"/>
  <c r="Y1317" i="14"/>
  <c r="T1317" i="14"/>
  <c r="Y1316" i="14"/>
  <c r="T1316" i="14"/>
  <c r="Y1315" i="14"/>
  <c r="T1315" i="14"/>
  <c r="Y1314" i="14"/>
  <c r="T1314" i="14"/>
  <c r="Y1313" i="14"/>
  <c r="T1313" i="14"/>
  <c r="Y1312" i="14"/>
  <c r="T1312" i="14"/>
  <c r="Y1311" i="14"/>
  <c r="T1311" i="14"/>
  <c r="Y1310" i="14"/>
  <c r="T1310" i="14"/>
  <c r="Y1309" i="14"/>
  <c r="T1309" i="14"/>
  <c r="Y1308" i="14"/>
  <c r="T1308" i="14"/>
  <c r="Y1307" i="14"/>
  <c r="T1307" i="14"/>
  <c r="Y1306" i="14"/>
  <c r="T1306" i="14"/>
  <c r="Y1305" i="14"/>
  <c r="T1305" i="14"/>
  <c r="Y1304" i="14"/>
  <c r="T1304" i="14"/>
  <c r="Y1303" i="14"/>
  <c r="T1303" i="14"/>
  <c r="Y1302" i="14"/>
  <c r="T1302" i="14"/>
  <c r="Y1301" i="14"/>
  <c r="T1301" i="14"/>
  <c r="Y1300" i="14"/>
  <c r="T1300" i="14"/>
  <c r="Y1299" i="14"/>
  <c r="T1299" i="14"/>
  <c r="Y1298" i="14"/>
  <c r="T1298" i="14"/>
  <c r="Y1297" i="14"/>
  <c r="T1297" i="14"/>
  <c r="Y1296" i="14"/>
  <c r="T1296" i="14"/>
  <c r="Y1295" i="14"/>
  <c r="T1295" i="14"/>
  <c r="Y1294" i="14"/>
  <c r="T1294" i="14"/>
  <c r="Y1293" i="14"/>
  <c r="T1293" i="14"/>
  <c r="Y1292" i="14"/>
  <c r="T1292" i="14"/>
  <c r="Y1291" i="14"/>
  <c r="T1291" i="14"/>
  <c r="Y1290" i="14"/>
  <c r="T1290" i="14"/>
  <c r="Y1289" i="14"/>
  <c r="T1289" i="14"/>
  <c r="Y1288" i="14"/>
  <c r="T1288" i="14"/>
  <c r="Y1287" i="14"/>
  <c r="T1287" i="14"/>
  <c r="Y1286" i="14"/>
  <c r="T1286" i="14"/>
  <c r="Y1285" i="14"/>
  <c r="T1285" i="14"/>
  <c r="Y1284" i="14"/>
  <c r="T1284" i="14"/>
  <c r="Y1283" i="14"/>
  <c r="T1283" i="14"/>
  <c r="Y1282" i="14"/>
  <c r="T1282" i="14"/>
  <c r="Y1281" i="14"/>
  <c r="T1281" i="14"/>
  <c r="Y1280" i="14"/>
  <c r="T1280" i="14"/>
  <c r="Y1279" i="14"/>
  <c r="T1279" i="14"/>
  <c r="Y1278" i="14"/>
  <c r="T1278" i="14"/>
  <c r="Y1277" i="14"/>
  <c r="T1277" i="14"/>
  <c r="Y1276" i="14"/>
  <c r="T1276" i="14"/>
  <c r="Y1275" i="14"/>
  <c r="T1275" i="14"/>
  <c r="Y1274" i="14"/>
  <c r="T1274" i="14"/>
  <c r="Y1273" i="14"/>
  <c r="T1273" i="14"/>
  <c r="Y1272" i="14"/>
  <c r="T1272" i="14"/>
  <c r="Y1271" i="14"/>
  <c r="T1271" i="14"/>
  <c r="Y1270" i="14"/>
  <c r="T1270" i="14"/>
  <c r="Y1269" i="14"/>
  <c r="T1269" i="14"/>
  <c r="Y1268" i="14"/>
  <c r="T1268" i="14"/>
  <c r="Y1267" i="14"/>
  <c r="T1267" i="14"/>
  <c r="Y1266" i="14"/>
  <c r="T1266" i="14"/>
  <c r="Y1265" i="14"/>
  <c r="T1265" i="14"/>
  <c r="Y1264" i="14"/>
  <c r="T1264" i="14"/>
  <c r="Y1263" i="14"/>
  <c r="T1263" i="14"/>
  <c r="Y1262" i="14"/>
  <c r="T1262" i="14"/>
  <c r="Y1261" i="14"/>
  <c r="T1261" i="14"/>
  <c r="Y1260" i="14"/>
  <c r="T1260" i="14"/>
  <c r="Y1259" i="14"/>
  <c r="T1259" i="14"/>
  <c r="Y1258" i="14"/>
  <c r="T1258" i="14"/>
  <c r="Y1257" i="14"/>
  <c r="T1257" i="14"/>
  <c r="Y1256" i="14"/>
  <c r="T1256" i="14"/>
  <c r="Y1255" i="14"/>
  <c r="T1255" i="14"/>
  <c r="Y1254" i="14"/>
  <c r="T1254" i="14"/>
  <c r="Y1253" i="14"/>
  <c r="T1253" i="14"/>
  <c r="Y1252" i="14"/>
  <c r="T1252" i="14"/>
  <c r="Y1251" i="14"/>
  <c r="T1251" i="14"/>
  <c r="Y1250" i="14"/>
  <c r="T1250" i="14"/>
  <c r="Y1249" i="14"/>
  <c r="T1249" i="14"/>
  <c r="Y1248" i="14"/>
  <c r="T1248" i="14"/>
  <c r="Y1247" i="14"/>
  <c r="T1247" i="14"/>
  <c r="Y1246" i="14"/>
  <c r="T1246" i="14"/>
  <c r="Y1245" i="14"/>
  <c r="T1245" i="14"/>
  <c r="Y1244" i="14"/>
  <c r="T1244" i="14"/>
  <c r="Y1243" i="14"/>
  <c r="T1243" i="14"/>
  <c r="Y1242" i="14"/>
  <c r="T1242" i="14"/>
  <c r="Y1241" i="14"/>
  <c r="T1241" i="14"/>
  <c r="Y1240" i="14"/>
  <c r="T1240" i="14"/>
  <c r="Y1239" i="14"/>
  <c r="T1239" i="14"/>
  <c r="Y1238" i="14"/>
  <c r="T1238" i="14"/>
  <c r="Y1237" i="14"/>
  <c r="T1237" i="14"/>
  <c r="Y1236" i="14"/>
  <c r="T1236" i="14"/>
  <c r="Y1235" i="14"/>
  <c r="T1235" i="14"/>
  <c r="Y1234" i="14"/>
  <c r="T1234" i="14"/>
  <c r="Y1233" i="14"/>
  <c r="T1233" i="14"/>
  <c r="Y1232" i="14"/>
  <c r="T1232" i="14"/>
  <c r="Y1231" i="14"/>
  <c r="T1231" i="14"/>
  <c r="Y1230" i="14"/>
  <c r="T1230" i="14"/>
  <c r="Y1229" i="14"/>
  <c r="T1229" i="14"/>
  <c r="Y1228" i="14"/>
  <c r="T1228" i="14"/>
  <c r="Y1227" i="14"/>
  <c r="T1227" i="14"/>
  <c r="Y1226" i="14"/>
  <c r="T1226" i="14"/>
  <c r="Y1225" i="14"/>
  <c r="T1225" i="14"/>
  <c r="Y1224" i="14"/>
  <c r="T1224" i="14"/>
  <c r="Y1223" i="14"/>
  <c r="T1223" i="14"/>
  <c r="Y1222" i="14"/>
  <c r="T1222" i="14"/>
  <c r="Y1221" i="14"/>
  <c r="T1221" i="14"/>
  <c r="Y1220" i="14"/>
  <c r="T1220" i="14"/>
  <c r="Y1219" i="14"/>
  <c r="T1219" i="14"/>
  <c r="Y1218" i="14"/>
  <c r="T1218" i="14"/>
  <c r="Y1217" i="14"/>
  <c r="T1217" i="14"/>
  <c r="Y1216" i="14"/>
  <c r="T1216" i="14"/>
  <c r="Y1215" i="14"/>
  <c r="T1215" i="14"/>
  <c r="Y1214" i="14"/>
  <c r="T1214" i="14"/>
  <c r="Y1213" i="14"/>
  <c r="T1213" i="14"/>
  <c r="Y1212" i="14"/>
  <c r="T1212" i="14"/>
  <c r="Y1211" i="14"/>
  <c r="T1211" i="14"/>
  <c r="Y1210" i="14"/>
  <c r="T1210" i="14"/>
  <c r="Y1209" i="14"/>
  <c r="T1209" i="14"/>
  <c r="Y1208" i="14"/>
  <c r="T1208" i="14"/>
  <c r="Y1207" i="14"/>
  <c r="T1207" i="14"/>
  <c r="Y1206" i="14"/>
  <c r="T1206" i="14"/>
  <c r="Y1205" i="14"/>
  <c r="T1205" i="14"/>
  <c r="Y1204" i="14"/>
  <c r="T1204" i="14"/>
  <c r="Y1203" i="14"/>
  <c r="T1203" i="14"/>
  <c r="Y1202" i="14"/>
  <c r="T1202" i="14"/>
  <c r="Y1201" i="14"/>
  <c r="T1201" i="14"/>
  <c r="Y1200" i="14"/>
  <c r="T1200" i="14"/>
  <c r="Y1199" i="14"/>
  <c r="T1199" i="14"/>
  <c r="Y1198" i="14"/>
  <c r="T1198" i="14"/>
  <c r="Y1197" i="14"/>
  <c r="T1197" i="14"/>
  <c r="Y1196" i="14"/>
  <c r="T1196" i="14"/>
  <c r="Y1195" i="14"/>
  <c r="T1195" i="14"/>
  <c r="Y1194" i="14"/>
  <c r="T1194" i="14"/>
  <c r="Y1193" i="14"/>
  <c r="T1193" i="14"/>
  <c r="Y1192" i="14"/>
  <c r="T1192" i="14"/>
  <c r="Y1191" i="14"/>
  <c r="T1191" i="14"/>
  <c r="Y1190" i="14"/>
  <c r="T1190" i="14"/>
  <c r="Y1189" i="14"/>
  <c r="T1189" i="14"/>
  <c r="Y1188" i="14"/>
  <c r="T1188" i="14"/>
  <c r="Y1187" i="14"/>
  <c r="T1187" i="14"/>
  <c r="Y1186" i="14"/>
  <c r="T1186" i="14"/>
  <c r="Y1185" i="14"/>
  <c r="T1185" i="14"/>
  <c r="Y1184" i="14"/>
  <c r="T1184" i="14"/>
  <c r="Y1183" i="14"/>
  <c r="T1183" i="14"/>
  <c r="Y1182" i="14"/>
  <c r="T1182" i="14"/>
  <c r="Y1181" i="14"/>
  <c r="T1181" i="14"/>
  <c r="Y1180" i="14"/>
  <c r="T1180" i="14"/>
  <c r="Y1179" i="14"/>
  <c r="T1179" i="14"/>
  <c r="Y1178" i="14"/>
  <c r="T1178" i="14"/>
  <c r="Y1177" i="14"/>
  <c r="T1177" i="14"/>
  <c r="Y1176" i="14"/>
  <c r="T1176" i="14"/>
  <c r="Y1175" i="14"/>
  <c r="T1175" i="14"/>
  <c r="Y1174" i="14"/>
  <c r="T1174" i="14"/>
  <c r="Y1173" i="14"/>
  <c r="T1173" i="14"/>
  <c r="Y1172" i="14"/>
  <c r="T1172" i="14"/>
  <c r="Y1171" i="14"/>
  <c r="T1171" i="14"/>
  <c r="Y1170" i="14"/>
  <c r="T1170" i="14"/>
  <c r="Y1169" i="14"/>
  <c r="T1169" i="14"/>
  <c r="Y1168" i="14"/>
  <c r="T1168" i="14"/>
  <c r="Y1167" i="14"/>
  <c r="T1167" i="14"/>
  <c r="Y1166" i="14"/>
  <c r="T1166" i="14"/>
  <c r="Y1165" i="14"/>
  <c r="T1165" i="14"/>
  <c r="Y1164" i="14"/>
  <c r="T1164" i="14"/>
  <c r="Y1163" i="14"/>
  <c r="T1163" i="14"/>
  <c r="Y1162" i="14"/>
  <c r="T1162" i="14"/>
  <c r="Y1161" i="14"/>
  <c r="T1161" i="14"/>
  <c r="Y1160" i="14"/>
  <c r="T1160" i="14"/>
  <c r="Y1159" i="14"/>
  <c r="T1159" i="14"/>
  <c r="Y1158" i="14"/>
  <c r="T1158" i="14"/>
  <c r="Y1157" i="14"/>
  <c r="T1157" i="14"/>
  <c r="Y1156" i="14"/>
  <c r="T1156" i="14"/>
  <c r="Y1155" i="14"/>
  <c r="T1155" i="14"/>
  <c r="Y1154" i="14"/>
  <c r="T1154" i="14"/>
  <c r="Y1153" i="14"/>
  <c r="T1153" i="14"/>
  <c r="Y1152" i="14"/>
  <c r="T1152" i="14"/>
  <c r="Y1151" i="14"/>
  <c r="T1151" i="14"/>
  <c r="Y1150" i="14"/>
  <c r="T1150" i="14"/>
  <c r="Y1149" i="14"/>
  <c r="T1149" i="14"/>
  <c r="Y1148" i="14"/>
  <c r="T1148" i="14"/>
  <c r="Y1147" i="14"/>
  <c r="T1147" i="14"/>
  <c r="Y1146" i="14"/>
  <c r="T1146" i="14"/>
  <c r="Y1145" i="14"/>
  <c r="T1145" i="14"/>
  <c r="Y1144" i="14"/>
  <c r="T1144" i="14"/>
  <c r="Y1143" i="14"/>
  <c r="T1143" i="14"/>
  <c r="Y1142" i="14"/>
  <c r="T1142" i="14"/>
  <c r="Y1141" i="14"/>
  <c r="T1141" i="14"/>
  <c r="Y1140" i="14"/>
  <c r="T1140" i="14"/>
  <c r="Y1139" i="14"/>
  <c r="T1139" i="14"/>
  <c r="Y1138" i="14"/>
  <c r="T1138" i="14"/>
  <c r="Y1137" i="14"/>
  <c r="T1137" i="14"/>
  <c r="Y1136" i="14"/>
  <c r="T1136" i="14"/>
  <c r="Y1135" i="14"/>
  <c r="T1135" i="14"/>
  <c r="Y1134" i="14"/>
  <c r="T1134" i="14"/>
  <c r="Y1133" i="14"/>
  <c r="T1133" i="14"/>
  <c r="Y1132" i="14"/>
  <c r="T1132" i="14"/>
  <c r="Y1131" i="14"/>
  <c r="T1131" i="14"/>
  <c r="Y1130" i="14"/>
  <c r="T1130" i="14"/>
  <c r="Y1129" i="14"/>
  <c r="T1129" i="14"/>
  <c r="Y1128" i="14"/>
  <c r="T1128" i="14"/>
  <c r="Y1127" i="14"/>
  <c r="T1127" i="14"/>
  <c r="Y1126" i="14"/>
  <c r="T1126" i="14"/>
  <c r="Y1125" i="14"/>
  <c r="T1125" i="14"/>
  <c r="Y1124" i="14"/>
  <c r="T1124" i="14"/>
  <c r="Y1123" i="14"/>
  <c r="T1123" i="14"/>
  <c r="Y1122" i="14"/>
  <c r="T1122" i="14"/>
  <c r="Y1121" i="14"/>
  <c r="T1121" i="14"/>
  <c r="Y1120" i="14"/>
  <c r="T1120" i="14"/>
  <c r="Y1119" i="14"/>
  <c r="T1119" i="14"/>
  <c r="Y1118" i="14"/>
  <c r="T1118" i="14"/>
  <c r="Y1117" i="14"/>
  <c r="T1117" i="14"/>
  <c r="Y1116" i="14"/>
  <c r="T1116" i="14"/>
  <c r="Y1115" i="14"/>
  <c r="T1115" i="14"/>
  <c r="Y1114" i="14"/>
  <c r="T1114" i="14"/>
  <c r="Y1113" i="14"/>
  <c r="T1113" i="14"/>
  <c r="Y1112" i="14"/>
  <c r="T1112" i="14"/>
  <c r="Y1111" i="14"/>
  <c r="T1111" i="14"/>
  <c r="Y1110" i="14"/>
  <c r="T1110" i="14"/>
  <c r="Y1109" i="14"/>
  <c r="T1109" i="14"/>
  <c r="Y1108" i="14"/>
  <c r="T1108" i="14"/>
  <c r="Y1107" i="14"/>
  <c r="T1107" i="14"/>
  <c r="Y1106" i="14"/>
  <c r="T1106" i="14"/>
  <c r="Y1105" i="14"/>
  <c r="T1105" i="14"/>
  <c r="Y1104" i="14"/>
  <c r="T1104" i="14"/>
  <c r="Y1103" i="14"/>
  <c r="T1103" i="14"/>
  <c r="Y1102" i="14"/>
  <c r="T1102" i="14"/>
  <c r="Y1101" i="14"/>
  <c r="T1101" i="14"/>
  <c r="Y1100" i="14"/>
  <c r="T1100" i="14"/>
  <c r="Y1099" i="14"/>
  <c r="T1099" i="14"/>
  <c r="Y1098" i="14"/>
  <c r="T1098" i="14"/>
  <c r="Y1097" i="14"/>
  <c r="T1097" i="14"/>
  <c r="Y1096" i="14"/>
  <c r="T1096" i="14"/>
  <c r="Y1095" i="14"/>
  <c r="T1095" i="14"/>
  <c r="Y1094" i="14"/>
  <c r="T1094" i="14"/>
  <c r="Y1093" i="14"/>
  <c r="T1093" i="14"/>
  <c r="Y1092" i="14"/>
  <c r="T1092" i="14"/>
  <c r="Y1091" i="14"/>
  <c r="T1091" i="14"/>
  <c r="Y1090" i="14"/>
  <c r="T1090" i="14"/>
  <c r="Y1089" i="14"/>
  <c r="T1089" i="14"/>
  <c r="Y1088" i="14"/>
  <c r="T1088" i="14"/>
  <c r="Y1087" i="14"/>
  <c r="T1087" i="14"/>
  <c r="Y1086" i="14"/>
  <c r="T1086" i="14"/>
  <c r="Y1085" i="14"/>
  <c r="T1085" i="14"/>
  <c r="Y1084" i="14"/>
  <c r="T1084" i="14"/>
  <c r="Y1083" i="14"/>
  <c r="T1083" i="14"/>
  <c r="Y1082" i="14"/>
  <c r="T1082" i="14"/>
  <c r="Y1081" i="14"/>
  <c r="T1081" i="14"/>
  <c r="Y1080" i="14"/>
  <c r="T1080" i="14"/>
  <c r="Y1079" i="14"/>
  <c r="T1079" i="14"/>
  <c r="Y1078" i="14"/>
  <c r="T1078" i="14"/>
  <c r="Y1077" i="14"/>
  <c r="T1077" i="14"/>
  <c r="Y1076" i="14"/>
  <c r="T1076" i="14"/>
  <c r="Y1075" i="14"/>
  <c r="T1075" i="14"/>
  <c r="Y1074" i="14"/>
  <c r="T1074" i="14"/>
  <c r="Y1073" i="14"/>
  <c r="T1073" i="14"/>
  <c r="Y1072" i="14"/>
  <c r="T1072" i="14"/>
  <c r="Y1071" i="14"/>
  <c r="T1071" i="14"/>
  <c r="Y1070" i="14"/>
  <c r="T1070" i="14"/>
  <c r="Y1069" i="14"/>
  <c r="T1069" i="14"/>
  <c r="Y1068" i="14"/>
  <c r="T1068" i="14"/>
  <c r="Y1067" i="14"/>
  <c r="T1067" i="14"/>
  <c r="Y1066" i="14"/>
  <c r="T1066" i="14"/>
  <c r="Y1065" i="14"/>
  <c r="T1065" i="14"/>
  <c r="Y1064" i="14"/>
  <c r="T1064" i="14"/>
  <c r="Y1063" i="14"/>
  <c r="T1063" i="14"/>
  <c r="Y1062" i="14"/>
  <c r="T1062" i="14"/>
  <c r="Y1061" i="14"/>
  <c r="T1061" i="14"/>
  <c r="Y1060" i="14"/>
  <c r="T1060" i="14"/>
  <c r="Y1059" i="14"/>
  <c r="T1059" i="14"/>
  <c r="Y1058" i="14"/>
  <c r="T1058" i="14"/>
  <c r="Y1057" i="14"/>
  <c r="T1057" i="14"/>
  <c r="Y1056" i="14"/>
  <c r="T1056" i="14"/>
  <c r="Y1055" i="14"/>
  <c r="T1055" i="14"/>
  <c r="Y1054" i="14"/>
  <c r="T1054" i="14"/>
  <c r="Y1053" i="14"/>
  <c r="T1053" i="14"/>
  <c r="Y1052" i="14"/>
  <c r="T1052" i="14"/>
  <c r="Y1051" i="14"/>
  <c r="T1051" i="14"/>
  <c r="Y1050" i="14"/>
  <c r="T1050" i="14"/>
  <c r="Y1049" i="14"/>
  <c r="T1049" i="14"/>
  <c r="Y1048" i="14"/>
  <c r="T1048" i="14"/>
  <c r="Y1047" i="14"/>
  <c r="T1047" i="14"/>
  <c r="Y1046" i="14"/>
  <c r="T1046" i="14"/>
  <c r="Y1045" i="14"/>
  <c r="T1045" i="14"/>
  <c r="Y1044" i="14"/>
  <c r="T1044" i="14"/>
  <c r="Y1043" i="14"/>
  <c r="T1043" i="14"/>
  <c r="Y1042" i="14"/>
  <c r="T1042" i="14"/>
  <c r="Y1041" i="14"/>
  <c r="T1041" i="14"/>
  <c r="Y1040" i="14"/>
  <c r="T1040" i="14"/>
  <c r="Y1039" i="14"/>
  <c r="T1039" i="14"/>
  <c r="Y1038" i="14"/>
  <c r="T1038" i="14"/>
  <c r="Y1037" i="14"/>
  <c r="T1037" i="14"/>
  <c r="Y1036" i="14"/>
  <c r="T1036" i="14"/>
  <c r="Y1035" i="14"/>
  <c r="T1035" i="14"/>
  <c r="Y1034" i="14"/>
  <c r="T1034" i="14"/>
  <c r="Y1033" i="14"/>
  <c r="T1033" i="14"/>
  <c r="Y1032" i="14"/>
  <c r="T1032" i="14"/>
  <c r="Y1031" i="14"/>
  <c r="T1031" i="14"/>
  <c r="Y1030" i="14"/>
  <c r="T1030" i="14"/>
  <c r="Y1029" i="14"/>
  <c r="T1029" i="14"/>
  <c r="Y1028" i="14"/>
  <c r="T1028" i="14"/>
  <c r="Y1027" i="14"/>
  <c r="T1027" i="14"/>
  <c r="Y1026" i="14"/>
  <c r="T1026" i="14"/>
  <c r="Y1025" i="14"/>
  <c r="T1025" i="14"/>
  <c r="Y1024" i="14"/>
  <c r="T1024" i="14"/>
  <c r="Y1023" i="14"/>
  <c r="T1023" i="14"/>
  <c r="Y1022" i="14"/>
  <c r="T1022" i="14"/>
  <c r="Y1021" i="14"/>
  <c r="T1021" i="14"/>
  <c r="Y1020" i="14"/>
  <c r="T1020" i="14"/>
  <c r="Y1019" i="14"/>
  <c r="T1019" i="14"/>
  <c r="Y1018" i="14"/>
  <c r="T1018" i="14"/>
  <c r="Y1017" i="14"/>
  <c r="T1017" i="14"/>
  <c r="Y1016" i="14"/>
  <c r="T1016" i="14"/>
  <c r="Y1015" i="14"/>
  <c r="T1015" i="14"/>
  <c r="Y1014" i="14"/>
  <c r="T1014" i="14"/>
  <c r="Y1013" i="14"/>
  <c r="T1013" i="14"/>
  <c r="Y1012" i="14"/>
  <c r="T1012" i="14"/>
  <c r="Y1011" i="14"/>
  <c r="T1011" i="14"/>
  <c r="Y1010" i="14"/>
  <c r="T1010" i="14"/>
  <c r="Y1009" i="14"/>
  <c r="T1009" i="14"/>
  <c r="Y1008" i="14"/>
  <c r="T1008" i="14"/>
  <c r="Y1007" i="14"/>
  <c r="T1007" i="14"/>
  <c r="Y1006" i="14"/>
  <c r="T1006" i="14"/>
  <c r="Y1005" i="14"/>
  <c r="T1005" i="14"/>
  <c r="Y1004" i="14"/>
  <c r="T1004" i="14"/>
  <c r="Y1003" i="14"/>
  <c r="T1003" i="14"/>
  <c r="Y1002" i="14"/>
  <c r="T1002" i="14"/>
  <c r="Y1001" i="14"/>
  <c r="T1001" i="14"/>
  <c r="Y1000" i="14"/>
  <c r="T1000" i="14"/>
  <c r="Y999" i="14"/>
  <c r="T999" i="14"/>
  <c r="Y998" i="14"/>
  <c r="T998" i="14"/>
  <c r="Y997" i="14"/>
  <c r="T997" i="14"/>
  <c r="Y996" i="14"/>
  <c r="T996" i="14"/>
  <c r="Y995" i="14"/>
  <c r="T995" i="14"/>
  <c r="Y994" i="14"/>
  <c r="T994" i="14"/>
  <c r="Y993" i="14"/>
  <c r="T993" i="14"/>
  <c r="Y992" i="14"/>
  <c r="T992" i="14"/>
  <c r="Y991" i="14"/>
  <c r="T991" i="14"/>
  <c r="Y990" i="14"/>
  <c r="T990" i="14"/>
  <c r="Y989" i="14"/>
  <c r="T989" i="14"/>
  <c r="Y988" i="14"/>
  <c r="T988" i="14"/>
  <c r="Y987" i="14"/>
  <c r="T987" i="14"/>
  <c r="Y986" i="14"/>
  <c r="T986" i="14"/>
  <c r="Y985" i="14"/>
  <c r="T985" i="14"/>
  <c r="Y984" i="14"/>
  <c r="T984" i="14"/>
  <c r="Y983" i="14"/>
  <c r="T983" i="14"/>
  <c r="Y982" i="14"/>
  <c r="T982" i="14"/>
  <c r="Y981" i="14"/>
  <c r="T981" i="14"/>
  <c r="Y980" i="14"/>
  <c r="T980" i="14"/>
  <c r="Y979" i="14"/>
  <c r="T979" i="14"/>
  <c r="Y978" i="14"/>
  <c r="T978" i="14"/>
  <c r="Y977" i="14"/>
  <c r="T977" i="14"/>
  <c r="Y976" i="14"/>
  <c r="T976" i="14"/>
  <c r="Y975" i="14"/>
  <c r="T975" i="14"/>
  <c r="Y974" i="14"/>
  <c r="T974" i="14"/>
  <c r="Y973" i="14"/>
  <c r="T973" i="14"/>
  <c r="Y972" i="14"/>
  <c r="T972" i="14"/>
  <c r="Y971" i="14"/>
  <c r="T971" i="14"/>
  <c r="Y970" i="14"/>
  <c r="T970" i="14"/>
  <c r="Y969" i="14"/>
  <c r="T969" i="14"/>
  <c r="Y968" i="14"/>
  <c r="T968" i="14"/>
  <c r="Y967" i="14"/>
  <c r="T967" i="14"/>
  <c r="Y966" i="14"/>
  <c r="T966" i="14"/>
  <c r="Y965" i="14"/>
  <c r="T965" i="14"/>
  <c r="Y964" i="14"/>
  <c r="T964" i="14"/>
  <c r="Y963" i="14"/>
  <c r="T963" i="14"/>
  <c r="Y962" i="14"/>
  <c r="T962" i="14"/>
  <c r="Y961" i="14"/>
  <c r="T961" i="14"/>
  <c r="Y960" i="14"/>
  <c r="T960" i="14"/>
  <c r="Y959" i="14"/>
  <c r="T959" i="14"/>
  <c r="Y958" i="14"/>
  <c r="T958" i="14"/>
  <c r="Y957" i="14"/>
  <c r="T957" i="14"/>
  <c r="Y956" i="14"/>
  <c r="T956" i="14"/>
  <c r="Y955" i="14"/>
  <c r="T955" i="14"/>
  <c r="Y954" i="14"/>
  <c r="T954" i="14"/>
  <c r="Y953" i="14"/>
  <c r="T953" i="14"/>
  <c r="Y952" i="14"/>
  <c r="T952" i="14"/>
  <c r="Y951" i="14"/>
  <c r="T951" i="14"/>
  <c r="Y950" i="14"/>
  <c r="T950" i="14"/>
  <c r="Y949" i="14"/>
  <c r="T949" i="14"/>
  <c r="Y948" i="14"/>
  <c r="T948" i="14"/>
  <c r="Y947" i="14"/>
  <c r="T947" i="14"/>
  <c r="Y946" i="14"/>
  <c r="T946" i="14"/>
  <c r="Y945" i="14"/>
  <c r="T945" i="14"/>
  <c r="Y944" i="14"/>
  <c r="T944" i="14"/>
  <c r="Y943" i="14"/>
  <c r="T943" i="14"/>
  <c r="Y942" i="14"/>
  <c r="T942" i="14"/>
  <c r="Y941" i="14"/>
  <c r="T941" i="14"/>
  <c r="Y940" i="14"/>
  <c r="T940" i="14"/>
  <c r="Y939" i="14"/>
  <c r="T939" i="14"/>
  <c r="Y938" i="14"/>
  <c r="T938" i="14"/>
  <c r="Y937" i="14"/>
  <c r="T937" i="14"/>
  <c r="Y936" i="14"/>
  <c r="T936" i="14"/>
  <c r="Y935" i="14"/>
  <c r="T935" i="14"/>
  <c r="Y934" i="14"/>
  <c r="T934" i="14"/>
  <c r="Y933" i="14"/>
  <c r="T933" i="14"/>
  <c r="Y932" i="14"/>
  <c r="T932" i="14"/>
  <c r="Y931" i="14"/>
  <c r="T931" i="14"/>
  <c r="Y930" i="14"/>
  <c r="T930" i="14"/>
  <c r="Y929" i="14"/>
  <c r="T929" i="14"/>
  <c r="Y928" i="14"/>
  <c r="T928" i="14"/>
  <c r="Y927" i="14"/>
  <c r="T927" i="14"/>
  <c r="Y926" i="14"/>
  <c r="T926" i="14"/>
  <c r="Y925" i="14"/>
  <c r="T925" i="14"/>
  <c r="Y924" i="14"/>
  <c r="T924" i="14"/>
  <c r="Y923" i="14"/>
  <c r="T923" i="14"/>
  <c r="Y922" i="14"/>
  <c r="T922" i="14"/>
  <c r="Y921" i="14"/>
  <c r="T921" i="14"/>
  <c r="Y920" i="14"/>
  <c r="T920" i="14"/>
  <c r="Y919" i="14"/>
  <c r="T919" i="14"/>
  <c r="Y918" i="14"/>
  <c r="T918" i="14"/>
  <c r="Y917" i="14"/>
  <c r="T917" i="14"/>
  <c r="Y916" i="14"/>
  <c r="T916" i="14"/>
  <c r="Y915" i="14"/>
  <c r="T915" i="14"/>
  <c r="Y914" i="14"/>
  <c r="T914" i="14"/>
  <c r="Y913" i="14"/>
  <c r="T913" i="14"/>
  <c r="Y912" i="14"/>
  <c r="T912" i="14"/>
  <c r="Y911" i="14"/>
  <c r="T911" i="14"/>
  <c r="Y910" i="14"/>
  <c r="T910" i="14"/>
  <c r="Y909" i="14"/>
  <c r="T909" i="14"/>
  <c r="Y908" i="14"/>
  <c r="T908" i="14"/>
  <c r="Y907" i="14"/>
  <c r="T907" i="14"/>
  <c r="Y906" i="14"/>
  <c r="T906" i="14"/>
  <c r="Y905" i="14"/>
  <c r="T905" i="14"/>
  <c r="Y904" i="14"/>
  <c r="T904" i="14"/>
  <c r="Y903" i="14"/>
  <c r="T903" i="14"/>
  <c r="Y902" i="14"/>
  <c r="T902" i="14"/>
  <c r="Y901" i="14"/>
  <c r="T901" i="14"/>
  <c r="Y900" i="14"/>
  <c r="T900" i="14"/>
  <c r="Y899" i="14"/>
  <c r="T899" i="14"/>
  <c r="Y898" i="14"/>
  <c r="T898" i="14"/>
  <c r="Y897" i="14"/>
  <c r="T897" i="14"/>
  <c r="Y896" i="14"/>
  <c r="T896" i="14"/>
  <c r="Y895" i="14"/>
  <c r="T895" i="14"/>
  <c r="Y894" i="14"/>
  <c r="T894" i="14"/>
  <c r="Y893" i="14"/>
  <c r="T893" i="14"/>
  <c r="Y892" i="14"/>
  <c r="T892" i="14"/>
  <c r="Y891" i="14"/>
  <c r="T891" i="14"/>
  <c r="Y890" i="14"/>
  <c r="T890" i="14"/>
  <c r="Y889" i="14"/>
  <c r="T889" i="14"/>
  <c r="Y888" i="14"/>
  <c r="T888" i="14"/>
  <c r="Y887" i="14"/>
  <c r="T887" i="14"/>
  <c r="Y886" i="14"/>
  <c r="T886" i="14"/>
  <c r="Y885" i="14"/>
  <c r="T885" i="14"/>
  <c r="Y884" i="14"/>
  <c r="T884" i="14"/>
  <c r="Y883" i="14"/>
  <c r="T883" i="14"/>
  <c r="Y882" i="14"/>
  <c r="T882" i="14"/>
  <c r="Y881" i="14"/>
  <c r="T881" i="14"/>
  <c r="Y880" i="14"/>
  <c r="T880" i="14"/>
  <c r="Y879" i="14"/>
  <c r="T879" i="14"/>
  <c r="Y878" i="14"/>
  <c r="T878" i="14"/>
  <c r="Y877" i="14"/>
  <c r="T877" i="14"/>
  <c r="Y876" i="14"/>
  <c r="T876" i="14"/>
  <c r="Y875" i="14"/>
  <c r="T875" i="14"/>
  <c r="Y874" i="14"/>
  <c r="T874" i="14"/>
  <c r="Y873" i="14"/>
  <c r="T873" i="14"/>
  <c r="Y872" i="14"/>
  <c r="T872" i="14"/>
  <c r="Y871" i="14"/>
  <c r="T871" i="14"/>
  <c r="Y870" i="14"/>
  <c r="T870" i="14"/>
  <c r="Y869" i="14"/>
  <c r="T869" i="14"/>
  <c r="Y868" i="14"/>
  <c r="T868" i="14"/>
  <c r="Y867" i="14"/>
  <c r="T867" i="14"/>
  <c r="Y866" i="14"/>
  <c r="T866" i="14"/>
  <c r="Y865" i="14"/>
  <c r="T865" i="14"/>
  <c r="Y864" i="14"/>
  <c r="T864" i="14"/>
  <c r="Y863" i="14"/>
  <c r="T863" i="14"/>
  <c r="Y862" i="14"/>
  <c r="T862" i="14"/>
  <c r="Y861" i="14"/>
  <c r="T861" i="14"/>
  <c r="Y860" i="14"/>
  <c r="T860" i="14"/>
  <c r="Y859" i="14"/>
  <c r="T859" i="14"/>
  <c r="Y858" i="14"/>
  <c r="T858" i="14"/>
  <c r="Y857" i="14"/>
  <c r="T857" i="14"/>
  <c r="Y856" i="14"/>
  <c r="T856" i="14"/>
  <c r="Y855" i="14"/>
  <c r="T855" i="14"/>
  <c r="Y854" i="14"/>
  <c r="T854" i="14"/>
  <c r="Y853" i="14"/>
  <c r="T853" i="14"/>
  <c r="Y852" i="14"/>
  <c r="T852" i="14"/>
  <c r="Y851" i="14"/>
  <c r="T851" i="14"/>
  <c r="Y850" i="14"/>
  <c r="T850" i="14"/>
  <c r="Y849" i="14"/>
  <c r="T849" i="14"/>
  <c r="Y848" i="14"/>
  <c r="T848" i="14"/>
  <c r="Y847" i="14"/>
  <c r="T847" i="14"/>
  <c r="Y846" i="14"/>
  <c r="T846" i="14"/>
  <c r="Y845" i="14"/>
  <c r="T845" i="14"/>
  <c r="Y844" i="14"/>
  <c r="T844" i="14"/>
  <c r="Y843" i="14"/>
  <c r="T843" i="14"/>
  <c r="Y842" i="14"/>
  <c r="T842" i="14"/>
  <c r="Y841" i="14"/>
  <c r="T841" i="14"/>
  <c r="Y840" i="14"/>
  <c r="T840" i="14"/>
  <c r="Y839" i="14"/>
  <c r="T839" i="14"/>
  <c r="Y838" i="14"/>
  <c r="T838" i="14"/>
  <c r="Y837" i="14"/>
  <c r="T837" i="14"/>
  <c r="Y836" i="14"/>
  <c r="T836" i="14"/>
  <c r="Y835" i="14"/>
  <c r="T835" i="14"/>
  <c r="Y834" i="14"/>
  <c r="T834" i="14"/>
  <c r="Y833" i="14"/>
  <c r="T833" i="14"/>
  <c r="Y832" i="14"/>
  <c r="T832" i="14"/>
  <c r="Y831" i="14"/>
  <c r="T831" i="14"/>
  <c r="Y830" i="14"/>
  <c r="T830" i="14"/>
  <c r="Y829" i="14"/>
  <c r="T829" i="14"/>
  <c r="Y828" i="14"/>
  <c r="T828" i="14"/>
  <c r="Y827" i="14"/>
  <c r="T827" i="14"/>
  <c r="Y826" i="14"/>
  <c r="T826" i="14"/>
  <c r="Y825" i="14"/>
  <c r="T825" i="14"/>
  <c r="Y824" i="14"/>
  <c r="T824" i="14"/>
  <c r="Y823" i="14"/>
  <c r="T823" i="14"/>
  <c r="Y822" i="14"/>
  <c r="T822" i="14"/>
  <c r="Y821" i="14"/>
  <c r="T821" i="14"/>
  <c r="Y820" i="14"/>
  <c r="T820" i="14"/>
  <c r="Y819" i="14"/>
  <c r="T819" i="14"/>
  <c r="Y818" i="14"/>
  <c r="T818" i="14"/>
  <c r="Y817" i="14"/>
  <c r="T817" i="14"/>
  <c r="Y816" i="14"/>
  <c r="T816" i="14"/>
  <c r="Y815" i="14"/>
  <c r="T815" i="14"/>
  <c r="Y814" i="14"/>
  <c r="T814" i="14"/>
  <c r="Y813" i="14"/>
  <c r="T813" i="14"/>
  <c r="Y812" i="14"/>
  <c r="T812" i="14"/>
  <c r="Y811" i="14"/>
  <c r="T811" i="14"/>
  <c r="Y810" i="14"/>
  <c r="T810" i="14"/>
  <c r="Y809" i="14"/>
  <c r="T809" i="14"/>
  <c r="Y808" i="14"/>
  <c r="T808" i="14"/>
  <c r="Y807" i="14"/>
  <c r="T807" i="14"/>
  <c r="Y806" i="14"/>
  <c r="T806" i="14"/>
  <c r="Y805" i="14"/>
  <c r="T805" i="14"/>
  <c r="Y804" i="14"/>
  <c r="T804" i="14"/>
  <c r="Y803" i="14"/>
  <c r="T803" i="14"/>
  <c r="Y802" i="14"/>
  <c r="T802" i="14"/>
  <c r="Y801" i="14"/>
  <c r="T801" i="14"/>
  <c r="Y800" i="14"/>
  <c r="T800" i="14"/>
  <c r="Y799" i="14"/>
  <c r="T799" i="14"/>
  <c r="Y798" i="14"/>
  <c r="T798" i="14"/>
  <c r="Y797" i="14"/>
  <c r="T797" i="14"/>
  <c r="Y796" i="14"/>
  <c r="T796" i="14"/>
  <c r="Y795" i="14"/>
  <c r="T795" i="14"/>
  <c r="Y794" i="14"/>
  <c r="T794" i="14"/>
  <c r="Y793" i="14"/>
  <c r="T793" i="14"/>
  <c r="Y792" i="14"/>
  <c r="T792" i="14"/>
  <c r="Y791" i="14"/>
  <c r="T791" i="14"/>
  <c r="Y790" i="14"/>
  <c r="T790" i="14"/>
  <c r="Y789" i="14"/>
  <c r="T789" i="14"/>
  <c r="Y788" i="14"/>
  <c r="T788" i="14"/>
  <c r="Y787" i="14"/>
  <c r="T787" i="14"/>
  <c r="Y786" i="14"/>
  <c r="T786" i="14"/>
  <c r="Y785" i="14"/>
  <c r="T785" i="14"/>
  <c r="Y784" i="14"/>
  <c r="T784" i="14"/>
  <c r="Y783" i="14"/>
  <c r="T783" i="14"/>
  <c r="Y782" i="14"/>
  <c r="T782" i="14"/>
  <c r="Y781" i="14"/>
  <c r="T781" i="14"/>
  <c r="Y780" i="14"/>
  <c r="T780" i="14"/>
  <c r="Y779" i="14"/>
  <c r="T779" i="14"/>
  <c r="Y778" i="14"/>
  <c r="T778" i="14"/>
  <c r="Y777" i="14"/>
  <c r="T777" i="14"/>
  <c r="Y776" i="14"/>
  <c r="T776" i="14"/>
  <c r="Y775" i="14"/>
  <c r="T775" i="14"/>
  <c r="Y774" i="14"/>
  <c r="T774" i="14"/>
  <c r="Y773" i="14"/>
  <c r="T773" i="14"/>
  <c r="Y772" i="14"/>
  <c r="T772" i="14"/>
  <c r="Y771" i="14"/>
  <c r="T771" i="14"/>
  <c r="Y770" i="14"/>
  <c r="T770" i="14"/>
  <c r="Y769" i="14"/>
  <c r="T769" i="14"/>
  <c r="Y768" i="14"/>
  <c r="T768" i="14"/>
  <c r="Y767" i="14"/>
  <c r="T767" i="14"/>
  <c r="Y766" i="14"/>
  <c r="T766" i="14"/>
  <c r="Y765" i="14"/>
  <c r="T765" i="14"/>
  <c r="Y764" i="14"/>
  <c r="T764" i="14"/>
  <c r="Y763" i="14"/>
  <c r="T763" i="14"/>
  <c r="Y762" i="14"/>
  <c r="T762" i="14"/>
  <c r="Y761" i="14"/>
  <c r="T761" i="14"/>
  <c r="Y760" i="14"/>
  <c r="T760" i="14"/>
  <c r="Y759" i="14"/>
  <c r="T759" i="14"/>
  <c r="Y758" i="14"/>
  <c r="T758" i="14"/>
  <c r="Y757" i="14"/>
  <c r="T757" i="14"/>
  <c r="Y756" i="14"/>
  <c r="T756" i="14"/>
  <c r="Y755" i="14"/>
  <c r="T755" i="14"/>
  <c r="Y754" i="14"/>
  <c r="T754" i="14"/>
  <c r="Y753" i="14"/>
  <c r="T753" i="14"/>
  <c r="Y752" i="14"/>
  <c r="T752" i="14"/>
  <c r="Y751" i="14"/>
  <c r="T751" i="14"/>
  <c r="Y750" i="14"/>
  <c r="T750" i="14"/>
  <c r="Y749" i="14"/>
  <c r="T749" i="14"/>
  <c r="Y748" i="14"/>
  <c r="T748" i="14"/>
  <c r="Y747" i="14"/>
  <c r="T747" i="14"/>
  <c r="Y746" i="14"/>
  <c r="T746" i="14"/>
  <c r="Y745" i="14"/>
  <c r="T745" i="14"/>
  <c r="Y744" i="14"/>
  <c r="T744" i="14"/>
  <c r="Y743" i="14"/>
  <c r="T743" i="14"/>
  <c r="Y742" i="14"/>
  <c r="T742" i="14"/>
  <c r="Y741" i="14"/>
  <c r="T741" i="14"/>
  <c r="Y740" i="14"/>
  <c r="T740" i="14"/>
  <c r="Y739" i="14"/>
  <c r="T739" i="14"/>
  <c r="Y738" i="14"/>
  <c r="T738" i="14"/>
  <c r="Y737" i="14"/>
  <c r="T737" i="14"/>
  <c r="Y736" i="14"/>
  <c r="T736" i="14"/>
  <c r="Y735" i="14"/>
  <c r="T735" i="14"/>
  <c r="Y734" i="14"/>
  <c r="T734" i="14"/>
  <c r="Y733" i="14"/>
  <c r="T733" i="14"/>
  <c r="Y732" i="14"/>
  <c r="T732" i="14"/>
  <c r="Y731" i="14"/>
  <c r="T731" i="14"/>
  <c r="Y730" i="14"/>
  <c r="T730" i="14"/>
  <c r="Y729" i="14"/>
  <c r="T729" i="14"/>
  <c r="Y728" i="14"/>
  <c r="T728" i="14"/>
  <c r="Y727" i="14"/>
  <c r="T727" i="14"/>
  <c r="Y726" i="14"/>
  <c r="T726" i="14"/>
  <c r="Y725" i="14"/>
  <c r="T725" i="14"/>
  <c r="Y724" i="14"/>
  <c r="T724" i="14"/>
  <c r="Y723" i="14"/>
  <c r="T723" i="14"/>
  <c r="Y722" i="14"/>
  <c r="T722" i="14"/>
  <c r="Y721" i="14"/>
  <c r="T721" i="14"/>
  <c r="Y720" i="14"/>
  <c r="T720" i="14"/>
  <c r="Y719" i="14"/>
  <c r="T719" i="14"/>
  <c r="Y718" i="14"/>
  <c r="T718" i="14"/>
  <c r="Y717" i="14"/>
  <c r="T717" i="14"/>
  <c r="Y716" i="14"/>
  <c r="T716" i="14"/>
  <c r="Y715" i="14"/>
  <c r="T715" i="14"/>
  <c r="Y714" i="14"/>
  <c r="T714" i="14"/>
  <c r="Y713" i="14"/>
  <c r="T713" i="14"/>
  <c r="Y712" i="14"/>
  <c r="T712" i="14"/>
  <c r="Y711" i="14"/>
  <c r="T711" i="14"/>
  <c r="Y710" i="14"/>
  <c r="T710" i="14"/>
  <c r="Y709" i="14"/>
  <c r="T709" i="14"/>
  <c r="Y708" i="14"/>
  <c r="T708" i="14"/>
  <c r="Y707" i="14"/>
  <c r="T707" i="14"/>
  <c r="Y706" i="14"/>
  <c r="T706" i="14"/>
  <c r="Y705" i="14"/>
  <c r="T705" i="14"/>
  <c r="Y704" i="14"/>
  <c r="T704" i="14"/>
  <c r="Y703" i="14"/>
  <c r="T703" i="14"/>
  <c r="Y702" i="14"/>
  <c r="T702" i="14"/>
  <c r="Y701" i="14"/>
  <c r="T701" i="14"/>
  <c r="Y700" i="14"/>
  <c r="T700" i="14"/>
  <c r="Y699" i="14"/>
  <c r="T699" i="14"/>
  <c r="Y698" i="14"/>
  <c r="T698" i="14"/>
  <c r="Y697" i="14"/>
  <c r="T697" i="14"/>
  <c r="Y696" i="14"/>
  <c r="T696" i="14"/>
  <c r="Y695" i="14"/>
  <c r="T695" i="14"/>
  <c r="Y694" i="14"/>
  <c r="T694" i="14"/>
  <c r="Y693" i="14"/>
  <c r="T693" i="14"/>
  <c r="Y692" i="14"/>
  <c r="T692" i="14"/>
  <c r="Y691" i="14"/>
  <c r="T691" i="14"/>
  <c r="Y690" i="14"/>
  <c r="T690" i="14"/>
  <c r="Y689" i="14"/>
  <c r="T689" i="14"/>
  <c r="Y688" i="14"/>
  <c r="T688" i="14"/>
  <c r="Y687" i="14"/>
  <c r="T687" i="14"/>
  <c r="Y686" i="14"/>
  <c r="T686" i="14"/>
  <c r="Y685" i="14"/>
  <c r="T685" i="14"/>
  <c r="Y684" i="14"/>
  <c r="T684" i="14"/>
  <c r="Y683" i="14"/>
  <c r="T683" i="14"/>
  <c r="Y682" i="14"/>
  <c r="T682" i="14"/>
  <c r="Y681" i="14"/>
  <c r="T681" i="14"/>
  <c r="Y680" i="14"/>
  <c r="T680" i="14"/>
  <c r="Y679" i="14"/>
  <c r="T679" i="14"/>
  <c r="Y678" i="14"/>
  <c r="T678" i="14"/>
  <c r="Y677" i="14"/>
  <c r="T677" i="14"/>
  <c r="Y676" i="14"/>
  <c r="T676" i="14"/>
  <c r="Y675" i="14"/>
  <c r="T675" i="14"/>
  <c r="Y674" i="14"/>
  <c r="T674" i="14"/>
  <c r="Y673" i="14"/>
  <c r="T673" i="14"/>
  <c r="Y672" i="14"/>
  <c r="T672" i="14"/>
  <c r="Y671" i="14"/>
  <c r="T671" i="14"/>
  <c r="Y670" i="14"/>
  <c r="T670" i="14"/>
  <c r="Y669" i="14"/>
  <c r="T669" i="14"/>
  <c r="Y668" i="14"/>
  <c r="T668" i="14"/>
  <c r="Y667" i="14"/>
  <c r="T667" i="14"/>
  <c r="Y666" i="14"/>
  <c r="T666" i="14"/>
  <c r="Y665" i="14"/>
  <c r="T665" i="14"/>
  <c r="Y664" i="14"/>
  <c r="T664" i="14"/>
  <c r="Y663" i="14"/>
  <c r="T663" i="14"/>
  <c r="Y662" i="14"/>
  <c r="T662" i="14"/>
  <c r="Y661" i="14"/>
  <c r="T661" i="14"/>
  <c r="Y660" i="14"/>
  <c r="T660" i="14"/>
  <c r="Y659" i="14"/>
  <c r="T659" i="14"/>
  <c r="Y658" i="14"/>
  <c r="T658" i="14"/>
  <c r="Y657" i="14"/>
  <c r="T657" i="14"/>
  <c r="Y656" i="14"/>
  <c r="T656" i="14"/>
  <c r="Y655" i="14"/>
  <c r="T655" i="14"/>
  <c r="Y654" i="14"/>
  <c r="T654" i="14"/>
  <c r="Y653" i="14"/>
  <c r="T653" i="14"/>
  <c r="Y652" i="14"/>
  <c r="T652" i="14"/>
  <c r="Y651" i="14"/>
  <c r="T651" i="14"/>
  <c r="Y650" i="14"/>
  <c r="T650" i="14"/>
  <c r="Y649" i="14"/>
  <c r="T649" i="14"/>
  <c r="Y648" i="14"/>
  <c r="T648" i="14"/>
  <c r="Y647" i="14"/>
  <c r="T647" i="14"/>
  <c r="Y646" i="14"/>
  <c r="T646" i="14"/>
  <c r="Y645" i="14"/>
  <c r="T645" i="14"/>
  <c r="Y644" i="14"/>
  <c r="T644" i="14"/>
  <c r="Y643" i="14"/>
  <c r="T643" i="14"/>
  <c r="Y642" i="14"/>
  <c r="T642" i="14"/>
  <c r="Y641" i="14"/>
  <c r="T641" i="14"/>
  <c r="Y640" i="14"/>
  <c r="T640" i="14"/>
  <c r="Y639" i="14"/>
  <c r="T639" i="14"/>
  <c r="Y638" i="14"/>
  <c r="T638" i="14"/>
  <c r="Y637" i="14"/>
  <c r="T637" i="14"/>
  <c r="Y636" i="14"/>
  <c r="T636" i="14"/>
  <c r="Y635" i="14"/>
  <c r="T635" i="14"/>
  <c r="Y634" i="14"/>
  <c r="T634" i="14"/>
  <c r="Y633" i="14"/>
  <c r="T633" i="14"/>
  <c r="Y632" i="14"/>
  <c r="T632" i="14"/>
  <c r="Y631" i="14"/>
  <c r="T631" i="14"/>
  <c r="Y630" i="14"/>
  <c r="T630" i="14"/>
  <c r="Y629" i="14"/>
  <c r="T629" i="14"/>
  <c r="Y628" i="14"/>
  <c r="T628" i="14"/>
  <c r="Y627" i="14"/>
  <c r="T627" i="14"/>
  <c r="Y626" i="14"/>
  <c r="T626" i="14"/>
  <c r="Y625" i="14"/>
  <c r="T625" i="14"/>
  <c r="Y624" i="14"/>
  <c r="T624" i="14"/>
  <c r="Y623" i="14"/>
  <c r="T623" i="14"/>
  <c r="Y622" i="14"/>
  <c r="T622" i="14"/>
  <c r="Y621" i="14"/>
  <c r="T621" i="14"/>
  <c r="Y620" i="14"/>
  <c r="T620" i="14"/>
  <c r="Y619" i="14"/>
  <c r="T619" i="14"/>
  <c r="Y618" i="14"/>
  <c r="T618" i="14"/>
  <c r="Y617" i="14"/>
  <c r="T617" i="14"/>
  <c r="Y616" i="14"/>
  <c r="T616" i="14"/>
  <c r="Y615" i="14"/>
  <c r="T615" i="14"/>
  <c r="Y614" i="14"/>
  <c r="T614" i="14"/>
  <c r="Y613" i="14"/>
  <c r="T613" i="14"/>
  <c r="Y612" i="14"/>
  <c r="T612" i="14"/>
  <c r="Y611" i="14"/>
  <c r="T611" i="14"/>
  <c r="Y610" i="14"/>
  <c r="T610" i="14"/>
  <c r="Y609" i="14"/>
  <c r="T609" i="14"/>
  <c r="Y608" i="14"/>
  <c r="T608" i="14"/>
  <c r="Y607" i="14"/>
  <c r="T607" i="14"/>
  <c r="Y606" i="14"/>
  <c r="T606" i="14"/>
  <c r="Y605" i="14"/>
  <c r="T605" i="14"/>
  <c r="Y604" i="14"/>
  <c r="T604" i="14"/>
  <c r="Y603" i="14"/>
  <c r="T603" i="14"/>
  <c r="Y602" i="14"/>
  <c r="T602" i="14"/>
  <c r="Y601" i="14"/>
  <c r="T601" i="14"/>
  <c r="Y600" i="14"/>
  <c r="T600" i="14"/>
  <c r="Y599" i="14"/>
  <c r="T599" i="14"/>
  <c r="Y598" i="14"/>
  <c r="T598" i="14"/>
  <c r="Y597" i="14"/>
  <c r="T597" i="14"/>
  <c r="Y596" i="14"/>
  <c r="T596" i="14"/>
  <c r="Y595" i="14"/>
  <c r="T595" i="14"/>
  <c r="Y594" i="14"/>
  <c r="T594" i="14"/>
  <c r="Y593" i="14"/>
  <c r="T593" i="14"/>
  <c r="Y592" i="14"/>
  <c r="T592" i="14"/>
  <c r="Y591" i="14"/>
  <c r="T591" i="14"/>
  <c r="Y590" i="14"/>
  <c r="T590" i="14"/>
  <c r="Y589" i="14"/>
  <c r="T589" i="14"/>
  <c r="Y588" i="14"/>
  <c r="T588" i="14"/>
  <c r="Y587" i="14"/>
  <c r="T587" i="14"/>
  <c r="Y586" i="14"/>
  <c r="T586" i="14"/>
  <c r="Y585" i="14"/>
  <c r="T585" i="14"/>
  <c r="Y584" i="14"/>
  <c r="T584" i="14"/>
  <c r="Y583" i="14"/>
  <c r="T583" i="14"/>
  <c r="Y582" i="14"/>
  <c r="T582" i="14"/>
  <c r="Y581" i="14"/>
  <c r="T581" i="14"/>
  <c r="Y580" i="14"/>
  <c r="T580" i="14"/>
  <c r="Y579" i="14"/>
  <c r="T579" i="14"/>
  <c r="Y578" i="14"/>
  <c r="T578" i="14"/>
  <c r="Y577" i="14"/>
  <c r="T577" i="14"/>
  <c r="Y576" i="14"/>
  <c r="T576" i="14"/>
  <c r="Y575" i="14"/>
  <c r="T575" i="14"/>
  <c r="Y574" i="14"/>
  <c r="T574" i="14"/>
  <c r="Y573" i="14"/>
  <c r="T573" i="14"/>
  <c r="Y572" i="14"/>
  <c r="T572" i="14"/>
  <c r="Y571" i="14"/>
  <c r="T571" i="14"/>
  <c r="Y570" i="14"/>
  <c r="T570" i="14"/>
  <c r="Y569" i="14"/>
  <c r="T569" i="14"/>
  <c r="Y568" i="14"/>
  <c r="T568" i="14"/>
  <c r="Y567" i="14"/>
  <c r="T567" i="14"/>
  <c r="Y566" i="14"/>
  <c r="T566" i="14"/>
  <c r="Y565" i="14"/>
  <c r="T565" i="14"/>
  <c r="Y564" i="14"/>
  <c r="T564" i="14"/>
  <c r="Y563" i="14"/>
  <c r="T563" i="14"/>
  <c r="Y562" i="14"/>
  <c r="T562" i="14"/>
  <c r="Y561" i="14"/>
  <c r="T561" i="14"/>
  <c r="Y560" i="14"/>
  <c r="T560" i="14"/>
  <c r="Y559" i="14"/>
  <c r="T559" i="14"/>
  <c r="Y558" i="14"/>
  <c r="T558" i="14"/>
  <c r="Y557" i="14"/>
  <c r="T557" i="14"/>
  <c r="Y556" i="14"/>
  <c r="T556" i="14"/>
  <c r="Y555" i="14"/>
  <c r="T555" i="14"/>
  <c r="Y554" i="14"/>
  <c r="T554" i="14"/>
  <c r="Y553" i="14"/>
  <c r="T553" i="14"/>
  <c r="Y552" i="14"/>
  <c r="T552" i="14"/>
  <c r="Y551" i="14"/>
  <c r="T551" i="14"/>
  <c r="Y550" i="14"/>
  <c r="T550" i="14"/>
  <c r="Y549" i="14"/>
  <c r="T549" i="14"/>
  <c r="Y548" i="14"/>
  <c r="T548" i="14"/>
  <c r="Y547" i="14"/>
  <c r="T547" i="14"/>
  <c r="Y546" i="14"/>
  <c r="T546" i="14"/>
  <c r="Y545" i="14"/>
  <c r="T545" i="14"/>
  <c r="Y544" i="14"/>
  <c r="T544" i="14"/>
  <c r="Y543" i="14"/>
  <c r="T543" i="14"/>
  <c r="Y542" i="14"/>
  <c r="T542" i="14"/>
  <c r="Y541" i="14"/>
  <c r="T541" i="14"/>
  <c r="Y540" i="14"/>
  <c r="T540" i="14"/>
  <c r="Y539" i="14"/>
  <c r="T539" i="14"/>
  <c r="Y538" i="14"/>
  <c r="T538" i="14"/>
  <c r="Y537" i="14"/>
  <c r="T537" i="14"/>
  <c r="Y536" i="14"/>
  <c r="T536" i="14"/>
  <c r="Y535" i="14"/>
  <c r="T535" i="14"/>
  <c r="Y534" i="14"/>
  <c r="T534" i="14"/>
  <c r="Y533" i="14"/>
  <c r="T533" i="14"/>
  <c r="Y532" i="14"/>
  <c r="T532" i="14"/>
  <c r="Y531" i="14"/>
  <c r="T531" i="14"/>
  <c r="Y530" i="14"/>
  <c r="T530" i="14"/>
  <c r="Y529" i="14"/>
  <c r="T529" i="14"/>
  <c r="Y528" i="14"/>
  <c r="T528" i="14"/>
  <c r="Y527" i="14"/>
  <c r="T527" i="14"/>
  <c r="Y526" i="14"/>
  <c r="T526" i="14"/>
  <c r="Y525" i="14"/>
  <c r="T525" i="14"/>
  <c r="Y524" i="14"/>
  <c r="T524" i="14"/>
  <c r="Y523" i="14"/>
  <c r="T523" i="14"/>
  <c r="Y522" i="14"/>
  <c r="T522" i="14"/>
  <c r="Y521" i="14"/>
  <c r="T521" i="14"/>
  <c r="Y520" i="14"/>
  <c r="T520" i="14"/>
  <c r="Y519" i="14"/>
  <c r="T519" i="14"/>
  <c r="Y518" i="14"/>
  <c r="T518" i="14"/>
  <c r="Y517" i="14"/>
  <c r="T517" i="14"/>
  <c r="Y516" i="14"/>
  <c r="T516" i="14"/>
  <c r="Y515" i="14"/>
  <c r="T515" i="14"/>
  <c r="Y514" i="14"/>
  <c r="T514" i="14"/>
  <c r="Y513" i="14"/>
  <c r="T513" i="14"/>
  <c r="Y512" i="14"/>
  <c r="T512" i="14"/>
  <c r="Y511" i="14"/>
  <c r="T511" i="14"/>
  <c r="Y510" i="14"/>
  <c r="T510" i="14"/>
  <c r="Y509" i="14"/>
  <c r="T509" i="14"/>
  <c r="Y508" i="14"/>
  <c r="T508" i="14"/>
  <c r="Y507" i="14"/>
  <c r="T507" i="14"/>
  <c r="Y506" i="14"/>
  <c r="T506" i="14"/>
  <c r="Y505" i="14"/>
  <c r="T505" i="14"/>
  <c r="Y504" i="14"/>
  <c r="T504" i="14"/>
  <c r="Y503" i="14"/>
  <c r="T503" i="14"/>
  <c r="Y502" i="14"/>
  <c r="T502" i="14"/>
  <c r="Y501" i="14"/>
  <c r="T501" i="14"/>
  <c r="Y500" i="14"/>
  <c r="T500" i="14"/>
  <c r="Y499" i="14"/>
  <c r="T499" i="14"/>
  <c r="Y498" i="14"/>
  <c r="T498" i="14"/>
  <c r="Y497" i="14"/>
  <c r="T497" i="14"/>
  <c r="Y496" i="14"/>
  <c r="T496" i="14"/>
  <c r="Y495" i="14"/>
  <c r="T495" i="14"/>
  <c r="Y494" i="14"/>
  <c r="T494" i="14"/>
  <c r="Y493" i="14"/>
  <c r="T493" i="14"/>
  <c r="Y492" i="14"/>
  <c r="T492" i="14"/>
  <c r="Y491" i="14"/>
  <c r="T491" i="14"/>
  <c r="Y490" i="14"/>
  <c r="T490" i="14"/>
  <c r="Y489" i="14"/>
  <c r="T489" i="14"/>
  <c r="Y488" i="14"/>
  <c r="T488" i="14"/>
  <c r="Y487" i="14"/>
  <c r="T487" i="14"/>
  <c r="Y486" i="14"/>
  <c r="T486" i="14"/>
  <c r="Y485" i="14"/>
  <c r="T485" i="14"/>
  <c r="Y484" i="14"/>
  <c r="T484" i="14"/>
  <c r="Y483" i="14"/>
  <c r="T483" i="14"/>
  <c r="Y482" i="14"/>
  <c r="T482" i="14"/>
  <c r="Y481" i="14"/>
  <c r="T481" i="14"/>
  <c r="Y480" i="14"/>
  <c r="T480" i="14"/>
  <c r="Y479" i="14"/>
  <c r="T479" i="14"/>
  <c r="Y478" i="14"/>
  <c r="T478" i="14"/>
  <c r="Y477" i="14"/>
  <c r="T477" i="14"/>
  <c r="Y476" i="14"/>
  <c r="T476" i="14"/>
  <c r="Y475" i="14"/>
  <c r="T475" i="14"/>
  <c r="Y474" i="14"/>
  <c r="T474" i="14"/>
  <c r="Y473" i="14"/>
  <c r="T473" i="14"/>
  <c r="Y472" i="14"/>
  <c r="T472" i="14"/>
  <c r="Y471" i="14"/>
  <c r="T471" i="14"/>
  <c r="Y470" i="14"/>
  <c r="T470" i="14"/>
  <c r="Y469" i="14"/>
  <c r="T469" i="14"/>
  <c r="Y468" i="14"/>
  <c r="T468" i="14"/>
  <c r="Y467" i="14"/>
  <c r="T467" i="14"/>
  <c r="Y466" i="14"/>
  <c r="T466" i="14"/>
  <c r="Y465" i="14"/>
  <c r="T465" i="14"/>
  <c r="Y464" i="14"/>
  <c r="T464" i="14"/>
  <c r="Y463" i="14"/>
  <c r="T463" i="14"/>
  <c r="Y462" i="14"/>
  <c r="T462" i="14"/>
  <c r="Y461" i="14"/>
  <c r="T461" i="14"/>
  <c r="Y460" i="14"/>
  <c r="T460" i="14"/>
  <c r="Y459" i="14"/>
  <c r="T459" i="14"/>
  <c r="Y458" i="14"/>
  <c r="T458" i="14"/>
  <c r="Y457" i="14"/>
  <c r="T457" i="14"/>
  <c r="Y456" i="14"/>
  <c r="T456" i="14"/>
  <c r="Y455" i="14"/>
  <c r="T455" i="14"/>
  <c r="Y454" i="14"/>
  <c r="T454" i="14"/>
  <c r="Y453" i="14"/>
  <c r="T453" i="14"/>
  <c r="Y452" i="14"/>
  <c r="T452" i="14"/>
  <c r="Y451" i="14"/>
  <c r="T451" i="14"/>
  <c r="Y450" i="14"/>
  <c r="T450" i="14"/>
  <c r="Y449" i="14"/>
  <c r="T449" i="14"/>
  <c r="Y448" i="14"/>
  <c r="T448" i="14"/>
  <c r="Y447" i="14"/>
  <c r="T447" i="14"/>
  <c r="Y446" i="14"/>
  <c r="T446" i="14"/>
  <c r="Y445" i="14"/>
  <c r="T445" i="14"/>
  <c r="Y444" i="14"/>
  <c r="T444" i="14"/>
  <c r="Y443" i="14"/>
  <c r="T443" i="14"/>
  <c r="Y442" i="14"/>
  <c r="T442" i="14"/>
  <c r="Y441" i="14"/>
  <c r="T441" i="14"/>
  <c r="Y440" i="14"/>
  <c r="T440" i="14"/>
  <c r="Y439" i="14"/>
  <c r="T439" i="14"/>
  <c r="Y438" i="14"/>
  <c r="T438" i="14"/>
  <c r="Y437" i="14"/>
  <c r="T437" i="14"/>
  <c r="Y436" i="14"/>
  <c r="T436" i="14"/>
  <c r="Y435" i="14"/>
  <c r="T435" i="14"/>
  <c r="Y434" i="14"/>
  <c r="T434" i="14"/>
  <c r="Y433" i="14"/>
  <c r="T433" i="14"/>
  <c r="Y432" i="14"/>
  <c r="T432" i="14"/>
  <c r="Y431" i="14"/>
  <c r="T431" i="14"/>
  <c r="Y430" i="14"/>
  <c r="T430" i="14"/>
  <c r="Y429" i="14"/>
  <c r="T429" i="14"/>
  <c r="Y428" i="14"/>
  <c r="T428" i="14"/>
  <c r="Y427" i="14"/>
  <c r="T427" i="14"/>
  <c r="Y426" i="14"/>
  <c r="T426" i="14"/>
  <c r="Y425" i="14"/>
  <c r="T425" i="14"/>
  <c r="Y424" i="14"/>
  <c r="T424" i="14"/>
  <c r="Y423" i="14"/>
  <c r="T423" i="14"/>
  <c r="Y422" i="14"/>
  <c r="T422" i="14"/>
  <c r="Y421" i="14"/>
  <c r="T421" i="14"/>
  <c r="Y420" i="14"/>
  <c r="T420" i="14"/>
  <c r="Y419" i="14"/>
  <c r="T419" i="14"/>
  <c r="Y418" i="14"/>
  <c r="T418" i="14"/>
  <c r="Y417" i="14"/>
  <c r="T417" i="14"/>
  <c r="Y416" i="14"/>
  <c r="T416" i="14"/>
  <c r="Y415" i="14"/>
  <c r="T415" i="14"/>
  <c r="Y414" i="14"/>
  <c r="T414" i="14"/>
  <c r="Y413" i="14"/>
  <c r="T413" i="14"/>
  <c r="Y412" i="14"/>
  <c r="T412" i="14"/>
  <c r="Y411" i="14"/>
  <c r="T411" i="14"/>
  <c r="Y410" i="14"/>
  <c r="T410" i="14"/>
  <c r="Y409" i="14"/>
  <c r="T409" i="14"/>
  <c r="Y408" i="14"/>
  <c r="T408" i="14"/>
  <c r="Y407" i="14"/>
  <c r="T407" i="14"/>
  <c r="Y406" i="14"/>
  <c r="T406" i="14"/>
  <c r="Y405" i="14"/>
  <c r="T405" i="14"/>
  <c r="Y404" i="14"/>
  <c r="T404" i="14"/>
  <c r="Y403" i="14"/>
  <c r="T403" i="14"/>
  <c r="Y402" i="14"/>
  <c r="T402" i="14"/>
  <c r="Y401" i="14"/>
  <c r="T401" i="14"/>
  <c r="Y400" i="14"/>
  <c r="T400" i="14"/>
  <c r="Y399" i="14"/>
  <c r="T399" i="14"/>
  <c r="Y398" i="14"/>
  <c r="T398" i="14"/>
  <c r="Y397" i="14"/>
  <c r="T397" i="14"/>
  <c r="Y396" i="14"/>
  <c r="T396" i="14"/>
  <c r="Y395" i="14"/>
  <c r="T395" i="14"/>
  <c r="Y394" i="14"/>
  <c r="T394" i="14"/>
  <c r="Y393" i="14"/>
  <c r="T393" i="14"/>
  <c r="Y392" i="14"/>
  <c r="T392" i="14"/>
  <c r="Y391" i="14"/>
  <c r="T391" i="14"/>
  <c r="Y390" i="14"/>
  <c r="T390" i="14"/>
  <c r="Y389" i="14"/>
  <c r="T389" i="14"/>
  <c r="Y388" i="14"/>
  <c r="T388" i="14"/>
  <c r="Y387" i="14"/>
  <c r="T387" i="14"/>
  <c r="Y386" i="14"/>
  <c r="T386" i="14"/>
  <c r="Y385" i="14"/>
  <c r="T385" i="14"/>
  <c r="Y384" i="14"/>
  <c r="T384" i="14"/>
  <c r="Y383" i="14"/>
  <c r="T383" i="14"/>
  <c r="Y382" i="14"/>
  <c r="T382" i="14"/>
  <c r="Y381" i="14"/>
  <c r="T381" i="14"/>
  <c r="Y380" i="14"/>
  <c r="T380" i="14"/>
  <c r="Y379" i="14"/>
  <c r="T379" i="14"/>
  <c r="Y378" i="14"/>
  <c r="T378" i="14"/>
  <c r="Y377" i="14"/>
  <c r="T377" i="14"/>
  <c r="Y376" i="14"/>
  <c r="T376" i="14"/>
  <c r="Y375" i="14"/>
  <c r="T375" i="14"/>
  <c r="Y374" i="14"/>
  <c r="T374" i="14"/>
  <c r="Y373" i="14"/>
  <c r="T373" i="14"/>
  <c r="Y372" i="14"/>
  <c r="T372" i="14"/>
  <c r="Y371" i="14"/>
  <c r="T371" i="14"/>
  <c r="Y370" i="14"/>
  <c r="T370" i="14"/>
  <c r="Y369" i="14"/>
  <c r="T369" i="14"/>
  <c r="Y368" i="14"/>
  <c r="T368" i="14"/>
  <c r="Y367" i="14"/>
  <c r="T367" i="14"/>
  <c r="Y366" i="14"/>
  <c r="T366" i="14"/>
  <c r="Y365" i="14"/>
  <c r="T365" i="14"/>
  <c r="Y364" i="14"/>
  <c r="T364" i="14"/>
  <c r="Y363" i="14"/>
  <c r="T363" i="14"/>
  <c r="Y362" i="14"/>
  <c r="T362" i="14"/>
  <c r="Y361" i="14"/>
  <c r="T361" i="14"/>
  <c r="Y360" i="14"/>
  <c r="T360" i="14"/>
  <c r="Y359" i="14"/>
  <c r="T359" i="14"/>
  <c r="Y358" i="14"/>
  <c r="T358" i="14"/>
  <c r="Y357" i="14"/>
  <c r="T357" i="14"/>
  <c r="Y356" i="14"/>
  <c r="T356" i="14"/>
  <c r="Y355" i="14"/>
  <c r="T355" i="14"/>
  <c r="Y354" i="14"/>
  <c r="T354" i="14"/>
  <c r="Y353" i="14"/>
  <c r="T353" i="14"/>
  <c r="Y352" i="14"/>
  <c r="T352" i="14"/>
  <c r="Y351" i="14"/>
  <c r="T351" i="14"/>
  <c r="Y350" i="14"/>
  <c r="T350" i="14"/>
  <c r="Y349" i="14"/>
  <c r="T349" i="14"/>
  <c r="Y348" i="14"/>
  <c r="T348" i="14"/>
  <c r="Y347" i="14"/>
  <c r="T347" i="14"/>
  <c r="Y346" i="14"/>
  <c r="T346" i="14"/>
  <c r="Y345" i="14"/>
  <c r="T345" i="14"/>
  <c r="Y344" i="14"/>
  <c r="T344" i="14"/>
  <c r="Y343" i="14"/>
  <c r="T343" i="14"/>
  <c r="Y342" i="14"/>
  <c r="T342" i="14"/>
  <c r="Y341" i="14"/>
  <c r="T341" i="14"/>
  <c r="Y340" i="14"/>
  <c r="T340" i="14"/>
  <c r="Y339" i="14"/>
  <c r="T339" i="14"/>
  <c r="Y338" i="14"/>
  <c r="T338" i="14"/>
  <c r="Y337" i="14"/>
  <c r="T337" i="14"/>
  <c r="Y336" i="14"/>
  <c r="T336" i="14"/>
  <c r="Y335" i="14"/>
  <c r="T335" i="14"/>
  <c r="Y334" i="14"/>
  <c r="T334" i="14"/>
  <c r="Y333" i="14"/>
  <c r="T333" i="14"/>
  <c r="Y332" i="14"/>
  <c r="T332" i="14"/>
  <c r="Y331" i="14"/>
  <c r="T331" i="14"/>
  <c r="Y330" i="14"/>
  <c r="T330" i="14"/>
  <c r="Y329" i="14"/>
  <c r="T329" i="14"/>
  <c r="Y328" i="14"/>
  <c r="T328" i="14"/>
  <c r="Y327" i="14"/>
  <c r="T327" i="14"/>
  <c r="Y326" i="14"/>
  <c r="T326" i="14"/>
  <c r="Y325" i="14"/>
  <c r="T325" i="14"/>
  <c r="Y324" i="14"/>
  <c r="T324" i="14"/>
  <c r="Y323" i="14"/>
  <c r="T323" i="14"/>
  <c r="Y322" i="14"/>
  <c r="T322" i="14"/>
  <c r="Y321" i="14"/>
  <c r="T321" i="14"/>
  <c r="Y320" i="14"/>
  <c r="T320" i="14"/>
  <c r="Y319" i="14"/>
  <c r="T319" i="14"/>
  <c r="Y318" i="14"/>
  <c r="T318" i="14"/>
  <c r="Y317" i="14"/>
  <c r="T317" i="14"/>
  <c r="Y316" i="14"/>
  <c r="T316" i="14"/>
  <c r="Y315" i="14"/>
  <c r="T315" i="14"/>
  <c r="Y314" i="14"/>
  <c r="T314" i="14"/>
  <c r="Y313" i="14"/>
  <c r="T313" i="14"/>
  <c r="Y312" i="14"/>
  <c r="T312" i="14"/>
  <c r="Y311" i="14"/>
  <c r="T311" i="14"/>
  <c r="Y310" i="14"/>
  <c r="T310" i="14"/>
  <c r="Y309" i="14"/>
  <c r="T309" i="14"/>
  <c r="Y308" i="14"/>
  <c r="T308" i="14"/>
  <c r="Y307" i="14"/>
  <c r="T307" i="14"/>
  <c r="Y306" i="14"/>
  <c r="T306" i="14"/>
  <c r="Y305" i="14"/>
  <c r="T305" i="14"/>
  <c r="Y304" i="14"/>
  <c r="T304" i="14"/>
  <c r="Y303" i="14"/>
  <c r="T303" i="14"/>
  <c r="Y302" i="14"/>
  <c r="T302" i="14"/>
  <c r="Y301" i="14"/>
  <c r="T301" i="14"/>
  <c r="Y300" i="14"/>
  <c r="T300" i="14"/>
  <c r="Y299" i="14"/>
  <c r="T299" i="14"/>
  <c r="Y298" i="14"/>
  <c r="T298" i="14"/>
  <c r="Y297" i="14"/>
  <c r="T297" i="14"/>
  <c r="Y296" i="14"/>
  <c r="T296" i="14"/>
  <c r="Y295" i="14"/>
  <c r="T295" i="14"/>
  <c r="Y294" i="14"/>
  <c r="T294" i="14"/>
  <c r="Y293" i="14"/>
  <c r="T293" i="14"/>
  <c r="Y292" i="14"/>
  <c r="T292" i="14"/>
  <c r="Y291" i="14"/>
  <c r="T291" i="14"/>
  <c r="Y290" i="14"/>
  <c r="T290" i="14"/>
  <c r="Y289" i="14"/>
  <c r="T289" i="14"/>
  <c r="Y288" i="14"/>
  <c r="T288" i="14"/>
  <c r="Y287" i="14"/>
  <c r="T287" i="14"/>
  <c r="Y286" i="14"/>
  <c r="T286" i="14"/>
  <c r="Y285" i="14"/>
  <c r="T285" i="14"/>
  <c r="Y284" i="14"/>
  <c r="T284" i="14"/>
  <c r="Y283" i="14"/>
  <c r="T283" i="14"/>
  <c r="Y282" i="14"/>
  <c r="T282" i="14"/>
  <c r="Y281" i="14"/>
  <c r="T281" i="14"/>
  <c r="Y280" i="14"/>
  <c r="T280" i="14"/>
  <c r="Y279" i="14"/>
  <c r="T279" i="14"/>
  <c r="Y278" i="14"/>
  <c r="T278" i="14"/>
  <c r="Y277" i="14"/>
  <c r="T277" i="14"/>
  <c r="Y276" i="14"/>
  <c r="T276" i="14"/>
  <c r="Y275" i="14"/>
  <c r="T275" i="14"/>
  <c r="Y274" i="14"/>
  <c r="T274" i="14"/>
  <c r="Y273" i="14"/>
  <c r="T273" i="14"/>
  <c r="Y272" i="14"/>
  <c r="T272" i="14"/>
  <c r="Y271" i="14"/>
  <c r="T271" i="14"/>
  <c r="Y270" i="14"/>
  <c r="T270" i="14"/>
  <c r="Y269" i="14"/>
  <c r="T269" i="14"/>
  <c r="Y268" i="14"/>
  <c r="T268" i="14"/>
  <c r="Y267" i="14"/>
  <c r="T267" i="14"/>
  <c r="Y266" i="14"/>
  <c r="T266" i="14"/>
  <c r="Y265" i="14"/>
  <c r="T265" i="14"/>
  <c r="Y264" i="14"/>
  <c r="T264" i="14"/>
  <c r="Y263" i="14"/>
  <c r="T263" i="14"/>
  <c r="Y262" i="14"/>
  <c r="T262" i="14"/>
  <c r="Y261" i="14"/>
  <c r="T261" i="14"/>
  <c r="Y260" i="14"/>
  <c r="T260" i="14"/>
  <c r="Y259" i="14"/>
  <c r="T259" i="14"/>
  <c r="Y258" i="14"/>
  <c r="T258" i="14"/>
  <c r="Y257" i="14"/>
  <c r="T257" i="14"/>
  <c r="Y256" i="14"/>
  <c r="T256" i="14"/>
  <c r="Y255" i="14"/>
  <c r="T255" i="14"/>
  <c r="Y254" i="14"/>
  <c r="T254" i="14"/>
  <c r="Y253" i="14"/>
  <c r="T253" i="14"/>
  <c r="Y252" i="14"/>
  <c r="T252" i="14"/>
  <c r="Y251" i="14"/>
  <c r="T251" i="14"/>
  <c r="Y250" i="14"/>
  <c r="T250" i="14"/>
  <c r="Y249" i="14"/>
  <c r="T249" i="14"/>
  <c r="Y248" i="14"/>
  <c r="T248" i="14"/>
  <c r="Y247" i="14"/>
  <c r="T247" i="14"/>
  <c r="Y246" i="14"/>
  <c r="T246" i="14"/>
  <c r="Y245" i="14"/>
  <c r="T245" i="14"/>
  <c r="Y244" i="14"/>
  <c r="T244" i="14"/>
  <c r="Y243" i="14"/>
  <c r="T243" i="14"/>
  <c r="Y242" i="14"/>
  <c r="T242" i="14"/>
  <c r="Y241" i="14"/>
  <c r="T241" i="14"/>
  <c r="Y240" i="14"/>
  <c r="T240" i="14"/>
  <c r="Y239" i="14"/>
  <c r="T239" i="14"/>
  <c r="Y238" i="14"/>
  <c r="T238" i="14"/>
  <c r="Y237" i="14"/>
  <c r="T237" i="14"/>
  <c r="Y236" i="14"/>
  <c r="T236" i="14"/>
  <c r="Y235" i="14"/>
  <c r="T235" i="14"/>
  <c r="Y234" i="14"/>
  <c r="T234" i="14"/>
  <c r="Y233" i="14"/>
  <c r="T233" i="14"/>
  <c r="Y232" i="14"/>
  <c r="T232" i="14"/>
  <c r="Y231" i="14"/>
  <c r="T231" i="14"/>
  <c r="Y230" i="14"/>
  <c r="T230" i="14"/>
  <c r="Y229" i="14"/>
  <c r="T229" i="14"/>
  <c r="Y228" i="14"/>
  <c r="T228" i="14"/>
  <c r="Y227" i="14"/>
  <c r="T227" i="14"/>
  <c r="Y226" i="14"/>
  <c r="T226" i="14"/>
  <c r="Y225" i="14"/>
  <c r="T225" i="14"/>
  <c r="Y224" i="14"/>
  <c r="T224" i="14"/>
  <c r="Y223" i="14"/>
  <c r="T223" i="14"/>
  <c r="Y222" i="14"/>
  <c r="T222" i="14"/>
  <c r="Y221" i="14"/>
  <c r="T221" i="14"/>
  <c r="Y220" i="14"/>
  <c r="T220" i="14"/>
  <c r="Y219" i="14"/>
  <c r="T219" i="14"/>
  <c r="Y218" i="14"/>
  <c r="T218" i="14"/>
  <c r="Y217" i="14"/>
  <c r="T217" i="14"/>
  <c r="Y216" i="14"/>
  <c r="T216" i="14"/>
  <c r="Y215" i="14"/>
  <c r="T215" i="14"/>
  <c r="Y214" i="14"/>
  <c r="T214" i="14"/>
  <c r="Y213" i="14"/>
  <c r="T213" i="14"/>
  <c r="Y212" i="14"/>
  <c r="T212" i="14"/>
  <c r="Y211" i="14"/>
  <c r="T211" i="14"/>
  <c r="Y210" i="14"/>
  <c r="T210" i="14"/>
  <c r="Y209" i="14"/>
  <c r="T209" i="14"/>
  <c r="Y208" i="14"/>
  <c r="T208" i="14"/>
  <c r="Y207" i="14"/>
  <c r="T207" i="14"/>
  <c r="Y206" i="14"/>
  <c r="T206" i="14"/>
  <c r="Y205" i="14"/>
  <c r="T205" i="14"/>
  <c r="Y204" i="14"/>
  <c r="T204" i="14"/>
  <c r="Y203" i="14"/>
  <c r="T203" i="14"/>
  <c r="Y202" i="14"/>
  <c r="T202" i="14"/>
  <c r="Y201" i="14"/>
  <c r="T201" i="14"/>
  <c r="Y200" i="14"/>
  <c r="T200" i="14"/>
  <c r="Y199" i="14"/>
  <c r="T199" i="14"/>
  <c r="Y198" i="14"/>
  <c r="T198" i="14"/>
  <c r="Y197" i="14"/>
  <c r="T197" i="14"/>
  <c r="Y196" i="14"/>
  <c r="T196" i="14"/>
  <c r="Y195" i="14"/>
  <c r="T195" i="14"/>
  <c r="Y194" i="14"/>
  <c r="T194" i="14"/>
  <c r="Y193" i="14"/>
  <c r="T193" i="14"/>
  <c r="Y192" i="14"/>
  <c r="T192" i="14"/>
  <c r="Y191" i="14"/>
  <c r="T191" i="14"/>
  <c r="Y190" i="14"/>
  <c r="T190" i="14"/>
  <c r="Y189" i="14"/>
  <c r="T189" i="14"/>
  <c r="Y188" i="14"/>
  <c r="T188" i="14"/>
  <c r="Y187" i="14"/>
  <c r="T187" i="14"/>
  <c r="Y186" i="14"/>
  <c r="T186" i="14"/>
  <c r="Y185" i="14"/>
  <c r="T185" i="14"/>
  <c r="Y184" i="14"/>
  <c r="T184" i="14"/>
  <c r="Y183" i="14"/>
  <c r="T183" i="14"/>
  <c r="Y182" i="14"/>
  <c r="T182" i="14"/>
  <c r="Y181" i="14"/>
  <c r="T181" i="14"/>
  <c r="Y180" i="14"/>
  <c r="T180" i="14"/>
  <c r="Y179" i="14"/>
  <c r="T179" i="14"/>
  <c r="Y178" i="14"/>
  <c r="T178" i="14"/>
  <c r="Y177" i="14"/>
  <c r="T177" i="14"/>
  <c r="Y176" i="14"/>
  <c r="T176" i="14"/>
  <c r="Y175" i="14"/>
  <c r="T175" i="14"/>
  <c r="Y174" i="14"/>
  <c r="T174" i="14"/>
  <c r="Y173" i="14"/>
  <c r="T173" i="14"/>
  <c r="Y172" i="14"/>
  <c r="T172" i="14"/>
  <c r="Y171" i="14"/>
  <c r="T171" i="14"/>
  <c r="Y170" i="14"/>
  <c r="T170" i="14"/>
  <c r="Y169" i="14"/>
  <c r="T169" i="14"/>
  <c r="Y168" i="14"/>
  <c r="T168" i="14"/>
  <c r="Y167" i="14"/>
  <c r="T167" i="14"/>
  <c r="Y166" i="14"/>
  <c r="T166" i="14"/>
  <c r="Y165" i="14"/>
  <c r="T165" i="14"/>
  <c r="Y164" i="14"/>
  <c r="T164" i="14"/>
  <c r="Y163" i="14"/>
  <c r="T163" i="14"/>
  <c r="Y162" i="14"/>
  <c r="T162" i="14"/>
  <c r="Y161" i="14"/>
  <c r="T161" i="14"/>
  <c r="Y160" i="14"/>
  <c r="T160" i="14"/>
  <c r="Y159" i="14"/>
  <c r="T159" i="14"/>
  <c r="Y158" i="14"/>
  <c r="T158" i="14"/>
  <c r="Y157" i="14"/>
  <c r="T157" i="14"/>
  <c r="Y156" i="14"/>
  <c r="T156" i="14"/>
  <c r="Y155" i="14"/>
  <c r="T155" i="14"/>
  <c r="Y154" i="14"/>
  <c r="T154" i="14"/>
  <c r="Y153" i="14"/>
  <c r="T153" i="14"/>
  <c r="Y152" i="14"/>
  <c r="T152" i="14"/>
  <c r="Y151" i="14"/>
  <c r="T151" i="14"/>
  <c r="Y150" i="14"/>
  <c r="T150" i="14"/>
  <c r="Y149" i="14"/>
  <c r="T149" i="14"/>
  <c r="Y148" i="14"/>
  <c r="T148" i="14"/>
  <c r="Y147" i="14"/>
  <c r="T147" i="14"/>
  <c r="Y146" i="14"/>
  <c r="T146" i="14"/>
  <c r="Y145" i="14"/>
  <c r="T145" i="14"/>
  <c r="Y144" i="14"/>
  <c r="T144" i="14"/>
  <c r="Y143" i="14"/>
  <c r="T143" i="14"/>
  <c r="Y142" i="14"/>
  <c r="T142" i="14"/>
  <c r="Y141" i="14"/>
  <c r="T141" i="14"/>
  <c r="Y140" i="14"/>
  <c r="T140" i="14"/>
  <c r="Y139" i="14"/>
  <c r="T139" i="14"/>
  <c r="Y138" i="14"/>
  <c r="T138" i="14"/>
  <c r="Y137" i="14"/>
  <c r="T137" i="14"/>
  <c r="Y136" i="14"/>
  <c r="T136" i="14"/>
  <c r="Y135" i="14"/>
  <c r="T135" i="14"/>
  <c r="Y134" i="14"/>
  <c r="T134" i="14"/>
  <c r="Y133" i="14"/>
  <c r="T133" i="14"/>
  <c r="Y132" i="14"/>
  <c r="T132" i="14"/>
  <c r="Y131" i="14"/>
  <c r="T131" i="14"/>
  <c r="Y130" i="14"/>
  <c r="T130" i="14"/>
  <c r="Y129" i="14"/>
  <c r="T129" i="14"/>
  <c r="Y128" i="14"/>
  <c r="T128" i="14"/>
  <c r="Y127" i="14"/>
  <c r="T127" i="14"/>
  <c r="Y126" i="14"/>
  <c r="T126" i="14"/>
  <c r="Y125" i="14"/>
  <c r="T125" i="14"/>
  <c r="Y124" i="14"/>
  <c r="T124" i="14"/>
  <c r="Y123" i="14"/>
  <c r="T123" i="14"/>
  <c r="Y122" i="14"/>
  <c r="T122" i="14"/>
  <c r="Y121" i="14"/>
  <c r="T121" i="14"/>
  <c r="Y120" i="14"/>
  <c r="T120" i="14"/>
  <c r="Y119" i="14"/>
  <c r="T119" i="14"/>
  <c r="Y118" i="14"/>
  <c r="T118" i="14"/>
  <c r="Y117" i="14"/>
  <c r="T117" i="14"/>
  <c r="Y116" i="14"/>
  <c r="T116" i="14"/>
  <c r="Y115" i="14"/>
  <c r="T115" i="14"/>
  <c r="Y114" i="14"/>
  <c r="T114" i="14"/>
  <c r="Y113" i="14"/>
  <c r="T113" i="14"/>
  <c r="Y112" i="14"/>
  <c r="T112" i="14"/>
  <c r="Y111" i="14"/>
  <c r="T111" i="14"/>
  <c r="Y110" i="14"/>
  <c r="T110" i="14"/>
  <c r="Y109" i="14"/>
  <c r="T109" i="14"/>
  <c r="Y108" i="14"/>
  <c r="T108" i="14"/>
  <c r="Y107" i="14"/>
  <c r="T107" i="14"/>
  <c r="Y106" i="14"/>
  <c r="T106" i="14"/>
  <c r="Y105" i="14"/>
  <c r="T105" i="14"/>
  <c r="Y104" i="14"/>
  <c r="T104" i="14"/>
  <c r="Y103" i="14"/>
  <c r="T103" i="14"/>
  <c r="Y102" i="14"/>
  <c r="T102" i="14"/>
  <c r="Y101" i="14"/>
  <c r="T101" i="14"/>
  <c r="Y100" i="14"/>
  <c r="T100" i="14"/>
  <c r="Y99" i="14"/>
  <c r="T99" i="14"/>
  <c r="Y98" i="14"/>
  <c r="T98" i="14"/>
  <c r="Y97" i="14"/>
  <c r="T97" i="14"/>
  <c r="Y96" i="14"/>
  <c r="T96" i="14"/>
  <c r="Y95" i="14"/>
  <c r="T95" i="14"/>
  <c r="Y94" i="14"/>
  <c r="T94" i="14"/>
  <c r="Y93" i="14"/>
  <c r="T93" i="14"/>
  <c r="Y92" i="14"/>
  <c r="T92" i="14"/>
  <c r="Y91" i="14"/>
  <c r="T91" i="14"/>
  <c r="Y90" i="14"/>
  <c r="T90" i="14"/>
  <c r="Y89" i="14"/>
  <c r="T89" i="14"/>
  <c r="Y88" i="14"/>
  <c r="T88" i="14"/>
  <c r="Y87" i="14"/>
  <c r="T87" i="14"/>
  <c r="Y86" i="14"/>
  <c r="T86" i="14"/>
  <c r="Y85" i="14"/>
  <c r="T85" i="14"/>
  <c r="Y84" i="14"/>
  <c r="T84" i="14"/>
  <c r="Y83" i="14"/>
  <c r="T83" i="14"/>
  <c r="Y82" i="14"/>
  <c r="T82" i="14"/>
  <c r="Y81" i="14"/>
  <c r="T81" i="14"/>
  <c r="Y80" i="14"/>
  <c r="T80" i="14"/>
  <c r="Y79" i="14"/>
  <c r="T79" i="14"/>
  <c r="Y78" i="14"/>
  <c r="T78" i="14"/>
  <c r="Y77" i="14"/>
  <c r="T77" i="14"/>
  <c r="Y76" i="14"/>
  <c r="T76" i="14"/>
  <c r="Y75" i="14"/>
  <c r="T75" i="14"/>
  <c r="Y74" i="14"/>
  <c r="T74" i="14"/>
  <c r="Y73" i="14"/>
  <c r="T73" i="14"/>
  <c r="Y72" i="14"/>
  <c r="T72" i="14"/>
  <c r="Y71" i="14"/>
  <c r="T71" i="14"/>
  <c r="Y70" i="14"/>
  <c r="T70" i="14"/>
  <c r="Y69" i="14"/>
  <c r="T69" i="14"/>
  <c r="Y68" i="14"/>
  <c r="T68" i="14"/>
  <c r="Y67" i="14"/>
  <c r="T67" i="14"/>
  <c r="Y66" i="14"/>
  <c r="T66" i="14"/>
  <c r="Y65" i="14"/>
  <c r="T65" i="14"/>
  <c r="Y64" i="14"/>
  <c r="T64" i="14"/>
  <c r="Y63" i="14"/>
  <c r="T63" i="14"/>
  <c r="Y62" i="14"/>
  <c r="T62" i="14"/>
  <c r="Y61" i="14"/>
  <c r="T61" i="14"/>
  <c r="Y60" i="14"/>
  <c r="T60" i="14"/>
  <c r="Y59" i="14"/>
  <c r="T59" i="14"/>
  <c r="Y58" i="14"/>
  <c r="T58" i="14"/>
  <c r="Y57" i="14"/>
  <c r="T57" i="14"/>
  <c r="Y56" i="14"/>
  <c r="T56" i="14"/>
  <c r="Y55" i="14"/>
  <c r="T55" i="14"/>
  <c r="Y54" i="14"/>
  <c r="T54" i="14"/>
  <c r="Y53" i="14"/>
  <c r="T53" i="14"/>
  <c r="Y52" i="14"/>
  <c r="T52" i="14"/>
  <c r="Y51" i="14"/>
  <c r="T51" i="14"/>
  <c r="Y50" i="14"/>
  <c r="T50" i="14"/>
  <c r="Y49" i="14"/>
  <c r="T49" i="14"/>
  <c r="Y48" i="14"/>
  <c r="T48" i="14"/>
  <c r="Y47" i="14"/>
  <c r="T47" i="14"/>
  <c r="Y46" i="14"/>
  <c r="T46" i="14"/>
  <c r="Y45" i="14"/>
  <c r="T45" i="14"/>
  <c r="Y44" i="14"/>
  <c r="T44" i="14"/>
  <c r="Y43" i="14"/>
  <c r="T43" i="14"/>
  <c r="Y42" i="14"/>
  <c r="T42" i="14"/>
  <c r="Y41" i="14"/>
  <c r="T41" i="14"/>
  <c r="Y40" i="14"/>
  <c r="T40" i="14"/>
  <c r="Y39" i="14"/>
  <c r="T39" i="14"/>
  <c r="Y38" i="14"/>
  <c r="T38" i="14"/>
  <c r="Y37" i="14"/>
  <c r="T37" i="14"/>
  <c r="Y36" i="14"/>
  <c r="T36" i="14"/>
  <c r="Y35" i="14"/>
  <c r="T35" i="14"/>
  <c r="Y34" i="14"/>
  <c r="T34" i="14"/>
  <c r="Y33" i="14"/>
  <c r="T33" i="14"/>
  <c r="Y32" i="14"/>
  <c r="T32" i="14"/>
  <c r="Y31" i="14"/>
  <c r="T31" i="14"/>
  <c r="Y30" i="14"/>
  <c r="T30" i="14"/>
  <c r="Y29" i="14"/>
  <c r="T29" i="14"/>
  <c r="Y28" i="14"/>
  <c r="T28" i="14"/>
  <c r="Y27" i="14"/>
  <c r="T27" i="14"/>
  <c r="Y26" i="14"/>
  <c r="T26" i="14"/>
  <c r="Y25" i="14"/>
  <c r="T25" i="14"/>
  <c r="Y24" i="14"/>
  <c r="T24" i="14"/>
  <c r="Y23" i="14"/>
  <c r="T23" i="14"/>
  <c r="Y22" i="14"/>
  <c r="T22" i="14"/>
  <c r="Y21" i="14"/>
  <c r="T21" i="14"/>
  <c r="Y20" i="14"/>
  <c r="T20" i="14"/>
  <c r="Y19" i="14"/>
  <c r="T19" i="14"/>
  <c r="Y18" i="14"/>
  <c r="T18" i="14"/>
  <c r="Y17" i="14"/>
  <c r="T17" i="14"/>
  <c r="Y16" i="14"/>
  <c r="T16" i="14"/>
  <c r="Y15" i="14"/>
  <c r="T15" i="14"/>
  <c r="Y14" i="14"/>
  <c r="T14" i="14"/>
  <c r="Y13" i="14"/>
  <c r="T13" i="14"/>
  <c r="Y12" i="14"/>
  <c r="T12" i="14"/>
  <c r="Y11" i="14"/>
  <c r="T11" i="14"/>
  <c r="Y10" i="14"/>
  <c r="T10" i="14"/>
  <c r="Y9" i="14"/>
  <c r="T9" i="14"/>
  <c r="Y8" i="14"/>
  <c r="T8" i="14"/>
  <c r="Y7" i="14"/>
  <c r="T7" i="14"/>
  <c r="Y6" i="14"/>
  <c r="T6" i="14"/>
  <c r="Y5" i="14"/>
  <c r="T5" i="14"/>
  <c r="Y4" i="14"/>
  <c r="T4" i="14"/>
  <c r="Y3" i="14"/>
  <c r="T3" i="14"/>
  <c r="C204" i="26"/>
  <c r="T39" i="47"/>
  <c r="T19" i="47"/>
  <c r="T38" i="47"/>
  <c r="T37" i="47"/>
  <c r="T35" i="47"/>
  <c r="T34" i="47"/>
  <c r="T31" i="47"/>
  <c r="T30" i="47"/>
  <c r="T33" i="47"/>
  <c r="T29" i="47"/>
  <c r="T27" i="47"/>
  <c r="T25" i="47"/>
  <c r="T28" i="47"/>
  <c r="T26" i="47"/>
  <c r="T24" i="47"/>
  <c r="T22" i="47"/>
  <c r="T23" i="47"/>
  <c r="T21" i="47"/>
  <c r="T20" i="47"/>
  <c r="T45" i="47"/>
  <c r="T44" i="47"/>
  <c r="T43" i="47"/>
  <c r="T42" i="47"/>
  <c r="T41" i="47"/>
  <c r="T40" i="47"/>
  <c r="T36" i="47"/>
  <c r="T32" i="47"/>
  <c r="Z203" i="26"/>
  <c r="X203" i="26"/>
  <c r="V203" i="26"/>
  <c r="AA203" i="26"/>
  <c r="T17" i="47"/>
  <c r="T18" i="47"/>
  <c r="T16" i="47"/>
  <c r="T15" i="47"/>
  <c r="T14" i="47"/>
  <c r="T13" i="47"/>
  <c r="T12" i="47"/>
  <c r="T11" i="47"/>
  <c r="T10" i="47"/>
  <c r="T9" i="47"/>
  <c r="T7" i="47"/>
  <c r="T6" i="47"/>
  <c r="T5" i="47"/>
  <c r="T8" i="47"/>
  <c r="T4" i="47"/>
  <c r="T3" i="47"/>
  <c r="T2" i="14"/>
  <c r="AT5" i="26"/>
  <c r="AR5" i="26"/>
  <c r="AS5" i="26"/>
  <c r="AP5" i="26"/>
  <c r="AO5" i="26"/>
  <c r="AQ5" i="26"/>
  <c r="X204" i="26"/>
  <c r="Z204" i="26"/>
  <c r="B206" i="26"/>
  <c r="C5" i="26"/>
  <c r="B102" i="26"/>
  <c r="B103" i="26" s="1"/>
  <c r="B104" i="26" s="1"/>
  <c r="B105" i="26" s="1"/>
  <c r="B106" i="26" s="1"/>
  <c r="T2" i="47"/>
  <c r="O5" i="26"/>
  <c r="H5" i="26"/>
  <c r="J205" i="26"/>
  <c r="L6" i="26"/>
  <c r="F6" i="26"/>
  <c r="R6" i="26"/>
  <c r="E204" i="26"/>
  <c r="J6" i="26"/>
  <c r="G106" i="26"/>
  <c r="U205" i="26"/>
  <c r="P206" i="26"/>
  <c r="N205" i="26"/>
  <c r="D6" i="26"/>
  <c r="I6" i="26"/>
  <c r="H204" i="26"/>
  <c r="F205" i="26"/>
  <c r="P6" i="26"/>
  <c r="M204" i="26"/>
  <c r="E5" i="26"/>
  <c r="I205" i="26"/>
  <c r="L205" i="26"/>
  <c r="S205" i="26"/>
  <c r="K5" i="26"/>
  <c r="N6" i="26"/>
  <c r="U6" i="26"/>
  <c r="S6" i="26"/>
  <c r="P106" i="26"/>
  <c r="Q205" i="26"/>
  <c r="G205" i="26"/>
  <c r="Q5" i="26"/>
  <c r="F106" i="26"/>
  <c r="G6" i="26"/>
  <c r="Q204" i="26"/>
  <c r="M5" i="26"/>
  <c r="P205" i="26"/>
  <c r="D205" i="26"/>
  <c r="BM5" i="26" l="1"/>
  <c r="BN5" i="26" s="1"/>
  <c r="Y204" i="26"/>
  <c r="AR6" i="26"/>
  <c r="AO6" i="26"/>
  <c r="AU6" i="26" s="1"/>
  <c r="AT6" i="26"/>
  <c r="AP6" i="26"/>
  <c r="AV6" i="26" s="1"/>
  <c r="C6" i="26"/>
  <c r="AQ6" i="26"/>
  <c r="AS6" i="26"/>
  <c r="AA204" i="26"/>
  <c r="C205" i="26"/>
  <c r="V204" i="26"/>
  <c r="W204" i="26"/>
  <c r="AC5" i="26"/>
  <c r="W5" i="26"/>
  <c r="AF5" i="26"/>
  <c r="Z5" i="26"/>
  <c r="AB5" i="26"/>
  <c r="V5" i="26"/>
  <c r="AD5" i="26"/>
  <c r="X5" i="26"/>
  <c r="AG5" i="26"/>
  <c r="AA5" i="26"/>
  <c r="AE5" i="26"/>
  <c r="Y5" i="26"/>
  <c r="AV5" i="26"/>
  <c r="AU5" i="26"/>
  <c r="AA205" i="26"/>
  <c r="B207" i="26"/>
  <c r="B107" i="26"/>
  <c r="B7" i="26"/>
  <c r="K6" i="26"/>
  <c r="N206" i="26"/>
  <c r="I206" i="26"/>
  <c r="Q6" i="26"/>
  <c r="J106" i="26"/>
  <c r="K205" i="26"/>
  <c r="J206" i="26"/>
  <c r="E106" i="26"/>
  <c r="D106" i="26"/>
  <c r="N106" i="26"/>
  <c r="O106" i="26"/>
  <c r="G206" i="26"/>
  <c r="P207" i="26"/>
  <c r="F206" i="26"/>
  <c r="O205" i="26"/>
  <c r="R7" i="26"/>
  <c r="L106" i="26"/>
  <c r="U107" i="26"/>
  <c r="I106" i="26"/>
  <c r="O6" i="26"/>
  <c r="L206" i="26"/>
  <c r="R206" i="26"/>
  <c r="O206" i="26"/>
  <c r="S106" i="26"/>
  <c r="S206" i="26"/>
  <c r="E6" i="26"/>
  <c r="E205" i="26"/>
  <c r="U106" i="26"/>
  <c r="H205" i="26"/>
  <c r="D206" i="26"/>
  <c r="H6" i="26"/>
  <c r="M205" i="26"/>
  <c r="U206" i="26"/>
  <c r="R106" i="26"/>
  <c r="M6" i="26"/>
  <c r="BM6" i="26" l="1"/>
  <c r="BN6" i="26" s="1"/>
  <c r="C206" i="26"/>
  <c r="AC6" i="26"/>
  <c r="AJ6" i="26" s="1"/>
  <c r="W6" i="26"/>
  <c r="AG6" i="26"/>
  <c r="AA6" i="26"/>
  <c r="AB6" i="26"/>
  <c r="AI6" i="26" s="1"/>
  <c r="V6" i="26"/>
  <c r="AE6" i="26"/>
  <c r="Y6" i="26"/>
  <c r="AF6" i="26"/>
  <c r="Z6" i="26"/>
  <c r="AD6" i="26"/>
  <c r="X6" i="26"/>
  <c r="C106" i="26"/>
  <c r="Y205" i="26"/>
  <c r="X205" i="26"/>
  <c r="V205" i="26"/>
  <c r="Z205" i="26"/>
  <c r="W205" i="26"/>
  <c r="AT7" i="26"/>
  <c r="AH5" i="26"/>
  <c r="AI5" i="26"/>
  <c r="AJ5" i="26"/>
  <c r="B8" i="26"/>
  <c r="B9" i="26" s="1"/>
  <c r="Z206" i="26"/>
  <c r="V106" i="26"/>
  <c r="Z106" i="26"/>
  <c r="B208" i="26"/>
  <c r="B209" i="26" s="1"/>
  <c r="B210" i="26" s="1"/>
  <c r="B211" i="26" s="1"/>
  <c r="C107" i="26"/>
  <c r="B108" i="26"/>
  <c r="H206" i="26"/>
  <c r="N207" i="26"/>
  <c r="G107" i="26"/>
  <c r="D7" i="26"/>
  <c r="G7" i="26"/>
  <c r="L207" i="26"/>
  <c r="Q206" i="26"/>
  <c r="H106" i="26"/>
  <c r="K206" i="26"/>
  <c r="I7" i="26"/>
  <c r="Q106" i="26"/>
  <c r="D207" i="26"/>
  <c r="P107" i="26"/>
  <c r="J107" i="26"/>
  <c r="G207" i="26"/>
  <c r="M106" i="26"/>
  <c r="Q7" i="26"/>
  <c r="U207" i="26"/>
  <c r="G108" i="26"/>
  <c r="F107" i="26"/>
  <c r="S107" i="26"/>
  <c r="U7" i="26"/>
  <c r="P7" i="26"/>
  <c r="I107" i="26"/>
  <c r="K106" i="26"/>
  <c r="S7" i="26"/>
  <c r="F9" i="26"/>
  <c r="M206" i="26"/>
  <c r="S207" i="26"/>
  <c r="R207" i="26"/>
  <c r="N107" i="26"/>
  <c r="O207" i="26"/>
  <c r="J7" i="26"/>
  <c r="L7" i="26"/>
  <c r="I207" i="26"/>
  <c r="R107" i="26"/>
  <c r="J207" i="26"/>
  <c r="F7" i="26"/>
  <c r="L107" i="26"/>
  <c r="E206" i="26"/>
  <c r="D107" i="26"/>
  <c r="N7" i="26"/>
  <c r="F207" i="26"/>
  <c r="AA206" i="26" l="1"/>
  <c r="X206" i="26"/>
  <c r="Y206" i="26"/>
  <c r="V206" i="26"/>
  <c r="W206" i="26"/>
  <c r="AH6" i="26"/>
  <c r="Y106" i="26"/>
  <c r="X106" i="26"/>
  <c r="AA106" i="26"/>
  <c r="C207" i="26"/>
  <c r="C7" i="26"/>
  <c r="AR7" i="26"/>
  <c r="AP7" i="26"/>
  <c r="W106" i="26"/>
  <c r="B212" i="26"/>
  <c r="AS7" i="26"/>
  <c r="AO7" i="26"/>
  <c r="AQ7" i="26"/>
  <c r="AG7" i="26"/>
  <c r="AA7" i="26"/>
  <c r="AO9" i="26"/>
  <c r="Z207" i="26"/>
  <c r="B109" i="26"/>
  <c r="B10" i="26"/>
  <c r="C4" i="26"/>
  <c r="P8" i="26"/>
  <c r="F208" i="26"/>
  <c r="U108" i="26"/>
  <c r="S208" i="26"/>
  <c r="I210" i="26"/>
  <c r="S8" i="26"/>
  <c r="U211" i="26"/>
  <c r="G8" i="26"/>
  <c r="H107" i="26"/>
  <c r="D209" i="26"/>
  <c r="K207" i="26"/>
  <c r="H207" i="26"/>
  <c r="J9" i="26"/>
  <c r="D211" i="26"/>
  <c r="R208" i="26"/>
  <c r="L208" i="26"/>
  <c r="E207" i="26"/>
  <c r="R8" i="26"/>
  <c r="F210" i="26"/>
  <c r="N108" i="26"/>
  <c r="P9" i="26"/>
  <c r="I8" i="26"/>
  <c r="R210" i="26"/>
  <c r="I208" i="26"/>
  <c r="D210" i="26"/>
  <c r="P211" i="26"/>
  <c r="R108" i="26"/>
  <c r="J211" i="26"/>
  <c r="I211" i="26"/>
  <c r="R9" i="26"/>
  <c r="J209" i="26"/>
  <c r="O7" i="26"/>
  <c r="F108" i="26"/>
  <c r="L108" i="26"/>
  <c r="K7" i="26"/>
  <c r="U210" i="26"/>
  <c r="P108" i="26"/>
  <c r="J208" i="26"/>
  <c r="M207" i="26"/>
  <c r="P208" i="26"/>
  <c r="U9" i="26"/>
  <c r="F211" i="26"/>
  <c r="I9" i="26"/>
  <c r="F8" i="26"/>
  <c r="L209" i="26"/>
  <c r="N9" i="26"/>
  <c r="N209" i="26"/>
  <c r="N208" i="26"/>
  <c r="L210" i="26"/>
  <c r="S9" i="26"/>
  <c r="G210" i="26"/>
  <c r="J210" i="26"/>
  <c r="M107" i="26"/>
  <c r="R211" i="26"/>
  <c r="N210" i="26"/>
  <c r="I108" i="26"/>
  <c r="E107" i="26"/>
  <c r="N211" i="26"/>
  <c r="P10" i="26"/>
  <c r="R109" i="26"/>
  <c r="G9" i="26"/>
  <c r="H7" i="26"/>
  <c r="S210" i="26"/>
  <c r="S108" i="26"/>
  <c r="D208" i="26"/>
  <c r="U208" i="26"/>
  <c r="L9" i="26"/>
  <c r="J8" i="26"/>
  <c r="G211" i="26"/>
  <c r="G209" i="26"/>
  <c r="M7" i="26"/>
  <c r="D9" i="26"/>
  <c r="F209" i="26"/>
  <c r="U8" i="26"/>
  <c r="J108" i="26"/>
  <c r="R209" i="26"/>
  <c r="K107" i="26"/>
  <c r="U209" i="26"/>
  <c r="S211" i="26"/>
  <c r="N8" i="26"/>
  <c r="L8" i="26"/>
  <c r="E7" i="26"/>
  <c r="I209" i="26"/>
  <c r="Q207" i="26"/>
  <c r="D108" i="26"/>
  <c r="D8" i="26"/>
  <c r="P209" i="26"/>
  <c r="O107" i="26"/>
  <c r="P210" i="26"/>
  <c r="S209" i="26"/>
  <c r="G208" i="26"/>
  <c r="Q107" i="26"/>
  <c r="L211" i="26"/>
  <c r="BM7" i="26" l="1"/>
  <c r="BN7" i="26" s="1"/>
  <c r="C9" i="26"/>
  <c r="AP9" i="26"/>
  <c r="AT9" i="26"/>
  <c r="AS9" i="26"/>
  <c r="AA207" i="26"/>
  <c r="Z107" i="26"/>
  <c r="AV7" i="26"/>
  <c r="Y207" i="26"/>
  <c r="C208" i="26"/>
  <c r="AE7" i="26"/>
  <c r="Y7" i="26"/>
  <c r="W107" i="26"/>
  <c r="AQ8" i="26"/>
  <c r="C8" i="26"/>
  <c r="AS8" i="26"/>
  <c r="W207" i="26"/>
  <c r="X207" i="26"/>
  <c r="V207" i="26"/>
  <c r="C209" i="26"/>
  <c r="C210" i="26"/>
  <c r="C211" i="26"/>
  <c r="B213" i="26"/>
  <c r="B214" i="26" s="1"/>
  <c r="AU7" i="26"/>
  <c r="AT8" i="26"/>
  <c r="X107" i="26"/>
  <c r="AF7" i="26"/>
  <c r="Z7" i="26"/>
  <c r="AP8" i="26"/>
  <c r="AO8" i="26"/>
  <c r="AD7" i="26"/>
  <c r="X7" i="26"/>
  <c r="C108" i="26"/>
  <c r="AA107" i="26"/>
  <c r="AR8" i="26"/>
  <c r="V107" i="26"/>
  <c r="AQ9" i="26"/>
  <c r="AB7" i="26"/>
  <c r="V7" i="26"/>
  <c r="AR9" i="26"/>
  <c r="Y107" i="26"/>
  <c r="AC7" i="26"/>
  <c r="W7" i="26"/>
  <c r="AS10" i="26"/>
  <c r="B110" i="26"/>
  <c r="B11" i="26"/>
  <c r="B12" i="26" s="1"/>
  <c r="P12" i="15"/>
  <c r="O12" i="15"/>
  <c r="M12" i="15"/>
  <c r="R12" i="15"/>
  <c r="Q12" i="15"/>
  <c r="N12" i="15"/>
  <c r="Q208" i="26"/>
  <c r="Q9" i="26"/>
  <c r="D10" i="26"/>
  <c r="M9" i="26"/>
  <c r="N10" i="26"/>
  <c r="R212" i="26"/>
  <c r="D109" i="26"/>
  <c r="E9" i="26"/>
  <c r="M8" i="26"/>
  <c r="H211" i="26"/>
  <c r="S212" i="26"/>
  <c r="F110" i="26"/>
  <c r="M108" i="26"/>
  <c r="F212" i="26"/>
  <c r="K211" i="26"/>
  <c r="O9" i="26"/>
  <c r="K208" i="26"/>
  <c r="H209" i="26"/>
  <c r="O208" i="26"/>
  <c r="U10" i="26"/>
  <c r="K209" i="26"/>
  <c r="K9" i="26"/>
  <c r="Q210" i="26"/>
  <c r="R10" i="26"/>
  <c r="P212" i="26"/>
  <c r="Q209" i="26"/>
  <c r="F10" i="26"/>
  <c r="J109" i="26"/>
  <c r="E209" i="26"/>
  <c r="E8" i="26"/>
  <c r="H8" i="26"/>
  <c r="K210" i="26"/>
  <c r="L109" i="26"/>
  <c r="E208" i="26"/>
  <c r="I212" i="26"/>
  <c r="H108" i="26"/>
  <c r="S109" i="26"/>
  <c r="Q108" i="26"/>
  <c r="O210" i="26"/>
  <c r="Q211" i="26"/>
  <c r="O8" i="26"/>
  <c r="Q109" i="26"/>
  <c r="I109" i="26"/>
  <c r="Q8" i="26"/>
  <c r="H208" i="26"/>
  <c r="N212" i="26"/>
  <c r="O211" i="26"/>
  <c r="F214" i="26"/>
  <c r="O209" i="26"/>
  <c r="O108" i="26"/>
  <c r="S10" i="26"/>
  <c r="E108" i="26"/>
  <c r="E211" i="26"/>
  <c r="U212" i="26"/>
  <c r="K8" i="26"/>
  <c r="G10" i="26"/>
  <c r="P109" i="26"/>
  <c r="F109" i="26"/>
  <c r="E210" i="26"/>
  <c r="L10" i="26"/>
  <c r="U109" i="26"/>
  <c r="H210" i="26"/>
  <c r="D212" i="26"/>
  <c r="M210" i="26"/>
  <c r="L212" i="26"/>
  <c r="G109" i="26"/>
  <c r="J10" i="26"/>
  <c r="K108" i="26"/>
  <c r="J212" i="26"/>
  <c r="N109" i="26"/>
  <c r="G212" i="26"/>
  <c r="G214" i="26"/>
  <c r="M209" i="26"/>
  <c r="M211" i="26"/>
  <c r="H9" i="26"/>
  <c r="I10" i="26"/>
  <c r="U214" i="26"/>
  <c r="M208" i="26"/>
  <c r="O10" i="26"/>
  <c r="BM8" i="26" l="1"/>
  <c r="BN8" i="26" s="1"/>
  <c r="BM9" i="26"/>
  <c r="BN9" i="26" s="1"/>
  <c r="AA108" i="26"/>
  <c r="X208" i="26"/>
  <c r="AF9" i="26"/>
  <c r="Z9" i="26"/>
  <c r="Z208" i="26"/>
  <c r="AG9" i="26"/>
  <c r="AA9" i="26"/>
  <c r="AP10" i="26"/>
  <c r="AA208" i="26"/>
  <c r="W208" i="26"/>
  <c r="V208" i="26"/>
  <c r="Y210" i="26"/>
  <c r="Y209" i="26"/>
  <c r="C10" i="26"/>
  <c r="X210" i="26"/>
  <c r="W209" i="26"/>
  <c r="Y208" i="26"/>
  <c r="AD8" i="26"/>
  <c r="X8" i="26"/>
  <c r="V108" i="26"/>
  <c r="X209" i="26"/>
  <c r="AF8" i="26"/>
  <c r="Z8" i="26"/>
  <c r="X108" i="26"/>
  <c r="Z108" i="26"/>
  <c r="Z209" i="26"/>
  <c r="C214" i="26"/>
  <c r="B215" i="26"/>
  <c r="C212" i="26"/>
  <c r="X211" i="26"/>
  <c r="V210" i="26"/>
  <c r="Z211" i="26"/>
  <c r="AA210" i="26"/>
  <c r="Y211" i="26"/>
  <c r="AA211" i="26"/>
  <c r="W211" i="26"/>
  <c r="W210" i="26"/>
  <c r="V211" i="26"/>
  <c r="Z210" i="26"/>
  <c r="AA209" i="26"/>
  <c r="V209" i="26"/>
  <c r="AJ7" i="26"/>
  <c r="AO10" i="26"/>
  <c r="AR10" i="26"/>
  <c r="AT10" i="26"/>
  <c r="AQ10" i="26"/>
  <c r="AU8" i="26"/>
  <c r="B13" i="26"/>
  <c r="AI7" i="26"/>
  <c r="AV8" i="26"/>
  <c r="AH7" i="26"/>
  <c r="AE9" i="26"/>
  <c r="Y9" i="26"/>
  <c r="AB9" i="26"/>
  <c r="V9" i="26"/>
  <c r="Y108" i="26"/>
  <c r="C109" i="26"/>
  <c r="AC8" i="26"/>
  <c r="W8" i="26"/>
  <c r="X9" i="26"/>
  <c r="AD9" i="26"/>
  <c r="W9" i="26"/>
  <c r="AC9" i="26"/>
  <c r="W108" i="26"/>
  <c r="AE8" i="26"/>
  <c r="Y8" i="26"/>
  <c r="V8" i="26"/>
  <c r="AB8" i="26"/>
  <c r="AG8" i="26"/>
  <c r="AA8" i="26"/>
  <c r="AV9" i="26"/>
  <c r="AU9" i="26"/>
  <c r="AF10" i="26"/>
  <c r="Z10" i="26"/>
  <c r="AA109" i="26"/>
  <c r="B111" i="26"/>
  <c r="B112" i="26" s="1"/>
  <c r="AT4" i="26"/>
  <c r="AS4" i="26"/>
  <c r="AR4" i="26"/>
  <c r="AE4" i="26"/>
  <c r="AQ4" i="26"/>
  <c r="AF4" i="26"/>
  <c r="AD4" i="26"/>
  <c r="AG4" i="26"/>
  <c r="M212" i="26"/>
  <c r="F213" i="26"/>
  <c r="K10" i="26"/>
  <c r="S213" i="26"/>
  <c r="R11" i="26"/>
  <c r="R12" i="26"/>
  <c r="S11" i="26"/>
  <c r="I110" i="26"/>
  <c r="Q10" i="26"/>
  <c r="S110" i="26"/>
  <c r="G110" i="26"/>
  <c r="I11" i="26"/>
  <c r="J214" i="26"/>
  <c r="E212" i="26"/>
  <c r="M10" i="26"/>
  <c r="O109" i="26"/>
  <c r="S214" i="26"/>
  <c r="F11" i="26"/>
  <c r="S12" i="26"/>
  <c r="Q212" i="26"/>
  <c r="H109" i="26"/>
  <c r="K212" i="26"/>
  <c r="P213" i="26"/>
  <c r="N11" i="26"/>
  <c r="L214" i="26"/>
  <c r="E10" i="26"/>
  <c r="D213" i="26"/>
  <c r="L110" i="26"/>
  <c r="U11" i="26"/>
  <c r="P214" i="26"/>
  <c r="H10" i="26"/>
  <c r="I214" i="26"/>
  <c r="D214" i="26"/>
  <c r="L112" i="26"/>
  <c r="H212" i="26"/>
  <c r="J213" i="26"/>
  <c r="M109" i="26"/>
  <c r="L12" i="26"/>
  <c r="E214" i="26"/>
  <c r="N12" i="26"/>
  <c r="P12" i="26"/>
  <c r="D12" i="26"/>
  <c r="I12" i="26"/>
  <c r="U110" i="26"/>
  <c r="N213" i="26"/>
  <c r="D11" i="26"/>
  <c r="L213" i="26"/>
  <c r="N110" i="26"/>
  <c r="J11" i="26"/>
  <c r="J110" i="26"/>
  <c r="P110" i="26"/>
  <c r="F12" i="26"/>
  <c r="J12" i="26"/>
  <c r="I213" i="26"/>
  <c r="D110" i="26"/>
  <c r="R214" i="26"/>
  <c r="R110" i="26"/>
  <c r="E109" i="26"/>
  <c r="G12" i="26"/>
  <c r="O212" i="26"/>
  <c r="G11" i="26"/>
  <c r="P11" i="26"/>
  <c r="G213" i="26"/>
  <c r="L11" i="26"/>
  <c r="I215" i="26"/>
  <c r="K109" i="26"/>
  <c r="N214" i="26"/>
  <c r="U213" i="26"/>
  <c r="R213" i="26"/>
  <c r="AO12" i="26" l="1"/>
  <c r="AP12" i="26"/>
  <c r="AS12" i="26"/>
  <c r="AR12" i="26"/>
  <c r="AQ12" i="26"/>
  <c r="BM10" i="26"/>
  <c r="BN10" i="26" s="1"/>
  <c r="AT12" i="26"/>
  <c r="AQ11" i="26"/>
  <c r="AW11" i="26" s="1"/>
  <c r="C11" i="26"/>
  <c r="AK6" i="26"/>
  <c r="AW6" i="26"/>
  <c r="AX6" i="26"/>
  <c r="AZ6" i="26"/>
  <c r="AN6" i="26"/>
  <c r="AM6" i="26"/>
  <c r="AL6" i="26"/>
  <c r="AY6" i="26"/>
  <c r="AV10" i="26"/>
  <c r="AO11" i="26"/>
  <c r="C110" i="26"/>
  <c r="AC10" i="26"/>
  <c r="W10" i="26"/>
  <c r="AP11" i="26"/>
  <c r="AV12" i="26" s="1"/>
  <c r="V214" i="26"/>
  <c r="B216" i="26"/>
  <c r="AS11" i="26"/>
  <c r="AY12" i="26" s="1"/>
  <c r="AR11" i="26"/>
  <c r="AX11" i="26" s="1"/>
  <c r="C213" i="26"/>
  <c r="Y212" i="26"/>
  <c r="AA212" i="26"/>
  <c r="X212" i="26"/>
  <c r="W212" i="26"/>
  <c r="Z212" i="26"/>
  <c r="V212" i="26"/>
  <c r="AU10" i="26"/>
  <c r="B113" i="26"/>
  <c r="B114" i="26" s="1"/>
  <c r="X10" i="26"/>
  <c r="AD10" i="26"/>
  <c r="AT11" i="26"/>
  <c r="AZ12" i="26" s="1"/>
  <c r="C12" i="26"/>
  <c r="AG10" i="26"/>
  <c r="AN10" i="26" s="1"/>
  <c r="AA10" i="26"/>
  <c r="AE10" i="26"/>
  <c r="AL10" i="26" s="1"/>
  <c r="Y10" i="26"/>
  <c r="AB10" i="26"/>
  <c r="V10" i="26"/>
  <c r="AI8" i="26"/>
  <c r="B14" i="26"/>
  <c r="AJ8" i="26"/>
  <c r="AH9" i="26"/>
  <c r="AI9" i="26"/>
  <c r="AH8" i="26"/>
  <c r="Z109" i="26"/>
  <c r="X109" i="26"/>
  <c r="V109" i="26"/>
  <c r="W109" i="26"/>
  <c r="Y109" i="26"/>
  <c r="AJ9" i="26"/>
  <c r="AN9" i="26"/>
  <c r="AN5" i="26"/>
  <c r="AN7" i="26"/>
  <c r="AN8" i="26"/>
  <c r="AM5" i="26"/>
  <c r="AM7" i="26"/>
  <c r="AM8" i="26"/>
  <c r="AM10" i="26"/>
  <c r="AM9" i="26"/>
  <c r="AL9" i="26"/>
  <c r="AL5" i="26"/>
  <c r="AL7" i="26"/>
  <c r="AL8" i="26"/>
  <c r="AK5" i="26"/>
  <c r="AK7" i="26"/>
  <c r="AK8" i="26"/>
  <c r="AK9" i="26"/>
  <c r="AW5" i="26"/>
  <c r="AW7" i="26"/>
  <c r="AW8" i="26"/>
  <c r="AW9" i="26"/>
  <c r="AW10" i="26"/>
  <c r="AX9" i="26"/>
  <c r="AX5" i="26"/>
  <c r="AX7" i="26"/>
  <c r="AX8" i="26"/>
  <c r="AX10" i="26"/>
  <c r="AZ9" i="26"/>
  <c r="AZ5" i="26"/>
  <c r="AZ7" i="26"/>
  <c r="AZ8" i="26"/>
  <c r="AZ10" i="26"/>
  <c r="AY5" i="26"/>
  <c r="AY7" i="26"/>
  <c r="AY8" i="26"/>
  <c r="AY9" i="26"/>
  <c r="AY10" i="26"/>
  <c r="AM4" i="26"/>
  <c r="AH4" i="26"/>
  <c r="AN4" i="26"/>
  <c r="AW4" i="26"/>
  <c r="AX4" i="26"/>
  <c r="AY4" i="26"/>
  <c r="AI4" i="26"/>
  <c r="AU4" i="26"/>
  <c r="AK4" i="26"/>
  <c r="AL4" i="26"/>
  <c r="AZ4" i="26"/>
  <c r="P13" i="26"/>
  <c r="R111" i="26"/>
  <c r="H12" i="26"/>
  <c r="M110" i="26"/>
  <c r="Q214" i="26"/>
  <c r="Q11" i="26"/>
  <c r="F215" i="26"/>
  <c r="P111" i="26"/>
  <c r="R13" i="26"/>
  <c r="F111" i="26"/>
  <c r="I112" i="26"/>
  <c r="N215" i="26"/>
  <c r="K12" i="26"/>
  <c r="G215" i="26"/>
  <c r="D215" i="26"/>
  <c r="Q110" i="26"/>
  <c r="U111" i="26"/>
  <c r="D111" i="26"/>
  <c r="N111" i="26"/>
  <c r="D112" i="26"/>
  <c r="S112" i="26"/>
  <c r="O110" i="26"/>
  <c r="H110" i="26"/>
  <c r="G112" i="26"/>
  <c r="K11" i="26"/>
  <c r="G13" i="26"/>
  <c r="S13" i="26"/>
  <c r="L13" i="26"/>
  <c r="G111" i="26"/>
  <c r="E110" i="26"/>
  <c r="E12" i="26"/>
  <c r="H214" i="26"/>
  <c r="J111" i="26"/>
  <c r="U215" i="26"/>
  <c r="K112" i="26"/>
  <c r="R215" i="26"/>
  <c r="K214" i="26"/>
  <c r="L215" i="26"/>
  <c r="M12" i="26"/>
  <c r="F13" i="26"/>
  <c r="I111" i="26"/>
  <c r="H213" i="26"/>
  <c r="M214" i="26"/>
  <c r="D13" i="26"/>
  <c r="M213" i="26"/>
  <c r="J215" i="26"/>
  <c r="I13" i="26"/>
  <c r="S111" i="26"/>
  <c r="N112" i="26"/>
  <c r="M11" i="26"/>
  <c r="O11" i="26"/>
  <c r="P112" i="26"/>
  <c r="O12" i="26"/>
  <c r="K110" i="26"/>
  <c r="K213" i="26"/>
  <c r="N13" i="26"/>
  <c r="Q12" i="26"/>
  <c r="E213" i="26"/>
  <c r="Q213" i="26"/>
  <c r="O214" i="26"/>
  <c r="R112" i="26"/>
  <c r="L111" i="26"/>
  <c r="F112" i="26"/>
  <c r="J112" i="26"/>
  <c r="U112" i="26"/>
  <c r="H11" i="26"/>
  <c r="P215" i="26"/>
  <c r="S215" i="26"/>
  <c r="J13" i="26"/>
  <c r="O213" i="26"/>
  <c r="E11" i="26"/>
  <c r="BM11" i="26" l="1"/>
  <c r="BN11" i="26" s="1"/>
  <c r="AG12" i="26"/>
  <c r="AA12" i="26"/>
  <c r="AR13" i="26"/>
  <c r="AF12" i="26"/>
  <c r="Z12" i="26"/>
  <c r="AP13" i="26"/>
  <c r="AV13" i="26" s="1"/>
  <c r="AO13" i="26"/>
  <c r="AU13" i="26" s="1"/>
  <c r="AE12" i="26"/>
  <c r="Y12" i="26"/>
  <c r="BM12" i="26"/>
  <c r="BN12" i="26" s="1"/>
  <c r="AB12" i="26"/>
  <c r="V12" i="26"/>
  <c r="AQ13" i="26"/>
  <c r="AD12" i="26"/>
  <c r="X12" i="26"/>
  <c r="AT13" i="26"/>
  <c r="AC12" i="26"/>
  <c r="W12" i="26"/>
  <c r="AS13" i="26"/>
  <c r="AZ13" i="26"/>
  <c r="AX12" i="26"/>
  <c r="AX13" i="26"/>
  <c r="AW13" i="26"/>
  <c r="AW12" i="26"/>
  <c r="AU12" i="26"/>
  <c r="Y214" i="26"/>
  <c r="AD11" i="26"/>
  <c r="AK12" i="26" s="1"/>
  <c r="X11" i="26"/>
  <c r="AA214" i="26"/>
  <c r="AU11" i="26"/>
  <c r="AY11" i="26"/>
  <c r="AV11" i="26"/>
  <c r="AI10" i="26"/>
  <c r="AJ10" i="26"/>
  <c r="AA110" i="26"/>
  <c r="Z110" i="26"/>
  <c r="AC11" i="26"/>
  <c r="W11" i="26"/>
  <c r="C215" i="26"/>
  <c r="W214" i="26"/>
  <c r="V110" i="26"/>
  <c r="Z214" i="26"/>
  <c r="X214" i="26"/>
  <c r="B217" i="26"/>
  <c r="Z213" i="26"/>
  <c r="X112" i="26"/>
  <c r="Y213" i="26"/>
  <c r="Y11" i="26"/>
  <c r="AE11" i="26"/>
  <c r="AL12" i="26" s="1"/>
  <c r="C111" i="26"/>
  <c r="AA213" i="26"/>
  <c r="V213" i="26"/>
  <c r="W213" i="26"/>
  <c r="AF11" i="26"/>
  <c r="Z11" i="26"/>
  <c r="C112" i="26"/>
  <c r="X213" i="26"/>
  <c r="B115" i="26"/>
  <c r="AH10" i="26"/>
  <c r="AZ11" i="26"/>
  <c r="AK10" i="26"/>
  <c r="C13" i="26"/>
  <c r="AG11" i="26"/>
  <c r="AA11" i="26"/>
  <c r="AB11" i="26"/>
  <c r="V11" i="26"/>
  <c r="B15" i="26"/>
  <c r="Y110" i="26"/>
  <c r="W110" i="26"/>
  <c r="X110" i="26"/>
  <c r="H111" i="26"/>
  <c r="O112" i="26"/>
  <c r="G114" i="26"/>
  <c r="I114" i="26"/>
  <c r="O215" i="26"/>
  <c r="R114" i="26"/>
  <c r="H13" i="26"/>
  <c r="H215" i="26"/>
  <c r="J14" i="26"/>
  <c r="K13" i="26"/>
  <c r="O111" i="26"/>
  <c r="E112" i="26"/>
  <c r="G14" i="26"/>
  <c r="P113" i="26"/>
  <c r="F113" i="26"/>
  <c r="F14" i="26"/>
  <c r="D14" i="26"/>
  <c r="L114" i="26"/>
  <c r="Q111" i="26"/>
  <c r="P14" i="26"/>
  <c r="M13" i="26"/>
  <c r="S113" i="26"/>
  <c r="E215" i="26"/>
  <c r="M111" i="26"/>
  <c r="I14" i="26"/>
  <c r="G113" i="26"/>
  <c r="L113" i="26"/>
  <c r="K111" i="26"/>
  <c r="N114" i="26"/>
  <c r="S14" i="26"/>
  <c r="M215" i="26"/>
  <c r="N14" i="26"/>
  <c r="Q215" i="26"/>
  <c r="E13" i="26"/>
  <c r="Q112" i="26"/>
  <c r="S114" i="26"/>
  <c r="R113" i="26"/>
  <c r="J114" i="26"/>
  <c r="O13" i="26"/>
  <c r="U113" i="26"/>
  <c r="R14" i="26"/>
  <c r="I113" i="26"/>
  <c r="P114" i="26"/>
  <c r="J113" i="26"/>
  <c r="L14" i="26"/>
  <c r="D113" i="26"/>
  <c r="F114" i="26"/>
  <c r="E111" i="26"/>
  <c r="H112" i="26"/>
  <c r="N113" i="26"/>
  <c r="K215" i="26"/>
  <c r="D114" i="26"/>
  <c r="M112" i="26"/>
  <c r="Q13" i="26"/>
  <c r="U114" i="26"/>
  <c r="AG13" i="26" l="1"/>
  <c r="AA13" i="26"/>
  <c r="AQ14" i="26"/>
  <c r="AT14" i="26"/>
  <c r="AF13" i="26"/>
  <c r="Z13" i="26"/>
  <c r="BM13" i="26"/>
  <c r="BN13" i="26" s="1"/>
  <c r="AB13" i="26"/>
  <c r="V13" i="26"/>
  <c r="AR14" i="26"/>
  <c r="AP14" i="26"/>
  <c r="AV14" i="26" s="1"/>
  <c r="AE13" i="26"/>
  <c r="Y13" i="26"/>
  <c r="AS14" i="26"/>
  <c r="AO14" i="26"/>
  <c r="AU14" i="26" s="1"/>
  <c r="AD13" i="26"/>
  <c r="X13" i="26"/>
  <c r="AC13" i="26"/>
  <c r="W13" i="26"/>
  <c r="AM13" i="26"/>
  <c r="AM12" i="26"/>
  <c r="AJ12" i="26"/>
  <c r="AH12" i="26"/>
  <c r="AI12" i="26"/>
  <c r="AN13" i="26"/>
  <c r="AN12" i="26"/>
  <c r="AY13" i="26"/>
  <c r="Z112" i="26"/>
  <c r="AK11" i="26"/>
  <c r="C113" i="26"/>
  <c r="Y215" i="26"/>
  <c r="X215" i="26"/>
  <c r="AJ11" i="26"/>
  <c r="AA215" i="26"/>
  <c r="Y111" i="26"/>
  <c r="Z215" i="26"/>
  <c r="W215" i="26"/>
  <c r="Z216" i="26"/>
  <c r="AA216" i="26"/>
  <c r="V215" i="26"/>
  <c r="AA217" i="26"/>
  <c r="Z217" i="26"/>
  <c r="B218" i="26"/>
  <c r="B219" i="26" s="1"/>
  <c r="AL11" i="26"/>
  <c r="AM11" i="26"/>
  <c r="C114" i="26"/>
  <c r="V112" i="26"/>
  <c r="V111" i="26"/>
  <c r="Y112" i="26"/>
  <c r="W111" i="26"/>
  <c r="X111" i="26"/>
  <c r="AA112" i="26"/>
  <c r="W112" i="26"/>
  <c r="AA111" i="26"/>
  <c r="Z111" i="26"/>
  <c r="B116" i="26"/>
  <c r="AH11" i="26"/>
  <c r="C14" i="26"/>
  <c r="B16" i="26"/>
  <c r="AI11" i="26"/>
  <c r="AN11" i="26"/>
  <c r="I15" i="26"/>
  <c r="H113" i="26"/>
  <c r="L219" i="26"/>
  <c r="R115" i="26"/>
  <c r="O114" i="26"/>
  <c r="O14" i="26"/>
  <c r="D115" i="26"/>
  <c r="P115" i="26"/>
  <c r="E113" i="26"/>
  <c r="M114" i="26"/>
  <c r="N15" i="26"/>
  <c r="K113" i="26"/>
  <c r="D15" i="26"/>
  <c r="G15" i="26"/>
  <c r="I219" i="26"/>
  <c r="J15" i="26"/>
  <c r="Q113" i="26"/>
  <c r="H14" i="26"/>
  <c r="E114" i="26"/>
  <c r="F115" i="26"/>
  <c r="G115" i="26"/>
  <c r="O113" i="26"/>
  <c r="L115" i="26"/>
  <c r="I115" i="26"/>
  <c r="Q14" i="26"/>
  <c r="R15" i="26"/>
  <c r="U115" i="26"/>
  <c r="S15" i="26"/>
  <c r="Q114" i="26"/>
  <c r="P15" i="26"/>
  <c r="K14" i="26"/>
  <c r="E14" i="26"/>
  <c r="M14" i="26"/>
  <c r="F15" i="26"/>
  <c r="K114" i="26"/>
  <c r="M113" i="26"/>
  <c r="H114" i="26"/>
  <c r="L15" i="26"/>
  <c r="J115" i="26"/>
  <c r="N115" i="26"/>
  <c r="S115" i="26"/>
  <c r="AQ15" i="26" l="1"/>
  <c r="AO15" i="26"/>
  <c r="AU15" i="26" s="1"/>
  <c r="AE14" i="26"/>
  <c r="Y14" i="26"/>
  <c r="BM14" i="26"/>
  <c r="BN14" i="26" s="1"/>
  <c r="AB14" i="26"/>
  <c r="V14" i="26"/>
  <c r="AD14" i="26"/>
  <c r="X14" i="26"/>
  <c r="AS15" i="26"/>
  <c r="AT15" i="26"/>
  <c r="AG14" i="26"/>
  <c r="AA14" i="26"/>
  <c r="AC14" i="26"/>
  <c r="W14" i="26"/>
  <c r="AR15" i="26"/>
  <c r="AF14" i="26"/>
  <c r="Z14" i="26"/>
  <c r="AP15" i="26"/>
  <c r="AV15" i="26" s="1"/>
  <c r="AJ13" i="26"/>
  <c r="AY15" i="26"/>
  <c r="AY14" i="26"/>
  <c r="AH13" i="26"/>
  <c r="AI13" i="26"/>
  <c r="AZ15" i="26"/>
  <c r="AZ14" i="26"/>
  <c r="AK13" i="26"/>
  <c r="AL13" i="26"/>
  <c r="AL14" i="26"/>
  <c r="AX14" i="26"/>
  <c r="AW14" i="26"/>
  <c r="Y113" i="26"/>
  <c r="X113" i="26"/>
  <c r="V113" i="26"/>
  <c r="Z113" i="26"/>
  <c r="AA113" i="26"/>
  <c r="W113" i="26"/>
  <c r="B220" i="26"/>
  <c r="X114" i="26"/>
  <c r="AA114" i="26"/>
  <c r="Z114" i="26"/>
  <c r="Y114" i="26"/>
  <c r="V114" i="26"/>
  <c r="C115" i="26"/>
  <c r="W114" i="26"/>
  <c r="B117" i="26"/>
  <c r="B118" i="26" s="1"/>
  <c r="C15" i="26"/>
  <c r="B17" i="26"/>
  <c r="I16" i="26"/>
  <c r="L16" i="26"/>
  <c r="N16" i="26"/>
  <c r="J16" i="26"/>
  <c r="D219" i="26"/>
  <c r="O115" i="26"/>
  <c r="K219" i="26"/>
  <c r="P16" i="26"/>
  <c r="M115" i="26"/>
  <c r="R16" i="26"/>
  <c r="S220" i="26"/>
  <c r="M15" i="26"/>
  <c r="F116" i="26"/>
  <c r="S116" i="26"/>
  <c r="F219" i="26"/>
  <c r="R116" i="26"/>
  <c r="G116" i="26"/>
  <c r="K115" i="26"/>
  <c r="I116" i="26"/>
  <c r="E15" i="26"/>
  <c r="S219" i="26"/>
  <c r="D16" i="26"/>
  <c r="D220" i="26"/>
  <c r="G220" i="26"/>
  <c r="F16" i="26"/>
  <c r="G16" i="26"/>
  <c r="H15" i="26"/>
  <c r="R219" i="26"/>
  <c r="U116" i="26"/>
  <c r="J116" i="26"/>
  <c r="Q15" i="26"/>
  <c r="N118" i="26"/>
  <c r="K15" i="26"/>
  <c r="H115" i="26"/>
  <c r="L116" i="26"/>
  <c r="E115" i="26"/>
  <c r="N116" i="26"/>
  <c r="G219" i="26"/>
  <c r="D116" i="26"/>
  <c r="P116" i="26"/>
  <c r="O15" i="26"/>
  <c r="S16" i="26"/>
  <c r="J219" i="26"/>
  <c r="P219" i="26"/>
  <c r="N219" i="26"/>
  <c r="U219" i="26"/>
  <c r="Q115" i="26"/>
  <c r="AF15" i="26" l="1"/>
  <c r="Z15" i="26"/>
  <c r="AD15" i="26"/>
  <c r="AK15" i="26" s="1"/>
  <c r="X15" i="26"/>
  <c r="AG15" i="26"/>
  <c r="AA15" i="26"/>
  <c r="AC15" i="26"/>
  <c r="W15" i="26"/>
  <c r="AO16" i="26"/>
  <c r="AU16" i="26" s="1"/>
  <c r="BM15" i="26"/>
  <c r="BN15" i="26" s="1"/>
  <c r="AB15" i="26"/>
  <c r="V15" i="26"/>
  <c r="AE15" i="26"/>
  <c r="Y15" i="26"/>
  <c r="AT16" i="26"/>
  <c r="AS16" i="26"/>
  <c r="AR16" i="26"/>
  <c r="AQ16" i="26"/>
  <c r="AP16" i="26"/>
  <c r="AV16" i="26" s="1"/>
  <c r="AX15" i="26"/>
  <c r="AX16" i="26"/>
  <c r="AJ14" i="26"/>
  <c r="AN15" i="26"/>
  <c r="AN14" i="26"/>
  <c r="AH14" i="26"/>
  <c r="AI14" i="26"/>
  <c r="AK14" i="26"/>
  <c r="AM15" i="26"/>
  <c r="AM14" i="26"/>
  <c r="AZ16" i="26"/>
  <c r="AW15" i="26"/>
  <c r="C219" i="26"/>
  <c r="Z218" i="26"/>
  <c r="AA218" i="26"/>
  <c r="X219" i="26"/>
  <c r="B221" i="26"/>
  <c r="B119" i="26"/>
  <c r="X115" i="26"/>
  <c r="Y115" i="26"/>
  <c r="W115" i="26"/>
  <c r="V115" i="26"/>
  <c r="AA115" i="26"/>
  <c r="C116" i="26"/>
  <c r="Z115" i="26"/>
  <c r="C16" i="26"/>
  <c r="B18" i="26"/>
  <c r="B19" i="26" s="1"/>
  <c r="F117" i="26"/>
  <c r="U117" i="26"/>
  <c r="R117" i="26"/>
  <c r="G118" i="26"/>
  <c r="O116" i="26"/>
  <c r="D17" i="26"/>
  <c r="M16" i="26"/>
  <c r="R220" i="26"/>
  <c r="L118" i="26"/>
  <c r="J117" i="26"/>
  <c r="H16" i="26"/>
  <c r="U118" i="26"/>
  <c r="G17" i="26"/>
  <c r="I17" i="26"/>
  <c r="F220" i="26"/>
  <c r="I117" i="26"/>
  <c r="E219" i="26"/>
  <c r="F17" i="26"/>
  <c r="R118" i="26"/>
  <c r="N117" i="26"/>
  <c r="S117" i="26"/>
  <c r="O219" i="26"/>
  <c r="L220" i="26"/>
  <c r="P220" i="26"/>
  <c r="Q116" i="26"/>
  <c r="L17" i="26"/>
  <c r="M116" i="26"/>
  <c r="R17" i="26"/>
  <c r="K16" i="26"/>
  <c r="P117" i="26"/>
  <c r="D118" i="26"/>
  <c r="J220" i="26"/>
  <c r="L221" i="26"/>
  <c r="G117" i="26"/>
  <c r="D117" i="26"/>
  <c r="U220" i="26"/>
  <c r="K116" i="26"/>
  <c r="S118" i="26"/>
  <c r="P17" i="26"/>
  <c r="J118" i="26"/>
  <c r="I118" i="26"/>
  <c r="M219" i="26"/>
  <c r="E16" i="26"/>
  <c r="S17" i="26"/>
  <c r="R19" i="26"/>
  <c r="L117" i="26"/>
  <c r="M118" i="26"/>
  <c r="J17" i="26"/>
  <c r="Q219" i="26"/>
  <c r="F118" i="26"/>
  <c r="I220" i="26"/>
  <c r="N17" i="26"/>
  <c r="P118" i="26"/>
  <c r="E116" i="26"/>
  <c r="N220" i="26"/>
  <c r="H116" i="26"/>
  <c r="Q16" i="26"/>
  <c r="O16" i="26"/>
  <c r="H219" i="26"/>
  <c r="F119" i="26"/>
  <c r="AF16" i="26" l="1"/>
  <c r="Z16" i="26"/>
  <c r="AG16" i="26"/>
  <c r="AA16" i="26"/>
  <c r="AR17" i="26"/>
  <c r="AT19" i="26"/>
  <c r="BM16" i="26"/>
  <c r="BN16" i="26" s="1"/>
  <c r="AB16" i="26"/>
  <c r="V16" i="26"/>
  <c r="AS17" i="26"/>
  <c r="AD16" i="26"/>
  <c r="X16" i="26"/>
  <c r="AT17" i="26"/>
  <c r="AQ17" i="26"/>
  <c r="AO17" i="26"/>
  <c r="AU17" i="26" s="1"/>
  <c r="AP17" i="26"/>
  <c r="AV17" i="26" s="1"/>
  <c r="AC16" i="26"/>
  <c r="W16" i="26"/>
  <c r="AE16" i="26"/>
  <c r="Y16" i="26"/>
  <c r="AW16" i="26"/>
  <c r="AY17" i="26"/>
  <c r="AY16" i="26"/>
  <c r="AZ17" i="26"/>
  <c r="AL15" i="26"/>
  <c r="AH15" i="26"/>
  <c r="AI15" i="26"/>
  <c r="AJ15" i="26"/>
  <c r="AK16" i="26"/>
  <c r="AA219" i="26"/>
  <c r="C118" i="26"/>
  <c r="C220" i="26"/>
  <c r="Z219" i="26"/>
  <c r="W219" i="26"/>
  <c r="V219" i="26"/>
  <c r="Y219" i="26"/>
  <c r="Y118" i="26"/>
  <c r="B222" i="26"/>
  <c r="B120" i="26"/>
  <c r="B121" i="26" s="1"/>
  <c r="B20" i="26"/>
  <c r="AA116" i="26"/>
  <c r="Z116" i="26"/>
  <c r="W116" i="26"/>
  <c r="C117" i="26"/>
  <c r="X116" i="26"/>
  <c r="Y116" i="26"/>
  <c r="V116" i="26"/>
  <c r="C17" i="26"/>
  <c r="D119" i="26"/>
  <c r="I19" i="26"/>
  <c r="J19" i="26"/>
  <c r="M117" i="26"/>
  <c r="R119" i="26"/>
  <c r="Q118" i="26"/>
  <c r="S19" i="26"/>
  <c r="G221" i="26"/>
  <c r="R222" i="26"/>
  <c r="E220" i="26"/>
  <c r="S119" i="26"/>
  <c r="R221" i="26"/>
  <c r="K17" i="26"/>
  <c r="M17" i="26"/>
  <c r="N221" i="26"/>
  <c r="K118" i="26"/>
  <c r="J119" i="26"/>
  <c r="Q220" i="26"/>
  <c r="R18" i="26"/>
  <c r="F18" i="26"/>
  <c r="G119" i="26"/>
  <c r="I119" i="26"/>
  <c r="E17" i="26"/>
  <c r="K220" i="26"/>
  <c r="N119" i="26"/>
  <c r="K221" i="26"/>
  <c r="O117" i="26"/>
  <c r="H17" i="26"/>
  <c r="E117" i="26"/>
  <c r="J221" i="26"/>
  <c r="N19" i="26"/>
  <c r="N20" i="26"/>
  <c r="K117" i="26"/>
  <c r="U119" i="26"/>
  <c r="O17" i="26"/>
  <c r="H118" i="26"/>
  <c r="L19" i="26"/>
  <c r="L119" i="26"/>
  <c r="G19" i="26"/>
  <c r="S221" i="26"/>
  <c r="O220" i="26"/>
  <c r="O118" i="26"/>
  <c r="I221" i="26"/>
  <c r="Q19" i="26"/>
  <c r="J18" i="26"/>
  <c r="F19" i="26"/>
  <c r="P19" i="26"/>
  <c r="G18" i="26"/>
  <c r="I18" i="26"/>
  <c r="E118" i="26"/>
  <c r="F221" i="26"/>
  <c r="P119" i="26"/>
  <c r="H117" i="26"/>
  <c r="Q17" i="26"/>
  <c r="Q117" i="26"/>
  <c r="L18" i="26"/>
  <c r="D19" i="26"/>
  <c r="D18" i="26"/>
  <c r="D221" i="26"/>
  <c r="M220" i="26"/>
  <c r="N18" i="26"/>
  <c r="P18" i="26"/>
  <c r="U221" i="26"/>
  <c r="F222" i="26"/>
  <c r="H220" i="26"/>
  <c r="I20" i="26"/>
  <c r="R20" i="26"/>
  <c r="S18" i="26"/>
  <c r="P221" i="26"/>
  <c r="AT20" i="26" l="1"/>
  <c r="AP20" i="26"/>
  <c r="AS18" i="26"/>
  <c r="AR18" i="26"/>
  <c r="AA19" i="26"/>
  <c r="AQ18" i="26"/>
  <c r="AG17" i="26"/>
  <c r="AA17" i="26"/>
  <c r="AP18" i="26"/>
  <c r="AV18" i="26" s="1"/>
  <c r="AS19" i="26"/>
  <c r="AY19" i="26" s="1"/>
  <c r="AO19" i="26"/>
  <c r="AG19" i="26"/>
  <c r="AQ19" i="26"/>
  <c r="AF17" i="26"/>
  <c r="Z17" i="26"/>
  <c r="AR20" i="26"/>
  <c r="AR19" i="26"/>
  <c r="AC17" i="26"/>
  <c r="W17" i="26"/>
  <c r="BM17" i="26"/>
  <c r="BN17" i="26" s="1"/>
  <c r="AB17" i="26"/>
  <c r="V17" i="26"/>
  <c r="AO18" i="26"/>
  <c r="AU18" i="26" s="1"/>
  <c r="AT18" i="26"/>
  <c r="AE17" i="26"/>
  <c r="Y17" i="26"/>
  <c r="AD17" i="26"/>
  <c r="X17" i="26"/>
  <c r="AP19" i="26"/>
  <c r="AV19" i="26" s="1"/>
  <c r="AW17" i="26"/>
  <c r="AW18" i="26"/>
  <c r="AH16" i="26"/>
  <c r="AI16" i="26"/>
  <c r="AW19" i="26"/>
  <c r="AL16" i="26"/>
  <c r="AJ16" i="26"/>
  <c r="AZ20" i="26"/>
  <c r="AX17" i="26"/>
  <c r="AN17" i="26"/>
  <c r="AN16" i="26"/>
  <c r="AM16" i="26"/>
  <c r="AM17" i="26"/>
  <c r="X118" i="26"/>
  <c r="C19" i="26"/>
  <c r="C119" i="26"/>
  <c r="AA118" i="26"/>
  <c r="V220" i="26"/>
  <c r="Z220" i="26"/>
  <c r="Y220" i="26"/>
  <c r="W220" i="26"/>
  <c r="AA220" i="26"/>
  <c r="X220" i="26"/>
  <c r="W118" i="26"/>
  <c r="C221" i="26"/>
  <c r="V118" i="26"/>
  <c r="Z118" i="26"/>
  <c r="X221" i="26"/>
  <c r="B223" i="26"/>
  <c r="B122" i="26"/>
  <c r="W120" i="26"/>
  <c r="AA120" i="26"/>
  <c r="Z120" i="26"/>
  <c r="X120" i="26"/>
  <c r="Y120" i="26"/>
  <c r="B21" i="26"/>
  <c r="X117" i="26"/>
  <c r="Z117" i="26"/>
  <c r="W117" i="26"/>
  <c r="AA117" i="26"/>
  <c r="V117" i="26"/>
  <c r="Y117" i="26"/>
  <c r="C18" i="26"/>
  <c r="E119" i="26"/>
  <c r="Q222" i="26"/>
  <c r="K119" i="26"/>
  <c r="R223" i="26"/>
  <c r="Q18" i="26"/>
  <c r="O221" i="26"/>
  <c r="E19" i="26"/>
  <c r="N222" i="26"/>
  <c r="G222" i="26"/>
  <c r="J222" i="26"/>
  <c r="S20" i="26"/>
  <c r="S222" i="26"/>
  <c r="P20" i="26"/>
  <c r="J20" i="26"/>
  <c r="G223" i="26"/>
  <c r="O18" i="26"/>
  <c r="H18" i="26"/>
  <c r="G20" i="26"/>
  <c r="L20" i="26"/>
  <c r="E221" i="26"/>
  <c r="H19" i="26"/>
  <c r="L122" i="26"/>
  <c r="D222" i="26"/>
  <c r="L222" i="26"/>
  <c r="L223" i="26"/>
  <c r="P21" i="26"/>
  <c r="H221" i="26"/>
  <c r="Q221" i="26"/>
  <c r="P223" i="26"/>
  <c r="D122" i="26"/>
  <c r="D20" i="26"/>
  <c r="U122" i="26"/>
  <c r="U222" i="26"/>
  <c r="E18" i="26"/>
  <c r="M18" i="26"/>
  <c r="Q20" i="26"/>
  <c r="H119" i="26"/>
  <c r="F223" i="26"/>
  <c r="O119" i="26"/>
  <c r="K19" i="26"/>
  <c r="R21" i="26"/>
  <c r="K18" i="26"/>
  <c r="P222" i="26"/>
  <c r="O19" i="26"/>
  <c r="F20" i="26"/>
  <c r="M221" i="26"/>
  <c r="M19" i="26"/>
  <c r="I222" i="26"/>
  <c r="M20" i="26"/>
  <c r="Q119" i="26"/>
  <c r="M119" i="26"/>
  <c r="AE20" i="26" l="1"/>
  <c r="AE19" i="26"/>
  <c r="Y19" i="26"/>
  <c r="AO20" i="26"/>
  <c r="AU20" i="26" s="1"/>
  <c r="AF19" i="26"/>
  <c r="Z19" i="26"/>
  <c r="AD18" i="26"/>
  <c r="X18" i="26"/>
  <c r="AT21" i="26"/>
  <c r="AD19" i="26"/>
  <c r="X19" i="26"/>
  <c r="AG20" i="26"/>
  <c r="AE18" i="26"/>
  <c r="Y18" i="26"/>
  <c r="BM18" i="26"/>
  <c r="BN18" i="26" s="1"/>
  <c r="AB18" i="26"/>
  <c r="V18" i="26"/>
  <c r="Y20" i="26"/>
  <c r="AA20" i="26"/>
  <c r="AS21" i="26"/>
  <c r="AC19" i="26"/>
  <c r="W19" i="26"/>
  <c r="AQ20" i="26"/>
  <c r="AW20" i="26" s="1"/>
  <c r="AC18" i="26"/>
  <c r="W18" i="26"/>
  <c r="AF18" i="26"/>
  <c r="Z18" i="26"/>
  <c r="AS20" i="26"/>
  <c r="AY20" i="26" s="1"/>
  <c r="BM19" i="26"/>
  <c r="BN19" i="26" s="1"/>
  <c r="AB19" i="26"/>
  <c r="V19" i="26"/>
  <c r="AG18" i="26"/>
  <c r="AA18" i="26"/>
  <c r="AK17" i="26"/>
  <c r="AL18" i="26"/>
  <c r="AL17" i="26"/>
  <c r="AH17" i="26"/>
  <c r="AI17" i="26"/>
  <c r="AU19" i="26"/>
  <c r="AN18" i="26"/>
  <c r="AX18" i="26"/>
  <c r="AX19" i="26"/>
  <c r="AV20" i="26"/>
  <c r="AZ19" i="26"/>
  <c r="AZ21" i="26"/>
  <c r="AZ18" i="26"/>
  <c r="AJ17" i="26"/>
  <c r="AX20" i="26"/>
  <c r="AY18" i="26"/>
  <c r="C20" i="26"/>
  <c r="AA119" i="26"/>
  <c r="AA221" i="26"/>
  <c r="Y119" i="26"/>
  <c r="X119" i="26"/>
  <c r="V119" i="26"/>
  <c r="Z119" i="26"/>
  <c r="X121" i="26"/>
  <c r="Z121" i="26"/>
  <c r="AA121" i="26"/>
  <c r="W121" i="26"/>
  <c r="Y121" i="26"/>
  <c r="W119" i="26"/>
  <c r="C222" i="26"/>
  <c r="Y221" i="26"/>
  <c r="Z221" i="26"/>
  <c r="W221" i="26"/>
  <c r="V221" i="26"/>
  <c r="AA222" i="26"/>
  <c r="C122" i="26"/>
  <c r="B224" i="26"/>
  <c r="B123" i="26"/>
  <c r="B22" i="26"/>
  <c r="O20" i="26"/>
  <c r="N122" i="26"/>
  <c r="N223" i="26"/>
  <c r="M222" i="26"/>
  <c r="K122" i="26"/>
  <c r="J21" i="26"/>
  <c r="K222" i="26"/>
  <c r="J22" i="26"/>
  <c r="L21" i="26"/>
  <c r="H20" i="26"/>
  <c r="E223" i="26"/>
  <c r="K20" i="26"/>
  <c r="P122" i="26"/>
  <c r="I223" i="26"/>
  <c r="D224" i="26"/>
  <c r="J122" i="26"/>
  <c r="J123" i="26"/>
  <c r="N21" i="26"/>
  <c r="F21" i="26"/>
  <c r="I224" i="26"/>
  <c r="D223" i="26"/>
  <c r="G21" i="26"/>
  <c r="S223" i="26"/>
  <c r="L224" i="26"/>
  <c r="S122" i="26"/>
  <c r="H222" i="26"/>
  <c r="U223" i="26"/>
  <c r="J223" i="26"/>
  <c r="F122" i="26"/>
  <c r="S21" i="26"/>
  <c r="O222" i="26"/>
  <c r="G122" i="26"/>
  <c r="Q21" i="26"/>
  <c r="Q223" i="26"/>
  <c r="K223" i="26"/>
  <c r="E222" i="26"/>
  <c r="O223" i="26"/>
  <c r="D21" i="26"/>
  <c r="I122" i="26"/>
  <c r="O21" i="26"/>
  <c r="R122" i="26"/>
  <c r="I21" i="26"/>
  <c r="E20" i="26"/>
  <c r="BM20" i="26" l="1"/>
  <c r="BN20" i="26" s="1"/>
  <c r="AB20" i="26"/>
  <c r="V20" i="26"/>
  <c r="AP21" i="26"/>
  <c r="AV21" i="26" s="1"/>
  <c r="AF21" i="26"/>
  <c r="Z21" i="26"/>
  <c r="AA21" i="26"/>
  <c r="AG21" i="26"/>
  <c r="AO21" i="26"/>
  <c r="AU21" i="26" s="1"/>
  <c r="AR21" i="26"/>
  <c r="AD20" i="26"/>
  <c r="X20" i="26"/>
  <c r="AC20" i="26"/>
  <c r="W20" i="26"/>
  <c r="AQ21" i="26"/>
  <c r="AW21" i="26" s="1"/>
  <c r="AF20" i="26"/>
  <c r="Z20" i="26"/>
  <c r="AH19" i="26"/>
  <c r="AI19" i="26"/>
  <c r="AM19" i="26"/>
  <c r="AM18" i="26"/>
  <c r="AJ18" i="26"/>
  <c r="AY21" i="26"/>
  <c r="AH18" i="26"/>
  <c r="AI18" i="26"/>
  <c r="AN20" i="26"/>
  <c r="AK19" i="26"/>
  <c r="AN19" i="26"/>
  <c r="AJ19" i="26"/>
  <c r="AL19" i="26"/>
  <c r="AK18" i="26"/>
  <c r="AL20" i="26"/>
  <c r="C21" i="26"/>
  <c r="C223" i="26"/>
  <c r="Z222" i="26"/>
  <c r="W222" i="26"/>
  <c r="Y222" i="26"/>
  <c r="V222" i="26"/>
  <c r="X222" i="26"/>
  <c r="Z223" i="26"/>
  <c r="X122" i="26"/>
  <c r="V223" i="26"/>
  <c r="X223" i="26"/>
  <c r="AA223" i="26"/>
  <c r="B124" i="26"/>
  <c r="B225" i="26"/>
  <c r="B23" i="26"/>
  <c r="K224" i="26"/>
  <c r="N224" i="26"/>
  <c r="S224" i="26"/>
  <c r="S123" i="26"/>
  <c r="I22" i="26"/>
  <c r="M21" i="26"/>
  <c r="L22" i="26"/>
  <c r="N22" i="26"/>
  <c r="P123" i="26"/>
  <c r="P22" i="26"/>
  <c r="P224" i="26"/>
  <c r="G224" i="26"/>
  <c r="O122" i="26"/>
  <c r="F123" i="26"/>
  <c r="H223" i="26"/>
  <c r="K21" i="26"/>
  <c r="H122" i="26"/>
  <c r="F224" i="26"/>
  <c r="L123" i="26"/>
  <c r="U123" i="26"/>
  <c r="J224" i="26"/>
  <c r="U224" i="26"/>
  <c r="D22" i="26"/>
  <c r="E122" i="26"/>
  <c r="R224" i="26"/>
  <c r="S22" i="26"/>
  <c r="Q122" i="26"/>
  <c r="N123" i="26"/>
  <c r="I123" i="26"/>
  <c r="R22" i="26"/>
  <c r="H21" i="26"/>
  <c r="E21" i="26"/>
  <c r="D123" i="26"/>
  <c r="G124" i="26"/>
  <c r="G123" i="26"/>
  <c r="F22" i="26"/>
  <c r="M122" i="26"/>
  <c r="M223" i="26"/>
  <c r="F225" i="26"/>
  <c r="R123" i="26"/>
  <c r="G22" i="26"/>
  <c r="S23" i="26"/>
  <c r="P124" i="26"/>
  <c r="AO22" i="26" l="1"/>
  <c r="AU22" i="26" s="1"/>
  <c r="BM21" i="26"/>
  <c r="BN21" i="26" s="1"/>
  <c r="AB21" i="26"/>
  <c r="V21" i="26"/>
  <c r="AC21" i="26"/>
  <c r="W21" i="26"/>
  <c r="AT22" i="26"/>
  <c r="AZ22" i="26" s="1"/>
  <c r="AD21" i="26"/>
  <c r="X21" i="26"/>
  <c r="AS22" i="26"/>
  <c r="AY22" i="26" s="1"/>
  <c r="AR22" i="26"/>
  <c r="AQ22" i="26"/>
  <c r="AE21" i="26"/>
  <c r="Y21" i="26"/>
  <c r="AP22" i="26"/>
  <c r="AV22" i="26" s="1"/>
  <c r="AX21" i="26"/>
  <c r="AX22" i="26"/>
  <c r="AN21" i="26"/>
  <c r="AH20" i="26"/>
  <c r="AI20" i="26"/>
  <c r="AM21" i="26"/>
  <c r="AM20" i="26"/>
  <c r="AJ20" i="26"/>
  <c r="AK20" i="26"/>
  <c r="Z122" i="26"/>
  <c r="C123" i="26"/>
  <c r="Y223" i="26"/>
  <c r="W223" i="26"/>
  <c r="C22" i="26"/>
  <c r="C224" i="26"/>
  <c r="AA122" i="26"/>
  <c r="W122" i="26"/>
  <c r="Y122" i="26"/>
  <c r="V122" i="26"/>
  <c r="X224" i="26"/>
  <c r="B226" i="26"/>
  <c r="B227" i="26" s="1"/>
  <c r="B228" i="26" s="1"/>
  <c r="B125" i="26"/>
  <c r="B24" i="26"/>
  <c r="B25" i="26" s="1"/>
  <c r="M224" i="26"/>
  <c r="M22" i="26"/>
  <c r="D225" i="26"/>
  <c r="E224" i="26"/>
  <c r="Q224" i="26"/>
  <c r="J225" i="26"/>
  <c r="I225" i="26"/>
  <c r="F23" i="26"/>
  <c r="R225" i="26"/>
  <c r="R124" i="26"/>
  <c r="N225" i="26"/>
  <c r="N23" i="26"/>
  <c r="H123" i="26"/>
  <c r="S225" i="26"/>
  <c r="F124" i="26"/>
  <c r="O124" i="26"/>
  <c r="Q123" i="26"/>
  <c r="O22" i="26"/>
  <c r="U225" i="26"/>
  <c r="J124" i="26"/>
  <c r="E123" i="26"/>
  <c r="I23" i="26"/>
  <c r="L225" i="26"/>
  <c r="L124" i="26"/>
  <c r="R23" i="26"/>
  <c r="D23" i="26"/>
  <c r="D124" i="26"/>
  <c r="I124" i="26"/>
  <c r="K123" i="26"/>
  <c r="P225" i="26"/>
  <c r="J125" i="26"/>
  <c r="U124" i="26"/>
  <c r="O123" i="26"/>
  <c r="L23" i="26"/>
  <c r="H224" i="26"/>
  <c r="E22" i="26"/>
  <c r="Q22" i="26"/>
  <c r="G23" i="26"/>
  <c r="N124" i="26"/>
  <c r="K22" i="26"/>
  <c r="S124" i="26"/>
  <c r="J23" i="26"/>
  <c r="M123" i="26"/>
  <c r="G225" i="26"/>
  <c r="H22" i="26"/>
  <c r="O224" i="26"/>
  <c r="P23" i="26"/>
  <c r="AS23" i="26" l="1"/>
  <c r="AC22" i="26"/>
  <c r="W22" i="26"/>
  <c r="AD22" i="26"/>
  <c r="X22" i="26"/>
  <c r="AG22" i="26"/>
  <c r="AA22" i="26"/>
  <c r="BM22" i="26"/>
  <c r="BN22" i="26" s="1"/>
  <c r="AB22" i="26"/>
  <c r="V22" i="26"/>
  <c r="AQ23" i="26"/>
  <c r="AT23" i="26"/>
  <c r="AP23" i="26"/>
  <c r="AF22" i="26"/>
  <c r="Z22" i="26"/>
  <c r="AR23" i="26"/>
  <c r="AO23" i="26"/>
  <c r="AE22" i="26"/>
  <c r="Y22" i="26"/>
  <c r="AW22" i="26"/>
  <c r="AK21" i="26"/>
  <c r="AL21" i="26"/>
  <c r="AJ21" i="26"/>
  <c r="AH21" i="26"/>
  <c r="AI21" i="26"/>
  <c r="C124" i="26"/>
  <c r="W123" i="26"/>
  <c r="Y123" i="26"/>
  <c r="C23" i="26"/>
  <c r="X123" i="26"/>
  <c r="Z123" i="26"/>
  <c r="V123" i="26"/>
  <c r="AA123" i="26"/>
  <c r="W224" i="26"/>
  <c r="Z224" i="26"/>
  <c r="AA224" i="26"/>
  <c r="C225" i="26"/>
  <c r="Y224" i="26"/>
  <c r="V224" i="26"/>
  <c r="Z124" i="26"/>
  <c r="B126" i="26"/>
  <c r="B26" i="26"/>
  <c r="U226" i="26"/>
  <c r="E23" i="26"/>
  <c r="F125" i="26"/>
  <c r="J227" i="26"/>
  <c r="U125" i="26"/>
  <c r="G125" i="26"/>
  <c r="F227" i="26"/>
  <c r="G226" i="26"/>
  <c r="I226" i="26"/>
  <c r="Q124" i="26"/>
  <c r="H124" i="26"/>
  <c r="I26" i="26"/>
  <c r="S226" i="26"/>
  <c r="L227" i="26"/>
  <c r="R227" i="26"/>
  <c r="I227" i="26"/>
  <c r="F26" i="26"/>
  <c r="S125" i="26"/>
  <c r="E225" i="26"/>
  <c r="L125" i="26"/>
  <c r="K124" i="26"/>
  <c r="O23" i="26"/>
  <c r="G227" i="26"/>
  <c r="H23" i="26"/>
  <c r="H225" i="26"/>
  <c r="N226" i="26"/>
  <c r="M225" i="26"/>
  <c r="L226" i="26"/>
  <c r="N125" i="26"/>
  <c r="F126" i="26"/>
  <c r="F226" i="26"/>
  <c r="E124" i="26"/>
  <c r="Q23" i="26"/>
  <c r="K225" i="26"/>
  <c r="D226" i="26"/>
  <c r="P125" i="26"/>
  <c r="D125" i="26"/>
  <c r="O225" i="26"/>
  <c r="I125" i="26"/>
  <c r="N227" i="26"/>
  <c r="D227" i="26"/>
  <c r="R125" i="26"/>
  <c r="P226" i="26"/>
  <c r="K23" i="26"/>
  <c r="R226" i="26"/>
  <c r="M124" i="26"/>
  <c r="M23" i="26"/>
  <c r="J226" i="26"/>
  <c r="Q225" i="26"/>
  <c r="U227" i="26"/>
  <c r="P227" i="26"/>
  <c r="S227" i="26"/>
  <c r="AE23" i="26" l="1"/>
  <c r="Y23" i="26"/>
  <c r="AD23" i="26"/>
  <c r="X23" i="26"/>
  <c r="AG23" i="26"/>
  <c r="AA23" i="26"/>
  <c r="AC23" i="26"/>
  <c r="W23" i="26"/>
  <c r="AF23" i="26"/>
  <c r="Z23" i="26"/>
  <c r="AO26" i="26"/>
  <c r="AU26" i="26" s="1"/>
  <c r="AP26" i="26"/>
  <c r="AV26" i="26" s="1"/>
  <c r="BM23" i="26"/>
  <c r="BN23" i="26" s="1"/>
  <c r="AB23" i="26"/>
  <c r="V23" i="26"/>
  <c r="AL22" i="26"/>
  <c r="AX25" i="26"/>
  <c r="AX24" i="26"/>
  <c r="AX23" i="26"/>
  <c r="AM22" i="26"/>
  <c r="AZ25" i="26"/>
  <c r="AZ24" i="26"/>
  <c r="AZ23" i="26"/>
  <c r="AN22" i="26"/>
  <c r="AK22" i="26"/>
  <c r="AJ22" i="26"/>
  <c r="AU23" i="26"/>
  <c r="AU25" i="26"/>
  <c r="AU24" i="26"/>
  <c r="AV25" i="26"/>
  <c r="AV24" i="26"/>
  <c r="AV23" i="26"/>
  <c r="AW23" i="26"/>
  <c r="AW25" i="26"/>
  <c r="AW24" i="26"/>
  <c r="AH22" i="26"/>
  <c r="AI22" i="26"/>
  <c r="AY23" i="26"/>
  <c r="AY25" i="26"/>
  <c r="AY24" i="26"/>
  <c r="C125" i="26"/>
  <c r="Y124" i="26"/>
  <c r="C227" i="26"/>
  <c r="V225" i="26"/>
  <c r="X225" i="26"/>
  <c r="B229" i="26"/>
  <c r="B230" i="26" s="1"/>
  <c r="C226" i="26"/>
  <c r="Y225" i="26"/>
  <c r="AA225" i="26"/>
  <c r="AA124" i="26"/>
  <c r="W225" i="26"/>
  <c r="V124" i="26"/>
  <c r="Z225" i="26"/>
  <c r="X124" i="26"/>
  <c r="W124" i="26"/>
  <c r="B27" i="26"/>
  <c r="B127" i="26"/>
  <c r="U228" i="26"/>
  <c r="J228" i="26"/>
  <c r="K125" i="26"/>
  <c r="S126" i="26"/>
  <c r="O226" i="26"/>
  <c r="S26" i="26"/>
  <c r="J230" i="26"/>
  <c r="Q227" i="26"/>
  <c r="U126" i="26"/>
  <c r="N126" i="26"/>
  <c r="P228" i="26"/>
  <c r="H227" i="26"/>
  <c r="G126" i="26"/>
  <c r="L26" i="26"/>
  <c r="I228" i="26"/>
  <c r="G26" i="26"/>
  <c r="M125" i="26"/>
  <c r="D230" i="26"/>
  <c r="G127" i="26"/>
  <c r="N26" i="26"/>
  <c r="P126" i="26"/>
  <c r="D26" i="26"/>
  <c r="R228" i="26"/>
  <c r="Q125" i="26"/>
  <c r="D228" i="26"/>
  <c r="H125" i="26"/>
  <c r="M227" i="26"/>
  <c r="E227" i="26"/>
  <c r="R126" i="26"/>
  <c r="E125" i="26"/>
  <c r="P26" i="26"/>
  <c r="R26" i="26"/>
  <c r="K226" i="26"/>
  <c r="F228" i="26"/>
  <c r="Q226" i="26"/>
  <c r="N228" i="26"/>
  <c r="S228" i="26"/>
  <c r="D126" i="26"/>
  <c r="G228" i="26"/>
  <c r="O125" i="26"/>
  <c r="E226" i="26"/>
  <c r="O227" i="26"/>
  <c r="J126" i="26"/>
  <c r="M226" i="26"/>
  <c r="L230" i="26"/>
  <c r="K227" i="26"/>
  <c r="F230" i="26"/>
  <c r="N27" i="26"/>
  <c r="N230" i="26"/>
  <c r="H226" i="26"/>
  <c r="R27" i="26"/>
  <c r="I126" i="26"/>
  <c r="J26" i="26"/>
  <c r="L228" i="26"/>
  <c r="L126" i="26"/>
  <c r="AT27" i="26" l="1"/>
  <c r="AR27" i="26"/>
  <c r="AT26" i="26"/>
  <c r="AZ26" i="26" s="1"/>
  <c r="AS26" i="26"/>
  <c r="AY26" i="26" s="1"/>
  <c r="AR26" i="26"/>
  <c r="AX26" i="26" s="1"/>
  <c r="AQ26" i="26"/>
  <c r="AH23" i="26"/>
  <c r="AI23" i="26"/>
  <c r="AI24" i="26"/>
  <c r="AI25" i="26"/>
  <c r="AM24" i="26"/>
  <c r="AM23" i="26"/>
  <c r="AM25" i="26"/>
  <c r="AJ25" i="26"/>
  <c r="AJ23" i="26"/>
  <c r="AJ24" i="26"/>
  <c r="AN23" i="26"/>
  <c r="AN25" i="26"/>
  <c r="AN24" i="26"/>
  <c r="AK24" i="26"/>
  <c r="AK23" i="26"/>
  <c r="AK25" i="26"/>
  <c r="AL25" i="26"/>
  <c r="AL23" i="26"/>
  <c r="AL24" i="26"/>
  <c r="W125" i="26"/>
  <c r="AA125" i="26"/>
  <c r="Y125" i="26"/>
  <c r="B231" i="26"/>
  <c r="B232" i="26" s="1"/>
  <c r="B233" i="26" s="1"/>
  <c r="V227" i="26"/>
  <c r="AA227" i="26"/>
  <c r="V125" i="26"/>
  <c r="Y227" i="26"/>
  <c r="X227" i="26"/>
  <c r="C228" i="26"/>
  <c r="Z125" i="26"/>
  <c r="X125" i="26"/>
  <c r="Z227" i="26"/>
  <c r="W227" i="26"/>
  <c r="V226" i="26"/>
  <c r="C26" i="26"/>
  <c r="X226" i="26"/>
  <c r="Z226" i="26"/>
  <c r="AA226" i="26"/>
  <c r="C126" i="26"/>
  <c r="Y226" i="26"/>
  <c r="W226" i="26"/>
  <c r="B28" i="26"/>
  <c r="B128" i="26"/>
  <c r="M27" i="26"/>
  <c r="S229" i="26"/>
  <c r="R229" i="26"/>
  <c r="F229" i="26"/>
  <c r="K126" i="26"/>
  <c r="L27" i="26"/>
  <c r="G27" i="26"/>
  <c r="S230" i="26"/>
  <c r="F128" i="26"/>
  <c r="U230" i="26"/>
  <c r="D27" i="26"/>
  <c r="K26" i="26"/>
  <c r="M230" i="26"/>
  <c r="P229" i="26"/>
  <c r="J229" i="26"/>
  <c r="N28" i="26"/>
  <c r="I127" i="26"/>
  <c r="U128" i="26"/>
  <c r="E26" i="26"/>
  <c r="S127" i="26"/>
  <c r="E126" i="26"/>
  <c r="I27" i="26"/>
  <c r="Q228" i="26"/>
  <c r="I229" i="26"/>
  <c r="G233" i="26"/>
  <c r="M228" i="26"/>
  <c r="F27" i="26"/>
  <c r="H26" i="26"/>
  <c r="G230" i="26"/>
  <c r="K228" i="26"/>
  <c r="M26" i="26"/>
  <c r="D229" i="26"/>
  <c r="O26" i="26"/>
  <c r="Q26" i="26"/>
  <c r="Q126" i="26"/>
  <c r="R230" i="26"/>
  <c r="D127" i="26"/>
  <c r="Q27" i="26"/>
  <c r="E228" i="26"/>
  <c r="O126" i="26"/>
  <c r="U229" i="26"/>
  <c r="J127" i="26"/>
  <c r="U127" i="26"/>
  <c r="P230" i="26"/>
  <c r="L127" i="26"/>
  <c r="N229" i="26"/>
  <c r="G229" i="26"/>
  <c r="I230" i="26"/>
  <c r="H126" i="26"/>
  <c r="K230" i="26"/>
  <c r="J27" i="26"/>
  <c r="M126" i="26"/>
  <c r="L229" i="26"/>
  <c r="F127" i="26"/>
  <c r="P127" i="26"/>
  <c r="R127" i="26"/>
  <c r="N127" i="26"/>
  <c r="S27" i="26"/>
  <c r="O228" i="26"/>
  <c r="H228" i="26"/>
  <c r="P27" i="26"/>
  <c r="AS27" i="26" l="1"/>
  <c r="AY27" i="26" s="1"/>
  <c r="AG27" i="26"/>
  <c r="AG26" i="26"/>
  <c r="AA26" i="26"/>
  <c r="AF26" i="26"/>
  <c r="Z26" i="26"/>
  <c r="AE26" i="26"/>
  <c r="Y26" i="26"/>
  <c r="AC26" i="26"/>
  <c r="W26" i="26"/>
  <c r="AO27" i="26"/>
  <c r="AU27" i="26" s="1"/>
  <c r="AP27" i="26"/>
  <c r="AV27" i="26" s="1"/>
  <c r="BM26" i="26"/>
  <c r="BN26" i="26" s="1"/>
  <c r="AB26" i="26"/>
  <c r="V26" i="26"/>
  <c r="AR28" i="26"/>
  <c r="AX28" i="26" s="1"/>
  <c r="AD26" i="26"/>
  <c r="X26" i="26"/>
  <c r="Y27" i="26"/>
  <c r="AA27" i="26"/>
  <c r="AQ27" i="26"/>
  <c r="AW27" i="26" s="1"/>
  <c r="AE27" i="26"/>
  <c r="AW26" i="26"/>
  <c r="AX27" i="26"/>
  <c r="AZ27" i="26"/>
  <c r="X126" i="26"/>
  <c r="C230" i="26"/>
  <c r="V126" i="26"/>
  <c r="AA126" i="26"/>
  <c r="B234" i="26"/>
  <c r="X230" i="26"/>
  <c r="Y230" i="26"/>
  <c r="C229" i="26"/>
  <c r="Y126" i="26"/>
  <c r="AA228" i="26"/>
  <c r="Y228" i="26"/>
  <c r="W228" i="26"/>
  <c r="X228" i="26"/>
  <c r="W126" i="26"/>
  <c r="C27" i="26"/>
  <c r="V228" i="26"/>
  <c r="Z228" i="26"/>
  <c r="Z126" i="26"/>
  <c r="C127" i="26"/>
  <c r="C128" i="26"/>
  <c r="B29" i="26"/>
  <c r="B129" i="26"/>
  <c r="M229" i="26"/>
  <c r="L234" i="26"/>
  <c r="L233" i="26"/>
  <c r="P232" i="26"/>
  <c r="J28" i="26"/>
  <c r="F233" i="26"/>
  <c r="E27" i="26"/>
  <c r="M28" i="26"/>
  <c r="I232" i="26"/>
  <c r="M127" i="26"/>
  <c r="G231" i="26"/>
  <c r="I231" i="26"/>
  <c r="J234" i="26"/>
  <c r="E229" i="26"/>
  <c r="I128" i="26"/>
  <c r="N128" i="26"/>
  <c r="D231" i="26"/>
  <c r="G232" i="26"/>
  <c r="Q230" i="26"/>
  <c r="J232" i="26"/>
  <c r="P231" i="26"/>
  <c r="H27" i="26"/>
  <c r="S128" i="26"/>
  <c r="S232" i="26"/>
  <c r="D233" i="26"/>
  <c r="J233" i="26"/>
  <c r="D232" i="26"/>
  <c r="I233" i="26"/>
  <c r="S233" i="26"/>
  <c r="O27" i="26"/>
  <c r="O230" i="26"/>
  <c r="H127" i="26"/>
  <c r="U129" i="26"/>
  <c r="R231" i="26"/>
  <c r="I28" i="26"/>
  <c r="G28" i="26"/>
  <c r="P233" i="26"/>
  <c r="J231" i="26"/>
  <c r="R28" i="26"/>
  <c r="U232" i="26"/>
  <c r="R234" i="26"/>
  <c r="F232" i="26"/>
  <c r="D128" i="26"/>
  <c r="L232" i="26"/>
  <c r="K127" i="26"/>
  <c r="H230" i="26"/>
  <c r="S231" i="26"/>
  <c r="R128" i="26"/>
  <c r="G128" i="26"/>
  <c r="O229" i="26"/>
  <c r="U231" i="26"/>
  <c r="L231" i="26"/>
  <c r="N231" i="26"/>
  <c r="U233" i="26"/>
  <c r="F231" i="26"/>
  <c r="S234" i="26"/>
  <c r="Q127" i="26"/>
  <c r="F28" i="26"/>
  <c r="D28" i="26"/>
  <c r="E230" i="26"/>
  <c r="H229" i="26"/>
  <c r="R232" i="26"/>
  <c r="L28" i="26"/>
  <c r="L128" i="26"/>
  <c r="S28" i="26"/>
  <c r="N234" i="26"/>
  <c r="N233" i="26"/>
  <c r="P28" i="26"/>
  <c r="O127" i="26"/>
  <c r="I129" i="26"/>
  <c r="E127" i="26"/>
  <c r="Q229" i="26"/>
  <c r="K229" i="26"/>
  <c r="R233" i="26"/>
  <c r="N232" i="26"/>
  <c r="K27" i="26"/>
  <c r="J128" i="26"/>
  <c r="P128" i="26"/>
  <c r="R29" i="26"/>
  <c r="AT29" i="26" l="1"/>
  <c r="AD27" i="26"/>
  <c r="X27" i="26"/>
  <c r="AS28" i="26"/>
  <c r="AY28" i="26" s="1"/>
  <c r="AQ28" i="26"/>
  <c r="Y28" i="26"/>
  <c r="AO28" i="26"/>
  <c r="AU28" i="26" s="1"/>
  <c r="AT28" i="26"/>
  <c r="AZ28" i="26" s="1"/>
  <c r="AP28" i="26"/>
  <c r="AV28" i="26" s="1"/>
  <c r="AF27" i="26"/>
  <c r="Z27" i="26"/>
  <c r="AC27" i="26"/>
  <c r="W27" i="26"/>
  <c r="AE28" i="26"/>
  <c r="BM27" i="26"/>
  <c r="BN27" i="26" s="1"/>
  <c r="AB27" i="26"/>
  <c r="V27" i="26"/>
  <c r="AL27" i="26"/>
  <c r="AH26" i="26"/>
  <c r="AI26" i="26"/>
  <c r="AN27" i="26"/>
  <c r="AK26" i="26"/>
  <c r="AJ26" i="26"/>
  <c r="AL26" i="26"/>
  <c r="AM26" i="26"/>
  <c r="AN26" i="26"/>
  <c r="C233" i="26"/>
  <c r="W230" i="26"/>
  <c r="C231" i="26"/>
  <c r="Z230" i="26"/>
  <c r="V230" i="26"/>
  <c r="AA230" i="26"/>
  <c r="C28" i="26"/>
  <c r="AA127" i="26"/>
  <c r="V127" i="26"/>
  <c r="C232" i="26"/>
  <c r="B235" i="26"/>
  <c r="B236" i="26" s="1"/>
  <c r="V229" i="26"/>
  <c r="Y229" i="26"/>
  <c r="Z229" i="26"/>
  <c r="W229" i="26"/>
  <c r="W127" i="26"/>
  <c r="X229" i="26"/>
  <c r="X127" i="26"/>
  <c r="AA229" i="26"/>
  <c r="Z127" i="26"/>
  <c r="Y127" i="26"/>
  <c r="C129" i="26"/>
  <c r="B130" i="26"/>
  <c r="B131" i="26" s="1"/>
  <c r="B30" i="26"/>
  <c r="G29" i="26"/>
  <c r="K128" i="26"/>
  <c r="I29" i="26"/>
  <c r="O231" i="26"/>
  <c r="D236" i="26"/>
  <c r="N235" i="26"/>
  <c r="K233" i="26"/>
  <c r="U234" i="26"/>
  <c r="O128" i="26"/>
  <c r="M233" i="26"/>
  <c r="G236" i="26"/>
  <c r="N29" i="26"/>
  <c r="S129" i="26"/>
  <c r="N129" i="26"/>
  <c r="K234" i="26"/>
  <c r="H232" i="26"/>
  <c r="L129" i="26"/>
  <c r="K231" i="26"/>
  <c r="F131" i="26"/>
  <c r="F234" i="26"/>
  <c r="J236" i="26"/>
  <c r="Q234" i="26"/>
  <c r="N236" i="26"/>
  <c r="E233" i="26"/>
  <c r="F129" i="26"/>
  <c r="J235" i="26"/>
  <c r="F236" i="26"/>
  <c r="K232" i="26"/>
  <c r="P29" i="26"/>
  <c r="M234" i="26"/>
  <c r="R236" i="26"/>
  <c r="I235" i="26"/>
  <c r="J29" i="26"/>
  <c r="D129" i="26"/>
  <c r="O28" i="26"/>
  <c r="H233" i="26"/>
  <c r="D235" i="26"/>
  <c r="P236" i="26"/>
  <c r="E232" i="26"/>
  <c r="M128" i="26"/>
  <c r="R30" i="26"/>
  <c r="P234" i="26"/>
  <c r="L29" i="26"/>
  <c r="E128" i="26"/>
  <c r="I234" i="26"/>
  <c r="R235" i="26"/>
  <c r="U236" i="26"/>
  <c r="M232" i="26"/>
  <c r="D29" i="26"/>
  <c r="Q231" i="26"/>
  <c r="F29" i="26"/>
  <c r="U235" i="26"/>
  <c r="H28" i="26"/>
  <c r="H128" i="26"/>
  <c r="S29" i="26"/>
  <c r="I236" i="26"/>
  <c r="S235" i="26"/>
  <c r="M231" i="26"/>
  <c r="R129" i="26"/>
  <c r="H231" i="26"/>
  <c r="G129" i="26"/>
  <c r="O233" i="26"/>
  <c r="L235" i="26"/>
  <c r="J129" i="26"/>
  <c r="O232" i="26"/>
  <c r="K28" i="26"/>
  <c r="D234" i="26"/>
  <c r="S236" i="26"/>
  <c r="P129" i="26"/>
  <c r="E231" i="26"/>
  <c r="F235" i="26"/>
  <c r="Q128" i="26"/>
  <c r="E28" i="26"/>
  <c r="Q28" i="26"/>
  <c r="P235" i="26"/>
  <c r="G235" i="26"/>
  <c r="Q233" i="26"/>
  <c r="Q232" i="26"/>
  <c r="L236" i="26"/>
  <c r="G234" i="26"/>
  <c r="Q29" i="26"/>
  <c r="AG29" i="26" l="1"/>
  <c r="AG28" i="26"/>
  <c r="AA28" i="26"/>
  <c r="BM28" i="26"/>
  <c r="BN28" i="26" s="1"/>
  <c r="AB28" i="26"/>
  <c r="V28" i="26"/>
  <c r="AD28" i="26"/>
  <c r="X28" i="26"/>
  <c r="AC28" i="26"/>
  <c r="W28" i="26"/>
  <c r="AO29" i="26"/>
  <c r="AU29" i="26" s="1"/>
  <c r="AA29" i="26"/>
  <c r="AQ29" i="26"/>
  <c r="AW29" i="26" s="1"/>
  <c r="AT30" i="26"/>
  <c r="AF28" i="26"/>
  <c r="Z28" i="26"/>
  <c r="AS29" i="26"/>
  <c r="AY29" i="26" s="1"/>
  <c r="AR29" i="26"/>
  <c r="AX29" i="26" s="1"/>
  <c r="AP29" i="26"/>
  <c r="AV29" i="26" s="1"/>
  <c r="AK27" i="26"/>
  <c r="AH27" i="26"/>
  <c r="AI27" i="26"/>
  <c r="AL28" i="26"/>
  <c r="AJ27" i="26"/>
  <c r="AM27" i="26"/>
  <c r="AW28" i="26"/>
  <c r="AZ30" i="26"/>
  <c r="AZ29" i="26"/>
  <c r="C234" i="26"/>
  <c r="Y233" i="26"/>
  <c r="X233" i="26"/>
  <c r="V233" i="26"/>
  <c r="X231" i="26"/>
  <c r="AA232" i="26"/>
  <c r="Z233" i="26"/>
  <c r="Z231" i="26"/>
  <c r="W128" i="26"/>
  <c r="V128" i="26"/>
  <c r="Y232" i="26"/>
  <c r="W233" i="26"/>
  <c r="V232" i="26"/>
  <c r="X232" i="26"/>
  <c r="W232" i="26"/>
  <c r="AA233" i="26"/>
  <c r="AA231" i="26"/>
  <c r="Z232" i="26"/>
  <c r="V231" i="26"/>
  <c r="W231" i="26"/>
  <c r="Y231" i="26"/>
  <c r="Z128" i="26"/>
  <c r="Y128" i="26"/>
  <c r="B132" i="26"/>
  <c r="B133" i="26" s="1"/>
  <c r="B134" i="26" s="1"/>
  <c r="C236" i="26"/>
  <c r="B237" i="26"/>
  <c r="B238" i="26" s="1"/>
  <c r="B239" i="26" s="1"/>
  <c r="B240" i="26" s="1"/>
  <c r="AA234" i="26"/>
  <c r="Y234" i="26"/>
  <c r="X234" i="26"/>
  <c r="C235" i="26"/>
  <c r="X128" i="26"/>
  <c r="C29" i="26"/>
  <c r="AA128" i="26"/>
  <c r="B31" i="26"/>
  <c r="L30" i="26"/>
  <c r="S30" i="26"/>
  <c r="U130" i="26"/>
  <c r="I238" i="26"/>
  <c r="K129" i="26"/>
  <c r="D130" i="26"/>
  <c r="S239" i="26"/>
  <c r="N131" i="26"/>
  <c r="H29" i="26"/>
  <c r="U238" i="26"/>
  <c r="O236" i="26"/>
  <c r="L131" i="26"/>
  <c r="I30" i="26"/>
  <c r="G30" i="26"/>
  <c r="K236" i="26"/>
  <c r="K29" i="26"/>
  <c r="D30" i="26"/>
  <c r="I132" i="26"/>
  <c r="K235" i="26"/>
  <c r="F31" i="26"/>
  <c r="G131" i="26"/>
  <c r="R240" i="26"/>
  <c r="H129" i="26"/>
  <c r="U131" i="26"/>
  <c r="Q30" i="26"/>
  <c r="F132" i="26"/>
  <c r="L130" i="26"/>
  <c r="F30" i="26"/>
  <c r="G130" i="26"/>
  <c r="H236" i="26"/>
  <c r="F130" i="26"/>
  <c r="P130" i="26"/>
  <c r="Q235" i="26"/>
  <c r="M235" i="26"/>
  <c r="E129" i="26"/>
  <c r="O29" i="26"/>
  <c r="Q129" i="26"/>
  <c r="O129" i="26"/>
  <c r="J131" i="26"/>
  <c r="R130" i="26"/>
  <c r="S132" i="26"/>
  <c r="E234" i="26"/>
  <c r="R131" i="26"/>
  <c r="E236" i="26"/>
  <c r="M129" i="26"/>
  <c r="E29" i="26"/>
  <c r="N130" i="26"/>
  <c r="P30" i="26"/>
  <c r="N30" i="26"/>
  <c r="Q236" i="26"/>
  <c r="M236" i="26"/>
  <c r="I239" i="26"/>
  <c r="D132" i="26"/>
  <c r="H235" i="26"/>
  <c r="H234" i="26"/>
  <c r="E235" i="26"/>
  <c r="J130" i="26"/>
  <c r="J30" i="26"/>
  <c r="M29" i="26"/>
  <c r="D131" i="26"/>
  <c r="O235" i="26"/>
  <c r="I131" i="26"/>
  <c r="P238" i="26"/>
  <c r="S131" i="26"/>
  <c r="O234" i="26"/>
  <c r="I130" i="26"/>
  <c r="U240" i="26"/>
  <c r="S130" i="26"/>
  <c r="J132" i="26"/>
  <c r="P131" i="26"/>
  <c r="AE29" i="26" l="1"/>
  <c r="Y29" i="26"/>
  <c r="AR30" i="26"/>
  <c r="AX30" i="26" s="1"/>
  <c r="AS30" i="26"/>
  <c r="AY30" i="26" s="1"/>
  <c r="BM29" i="26"/>
  <c r="BN29" i="26" s="1"/>
  <c r="AB29" i="26"/>
  <c r="V29" i="26"/>
  <c r="AF29" i="26"/>
  <c r="Z29" i="26"/>
  <c r="AO30" i="26"/>
  <c r="AU30" i="26" s="1"/>
  <c r="AG30" i="26"/>
  <c r="AO31" i="26"/>
  <c r="AU31" i="26" s="1"/>
  <c r="AA30" i="26"/>
  <c r="AD29" i="26"/>
  <c r="X29" i="26"/>
  <c r="AP30" i="26"/>
  <c r="AV30" i="26" s="1"/>
  <c r="AC29" i="26"/>
  <c r="W29" i="26"/>
  <c r="AQ30" i="26"/>
  <c r="AM28" i="26"/>
  <c r="AN28" i="26"/>
  <c r="AJ28" i="26"/>
  <c r="AK28" i="26"/>
  <c r="AH28" i="26"/>
  <c r="AI28" i="26"/>
  <c r="AN29" i="26"/>
  <c r="W129" i="26"/>
  <c r="V234" i="26"/>
  <c r="Y129" i="26"/>
  <c r="X129" i="26"/>
  <c r="C240" i="26"/>
  <c r="B241" i="26"/>
  <c r="Z129" i="26"/>
  <c r="C30" i="26"/>
  <c r="AA129" i="26"/>
  <c r="V129" i="26"/>
  <c r="W234" i="26"/>
  <c r="C130" i="26"/>
  <c r="Z234" i="26"/>
  <c r="X236" i="26"/>
  <c r="V236" i="26"/>
  <c r="Z236" i="26"/>
  <c r="AA236" i="26"/>
  <c r="Y236" i="26"/>
  <c r="W236" i="26"/>
  <c r="C238" i="26"/>
  <c r="V235" i="26"/>
  <c r="Y235" i="26"/>
  <c r="Z235" i="26"/>
  <c r="X235" i="26"/>
  <c r="AA235" i="26"/>
  <c r="W235" i="26"/>
  <c r="B135" i="26"/>
  <c r="C131" i="26"/>
  <c r="B32" i="26"/>
  <c r="D241" i="26"/>
  <c r="M130" i="26"/>
  <c r="G240" i="26"/>
  <c r="P237" i="26"/>
  <c r="J133" i="26"/>
  <c r="P31" i="26"/>
  <c r="F237" i="26"/>
  <c r="L237" i="26"/>
  <c r="U133" i="26"/>
  <c r="D134" i="26"/>
  <c r="R133" i="26"/>
  <c r="H30" i="26"/>
  <c r="H130" i="26"/>
  <c r="D238" i="26"/>
  <c r="L133" i="26"/>
  <c r="F134" i="26"/>
  <c r="U134" i="26"/>
  <c r="I31" i="26"/>
  <c r="L238" i="26"/>
  <c r="S134" i="26"/>
  <c r="G238" i="26"/>
  <c r="D133" i="26"/>
  <c r="P132" i="26"/>
  <c r="U239" i="26"/>
  <c r="O131" i="26"/>
  <c r="L240" i="26"/>
  <c r="K30" i="26"/>
  <c r="I237" i="26"/>
  <c r="R239" i="26"/>
  <c r="N132" i="26"/>
  <c r="H131" i="26"/>
  <c r="U237" i="26"/>
  <c r="S133" i="26"/>
  <c r="D239" i="26"/>
  <c r="N237" i="26"/>
  <c r="F133" i="26"/>
  <c r="E130" i="26"/>
  <c r="N32" i="26"/>
  <c r="R135" i="26"/>
  <c r="R132" i="26"/>
  <c r="N240" i="26"/>
  <c r="J239" i="26"/>
  <c r="K130" i="26"/>
  <c r="L132" i="26"/>
  <c r="R238" i="26"/>
  <c r="J238" i="26"/>
  <c r="Q131" i="26"/>
  <c r="G133" i="26"/>
  <c r="N133" i="26"/>
  <c r="S237" i="26"/>
  <c r="G134" i="26"/>
  <c r="S31" i="26"/>
  <c r="N134" i="26"/>
  <c r="O238" i="26"/>
  <c r="R237" i="26"/>
  <c r="M30" i="26"/>
  <c r="G132" i="26"/>
  <c r="L134" i="26"/>
  <c r="F239" i="26"/>
  <c r="R134" i="26"/>
  <c r="N238" i="26"/>
  <c r="P239" i="26"/>
  <c r="L31" i="26"/>
  <c r="N31" i="26"/>
  <c r="J134" i="26"/>
  <c r="D31" i="26"/>
  <c r="H132" i="26"/>
  <c r="L135" i="26"/>
  <c r="J31" i="26"/>
  <c r="J240" i="26"/>
  <c r="O30" i="26"/>
  <c r="G239" i="26"/>
  <c r="F238" i="26"/>
  <c r="G237" i="26"/>
  <c r="I240" i="26"/>
  <c r="P134" i="26"/>
  <c r="S240" i="26"/>
  <c r="P240" i="26"/>
  <c r="S238" i="26"/>
  <c r="U132" i="26"/>
  <c r="G31" i="26"/>
  <c r="P133" i="26"/>
  <c r="I134" i="26"/>
  <c r="D237" i="26"/>
  <c r="O130" i="26"/>
  <c r="Q130" i="26"/>
  <c r="K131" i="26"/>
  <c r="S32" i="26"/>
  <c r="N239" i="26"/>
  <c r="Q240" i="26"/>
  <c r="D240" i="26"/>
  <c r="J237" i="26"/>
  <c r="F240" i="26"/>
  <c r="L239" i="26"/>
  <c r="E30" i="26"/>
  <c r="J241" i="26"/>
  <c r="M131" i="26"/>
  <c r="I133" i="26"/>
  <c r="R31" i="26"/>
  <c r="E131" i="26"/>
  <c r="AT31" i="26" l="1"/>
  <c r="AZ31" i="26" s="1"/>
  <c r="BM30" i="26"/>
  <c r="BN30" i="26" s="1"/>
  <c r="AB30" i="26"/>
  <c r="V30" i="26"/>
  <c r="AF30" i="26"/>
  <c r="Z30" i="26"/>
  <c r="AR31" i="26"/>
  <c r="AX31" i="26" s="1"/>
  <c r="AQ31" i="26"/>
  <c r="AW31" i="26" s="1"/>
  <c r="AE30" i="26"/>
  <c r="Y30" i="26"/>
  <c r="AR32" i="26"/>
  <c r="AX32" i="26" s="1"/>
  <c r="AD30" i="26"/>
  <c r="X30" i="26"/>
  <c r="AP31" i="26"/>
  <c r="AV31" i="26" s="1"/>
  <c r="AC30" i="26"/>
  <c r="W30" i="26"/>
  <c r="AS31" i="26"/>
  <c r="AY31" i="26" s="1"/>
  <c r="AW30" i="26"/>
  <c r="AJ29" i="26"/>
  <c r="AM29" i="26"/>
  <c r="AH29" i="26"/>
  <c r="AI29" i="26"/>
  <c r="AK29" i="26"/>
  <c r="AN30" i="26"/>
  <c r="AL29" i="26"/>
  <c r="C132" i="26"/>
  <c r="C239" i="26"/>
  <c r="C237" i="26"/>
  <c r="C31" i="26"/>
  <c r="AA240" i="26"/>
  <c r="B242" i="26"/>
  <c r="B243" i="26" s="1"/>
  <c r="B244" i="26" s="1"/>
  <c r="C133" i="26"/>
  <c r="AA131" i="26"/>
  <c r="C134" i="26"/>
  <c r="W132" i="26"/>
  <c r="Z238" i="26"/>
  <c r="B136" i="26"/>
  <c r="AA130" i="26"/>
  <c r="Z130" i="26"/>
  <c r="Z131" i="26"/>
  <c r="V130" i="26"/>
  <c r="X131" i="26"/>
  <c r="W130" i="26"/>
  <c r="V131" i="26"/>
  <c r="Y131" i="26"/>
  <c r="X130" i="26"/>
  <c r="W131" i="26"/>
  <c r="Y130" i="26"/>
  <c r="C32" i="26"/>
  <c r="B33" i="26"/>
  <c r="D32" i="26"/>
  <c r="K237" i="26"/>
  <c r="G135" i="26"/>
  <c r="E31" i="26"/>
  <c r="G32" i="26"/>
  <c r="G241" i="26"/>
  <c r="L242" i="26"/>
  <c r="D243" i="26"/>
  <c r="I241" i="26"/>
  <c r="M237" i="26"/>
  <c r="J244" i="26"/>
  <c r="N244" i="26"/>
  <c r="S241" i="26"/>
  <c r="D244" i="26"/>
  <c r="Q239" i="26"/>
  <c r="K132" i="26"/>
  <c r="O237" i="26"/>
  <c r="J32" i="26"/>
  <c r="Q31" i="26"/>
  <c r="E133" i="26"/>
  <c r="O134" i="26"/>
  <c r="N135" i="26"/>
  <c r="L32" i="26"/>
  <c r="F243" i="26"/>
  <c r="S244" i="26"/>
  <c r="M240" i="26"/>
  <c r="N243" i="26"/>
  <c r="I135" i="26"/>
  <c r="O133" i="26"/>
  <c r="L244" i="26"/>
  <c r="H133" i="26"/>
  <c r="K240" i="26"/>
  <c r="E238" i="26"/>
  <c r="N136" i="26"/>
  <c r="O239" i="26"/>
  <c r="S243" i="26"/>
  <c r="I32" i="26"/>
  <c r="F32" i="26"/>
  <c r="H239" i="26"/>
  <c r="K238" i="26"/>
  <c r="K31" i="26"/>
  <c r="O240" i="26"/>
  <c r="P243" i="26"/>
  <c r="Q238" i="26"/>
  <c r="D135" i="26"/>
  <c r="Q133" i="26"/>
  <c r="I244" i="26"/>
  <c r="M134" i="26"/>
  <c r="K135" i="26"/>
  <c r="R241" i="26"/>
  <c r="M133" i="26"/>
  <c r="H237" i="26"/>
  <c r="Q135" i="26"/>
  <c r="K239" i="26"/>
  <c r="P135" i="26"/>
  <c r="U241" i="26"/>
  <c r="L241" i="26"/>
  <c r="M132" i="26"/>
  <c r="Q134" i="26"/>
  <c r="E239" i="26"/>
  <c r="M31" i="26"/>
  <c r="H134" i="26"/>
  <c r="M32" i="26"/>
  <c r="E237" i="26"/>
  <c r="E132" i="26"/>
  <c r="K134" i="26"/>
  <c r="O31" i="26"/>
  <c r="H238" i="26"/>
  <c r="L243" i="26"/>
  <c r="F241" i="26"/>
  <c r="R32" i="26"/>
  <c r="U244" i="26"/>
  <c r="F135" i="26"/>
  <c r="Q132" i="26"/>
  <c r="R244" i="26"/>
  <c r="M238" i="26"/>
  <c r="S135" i="26"/>
  <c r="H31" i="26"/>
  <c r="N241" i="26"/>
  <c r="O132" i="26"/>
  <c r="G243" i="26"/>
  <c r="G244" i="26"/>
  <c r="U136" i="26"/>
  <c r="P32" i="26"/>
  <c r="P241" i="26"/>
  <c r="M239" i="26"/>
  <c r="K133" i="26"/>
  <c r="Q237" i="26"/>
  <c r="J135" i="26"/>
  <c r="E240" i="26"/>
  <c r="U135" i="26"/>
  <c r="F244" i="26"/>
  <c r="P244" i="26"/>
  <c r="H240" i="26"/>
  <c r="U243" i="26"/>
  <c r="E134" i="26"/>
  <c r="AS32" i="26" l="1"/>
  <c r="AY32" i="26" s="1"/>
  <c r="AC31" i="26"/>
  <c r="W31" i="26"/>
  <c r="AT32" i="26"/>
  <c r="AZ32" i="26" s="1"/>
  <c r="AF31" i="26"/>
  <c r="Z31" i="26"/>
  <c r="AE32" i="26"/>
  <c r="AE31" i="26"/>
  <c r="Y31" i="26"/>
  <c r="AD31" i="26"/>
  <c r="X31" i="26"/>
  <c r="AO32" i="26"/>
  <c r="AU32" i="26" s="1"/>
  <c r="AP32" i="26"/>
  <c r="AV32" i="26" s="1"/>
  <c r="AQ32" i="26"/>
  <c r="AW32" i="26" s="1"/>
  <c r="AG31" i="26"/>
  <c r="AA31" i="26"/>
  <c r="BM31" i="26"/>
  <c r="BN31" i="26" s="1"/>
  <c r="AB31" i="26"/>
  <c r="V31" i="26"/>
  <c r="Y32" i="26"/>
  <c r="AK30" i="26"/>
  <c r="AJ30" i="26"/>
  <c r="AL30" i="26"/>
  <c r="AM30" i="26"/>
  <c r="AH30" i="26"/>
  <c r="AI30" i="26"/>
  <c r="Y132" i="26"/>
  <c r="AA132" i="26"/>
  <c r="AA133" i="26"/>
  <c r="X132" i="26"/>
  <c r="Z132" i="26"/>
  <c r="X238" i="26"/>
  <c r="Z237" i="26"/>
  <c r="AA238" i="26"/>
  <c r="Y240" i="26"/>
  <c r="Y238" i="26"/>
  <c r="Y237" i="26"/>
  <c r="AA239" i="26"/>
  <c r="AA237" i="26"/>
  <c r="Z240" i="26"/>
  <c r="W238" i="26"/>
  <c r="X239" i="26"/>
  <c r="W239" i="26"/>
  <c r="V238" i="26"/>
  <c r="C244" i="26"/>
  <c r="B245" i="26"/>
  <c r="C243" i="26"/>
  <c r="Z239" i="26"/>
  <c r="W237" i="26"/>
  <c r="W240" i="26"/>
  <c r="V237" i="26"/>
  <c r="V240" i="26"/>
  <c r="X237" i="26"/>
  <c r="C241" i="26"/>
  <c r="Y239" i="26"/>
  <c r="X240" i="26"/>
  <c r="V239" i="26"/>
  <c r="Y134" i="26"/>
  <c r="X133" i="26"/>
  <c r="Y133" i="26"/>
  <c r="W133" i="26"/>
  <c r="V132" i="26"/>
  <c r="Z134" i="26"/>
  <c r="Z133" i="26"/>
  <c r="X134" i="26"/>
  <c r="W134" i="26"/>
  <c r="V133" i="26"/>
  <c r="V134" i="26"/>
  <c r="C135" i="26"/>
  <c r="AA134" i="26"/>
  <c r="AA135" i="26"/>
  <c r="X135" i="26"/>
  <c r="C136" i="26"/>
  <c r="B137" i="26"/>
  <c r="B138" i="26" s="1"/>
  <c r="C33" i="26"/>
  <c r="B34" i="26"/>
  <c r="B35" i="26" s="1"/>
  <c r="B36" i="26" s="1"/>
  <c r="I136" i="26"/>
  <c r="R243" i="26"/>
  <c r="F245" i="26"/>
  <c r="J136" i="26"/>
  <c r="H135" i="26"/>
  <c r="N36" i="26"/>
  <c r="H32" i="26"/>
  <c r="J33" i="26"/>
  <c r="E241" i="26"/>
  <c r="O243" i="26"/>
  <c r="K32" i="26"/>
  <c r="K243" i="26"/>
  <c r="F33" i="26"/>
  <c r="G136" i="26"/>
  <c r="O135" i="26"/>
  <c r="N242" i="26"/>
  <c r="H241" i="26"/>
  <c r="U242" i="26"/>
  <c r="F242" i="26"/>
  <c r="P136" i="26"/>
  <c r="M135" i="26"/>
  <c r="Q244" i="26"/>
  <c r="R136" i="26"/>
  <c r="O244" i="26"/>
  <c r="N33" i="26"/>
  <c r="G242" i="26"/>
  <c r="G33" i="26"/>
  <c r="E243" i="26"/>
  <c r="K242" i="26"/>
  <c r="J243" i="26"/>
  <c r="K244" i="26"/>
  <c r="U245" i="26"/>
  <c r="P138" i="26"/>
  <c r="S33" i="26"/>
  <c r="H244" i="26"/>
  <c r="M244" i="26"/>
  <c r="E135" i="26"/>
  <c r="O241" i="26"/>
  <c r="E32" i="26"/>
  <c r="P33" i="26"/>
  <c r="D33" i="26"/>
  <c r="J242" i="26"/>
  <c r="M243" i="26"/>
  <c r="D136" i="26"/>
  <c r="I243" i="26"/>
  <c r="R33" i="26"/>
  <c r="I33" i="26"/>
  <c r="M136" i="26"/>
  <c r="L33" i="26"/>
  <c r="L138" i="26"/>
  <c r="E244" i="26"/>
  <c r="S136" i="26"/>
  <c r="R242" i="26"/>
  <c r="O32" i="26"/>
  <c r="K241" i="26"/>
  <c r="D242" i="26"/>
  <c r="F136" i="26"/>
  <c r="S36" i="26"/>
  <c r="M241" i="26"/>
  <c r="S242" i="26"/>
  <c r="L136" i="26"/>
  <c r="P242" i="26"/>
  <c r="Q241" i="26"/>
  <c r="Q32" i="26"/>
  <c r="I242" i="26"/>
  <c r="AG32" i="26" l="1"/>
  <c r="AA32" i="26"/>
  <c r="AF32" i="26"/>
  <c r="Z32" i="26"/>
  <c r="AQ33" i="26"/>
  <c r="AW33" i="26" s="1"/>
  <c r="AP33" i="26"/>
  <c r="AV33" i="26" s="1"/>
  <c r="AT33" i="26"/>
  <c r="AZ33" i="26" s="1"/>
  <c r="AS33" i="26"/>
  <c r="AY33" i="26" s="1"/>
  <c r="BM32" i="26"/>
  <c r="BN32" i="26" s="1"/>
  <c r="AB32" i="26"/>
  <c r="V32" i="26"/>
  <c r="AR33" i="26"/>
  <c r="AX33" i="26" s="1"/>
  <c r="AO33" i="26"/>
  <c r="AU33" i="26" s="1"/>
  <c r="AD32" i="26"/>
  <c r="X32" i="26"/>
  <c r="AC32" i="26"/>
  <c r="W32" i="26"/>
  <c r="AR36" i="26"/>
  <c r="AH31" i="26"/>
  <c r="AI31" i="26"/>
  <c r="AK31" i="26"/>
  <c r="AL31" i="26"/>
  <c r="AJ31" i="26"/>
  <c r="AN31" i="26"/>
  <c r="AL32" i="26"/>
  <c r="AM31" i="26"/>
  <c r="Z241" i="26"/>
  <c r="AA241" i="26"/>
  <c r="AA244" i="26"/>
  <c r="W244" i="26"/>
  <c r="V244" i="26"/>
  <c r="Y244" i="26"/>
  <c r="X244" i="26"/>
  <c r="Z244" i="26"/>
  <c r="C245" i="26"/>
  <c r="B246" i="26"/>
  <c r="X243" i="26"/>
  <c r="Y243" i="26"/>
  <c r="Z243" i="26"/>
  <c r="V243" i="26"/>
  <c r="W241" i="26"/>
  <c r="V241" i="26"/>
  <c r="X241" i="26"/>
  <c r="Y241" i="26"/>
  <c r="C242" i="26"/>
  <c r="Y135" i="26"/>
  <c r="X242" i="26"/>
  <c r="Z135" i="26"/>
  <c r="W135" i="26"/>
  <c r="V135" i="26"/>
  <c r="B139" i="26"/>
  <c r="Y136" i="26"/>
  <c r="B37" i="26"/>
  <c r="B38" i="26" s="1"/>
  <c r="B39" i="26" s="1"/>
  <c r="U246" i="26"/>
  <c r="Q136" i="26"/>
  <c r="M36" i="26"/>
  <c r="I138" i="26"/>
  <c r="N245" i="26"/>
  <c r="D35" i="26"/>
  <c r="H33" i="26"/>
  <c r="S35" i="26"/>
  <c r="P36" i="26"/>
  <c r="K33" i="26"/>
  <c r="S245" i="26"/>
  <c r="R36" i="26"/>
  <c r="H243" i="26"/>
  <c r="H242" i="26"/>
  <c r="G245" i="26"/>
  <c r="R138" i="26"/>
  <c r="L137" i="26"/>
  <c r="I137" i="26"/>
  <c r="J34" i="26"/>
  <c r="J138" i="26"/>
  <c r="I36" i="26"/>
  <c r="N137" i="26"/>
  <c r="L245" i="26"/>
  <c r="F34" i="26"/>
  <c r="L34" i="26"/>
  <c r="N138" i="26"/>
  <c r="N35" i="26"/>
  <c r="Q242" i="26"/>
  <c r="I35" i="26"/>
  <c r="S138" i="26"/>
  <c r="S139" i="26"/>
  <c r="O33" i="26"/>
  <c r="D36" i="26"/>
  <c r="P245" i="26"/>
  <c r="I246" i="26"/>
  <c r="O136" i="26"/>
  <c r="N34" i="26"/>
  <c r="F35" i="26"/>
  <c r="F36" i="26"/>
  <c r="P35" i="26"/>
  <c r="E136" i="26"/>
  <c r="G35" i="26"/>
  <c r="P137" i="26"/>
  <c r="S34" i="26"/>
  <c r="N246" i="26"/>
  <c r="D138" i="26"/>
  <c r="I245" i="26"/>
  <c r="E242" i="26"/>
  <c r="D137" i="26"/>
  <c r="U138" i="26"/>
  <c r="G34" i="26"/>
  <c r="O242" i="26"/>
  <c r="R137" i="26"/>
  <c r="D34" i="26"/>
  <c r="R35" i="26"/>
  <c r="R34" i="26"/>
  <c r="L35" i="26"/>
  <c r="E33" i="26"/>
  <c r="G137" i="26"/>
  <c r="I34" i="26"/>
  <c r="P34" i="26"/>
  <c r="Q33" i="26"/>
  <c r="G246" i="26"/>
  <c r="H136" i="26"/>
  <c r="R245" i="26"/>
  <c r="F138" i="26"/>
  <c r="J246" i="26"/>
  <c r="K138" i="26"/>
  <c r="D245" i="26"/>
  <c r="J36" i="26"/>
  <c r="M242" i="26"/>
  <c r="Q243" i="26"/>
  <c r="S137" i="26"/>
  <c r="J245" i="26"/>
  <c r="J137" i="26"/>
  <c r="O138" i="26"/>
  <c r="L36" i="26"/>
  <c r="M33" i="26"/>
  <c r="F137" i="26"/>
  <c r="G36" i="26"/>
  <c r="J35" i="26"/>
  <c r="S246" i="26"/>
  <c r="K136" i="26"/>
  <c r="G138" i="26"/>
  <c r="U137" i="26"/>
  <c r="AE33" i="26" l="1"/>
  <c r="Y33" i="26"/>
  <c r="AQ36" i="26"/>
  <c r="AG33" i="26"/>
  <c r="AA33" i="26"/>
  <c r="AS34" i="26"/>
  <c r="AY34" i="26" s="1"/>
  <c r="AP34" i="26"/>
  <c r="AV34" i="26" s="1"/>
  <c r="BM33" i="26"/>
  <c r="BN33" i="26" s="1"/>
  <c r="AB33" i="26"/>
  <c r="V33" i="26"/>
  <c r="AQ35" i="26"/>
  <c r="AT34" i="26"/>
  <c r="AZ34" i="26" s="1"/>
  <c r="AT35" i="26"/>
  <c r="AS35" i="26"/>
  <c r="AY35" i="26" s="1"/>
  <c r="AO36" i="26"/>
  <c r="AO35" i="26"/>
  <c r="AR34" i="26"/>
  <c r="AX34" i="26" s="1"/>
  <c r="Y36" i="26"/>
  <c r="AF33" i="26"/>
  <c r="Z33" i="26"/>
  <c r="AP35" i="26"/>
  <c r="AV35" i="26" s="1"/>
  <c r="AR35" i="26"/>
  <c r="AX35" i="26" s="1"/>
  <c r="AQ34" i="26"/>
  <c r="AW34" i="26" s="1"/>
  <c r="AO34" i="26"/>
  <c r="AU34" i="26" s="1"/>
  <c r="AP36" i="26"/>
  <c r="AV36" i="26" s="1"/>
  <c r="AT36" i="26"/>
  <c r="AD33" i="26"/>
  <c r="X33" i="26"/>
  <c r="AS36" i="26"/>
  <c r="AY36" i="26" s="1"/>
  <c r="AC33" i="26"/>
  <c r="W33" i="26"/>
  <c r="AE36" i="26"/>
  <c r="AX36" i="26"/>
  <c r="AJ32" i="26"/>
  <c r="AK32" i="26"/>
  <c r="AH32" i="26"/>
  <c r="AI32" i="26"/>
  <c r="AM32" i="26"/>
  <c r="AN32" i="26"/>
  <c r="C36" i="26"/>
  <c r="Z136" i="26"/>
  <c r="V136" i="26"/>
  <c r="C246" i="26"/>
  <c r="B247" i="26"/>
  <c r="B248" i="26" s="1"/>
  <c r="W243" i="26"/>
  <c r="Y242" i="26"/>
  <c r="AA243" i="26"/>
  <c r="C34" i="26"/>
  <c r="C35" i="26"/>
  <c r="AA242" i="26"/>
  <c r="V242" i="26"/>
  <c r="W242" i="26"/>
  <c r="Z242" i="26"/>
  <c r="X136" i="26"/>
  <c r="AA136" i="26"/>
  <c r="W136" i="26"/>
  <c r="C138" i="26"/>
  <c r="C137" i="26"/>
  <c r="X138" i="26"/>
  <c r="Z138" i="26"/>
  <c r="B140" i="26"/>
  <c r="B141" i="26" s="1"/>
  <c r="B40" i="26"/>
  <c r="B41" i="26" s="1"/>
  <c r="H245" i="26"/>
  <c r="I38" i="26"/>
  <c r="H34" i="26"/>
  <c r="E36" i="26"/>
  <c r="N247" i="26"/>
  <c r="H246" i="26"/>
  <c r="P246" i="26"/>
  <c r="I139" i="26"/>
  <c r="U139" i="26"/>
  <c r="O35" i="26"/>
  <c r="J38" i="26"/>
  <c r="E138" i="26"/>
  <c r="Q35" i="26"/>
  <c r="I37" i="26"/>
  <c r="D38" i="26"/>
  <c r="Q138" i="26"/>
  <c r="D37" i="26"/>
  <c r="K245" i="26"/>
  <c r="R38" i="26"/>
  <c r="E245" i="26"/>
  <c r="G139" i="26"/>
  <c r="G37" i="26"/>
  <c r="O36" i="26"/>
  <c r="L246" i="26"/>
  <c r="J37" i="26"/>
  <c r="N38" i="26"/>
  <c r="P39" i="26"/>
  <c r="Q34" i="26"/>
  <c r="J39" i="26"/>
  <c r="J139" i="26"/>
  <c r="K34" i="26"/>
  <c r="M137" i="26"/>
  <c r="D139" i="26"/>
  <c r="R37" i="26"/>
  <c r="M35" i="26"/>
  <c r="F38" i="26"/>
  <c r="K35" i="26"/>
  <c r="K137" i="26"/>
  <c r="O34" i="26"/>
  <c r="E137" i="26"/>
  <c r="N141" i="26"/>
  <c r="F246" i="26"/>
  <c r="H35" i="26"/>
  <c r="M246" i="26"/>
  <c r="E34" i="26"/>
  <c r="O137" i="26"/>
  <c r="K36" i="26"/>
  <c r="I39" i="26"/>
  <c r="S37" i="26"/>
  <c r="N37" i="26"/>
  <c r="L39" i="26"/>
  <c r="L38" i="26"/>
  <c r="R246" i="26"/>
  <c r="D246" i="26"/>
  <c r="F39" i="26"/>
  <c r="G39" i="26"/>
  <c r="L37" i="26"/>
  <c r="D39" i="26"/>
  <c r="M138" i="26"/>
  <c r="L139" i="26"/>
  <c r="P139" i="26"/>
  <c r="G38" i="26"/>
  <c r="E35" i="26"/>
  <c r="P38" i="26"/>
  <c r="P37" i="26"/>
  <c r="M245" i="26"/>
  <c r="H36" i="26"/>
  <c r="R247" i="26"/>
  <c r="Q245" i="26"/>
  <c r="Q36" i="26"/>
  <c r="F139" i="26"/>
  <c r="D247" i="26"/>
  <c r="G247" i="26"/>
  <c r="S38" i="26"/>
  <c r="J247" i="26"/>
  <c r="N139" i="26"/>
  <c r="Q137" i="26"/>
  <c r="R139" i="26"/>
  <c r="H138" i="26"/>
  <c r="L247" i="26"/>
  <c r="H137" i="26"/>
  <c r="N39" i="26"/>
  <c r="O245" i="26"/>
  <c r="M34" i="26"/>
  <c r="R39" i="26"/>
  <c r="S39" i="26"/>
  <c r="F37" i="26"/>
  <c r="AU35" i="26" l="1"/>
  <c r="AO37" i="26"/>
  <c r="AU37" i="26" s="1"/>
  <c r="AT39" i="26"/>
  <c r="AE34" i="26"/>
  <c r="Y34" i="26"/>
  <c r="AR39" i="26"/>
  <c r="AG36" i="26"/>
  <c r="AA36" i="26"/>
  <c r="AC36" i="26"/>
  <c r="W36" i="26"/>
  <c r="AS37" i="26"/>
  <c r="AY37" i="26" s="1"/>
  <c r="AS38" i="26"/>
  <c r="BM35" i="26"/>
  <c r="BN35" i="26" s="1"/>
  <c r="AB35" i="26"/>
  <c r="V35" i="26"/>
  <c r="AQ37" i="26"/>
  <c r="AW37" i="26" s="1"/>
  <c r="AO39" i="26"/>
  <c r="AQ38" i="26"/>
  <c r="AW38" i="26" s="1"/>
  <c r="AQ39" i="26"/>
  <c r="AW39" i="26" s="1"/>
  <c r="AR37" i="26"/>
  <c r="AP39" i="26"/>
  <c r="AD36" i="26"/>
  <c r="X36" i="26"/>
  <c r="BM34" i="26"/>
  <c r="BN34" i="26" s="1"/>
  <c r="AB34" i="26"/>
  <c r="V34" i="26"/>
  <c r="AC35" i="26"/>
  <c r="W35" i="26"/>
  <c r="AF34" i="26"/>
  <c r="Z34" i="26"/>
  <c r="AD35" i="26"/>
  <c r="X35" i="26"/>
  <c r="AO38" i="26"/>
  <c r="AU38" i="26" s="1"/>
  <c r="AE35" i="26"/>
  <c r="Y35" i="26"/>
  <c r="AT37" i="26"/>
  <c r="AZ37" i="26" s="1"/>
  <c r="AD34" i="26"/>
  <c r="X34" i="26"/>
  <c r="AG34" i="26"/>
  <c r="AA34" i="26"/>
  <c r="AS39" i="26"/>
  <c r="AY39" i="26" s="1"/>
  <c r="AR38" i="26"/>
  <c r="AX38" i="26" s="1"/>
  <c r="AF36" i="26"/>
  <c r="Z36" i="26"/>
  <c r="AT38" i="26"/>
  <c r="AZ38" i="26" s="1"/>
  <c r="AP37" i="26"/>
  <c r="AV37" i="26" s="1"/>
  <c r="AG35" i="26"/>
  <c r="AA35" i="26"/>
  <c r="AF35" i="26"/>
  <c r="Z35" i="26"/>
  <c r="BM36" i="26"/>
  <c r="BN36" i="26" s="1"/>
  <c r="AB36" i="26"/>
  <c r="V36" i="26"/>
  <c r="AC34" i="26"/>
  <c r="W34" i="26"/>
  <c r="AP38" i="26"/>
  <c r="AV38" i="26" s="1"/>
  <c r="AK33" i="26"/>
  <c r="AM33" i="26"/>
  <c r="AN33" i="26"/>
  <c r="AL36" i="26"/>
  <c r="AJ33" i="26"/>
  <c r="AZ36" i="26"/>
  <c r="AU36" i="26"/>
  <c r="AZ35" i="26"/>
  <c r="AW35" i="26"/>
  <c r="AH33" i="26"/>
  <c r="AI33" i="26"/>
  <c r="AW36" i="26"/>
  <c r="AL33" i="26"/>
  <c r="Y245" i="26"/>
  <c r="X245" i="26"/>
  <c r="Z245" i="26"/>
  <c r="V245" i="26"/>
  <c r="AA245" i="26"/>
  <c r="W138" i="26"/>
  <c r="W245" i="26"/>
  <c r="C37" i="26"/>
  <c r="B249" i="26"/>
  <c r="B250" i="26" s="1"/>
  <c r="B251" i="26" s="1"/>
  <c r="B252" i="26" s="1"/>
  <c r="B253" i="26" s="1"/>
  <c r="Y246" i="26"/>
  <c r="W246" i="26"/>
  <c r="B142" i="26"/>
  <c r="X137" i="26"/>
  <c r="V138" i="26"/>
  <c r="AA137" i="26"/>
  <c r="V137" i="26"/>
  <c r="C139" i="26"/>
  <c r="W137" i="26"/>
  <c r="Z137" i="26"/>
  <c r="Y138" i="26"/>
  <c r="AA138" i="26"/>
  <c r="Y137" i="26"/>
  <c r="B42" i="26"/>
  <c r="C39" i="26"/>
  <c r="C38" i="26"/>
  <c r="P140" i="26"/>
  <c r="H39" i="26"/>
  <c r="F41" i="26"/>
  <c r="P141" i="26"/>
  <c r="I248" i="26"/>
  <c r="R140" i="26"/>
  <c r="K39" i="26"/>
  <c r="J41" i="26"/>
  <c r="E139" i="26"/>
  <c r="F40" i="26"/>
  <c r="E246" i="26"/>
  <c r="P248" i="26"/>
  <c r="G248" i="26"/>
  <c r="S141" i="26"/>
  <c r="N40" i="26"/>
  <c r="J141" i="26"/>
  <c r="P142" i="26"/>
  <c r="E39" i="26"/>
  <c r="M247" i="26"/>
  <c r="K139" i="26"/>
  <c r="Q246" i="26"/>
  <c r="S248" i="26"/>
  <c r="P247" i="26"/>
  <c r="F248" i="26"/>
  <c r="I142" i="26"/>
  <c r="N140" i="26"/>
  <c r="U141" i="26"/>
  <c r="O139" i="26"/>
  <c r="S252" i="26"/>
  <c r="I41" i="26"/>
  <c r="D40" i="26"/>
  <c r="I247" i="26"/>
  <c r="R40" i="26"/>
  <c r="G140" i="26"/>
  <c r="N41" i="26"/>
  <c r="L252" i="26"/>
  <c r="L40" i="26"/>
  <c r="M38" i="26"/>
  <c r="J252" i="26"/>
  <c r="E37" i="26"/>
  <c r="F252" i="26"/>
  <c r="R141" i="26"/>
  <c r="P41" i="26"/>
  <c r="D141" i="26"/>
  <c r="L140" i="26"/>
  <c r="Q38" i="26"/>
  <c r="I140" i="26"/>
  <c r="L248" i="26"/>
  <c r="S41" i="26"/>
  <c r="M37" i="26"/>
  <c r="M141" i="26"/>
  <c r="S247" i="26"/>
  <c r="O39" i="26"/>
  <c r="H139" i="26"/>
  <c r="G141" i="26"/>
  <c r="O38" i="26"/>
  <c r="I40" i="26"/>
  <c r="J40" i="26"/>
  <c r="G41" i="26"/>
  <c r="U247" i="26"/>
  <c r="K38" i="26"/>
  <c r="D248" i="26"/>
  <c r="O37" i="26"/>
  <c r="J142" i="26"/>
  <c r="R142" i="26"/>
  <c r="Q39" i="26"/>
  <c r="F247" i="26"/>
  <c r="S140" i="26"/>
  <c r="S40" i="26"/>
  <c r="L141" i="26"/>
  <c r="P40" i="26"/>
  <c r="R252" i="26"/>
  <c r="D140" i="26"/>
  <c r="U248" i="26"/>
  <c r="U140" i="26"/>
  <c r="G142" i="26"/>
  <c r="M39" i="26"/>
  <c r="D41" i="26"/>
  <c r="P252" i="26"/>
  <c r="Q247" i="26"/>
  <c r="K246" i="26"/>
  <c r="H38" i="26"/>
  <c r="I141" i="26"/>
  <c r="H37" i="26"/>
  <c r="F141" i="26"/>
  <c r="K37" i="26"/>
  <c r="G252" i="26"/>
  <c r="R41" i="26"/>
  <c r="Q139" i="26"/>
  <c r="F140" i="26"/>
  <c r="L41" i="26"/>
  <c r="Q37" i="26"/>
  <c r="O246" i="26"/>
  <c r="R248" i="26"/>
  <c r="K247" i="26"/>
  <c r="G40" i="26"/>
  <c r="J248" i="26"/>
  <c r="N248" i="26"/>
  <c r="J140" i="26"/>
  <c r="D142" i="26"/>
  <c r="M139" i="26"/>
  <c r="N252" i="26"/>
  <c r="E38" i="26"/>
  <c r="AV39" i="26" l="1"/>
  <c r="BM38" i="26"/>
  <c r="BN38" i="26" s="1"/>
  <c r="AB38" i="26"/>
  <c r="V38" i="26"/>
  <c r="AG37" i="26"/>
  <c r="AA37" i="26"/>
  <c r="AQ41" i="26"/>
  <c r="AT41" i="26"/>
  <c r="AD37" i="26"/>
  <c r="X37" i="26"/>
  <c r="AC37" i="26"/>
  <c r="W37" i="26"/>
  <c r="AC38" i="26"/>
  <c r="W38" i="26"/>
  <c r="AE39" i="26"/>
  <c r="Y39" i="26"/>
  <c r="AS40" i="26"/>
  <c r="AY40" i="26" s="1"/>
  <c r="AG39" i="26"/>
  <c r="AA39" i="26"/>
  <c r="AF37" i="26"/>
  <c r="Z37" i="26"/>
  <c r="AD38" i="26"/>
  <c r="X38" i="26"/>
  <c r="AP40" i="26"/>
  <c r="AV40" i="26" s="1"/>
  <c r="AF38" i="26"/>
  <c r="Z38" i="26"/>
  <c r="AF39" i="26"/>
  <c r="Z39" i="26"/>
  <c r="AE37" i="26"/>
  <c r="Y37" i="26"/>
  <c r="AG38" i="26"/>
  <c r="AA38" i="26"/>
  <c r="AS41" i="26"/>
  <c r="AY41" i="26" s="1"/>
  <c r="BM37" i="26"/>
  <c r="BN37" i="26" s="1"/>
  <c r="AB37" i="26"/>
  <c r="V37" i="26"/>
  <c r="AE38" i="26"/>
  <c r="Y38" i="26"/>
  <c r="AQ40" i="26"/>
  <c r="AW40" i="26" s="1"/>
  <c r="AR41" i="26"/>
  <c r="AT40" i="26"/>
  <c r="AZ40" i="26" s="1"/>
  <c r="AP41" i="26"/>
  <c r="AV41" i="26" s="1"/>
  <c r="BM39" i="26"/>
  <c r="BN39" i="26" s="1"/>
  <c r="AB39" i="26"/>
  <c r="V39" i="26"/>
  <c r="AR40" i="26"/>
  <c r="AX40" i="26" s="1"/>
  <c r="AO40" i="26"/>
  <c r="AU40" i="26" s="1"/>
  <c r="AD39" i="26"/>
  <c r="X39" i="26"/>
  <c r="AO41" i="26"/>
  <c r="AC39" i="26"/>
  <c r="W39" i="26"/>
  <c r="AM35" i="26"/>
  <c r="AN35" i="26"/>
  <c r="AM36" i="26"/>
  <c r="AN34" i="26"/>
  <c r="AK34" i="26"/>
  <c r="AK35" i="26"/>
  <c r="AM34" i="26"/>
  <c r="AJ35" i="26"/>
  <c r="AH34" i="26"/>
  <c r="AI34" i="26"/>
  <c r="AU39" i="26"/>
  <c r="AJ36" i="26"/>
  <c r="AN36" i="26"/>
  <c r="AZ39" i="26"/>
  <c r="AJ34" i="26"/>
  <c r="AH36" i="26"/>
  <c r="AI36" i="26"/>
  <c r="AL35" i="26"/>
  <c r="AK36" i="26"/>
  <c r="AX37" i="26"/>
  <c r="AH35" i="26"/>
  <c r="AI35" i="26"/>
  <c r="AY38" i="26"/>
  <c r="AX39" i="26"/>
  <c r="AL34" i="26"/>
  <c r="Z246" i="26"/>
  <c r="C247" i="26"/>
  <c r="AA139" i="26"/>
  <c r="AA246" i="26"/>
  <c r="V246" i="26"/>
  <c r="X246" i="26"/>
  <c r="B254" i="26"/>
  <c r="B255" i="26" s="1"/>
  <c r="B256" i="26" s="1"/>
  <c r="B257" i="26" s="1"/>
  <c r="B258" i="26" s="1"/>
  <c r="C248" i="26"/>
  <c r="AA247" i="26"/>
  <c r="X247" i="26"/>
  <c r="Y247" i="26"/>
  <c r="W139" i="26"/>
  <c r="C140" i="26"/>
  <c r="C141" i="26"/>
  <c r="Y141" i="26"/>
  <c r="B143" i="26"/>
  <c r="Y139" i="26"/>
  <c r="Z139" i="26"/>
  <c r="V139" i="26"/>
  <c r="X139" i="26"/>
  <c r="C41" i="26"/>
  <c r="B43" i="26"/>
  <c r="B44" i="26" s="1"/>
  <c r="C40" i="26"/>
  <c r="J253" i="26"/>
  <c r="R257" i="26"/>
  <c r="K140" i="26"/>
  <c r="I251" i="26"/>
  <c r="D252" i="26"/>
  <c r="N249" i="26"/>
  <c r="R250" i="26"/>
  <c r="S251" i="26"/>
  <c r="D250" i="26"/>
  <c r="H40" i="26"/>
  <c r="G258" i="26"/>
  <c r="I252" i="26"/>
  <c r="N256" i="26"/>
  <c r="N253" i="26"/>
  <c r="F250" i="26"/>
  <c r="F258" i="26"/>
  <c r="S257" i="26"/>
  <c r="S42" i="26"/>
  <c r="G251" i="26"/>
  <c r="G255" i="26"/>
  <c r="J249" i="26"/>
  <c r="U250" i="26"/>
  <c r="I253" i="26"/>
  <c r="G256" i="26"/>
  <c r="S258" i="26"/>
  <c r="H140" i="26"/>
  <c r="S250" i="26"/>
  <c r="Q141" i="26"/>
  <c r="M40" i="26"/>
  <c r="O141" i="26"/>
  <c r="J42" i="26"/>
  <c r="I42" i="26"/>
  <c r="I250" i="26"/>
  <c r="N258" i="26"/>
  <c r="O40" i="26"/>
  <c r="E252" i="26"/>
  <c r="S142" i="26"/>
  <c r="D258" i="26"/>
  <c r="H248" i="26"/>
  <c r="O247" i="26"/>
  <c r="D253" i="26"/>
  <c r="E247" i="26"/>
  <c r="O142" i="26"/>
  <c r="O140" i="26"/>
  <c r="L251" i="26"/>
  <c r="U251" i="26"/>
  <c r="U253" i="26"/>
  <c r="J251" i="26"/>
  <c r="R251" i="26"/>
  <c r="R249" i="26"/>
  <c r="I257" i="26"/>
  <c r="F142" i="26"/>
  <c r="E140" i="26"/>
  <c r="U142" i="26"/>
  <c r="G42" i="26"/>
  <c r="Q142" i="26"/>
  <c r="K141" i="26"/>
  <c r="F257" i="26"/>
  <c r="I249" i="26"/>
  <c r="E248" i="26"/>
  <c r="O252" i="26"/>
  <c r="N250" i="26"/>
  <c r="E41" i="26"/>
  <c r="L142" i="26"/>
  <c r="R253" i="26"/>
  <c r="S255" i="26"/>
  <c r="P42" i="26"/>
  <c r="Q40" i="26"/>
  <c r="S249" i="26"/>
  <c r="O248" i="26"/>
  <c r="F256" i="26"/>
  <c r="D256" i="26"/>
  <c r="K41" i="26"/>
  <c r="U258" i="26"/>
  <c r="K248" i="26"/>
  <c r="S253" i="26"/>
  <c r="N142" i="26"/>
  <c r="I255" i="26"/>
  <c r="F251" i="26"/>
  <c r="L258" i="26"/>
  <c r="D257" i="26"/>
  <c r="L256" i="26"/>
  <c r="D249" i="26"/>
  <c r="H41" i="26"/>
  <c r="G249" i="26"/>
  <c r="F253" i="26"/>
  <c r="P249" i="26"/>
  <c r="R258" i="26"/>
  <c r="M41" i="26"/>
  <c r="I258" i="26"/>
  <c r="N251" i="26"/>
  <c r="P251" i="26"/>
  <c r="G250" i="26"/>
  <c r="Q248" i="26"/>
  <c r="F249" i="26"/>
  <c r="Q41" i="26"/>
  <c r="F42" i="26"/>
  <c r="H142" i="26"/>
  <c r="K252" i="26"/>
  <c r="R255" i="26"/>
  <c r="J250" i="26"/>
  <c r="L253" i="26"/>
  <c r="D42" i="26"/>
  <c r="L44" i="26"/>
  <c r="E40" i="26"/>
  <c r="R42" i="26"/>
  <c r="M248" i="26"/>
  <c r="U256" i="26"/>
  <c r="N255" i="26"/>
  <c r="G253" i="26"/>
  <c r="J256" i="26"/>
  <c r="U249" i="26"/>
  <c r="E141" i="26"/>
  <c r="J258" i="26"/>
  <c r="U252" i="26"/>
  <c r="L250" i="26"/>
  <c r="M252" i="26"/>
  <c r="L249" i="26"/>
  <c r="O41" i="26"/>
  <c r="P258" i="26"/>
  <c r="R143" i="26"/>
  <c r="M140" i="26"/>
  <c r="P253" i="26"/>
  <c r="R256" i="26"/>
  <c r="K40" i="26"/>
  <c r="D251" i="26"/>
  <c r="N42" i="26"/>
  <c r="P250" i="26"/>
  <c r="Q252" i="26"/>
  <c r="H141" i="26"/>
  <c r="U257" i="26"/>
  <c r="I256" i="26"/>
  <c r="H247" i="26"/>
  <c r="J257" i="26"/>
  <c r="Q140" i="26"/>
  <c r="L42" i="26"/>
  <c r="AQ42" i="26" l="1"/>
  <c r="AR42" i="26"/>
  <c r="AD40" i="26"/>
  <c r="X40" i="26"/>
  <c r="AF41" i="26"/>
  <c r="Z41" i="26"/>
  <c r="AT42" i="26"/>
  <c r="AZ42" i="26" s="1"/>
  <c r="BM40" i="26"/>
  <c r="BN40" i="26" s="1"/>
  <c r="AB40" i="26"/>
  <c r="V40" i="26"/>
  <c r="AQ44" i="26"/>
  <c r="AO42" i="26"/>
  <c r="AU42" i="26" s="1"/>
  <c r="AG41" i="26"/>
  <c r="AA41" i="26"/>
  <c r="AE41" i="26"/>
  <c r="Y41" i="26"/>
  <c r="AC41" i="26"/>
  <c r="W41" i="26"/>
  <c r="AD41" i="26"/>
  <c r="X41" i="26"/>
  <c r="AG40" i="26"/>
  <c r="AA40" i="26"/>
  <c r="AS42" i="26"/>
  <c r="BM41" i="26"/>
  <c r="BN41" i="26" s="1"/>
  <c r="AB41" i="26"/>
  <c r="V41" i="26"/>
  <c r="AF40" i="26"/>
  <c r="Z40" i="26"/>
  <c r="AP42" i="26"/>
  <c r="AV42" i="26" s="1"/>
  <c r="AE40" i="26"/>
  <c r="Y40" i="26"/>
  <c r="AC40" i="26"/>
  <c r="W40" i="26"/>
  <c r="AJ39" i="26"/>
  <c r="AL38" i="26"/>
  <c r="AH37" i="26"/>
  <c r="AI37" i="26"/>
  <c r="AN38" i="26"/>
  <c r="AL37" i="26"/>
  <c r="AM39" i="26"/>
  <c r="AM38" i="26"/>
  <c r="AL39" i="26"/>
  <c r="AJ38" i="26"/>
  <c r="AJ37" i="26"/>
  <c r="AK37" i="26"/>
  <c r="AW41" i="26"/>
  <c r="AN37" i="26"/>
  <c r="AH38" i="26"/>
  <c r="AI38" i="26"/>
  <c r="AU41" i="26"/>
  <c r="AK39" i="26"/>
  <c r="AH39" i="26"/>
  <c r="AI39" i="26"/>
  <c r="AX41" i="26"/>
  <c r="AK38" i="26"/>
  <c r="AM37" i="26"/>
  <c r="AN39" i="26"/>
  <c r="AZ41" i="26"/>
  <c r="C142" i="26"/>
  <c r="Z247" i="26"/>
  <c r="V247" i="26"/>
  <c r="W247" i="26"/>
  <c r="X141" i="26"/>
  <c r="C252" i="26"/>
  <c r="Z141" i="26"/>
  <c r="AA140" i="26"/>
  <c r="AA141" i="26"/>
  <c r="C258" i="26"/>
  <c r="B259" i="26"/>
  <c r="B260" i="26" s="1"/>
  <c r="B261" i="26" s="1"/>
  <c r="C257" i="26"/>
  <c r="C256" i="26"/>
  <c r="C253" i="26"/>
  <c r="Z252" i="26"/>
  <c r="V252" i="26"/>
  <c r="Y252" i="26"/>
  <c r="X252" i="26"/>
  <c r="AA252" i="26"/>
  <c r="C251" i="26"/>
  <c r="C250" i="26"/>
  <c r="Z248" i="26"/>
  <c r="Y248" i="26"/>
  <c r="C249" i="26"/>
  <c r="V248" i="26"/>
  <c r="W248" i="26"/>
  <c r="X248" i="26"/>
  <c r="AA248" i="26"/>
  <c r="B45" i="26"/>
  <c r="Y140" i="26"/>
  <c r="V141" i="26"/>
  <c r="X140" i="26"/>
  <c r="V140" i="26"/>
  <c r="Z140" i="26"/>
  <c r="W141" i="26"/>
  <c r="W140" i="26"/>
  <c r="AA142" i="26"/>
  <c r="W142" i="26"/>
  <c r="Z142" i="26"/>
  <c r="B144" i="26"/>
  <c r="B145" i="26" s="1"/>
  <c r="C42" i="26"/>
  <c r="N143" i="26"/>
  <c r="U255" i="26"/>
  <c r="R44" i="26"/>
  <c r="J44" i="26"/>
  <c r="D255" i="26"/>
  <c r="L143" i="26"/>
  <c r="F143" i="26"/>
  <c r="I143" i="26"/>
  <c r="J255" i="26"/>
  <c r="P255" i="26"/>
  <c r="P257" i="26"/>
  <c r="S143" i="26"/>
  <c r="J143" i="26"/>
  <c r="AT44" i="26" l="1"/>
  <c r="AJ40" i="26"/>
  <c r="AL40" i="26"/>
  <c r="AX42" i="26"/>
  <c r="AM40" i="26"/>
  <c r="AH41" i="26"/>
  <c r="AI41" i="26"/>
  <c r="AY42" i="26"/>
  <c r="AN40" i="26"/>
  <c r="AK41" i="26"/>
  <c r="AJ41" i="26"/>
  <c r="AL41" i="26"/>
  <c r="AN41" i="26"/>
  <c r="AH40" i="26"/>
  <c r="AI40" i="26"/>
  <c r="AM41" i="26"/>
  <c r="AK40" i="26"/>
  <c r="AW42" i="26"/>
  <c r="C255" i="26"/>
  <c r="C44" i="26"/>
  <c r="B262" i="26"/>
  <c r="B146" i="26"/>
  <c r="B46" i="26"/>
  <c r="B263" i="26" l="1"/>
  <c r="B147" i="26"/>
  <c r="B148" i="26" s="1"/>
  <c r="B47" i="26"/>
  <c r="B48" i="26" s="1"/>
  <c r="P44" i="26"/>
  <c r="F259" i="26"/>
  <c r="Q256" i="26"/>
  <c r="U143" i="26"/>
  <c r="K142" i="26"/>
  <c r="U147" i="26"/>
  <c r="U261" i="26"/>
  <c r="L257" i="26"/>
  <c r="L254" i="26"/>
  <c r="J259" i="26"/>
  <c r="S43" i="26"/>
  <c r="Q258" i="26"/>
  <c r="K249" i="26"/>
  <c r="D147" i="26"/>
  <c r="J43" i="26"/>
  <c r="M256" i="26"/>
  <c r="I260" i="26"/>
  <c r="N261" i="26"/>
  <c r="U148" i="26"/>
  <c r="P259" i="26"/>
  <c r="P260" i="26"/>
  <c r="H253" i="26"/>
  <c r="R254" i="26"/>
  <c r="J144" i="26"/>
  <c r="S261" i="26"/>
  <c r="F144" i="26"/>
  <c r="U254" i="26"/>
  <c r="L255" i="26"/>
  <c r="E258" i="26"/>
  <c r="M143" i="26"/>
  <c r="G260" i="26"/>
  <c r="R263" i="26"/>
  <c r="D43" i="26"/>
  <c r="P143" i="26"/>
  <c r="D45" i="26"/>
  <c r="S256" i="26"/>
  <c r="P46" i="26"/>
  <c r="D143" i="26"/>
  <c r="U145" i="26"/>
  <c r="H256" i="26"/>
  <c r="L46" i="26"/>
  <c r="S146" i="26"/>
  <c r="F43" i="26"/>
  <c r="U146" i="26"/>
  <c r="G146" i="26"/>
  <c r="L260" i="26"/>
  <c r="D262" i="26"/>
  <c r="H249" i="26"/>
  <c r="O249" i="26"/>
  <c r="S259" i="26"/>
  <c r="S148" i="26"/>
  <c r="D260" i="26"/>
  <c r="G259" i="26"/>
  <c r="J145" i="26"/>
  <c r="R145" i="26"/>
  <c r="J262" i="26"/>
  <c r="E142" i="26"/>
  <c r="L145" i="26"/>
  <c r="N259" i="26"/>
  <c r="P43" i="26"/>
  <c r="N144" i="26"/>
  <c r="J263" i="26"/>
  <c r="L259" i="26"/>
  <c r="G257" i="26"/>
  <c r="M42" i="26"/>
  <c r="G143" i="26"/>
  <c r="M250" i="26"/>
  <c r="L263" i="26"/>
  <c r="F260" i="26"/>
  <c r="K256" i="26"/>
  <c r="S260" i="26"/>
  <c r="I262" i="26"/>
  <c r="H252" i="26"/>
  <c r="E42" i="26"/>
  <c r="L146" i="26"/>
  <c r="P261" i="26"/>
  <c r="J146" i="26"/>
  <c r="I44" i="26"/>
  <c r="G254" i="26"/>
  <c r="S144" i="26"/>
  <c r="G147" i="26"/>
  <c r="H255" i="26"/>
  <c r="N254" i="26"/>
  <c r="G145" i="26"/>
  <c r="R262" i="26"/>
  <c r="F148" i="26"/>
  <c r="M142" i="26"/>
  <c r="P144" i="26"/>
  <c r="N260" i="26"/>
  <c r="M255" i="26"/>
  <c r="E256" i="26"/>
  <c r="R259" i="26"/>
  <c r="D144" i="26"/>
  <c r="F261" i="26"/>
  <c r="D145" i="26"/>
  <c r="Q251" i="26"/>
  <c r="S263" i="26"/>
  <c r="N257" i="26"/>
  <c r="I259" i="26"/>
  <c r="L262" i="26"/>
  <c r="D263" i="26"/>
  <c r="H257" i="26"/>
  <c r="L45" i="26"/>
  <c r="N46" i="26"/>
  <c r="N148" i="26"/>
  <c r="F255" i="26"/>
  <c r="F146" i="26"/>
  <c r="O250" i="26"/>
  <c r="O257" i="26"/>
  <c r="R43" i="26"/>
  <c r="P256" i="26"/>
  <c r="D44" i="26"/>
  <c r="P145" i="26"/>
  <c r="F262" i="26"/>
  <c r="K44" i="26"/>
  <c r="M258" i="26"/>
  <c r="N262" i="26"/>
  <c r="D46" i="26"/>
  <c r="I46" i="26"/>
  <c r="S45" i="26"/>
  <c r="I43" i="26"/>
  <c r="S46" i="26"/>
  <c r="G263" i="26"/>
  <c r="N45" i="26"/>
  <c r="J254" i="26"/>
  <c r="S147" i="26"/>
  <c r="P45" i="26"/>
  <c r="J261" i="26"/>
  <c r="I146" i="26"/>
  <c r="H250" i="26"/>
  <c r="I263" i="26"/>
  <c r="P146" i="26"/>
  <c r="I145" i="26"/>
  <c r="Q249" i="26"/>
  <c r="I45" i="26"/>
  <c r="P263" i="26"/>
  <c r="H42" i="26"/>
  <c r="M251" i="26"/>
  <c r="U259" i="26"/>
  <c r="R144" i="26"/>
  <c r="K250" i="26"/>
  <c r="N145" i="26"/>
  <c r="D261" i="26"/>
  <c r="D148" i="26"/>
  <c r="I254" i="26"/>
  <c r="Q143" i="26"/>
  <c r="U144" i="26"/>
  <c r="U260" i="26"/>
  <c r="J45" i="26"/>
  <c r="R146" i="26"/>
  <c r="E250" i="26"/>
  <c r="G46" i="26"/>
  <c r="D254" i="26"/>
  <c r="I261" i="26"/>
  <c r="R147" i="26"/>
  <c r="L148" i="26"/>
  <c r="R261" i="26"/>
  <c r="H258" i="26"/>
  <c r="E251" i="26"/>
  <c r="F44" i="26"/>
  <c r="J260" i="26"/>
  <c r="N146" i="26"/>
  <c r="D146" i="26"/>
  <c r="S254" i="26"/>
  <c r="I144" i="26"/>
  <c r="F254" i="26"/>
  <c r="K258" i="26"/>
  <c r="S145" i="26"/>
  <c r="Q255" i="26"/>
  <c r="E253" i="26"/>
  <c r="J46" i="26"/>
  <c r="U262" i="26"/>
  <c r="N44" i="26"/>
  <c r="K251" i="26"/>
  <c r="H143" i="26"/>
  <c r="K253" i="26"/>
  <c r="G262" i="26"/>
  <c r="D259" i="26"/>
  <c r="G261" i="26"/>
  <c r="O258" i="26"/>
  <c r="F145" i="26"/>
  <c r="L43" i="26"/>
  <c r="R45" i="26"/>
  <c r="K143" i="26"/>
  <c r="G144" i="26"/>
  <c r="L261" i="26"/>
  <c r="Q257" i="26"/>
  <c r="Q253" i="26"/>
  <c r="G45" i="26"/>
  <c r="O255" i="26"/>
  <c r="H251" i="26"/>
  <c r="Q42" i="26"/>
  <c r="O253" i="26"/>
  <c r="L144" i="26"/>
  <c r="O251" i="26"/>
  <c r="P262" i="26"/>
  <c r="Q44" i="26"/>
  <c r="F45" i="26"/>
  <c r="P254" i="26"/>
  <c r="U263" i="26"/>
  <c r="N263" i="26"/>
  <c r="S262" i="26"/>
  <c r="Q250" i="26"/>
  <c r="K42" i="26"/>
  <c r="M249" i="26"/>
  <c r="R46" i="26"/>
  <c r="G43" i="26"/>
  <c r="N43" i="26"/>
  <c r="M253" i="26"/>
  <c r="O42" i="26"/>
  <c r="F46" i="26"/>
  <c r="G44" i="26"/>
  <c r="S44" i="26"/>
  <c r="E249" i="26"/>
  <c r="R260" i="26"/>
  <c r="AO46" i="26" l="1"/>
  <c r="AF42" i="26"/>
  <c r="Z42" i="26"/>
  <c r="AR43" i="26"/>
  <c r="AT46" i="26"/>
  <c r="AD42" i="26"/>
  <c r="X42" i="26"/>
  <c r="AO45" i="26"/>
  <c r="AG44" i="26"/>
  <c r="AG42" i="26"/>
  <c r="AA42" i="26"/>
  <c r="AT45" i="26"/>
  <c r="AQ43" i="26"/>
  <c r="AR44" i="26"/>
  <c r="AX44" i="26" s="1"/>
  <c r="AO44" i="26"/>
  <c r="AC42" i="26"/>
  <c r="W42" i="26"/>
  <c r="AP45" i="26"/>
  <c r="AV45" i="26" s="1"/>
  <c r="AS45" i="26"/>
  <c r="AR45" i="26"/>
  <c r="AX45" i="26" s="1"/>
  <c r="AP43" i="26"/>
  <c r="AV43" i="26" s="1"/>
  <c r="AP46" i="26"/>
  <c r="AV46" i="26" s="1"/>
  <c r="AD44" i="26"/>
  <c r="X44" i="26"/>
  <c r="AA44" i="26"/>
  <c r="AT43" i="26"/>
  <c r="AR46" i="26"/>
  <c r="AQ45" i="26"/>
  <c r="AP44" i="26"/>
  <c r="AV44" i="26" s="1"/>
  <c r="BM42" i="26"/>
  <c r="BN42" i="26" s="1"/>
  <c r="AB42" i="26"/>
  <c r="V42" i="26"/>
  <c r="AE42" i="26"/>
  <c r="Y42" i="26"/>
  <c r="AS43" i="26"/>
  <c r="AO43" i="26"/>
  <c r="AU43" i="26" s="1"/>
  <c r="AQ46" i="26"/>
  <c r="AS46" i="26"/>
  <c r="AS44" i="26"/>
  <c r="AY44" i="26" s="1"/>
  <c r="B49" i="26"/>
  <c r="B50" i="26" s="1"/>
  <c r="X253" i="26"/>
  <c r="Z253" i="26"/>
  <c r="AA250" i="26"/>
  <c r="V251" i="26"/>
  <c r="AA249" i="26"/>
  <c r="AA255" i="26"/>
  <c r="X142" i="26"/>
  <c r="C254" i="26"/>
  <c r="C259" i="26"/>
  <c r="C260" i="26"/>
  <c r="C262" i="26"/>
  <c r="X249" i="26"/>
  <c r="W251" i="26"/>
  <c r="V253" i="26"/>
  <c r="C261" i="26"/>
  <c r="V249" i="26"/>
  <c r="Y255" i="26"/>
  <c r="W257" i="26"/>
  <c r="C43" i="26"/>
  <c r="Z251" i="26"/>
  <c r="AA256" i="26"/>
  <c r="W256" i="26"/>
  <c r="Y142" i="26"/>
  <c r="C145" i="26"/>
  <c r="AA251" i="26"/>
  <c r="Z250" i="26"/>
  <c r="AA258" i="26"/>
  <c r="AA253" i="26"/>
  <c r="C144" i="26"/>
  <c r="C45" i="26"/>
  <c r="C143" i="26"/>
  <c r="W258" i="26"/>
  <c r="W253" i="26"/>
  <c r="W250" i="26"/>
  <c r="Z257" i="26"/>
  <c r="AA143" i="26"/>
  <c r="X143" i="26"/>
  <c r="W143" i="26"/>
  <c r="Y143" i="26"/>
  <c r="X258" i="26"/>
  <c r="X250" i="26"/>
  <c r="Y253" i="26"/>
  <c r="W249" i="26"/>
  <c r="W252" i="26"/>
  <c r="C146" i="26"/>
  <c r="W255" i="26"/>
  <c r="Y251" i="26"/>
  <c r="V250" i="26"/>
  <c r="V256" i="26"/>
  <c r="Z258" i="26"/>
  <c r="AA257" i="26"/>
  <c r="X251" i="26"/>
  <c r="Y256" i="26"/>
  <c r="Z249" i="26"/>
  <c r="X256" i="26"/>
  <c r="V258" i="26"/>
  <c r="Y258" i="26"/>
  <c r="V142" i="26"/>
  <c r="Z255" i="26"/>
  <c r="Y250" i="26"/>
  <c r="Y249" i="26"/>
  <c r="C263" i="26"/>
  <c r="B264" i="26"/>
  <c r="B265" i="26" s="1"/>
  <c r="C148" i="26"/>
  <c r="B149" i="26"/>
  <c r="C46" i="26"/>
  <c r="C147" i="26"/>
  <c r="L48" i="26"/>
  <c r="U265" i="26"/>
  <c r="L265" i="26"/>
  <c r="E44" i="26"/>
  <c r="K260" i="26"/>
  <c r="E146" i="26"/>
  <c r="H254" i="26"/>
  <c r="M43" i="26"/>
  <c r="N47" i="26"/>
  <c r="O43" i="26"/>
  <c r="M262" i="26"/>
  <c r="O263" i="26"/>
  <c r="M145" i="26"/>
  <c r="E261" i="26"/>
  <c r="N48" i="26"/>
  <c r="E262" i="26"/>
  <c r="D264" i="26"/>
  <c r="H259" i="26"/>
  <c r="G265" i="26"/>
  <c r="H146" i="26"/>
  <c r="O144" i="26"/>
  <c r="P149" i="26"/>
  <c r="Q46" i="26"/>
  <c r="Q262" i="26"/>
  <c r="E259" i="26"/>
  <c r="F265" i="26"/>
  <c r="O45" i="26"/>
  <c r="F263" i="26"/>
  <c r="K254" i="26"/>
  <c r="E260" i="26"/>
  <c r="I147" i="26"/>
  <c r="O46" i="26"/>
  <c r="O44" i="26"/>
  <c r="P48" i="26"/>
  <c r="K259" i="26"/>
  <c r="K257" i="26"/>
  <c r="S48" i="26"/>
  <c r="H45" i="26"/>
  <c r="P147" i="26"/>
  <c r="D149" i="26"/>
  <c r="J48" i="26"/>
  <c r="O254" i="26"/>
  <c r="G48" i="26"/>
  <c r="E145" i="26"/>
  <c r="H263" i="26"/>
  <c r="K46" i="26"/>
  <c r="Q145" i="26"/>
  <c r="H145" i="26"/>
  <c r="N265" i="26"/>
  <c r="I48" i="26"/>
  <c r="E257" i="26"/>
  <c r="K145" i="26"/>
  <c r="O262" i="26"/>
  <c r="O145" i="26"/>
  <c r="K144" i="26"/>
  <c r="M146" i="26"/>
  <c r="M263" i="26"/>
  <c r="R47" i="26"/>
  <c r="P148" i="26"/>
  <c r="K146" i="26"/>
  <c r="I49" i="26"/>
  <c r="M44" i="26"/>
  <c r="O143" i="26"/>
  <c r="M259" i="26"/>
  <c r="K43" i="26"/>
  <c r="L47" i="26"/>
  <c r="E45" i="26"/>
  <c r="E46" i="26"/>
  <c r="L264" i="26"/>
  <c r="H144" i="26"/>
  <c r="R265" i="26"/>
  <c r="Q146" i="26"/>
  <c r="Q144" i="26"/>
  <c r="G47" i="26"/>
  <c r="F49" i="26"/>
  <c r="O146" i="26"/>
  <c r="K148" i="26"/>
  <c r="G148" i="26"/>
  <c r="H44" i="26"/>
  <c r="K255" i="26"/>
  <c r="S49" i="26"/>
  <c r="H260" i="26"/>
  <c r="F264" i="26"/>
  <c r="K261" i="26"/>
  <c r="D49" i="26"/>
  <c r="K262" i="26"/>
  <c r="J147" i="26"/>
  <c r="R49" i="26"/>
  <c r="E144" i="26"/>
  <c r="Q254" i="26"/>
  <c r="O261" i="26"/>
  <c r="M45" i="26"/>
  <c r="M260" i="26"/>
  <c r="M144" i="26"/>
  <c r="Q260" i="26"/>
  <c r="L147" i="26"/>
  <c r="K263" i="26"/>
  <c r="O256" i="26"/>
  <c r="L149" i="26"/>
  <c r="R148" i="26"/>
  <c r="S149" i="26"/>
  <c r="G49" i="26"/>
  <c r="S265" i="26"/>
  <c r="I148" i="26"/>
  <c r="F48" i="26"/>
  <c r="H46" i="26"/>
  <c r="O260" i="26"/>
  <c r="Q261" i="26"/>
  <c r="Q43" i="26"/>
  <c r="F147" i="26"/>
  <c r="K45" i="26"/>
  <c r="P47" i="26"/>
  <c r="H262" i="26"/>
  <c r="E43" i="26"/>
  <c r="M254" i="26"/>
  <c r="M148" i="26"/>
  <c r="I149" i="26"/>
  <c r="S47" i="26"/>
  <c r="N147" i="26"/>
  <c r="R264" i="26"/>
  <c r="Q259" i="26"/>
  <c r="I47" i="26"/>
  <c r="O259" i="26"/>
  <c r="M261" i="26"/>
  <c r="E143" i="26"/>
  <c r="R149" i="26"/>
  <c r="H261" i="26"/>
  <c r="Q45" i="26"/>
  <c r="J47" i="26"/>
  <c r="D47" i="26"/>
  <c r="F47" i="26"/>
  <c r="M257" i="26"/>
  <c r="Q263" i="26"/>
  <c r="N49" i="26"/>
  <c r="L49" i="26"/>
  <c r="H43" i="26"/>
  <c r="D48" i="26"/>
  <c r="E255" i="26"/>
  <c r="I265" i="26"/>
  <c r="P49" i="26"/>
  <c r="J148" i="26"/>
  <c r="J49" i="26"/>
  <c r="Q147" i="26"/>
  <c r="R48" i="26"/>
  <c r="M46" i="26"/>
  <c r="E254" i="26"/>
  <c r="AE46" i="26" l="1"/>
  <c r="Y46" i="26"/>
  <c r="AT48" i="26"/>
  <c r="AS49" i="26"/>
  <c r="AC43" i="26"/>
  <c r="W43" i="26"/>
  <c r="AQ49" i="26"/>
  <c r="AR49" i="26"/>
  <c r="AO47" i="26"/>
  <c r="AU47" i="26" s="1"/>
  <c r="AG45" i="26"/>
  <c r="AA45" i="26"/>
  <c r="AP47" i="26"/>
  <c r="AV47" i="26" s="1"/>
  <c r="BM43" i="26"/>
  <c r="BN43" i="26" s="1"/>
  <c r="AB43" i="26"/>
  <c r="V43" i="26"/>
  <c r="AS47" i="26"/>
  <c r="AY47" i="26" s="1"/>
  <c r="AD45" i="26"/>
  <c r="X45" i="26"/>
  <c r="AG43" i="26"/>
  <c r="AA43" i="26"/>
  <c r="AC46" i="26"/>
  <c r="W46" i="26"/>
  <c r="AO48" i="26"/>
  <c r="AU48" i="26" s="1"/>
  <c r="AE45" i="26"/>
  <c r="Y45" i="26"/>
  <c r="AT49" i="26"/>
  <c r="AC44" i="26"/>
  <c r="W44" i="26"/>
  <c r="AO49" i="26"/>
  <c r="AU49" i="26" s="1"/>
  <c r="BM46" i="26"/>
  <c r="BN46" i="26" s="1"/>
  <c r="AB46" i="26"/>
  <c r="V46" i="26"/>
  <c r="BM45" i="26"/>
  <c r="BN45" i="26" s="1"/>
  <c r="AB45" i="26"/>
  <c r="V45" i="26"/>
  <c r="AQ47" i="26"/>
  <c r="AW47" i="26" s="1"/>
  <c r="AD43" i="26"/>
  <c r="X43" i="26"/>
  <c r="AE44" i="26"/>
  <c r="Y44" i="26"/>
  <c r="AP49" i="26"/>
  <c r="AT47" i="26"/>
  <c r="AZ47" i="26" s="1"/>
  <c r="AP48" i="26"/>
  <c r="AD46" i="26"/>
  <c r="X46" i="26"/>
  <c r="AC45" i="26"/>
  <c r="W45" i="26"/>
  <c r="AS48" i="26"/>
  <c r="AY48" i="26" s="1"/>
  <c r="AF44" i="26"/>
  <c r="Z44" i="26"/>
  <c r="AF46" i="26"/>
  <c r="Z46" i="26"/>
  <c r="AF45" i="26"/>
  <c r="Z45" i="26"/>
  <c r="AG46" i="26"/>
  <c r="AA46" i="26"/>
  <c r="AR48" i="26"/>
  <c r="AF43" i="26"/>
  <c r="Z43" i="26"/>
  <c r="AR47" i="26"/>
  <c r="AX47" i="26" s="1"/>
  <c r="AE43" i="26"/>
  <c r="Y43" i="26"/>
  <c r="BM44" i="26"/>
  <c r="BN44" i="26" s="1"/>
  <c r="AB44" i="26"/>
  <c r="V44" i="26"/>
  <c r="AQ48" i="26"/>
  <c r="AW48" i="26" s="1"/>
  <c r="AZ43" i="26"/>
  <c r="AZ44" i="26"/>
  <c r="AJ42" i="26"/>
  <c r="AZ45" i="26"/>
  <c r="AN42" i="26"/>
  <c r="AU45" i="26"/>
  <c r="AK42" i="26"/>
  <c r="AX43" i="26"/>
  <c r="AM42" i="26"/>
  <c r="AW46" i="26"/>
  <c r="AY43" i="26"/>
  <c r="AY46" i="26"/>
  <c r="AL42" i="26"/>
  <c r="AH42" i="26"/>
  <c r="AI42" i="26"/>
  <c r="AX46" i="26"/>
  <c r="AK44" i="26"/>
  <c r="AY45" i="26"/>
  <c r="AU44" i="26"/>
  <c r="AW43" i="26"/>
  <c r="AW44" i="26"/>
  <c r="AW45" i="26"/>
  <c r="AN44" i="26"/>
  <c r="AZ46" i="26"/>
  <c r="AU46" i="26"/>
  <c r="Z143" i="26"/>
  <c r="V261" i="26"/>
  <c r="Z259" i="26"/>
  <c r="AA144" i="26"/>
  <c r="W146" i="26"/>
  <c r="Y259" i="26"/>
  <c r="AA261" i="26"/>
  <c r="V143" i="26"/>
  <c r="Z254" i="26"/>
  <c r="W262" i="26"/>
  <c r="AA146" i="26"/>
  <c r="Z144" i="26"/>
  <c r="V254" i="26"/>
  <c r="Y257" i="26"/>
  <c r="Z261" i="26"/>
  <c r="AA254" i="26"/>
  <c r="X259" i="26"/>
  <c r="AA259" i="26"/>
  <c r="X144" i="26"/>
  <c r="W144" i="26"/>
  <c r="V144" i="26"/>
  <c r="Z256" i="26"/>
  <c r="X145" i="26"/>
  <c r="W254" i="26"/>
  <c r="AA260" i="26"/>
  <c r="V260" i="26"/>
  <c r="AA145" i="26"/>
  <c r="Y254" i="26"/>
  <c r="X260" i="26"/>
  <c r="V257" i="26"/>
  <c r="W261" i="26"/>
  <c r="V259" i="26"/>
  <c r="Y144" i="26"/>
  <c r="Y262" i="26"/>
  <c r="Z262" i="26"/>
  <c r="V145" i="26"/>
  <c r="X255" i="26"/>
  <c r="Z260" i="26"/>
  <c r="Y145" i="26"/>
  <c r="V255" i="26"/>
  <c r="W145" i="26"/>
  <c r="X254" i="26"/>
  <c r="Y261" i="26"/>
  <c r="X146" i="26"/>
  <c r="X257" i="26"/>
  <c r="W259" i="26"/>
  <c r="V262" i="26"/>
  <c r="W260" i="26"/>
  <c r="AA262" i="26"/>
  <c r="X261" i="26"/>
  <c r="Z145" i="26"/>
  <c r="Y260" i="26"/>
  <c r="X262" i="26"/>
  <c r="C265" i="26"/>
  <c r="B266" i="26"/>
  <c r="B267" i="26" s="1"/>
  <c r="B268" i="26" s="1"/>
  <c r="W263" i="26"/>
  <c r="AA263" i="26"/>
  <c r="X263" i="26"/>
  <c r="Y263" i="26"/>
  <c r="Z263" i="26"/>
  <c r="Y146" i="26"/>
  <c r="V146" i="26"/>
  <c r="Z146" i="26"/>
  <c r="Y148" i="26"/>
  <c r="X148" i="26"/>
  <c r="B150" i="26"/>
  <c r="C49" i="26"/>
  <c r="AA147" i="26"/>
  <c r="B51" i="26"/>
  <c r="C47" i="26"/>
  <c r="C48" i="26"/>
  <c r="F267" i="26"/>
  <c r="H47" i="26"/>
  <c r="E49" i="26"/>
  <c r="K149" i="26"/>
  <c r="O48" i="26"/>
  <c r="Q149" i="26"/>
  <c r="M147" i="26"/>
  <c r="E148" i="26"/>
  <c r="J149" i="26"/>
  <c r="U267" i="26"/>
  <c r="E47" i="26"/>
  <c r="R267" i="26"/>
  <c r="O49" i="26"/>
  <c r="D265" i="26"/>
  <c r="O47" i="26"/>
  <c r="G266" i="26"/>
  <c r="S150" i="26"/>
  <c r="E263" i="26"/>
  <c r="L267" i="26"/>
  <c r="L50" i="26"/>
  <c r="I267" i="26"/>
  <c r="J150" i="26"/>
  <c r="P50" i="26"/>
  <c r="G264" i="26"/>
  <c r="S268" i="26"/>
  <c r="K47" i="26"/>
  <c r="M265" i="26"/>
  <c r="U149" i="26"/>
  <c r="Q49" i="26"/>
  <c r="H148" i="26"/>
  <c r="U266" i="26"/>
  <c r="K49" i="26"/>
  <c r="Q264" i="26"/>
  <c r="M47" i="26"/>
  <c r="S264" i="26"/>
  <c r="F149" i="26"/>
  <c r="N268" i="26"/>
  <c r="R266" i="26"/>
  <c r="R268" i="26"/>
  <c r="F50" i="26"/>
  <c r="J50" i="26"/>
  <c r="G50" i="26"/>
  <c r="K48" i="26"/>
  <c r="P267" i="26"/>
  <c r="E147" i="26"/>
  <c r="N149" i="26"/>
  <c r="O147" i="26"/>
  <c r="I264" i="26"/>
  <c r="S266" i="26"/>
  <c r="J267" i="26"/>
  <c r="D267" i="26"/>
  <c r="I266" i="26"/>
  <c r="I50" i="26"/>
  <c r="J268" i="26"/>
  <c r="I268" i="26"/>
  <c r="P265" i="26"/>
  <c r="S267" i="26"/>
  <c r="G268" i="26"/>
  <c r="F268" i="26"/>
  <c r="D268" i="26"/>
  <c r="J266" i="26"/>
  <c r="S50" i="26"/>
  <c r="J265" i="26"/>
  <c r="O149" i="26"/>
  <c r="Q265" i="26"/>
  <c r="J264" i="26"/>
  <c r="Q48" i="26"/>
  <c r="G149" i="26"/>
  <c r="E48" i="26"/>
  <c r="L266" i="26"/>
  <c r="Q148" i="26"/>
  <c r="E265" i="26"/>
  <c r="H147" i="26"/>
  <c r="U264" i="26"/>
  <c r="N264" i="26"/>
  <c r="N267" i="26"/>
  <c r="D266" i="26"/>
  <c r="K264" i="26"/>
  <c r="O148" i="26"/>
  <c r="M48" i="26"/>
  <c r="D50" i="26"/>
  <c r="H49" i="26"/>
  <c r="R50" i="26"/>
  <c r="M49" i="26"/>
  <c r="P268" i="26"/>
  <c r="Q47" i="26"/>
  <c r="N50" i="26"/>
  <c r="P264" i="26"/>
  <c r="K265" i="26"/>
  <c r="H48" i="26"/>
  <c r="K147" i="26"/>
  <c r="AC48" i="26" l="1"/>
  <c r="W48" i="26"/>
  <c r="AR50" i="26"/>
  <c r="AX50" i="26" s="1"/>
  <c r="AG47" i="26"/>
  <c r="AA47" i="26"/>
  <c r="AE49" i="26"/>
  <c r="Y49" i="26"/>
  <c r="AT50" i="26"/>
  <c r="AC49" i="26"/>
  <c r="W49" i="26"/>
  <c r="AE48" i="26"/>
  <c r="Y48" i="26"/>
  <c r="BM48" i="26"/>
  <c r="BN48" i="26" s="1"/>
  <c r="AB48" i="26"/>
  <c r="V48" i="26"/>
  <c r="AG48" i="26"/>
  <c r="AA48" i="26"/>
  <c r="AP50" i="26"/>
  <c r="AD48" i="26"/>
  <c r="X48" i="26"/>
  <c r="AO50" i="26"/>
  <c r="AU50" i="26" s="1"/>
  <c r="AE47" i="26"/>
  <c r="Y47" i="26"/>
  <c r="AD49" i="26"/>
  <c r="X49" i="26"/>
  <c r="AG49" i="26"/>
  <c r="AA49" i="26"/>
  <c r="AD47" i="26"/>
  <c r="X47" i="26"/>
  <c r="AS50" i="26"/>
  <c r="AY50" i="26" s="1"/>
  <c r="AQ50" i="26"/>
  <c r="AW50" i="26" s="1"/>
  <c r="AF47" i="26"/>
  <c r="Z47" i="26"/>
  <c r="AF49" i="26"/>
  <c r="Z49" i="26"/>
  <c r="BM47" i="26"/>
  <c r="BN47" i="26" s="1"/>
  <c r="AB47" i="26"/>
  <c r="V47" i="26"/>
  <c r="AF48" i="26"/>
  <c r="Z48" i="26"/>
  <c r="BM49" i="26"/>
  <c r="BN49" i="26" s="1"/>
  <c r="AB49" i="26"/>
  <c r="V49" i="26"/>
  <c r="AC47" i="26"/>
  <c r="W47" i="26"/>
  <c r="AH44" i="26"/>
  <c r="AI44" i="26"/>
  <c r="AM43" i="26"/>
  <c r="AJ45" i="26"/>
  <c r="AK46" i="26"/>
  <c r="AH45" i="26"/>
  <c r="AI45" i="26"/>
  <c r="AZ49" i="26"/>
  <c r="AL45" i="26"/>
  <c r="AH43" i="26"/>
  <c r="AI43" i="26"/>
  <c r="AN45" i="26"/>
  <c r="AX49" i="26"/>
  <c r="AY49" i="26"/>
  <c r="AX48" i="26"/>
  <c r="AL43" i="26"/>
  <c r="AN46" i="26"/>
  <c r="AM45" i="26"/>
  <c r="AM46" i="26"/>
  <c r="AM44" i="26"/>
  <c r="AV48" i="26"/>
  <c r="AV49" i="26"/>
  <c r="AL44" i="26"/>
  <c r="AK43" i="26"/>
  <c r="AH46" i="26"/>
  <c r="AI46" i="26"/>
  <c r="AJ44" i="26"/>
  <c r="AJ46" i="26"/>
  <c r="AN43" i="26"/>
  <c r="AK45" i="26"/>
  <c r="AW49" i="26"/>
  <c r="AJ43" i="26"/>
  <c r="AZ48" i="26"/>
  <c r="AL46" i="26"/>
  <c r="V263" i="26"/>
  <c r="C264" i="26"/>
  <c r="B269" i="26"/>
  <c r="X265" i="26"/>
  <c r="Y265" i="26"/>
  <c r="AA265" i="26"/>
  <c r="V265" i="26"/>
  <c r="C267" i="26"/>
  <c r="C266" i="26"/>
  <c r="X264" i="26"/>
  <c r="AA264" i="26"/>
  <c r="Y147" i="26"/>
  <c r="C149" i="26"/>
  <c r="V147" i="26"/>
  <c r="AA148" i="26"/>
  <c r="V148" i="26"/>
  <c r="Z148" i="26"/>
  <c r="Z147" i="26"/>
  <c r="W147" i="26"/>
  <c r="W148" i="26"/>
  <c r="X147" i="26"/>
  <c r="X149" i="26"/>
  <c r="Z149" i="26"/>
  <c r="AA149" i="26"/>
  <c r="B151" i="26"/>
  <c r="C50" i="26"/>
  <c r="B52" i="26"/>
  <c r="K266" i="26"/>
  <c r="O267" i="26"/>
  <c r="D51" i="26"/>
  <c r="G267" i="26"/>
  <c r="R51" i="26"/>
  <c r="U150" i="26"/>
  <c r="I150" i="26"/>
  <c r="M268" i="26"/>
  <c r="Q266" i="26"/>
  <c r="P150" i="26"/>
  <c r="H50" i="26"/>
  <c r="S51" i="26"/>
  <c r="J269" i="26"/>
  <c r="F269" i="26"/>
  <c r="J151" i="26"/>
  <c r="F150" i="26"/>
  <c r="E264" i="26"/>
  <c r="L268" i="26"/>
  <c r="N269" i="26"/>
  <c r="L51" i="26"/>
  <c r="G269" i="26"/>
  <c r="F151" i="26"/>
  <c r="H266" i="26"/>
  <c r="Q268" i="26"/>
  <c r="M149" i="26"/>
  <c r="F51" i="26"/>
  <c r="P151" i="26"/>
  <c r="L151" i="26"/>
  <c r="M50" i="26"/>
  <c r="P51" i="26"/>
  <c r="R151" i="26"/>
  <c r="P269" i="26"/>
  <c r="Q50" i="26"/>
  <c r="R150" i="26"/>
  <c r="I269" i="26"/>
  <c r="M264" i="26"/>
  <c r="I151" i="26"/>
  <c r="O268" i="26"/>
  <c r="O265" i="26"/>
  <c r="N150" i="26"/>
  <c r="R269" i="26"/>
  <c r="F266" i="26"/>
  <c r="K267" i="26"/>
  <c r="S151" i="26"/>
  <c r="P266" i="26"/>
  <c r="G151" i="26"/>
  <c r="M267" i="26"/>
  <c r="H268" i="26"/>
  <c r="K50" i="26"/>
  <c r="D150" i="26"/>
  <c r="H149" i="26"/>
  <c r="S269" i="26"/>
  <c r="G150" i="26"/>
  <c r="I51" i="26"/>
  <c r="U269" i="26"/>
  <c r="G51" i="26"/>
  <c r="H265" i="26"/>
  <c r="U151" i="26"/>
  <c r="L150" i="26"/>
  <c r="O264" i="26"/>
  <c r="E50" i="26"/>
  <c r="L269" i="26"/>
  <c r="E268" i="26"/>
  <c r="H264" i="26"/>
  <c r="U268" i="26"/>
  <c r="J51" i="26"/>
  <c r="N151" i="26"/>
  <c r="N266" i="26"/>
  <c r="N51" i="26"/>
  <c r="H267" i="26"/>
  <c r="D151" i="26"/>
  <c r="O50" i="26"/>
  <c r="Q267" i="26"/>
  <c r="D269" i="26"/>
  <c r="E149" i="26"/>
  <c r="AF50" i="26" l="1"/>
  <c r="Z50" i="26"/>
  <c r="AR51" i="26"/>
  <c r="AX51" i="26" s="1"/>
  <c r="BM50" i="26"/>
  <c r="BN50" i="26" s="1"/>
  <c r="AB50" i="26"/>
  <c r="V50" i="26"/>
  <c r="AP51" i="26"/>
  <c r="AV51" i="26" s="1"/>
  <c r="AD50" i="26"/>
  <c r="X50" i="26"/>
  <c r="AG50" i="26"/>
  <c r="AA50" i="26"/>
  <c r="AS51" i="26"/>
  <c r="AY51" i="26" s="1"/>
  <c r="AE50" i="26"/>
  <c r="Y50" i="26"/>
  <c r="AO51" i="26"/>
  <c r="AU51" i="26" s="1"/>
  <c r="AQ51" i="26"/>
  <c r="AW51" i="26" s="1"/>
  <c r="AC50" i="26"/>
  <c r="W50" i="26"/>
  <c r="AT51" i="26"/>
  <c r="AZ51" i="26" s="1"/>
  <c r="AJ47" i="26"/>
  <c r="AH49" i="26"/>
  <c r="AI49" i="26"/>
  <c r="AM49" i="26"/>
  <c r="AM47" i="26"/>
  <c r="AK47" i="26"/>
  <c r="AN49" i="26"/>
  <c r="AK49" i="26"/>
  <c r="AL47" i="26"/>
  <c r="AV50" i="26"/>
  <c r="AN48" i="26"/>
  <c r="AH48" i="26"/>
  <c r="AI48" i="26"/>
  <c r="AZ50" i="26"/>
  <c r="AL49" i="26"/>
  <c r="AN47" i="26"/>
  <c r="AM48" i="26"/>
  <c r="AH47" i="26"/>
  <c r="AI47" i="26"/>
  <c r="AK48" i="26"/>
  <c r="AL48" i="26"/>
  <c r="AJ49" i="26"/>
  <c r="AJ48" i="26"/>
  <c r="C150" i="26"/>
  <c r="Y149" i="26"/>
  <c r="W149" i="26"/>
  <c r="C268" i="26"/>
  <c r="W265" i="26"/>
  <c r="W264" i="26"/>
  <c r="V264" i="26"/>
  <c r="Y264" i="26"/>
  <c r="Z265" i="26"/>
  <c r="Z264" i="26"/>
  <c r="AA268" i="26"/>
  <c r="Y268" i="26"/>
  <c r="Z268" i="26"/>
  <c r="V268" i="26"/>
  <c r="W268" i="26"/>
  <c r="C269" i="26"/>
  <c r="B270" i="26"/>
  <c r="AA267" i="26"/>
  <c r="AA266" i="26"/>
  <c r="Z267" i="26"/>
  <c r="W267" i="26"/>
  <c r="X266" i="26"/>
  <c r="Y267" i="26"/>
  <c r="W266" i="26"/>
  <c r="X267" i="26"/>
  <c r="B53" i="26"/>
  <c r="V149" i="26"/>
  <c r="C151" i="26"/>
  <c r="B152" i="26"/>
  <c r="B153" i="26" s="1"/>
  <c r="B154" i="26" s="1"/>
  <c r="C51" i="26"/>
  <c r="G270" i="26"/>
  <c r="K269" i="26"/>
  <c r="K268" i="26"/>
  <c r="M151" i="26"/>
  <c r="O266" i="26"/>
  <c r="R270" i="26"/>
  <c r="E269" i="26"/>
  <c r="Q269" i="26"/>
  <c r="P270" i="26"/>
  <c r="D52" i="26"/>
  <c r="S154" i="26"/>
  <c r="P52" i="26"/>
  <c r="M51" i="26"/>
  <c r="M150" i="26"/>
  <c r="K51" i="26"/>
  <c r="E150" i="26"/>
  <c r="O269" i="26"/>
  <c r="M269" i="26"/>
  <c r="O51" i="26"/>
  <c r="E267" i="26"/>
  <c r="K151" i="26"/>
  <c r="Q150" i="26"/>
  <c r="H151" i="26"/>
  <c r="R52" i="26"/>
  <c r="S52" i="26"/>
  <c r="L52" i="26"/>
  <c r="F270" i="26"/>
  <c r="P154" i="26"/>
  <c r="N52" i="26"/>
  <c r="L270" i="26"/>
  <c r="O150" i="26"/>
  <c r="U270" i="26"/>
  <c r="O151" i="26"/>
  <c r="I52" i="26"/>
  <c r="S270" i="26"/>
  <c r="H150" i="26"/>
  <c r="F52" i="26"/>
  <c r="H269" i="26"/>
  <c r="J270" i="26"/>
  <c r="M266" i="26"/>
  <c r="E51" i="26"/>
  <c r="E151" i="26"/>
  <c r="J52" i="26"/>
  <c r="E266" i="26"/>
  <c r="D270" i="26"/>
  <c r="H51" i="26"/>
  <c r="K150" i="26"/>
  <c r="N270" i="26"/>
  <c r="Q51" i="26"/>
  <c r="Q151" i="26"/>
  <c r="G52" i="26"/>
  <c r="I270" i="26"/>
  <c r="AG51" i="26" l="1"/>
  <c r="AA51" i="26"/>
  <c r="AC51" i="26"/>
  <c r="W51" i="26"/>
  <c r="BM51" i="26"/>
  <c r="BN51" i="26" s="1"/>
  <c r="AB51" i="26"/>
  <c r="V51" i="26"/>
  <c r="AO52" i="26"/>
  <c r="AU52" i="26" s="1"/>
  <c r="AP52" i="26"/>
  <c r="AR52" i="26"/>
  <c r="AX52" i="26" s="1"/>
  <c r="AQ52" i="26"/>
  <c r="AW52" i="26" s="1"/>
  <c r="AT52" i="26"/>
  <c r="AF51" i="26"/>
  <c r="Z51" i="26"/>
  <c r="AD51" i="26"/>
  <c r="X51" i="26"/>
  <c r="AE51" i="26"/>
  <c r="Y51" i="26"/>
  <c r="AS52" i="26"/>
  <c r="AY52" i="26" s="1"/>
  <c r="AN50" i="26"/>
  <c r="AK50" i="26"/>
  <c r="AJ50" i="26"/>
  <c r="AL50" i="26"/>
  <c r="AH50" i="26"/>
  <c r="AI50" i="26"/>
  <c r="AM50" i="26"/>
  <c r="Z150" i="26"/>
  <c r="AA150" i="26"/>
  <c r="X150" i="26"/>
  <c r="Y150" i="26"/>
  <c r="V267" i="26"/>
  <c r="Z266" i="26"/>
  <c r="Y266" i="26"/>
  <c r="V266" i="26"/>
  <c r="V150" i="26"/>
  <c r="W150" i="26"/>
  <c r="X268" i="26"/>
  <c r="Y269" i="26"/>
  <c r="W269" i="26"/>
  <c r="AA269" i="26"/>
  <c r="Z269" i="26"/>
  <c r="V269" i="26"/>
  <c r="X269" i="26"/>
  <c r="C270" i="26"/>
  <c r="B271" i="26"/>
  <c r="B272" i="26" s="1"/>
  <c r="B273" i="26" s="1"/>
  <c r="B274" i="26" s="1"/>
  <c r="B54" i="26"/>
  <c r="B155" i="26"/>
  <c r="B156" i="26" s="1"/>
  <c r="B157" i="26" s="1"/>
  <c r="B158" i="26" s="1"/>
  <c r="Z151" i="26"/>
  <c r="W151" i="26"/>
  <c r="V151" i="26"/>
  <c r="Y151" i="26"/>
  <c r="AA151" i="26"/>
  <c r="X151" i="26"/>
  <c r="C52" i="26"/>
  <c r="D271" i="26"/>
  <c r="F157" i="26"/>
  <c r="R157" i="26"/>
  <c r="O270" i="26"/>
  <c r="P274" i="26"/>
  <c r="O52" i="26"/>
  <c r="I154" i="26"/>
  <c r="S153" i="26"/>
  <c r="U154" i="26"/>
  <c r="S157" i="26"/>
  <c r="J274" i="26"/>
  <c r="I153" i="26"/>
  <c r="D152" i="26"/>
  <c r="N53" i="26"/>
  <c r="R152" i="26"/>
  <c r="G274" i="26"/>
  <c r="L274" i="26"/>
  <c r="J154" i="26"/>
  <c r="I271" i="26"/>
  <c r="J153" i="26"/>
  <c r="S274" i="26"/>
  <c r="H52" i="26"/>
  <c r="M52" i="26"/>
  <c r="U152" i="26"/>
  <c r="U153" i="26"/>
  <c r="S156" i="26"/>
  <c r="L53" i="26"/>
  <c r="L155" i="26"/>
  <c r="D154" i="26"/>
  <c r="L152" i="26"/>
  <c r="P155" i="26"/>
  <c r="J53" i="26"/>
  <c r="G154" i="26"/>
  <c r="F158" i="26"/>
  <c r="R53" i="26"/>
  <c r="F154" i="26"/>
  <c r="N154" i="26"/>
  <c r="L273" i="26"/>
  <c r="D53" i="26"/>
  <c r="F156" i="26"/>
  <c r="P53" i="26"/>
  <c r="R154" i="26"/>
  <c r="F152" i="26"/>
  <c r="K52" i="26"/>
  <c r="R271" i="26"/>
  <c r="N152" i="26"/>
  <c r="U274" i="26"/>
  <c r="P152" i="26"/>
  <c r="I157" i="26"/>
  <c r="D153" i="26"/>
  <c r="O154" i="26"/>
  <c r="F53" i="26"/>
  <c r="H270" i="26"/>
  <c r="G53" i="26"/>
  <c r="F153" i="26"/>
  <c r="R153" i="26"/>
  <c r="J152" i="26"/>
  <c r="P157" i="26"/>
  <c r="F273" i="26"/>
  <c r="R155" i="26"/>
  <c r="U155" i="26"/>
  <c r="I53" i="26"/>
  <c r="P153" i="26"/>
  <c r="I156" i="26"/>
  <c r="G153" i="26"/>
  <c r="D156" i="26"/>
  <c r="Q52" i="26"/>
  <c r="L153" i="26"/>
  <c r="S152" i="26"/>
  <c r="J156" i="26"/>
  <c r="G271" i="26"/>
  <c r="L158" i="26"/>
  <c r="U271" i="26"/>
  <c r="S53" i="26"/>
  <c r="E270" i="26"/>
  <c r="L154" i="26"/>
  <c r="Q270" i="26"/>
  <c r="E52" i="26"/>
  <c r="U157" i="26"/>
  <c r="R273" i="26"/>
  <c r="G152" i="26"/>
  <c r="N273" i="26"/>
  <c r="I152" i="26"/>
  <c r="M270" i="26"/>
  <c r="D157" i="26"/>
  <c r="N153" i="26"/>
  <c r="S155" i="26"/>
  <c r="K270" i="26"/>
  <c r="BM52" i="26" l="1"/>
  <c r="BN52" i="26" s="1"/>
  <c r="AB52" i="26"/>
  <c r="V52" i="26"/>
  <c r="AG52" i="26"/>
  <c r="AA52" i="26"/>
  <c r="AP53" i="26"/>
  <c r="AV53" i="26" s="1"/>
  <c r="AO53" i="26"/>
  <c r="AU53" i="26" s="1"/>
  <c r="AD52" i="26"/>
  <c r="X52" i="26"/>
  <c r="AS53" i="26"/>
  <c r="AY53" i="26" s="1"/>
  <c r="AT53" i="26"/>
  <c r="AZ53" i="26" s="1"/>
  <c r="AQ53" i="26"/>
  <c r="AW53" i="26" s="1"/>
  <c r="AE52" i="26"/>
  <c r="Y52" i="26"/>
  <c r="AC52" i="26"/>
  <c r="W52" i="26"/>
  <c r="AR53" i="26"/>
  <c r="AX53" i="26" s="1"/>
  <c r="AF52" i="26"/>
  <c r="Z52" i="26"/>
  <c r="AZ52" i="26"/>
  <c r="AH51" i="26"/>
  <c r="AI51" i="26"/>
  <c r="AL51" i="26"/>
  <c r="AK51" i="26"/>
  <c r="AM51" i="26"/>
  <c r="AV52" i="26"/>
  <c r="AJ51" i="26"/>
  <c r="AN51" i="26"/>
  <c r="C274" i="26"/>
  <c r="B275" i="26"/>
  <c r="W270" i="26"/>
  <c r="Z270" i="26"/>
  <c r="V270" i="26"/>
  <c r="AA270" i="26"/>
  <c r="X270" i="26"/>
  <c r="Y270" i="26"/>
  <c r="C271" i="26"/>
  <c r="C53" i="26"/>
  <c r="B55" i="26"/>
  <c r="C154" i="26"/>
  <c r="C152" i="26"/>
  <c r="C153" i="26"/>
  <c r="B159" i="26"/>
  <c r="B160" i="26" s="1"/>
  <c r="B161" i="26" s="1"/>
  <c r="C157" i="26"/>
  <c r="Z154" i="26"/>
  <c r="C155" i="26"/>
  <c r="M53" i="26"/>
  <c r="N156" i="26"/>
  <c r="N160" i="26"/>
  <c r="R159" i="26"/>
  <c r="J275" i="26"/>
  <c r="S275" i="26"/>
  <c r="M152" i="26"/>
  <c r="R274" i="26"/>
  <c r="L161" i="26"/>
  <c r="S159" i="26"/>
  <c r="Q154" i="26"/>
  <c r="P275" i="26"/>
  <c r="D159" i="26"/>
  <c r="R54" i="26"/>
  <c r="O157" i="26"/>
  <c r="K274" i="26"/>
  <c r="L54" i="26"/>
  <c r="F161" i="26"/>
  <c r="F160" i="26"/>
  <c r="P158" i="26"/>
  <c r="S160" i="26"/>
  <c r="H53" i="26"/>
  <c r="F272" i="26"/>
  <c r="I161" i="26"/>
  <c r="R156" i="26"/>
  <c r="N155" i="26"/>
  <c r="H152" i="26"/>
  <c r="Q152" i="26"/>
  <c r="P161" i="26"/>
  <c r="G159" i="26"/>
  <c r="U272" i="26"/>
  <c r="D155" i="26"/>
  <c r="M273" i="26"/>
  <c r="G272" i="26"/>
  <c r="N272" i="26"/>
  <c r="N274" i="26"/>
  <c r="S54" i="26"/>
  <c r="D275" i="26"/>
  <c r="H153" i="26"/>
  <c r="L159" i="26"/>
  <c r="P272" i="26"/>
  <c r="J158" i="26"/>
  <c r="D54" i="26"/>
  <c r="H156" i="26"/>
  <c r="L272" i="26"/>
  <c r="U158" i="26"/>
  <c r="K153" i="26"/>
  <c r="S161" i="26"/>
  <c r="J273" i="26"/>
  <c r="P54" i="26"/>
  <c r="P271" i="26"/>
  <c r="K53" i="26"/>
  <c r="G155" i="26"/>
  <c r="F274" i="26"/>
  <c r="P273" i="26"/>
  <c r="Q53" i="26"/>
  <c r="E53" i="26"/>
  <c r="U160" i="26"/>
  <c r="O153" i="26"/>
  <c r="F159" i="26"/>
  <c r="I272" i="26"/>
  <c r="S271" i="26"/>
  <c r="J157" i="26"/>
  <c r="K155" i="26"/>
  <c r="P160" i="26"/>
  <c r="E153" i="26"/>
  <c r="D158" i="26"/>
  <c r="P156" i="26"/>
  <c r="K158" i="26"/>
  <c r="N271" i="26"/>
  <c r="F54" i="26"/>
  <c r="G275" i="26"/>
  <c r="K154" i="26"/>
  <c r="U159" i="26"/>
  <c r="R272" i="26"/>
  <c r="I158" i="26"/>
  <c r="G54" i="26"/>
  <c r="U273" i="26"/>
  <c r="O53" i="26"/>
  <c r="D272" i="26"/>
  <c r="D273" i="26"/>
  <c r="G161" i="26"/>
  <c r="G158" i="26"/>
  <c r="I273" i="26"/>
  <c r="L160" i="26"/>
  <c r="R161" i="26"/>
  <c r="O152" i="26"/>
  <c r="M154" i="26"/>
  <c r="E152" i="26"/>
  <c r="J161" i="26"/>
  <c r="L157" i="26"/>
  <c r="S158" i="26"/>
  <c r="S273" i="26"/>
  <c r="R158" i="26"/>
  <c r="I275" i="26"/>
  <c r="J271" i="26"/>
  <c r="I274" i="26"/>
  <c r="I159" i="26"/>
  <c r="K152" i="26"/>
  <c r="M153" i="26"/>
  <c r="D160" i="26"/>
  <c r="F271" i="26"/>
  <c r="Q153" i="26"/>
  <c r="N275" i="26"/>
  <c r="K273" i="26"/>
  <c r="J159" i="26"/>
  <c r="G273" i="26"/>
  <c r="O155" i="26"/>
  <c r="L275" i="26"/>
  <c r="J155" i="26"/>
  <c r="Q271" i="26"/>
  <c r="F155" i="26"/>
  <c r="R160" i="26"/>
  <c r="H154" i="26"/>
  <c r="S272" i="26"/>
  <c r="Q155" i="26"/>
  <c r="L156" i="26"/>
  <c r="R275" i="26"/>
  <c r="J272" i="26"/>
  <c r="I54" i="26"/>
  <c r="L271" i="26"/>
  <c r="G157" i="26"/>
  <c r="J54" i="26"/>
  <c r="F275" i="26"/>
  <c r="I155" i="26"/>
  <c r="D274" i="26"/>
  <c r="Q273" i="26"/>
  <c r="N158" i="26"/>
  <c r="U156" i="26"/>
  <c r="U275" i="26"/>
  <c r="I160" i="26"/>
  <c r="G156" i="26"/>
  <c r="E154" i="26"/>
  <c r="O274" i="26"/>
  <c r="D161" i="26"/>
  <c r="P159" i="26"/>
  <c r="Q157" i="26"/>
  <c r="J160" i="26"/>
  <c r="N157" i="26"/>
  <c r="N54" i="26"/>
  <c r="AR54" i="26" l="1"/>
  <c r="AP54" i="26"/>
  <c r="AF53" i="26"/>
  <c r="Z53" i="26"/>
  <c r="AO54" i="26"/>
  <c r="AU54" i="26" s="1"/>
  <c r="BM53" i="26"/>
  <c r="BN53" i="26" s="1"/>
  <c r="AB53" i="26"/>
  <c r="V53" i="26"/>
  <c r="AG53" i="26"/>
  <c r="AA53" i="26"/>
  <c r="AD53" i="26"/>
  <c r="X53" i="26"/>
  <c r="AS54" i="26"/>
  <c r="AY54" i="26" s="1"/>
  <c r="AC53" i="26"/>
  <c r="W53" i="26"/>
  <c r="AQ54" i="26"/>
  <c r="AW54" i="26" s="1"/>
  <c r="AT54" i="26"/>
  <c r="AE53" i="26"/>
  <c r="Y53" i="26"/>
  <c r="AM52" i="26"/>
  <c r="AK52" i="26"/>
  <c r="AN52" i="26"/>
  <c r="AH52" i="26"/>
  <c r="AI52" i="26"/>
  <c r="AJ52" i="26"/>
  <c r="AL52" i="26"/>
  <c r="X153" i="26"/>
  <c r="C273" i="26"/>
  <c r="C158" i="26"/>
  <c r="C156" i="26"/>
  <c r="Z274" i="26"/>
  <c r="X274" i="26"/>
  <c r="C275" i="26"/>
  <c r="B276" i="26"/>
  <c r="X273" i="26"/>
  <c r="AA273" i="26"/>
  <c r="Y273" i="26"/>
  <c r="C272" i="26"/>
  <c r="AA271" i="26"/>
  <c r="C54" i="26"/>
  <c r="B56" i="26"/>
  <c r="V152" i="26"/>
  <c r="Y154" i="26"/>
  <c r="AA153" i="26"/>
  <c r="V154" i="26"/>
  <c r="AA154" i="26"/>
  <c r="W154" i="26"/>
  <c r="X152" i="26"/>
  <c r="X154" i="26"/>
  <c r="W153" i="26"/>
  <c r="W152" i="26"/>
  <c r="V153" i="26"/>
  <c r="AA152" i="26"/>
  <c r="Y153" i="26"/>
  <c r="Z152" i="26"/>
  <c r="Z153" i="26"/>
  <c r="Y152" i="26"/>
  <c r="B162" i="26"/>
  <c r="B163" i="26" s="1"/>
  <c r="C160" i="26"/>
  <c r="X158" i="26"/>
  <c r="C159" i="26"/>
  <c r="AA157" i="26"/>
  <c r="Z157" i="26"/>
  <c r="W156" i="26"/>
  <c r="X155" i="26"/>
  <c r="Z155" i="26"/>
  <c r="AA155" i="26"/>
  <c r="D276" i="26"/>
  <c r="D55" i="26"/>
  <c r="G55" i="26"/>
  <c r="M155" i="26"/>
  <c r="O271" i="26"/>
  <c r="E156" i="26"/>
  <c r="K161" i="26"/>
  <c r="L276" i="26"/>
  <c r="O159" i="26"/>
  <c r="Q272" i="26"/>
  <c r="Q158" i="26"/>
  <c r="J163" i="26"/>
  <c r="E54" i="26"/>
  <c r="H161" i="26"/>
  <c r="L55" i="26"/>
  <c r="H272" i="26"/>
  <c r="E273" i="26"/>
  <c r="M158" i="26"/>
  <c r="P276" i="26"/>
  <c r="E158" i="26"/>
  <c r="G160" i="26"/>
  <c r="E157" i="26"/>
  <c r="Q161" i="26"/>
  <c r="M157" i="26"/>
  <c r="D163" i="26"/>
  <c r="O272" i="26"/>
  <c r="O54" i="26"/>
  <c r="N276" i="26"/>
  <c r="Q54" i="26"/>
  <c r="E271" i="26"/>
  <c r="F55" i="26"/>
  <c r="U161" i="26"/>
  <c r="I276" i="26"/>
  <c r="H155" i="26"/>
  <c r="S163" i="26"/>
  <c r="M275" i="26"/>
  <c r="O160" i="26"/>
  <c r="Q160" i="26"/>
  <c r="E155" i="26"/>
  <c r="Q275" i="26"/>
  <c r="H160" i="26"/>
  <c r="N159" i="26"/>
  <c r="Q274" i="26"/>
  <c r="J55" i="26"/>
  <c r="M272" i="26"/>
  <c r="Q159" i="26"/>
  <c r="K160" i="26"/>
  <c r="O275" i="26"/>
  <c r="M54" i="26"/>
  <c r="O156" i="26"/>
  <c r="H271" i="26"/>
  <c r="K156" i="26"/>
  <c r="N55" i="26"/>
  <c r="O158" i="26"/>
  <c r="R55" i="26"/>
  <c r="E161" i="26"/>
  <c r="G276" i="26"/>
  <c r="M274" i="26"/>
  <c r="R162" i="26"/>
  <c r="K157" i="26"/>
  <c r="K275" i="26"/>
  <c r="M160" i="26"/>
  <c r="N161" i="26"/>
  <c r="Q156" i="26"/>
  <c r="O273" i="26"/>
  <c r="M156" i="26"/>
  <c r="E159" i="26"/>
  <c r="P55" i="26"/>
  <c r="H158" i="26"/>
  <c r="H273" i="26"/>
  <c r="H274" i="26"/>
  <c r="E272" i="26"/>
  <c r="S55" i="26"/>
  <c r="M271" i="26"/>
  <c r="K54" i="26"/>
  <c r="O161" i="26"/>
  <c r="E275" i="26"/>
  <c r="K271" i="26"/>
  <c r="H275" i="26"/>
  <c r="I55" i="26"/>
  <c r="J162" i="26"/>
  <c r="K159" i="26"/>
  <c r="E274" i="26"/>
  <c r="H159" i="26"/>
  <c r="F163" i="26"/>
  <c r="K272" i="26"/>
  <c r="H157" i="26"/>
  <c r="H54" i="26"/>
  <c r="R163" i="26"/>
  <c r="AC54" i="26" l="1"/>
  <c r="W54" i="26"/>
  <c r="AP55" i="26"/>
  <c r="AV55" i="26" s="1"/>
  <c r="AD54" i="26"/>
  <c r="X54" i="26"/>
  <c r="AS55" i="26"/>
  <c r="AY55" i="26" s="1"/>
  <c r="AT55" i="26"/>
  <c r="AZ55" i="26" s="1"/>
  <c r="AR55" i="26"/>
  <c r="AE54" i="26"/>
  <c r="Y54" i="26"/>
  <c r="AO55" i="26"/>
  <c r="AU55" i="26" s="1"/>
  <c r="AG54" i="26"/>
  <c r="AA54" i="26"/>
  <c r="AF54" i="26"/>
  <c r="Z54" i="26"/>
  <c r="AQ55" i="26"/>
  <c r="AW55" i="26" s="1"/>
  <c r="BM54" i="26"/>
  <c r="BN54" i="26" s="1"/>
  <c r="AB54" i="26"/>
  <c r="V54" i="26"/>
  <c r="AL53" i="26"/>
  <c r="AJ53" i="26"/>
  <c r="AV54" i="26"/>
  <c r="AZ54" i="26"/>
  <c r="AK53" i="26"/>
  <c r="AN53" i="26"/>
  <c r="AH53" i="26"/>
  <c r="AI53" i="26"/>
  <c r="AM53" i="26"/>
  <c r="AX55" i="26"/>
  <c r="AX54" i="26"/>
  <c r="V157" i="26"/>
  <c r="V273" i="26"/>
  <c r="AA158" i="26"/>
  <c r="Z158" i="26"/>
  <c r="X156" i="26"/>
  <c r="W158" i="26"/>
  <c r="Y158" i="26"/>
  <c r="Y156" i="26"/>
  <c r="V274" i="26"/>
  <c r="Z271" i="26"/>
  <c r="AA274" i="26"/>
  <c r="W271" i="26"/>
  <c r="W274" i="26"/>
  <c r="V271" i="26"/>
  <c r="Z273" i="26"/>
  <c r="Y274" i="26"/>
  <c r="V158" i="26"/>
  <c r="W273" i="26"/>
  <c r="Y271" i="26"/>
  <c r="X271" i="26"/>
  <c r="Z156" i="26"/>
  <c r="Z275" i="26"/>
  <c r="X275" i="26"/>
  <c r="Y275" i="26"/>
  <c r="V275" i="26"/>
  <c r="AA275" i="26"/>
  <c r="W275" i="26"/>
  <c r="B277" i="26"/>
  <c r="B278" i="26" s="1"/>
  <c r="B279" i="26" s="1"/>
  <c r="AA272" i="26"/>
  <c r="V272" i="26"/>
  <c r="X272" i="26"/>
  <c r="Z272" i="26"/>
  <c r="W272" i="26"/>
  <c r="Y272" i="26"/>
  <c r="C55" i="26"/>
  <c r="B57" i="26"/>
  <c r="B164" i="26"/>
  <c r="C161" i="26"/>
  <c r="Y157" i="26"/>
  <c r="AA156" i="26"/>
  <c r="W157" i="26"/>
  <c r="W155" i="26"/>
  <c r="Y155" i="26"/>
  <c r="V155" i="26"/>
  <c r="X157" i="26"/>
  <c r="V156" i="26"/>
  <c r="AA161" i="26"/>
  <c r="V161" i="26"/>
  <c r="Z161" i="26"/>
  <c r="W161" i="26"/>
  <c r="X161" i="26"/>
  <c r="Y160" i="26"/>
  <c r="W160" i="26"/>
  <c r="Z160" i="26"/>
  <c r="AA160" i="26"/>
  <c r="X160" i="26"/>
  <c r="Z159" i="26"/>
  <c r="W159" i="26"/>
  <c r="AA159" i="26"/>
  <c r="X159" i="26"/>
  <c r="V159" i="26"/>
  <c r="G164" i="26"/>
  <c r="U164" i="26"/>
  <c r="G56" i="26"/>
  <c r="P164" i="26"/>
  <c r="N163" i="26"/>
  <c r="K55" i="26"/>
  <c r="I278" i="26"/>
  <c r="L162" i="26"/>
  <c r="E55" i="26"/>
  <c r="J277" i="26"/>
  <c r="D279" i="26"/>
  <c r="L278" i="26"/>
  <c r="N164" i="26"/>
  <c r="D56" i="26"/>
  <c r="S164" i="26"/>
  <c r="D278" i="26"/>
  <c r="L277" i="26"/>
  <c r="H55" i="26"/>
  <c r="D162" i="26"/>
  <c r="U276" i="26"/>
  <c r="G162" i="26"/>
  <c r="K276" i="26"/>
  <c r="F162" i="26"/>
  <c r="M276" i="26"/>
  <c r="O276" i="26"/>
  <c r="R278" i="26"/>
  <c r="I164" i="26"/>
  <c r="F278" i="26"/>
  <c r="L279" i="26"/>
  <c r="R277" i="26"/>
  <c r="N277" i="26"/>
  <c r="Q163" i="26"/>
  <c r="J56" i="26"/>
  <c r="D277" i="26"/>
  <c r="P279" i="26"/>
  <c r="F164" i="26"/>
  <c r="P162" i="26"/>
  <c r="L163" i="26"/>
  <c r="M55" i="26"/>
  <c r="J276" i="26"/>
  <c r="J279" i="26"/>
  <c r="R279" i="26"/>
  <c r="S277" i="26"/>
  <c r="F56" i="26"/>
  <c r="N162" i="26"/>
  <c r="S278" i="26"/>
  <c r="P163" i="26"/>
  <c r="S279" i="26"/>
  <c r="Q162" i="26"/>
  <c r="I277" i="26"/>
  <c r="N279" i="26"/>
  <c r="U162" i="26"/>
  <c r="S276" i="26"/>
  <c r="R164" i="26"/>
  <c r="E160" i="26"/>
  <c r="U278" i="26"/>
  <c r="N56" i="26"/>
  <c r="L164" i="26"/>
  <c r="L56" i="26"/>
  <c r="P56" i="26"/>
  <c r="N278" i="26"/>
  <c r="S162" i="26"/>
  <c r="R276" i="26"/>
  <c r="G279" i="26"/>
  <c r="G277" i="26"/>
  <c r="G163" i="26"/>
  <c r="Q55" i="26"/>
  <c r="I279" i="26"/>
  <c r="M159" i="26"/>
  <c r="F277" i="26"/>
  <c r="P277" i="26"/>
  <c r="U277" i="26"/>
  <c r="R56" i="26"/>
  <c r="O55" i="26"/>
  <c r="I162" i="26"/>
  <c r="J278" i="26"/>
  <c r="I163" i="26"/>
  <c r="F279" i="26"/>
  <c r="G278" i="26"/>
  <c r="U163" i="26"/>
  <c r="P278" i="26"/>
  <c r="M161" i="26"/>
  <c r="S56" i="26"/>
  <c r="U279" i="26"/>
  <c r="I56" i="26"/>
  <c r="F276" i="26"/>
  <c r="AP56" i="26" l="1"/>
  <c r="AF55" i="26"/>
  <c r="Z55" i="26"/>
  <c r="AT56" i="26"/>
  <c r="AG55" i="26"/>
  <c r="AA55" i="26"/>
  <c r="AS56" i="26"/>
  <c r="AY56" i="26" s="1"/>
  <c r="AQ56" i="26"/>
  <c r="AW56" i="26" s="1"/>
  <c r="AR56" i="26"/>
  <c r="AO56" i="26"/>
  <c r="AU56" i="26" s="1"/>
  <c r="AE55" i="26"/>
  <c r="Y55" i="26"/>
  <c r="AC55" i="26"/>
  <c r="W55" i="26"/>
  <c r="BM55" i="26"/>
  <c r="BN55" i="26" s="1"/>
  <c r="AB55" i="26"/>
  <c r="V55" i="26"/>
  <c r="AD55" i="26"/>
  <c r="X55" i="26"/>
  <c r="AH54" i="26"/>
  <c r="AI54" i="26"/>
  <c r="AM54" i="26"/>
  <c r="AN54" i="26"/>
  <c r="AK54" i="26"/>
  <c r="AL54" i="26"/>
  <c r="AJ54" i="26"/>
  <c r="C276" i="26"/>
  <c r="C163" i="26"/>
  <c r="C279" i="26"/>
  <c r="B280" i="26"/>
  <c r="B281" i="26" s="1"/>
  <c r="B282" i="26" s="1"/>
  <c r="B283" i="26" s="1"/>
  <c r="C278" i="26"/>
  <c r="Z276" i="26"/>
  <c r="X276" i="26"/>
  <c r="Y276" i="26"/>
  <c r="C277" i="26"/>
  <c r="C56" i="26"/>
  <c r="AA163" i="26"/>
  <c r="B58" i="26"/>
  <c r="C164" i="26"/>
  <c r="B165" i="26"/>
  <c r="B166" i="26" s="1"/>
  <c r="V160" i="26"/>
  <c r="Y161" i="26"/>
  <c r="C162" i="26"/>
  <c r="Y159" i="26"/>
  <c r="AA162" i="26"/>
  <c r="R283" i="26"/>
  <c r="E276" i="26"/>
  <c r="L165" i="26"/>
  <c r="M162" i="26"/>
  <c r="S57" i="26"/>
  <c r="L57" i="26"/>
  <c r="I283" i="26"/>
  <c r="D57" i="26"/>
  <c r="M56" i="26"/>
  <c r="O277" i="26"/>
  <c r="H277" i="26"/>
  <c r="G283" i="26"/>
  <c r="D164" i="26"/>
  <c r="F281" i="26"/>
  <c r="S281" i="26"/>
  <c r="U283" i="26"/>
  <c r="K277" i="26"/>
  <c r="U281" i="26"/>
  <c r="H279" i="26"/>
  <c r="E279" i="26"/>
  <c r="F57" i="26"/>
  <c r="D283" i="26"/>
  <c r="K279" i="26"/>
  <c r="F283" i="26"/>
  <c r="I165" i="26"/>
  <c r="O164" i="26"/>
  <c r="N283" i="26"/>
  <c r="H278" i="26"/>
  <c r="E56" i="26"/>
  <c r="N166" i="26"/>
  <c r="L280" i="26"/>
  <c r="U280" i="26"/>
  <c r="P283" i="26"/>
  <c r="S165" i="26"/>
  <c r="S283" i="26"/>
  <c r="K278" i="26"/>
  <c r="D166" i="26"/>
  <c r="Q276" i="26"/>
  <c r="M277" i="26"/>
  <c r="E278" i="26"/>
  <c r="N281" i="26"/>
  <c r="Q278" i="26"/>
  <c r="Q279" i="26"/>
  <c r="H163" i="26"/>
  <c r="P280" i="26"/>
  <c r="M164" i="26"/>
  <c r="J164" i="26"/>
  <c r="R280" i="26"/>
  <c r="Q277" i="26"/>
  <c r="F280" i="26"/>
  <c r="H56" i="26"/>
  <c r="G57" i="26"/>
  <c r="R281" i="26"/>
  <c r="M278" i="26"/>
  <c r="M279" i="26"/>
  <c r="N57" i="26"/>
  <c r="P57" i="26"/>
  <c r="O163" i="26"/>
  <c r="J166" i="26"/>
  <c r="O279" i="26"/>
  <c r="K56" i="26"/>
  <c r="O278" i="26"/>
  <c r="J283" i="26"/>
  <c r="K162" i="26"/>
  <c r="I57" i="26"/>
  <c r="E164" i="26"/>
  <c r="H276" i="26"/>
  <c r="R57" i="26"/>
  <c r="J57" i="26"/>
  <c r="M163" i="26"/>
  <c r="E277" i="26"/>
  <c r="O56" i="26"/>
  <c r="Q164" i="26"/>
  <c r="L283" i="26"/>
  <c r="S280" i="26"/>
  <c r="O162" i="26"/>
  <c r="N280" i="26"/>
  <c r="K164" i="26"/>
  <c r="H162" i="26"/>
  <c r="J281" i="26"/>
  <c r="E163" i="26"/>
  <c r="E162" i="26"/>
  <c r="K163" i="26"/>
  <c r="D280" i="26"/>
  <c r="P281" i="26"/>
  <c r="Q56" i="26"/>
  <c r="AG56" i="26" l="1"/>
  <c r="AA56" i="26"/>
  <c r="AF56" i="26"/>
  <c r="Z56" i="26"/>
  <c r="AT57" i="26"/>
  <c r="AP57" i="26"/>
  <c r="AV57" i="26" s="1"/>
  <c r="AD56" i="26"/>
  <c r="X56" i="26"/>
  <c r="AS57" i="26"/>
  <c r="AY57" i="26" s="1"/>
  <c r="AR57" i="26"/>
  <c r="AX57" i="26" s="1"/>
  <c r="AC56" i="26"/>
  <c r="W56" i="26"/>
  <c r="BM56" i="26"/>
  <c r="BN56" i="26" s="1"/>
  <c r="AB56" i="26"/>
  <c r="V56" i="26"/>
  <c r="AO57" i="26"/>
  <c r="AU57" i="26" s="1"/>
  <c r="AE56" i="26"/>
  <c r="Y56" i="26"/>
  <c r="AQ57" i="26"/>
  <c r="AW57" i="26" s="1"/>
  <c r="AK55" i="26"/>
  <c r="AH55" i="26"/>
  <c r="AI55" i="26"/>
  <c r="AZ56" i="26"/>
  <c r="AZ57" i="26"/>
  <c r="AM55" i="26"/>
  <c r="AJ55" i="26"/>
  <c r="AL55" i="26"/>
  <c r="AX56" i="26"/>
  <c r="AN55" i="26"/>
  <c r="AV56" i="26"/>
  <c r="V163" i="26"/>
  <c r="Y163" i="26"/>
  <c r="W163" i="26"/>
  <c r="C283" i="26"/>
  <c r="B284" i="26"/>
  <c r="B285" i="26" s="1"/>
  <c r="W276" i="26"/>
  <c r="V276" i="26"/>
  <c r="AA276" i="26"/>
  <c r="C281" i="26"/>
  <c r="Z163" i="26"/>
  <c r="Z279" i="26"/>
  <c r="W279" i="26"/>
  <c r="X163" i="26"/>
  <c r="AA279" i="26"/>
  <c r="Y162" i="26"/>
  <c r="X279" i="26"/>
  <c r="V279" i="26"/>
  <c r="X162" i="26"/>
  <c r="Y279" i="26"/>
  <c r="C280" i="26"/>
  <c r="Y278" i="26"/>
  <c r="AA278" i="26"/>
  <c r="V278" i="26"/>
  <c r="Z278" i="26"/>
  <c r="X278" i="26"/>
  <c r="W278" i="26"/>
  <c r="AA277" i="26"/>
  <c r="Y277" i="26"/>
  <c r="Z277" i="26"/>
  <c r="W277" i="26"/>
  <c r="X277" i="26"/>
  <c r="V277" i="26"/>
  <c r="B167" i="26"/>
  <c r="B168" i="26" s="1"/>
  <c r="V164" i="26"/>
  <c r="C57" i="26"/>
  <c r="X164" i="26"/>
  <c r="AA164" i="26"/>
  <c r="Y164" i="26"/>
  <c r="Z164" i="26"/>
  <c r="B59" i="26"/>
  <c r="V162" i="26"/>
  <c r="W162" i="26"/>
  <c r="Z162" i="26"/>
  <c r="D285" i="26"/>
  <c r="I285" i="26"/>
  <c r="L285" i="26"/>
  <c r="J285" i="26"/>
  <c r="G285" i="26"/>
  <c r="N285" i="26"/>
  <c r="P282" i="26"/>
  <c r="R166" i="26"/>
  <c r="F168" i="26"/>
  <c r="U166" i="26"/>
  <c r="H57" i="26"/>
  <c r="N284" i="26"/>
  <c r="F165" i="26"/>
  <c r="N58" i="26"/>
  <c r="D284" i="26"/>
  <c r="P166" i="26"/>
  <c r="N282" i="26"/>
  <c r="J58" i="26"/>
  <c r="R282" i="26"/>
  <c r="L284" i="26"/>
  <c r="G165" i="26"/>
  <c r="F284" i="26"/>
  <c r="G280" i="26"/>
  <c r="P168" i="26"/>
  <c r="J165" i="26"/>
  <c r="U282" i="26"/>
  <c r="E283" i="26"/>
  <c r="G281" i="26"/>
  <c r="O280" i="26"/>
  <c r="M283" i="26"/>
  <c r="J282" i="26"/>
  <c r="S284" i="26"/>
  <c r="F58" i="26"/>
  <c r="U284" i="26"/>
  <c r="Q57" i="26"/>
  <c r="M280" i="26"/>
  <c r="P167" i="26"/>
  <c r="L58" i="26"/>
  <c r="K283" i="26"/>
  <c r="P58" i="26"/>
  <c r="S58" i="26"/>
  <c r="L166" i="26"/>
  <c r="D58" i="26"/>
  <c r="S166" i="26"/>
  <c r="S168" i="26"/>
  <c r="I58" i="26"/>
  <c r="L167" i="26"/>
  <c r="D282" i="26"/>
  <c r="H164" i="26"/>
  <c r="I284" i="26"/>
  <c r="I282" i="26"/>
  <c r="O57" i="26"/>
  <c r="O281" i="26"/>
  <c r="S285" i="26"/>
  <c r="P285" i="26"/>
  <c r="U285" i="26"/>
  <c r="F285" i="26"/>
  <c r="R285" i="26"/>
  <c r="Q283" i="26"/>
  <c r="M166" i="26"/>
  <c r="J280" i="26"/>
  <c r="L168" i="26"/>
  <c r="R284" i="26"/>
  <c r="E57" i="26"/>
  <c r="K280" i="26"/>
  <c r="R165" i="26"/>
  <c r="H283" i="26"/>
  <c r="D167" i="26"/>
  <c r="G284" i="26"/>
  <c r="D281" i="26"/>
  <c r="I281" i="26"/>
  <c r="U165" i="26"/>
  <c r="I280" i="26"/>
  <c r="D168" i="26"/>
  <c r="F166" i="26"/>
  <c r="R58" i="26"/>
  <c r="G168" i="26"/>
  <c r="U167" i="26"/>
  <c r="L282" i="26"/>
  <c r="I166" i="26"/>
  <c r="G58" i="26"/>
  <c r="P165" i="26"/>
  <c r="P284" i="26"/>
  <c r="Q281" i="26"/>
  <c r="M281" i="26"/>
  <c r="I167" i="26"/>
  <c r="G282" i="26"/>
  <c r="U168" i="26"/>
  <c r="L281" i="26"/>
  <c r="J167" i="26"/>
  <c r="K165" i="26"/>
  <c r="S282" i="26"/>
  <c r="N165" i="26"/>
  <c r="K57" i="26"/>
  <c r="Q280" i="26"/>
  <c r="G166" i="26"/>
  <c r="R168" i="26"/>
  <c r="J284" i="26"/>
  <c r="F282" i="26"/>
  <c r="N167" i="26"/>
  <c r="I168" i="26"/>
  <c r="M57" i="26"/>
  <c r="D165" i="26"/>
  <c r="O283" i="26"/>
  <c r="G167" i="26"/>
  <c r="AE57" i="26" l="1"/>
  <c r="Y57" i="26"/>
  <c r="AD57" i="26"/>
  <c r="X57" i="26"/>
  <c r="AT58" i="26"/>
  <c r="BM57" i="26"/>
  <c r="BN57" i="26" s="1"/>
  <c r="AB57" i="26"/>
  <c r="V57" i="26"/>
  <c r="AF57" i="26"/>
  <c r="Z57" i="26"/>
  <c r="AP58" i="26"/>
  <c r="AS58" i="26"/>
  <c r="AY58" i="26" s="1"/>
  <c r="AQ58" i="26"/>
  <c r="AW58" i="26" s="1"/>
  <c r="AG57" i="26"/>
  <c r="AA57" i="26"/>
  <c r="AO58" i="26"/>
  <c r="AU58" i="26" s="1"/>
  <c r="AR58" i="26"/>
  <c r="AC57" i="26"/>
  <c r="W57" i="26"/>
  <c r="AH56" i="26"/>
  <c r="AI56" i="26"/>
  <c r="AX58" i="26"/>
  <c r="AL56" i="26"/>
  <c r="AJ56" i="26"/>
  <c r="AK56" i="26"/>
  <c r="AM56" i="26"/>
  <c r="AN56" i="26"/>
  <c r="C285" i="26"/>
  <c r="Y283" i="26"/>
  <c r="W283" i="26"/>
  <c r="Z283" i="26"/>
  <c r="X283" i="26"/>
  <c r="V283" i="26"/>
  <c r="W164" i="26"/>
  <c r="AA283" i="26"/>
  <c r="C284" i="26"/>
  <c r="C165" i="26"/>
  <c r="C166" i="26"/>
  <c r="C282" i="26"/>
  <c r="Z281" i="26"/>
  <c r="Y281" i="26"/>
  <c r="AA281" i="26"/>
  <c r="X280" i="26"/>
  <c r="AA280" i="26"/>
  <c r="Z280" i="26"/>
  <c r="Y280" i="26"/>
  <c r="C168" i="26"/>
  <c r="B169" i="26"/>
  <c r="Y166" i="26"/>
  <c r="C167" i="26"/>
  <c r="X165" i="26"/>
  <c r="C58" i="26"/>
  <c r="B60" i="26"/>
  <c r="Q285" i="26"/>
  <c r="E285" i="26"/>
  <c r="K285" i="26"/>
  <c r="Q165" i="26"/>
  <c r="M58" i="26"/>
  <c r="M284" i="26"/>
  <c r="R59" i="26"/>
  <c r="G169" i="26"/>
  <c r="P59" i="26"/>
  <c r="M165" i="26"/>
  <c r="K58" i="26"/>
  <c r="O284" i="26"/>
  <c r="L169" i="26"/>
  <c r="O58" i="26"/>
  <c r="F169" i="26"/>
  <c r="J59" i="26"/>
  <c r="E165" i="26"/>
  <c r="H165" i="26"/>
  <c r="Q58" i="26"/>
  <c r="P169" i="26"/>
  <c r="M282" i="26"/>
  <c r="Q168" i="26"/>
  <c r="O282" i="26"/>
  <c r="R167" i="26"/>
  <c r="G59" i="26"/>
  <c r="S59" i="26"/>
  <c r="H280" i="26"/>
  <c r="Q284" i="26"/>
  <c r="R169" i="26"/>
  <c r="S167" i="26"/>
  <c r="M167" i="26"/>
  <c r="K284" i="26"/>
  <c r="D169" i="26"/>
  <c r="U169" i="26"/>
  <c r="I59" i="26"/>
  <c r="J168" i="26"/>
  <c r="O285" i="26"/>
  <c r="M285" i="26"/>
  <c r="H285" i="26"/>
  <c r="H282" i="26"/>
  <c r="K168" i="26"/>
  <c r="K166" i="26"/>
  <c r="O166" i="26"/>
  <c r="E284" i="26"/>
  <c r="H58" i="26"/>
  <c r="F167" i="26"/>
  <c r="H166" i="26"/>
  <c r="E166" i="26"/>
  <c r="H281" i="26"/>
  <c r="H284" i="26"/>
  <c r="K281" i="26"/>
  <c r="S169" i="26"/>
  <c r="Q166" i="26"/>
  <c r="N59" i="26"/>
  <c r="H167" i="26"/>
  <c r="Q282" i="26"/>
  <c r="N168" i="26"/>
  <c r="E280" i="26"/>
  <c r="E58" i="26"/>
  <c r="I169" i="26"/>
  <c r="N169" i="26"/>
  <c r="F59" i="26"/>
  <c r="K167" i="26"/>
  <c r="O165" i="26"/>
  <c r="E281" i="26"/>
  <c r="E168" i="26"/>
  <c r="D59" i="26"/>
  <c r="E282" i="26"/>
  <c r="O167" i="26"/>
  <c r="L59" i="26"/>
  <c r="O168" i="26"/>
  <c r="K282" i="26"/>
  <c r="AQ59" i="26" l="1"/>
  <c r="AW59" i="26" s="1"/>
  <c r="AO59" i="26"/>
  <c r="AU59" i="26" s="1"/>
  <c r="BM58" i="26"/>
  <c r="BN58" i="26" s="1"/>
  <c r="AB58" i="26"/>
  <c r="V58" i="26"/>
  <c r="AR59" i="26"/>
  <c r="AX59" i="26" s="1"/>
  <c r="AC58" i="26"/>
  <c r="W58" i="26"/>
  <c r="W285" i="26"/>
  <c r="Y285" i="26"/>
  <c r="Z285" i="26"/>
  <c r="AP59" i="26"/>
  <c r="AG58" i="26"/>
  <c r="AA58" i="26"/>
  <c r="AF58" i="26"/>
  <c r="Z58" i="26"/>
  <c r="AD58" i="26"/>
  <c r="X58" i="26"/>
  <c r="AS59" i="26"/>
  <c r="AY59" i="26" s="1"/>
  <c r="AT59" i="26"/>
  <c r="AZ59" i="26" s="1"/>
  <c r="AE58" i="26"/>
  <c r="Y58" i="26"/>
  <c r="X285" i="26"/>
  <c r="V285" i="26"/>
  <c r="AA285" i="26"/>
  <c r="AJ57" i="26"/>
  <c r="AN57" i="26"/>
  <c r="AV59" i="26"/>
  <c r="AV58" i="26"/>
  <c r="AM57" i="26"/>
  <c r="AH57" i="26"/>
  <c r="AI57" i="26"/>
  <c r="AZ58" i="26"/>
  <c r="AK57" i="26"/>
  <c r="AL57" i="26"/>
  <c r="AA284" i="26"/>
  <c r="V284" i="26"/>
  <c r="W284" i="26"/>
  <c r="Y284" i="26"/>
  <c r="X284" i="26"/>
  <c r="Z284" i="26"/>
  <c r="Y282" i="26"/>
  <c r="Y165" i="26"/>
  <c r="Z282" i="26"/>
  <c r="V281" i="26"/>
  <c r="W165" i="26"/>
  <c r="Z166" i="26"/>
  <c r="W281" i="26"/>
  <c r="W166" i="26"/>
  <c r="W280" i="26"/>
  <c r="X281" i="26"/>
  <c r="V280" i="26"/>
  <c r="X282" i="26"/>
  <c r="AA166" i="26"/>
  <c r="W282" i="26"/>
  <c r="X166" i="26"/>
  <c r="V166" i="26"/>
  <c r="AA282" i="26"/>
  <c r="V165" i="26"/>
  <c r="V282" i="26"/>
  <c r="AA165" i="26"/>
  <c r="Z165" i="26"/>
  <c r="AA168" i="26"/>
  <c r="X168" i="26"/>
  <c r="V168" i="26"/>
  <c r="Z168" i="26"/>
  <c r="C169" i="26"/>
  <c r="B170" i="26"/>
  <c r="B171" i="26" s="1"/>
  <c r="B172" i="26" s="1"/>
  <c r="W167" i="26"/>
  <c r="Z167" i="26"/>
  <c r="X167" i="26"/>
  <c r="Y167" i="26"/>
  <c r="C59" i="26"/>
  <c r="B61" i="26"/>
  <c r="N60" i="26"/>
  <c r="M59" i="26"/>
  <c r="D60" i="26"/>
  <c r="O59" i="26"/>
  <c r="E59" i="26"/>
  <c r="E169" i="26"/>
  <c r="R60" i="26"/>
  <c r="K59" i="26"/>
  <c r="F60" i="26"/>
  <c r="J169" i="26"/>
  <c r="U171" i="26"/>
  <c r="H168" i="26"/>
  <c r="S170" i="26"/>
  <c r="S60" i="26"/>
  <c r="P172" i="26"/>
  <c r="O169" i="26"/>
  <c r="I60" i="26"/>
  <c r="U172" i="26"/>
  <c r="Q167" i="26"/>
  <c r="Q169" i="26"/>
  <c r="E167" i="26"/>
  <c r="Q59" i="26"/>
  <c r="I172" i="26"/>
  <c r="K169" i="26"/>
  <c r="L60" i="26"/>
  <c r="H59" i="26"/>
  <c r="D172" i="26"/>
  <c r="P60" i="26"/>
  <c r="G171" i="26"/>
  <c r="G60" i="26"/>
  <c r="J60" i="26"/>
  <c r="P171" i="26"/>
  <c r="M169" i="26"/>
  <c r="G172" i="26"/>
  <c r="M168" i="26"/>
  <c r="P170" i="26"/>
  <c r="AS60" i="26" l="1"/>
  <c r="AY60" i="26" s="1"/>
  <c r="AC59" i="26"/>
  <c r="W59" i="26"/>
  <c r="AQ60" i="26"/>
  <c r="AW60" i="26" s="1"/>
  <c r="AG59" i="26"/>
  <c r="AA59" i="26"/>
  <c r="AP60" i="26"/>
  <c r="AO60" i="26"/>
  <c r="AU60" i="26" s="1"/>
  <c r="AD59" i="26"/>
  <c r="X59" i="26"/>
  <c r="AT60" i="26"/>
  <c r="AZ60" i="26" s="1"/>
  <c r="BM59" i="26"/>
  <c r="BN59" i="26" s="1"/>
  <c r="AB59" i="26"/>
  <c r="V59" i="26"/>
  <c r="AF59" i="26"/>
  <c r="Z59" i="26"/>
  <c r="AE59" i="26"/>
  <c r="Y59" i="26"/>
  <c r="AR60" i="26"/>
  <c r="AX60" i="26" s="1"/>
  <c r="AH58" i="26"/>
  <c r="AI58" i="26"/>
  <c r="AL58" i="26"/>
  <c r="AK58" i="26"/>
  <c r="AM58" i="26"/>
  <c r="AN58" i="26"/>
  <c r="AJ58" i="26"/>
  <c r="Y168" i="26"/>
  <c r="W168" i="26"/>
  <c r="V167" i="26"/>
  <c r="AA167" i="26"/>
  <c r="C172" i="26"/>
  <c r="B173" i="26"/>
  <c r="C171" i="26"/>
  <c r="Y169" i="26"/>
  <c r="X169" i="26"/>
  <c r="Z169" i="26"/>
  <c r="AA169" i="26"/>
  <c r="V169" i="26"/>
  <c r="C60" i="26"/>
  <c r="B62" i="26"/>
  <c r="S171" i="26"/>
  <c r="G170" i="26"/>
  <c r="N61" i="26"/>
  <c r="J171" i="26"/>
  <c r="H60" i="26"/>
  <c r="G61" i="26"/>
  <c r="N170" i="26"/>
  <c r="O170" i="26"/>
  <c r="K60" i="26"/>
  <c r="S61" i="26"/>
  <c r="J170" i="26"/>
  <c r="E60" i="26"/>
  <c r="F171" i="26"/>
  <c r="O171" i="26"/>
  <c r="M60" i="26"/>
  <c r="I61" i="26"/>
  <c r="F170" i="26"/>
  <c r="P61" i="26"/>
  <c r="O172" i="26"/>
  <c r="L171" i="26"/>
  <c r="D170" i="26"/>
  <c r="U170" i="26"/>
  <c r="R173" i="26"/>
  <c r="O60" i="26"/>
  <c r="D61" i="26"/>
  <c r="D171" i="26"/>
  <c r="R170" i="26"/>
  <c r="I170" i="26"/>
  <c r="N172" i="26"/>
  <c r="H169" i="26"/>
  <c r="I171" i="26"/>
  <c r="J172" i="26"/>
  <c r="F61" i="26"/>
  <c r="R61" i="26"/>
  <c r="L170" i="26"/>
  <c r="L61" i="26"/>
  <c r="F172" i="26"/>
  <c r="R171" i="26"/>
  <c r="R172" i="26"/>
  <c r="Q60" i="26"/>
  <c r="S172" i="26"/>
  <c r="J61" i="26"/>
  <c r="P173" i="26"/>
  <c r="L172" i="26"/>
  <c r="N171" i="26"/>
  <c r="AG60" i="26" l="1"/>
  <c r="AA60" i="26"/>
  <c r="AQ61" i="26"/>
  <c r="AW61" i="26" s="1"/>
  <c r="AT61" i="26"/>
  <c r="AO61" i="26"/>
  <c r="AU61" i="26" s="1"/>
  <c r="AF60" i="26"/>
  <c r="Z60" i="26"/>
  <c r="AS61" i="26"/>
  <c r="AY61" i="26" s="1"/>
  <c r="AP61" i="26"/>
  <c r="AV61" i="26" s="1"/>
  <c r="AE60" i="26"/>
  <c r="Y60" i="26"/>
  <c r="BM60" i="26"/>
  <c r="BN60" i="26" s="1"/>
  <c r="AB60" i="26"/>
  <c r="V60" i="26"/>
  <c r="AD60" i="26"/>
  <c r="X60" i="26"/>
  <c r="AC60" i="26"/>
  <c r="W60" i="26"/>
  <c r="AR61" i="26"/>
  <c r="AX61" i="26" s="1"/>
  <c r="AJ59" i="26"/>
  <c r="AL59" i="26"/>
  <c r="AM59" i="26"/>
  <c r="AH59" i="26"/>
  <c r="AI59" i="26"/>
  <c r="AK59" i="26"/>
  <c r="AV60" i="26"/>
  <c r="AN59" i="26"/>
  <c r="C170" i="26"/>
  <c r="L290" i="26"/>
  <c r="I290" i="26"/>
  <c r="J8" i="42" s="1"/>
  <c r="P290" i="26"/>
  <c r="D9" i="42"/>
  <c r="D10" i="42"/>
  <c r="D290" i="26"/>
  <c r="D7" i="42" s="1"/>
  <c r="D8" i="42" s="1"/>
  <c r="D11" i="42"/>
  <c r="G290" i="26"/>
  <c r="R290" i="26"/>
  <c r="S290" i="26"/>
  <c r="J290" i="26"/>
  <c r="F290" i="26"/>
  <c r="J5" i="42" s="1"/>
  <c r="N290" i="26"/>
  <c r="W169" i="26"/>
  <c r="Z172" i="26"/>
  <c r="Z171" i="26"/>
  <c r="B174" i="26"/>
  <c r="Z170" i="26"/>
  <c r="C61" i="26"/>
  <c r="B63" i="26"/>
  <c r="R62" i="26"/>
  <c r="E171" i="26"/>
  <c r="Q170" i="26"/>
  <c r="Q173" i="26"/>
  <c r="K61" i="26"/>
  <c r="N62" i="26"/>
  <c r="L173" i="26"/>
  <c r="H171" i="26"/>
  <c r="M61" i="26"/>
  <c r="G173" i="26"/>
  <c r="K171" i="26"/>
  <c r="Q172" i="26"/>
  <c r="E170" i="26"/>
  <c r="U173" i="26"/>
  <c r="H61" i="26"/>
  <c r="J174" i="26"/>
  <c r="Q61" i="26"/>
  <c r="O61" i="26"/>
  <c r="N174" i="26"/>
  <c r="I62" i="26"/>
  <c r="K172" i="26"/>
  <c r="D62" i="26"/>
  <c r="M170" i="26"/>
  <c r="J62" i="26"/>
  <c r="S62" i="26"/>
  <c r="D173" i="26"/>
  <c r="N173" i="26"/>
  <c r="I173" i="26"/>
  <c r="M172" i="26"/>
  <c r="E172" i="26"/>
  <c r="F173" i="26"/>
  <c r="G62" i="26"/>
  <c r="O173" i="26"/>
  <c r="F62" i="26"/>
  <c r="S173" i="26"/>
  <c r="M171" i="26"/>
  <c r="J173" i="26"/>
  <c r="L62" i="26"/>
  <c r="K170" i="26"/>
  <c r="Q171" i="26"/>
  <c r="H172" i="26"/>
  <c r="H170" i="26"/>
  <c r="P62" i="26"/>
  <c r="E61" i="26"/>
  <c r="S174" i="26"/>
  <c r="BM61" i="26" l="1"/>
  <c r="BN61" i="26" s="1"/>
  <c r="AB61" i="26"/>
  <c r="V61" i="26"/>
  <c r="AS62" i="26"/>
  <c r="AY62" i="26" s="1"/>
  <c r="AQ62" i="26"/>
  <c r="AW62" i="26" s="1"/>
  <c r="AO62" i="26"/>
  <c r="AU62" i="26" s="1"/>
  <c r="AP62" i="26"/>
  <c r="AV62" i="26" s="1"/>
  <c r="AF61" i="26"/>
  <c r="Z61" i="26"/>
  <c r="AG61" i="26"/>
  <c r="AA61" i="26"/>
  <c r="AC61" i="26"/>
  <c r="W61" i="26"/>
  <c r="AE61" i="26"/>
  <c r="Y61" i="26"/>
  <c r="AR62" i="26"/>
  <c r="AD61" i="26"/>
  <c r="X61" i="26"/>
  <c r="AT62" i="26"/>
  <c r="AZ62" i="26" s="1"/>
  <c r="AL60" i="26"/>
  <c r="AM60" i="26"/>
  <c r="AZ61" i="26"/>
  <c r="AJ60" i="26"/>
  <c r="AK60" i="26"/>
  <c r="AH60" i="26"/>
  <c r="AI60" i="26"/>
  <c r="AN60" i="26"/>
  <c r="W171" i="26"/>
  <c r="W172" i="26"/>
  <c r="V170" i="26"/>
  <c r="V172" i="26"/>
  <c r="AA171" i="26"/>
  <c r="AA172" i="26"/>
  <c r="X170" i="26"/>
  <c r="X171" i="26"/>
  <c r="AA170" i="26"/>
  <c r="X172" i="26"/>
  <c r="V171" i="26"/>
  <c r="Y172" i="26"/>
  <c r="C173" i="26"/>
  <c r="Y170" i="26"/>
  <c r="W170" i="26"/>
  <c r="Y171" i="26"/>
  <c r="M290" i="26"/>
  <c r="Y290" i="26" s="1"/>
  <c r="Q290" i="26"/>
  <c r="AA290" i="26" s="1"/>
  <c r="H290" i="26"/>
  <c r="E290" i="26"/>
  <c r="O290" i="26"/>
  <c r="Z290" i="26" s="1"/>
  <c r="K290" i="26"/>
  <c r="X290" i="26" s="1"/>
  <c r="AA173" i="26"/>
  <c r="Z173" i="26"/>
  <c r="B175" i="26"/>
  <c r="B176" i="26" s="1"/>
  <c r="C62" i="26"/>
  <c r="B64" i="26"/>
  <c r="U174" i="26"/>
  <c r="D176" i="26"/>
  <c r="M62" i="26"/>
  <c r="L174" i="26"/>
  <c r="F176" i="26"/>
  <c r="M174" i="26"/>
  <c r="S176" i="26"/>
  <c r="K173" i="26"/>
  <c r="J63" i="26"/>
  <c r="G175" i="26"/>
  <c r="D174" i="26"/>
  <c r="N63" i="26"/>
  <c r="H173" i="26"/>
  <c r="R175" i="26"/>
  <c r="F63" i="26"/>
  <c r="U175" i="26"/>
  <c r="G63" i="26"/>
  <c r="S63" i="26"/>
  <c r="D175" i="26"/>
  <c r="P63" i="26"/>
  <c r="M173" i="26"/>
  <c r="G176" i="26"/>
  <c r="H62" i="26"/>
  <c r="I174" i="26"/>
  <c r="J176" i="26"/>
  <c r="R174" i="26"/>
  <c r="Q62" i="26"/>
  <c r="P176" i="26"/>
  <c r="E62" i="26"/>
  <c r="D63" i="26"/>
  <c r="L176" i="26"/>
  <c r="I63" i="26"/>
  <c r="P174" i="26"/>
  <c r="I176" i="26"/>
  <c r="E173" i="26"/>
  <c r="R63" i="26"/>
  <c r="K62" i="26"/>
  <c r="G174" i="26"/>
  <c r="O62" i="26"/>
  <c r="F174" i="26"/>
  <c r="L63" i="26"/>
  <c r="AQ63" i="26" l="1"/>
  <c r="AW63" i="26" s="1"/>
  <c r="AF62" i="26"/>
  <c r="Z62" i="26"/>
  <c r="AD62" i="26"/>
  <c r="X62" i="26"/>
  <c r="AT63" i="26"/>
  <c r="AZ63" i="26" s="1"/>
  <c r="AP63" i="26"/>
  <c r="AV63" i="26" s="1"/>
  <c r="BM62" i="26"/>
  <c r="BN62" i="26" s="1"/>
  <c r="AB62" i="26"/>
  <c r="V62" i="26"/>
  <c r="AG62" i="26"/>
  <c r="AA62" i="26"/>
  <c r="AC62" i="26"/>
  <c r="AJ62" i="26" s="1"/>
  <c r="W62" i="26"/>
  <c r="AS63" i="26"/>
  <c r="AY63" i="26" s="1"/>
  <c r="AO63" i="26"/>
  <c r="AU63" i="26" s="1"/>
  <c r="AR63" i="26"/>
  <c r="AX63" i="26" s="1"/>
  <c r="AE62" i="26"/>
  <c r="Y62" i="26"/>
  <c r="AX62" i="26"/>
  <c r="AL61" i="26"/>
  <c r="AJ61" i="26"/>
  <c r="AN61" i="26"/>
  <c r="AM61" i="26"/>
  <c r="AH61" i="26"/>
  <c r="AI61" i="26"/>
  <c r="AK61" i="26"/>
  <c r="V173" i="26"/>
  <c r="X173" i="26"/>
  <c r="Y173" i="26"/>
  <c r="C174" i="26"/>
  <c r="W173" i="26"/>
  <c r="W290" i="26"/>
  <c r="J7" i="42"/>
  <c r="J4" i="42"/>
  <c r="V290" i="26"/>
  <c r="B177" i="26"/>
  <c r="B178" i="26" s="1"/>
  <c r="B179" i="26" s="1"/>
  <c r="Y174" i="26"/>
  <c r="C175" i="26"/>
  <c r="C63" i="26"/>
  <c r="B65" i="26"/>
  <c r="G64" i="26"/>
  <c r="O176" i="26"/>
  <c r="P177" i="26"/>
  <c r="D64" i="26"/>
  <c r="F64" i="26"/>
  <c r="I175" i="26"/>
  <c r="R64" i="26"/>
  <c r="N176" i="26"/>
  <c r="L179" i="26"/>
  <c r="N64" i="26"/>
  <c r="G179" i="26"/>
  <c r="S177" i="26"/>
  <c r="M63" i="26"/>
  <c r="K174" i="26"/>
  <c r="F177" i="26"/>
  <c r="R176" i="26"/>
  <c r="I178" i="26"/>
  <c r="I179" i="26"/>
  <c r="H63" i="26"/>
  <c r="K63" i="26"/>
  <c r="E176" i="26"/>
  <c r="U178" i="26"/>
  <c r="H176" i="26"/>
  <c r="N175" i="26"/>
  <c r="U177" i="26"/>
  <c r="S179" i="26"/>
  <c r="P64" i="26"/>
  <c r="Q63" i="26"/>
  <c r="I177" i="26"/>
  <c r="E174" i="26"/>
  <c r="S64" i="26"/>
  <c r="U176" i="26"/>
  <c r="H174" i="26"/>
  <c r="N179" i="26"/>
  <c r="L178" i="26"/>
  <c r="S175" i="26"/>
  <c r="L64" i="26"/>
  <c r="J64" i="26"/>
  <c r="P179" i="26"/>
  <c r="J178" i="26"/>
  <c r="D179" i="26"/>
  <c r="I64" i="26"/>
  <c r="Q175" i="26"/>
  <c r="J175" i="26"/>
  <c r="O174" i="26"/>
  <c r="G178" i="26"/>
  <c r="K176" i="26"/>
  <c r="R179" i="26"/>
  <c r="Q174" i="26"/>
  <c r="R178" i="26"/>
  <c r="E63" i="26"/>
  <c r="F175" i="26"/>
  <c r="L175" i="26"/>
  <c r="O63" i="26"/>
  <c r="U179" i="26"/>
  <c r="L177" i="26"/>
  <c r="G177" i="26"/>
  <c r="D178" i="26"/>
  <c r="S178" i="26"/>
  <c r="P175" i="26"/>
  <c r="N177" i="26"/>
  <c r="J177" i="26"/>
  <c r="AF63" i="26" l="1"/>
  <c r="Z63" i="26"/>
  <c r="BM63" i="26"/>
  <c r="BN63" i="26" s="1"/>
  <c r="AB63" i="26"/>
  <c r="V63" i="26"/>
  <c r="AP64" i="26"/>
  <c r="AV64" i="26" s="1"/>
  <c r="AQ64" i="26"/>
  <c r="AW64" i="26" s="1"/>
  <c r="AG63" i="26"/>
  <c r="AA63" i="26"/>
  <c r="AS64" i="26"/>
  <c r="AY64" i="26" s="1"/>
  <c r="AD63" i="26"/>
  <c r="X63" i="26"/>
  <c r="AC63" i="26"/>
  <c r="W63" i="26"/>
  <c r="AE63" i="26"/>
  <c r="Y63" i="26"/>
  <c r="AR64" i="26"/>
  <c r="AT64" i="26"/>
  <c r="AZ64" i="26" s="1"/>
  <c r="AO64" i="26"/>
  <c r="AU64" i="26" s="1"/>
  <c r="AL62" i="26"/>
  <c r="AK62" i="26"/>
  <c r="AM62" i="26"/>
  <c r="AN62" i="26"/>
  <c r="AH62" i="26"/>
  <c r="AI62" i="26"/>
  <c r="V174" i="26"/>
  <c r="Z174" i="26"/>
  <c r="C176" i="26"/>
  <c r="AA174" i="26"/>
  <c r="W174" i="26"/>
  <c r="X174" i="26"/>
  <c r="C179" i="26"/>
  <c r="B180" i="26"/>
  <c r="C178" i="26"/>
  <c r="Z176" i="26"/>
  <c r="V176" i="26"/>
  <c r="X176" i="26"/>
  <c r="W176" i="26"/>
  <c r="C177" i="26"/>
  <c r="AA175" i="26"/>
  <c r="C64" i="26"/>
  <c r="B66" i="26"/>
  <c r="R177" i="26"/>
  <c r="M176" i="26"/>
  <c r="P178" i="26"/>
  <c r="K175" i="26"/>
  <c r="Q178" i="26"/>
  <c r="I65" i="26"/>
  <c r="D177" i="26"/>
  <c r="F178" i="26"/>
  <c r="J179" i="26"/>
  <c r="E175" i="26"/>
  <c r="N178" i="26"/>
  <c r="Q179" i="26"/>
  <c r="M175" i="26"/>
  <c r="P65" i="26"/>
  <c r="M64" i="26"/>
  <c r="O179" i="26"/>
  <c r="R65" i="26"/>
  <c r="L65" i="26"/>
  <c r="K179" i="26"/>
  <c r="H64" i="26"/>
  <c r="N65" i="26"/>
  <c r="O177" i="26"/>
  <c r="O64" i="26"/>
  <c r="M179" i="26"/>
  <c r="K64" i="26"/>
  <c r="E64" i="26"/>
  <c r="F65" i="26"/>
  <c r="J65" i="26"/>
  <c r="D180" i="26"/>
  <c r="D65" i="26"/>
  <c r="R180" i="26"/>
  <c r="G180" i="26"/>
  <c r="K177" i="26"/>
  <c r="L180" i="26"/>
  <c r="H177" i="26"/>
  <c r="M177" i="26"/>
  <c r="K178" i="26"/>
  <c r="H178" i="26"/>
  <c r="F179" i="26"/>
  <c r="S65" i="26"/>
  <c r="O175" i="26"/>
  <c r="Q64" i="26"/>
  <c r="H175" i="26"/>
  <c r="Q176" i="26"/>
  <c r="E177" i="26"/>
  <c r="G65" i="26"/>
  <c r="AG64" i="26" l="1"/>
  <c r="AA64" i="26"/>
  <c r="AO65" i="26"/>
  <c r="AU65" i="26" s="1"/>
  <c r="BM64" i="26"/>
  <c r="BN64" i="26" s="1"/>
  <c r="AB64" i="26"/>
  <c r="V64" i="26"/>
  <c r="AD64" i="26"/>
  <c r="X64" i="26"/>
  <c r="AF64" i="26"/>
  <c r="Z64" i="26"/>
  <c r="AR65" i="26"/>
  <c r="AX65" i="26" s="1"/>
  <c r="AC64" i="26"/>
  <c r="W64" i="26"/>
  <c r="AQ65" i="26"/>
  <c r="AW65" i="26" s="1"/>
  <c r="AT65" i="26"/>
  <c r="AZ65" i="26" s="1"/>
  <c r="AE64" i="26"/>
  <c r="Y64" i="26"/>
  <c r="AS65" i="26"/>
  <c r="AY65" i="26" s="1"/>
  <c r="AP65" i="26"/>
  <c r="AV65" i="26" s="1"/>
  <c r="AN63" i="26"/>
  <c r="AH63" i="26"/>
  <c r="AI63" i="26"/>
  <c r="AX64" i="26"/>
  <c r="AL63" i="26"/>
  <c r="AJ63" i="26"/>
  <c r="AK63" i="26"/>
  <c r="AM63" i="26"/>
  <c r="V175" i="26"/>
  <c r="X175" i="26"/>
  <c r="AA176" i="26"/>
  <c r="W175" i="26"/>
  <c r="Y176" i="26"/>
  <c r="Z175" i="26"/>
  <c r="Y175" i="26"/>
  <c r="AA179" i="26"/>
  <c r="X179" i="26"/>
  <c r="Y179" i="26"/>
  <c r="Z179" i="26"/>
  <c r="B181" i="26"/>
  <c r="B182" i="26" s="1"/>
  <c r="AA178" i="26"/>
  <c r="W178" i="26"/>
  <c r="X178" i="26"/>
  <c r="X177" i="26"/>
  <c r="Y177" i="26"/>
  <c r="Z177" i="26"/>
  <c r="V177" i="26"/>
  <c r="W177" i="26"/>
  <c r="C65" i="26"/>
  <c r="B67" i="26"/>
  <c r="L66" i="26"/>
  <c r="J182" i="26"/>
  <c r="I66" i="26"/>
  <c r="I180" i="26"/>
  <c r="Q177" i="26"/>
  <c r="K65" i="26"/>
  <c r="N66" i="26"/>
  <c r="R66" i="26"/>
  <c r="O65" i="26"/>
  <c r="O178" i="26"/>
  <c r="N180" i="26"/>
  <c r="J180" i="26"/>
  <c r="D66" i="26"/>
  <c r="E178" i="26"/>
  <c r="E65" i="26"/>
  <c r="M65" i="26"/>
  <c r="R182" i="26"/>
  <c r="P180" i="26"/>
  <c r="H179" i="26"/>
  <c r="Q180" i="26"/>
  <c r="S180" i="26"/>
  <c r="F66" i="26"/>
  <c r="E179" i="26"/>
  <c r="M178" i="26"/>
  <c r="G66" i="26"/>
  <c r="F180" i="26"/>
  <c r="U180" i="26"/>
  <c r="P66" i="26"/>
  <c r="H65" i="26"/>
  <c r="S66" i="26"/>
  <c r="J66" i="26"/>
  <c r="U182" i="26"/>
  <c r="Q65" i="26"/>
  <c r="K180" i="26"/>
  <c r="AG65" i="26" l="1"/>
  <c r="AA65" i="26"/>
  <c r="AC65" i="26"/>
  <c r="W65" i="26"/>
  <c r="AS66" i="26"/>
  <c r="AY66" i="26" s="1"/>
  <c r="AO66" i="26"/>
  <c r="AU66" i="26" s="1"/>
  <c r="AE65" i="26"/>
  <c r="Y65" i="26"/>
  <c r="BM65" i="26"/>
  <c r="BN65" i="26" s="1"/>
  <c r="AB65" i="26"/>
  <c r="V65" i="26"/>
  <c r="AF65" i="26"/>
  <c r="Z65" i="26"/>
  <c r="AT66" i="26"/>
  <c r="AZ66" i="26" s="1"/>
  <c r="AR66" i="26"/>
  <c r="AD65" i="26"/>
  <c r="X65" i="26"/>
  <c r="AP66" i="26"/>
  <c r="AV66" i="26" s="1"/>
  <c r="AQ66" i="26"/>
  <c r="AW66" i="26" s="1"/>
  <c r="AL64" i="26"/>
  <c r="AJ64" i="26"/>
  <c r="AM64" i="26"/>
  <c r="AK64" i="26"/>
  <c r="AH64" i="26"/>
  <c r="AI64" i="26"/>
  <c r="AN64" i="26"/>
  <c r="V178" i="26"/>
  <c r="Z178" i="26"/>
  <c r="V179" i="26"/>
  <c r="AA177" i="26"/>
  <c r="W179" i="26"/>
  <c r="Y178" i="26"/>
  <c r="C180" i="26"/>
  <c r="C182" i="26"/>
  <c r="B183" i="26"/>
  <c r="X180" i="26"/>
  <c r="AA180" i="26"/>
  <c r="C66" i="26"/>
  <c r="B68" i="26"/>
  <c r="L67" i="26"/>
  <c r="N183" i="26"/>
  <c r="F182" i="26"/>
  <c r="L181" i="26"/>
  <c r="E180" i="26"/>
  <c r="F181" i="26"/>
  <c r="I181" i="26"/>
  <c r="N181" i="26"/>
  <c r="Q66" i="26"/>
  <c r="R181" i="26"/>
  <c r="U181" i="26"/>
  <c r="M66" i="26"/>
  <c r="N182" i="26"/>
  <c r="P67" i="26"/>
  <c r="S181" i="26"/>
  <c r="U183" i="26"/>
  <c r="D181" i="26"/>
  <c r="M180" i="26"/>
  <c r="S182" i="26"/>
  <c r="G182" i="26"/>
  <c r="S67" i="26"/>
  <c r="G183" i="26"/>
  <c r="F67" i="26"/>
  <c r="K66" i="26"/>
  <c r="R67" i="26"/>
  <c r="Q182" i="26"/>
  <c r="O66" i="26"/>
  <c r="G67" i="26"/>
  <c r="P181" i="26"/>
  <c r="J181" i="26"/>
  <c r="O180" i="26"/>
  <c r="I67" i="26"/>
  <c r="H180" i="26"/>
  <c r="D67" i="26"/>
  <c r="D182" i="26"/>
  <c r="N67" i="26"/>
  <c r="L182" i="26"/>
  <c r="E66" i="26"/>
  <c r="G181" i="26"/>
  <c r="P182" i="26"/>
  <c r="H66" i="26"/>
  <c r="J67" i="26"/>
  <c r="R183" i="26"/>
  <c r="I182" i="26"/>
  <c r="AC66" i="26" l="1"/>
  <c r="W66" i="26"/>
  <c r="BM66" i="26"/>
  <c r="BN66" i="26" s="1"/>
  <c r="AB66" i="26"/>
  <c r="V66" i="26"/>
  <c r="AR67" i="26"/>
  <c r="AX67" i="26" s="1"/>
  <c r="AP67" i="26"/>
  <c r="AV67" i="26" s="1"/>
  <c r="AF66" i="26"/>
  <c r="Z66" i="26"/>
  <c r="AT67" i="26"/>
  <c r="AZ67" i="26" s="1"/>
  <c r="AD66" i="26"/>
  <c r="X66" i="26"/>
  <c r="AO67" i="26"/>
  <c r="AU67" i="26" s="1"/>
  <c r="AS67" i="26"/>
  <c r="AY67" i="26" s="1"/>
  <c r="AE66" i="26"/>
  <c r="Y66" i="26"/>
  <c r="AG66" i="26"/>
  <c r="AA66" i="26"/>
  <c r="AQ67" i="26"/>
  <c r="AW67" i="26" s="1"/>
  <c r="AK65" i="26"/>
  <c r="AM65" i="26"/>
  <c r="AH65" i="26"/>
  <c r="AI65" i="26"/>
  <c r="AX66" i="26"/>
  <c r="AL65" i="26"/>
  <c r="AJ65" i="26"/>
  <c r="AN65" i="26"/>
  <c r="V180" i="26"/>
  <c r="Z180" i="26"/>
  <c r="Y180" i="26"/>
  <c r="C181" i="26"/>
  <c r="AA182" i="26"/>
  <c r="W180" i="26"/>
  <c r="C183" i="26"/>
  <c r="B184" i="26"/>
  <c r="B185" i="26" s="1"/>
  <c r="B69" i="26"/>
  <c r="B70" i="26"/>
  <c r="C67" i="26"/>
  <c r="J68" i="26"/>
  <c r="F68" i="26"/>
  <c r="M183" i="26"/>
  <c r="F183" i="26"/>
  <c r="P68" i="26"/>
  <c r="K67" i="26"/>
  <c r="S68" i="26"/>
  <c r="Q183" i="26"/>
  <c r="O182" i="26"/>
  <c r="D70" i="26"/>
  <c r="N68" i="26"/>
  <c r="N70" i="26"/>
  <c r="Q67" i="26"/>
  <c r="L70" i="26"/>
  <c r="D183" i="26"/>
  <c r="F70" i="26"/>
  <c r="E67" i="26"/>
  <c r="I68" i="26"/>
  <c r="J70" i="26"/>
  <c r="K182" i="26"/>
  <c r="F184" i="26"/>
  <c r="D68" i="26"/>
  <c r="O181" i="26"/>
  <c r="M67" i="26"/>
  <c r="H67" i="26"/>
  <c r="S185" i="26"/>
  <c r="L183" i="26"/>
  <c r="L184" i="26"/>
  <c r="O67" i="26"/>
  <c r="H181" i="26"/>
  <c r="P183" i="26"/>
  <c r="M182" i="26"/>
  <c r="J185" i="26"/>
  <c r="S183" i="26"/>
  <c r="L68" i="26"/>
  <c r="K181" i="26"/>
  <c r="R68" i="26"/>
  <c r="E182" i="26"/>
  <c r="I183" i="26"/>
  <c r="H182" i="26"/>
  <c r="E181" i="26"/>
  <c r="S70" i="26"/>
  <c r="G184" i="26"/>
  <c r="G68" i="26"/>
  <c r="J183" i="26"/>
  <c r="L185" i="26"/>
  <c r="M181" i="26"/>
  <c r="R70" i="26"/>
  <c r="Q181" i="26"/>
  <c r="G185" i="26"/>
  <c r="S184" i="26"/>
  <c r="AT70" i="26" l="1"/>
  <c r="AT68" i="26"/>
  <c r="AZ68" i="26" s="1"/>
  <c r="AQ68" i="26"/>
  <c r="AW68" i="26" s="1"/>
  <c r="AF67" i="26"/>
  <c r="Z67" i="26"/>
  <c r="AC67" i="26"/>
  <c r="W67" i="26"/>
  <c r="AE67" i="26"/>
  <c r="Y67" i="26"/>
  <c r="AP68" i="26"/>
  <c r="AV68" i="26" s="1"/>
  <c r="BM67" i="26"/>
  <c r="BN67" i="26" s="1"/>
  <c r="AB67" i="26"/>
  <c r="V67" i="26"/>
  <c r="AO70" i="26"/>
  <c r="AQ70" i="26"/>
  <c r="AG67" i="26"/>
  <c r="AA67" i="26"/>
  <c r="AR70" i="26"/>
  <c r="AR68" i="26"/>
  <c r="AD67" i="26"/>
  <c r="X67" i="26"/>
  <c r="AS68" i="26"/>
  <c r="AY68" i="26" s="1"/>
  <c r="AO68" i="26"/>
  <c r="AU68" i="26" s="1"/>
  <c r="AM66" i="26"/>
  <c r="AH66" i="26"/>
  <c r="AI66" i="26"/>
  <c r="AN66" i="26"/>
  <c r="AL66" i="26"/>
  <c r="AK66" i="26"/>
  <c r="AJ66" i="26"/>
  <c r="Y181" i="26"/>
  <c r="W181" i="26"/>
  <c r="W182" i="26"/>
  <c r="X182" i="26"/>
  <c r="Z181" i="26"/>
  <c r="V181" i="26"/>
  <c r="AA181" i="26"/>
  <c r="V182" i="26"/>
  <c r="Y183" i="26"/>
  <c r="AA183" i="26"/>
  <c r="X181" i="26"/>
  <c r="Y182" i="26"/>
  <c r="Z182" i="26"/>
  <c r="B186" i="26"/>
  <c r="B187" i="26" s="1"/>
  <c r="B71" i="26"/>
  <c r="C68" i="26"/>
  <c r="E184" i="26"/>
  <c r="D185" i="26"/>
  <c r="I69" i="26"/>
  <c r="S187" i="26"/>
  <c r="P69" i="26"/>
  <c r="J184" i="26"/>
  <c r="I184" i="26"/>
  <c r="I70" i="26"/>
  <c r="P184" i="26"/>
  <c r="U184" i="26"/>
  <c r="P70" i="26"/>
  <c r="R69" i="26"/>
  <c r="R187" i="26"/>
  <c r="O68" i="26"/>
  <c r="L187" i="26"/>
  <c r="J69" i="26"/>
  <c r="G70" i="26"/>
  <c r="N184" i="26"/>
  <c r="O183" i="26"/>
  <c r="R184" i="26"/>
  <c r="I187" i="26"/>
  <c r="J187" i="26"/>
  <c r="K185" i="26"/>
  <c r="F187" i="26"/>
  <c r="U187" i="26"/>
  <c r="S69" i="26"/>
  <c r="Q70" i="26"/>
  <c r="N187" i="26"/>
  <c r="U186" i="26"/>
  <c r="R185" i="26"/>
  <c r="E68" i="26"/>
  <c r="N185" i="26"/>
  <c r="S186" i="26"/>
  <c r="K68" i="26"/>
  <c r="P187" i="26"/>
  <c r="H68" i="26"/>
  <c r="P185" i="26"/>
  <c r="G69" i="26"/>
  <c r="M70" i="26"/>
  <c r="L69" i="26"/>
  <c r="G187" i="26"/>
  <c r="I185" i="26"/>
  <c r="M68" i="26"/>
  <c r="K184" i="26"/>
  <c r="Q68" i="26"/>
  <c r="E183" i="26"/>
  <c r="K183" i="26"/>
  <c r="H183" i="26"/>
  <c r="U185" i="26"/>
  <c r="D69" i="26"/>
  <c r="F185" i="26"/>
  <c r="L186" i="26"/>
  <c r="R186" i="26"/>
  <c r="N69" i="26"/>
  <c r="F69" i="26"/>
  <c r="D187" i="26"/>
  <c r="D184" i="26"/>
  <c r="K70" i="26"/>
  <c r="AD70" i="26" l="1"/>
  <c r="X70" i="26"/>
  <c r="AO69" i="26"/>
  <c r="AU69" i="26" s="1"/>
  <c r="AR69" i="26"/>
  <c r="AX69" i="26" s="1"/>
  <c r="AG68" i="26"/>
  <c r="AA68" i="26"/>
  <c r="AE68" i="26"/>
  <c r="Y68" i="26"/>
  <c r="AQ69" i="26"/>
  <c r="AW69" i="26" s="1"/>
  <c r="AE70" i="26"/>
  <c r="Y70" i="26"/>
  <c r="AC68" i="26"/>
  <c r="W68" i="26"/>
  <c r="AD68" i="26"/>
  <c r="X68" i="26"/>
  <c r="BM68" i="26"/>
  <c r="BN68" i="26" s="1"/>
  <c r="AB68" i="26"/>
  <c r="V68" i="26"/>
  <c r="AG70" i="26"/>
  <c r="AA70" i="26"/>
  <c r="AF68" i="26"/>
  <c r="Z68" i="26"/>
  <c r="AT69" i="26"/>
  <c r="AZ69" i="26" s="1"/>
  <c r="AS70" i="26"/>
  <c r="AP70" i="26"/>
  <c r="AS69" i="26"/>
  <c r="AY69" i="26" s="1"/>
  <c r="AP69" i="26"/>
  <c r="AV69" i="26" s="1"/>
  <c r="AK67" i="26"/>
  <c r="AN67" i="26"/>
  <c r="AU70" i="26"/>
  <c r="AH67" i="26"/>
  <c r="AI67" i="26"/>
  <c r="AL67" i="26"/>
  <c r="AJ67" i="26"/>
  <c r="AM67" i="26"/>
  <c r="AX68" i="26"/>
  <c r="AW70" i="26"/>
  <c r="AZ70" i="26"/>
  <c r="C185" i="26"/>
  <c r="C184" i="26"/>
  <c r="B72" i="26"/>
  <c r="C187" i="26"/>
  <c r="B188" i="26"/>
  <c r="B189" i="26" s="1"/>
  <c r="V183" i="26"/>
  <c r="X185" i="26"/>
  <c r="X184" i="26"/>
  <c r="V184" i="26"/>
  <c r="Z183" i="26"/>
  <c r="X183" i="26"/>
  <c r="W183" i="26"/>
  <c r="C186" i="26"/>
  <c r="C70" i="26"/>
  <c r="C69" i="26"/>
  <c r="D189" i="26"/>
  <c r="U189" i="26"/>
  <c r="P189" i="26"/>
  <c r="N189" i="26"/>
  <c r="G189" i="26"/>
  <c r="O184" i="26"/>
  <c r="M184" i="26"/>
  <c r="F71" i="26"/>
  <c r="M187" i="26"/>
  <c r="M185" i="26"/>
  <c r="U188" i="26"/>
  <c r="E70" i="26"/>
  <c r="E69" i="26"/>
  <c r="J186" i="26"/>
  <c r="N72" i="26"/>
  <c r="R188" i="26"/>
  <c r="H69" i="26"/>
  <c r="Q186" i="26"/>
  <c r="L72" i="26"/>
  <c r="S71" i="26"/>
  <c r="S72" i="26"/>
  <c r="Q187" i="26"/>
  <c r="O185" i="26"/>
  <c r="H184" i="26"/>
  <c r="H187" i="26"/>
  <c r="D71" i="26"/>
  <c r="Q69" i="26"/>
  <c r="F186" i="26"/>
  <c r="Q184" i="26"/>
  <c r="M69" i="26"/>
  <c r="D188" i="26"/>
  <c r="K69" i="26"/>
  <c r="P71" i="26"/>
  <c r="E187" i="26"/>
  <c r="I189" i="26"/>
  <c r="F189" i="26"/>
  <c r="J189" i="26"/>
  <c r="S189" i="26"/>
  <c r="L189" i="26"/>
  <c r="R189" i="26"/>
  <c r="H70" i="26"/>
  <c r="G188" i="26"/>
  <c r="I186" i="26"/>
  <c r="F188" i="26"/>
  <c r="R71" i="26"/>
  <c r="K186" i="26"/>
  <c r="N188" i="26"/>
  <c r="H185" i="26"/>
  <c r="I188" i="26"/>
  <c r="K187" i="26"/>
  <c r="D186" i="26"/>
  <c r="O187" i="26"/>
  <c r="P186" i="26"/>
  <c r="J188" i="26"/>
  <c r="Q185" i="26"/>
  <c r="O70" i="26"/>
  <c r="P188" i="26"/>
  <c r="S188" i="26"/>
  <c r="L71" i="26"/>
  <c r="L188" i="26"/>
  <c r="N186" i="26"/>
  <c r="G71" i="26"/>
  <c r="N71" i="26"/>
  <c r="O69" i="26"/>
  <c r="E185" i="26"/>
  <c r="J71" i="26"/>
  <c r="I71" i="26"/>
  <c r="F72" i="26"/>
  <c r="G186" i="26"/>
  <c r="AO72" i="26" l="1"/>
  <c r="AP71" i="26"/>
  <c r="AV71" i="26" s="1"/>
  <c r="AF69" i="26"/>
  <c r="Z69" i="26"/>
  <c r="AR71" i="26"/>
  <c r="AQ71" i="26"/>
  <c r="AW71" i="26" s="1"/>
  <c r="AF70" i="26"/>
  <c r="Z70" i="26"/>
  <c r="AT71" i="26"/>
  <c r="AZ71" i="26" s="1"/>
  <c r="AC70" i="26"/>
  <c r="W70" i="26"/>
  <c r="AS71" i="26"/>
  <c r="AY71" i="26" s="1"/>
  <c r="AD69" i="26"/>
  <c r="X69" i="26"/>
  <c r="AE69" i="26"/>
  <c r="Y69" i="26"/>
  <c r="AG69" i="26"/>
  <c r="AA69" i="26"/>
  <c r="AQ72" i="26"/>
  <c r="AW72" i="26" s="1"/>
  <c r="AC69" i="26"/>
  <c r="W69" i="26"/>
  <c r="AR72" i="26"/>
  <c r="AX72" i="26" s="1"/>
  <c r="BM69" i="26"/>
  <c r="BN69" i="26" s="1"/>
  <c r="AB69" i="26"/>
  <c r="V69" i="26"/>
  <c r="BM70" i="26"/>
  <c r="BN70" i="26" s="1"/>
  <c r="AB70" i="26"/>
  <c r="V70" i="26"/>
  <c r="AO71" i="26"/>
  <c r="AY70" i="26"/>
  <c r="AK68" i="26"/>
  <c r="AJ68" i="26"/>
  <c r="AL70" i="26"/>
  <c r="AX70" i="26"/>
  <c r="AV70" i="26"/>
  <c r="AM68" i="26"/>
  <c r="AH68" i="26"/>
  <c r="AI68" i="26"/>
  <c r="AL68" i="26"/>
  <c r="AN68" i="26"/>
  <c r="AK70" i="26"/>
  <c r="C189" i="26"/>
  <c r="B190" i="26"/>
  <c r="B73" i="26"/>
  <c r="B74" i="26" s="1"/>
  <c r="V187" i="26"/>
  <c r="Z187" i="26"/>
  <c r="Y187" i="26"/>
  <c r="X187" i="26"/>
  <c r="Y184" i="26"/>
  <c r="AA187" i="26"/>
  <c r="AA185" i="26"/>
  <c r="W187" i="26"/>
  <c r="C188" i="26"/>
  <c r="AA184" i="26"/>
  <c r="Z184" i="26"/>
  <c r="W184" i="26"/>
  <c r="Z185" i="26"/>
  <c r="W185" i="26"/>
  <c r="X186" i="26"/>
  <c r="AA186" i="26"/>
  <c r="Y185" i="26"/>
  <c r="V185" i="26"/>
  <c r="C71" i="26"/>
  <c r="K189" i="26"/>
  <c r="E189" i="26"/>
  <c r="O189" i="26"/>
  <c r="L190" i="26"/>
  <c r="F190" i="26"/>
  <c r="D190" i="26"/>
  <c r="U190" i="26"/>
  <c r="P190" i="26"/>
  <c r="J190" i="26"/>
  <c r="D72" i="26"/>
  <c r="O71" i="26"/>
  <c r="M72" i="26"/>
  <c r="J73" i="26"/>
  <c r="D73" i="26"/>
  <c r="F73" i="26"/>
  <c r="K188" i="26"/>
  <c r="S73" i="26"/>
  <c r="P73" i="26"/>
  <c r="M186" i="26"/>
  <c r="J72" i="26"/>
  <c r="E186" i="26"/>
  <c r="E188" i="26"/>
  <c r="H71" i="26"/>
  <c r="H186" i="26"/>
  <c r="Q71" i="26"/>
  <c r="M71" i="26"/>
  <c r="Q189" i="26"/>
  <c r="H189" i="26"/>
  <c r="M189" i="26"/>
  <c r="G190" i="26"/>
  <c r="I190" i="26"/>
  <c r="R190" i="26"/>
  <c r="N190" i="26"/>
  <c r="S190" i="26"/>
  <c r="I72" i="26"/>
  <c r="R73" i="26"/>
  <c r="G73" i="26"/>
  <c r="H188" i="26"/>
  <c r="Q188" i="26"/>
  <c r="P72" i="26"/>
  <c r="N73" i="26"/>
  <c r="K72" i="26"/>
  <c r="M188" i="26"/>
  <c r="I73" i="26"/>
  <c r="O186" i="26"/>
  <c r="G72" i="26"/>
  <c r="E71" i="26"/>
  <c r="K71" i="26"/>
  <c r="R72" i="26"/>
  <c r="L73" i="26"/>
  <c r="O188" i="26"/>
  <c r="AQ73" i="26" l="1"/>
  <c r="AW73" i="26" s="1"/>
  <c r="AT72" i="26"/>
  <c r="AZ72" i="26" s="1"/>
  <c r="AD71" i="26"/>
  <c r="X71" i="26"/>
  <c r="AB71" i="26"/>
  <c r="V71" i="26"/>
  <c r="AP73" i="26"/>
  <c r="AD72" i="26"/>
  <c r="AR73" i="26"/>
  <c r="AX73" i="26" s="1"/>
  <c r="AS72" i="26"/>
  <c r="AT73" i="26"/>
  <c r="AP72" i="26"/>
  <c r="AV72" i="26" s="1"/>
  <c r="Y189" i="26"/>
  <c r="W189" i="26"/>
  <c r="AA189" i="26"/>
  <c r="AE71" i="26"/>
  <c r="Y71" i="26"/>
  <c r="AG71" i="26"/>
  <c r="AA71" i="26"/>
  <c r="AC71" i="26"/>
  <c r="W71" i="26"/>
  <c r="AS73" i="26"/>
  <c r="AY73" i="26" s="1"/>
  <c r="AO73" i="26"/>
  <c r="AU73" i="26" s="1"/>
  <c r="AE72" i="26"/>
  <c r="AF71" i="26"/>
  <c r="Z71" i="26"/>
  <c r="Y72" i="26"/>
  <c r="X72" i="26"/>
  <c r="Z189" i="26"/>
  <c r="V189" i="26"/>
  <c r="X189" i="26"/>
  <c r="AU71" i="26"/>
  <c r="AH70" i="26"/>
  <c r="AI70" i="26"/>
  <c r="AN69" i="26"/>
  <c r="AL69" i="26"/>
  <c r="AK69" i="26"/>
  <c r="AJ70" i="26"/>
  <c r="AN70" i="26"/>
  <c r="AH69" i="26"/>
  <c r="AI69" i="26"/>
  <c r="AJ69" i="26"/>
  <c r="AM70" i="26"/>
  <c r="AX71" i="26"/>
  <c r="AM69" i="26"/>
  <c r="AU72" i="26"/>
  <c r="C190" i="26"/>
  <c r="B191" i="26"/>
  <c r="C72" i="26"/>
  <c r="Y188" i="26"/>
  <c r="AA188" i="26"/>
  <c r="X188" i="26"/>
  <c r="W188" i="26"/>
  <c r="V188" i="26"/>
  <c r="Z188" i="26"/>
  <c r="Z186" i="26"/>
  <c r="V186" i="26"/>
  <c r="Y186" i="26"/>
  <c r="W186" i="26"/>
  <c r="C73" i="26"/>
  <c r="B75" i="26"/>
  <c r="M190" i="26"/>
  <c r="H190" i="26"/>
  <c r="E190" i="26"/>
  <c r="U191" i="26"/>
  <c r="D191" i="26"/>
  <c r="I191" i="26"/>
  <c r="N191" i="26"/>
  <c r="L191" i="26"/>
  <c r="J191" i="26"/>
  <c r="O72" i="26"/>
  <c r="N74" i="26"/>
  <c r="Q73" i="26"/>
  <c r="P74" i="26"/>
  <c r="S74" i="26"/>
  <c r="M73" i="26"/>
  <c r="F74" i="26"/>
  <c r="K73" i="26"/>
  <c r="R74" i="26"/>
  <c r="E72" i="26"/>
  <c r="Q190" i="26"/>
  <c r="O190" i="26"/>
  <c r="K190" i="26"/>
  <c r="F191" i="26"/>
  <c r="R191" i="26"/>
  <c r="P191" i="26"/>
  <c r="G191" i="26"/>
  <c r="S191" i="26"/>
  <c r="Q72" i="26"/>
  <c r="H72" i="26"/>
  <c r="G74" i="26"/>
  <c r="O73" i="26"/>
  <c r="L74" i="26"/>
  <c r="D74" i="26"/>
  <c r="H73" i="26"/>
  <c r="J74" i="26"/>
  <c r="I74" i="26"/>
  <c r="E73" i="26"/>
  <c r="AB73" i="26" l="1"/>
  <c r="V73" i="26"/>
  <c r="AP74" i="26"/>
  <c r="AV74" i="26" s="1"/>
  <c r="AC73" i="26"/>
  <c r="W73" i="26"/>
  <c r="AQ74" i="26"/>
  <c r="AW74" i="26" s="1"/>
  <c r="AF73" i="26"/>
  <c r="Z73" i="26"/>
  <c r="AC72" i="26"/>
  <c r="W72" i="26"/>
  <c r="AG72" i="26"/>
  <c r="AA72" i="26"/>
  <c r="X190" i="26"/>
  <c r="Z190" i="26"/>
  <c r="AA190" i="26"/>
  <c r="AB72" i="26"/>
  <c r="V72" i="26"/>
  <c r="AT74" i="26"/>
  <c r="AZ74" i="26" s="1"/>
  <c r="AD73" i="26"/>
  <c r="X73" i="26"/>
  <c r="AO74" i="26"/>
  <c r="AE73" i="26"/>
  <c r="Y73" i="26"/>
  <c r="AS74" i="26"/>
  <c r="AY74" i="26" s="1"/>
  <c r="AG73" i="26"/>
  <c r="AA73" i="26"/>
  <c r="AR74" i="26"/>
  <c r="AF72" i="26"/>
  <c r="Z72" i="26"/>
  <c r="V190" i="26"/>
  <c r="W190" i="26"/>
  <c r="Y190" i="26"/>
  <c r="AL72" i="26"/>
  <c r="AJ71" i="26"/>
  <c r="AN71" i="26"/>
  <c r="AL71" i="26"/>
  <c r="AY72" i="26"/>
  <c r="AK72" i="26"/>
  <c r="AM71" i="26"/>
  <c r="AZ73" i="26"/>
  <c r="AV73" i="26"/>
  <c r="AH71" i="26"/>
  <c r="AI71" i="26"/>
  <c r="AK71" i="26"/>
  <c r="C191" i="26"/>
  <c r="B192" i="26"/>
  <c r="B76" i="26"/>
  <c r="B77" i="26"/>
  <c r="C74" i="26"/>
  <c r="E191" i="26"/>
  <c r="Q191" i="26"/>
  <c r="H191" i="26"/>
  <c r="M191" i="26"/>
  <c r="R192" i="26"/>
  <c r="N192" i="26"/>
  <c r="J192" i="26"/>
  <c r="I192" i="26"/>
  <c r="S192" i="26"/>
  <c r="L192" i="26"/>
  <c r="K74" i="26"/>
  <c r="D76" i="26"/>
  <c r="J75" i="26"/>
  <c r="E74" i="26"/>
  <c r="H74" i="26"/>
  <c r="I75" i="26"/>
  <c r="L76" i="26"/>
  <c r="F75" i="26"/>
  <c r="G75" i="26"/>
  <c r="N75" i="26"/>
  <c r="N77" i="26"/>
  <c r="O191" i="26"/>
  <c r="K191" i="26"/>
  <c r="D192" i="26"/>
  <c r="U192" i="26"/>
  <c r="P192" i="26"/>
  <c r="G192" i="26"/>
  <c r="F192" i="26"/>
  <c r="Q74" i="26"/>
  <c r="L75" i="26"/>
  <c r="R75" i="26"/>
  <c r="P75" i="26"/>
  <c r="D75" i="26"/>
  <c r="O74" i="26"/>
  <c r="P76" i="26"/>
  <c r="M74" i="26"/>
  <c r="G76" i="26"/>
  <c r="I76" i="26"/>
  <c r="S75" i="26"/>
  <c r="N76" i="26"/>
  <c r="AR76" i="26" l="1"/>
  <c r="AP76" i="26"/>
  <c r="AE74" i="26"/>
  <c r="Y74" i="26"/>
  <c r="AS76" i="26"/>
  <c r="AF74" i="26"/>
  <c r="Z74" i="26"/>
  <c r="AS75" i="26"/>
  <c r="AT75" i="26"/>
  <c r="AZ75" i="26" s="1"/>
  <c r="AQ75" i="26"/>
  <c r="AW75" i="26" s="1"/>
  <c r="AG74" i="26"/>
  <c r="AA74" i="26"/>
  <c r="X191" i="26"/>
  <c r="Z191" i="26"/>
  <c r="AR77" i="26"/>
  <c r="AR75" i="26"/>
  <c r="AO75" i="26"/>
  <c r="AU75" i="26" s="1"/>
  <c r="AQ76" i="26"/>
  <c r="AW76" i="26" s="1"/>
  <c r="AP75" i="26"/>
  <c r="AV75" i="26" s="1"/>
  <c r="AC74" i="26"/>
  <c r="W74" i="26"/>
  <c r="AB74" i="26"/>
  <c r="V74" i="26"/>
  <c r="AD74" i="26"/>
  <c r="X74" i="26"/>
  <c r="Y191" i="26"/>
  <c r="W191" i="26"/>
  <c r="AA191" i="26"/>
  <c r="V191" i="26"/>
  <c r="AX74" i="26"/>
  <c r="AN73" i="26"/>
  <c r="AU74" i="26"/>
  <c r="AK73" i="26"/>
  <c r="AJ73" i="26"/>
  <c r="AM72" i="26"/>
  <c r="AL73" i="26"/>
  <c r="AI72" i="26"/>
  <c r="AH72" i="26"/>
  <c r="AN72" i="26"/>
  <c r="AJ72" i="26"/>
  <c r="AM73" i="26"/>
  <c r="AH73" i="26"/>
  <c r="AI73" i="26"/>
  <c r="C192" i="26"/>
  <c r="B193" i="26"/>
  <c r="C77" i="26"/>
  <c r="B78" i="26"/>
  <c r="C75" i="26"/>
  <c r="E192" i="26"/>
  <c r="H192" i="26"/>
  <c r="Q192" i="26"/>
  <c r="P193" i="26"/>
  <c r="N193" i="26"/>
  <c r="R193" i="26"/>
  <c r="D193" i="26"/>
  <c r="J193" i="26"/>
  <c r="S193" i="26"/>
  <c r="M77" i="26"/>
  <c r="S76" i="26"/>
  <c r="F76" i="26"/>
  <c r="E75" i="26"/>
  <c r="K75" i="26"/>
  <c r="R77" i="26"/>
  <c r="M76" i="26"/>
  <c r="H75" i="26"/>
  <c r="D77" i="26"/>
  <c r="P77" i="26"/>
  <c r="R78" i="26"/>
  <c r="R76" i="26"/>
  <c r="O192" i="26"/>
  <c r="K192" i="26"/>
  <c r="M192" i="26"/>
  <c r="G193" i="26"/>
  <c r="L193" i="26"/>
  <c r="F193" i="26"/>
  <c r="I193" i="26"/>
  <c r="U193" i="26"/>
  <c r="J76" i="26"/>
  <c r="F77" i="26"/>
  <c r="G78" i="26"/>
  <c r="O75" i="26"/>
  <c r="M75" i="26"/>
  <c r="I77" i="26"/>
  <c r="L77" i="26"/>
  <c r="K76" i="26"/>
  <c r="J77" i="26"/>
  <c r="O76" i="26"/>
  <c r="Q75" i="26"/>
  <c r="S77" i="26"/>
  <c r="G77" i="26"/>
  <c r="AV76" i="26" l="1"/>
  <c r="AG75" i="26"/>
  <c r="AA75" i="26"/>
  <c r="AF76" i="26"/>
  <c r="Z76" i="26"/>
  <c r="AD76" i="26"/>
  <c r="X76" i="26"/>
  <c r="AQ77" i="26"/>
  <c r="AW77" i="26" s="1"/>
  <c r="AP77" i="26"/>
  <c r="AV77" i="26" s="1"/>
  <c r="AE75" i="26"/>
  <c r="Y75" i="26"/>
  <c r="AF75" i="26"/>
  <c r="Z75" i="26"/>
  <c r="AO77" i="26"/>
  <c r="Y192" i="26"/>
  <c r="X192" i="26"/>
  <c r="Z192" i="26"/>
  <c r="AT76" i="26"/>
  <c r="AZ76" i="26" s="1"/>
  <c r="AT78" i="26"/>
  <c r="AS77" i="26"/>
  <c r="AY77" i="26" s="1"/>
  <c r="Y77" i="26"/>
  <c r="AC75" i="26"/>
  <c r="W75" i="26"/>
  <c r="AE76" i="26"/>
  <c r="Y76" i="26"/>
  <c r="AT77" i="26"/>
  <c r="AD75" i="26"/>
  <c r="X75" i="26"/>
  <c r="AB75" i="26"/>
  <c r="V75" i="26"/>
  <c r="AO76" i="26"/>
  <c r="AE77" i="26"/>
  <c r="AA192" i="26"/>
  <c r="W192" i="26"/>
  <c r="V192" i="26"/>
  <c r="AK74" i="26"/>
  <c r="AH74" i="26"/>
  <c r="AI74" i="26"/>
  <c r="AJ74" i="26"/>
  <c r="AX75" i="26"/>
  <c r="AY75" i="26"/>
  <c r="AM74" i="26"/>
  <c r="AX76" i="26"/>
  <c r="AX77" i="26"/>
  <c r="AN74" i="26"/>
  <c r="AY76" i="26"/>
  <c r="AL74" i="26"/>
  <c r="S194" i="26"/>
  <c r="C193" i="26"/>
  <c r="J194" i="26"/>
  <c r="I194" i="26"/>
  <c r="I8" i="42" s="1"/>
  <c r="C11" i="42"/>
  <c r="C10" i="42"/>
  <c r="D194" i="26"/>
  <c r="C7" i="42" s="1"/>
  <c r="C8" i="42" s="1"/>
  <c r="C9" i="42"/>
  <c r="F194" i="26"/>
  <c r="R194" i="26"/>
  <c r="L194" i="26"/>
  <c r="N194" i="26"/>
  <c r="G194" i="26"/>
  <c r="P194" i="26"/>
  <c r="I5" i="42"/>
  <c r="C76" i="26"/>
  <c r="C78" i="26"/>
  <c r="B79" i="26"/>
  <c r="E193" i="26"/>
  <c r="M193" i="26"/>
  <c r="Q77" i="26"/>
  <c r="P78" i="26"/>
  <c r="I78" i="26"/>
  <c r="S78" i="26"/>
  <c r="L78" i="26"/>
  <c r="Q78" i="26"/>
  <c r="Q76" i="26"/>
  <c r="H77" i="26"/>
  <c r="H193" i="26"/>
  <c r="K193" i="26"/>
  <c r="Q193" i="26"/>
  <c r="O193" i="26"/>
  <c r="E76" i="26"/>
  <c r="J78" i="26"/>
  <c r="O77" i="26"/>
  <c r="N78" i="26"/>
  <c r="E77" i="26"/>
  <c r="F78" i="26"/>
  <c r="K77" i="26"/>
  <c r="H76" i="26"/>
  <c r="D78" i="26"/>
  <c r="AA78" i="26" l="1"/>
  <c r="AC76" i="26"/>
  <c r="W76" i="26"/>
  <c r="AD77" i="26"/>
  <c r="X77" i="26"/>
  <c r="AO78" i="26"/>
  <c r="AU78" i="26" s="1"/>
  <c r="AB77" i="26"/>
  <c r="V77" i="26"/>
  <c r="AR78" i="26"/>
  <c r="AX78" i="26" s="1"/>
  <c r="AF77" i="26"/>
  <c r="Z77" i="26"/>
  <c r="AB76" i="26"/>
  <c r="V76" i="26"/>
  <c r="Z193" i="26"/>
  <c r="O194" i="26"/>
  <c r="Z194" i="26" s="1"/>
  <c r="Q194" i="26"/>
  <c r="AA193" i="26"/>
  <c r="X193" i="26"/>
  <c r="K194" i="26"/>
  <c r="X194" i="26" s="1"/>
  <c r="W193" i="26"/>
  <c r="H194" i="26"/>
  <c r="W194" i="26" s="1"/>
  <c r="AC77" i="26"/>
  <c r="W77" i="26"/>
  <c r="AG76" i="26"/>
  <c r="AA76" i="26"/>
  <c r="AG78" i="26"/>
  <c r="AQ78" i="26"/>
  <c r="AW78" i="26" s="1"/>
  <c r="AP78" i="26"/>
  <c r="AV78" i="26" s="1"/>
  <c r="AS78" i="26"/>
  <c r="AG77" i="26"/>
  <c r="AA77" i="26"/>
  <c r="Y193" i="26"/>
  <c r="M194" i="26"/>
  <c r="E194" i="26"/>
  <c r="V193" i="26"/>
  <c r="AU76" i="26"/>
  <c r="AH75" i="26"/>
  <c r="AI75" i="26"/>
  <c r="AK75" i="26"/>
  <c r="AK77" i="26"/>
  <c r="AL77" i="26"/>
  <c r="AZ77" i="26"/>
  <c r="AL76" i="26"/>
  <c r="AJ75" i="26"/>
  <c r="AZ78" i="26"/>
  <c r="AU77" i="26"/>
  <c r="AM75" i="26"/>
  <c r="AL75" i="26"/>
  <c r="AK76" i="26"/>
  <c r="AM76" i="26"/>
  <c r="AN75" i="26"/>
  <c r="Y194" i="26"/>
  <c r="AA194" i="26"/>
  <c r="I4" i="42"/>
  <c r="V194" i="26"/>
  <c r="B80" i="26"/>
  <c r="L80" i="26"/>
  <c r="P80" i="26"/>
  <c r="E78" i="26"/>
  <c r="G79" i="26"/>
  <c r="N80" i="26"/>
  <c r="N79" i="26"/>
  <c r="I80" i="26"/>
  <c r="F79" i="26"/>
  <c r="P79" i="26"/>
  <c r="L79" i="26"/>
  <c r="K78" i="26"/>
  <c r="M78" i="26"/>
  <c r="R79" i="26"/>
  <c r="H78" i="26"/>
  <c r="S79" i="26"/>
  <c r="J79" i="26"/>
  <c r="I79" i="26"/>
  <c r="D79" i="26"/>
  <c r="O78" i="26"/>
  <c r="AF78" i="26" l="1"/>
  <c r="Z78" i="26"/>
  <c r="AP79" i="26"/>
  <c r="AV79" i="26" s="1"/>
  <c r="AC78" i="26"/>
  <c r="W78" i="26"/>
  <c r="AT79" i="26"/>
  <c r="AZ79" i="26" s="1"/>
  <c r="AE78" i="26"/>
  <c r="Y78" i="26"/>
  <c r="AD78" i="26"/>
  <c r="X78" i="26"/>
  <c r="AQ79" i="26"/>
  <c r="AW79" i="26" s="1"/>
  <c r="AS79" i="26"/>
  <c r="AO79" i="26"/>
  <c r="AP80" i="26"/>
  <c r="AV80" i="26" s="1"/>
  <c r="AR79" i="26"/>
  <c r="AX79" i="26" s="1"/>
  <c r="AR80" i="26"/>
  <c r="AX80" i="26" s="1"/>
  <c r="AB78" i="26"/>
  <c r="V78" i="26"/>
  <c r="AS80" i="26"/>
  <c r="AQ80" i="26"/>
  <c r="AY78" i="26"/>
  <c r="AY79" i="26"/>
  <c r="AH77" i="26"/>
  <c r="AI77" i="26"/>
  <c r="I7" i="42"/>
  <c r="AN77" i="26"/>
  <c r="AN78" i="26"/>
  <c r="AH76" i="26"/>
  <c r="AN76" i="26"/>
  <c r="AJ77" i="26"/>
  <c r="AI76" i="26"/>
  <c r="AM77" i="26"/>
  <c r="AJ76" i="26"/>
  <c r="B81" i="26"/>
  <c r="C79" i="26"/>
  <c r="H79" i="26"/>
  <c r="J80" i="26"/>
  <c r="R80" i="26"/>
  <c r="M79" i="26"/>
  <c r="F80" i="26"/>
  <c r="K80" i="26"/>
  <c r="Q79" i="26"/>
  <c r="D80" i="26"/>
  <c r="M80" i="26"/>
  <c r="K79" i="26"/>
  <c r="O80" i="26"/>
  <c r="G80" i="26"/>
  <c r="O79" i="26"/>
  <c r="E79" i="26"/>
  <c r="S80" i="26"/>
  <c r="AB79" i="26" l="1"/>
  <c r="V79" i="26"/>
  <c r="AF79" i="26"/>
  <c r="Z79" i="26"/>
  <c r="AF80" i="26"/>
  <c r="AD79" i="26"/>
  <c r="X79" i="26"/>
  <c r="AE80" i="26"/>
  <c r="Y80" i="26"/>
  <c r="X80" i="26"/>
  <c r="Z80" i="26"/>
  <c r="AG79" i="26"/>
  <c r="AA79" i="26"/>
  <c r="AD80" i="26"/>
  <c r="AO80" i="26"/>
  <c r="AU80" i="26" s="1"/>
  <c r="AE79" i="26"/>
  <c r="Y79" i="26"/>
  <c r="AT80" i="26"/>
  <c r="AZ80" i="26" s="1"/>
  <c r="AC79" i="26"/>
  <c r="W79" i="26"/>
  <c r="AW80" i="26"/>
  <c r="AY80" i="26"/>
  <c r="AJ78" i="26"/>
  <c r="AH78" i="26"/>
  <c r="AI78" i="26"/>
  <c r="AU79" i="26"/>
  <c r="AK78" i="26"/>
  <c r="AL78" i="26"/>
  <c r="AM78" i="26"/>
  <c r="AM80" i="26"/>
  <c r="C80" i="26"/>
  <c r="B82" i="26"/>
  <c r="S81" i="26"/>
  <c r="E80" i="26"/>
  <c r="L81" i="26"/>
  <c r="Q80" i="26"/>
  <c r="J81" i="26"/>
  <c r="G81" i="26"/>
  <c r="I81" i="26"/>
  <c r="N81" i="26"/>
  <c r="H80" i="26"/>
  <c r="D81" i="26"/>
  <c r="F81" i="26"/>
  <c r="P81" i="26"/>
  <c r="R81" i="26"/>
  <c r="AT81" i="26" l="1"/>
  <c r="AZ81" i="26" s="1"/>
  <c r="AS81" i="26"/>
  <c r="AY81" i="26" s="1"/>
  <c r="AO81" i="26"/>
  <c r="AC80" i="26"/>
  <c r="W80" i="26"/>
  <c r="AR81" i="26"/>
  <c r="AX81" i="26" s="1"/>
  <c r="AP81" i="26"/>
  <c r="AV81" i="26" s="1"/>
  <c r="AG80" i="26"/>
  <c r="AA80" i="26"/>
  <c r="AQ81" i="26"/>
  <c r="AB80" i="26"/>
  <c r="V80" i="26"/>
  <c r="AJ79" i="26"/>
  <c r="AL80" i="26"/>
  <c r="AK79" i="26"/>
  <c r="AL79" i="26"/>
  <c r="AK80" i="26"/>
  <c r="AN79" i="26"/>
  <c r="AM79" i="26"/>
  <c r="AH79" i="26"/>
  <c r="AI79" i="26"/>
  <c r="C81" i="26"/>
  <c r="B83" i="26"/>
  <c r="S82" i="26"/>
  <c r="J82" i="26"/>
  <c r="D82" i="26"/>
  <c r="O81" i="26"/>
  <c r="I82" i="26"/>
  <c r="H81" i="26"/>
  <c r="P82" i="26"/>
  <c r="L82" i="26"/>
  <c r="Q81" i="26"/>
  <c r="F82" i="26"/>
  <c r="E81" i="26"/>
  <c r="K81" i="26"/>
  <c r="N82" i="26"/>
  <c r="M81" i="26"/>
  <c r="R82" i="26"/>
  <c r="G82" i="26"/>
  <c r="AT82" i="26" l="1"/>
  <c r="AZ82" i="26" s="1"/>
  <c r="AE81" i="26"/>
  <c r="Y81" i="26"/>
  <c r="AR82" i="26"/>
  <c r="AX82" i="26" s="1"/>
  <c r="AD81" i="26"/>
  <c r="X81" i="26"/>
  <c r="AB81" i="26"/>
  <c r="V81" i="26"/>
  <c r="AO82" i="26"/>
  <c r="AG81" i="26"/>
  <c r="AA81" i="26"/>
  <c r="AQ82" i="26"/>
  <c r="AS82" i="26"/>
  <c r="AC81" i="26"/>
  <c r="W81" i="26"/>
  <c r="AP82" i="26"/>
  <c r="AV82" i="26" s="1"/>
  <c r="AF81" i="26"/>
  <c r="Z81" i="26"/>
  <c r="AW81" i="26"/>
  <c r="AW82" i="26"/>
  <c r="AN80" i="26"/>
  <c r="AJ80" i="26"/>
  <c r="AH80" i="26"/>
  <c r="AI80" i="26"/>
  <c r="AU82" i="26"/>
  <c r="AU81" i="26"/>
  <c r="C82" i="26"/>
  <c r="B84" i="26"/>
  <c r="O82" i="26"/>
  <c r="N83" i="26"/>
  <c r="G83" i="26"/>
  <c r="P83" i="26"/>
  <c r="D83" i="26"/>
  <c r="H82" i="26"/>
  <c r="S83" i="26"/>
  <c r="F83" i="26"/>
  <c r="E82" i="26"/>
  <c r="I83" i="26"/>
  <c r="M82" i="26"/>
  <c r="J83" i="26"/>
  <c r="Q82" i="26"/>
  <c r="K82" i="26"/>
  <c r="R83" i="26"/>
  <c r="L83" i="26"/>
  <c r="AQ83" i="26" l="1"/>
  <c r="AW83" i="26" s="1"/>
  <c r="AT83" i="26"/>
  <c r="AZ83" i="26" s="1"/>
  <c r="AD82" i="26"/>
  <c r="X82" i="26"/>
  <c r="AG82" i="26"/>
  <c r="AA82" i="26"/>
  <c r="AE82" i="26"/>
  <c r="Y82" i="26"/>
  <c r="AP83" i="26"/>
  <c r="AV83" i="26" s="1"/>
  <c r="AB82" i="26"/>
  <c r="V82" i="26"/>
  <c r="AO83" i="26"/>
  <c r="AU83" i="26" s="1"/>
  <c r="AC82" i="26"/>
  <c r="W82" i="26"/>
  <c r="AS83" i="26"/>
  <c r="AY83" i="26" s="1"/>
  <c r="AR83" i="26"/>
  <c r="AX83" i="26" s="1"/>
  <c r="AF82" i="26"/>
  <c r="Z82" i="26"/>
  <c r="AJ81" i="26"/>
  <c r="AN81" i="26"/>
  <c r="AL81" i="26"/>
  <c r="AM81" i="26"/>
  <c r="AY82" i="26"/>
  <c r="AH81" i="26"/>
  <c r="AI81" i="26"/>
  <c r="AK81" i="26"/>
  <c r="AK82" i="26"/>
  <c r="C83" i="26"/>
  <c r="B85" i="26"/>
  <c r="M83" i="26"/>
  <c r="O83" i="26"/>
  <c r="F84" i="26"/>
  <c r="L84" i="26"/>
  <c r="P84" i="26"/>
  <c r="I84" i="26"/>
  <c r="G84" i="26"/>
  <c r="H83" i="26"/>
  <c r="R84" i="26"/>
  <c r="K83" i="26"/>
  <c r="N84" i="26"/>
  <c r="J84" i="26"/>
  <c r="S84" i="26"/>
  <c r="E83" i="26"/>
  <c r="D84" i="26"/>
  <c r="Q83" i="26"/>
  <c r="AG83" i="26" l="1"/>
  <c r="AA83" i="26"/>
  <c r="AB83" i="26"/>
  <c r="V83" i="26"/>
  <c r="AR84" i="26"/>
  <c r="AX84" i="26" s="1"/>
  <c r="AD83" i="26"/>
  <c r="X83" i="26"/>
  <c r="AT84" i="26"/>
  <c r="AZ84" i="26" s="1"/>
  <c r="AC83" i="26"/>
  <c r="W83" i="26"/>
  <c r="AP84" i="26"/>
  <c r="AV84" i="26" s="1"/>
  <c r="AS84" i="26"/>
  <c r="AQ84" i="26"/>
  <c r="AO84" i="26"/>
  <c r="AF83" i="26"/>
  <c r="Z83" i="26"/>
  <c r="AE83" i="26"/>
  <c r="Y83" i="26"/>
  <c r="AH82" i="26"/>
  <c r="AI82" i="26"/>
  <c r="AM82" i="26"/>
  <c r="AJ82" i="26"/>
  <c r="AL82" i="26"/>
  <c r="AN82" i="26"/>
  <c r="C84" i="26"/>
  <c r="B86" i="26"/>
  <c r="G85" i="26"/>
  <c r="H84" i="26"/>
  <c r="R85" i="26"/>
  <c r="I85" i="26"/>
  <c r="Q84" i="26"/>
  <c r="P85" i="26"/>
  <c r="O84" i="26"/>
  <c r="F85" i="26"/>
  <c r="N85" i="26"/>
  <c r="M84" i="26"/>
  <c r="J85" i="26"/>
  <c r="E84" i="26"/>
  <c r="L85" i="26"/>
  <c r="D85" i="26"/>
  <c r="K84" i="26"/>
  <c r="S85" i="26"/>
  <c r="AD84" i="26" l="1"/>
  <c r="X84" i="26"/>
  <c r="AQ85" i="26"/>
  <c r="AW85" i="26" s="1"/>
  <c r="AB84" i="26"/>
  <c r="V84" i="26"/>
  <c r="AE84" i="26"/>
  <c r="Y84" i="26"/>
  <c r="AR85" i="26"/>
  <c r="AX85" i="26" s="1"/>
  <c r="AO85" i="26"/>
  <c r="AU85" i="26" s="1"/>
  <c r="AF84" i="26"/>
  <c r="Z84" i="26"/>
  <c r="AS85" i="26"/>
  <c r="AY85" i="26" s="1"/>
  <c r="AG84" i="26"/>
  <c r="AA84" i="26"/>
  <c r="AP85" i="26"/>
  <c r="AV85" i="26" s="1"/>
  <c r="AT85" i="26"/>
  <c r="AZ85" i="26" s="1"/>
  <c r="AC84" i="26"/>
  <c r="W84" i="26"/>
  <c r="AU84" i="26"/>
  <c r="AY84" i="26"/>
  <c r="AK83" i="26"/>
  <c r="AL83" i="26"/>
  <c r="AM83" i="26"/>
  <c r="AW84" i="26"/>
  <c r="AJ83" i="26"/>
  <c r="AH83" i="26"/>
  <c r="AI83" i="26"/>
  <c r="AN83" i="26"/>
  <c r="C85" i="26"/>
  <c r="B87" i="26"/>
  <c r="M85" i="26"/>
  <c r="N86" i="26"/>
  <c r="I86" i="26"/>
  <c r="E85" i="26"/>
  <c r="K85" i="26"/>
  <c r="O85" i="26"/>
  <c r="F86" i="26"/>
  <c r="S86" i="26"/>
  <c r="H85" i="26"/>
  <c r="P86" i="26"/>
  <c r="Q85" i="26"/>
  <c r="J86" i="26"/>
  <c r="G86" i="26"/>
  <c r="L86" i="26"/>
  <c r="R86" i="26"/>
  <c r="D86" i="26"/>
  <c r="AT86" i="26" l="1"/>
  <c r="AZ86" i="26" s="1"/>
  <c r="AQ86" i="26"/>
  <c r="AG85" i="26"/>
  <c r="AA85" i="26"/>
  <c r="AS86" i="26"/>
  <c r="AC85" i="26"/>
  <c r="W85" i="26"/>
  <c r="AO86" i="26"/>
  <c r="AF85" i="26"/>
  <c r="Z85" i="26"/>
  <c r="AD85" i="26"/>
  <c r="X85" i="26"/>
  <c r="AB85" i="26"/>
  <c r="V85" i="26"/>
  <c r="AP86" i="26"/>
  <c r="AV86" i="26" s="1"/>
  <c r="AR86" i="26"/>
  <c r="AX86" i="26" s="1"/>
  <c r="AE85" i="26"/>
  <c r="Y85" i="26"/>
  <c r="AM84" i="26"/>
  <c r="AL84" i="26"/>
  <c r="AH84" i="26"/>
  <c r="AI84" i="26"/>
  <c r="AJ84" i="26"/>
  <c r="AN84" i="26"/>
  <c r="AK84" i="26"/>
  <c r="C86" i="26"/>
  <c r="B88" i="26"/>
  <c r="K86" i="26"/>
  <c r="E86" i="26"/>
  <c r="D87" i="26"/>
  <c r="G87" i="26"/>
  <c r="R87" i="26"/>
  <c r="P87" i="26"/>
  <c r="I87" i="26"/>
  <c r="M86" i="26"/>
  <c r="Q86" i="26"/>
  <c r="H86" i="26"/>
  <c r="O86" i="26"/>
  <c r="J87" i="26"/>
  <c r="S87" i="26"/>
  <c r="L87" i="26"/>
  <c r="N87" i="26"/>
  <c r="F87" i="26"/>
  <c r="AO87" i="26" l="1"/>
  <c r="AU87" i="26" s="1"/>
  <c r="AR87" i="26"/>
  <c r="AX87" i="26" s="1"/>
  <c r="AQ87" i="26"/>
  <c r="AW87" i="26" s="1"/>
  <c r="AF86" i="26"/>
  <c r="Z86" i="26"/>
  <c r="AC86" i="26"/>
  <c r="W86" i="26"/>
  <c r="AG86" i="26"/>
  <c r="AA86" i="26"/>
  <c r="AE86" i="26"/>
  <c r="Y86" i="26"/>
  <c r="AP87" i="26"/>
  <c r="AV87" i="26" s="1"/>
  <c r="AS87" i="26"/>
  <c r="AY87" i="26" s="1"/>
  <c r="AT87" i="26"/>
  <c r="AZ87" i="26" s="1"/>
  <c r="AB86" i="26"/>
  <c r="V86" i="26"/>
  <c r="AD86" i="26"/>
  <c r="X86" i="26"/>
  <c r="AU86" i="26"/>
  <c r="AJ85" i="26"/>
  <c r="AW86" i="26"/>
  <c r="AL85" i="26"/>
  <c r="AH85" i="26"/>
  <c r="AI85" i="26"/>
  <c r="AK85" i="26"/>
  <c r="AM85" i="26"/>
  <c r="AY86" i="26"/>
  <c r="AN85" i="26"/>
  <c r="C87" i="26"/>
  <c r="B89" i="26"/>
  <c r="M87" i="26"/>
  <c r="H87" i="26"/>
  <c r="D88" i="26"/>
  <c r="O87" i="26"/>
  <c r="J88" i="26"/>
  <c r="N88" i="26"/>
  <c r="G88" i="26"/>
  <c r="E87" i="26"/>
  <c r="P88" i="26"/>
  <c r="Q87" i="26"/>
  <c r="I88" i="26"/>
  <c r="L88" i="26"/>
  <c r="K87" i="26"/>
  <c r="F88" i="26"/>
  <c r="R88" i="26"/>
  <c r="S88" i="26"/>
  <c r="AT88" i="26" l="1"/>
  <c r="AZ88" i="26" s="1"/>
  <c r="AO88" i="26"/>
  <c r="AD87" i="26"/>
  <c r="X87" i="26"/>
  <c r="AQ88" i="26"/>
  <c r="AP88" i="26"/>
  <c r="AV88" i="26" s="1"/>
  <c r="AG87" i="26"/>
  <c r="AA87" i="26"/>
  <c r="AS88" i="26"/>
  <c r="AB87" i="26"/>
  <c r="V87" i="26"/>
  <c r="AR88" i="26"/>
  <c r="AX88" i="26" s="1"/>
  <c r="AF87" i="26"/>
  <c r="Z87" i="26"/>
  <c r="AC87" i="26"/>
  <c r="W87" i="26"/>
  <c r="AE87" i="26"/>
  <c r="Y87" i="26"/>
  <c r="AL86" i="26"/>
  <c r="AN86" i="26"/>
  <c r="AJ86" i="26"/>
  <c r="AM86" i="26"/>
  <c r="AK86" i="26"/>
  <c r="AH86" i="26"/>
  <c r="AI86" i="26"/>
  <c r="C88" i="26"/>
  <c r="B90" i="26"/>
  <c r="H88" i="26"/>
  <c r="J89" i="26"/>
  <c r="I89" i="26"/>
  <c r="S89" i="26"/>
  <c r="P89" i="26"/>
  <c r="O88" i="26"/>
  <c r="M88" i="26"/>
  <c r="L89" i="26"/>
  <c r="Q88" i="26"/>
  <c r="K88" i="26"/>
  <c r="F89" i="26"/>
  <c r="N89" i="26"/>
  <c r="D89" i="26"/>
  <c r="G89" i="26"/>
  <c r="R89" i="26"/>
  <c r="E88" i="26"/>
  <c r="AB88" i="26" l="1"/>
  <c r="V88" i="26"/>
  <c r="AT89" i="26"/>
  <c r="AZ89" i="26" s="1"/>
  <c r="AR89" i="26"/>
  <c r="AX89" i="26" s="1"/>
  <c r="AO89" i="26"/>
  <c r="AU89" i="26" s="1"/>
  <c r="AD88" i="26"/>
  <c r="X88" i="26"/>
  <c r="AG88" i="26"/>
  <c r="AA88" i="26"/>
  <c r="AQ89" i="26"/>
  <c r="AW89" i="26" s="1"/>
  <c r="AE88" i="26"/>
  <c r="Y88" i="26"/>
  <c r="AF88" i="26"/>
  <c r="Z88" i="26"/>
  <c r="AS89" i="26"/>
  <c r="AY89" i="26" s="1"/>
  <c r="AP89" i="26"/>
  <c r="AV89" i="26" s="1"/>
  <c r="AC88" i="26"/>
  <c r="W88" i="26"/>
  <c r="AH87" i="26"/>
  <c r="AI87" i="26"/>
  <c r="AU88" i="26"/>
  <c r="AL87" i="26"/>
  <c r="AJ87" i="26"/>
  <c r="AM87" i="26"/>
  <c r="AY88" i="26"/>
  <c r="AN87" i="26"/>
  <c r="AW88" i="26"/>
  <c r="AK87" i="26"/>
  <c r="C89" i="26"/>
  <c r="B91" i="26"/>
  <c r="P90" i="26"/>
  <c r="L90" i="26"/>
  <c r="G90" i="26"/>
  <c r="S90" i="26"/>
  <c r="M89" i="26"/>
  <c r="Q89" i="26"/>
  <c r="F90" i="26"/>
  <c r="R90" i="26"/>
  <c r="N90" i="26"/>
  <c r="D90" i="26"/>
  <c r="K89" i="26"/>
  <c r="J90" i="26"/>
  <c r="I90" i="26"/>
  <c r="H89" i="26"/>
  <c r="O89" i="26"/>
  <c r="E89" i="26"/>
  <c r="AB89" i="26" l="1"/>
  <c r="V89" i="26"/>
  <c r="AF89" i="26"/>
  <c r="Z89" i="26"/>
  <c r="AC89" i="26"/>
  <c r="W89" i="26"/>
  <c r="AP90" i="26"/>
  <c r="AV90" i="26" s="1"/>
  <c r="AD89" i="26"/>
  <c r="X89" i="26"/>
  <c r="AR90" i="26"/>
  <c r="AX90" i="26" s="1"/>
  <c r="AT90" i="26"/>
  <c r="AZ90" i="26" s="1"/>
  <c r="AO90" i="26"/>
  <c r="AG89" i="26"/>
  <c r="AA89" i="26"/>
  <c r="AE89" i="26"/>
  <c r="Y89" i="26"/>
  <c r="AQ90" i="26"/>
  <c r="AW90" i="26" s="1"/>
  <c r="AS90" i="26"/>
  <c r="AN88" i="26"/>
  <c r="AK88" i="26"/>
  <c r="AJ88" i="26"/>
  <c r="AM88" i="26"/>
  <c r="AL88" i="26"/>
  <c r="AH88" i="26"/>
  <c r="AI88" i="26"/>
  <c r="C90" i="26"/>
  <c r="B92" i="26"/>
  <c r="P91" i="26"/>
  <c r="Q90" i="26"/>
  <c r="N91" i="26"/>
  <c r="O90" i="26"/>
  <c r="I91" i="26"/>
  <c r="L91" i="26"/>
  <c r="M90" i="26"/>
  <c r="G91" i="26"/>
  <c r="J91" i="26"/>
  <c r="H90" i="26"/>
  <c r="F91" i="26"/>
  <c r="S91" i="26"/>
  <c r="K90" i="26"/>
  <c r="R91" i="26"/>
  <c r="D91" i="26"/>
  <c r="E90" i="26"/>
  <c r="AB90" i="26" l="1"/>
  <c r="V90" i="26"/>
  <c r="AT91" i="26"/>
  <c r="AZ91" i="26" s="1"/>
  <c r="AD90" i="26"/>
  <c r="X90" i="26"/>
  <c r="AO91" i="26"/>
  <c r="AU91" i="26" s="1"/>
  <c r="AC90" i="26"/>
  <c r="W90" i="26"/>
  <c r="AE90" i="26"/>
  <c r="Y90" i="26"/>
  <c r="AQ91" i="26"/>
  <c r="AP91" i="26"/>
  <c r="AV91" i="26" s="1"/>
  <c r="AF90" i="26"/>
  <c r="Z90" i="26"/>
  <c r="AR91" i="26"/>
  <c r="AX91" i="26" s="1"/>
  <c r="AG90" i="26"/>
  <c r="AA90" i="26"/>
  <c r="AS91" i="26"/>
  <c r="AY91" i="26" s="1"/>
  <c r="AY90" i="26"/>
  <c r="AU90" i="26"/>
  <c r="AK89" i="26"/>
  <c r="AL89" i="26"/>
  <c r="AN89" i="26"/>
  <c r="AJ89" i="26"/>
  <c r="AM89" i="26"/>
  <c r="AH89" i="26"/>
  <c r="AI89" i="26"/>
  <c r="C91" i="26"/>
  <c r="B93" i="26"/>
  <c r="H91" i="26"/>
  <c r="G92" i="26"/>
  <c r="N92" i="26"/>
  <c r="R92" i="26"/>
  <c r="Q91" i="26"/>
  <c r="J92" i="26"/>
  <c r="E91" i="26"/>
  <c r="F92" i="26"/>
  <c r="D92" i="26"/>
  <c r="M91" i="26"/>
  <c r="P92" i="26"/>
  <c r="S92" i="26"/>
  <c r="L92" i="26"/>
  <c r="O91" i="26"/>
  <c r="I92" i="26"/>
  <c r="K91" i="26"/>
  <c r="AD91" i="26" l="1"/>
  <c r="X91" i="26"/>
  <c r="AP92" i="26"/>
  <c r="AV92" i="26" s="1"/>
  <c r="AF91" i="26"/>
  <c r="Z91" i="26"/>
  <c r="AQ92" i="26"/>
  <c r="AW92" i="26" s="1"/>
  <c r="AS92" i="26"/>
  <c r="AE91" i="26"/>
  <c r="Y91" i="26"/>
  <c r="AO92" i="26"/>
  <c r="AB91" i="26"/>
  <c r="V91" i="26"/>
  <c r="AG91" i="26"/>
  <c r="AA91" i="26"/>
  <c r="AT92" i="26"/>
  <c r="AZ92" i="26" s="1"/>
  <c r="AR92" i="26"/>
  <c r="AX92" i="26" s="1"/>
  <c r="AC91" i="26"/>
  <c r="W91" i="26"/>
  <c r="AN90" i="26"/>
  <c r="AK90" i="26"/>
  <c r="AY92" i="26"/>
  <c r="AM90" i="26"/>
  <c r="AW91" i="26"/>
  <c r="AL90" i="26"/>
  <c r="AJ90" i="26"/>
  <c r="AH90" i="26"/>
  <c r="AI90" i="26"/>
  <c r="B94" i="26"/>
  <c r="C92" i="26"/>
  <c r="S93" i="26"/>
  <c r="J93" i="26"/>
  <c r="D93" i="26"/>
  <c r="L93" i="26"/>
  <c r="P93" i="26"/>
  <c r="H92" i="26"/>
  <c r="Q92" i="26"/>
  <c r="E92" i="26"/>
  <c r="R93" i="26"/>
  <c r="G93" i="26"/>
  <c r="K92" i="26"/>
  <c r="I93" i="26"/>
  <c r="O92" i="26"/>
  <c r="N93" i="26"/>
  <c r="F93" i="26"/>
  <c r="M92" i="26"/>
  <c r="AE92" i="26" l="1"/>
  <c r="Y92" i="26"/>
  <c r="AO93" i="26"/>
  <c r="AU93" i="26" s="1"/>
  <c r="AR93" i="26"/>
  <c r="AX93" i="26" s="1"/>
  <c r="AF92" i="26"/>
  <c r="Z92" i="26"/>
  <c r="AP93" i="26"/>
  <c r="AV93" i="26" s="1"/>
  <c r="AD92" i="26"/>
  <c r="X92" i="26"/>
  <c r="AT93" i="26"/>
  <c r="AZ93" i="26" s="1"/>
  <c r="AB92" i="26"/>
  <c r="V92" i="26"/>
  <c r="AG92" i="26"/>
  <c r="AA92" i="26"/>
  <c r="AC92" i="26"/>
  <c r="W92" i="26"/>
  <c r="AS93" i="26"/>
  <c r="AQ93" i="26"/>
  <c r="AU92" i="26"/>
  <c r="AL91" i="26"/>
  <c r="AM91" i="26"/>
  <c r="AJ91" i="26"/>
  <c r="AN91" i="26"/>
  <c r="AH91" i="26"/>
  <c r="AI91" i="26"/>
  <c r="AK91" i="26"/>
  <c r="B95" i="26"/>
  <c r="C93" i="26"/>
  <c r="P94" i="26"/>
  <c r="I94" i="26"/>
  <c r="R94" i="26"/>
  <c r="F94" i="26"/>
  <c r="M93" i="26"/>
  <c r="E93" i="26"/>
  <c r="J94" i="26"/>
  <c r="N94" i="26"/>
  <c r="S94" i="26"/>
  <c r="K93" i="26"/>
  <c r="D94" i="26"/>
  <c r="O93" i="26"/>
  <c r="H93" i="26"/>
  <c r="L94" i="26"/>
  <c r="Q93" i="26"/>
  <c r="G94" i="26"/>
  <c r="AG93" i="26" l="1"/>
  <c r="AA93" i="26"/>
  <c r="AQ94" i="26"/>
  <c r="AW94" i="26" s="1"/>
  <c r="AC93" i="26"/>
  <c r="W93" i="26"/>
  <c r="AF93" i="26"/>
  <c r="Z93" i="26"/>
  <c r="AD93" i="26"/>
  <c r="X93" i="26"/>
  <c r="AR94" i="26"/>
  <c r="AX94" i="26" s="1"/>
  <c r="AB93" i="26"/>
  <c r="V93" i="26"/>
  <c r="AE93" i="26"/>
  <c r="Y93" i="26"/>
  <c r="AO94" i="26"/>
  <c r="AU94" i="26" s="1"/>
  <c r="AT94" i="26"/>
  <c r="AZ94" i="26" s="1"/>
  <c r="AP94" i="26"/>
  <c r="AV94" i="26" s="1"/>
  <c r="AS94" i="26"/>
  <c r="AY94" i="26" s="1"/>
  <c r="AW93" i="26"/>
  <c r="AK92" i="26"/>
  <c r="AY93" i="26"/>
  <c r="AJ92" i="26"/>
  <c r="AN92" i="26"/>
  <c r="AH92" i="26"/>
  <c r="AI92" i="26"/>
  <c r="AM92" i="26"/>
  <c r="AL92" i="26"/>
  <c r="B96" i="26"/>
  <c r="C94" i="26"/>
  <c r="S96" i="26"/>
  <c r="P96" i="26"/>
  <c r="D96" i="26"/>
  <c r="R96" i="26"/>
  <c r="J96" i="26"/>
  <c r="M94" i="26"/>
  <c r="L95" i="26"/>
  <c r="E94" i="26"/>
  <c r="H94" i="26"/>
  <c r="N95" i="26"/>
  <c r="G95" i="26"/>
  <c r="R95" i="26"/>
  <c r="F95" i="26"/>
  <c r="G96" i="26"/>
  <c r="L96" i="26"/>
  <c r="I96" i="26"/>
  <c r="N96" i="26"/>
  <c r="F96" i="26"/>
  <c r="K94" i="26"/>
  <c r="P95" i="26"/>
  <c r="Q94" i="26"/>
  <c r="I95" i="26"/>
  <c r="S95" i="26"/>
  <c r="O94" i="26"/>
  <c r="D95" i="26"/>
  <c r="J95" i="26"/>
  <c r="AF94" i="26" l="1"/>
  <c r="Z94" i="26"/>
  <c r="AP95" i="26"/>
  <c r="AV95" i="26" s="1"/>
  <c r="AG94" i="26"/>
  <c r="AA94" i="26"/>
  <c r="AS95" i="26"/>
  <c r="AD94" i="26"/>
  <c r="X94" i="26"/>
  <c r="AO96" i="26"/>
  <c r="AR96" i="26"/>
  <c r="AP96" i="26"/>
  <c r="AV96" i="26" s="1"/>
  <c r="AQ96" i="26"/>
  <c r="AO95" i="26"/>
  <c r="AU95" i="26" s="1"/>
  <c r="AT95" i="26"/>
  <c r="AZ95" i="26" s="1"/>
  <c r="AR95" i="26"/>
  <c r="AX95" i="26" s="1"/>
  <c r="AC94" i="26"/>
  <c r="W94" i="26"/>
  <c r="AB94" i="26"/>
  <c r="V94" i="26"/>
  <c r="AQ95" i="26"/>
  <c r="AW95" i="26" s="1"/>
  <c r="AE94" i="26"/>
  <c r="Y94" i="26"/>
  <c r="AT96" i="26"/>
  <c r="AS96" i="26"/>
  <c r="AK93" i="26"/>
  <c r="AM93" i="26"/>
  <c r="AJ93" i="26"/>
  <c r="AL93" i="26"/>
  <c r="AH93" i="26"/>
  <c r="AI93" i="26"/>
  <c r="AN93" i="26"/>
  <c r="C96" i="26"/>
  <c r="B97" i="26"/>
  <c r="O1" i="26" s="1"/>
  <c r="C95" i="26"/>
  <c r="L97" i="26"/>
  <c r="I97" i="26"/>
  <c r="R97" i="26"/>
  <c r="S97" i="26"/>
  <c r="N97" i="26"/>
  <c r="Q95" i="26"/>
  <c r="K95" i="26"/>
  <c r="O95" i="26"/>
  <c r="E96" i="26"/>
  <c r="M96" i="26"/>
  <c r="H96" i="26"/>
  <c r="K96" i="26"/>
  <c r="Q96" i="26"/>
  <c r="O96" i="26"/>
  <c r="F97" i="26"/>
  <c r="P97" i="26"/>
  <c r="D97" i="26"/>
  <c r="J97" i="26"/>
  <c r="G97" i="26"/>
  <c r="E95" i="26"/>
  <c r="M95" i="26"/>
  <c r="H95" i="26"/>
  <c r="AC95" i="26" l="1"/>
  <c r="W95" i="26"/>
  <c r="AE95" i="26"/>
  <c r="Y95" i="26"/>
  <c r="AB95" i="26"/>
  <c r="V95" i="26"/>
  <c r="AS97" i="26"/>
  <c r="AY97" i="26" s="1"/>
  <c r="AO97" i="26"/>
  <c r="AU97" i="26" s="1"/>
  <c r="AF96" i="26"/>
  <c r="Z96" i="26"/>
  <c r="AG96" i="26"/>
  <c r="AA96" i="26"/>
  <c r="AD96" i="26"/>
  <c r="X96" i="26"/>
  <c r="AC96" i="26"/>
  <c r="W96" i="26"/>
  <c r="AE96" i="26"/>
  <c r="Y96" i="26"/>
  <c r="AB96" i="26"/>
  <c r="V96" i="26"/>
  <c r="AF95" i="26"/>
  <c r="Z95" i="26"/>
  <c r="AD95" i="26"/>
  <c r="X95" i="26"/>
  <c r="AG95" i="26"/>
  <c r="AA95" i="26"/>
  <c r="AR97" i="26"/>
  <c r="AX97" i="26" s="1"/>
  <c r="AT97" i="26"/>
  <c r="AZ97" i="26" s="1"/>
  <c r="AP97" i="26"/>
  <c r="AV97" i="26" s="1"/>
  <c r="AQ97" i="26"/>
  <c r="AW97" i="26" s="1"/>
  <c r="AH94" i="26"/>
  <c r="AI94" i="26"/>
  <c r="AJ94" i="26"/>
  <c r="AY95" i="26"/>
  <c r="AY96" i="26"/>
  <c r="AN94" i="26"/>
  <c r="AZ96" i="26"/>
  <c r="AL94" i="26"/>
  <c r="AW96" i="26"/>
  <c r="AX96" i="26"/>
  <c r="AU96" i="26"/>
  <c r="AK94" i="26"/>
  <c r="AM94" i="26"/>
  <c r="C97" i="26"/>
  <c r="R98" i="26"/>
  <c r="R293" i="26" s="1"/>
  <c r="E8" i="25" s="1"/>
  <c r="N98" i="26"/>
  <c r="N293" i="26" s="1"/>
  <c r="E9" i="25" s="1"/>
  <c r="P98" i="26"/>
  <c r="P293" i="26" s="1"/>
  <c r="E7" i="25" s="1"/>
  <c r="S98" i="26"/>
  <c r="S293" i="26" s="1"/>
  <c r="G98" i="26"/>
  <c r="G293" i="26" s="1"/>
  <c r="I98" i="26"/>
  <c r="I293" i="26" s="1"/>
  <c r="E6" i="25" s="1"/>
  <c r="B10" i="42"/>
  <c r="B11" i="42"/>
  <c r="D98" i="26"/>
  <c r="D293" i="26" s="1"/>
  <c r="B9" i="42"/>
  <c r="J98" i="26"/>
  <c r="J293" i="26" s="1"/>
  <c r="F98" i="26"/>
  <c r="H5" i="42" s="1"/>
  <c r="K5" i="42" s="1"/>
  <c r="M5" i="42" s="1"/>
  <c r="L98" i="26"/>
  <c r="L293" i="26" s="1"/>
  <c r="E10" i="25" s="1"/>
  <c r="Q97" i="26"/>
  <c r="K97" i="26"/>
  <c r="O97" i="26"/>
  <c r="E97" i="26"/>
  <c r="M97" i="26"/>
  <c r="H97" i="26"/>
  <c r="AC97" i="26" l="1"/>
  <c r="W97" i="26"/>
  <c r="AE97" i="26"/>
  <c r="Y97" i="26"/>
  <c r="AB97" i="26"/>
  <c r="V97" i="26"/>
  <c r="AF97" i="26"/>
  <c r="Z97" i="26"/>
  <c r="AD97" i="26"/>
  <c r="X97" i="26"/>
  <c r="AG97" i="26"/>
  <c r="AA97" i="26"/>
  <c r="BF95" i="26"/>
  <c r="AN95" i="26"/>
  <c r="BF93" i="26"/>
  <c r="BF91" i="26"/>
  <c r="BC95" i="26"/>
  <c r="AK95" i="26"/>
  <c r="BC93" i="26"/>
  <c r="BC87" i="26"/>
  <c r="BC90" i="26"/>
  <c r="BC92" i="26"/>
  <c r="BC89" i="26"/>
  <c r="BE95" i="26"/>
  <c r="AM95" i="26"/>
  <c r="BE91" i="26"/>
  <c r="BE87" i="26"/>
  <c r="BE90" i="26"/>
  <c r="BE93" i="26"/>
  <c r="BE89" i="26"/>
  <c r="BE92" i="26"/>
  <c r="AH96" i="26"/>
  <c r="BA96" i="26"/>
  <c r="AI96" i="26"/>
  <c r="BD96" i="26"/>
  <c r="AL96" i="26"/>
  <c r="BB96" i="26"/>
  <c r="AJ96" i="26"/>
  <c r="BC96" i="26"/>
  <c r="AK96" i="26"/>
  <c r="BF96" i="26"/>
  <c r="AN96" i="26"/>
  <c r="BE96" i="26"/>
  <c r="AM96" i="26"/>
  <c r="AH95" i="26"/>
  <c r="BA95" i="26"/>
  <c r="AI95" i="26"/>
  <c r="BA89" i="26"/>
  <c r="BD95" i="26"/>
  <c r="AL95" i="26"/>
  <c r="BD88" i="26"/>
  <c r="BD89" i="26"/>
  <c r="BD93" i="26"/>
  <c r="BD91" i="26"/>
  <c r="BD87" i="26"/>
  <c r="BD90" i="26"/>
  <c r="BB95" i="26"/>
  <c r="AJ95" i="26"/>
  <c r="BB93" i="26"/>
  <c r="BB91" i="26"/>
  <c r="BB87" i="26"/>
  <c r="B7" i="42"/>
  <c r="B8" i="42" s="1"/>
  <c r="H8" i="42"/>
  <c r="K8" i="42" s="1"/>
  <c r="M8" i="42" s="1"/>
  <c r="F293" i="26"/>
  <c r="E5" i="25" s="1"/>
  <c r="K98" i="26"/>
  <c r="X98" i="26" s="1"/>
  <c r="E98" i="26"/>
  <c r="H4" i="42" s="1"/>
  <c r="K4" i="42" s="1"/>
  <c r="H98" i="26"/>
  <c r="H293" i="26" s="1"/>
  <c r="O98" i="26"/>
  <c r="Z98" i="26" s="1"/>
  <c r="M98" i="26"/>
  <c r="Y98" i="26" s="1"/>
  <c r="Q98" i="26"/>
  <c r="Q293" i="26" s="1"/>
  <c r="BB4" i="26"/>
  <c r="BF11" i="26"/>
  <c r="BE11" i="26"/>
  <c r="BE6" i="26"/>
  <c r="BA10" i="26"/>
  <c r="BE4" i="26"/>
  <c r="BA9" i="26"/>
  <c r="BA6" i="26"/>
  <c r="BA8" i="26"/>
  <c r="BA7" i="26"/>
  <c r="BA11" i="26"/>
  <c r="BE5" i="26"/>
  <c r="BE8" i="26"/>
  <c r="BD5" i="26"/>
  <c r="BD6" i="26"/>
  <c r="BB8" i="26"/>
  <c r="BB7" i="26"/>
  <c r="BC4" i="26"/>
  <c r="BC10" i="26"/>
  <c r="BE7" i="26"/>
  <c r="BE9" i="26"/>
  <c r="K293" i="26"/>
  <c r="BA4" i="26"/>
  <c r="BA5" i="26"/>
  <c r="O293" i="26"/>
  <c r="BF4" i="26"/>
  <c r="BF6" i="26"/>
  <c r="BF7" i="26"/>
  <c r="BF8" i="26"/>
  <c r="BF10" i="26"/>
  <c r="BF9" i="26"/>
  <c r="BF5" i="26"/>
  <c r="BF97" i="26" l="1"/>
  <c r="BF25" i="26"/>
  <c r="AN97" i="26"/>
  <c r="BF12" i="26"/>
  <c r="BF24" i="26"/>
  <c r="BF13" i="26"/>
  <c r="BF14" i="26"/>
  <c r="BF16" i="26"/>
  <c r="BF19" i="26"/>
  <c r="BF17" i="26"/>
  <c r="BF15" i="26"/>
  <c r="BF20" i="26"/>
  <c r="BF21" i="26"/>
  <c r="BF18" i="26"/>
  <c r="BF23" i="26"/>
  <c r="BF22" i="26"/>
  <c r="BF26" i="26"/>
  <c r="BF27" i="26"/>
  <c r="BF28" i="26"/>
  <c r="BF29" i="26"/>
  <c r="BF30" i="26"/>
  <c r="BF32" i="26"/>
  <c r="BF31" i="26"/>
  <c r="BF36" i="26"/>
  <c r="BF33" i="26"/>
  <c r="BF39" i="26"/>
  <c r="BF34" i="26"/>
  <c r="BF35" i="26"/>
  <c r="BF40" i="26"/>
  <c r="BF38" i="26"/>
  <c r="BF37" i="26"/>
  <c r="BF41" i="26"/>
  <c r="BF43" i="26"/>
  <c r="BF44" i="26"/>
  <c r="BF42" i="26"/>
  <c r="BF46" i="26"/>
  <c r="BF49" i="26"/>
  <c r="BF48" i="26"/>
  <c r="BF47" i="26"/>
  <c r="BF45" i="26"/>
  <c r="BF51" i="26"/>
  <c r="BF50" i="26"/>
  <c r="BF52" i="26"/>
  <c r="BF53" i="26"/>
  <c r="BF54" i="26"/>
  <c r="BF55" i="26"/>
  <c r="BF56" i="26"/>
  <c r="BF57" i="26"/>
  <c r="BF58" i="26"/>
  <c r="BF59" i="26"/>
  <c r="BF60" i="26"/>
  <c r="BF62" i="26"/>
  <c r="BF61" i="26"/>
  <c r="BF66" i="26"/>
  <c r="BF63" i="26"/>
  <c r="BF65" i="26"/>
  <c r="BF68" i="26"/>
  <c r="BF67" i="26"/>
  <c r="BF69" i="26"/>
  <c r="BF70" i="26"/>
  <c r="BF64" i="26"/>
  <c r="BF71" i="26"/>
  <c r="BF73" i="26"/>
  <c r="BF76" i="26"/>
  <c r="BF75" i="26"/>
  <c r="BF77" i="26"/>
  <c r="BF74" i="26"/>
  <c r="BF79" i="26"/>
  <c r="BF78" i="26"/>
  <c r="BF80" i="26"/>
  <c r="BF72" i="26"/>
  <c r="BF81" i="26"/>
  <c r="BF83" i="26"/>
  <c r="BF82" i="26"/>
  <c r="BF84" i="26"/>
  <c r="BF85" i="26"/>
  <c r="BF90" i="26"/>
  <c r="BF89" i="26"/>
  <c r="BF87" i="26"/>
  <c r="BF94" i="26"/>
  <c r="BF92" i="26"/>
  <c r="BF86" i="26"/>
  <c r="BF88" i="26"/>
  <c r="BC97" i="26"/>
  <c r="BC24" i="26"/>
  <c r="BC25" i="26"/>
  <c r="BC12" i="26"/>
  <c r="AK97" i="26"/>
  <c r="BC13" i="26"/>
  <c r="BC15" i="26"/>
  <c r="BC14" i="26"/>
  <c r="BC16" i="26"/>
  <c r="BC17" i="26"/>
  <c r="BC19" i="26"/>
  <c r="BC18" i="26"/>
  <c r="BC21" i="26"/>
  <c r="BC20" i="26"/>
  <c r="BC23" i="26"/>
  <c r="BC22" i="26"/>
  <c r="BC26" i="26"/>
  <c r="BC28" i="26"/>
  <c r="BC29" i="26"/>
  <c r="BC27" i="26"/>
  <c r="BC30" i="26"/>
  <c r="BC31" i="26"/>
  <c r="BC32" i="26"/>
  <c r="BC36" i="26"/>
  <c r="BC33" i="26"/>
  <c r="BC34" i="26"/>
  <c r="BC35" i="26"/>
  <c r="BC37" i="26"/>
  <c r="BC39" i="26"/>
  <c r="BC38" i="26"/>
  <c r="BC41" i="26"/>
  <c r="BC40" i="26"/>
  <c r="BC44" i="26"/>
  <c r="BC42" i="26"/>
  <c r="BC46" i="26"/>
  <c r="BC45" i="26"/>
  <c r="BC47" i="26"/>
  <c r="BC49" i="26"/>
  <c r="BC48" i="26"/>
  <c r="BC43" i="26"/>
  <c r="BC50" i="26"/>
  <c r="BC51" i="26"/>
  <c r="BC52" i="26"/>
  <c r="BC53" i="26"/>
  <c r="BC55" i="26"/>
  <c r="BC54" i="26"/>
  <c r="BC56" i="26"/>
  <c r="BC57" i="26"/>
  <c r="BC58" i="26"/>
  <c r="BC59" i="26"/>
  <c r="BC60" i="26"/>
  <c r="BC61" i="26"/>
  <c r="BC63" i="26"/>
  <c r="BC62" i="26"/>
  <c r="BC64" i="26"/>
  <c r="BC65" i="26"/>
  <c r="BC66" i="26"/>
  <c r="BC67" i="26"/>
  <c r="BC70" i="26"/>
  <c r="BC68" i="26"/>
  <c r="BC69" i="26"/>
  <c r="BC72" i="26"/>
  <c r="BC73" i="26"/>
  <c r="BC71" i="26"/>
  <c r="BC74" i="26"/>
  <c r="BC75" i="26"/>
  <c r="BC78" i="26"/>
  <c r="BC77" i="26"/>
  <c r="BC76" i="26"/>
  <c r="BC80" i="26"/>
  <c r="BC81" i="26"/>
  <c r="BC82" i="26"/>
  <c r="BC79" i="26"/>
  <c r="BC83" i="26"/>
  <c r="BC84" i="26"/>
  <c r="BC85" i="26"/>
  <c r="BC86" i="26"/>
  <c r="BC91" i="26"/>
  <c r="BC94" i="26"/>
  <c r="BC88" i="26"/>
  <c r="BE97" i="26"/>
  <c r="AM97" i="26"/>
  <c r="BE13" i="26"/>
  <c r="BE24" i="26"/>
  <c r="BE25" i="26"/>
  <c r="BE12" i="26"/>
  <c r="BE14" i="26"/>
  <c r="BE16" i="26"/>
  <c r="BE19" i="26"/>
  <c r="BE15" i="26"/>
  <c r="BE21" i="26"/>
  <c r="BE17" i="26"/>
  <c r="BE20" i="26"/>
  <c r="BE18" i="26"/>
  <c r="BE22" i="26"/>
  <c r="BE23" i="26"/>
  <c r="BE26" i="26"/>
  <c r="BE27" i="26"/>
  <c r="BE28" i="26"/>
  <c r="BE30" i="26"/>
  <c r="BE29" i="26"/>
  <c r="BE31" i="26"/>
  <c r="BE33" i="26"/>
  <c r="BE32" i="26"/>
  <c r="BE36" i="26"/>
  <c r="BE35" i="26"/>
  <c r="BE34" i="26"/>
  <c r="BE41" i="26"/>
  <c r="BE37" i="26"/>
  <c r="BE38" i="26"/>
  <c r="BE39" i="26"/>
  <c r="BE40" i="26"/>
  <c r="BE43" i="26"/>
  <c r="BE42" i="26"/>
  <c r="BE47" i="26"/>
  <c r="BE44" i="26"/>
  <c r="BE45" i="26"/>
  <c r="BE48" i="26"/>
  <c r="BE49" i="26"/>
  <c r="BE46" i="26"/>
  <c r="BE51" i="26"/>
  <c r="BE50" i="26"/>
  <c r="BE53" i="26"/>
  <c r="BE52" i="26"/>
  <c r="BE54" i="26"/>
  <c r="BE55" i="26"/>
  <c r="BE56" i="26"/>
  <c r="BE57" i="26"/>
  <c r="BE58" i="26"/>
  <c r="BE59" i="26"/>
  <c r="BE60" i="26"/>
  <c r="BE62" i="26"/>
  <c r="BE63" i="26"/>
  <c r="BE61" i="26"/>
  <c r="BE65" i="26"/>
  <c r="BE64" i="26"/>
  <c r="BE67" i="26"/>
  <c r="BE66" i="26"/>
  <c r="BE70" i="26"/>
  <c r="BE68" i="26"/>
  <c r="BE72" i="26"/>
  <c r="BE73" i="26"/>
  <c r="BE74" i="26"/>
  <c r="BE69" i="26"/>
  <c r="BE80" i="26"/>
  <c r="BE76" i="26"/>
  <c r="BE75" i="26"/>
  <c r="BE77" i="26"/>
  <c r="BE71" i="26"/>
  <c r="BE78" i="26"/>
  <c r="BE79" i="26"/>
  <c r="BE81" i="26"/>
  <c r="BE82" i="26"/>
  <c r="BE83" i="26"/>
  <c r="BE84" i="26"/>
  <c r="BE85" i="26"/>
  <c r="BE86" i="26"/>
  <c r="BE88" i="26"/>
  <c r="BE94" i="26"/>
  <c r="AH97" i="26"/>
  <c r="BA97" i="26"/>
  <c r="AI97" i="26"/>
  <c r="BA24" i="26"/>
  <c r="BA25" i="26"/>
  <c r="BA13" i="26"/>
  <c r="BA12" i="26"/>
  <c r="BA14" i="26"/>
  <c r="BA15" i="26"/>
  <c r="BA18" i="26"/>
  <c r="BA17" i="26"/>
  <c r="BA19" i="26"/>
  <c r="BA16" i="26"/>
  <c r="BA21" i="26"/>
  <c r="BA22" i="26"/>
  <c r="BA20" i="26"/>
  <c r="BA23" i="26"/>
  <c r="BA26" i="26"/>
  <c r="BA27" i="26"/>
  <c r="BA28" i="26"/>
  <c r="BA30" i="26"/>
  <c r="BA31" i="26"/>
  <c r="BA29" i="26"/>
  <c r="BA32" i="26"/>
  <c r="BA35" i="26"/>
  <c r="BA34" i="26"/>
  <c r="BA33" i="26"/>
  <c r="BA36" i="26"/>
  <c r="BA41" i="26"/>
  <c r="BA40" i="26"/>
  <c r="BA37" i="26"/>
  <c r="BA42" i="26"/>
  <c r="BA38" i="26"/>
  <c r="BA39" i="26"/>
  <c r="BA46" i="26"/>
  <c r="BA45" i="26"/>
  <c r="BA44" i="26"/>
  <c r="BA43" i="26"/>
  <c r="BA49" i="26"/>
  <c r="BA48" i="26"/>
  <c r="BA50" i="26"/>
  <c r="BA47" i="26"/>
  <c r="BA51" i="26"/>
  <c r="BA53" i="26"/>
  <c r="BA52" i="26"/>
  <c r="BA54" i="26"/>
  <c r="BA56" i="26"/>
  <c r="BA55" i="26"/>
  <c r="BA57" i="26"/>
  <c r="BA58" i="26"/>
  <c r="BA59" i="26"/>
  <c r="BA60" i="26"/>
  <c r="BA62" i="26"/>
  <c r="BA61" i="26"/>
  <c r="BA63" i="26"/>
  <c r="BA64" i="26"/>
  <c r="BA66" i="26"/>
  <c r="BA65" i="26"/>
  <c r="BA67" i="26"/>
  <c r="BA70" i="26"/>
  <c r="BA71" i="26"/>
  <c r="BA69" i="26"/>
  <c r="BA68" i="26"/>
  <c r="BA72" i="26"/>
  <c r="BA74" i="26"/>
  <c r="BA73" i="26"/>
  <c r="BA76" i="26"/>
  <c r="BA75" i="26"/>
  <c r="BA77" i="26"/>
  <c r="BA78" i="26"/>
  <c r="BA79" i="26"/>
  <c r="BA81" i="26"/>
  <c r="BA80" i="26"/>
  <c r="BA83" i="26"/>
  <c r="BA82" i="26"/>
  <c r="BA84" i="26"/>
  <c r="BA86" i="26"/>
  <c r="BA85" i="26"/>
  <c r="BA94" i="26"/>
  <c r="BA90" i="26"/>
  <c r="BA87" i="26"/>
  <c r="BA92" i="26"/>
  <c r="BA91" i="26"/>
  <c r="BA93" i="26"/>
  <c r="BA88" i="26"/>
  <c r="BD97" i="26"/>
  <c r="BD24" i="26"/>
  <c r="AL97" i="26"/>
  <c r="BD12" i="26"/>
  <c r="BD25" i="26"/>
  <c r="BD15" i="26"/>
  <c r="BD13" i="26"/>
  <c r="BD16" i="26"/>
  <c r="BD14" i="26"/>
  <c r="BD19" i="26"/>
  <c r="BD20" i="26"/>
  <c r="BD17" i="26"/>
  <c r="BD18" i="26"/>
  <c r="BD21" i="26"/>
  <c r="BD22" i="26"/>
  <c r="BD23" i="26"/>
  <c r="BD28" i="26"/>
  <c r="BD26" i="26"/>
  <c r="BD27" i="26"/>
  <c r="BD29" i="26"/>
  <c r="BD32" i="26"/>
  <c r="BD30" i="26"/>
  <c r="BD31" i="26"/>
  <c r="BD33" i="26"/>
  <c r="BD34" i="26"/>
  <c r="BD35" i="26"/>
  <c r="BD39" i="26"/>
  <c r="BD36" i="26"/>
  <c r="BD41" i="26"/>
  <c r="BD38" i="26"/>
  <c r="BD40" i="26"/>
  <c r="BD37" i="26"/>
  <c r="BD42" i="26"/>
  <c r="BD45" i="26"/>
  <c r="BD46" i="26"/>
  <c r="BD44" i="26"/>
  <c r="BD43" i="26"/>
  <c r="BD49" i="26"/>
  <c r="BD47" i="26"/>
  <c r="BD48" i="26"/>
  <c r="BD50" i="26"/>
  <c r="BD51" i="26"/>
  <c r="BD52" i="26"/>
  <c r="BD53" i="26"/>
  <c r="BD54" i="26"/>
  <c r="BD56" i="26"/>
  <c r="BD57" i="26"/>
  <c r="BD59" i="26"/>
  <c r="BD58" i="26"/>
  <c r="BD61" i="26"/>
  <c r="BD60" i="26"/>
  <c r="BD63" i="26"/>
  <c r="BD62" i="26"/>
  <c r="BD64" i="26"/>
  <c r="BD66" i="26"/>
  <c r="BD65" i="26"/>
  <c r="BD67" i="26"/>
  <c r="BD70" i="26"/>
  <c r="BD68" i="26"/>
  <c r="BD69" i="26"/>
  <c r="BD74" i="26"/>
  <c r="BD73" i="26"/>
  <c r="BD72" i="26"/>
  <c r="BD71" i="26"/>
  <c r="BD75" i="26"/>
  <c r="BD76" i="26"/>
  <c r="BD78" i="26"/>
  <c r="BD77" i="26"/>
  <c r="BD79" i="26"/>
  <c r="BD80" i="26"/>
  <c r="BD81" i="26"/>
  <c r="BD55" i="26"/>
  <c r="BD82" i="26"/>
  <c r="BD83" i="26"/>
  <c r="BD84" i="26"/>
  <c r="BD85" i="26"/>
  <c r="BD94" i="26"/>
  <c r="BD92" i="26"/>
  <c r="BD86" i="26"/>
  <c r="BB97" i="26"/>
  <c r="AJ97" i="26"/>
  <c r="BB24" i="26"/>
  <c r="BB25" i="26"/>
  <c r="BB12" i="26"/>
  <c r="BB13" i="26"/>
  <c r="BB14" i="26"/>
  <c r="BB15" i="26"/>
  <c r="BB16" i="26"/>
  <c r="BB17" i="26"/>
  <c r="BB19" i="26"/>
  <c r="BB18" i="26"/>
  <c r="BB21" i="26"/>
  <c r="BB20" i="26"/>
  <c r="BB23" i="26"/>
  <c r="BB22" i="26"/>
  <c r="BB26" i="26"/>
  <c r="BB28" i="26"/>
  <c r="BB27" i="26"/>
  <c r="BB31" i="26"/>
  <c r="BB30" i="26"/>
  <c r="BB29" i="26"/>
  <c r="BB34" i="26"/>
  <c r="BB33" i="26"/>
  <c r="BB32" i="26"/>
  <c r="BB37" i="26"/>
  <c r="BB38" i="26"/>
  <c r="BB35" i="26"/>
  <c r="BB36" i="26"/>
  <c r="BB39" i="26"/>
  <c r="BB42" i="26"/>
  <c r="BB41" i="26"/>
  <c r="BB40" i="26"/>
  <c r="BB44" i="26"/>
  <c r="BB43" i="26"/>
  <c r="BB45" i="26"/>
  <c r="BB46" i="26"/>
  <c r="BB50" i="26"/>
  <c r="BB48" i="26"/>
  <c r="BB47" i="26"/>
  <c r="BB49" i="26"/>
  <c r="BB52" i="26"/>
  <c r="BB51" i="26"/>
  <c r="BB53" i="26"/>
  <c r="BB54" i="26"/>
  <c r="BB55" i="26"/>
  <c r="BB56" i="26"/>
  <c r="BB58" i="26"/>
  <c r="BB57" i="26"/>
  <c r="BB59" i="26"/>
  <c r="BB60" i="26"/>
  <c r="BB61" i="26"/>
  <c r="BB63" i="26"/>
  <c r="BB66" i="26"/>
  <c r="BB64" i="26"/>
  <c r="BB65" i="26"/>
  <c r="BB68" i="26"/>
  <c r="BB67" i="26"/>
  <c r="BB62" i="26"/>
  <c r="BB71" i="26"/>
  <c r="BB70" i="26"/>
  <c r="BB72" i="26"/>
  <c r="BB69" i="26"/>
  <c r="BB73" i="26"/>
  <c r="BB74" i="26"/>
  <c r="BB75" i="26"/>
  <c r="BB77" i="26"/>
  <c r="BB78" i="26"/>
  <c r="BB79" i="26"/>
  <c r="BB76" i="26"/>
  <c r="BB80" i="26"/>
  <c r="BB81" i="26"/>
  <c r="BB82" i="26"/>
  <c r="BB83" i="26"/>
  <c r="BB84" i="26"/>
  <c r="BB85" i="26"/>
  <c r="BB86" i="26"/>
  <c r="BB94" i="26"/>
  <c r="BB90" i="26"/>
  <c r="BB92" i="26"/>
  <c r="BB89" i="26"/>
  <c r="BB88" i="26"/>
  <c r="BG12" i="26"/>
  <c r="BG16" i="26"/>
  <c r="BG14" i="26"/>
  <c r="BG26" i="26"/>
  <c r="BG29" i="26"/>
  <c r="BG31" i="26"/>
  <c r="BG33" i="26"/>
  <c r="BG34" i="26"/>
  <c r="BG36" i="26"/>
  <c r="BG24" i="26"/>
  <c r="BG13" i="26"/>
  <c r="BG21" i="26"/>
  <c r="BG19" i="26"/>
  <c r="BG41" i="26"/>
  <c r="BG47" i="26"/>
  <c r="BG23" i="26"/>
  <c r="BG43" i="26"/>
  <c r="BG53" i="26"/>
  <c r="BG55" i="26"/>
  <c r="BG57" i="26"/>
  <c r="BG59" i="26"/>
  <c r="BG61" i="26"/>
  <c r="BG63" i="26"/>
  <c r="BG65" i="26"/>
  <c r="BG67" i="26"/>
  <c r="BG69" i="26"/>
  <c r="BG71" i="26"/>
  <c r="BG73" i="26"/>
  <c r="BG75" i="26"/>
  <c r="BG77" i="26"/>
  <c r="BG38" i="26"/>
  <c r="BG40" i="26"/>
  <c r="BG50" i="26"/>
  <c r="BG42" i="26"/>
  <c r="BG79" i="26"/>
  <c r="BG87" i="26"/>
  <c r="BG95" i="26"/>
  <c r="BG86" i="26"/>
  <c r="BG81" i="26"/>
  <c r="BG89" i="26"/>
  <c r="BG97" i="26"/>
  <c r="BG84" i="26"/>
  <c r="BG92" i="26"/>
  <c r="BG90" i="26"/>
  <c r="BL17" i="26"/>
  <c r="BL22" i="26"/>
  <c r="BL24" i="26"/>
  <c r="BL15" i="26"/>
  <c r="BL26" i="26"/>
  <c r="BL33" i="26"/>
  <c r="BL18" i="26"/>
  <c r="BL30" i="26"/>
  <c r="BL12" i="26"/>
  <c r="BL20" i="26"/>
  <c r="BL36" i="26"/>
  <c r="BL39" i="26"/>
  <c r="BL41" i="26"/>
  <c r="BL43" i="26"/>
  <c r="BL45" i="26"/>
  <c r="BL47" i="26"/>
  <c r="BL49" i="26"/>
  <c r="BL51" i="26"/>
  <c r="BL53" i="26"/>
  <c r="BL35" i="26"/>
  <c r="BL54" i="26"/>
  <c r="BL62" i="26"/>
  <c r="BL71" i="26"/>
  <c r="BL57" i="26"/>
  <c r="BL56" i="26"/>
  <c r="BL64" i="26"/>
  <c r="BL69" i="26"/>
  <c r="BL77" i="26"/>
  <c r="BL80" i="26"/>
  <c r="BL82" i="26"/>
  <c r="BL84" i="26"/>
  <c r="BL86" i="26"/>
  <c r="BL88" i="26"/>
  <c r="BL90" i="26"/>
  <c r="BL92" i="26"/>
  <c r="BL94" i="26"/>
  <c r="BL96" i="26"/>
  <c r="BL61" i="26"/>
  <c r="BL78" i="26"/>
  <c r="BL67" i="26"/>
  <c r="BL63" i="26"/>
  <c r="BL55" i="26"/>
  <c r="BL72" i="26"/>
  <c r="H7" i="42"/>
  <c r="K7" i="42" s="1"/>
  <c r="AA98" i="26"/>
  <c r="BH4" i="26"/>
  <c r="E293" i="26"/>
  <c r="C5" i="25" s="1"/>
  <c r="M293" i="26"/>
  <c r="C9" i="25" s="1"/>
  <c r="BC9" i="26"/>
  <c r="BB5" i="26"/>
  <c r="BB9" i="26"/>
  <c r="V98" i="26"/>
  <c r="BD11" i="26"/>
  <c r="BD10" i="26"/>
  <c r="W98" i="26"/>
  <c r="BC11" i="26"/>
  <c r="BC8" i="26"/>
  <c r="BD8" i="26"/>
  <c r="BD4" i="26"/>
  <c r="BD7" i="26"/>
  <c r="BB6" i="26"/>
  <c r="BC5" i="26"/>
  <c r="BC7" i="26"/>
  <c r="BC6" i="26"/>
  <c r="BD9" i="26"/>
  <c r="BB11" i="26"/>
  <c r="BB10" i="26"/>
  <c r="BE10" i="26"/>
  <c r="BK6" i="26"/>
  <c r="BK7" i="26"/>
  <c r="BK4" i="26"/>
  <c r="X293" i="26"/>
  <c r="C10" i="25"/>
  <c r="C8" i="25"/>
  <c r="AA293" i="26"/>
  <c r="BK8" i="26"/>
  <c r="BK9" i="26"/>
  <c r="BL11" i="26"/>
  <c r="BL9" i="26"/>
  <c r="BL6" i="26"/>
  <c r="BL5" i="26"/>
  <c r="BL4" i="26"/>
  <c r="BL8" i="26"/>
  <c r="BL7" i="26"/>
  <c r="BL10" i="26"/>
  <c r="BG4" i="26"/>
  <c r="BG5" i="26"/>
  <c r="BG7" i="26"/>
  <c r="BG11" i="26"/>
  <c r="BG6" i="26"/>
  <c r="BG8" i="26"/>
  <c r="BG10" i="26"/>
  <c r="BG9" i="26"/>
  <c r="Y293" i="26"/>
  <c r="BK5" i="26"/>
  <c r="BI4" i="26"/>
  <c r="Z293" i="26"/>
  <c r="C7" i="25"/>
  <c r="V293" i="26"/>
  <c r="W293" i="26"/>
  <c r="C6" i="25"/>
  <c r="BG20" i="26" l="1"/>
  <c r="BL13" i="26"/>
  <c r="BK16" i="26"/>
  <c r="BI13" i="26"/>
  <c r="BH19" i="26"/>
  <c r="BL65" i="26"/>
  <c r="BL74" i="26"/>
  <c r="BL76" i="26"/>
  <c r="BL59" i="26"/>
  <c r="BL70" i="26"/>
  <c r="BL97" i="26"/>
  <c r="BL95" i="26"/>
  <c r="BL93" i="26"/>
  <c r="BL91" i="26"/>
  <c r="BL89" i="26"/>
  <c r="BL87" i="26"/>
  <c r="BL85" i="26"/>
  <c r="BL83" i="26"/>
  <c r="BL81" i="26"/>
  <c r="BL79" i="26"/>
  <c r="BL73" i="26"/>
  <c r="BL68" i="26"/>
  <c r="BL60" i="26"/>
  <c r="BL31" i="26"/>
  <c r="BL75" i="26"/>
  <c r="BL66" i="26"/>
  <c r="BL58" i="26"/>
  <c r="BL37" i="26"/>
  <c r="BL32" i="26"/>
  <c r="BL52" i="26"/>
  <c r="BL50" i="26"/>
  <c r="BL48" i="26"/>
  <c r="BL46" i="26"/>
  <c r="BL44" i="26"/>
  <c r="BL42" i="26"/>
  <c r="BL40" i="26"/>
  <c r="BL38" i="26"/>
  <c r="BL27" i="26"/>
  <c r="BL16" i="26"/>
  <c r="BL34" i="26"/>
  <c r="BL28" i="26"/>
  <c r="BL14" i="26"/>
  <c r="BL29" i="26"/>
  <c r="BL19" i="26"/>
  <c r="BL25" i="26"/>
  <c r="BL23" i="26"/>
  <c r="BL21" i="26"/>
  <c r="BG96" i="26"/>
  <c r="BG88" i="26"/>
  <c r="BG80" i="26"/>
  <c r="BG93" i="26"/>
  <c r="BG85" i="26"/>
  <c r="BG94" i="26"/>
  <c r="BG82" i="26"/>
  <c r="BG91" i="26"/>
  <c r="BG83" i="26"/>
  <c r="BG44" i="26"/>
  <c r="BG52" i="26"/>
  <c r="BG48" i="26"/>
  <c r="BG46" i="26"/>
  <c r="BG78" i="26"/>
  <c r="BG76" i="26"/>
  <c r="BG74" i="26"/>
  <c r="BG72" i="26"/>
  <c r="BG70" i="26"/>
  <c r="BG68" i="26"/>
  <c r="BG66" i="26"/>
  <c r="BG64" i="26"/>
  <c r="BG62" i="26"/>
  <c r="BG60" i="26"/>
  <c r="BG58" i="26"/>
  <c r="BG56" i="26"/>
  <c r="BG54" i="26"/>
  <c r="BG49" i="26"/>
  <c r="BG39" i="26"/>
  <c r="BG51" i="26"/>
  <c r="BG45" i="26"/>
  <c r="BG25" i="26"/>
  <c r="BG15" i="26"/>
  <c r="BG17" i="26"/>
  <c r="BG27" i="26"/>
  <c r="BG37" i="26"/>
  <c r="BG35" i="26"/>
  <c r="BG22" i="26"/>
  <c r="BG32" i="26"/>
  <c r="BG30" i="26"/>
  <c r="BG28" i="26"/>
  <c r="BG18" i="26"/>
  <c r="BH69" i="26"/>
  <c r="BH73" i="26"/>
  <c r="BH67" i="26"/>
  <c r="BH96" i="26"/>
  <c r="BH92" i="26"/>
  <c r="BH88" i="26"/>
  <c r="BH84" i="26"/>
  <c r="BH80" i="26"/>
  <c r="BH66" i="26"/>
  <c r="BH36" i="26"/>
  <c r="BH74" i="26"/>
  <c r="BH60" i="26"/>
  <c r="BH31" i="26"/>
  <c r="BH50" i="26"/>
  <c r="BH46" i="26"/>
  <c r="BH42" i="26"/>
  <c r="BH38" i="26"/>
  <c r="BH37" i="26"/>
  <c r="BH32" i="26"/>
  <c r="BH25" i="26"/>
  <c r="BH21" i="26"/>
  <c r="BH15" i="26"/>
  <c r="BK90" i="26"/>
  <c r="BK91" i="26"/>
  <c r="BK92" i="26"/>
  <c r="BK93" i="26"/>
  <c r="BK47" i="26"/>
  <c r="BK49" i="26"/>
  <c r="BK38" i="26"/>
  <c r="BK76" i="26"/>
  <c r="BK72" i="26"/>
  <c r="BK68" i="26"/>
  <c r="BK64" i="26"/>
  <c r="BK60" i="26"/>
  <c r="BK56" i="26"/>
  <c r="BK45" i="26"/>
  <c r="BK43" i="26"/>
  <c r="BK23" i="26"/>
  <c r="BK36" i="26"/>
  <c r="BK25" i="26"/>
  <c r="BK33" i="26"/>
  <c r="BK29" i="26"/>
  <c r="BK12" i="26"/>
  <c r="BI97" i="26"/>
  <c r="BI81" i="26"/>
  <c r="BI90" i="26"/>
  <c r="BI95" i="26"/>
  <c r="BI74" i="26"/>
  <c r="BI84" i="26"/>
  <c r="BI35" i="26"/>
  <c r="BI41" i="26"/>
  <c r="BI39" i="26"/>
  <c r="BI69" i="26"/>
  <c r="BI48" i="26"/>
  <c r="BI67" i="26"/>
  <c r="BI63" i="26"/>
  <c r="BI59" i="26"/>
  <c r="BI55" i="26"/>
  <c r="BI42" i="26"/>
  <c r="BI34" i="26"/>
  <c r="BI31" i="26"/>
  <c r="BI24" i="26"/>
  <c r="BI20" i="26"/>
  <c r="BI16" i="26"/>
  <c r="BI12" i="26"/>
  <c r="BH61" i="26"/>
  <c r="BH63" i="26"/>
  <c r="BH29" i="26"/>
  <c r="BH95" i="26"/>
  <c r="BH91" i="26"/>
  <c r="BH87" i="26"/>
  <c r="BH83" i="26"/>
  <c r="BH79" i="26"/>
  <c r="BH62" i="26"/>
  <c r="BH59" i="26"/>
  <c r="BH70" i="26"/>
  <c r="BH56" i="26"/>
  <c r="BH53" i="26"/>
  <c r="BH49" i="26"/>
  <c r="BH45" i="26"/>
  <c r="BH41" i="26"/>
  <c r="BH35" i="26"/>
  <c r="BH20" i="26"/>
  <c r="BH28" i="26"/>
  <c r="BH24" i="26"/>
  <c r="BH17" i="26"/>
  <c r="BK96" i="26"/>
  <c r="BK86" i="26"/>
  <c r="BK87" i="26"/>
  <c r="BK84" i="26"/>
  <c r="BK89" i="26"/>
  <c r="BK42" i="26"/>
  <c r="BK40" i="26"/>
  <c r="BK44" i="26"/>
  <c r="BK75" i="26"/>
  <c r="BK71" i="26"/>
  <c r="BK67" i="26"/>
  <c r="BK63" i="26"/>
  <c r="BK59" i="26"/>
  <c r="BK55" i="26"/>
  <c r="BK41" i="26"/>
  <c r="BK39" i="26"/>
  <c r="BK19" i="26"/>
  <c r="BK35" i="26"/>
  <c r="BK21" i="26"/>
  <c r="BK32" i="26"/>
  <c r="BK28" i="26"/>
  <c r="BK18" i="26"/>
  <c r="BI93" i="26"/>
  <c r="BI78" i="26"/>
  <c r="BI86" i="26"/>
  <c r="BI87" i="26"/>
  <c r="BI96" i="26"/>
  <c r="BI80" i="26"/>
  <c r="BI75" i="26"/>
  <c r="BI53" i="26"/>
  <c r="BI37" i="26"/>
  <c r="BI45" i="26"/>
  <c r="BI44" i="26"/>
  <c r="BI66" i="26"/>
  <c r="BI62" i="26"/>
  <c r="BI58" i="26"/>
  <c r="BI54" i="26"/>
  <c r="BI38" i="26"/>
  <c r="BI29" i="26"/>
  <c r="BI27" i="26"/>
  <c r="BI23" i="26"/>
  <c r="BI19" i="26"/>
  <c r="BI15" i="26"/>
  <c r="BH71" i="26"/>
  <c r="BH57" i="26"/>
  <c r="BH26" i="26"/>
  <c r="BH94" i="26"/>
  <c r="BH90" i="26"/>
  <c r="BH86" i="26"/>
  <c r="BH82" i="26"/>
  <c r="BH76" i="26"/>
  <c r="BH58" i="26"/>
  <c r="BH55" i="26"/>
  <c r="BH68" i="26"/>
  <c r="BH34" i="26"/>
  <c r="BH52" i="26"/>
  <c r="BH48" i="26"/>
  <c r="BH44" i="26"/>
  <c r="BH40" i="26"/>
  <c r="BH33" i="26"/>
  <c r="BH16" i="26"/>
  <c r="BH18" i="26"/>
  <c r="BH23" i="26"/>
  <c r="BH13" i="26"/>
  <c r="BK88" i="26"/>
  <c r="BK82" i="26"/>
  <c r="BK83" i="26"/>
  <c r="BK80" i="26"/>
  <c r="BK85" i="26"/>
  <c r="BK53" i="26"/>
  <c r="BK24" i="26"/>
  <c r="BK78" i="26"/>
  <c r="BK74" i="26"/>
  <c r="BK70" i="26"/>
  <c r="BK66" i="26"/>
  <c r="BK62" i="26"/>
  <c r="BK58" i="26"/>
  <c r="BK54" i="26"/>
  <c r="BK52" i="26"/>
  <c r="BK22" i="26"/>
  <c r="BK15" i="26"/>
  <c r="BK34" i="26"/>
  <c r="BK17" i="26"/>
  <c r="BK31" i="26"/>
  <c r="BK20" i="26"/>
  <c r="BK14" i="26"/>
  <c r="BI89" i="26"/>
  <c r="BI70" i="26"/>
  <c r="BI82" i="26"/>
  <c r="BI83" i="26"/>
  <c r="BI92" i="26"/>
  <c r="BI76" i="26"/>
  <c r="BI71" i="26"/>
  <c r="BI51" i="26"/>
  <c r="BI77" i="26"/>
  <c r="BI32" i="26"/>
  <c r="BI40" i="26"/>
  <c r="BI65" i="26"/>
  <c r="BI61" i="26"/>
  <c r="BI57" i="26"/>
  <c r="BI50" i="26"/>
  <c r="BI33" i="26"/>
  <c r="BI28" i="26"/>
  <c r="BI26" i="26"/>
  <c r="BI22" i="26"/>
  <c r="BI18" i="26"/>
  <c r="BI14" i="26"/>
  <c r="BJ4" i="26"/>
  <c r="BJ12" i="26"/>
  <c r="BJ13" i="26"/>
  <c r="BJ14" i="26"/>
  <c r="BJ15" i="26"/>
  <c r="BJ16" i="26"/>
  <c r="BJ17" i="26"/>
  <c r="BJ18" i="26"/>
  <c r="BJ19" i="26"/>
  <c r="BJ20" i="26"/>
  <c r="BJ21" i="26"/>
  <c r="BJ22" i="26"/>
  <c r="BJ23" i="26"/>
  <c r="BJ24" i="26"/>
  <c r="BJ25" i="26"/>
  <c r="BJ26" i="26"/>
  <c r="BJ27" i="26"/>
  <c r="BJ30" i="26"/>
  <c r="BJ31" i="26"/>
  <c r="BJ32" i="26"/>
  <c r="BJ33" i="26"/>
  <c r="BJ35" i="26"/>
  <c r="BJ38" i="26"/>
  <c r="BJ39" i="26"/>
  <c r="BJ40" i="26"/>
  <c r="BJ41" i="26"/>
  <c r="BJ42" i="26"/>
  <c r="BJ43" i="26"/>
  <c r="BJ44" i="26"/>
  <c r="BJ45" i="26"/>
  <c r="BJ46" i="26"/>
  <c r="BJ37" i="26"/>
  <c r="BJ34" i="26"/>
  <c r="BJ36" i="26"/>
  <c r="BJ49" i="26"/>
  <c r="BJ53" i="26"/>
  <c r="BJ28" i="26"/>
  <c r="BJ29" i="26"/>
  <c r="BJ47" i="26"/>
  <c r="BJ51" i="26"/>
  <c r="BJ57" i="26"/>
  <c r="BJ61" i="26"/>
  <c r="BJ65" i="26"/>
  <c r="BJ72" i="26"/>
  <c r="BJ76" i="26"/>
  <c r="BJ79" i="26"/>
  <c r="BJ80" i="26"/>
  <c r="BJ81" i="26"/>
  <c r="BJ82" i="26"/>
  <c r="BJ83" i="26"/>
  <c r="BJ84" i="26"/>
  <c r="BJ85" i="26"/>
  <c r="BJ86" i="26"/>
  <c r="BJ87" i="26"/>
  <c r="BJ88" i="26"/>
  <c r="BJ89" i="26"/>
  <c r="BJ90" i="26"/>
  <c r="BJ91" i="26"/>
  <c r="BJ92" i="26"/>
  <c r="BJ93" i="26"/>
  <c r="BJ94" i="26"/>
  <c r="BJ95" i="26"/>
  <c r="BJ96" i="26"/>
  <c r="BJ97" i="26"/>
  <c r="BJ56" i="26"/>
  <c r="BJ48" i="26"/>
  <c r="BJ50" i="26"/>
  <c r="BJ52" i="26"/>
  <c r="BJ55" i="26"/>
  <c r="BJ59" i="26"/>
  <c r="BJ63" i="26"/>
  <c r="BJ67" i="26"/>
  <c r="BJ70" i="26"/>
  <c r="BJ74" i="26"/>
  <c r="BJ78" i="26"/>
  <c r="BJ66" i="26"/>
  <c r="BJ69" i="26"/>
  <c r="BJ77" i="26"/>
  <c r="BJ54" i="26"/>
  <c r="BJ62" i="26"/>
  <c r="BJ68" i="26"/>
  <c r="BJ75" i="26"/>
  <c r="BJ64" i="26"/>
  <c r="BJ73" i="26"/>
  <c r="BJ58" i="26"/>
  <c r="BJ60" i="26"/>
  <c r="BJ71" i="26"/>
  <c r="BH77" i="26"/>
  <c r="BH65" i="26"/>
  <c r="BH75" i="26"/>
  <c r="BH97" i="26"/>
  <c r="BH93" i="26"/>
  <c r="BH89" i="26"/>
  <c r="BH85" i="26"/>
  <c r="BH81" i="26"/>
  <c r="BH72" i="26"/>
  <c r="BH54" i="26"/>
  <c r="BH78" i="26"/>
  <c r="BH64" i="26"/>
  <c r="BH27" i="26"/>
  <c r="BH51" i="26"/>
  <c r="BH47" i="26"/>
  <c r="BH43" i="26"/>
  <c r="BH39" i="26"/>
  <c r="BH30" i="26"/>
  <c r="BH12" i="26"/>
  <c r="BH14" i="26"/>
  <c r="BH22" i="26"/>
  <c r="BK94" i="26"/>
  <c r="BK95" i="26"/>
  <c r="BK79" i="26"/>
  <c r="BK97" i="26"/>
  <c r="BK81" i="26"/>
  <c r="BK51" i="26"/>
  <c r="BK46" i="26"/>
  <c r="BK77" i="26"/>
  <c r="BK73" i="26"/>
  <c r="BK69" i="26"/>
  <c r="BK65" i="26"/>
  <c r="BK61" i="26"/>
  <c r="BK57" i="26"/>
  <c r="BK50" i="26"/>
  <c r="BK48" i="26"/>
  <c r="BK26" i="26"/>
  <c r="BK37" i="26"/>
  <c r="BK27" i="26"/>
  <c r="BK13" i="26"/>
  <c r="BK30" i="26"/>
  <c r="BI91" i="26"/>
  <c r="BI85" i="26"/>
  <c r="BI94" i="26"/>
  <c r="BI72" i="26"/>
  <c r="BI79" i="26"/>
  <c r="BI88" i="26"/>
  <c r="BI43" i="26"/>
  <c r="BI47" i="26"/>
  <c r="BI49" i="26"/>
  <c r="BI73" i="26"/>
  <c r="BI52" i="26"/>
  <c r="BI68" i="26"/>
  <c r="BI64" i="26"/>
  <c r="BI60" i="26"/>
  <c r="BI56" i="26"/>
  <c r="BI46" i="26"/>
  <c r="BI30" i="26"/>
  <c r="BI36" i="26"/>
  <c r="BI25" i="26"/>
  <c r="BI21" i="26"/>
  <c r="BI17" i="26"/>
  <c r="BK10" i="26"/>
  <c r="BH10" i="26"/>
  <c r="BK11" i="26"/>
  <c r="BJ11" i="26"/>
  <c r="BJ5" i="26"/>
  <c r="BH7" i="26"/>
  <c r="BH11" i="26"/>
  <c r="BJ6" i="26"/>
  <c r="BJ9" i="26"/>
  <c r="BJ7" i="26"/>
  <c r="BH9" i="26"/>
  <c r="BI8" i="26"/>
  <c r="BI5" i="26"/>
  <c r="BI11" i="26"/>
  <c r="BI9" i="26"/>
  <c r="BI7" i="26"/>
  <c r="BI6" i="26"/>
  <c r="BI10" i="26"/>
  <c r="BJ10" i="26"/>
  <c r="BH6" i="26"/>
  <c r="BJ8" i="26"/>
  <c r="BH8" i="26"/>
  <c r="BH5" i="26"/>
</calcChain>
</file>

<file path=xl/comments1.xml><?xml version="1.0" encoding="utf-8"?>
<comments xmlns="http://schemas.openxmlformats.org/spreadsheetml/2006/main">
  <authors>
    <author>J.Smith</author>
  </authors>
  <commentList>
    <comment ref="AB1" authorId="0">
      <text>
        <r>
          <rPr>
            <sz val="8"/>
            <color indexed="81"/>
            <rFont val="Tahoma"/>
            <family val="2"/>
          </rPr>
          <t>Includes recaptures</t>
        </r>
      </text>
    </comment>
    <comment ref="AI1" authorId="0">
      <text>
        <r>
          <rPr>
            <b/>
            <sz val="8"/>
            <color indexed="81"/>
            <rFont val="Tahoma"/>
            <family val="2"/>
          </rPr>
          <t>Includes recaptures</t>
        </r>
      </text>
    </comment>
    <comment ref="BA1" authorId="0">
      <text>
        <r>
          <rPr>
            <sz val="8"/>
            <color indexed="81"/>
            <rFont val="Tahoma"/>
            <family val="2"/>
          </rPr>
          <t>Includes recaptures</t>
        </r>
      </text>
    </comment>
    <comment ref="BG1" authorId="0">
      <text>
        <r>
          <rPr>
            <sz val="8"/>
            <color indexed="81"/>
            <rFont val="Tahoma"/>
            <family val="2"/>
          </rPr>
          <t>Includes recaptures</t>
        </r>
      </text>
    </comment>
  </commentList>
</comments>
</file>

<file path=xl/comments2.xml><?xml version="1.0" encoding="utf-8"?>
<comments xmlns="http://schemas.openxmlformats.org/spreadsheetml/2006/main">
  <authors>
    <author>J.Smith</author>
  </authors>
  <commentList>
    <comment ref="N4" authorId="0">
      <text>
        <r>
          <rPr>
            <b/>
            <sz val="8"/>
            <color indexed="81"/>
            <rFont val="Tahoma"/>
            <family val="2"/>
          </rPr>
          <t>For pivot lookup</t>
        </r>
      </text>
    </comment>
  </commentList>
</comments>
</file>

<file path=xl/sharedStrings.xml><?xml version="1.0" encoding="utf-8"?>
<sst xmlns="http://schemas.openxmlformats.org/spreadsheetml/2006/main" count="63726" uniqueCount="4598">
  <si>
    <t>Jack</t>
  </si>
  <si>
    <t>TotalCM</t>
  </si>
  <si>
    <t>CN</t>
  </si>
  <si>
    <t>Date</t>
  </si>
  <si>
    <t>TotalCO</t>
  </si>
  <si>
    <t>Freq</t>
  </si>
  <si>
    <t>Rotation Speed (RPM)</t>
  </si>
  <si>
    <t>Total</t>
  </si>
  <si>
    <t>SO</t>
  </si>
  <si>
    <t>Hours Operating</t>
  </si>
  <si>
    <t>Recap</t>
  </si>
  <si>
    <t>Sockeye</t>
  </si>
  <si>
    <t>Grand Total</t>
  </si>
  <si>
    <t>Data</t>
  </si>
  <si>
    <t>TotalSO</t>
  </si>
  <si>
    <t>Code</t>
  </si>
  <si>
    <t>FL</t>
  </si>
  <si>
    <t>Sex</t>
  </si>
  <si>
    <t>Round Whitefish</t>
  </si>
  <si>
    <t>Longnose Sucker</t>
  </si>
  <si>
    <t>Dolly Varden</t>
  </si>
  <si>
    <t>Arctic Grayling</t>
  </si>
  <si>
    <t>COHO</t>
  </si>
  <si>
    <t>CHUM</t>
  </si>
  <si>
    <t>PINK</t>
  </si>
  <si>
    <t>SOCKEYE</t>
  </si>
  <si>
    <t>TotalPK</t>
  </si>
  <si>
    <t>No Tag</t>
  </si>
  <si>
    <t>OTHER SPECIES</t>
  </si>
  <si>
    <t>QC1</t>
  </si>
  <si>
    <t>QC2</t>
  </si>
  <si>
    <t>Fishwheel Activity Time</t>
  </si>
  <si>
    <t>SOrad</t>
  </si>
  <si>
    <t>SOno</t>
  </si>
  <si>
    <t>SOjack</t>
  </si>
  <si>
    <t>SOrecap</t>
  </si>
  <si>
    <t>PKrad</t>
  </si>
  <si>
    <t>PKno</t>
  </si>
  <si>
    <t>PKrecap</t>
  </si>
  <si>
    <t>CMrad</t>
  </si>
  <si>
    <t>CMno</t>
  </si>
  <si>
    <t>CMrecap</t>
  </si>
  <si>
    <t>COrad</t>
  </si>
  <si>
    <t>COno</t>
  </si>
  <si>
    <t>COjack</t>
  </si>
  <si>
    <t>COrecap</t>
  </si>
  <si>
    <t>Total Sum of SOrad</t>
  </si>
  <si>
    <t>Total Sum of SOno</t>
  </si>
  <si>
    <t>Total Sum of SOrecap</t>
  </si>
  <si>
    <t>Total Sum of PKrad</t>
  </si>
  <si>
    <t>Total Sum of PKno</t>
  </si>
  <si>
    <t>Total Sum of PKrecap</t>
  </si>
  <si>
    <t>Total Sum of CMrad</t>
  </si>
  <si>
    <t>Total Sum of CMno</t>
  </si>
  <si>
    <t>Total Sum of CMrecap</t>
  </si>
  <si>
    <t>Total Sum of COrad</t>
  </si>
  <si>
    <t>Total Sum of COno</t>
  </si>
  <si>
    <t>Total Sum of COjack</t>
  </si>
  <si>
    <t>Total Sum of COrecap</t>
  </si>
  <si>
    <t>Coho</t>
  </si>
  <si>
    <t>Chum</t>
  </si>
  <si>
    <t>Pink</t>
  </si>
  <si>
    <t>Sockeye Adults Caught</t>
  </si>
  <si>
    <t>Sockeye Adults Radio-tagged</t>
  </si>
  <si>
    <t>Pink Adults Caught</t>
  </si>
  <si>
    <t>Pink Adults Radio-tagged</t>
  </si>
  <si>
    <t>Chum Adults Caught</t>
  </si>
  <si>
    <t>Chum Adults Radio-tagged</t>
  </si>
  <si>
    <t>Coho Adults Caught</t>
  </si>
  <si>
    <t>Coho Adults Radio-tagged</t>
  </si>
  <si>
    <t>PK</t>
  </si>
  <si>
    <t>CM</t>
  </si>
  <si>
    <t>CO</t>
  </si>
  <si>
    <t>MEF</t>
  </si>
  <si>
    <t>Hold Duration (hh:mm)</t>
  </si>
  <si>
    <t>RT</t>
  </si>
  <si>
    <t>Comments</t>
  </si>
  <si>
    <t>Name</t>
  </si>
  <si>
    <t>Frequency</t>
  </si>
  <si>
    <t>kHz</t>
  </si>
  <si>
    <t>Rainbow Trout</t>
  </si>
  <si>
    <t>Burbot</t>
  </si>
  <si>
    <t>Tagger</t>
  </si>
  <si>
    <t>n</t>
  </si>
  <si>
    <t>Lat</t>
  </si>
  <si>
    <t>Long</t>
  </si>
  <si>
    <t>Humpback Whitefish</t>
  </si>
  <si>
    <t>DV</t>
  </si>
  <si>
    <t>RW</t>
  </si>
  <si>
    <t>Other Species</t>
  </si>
  <si>
    <t>HW</t>
  </si>
  <si>
    <t>LS</t>
  </si>
  <si>
    <t>Total Count of FL</t>
  </si>
  <si>
    <t>Species Name</t>
  </si>
  <si>
    <t>Min</t>
  </si>
  <si>
    <t>Max</t>
  </si>
  <si>
    <t>Mean</t>
  </si>
  <si>
    <t>AG</t>
  </si>
  <si>
    <t>Radio</t>
  </si>
  <si>
    <t>Site</t>
  </si>
  <si>
    <t>Crew</t>
  </si>
  <si>
    <t>Start FW</t>
  </si>
  <si>
    <t>Stop FW</t>
  </si>
  <si>
    <t>3 Revs (s)</t>
  </si>
  <si>
    <t>Right Bank</t>
  </si>
  <si>
    <t>Left Bank</t>
  </si>
  <si>
    <t>Initials</t>
  </si>
  <si>
    <t>Active Time (min)</t>
  </si>
  <si>
    <t>Sum of Active Time (min)</t>
  </si>
  <si>
    <t>Sockeye Salmon</t>
  </si>
  <si>
    <t>Pink Salmon</t>
  </si>
  <si>
    <t>Chum Salmon</t>
  </si>
  <si>
    <t>Coho Salmon</t>
  </si>
  <si>
    <t>Source:  Tag&amp;Biosampling tab</t>
  </si>
  <si>
    <t>SpCode</t>
  </si>
  <si>
    <t>Fishwheel Speed (Seconds for 3 Revolutions)</t>
  </si>
  <si>
    <t>Radio Tags Deployed by Species</t>
  </si>
  <si>
    <t>Source:  Tag&amp;Biosample tab</t>
  </si>
  <si>
    <t>Source:  CatchSummary tab</t>
  </si>
  <si>
    <t>Radio Tags Deployed by Frequency and Species</t>
  </si>
  <si>
    <t>Disable</t>
  </si>
  <si>
    <t>Capture (hh:mm)</t>
  </si>
  <si>
    <t>Release (hh:mm)</t>
  </si>
  <si>
    <t>Data to:</t>
  </si>
  <si>
    <t>Capture Location</t>
  </si>
  <si>
    <t>Other Species Caught</t>
  </si>
  <si>
    <t>sockeye</t>
  </si>
  <si>
    <t>pink</t>
  </si>
  <si>
    <t>chum</t>
  </si>
  <si>
    <t>coho</t>
  </si>
  <si>
    <t>(right bank)</t>
  </si>
  <si>
    <t>(left bank)</t>
  </si>
  <si>
    <t>Location</t>
  </si>
  <si>
    <t>Daily Fishing Effort (h)</t>
  </si>
  <si>
    <t>Date (m/d)</t>
  </si>
  <si>
    <t>3 revs (s)</t>
  </si>
  <si>
    <t>Operation</t>
  </si>
  <si>
    <t>Rotational Speed (RPM)</t>
  </si>
  <si>
    <t>Curry</t>
  </si>
  <si>
    <t>FOR LGL's internal use ONLY:</t>
  </si>
  <si>
    <t>Channel</t>
  </si>
  <si>
    <t>Species</t>
  </si>
  <si>
    <t>Process (m:ss)</t>
  </si>
  <si>
    <t>Radio (Y,N)</t>
  </si>
  <si>
    <t>ADFG or LGL designation</t>
  </si>
  <si>
    <t>Fish_No</t>
  </si>
  <si>
    <t>Vial_No</t>
  </si>
  <si>
    <t>Total Count of Species</t>
  </si>
  <si>
    <t>Total Count of Vial_No</t>
  </si>
  <si>
    <t>Count of Channel</t>
  </si>
  <si>
    <t>Site 1</t>
  </si>
  <si>
    <t>Site 2 Total</t>
  </si>
  <si>
    <t>Site 1 Total</t>
  </si>
  <si>
    <t>Site 2</t>
  </si>
  <si>
    <t>Cum. Catch (All Sites)</t>
  </si>
  <si>
    <t>Cum. Radios (All Sites)</t>
  </si>
  <si>
    <t>Total Count of MEF</t>
  </si>
  <si>
    <t>Hold Tank Duration (m:ss)</t>
  </si>
  <si>
    <t>Assistants</t>
  </si>
  <si>
    <t>Capt Meth</t>
  </si>
  <si>
    <t>Life Stage</t>
  </si>
  <si>
    <t>Weight (g)</t>
  </si>
  <si>
    <t>Livetank H2O Temp (C)</t>
  </si>
  <si>
    <t>RT Model</t>
  </si>
  <si>
    <t>PIT Tag Code</t>
  </si>
  <si>
    <t>Start Livetank (hh:mm)</t>
  </si>
  <si>
    <t>Start Heavy Anes</t>
  </si>
  <si>
    <t>Start Surgery</t>
  </si>
  <si>
    <t>Start Recovery</t>
  </si>
  <si>
    <t>Model</t>
  </si>
  <si>
    <t>Form FW1</t>
  </si>
  <si>
    <t>Form FW2</t>
  </si>
  <si>
    <t xml:space="preserve">Salmon Tag Tally Integrity Check </t>
  </si>
  <si>
    <t>CN jack</t>
  </si>
  <si>
    <t>F1835</t>
  </si>
  <si>
    <t>F1840</t>
  </si>
  <si>
    <t>F1845</t>
  </si>
  <si>
    <t>CNj</t>
  </si>
  <si>
    <t>Site 3</t>
  </si>
  <si>
    <t>Site 3 Total</t>
  </si>
  <si>
    <t>Catch (# fish)</t>
  </si>
  <si>
    <t>Tag</t>
  </si>
  <si>
    <t>Time</t>
  </si>
  <si>
    <t>Lon</t>
  </si>
  <si>
    <t>TagSite</t>
  </si>
  <si>
    <t>Chan</t>
  </si>
  <si>
    <t>Power</t>
  </si>
  <si>
    <t>Label</t>
  </si>
  <si>
    <t>Survey</t>
  </si>
  <si>
    <t>TotalObs</t>
  </si>
  <si>
    <t>Mortality Percent</t>
  </si>
  <si>
    <t>Zone_No</t>
  </si>
  <si>
    <t>lookup</t>
  </si>
  <si>
    <t>FW Recap</t>
  </si>
  <si>
    <t>Recap No</t>
  </si>
  <si>
    <t>BU</t>
  </si>
  <si>
    <t>Fishwheel Operations</t>
  </si>
  <si>
    <t>Vel (ft/s)</t>
  </si>
  <si>
    <t>Turb (NTU)</t>
  </si>
  <si>
    <t>TotalCNlg</t>
  </si>
  <si>
    <t>TotalCNsm</t>
  </si>
  <si>
    <t>TotalOther</t>
  </si>
  <si>
    <t>LARGE CHINOOK</t>
  </si>
  <si>
    <r>
      <t>SMALL CHINOOK</t>
    </r>
    <r>
      <rPr>
        <sz val="10"/>
        <rFont val="Times New Roman"/>
        <family val="1"/>
      </rPr>
      <t/>
    </r>
  </si>
  <si>
    <t>Chinook (≥50cm) Radio-tagged</t>
  </si>
  <si>
    <r>
      <t xml:space="preserve">Chinook (≥50cm) Recaps </t>
    </r>
    <r>
      <rPr>
        <b/>
        <vertAlign val="superscript"/>
        <sz val="10"/>
        <color theme="1"/>
        <rFont val="Arial Narrow"/>
        <family val="2"/>
      </rPr>
      <t>a</t>
    </r>
  </si>
  <si>
    <t>Chinook (&lt;50cm) Caught</t>
  </si>
  <si>
    <t>Chinook (&lt;50cm) Radio-tagged</t>
  </si>
  <si>
    <t>Chinook (&lt;50cm) Recaps</t>
  </si>
  <si>
    <t>Catch Summary for Middle River Fishwheels in 2014.</t>
  </si>
  <si>
    <t>Total Sum of CNlgNo</t>
  </si>
  <si>
    <t>Total Sum of CNlgRecap</t>
  </si>
  <si>
    <t>CNlgrad</t>
  </si>
  <si>
    <t>CNlgno</t>
  </si>
  <si>
    <t>CNlgrecap</t>
  </si>
  <si>
    <t>CNsmradio</t>
  </si>
  <si>
    <t>CNsmno</t>
  </si>
  <si>
    <t>CNsmrecap</t>
  </si>
  <si>
    <t>Total Sum of CNlgrad</t>
  </si>
  <si>
    <t>Chinook (small)</t>
  </si>
  <si>
    <t>Chinook (large)</t>
  </si>
  <si>
    <t>Total Sum of CNsmradio</t>
  </si>
  <si>
    <t>Total Sum of CNsmno</t>
  </si>
  <si>
    <t>Total Sum of CNsmrecap</t>
  </si>
  <si>
    <t>Other Species (by site and date)</t>
  </si>
  <si>
    <t>Total Min of FL2</t>
  </si>
  <si>
    <t>Total Max of FL3</t>
  </si>
  <si>
    <t>Total Average of FL4</t>
  </si>
  <si>
    <t>Total Min of MEF2</t>
  </si>
  <si>
    <t>Total Max of MEF3</t>
  </si>
  <si>
    <t>Total Average of MEF4</t>
  </si>
  <si>
    <t>Total Sum of RW</t>
  </si>
  <si>
    <t>Total Sum of HW</t>
  </si>
  <si>
    <t>Total Sum of RT</t>
  </si>
  <si>
    <t>Total Sum of AG</t>
  </si>
  <si>
    <t>Total Sum of LS</t>
  </si>
  <si>
    <t>Total Sum of DV</t>
  </si>
  <si>
    <t>Total Sum of BU</t>
  </si>
  <si>
    <t>Average of 3 Revs (s)</t>
  </si>
  <si>
    <t>Year</t>
  </si>
  <si>
    <t>Radio Tag Frequencies</t>
  </si>
  <si>
    <t>Chinook (≥50cm) Caught</t>
  </si>
  <si>
    <t>Total Sum of TotalOther</t>
  </si>
  <si>
    <t>chinook (large)</t>
  </si>
  <si>
    <t>chinook (small)</t>
  </si>
  <si>
    <t>Total (excluding CNj)</t>
  </si>
  <si>
    <t>CPUE (fish/h)</t>
  </si>
  <si>
    <t>Daily Catch (All Sites)</t>
  </si>
  <si>
    <t>Daily Radios (All Sites)</t>
  </si>
  <si>
    <t>Prop. Catch (All Sites)</t>
  </si>
  <si>
    <t>Cum. Prop. Catch (All Sites)</t>
  </si>
  <si>
    <r>
      <t xml:space="preserve">MEF / Fork Length (cm) </t>
    </r>
    <r>
      <rPr>
        <b/>
        <vertAlign val="superscript"/>
        <sz val="10"/>
        <rFont val="Arial Narrow"/>
        <family val="2"/>
      </rPr>
      <t>a</t>
    </r>
  </si>
  <si>
    <t>Table 1.  Number of fish caught and biosampled at the Middle River fishwheels, 2014.</t>
  </si>
  <si>
    <r>
      <rPr>
        <vertAlign val="superscript"/>
        <sz val="9"/>
        <rFont val="Arial Narrow"/>
        <family val="2"/>
      </rPr>
      <t>a</t>
    </r>
    <r>
      <rPr>
        <sz val="9"/>
        <rFont val="Arial Narrow"/>
        <family val="2"/>
      </rPr>
      <t xml:space="preserve"> Salmon are measured from mid-eye to fork of tail (MEF); other species are fork lengths (FL).</t>
    </r>
  </si>
  <si>
    <r>
      <t>Chinook Salmon (</t>
    </r>
    <r>
      <rPr>
        <sz val="10"/>
        <rFont val="Times New Roman"/>
        <family val="1"/>
      </rPr>
      <t>≥</t>
    </r>
    <r>
      <rPr>
        <sz val="10"/>
        <rFont val="Arial Narrow"/>
        <family val="2"/>
      </rPr>
      <t xml:space="preserve"> 50 cm)</t>
    </r>
  </si>
  <si>
    <t>Chinook Salmon (&lt; 50 cm)</t>
  </si>
  <si>
    <r>
      <t>Catch</t>
    </r>
    <r>
      <rPr>
        <b/>
        <vertAlign val="superscript"/>
        <sz val="10"/>
        <rFont val="Arial Narrow"/>
        <family val="2"/>
      </rPr>
      <t>b</t>
    </r>
  </si>
  <si>
    <t>Figure 4.  Daily catch of adult salmon (including recaptures) at the Middle River fishwheels, 2014.</t>
  </si>
  <si>
    <t>Avg daily effort (h)</t>
  </si>
  <si>
    <t>Min daily effort (h)</t>
  </si>
  <si>
    <t>Max daily effort (h)</t>
  </si>
  <si>
    <t>Available operational time (h)</t>
  </si>
  <si>
    <t>Actual operational time (h)</t>
  </si>
  <si>
    <t>Percent operational (%)</t>
  </si>
  <si>
    <t>Operational Summary</t>
  </si>
  <si>
    <t>Season Start Date/Time</t>
  </si>
  <si>
    <t>Season End Date/Time</t>
  </si>
  <si>
    <t>Radio-</t>
  </si>
  <si>
    <t>tagged</t>
  </si>
  <si>
    <t>-</t>
  </si>
  <si>
    <t>Figure 5.  Daily fishing effort (h) and rotational speed (RPM) for the fishwheels operated near Curry on the Susitna River, 2014.</t>
  </si>
  <si>
    <t>Water Temp (oC)</t>
  </si>
  <si>
    <t>3 spar poles on front, fw ~25 ft from shore &amp; 80 ft u/s ARIS</t>
  </si>
  <si>
    <t>No fish</t>
  </si>
  <si>
    <t>20140606 JSmith</t>
  </si>
  <si>
    <t>Sum of CNsmradio</t>
  </si>
  <si>
    <t>Sum of CNsmno</t>
  </si>
  <si>
    <t>Sum of CNsmrecap</t>
  </si>
  <si>
    <t>Sum of COrad</t>
  </si>
  <si>
    <t>Sum of COno</t>
  </si>
  <si>
    <t>Sum of COrecap</t>
  </si>
  <si>
    <t>Sum of COjack</t>
  </si>
  <si>
    <t>Sum of CMrad</t>
  </si>
  <si>
    <t>Sum of CMno</t>
  </si>
  <si>
    <t>Sum of CMrecap</t>
  </si>
  <si>
    <t>Sum of PKrad</t>
  </si>
  <si>
    <t>Sum of PKno</t>
  </si>
  <si>
    <t>Sum of PKrecap</t>
  </si>
  <si>
    <t>Sum of SOrad</t>
  </si>
  <si>
    <t>Sum of SOno</t>
  </si>
  <si>
    <t>Sum of SOrecap</t>
  </si>
  <si>
    <t>Sum of CNlgrad</t>
  </si>
  <si>
    <t>Sum of CNlgNo</t>
  </si>
  <si>
    <t>Sum of CNlgRecap</t>
  </si>
  <si>
    <t>Sum of RW</t>
  </si>
  <si>
    <t>Sum of HW</t>
  </si>
  <si>
    <t>Sum of RT</t>
  </si>
  <si>
    <t>Sum of AG</t>
  </si>
  <si>
    <t>Sum of LS</t>
  </si>
  <si>
    <t>Sum of DV</t>
  </si>
  <si>
    <t>Sum of BU</t>
  </si>
  <si>
    <t>Sum of TotalOther</t>
  </si>
  <si>
    <t>la,pj</t>
  </si>
  <si>
    <t>as,js</t>
  </si>
  <si>
    <t>js,sj</t>
  </si>
  <si>
    <t>stopped fw @ 16:10, moved inshore 6 ft (now 19 ft from shore), installed lead net, restarted 17:07</t>
  </si>
  <si>
    <t>Adult</t>
  </si>
  <si>
    <t>19:14</t>
  </si>
  <si>
    <t>js,rt,sj,nc</t>
  </si>
  <si>
    <t>20140607 NCollin</t>
  </si>
  <si>
    <t>RT not measured</t>
  </si>
  <si>
    <t>Count of Species</t>
  </si>
  <si>
    <t>Count of Vial_No</t>
  </si>
  <si>
    <t>Count of MEF</t>
  </si>
  <si>
    <t>Count of FL</t>
  </si>
  <si>
    <t>Min of FL2</t>
  </si>
  <si>
    <t>Max of FL3</t>
  </si>
  <si>
    <t>Average of FL4</t>
  </si>
  <si>
    <t>Min of MEF2</t>
  </si>
  <si>
    <t>Max of MEF3</t>
  </si>
  <si>
    <t>Average of MEF4</t>
  </si>
  <si>
    <t>20140608 PJohnson</t>
  </si>
  <si>
    <r>
      <rPr>
        <vertAlign val="superscript"/>
        <sz val="9"/>
        <rFont val="Arial Narrow"/>
        <family val="2"/>
      </rPr>
      <t>b</t>
    </r>
    <r>
      <rPr>
        <sz val="9"/>
        <rFont val="Arial Narrow"/>
        <family val="2"/>
      </rPr>
      <t xml:space="preserve"> Total catch includes recaptures for all salmon, and small (MEF &lt; 40 cm) coho and sockeye salmon.</t>
    </r>
  </si>
  <si>
    <r>
      <t>Tissue Samples</t>
    </r>
    <r>
      <rPr>
        <b/>
        <vertAlign val="superscript"/>
        <sz val="10"/>
        <rFont val="Arial Narrow"/>
        <family val="2"/>
      </rPr>
      <t>c</t>
    </r>
  </si>
  <si>
    <r>
      <rPr>
        <vertAlign val="superscript"/>
        <sz val="9"/>
        <rFont val="Arial Narrow"/>
        <family val="2"/>
      </rPr>
      <t>c</t>
    </r>
    <r>
      <rPr>
        <sz val="9"/>
        <rFont val="Arial Narrow"/>
        <family val="2"/>
      </rPr>
      <t xml:space="preserve"> No tissue samples will be collected from Arctic grayling, burbot, longnose sucker, rainbow trout, or round whitefish as the required sample sizes have already been met.</t>
    </r>
  </si>
  <si>
    <t>20140609 LAckein</t>
  </si>
  <si>
    <t>js,nc</t>
  </si>
  <si>
    <t>wheel started for season @ 17:10; 2 spar poles on bow, 1 pole on stern, wheel ~20 ft from shore; lead net installed</t>
  </si>
  <si>
    <t>20140609 JSmith</t>
  </si>
  <si>
    <t>Figure 3.  Daily and cumulative number of radio tags applied to large Chinook salmon at the fishwheels operated by LGL on the Susitna River, 2014.  Does not include small Chinook salmon.</t>
  </si>
  <si>
    <t>20140607 JSmith</t>
  </si>
  <si>
    <t>20140610 LAckein</t>
  </si>
  <si>
    <t>(entered on Catch Summary form)</t>
  </si>
  <si>
    <t>cleaned lead net at 10:00 am</t>
  </si>
  <si>
    <t>rt,nc</t>
  </si>
  <si>
    <t>checked live tanks at 12:50 RT,JS,SJ; check RT,SB 14:35;check RT, AS at 16:15;JB,SB check at 20:45;check at 22:55 by SB, SC.</t>
  </si>
  <si>
    <t>live tanks scooped at 12:40 SJ, RT;check 14:45 SB, RT; check 16:45 RT, AS; check 21:07 JB, SB; check at 23:09 by SB and SC.</t>
  </si>
  <si>
    <t>jb,la</t>
  </si>
  <si>
    <t>checked at 18:05 no fish</t>
  </si>
  <si>
    <t>checked at 21:15</t>
  </si>
  <si>
    <t>checked live tanks.  No fish.  Shutdown wheel.</t>
  </si>
  <si>
    <t>lowered fish wheel baskets</t>
  </si>
  <si>
    <t>nc,rt</t>
  </si>
  <si>
    <t>as,la</t>
  </si>
  <si>
    <t>as,sb</t>
  </si>
  <si>
    <t>as,sc</t>
  </si>
  <si>
    <t>checked at 17:50</t>
  </si>
  <si>
    <t>checked tank at 20:45</t>
  </si>
  <si>
    <t>20140611 AStephens</t>
  </si>
  <si>
    <t>checked tanks and then shut down wheel.</t>
  </si>
  <si>
    <t>as,sj</t>
  </si>
  <si>
    <t>collected turb sample. No fish</t>
  </si>
  <si>
    <t>20140612 AStephens</t>
  </si>
  <si>
    <t>la,jb</t>
  </si>
  <si>
    <t>checked tanks at 09:42, no fish/ NC/JK checked at 13:23, no fish</t>
  </si>
  <si>
    <t>as,sb,sj,jg</t>
  </si>
  <si>
    <t>moved fw in at 14:58. cleaned lead net</t>
  </si>
  <si>
    <t>checked tanks at 15:00. No fish</t>
  </si>
  <si>
    <t>as,jg</t>
  </si>
  <si>
    <t>checked wheel at 18:12.  re-attached bouy to lead line</t>
  </si>
  <si>
    <t>jb,sj</t>
  </si>
  <si>
    <t>checked at 21:31, no fish</t>
  </si>
  <si>
    <t>nc,jg</t>
  </si>
  <si>
    <t>raise baskets, bringing drill back, hot and smoking, no fish</t>
  </si>
  <si>
    <t>U</t>
  </si>
  <si>
    <t>F</t>
  </si>
  <si>
    <t>15:07</t>
  </si>
  <si>
    <t>17:55</t>
  </si>
  <si>
    <t>20:55</t>
  </si>
  <si>
    <t>20:57</t>
  </si>
  <si>
    <t>23:25</t>
  </si>
  <si>
    <t>SB</t>
  </si>
  <si>
    <t>LA</t>
  </si>
  <si>
    <t>AS</t>
  </si>
  <si>
    <t>Took genetic sample</t>
  </si>
  <si>
    <t>18:55</t>
  </si>
  <si>
    <t>JK</t>
  </si>
  <si>
    <t>20140612 JKunzler</t>
  </si>
  <si>
    <t>RE</t>
  </si>
  <si>
    <t>Res</t>
  </si>
  <si>
    <t>PK ADFG</t>
  </si>
  <si>
    <t>CN ADFG</t>
  </si>
  <si>
    <t>CO ADFG</t>
  </si>
  <si>
    <t>15:32</t>
  </si>
  <si>
    <t>23:35</t>
  </si>
  <si>
    <t>Fresh looking (code sleuthed 6/13 to 35 by RTyler)</t>
  </si>
  <si>
    <t>20140612 NCollin</t>
  </si>
  <si>
    <t>20:48</t>
  </si>
  <si>
    <t>Took several attempts to get radio tag in.  Good release</t>
  </si>
  <si>
    <t>UNK</t>
  </si>
  <si>
    <t>20:21</t>
  </si>
  <si>
    <t>16:10</t>
  </si>
  <si>
    <t>16:02</t>
  </si>
  <si>
    <t>10:40</t>
  </si>
  <si>
    <t>20140613 SJohnson</t>
  </si>
  <si>
    <t>10:27</t>
  </si>
  <si>
    <t>14:14</t>
  </si>
  <si>
    <t>20140614 SJohnson</t>
  </si>
  <si>
    <t>sb,jk,jg,sj,nc</t>
  </si>
  <si>
    <t>started fishing</t>
  </si>
  <si>
    <t>NC, JK checked at 12:52 No fish, cleared debris from lead line</t>
  </si>
  <si>
    <t>sj,sb,as</t>
  </si>
  <si>
    <t>moved fw up ~1" port side</t>
  </si>
  <si>
    <t>checked wheel at 18:27</t>
  </si>
  <si>
    <t>moved fw up 1"; checked at 21:19</t>
  </si>
  <si>
    <t>jg,nc</t>
  </si>
  <si>
    <t xml:space="preserve">raised basket 23:15 1 CN JG, NC </t>
  </si>
  <si>
    <t>hard time raising wheel.  Crossbar onPort side seemed to bind when raising the wheel</t>
  </si>
  <si>
    <t>checked at 09:30, no fish</t>
  </si>
  <si>
    <t>sj,sb</t>
  </si>
  <si>
    <t>no fish @ 12:53</t>
  </si>
  <si>
    <t>checked @ 15:18, no fish</t>
  </si>
  <si>
    <t>la,jk</t>
  </si>
  <si>
    <t>checked @ 20:14</t>
  </si>
  <si>
    <t>sj,jb</t>
  </si>
  <si>
    <t>moved up ~1"</t>
  </si>
  <si>
    <t>checked @ 21:43, no fish</t>
  </si>
  <si>
    <t>raised baskets@ 23:00, no fish nc, jg</t>
  </si>
  <si>
    <t>as, sj</t>
  </si>
  <si>
    <t>lowered baskets</t>
  </si>
  <si>
    <t>jk,nc</t>
  </si>
  <si>
    <t>checked @ 11:00, jk, nc no fish</t>
  </si>
  <si>
    <t>sj,as</t>
  </si>
  <si>
    <t>checked FW @ 12:37</t>
  </si>
  <si>
    <t>no fish</t>
  </si>
  <si>
    <t>checked fw@14:20</t>
  </si>
  <si>
    <t>no fish jk,nc</t>
  </si>
  <si>
    <t>la,sb</t>
  </si>
  <si>
    <t>check @ 16:24. No fish</t>
  </si>
  <si>
    <t>jk,sb</t>
  </si>
  <si>
    <t>jk,sb check @ 18:14</t>
  </si>
  <si>
    <t>raised fw up ~1";checked @ 20:40</t>
  </si>
  <si>
    <t>1 CN</t>
  </si>
  <si>
    <t>sb, jb</t>
  </si>
  <si>
    <t>check @ 22:53</t>
  </si>
  <si>
    <t>jk, nc 10:20 checked tanks 1 CN</t>
  </si>
  <si>
    <t>checked fw@12:27; no fish</t>
  </si>
  <si>
    <t>nc,jk</t>
  </si>
  <si>
    <t>checked wheel @14:00 no fish nc,jk</t>
  </si>
  <si>
    <t>check @ 15:55</t>
  </si>
  <si>
    <t xml:space="preserve">sb,jk </t>
  </si>
  <si>
    <t>checked @ 18:01 no fish</t>
  </si>
  <si>
    <t>checked FW @ 20:15</t>
  </si>
  <si>
    <t>check @ 22:35, no fish</t>
  </si>
  <si>
    <t>lower fish wheel to start fishing</t>
  </si>
  <si>
    <t>sj.jg</t>
  </si>
  <si>
    <t>check fw @10:28; raised fw ~1"; installed jump board extensions</t>
  </si>
  <si>
    <t>1 RT caught</t>
  </si>
  <si>
    <t>sj.as</t>
  </si>
  <si>
    <t>checked fw @12:14</t>
  </si>
  <si>
    <t>sj,jg</t>
  </si>
  <si>
    <t>check fw@ 14:05 moved fw up 1"</t>
  </si>
  <si>
    <t>1 CN; small lamprey mark that healed on caudal peduncal</t>
  </si>
  <si>
    <t>sj,nc</t>
  </si>
  <si>
    <t>checked @fw @ 16:20</t>
  </si>
  <si>
    <t>no fish nc,sj</t>
  </si>
  <si>
    <t>kbm, as</t>
  </si>
  <si>
    <t>checked wheel at 18:20</t>
  </si>
  <si>
    <t>jb,nc</t>
  </si>
  <si>
    <t>check at 20:08, no fish</t>
  </si>
  <si>
    <t>sc, jk</t>
  </si>
  <si>
    <t>checked @ 22:40 baskets are rubbing against bottom. No fish</t>
  </si>
  <si>
    <t>dropped baskets @7:45 jk,nc</t>
  </si>
  <si>
    <t>as, kbm</t>
  </si>
  <si>
    <t>checked wheel at 9:40. no fish</t>
  </si>
  <si>
    <t>20140614 KBMatthews</t>
  </si>
  <si>
    <t>checked FW @ 12:50; moved FW out from bank ~4'; 3 rev 70 seconds @13:50</t>
  </si>
  <si>
    <t>sj,jg, as, jb</t>
  </si>
  <si>
    <t>jb,jk</t>
  </si>
  <si>
    <t>20140614 Astephens</t>
  </si>
  <si>
    <t>as,jb,kbm</t>
  </si>
  <si>
    <t>checked at 18:46. No fish</t>
  </si>
  <si>
    <t>kbm,sb</t>
  </si>
  <si>
    <t>checked site at 21:10. No fish.</t>
  </si>
  <si>
    <t>dr,jg</t>
  </si>
  <si>
    <t>checked site at 22:47. no fish</t>
  </si>
  <si>
    <t>dropped baskets @7:34 jk,nc</t>
  </si>
  <si>
    <t>as,kbm</t>
  </si>
  <si>
    <t>checked wheel @9:30, thermometer mercury split. Need new thermometer.</t>
  </si>
  <si>
    <t>checked FW @12:22</t>
  </si>
  <si>
    <t>checked at 14:17</t>
  </si>
  <si>
    <t>checked @ 16:02 jk, jb one chinook!</t>
  </si>
  <si>
    <t>sb,kbm</t>
  </si>
  <si>
    <t>checked fishwheel at 18:25. one CN</t>
  </si>
  <si>
    <t>check fishwheel at 20:39. 2 Chinook</t>
  </si>
  <si>
    <t>check fishwheel at 23:05. No fish</t>
  </si>
  <si>
    <t>as,jk</t>
  </si>
  <si>
    <t>checked @ 22:39. No fish</t>
  </si>
  <si>
    <t>lower baskets 7:15 NC, JK</t>
  </si>
  <si>
    <t>jg,jb</t>
  </si>
  <si>
    <t>check @ 09:47</t>
  </si>
  <si>
    <t>checked tanks @ 1207. no fish</t>
  </si>
  <si>
    <t>checked at 14:45</t>
  </si>
  <si>
    <t>checked FW@16:25;move FW up 1"</t>
  </si>
  <si>
    <t>checked FW@ 18:04 NC,JK</t>
  </si>
  <si>
    <t>check @ 20:18</t>
  </si>
  <si>
    <t xml:space="preserve">13:02 </t>
  </si>
  <si>
    <t>13:05</t>
  </si>
  <si>
    <t>jumped out of trough into water</t>
  </si>
  <si>
    <t>13:31</t>
  </si>
  <si>
    <t>jumped out of trough. escaped into water</t>
  </si>
  <si>
    <t>12:31</t>
  </si>
  <si>
    <t>14:25</t>
  </si>
  <si>
    <t>16:11</t>
  </si>
  <si>
    <t>18:31</t>
  </si>
  <si>
    <t>20:52</t>
  </si>
  <si>
    <t>20:59</t>
  </si>
  <si>
    <t>had small tag and had to switch to lrg tag while in trough</t>
  </si>
  <si>
    <t>14:55</t>
  </si>
  <si>
    <t>15:01</t>
  </si>
  <si>
    <t>20:22</t>
  </si>
  <si>
    <t>1 K</t>
  </si>
  <si>
    <t>2 K</t>
  </si>
  <si>
    <t>jg,jk,sb</t>
  </si>
  <si>
    <t>3 K</t>
  </si>
  <si>
    <t>4 K</t>
  </si>
  <si>
    <t>9 K</t>
  </si>
  <si>
    <t>5 K</t>
  </si>
  <si>
    <t>6 K</t>
  </si>
  <si>
    <t>7 K</t>
  </si>
  <si>
    <t>8 K</t>
  </si>
  <si>
    <t>10 K</t>
  </si>
  <si>
    <t>18 K</t>
  </si>
  <si>
    <t>17 K</t>
  </si>
  <si>
    <t>19 K</t>
  </si>
  <si>
    <t>20 K</t>
  </si>
  <si>
    <t>21 K</t>
  </si>
  <si>
    <t>22 K</t>
  </si>
  <si>
    <t>23 K</t>
  </si>
  <si>
    <t>11 K</t>
  </si>
  <si>
    <t>12 K</t>
  </si>
  <si>
    <t>13 K</t>
  </si>
  <si>
    <t>20140615 DRobichaud</t>
  </si>
  <si>
    <t>20140615 JBerry</t>
  </si>
  <si>
    <t>20140614 JGraham</t>
  </si>
  <si>
    <t>20140614 AStephens</t>
  </si>
  <si>
    <t>20140614 JKunzler</t>
  </si>
  <si>
    <t>20140614 JBerry</t>
  </si>
  <si>
    <t>20140614 SBurril</t>
  </si>
  <si>
    <t>20140615 AStephens</t>
  </si>
  <si>
    <t>tag seemed big for the fish</t>
  </si>
  <si>
    <t>na</t>
  </si>
  <si>
    <t>20140610 AStephens</t>
  </si>
  <si>
    <t>20140613 AStephens</t>
  </si>
  <si>
    <t xml:space="preserve">20140615 AStephens </t>
  </si>
  <si>
    <t>20140611 LAckein</t>
  </si>
  <si>
    <t>20140212 LAckein</t>
  </si>
  <si>
    <t>20140612 LAckein</t>
  </si>
  <si>
    <t>20140612 JGraham</t>
  </si>
  <si>
    <t>20140613 JBerry</t>
  </si>
  <si>
    <t>20140612 JBerry</t>
  </si>
  <si>
    <t>20140613 NCollin</t>
  </si>
  <si>
    <t>20140614 NCollin</t>
  </si>
  <si>
    <t>20140613 JKunzler</t>
  </si>
  <si>
    <t>20140613 SBurril</t>
  </si>
  <si>
    <t>NC</t>
  </si>
  <si>
    <t>20140613 JGraham</t>
  </si>
  <si>
    <t>small lamprey mark that healed on caudal peduncal</t>
  </si>
  <si>
    <t>check time guessed, based on half time between previous and next visit)</t>
  </si>
  <si>
    <t>20140616 DRobichaud</t>
  </si>
  <si>
    <t>20140614 DRobichaud</t>
  </si>
  <si>
    <t>Scan FileName</t>
  </si>
  <si>
    <t>FW_Scan_20140606.pdf</t>
  </si>
  <si>
    <t>FW_Scan_20140607.pdf</t>
  </si>
  <si>
    <t>FW_Scan_20140608.pdf</t>
  </si>
  <si>
    <t>FW_Scan_20140609.pdf</t>
  </si>
  <si>
    <t>FW_Scan_20140610.pdf</t>
  </si>
  <si>
    <t>FW_Scan_20140611.pdf</t>
  </si>
  <si>
    <t>FW_Scan_20140613.pdf</t>
  </si>
  <si>
    <t>FW_Scan_20140614.pdf</t>
  </si>
  <si>
    <t>FW_Scan_20140612.pdf</t>
  </si>
  <si>
    <t>(blank)</t>
  </si>
  <si>
    <t>nc, jk</t>
  </si>
  <si>
    <t>drop baskets @ 7:32, End shift @ 11:00.</t>
  </si>
  <si>
    <t>kbm,dr</t>
  </si>
  <si>
    <t>rt,jk,eg,dr</t>
  </si>
  <si>
    <t>eg,jg,krm</t>
  </si>
  <si>
    <t>kbm,jg,eg</t>
  </si>
  <si>
    <t>20140615 KBMatthews</t>
  </si>
  <si>
    <t>lowered baskets @ 734, ended shift at 10:50</t>
  </si>
  <si>
    <t>arrive at wheel @ 17:04</t>
  </si>
  <si>
    <t>sb,as</t>
  </si>
  <si>
    <t>zip tied hole in basket. Fishing on deck stb side, off deck port side</t>
  </si>
  <si>
    <t>sj,jg,dr,kbm</t>
  </si>
  <si>
    <t>had to leave the fw ~25 mintes to get a pencil.  Wheel visited periodically thoughout shift.</t>
  </si>
  <si>
    <t>eg,jk,rt,kbm,dr</t>
  </si>
  <si>
    <t>RT fixed hole in netting with zip ties-hole repaired</t>
  </si>
  <si>
    <t>check fishwheel@18:46-no fish</t>
  </si>
  <si>
    <t>kbm,eg,jg</t>
  </si>
  <si>
    <t>18:24</t>
  </si>
  <si>
    <t>pretty fish!</t>
  </si>
  <si>
    <t>21:57</t>
  </si>
  <si>
    <t>25 K</t>
  </si>
  <si>
    <t>26 K</t>
  </si>
  <si>
    <t>24 K</t>
  </si>
  <si>
    <t>21:33</t>
  </si>
  <si>
    <t>20140616 AStephens</t>
  </si>
  <si>
    <t>20140615 EGora</t>
  </si>
  <si>
    <t>20140615 JKunzler</t>
  </si>
  <si>
    <t>20140615 NCollin</t>
  </si>
  <si>
    <t>20140617 DRobichaud</t>
  </si>
  <si>
    <t>FW_Scan_20140615.pdf</t>
  </si>
  <si>
    <t>water rose, spar poles need adjustment jk lead net needs to be cleared, lead net cleared</t>
  </si>
  <si>
    <t>eg,krm,dr</t>
  </si>
  <si>
    <t>moved FW in @10:56~4ft. Readjusted lead line. New revs 45.</t>
  </si>
  <si>
    <t>checked @ 10:37. no fish. Crew moved wheel.</t>
  </si>
  <si>
    <t>jg,kmb</t>
  </si>
  <si>
    <t>checked at 15:26</t>
  </si>
  <si>
    <t>jk,as</t>
  </si>
  <si>
    <t>cleaned debris from lead jk</t>
  </si>
  <si>
    <t>dr,eg</t>
  </si>
  <si>
    <t>jg,krm</t>
  </si>
  <si>
    <t>cleaned debris</t>
  </si>
  <si>
    <t>stopped wheel @ 0:54 June 17.  ADS split sheet to reflect fishing on a new day.</t>
  </si>
  <si>
    <t>eg,dr,kbm</t>
  </si>
  <si>
    <t>checked wheel at 10:52. no fish</t>
  </si>
  <si>
    <t xml:space="preserve">kbm,jg </t>
  </si>
  <si>
    <t>checked wheel at 12:40. no fish</t>
  </si>
  <si>
    <t>20140616 KBMatthews</t>
  </si>
  <si>
    <t>cleaned lead net at 14:55</t>
  </si>
  <si>
    <t>checked wheel at 14:44. no fish</t>
  </si>
  <si>
    <t>cleared debris from lead line</t>
  </si>
  <si>
    <t>kbm,jg</t>
  </si>
  <si>
    <t>checked wheel and stopped at 23:10</t>
  </si>
  <si>
    <t>cleared debris</t>
  </si>
  <si>
    <t>kbm,dr,eg</t>
  </si>
  <si>
    <t>check wheel at 11:11</t>
  </si>
  <si>
    <t>checked at 16:15 no fish</t>
  </si>
  <si>
    <t>cleared debris, adjusted lead net</t>
  </si>
  <si>
    <t>check @1756, no fish</t>
  </si>
  <si>
    <t>jg,kbm</t>
  </si>
  <si>
    <t>shut down wheel for the night.  Clear debris</t>
  </si>
  <si>
    <t>27 K</t>
  </si>
  <si>
    <t>28 K</t>
  </si>
  <si>
    <t>36 K</t>
  </si>
  <si>
    <t>37 K</t>
  </si>
  <si>
    <t>38 K</t>
  </si>
  <si>
    <t>39 K</t>
  </si>
  <si>
    <t>15:35</t>
  </si>
  <si>
    <t>17:24</t>
  </si>
  <si>
    <t>22:45</t>
  </si>
  <si>
    <t>00:36</t>
  </si>
  <si>
    <t>00:43</t>
  </si>
  <si>
    <t>00:51</t>
  </si>
  <si>
    <t>redirected tag 3 times</t>
  </si>
  <si>
    <t xml:space="preserve">fish dance </t>
  </si>
  <si>
    <t>35 K</t>
  </si>
  <si>
    <t>19:15</t>
  </si>
  <si>
    <t>20140617 AStephens</t>
  </si>
  <si>
    <t>20140616 JKunzler</t>
  </si>
  <si>
    <t>20140616 EGora</t>
  </si>
  <si>
    <t>20140616 JGraham</t>
  </si>
  <si>
    <t>this sheet was split into two lines, see next line</t>
  </si>
  <si>
    <t>Large debris caught on upstream side of wheel.</t>
  </si>
  <si>
    <t>checked FW @ 12:51.  No fish</t>
  </si>
  <si>
    <t>Wheel stopped for about a half hour due to a tree being wedged. cleaned debris from lead line and fishwheel @ 20:30.</t>
  </si>
  <si>
    <t>untagged CN: escaped from trough without being measured, etc.</t>
  </si>
  <si>
    <t>checked at 13:11 no fish</t>
  </si>
  <si>
    <t>cleared debris-had wheel out of the water for 20 min DR note: wheel was not turning upon arrival.  Used 1/2 time since last check as stoptime.  Restarted at 22:17</t>
  </si>
  <si>
    <t>FW_Scan_20140616.pdf</t>
  </si>
  <si>
    <t>cleared lead line of debris &amp; fishwheel of tree</t>
  </si>
  <si>
    <t>wheel was not turning upon arrival.  Used 1/2 the time since last check for fw activity time (start time), or 9:44 am</t>
  </si>
  <si>
    <t>jg,kmb,jb</t>
  </si>
  <si>
    <t>Removed debris from wheel.  Broken plywood on slide.</t>
  </si>
  <si>
    <t>dr: end time taken from biosample sheet</t>
  </si>
  <si>
    <t>as,jk,eg,dr</t>
  </si>
  <si>
    <t>wheel not turning when passed wheel at 18:30.  wheel restarted at 19:20</t>
  </si>
  <si>
    <t>prob turning from 17:32 to ~18</t>
  </si>
  <si>
    <t>cleaned debris from lead net</t>
  </si>
  <si>
    <t>stopped wheel @23:38</t>
  </si>
  <si>
    <t>20140617 JGraham</t>
  </si>
  <si>
    <t>cleared debris from the fishwheel &amp; leadline, no fish.</t>
  </si>
  <si>
    <t>replaced thermometer</t>
  </si>
  <si>
    <t>jg, kbm</t>
  </si>
  <si>
    <t>20140617 JKunzler</t>
  </si>
  <si>
    <t>20140617 KBMatthews</t>
  </si>
  <si>
    <t>wheel not turning on arrival.  Used 1/2 time for stop.  Restarted wheel at 18:15</t>
  </si>
  <si>
    <t>stopped wheel @ 2305</t>
  </si>
  <si>
    <t>cleared fish wheel of debris</t>
  </si>
  <si>
    <t>smolt: coho (11 cm approx)</t>
  </si>
  <si>
    <t>checked wheel at 15:34. No fish</t>
  </si>
  <si>
    <t xml:space="preserve">checked at 18:47. </t>
  </si>
  <si>
    <t>checked @ 20:48. no fish.  Stopped wheel at 22:45</t>
  </si>
  <si>
    <t>40 K</t>
  </si>
  <si>
    <t>41 K</t>
  </si>
  <si>
    <t>42 K</t>
  </si>
  <si>
    <t>43 K</t>
  </si>
  <si>
    <t>44 K</t>
  </si>
  <si>
    <t>16 K</t>
  </si>
  <si>
    <t>45 K</t>
  </si>
  <si>
    <t>46 K</t>
  </si>
  <si>
    <t>48 K</t>
  </si>
  <si>
    <t>49 K</t>
  </si>
  <si>
    <t>50 K</t>
  </si>
  <si>
    <t>51 K</t>
  </si>
  <si>
    <t>52 K</t>
  </si>
  <si>
    <t>1:18</t>
  </si>
  <si>
    <t>2:15</t>
  </si>
  <si>
    <t>1:16</t>
  </si>
  <si>
    <t>1:36</t>
  </si>
  <si>
    <t>1:13</t>
  </si>
  <si>
    <t>1:25</t>
  </si>
  <si>
    <t>1:56</t>
  </si>
  <si>
    <t>1:38</t>
  </si>
  <si>
    <t>1:48</t>
  </si>
  <si>
    <t>1:23</t>
  </si>
  <si>
    <t>47 K</t>
  </si>
  <si>
    <t>08:18</t>
  </si>
  <si>
    <t>11:19</t>
  </si>
  <si>
    <t>11:24</t>
  </si>
  <si>
    <t>15:13</t>
  </si>
  <si>
    <t>15:17</t>
  </si>
  <si>
    <t>15:22</t>
  </si>
  <si>
    <t>17:26</t>
  </si>
  <si>
    <t>17:31</t>
  </si>
  <si>
    <t>19:31</t>
  </si>
  <si>
    <t>19:44</t>
  </si>
  <si>
    <t>23:26</t>
  </si>
  <si>
    <t>23:30</t>
  </si>
  <si>
    <t>18:19</t>
  </si>
  <si>
    <t>coppery!</t>
  </si>
  <si>
    <t>14 K</t>
  </si>
  <si>
    <t>12:23</t>
  </si>
  <si>
    <t>caught between 17:32 and 18:00</t>
  </si>
  <si>
    <t>20140618 DRobichaud</t>
  </si>
  <si>
    <t>raised wheel to dislodge large tree, replaced missing thermometer with old one</t>
  </si>
  <si>
    <t>checked at 15:56, no fish</t>
  </si>
  <si>
    <t>FW_Scan_20140617.pdf</t>
  </si>
  <si>
    <t>channel sleuthed to 725 (RT 6/18)</t>
  </si>
  <si>
    <t>eg,as</t>
  </si>
  <si>
    <t>checked @ 6:48,09:10.  cleaned bridal and lead net</t>
  </si>
  <si>
    <t>dr, jk</t>
  </si>
  <si>
    <t>rt.jg</t>
  </si>
  <si>
    <t>arrive @ 13:07</t>
  </si>
  <si>
    <t>20140618 AStephens</t>
  </si>
  <si>
    <t>20140618 JKunzler</t>
  </si>
  <si>
    <t>dr,jk</t>
  </si>
  <si>
    <t>rt,jg</t>
  </si>
  <si>
    <t>arrived 20:45 wheel stopped due to lodged stick, removed, turning well</t>
  </si>
  <si>
    <t>turbidity sample @20:54</t>
  </si>
  <si>
    <t>20140618 RTyler</t>
  </si>
  <si>
    <t>fg,as</t>
  </si>
  <si>
    <t>cleared lead net</t>
  </si>
  <si>
    <t>1 CNj had wound &amp; too small</t>
  </si>
  <si>
    <t>debris in wheel, stopped for 20 min (12:25-12:45)</t>
  </si>
  <si>
    <t>as,eg</t>
  </si>
  <si>
    <t>checked @ 8:26, 9:26; cleaned lead net</t>
  </si>
  <si>
    <t>checked @ 1153</t>
  </si>
  <si>
    <t>raised for net/basket repair, moved upriver 6 ft, checked @ 13:49, 15:07</t>
  </si>
  <si>
    <t>rt,jg,as,eg</t>
  </si>
  <si>
    <t>53 K</t>
  </si>
  <si>
    <t>54 K</t>
  </si>
  <si>
    <t>55 K</t>
  </si>
  <si>
    <t>58 K</t>
  </si>
  <si>
    <t>59 K</t>
  </si>
  <si>
    <t>60 K</t>
  </si>
  <si>
    <t>69 K</t>
  </si>
  <si>
    <t>70 K</t>
  </si>
  <si>
    <t>61 K</t>
  </si>
  <si>
    <t>62 K</t>
  </si>
  <si>
    <t>63 K</t>
  </si>
  <si>
    <t>64 K</t>
  </si>
  <si>
    <t>65 K</t>
  </si>
  <si>
    <t>10:51</t>
  </si>
  <si>
    <t>12:09</t>
  </si>
  <si>
    <t>12:16</t>
  </si>
  <si>
    <t>13:28</t>
  </si>
  <si>
    <t>15:47</t>
  </si>
  <si>
    <t>16:04</t>
  </si>
  <si>
    <t>16:36</t>
  </si>
  <si>
    <t>17:45</t>
  </si>
  <si>
    <t>17:52</t>
  </si>
  <si>
    <t>19:06</t>
  </si>
  <si>
    <t>19:43</t>
  </si>
  <si>
    <t>21:01</t>
  </si>
  <si>
    <t>23:03</t>
  </si>
  <si>
    <t>too small to tag</t>
  </si>
  <si>
    <t>bigger tag wouldn't fit tag with smaller one</t>
  </si>
  <si>
    <t>several attempts to seat tag</t>
  </si>
  <si>
    <t>too small to tag - wouldn't go in</t>
  </si>
  <si>
    <t>56 K</t>
  </si>
  <si>
    <t>57 K</t>
  </si>
  <si>
    <t>8:53</t>
  </si>
  <si>
    <t>11:11</t>
  </si>
  <si>
    <t>11:18</t>
  </si>
  <si>
    <t>very small jack, too small for tag, wound near tail</t>
  </si>
  <si>
    <t>68 K</t>
  </si>
  <si>
    <t>14:26</t>
  </si>
  <si>
    <t>15 K</t>
  </si>
  <si>
    <t>19:18</t>
  </si>
  <si>
    <t>29 K</t>
  </si>
  <si>
    <t>21:37</t>
  </si>
  <si>
    <t>21:44</t>
  </si>
  <si>
    <t>21:59</t>
  </si>
  <si>
    <t>scooped with above fish and processed same time</t>
  </si>
  <si>
    <t>20140618 JGraham</t>
  </si>
  <si>
    <t>Figure 2.  Daily catch-per-unit-effort (CPUE) of adult large Chinook salmon (including recaptures, but not small Chinook salmon) at the fishwheels operated by LGL on the Susitna River, 2014.</t>
  </si>
  <si>
    <t>20140619 DRobichaud</t>
  </si>
  <si>
    <t>Unrecorded</t>
  </si>
  <si>
    <t>CNj was too small to take tag; One CN was 50 cm but would not take large tag, inserted small one.</t>
  </si>
  <si>
    <t>FW_Scan_20140618.pdf</t>
  </si>
  <si>
    <t>SJ</t>
  </si>
  <si>
    <t>JG</t>
  </si>
  <si>
    <t>JB</t>
  </si>
  <si>
    <t>EG</t>
  </si>
  <si>
    <t>KBM</t>
  </si>
  <si>
    <t>DR</t>
  </si>
  <si>
    <t>KMB</t>
  </si>
  <si>
    <t xml:space="preserve">AS </t>
  </si>
  <si>
    <t>raised wheel to fix broken slides</t>
  </si>
  <si>
    <t>20140619 AStephens</t>
  </si>
  <si>
    <t>large log in basket; raised wheel 1/4 way; took 3 min</t>
  </si>
  <si>
    <t>20140619 JKunzler</t>
  </si>
  <si>
    <t>20140619 EGora</t>
  </si>
  <si>
    <t>kbm,eg</t>
  </si>
  <si>
    <t>eg,jg,kbm</t>
  </si>
  <si>
    <t>20140619 KMatthews</t>
  </si>
  <si>
    <t>as,fg</t>
  </si>
  <si>
    <t>20140619 JGraham</t>
  </si>
  <si>
    <t>1 DV not measured</t>
  </si>
  <si>
    <t>stopped wheel to fix broken slides</t>
  </si>
  <si>
    <t>replaced 3 side panels</t>
  </si>
  <si>
    <t>wheel not turning on arrival 19:30; turning when left 17:45; stopped ~ 50 min</t>
  </si>
  <si>
    <t>CNj too small to tag</t>
  </si>
  <si>
    <t>66 K</t>
  </si>
  <si>
    <t>12:27</t>
  </si>
  <si>
    <t>21:38</t>
  </si>
  <si>
    <t>30 K</t>
  </si>
  <si>
    <t>31 K</t>
  </si>
  <si>
    <t>32 K</t>
  </si>
  <si>
    <t>78 K</t>
  </si>
  <si>
    <t>79 K</t>
  </si>
  <si>
    <t>80 K</t>
  </si>
  <si>
    <t>81 K</t>
  </si>
  <si>
    <t>08:54</t>
  </si>
  <si>
    <t>09:05</t>
  </si>
  <si>
    <t>11:09</t>
  </si>
  <si>
    <t>11:12</t>
  </si>
  <si>
    <t>05:53</t>
  </si>
  <si>
    <t>09:12</t>
  </si>
  <si>
    <t>12:47</t>
  </si>
  <si>
    <t>12:54</t>
  </si>
  <si>
    <t>13:00</t>
  </si>
  <si>
    <t>13:02</t>
  </si>
  <si>
    <t>16:07</t>
  </si>
  <si>
    <t>16:13</t>
  </si>
  <si>
    <t>16:23</t>
  </si>
  <si>
    <t>17:40</t>
  </si>
  <si>
    <t>19:45</t>
  </si>
  <si>
    <t>19:52</t>
  </si>
  <si>
    <t>22:25</t>
  </si>
  <si>
    <t>very small fish, no tag</t>
  </si>
  <si>
    <t>redirected tag, fish fell on deck during release</t>
  </si>
  <si>
    <t>2 tries for tag insertion</t>
  </si>
  <si>
    <t>replaced slide before lowering baskets; came back and log jammed in, took time off for not fishing</t>
  </si>
  <si>
    <t>20140620 AStephens</t>
  </si>
  <si>
    <t>restarted wheel after log jam</t>
  </si>
  <si>
    <t>dr,jk,wc</t>
  </si>
  <si>
    <t>20140620 JKunzler</t>
  </si>
  <si>
    <t>eg,kbm,jg</t>
  </si>
  <si>
    <t>crew moved wheel several feet towards shore; stopped for 25 min</t>
  </si>
  <si>
    <t>20140620 EGora</t>
  </si>
  <si>
    <t>dr,wc,jb</t>
  </si>
  <si>
    <t>20140620 DRobichaud</t>
  </si>
  <si>
    <t>20140620 JGraham</t>
  </si>
  <si>
    <t>eg,kbm</t>
  </si>
  <si>
    <t>20140620 KMatthews</t>
  </si>
  <si>
    <t>33 K</t>
  </si>
  <si>
    <t>34 K</t>
  </si>
  <si>
    <t>72 K</t>
  </si>
  <si>
    <t>71 K</t>
  </si>
  <si>
    <t>73 K</t>
  </si>
  <si>
    <t>74 K</t>
  </si>
  <si>
    <t>76 K</t>
  </si>
  <si>
    <t>94 K</t>
  </si>
  <si>
    <t>8:32</t>
  </si>
  <si>
    <t>8:36</t>
  </si>
  <si>
    <t>16:54</t>
  </si>
  <si>
    <t>16:56</t>
  </si>
  <si>
    <t>17:05</t>
  </si>
  <si>
    <t>17:09</t>
  </si>
  <si>
    <t>18:46</t>
  </si>
  <si>
    <t>18:51</t>
  </si>
  <si>
    <t>20:54</t>
  </si>
  <si>
    <t>23:13</t>
  </si>
  <si>
    <t>tried tagging 3x, tagged popped out on release, released fish</t>
  </si>
  <si>
    <t>sore on side</t>
  </si>
  <si>
    <t>too small for tag</t>
  </si>
  <si>
    <t>67 K</t>
  </si>
  <si>
    <t>75 K</t>
  </si>
  <si>
    <t>10:20</t>
  </si>
  <si>
    <t>82 K</t>
  </si>
  <si>
    <t>83 K</t>
  </si>
  <si>
    <t>84 K</t>
  </si>
  <si>
    <t>85 K</t>
  </si>
  <si>
    <t>86 K</t>
  </si>
  <si>
    <t>87 K</t>
  </si>
  <si>
    <t>88 K</t>
  </si>
  <si>
    <t>7:49</t>
  </si>
  <si>
    <t>10:56</t>
  </si>
  <si>
    <t>11:00</t>
  </si>
  <si>
    <t>11:04</t>
  </si>
  <si>
    <t>13:21</t>
  </si>
  <si>
    <t>14:07</t>
  </si>
  <si>
    <t>17:59</t>
  </si>
  <si>
    <t>19:13</t>
  </si>
  <si>
    <t>21:15</t>
  </si>
  <si>
    <t>21:21</t>
  </si>
  <si>
    <t>22:32</t>
  </si>
  <si>
    <t>WC</t>
  </si>
  <si>
    <t>3x to seat tag</t>
  </si>
  <si>
    <t>no genetic sample taken</t>
  </si>
  <si>
    <t>Bulk DV</t>
  </si>
  <si>
    <t>20140621 DRobichaud</t>
  </si>
  <si>
    <t>raised wheel at 15:34 to replace slides (4 in total)</t>
  </si>
  <si>
    <t>raised wheel at 13:33 to clear log</t>
  </si>
  <si>
    <t>77 K</t>
  </si>
  <si>
    <t>channel and code not recorded.</t>
  </si>
  <si>
    <t>FW_Scan_20140619.pdf</t>
  </si>
  <si>
    <t>FW_Scan_20140620.pdf</t>
  </si>
  <si>
    <t>95 K</t>
  </si>
  <si>
    <t>96 K</t>
  </si>
  <si>
    <t>97 K</t>
  </si>
  <si>
    <t>98 K</t>
  </si>
  <si>
    <t>99 K</t>
  </si>
  <si>
    <t>100 K</t>
  </si>
  <si>
    <t>101 K</t>
  </si>
  <si>
    <t>103 K</t>
  </si>
  <si>
    <t>104 K</t>
  </si>
  <si>
    <t>105 K</t>
  </si>
  <si>
    <t>106 K</t>
  </si>
  <si>
    <t>fish hit deck, released without tag</t>
  </si>
  <si>
    <t>20140621 EGore</t>
  </si>
  <si>
    <t>20140621 JBerry</t>
  </si>
  <si>
    <t>20140622 DRobichaud</t>
  </si>
  <si>
    <t>89 K</t>
  </si>
  <si>
    <t>90 K</t>
  </si>
  <si>
    <t>91 K</t>
  </si>
  <si>
    <t>92 K</t>
  </si>
  <si>
    <t>93 K</t>
  </si>
  <si>
    <t>102 K</t>
  </si>
  <si>
    <t>110 K</t>
  </si>
  <si>
    <t>111 K</t>
  </si>
  <si>
    <t>112 K</t>
  </si>
  <si>
    <t>113 K</t>
  </si>
  <si>
    <t>114 K</t>
  </si>
  <si>
    <t>115 K</t>
  </si>
  <si>
    <t>nose injury</t>
  </si>
  <si>
    <t>took 2 attempts to seat tag</t>
  </si>
  <si>
    <t>fish spit tag prior to release</t>
  </si>
  <si>
    <t>BK</t>
  </si>
  <si>
    <t>20140621 KBMatthews</t>
  </si>
  <si>
    <t>la,eg</t>
  </si>
  <si>
    <t>jb,wc</t>
  </si>
  <si>
    <t>raised wheel 1 inch</t>
  </si>
  <si>
    <t>20140621 EGora</t>
  </si>
  <si>
    <t>dr,eg,la</t>
  </si>
  <si>
    <t>jb,jg</t>
  </si>
  <si>
    <t>dr,bk</t>
  </si>
  <si>
    <t>kbm,wc</t>
  </si>
  <si>
    <t>20140622 LAckein</t>
  </si>
  <si>
    <t>20140621 KMatthews</t>
  </si>
  <si>
    <t>FW_Scan_20140621.pdf</t>
  </si>
  <si>
    <t>107 K</t>
  </si>
  <si>
    <t>109 K</t>
  </si>
  <si>
    <t>121 K</t>
  </si>
  <si>
    <t>20140622 WChallenger</t>
  </si>
  <si>
    <t>20140622 KBMatthews</t>
  </si>
  <si>
    <t>108 K</t>
  </si>
  <si>
    <t>15:30</t>
  </si>
  <si>
    <t>116 K</t>
  </si>
  <si>
    <t>117 K</t>
  </si>
  <si>
    <t>118 K</t>
  </si>
  <si>
    <t>119 K</t>
  </si>
  <si>
    <t>120 K</t>
  </si>
  <si>
    <t>125 K</t>
  </si>
  <si>
    <t>126 K</t>
  </si>
  <si>
    <t>127 K</t>
  </si>
  <si>
    <t>128 K</t>
  </si>
  <si>
    <t>134 K</t>
  </si>
  <si>
    <t>135 K</t>
  </si>
  <si>
    <t>136 K</t>
  </si>
  <si>
    <t>open wound - not tagged</t>
  </si>
  <si>
    <t>20140622 EGore</t>
  </si>
  <si>
    <t>20140622 JGraham</t>
  </si>
  <si>
    <t>20140622 JBerry</t>
  </si>
  <si>
    <t>20140623 DRobichaud</t>
  </si>
  <si>
    <t>js,cs,bk</t>
  </si>
  <si>
    <t>jb,kbm</t>
  </si>
  <si>
    <t>raised wheel to clear debris (13:08 - 13:15)</t>
  </si>
  <si>
    <t>20140622 KMatthews</t>
  </si>
  <si>
    <t>20140622 BKalb</t>
  </si>
  <si>
    <t>wheel raised 17:54-18:45, moved closer to shore</t>
  </si>
  <si>
    <t>cs,bk,js</t>
  </si>
  <si>
    <t>20140622 JSmith</t>
  </si>
  <si>
    <t>bk,dr</t>
  </si>
  <si>
    <t>kbm,jb</t>
  </si>
  <si>
    <t>one 10 cm Chinook smolt</t>
  </si>
  <si>
    <t>20140622 EGora</t>
  </si>
  <si>
    <t>FW_Scan_20140622.pdf</t>
  </si>
  <si>
    <t>Turbidity (NTU)</t>
  </si>
  <si>
    <t>code not recorded, sleuthed to 83</t>
  </si>
  <si>
    <t>ks,bk</t>
  </si>
  <si>
    <t>kbm,jbu,js</t>
  </si>
  <si>
    <t>20140623 BKalb</t>
  </si>
  <si>
    <t>20140623 KMatthews</t>
  </si>
  <si>
    <t>ks,cs</t>
  </si>
  <si>
    <t>untagged CN looked too much like a coho</t>
  </si>
  <si>
    <t>20140623 CSejkora</t>
  </si>
  <si>
    <t>20140623 JBerry</t>
  </si>
  <si>
    <t>20140623 KShippen</t>
  </si>
  <si>
    <t>la,csj</t>
  </si>
  <si>
    <t>jbu,wc</t>
  </si>
  <si>
    <t>cleared lead net at 6:30</t>
  </si>
  <si>
    <t>stopped wheel 1:30-11:40 for log clearing</t>
  </si>
  <si>
    <t>20140623 LAckein</t>
  </si>
  <si>
    <t>20140623 JBuris</t>
  </si>
  <si>
    <t>20140624 DRobichaud</t>
  </si>
  <si>
    <t>FW_Scan_20140623.pdf</t>
  </si>
  <si>
    <t>122 K</t>
  </si>
  <si>
    <t>124 K</t>
  </si>
  <si>
    <t>130 K</t>
  </si>
  <si>
    <t>145 K</t>
  </si>
  <si>
    <t>146 K</t>
  </si>
  <si>
    <t>123 K</t>
  </si>
  <si>
    <t>129 K</t>
  </si>
  <si>
    <t>131 K</t>
  </si>
  <si>
    <t>132 K</t>
  </si>
  <si>
    <t>133 K</t>
  </si>
  <si>
    <t>137 K</t>
  </si>
  <si>
    <t>138 K</t>
  </si>
  <si>
    <t>139 K</t>
  </si>
  <si>
    <t>M</t>
  </si>
  <si>
    <t>KS</t>
  </si>
  <si>
    <t>JBU</t>
  </si>
  <si>
    <t>not tagged</t>
  </si>
  <si>
    <t>CS</t>
  </si>
  <si>
    <t>not tagged, open wound above anal fin</t>
  </si>
  <si>
    <t>smooth as silk</t>
  </si>
  <si>
    <t>20140623 KBMatthews</t>
  </si>
  <si>
    <t>Caught</t>
  </si>
  <si>
    <t>Tagged</t>
  </si>
  <si>
    <t>CN (&gt;= 50 cm)</t>
  </si>
  <si>
    <t>CN (&lt; 50 cm)</t>
  </si>
  <si>
    <t>thru 6/24</t>
  </si>
  <si>
    <t>Quota</t>
  </si>
  <si>
    <t>% of Quota</t>
  </si>
  <si>
    <t>bk,la</t>
  </si>
  <si>
    <t>moved wheel out 6 feet 8:38-8:52</t>
  </si>
  <si>
    <t>20140624 LAckein</t>
  </si>
  <si>
    <t>20140624 KMatthews</t>
  </si>
  <si>
    <t>20140624 JBerry</t>
  </si>
  <si>
    <t>20140624 BKalb</t>
  </si>
  <si>
    <t>jbu,kbm</t>
  </si>
  <si>
    <t>20140624 KShippen</t>
  </si>
  <si>
    <t>20140624 JBuris</t>
  </si>
  <si>
    <t>20140625 DRobichaud</t>
  </si>
  <si>
    <t>FW_Scan_20140624.pdf</t>
  </si>
  <si>
    <t>fish escaped prior to tag insertion</t>
  </si>
  <si>
    <t>great condition</t>
  </si>
  <si>
    <t>not tagged, small wounds along side</t>
  </si>
  <si>
    <t>147 K</t>
  </si>
  <si>
    <t>148 K</t>
  </si>
  <si>
    <t>150 K</t>
  </si>
  <si>
    <t>149 K</t>
  </si>
  <si>
    <t>151 K</t>
  </si>
  <si>
    <t>153 K</t>
  </si>
  <si>
    <t>154 K</t>
  </si>
  <si>
    <t>168 K</t>
  </si>
  <si>
    <t>169 K</t>
  </si>
  <si>
    <t>170 K</t>
  </si>
  <si>
    <t>152 K</t>
  </si>
  <si>
    <t>155 K</t>
  </si>
  <si>
    <t>166 K</t>
  </si>
  <si>
    <t>167 K</t>
  </si>
  <si>
    <t>140 K</t>
  </si>
  <si>
    <t>141 K</t>
  </si>
  <si>
    <t>142 K</t>
  </si>
  <si>
    <t>143 K</t>
  </si>
  <si>
    <t>144 K</t>
  </si>
  <si>
    <t>156 K</t>
  </si>
  <si>
    <t>157 K</t>
  </si>
  <si>
    <t>158 K</t>
  </si>
  <si>
    <t>159 K</t>
  </si>
  <si>
    <t>160 K</t>
  </si>
  <si>
    <t>161 K</t>
  </si>
  <si>
    <t>162 K</t>
  </si>
  <si>
    <t>163 K</t>
  </si>
  <si>
    <t>164 K</t>
  </si>
  <si>
    <t>165 K</t>
  </si>
  <si>
    <t>171 K</t>
  </si>
  <si>
    <t>172 K</t>
  </si>
  <si>
    <t>173 K</t>
  </si>
  <si>
    <t>174 K</t>
  </si>
  <si>
    <t>175 K</t>
  </si>
  <si>
    <t>176 K</t>
  </si>
  <si>
    <t>177 K</t>
  </si>
  <si>
    <t>178 K</t>
  </si>
  <si>
    <t>179 K</t>
  </si>
  <si>
    <t>180 K</t>
  </si>
  <si>
    <t>181 K</t>
  </si>
  <si>
    <t>182 K</t>
  </si>
  <si>
    <t>183 K</t>
  </si>
  <si>
    <t>184 K</t>
  </si>
  <si>
    <t>185 K</t>
  </si>
  <si>
    <t>186 K</t>
  </si>
  <si>
    <t>187 K</t>
  </si>
  <si>
    <t>188 K</t>
  </si>
  <si>
    <t>189 K</t>
  </si>
  <si>
    <t>190 K</t>
  </si>
  <si>
    <t>191 K</t>
  </si>
  <si>
    <t>192 K</t>
  </si>
  <si>
    <t>193 K</t>
  </si>
  <si>
    <t>194 K</t>
  </si>
  <si>
    <t>195 K</t>
  </si>
  <si>
    <t>196 K</t>
  </si>
  <si>
    <t>197 K</t>
  </si>
  <si>
    <t>198 K</t>
  </si>
  <si>
    <t>199 K</t>
  </si>
  <si>
    <t>200 K</t>
  </si>
  <si>
    <t>201 K</t>
  </si>
  <si>
    <t>202 K</t>
  </si>
  <si>
    <t>203 K</t>
  </si>
  <si>
    <t>204 K</t>
  </si>
  <si>
    <t>205 K</t>
  </si>
  <si>
    <t>206 K</t>
  </si>
  <si>
    <t>207 K</t>
  </si>
  <si>
    <t>208 K</t>
  </si>
  <si>
    <t>209 K</t>
  </si>
  <si>
    <t>210 K</t>
  </si>
  <si>
    <t>211 K</t>
  </si>
  <si>
    <t>212 K</t>
  </si>
  <si>
    <t>213 K</t>
  </si>
  <si>
    <t>214 K</t>
  </si>
  <si>
    <t>215 K</t>
  </si>
  <si>
    <t>216 K</t>
  </si>
  <si>
    <t>217 K</t>
  </si>
  <si>
    <t>218 K</t>
  </si>
  <si>
    <t>219 K</t>
  </si>
  <si>
    <t>220 K</t>
  </si>
  <si>
    <t>221 K</t>
  </si>
  <si>
    <t>222 K</t>
  </si>
  <si>
    <t>223 K</t>
  </si>
  <si>
    <t>224 K</t>
  </si>
  <si>
    <t>225 K</t>
  </si>
  <si>
    <t>226 K</t>
  </si>
  <si>
    <t>227 K</t>
  </si>
  <si>
    <t>228 K</t>
  </si>
  <si>
    <t>229 K</t>
  </si>
  <si>
    <t>230 K</t>
  </si>
  <si>
    <t>231 K</t>
  </si>
  <si>
    <t>232 K</t>
  </si>
  <si>
    <t>233 K</t>
  </si>
  <si>
    <t>234 K</t>
  </si>
  <si>
    <t>235 K</t>
  </si>
  <si>
    <t>236 K</t>
  </si>
  <si>
    <t>237 K</t>
  </si>
  <si>
    <t>238 K</t>
  </si>
  <si>
    <t>239 K</t>
  </si>
  <si>
    <t>240 K</t>
  </si>
  <si>
    <t>241 K</t>
  </si>
  <si>
    <t>242 K</t>
  </si>
  <si>
    <t>243 K</t>
  </si>
  <si>
    <t>244 K</t>
  </si>
  <si>
    <t>245 K</t>
  </si>
  <si>
    <t>246 K</t>
  </si>
  <si>
    <t>247 K</t>
  </si>
  <si>
    <t>248 K</t>
  </si>
  <si>
    <t>249 K</t>
  </si>
  <si>
    <t>250 K</t>
  </si>
  <si>
    <t>251 K</t>
  </si>
  <si>
    <t>252 K</t>
  </si>
  <si>
    <t>253 K</t>
  </si>
  <si>
    <t>254 K</t>
  </si>
  <si>
    <t>255 K</t>
  </si>
  <si>
    <t>256 K</t>
  </si>
  <si>
    <t>257 K</t>
  </si>
  <si>
    <t>258 K</t>
  </si>
  <si>
    <t>259 K</t>
  </si>
  <si>
    <t>260 K</t>
  </si>
  <si>
    <t>261 K</t>
  </si>
  <si>
    <t>262 K</t>
  </si>
  <si>
    <t>263 K</t>
  </si>
  <si>
    <t>264 K</t>
  </si>
  <si>
    <t>265 K</t>
  </si>
  <si>
    <t>266 K</t>
  </si>
  <si>
    <t>267 K</t>
  </si>
  <si>
    <t>268 K</t>
  </si>
  <si>
    <t>269 K</t>
  </si>
  <si>
    <t>270 K</t>
  </si>
  <si>
    <t>271 K</t>
  </si>
  <si>
    <t>272 K</t>
  </si>
  <si>
    <t>273 K</t>
  </si>
  <si>
    <t>274 K</t>
  </si>
  <si>
    <t>275 K</t>
  </si>
  <si>
    <t>276 K</t>
  </si>
  <si>
    <t>277 K</t>
  </si>
  <si>
    <t>278 K</t>
  </si>
  <si>
    <t>279 K</t>
  </si>
  <si>
    <t>280 K</t>
  </si>
  <si>
    <t>281 K</t>
  </si>
  <si>
    <t>282 K</t>
  </si>
  <si>
    <t>283 K</t>
  </si>
  <si>
    <t>284 K</t>
  </si>
  <si>
    <t>285 K</t>
  </si>
  <si>
    <t>286 K</t>
  </si>
  <si>
    <t>287 K</t>
  </si>
  <si>
    <t>288 K</t>
  </si>
  <si>
    <t>289 K</t>
  </si>
  <si>
    <t>290 K</t>
  </si>
  <si>
    <t>291 K</t>
  </si>
  <si>
    <t>292 K</t>
  </si>
  <si>
    <t>293 K</t>
  </si>
  <si>
    <t>294 K</t>
  </si>
  <si>
    <t>295 K</t>
  </si>
  <si>
    <t>296 K</t>
  </si>
  <si>
    <t>297 K</t>
  </si>
  <si>
    <t>298 K</t>
  </si>
  <si>
    <t>299 K</t>
  </si>
  <si>
    <t>300 K</t>
  </si>
  <si>
    <t>301 K</t>
  </si>
  <si>
    <t>302 K</t>
  </si>
  <si>
    <t>303 K</t>
  </si>
  <si>
    <t>304 K</t>
  </si>
  <si>
    <t>305 K</t>
  </si>
  <si>
    <t>306 K</t>
  </si>
  <si>
    <t>307 K</t>
  </si>
  <si>
    <t>308 K</t>
  </si>
  <si>
    <t>309 K</t>
  </si>
  <si>
    <t>310 K</t>
  </si>
  <si>
    <t>311 K</t>
  </si>
  <si>
    <t>312 K</t>
  </si>
  <si>
    <t>313 K</t>
  </si>
  <si>
    <t>314 K</t>
  </si>
  <si>
    <t>315 K</t>
  </si>
  <si>
    <t>316 K</t>
  </si>
  <si>
    <t>317 K</t>
  </si>
  <si>
    <t>318 K</t>
  </si>
  <si>
    <t>319 K</t>
  </si>
  <si>
    <t>320 K</t>
  </si>
  <si>
    <t>321 K</t>
  </si>
  <si>
    <t>322 K</t>
  </si>
  <si>
    <t>323 K</t>
  </si>
  <si>
    <t>324 K</t>
  </si>
  <si>
    <t>325 K</t>
  </si>
  <si>
    <t>326 K</t>
  </si>
  <si>
    <t>327 K</t>
  </si>
  <si>
    <t>328 K</t>
  </si>
  <si>
    <t>329 K</t>
  </si>
  <si>
    <t>330 K</t>
  </si>
  <si>
    <t>331 K</t>
  </si>
  <si>
    <t>332 K</t>
  </si>
  <si>
    <t>333 K</t>
  </si>
  <si>
    <t>334 K</t>
  </si>
  <si>
    <t>335 K</t>
  </si>
  <si>
    <t>336 K</t>
  </si>
  <si>
    <t>337 K</t>
  </si>
  <si>
    <t>338 K</t>
  </si>
  <si>
    <t>339 K</t>
  </si>
  <si>
    <t>340 K</t>
  </si>
  <si>
    <t>341 K</t>
  </si>
  <si>
    <t>342 K</t>
  </si>
  <si>
    <t>343 K</t>
  </si>
  <si>
    <t>344 K</t>
  </si>
  <si>
    <t>345 K</t>
  </si>
  <si>
    <t>346 K</t>
  </si>
  <si>
    <t>347 K</t>
  </si>
  <si>
    <t>348 K</t>
  </si>
  <si>
    <t>349 K</t>
  </si>
  <si>
    <t>350 K</t>
  </si>
  <si>
    <t>351 K</t>
  </si>
  <si>
    <t>352 K</t>
  </si>
  <si>
    <t>353 K</t>
  </si>
  <si>
    <t>354 K</t>
  </si>
  <si>
    <t>355 K</t>
  </si>
  <si>
    <t>356 K</t>
  </si>
  <si>
    <t>357 K</t>
  </si>
  <si>
    <t>358 K</t>
  </si>
  <si>
    <t>359 K</t>
  </si>
  <si>
    <t>360 K</t>
  </si>
  <si>
    <t>361 K</t>
  </si>
  <si>
    <t>362 K</t>
  </si>
  <si>
    <t>363 K</t>
  </si>
  <si>
    <t>364 K</t>
  </si>
  <si>
    <t>365 K</t>
  </si>
  <si>
    <t>366 K</t>
  </si>
  <si>
    <t>367 K</t>
  </si>
  <si>
    <t>368 K</t>
  </si>
  <si>
    <t>369 K</t>
  </si>
  <si>
    <t>370 K</t>
  </si>
  <si>
    <t>371 K</t>
  </si>
  <si>
    <t>372 K</t>
  </si>
  <si>
    <t>373 K</t>
  </si>
  <si>
    <t>374 K</t>
  </si>
  <si>
    <t>375 K</t>
  </si>
  <si>
    <t>376 K</t>
  </si>
  <si>
    <t>377 K</t>
  </si>
  <si>
    <t>378 K</t>
  </si>
  <si>
    <t>379 K</t>
  </si>
  <si>
    <t>380 K</t>
  </si>
  <si>
    <t>381 K</t>
  </si>
  <si>
    <t>382 K</t>
  </si>
  <si>
    <t>383 K</t>
  </si>
  <si>
    <t>384 K</t>
  </si>
  <si>
    <t>385 K</t>
  </si>
  <si>
    <t>386 K</t>
  </si>
  <si>
    <t>387 K</t>
  </si>
  <si>
    <t>388 K</t>
  </si>
  <si>
    <t>389 K</t>
  </si>
  <si>
    <t>390 K</t>
  </si>
  <si>
    <t>391 K</t>
  </si>
  <si>
    <t>392 K</t>
  </si>
  <si>
    <t>393 K</t>
  </si>
  <si>
    <t>394 K</t>
  </si>
  <si>
    <t>395 K</t>
  </si>
  <si>
    <t>396 K</t>
  </si>
  <si>
    <t>397 K</t>
  </si>
  <si>
    <t>398 K</t>
  </si>
  <si>
    <t>399 K</t>
  </si>
  <si>
    <t>400 K</t>
  </si>
  <si>
    <t>401 K</t>
  </si>
  <si>
    <t>402 K</t>
  </si>
  <si>
    <t>403 K</t>
  </si>
  <si>
    <t>404 K</t>
  </si>
  <si>
    <t>405 K</t>
  </si>
  <si>
    <t>406 K</t>
  </si>
  <si>
    <t>407 K</t>
  </si>
  <si>
    <t>408 K</t>
  </si>
  <si>
    <t>409 K</t>
  </si>
  <si>
    <t>410 K</t>
  </si>
  <si>
    <t>411 K</t>
  </si>
  <si>
    <t>412 K</t>
  </si>
  <si>
    <t>413 K</t>
  </si>
  <si>
    <t>414 K</t>
  </si>
  <si>
    <t>415 K</t>
  </si>
  <si>
    <t>416 K</t>
  </si>
  <si>
    <t>417 K</t>
  </si>
  <si>
    <t>418 K</t>
  </si>
  <si>
    <t>419 K</t>
  </si>
  <si>
    <t>420 K</t>
  </si>
  <si>
    <t>421 K</t>
  </si>
  <si>
    <t>422 K</t>
  </si>
  <si>
    <t>423 K</t>
  </si>
  <si>
    <t>424 K</t>
  </si>
  <si>
    <t>425 K</t>
  </si>
  <si>
    <t>426 K</t>
  </si>
  <si>
    <t>427 K</t>
  </si>
  <si>
    <t>428 K</t>
  </si>
  <si>
    <t>429 K</t>
  </si>
  <si>
    <t>430 K</t>
  </si>
  <si>
    <t>431 K</t>
  </si>
  <si>
    <t>432 K</t>
  </si>
  <si>
    <t>433 K</t>
  </si>
  <si>
    <t>434 K</t>
  </si>
  <si>
    <t>435 K</t>
  </si>
  <si>
    <t>436 K</t>
  </si>
  <si>
    <t>437 K</t>
  </si>
  <si>
    <t>438 K</t>
  </si>
  <si>
    <t>439 K</t>
  </si>
  <si>
    <t>440 K</t>
  </si>
  <si>
    <t>441 K</t>
  </si>
  <si>
    <t>442 K</t>
  </si>
  <si>
    <t>443 K</t>
  </si>
  <si>
    <t>444 K</t>
  </si>
  <si>
    <t>445 K</t>
  </si>
  <si>
    <t>446 K</t>
  </si>
  <si>
    <t>447 K</t>
  </si>
  <si>
    <t>448 K</t>
  </si>
  <si>
    <t>449 K</t>
  </si>
  <si>
    <t>450 K</t>
  </si>
  <si>
    <t>451 K</t>
  </si>
  <si>
    <t>452 K</t>
  </si>
  <si>
    <t>453 K</t>
  </si>
  <si>
    <t>454 K</t>
  </si>
  <si>
    <t>455 K</t>
  </si>
  <si>
    <t>456 K</t>
  </si>
  <si>
    <t>457 K</t>
  </si>
  <si>
    <t>458 K</t>
  </si>
  <si>
    <t>459 K</t>
  </si>
  <si>
    <t>460 K</t>
  </si>
  <si>
    <t>461 K</t>
  </si>
  <si>
    <t>462 K</t>
  </si>
  <si>
    <t>463 K</t>
  </si>
  <si>
    <t>464 K</t>
  </si>
  <si>
    <t>465 K</t>
  </si>
  <si>
    <t>466 K</t>
  </si>
  <si>
    <t>467 K</t>
  </si>
  <si>
    <t>468 K</t>
  </si>
  <si>
    <t>469 K</t>
  </si>
  <si>
    <t>470 K</t>
  </si>
  <si>
    <t>471 K</t>
  </si>
  <si>
    <t>472 K</t>
  </si>
  <si>
    <t>473 K</t>
  </si>
  <si>
    <t>474 K</t>
  </si>
  <si>
    <t>475 K</t>
  </si>
  <si>
    <t>476 K</t>
  </si>
  <si>
    <t>477 K</t>
  </si>
  <si>
    <t>478 K</t>
  </si>
  <si>
    <t>479 K</t>
  </si>
  <si>
    <t>480 K</t>
  </si>
  <si>
    <t>481 K</t>
  </si>
  <si>
    <t>482 K</t>
  </si>
  <si>
    <t>483 K</t>
  </si>
  <si>
    <t>484 K</t>
  </si>
  <si>
    <t>485 K</t>
  </si>
  <si>
    <t>486 K</t>
  </si>
  <si>
    <t>487 K</t>
  </si>
  <si>
    <t>488 K</t>
  </si>
  <si>
    <t>489 K</t>
  </si>
  <si>
    <t>490 K</t>
  </si>
  <si>
    <t>491 K</t>
  </si>
  <si>
    <t>492 K</t>
  </si>
  <si>
    <t>493 K</t>
  </si>
  <si>
    <t>494 K</t>
  </si>
  <si>
    <t>495 K</t>
  </si>
  <si>
    <t>496 K</t>
  </si>
  <si>
    <t>497 K</t>
  </si>
  <si>
    <t>498 K</t>
  </si>
  <si>
    <t>499 K</t>
  </si>
  <si>
    <t>500 K</t>
  </si>
  <si>
    <t>501 K</t>
  </si>
  <si>
    <t>502 K</t>
  </si>
  <si>
    <t>503 K</t>
  </si>
  <si>
    <t>504 K</t>
  </si>
  <si>
    <t>505 K</t>
  </si>
  <si>
    <t>506 K</t>
  </si>
  <si>
    <t>507 K</t>
  </si>
  <si>
    <t>508 K</t>
  </si>
  <si>
    <t>509 K</t>
  </si>
  <si>
    <t>510 K</t>
  </si>
  <si>
    <t>511 K</t>
  </si>
  <si>
    <t>512 K</t>
  </si>
  <si>
    <t>513 K</t>
  </si>
  <si>
    <t>514 K</t>
  </si>
  <si>
    <t>515 K</t>
  </si>
  <si>
    <t>516 K</t>
  </si>
  <si>
    <t>517 K</t>
  </si>
  <si>
    <t>518 K</t>
  </si>
  <si>
    <t>519 K</t>
  </si>
  <si>
    <t>520 K</t>
  </si>
  <si>
    <t>521 K</t>
  </si>
  <si>
    <t>522 K</t>
  </si>
  <si>
    <t>523 K</t>
  </si>
  <si>
    <t>524 K</t>
  </si>
  <si>
    <t>525 K</t>
  </si>
  <si>
    <t>526 K</t>
  </si>
  <si>
    <t>527 K</t>
  </si>
  <si>
    <t>528 K</t>
  </si>
  <si>
    <t>529 K</t>
  </si>
  <si>
    <t>530 K</t>
  </si>
  <si>
    <t>531 K</t>
  </si>
  <si>
    <t>532 K</t>
  </si>
  <si>
    <t>533 K</t>
  </si>
  <si>
    <t>534 K</t>
  </si>
  <si>
    <t>535 K</t>
  </si>
  <si>
    <t>536 K</t>
  </si>
  <si>
    <t>537 K</t>
  </si>
  <si>
    <t>538 K</t>
  </si>
  <si>
    <t>539 K</t>
  </si>
  <si>
    <t>540 K</t>
  </si>
  <si>
    <t>541 K</t>
  </si>
  <si>
    <t>542 K</t>
  </si>
  <si>
    <t>543 K</t>
  </si>
  <si>
    <t>544 K</t>
  </si>
  <si>
    <t>545 K</t>
  </si>
  <si>
    <t>546 K</t>
  </si>
  <si>
    <t>547 K</t>
  </si>
  <si>
    <t>548 K</t>
  </si>
  <si>
    <t>549 K</t>
  </si>
  <si>
    <t>550 K</t>
  </si>
  <si>
    <t>551 K</t>
  </si>
  <si>
    <t>552 K</t>
  </si>
  <si>
    <t>553 K</t>
  </si>
  <si>
    <t>554 K</t>
  </si>
  <si>
    <t>555 K</t>
  </si>
  <si>
    <t>556 K</t>
  </si>
  <si>
    <t>557 K</t>
  </si>
  <si>
    <t>558 K</t>
  </si>
  <si>
    <t>559 K</t>
  </si>
  <si>
    <t>560 K</t>
  </si>
  <si>
    <t>561 K</t>
  </si>
  <si>
    <t>562 K</t>
  </si>
  <si>
    <t>563 K</t>
  </si>
  <si>
    <t>564 K</t>
  </si>
  <si>
    <t>565 K</t>
  </si>
  <si>
    <t>566 K</t>
  </si>
  <si>
    <t>567 K</t>
  </si>
  <si>
    <t>568 K</t>
  </si>
  <si>
    <t>569 K</t>
  </si>
  <si>
    <t>570 K</t>
  </si>
  <si>
    <t>571 K</t>
  </si>
  <si>
    <t>572 K</t>
  </si>
  <si>
    <t>573 K</t>
  </si>
  <si>
    <t>574 K</t>
  </si>
  <si>
    <t>575 K</t>
  </si>
  <si>
    <t>576 K</t>
  </si>
  <si>
    <t>577 K</t>
  </si>
  <si>
    <t>578 K</t>
  </si>
  <si>
    <t>579 K</t>
  </si>
  <si>
    <t>580 K</t>
  </si>
  <si>
    <t>581 K</t>
  </si>
  <si>
    <t>582 K</t>
  </si>
  <si>
    <t>583 K</t>
  </si>
  <si>
    <t>584 K</t>
  </si>
  <si>
    <t>585 K</t>
  </si>
  <si>
    <t>586 K</t>
  </si>
  <si>
    <t>587 K</t>
  </si>
  <si>
    <t>588 K</t>
  </si>
  <si>
    <t>589 K</t>
  </si>
  <si>
    <t>590 K</t>
  </si>
  <si>
    <t>591 K</t>
  </si>
  <si>
    <t>592 K</t>
  </si>
  <si>
    <t>593 K</t>
  </si>
  <si>
    <t>594 K</t>
  </si>
  <si>
    <t>595 K</t>
  </si>
  <si>
    <t>596 K</t>
  </si>
  <si>
    <t>597 K</t>
  </si>
  <si>
    <t>598 K</t>
  </si>
  <si>
    <t>599 K</t>
  </si>
  <si>
    <t>600 K</t>
  </si>
  <si>
    <t>didn't swim off strongly</t>
  </si>
  <si>
    <t>20140624 KBMatthews</t>
  </si>
  <si>
    <t>bk,ks</t>
  </si>
  <si>
    <t>20140625 BKalb</t>
  </si>
  <si>
    <t>20140625 KMatthews</t>
  </si>
  <si>
    <t>20140625 KShippen</t>
  </si>
  <si>
    <t>20140626 DRobichaud</t>
  </si>
  <si>
    <t>20140625 CSejkora</t>
  </si>
  <si>
    <t>wc,sb</t>
  </si>
  <si>
    <t>jbu,jb</t>
  </si>
  <si>
    <t>20140624 WChallenger</t>
  </si>
  <si>
    <t>FW_Scan_20140625.pdf</t>
  </si>
  <si>
    <t>CSj</t>
  </si>
  <si>
    <t>fish would not retain tag</t>
  </si>
  <si>
    <t>20140625 KBMatthews</t>
  </si>
  <si>
    <t>13:39</t>
  </si>
  <si>
    <t>17:18</t>
  </si>
  <si>
    <t>22:15</t>
  </si>
  <si>
    <t>JBu</t>
  </si>
  <si>
    <t>20140625 LAckein</t>
  </si>
  <si>
    <t>20140625 JBerry</t>
  </si>
  <si>
    <t>20140625 JBuris</t>
  </si>
  <si>
    <t>dr</t>
  </si>
  <si>
    <t>wheels did not run today due to high debris load in rapidly rising river.</t>
  </si>
  <si>
    <t>made checks of wheel throughout day to clear out larger chunks of debris (logs, trunks, etc)</t>
  </si>
  <si>
    <t>20140627 DRobichaud</t>
  </si>
  <si>
    <t>FW_Scan_20140626.pdf</t>
  </si>
  <si>
    <t>wheels did not run today due to high debris load in river</t>
  </si>
  <si>
    <t>FW_Scan_20140627.pdf</t>
  </si>
  <si>
    <t>20140628 DRobichaud</t>
  </si>
  <si>
    <t>la,ks,cj,jg,jk,dr</t>
  </si>
  <si>
    <t>moved fishwheel from secure-non fishing position, revs at 07:23 am 34, moved fw @ 07:50 am, revs at 33 jk.</t>
  </si>
  <si>
    <t>as,qb</t>
  </si>
  <si>
    <t>bk,wc</t>
  </si>
  <si>
    <t>la,jg</t>
  </si>
  <si>
    <t>baskets raised @ 16:04- hole in basket net mended, slide tab replaced where missing, lowered @ 1630</t>
  </si>
  <si>
    <t>csj,jk</t>
  </si>
  <si>
    <t>20140629 LAckein</t>
  </si>
  <si>
    <t>20140628 AStephens</t>
  </si>
  <si>
    <t>20140628 WChallenger</t>
  </si>
  <si>
    <t>20140628 JGraham</t>
  </si>
  <si>
    <t xml:space="preserve">dr,wc </t>
  </si>
  <si>
    <t>1 CN escaped while processing</t>
  </si>
  <si>
    <t>bk,qb</t>
  </si>
  <si>
    <t>fishwheel left running overnight</t>
  </si>
  <si>
    <t>20140628 JKunzler</t>
  </si>
  <si>
    <t>20140628 BKalb</t>
  </si>
  <si>
    <t>wc,dr</t>
  </si>
  <si>
    <t>qb,bk</t>
  </si>
  <si>
    <t>20140628 Qberger</t>
  </si>
  <si>
    <t>did not fish today due to high water</t>
  </si>
  <si>
    <t>09:17</t>
  </si>
  <si>
    <t>11:13</t>
  </si>
  <si>
    <t>20140628 LAckein</t>
  </si>
  <si>
    <t>17:14</t>
  </si>
  <si>
    <t>11:20</t>
  </si>
  <si>
    <t>11:52</t>
  </si>
  <si>
    <t>12:58</t>
  </si>
  <si>
    <t>15:05</t>
  </si>
  <si>
    <t>17:04</t>
  </si>
  <si>
    <t>17:07</t>
  </si>
  <si>
    <t>18:36</t>
  </si>
  <si>
    <t>18:40</t>
  </si>
  <si>
    <t>19:01</t>
  </si>
  <si>
    <t>21:07</t>
  </si>
  <si>
    <t>QB</t>
  </si>
  <si>
    <t>20140628 CSejkora</t>
  </si>
  <si>
    <t>22:29</t>
  </si>
  <si>
    <t>out 13:04-13:20 to get out log.  Subtracted down time from fishing effort calculation (col J)</t>
  </si>
  <si>
    <t>20140629 DRobichaud</t>
  </si>
  <si>
    <t>FW_Scan_20140628.pdf</t>
  </si>
  <si>
    <t>Y</t>
  </si>
  <si>
    <t>N</t>
  </si>
  <si>
    <t>looked like fish released 3 minutes earlier</t>
  </si>
  <si>
    <t>wouldn't take tag at first</t>
  </si>
  <si>
    <t>probably recaptured 3 minutes later</t>
  </si>
  <si>
    <t>no SO tag on fishwheel, fish released.</t>
  </si>
  <si>
    <t>20140629 JGraham</t>
  </si>
  <si>
    <t>20140629 WChallenger</t>
  </si>
  <si>
    <t>20140630 DRobichaud</t>
  </si>
  <si>
    <t>dropped on release</t>
  </si>
  <si>
    <t>20140629 JKunzler</t>
  </si>
  <si>
    <t>cs,jg,dr</t>
  </si>
  <si>
    <t>wc,as</t>
  </si>
  <si>
    <t>cs,jg</t>
  </si>
  <si>
    <t>jk,la,dr</t>
  </si>
  <si>
    <t>dr,qb</t>
  </si>
  <si>
    <t>FW_Scan_20140629.pdf</t>
  </si>
  <si>
    <t>20140628 QBerger</t>
  </si>
  <si>
    <t>20140629 CSejkora</t>
  </si>
  <si>
    <t>20140629 AStephens</t>
  </si>
  <si>
    <t>20140629 QBerger</t>
  </si>
  <si>
    <t>cleaned lead net at 18:00</t>
  </si>
  <si>
    <t>thermometer broken</t>
  </si>
  <si>
    <t>jk,csj</t>
  </si>
  <si>
    <t>20140630 JKunzler</t>
  </si>
  <si>
    <t>bk,as</t>
  </si>
  <si>
    <t>cleaned lead net, fixed live tank pin</t>
  </si>
  <si>
    <t>jg,la,dj</t>
  </si>
  <si>
    <t>dr, wc</t>
  </si>
  <si>
    <t>20140630 BKalb</t>
  </si>
  <si>
    <t>20140630 LAckein</t>
  </si>
  <si>
    <t>dr,wc</t>
  </si>
  <si>
    <t>la,jg,dj</t>
  </si>
  <si>
    <t xml:space="preserve">wc,dr </t>
  </si>
  <si>
    <t>wc,qb</t>
  </si>
  <si>
    <t>back spar poles in.  Lowered fw at 17:02.  3 revs at 0:48!</t>
  </si>
  <si>
    <t>05:47</t>
  </si>
  <si>
    <t>s</t>
  </si>
  <si>
    <t>05:52</t>
  </si>
  <si>
    <t>05:55</t>
  </si>
  <si>
    <t>05:57</t>
  </si>
  <si>
    <t>05:59</t>
  </si>
  <si>
    <t>06:03</t>
  </si>
  <si>
    <t>p no tag, bleeding from gills</t>
  </si>
  <si>
    <t>06:06</t>
  </si>
  <si>
    <t xml:space="preserve">p </t>
  </si>
  <si>
    <t>06:09</t>
  </si>
  <si>
    <t>p small wound on back</t>
  </si>
  <si>
    <t>06:10</t>
  </si>
  <si>
    <t>p</t>
  </si>
  <si>
    <t>06:13</t>
  </si>
  <si>
    <t>p end of overnight fish</t>
  </si>
  <si>
    <t>06:18</t>
  </si>
  <si>
    <t>06:20</t>
  </si>
  <si>
    <t>p end of overnight fish. Genetics taken.  LA thinks it was 25 cm</t>
  </si>
  <si>
    <t>06:58</t>
  </si>
  <si>
    <t>07:26</t>
  </si>
  <si>
    <t>07:32</t>
  </si>
  <si>
    <t>08:20</t>
  </si>
  <si>
    <t>09:37</t>
  </si>
  <si>
    <t>10:28</t>
  </si>
  <si>
    <t>10:34</t>
  </si>
  <si>
    <t xml:space="preserve">12:10 </t>
  </si>
  <si>
    <t>12:14</t>
  </si>
  <si>
    <t>Fatty!</t>
  </si>
  <si>
    <t>12:50</t>
  </si>
  <si>
    <t>1 S</t>
  </si>
  <si>
    <t>12:57</t>
  </si>
  <si>
    <t>20140630 AStephens</t>
  </si>
  <si>
    <t>13:56</t>
  </si>
  <si>
    <t>14:01</t>
  </si>
  <si>
    <t>15:08</t>
  </si>
  <si>
    <t>DJ</t>
  </si>
  <si>
    <t>15:14</t>
  </si>
  <si>
    <t>16:26</t>
  </si>
  <si>
    <t>wouldn't hold tag, no tag</t>
  </si>
  <si>
    <t>16:30</t>
  </si>
  <si>
    <t>17:01</t>
  </si>
  <si>
    <t>17:50</t>
  </si>
  <si>
    <t xml:space="preserve">18:03 </t>
  </si>
  <si>
    <t>19:35</t>
  </si>
  <si>
    <t>took 2 tries, 1st didn't take</t>
  </si>
  <si>
    <t>20:24</t>
  </si>
  <si>
    <t>21:06</t>
  </si>
  <si>
    <t>21:28</t>
  </si>
  <si>
    <t>fish dropped. Tag removed.</t>
  </si>
  <si>
    <t>21:51</t>
  </si>
  <si>
    <t>many scoops</t>
  </si>
  <si>
    <t>23:15</t>
  </si>
  <si>
    <t>06:37</t>
  </si>
  <si>
    <t>06:40</t>
  </si>
  <si>
    <t>20140630 JGraham</t>
  </si>
  <si>
    <t>06:42</t>
  </si>
  <si>
    <t>p minor tail wound. End night fish</t>
  </si>
  <si>
    <t>9:47</t>
  </si>
  <si>
    <t>17:44</t>
  </si>
  <si>
    <t>17:46</t>
  </si>
  <si>
    <t>20140630 CSejkora</t>
  </si>
  <si>
    <t>17:51</t>
  </si>
  <si>
    <t>19:41</t>
  </si>
  <si>
    <t>19:46</t>
  </si>
  <si>
    <t>19:48</t>
  </si>
  <si>
    <t>fresh wounds on operculum and gills. No tag.</t>
  </si>
  <si>
    <t>21:52</t>
  </si>
  <si>
    <t xml:space="preserve">22:58 </t>
  </si>
  <si>
    <t>20140630 QBerger</t>
  </si>
  <si>
    <t>20140701 DRobichaud</t>
  </si>
  <si>
    <t>13:42</t>
  </si>
  <si>
    <t xml:space="preserve">cleared lead net. </t>
  </si>
  <si>
    <t>20140630 WChallenger</t>
  </si>
  <si>
    <t>FW_Scan_20140630.pdf</t>
  </si>
  <si>
    <t>s  too small to tag</t>
  </si>
  <si>
    <t>code recorded as 40, sleuthed to 10</t>
  </si>
  <si>
    <t>s   medium wound on side, tissue only</t>
  </si>
  <si>
    <t>dropped, released untagged</t>
  </si>
  <si>
    <t>20140701 LAckein</t>
  </si>
  <si>
    <t>WF</t>
  </si>
  <si>
    <t>cute!</t>
  </si>
  <si>
    <t>many scoops, fiesty!</t>
  </si>
  <si>
    <t>fell through net, &lt; 20 cm</t>
  </si>
  <si>
    <t>slipped off of trough into water</t>
  </si>
  <si>
    <t>20140701 JGraham</t>
  </si>
  <si>
    <t>20140701 WChallenger</t>
  </si>
  <si>
    <t>22:12</t>
  </si>
  <si>
    <t>trough on deck - hard to tag, fish slid into water</t>
  </si>
  <si>
    <t>20140701 AStephens</t>
  </si>
  <si>
    <t>fish jumped out of trough, no tag</t>
  </si>
  <si>
    <t>too small to tag, possible recap of previous fish</t>
  </si>
  <si>
    <t>Bulk HW</t>
  </si>
  <si>
    <t>20140701 JKunzler</t>
  </si>
  <si>
    <t>20140701 QBerger</t>
  </si>
  <si>
    <t>THIS FISH WAS PREVIOUSLY TAGGED AS ID = 333 (WC notice Ax was previously clipped, later found 333's tag in the live tank)</t>
  </si>
  <si>
    <t>hit the deck, released with no info</t>
  </si>
  <si>
    <t>23:28</t>
  </si>
  <si>
    <t>P, night catch, Spag# 155027, wound not healed</t>
  </si>
  <si>
    <t>20140701 CSejkora</t>
  </si>
  <si>
    <t>code illegible, but sleuthed to 96</t>
  </si>
  <si>
    <t>la,dj,cg,csj,jk</t>
  </si>
  <si>
    <t>csj,jg</t>
  </si>
  <si>
    <t>as,wc</t>
  </si>
  <si>
    <t>la,dj,jg</t>
  </si>
  <si>
    <t>jg,csj</t>
  </si>
  <si>
    <t>la,dr,dj,jk</t>
  </si>
  <si>
    <t>1 un'IDed whitefish</t>
  </si>
  <si>
    <t>arrived at wheel at 18:50 it was not turning.  Liekly down time ~ 20 minutes</t>
  </si>
  <si>
    <t>wheel moved closer to shore, down 10 min, fishwheel left running overnight</t>
  </si>
  <si>
    <t>one CN (&gt;50) not biosampled</t>
  </si>
  <si>
    <t>20140701 BKalb</t>
  </si>
  <si>
    <t>20140702 AStephens</t>
  </si>
  <si>
    <t>FW_Scan_20140701.pdf</t>
  </si>
  <si>
    <t>17:30</t>
  </si>
  <si>
    <t>19:36</t>
  </si>
  <si>
    <t>21:16</t>
  </si>
  <si>
    <t>20140702 DRobichaud</t>
  </si>
  <si>
    <t>20140703 DRobichaud</t>
  </si>
  <si>
    <t>In TM</t>
  </si>
  <si>
    <t>wheel raised for 63 min to move wheel in and clear debris</t>
  </si>
  <si>
    <t>20140702 CSejkora</t>
  </si>
  <si>
    <t>csj,dj,jg</t>
  </si>
  <si>
    <t>arrived back at site 1 from site 2 at 17:00 to wheel stopped w/ debris.  Observed large tree penetrate the wheel puncturing net and breaking slide.</t>
  </si>
  <si>
    <t>20140702 DJohnson</t>
  </si>
  <si>
    <t>sad, sad fishwheel</t>
  </si>
  <si>
    <t>20140702 WChallenger</t>
  </si>
  <si>
    <t>20140702 JGraham</t>
  </si>
  <si>
    <t>no fish :(</t>
  </si>
  <si>
    <t>20140702 BKalb</t>
  </si>
  <si>
    <t>moved wheel into shore about 2 ft</t>
  </si>
  <si>
    <t>la,jk,dj</t>
  </si>
  <si>
    <t>20140702 JKunzler</t>
  </si>
  <si>
    <t>wheel jammed with log 14:04-14:13.</t>
  </si>
  <si>
    <t>20140702 QBerger</t>
  </si>
  <si>
    <t>dr,la,jk</t>
  </si>
  <si>
    <t>wheel jammed with log 1700-1722</t>
  </si>
  <si>
    <t>5:40</t>
  </si>
  <si>
    <t xml:space="preserve">s  </t>
  </si>
  <si>
    <t>5:44</t>
  </si>
  <si>
    <t>5:47</t>
  </si>
  <si>
    <t>11:17</t>
  </si>
  <si>
    <t>11:14</t>
  </si>
  <si>
    <t>13:44</t>
  </si>
  <si>
    <t>15:41</t>
  </si>
  <si>
    <t>19:07</t>
  </si>
  <si>
    <t>19:08</t>
  </si>
  <si>
    <t>19:32</t>
  </si>
  <si>
    <t>22:33</t>
  </si>
  <si>
    <t>tag took on second attempt</t>
  </si>
  <si>
    <t>11:23</t>
  </si>
  <si>
    <t>very small jack</t>
  </si>
  <si>
    <t>06:15</t>
  </si>
  <si>
    <t>Large Chinook</t>
  </si>
  <si>
    <t>6:18</t>
  </si>
  <si>
    <t>8:27</t>
  </si>
  <si>
    <t>10:37</t>
  </si>
  <si>
    <t>16:17</t>
  </si>
  <si>
    <t>18:47</t>
  </si>
  <si>
    <t>P</t>
  </si>
  <si>
    <t>06:04</t>
  </si>
  <si>
    <t>20140702 LAckein</t>
  </si>
  <si>
    <t>06:07</t>
  </si>
  <si>
    <t xml:space="preserve">S  </t>
  </si>
  <si>
    <t>S  end night fish</t>
  </si>
  <si>
    <t>07:06</t>
  </si>
  <si>
    <t>07:07</t>
  </si>
  <si>
    <t>slipped through net, released</t>
  </si>
  <si>
    <t>08:05</t>
  </si>
  <si>
    <t>09:41</t>
  </si>
  <si>
    <t>12:46</t>
  </si>
  <si>
    <t>12:52</t>
  </si>
  <si>
    <t>13:37</t>
  </si>
  <si>
    <t>14:23</t>
  </si>
  <si>
    <t>16:05</t>
  </si>
  <si>
    <t>silver</t>
  </si>
  <si>
    <t>18:32</t>
  </si>
  <si>
    <t>snaggle teeth</t>
  </si>
  <si>
    <t>18:26</t>
  </si>
  <si>
    <t>silvery</t>
  </si>
  <si>
    <t>18:35</t>
  </si>
  <si>
    <t>18:53</t>
  </si>
  <si>
    <t>20:06</t>
  </si>
  <si>
    <t>wc,bk,qb</t>
  </si>
  <si>
    <t>20140703 QBerger</t>
  </si>
  <si>
    <t xml:space="preserve">jg,la </t>
  </si>
  <si>
    <t>raised wheel to mend/repair hole in net (LA,JG).  Bolt on the right side of the wheel is stripped and needs replacing.  Will inform AS.</t>
  </si>
  <si>
    <t>20140703 EGora</t>
  </si>
  <si>
    <t>jg,la,eg</t>
  </si>
  <si>
    <t>as,hr,jk</t>
  </si>
  <si>
    <t>20140703 AStephens</t>
  </si>
  <si>
    <t>moved wheel out.  Left wheel fishing overnight.</t>
  </si>
  <si>
    <t>20140703 JGraham</t>
  </si>
  <si>
    <t>stopped fishwheel to mend hole in the net on the left side.  EG 7/3/14.  Winch on left side stopped working.  Net was mended;wheel remained half up.  Informed AS.</t>
  </si>
  <si>
    <t>wheel winch on P side is broken.  Wheel half way up.  Tied off.</t>
  </si>
  <si>
    <t>la,dj</t>
  </si>
  <si>
    <t>fishwheel stopeed when arrived at site, adjusted spar poles.  Repaired live tank boards.</t>
  </si>
  <si>
    <t>wheel stopped 14:00-14:10 for net mending.</t>
  </si>
  <si>
    <t xml:space="preserve">20140703 DRobichaud </t>
  </si>
  <si>
    <t>dj,csj</t>
  </si>
  <si>
    <t>20140703 BKalb</t>
  </si>
  <si>
    <t>7:10</t>
  </si>
  <si>
    <t xml:space="preserve">20140703 QBerger </t>
  </si>
  <si>
    <t>13:01</t>
  </si>
  <si>
    <t>13:03</t>
  </si>
  <si>
    <t>16:57</t>
  </si>
  <si>
    <t>17:39</t>
  </si>
  <si>
    <t>21:27</t>
  </si>
  <si>
    <t>20140703 JKunzler</t>
  </si>
  <si>
    <t>2 S</t>
  </si>
  <si>
    <t>11:08</t>
  </si>
  <si>
    <t>14:11</t>
  </si>
  <si>
    <t>arctic grayling</t>
  </si>
  <si>
    <t>14:13</t>
  </si>
  <si>
    <t>23:49</t>
  </si>
  <si>
    <t>wheel was only fishing half way down and still caught a fish.</t>
  </si>
  <si>
    <t>07:45</t>
  </si>
  <si>
    <t>20140703 LAckein</t>
  </si>
  <si>
    <t>07:51</t>
  </si>
  <si>
    <t>7:57</t>
  </si>
  <si>
    <t>hit the deck, released. No tag.</t>
  </si>
  <si>
    <t>13:33</t>
  </si>
  <si>
    <t>16:20</t>
  </si>
  <si>
    <t>20140703 CSejkora</t>
  </si>
  <si>
    <t>16:15</t>
  </si>
  <si>
    <t>19:24</t>
  </si>
  <si>
    <t>20:41</t>
  </si>
  <si>
    <t>19:59</t>
  </si>
  <si>
    <t>21:18</t>
  </si>
  <si>
    <t>p too small to tag</t>
  </si>
  <si>
    <t>23:23</t>
  </si>
  <si>
    <t>6:15</t>
  </si>
  <si>
    <t>6:08</t>
  </si>
  <si>
    <t>8:07</t>
  </si>
  <si>
    <t>20140705 DRobichaud</t>
  </si>
  <si>
    <t>20140703 WChallenger</t>
  </si>
  <si>
    <t>no bio on dv.  Smolt caught (10 cm, photos)</t>
  </si>
  <si>
    <t>FW_Scan_20140702_dr.pdf</t>
  </si>
  <si>
    <t>21:25</t>
  </si>
  <si>
    <t>smolt 1 (CN or CO, 13 cm)</t>
  </si>
  <si>
    <t>FW_Scan_20140703_dr.pdf</t>
  </si>
  <si>
    <t>wheel stopped at 8:50 due to debris damage.</t>
  </si>
  <si>
    <t>changed as per STC</t>
  </si>
  <si>
    <t>08:14</t>
  </si>
  <si>
    <t>Approx 95-100 cm MEF length. ADF&amp;G tag</t>
  </si>
  <si>
    <t>20140704 DJohnson</t>
  </si>
  <si>
    <t>20140707LFerreira</t>
  </si>
  <si>
    <t>12:34</t>
  </si>
  <si>
    <t>LF</t>
  </si>
  <si>
    <t>Fish was initially released at 12:20</t>
  </si>
  <si>
    <t>20140705 QBerger</t>
  </si>
  <si>
    <t>20:18</t>
  </si>
  <si>
    <t>20140706 AStephens</t>
  </si>
  <si>
    <t>06:27</t>
  </si>
  <si>
    <t>20140704 LAckein</t>
  </si>
  <si>
    <t>14:59</t>
  </si>
  <si>
    <t>20140704 JBerry</t>
  </si>
  <si>
    <t>15:09</t>
  </si>
  <si>
    <t>15:03</t>
  </si>
  <si>
    <t>escaped trough, approx 35 cm, no bio-too small</t>
  </si>
  <si>
    <t>17:13</t>
  </si>
  <si>
    <t>HR</t>
  </si>
  <si>
    <t>18:08</t>
  </si>
  <si>
    <t>19:38</t>
  </si>
  <si>
    <t>20140704 EGora</t>
  </si>
  <si>
    <t>20:51</t>
  </si>
  <si>
    <t>22:11</t>
  </si>
  <si>
    <t>training fish-inserted 3 times (first two LF, last AS)</t>
  </si>
  <si>
    <t>23:37</t>
  </si>
  <si>
    <t>23:44</t>
  </si>
  <si>
    <t>21:09</t>
  </si>
  <si>
    <t>LF/EG</t>
  </si>
  <si>
    <t xml:space="preserve">LF training fish; took 3xs to tag.  Third successful </t>
  </si>
  <si>
    <t>22:37</t>
  </si>
  <si>
    <t>LF/AS</t>
  </si>
  <si>
    <t>05:54</t>
  </si>
  <si>
    <t>08:02</t>
  </si>
  <si>
    <t>20140704 JKunzler</t>
  </si>
  <si>
    <t>10:52</t>
  </si>
  <si>
    <t>11:39</t>
  </si>
  <si>
    <t>11:38</t>
  </si>
  <si>
    <t>hit deck, no length, too small to tag</t>
  </si>
  <si>
    <t>12:11</t>
  </si>
  <si>
    <t>open lamprey wound on side</t>
  </si>
  <si>
    <t>14:19</t>
  </si>
  <si>
    <t>16:35</t>
  </si>
  <si>
    <t>18:06</t>
  </si>
  <si>
    <t>18:12</t>
  </si>
  <si>
    <t>18:15</t>
  </si>
  <si>
    <t>wouldn't take tag.  Released without</t>
  </si>
  <si>
    <t>19:51</t>
  </si>
  <si>
    <t>21:08</t>
  </si>
  <si>
    <t>vial 376</t>
  </si>
  <si>
    <t>21:14</t>
  </si>
  <si>
    <t>21:17</t>
  </si>
  <si>
    <t>21:58</t>
  </si>
  <si>
    <t>jumped out of trough, still tagged</t>
  </si>
  <si>
    <t>22:34</t>
  </si>
  <si>
    <t>22:39</t>
  </si>
  <si>
    <t>22:41</t>
  </si>
  <si>
    <t>23:27</t>
  </si>
  <si>
    <t>05:30</t>
  </si>
  <si>
    <t>20140705 HReider</t>
  </si>
  <si>
    <t>05:36</t>
  </si>
  <si>
    <t>2 attempts to seat tag</t>
  </si>
  <si>
    <t>05:40</t>
  </si>
  <si>
    <t>06:47</t>
  </si>
  <si>
    <t>08:17</t>
  </si>
  <si>
    <t>12:20</t>
  </si>
  <si>
    <t>20140705 LFerreira</t>
  </si>
  <si>
    <t>12:26</t>
  </si>
  <si>
    <t>vial 407 K</t>
  </si>
  <si>
    <t>14:28</t>
  </si>
  <si>
    <t xml:space="preserve">LF </t>
  </si>
  <si>
    <t>vial 410. tail hit deck on release</t>
  </si>
  <si>
    <t>Net cut tail when transferred into trough</t>
  </si>
  <si>
    <t>17:11</t>
  </si>
  <si>
    <t>jumped out of trough into river.  Not tagged</t>
  </si>
  <si>
    <t>1 CM</t>
  </si>
  <si>
    <t>18:14</t>
  </si>
  <si>
    <t>1st Chum!</t>
  </si>
  <si>
    <t>20:20</t>
  </si>
  <si>
    <t>20140705 JKunzler</t>
  </si>
  <si>
    <t>21:26</t>
  </si>
  <si>
    <t>jumped after tagged;no genetics</t>
  </si>
  <si>
    <t>FL 24</t>
  </si>
  <si>
    <t>23:33</t>
  </si>
  <si>
    <t>wounds on side tail</t>
  </si>
  <si>
    <t>fish found dead in net upon return to fishwheel</t>
  </si>
  <si>
    <t>20140705 JBerry</t>
  </si>
  <si>
    <t>9:32</t>
  </si>
  <si>
    <t>9:36</t>
  </si>
  <si>
    <t>9:39</t>
  </si>
  <si>
    <t>9:49</t>
  </si>
  <si>
    <t>11:10</t>
  </si>
  <si>
    <t>11:16</t>
  </si>
  <si>
    <t>13:25</t>
  </si>
  <si>
    <t>13:23</t>
  </si>
  <si>
    <t>13:34</t>
  </si>
  <si>
    <t>14:58</t>
  </si>
  <si>
    <t>hit the deck upon release</t>
  </si>
  <si>
    <t>15:04</t>
  </si>
  <si>
    <t>18:28</t>
  </si>
  <si>
    <t>22:08</t>
  </si>
  <si>
    <t>22:13</t>
  </si>
  <si>
    <t>22:17</t>
  </si>
  <si>
    <t>Jk</t>
  </si>
  <si>
    <t>20140705 JGraham</t>
  </si>
  <si>
    <t>06:02</t>
  </si>
  <si>
    <t>06:05</t>
  </si>
  <si>
    <t>S too small to tag</t>
  </si>
  <si>
    <t>06:11</t>
  </si>
  <si>
    <t xml:space="preserve">S </t>
  </si>
  <si>
    <t>07:23</t>
  </si>
  <si>
    <t>escaped with straw, tag probably held, no genetics</t>
  </si>
  <si>
    <t>08:50</t>
  </si>
  <si>
    <t>13:43</t>
  </si>
  <si>
    <t>13:47</t>
  </si>
  <si>
    <t>15:10</t>
  </si>
  <si>
    <t>16:16</t>
  </si>
  <si>
    <t>16:44</t>
  </si>
  <si>
    <t>16:48</t>
  </si>
  <si>
    <t>marks around body at back of head</t>
  </si>
  <si>
    <t>capture time 17:35</t>
  </si>
  <si>
    <t>shallow wound on side</t>
  </si>
  <si>
    <t>19:27</t>
  </si>
  <si>
    <t>fish got away, not tagged</t>
  </si>
  <si>
    <t>20140705 EGora</t>
  </si>
  <si>
    <t>20:31</t>
  </si>
  <si>
    <t>21:22</t>
  </si>
  <si>
    <t>22:35</t>
  </si>
  <si>
    <t>S</t>
  </si>
  <si>
    <t>20140706 DJohnson</t>
  </si>
  <si>
    <t>06:01</t>
  </si>
  <si>
    <t>3 S</t>
  </si>
  <si>
    <t>06:17</t>
  </si>
  <si>
    <t>06:21</t>
  </si>
  <si>
    <t>06:23</t>
  </si>
  <si>
    <t>06:28</t>
  </si>
  <si>
    <t>P Hit the deck, released. Too small to tag</t>
  </si>
  <si>
    <t>06:30</t>
  </si>
  <si>
    <t>06:32</t>
  </si>
  <si>
    <t>P end overnight fish</t>
  </si>
  <si>
    <t>09:32</t>
  </si>
  <si>
    <t>11:34</t>
  </si>
  <si>
    <t>hit the deck;checked tag still good</t>
  </si>
  <si>
    <t>20140706 JKunzler</t>
  </si>
  <si>
    <t>11:47</t>
  </si>
  <si>
    <t>11:45</t>
  </si>
  <si>
    <t>11:58</t>
  </si>
  <si>
    <t>12:04</t>
  </si>
  <si>
    <t>12:06</t>
  </si>
  <si>
    <t>14:08</t>
  </si>
  <si>
    <t>release time 14:08</t>
  </si>
  <si>
    <t>20140706 LFerreira</t>
  </si>
  <si>
    <t>14:12</t>
  </si>
  <si>
    <t>left eye injury-fresh blood</t>
  </si>
  <si>
    <t>14:24</t>
  </si>
  <si>
    <t>20140706 HReider</t>
  </si>
  <si>
    <t>15:36</t>
  </si>
  <si>
    <t>20140706 JBerry</t>
  </si>
  <si>
    <t>07:02</t>
  </si>
  <si>
    <t>10 S</t>
  </si>
  <si>
    <t>06:56</t>
  </si>
  <si>
    <t>damaged caudal fin</t>
  </si>
  <si>
    <t>08:43</t>
  </si>
  <si>
    <t>big gouge on nose, bloody, fresh injury</t>
  </si>
  <si>
    <t>22:56</t>
  </si>
  <si>
    <t>20140706 EGora</t>
  </si>
  <si>
    <t>P gash on rt side of head</t>
  </si>
  <si>
    <t>20140706 JGraham</t>
  </si>
  <si>
    <t>06:14</t>
  </si>
  <si>
    <t>S- hit deck on release,</t>
  </si>
  <si>
    <t>06:33</t>
  </si>
  <si>
    <t>07:29</t>
  </si>
  <si>
    <t>S forgot capture code.  RT sleuthed 21</t>
  </si>
  <si>
    <t>07:37</t>
  </si>
  <si>
    <t>07:35</t>
  </si>
  <si>
    <t>08:52</t>
  </si>
  <si>
    <t>slipped through holes in net. Small</t>
  </si>
  <si>
    <t>08:56</t>
  </si>
  <si>
    <t>12:15</t>
  </si>
  <si>
    <t>12:21</t>
  </si>
  <si>
    <t>13:19</t>
  </si>
  <si>
    <t>13:24</t>
  </si>
  <si>
    <t>14:53</t>
  </si>
  <si>
    <t>not taggable</t>
  </si>
  <si>
    <t>gash on side</t>
  </si>
  <si>
    <t>18:42</t>
  </si>
  <si>
    <t>20:16</t>
  </si>
  <si>
    <t xml:space="preserve">20:44 </t>
  </si>
  <si>
    <t>21:40</t>
  </si>
  <si>
    <t>Large wound on caudal peduncle. No tag due to injury</t>
  </si>
  <si>
    <t>no capture time. Too small to tag</t>
  </si>
  <si>
    <t xml:space="preserve">22:04 </t>
  </si>
  <si>
    <t>hr,la,csj</t>
  </si>
  <si>
    <t>eg,qb</t>
  </si>
  <si>
    <t>hr,la,jb,as</t>
  </si>
  <si>
    <t>eg,as,lf</t>
  </si>
  <si>
    <t>hr,jb</t>
  </si>
  <si>
    <t>dj,jg</t>
  </si>
  <si>
    <t>bk,jk</t>
  </si>
  <si>
    <t>jg,dj</t>
  </si>
  <si>
    <t>jk,qb</t>
  </si>
  <si>
    <t>jb,hr</t>
  </si>
  <si>
    <t>qb,as,lf</t>
  </si>
  <si>
    <t>qb,jk</t>
  </si>
  <si>
    <t>eg,jk</t>
  </si>
  <si>
    <t>dj,jb</t>
  </si>
  <si>
    <t>qb,lf,hr</t>
  </si>
  <si>
    <t>dj.jb</t>
  </si>
  <si>
    <t>jg,hr</t>
  </si>
  <si>
    <t>rt,lf</t>
  </si>
  <si>
    <t xml:space="preserve">5:30 arrived to check overnight catch, baskets hitting hard on bottom, still spinning. </t>
  </si>
  <si>
    <t>20140707 LFerreira</t>
  </si>
  <si>
    <t>raised wheel to change location of the wheel 10:45;wheel started at 11:52 EG 7/4/14 new rev 30</t>
  </si>
  <si>
    <t>when arrived @ 14:30 wheel was not spinning-unknown duration of no fishing effort.</t>
  </si>
  <si>
    <t>fishwheel fishing overnight</t>
  </si>
  <si>
    <t>fishwheel down for repair until 14:13 today AS.</t>
  </si>
  <si>
    <t>fishing overnight.</t>
  </si>
  <si>
    <t>greased winches and towers</t>
  </si>
  <si>
    <t>1 cnj, no bio too small to tag.</t>
  </si>
  <si>
    <t>CN landed in bin when wer leaving fishwheel.  CN total 10</t>
  </si>
  <si>
    <t>at 16:22 wheel stopped for 1 min, reason unknown</t>
  </si>
  <si>
    <t>cleaned lead net</t>
  </si>
  <si>
    <t>adjusted trough</t>
  </si>
  <si>
    <t>fishwheel stopped to mend net 19:37-19:41;fishing overnight</t>
  </si>
  <si>
    <t>1500 wheel stopped for basket repair, started at 15:05</t>
  </si>
  <si>
    <t>fished overnight</t>
  </si>
  <si>
    <t>fished wheel overnight</t>
  </si>
  <si>
    <t>raised wheel at 10:51 am to mend net.  Stopped fishing 10:51-11:19.</t>
  </si>
  <si>
    <t>wheel fishing overnight</t>
  </si>
  <si>
    <t>4 S</t>
  </si>
  <si>
    <t>5 S</t>
  </si>
  <si>
    <t>6 S</t>
  </si>
  <si>
    <t>7 S</t>
  </si>
  <si>
    <t>8 S</t>
  </si>
  <si>
    <t>9 S</t>
  </si>
  <si>
    <t>11 S</t>
  </si>
  <si>
    <t>12 S</t>
  </si>
  <si>
    <t>13 S</t>
  </si>
  <si>
    <t>14 S</t>
  </si>
  <si>
    <t>15 S</t>
  </si>
  <si>
    <t>16 S</t>
  </si>
  <si>
    <t>17 S</t>
  </si>
  <si>
    <t>18 S</t>
  </si>
  <si>
    <t>19 S</t>
  </si>
  <si>
    <t>20 S</t>
  </si>
  <si>
    <t>21 S</t>
  </si>
  <si>
    <t>22 S</t>
  </si>
  <si>
    <t>23 S</t>
  </si>
  <si>
    <t>24 S</t>
  </si>
  <si>
    <t>25 S</t>
  </si>
  <si>
    <t>26 S</t>
  </si>
  <si>
    <t>27 S</t>
  </si>
  <si>
    <t>28 S</t>
  </si>
  <si>
    <t>29 S</t>
  </si>
  <si>
    <t>30 S</t>
  </si>
  <si>
    <t>31 S</t>
  </si>
  <si>
    <t>32 S</t>
  </si>
  <si>
    <t>33 S</t>
  </si>
  <si>
    <t>34 S</t>
  </si>
  <si>
    <t>35 S</t>
  </si>
  <si>
    <t>36 S</t>
  </si>
  <si>
    <t>37 S</t>
  </si>
  <si>
    <t>38 S</t>
  </si>
  <si>
    <t>39 S</t>
  </si>
  <si>
    <t>40 S</t>
  </si>
  <si>
    <t>41 S</t>
  </si>
  <si>
    <t>42 S</t>
  </si>
  <si>
    <t>43 S</t>
  </si>
  <si>
    <t>44 S</t>
  </si>
  <si>
    <t>45 S</t>
  </si>
  <si>
    <t>46 S</t>
  </si>
  <si>
    <t>47 S</t>
  </si>
  <si>
    <t>48 S</t>
  </si>
  <si>
    <t>49 S</t>
  </si>
  <si>
    <t>50 S</t>
  </si>
  <si>
    <t>51 S</t>
  </si>
  <si>
    <t>52 S</t>
  </si>
  <si>
    <t>53 S</t>
  </si>
  <si>
    <t>54 S</t>
  </si>
  <si>
    <t>55 S</t>
  </si>
  <si>
    <t>56 S</t>
  </si>
  <si>
    <t>57 S</t>
  </si>
  <si>
    <t>58 S</t>
  </si>
  <si>
    <t>60 S</t>
  </si>
  <si>
    <t>61 S</t>
  </si>
  <si>
    <t>62 S</t>
  </si>
  <si>
    <t>63 S</t>
  </si>
  <si>
    <t>64 S</t>
  </si>
  <si>
    <t>65 S</t>
  </si>
  <si>
    <t>66 S</t>
  </si>
  <si>
    <t>67 S</t>
  </si>
  <si>
    <t>68 S</t>
  </si>
  <si>
    <t>69 S</t>
  </si>
  <si>
    <t>70 S</t>
  </si>
  <si>
    <t>71 S</t>
  </si>
  <si>
    <t>72 S</t>
  </si>
  <si>
    <t>73 S</t>
  </si>
  <si>
    <t>74 S</t>
  </si>
  <si>
    <t>75 S</t>
  </si>
  <si>
    <t>76 S</t>
  </si>
  <si>
    <t>77 S</t>
  </si>
  <si>
    <t>78 S</t>
  </si>
  <si>
    <t>79 S</t>
  </si>
  <si>
    <t>80 S</t>
  </si>
  <si>
    <t>81 S</t>
  </si>
  <si>
    <t>82 S</t>
  </si>
  <si>
    <t>83 S</t>
  </si>
  <si>
    <t>84 S</t>
  </si>
  <si>
    <t>85 S</t>
  </si>
  <si>
    <t>86 S</t>
  </si>
  <si>
    <t>87 S</t>
  </si>
  <si>
    <t>88 S</t>
  </si>
  <si>
    <t>89 S</t>
  </si>
  <si>
    <t>90 S</t>
  </si>
  <si>
    <t>91 S</t>
  </si>
  <si>
    <t>92 S</t>
  </si>
  <si>
    <t>93 S</t>
  </si>
  <si>
    <t>94 S</t>
  </si>
  <si>
    <t>95 S</t>
  </si>
  <si>
    <t>96 S</t>
  </si>
  <si>
    <t>97 S</t>
  </si>
  <si>
    <t>98 S</t>
  </si>
  <si>
    <t>99 S</t>
  </si>
  <si>
    <t>100 S</t>
  </si>
  <si>
    <t>101 S</t>
  </si>
  <si>
    <t>102 S</t>
  </si>
  <si>
    <t>103 S</t>
  </si>
  <si>
    <t>104 S</t>
  </si>
  <si>
    <t>105 S</t>
  </si>
  <si>
    <t>106 S</t>
  </si>
  <si>
    <t>107 S</t>
  </si>
  <si>
    <t>108 S</t>
  </si>
  <si>
    <t>109 S</t>
  </si>
  <si>
    <t>110 S</t>
  </si>
  <si>
    <t>111 S</t>
  </si>
  <si>
    <t>112 S</t>
  </si>
  <si>
    <t>113 S</t>
  </si>
  <si>
    <t>114 S</t>
  </si>
  <si>
    <t>115 S</t>
  </si>
  <si>
    <t>116 S</t>
  </si>
  <si>
    <t>117 S</t>
  </si>
  <si>
    <t>118 S</t>
  </si>
  <si>
    <t>119 S</t>
  </si>
  <si>
    <t>120 S</t>
  </si>
  <si>
    <t>121 S</t>
  </si>
  <si>
    <t>122 S</t>
  </si>
  <si>
    <t>123 S</t>
  </si>
  <si>
    <t>124 S</t>
  </si>
  <si>
    <t>125 S</t>
  </si>
  <si>
    <t>126 S</t>
  </si>
  <si>
    <t>127 S</t>
  </si>
  <si>
    <t>128 S</t>
  </si>
  <si>
    <t>129 S</t>
  </si>
  <si>
    <t>130 S</t>
  </si>
  <si>
    <t>131 S</t>
  </si>
  <si>
    <t>132 S</t>
  </si>
  <si>
    <t>133 S</t>
  </si>
  <si>
    <t>134 S</t>
  </si>
  <si>
    <t>135 S</t>
  </si>
  <si>
    <t>136 S</t>
  </si>
  <si>
    <t>137 S</t>
  </si>
  <si>
    <t>138 S</t>
  </si>
  <si>
    <t>139 S</t>
  </si>
  <si>
    <t>140 S</t>
  </si>
  <si>
    <t>141 S</t>
  </si>
  <si>
    <t>142 S</t>
  </si>
  <si>
    <t>143 S</t>
  </si>
  <si>
    <t>144 S</t>
  </si>
  <si>
    <t>145 S</t>
  </si>
  <si>
    <t>146 S</t>
  </si>
  <si>
    <t>147 S</t>
  </si>
  <si>
    <t>148 S</t>
  </si>
  <si>
    <t>149 S</t>
  </si>
  <si>
    <t>150 S</t>
  </si>
  <si>
    <t>151 S</t>
  </si>
  <si>
    <t>152 S</t>
  </si>
  <si>
    <t>153 S</t>
  </si>
  <si>
    <t>154 S</t>
  </si>
  <si>
    <t>155 S</t>
  </si>
  <si>
    <t>156 S</t>
  </si>
  <si>
    <t>157 S</t>
  </si>
  <si>
    <t>158 S</t>
  </si>
  <si>
    <t>159 S</t>
  </si>
  <si>
    <t>160 S</t>
  </si>
  <si>
    <t>161 S</t>
  </si>
  <si>
    <t>162 S</t>
  </si>
  <si>
    <t>163 S</t>
  </si>
  <si>
    <t>164 S</t>
  </si>
  <si>
    <t>165 S</t>
  </si>
  <si>
    <t>166 S</t>
  </si>
  <si>
    <t>167 S</t>
  </si>
  <si>
    <t>168 S</t>
  </si>
  <si>
    <t>169 S</t>
  </si>
  <si>
    <t>170 S</t>
  </si>
  <si>
    <t>172 S</t>
  </si>
  <si>
    <t>173 S</t>
  </si>
  <si>
    <t>174 S</t>
  </si>
  <si>
    <t>175 S</t>
  </si>
  <si>
    <t>176 S</t>
  </si>
  <si>
    <t>177 S</t>
  </si>
  <si>
    <t>178 S</t>
  </si>
  <si>
    <t>179 S</t>
  </si>
  <si>
    <t>180 S</t>
  </si>
  <si>
    <t>181 S</t>
  </si>
  <si>
    <t>182 S</t>
  </si>
  <si>
    <t>183 S</t>
  </si>
  <si>
    <t>184 S</t>
  </si>
  <si>
    <t>185 S</t>
  </si>
  <si>
    <t>186 S</t>
  </si>
  <si>
    <t>187 S</t>
  </si>
  <si>
    <t>188 S</t>
  </si>
  <si>
    <t>189 S</t>
  </si>
  <si>
    <t>190 S</t>
  </si>
  <si>
    <t>191 S</t>
  </si>
  <si>
    <t>192 S</t>
  </si>
  <si>
    <t>193 S</t>
  </si>
  <si>
    <t>194 S</t>
  </si>
  <si>
    <t>195 S</t>
  </si>
  <si>
    <t>196 S</t>
  </si>
  <si>
    <t>197 S</t>
  </si>
  <si>
    <t>199 S</t>
  </si>
  <si>
    <t>200 S</t>
  </si>
  <si>
    <t>2 CM</t>
  </si>
  <si>
    <t>3 CM</t>
  </si>
  <si>
    <t>4 CM</t>
  </si>
  <si>
    <t>5 CM</t>
  </si>
  <si>
    <t>6 CM</t>
  </si>
  <si>
    <t>7 CM</t>
  </si>
  <si>
    <t>8 CM</t>
  </si>
  <si>
    <t>9 CM</t>
  </si>
  <si>
    <t>10 CM</t>
  </si>
  <si>
    <t>11 CM</t>
  </si>
  <si>
    <t>12 CM</t>
  </si>
  <si>
    <t>13 CM</t>
  </si>
  <si>
    <t>14 CM</t>
  </si>
  <si>
    <t>15 CM</t>
  </si>
  <si>
    <t>16 CM</t>
  </si>
  <si>
    <t>17 CM</t>
  </si>
  <si>
    <t>18 CM</t>
  </si>
  <si>
    <t>19 CM</t>
  </si>
  <si>
    <t>20 CM</t>
  </si>
  <si>
    <t>21 CM</t>
  </si>
  <si>
    <t>22 CM</t>
  </si>
  <si>
    <t>23 CM</t>
  </si>
  <si>
    <t>24 CM</t>
  </si>
  <si>
    <t>25 CM</t>
  </si>
  <si>
    <t>26 CM</t>
  </si>
  <si>
    <t>27 CM</t>
  </si>
  <si>
    <t>28 CM</t>
  </si>
  <si>
    <t>29 CM</t>
  </si>
  <si>
    <t>30 CM</t>
  </si>
  <si>
    <t>31 CM</t>
  </si>
  <si>
    <t>32 CM</t>
  </si>
  <si>
    <t>33 CM</t>
  </si>
  <si>
    <t>34 CM</t>
  </si>
  <si>
    <t>36 CM</t>
  </si>
  <si>
    <t>37 CM</t>
  </si>
  <si>
    <t>38 CM</t>
  </si>
  <si>
    <t>39 CM</t>
  </si>
  <si>
    <t>40 CM</t>
  </si>
  <si>
    <t>41 CM</t>
  </si>
  <si>
    <t>42 CM</t>
  </si>
  <si>
    <t>43 CM</t>
  </si>
  <si>
    <t>44 CM</t>
  </si>
  <si>
    <t>45 CM</t>
  </si>
  <si>
    <t>46 CM</t>
  </si>
  <si>
    <t>47 CM</t>
  </si>
  <si>
    <t>48 CM</t>
  </si>
  <si>
    <t>50 CM</t>
  </si>
  <si>
    <t>51 CM</t>
  </si>
  <si>
    <t>52 CM</t>
  </si>
  <si>
    <t>53 CM</t>
  </si>
  <si>
    <t>54 CM</t>
  </si>
  <si>
    <t>55 CM</t>
  </si>
  <si>
    <t>56 CM</t>
  </si>
  <si>
    <t>57 CM</t>
  </si>
  <si>
    <t>58 CM</t>
  </si>
  <si>
    <t>59 CM</t>
  </si>
  <si>
    <t>60 CM</t>
  </si>
  <si>
    <t>61 CM</t>
  </si>
  <si>
    <t>62 CM</t>
  </si>
  <si>
    <t>63 CM</t>
  </si>
  <si>
    <t>64 CM</t>
  </si>
  <si>
    <t>65 CM</t>
  </si>
  <si>
    <t>66 CM</t>
  </si>
  <si>
    <t>67 CM</t>
  </si>
  <si>
    <t>68 CM</t>
  </si>
  <si>
    <t>69 CM</t>
  </si>
  <si>
    <t>70 CM</t>
  </si>
  <si>
    <t>71 CM</t>
  </si>
  <si>
    <t>72 CM</t>
  </si>
  <si>
    <t>73 CM</t>
  </si>
  <si>
    <t>74 CM</t>
  </si>
  <si>
    <t>75 CM</t>
  </si>
  <si>
    <t>76 CM</t>
  </si>
  <si>
    <t>77 CM</t>
  </si>
  <si>
    <t>78 CM</t>
  </si>
  <si>
    <t>79 CM</t>
  </si>
  <si>
    <t>80 CM</t>
  </si>
  <si>
    <t>81 CM</t>
  </si>
  <si>
    <t>82 CM</t>
  </si>
  <si>
    <t>83 CM</t>
  </si>
  <si>
    <t>84 CM</t>
  </si>
  <si>
    <t>85 CM</t>
  </si>
  <si>
    <t>86 CM</t>
  </si>
  <si>
    <t>87 CM</t>
  </si>
  <si>
    <t>90 CM</t>
  </si>
  <si>
    <t>91 CM</t>
  </si>
  <si>
    <t>92 CM</t>
  </si>
  <si>
    <t>93 CM</t>
  </si>
  <si>
    <t>94 CM</t>
  </si>
  <si>
    <t>95 CM</t>
  </si>
  <si>
    <t>96 CM</t>
  </si>
  <si>
    <t>97 CM</t>
  </si>
  <si>
    <t>98 CM</t>
  </si>
  <si>
    <t>99 CM</t>
  </si>
  <si>
    <t>100 CM</t>
  </si>
  <si>
    <t>101 CM</t>
  </si>
  <si>
    <t>102 CM</t>
  </si>
  <si>
    <t>103 CM</t>
  </si>
  <si>
    <t>104 CM</t>
  </si>
  <si>
    <t>105 CM</t>
  </si>
  <si>
    <t>106 CM</t>
  </si>
  <si>
    <t>107 CM</t>
  </si>
  <si>
    <t>108 CM</t>
  </si>
  <si>
    <t>109 CM</t>
  </si>
  <si>
    <t>110 CM</t>
  </si>
  <si>
    <t>111 CM</t>
  </si>
  <si>
    <t>112 CM</t>
  </si>
  <si>
    <t>113 CM</t>
  </si>
  <si>
    <t>114 CM</t>
  </si>
  <si>
    <t>115 CM</t>
  </si>
  <si>
    <t>116 CM</t>
  </si>
  <si>
    <t>117 CM</t>
  </si>
  <si>
    <t>118 CM</t>
  </si>
  <si>
    <t>119 CM</t>
  </si>
  <si>
    <t>120 CM</t>
  </si>
  <si>
    <t>121 CM</t>
  </si>
  <si>
    <t>122 CM</t>
  </si>
  <si>
    <t>123 CM</t>
  </si>
  <si>
    <t>124 CM</t>
  </si>
  <si>
    <t>125 CM</t>
  </si>
  <si>
    <t>126 CM</t>
  </si>
  <si>
    <t>127 CM</t>
  </si>
  <si>
    <t>128 CM</t>
  </si>
  <si>
    <t>129 CM</t>
  </si>
  <si>
    <t>130 CM</t>
  </si>
  <si>
    <t>131 CM</t>
  </si>
  <si>
    <t>132 CM</t>
  </si>
  <si>
    <t>133 CM</t>
  </si>
  <si>
    <t>134 CM</t>
  </si>
  <si>
    <t>135 CM</t>
  </si>
  <si>
    <t>136 CM</t>
  </si>
  <si>
    <t>137 CM</t>
  </si>
  <si>
    <t>138 CM</t>
  </si>
  <si>
    <t>139 CM</t>
  </si>
  <si>
    <t>140 CM</t>
  </si>
  <si>
    <t>141 CM</t>
  </si>
  <si>
    <t>142 CM</t>
  </si>
  <si>
    <t>143 CM</t>
  </si>
  <si>
    <t>144 CM</t>
  </si>
  <si>
    <t>145 CM</t>
  </si>
  <si>
    <t>146 CM</t>
  </si>
  <si>
    <t>147 CM</t>
  </si>
  <si>
    <t>148 CM</t>
  </si>
  <si>
    <t>149 CM</t>
  </si>
  <si>
    <t>150 CM</t>
  </si>
  <si>
    <t>151 CM</t>
  </si>
  <si>
    <t>152 CM</t>
  </si>
  <si>
    <t>153 CM</t>
  </si>
  <si>
    <t>154 CM</t>
  </si>
  <si>
    <t>155 CM</t>
  </si>
  <si>
    <t>156 CM</t>
  </si>
  <si>
    <t>157 CM</t>
  </si>
  <si>
    <t>158 CM</t>
  </si>
  <si>
    <t>159 CM</t>
  </si>
  <si>
    <t>160 CM</t>
  </si>
  <si>
    <t>161 CM</t>
  </si>
  <si>
    <t>162 CM</t>
  </si>
  <si>
    <t>163 CM</t>
  </si>
  <si>
    <t>164 CM</t>
  </si>
  <si>
    <t>165 CM</t>
  </si>
  <si>
    <t>166 CM</t>
  </si>
  <si>
    <t>167 CM</t>
  </si>
  <si>
    <t>168 CM</t>
  </si>
  <si>
    <t>169 CM</t>
  </si>
  <si>
    <t>170 CM</t>
  </si>
  <si>
    <t>171 CM</t>
  </si>
  <si>
    <t>172 CM</t>
  </si>
  <si>
    <t>173 CM</t>
  </si>
  <si>
    <t>174 CM</t>
  </si>
  <si>
    <t>175 CM</t>
  </si>
  <si>
    <t>176 CM</t>
  </si>
  <si>
    <t>177 CM</t>
  </si>
  <si>
    <t>178 CM</t>
  </si>
  <si>
    <t>179 CM</t>
  </si>
  <si>
    <t>180 CM</t>
  </si>
  <si>
    <t>181 CM</t>
  </si>
  <si>
    <t>182 CM</t>
  </si>
  <si>
    <t>183 CM</t>
  </si>
  <si>
    <t>184 CM</t>
  </si>
  <si>
    <t>185 CM</t>
  </si>
  <si>
    <t>186 CM</t>
  </si>
  <si>
    <t>187 CM</t>
  </si>
  <si>
    <t>188 CM</t>
  </si>
  <si>
    <t>189 CM</t>
  </si>
  <si>
    <t>190 CM</t>
  </si>
  <si>
    <t>191 CM</t>
  </si>
  <si>
    <t>192 CM</t>
  </si>
  <si>
    <t>193 CM</t>
  </si>
  <si>
    <t>194 CM</t>
  </si>
  <si>
    <t>195 CM</t>
  </si>
  <si>
    <t>196 CM</t>
  </si>
  <si>
    <t>197 CM</t>
  </si>
  <si>
    <t>198 CM</t>
  </si>
  <si>
    <t>wheel jammed at ~2300.  Restarted 00:43. wheel fishing overnight.</t>
  </si>
  <si>
    <t>dj,hr</t>
  </si>
  <si>
    <t>fished wheels overnight</t>
  </si>
  <si>
    <t>20140707 HReider</t>
  </si>
  <si>
    <t>eg,csj</t>
  </si>
  <si>
    <t>13:10 log stopped wheel- went to shore for saw. EG 13:27 fishing resumed.</t>
  </si>
  <si>
    <t>20140707 CSejkora</t>
  </si>
  <si>
    <t>hr,jg</t>
  </si>
  <si>
    <t>19:28-19:43 wheel stopped to remove tree, moved wheel closer to bank.  Raised wheel at 22:25 to clear debris.  5 min.</t>
  </si>
  <si>
    <t>20140707 JKunzler</t>
  </si>
  <si>
    <t>hr,dj</t>
  </si>
  <si>
    <t>csj,eg</t>
  </si>
  <si>
    <t>20140707 DJohnson</t>
  </si>
  <si>
    <t>no fish! :(</t>
  </si>
  <si>
    <t>20140707 Jgraham</t>
  </si>
  <si>
    <t>as,csj,jk</t>
  </si>
  <si>
    <t>moved fish wheel in to shore 3 ft.</t>
  </si>
  <si>
    <t>jg.jb</t>
  </si>
  <si>
    <t>20140707 JBerry</t>
  </si>
  <si>
    <t>jk,lf</t>
  </si>
  <si>
    <t>raised fish wheel at 14:10 due to tree jam, lowered back to fishing position at 14:15</t>
  </si>
  <si>
    <t>eg,lf</t>
  </si>
  <si>
    <t>fish wheel stopped 22:48-23:11-to clear debris.  Fishwheel raised for the evening due to large debris.</t>
  </si>
  <si>
    <t>20140707 EGora</t>
  </si>
  <si>
    <t>P right eye missing.</t>
  </si>
  <si>
    <t>06:16</t>
  </si>
  <si>
    <t>P caudal fin damage</t>
  </si>
  <si>
    <t>10:19</t>
  </si>
  <si>
    <t>healthy! CSj tagged CN</t>
  </si>
  <si>
    <t>20140707JKunzler</t>
  </si>
  <si>
    <t>23:50</t>
  </si>
  <si>
    <t>vial #477 tag not written down 875-86?</t>
  </si>
  <si>
    <t>S Big gash in belly, tissue only</t>
  </si>
  <si>
    <t>06:57</t>
  </si>
  <si>
    <t>06:59</t>
  </si>
  <si>
    <t>11:56</t>
  </si>
  <si>
    <t>20:12</t>
  </si>
  <si>
    <t>06:00</t>
  </si>
  <si>
    <t>06:08</t>
  </si>
  <si>
    <t>S Large gash wounds along side</t>
  </si>
  <si>
    <t>07:27</t>
  </si>
  <si>
    <t>hit the deck.  Released w/out tag</t>
  </si>
  <si>
    <t>09:07</t>
  </si>
  <si>
    <t>11:49</t>
  </si>
  <si>
    <t>11:44</t>
  </si>
  <si>
    <t>too small to tag,old injuries/scratches on side</t>
  </si>
  <si>
    <t>11:46</t>
  </si>
  <si>
    <t>12:19</t>
  </si>
  <si>
    <t>capture tiime 12:10, gently hit deck</t>
  </si>
  <si>
    <t>13:32</t>
  </si>
  <si>
    <t>13:36</t>
  </si>
  <si>
    <t>old wounds on side</t>
  </si>
  <si>
    <t>19:26</t>
  </si>
  <si>
    <t>19:54</t>
  </si>
  <si>
    <t>20:01</t>
  </si>
  <si>
    <t>22:23</t>
  </si>
  <si>
    <t>16:27</t>
  </si>
  <si>
    <t>recaptured, release</t>
  </si>
  <si>
    <t>18:16</t>
  </si>
  <si>
    <t>recap, didn't find code in time</t>
  </si>
  <si>
    <t>201040708 AStephens</t>
  </si>
  <si>
    <t>20140708LFerreira</t>
  </si>
  <si>
    <t>20140708 JGraham</t>
  </si>
  <si>
    <t>csj,lf</t>
  </si>
  <si>
    <t>10:57-fishwheel lifted up for repairs, start 11:24, After fixing boards revs =34 sec.</t>
  </si>
  <si>
    <t>20140708 LFerreira</t>
  </si>
  <si>
    <t>20140708 HReider</t>
  </si>
  <si>
    <t>cs,eg</t>
  </si>
  <si>
    <t>stop 23:28</t>
  </si>
  <si>
    <t>20140708 CSejkora</t>
  </si>
  <si>
    <t>20140708 DJohnson</t>
  </si>
  <si>
    <t>FW stopped at 11:55 to mend line on baskets; fishing/fw down at 12:12</t>
  </si>
  <si>
    <t>20140708 JKunzler</t>
  </si>
  <si>
    <t>lf,jk</t>
  </si>
  <si>
    <t>part of the tail fin missing</t>
  </si>
  <si>
    <t>20140708 EGora</t>
  </si>
  <si>
    <t>18:37</t>
  </si>
  <si>
    <t>split in tail</t>
  </si>
  <si>
    <t>21:47</t>
  </si>
  <si>
    <t>1:39 process duration</t>
  </si>
  <si>
    <t>20:47</t>
  </si>
  <si>
    <t>21:34</t>
  </si>
  <si>
    <t>20140709 JGraham</t>
  </si>
  <si>
    <t>wheel shut down from 14:28 to 14:36 to tie net</t>
  </si>
  <si>
    <t>20140709 LFerreira</t>
  </si>
  <si>
    <t>wheel hitting (B3), raised 18:50</t>
  </si>
  <si>
    <t>moved wheel out 19:15, wheel fishing overnight</t>
  </si>
  <si>
    <t>20140709 CSejkora</t>
  </si>
  <si>
    <t>20140709 DJohnson</t>
  </si>
  <si>
    <t>fished overnight, wheel hitting bottom when we got here</t>
  </si>
  <si>
    <t>lf,csj</t>
  </si>
  <si>
    <t>moved fishwheel out at 15:00, away from bank</t>
  </si>
  <si>
    <t>20140709 HReider</t>
  </si>
  <si>
    <t>20140709 JBerry</t>
  </si>
  <si>
    <t>20140709 EGora</t>
  </si>
  <si>
    <t>stopped wheel at 22:01-2215 to mend line on baskets</t>
  </si>
  <si>
    <t>20140709 JKunzler</t>
  </si>
  <si>
    <t>05:49</t>
  </si>
  <si>
    <t>07:14</t>
  </si>
  <si>
    <t>07:17</t>
  </si>
  <si>
    <t xml:space="preserve">20140709 LFerreira </t>
  </si>
  <si>
    <t>20:15</t>
  </si>
  <si>
    <t>22:05</t>
  </si>
  <si>
    <t>13:13</t>
  </si>
  <si>
    <t>07:22</t>
  </si>
  <si>
    <t>08:21</t>
  </si>
  <si>
    <t>10:45</t>
  </si>
  <si>
    <t>12:40</t>
  </si>
  <si>
    <t>12:45</t>
  </si>
  <si>
    <t>gently hit deck</t>
  </si>
  <si>
    <t>14:54</t>
  </si>
  <si>
    <t>17:10</t>
  </si>
  <si>
    <t>20:46</t>
  </si>
  <si>
    <t>21:50</t>
  </si>
  <si>
    <t>22:26</t>
  </si>
  <si>
    <t>14:21</t>
  </si>
  <si>
    <t>23:29</t>
  </si>
  <si>
    <t>receiver could not code out tag</t>
  </si>
  <si>
    <t>release time 22:26</t>
  </si>
  <si>
    <t>20140710LFerreira</t>
  </si>
  <si>
    <t>jumped out of trough - No tag</t>
  </si>
  <si>
    <t>got out through net holes and jumped in water before we could measure</t>
  </si>
  <si>
    <t>jb,dj</t>
  </si>
  <si>
    <t>20140710 JBerry</t>
  </si>
  <si>
    <t xml:space="preserve">no fish!  </t>
  </si>
  <si>
    <t>20140710 JKunzler</t>
  </si>
  <si>
    <t>20140710 HReider</t>
  </si>
  <si>
    <t>20140710 LFerreira</t>
  </si>
  <si>
    <t>20140710 Csejkora</t>
  </si>
  <si>
    <t>fishwheel ran overnight</t>
  </si>
  <si>
    <t>20140710 JGraham</t>
  </si>
  <si>
    <t>05:51</t>
  </si>
  <si>
    <t>08:11</t>
  </si>
  <si>
    <t>20140710 DJohnson</t>
  </si>
  <si>
    <t>13:07</t>
  </si>
  <si>
    <t>20140710 CSejkora</t>
  </si>
  <si>
    <t>20:36</t>
  </si>
  <si>
    <t>06:24</t>
  </si>
  <si>
    <t>07:44</t>
  </si>
  <si>
    <t>07:48</t>
  </si>
  <si>
    <t>07:41</t>
  </si>
  <si>
    <t>S not sure if in morning tank.  Had receiver problems and ran back to camp</t>
  </si>
  <si>
    <t>S not sure if from morning tank</t>
  </si>
  <si>
    <t>S got out of trough, did not hit deck</t>
  </si>
  <si>
    <t>11:01</t>
  </si>
  <si>
    <t>20140710 EGora</t>
  </si>
  <si>
    <t>13:55</t>
  </si>
  <si>
    <t>13:57</t>
  </si>
  <si>
    <t>14:46</t>
  </si>
  <si>
    <t>15:48</t>
  </si>
  <si>
    <t>fish flew out of trough and hit water safely. No tag</t>
  </si>
  <si>
    <t>P, scar on mouth</t>
  </si>
  <si>
    <t>20140711 AStephens</t>
  </si>
  <si>
    <t>07:40</t>
  </si>
  <si>
    <t>20140711 DRobichaud</t>
  </si>
  <si>
    <t>Wheel fishing overnight</t>
  </si>
  <si>
    <t>dj,qb</t>
  </si>
  <si>
    <t>stopped wheel at 12:54-13:00 to mend line on baskets</t>
  </si>
  <si>
    <t>20140711 DJohnson</t>
  </si>
  <si>
    <t>20140711 JKunzler</t>
  </si>
  <si>
    <t>NO fish</t>
  </si>
  <si>
    <t>moved wheel in approximately 2 ft.</t>
  </si>
  <si>
    <t>hr, jg</t>
  </si>
  <si>
    <t>sc,lf,csj</t>
  </si>
  <si>
    <t>20140711 EGora</t>
  </si>
  <si>
    <t>08:38</t>
  </si>
  <si>
    <t>05:56</t>
  </si>
  <si>
    <t>08:29</t>
  </si>
  <si>
    <t>09:38</t>
  </si>
  <si>
    <t>slipped out of hand, took approximate measurement of 15 cm</t>
  </si>
  <si>
    <t>12:32</t>
  </si>
  <si>
    <t>16:19</t>
  </si>
  <si>
    <t>19:42</t>
  </si>
  <si>
    <t>SC</t>
  </si>
  <si>
    <t>20140711 LFerreira</t>
  </si>
  <si>
    <t>06:22</t>
  </si>
  <si>
    <t>P, overnight</t>
  </si>
  <si>
    <t>20140712 LAckein</t>
  </si>
  <si>
    <t>17:33</t>
  </si>
  <si>
    <t>20140712LFerreira</t>
  </si>
  <si>
    <t>lf,eg, csj</t>
  </si>
  <si>
    <t>FW_Scan_20140704.pdf</t>
  </si>
  <si>
    <t>FW_Scan_20140705.pdf</t>
  </si>
  <si>
    <t>FW_Scan_20140706.pdf</t>
  </si>
  <si>
    <t>FW_Scan_20140707.pdf</t>
  </si>
  <si>
    <t>FW_Scan_20140708.pdf</t>
  </si>
  <si>
    <t>FW_Scan_20140709.pdf</t>
  </si>
  <si>
    <t>FW_Scan_20140710_qc2.pdf</t>
  </si>
  <si>
    <t>FW_Scan_20140711.pdf</t>
  </si>
  <si>
    <t>20140711 HReider</t>
  </si>
  <si>
    <t>20140711 JBerry</t>
  </si>
  <si>
    <t>20140712 QBerger</t>
  </si>
  <si>
    <t>20140712 JKunzler</t>
  </si>
  <si>
    <t>20140712 DJohnson</t>
  </si>
  <si>
    <t>20140712 JGraham</t>
  </si>
  <si>
    <t>20140712 JBerry</t>
  </si>
  <si>
    <t>FW up for net repairs 10:29 to 10:40, 11 minutes not fishing</t>
  </si>
  <si>
    <t>jb,qb</t>
  </si>
  <si>
    <t>nc,lf</t>
  </si>
  <si>
    <t>20140712 LFerreira</t>
  </si>
  <si>
    <t>14:27</t>
  </si>
  <si>
    <t>S, too small to tag</t>
  </si>
  <si>
    <t>P, too small to tag</t>
  </si>
  <si>
    <t>missing portion of tail</t>
  </si>
  <si>
    <t>09:20</t>
  </si>
  <si>
    <t>07:24</t>
  </si>
  <si>
    <t>09:22</t>
  </si>
  <si>
    <t>12:28</t>
  </si>
  <si>
    <t>12:33</t>
  </si>
  <si>
    <t>12:35</t>
  </si>
  <si>
    <t>Found dead under slide/landing pad</t>
  </si>
  <si>
    <t>20140713LFerreira</t>
  </si>
  <si>
    <t>FW_Scan_20140712.pdf</t>
  </si>
  <si>
    <t>wheel stopped from 06:30 to 09:26 for log removal and slide repair/net mending</t>
  </si>
  <si>
    <t>replaced ends of damaged slide boards on port side</t>
  </si>
  <si>
    <t>20140713 JBerry</t>
  </si>
  <si>
    <t>20140713 LFerreira</t>
  </si>
  <si>
    <t>wheel stopped 16:25-17:07 for debris removal, stopped for unknown time during lightning storm due to log jam, resumed fishing at 18:13</t>
  </si>
  <si>
    <t>cleaned lead net; cleared area between wheel and shore of debris</t>
  </si>
  <si>
    <t>20140713 JKunzler</t>
  </si>
  <si>
    <t>20140713 QBerger</t>
  </si>
  <si>
    <t>20140713 DJohnson</t>
  </si>
  <si>
    <t>20140713 CSejkora</t>
  </si>
  <si>
    <t>15:50 to 16:38 FW not fishing from debris in wheel/a lot debris in river</t>
  </si>
  <si>
    <t>16:32</t>
  </si>
  <si>
    <t>14:09</t>
  </si>
  <si>
    <t>too small, no tag. Looked healthy</t>
  </si>
  <si>
    <t>06:44</t>
  </si>
  <si>
    <t>06:48</t>
  </si>
  <si>
    <t>06:52</t>
  </si>
  <si>
    <t>07:00</t>
  </si>
  <si>
    <t>S, too small</t>
  </si>
  <si>
    <t>07:05</t>
  </si>
  <si>
    <t>09:48</t>
  </si>
  <si>
    <t>Release time 12:50</t>
  </si>
  <si>
    <t>15:11</t>
  </si>
  <si>
    <t>22:10</t>
  </si>
  <si>
    <t>Hit deck. Jumped out of trough and swam away with applicator in his mouth</t>
  </si>
  <si>
    <t>20140714 LAckein</t>
  </si>
  <si>
    <t>20140714LFerreira</t>
  </si>
  <si>
    <t>FW_Scan_20140713.pdf</t>
  </si>
  <si>
    <t>20140714 DJohnson</t>
  </si>
  <si>
    <t>20140714 LFerreira</t>
  </si>
  <si>
    <t>jg,qb</t>
  </si>
  <si>
    <t>20140714 QBerger</t>
  </si>
  <si>
    <t>20140714 JKunzler</t>
  </si>
  <si>
    <t>Shortened starboard slide to ease scooping</t>
  </si>
  <si>
    <t>20140714 JBerry</t>
  </si>
  <si>
    <t>nc,csj</t>
  </si>
  <si>
    <t>20140714 CSejkora</t>
  </si>
  <si>
    <t>S, Large eye/gill wound, too wounded to tag</t>
  </si>
  <si>
    <t>06:19</t>
  </si>
  <si>
    <t>09:51</t>
  </si>
  <si>
    <t>too small</t>
  </si>
  <si>
    <t>11:40</t>
  </si>
  <si>
    <t>hit deck</t>
  </si>
  <si>
    <t>23:20</t>
  </si>
  <si>
    <t>07:20</t>
  </si>
  <si>
    <t>11:26</t>
  </si>
  <si>
    <t>mort rw, found in dipnet on deck</t>
  </si>
  <si>
    <t>18:30</t>
  </si>
  <si>
    <t>18:33</t>
  </si>
  <si>
    <t>19:40</t>
  </si>
  <si>
    <t>fish from line 9 on tag &amp; biosample sheet; biosample, no tag; release time is approximate</t>
  </si>
  <si>
    <t>06:12</t>
  </si>
  <si>
    <t>S, noticed tag in trough, returned to live tank to code</t>
  </si>
  <si>
    <t>07:34</t>
  </si>
  <si>
    <t>07:18</t>
  </si>
  <si>
    <t>05:38</t>
  </si>
  <si>
    <t>09:45</t>
  </si>
  <si>
    <t>20140715 JBerry</t>
  </si>
  <si>
    <t>20140715LFerreira</t>
  </si>
  <si>
    <t>FW_Scan_20140714.pdf</t>
  </si>
  <si>
    <t>wheel raised for basket and slide repair from 05:53 to 06:29</t>
  </si>
  <si>
    <t>wheel damaged from log, not fishing unknown duration--last check approximately 13:00, found stopped at approximately 14:00</t>
  </si>
  <si>
    <t>20140715 CSejkora</t>
  </si>
  <si>
    <t>wheel was up at shift start being fixed until approximately 16:30, then lowered and fishing again</t>
  </si>
  <si>
    <t>20140715 DJohnson</t>
  </si>
  <si>
    <t>raised wheel a bit, was hitting</t>
  </si>
  <si>
    <t>moved FW out about 2 ft, lowered wheel</t>
  </si>
  <si>
    <t>start time 23:15</t>
  </si>
  <si>
    <t>20140715 QBerger</t>
  </si>
  <si>
    <t>11:14, stopped wheel for about 5 minutes, log removal</t>
  </si>
  <si>
    <t>20140715 JKunzler</t>
  </si>
  <si>
    <t>lf,nc</t>
  </si>
  <si>
    <t>found dead AG under slide 15 cm FL</t>
  </si>
  <si>
    <t>22:27</t>
  </si>
  <si>
    <t>07:21</t>
  </si>
  <si>
    <t>13:26</t>
  </si>
  <si>
    <t>jump out of trough; color was reddish purple</t>
  </si>
  <si>
    <t>lively! Healthy, red body/green head</t>
  </si>
  <si>
    <t>05:50</t>
  </si>
  <si>
    <t>09:43</t>
  </si>
  <si>
    <t>13:14</t>
  </si>
  <si>
    <t>released CN with no tag; 5 cm wide, deep open wounds, both sides, lethargic, red</t>
  </si>
  <si>
    <t>13:49</t>
  </si>
  <si>
    <t>really full, beautiful fish! Red belly</t>
  </si>
  <si>
    <t>genetics taken</t>
  </si>
  <si>
    <t>17:23</t>
  </si>
  <si>
    <t>darker male but still quite lively!</t>
  </si>
  <si>
    <t>17:34</t>
  </si>
  <si>
    <t>18:43</t>
  </si>
  <si>
    <t>20:02</t>
  </si>
  <si>
    <t>Dull red and grayish, good condition; jack tag, no more large tags</t>
  </si>
  <si>
    <t>Found dead under slide</t>
  </si>
  <si>
    <t>20140715 NCollin</t>
  </si>
  <si>
    <t>At 23:15, lifted wheel about 2 inches in anticipation of lower water over night.</t>
  </si>
  <si>
    <t>20140716LFerreira</t>
  </si>
  <si>
    <t>FW_Scan_20140715.pdf</t>
  </si>
  <si>
    <t>7.5 cm CN or CO parr not included in tag&amp;biosample</t>
  </si>
  <si>
    <t>lowered a little</t>
  </si>
  <si>
    <t>moved FW out 5 ft at 10:30</t>
  </si>
  <si>
    <t>20140716 DJohnson</t>
  </si>
  <si>
    <t>20140716 LFerreira</t>
  </si>
  <si>
    <t>20140716 JBerry</t>
  </si>
  <si>
    <t>20140716 JKunzler</t>
  </si>
  <si>
    <t>stopped FW at 13:20 to repair basket. Resume ops at 13:38</t>
  </si>
  <si>
    <t>raised wheel 3 inches for overnight fishing</t>
  </si>
  <si>
    <t>no fish, stop time 23:11</t>
  </si>
  <si>
    <t>20140716 CSejkora</t>
  </si>
  <si>
    <t>lowered wheel about 3-4 inches to bottom, no rocks hitting</t>
  </si>
  <si>
    <t>20140716 QBerger</t>
  </si>
  <si>
    <t>qb,dj</t>
  </si>
  <si>
    <t>lifted wheel @ 23:35, 1.5 inches</t>
  </si>
  <si>
    <t>unknown species, 10 cm, have photo</t>
  </si>
  <si>
    <t>05:58</t>
  </si>
  <si>
    <t>14:32</t>
  </si>
  <si>
    <t>17:21</t>
  </si>
  <si>
    <t>05:46</t>
  </si>
  <si>
    <t>12:10</t>
  </si>
  <si>
    <t>14:18</t>
  </si>
  <si>
    <t>16:31</t>
  </si>
  <si>
    <t>Very hard to put jack tag in and wouldn't stay.  Tag ok on fourth attempt (Starboard)</t>
  </si>
  <si>
    <t>3 tries to apply tag (jack tag)</t>
  </si>
  <si>
    <t>16:34</t>
  </si>
  <si>
    <t>23:22</t>
  </si>
  <si>
    <t>Healthy!</t>
  </si>
  <si>
    <t>20140717LFerreira</t>
  </si>
  <si>
    <t>FW_Scan_20140716.pdf</t>
  </si>
  <si>
    <t>color looks good</t>
  </si>
  <si>
    <t>no process time, coded out in holding tank.</t>
  </si>
  <si>
    <t>20140717 LFerreira</t>
  </si>
  <si>
    <t>didn't move it at all, not hitting bottom</t>
  </si>
  <si>
    <t>20140717 QBerger</t>
  </si>
  <si>
    <t>20140717 CSejkora</t>
  </si>
  <si>
    <t>wheel stopped 15:00 to 15:08 for basket repair</t>
  </si>
  <si>
    <t>20140717 JKunzler</t>
  </si>
  <si>
    <t>20140717 DJohnson</t>
  </si>
  <si>
    <t>20140717 JBerry</t>
  </si>
  <si>
    <t>20140717 NCollin</t>
  </si>
  <si>
    <t>raised wheel at 05:55 to repair net on basket; started fishing again at 06:10</t>
  </si>
  <si>
    <t>20140717 JGraham</t>
  </si>
  <si>
    <t>qb,jg</t>
  </si>
  <si>
    <t>09:47</t>
  </si>
  <si>
    <t>09:44</t>
  </si>
  <si>
    <t>16:12</t>
  </si>
  <si>
    <t>18:25</t>
  </si>
  <si>
    <t>20:38</t>
  </si>
  <si>
    <t>(S), Pretty dark, seemed healthy</t>
  </si>
  <si>
    <t>good color and vigor!</t>
  </si>
  <si>
    <t>really red</t>
  </si>
  <si>
    <t>20:29</t>
  </si>
  <si>
    <t>nice color</t>
  </si>
  <si>
    <t>0:5:49</t>
  </si>
  <si>
    <t>0:5:46</t>
  </si>
  <si>
    <t>08:42</t>
  </si>
  <si>
    <t>17:12</t>
  </si>
  <si>
    <t>17:47</t>
  </si>
  <si>
    <t>19:47</t>
  </si>
  <si>
    <t>20:43</t>
  </si>
  <si>
    <t>21:42</t>
  </si>
  <si>
    <t>22:19</t>
  </si>
  <si>
    <t>3 shallow lesions on bottom, 2-3 cm in diameter</t>
  </si>
  <si>
    <t>22:20</t>
  </si>
  <si>
    <t>Bright color, good condition</t>
  </si>
  <si>
    <t>22:30</t>
  </si>
  <si>
    <t>4 P</t>
  </si>
  <si>
    <t>moved FW 3 ft out, but didn't stop wheel to do it.</t>
  </si>
  <si>
    <t>FW_Scan_20140717_dr.pdf</t>
  </si>
  <si>
    <t>20140718 DRobichaud</t>
  </si>
  <si>
    <t>20140718 JBerry</t>
  </si>
  <si>
    <t>20140718 LFerreira</t>
  </si>
  <si>
    <t>qb,jg,as,ji</t>
  </si>
  <si>
    <t>AS/JI took over at 16:40</t>
  </si>
  <si>
    <t>20140718 AStephens</t>
  </si>
  <si>
    <t>hr,nc</t>
  </si>
  <si>
    <t>wheel stopped at 23:23</t>
  </si>
  <si>
    <t>20140718 HReider</t>
  </si>
  <si>
    <t>no fish caught</t>
  </si>
  <si>
    <t>23:02 stopped wheel from spinning</t>
  </si>
  <si>
    <t>1 CN juv</t>
  </si>
  <si>
    <t>20140718 QBerger</t>
  </si>
  <si>
    <t>20140718 NCollin</t>
  </si>
  <si>
    <t>Accidental CN tagged with PK tag//# on biosample (596-22)</t>
  </si>
  <si>
    <t>20140718 DJohnson</t>
  </si>
  <si>
    <t>greased winch cables on wheel EG 7/18</t>
  </si>
  <si>
    <t>20:49</t>
  </si>
  <si>
    <t>antenna fully in mouth</t>
  </si>
  <si>
    <t>S recaptured a couple mins after release</t>
  </si>
  <si>
    <t>Starboard, good color and lively</t>
  </si>
  <si>
    <t>S, still silvery and lively</t>
  </si>
  <si>
    <t>Accidently put PK tag in CN-Chn 596 code 22</t>
  </si>
  <si>
    <t>5 P</t>
  </si>
  <si>
    <t>07:25</t>
  </si>
  <si>
    <t>07:28</t>
  </si>
  <si>
    <t>got genetics</t>
  </si>
  <si>
    <t>10:58</t>
  </si>
  <si>
    <t>09:42</t>
  </si>
  <si>
    <t>great color, lively, cnj</t>
  </si>
  <si>
    <t>20140718 JKunzler</t>
  </si>
  <si>
    <t>12:49</t>
  </si>
  <si>
    <t>Great color, female</t>
  </si>
  <si>
    <t>12:51</t>
  </si>
  <si>
    <t>14:10</t>
  </si>
  <si>
    <t>14:29</t>
  </si>
  <si>
    <t>hit deck; no tag</t>
  </si>
  <si>
    <t>18:07</t>
  </si>
  <si>
    <t>fairly red, still lively</t>
  </si>
  <si>
    <t>19:19</t>
  </si>
  <si>
    <t>20140718 EGora</t>
  </si>
  <si>
    <t>20:44</t>
  </si>
  <si>
    <t>light green head, silvery, lively</t>
  </si>
  <si>
    <t>21:19</t>
  </si>
  <si>
    <t>22:31</t>
  </si>
  <si>
    <t>23:07</t>
  </si>
  <si>
    <t>23:10</t>
  </si>
  <si>
    <t>likely same fish as line above</t>
  </si>
  <si>
    <t>Decent Color and healthy</t>
  </si>
  <si>
    <t>didn't need to measure, tagged 1 hr prior</t>
  </si>
  <si>
    <t>20140719 LAckein</t>
  </si>
  <si>
    <t>seemed healthy, previously healed tail wound, pink</t>
  </si>
  <si>
    <t>nc,eg</t>
  </si>
  <si>
    <t>fishwheel was raised overnight-lowered in am.</t>
  </si>
  <si>
    <t>Left fishwheel at 1100 for tailboard</t>
  </si>
  <si>
    <t>20140719 NCollin</t>
  </si>
  <si>
    <t>dj,jb,ji</t>
  </si>
  <si>
    <t>20140719 JBerry</t>
  </si>
  <si>
    <t>fishwheels raised overnight, lowered am</t>
  </si>
  <si>
    <t>wheel stopped 17:05-17:28 due to log jam.  Stopped 17:45-18:47 basket and slide repair.</t>
  </si>
  <si>
    <t>20140719 JImerie</t>
  </si>
  <si>
    <t>la,hr</t>
  </si>
  <si>
    <t>eg,nc</t>
  </si>
  <si>
    <t>raised wheel overnight</t>
  </si>
  <si>
    <t>20140719 EGora</t>
  </si>
  <si>
    <t>tagged but no MEF/genetics.  Fish jumped out and hit deck before water.</t>
  </si>
  <si>
    <t>16:08</t>
  </si>
  <si>
    <t>JI</t>
  </si>
  <si>
    <t>19:55</t>
  </si>
  <si>
    <t>08:57</t>
  </si>
  <si>
    <t>09:57</t>
  </si>
  <si>
    <t>12:12</t>
  </si>
  <si>
    <t>very blushed;moderately dark, lively</t>
  </si>
  <si>
    <t>20140719 HReider</t>
  </si>
  <si>
    <t>silver, head barely green</t>
  </si>
  <si>
    <t>14:15</t>
  </si>
  <si>
    <t>644 K</t>
  </si>
  <si>
    <t>sex-M</t>
  </si>
  <si>
    <t>6 P</t>
  </si>
  <si>
    <t>645 K</t>
  </si>
  <si>
    <t>darkly spotted,moderately red,good vigor</t>
  </si>
  <si>
    <t>17:56</t>
  </si>
  <si>
    <t>17:35</t>
  </si>
  <si>
    <t>no tag, already hit chum limit for the day</t>
  </si>
  <si>
    <t>18:34</t>
  </si>
  <si>
    <t>no genetics taken</t>
  </si>
  <si>
    <t>18:52</t>
  </si>
  <si>
    <t>646 K</t>
  </si>
  <si>
    <t>Healthy, pink, starting spawning in the trough</t>
  </si>
  <si>
    <t>slightly lethargic, darker coloring, cap time 16:24</t>
  </si>
  <si>
    <t>looked healthy and lively</t>
  </si>
  <si>
    <t>18:50</t>
  </si>
  <si>
    <t>20140720 LAckein</t>
  </si>
  <si>
    <t>20140719 JImrie</t>
  </si>
  <si>
    <t>13 P</t>
  </si>
  <si>
    <t>14 P</t>
  </si>
  <si>
    <t>15 P</t>
  </si>
  <si>
    <t>16 P</t>
  </si>
  <si>
    <t>17 P</t>
  </si>
  <si>
    <t>18 P</t>
  </si>
  <si>
    <t>19 P</t>
  </si>
  <si>
    <t>20 P</t>
  </si>
  <si>
    <t>21 P</t>
  </si>
  <si>
    <t>22 P</t>
  </si>
  <si>
    <t>23 P</t>
  </si>
  <si>
    <t>24 P</t>
  </si>
  <si>
    <t>25 P</t>
  </si>
  <si>
    <t>26 P</t>
  </si>
  <si>
    <t>27 P</t>
  </si>
  <si>
    <t>28 P</t>
  </si>
  <si>
    <t>29 P</t>
  </si>
  <si>
    <t>30 P</t>
  </si>
  <si>
    <t>31 P</t>
  </si>
  <si>
    <t>32 P</t>
  </si>
  <si>
    <t>33 P</t>
  </si>
  <si>
    <t>34 P</t>
  </si>
  <si>
    <t>35 P</t>
  </si>
  <si>
    <t>36 P</t>
  </si>
  <si>
    <t>37 P</t>
  </si>
  <si>
    <t>38 P</t>
  </si>
  <si>
    <t>39 P</t>
  </si>
  <si>
    <t>40 P</t>
  </si>
  <si>
    <t>41 P</t>
  </si>
  <si>
    <t>42 P</t>
  </si>
  <si>
    <t>43 P</t>
  </si>
  <si>
    <t>44 P</t>
  </si>
  <si>
    <t>45 P</t>
  </si>
  <si>
    <t>46 P</t>
  </si>
  <si>
    <t>47 P</t>
  </si>
  <si>
    <t>48 P</t>
  </si>
  <si>
    <t>49 P</t>
  </si>
  <si>
    <t>50 P</t>
  </si>
  <si>
    <t>51 P</t>
  </si>
  <si>
    <t>52 P</t>
  </si>
  <si>
    <t>53 P</t>
  </si>
  <si>
    <t>54 P</t>
  </si>
  <si>
    <t>55 P</t>
  </si>
  <si>
    <t>56 P</t>
  </si>
  <si>
    <t>57 P</t>
  </si>
  <si>
    <t>58 P</t>
  </si>
  <si>
    <t>59 P</t>
  </si>
  <si>
    <t>60 P</t>
  </si>
  <si>
    <t>61 P</t>
  </si>
  <si>
    <t>62 P</t>
  </si>
  <si>
    <t>63 P</t>
  </si>
  <si>
    <t>64 P</t>
  </si>
  <si>
    <t>65 P</t>
  </si>
  <si>
    <t>66 P</t>
  </si>
  <si>
    <t>67 P</t>
  </si>
  <si>
    <t>68 P</t>
  </si>
  <si>
    <t>69 P</t>
  </si>
  <si>
    <t>70 P</t>
  </si>
  <si>
    <t>71 P</t>
  </si>
  <si>
    <t>72 P</t>
  </si>
  <si>
    <t>73 P</t>
  </si>
  <si>
    <t>74 P</t>
  </si>
  <si>
    <t>75 P</t>
  </si>
  <si>
    <t>76 P</t>
  </si>
  <si>
    <t>77 P</t>
  </si>
  <si>
    <t>78 P</t>
  </si>
  <si>
    <t>79 P</t>
  </si>
  <si>
    <t>80 P</t>
  </si>
  <si>
    <t>81 P</t>
  </si>
  <si>
    <t>82 P</t>
  </si>
  <si>
    <t>83 P</t>
  </si>
  <si>
    <t>84 P</t>
  </si>
  <si>
    <t>85 P</t>
  </si>
  <si>
    <t>86 P</t>
  </si>
  <si>
    <t>87 P</t>
  </si>
  <si>
    <t>88 P</t>
  </si>
  <si>
    <t>89 P</t>
  </si>
  <si>
    <t>90 P</t>
  </si>
  <si>
    <t>91 P</t>
  </si>
  <si>
    <t>92 P</t>
  </si>
  <si>
    <t>93 P</t>
  </si>
  <si>
    <t>94 P</t>
  </si>
  <si>
    <t>95 P</t>
  </si>
  <si>
    <t>96 P</t>
  </si>
  <si>
    <t>97 P</t>
  </si>
  <si>
    <t>98 P</t>
  </si>
  <si>
    <t>99 P</t>
  </si>
  <si>
    <t>100 P</t>
  </si>
  <si>
    <t>101 P</t>
  </si>
  <si>
    <t>102 P</t>
  </si>
  <si>
    <t>103 P</t>
  </si>
  <si>
    <t>104 P</t>
  </si>
  <si>
    <t>105 P</t>
  </si>
  <si>
    <t>106 P</t>
  </si>
  <si>
    <t>107 P</t>
  </si>
  <si>
    <t>108 P</t>
  </si>
  <si>
    <t>109 P</t>
  </si>
  <si>
    <t>110 P</t>
  </si>
  <si>
    <t>111 P</t>
  </si>
  <si>
    <t>112 P</t>
  </si>
  <si>
    <t>113 P</t>
  </si>
  <si>
    <t>114 P</t>
  </si>
  <si>
    <t>115 P</t>
  </si>
  <si>
    <t>116 P</t>
  </si>
  <si>
    <t>117 P</t>
  </si>
  <si>
    <t>118 P</t>
  </si>
  <si>
    <t>119 P</t>
  </si>
  <si>
    <t>120 P</t>
  </si>
  <si>
    <t>121 P</t>
  </si>
  <si>
    <t>122 P</t>
  </si>
  <si>
    <t>123 P</t>
  </si>
  <si>
    <t>124 P</t>
  </si>
  <si>
    <t>125 P</t>
  </si>
  <si>
    <t>126 P</t>
  </si>
  <si>
    <t>127 P</t>
  </si>
  <si>
    <t>128 P</t>
  </si>
  <si>
    <t>129 P</t>
  </si>
  <si>
    <t>130 P</t>
  </si>
  <si>
    <t>131 P</t>
  </si>
  <si>
    <t>132 P</t>
  </si>
  <si>
    <t>133 P</t>
  </si>
  <si>
    <t>134 P</t>
  </si>
  <si>
    <t>135 P</t>
  </si>
  <si>
    <t>136 P</t>
  </si>
  <si>
    <t>137 P</t>
  </si>
  <si>
    <t>138 P</t>
  </si>
  <si>
    <t>139 P</t>
  </si>
  <si>
    <t>140 P</t>
  </si>
  <si>
    <t>141 P</t>
  </si>
  <si>
    <t>142 P</t>
  </si>
  <si>
    <t>143 P</t>
  </si>
  <si>
    <t>144 P</t>
  </si>
  <si>
    <t>145 P</t>
  </si>
  <si>
    <t>146 P</t>
  </si>
  <si>
    <t>147 P</t>
  </si>
  <si>
    <t>148 P</t>
  </si>
  <si>
    <t>149 P</t>
  </si>
  <si>
    <t>150 P</t>
  </si>
  <si>
    <t>151 P</t>
  </si>
  <si>
    <t>152 P</t>
  </si>
  <si>
    <t>153 P</t>
  </si>
  <si>
    <t>154 P</t>
  </si>
  <si>
    <t>155 P</t>
  </si>
  <si>
    <t>156 P</t>
  </si>
  <si>
    <t>157 P</t>
  </si>
  <si>
    <t>158 P</t>
  </si>
  <si>
    <t>159 P</t>
  </si>
  <si>
    <t>160 P</t>
  </si>
  <si>
    <t>161 P</t>
  </si>
  <si>
    <t>162 P</t>
  </si>
  <si>
    <t>163 P</t>
  </si>
  <si>
    <t>164 P</t>
  </si>
  <si>
    <t>165 P</t>
  </si>
  <si>
    <t>166 P</t>
  </si>
  <si>
    <t>167 P</t>
  </si>
  <si>
    <t>168 P</t>
  </si>
  <si>
    <t>169 P</t>
  </si>
  <si>
    <t>170 P</t>
  </si>
  <si>
    <t>171 P</t>
  </si>
  <si>
    <t>172 P</t>
  </si>
  <si>
    <t>173 P</t>
  </si>
  <si>
    <t>174 P</t>
  </si>
  <si>
    <t>175 P</t>
  </si>
  <si>
    <t>176 P</t>
  </si>
  <si>
    <t>177 P</t>
  </si>
  <si>
    <t>178 P</t>
  </si>
  <si>
    <t>179 P</t>
  </si>
  <si>
    <t>180 P</t>
  </si>
  <si>
    <t>181 P</t>
  </si>
  <si>
    <t>182 P</t>
  </si>
  <si>
    <t>183 P</t>
  </si>
  <si>
    <t>184 P</t>
  </si>
  <si>
    <t>185 P</t>
  </si>
  <si>
    <t>186 P</t>
  </si>
  <si>
    <t>187 P</t>
  </si>
  <si>
    <t>188 P</t>
  </si>
  <si>
    <t>189 P</t>
  </si>
  <si>
    <t>190 P</t>
  </si>
  <si>
    <t>191 P</t>
  </si>
  <si>
    <t>192 P</t>
  </si>
  <si>
    <t>193 P</t>
  </si>
  <si>
    <t>194 P</t>
  </si>
  <si>
    <t>195 P</t>
  </si>
  <si>
    <t>196 P</t>
  </si>
  <si>
    <t>197 P</t>
  </si>
  <si>
    <t>198 P</t>
  </si>
  <si>
    <t>199 P</t>
  </si>
  <si>
    <t>200 P</t>
  </si>
  <si>
    <t>12 P</t>
  </si>
  <si>
    <t>1 P</t>
  </si>
  <si>
    <t>2 P</t>
  </si>
  <si>
    <t>3 P</t>
  </si>
  <si>
    <t>7 P</t>
  </si>
  <si>
    <t>8 P</t>
  </si>
  <si>
    <t>9 P</t>
  </si>
  <si>
    <t>10 P</t>
  </si>
  <si>
    <t>11 P</t>
  </si>
  <si>
    <t>FW_Scan_20140718.pdf</t>
  </si>
  <si>
    <t>FW_Scan_20140719.pdf</t>
  </si>
  <si>
    <t>Wheel stopped for unknown time due to log jam (last checked ~0900).  Resumed fishing @ 10:20.  Lead net cleared 11:45-12:30, wheel moved in ~ 2ft.  No fish.  New revs=42</t>
  </si>
  <si>
    <t>fishwheel raised overnight.</t>
  </si>
  <si>
    <t>20140720 NCollin</t>
  </si>
  <si>
    <t>20140720 DJohnson</t>
  </si>
  <si>
    <t>20140720 EGora</t>
  </si>
  <si>
    <t>end of shift-tailboard @ 1100</t>
  </si>
  <si>
    <t>la,hr,ji</t>
  </si>
  <si>
    <t>raised @20:00</t>
  </si>
  <si>
    <t>no tag, met tag limit for the day</t>
  </si>
  <si>
    <t>19:57</t>
  </si>
  <si>
    <t>17:58</t>
  </si>
  <si>
    <t>18:03</t>
  </si>
  <si>
    <t>09:53</t>
  </si>
  <si>
    <t>nice looking</t>
  </si>
  <si>
    <t>12:42</t>
  </si>
  <si>
    <t>650 K</t>
  </si>
  <si>
    <t>13:20</t>
  </si>
  <si>
    <t>dark red side, dark head and collar</t>
  </si>
  <si>
    <t>647 K</t>
  </si>
  <si>
    <t>13:27</t>
  </si>
  <si>
    <t>lightly blushed, pink and silver</t>
  </si>
  <si>
    <t>14:35</t>
  </si>
  <si>
    <t>tiny belly wound</t>
  </si>
  <si>
    <t>14:37</t>
  </si>
  <si>
    <t>602 K</t>
  </si>
  <si>
    <t>16:39</t>
  </si>
  <si>
    <t>17:28</t>
  </si>
  <si>
    <t>17:49</t>
  </si>
  <si>
    <t>17:57</t>
  </si>
  <si>
    <t>19:04</t>
  </si>
  <si>
    <t>hit the deck, released</t>
  </si>
  <si>
    <t>604 K</t>
  </si>
  <si>
    <t xml:space="preserve">19:40 </t>
  </si>
  <si>
    <t>16:49</t>
  </si>
  <si>
    <t>pink tagged with CNj tag, healthy, small chin wound</t>
  </si>
  <si>
    <t>pink color, healthy, some previously healed scrapes</t>
  </si>
  <si>
    <t>601 K</t>
  </si>
  <si>
    <t>red and green stripe, kind of confusing, took picture</t>
  </si>
  <si>
    <t>very dark black and red coloring, pre-spawn, eggs present</t>
  </si>
  <si>
    <t>20140721 LAckein</t>
  </si>
  <si>
    <t>FW_Scan_20140720.pdf</t>
  </si>
  <si>
    <t>dj,eg</t>
  </si>
  <si>
    <t>20140721 DJohnson</t>
  </si>
  <si>
    <t>20140721 JBerry</t>
  </si>
  <si>
    <t>20140721 NCollin</t>
  </si>
  <si>
    <t>20140721 EGora</t>
  </si>
  <si>
    <t>hr,la,ji</t>
  </si>
  <si>
    <t>cleaned lead net @ 16:50, tightened and secured lead net at shore</t>
  </si>
  <si>
    <t>10:41</t>
  </si>
  <si>
    <t>19:56</t>
  </si>
  <si>
    <t>603 K</t>
  </si>
  <si>
    <t>8:25</t>
  </si>
  <si>
    <t>09:50</t>
  </si>
  <si>
    <t>10:46</t>
  </si>
  <si>
    <t>638 K</t>
  </si>
  <si>
    <t>12:08</t>
  </si>
  <si>
    <t>639 K</t>
  </si>
  <si>
    <t>640 K</t>
  </si>
  <si>
    <t>14:03</t>
  </si>
  <si>
    <t>no tag; met daily tag limit</t>
  </si>
  <si>
    <t>eg,dj</t>
  </si>
  <si>
    <t>20140722 DJohnson</t>
  </si>
  <si>
    <t>cleared lead net @14:20; raised baskets 2", was hitting the bottom (15:50)</t>
  </si>
  <si>
    <t>turb. Vial collected 12:06</t>
  </si>
  <si>
    <t>nc,jb</t>
  </si>
  <si>
    <t>20140722 JBerry</t>
  </si>
  <si>
    <t>20140722 EGora</t>
  </si>
  <si>
    <t>20140722 NCollin</t>
  </si>
  <si>
    <t>11:02</t>
  </si>
  <si>
    <t>15:49</t>
  </si>
  <si>
    <t>16:55</t>
  </si>
  <si>
    <t>split in caudal fin</t>
  </si>
  <si>
    <t>18:09</t>
  </si>
  <si>
    <t>1 CO</t>
  </si>
  <si>
    <t>18:41</t>
  </si>
  <si>
    <t>18:44</t>
  </si>
  <si>
    <t>19:53</t>
  </si>
  <si>
    <t>20140722 LAckein</t>
  </si>
  <si>
    <t>beautiful coloring, extreme snaggletooth</t>
  </si>
  <si>
    <t>13:06</t>
  </si>
  <si>
    <t>16:45</t>
  </si>
  <si>
    <t>nose wound, small split in caudal fin</t>
  </si>
  <si>
    <t>17:20</t>
  </si>
  <si>
    <t>19:11</t>
  </si>
  <si>
    <t>19:17</t>
  </si>
  <si>
    <t>19:20</t>
  </si>
  <si>
    <t>09:08</t>
  </si>
  <si>
    <t>09:35</t>
  </si>
  <si>
    <t>12:00</t>
  </si>
  <si>
    <t>13:51</t>
  </si>
  <si>
    <t>not tag, reached daily tag limit</t>
  </si>
  <si>
    <t>17:16</t>
  </si>
  <si>
    <t>17:17</t>
  </si>
  <si>
    <t>17:54</t>
  </si>
  <si>
    <t>18:59</t>
  </si>
  <si>
    <t>19:00</t>
  </si>
  <si>
    <t>09:15</t>
  </si>
  <si>
    <t>12:30</t>
  </si>
  <si>
    <t>escaped trough, hit deck, no code or MEF</t>
  </si>
  <si>
    <t>12:36</t>
  </si>
  <si>
    <t>noticed tag in the trough, returned to live tank to code</t>
  </si>
  <si>
    <t>13:46</t>
  </si>
  <si>
    <t>coded in trough</t>
  </si>
  <si>
    <t>20140722 JImrie</t>
  </si>
  <si>
    <t>FW_Scan_20140721.pdf</t>
  </si>
  <si>
    <t>20140723 LAckein</t>
  </si>
  <si>
    <t>FW_Scan_20140722.pdf</t>
  </si>
  <si>
    <t>previously healed dorsal caudal peduncle wound, dark red, lethargic, pre-spawn</t>
  </si>
  <si>
    <t>two small head wounds, shallow; very lively!  Silver, light blush</t>
  </si>
  <si>
    <t>Escaped trough.  Hit deck, no MEF</t>
  </si>
  <si>
    <t>spit tag on deck @ release</t>
  </si>
  <si>
    <t>dj,nc</t>
  </si>
  <si>
    <t>20140723 DJohnson</t>
  </si>
  <si>
    <t>jb,eg</t>
  </si>
  <si>
    <t>20140723 JBerry</t>
  </si>
  <si>
    <t>nc,dj</t>
  </si>
  <si>
    <t>20140723 NCollin</t>
  </si>
  <si>
    <t>20140723 HReider</t>
  </si>
  <si>
    <t>raised wheel to fix water in pontoon and overnight</t>
  </si>
  <si>
    <t>wheel stopped 12:05-12:10 to mend net</t>
  </si>
  <si>
    <t>08:36</t>
  </si>
  <si>
    <t xml:space="preserve">10:25 </t>
  </si>
  <si>
    <t>11:50</t>
  </si>
  <si>
    <t>11:51</t>
  </si>
  <si>
    <t>11:59</t>
  </si>
  <si>
    <t>snaggletooth, slightly bleeding gums</t>
  </si>
  <si>
    <t>very silver, green head; quite lively</t>
  </si>
  <si>
    <t>13:16</t>
  </si>
  <si>
    <t>gash across on eye, seemed healed-not open</t>
  </si>
  <si>
    <t>13:15</t>
  </si>
  <si>
    <t>13:38</t>
  </si>
  <si>
    <t>15:02</t>
  </si>
  <si>
    <t>15:55</t>
  </si>
  <si>
    <t xml:space="preserve">hit deck, no length </t>
  </si>
  <si>
    <t>pale coloring, very lively</t>
  </si>
  <si>
    <t>09:23</t>
  </si>
  <si>
    <t>09:26</t>
  </si>
  <si>
    <t>09:31</t>
  </si>
  <si>
    <t>small wound on caudal fin</t>
  </si>
  <si>
    <t>20140723 EGora</t>
  </si>
  <si>
    <t>08:30</t>
  </si>
  <si>
    <t>08:44</t>
  </si>
  <si>
    <t>reached tag limit</t>
  </si>
  <si>
    <t>reached wheel taglimit-no tag</t>
  </si>
  <si>
    <t>10:05</t>
  </si>
  <si>
    <t>11:53</t>
  </si>
  <si>
    <t>11:57</t>
  </si>
  <si>
    <t>605 K</t>
  </si>
  <si>
    <t>12:53</t>
  </si>
  <si>
    <t>2014723 NCollin</t>
  </si>
  <si>
    <t xml:space="preserve">14:26 </t>
  </si>
  <si>
    <t>14:30</t>
  </si>
  <si>
    <t>14:44</t>
  </si>
  <si>
    <t>15:34</t>
  </si>
  <si>
    <t>15:38</t>
  </si>
  <si>
    <t>15:40</t>
  </si>
  <si>
    <t>17:08</t>
  </si>
  <si>
    <t>18:13</t>
  </si>
  <si>
    <t>19:12</t>
  </si>
  <si>
    <t>13:22</t>
  </si>
  <si>
    <t>tag not coded due to receiver malfunction</t>
  </si>
  <si>
    <t>moved fw1 3 ft from shore @ 0945</t>
  </si>
  <si>
    <t>moved wheel out about 3 ft from shore @ 0939</t>
  </si>
  <si>
    <t>20140724 LAckein</t>
  </si>
  <si>
    <t>FW_Scan_20140723.pdf</t>
  </si>
  <si>
    <t>09:49</t>
  </si>
  <si>
    <t>20140724 DJohnson</t>
  </si>
  <si>
    <t>wheel stopped 14:50-15:47 for net mending</t>
  </si>
  <si>
    <t>20140724 AStephens</t>
  </si>
  <si>
    <t>eg,jb</t>
  </si>
  <si>
    <t>generator running from 1345-1426 to pump water out of pontoon compartments.</t>
  </si>
  <si>
    <t>20140724 JBerry</t>
  </si>
  <si>
    <t xml:space="preserve">hr,la </t>
  </si>
  <si>
    <t>08:53</t>
  </si>
  <si>
    <t>20140724 NCollin</t>
  </si>
  <si>
    <t>09:02</t>
  </si>
  <si>
    <t>09:19</t>
  </si>
  <si>
    <t>09:21</t>
  </si>
  <si>
    <t>10:39</t>
  </si>
  <si>
    <t>18:00</t>
  </si>
  <si>
    <t>no tag, reached daily limit, hit deck after measurement</t>
  </si>
  <si>
    <t>20140724 EGora</t>
  </si>
  <si>
    <t>18:02</t>
  </si>
  <si>
    <t>19:58</t>
  </si>
  <si>
    <t>18:38</t>
  </si>
  <si>
    <t>08:01</t>
  </si>
  <si>
    <t>Fish jumped out of trough-hit deck into water</t>
  </si>
  <si>
    <t>08:26</t>
  </si>
  <si>
    <t>08:32</t>
  </si>
  <si>
    <t>no tag, reached wheel tag limit.  Two pinks caught in net one jumped out on platform.  Put in water.</t>
  </si>
  <si>
    <t>08:41</t>
  </si>
  <si>
    <t>08:45</t>
  </si>
  <si>
    <t>09:03</t>
  </si>
  <si>
    <t>another pink went in a few seconds later</t>
  </si>
  <si>
    <t>09:04</t>
  </si>
  <si>
    <t>09:36</t>
  </si>
  <si>
    <t>606 K</t>
  </si>
  <si>
    <t>10:16</t>
  </si>
  <si>
    <t>10:36</t>
  </si>
  <si>
    <t>20104724 LAckein</t>
  </si>
  <si>
    <t>12:18</t>
  </si>
  <si>
    <t>13:18</t>
  </si>
  <si>
    <t>17:22</t>
  </si>
  <si>
    <t>607 K</t>
  </si>
  <si>
    <t>18:45</t>
  </si>
  <si>
    <t>18:48</t>
  </si>
  <si>
    <t>19:28</t>
  </si>
  <si>
    <t>vial 59 went overboard</t>
  </si>
  <si>
    <t>19:33</t>
  </si>
  <si>
    <t>fishing 3 in off bottom</t>
  </si>
  <si>
    <t>20140725 LAckein</t>
  </si>
  <si>
    <t>FW_Scan_20140724.pdf</t>
  </si>
  <si>
    <t>20140725 JBerry</t>
  </si>
  <si>
    <t>eg,nc,as</t>
  </si>
  <si>
    <t>20140725 AStephens</t>
  </si>
  <si>
    <t>wheel stopped 12:10-12:20 for slide repair.  Generator running to pump water from port-side float 12:25-12:35.</t>
  </si>
  <si>
    <t>20140725 DJohnson</t>
  </si>
  <si>
    <t>stopped wheel 15:15-15:23 for slide repair to put yoga mats over splintered wood.  Moved wheel inshore about 2 ft.</t>
  </si>
  <si>
    <t>QB/JK helped tag 1 CM while we were moving the wheel.</t>
  </si>
  <si>
    <t>20140725 EGora</t>
  </si>
  <si>
    <t>hr,la</t>
  </si>
  <si>
    <t>20140725 JKunzler</t>
  </si>
  <si>
    <t>08:33</t>
  </si>
  <si>
    <t>08:35</t>
  </si>
  <si>
    <t>08:37</t>
  </si>
  <si>
    <t>09:52</t>
  </si>
  <si>
    <t>09:54</t>
  </si>
  <si>
    <t>09:55</t>
  </si>
  <si>
    <t>09:56</t>
  </si>
  <si>
    <t>09:58</t>
  </si>
  <si>
    <t>dark color, but appeared to be pre-spawn</t>
  </si>
  <si>
    <t>kyped out</t>
  </si>
  <si>
    <t>17:37</t>
  </si>
  <si>
    <t>18:11</t>
  </si>
  <si>
    <t>18:39</t>
  </si>
  <si>
    <t>2 CO</t>
  </si>
  <si>
    <t>20:03</t>
  </si>
  <si>
    <t>banged up snout</t>
  </si>
  <si>
    <t>08:34</t>
  </si>
  <si>
    <t>09:00</t>
  </si>
  <si>
    <t>no tag reached daily wheel limit.  Large gash on side</t>
  </si>
  <si>
    <t>09:13</t>
  </si>
  <si>
    <t>09:10</t>
  </si>
  <si>
    <t>09:14</t>
  </si>
  <si>
    <t>09:29</t>
  </si>
  <si>
    <t>09:34</t>
  </si>
  <si>
    <t>10:04</t>
  </si>
  <si>
    <t>10:06</t>
  </si>
  <si>
    <t>16:28</t>
  </si>
  <si>
    <t>608 K</t>
  </si>
  <si>
    <t>19:10</t>
  </si>
  <si>
    <t>nc,eg,as, jk</t>
  </si>
  <si>
    <t>20140726 LAckein</t>
  </si>
  <si>
    <t>FW_Scan_20140725.pdf</t>
  </si>
  <si>
    <t>changed per DR</t>
  </si>
  <si>
    <t>hr,qb</t>
  </si>
  <si>
    <t>20140726 Qberger</t>
  </si>
  <si>
    <t>20140726 QBerger</t>
  </si>
  <si>
    <t>la, cz</t>
  </si>
  <si>
    <t>20140726JKunzler</t>
  </si>
  <si>
    <t>hr, qb</t>
  </si>
  <si>
    <t>20140726 HReider</t>
  </si>
  <si>
    <t>20140726 CZiolkowski</t>
  </si>
  <si>
    <t>jk, nc</t>
  </si>
  <si>
    <t>16:22</t>
  </si>
  <si>
    <t>Bright red, dark head</t>
  </si>
  <si>
    <t>20140726 JKunzler</t>
  </si>
  <si>
    <t>10:29</t>
  </si>
  <si>
    <t>10:38</t>
  </si>
  <si>
    <t>12:29</t>
  </si>
  <si>
    <t>12:37</t>
  </si>
  <si>
    <t>12:38</t>
  </si>
  <si>
    <t>12:43</t>
  </si>
  <si>
    <t>18:01</t>
  </si>
  <si>
    <t>CZ</t>
  </si>
  <si>
    <t>16:53</t>
  </si>
  <si>
    <t>13:41</t>
  </si>
  <si>
    <t>19:02</t>
  </si>
  <si>
    <t>20:08</t>
  </si>
  <si>
    <t>20:10</t>
  </si>
  <si>
    <t>took photos</t>
  </si>
  <si>
    <t>Moved FW1 in ~2ft, fishing baskets 1" off deck @ 1150</t>
  </si>
  <si>
    <t>0945 Moved front spart pole out a tad. 10:46 lowered baskets a few inches</t>
  </si>
  <si>
    <t>Cleaned lead net @ 1550</t>
  </si>
  <si>
    <t>5 pk radio tag</t>
  </si>
  <si>
    <t>20140726 NCollin</t>
  </si>
  <si>
    <t>Grazed deck on release</t>
  </si>
  <si>
    <t>20140726 Lackein</t>
  </si>
  <si>
    <t>08:25</t>
  </si>
  <si>
    <t>08:39</t>
  </si>
  <si>
    <t>08:58</t>
  </si>
  <si>
    <t>08:49</t>
  </si>
  <si>
    <t>08:51</t>
  </si>
  <si>
    <t>09:16</t>
  </si>
  <si>
    <t>09:18</t>
  </si>
  <si>
    <t>09:24</t>
  </si>
  <si>
    <t>4 CO</t>
  </si>
  <si>
    <t>20140727 AStephens</t>
  </si>
  <si>
    <t>2101407 AStephens</t>
  </si>
  <si>
    <t>FW_Scan_20140726.pdf</t>
  </si>
  <si>
    <t>need to biosample 2 more pinks</t>
  </si>
  <si>
    <t>20140727 QBeger</t>
  </si>
  <si>
    <t>la,cz</t>
  </si>
  <si>
    <t>20140727 Lackein</t>
  </si>
  <si>
    <t>20140727 LAckein</t>
  </si>
  <si>
    <t>20140727 NCollin</t>
  </si>
  <si>
    <t>pontoon slightly low, goes slightly under if standing on it</t>
  </si>
  <si>
    <t>20140727 HReider</t>
  </si>
  <si>
    <t>moved FW out ~ 1 ft @ 1445.  stabilized rear spar pole</t>
  </si>
  <si>
    <t>20140727 JKunzler</t>
  </si>
  <si>
    <t>08:48</t>
  </si>
  <si>
    <t>20140727 QBerger</t>
  </si>
  <si>
    <t>10:07</t>
  </si>
  <si>
    <t>10:10</t>
  </si>
  <si>
    <t>10:12</t>
  </si>
  <si>
    <t>10:13</t>
  </si>
  <si>
    <t>10:14</t>
  </si>
  <si>
    <t>10:17</t>
  </si>
  <si>
    <t>10:59</t>
  </si>
  <si>
    <t>15:29</t>
  </si>
  <si>
    <t>18:20</t>
  </si>
  <si>
    <t>no genetics, kept submerged under water, hard to id</t>
  </si>
  <si>
    <t>9:10</t>
  </si>
  <si>
    <t>3 CO</t>
  </si>
  <si>
    <t>10:43</t>
  </si>
  <si>
    <t>gash on rt side of belly (old wound)</t>
  </si>
  <si>
    <t>green head, red, lively</t>
  </si>
  <si>
    <t>14:04</t>
  </si>
  <si>
    <t>bright sides, green head-pretty and feisty!</t>
  </si>
  <si>
    <t>15:16</t>
  </si>
  <si>
    <t>pink blush, green head; very lively</t>
  </si>
  <si>
    <t>19:22</t>
  </si>
  <si>
    <t>09:11</t>
  </si>
  <si>
    <t xml:space="preserve">09:14 </t>
  </si>
  <si>
    <t>09:28</t>
  </si>
  <si>
    <t>10:21</t>
  </si>
  <si>
    <t>10:23</t>
  </si>
  <si>
    <t>10:24</t>
  </si>
  <si>
    <t>10:25</t>
  </si>
  <si>
    <t>10:30</t>
  </si>
  <si>
    <t>10:31</t>
  </si>
  <si>
    <t>13:11</t>
  </si>
  <si>
    <t>probably same fish as above!</t>
  </si>
  <si>
    <t>think its same chum</t>
  </si>
  <si>
    <t>20140728 JImrie</t>
  </si>
  <si>
    <t>FW_Scan_20140727.pdf</t>
  </si>
  <si>
    <t>discarded DNA (two clips in same vial)</t>
  </si>
  <si>
    <t>channel sleuthed to 534</t>
  </si>
  <si>
    <t>5 CO</t>
  </si>
  <si>
    <t>6 CO</t>
  </si>
  <si>
    <t>7 CO</t>
  </si>
  <si>
    <t>8 CO</t>
  </si>
  <si>
    <t>9 CO</t>
  </si>
  <si>
    <t>10 CO</t>
  </si>
  <si>
    <t>11 CO</t>
  </si>
  <si>
    <t>12 CO</t>
  </si>
  <si>
    <t>13 CO</t>
  </si>
  <si>
    <t>14 CO</t>
  </si>
  <si>
    <t>15 CO</t>
  </si>
  <si>
    <t>16 CO</t>
  </si>
  <si>
    <t>17 CO</t>
  </si>
  <si>
    <t>18 CO</t>
  </si>
  <si>
    <t>19 CO</t>
  </si>
  <si>
    <t>20 CO</t>
  </si>
  <si>
    <t>21 CO</t>
  </si>
  <si>
    <t>22 CO</t>
  </si>
  <si>
    <t>23 CO</t>
  </si>
  <si>
    <t>24 CO</t>
  </si>
  <si>
    <t>26 CO</t>
  </si>
  <si>
    <t>27 CO</t>
  </si>
  <si>
    <t>28 CO</t>
  </si>
  <si>
    <t>29 CO</t>
  </si>
  <si>
    <t>30 CO</t>
  </si>
  <si>
    <t>31 CO</t>
  </si>
  <si>
    <t>32 CO</t>
  </si>
  <si>
    <t>33 CO</t>
  </si>
  <si>
    <t>34 CO</t>
  </si>
  <si>
    <t>35 CO</t>
  </si>
  <si>
    <t>36 CO</t>
  </si>
  <si>
    <t>37 CO</t>
  </si>
  <si>
    <t>38 CO</t>
  </si>
  <si>
    <t>39 CO</t>
  </si>
  <si>
    <t>40 CO</t>
  </si>
  <si>
    <t>41 CO</t>
  </si>
  <si>
    <t>42 CO</t>
  </si>
  <si>
    <t>43 CO</t>
  </si>
  <si>
    <t>44 CO</t>
  </si>
  <si>
    <t>45 CO</t>
  </si>
  <si>
    <t>46 CO</t>
  </si>
  <si>
    <t>47 CO</t>
  </si>
  <si>
    <t>48 CO</t>
  </si>
  <si>
    <t>49 CO</t>
  </si>
  <si>
    <t>50 CO</t>
  </si>
  <si>
    <t>51 CO</t>
  </si>
  <si>
    <t>52 CO</t>
  </si>
  <si>
    <t>53 CO</t>
  </si>
  <si>
    <t>54 CO</t>
  </si>
  <si>
    <t>55 CO</t>
  </si>
  <si>
    <t>56 CO</t>
  </si>
  <si>
    <t>57 CO</t>
  </si>
  <si>
    <t>58 CO</t>
  </si>
  <si>
    <t>59 CO</t>
  </si>
  <si>
    <t>60 CO</t>
  </si>
  <si>
    <t>61 CO</t>
  </si>
  <si>
    <t>62 CO</t>
  </si>
  <si>
    <t>63 CO</t>
  </si>
  <si>
    <t>64 CO</t>
  </si>
  <si>
    <t>65 CO</t>
  </si>
  <si>
    <t>66 CO</t>
  </si>
  <si>
    <t>67 CO</t>
  </si>
  <si>
    <t>68 CO</t>
  </si>
  <si>
    <t>69 CO</t>
  </si>
  <si>
    <t>70 CO</t>
  </si>
  <si>
    <t>71 CO</t>
  </si>
  <si>
    <t>72 CO</t>
  </si>
  <si>
    <t>73 CO</t>
  </si>
  <si>
    <t>74 CO</t>
  </si>
  <si>
    <t>75 CO</t>
  </si>
  <si>
    <t>76 CO</t>
  </si>
  <si>
    <t>77 CO</t>
  </si>
  <si>
    <t>78 CO</t>
  </si>
  <si>
    <t>79 CO</t>
  </si>
  <si>
    <t>80 CO</t>
  </si>
  <si>
    <t>81 CO</t>
  </si>
  <si>
    <t>82 CO</t>
  </si>
  <si>
    <t>83 CO</t>
  </si>
  <si>
    <t>84 CO</t>
  </si>
  <si>
    <t>85 CO</t>
  </si>
  <si>
    <t>86 CO</t>
  </si>
  <si>
    <t>87 CO</t>
  </si>
  <si>
    <t>88 CO</t>
  </si>
  <si>
    <t>89 CO</t>
  </si>
  <si>
    <t>90 CO</t>
  </si>
  <si>
    <t>91 CO</t>
  </si>
  <si>
    <t>92 CO</t>
  </si>
  <si>
    <t>93 CO</t>
  </si>
  <si>
    <t>94 CO</t>
  </si>
  <si>
    <t>95 CO</t>
  </si>
  <si>
    <t>96 CO</t>
  </si>
  <si>
    <t>97 CO</t>
  </si>
  <si>
    <t>98 CO</t>
  </si>
  <si>
    <t>99 CO</t>
  </si>
  <si>
    <t>100 CO</t>
  </si>
  <si>
    <t>101 CO</t>
  </si>
  <si>
    <t>102 CO</t>
  </si>
  <si>
    <t>103 CO</t>
  </si>
  <si>
    <t>104 CO</t>
  </si>
  <si>
    <t>105 CO</t>
  </si>
  <si>
    <t>106 CO</t>
  </si>
  <si>
    <t>107 CO</t>
  </si>
  <si>
    <t>108 CO</t>
  </si>
  <si>
    <t>109 CO</t>
  </si>
  <si>
    <t>110 CO</t>
  </si>
  <si>
    <t>111 CO</t>
  </si>
  <si>
    <t>112 CO</t>
  </si>
  <si>
    <t>113 CO</t>
  </si>
  <si>
    <t>114 CO</t>
  </si>
  <si>
    <t>115 CO</t>
  </si>
  <si>
    <t>116 CO</t>
  </si>
  <si>
    <t>117 CO</t>
  </si>
  <si>
    <t>118 CO</t>
  </si>
  <si>
    <t>119 CO</t>
  </si>
  <si>
    <t>120 CO</t>
  </si>
  <si>
    <t>121 CO</t>
  </si>
  <si>
    <t>122 CO</t>
  </si>
  <si>
    <t>123 CO</t>
  </si>
  <si>
    <t>124 CO</t>
  </si>
  <si>
    <t>125 CO</t>
  </si>
  <si>
    <t>126 CO</t>
  </si>
  <si>
    <t>127 CO</t>
  </si>
  <si>
    <t>128 CO</t>
  </si>
  <si>
    <t>129 CO</t>
  </si>
  <si>
    <t>130 CO</t>
  </si>
  <si>
    <t>131 CO</t>
  </si>
  <si>
    <t>132 CO</t>
  </si>
  <si>
    <t>133 CO</t>
  </si>
  <si>
    <t>134 CO</t>
  </si>
  <si>
    <t>135 CO</t>
  </si>
  <si>
    <t>136 CO</t>
  </si>
  <si>
    <t>137 CO</t>
  </si>
  <si>
    <t>138 CO</t>
  </si>
  <si>
    <t>139 CO</t>
  </si>
  <si>
    <t>140 CO</t>
  </si>
  <si>
    <t>141 CO</t>
  </si>
  <si>
    <t>142 CO</t>
  </si>
  <si>
    <t>143 CO</t>
  </si>
  <si>
    <t>144 CO</t>
  </si>
  <si>
    <t>145 CO</t>
  </si>
  <si>
    <t>146 CO</t>
  </si>
  <si>
    <t>147 CO</t>
  </si>
  <si>
    <t>148 CO</t>
  </si>
  <si>
    <t>149 CO</t>
  </si>
  <si>
    <t>150 CO</t>
  </si>
  <si>
    <t>151 CO</t>
  </si>
  <si>
    <t>152 CO</t>
  </si>
  <si>
    <t>153 CO</t>
  </si>
  <si>
    <t>154 CO</t>
  </si>
  <si>
    <t>155 CO</t>
  </si>
  <si>
    <t>156 CO</t>
  </si>
  <si>
    <t>157 CO</t>
  </si>
  <si>
    <t>158 CO</t>
  </si>
  <si>
    <t>159 CO</t>
  </si>
  <si>
    <t>160 CO</t>
  </si>
  <si>
    <t>161 CO</t>
  </si>
  <si>
    <t>162 CO</t>
  </si>
  <si>
    <t>163 CO</t>
  </si>
  <si>
    <t>164 CO</t>
  </si>
  <si>
    <t>165 CO</t>
  </si>
  <si>
    <t>166 CO</t>
  </si>
  <si>
    <t>167 CO</t>
  </si>
  <si>
    <t>168 CO</t>
  </si>
  <si>
    <t>169 CO</t>
  </si>
  <si>
    <t>170 CO</t>
  </si>
  <si>
    <t>171 CO</t>
  </si>
  <si>
    <t>172 CO</t>
  </si>
  <si>
    <t>173 CO</t>
  </si>
  <si>
    <t>174 CO</t>
  </si>
  <si>
    <t>175 CO</t>
  </si>
  <si>
    <t>176 CO</t>
  </si>
  <si>
    <t>177 CO</t>
  </si>
  <si>
    <t>178 CO</t>
  </si>
  <si>
    <t>179 CO</t>
  </si>
  <si>
    <t>180 CO</t>
  </si>
  <si>
    <t>181 CO</t>
  </si>
  <si>
    <t>182 CO</t>
  </si>
  <si>
    <t>183 CO</t>
  </si>
  <si>
    <t>184 CO</t>
  </si>
  <si>
    <t>185 CO</t>
  </si>
  <si>
    <t>186 CO</t>
  </si>
  <si>
    <t>187 CO</t>
  </si>
  <si>
    <t>188 CO</t>
  </si>
  <si>
    <t>189 CO</t>
  </si>
  <si>
    <t>190 CO</t>
  </si>
  <si>
    <t>191 CO</t>
  </si>
  <si>
    <t>192 CO</t>
  </si>
  <si>
    <t>193 CO</t>
  </si>
  <si>
    <t>194 CO</t>
  </si>
  <si>
    <t>195 CO</t>
  </si>
  <si>
    <t>196 CO</t>
  </si>
  <si>
    <t>197 CO</t>
  </si>
  <si>
    <t>198 CO</t>
  </si>
  <si>
    <t>199 CO</t>
  </si>
  <si>
    <t>200 CO</t>
  </si>
  <si>
    <t>la,nc</t>
  </si>
  <si>
    <t>moved FW out ~3 ft @ 1235 (was fishing ~ 4-5" off deck, fishing on deck after move</t>
  </si>
  <si>
    <t>1 pk released was bleeding from gills</t>
  </si>
  <si>
    <t>20140728 LAckein</t>
  </si>
  <si>
    <t>20140728 JKunzler</t>
  </si>
  <si>
    <t>nc,la</t>
  </si>
  <si>
    <t>moved FW out ~2ft @ 1150, still fishing ~3" off deck</t>
  </si>
  <si>
    <t>3 revs @ 0:54</t>
  </si>
  <si>
    <t>20140728 QBerger</t>
  </si>
  <si>
    <t>cz,hr,ji</t>
  </si>
  <si>
    <t>hw lost in transfer to trough</t>
  </si>
  <si>
    <t>2014728 LAckein</t>
  </si>
  <si>
    <t>20140728 HReider</t>
  </si>
  <si>
    <t>beautiful large female</t>
  </si>
  <si>
    <t>08:46</t>
  </si>
  <si>
    <t>09:09</t>
  </si>
  <si>
    <t>10:44</t>
  </si>
  <si>
    <t>10:54</t>
  </si>
  <si>
    <t>13:30</t>
  </si>
  <si>
    <t>13:53</t>
  </si>
  <si>
    <t>15:58</t>
  </si>
  <si>
    <t>16:25</t>
  </si>
  <si>
    <t>green head, silver body, fiesty</t>
  </si>
  <si>
    <t>green back, dark red; tag in jumped out of trough before ap. FIESTY</t>
  </si>
  <si>
    <t>Beautiful and lively</t>
  </si>
  <si>
    <t>15:12</t>
  </si>
  <si>
    <t>19:49</t>
  </si>
  <si>
    <t>19:50</t>
  </si>
  <si>
    <t>very small 40 too small to tag</t>
  </si>
  <si>
    <t>JK tagger</t>
  </si>
  <si>
    <t>10:00</t>
  </si>
  <si>
    <t>green head, sliver</t>
  </si>
  <si>
    <t>10:03</t>
  </si>
  <si>
    <t>10:48</t>
  </si>
  <si>
    <t>10:49</t>
  </si>
  <si>
    <t>10:50</t>
  </si>
  <si>
    <t>14:52</t>
  </si>
  <si>
    <t>16:00</t>
  </si>
  <si>
    <t>609 K</t>
  </si>
  <si>
    <t>20140729 JImrie</t>
  </si>
  <si>
    <t>lively! Tagged NO 12 before No. 11</t>
  </si>
  <si>
    <t>FW_Scan_20140728.pdf</t>
  </si>
  <si>
    <t>20140729 NCollin</t>
  </si>
  <si>
    <t>20140729 JKunzler</t>
  </si>
  <si>
    <t>pumped out water from port pontoon, generator started at 14:25, end 14:46. stopped wheel at 20:34 to replace missing bar.</t>
  </si>
  <si>
    <t>FW stopped 1247-1254 to remove bar w/broken bolt</t>
  </si>
  <si>
    <t>wheel hitting when lowered to deck, raised port side 4-5", not hitting</t>
  </si>
  <si>
    <t>20140729 QBerger</t>
  </si>
  <si>
    <t>ji,cz,hr</t>
  </si>
  <si>
    <t>recovered 2 tags from live tanks 151.784 65 and 151.364 31</t>
  </si>
  <si>
    <t>20140729 Hreider</t>
  </si>
  <si>
    <t>20140729 LAckein</t>
  </si>
  <si>
    <t>09:25</t>
  </si>
  <si>
    <t>nice colors, lively</t>
  </si>
  <si>
    <t>15:21</t>
  </si>
  <si>
    <t>15:23</t>
  </si>
  <si>
    <t>15:24</t>
  </si>
  <si>
    <t>15:26</t>
  </si>
  <si>
    <t>15:42</t>
  </si>
  <si>
    <t>15:56</t>
  </si>
  <si>
    <t>15:59</t>
  </si>
  <si>
    <t>17:38</t>
  </si>
  <si>
    <t>9:41</t>
  </si>
  <si>
    <t>13:09</t>
  </si>
  <si>
    <t>shallow 7" gash running vertically right side mid-body</t>
  </si>
  <si>
    <t>reached tag quota for day/species</t>
  </si>
  <si>
    <t>got stuck in net, cut net.</t>
  </si>
  <si>
    <t>08:40</t>
  </si>
  <si>
    <t>08:47</t>
  </si>
  <si>
    <t>08:59</t>
  </si>
  <si>
    <t>09:01</t>
  </si>
  <si>
    <t>12:48</t>
  </si>
  <si>
    <t>vial was lost overboard</t>
  </si>
  <si>
    <t>12:59</t>
  </si>
  <si>
    <t>16:18</t>
  </si>
  <si>
    <t xml:space="preserve">16:45 </t>
  </si>
  <si>
    <t>18:58</t>
  </si>
  <si>
    <t>20140729 HReider</t>
  </si>
  <si>
    <t>20140730 JImrie</t>
  </si>
  <si>
    <t>left pelvic fin abscess w/ puss (old wound)</t>
  </si>
  <si>
    <t>jk,cz</t>
  </si>
  <si>
    <t>13:00 raised baskets to move FW in.  Started again @ 1410</t>
  </si>
  <si>
    <t>20140730 JKunzler</t>
  </si>
  <si>
    <t>qb,nc</t>
  </si>
  <si>
    <t>Adjusted lower spar pole and tightened lead net (16:30-17:20)</t>
  </si>
  <si>
    <t>20140730 NCollin</t>
  </si>
  <si>
    <t>nc,qb</t>
  </si>
  <si>
    <t>portside raised up 6-8"</t>
  </si>
  <si>
    <t>20140730 QBerger</t>
  </si>
  <si>
    <t>12:30 moved FW out 2 ft, fishing on deck</t>
  </si>
  <si>
    <t>20140730 LAckein</t>
  </si>
  <si>
    <t>cz,jk</t>
  </si>
  <si>
    <t>08:16</t>
  </si>
  <si>
    <t>08:23</t>
  </si>
  <si>
    <t>08:24</t>
  </si>
  <si>
    <t>08:27</t>
  </si>
  <si>
    <t>08:28</t>
  </si>
  <si>
    <t>09:39</t>
  </si>
  <si>
    <t>14:56</t>
  </si>
  <si>
    <t>10:22</t>
  </si>
  <si>
    <t>14:47</t>
  </si>
  <si>
    <t>10:35</t>
  </si>
  <si>
    <t>15:28</t>
  </si>
  <si>
    <t>19:21</t>
  </si>
  <si>
    <t>08:31</t>
  </si>
  <si>
    <t>10:11</t>
  </si>
  <si>
    <t>12:03</t>
  </si>
  <si>
    <t>15:57</t>
  </si>
  <si>
    <t>16:51</t>
  </si>
  <si>
    <t>16:59</t>
  </si>
  <si>
    <t>610 K</t>
  </si>
  <si>
    <t>611 K</t>
  </si>
  <si>
    <t>FW_Scan_20140729.pdf</t>
  </si>
  <si>
    <t>20140801 LAckein</t>
  </si>
  <si>
    <t>FW_Scan_20140730.pdf</t>
  </si>
  <si>
    <t>20140731 JKunzler</t>
  </si>
  <si>
    <t>hr,ji,cz</t>
  </si>
  <si>
    <t>CM jumped out of trough/ 1 CN smolt (172 mm) indentified as CN on biosample sheet</t>
  </si>
  <si>
    <t>20140731 CZiolkowski</t>
  </si>
  <si>
    <t>la,qb</t>
  </si>
  <si>
    <t>20140731 LAckein</t>
  </si>
  <si>
    <t>stop time 10:45</t>
  </si>
  <si>
    <t>20140731 NCollin</t>
  </si>
  <si>
    <t>20140731 JImrie</t>
  </si>
  <si>
    <t>qb,la</t>
  </si>
  <si>
    <t>FW stopped @ 1425 to repair basket net.  Started back @1436 revs 49</t>
  </si>
  <si>
    <t>201040731 JKunzler</t>
  </si>
  <si>
    <t>09:27</t>
  </si>
  <si>
    <t>healed large vertical wounds/scars on side</t>
  </si>
  <si>
    <t>beautiful silver colors!  Lively photo taken</t>
  </si>
  <si>
    <t>10:57</t>
  </si>
  <si>
    <t>cut above dorsal right side; red belly slivery grey back. Calm not lively</t>
  </si>
  <si>
    <t>19:30</t>
  </si>
  <si>
    <t>beauty</t>
  </si>
  <si>
    <t>12:07</t>
  </si>
  <si>
    <t>17:42</t>
  </si>
  <si>
    <t>08:13</t>
  </si>
  <si>
    <t>10:32</t>
  </si>
  <si>
    <t>pretty dark, very lively</t>
  </si>
  <si>
    <t>12:39</t>
  </si>
  <si>
    <t>dark grey dorsally, bright pink/red sides, a bit scruffy but lively</t>
  </si>
  <si>
    <t>sockeye; deep unhealed gashes, likey infected: no tag</t>
  </si>
  <si>
    <t>healthy, not very bright; lively but missing moderate number of scales</t>
  </si>
  <si>
    <t>15:44</t>
  </si>
  <si>
    <t>15:50</t>
  </si>
  <si>
    <t>15:52</t>
  </si>
  <si>
    <t>20140801 JImrie</t>
  </si>
  <si>
    <t>FW_Scan_20140731.pdf</t>
  </si>
  <si>
    <t>637 K</t>
  </si>
  <si>
    <t>cz,nc</t>
  </si>
  <si>
    <t>Stopped FW @ 1450-1500 to fix a hole in FW basket</t>
  </si>
  <si>
    <t>20140801 CZiolkowski</t>
  </si>
  <si>
    <t>20140801 JKunzler</t>
  </si>
  <si>
    <t>nc, cz</t>
  </si>
  <si>
    <t>qb, jk</t>
  </si>
  <si>
    <t>No tag or biosample CN (post-spawned). Lost when removing pinks from net</t>
  </si>
  <si>
    <t>la,ji</t>
  </si>
  <si>
    <t>one pink release bleeding, unknown source</t>
  </si>
  <si>
    <t>20140801 QBerger</t>
  </si>
  <si>
    <t>bk,csj,cs</t>
  </si>
  <si>
    <t>20140801 CSejkora</t>
  </si>
  <si>
    <t>9:06</t>
  </si>
  <si>
    <t>9:09</t>
  </si>
  <si>
    <t>9:13</t>
  </si>
  <si>
    <t>9:18</t>
  </si>
  <si>
    <t>9:20</t>
  </si>
  <si>
    <t>9:21</t>
  </si>
  <si>
    <t>9:22</t>
  </si>
  <si>
    <t>9:23</t>
  </si>
  <si>
    <t>9:25</t>
  </si>
  <si>
    <t>9:26</t>
  </si>
  <si>
    <t>9:27</t>
  </si>
  <si>
    <t>9:28</t>
  </si>
  <si>
    <t>9:29</t>
  </si>
  <si>
    <t>9:30</t>
  </si>
  <si>
    <t>9:31</t>
  </si>
  <si>
    <t>9:33</t>
  </si>
  <si>
    <t>9:34</t>
  </si>
  <si>
    <t>9:37</t>
  </si>
  <si>
    <t>10:55</t>
  </si>
  <si>
    <t>11:03</t>
  </si>
  <si>
    <t>11:55</t>
  </si>
  <si>
    <t>17:03</t>
  </si>
  <si>
    <t>8:50</t>
  </si>
  <si>
    <t>14:00</t>
  </si>
  <si>
    <t>15:37</t>
  </si>
  <si>
    <t>15:39</t>
  </si>
  <si>
    <t>20:09</t>
  </si>
  <si>
    <t>20:11</t>
  </si>
  <si>
    <t>beautiful very silver</t>
  </si>
  <si>
    <t>likely recap of previous CM</t>
  </si>
  <si>
    <t>8:28</t>
  </si>
  <si>
    <t>8:34</t>
  </si>
  <si>
    <t>8:37</t>
  </si>
  <si>
    <t>8:43</t>
  </si>
  <si>
    <t>8:55</t>
  </si>
  <si>
    <t>9:01</t>
  </si>
  <si>
    <t>9:03</t>
  </si>
  <si>
    <t>9:11</t>
  </si>
  <si>
    <t>9:16</t>
  </si>
  <si>
    <t>beautiful!</t>
  </si>
  <si>
    <t>small wounds near gill plates</t>
  </si>
  <si>
    <t>12:05</t>
  </si>
  <si>
    <t>12:13</t>
  </si>
  <si>
    <t>12:17</t>
  </si>
  <si>
    <t>12:24</t>
  </si>
  <si>
    <t>16:33</t>
  </si>
  <si>
    <t>hit deck on release</t>
  </si>
  <si>
    <t>torn caudal - lower lobe</t>
  </si>
  <si>
    <t>missing check from top of caudal fin</t>
  </si>
  <si>
    <t>tag wouldn’t seat - resistance at sphincter</t>
  </si>
  <si>
    <t>likely same RT as released at 13:47</t>
  </si>
  <si>
    <t>20140802 AStephens</t>
  </si>
  <si>
    <t>Replaced nut on basket prior to start up</t>
  </si>
  <si>
    <t>16:14</t>
  </si>
  <si>
    <t>lively, great bright color</t>
  </si>
  <si>
    <t>open wounds on belly, no tag</t>
  </si>
  <si>
    <t>beautiful, chrome.  After reviewing pictures, this was a SO, not a CO.  Changed genetic vial.  AS</t>
  </si>
  <si>
    <t>dorsal fin slightly torn. Took photos. After reviewing photos, this is probably a SO.  Changed genetics over to SO vial (was 4 CO).</t>
  </si>
  <si>
    <t>20140802 BKalb</t>
  </si>
  <si>
    <t>20140802 CSejkora</t>
  </si>
  <si>
    <t>csw,csj</t>
  </si>
  <si>
    <t>20140802 CSewright</t>
  </si>
  <si>
    <t>ji,jk</t>
  </si>
  <si>
    <t>20140802 JKunzler</t>
  </si>
  <si>
    <t>20140802 QBerger</t>
  </si>
  <si>
    <t>09:30</t>
  </si>
  <si>
    <t>10:01</t>
  </si>
  <si>
    <t>10:08</t>
  </si>
  <si>
    <t>12:02</t>
  </si>
  <si>
    <t>13:40</t>
  </si>
  <si>
    <t>13:45</t>
  </si>
  <si>
    <t>CSw</t>
  </si>
  <si>
    <t>14:51</t>
  </si>
  <si>
    <t>19:23</t>
  </si>
  <si>
    <t>09:46</t>
  </si>
  <si>
    <t>10:53</t>
  </si>
  <si>
    <t>16:50</t>
  </si>
  <si>
    <t>20140803 JImrie</t>
  </si>
  <si>
    <t>FW_Scan_20140802.pdf</t>
  </si>
  <si>
    <t>FW_Scan_20140801.pdf</t>
  </si>
  <si>
    <t>bk, csw</t>
  </si>
  <si>
    <t>qb, csj</t>
  </si>
  <si>
    <t>1 smolt</t>
  </si>
  <si>
    <t>ji, as</t>
  </si>
  <si>
    <t>10:02</t>
  </si>
  <si>
    <t>20:17</t>
  </si>
  <si>
    <t>20:19</t>
  </si>
  <si>
    <t>12:22</t>
  </si>
  <si>
    <t>15:06</t>
  </si>
  <si>
    <t>15:54</t>
  </si>
  <si>
    <t>16:03</t>
  </si>
  <si>
    <t>Jumped out of trough, no genetics. Hit deck :(</t>
  </si>
  <si>
    <t>20140803 CSewright</t>
  </si>
  <si>
    <t>20140803 BKalb</t>
  </si>
  <si>
    <t>20140803 QBerger</t>
  </si>
  <si>
    <t>20140803 CSejkora</t>
  </si>
  <si>
    <t>20140803 Csejkora</t>
  </si>
  <si>
    <t>20140804 AStephens</t>
  </si>
  <si>
    <t>FW_Scan_20140803.pdf</t>
  </si>
  <si>
    <t>09:59</t>
  </si>
  <si>
    <t>09:06</t>
  </si>
  <si>
    <t>Bulk RW</t>
  </si>
  <si>
    <t>20140804 BKalb</t>
  </si>
  <si>
    <t>ji,qb</t>
  </si>
  <si>
    <t>20140804 QBerger</t>
  </si>
  <si>
    <t>20140804 CSejkora</t>
  </si>
  <si>
    <t>20140804 JKunzler</t>
  </si>
  <si>
    <t>20140804 CSewright</t>
  </si>
  <si>
    <t>attempted to set tag in CM would not set, took bio.</t>
  </si>
  <si>
    <t>deep open wounds on side bio only</t>
  </si>
  <si>
    <t>14:50</t>
  </si>
  <si>
    <t>15:20</t>
  </si>
  <si>
    <t>20140804 JImrie</t>
  </si>
  <si>
    <t>15:45</t>
  </si>
  <si>
    <t>15:51</t>
  </si>
  <si>
    <t>15:53</t>
  </si>
  <si>
    <t>18:54</t>
  </si>
  <si>
    <t>20:04</t>
  </si>
  <si>
    <t xml:space="preserve">20:07 </t>
  </si>
  <si>
    <t>10:33</t>
  </si>
  <si>
    <t>10:47</t>
  </si>
  <si>
    <t>12:41</t>
  </si>
  <si>
    <t>13:48</t>
  </si>
  <si>
    <t>13:54</t>
  </si>
  <si>
    <t>13:58</t>
  </si>
  <si>
    <t>14:34</t>
  </si>
  <si>
    <t>14:38</t>
  </si>
  <si>
    <t>code not recorded, possibly 36.  AS sleuthed code=53.</t>
  </si>
  <si>
    <t>17:19</t>
  </si>
  <si>
    <t>20:00</t>
  </si>
  <si>
    <t>20140805 JImrie</t>
  </si>
  <si>
    <t>FW_Scan_20140804.pdf</t>
  </si>
  <si>
    <t>pink tag in Chum, no genetics, fish jumped trough into river</t>
  </si>
  <si>
    <t>csw, qb</t>
  </si>
  <si>
    <t>ji, csj</t>
  </si>
  <si>
    <t>Moved FW down 1.5" on both sides. Bilged port side pontoon 11:45-12:15</t>
  </si>
  <si>
    <t>jk,bk</t>
  </si>
  <si>
    <t>jk, bk</t>
  </si>
  <si>
    <t>10:09</t>
  </si>
  <si>
    <t>10:26</t>
  </si>
  <si>
    <t>17:27</t>
  </si>
  <si>
    <t>18:22</t>
  </si>
  <si>
    <t>18:29</t>
  </si>
  <si>
    <t>18:57</t>
  </si>
  <si>
    <t>beauty!</t>
  </si>
  <si>
    <t>Recent nose injury</t>
  </si>
  <si>
    <t>very silver</t>
  </si>
  <si>
    <t>livley bright red body and green head</t>
  </si>
  <si>
    <t>9:02</t>
  </si>
  <si>
    <t>9:07</t>
  </si>
  <si>
    <t>9:17</t>
  </si>
  <si>
    <t>9:24</t>
  </si>
  <si>
    <t>12:01</t>
  </si>
  <si>
    <t>13:12</t>
  </si>
  <si>
    <t>spawned out. Very red somewhat lively</t>
  </si>
  <si>
    <t>18:05</t>
  </si>
  <si>
    <t>Spawned out</t>
  </si>
  <si>
    <t>20140805 CSewright</t>
  </si>
  <si>
    <t>20140805 BKalb</t>
  </si>
  <si>
    <t>20140805 CSejkora</t>
  </si>
  <si>
    <t>20140805 JKunzler</t>
  </si>
  <si>
    <t>FW_Scan_20140805.pdf</t>
  </si>
  <si>
    <t>20140806 AStephens</t>
  </si>
  <si>
    <t>14:36</t>
  </si>
  <si>
    <t>spawned out CN. Almost mort!</t>
  </si>
  <si>
    <t>20140805 Astephens</t>
  </si>
  <si>
    <t>20140805 AStephens</t>
  </si>
  <si>
    <t>qb, csw</t>
  </si>
  <si>
    <t>20140806 CSewright</t>
  </si>
  <si>
    <t>bk, ji</t>
  </si>
  <si>
    <t>20140806 JImrie</t>
  </si>
  <si>
    <t>csw,qb</t>
  </si>
  <si>
    <t>20140806 JKunzler</t>
  </si>
  <si>
    <t>ji,bk</t>
  </si>
  <si>
    <t>cleared lead net of debris.  Let top lead net out about 12 cm.  Chain out about 20 cm @ 1345.</t>
  </si>
  <si>
    <t>20140806 CSejkora</t>
  </si>
  <si>
    <t>csj, jk</t>
  </si>
  <si>
    <t>qb,csw</t>
  </si>
  <si>
    <t>small smolt seen in port side tank</t>
  </si>
  <si>
    <t>20140806 QBerger</t>
  </si>
  <si>
    <t>small rub on belly</t>
  </si>
  <si>
    <t>No axilary or pelvic fins.  Pics to prove it.</t>
  </si>
  <si>
    <t>Picture taken</t>
  </si>
  <si>
    <t>large, deep gash 1.5 cm width on right side</t>
  </si>
  <si>
    <t>20:23</t>
  </si>
  <si>
    <t>RT side injury, partially healed</t>
  </si>
  <si>
    <t>19:16</t>
  </si>
  <si>
    <t xml:space="preserve">19:19 </t>
  </si>
  <si>
    <t>10:42</t>
  </si>
  <si>
    <t>wouldn't retain tag</t>
  </si>
  <si>
    <t>spawned out</t>
  </si>
  <si>
    <t>spawned out!</t>
  </si>
  <si>
    <t>17:15</t>
  </si>
  <si>
    <t>20140807 JImrie</t>
  </si>
  <si>
    <t xml:space="preserve">No fish!  Water up, lowered wheel at end of shift. Other crews check regularly. </t>
  </si>
  <si>
    <t>Hit deck softly</t>
  </si>
  <si>
    <t>FW_Scan_20140806.pdf</t>
  </si>
  <si>
    <t>20140807 QBerger</t>
  </si>
  <si>
    <t xml:space="preserve">bk,csj </t>
  </si>
  <si>
    <t>20140807 CSejkora</t>
  </si>
  <si>
    <t>20140807 JKunzler</t>
  </si>
  <si>
    <t>bk,csj</t>
  </si>
  <si>
    <t>20140807 BKalb</t>
  </si>
  <si>
    <t>csw,ji</t>
  </si>
  <si>
    <t>20140807 CSewright</t>
  </si>
  <si>
    <t>09:33</t>
  </si>
  <si>
    <t>fresh small wound anterior dorsal</t>
  </si>
  <si>
    <t>09:40</t>
  </si>
  <si>
    <t>12:56</t>
  </si>
  <si>
    <t>Spawned out!</t>
  </si>
  <si>
    <t>Net marks</t>
  </si>
  <si>
    <t>17:25</t>
  </si>
  <si>
    <t>took and held RT on 3rd attempt</t>
  </si>
  <si>
    <t>Feisty</t>
  </si>
  <si>
    <t>bright colors, fiesty</t>
  </si>
  <si>
    <t>Fresh wounds on belly</t>
  </si>
  <si>
    <t>14:16</t>
  </si>
  <si>
    <t>14:17</t>
  </si>
  <si>
    <t>14:22</t>
  </si>
  <si>
    <t>tagged no. 18 before no. 17</t>
  </si>
  <si>
    <t xml:space="preserve">14:20 </t>
  </si>
  <si>
    <t>16:58</t>
  </si>
  <si>
    <t>12:44</t>
  </si>
  <si>
    <t>15:31</t>
  </si>
  <si>
    <t>17:00</t>
  </si>
  <si>
    <t>17:48</t>
  </si>
  <si>
    <t>18:10</t>
  </si>
  <si>
    <t>16:09</t>
  </si>
  <si>
    <t>20140808 LAckein</t>
  </si>
  <si>
    <t>20140808 HReider</t>
  </si>
  <si>
    <t>FW_Scan_20140807.pdf</t>
  </si>
  <si>
    <t>bright red body, green head</t>
  </si>
  <si>
    <t>Spawned out but lively</t>
  </si>
  <si>
    <t>20140807JKunzler</t>
  </si>
  <si>
    <t>20140715 LFerreira</t>
  </si>
  <si>
    <t>20140707 AStephens</t>
  </si>
  <si>
    <t>qb,csj</t>
  </si>
  <si>
    <t>20140808 CSewright</t>
  </si>
  <si>
    <t>20140808 CSejkora</t>
  </si>
  <si>
    <t>csj,qb</t>
  </si>
  <si>
    <t>20140808 BKalb</t>
  </si>
  <si>
    <t>20140808 NCollin</t>
  </si>
  <si>
    <t>14:33</t>
  </si>
  <si>
    <t>14:31</t>
  </si>
  <si>
    <t>12:25</t>
  </si>
  <si>
    <t>18:04</t>
  </si>
  <si>
    <t>no tag, large wounds on side</t>
  </si>
  <si>
    <t>19:37</t>
  </si>
  <si>
    <t>17:53</t>
  </si>
  <si>
    <t>17:41</t>
  </si>
  <si>
    <t>14:48</t>
  </si>
  <si>
    <t>13:10</t>
  </si>
  <si>
    <t>20140808 JKunzler</t>
  </si>
  <si>
    <t>16:38</t>
  </si>
  <si>
    <t>20140809 HReider</t>
  </si>
  <si>
    <t>FW_Scan_20140808.pdf</t>
  </si>
  <si>
    <t>csj,nc</t>
  </si>
  <si>
    <t>had one SO very beat up, let go</t>
  </si>
  <si>
    <t>20140809 CSejkora</t>
  </si>
  <si>
    <t>jbu,dj</t>
  </si>
  <si>
    <t>20140809 JBures</t>
  </si>
  <si>
    <t>dj,jbu</t>
  </si>
  <si>
    <t>20140809 DJohnson</t>
  </si>
  <si>
    <t>qb,hr</t>
  </si>
  <si>
    <t>13:52</t>
  </si>
  <si>
    <t>17:06</t>
  </si>
  <si>
    <t>20:14</t>
  </si>
  <si>
    <t>18:18</t>
  </si>
  <si>
    <t>15:33</t>
  </si>
  <si>
    <t>10:18</t>
  </si>
  <si>
    <t>10:15</t>
  </si>
  <si>
    <t>20140809 NCollin</t>
  </si>
  <si>
    <t>small RT</t>
  </si>
  <si>
    <t>bad wound on right side</t>
  </si>
  <si>
    <t>large cut on side, no tag</t>
  </si>
  <si>
    <t>20140810 HReider</t>
  </si>
  <si>
    <t>FW_Scan_20140809.pdf</t>
  </si>
  <si>
    <t>portside fishing 12" off deck, starboard side 6" off deck</t>
  </si>
  <si>
    <t>20140810 DJohnson</t>
  </si>
  <si>
    <t>nc,jbu</t>
  </si>
  <si>
    <t>one CO escaped</t>
  </si>
  <si>
    <t>20140810 NCollin</t>
  </si>
  <si>
    <t>wheel fishing 18" off deck (both sides), should be moved out. LA: FW moved out 1 ft at 12:20, now fishing 6" off deck</t>
  </si>
  <si>
    <t>jbu,nc</t>
  </si>
  <si>
    <t>20140810 JBures</t>
  </si>
  <si>
    <t>csj,hr</t>
  </si>
  <si>
    <t>one PK no tag missing nose; 1.5" top of nose gone; 1 PK no tag big gash on belly</t>
  </si>
  <si>
    <t>20140810 CSejkora</t>
  </si>
  <si>
    <t>one RT, fell out of net no bio</t>
  </si>
  <si>
    <t>12:55</t>
  </si>
  <si>
    <t>dark red/black, lethargic; spawned out</t>
  </si>
  <si>
    <t>19:25</t>
  </si>
  <si>
    <t>gash on left side, but healed over</t>
  </si>
  <si>
    <t>missing part of tail fin</t>
  </si>
  <si>
    <t>has wound on left side of head, likely recapped 11 minutes later</t>
  </si>
  <si>
    <t>wound on side of fish, same fish as 12:32 release</t>
  </si>
  <si>
    <t>very bright colors</t>
  </si>
  <si>
    <t>17:36</t>
  </si>
  <si>
    <t>FW_Scan_20140810.pdf</t>
  </si>
  <si>
    <t>tag rec'd as 596-21 but found to be an incorrect reading</t>
  </si>
  <si>
    <t>Moved FW out about 2 ft at 12:25.</t>
  </si>
  <si>
    <t>20140811 HReider</t>
  </si>
  <si>
    <t>Greased winches and guide slides for wheel</t>
  </si>
  <si>
    <t>20140811 QBerger</t>
  </si>
  <si>
    <t>nc,hr</t>
  </si>
  <si>
    <t>Moved FW out about 1 ft at 12:50</t>
  </si>
  <si>
    <t>Cleared pontoon 15:45 to 16:04 (generator running)</t>
  </si>
  <si>
    <t>20140811 CSejkora</t>
  </si>
  <si>
    <t>Fishing 1 foot off deck (both sides)</t>
  </si>
  <si>
    <t>repaired net once wheel stopped for the night</t>
  </si>
  <si>
    <t>20140811 DJohnson</t>
  </si>
  <si>
    <t>20140811 LAckein</t>
  </si>
  <si>
    <t>puncture on left tail stock (old wound)</t>
  </si>
  <si>
    <t>top half of nose missing</t>
  </si>
  <si>
    <t>13:50</t>
  </si>
  <si>
    <t>16:41</t>
  </si>
  <si>
    <t>would not retain tag!</t>
  </si>
  <si>
    <t>hard white fins, lots of scrapes</t>
  </si>
  <si>
    <t>16:43</t>
  </si>
  <si>
    <t>FW_Scan_20140811.pdf</t>
  </si>
  <si>
    <t>not 100% sure that code was 70.</t>
  </si>
  <si>
    <t>jbu,csj</t>
  </si>
  <si>
    <t>20140812 DJohnson</t>
  </si>
  <si>
    <t>20140812 JBures</t>
  </si>
  <si>
    <t>20140812 HReider</t>
  </si>
  <si>
    <t>lowered and cleaned out lead net at 13:15 (QB)</t>
  </si>
  <si>
    <t>20140812 QBerger</t>
  </si>
  <si>
    <t>moved wheel out 2 ft</t>
  </si>
  <si>
    <t>20140812 CSejkora</t>
  </si>
  <si>
    <t>20140812 NCollin</t>
  </si>
  <si>
    <t>13:59</t>
  </si>
  <si>
    <t>missing top half of tail lobe/fin</t>
  </si>
  <si>
    <t>16:06</t>
  </si>
  <si>
    <t>17:02</t>
  </si>
  <si>
    <t>14:39</t>
  </si>
  <si>
    <t>14:41</t>
  </si>
  <si>
    <t>16:40</t>
  </si>
  <si>
    <t>Wounds near tail and lesions on body, no RT</t>
  </si>
  <si>
    <t>08:12</t>
  </si>
  <si>
    <t>08:15</t>
  </si>
  <si>
    <t>19:09</t>
  </si>
  <si>
    <t>FW_Scan_20140812.pdf</t>
  </si>
  <si>
    <t>qb, dj</t>
  </si>
  <si>
    <t>hj, jbu</t>
  </si>
  <si>
    <t>One of no tag PK had large lesions (~4 inch long) on both sides of body</t>
  </si>
  <si>
    <t>nc, csj</t>
  </si>
  <si>
    <t>hr, jbu</t>
  </si>
  <si>
    <t>dj, qb</t>
  </si>
  <si>
    <t>13:35</t>
  </si>
  <si>
    <t>18:49</t>
  </si>
  <si>
    <t>20:13</t>
  </si>
  <si>
    <t xml:space="preserve">171 S </t>
  </si>
  <si>
    <t>20140813 DJohnson</t>
  </si>
  <si>
    <t>20140814 HReider</t>
  </si>
  <si>
    <t>20140814 NCollin</t>
  </si>
  <si>
    <t>19:39</t>
  </si>
  <si>
    <t>19:29</t>
  </si>
  <si>
    <t>Cuts along sides and dorsal region</t>
  </si>
  <si>
    <t>20140814 DJohnson</t>
  </si>
  <si>
    <t>Would not retain tag</t>
  </si>
  <si>
    <t>16:46</t>
  </si>
  <si>
    <t>Net scrapes, beat up, no tag</t>
  </si>
  <si>
    <t>Escaped while measuring, no MEF</t>
  </si>
  <si>
    <t>Spawned out, lethargic, red/black; deteriorating</t>
  </si>
  <si>
    <t>Currently spawning, dark, milting, escaped</t>
  </si>
  <si>
    <t>Top of nose missing</t>
  </si>
  <si>
    <t>Wounds on both side of body</t>
  </si>
  <si>
    <t>Large gash, decided not to tag</t>
  </si>
  <si>
    <t>20140813 HReider</t>
  </si>
  <si>
    <t>20140813 NCollin</t>
  </si>
  <si>
    <t>20140813 CSejkora</t>
  </si>
  <si>
    <t>FW_Scan_20140813.pdf</t>
  </si>
  <si>
    <t>20140814 CSejkora</t>
  </si>
  <si>
    <t>raised slightly early to mend net</t>
  </si>
  <si>
    <t>20140814 LAckein</t>
  </si>
  <si>
    <t>nc,qb,sc</t>
  </si>
  <si>
    <t>20140814 QBerger</t>
  </si>
  <si>
    <t>13:04</t>
  </si>
  <si>
    <t>14:02</t>
  </si>
  <si>
    <t>16:01</t>
  </si>
  <si>
    <t>20:05</t>
  </si>
  <si>
    <t>Old gash on left side</t>
  </si>
  <si>
    <t>Gouge like wound near belly</t>
  </si>
  <si>
    <t>14:49</t>
  </si>
  <si>
    <t>moved FW out 1 ft at 13:55</t>
  </si>
  <si>
    <t>9 cm gash on side, deep</t>
  </si>
  <si>
    <t>released milt</t>
  </si>
  <si>
    <t>16:42</t>
  </si>
  <si>
    <t>Likely same fish as 16:42 release</t>
  </si>
  <si>
    <t>wound on left  side</t>
  </si>
  <si>
    <t>20140815 HReider</t>
  </si>
  <si>
    <t>FW_Scan_20140814.pdf</t>
  </si>
  <si>
    <t>20140815 LAckein</t>
  </si>
  <si>
    <t>20140815 CSejkora</t>
  </si>
  <si>
    <t>jbu,ks</t>
  </si>
  <si>
    <t>20140815 JBures</t>
  </si>
  <si>
    <t>20140815 DJohnson</t>
  </si>
  <si>
    <t>20140815 JKunzler</t>
  </si>
  <si>
    <t>missing half of nose</t>
  </si>
  <si>
    <t>14:40</t>
  </si>
  <si>
    <t>14:57</t>
  </si>
  <si>
    <t>15:00</t>
  </si>
  <si>
    <t>Dark, abraided fins, milting</t>
  </si>
  <si>
    <t>15:15</t>
  </si>
  <si>
    <t>20140816 HReider</t>
  </si>
  <si>
    <t>FW_Scan_20140815.pdf</t>
  </si>
  <si>
    <t>very silver in color</t>
  </si>
  <si>
    <t>ks,jk</t>
  </si>
  <si>
    <t>20140816 KShippen</t>
  </si>
  <si>
    <t>jbu,qb</t>
  </si>
  <si>
    <t>20140816 JBures</t>
  </si>
  <si>
    <t>20140816 JKunzler</t>
  </si>
  <si>
    <t>cleaned and secured lead net/chain at 13:05; moved FW in 3 ft at 15:45</t>
  </si>
  <si>
    <t>16:21</t>
  </si>
  <si>
    <t>16:52</t>
  </si>
  <si>
    <t>18:17</t>
  </si>
  <si>
    <t>spawned out, pic taken</t>
  </si>
  <si>
    <t>dark red, green head; lively</t>
  </si>
  <si>
    <t>lively!</t>
  </si>
  <si>
    <t>20140817 HReider</t>
  </si>
  <si>
    <t>FW_Scan_20140816.pdf</t>
  </si>
  <si>
    <t>16:47</t>
  </si>
  <si>
    <t>jbu,jk</t>
  </si>
  <si>
    <t>20140817 JKunzler</t>
  </si>
  <si>
    <t>20140817 QBerger</t>
  </si>
  <si>
    <t>20140817 JBures</t>
  </si>
  <si>
    <t>pumped out front port pontoon, cleaned lead net</t>
  </si>
  <si>
    <t>20140817 CSejkora</t>
  </si>
  <si>
    <t>la,ks</t>
  </si>
  <si>
    <t>20140817 LAckein</t>
  </si>
  <si>
    <t>fixed FW net basket</t>
  </si>
  <si>
    <t>two no tag pink spawned out</t>
  </si>
  <si>
    <t>15:46</t>
  </si>
  <si>
    <t>18:21</t>
  </si>
  <si>
    <t>18:23</t>
  </si>
  <si>
    <t>large rotten cut on underbelly</t>
  </si>
  <si>
    <t>14:45</t>
  </si>
  <si>
    <t>17:32</t>
  </si>
  <si>
    <t>20:07</t>
  </si>
  <si>
    <t>likely spawned out</t>
  </si>
  <si>
    <t>moderate pink blush, healed net wound on belly</t>
  </si>
  <si>
    <t>88 mm Coho smolt, photos taken</t>
  </si>
  <si>
    <t>FW_Scan_20140817.pdf</t>
  </si>
  <si>
    <t>At 12:30 moved wheel in 3-5 ft</t>
  </si>
  <si>
    <t>20140818 QBerger</t>
  </si>
  <si>
    <t>20140818 JKunzler</t>
  </si>
  <si>
    <t>No Fish</t>
  </si>
  <si>
    <t>20140818 CSejkora</t>
  </si>
  <si>
    <t>20140818 LAckein</t>
  </si>
  <si>
    <t>20140818 HReider</t>
  </si>
  <si>
    <t>15:43</t>
  </si>
  <si>
    <t>20140818 JBures</t>
  </si>
  <si>
    <t>blush and sliver, beauty.  Pic taken.</t>
  </si>
  <si>
    <t>Beauty, nice colors</t>
  </si>
  <si>
    <t>Lively</t>
  </si>
  <si>
    <t>distinct hump</t>
  </si>
  <si>
    <t>tall and "girthy", big fish</t>
  </si>
  <si>
    <t>collected genetics</t>
  </si>
  <si>
    <t>maybe spawned out, lethargic, white tip on fins</t>
  </si>
  <si>
    <t xml:space="preserve">Big, very dark red/black, spawned out. </t>
  </si>
  <si>
    <t>20140819 LAckein</t>
  </si>
  <si>
    <t>Dropped a few eggs</t>
  </si>
  <si>
    <t>20140819 HReider</t>
  </si>
  <si>
    <t>jk,csj,jbu,hr,la</t>
  </si>
  <si>
    <t>qb,jbu</t>
  </si>
  <si>
    <t>FW_Scan_20140818.pdf</t>
  </si>
  <si>
    <t>Moved FW in 1.5-2 ft</t>
  </si>
  <si>
    <t>dark, mostly spawned out</t>
  </si>
  <si>
    <t>ks,hr</t>
  </si>
  <si>
    <t>greased winches and wheel</t>
  </si>
  <si>
    <t>20140819 KShippen</t>
  </si>
  <si>
    <t>la,jbu,csj</t>
  </si>
  <si>
    <t>ks,la,hr</t>
  </si>
  <si>
    <t>20140819 JBures</t>
  </si>
  <si>
    <t>la,hr,ks</t>
  </si>
  <si>
    <t>csj,jbu,la</t>
  </si>
  <si>
    <t>hr,ks,la</t>
  </si>
  <si>
    <t>FW_Scan_20140819.pdf</t>
  </si>
  <si>
    <t>11:41</t>
  </si>
  <si>
    <t>dropped a few eggs</t>
  </si>
  <si>
    <t>nice blush</t>
  </si>
  <si>
    <t>warts</t>
  </si>
  <si>
    <t>Very odd looking, many spots, black gum line, photos taken</t>
  </si>
  <si>
    <t>16:24</t>
  </si>
  <si>
    <t>possibly same fish as 14:44 release</t>
  </si>
  <si>
    <t>likely same fish as 14:44 and 14:47 release</t>
  </si>
  <si>
    <t>spawning fungus</t>
  </si>
  <si>
    <t>spawned out pink</t>
  </si>
  <si>
    <t>lively</t>
  </si>
  <si>
    <t>milting, have photos (think it's same CNj caught today at Site 1)</t>
  </si>
  <si>
    <t>20140820 HReider</t>
  </si>
  <si>
    <t>la,hr,csj</t>
  </si>
  <si>
    <t>20140820 JBures</t>
  </si>
  <si>
    <t>20140820 LAckein</t>
  </si>
  <si>
    <t>la,jk,jbu</t>
  </si>
  <si>
    <t>ks,csj</t>
  </si>
  <si>
    <t>20140820 KShippen</t>
  </si>
  <si>
    <t>jbu,la,jk</t>
  </si>
  <si>
    <t>one coho smolt caught</t>
  </si>
  <si>
    <t>20140820 JKunzler</t>
  </si>
  <si>
    <t>hr,csj,la</t>
  </si>
  <si>
    <t>11:43</t>
  </si>
  <si>
    <t>light green head, pink blush; no genetics, clippers broken</t>
  </si>
  <si>
    <t>open wound on back</t>
  </si>
  <si>
    <t>unhealed wound on side and collar</t>
  </si>
  <si>
    <t>19:03</t>
  </si>
  <si>
    <t>19:05</t>
  </si>
  <si>
    <t>large hump</t>
  </si>
  <si>
    <t>FW_Scan_20140820.pdf</t>
  </si>
  <si>
    <t>20140821 HReider</t>
  </si>
  <si>
    <t>20140821 JKunzler</t>
  </si>
  <si>
    <t>jbu,la,ks</t>
  </si>
  <si>
    <t>20140821 JBures</t>
  </si>
  <si>
    <t>la,jk,csj</t>
  </si>
  <si>
    <t>20140821 LAckein</t>
  </si>
  <si>
    <t>20140821 KShippen</t>
  </si>
  <si>
    <t>replaced bolts on 2 baskets @ 0800</t>
  </si>
  <si>
    <t>la,jbu,ks</t>
  </si>
  <si>
    <t>moved FW out about 1 ft @ 1300, starboard live tank was on a rock</t>
  </si>
  <si>
    <t>la,csj,jk</t>
  </si>
  <si>
    <t>20140821 CSejkora</t>
  </si>
  <si>
    <t>ks,jbu</t>
  </si>
  <si>
    <t>jbu,ks,la</t>
  </si>
  <si>
    <t>18:27</t>
  </si>
  <si>
    <t>14:05</t>
  </si>
  <si>
    <t>14:06</t>
  </si>
  <si>
    <t>escaped while using tape measure (very strong fish)</t>
  </si>
  <si>
    <t>same as 12:32 release, very likely</t>
  </si>
  <si>
    <t>same as 12:30 release, very likely</t>
  </si>
  <si>
    <t>20140812 JKunzler</t>
  </si>
  <si>
    <t>20140822 AStephens</t>
  </si>
  <si>
    <t>FW_Scan_20140821.pdf</t>
  </si>
  <si>
    <t>20140822 KShippen</t>
  </si>
  <si>
    <t>moved FW out ~1 ft @ 13:20, cleaned lead net</t>
  </si>
  <si>
    <t>ks, jk</t>
  </si>
  <si>
    <t>csw,lg</t>
  </si>
  <si>
    <t>20140822 CSewright</t>
  </si>
  <si>
    <t>20140822 JKunzler</t>
  </si>
  <si>
    <t>20140822 LAckein</t>
  </si>
  <si>
    <t>one coho escaped trough</t>
  </si>
  <si>
    <t>16:29</t>
  </si>
  <si>
    <t>17:43</t>
  </si>
  <si>
    <t>20:34</t>
  </si>
  <si>
    <t>08:19</t>
  </si>
  <si>
    <t>wounds (size of a quarter) on both sides, mid side</t>
  </si>
  <si>
    <t>20140822 CSejkora</t>
  </si>
  <si>
    <t>CSJ</t>
  </si>
  <si>
    <t>several open sores</t>
  </si>
  <si>
    <t>20140823 Kshippen</t>
  </si>
  <si>
    <t>FW_Scan_20140822.pdf</t>
  </si>
  <si>
    <t>20140823 CSewright</t>
  </si>
  <si>
    <t>as,ks</t>
  </si>
  <si>
    <t>20140823 AStephens</t>
  </si>
  <si>
    <t>pumped out P pontoon 12:24-12:45.  Moved FW out ~2ft, live tank was on rock.</t>
  </si>
  <si>
    <t>20140823 KShippen</t>
  </si>
  <si>
    <t>20140823 JKunzler</t>
  </si>
  <si>
    <t>missing bolt replaced on basket, fishwheel stopped 15:01-15:08</t>
  </si>
  <si>
    <t>LG</t>
  </si>
  <si>
    <t>Tried to set tag 3 attempts-failed.</t>
  </si>
  <si>
    <t>16:37</t>
  </si>
  <si>
    <t>20140824 Kshippen</t>
  </si>
  <si>
    <t>20140824 KShippen</t>
  </si>
  <si>
    <t>FW_Scan_20140823.pdf</t>
  </si>
  <si>
    <t>20140824 CSewright</t>
  </si>
  <si>
    <t>cleared lead net, patched hole in net.</t>
  </si>
  <si>
    <t>20140824 AStephens</t>
  </si>
  <si>
    <t>20140824 JKunzler</t>
  </si>
  <si>
    <t>20140824 LGasek</t>
  </si>
  <si>
    <t>11:05</t>
  </si>
  <si>
    <t>11:07</t>
  </si>
  <si>
    <t>14:43</t>
  </si>
  <si>
    <t>20140824 NCollin</t>
  </si>
  <si>
    <t>20:27</t>
  </si>
  <si>
    <t>13:29</t>
  </si>
  <si>
    <t>Spawned out!!</t>
  </si>
  <si>
    <t>CSW</t>
  </si>
  <si>
    <t>15:19</t>
  </si>
  <si>
    <t>really bright!</t>
  </si>
  <si>
    <t>20140825CSewright</t>
  </si>
  <si>
    <t>FW_Scan_20140824.pdf</t>
  </si>
  <si>
    <t>lg,nc</t>
  </si>
  <si>
    <t>20140825 NCollin</t>
  </si>
  <si>
    <t>20140825 JKunzler</t>
  </si>
  <si>
    <t>20140825 LGasek</t>
  </si>
  <si>
    <t>csw,as</t>
  </si>
  <si>
    <t>20140825 CSewright</t>
  </si>
  <si>
    <t>nc,lg</t>
  </si>
  <si>
    <t>20:25</t>
  </si>
  <si>
    <t>20:26</t>
  </si>
  <si>
    <t>bad gash in side, did not tag</t>
  </si>
  <si>
    <t>found on pontoon while raising wheel, dead.</t>
  </si>
  <si>
    <t>found dead/very decomposed in FW3 lead net</t>
  </si>
  <si>
    <t>20140825 AStephens</t>
  </si>
  <si>
    <t>big wound on each side</t>
  </si>
  <si>
    <t>20140826CSewright</t>
  </si>
  <si>
    <t>FW_Scan_20140825.pdf</t>
  </si>
  <si>
    <t>20140826 LGasek</t>
  </si>
  <si>
    <t>20140826 NCollin</t>
  </si>
  <si>
    <t>jk,ks</t>
  </si>
  <si>
    <t>20140826 JKunzler</t>
  </si>
  <si>
    <t>20140826 AStephens</t>
  </si>
  <si>
    <t>post spawn. No tag</t>
  </si>
  <si>
    <t>hard to seat tag</t>
  </si>
  <si>
    <t>20140827CSewright</t>
  </si>
  <si>
    <t>FW_Scan_20140826.pdf</t>
  </si>
  <si>
    <t>F266.</t>
  </si>
  <si>
    <t>F266.  Large gash on kype, not very fresh</t>
  </si>
  <si>
    <t>F266.  beauty! Pic taken!</t>
  </si>
  <si>
    <t>F266.  unhealed wound on side and behind pelvic fin</t>
  </si>
  <si>
    <t>F266.  unhealed wound on side, size of nickel</t>
  </si>
  <si>
    <t>F266.  heavy blush (pink)</t>
  </si>
  <si>
    <t>F266.  small unhealed gash behind pelvic fin</t>
  </si>
  <si>
    <t>F266.  release time is right</t>
  </si>
  <si>
    <t>F266.  nice blush</t>
  </si>
  <si>
    <t>F266.  Bright colors, pink and silver</t>
  </si>
  <si>
    <t>F266.  jumped out of trough after radio tag applied. Did not get genetic clip.</t>
  </si>
  <si>
    <t>F264.</t>
  </si>
  <si>
    <t>F264.  did not want to take the tag</t>
  </si>
  <si>
    <t>This tag is a duplicate number of a Chum tag deployed on 8/6/2014.  They are both active and being picked up by telemetry crew.</t>
  </si>
  <si>
    <t>ks,lg</t>
  </si>
  <si>
    <t>csw,nc</t>
  </si>
  <si>
    <t>nc,csw</t>
  </si>
  <si>
    <t>no Fish</t>
  </si>
  <si>
    <t>20140827 KShippen</t>
  </si>
  <si>
    <t>20140827 AStephens</t>
  </si>
  <si>
    <t>20140827 NCollin</t>
  </si>
  <si>
    <t>pumped out pontoon @16:47-17:10</t>
  </si>
  <si>
    <t>20140827 JKunzler</t>
  </si>
  <si>
    <t>20140827 CSewright</t>
  </si>
  <si>
    <t>20140827 LGasek</t>
  </si>
  <si>
    <t>bite on side.  Too small to tag</t>
  </si>
  <si>
    <t>17:29</t>
  </si>
  <si>
    <t>not looking great, looking great, open sores.</t>
  </si>
  <si>
    <t>DUPLICATE of 573-98</t>
  </si>
  <si>
    <t>DUPLICATE of 586-12</t>
  </si>
  <si>
    <t>DUPLICATE of 586-45</t>
  </si>
  <si>
    <t>changed from 262 by DR</t>
  </si>
  <si>
    <t>as,jk,ks</t>
  </si>
  <si>
    <t>ks.lg</t>
  </si>
  <si>
    <t>20140828 KShippen</t>
  </si>
  <si>
    <t>FW_Scan_20140827.pdf</t>
  </si>
  <si>
    <t>20140828 AStephens</t>
  </si>
  <si>
    <t>20140828 CSewright</t>
  </si>
  <si>
    <t>20:30</t>
  </si>
  <si>
    <t>mort (likely dead coming in), stiff</t>
  </si>
  <si>
    <t>moved fishwheel in ~3 ft prior to shift</t>
  </si>
  <si>
    <t>20140829 CSewright</t>
  </si>
  <si>
    <t>as,lg,ks,csw</t>
  </si>
  <si>
    <t>csw,jk,nc,jb,qb</t>
  </si>
  <si>
    <t>20140829 QBerger</t>
  </si>
  <si>
    <t>as,ks,lg</t>
  </si>
  <si>
    <t>Moved Fwin ~1 ft prior to shift</t>
  </si>
  <si>
    <t>qb,jbe,jk,nc,csw</t>
  </si>
  <si>
    <t>20140829 JBerry</t>
  </si>
  <si>
    <t>csw,nc,jk</t>
  </si>
  <si>
    <t>qb, jbe</t>
  </si>
  <si>
    <t>large hole in portside of basket.  Needs to be mended.</t>
  </si>
  <si>
    <t>post spawn?</t>
  </si>
  <si>
    <t>JBe</t>
  </si>
  <si>
    <t>20:58</t>
  </si>
  <si>
    <t>20:39</t>
  </si>
  <si>
    <t>20:40</t>
  </si>
  <si>
    <t>20:42</t>
  </si>
  <si>
    <t>20140829 KShippen</t>
  </si>
  <si>
    <t>20140830CSewright</t>
  </si>
  <si>
    <t>looked good, not spawned out, took pics</t>
  </si>
  <si>
    <t>FW_Scan_20140828.pdf</t>
  </si>
  <si>
    <t>FW_Scan_20140829.pdf</t>
  </si>
  <si>
    <t>qb,lg, csw,nc</t>
  </si>
  <si>
    <t>20140830 QBerger</t>
  </si>
  <si>
    <t>emptied pontoon from 19:30-20:00</t>
  </si>
  <si>
    <t>20140830 LGasek</t>
  </si>
  <si>
    <t xml:space="preserve">qb,lg </t>
  </si>
  <si>
    <t>mended holes in baskets priort to starting wheel</t>
  </si>
  <si>
    <t>20:35</t>
  </si>
  <si>
    <t>20:33</t>
  </si>
  <si>
    <t>20140831 LGasek</t>
  </si>
  <si>
    <t>FW_Scan_20140830.pdf</t>
  </si>
  <si>
    <t>qb,lg,as</t>
  </si>
  <si>
    <t>20140831 AStephens</t>
  </si>
  <si>
    <t>lg,qb</t>
  </si>
  <si>
    <t>qb,lg</t>
  </si>
  <si>
    <t>11:48</t>
  </si>
  <si>
    <t>14:20</t>
  </si>
  <si>
    <t>20140831 QBerger</t>
  </si>
  <si>
    <t>csw,nc,lg,qb</t>
  </si>
  <si>
    <t>nc,csw,lg,qb</t>
  </si>
  <si>
    <t>CM not tagged.  Mort post spawn.</t>
  </si>
  <si>
    <t>20140901 LGasek</t>
  </si>
  <si>
    <t>Missing left eye, old wound</t>
  </si>
  <si>
    <t>Dark possibly spawned out</t>
  </si>
  <si>
    <t>FW_Scan_20140831.pdf</t>
  </si>
  <si>
    <t>qb,lg,csw,nc</t>
  </si>
  <si>
    <t>moved FW out from shore ~4ft @12:00.</t>
  </si>
  <si>
    <t>lg,qb,as</t>
  </si>
  <si>
    <t>moved FW in 2 feet @ 18:40</t>
  </si>
  <si>
    <t>20140901 QBerger</t>
  </si>
  <si>
    <t>FW moved out from shore 3 ft @ 11:30</t>
  </si>
  <si>
    <t>as, lg,qb</t>
  </si>
  <si>
    <t>20140901 AStephens</t>
  </si>
  <si>
    <t>13:08</t>
  </si>
  <si>
    <t>nc,qb,csw,nc</t>
  </si>
  <si>
    <t>20140902 LGasek</t>
  </si>
  <si>
    <t>FW_Scan_20140901.pdf</t>
  </si>
  <si>
    <t>csw,qb,nc,lg</t>
  </si>
  <si>
    <t>20140902 CSewright</t>
  </si>
  <si>
    <t>qb, csw,lg,nc</t>
  </si>
  <si>
    <t>moved front spar pole out 2 ft.  Cleaned lead net</t>
  </si>
  <si>
    <t>20140903 LGasek</t>
  </si>
  <si>
    <t>FW_Scan_20140902.pdf</t>
  </si>
  <si>
    <t>moved wheel in about 3 feet @ 12:30</t>
  </si>
  <si>
    <t>20140903 CSewright</t>
  </si>
  <si>
    <t>moved wheel in 2 feet @ 12:50</t>
  </si>
  <si>
    <t>20140903 NCollin</t>
  </si>
  <si>
    <t>had a fin clip</t>
  </si>
  <si>
    <t>healthy looking, pretty fish</t>
  </si>
  <si>
    <t>20140904 LGasek</t>
  </si>
  <si>
    <t>FW_Scan_20140903.pdf</t>
  </si>
  <si>
    <t>20140904 NCollin</t>
  </si>
  <si>
    <t>as,csw,nc</t>
  </si>
  <si>
    <t>20140904 CSewright</t>
  </si>
  <si>
    <t>nc,csw,as</t>
  </si>
  <si>
    <t>as,nc,csw</t>
  </si>
  <si>
    <t>20140905 LGasek</t>
  </si>
  <si>
    <t>20140905 CSewright</t>
  </si>
  <si>
    <t>FW_Scan_20140904.pdf</t>
  </si>
  <si>
    <t>1 Coho smolt/fry (believed to be coho, 8 cm FL)</t>
  </si>
  <si>
    <t>FW_Scan_20140905.pdf</t>
  </si>
  <si>
    <t>20140906 KShippen</t>
  </si>
  <si>
    <t>20140906 CSewright</t>
  </si>
  <si>
    <t>FW_Scan_20140906.pdf</t>
  </si>
  <si>
    <t>20140907 CZiolkowski</t>
  </si>
  <si>
    <t>20140907 CSewright</t>
  </si>
  <si>
    <t>20140907 LAckein</t>
  </si>
  <si>
    <t>FW_Scan_20140907.pdf</t>
  </si>
  <si>
    <t>Catch - Adult Salmon (Site 1 only)</t>
  </si>
  <si>
    <t>CPUE - Adult Salmon (Site 1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</si>
</sst>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0.0"/>
    <numFmt numFmtId="166" formatCode="#,##0.0"/>
    <numFmt numFmtId="167" formatCode="d\ mmm\ yyyy"/>
    <numFmt numFmtId="168" formatCode="hh:mm"/>
    <numFmt numFmtId="169" formatCode="[$-F400]h:mm:ss\ AM/PM"/>
    <numFmt numFmtId="170" formatCode="[$-1009]mmmm\ d\,\ yyyy;@"/>
    <numFmt numFmtId="171" formatCode="m:ss"/>
    <numFmt numFmtId="172" formatCode="m\/d\ h:mm"/>
    <numFmt numFmtId="173" formatCode="0.0%"/>
    <numFmt numFmtId="174" formatCode="[$-409]mmmm\ d\,\ yyyy;@"/>
  </numFmts>
  <fonts count="44" x14ac:knownFonts="1">
    <font>
      <sz val="10"/>
      <name val="Arial"/>
    </font>
    <font>
      <sz val="12"/>
      <color theme="1"/>
      <name val="Times New Roman"/>
      <family val="2"/>
    </font>
    <font>
      <sz val="12"/>
      <color theme="1"/>
      <name val="Times New Roman"/>
      <family val="2"/>
    </font>
    <font>
      <sz val="10"/>
      <name val="Arial"/>
      <family val="2"/>
    </font>
    <font>
      <b/>
      <sz val="10"/>
      <name val="Arial"/>
      <family val="2"/>
    </font>
    <font>
      <sz val="8"/>
      <name val="Arial"/>
      <family val="2"/>
    </font>
    <font>
      <sz val="10"/>
      <name val="Arial"/>
      <family val="2"/>
    </font>
    <font>
      <sz val="10"/>
      <color indexed="55"/>
      <name val="Arial"/>
      <family val="2"/>
    </font>
    <font>
      <b/>
      <sz val="10"/>
      <name val="Arial"/>
      <family val="2"/>
    </font>
    <font>
      <sz val="11"/>
      <name val="Times New Roman"/>
      <family val="1"/>
    </font>
    <font>
      <sz val="8"/>
      <color indexed="81"/>
      <name val="Tahoma"/>
      <family val="2"/>
    </font>
    <font>
      <b/>
      <sz val="8"/>
      <color indexed="81"/>
      <name val="Tahoma"/>
      <family val="2"/>
    </font>
    <font>
      <sz val="10"/>
      <name val="Arial"/>
      <family val="2"/>
    </font>
    <font>
      <sz val="11"/>
      <color rgb="FFFF0000"/>
      <name val="Times New Roman"/>
      <family val="1"/>
    </font>
    <font>
      <b/>
      <sz val="10"/>
      <name val="Arial Narrow"/>
      <family val="2"/>
    </font>
    <font>
      <b/>
      <sz val="10"/>
      <color indexed="8"/>
      <name val="Arial Narrow"/>
      <family val="2"/>
    </font>
    <font>
      <sz val="10"/>
      <name val="Arial Narrow"/>
      <family val="2"/>
    </font>
    <font>
      <sz val="10"/>
      <color indexed="8"/>
      <name val="Arial Narrow"/>
      <family val="2"/>
    </font>
    <font>
      <sz val="11"/>
      <color theme="1"/>
      <name val="Calibri"/>
      <family val="2"/>
      <scheme val="minor"/>
    </font>
    <font>
      <sz val="10"/>
      <color theme="1"/>
      <name val="Times New Roman"/>
      <family val="1"/>
    </font>
    <font>
      <i/>
      <sz val="10"/>
      <color rgb="FFFF0000"/>
      <name val="Times New Roman"/>
      <family val="1"/>
    </font>
    <font>
      <b/>
      <sz val="10"/>
      <color theme="1"/>
      <name val="Times New Roman"/>
      <family val="1"/>
    </font>
    <font>
      <sz val="10"/>
      <name val="Times New Roman"/>
      <family val="1"/>
    </font>
    <font>
      <sz val="10"/>
      <color indexed="8"/>
      <name val="Times New Roman"/>
      <family val="1"/>
    </font>
    <font>
      <b/>
      <sz val="10"/>
      <color theme="1"/>
      <name val="Arial Narrow"/>
      <family val="2"/>
    </font>
    <font>
      <sz val="10"/>
      <color theme="1"/>
      <name val="Arial Narrow"/>
      <family val="2"/>
    </font>
    <font>
      <sz val="10"/>
      <color theme="1"/>
      <name val="Calibri"/>
      <family val="2"/>
      <scheme val="minor"/>
    </font>
    <font>
      <b/>
      <u/>
      <sz val="10"/>
      <color theme="1"/>
      <name val="Arial Narrow"/>
      <family val="2"/>
    </font>
    <font>
      <b/>
      <sz val="9"/>
      <color theme="1"/>
      <name val="Arial Narrow"/>
      <family val="2"/>
    </font>
    <font>
      <sz val="9"/>
      <color theme="1"/>
      <name val="Arial Narrow"/>
      <family val="2"/>
    </font>
    <font>
      <b/>
      <sz val="10"/>
      <name val="Times New Roman"/>
      <family val="1"/>
    </font>
    <font>
      <b/>
      <sz val="10"/>
      <color theme="0" tint="-0.34998626667073579"/>
      <name val="Arial"/>
      <family val="2"/>
    </font>
    <font>
      <sz val="10"/>
      <color theme="0" tint="-0.34998626667073579"/>
      <name val="Arial"/>
      <family val="2"/>
    </font>
    <font>
      <b/>
      <vertAlign val="superscript"/>
      <sz val="10"/>
      <color theme="1"/>
      <name val="Arial Narrow"/>
      <family val="2"/>
    </font>
    <font>
      <u/>
      <sz val="10"/>
      <color theme="10"/>
      <name val="Arial"/>
      <family val="2"/>
    </font>
    <font>
      <u/>
      <sz val="10"/>
      <color theme="11"/>
      <name val="Arial"/>
      <family val="2"/>
    </font>
    <font>
      <sz val="10"/>
      <color theme="0" tint="-0.34998626667073579"/>
      <name val="Times New Roman"/>
      <family val="1"/>
    </font>
    <font>
      <sz val="10"/>
      <color theme="0" tint="-0.34998626667073579"/>
      <name val="Arial Narrow"/>
      <family val="2"/>
    </font>
    <font>
      <i/>
      <sz val="10"/>
      <color theme="0" tint="-0.34998626667073579"/>
      <name val="Times New Roman"/>
      <family val="1"/>
    </font>
    <font>
      <b/>
      <sz val="10"/>
      <color theme="0" tint="-0.34998626667073579"/>
      <name val="Times New Roman"/>
      <family val="1"/>
    </font>
    <font>
      <b/>
      <vertAlign val="superscript"/>
      <sz val="10"/>
      <name val="Arial Narrow"/>
      <family val="2"/>
    </font>
    <font>
      <sz val="9"/>
      <name val="Arial Narrow"/>
      <family val="2"/>
    </font>
    <font>
      <vertAlign val="superscript"/>
      <sz val="9"/>
      <name val="Arial Narrow"/>
      <family val="2"/>
    </font>
    <font>
      <sz val="10"/>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8" tint="0.79998168889431442"/>
        <bgColor indexed="64"/>
      </patternFill>
    </fill>
    <fill>
      <patternFill patternType="solid">
        <fgColor rgb="FFFFFFCC"/>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s>
  <borders count="54">
    <border>
      <left/>
      <right/>
      <top/>
      <bottom/>
      <diagonal/>
    </border>
    <border>
      <left style="thin">
        <color indexed="8"/>
      </left>
      <right/>
      <top style="thin">
        <color indexed="65"/>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indexed="8"/>
      </left>
      <right style="thin">
        <color indexed="8"/>
      </right>
      <top style="thin">
        <color indexed="65"/>
      </top>
      <bottom/>
      <diagonal/>
    </border>
    <border>
      <left/>
      <right style="thin">
        <color auto="1"/>
      </right>
      <top/>
      <bottom/>
      <diagonal/>
    </border>
    <border>
      <left/>
      <right/>
      <top style="thin">
        <color auto="1"/>
      </top>
      <bottom style="thin">
        <color auto="1"/>
      </bottom>
      <diagonal/>
    </border>
    <border>
      <left/>
      <right/>
      <top style="thin">
        <color indexed="64"/>
      </top>
      <bottom style="thin">
        <color indexed="64"/>
      </bottom>
      <diagonal/>
    </border>
    <border>
      <left/>
      <right style="thick">
        <color auto="1"/>
      </right>
      <top/>
      <bottom/>
      <diagonal/>
    </border>
    <border>
      <left/>
      <right style="thick">
        <color auto="1"/>
      </right>
      <top/>
      <bottom style="medium">
        <color auto="1"/>
      </bottom>
      <diagonal/>
    </border>
    <border>
      <left style="thick">
        <color auto="1"/>
      </left>
      <right style="thick">
        <color auto="1"/>
      </right>
      <top/>
      <bottom style="thin">
        <color indexed="64"/>
      </bottom>
      <diagonal/>
    </border>
    <border>
      <left style="thick">
        <color auto="1"/>
      </left>
      <right/>
      <top/>
      <bottom style="thin">
        <color indexed="64"/>
      </bottom>
      <diagonal/>
    </border>
    <border>
      <left style="thick">
        <color auto="1"/>
      </left>
      <right style="thick">
        <color auto="1"/>
      </right>
      <top style="thin">
        <color auto="1"/>
      </top>
      <bottom style="thin">
        <color auto="1"/>
      </bottom>
      <diagonal/>
    </border>
    <border>
      <left/>
      <right style="thin">
        <color indexed="64"/>
      </right>
      <top/>
      <bottom style="medium">
        <color auto="1"/>
      </bottom>
      <diagonal/>
    </border>
    <border>
      <left style="thin">
        <color indexed="8"/>
      </left>
      <right style="thin">
        <color indexed="64"/>
      </right>
      <top style="thin">
        <color indexed="65"/>
      </top>
      <bottom/>
      <diagonal/>
    </border>
    <border>
      <left/>
      <right style="thick">
        <color auto="1"/>
      </right>
      <top/>
      <bottom style="thin">
        <color auto="1"/>
      </bottom>
      <diagonal/>
    </border>
    <border>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8"/>
      </bottom>
      <diagonal/>
    </border>
    <border>
      <left style="thin">
        <color indexed="65"/>
      </left>
      <right style="thin">
        <color indexed="64"/>
      </right>
      <top style="thin">
        <color indexed="8"/>
      </top>
      <bottom/>
      <diagonal/>
    </border>
    <border>
      <left style="thin">
        <color indexed="64"/>
      </left>
      <right/>
      <top/>
      <bottom style="medium">
        <color auto="1"/>
      </bottom>
      <diagonal/>
    </border>
    <border>
      <left style="thin">
        <color indexed="64"/>
      </left>
      <right/>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thin">
        <color indexed="8"/>
      </left>
      <right style="thin">
        <color indexed="8"/>
      </right>
      <top/>
      <bottom/>
      <diagonal/>
    </border>
    <border>
      <left style="thin">
        <color indexed="65"/>
      </left>
      <right/>
      <top style="thin">
        <color indexed="8"/>
      </top>
      <bottom/>
      <diagonal/>
    </border>
    <border>
      <left style="thin">
        <color indexed="8"/>
      </left>
      <right style="thin">
        <color indexed="64"/>
      </right>
      <top style="thin">
        <color indexed="8"/>
      </top>
      <bottom/>
      <diagonal/>
    </border>
    <border>
      <left/>
      <right/>
      <top style="thin">
        <color indexed="8"/>
      </top>
      <bottom/>
      <diagonal/>
    </border>
    <border>
      <left/>
      <right/>
      <top style="thin">
        <color indexed="8"/>
      </top>
      <bottom style="thin">
        <color indexed="8"/>
      </bottom>
      <diagonal/>
    </border>
    <border>
      <left/>
      <right style="medium">
        <color auto="1"/>
      </right>
      <top style="thin">
        <color auto="1"/>
      </top>
      <bottom/>
      <diagonal/>
    </border>
    <border>
      <left/>
      <right style="medium">
        <color auto="1"/>
      </right>
      <top/>
      <bottom/>
      <diagonal/>
    </border>
    <border>
      <left/>
      <right/>
      <top style="medium">
        <color auto="1"/>
      </top>
      <bottom style="thin">
        <color indexed="64"/>
      </bottom>
      <diagonal/>
    </border>
    <border>
      <left/>
      <right style="thin">
        <color auto="1"/>
      </right>
      <top style="medium">
        <color auto="1"/>
      </top>
      <bottom style="thin">
        <color indexed="64"/>
      </bottom>
      <diagonal/>
    </border>
    <border>
      <left style="thin">
        <color indexed="64"/>
      </left>
      <right/>
      <top style="medium">
        <color auto="1"/>
      </top>
      <bottom style="thin">
        <color indexed="64"/>
      </bottom>
      <diagonal/>
    </border>
    <border>
      <left style="thin">
        <color indexed="64"/>
      </left>
      <right/>
      <top/>
      <bottom style="thin">
        <color indexed="64"/>
      </bottom>
      <diagonal/>
    </border>
    <border>
      <left style="thin">
        <color indexed="65"/>
      </left>
      <right style="thin">
        <color indexed="8"/>
      </right>
      <top style="thin">
        <color indexed="8"/>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right style="thick">
        <color auto="1"/>
      </right>
      <top style="thin">
        <color auto="1"/>
      </top>
      <bottom style="thin">
        <color indexed="64"/>
      </bottom>
      <diagonal/>
    </border>
    <border>
      <left/>
      <right style="thick">
        <color auto="1"/>
      </right>
      <top style="thin">
        <color auto="1"/>
      </top>
      <bottom/>
      <diagonal/>
    </border>
    <border>
      <left style="thick">
        <color auto="1"/>
      </left>
      <right/>
      <top style="thin">
        <color auto="1"/>
      </top>
      <bottom/>
      <diagonal/>
    </border>
    <border>
      <left style="thick">
        <color auto="1"/>
      </left>
      <right/>
      <top/>
      <bottom/>
      <diagonal/>
    </border>
  </borders>
  <cellStyleXfs count="386">
    <xf numFmtId="0" fontId="0" fillId="0" borderId="0"/>
    <xf numFmtId="0" fontId="12" fillId="4" borderId="5" applyNumberFormat="0" applyFont="0" applyAlignment="0" applyProtection="0"/>
    <xf numFmtId="0" fontId="18"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2" fillId="0" borderId="0"/>
    <xf numFmtId="0" fontId="1" fillId="0" borderId="0"/>
    <xf numFmtId="9" fontId="43" fillId="0" borderId="0" applyFont="0" applyFill="0" applyBorder="0" applyAlignment="0" applyProtection="0"/>
  </cellStyleXfs>
  <cellXfs count="562">
    <xf numFmtId="0" fontId="0" fillId="0" borderId="0" xfId="0"/>
    <xf numFmtId="0" fontId="0" fillId="0" borderId="1" xfId="0" applyBorder="1"/>
    <xf numFmtId="0" fontId="4" fillId="0" borderId="0" xfId="0" applyFont="1"/>
    <xf numFmtId="167" fontId="0" fillId="0" borderId="0" xfId="0" applyNumberFormat="1"/>
    <xf numFmtId="0" fontId="0" fillId="0" borderId="0" xfId="0" applyAlignment="1">
      <alignment horizontal="left"/>
    </xf>
    <xf numFmtId="1" fontId="0" fillId="0" borderId="0" xfId="0" applyNumberFormat="1" applyAlignment="1">
      <alignment horizontal="left"/>
    </xf>
    <xf numFmtId="0" fontId="9" fillId="0" borderId="0" xfId="0" applyFont="1"/>
    <xf numFmtId="0" fontId="9" fillId="0" borderId="0" xfId="0" applyFont="1" applyAlignment="1">
      <alignment horizontal="right"/>
    </xf>
    <xf numFmtId="0" fontId="9" fillId="0" borderId="0" xfId="0" applyFont="1" applyBorder="1"/>
    <xf numFmtId="0" fontId="9" fillId="0" borderId="0" xfId="0" applyFont="1" applyBorder="1" applyAlignment="1">
      <alignment horizontal="right"/>
    </xf>
    <xf numFmtId="0" fontId="3" fillId="0" borderId="0" xfId="0" applyFont="1" applyFill="1" applyBorder="1" applyAlignment="1">
      <alignment horizontal="left"/>
    </xf>
    <xf numFmtId="0" fontId="3" fillId="0" borderId="0" xfId="0" applyFont="1" applyFill="1" applyBorder="1" applyAlignment="1" applyProtection="1">
      <alignment horizontal="left"/>
    </xf>
    <xf numFmtId="0" fontId="3" fillId="0" borderId="0" xfId="0" applyFont="1" applyAlignment="1">
      <alignment horizontal="right"/>
    </xf>
    <xf numFmtId="0" fontId="3" fillId="0" borderId="0" xfId="0" applyFont="1" applyAlignment="1">
      <alignment horizontal="left"/>
    </xf>
    <xf numFmtId="0" fontId="0" fillId="0" borderId="0" xfId="0" applyNumberFormat="1" applyBorder="1"/>
    <xf numFmtId="0" fontId="3" fillId="0" borderId="0" xfId="0" applyFont="1"/>
    <xf numFmtId="0" fontId="13" fillId="0" borderId="0" xfId="0" applyFont="1" applyAlignment="1">
      <alignment horizontal="right"/>
    </xf>
    <xf numFmtId="0" fontId="13" fillId="0" borderId="3" xfId="0" applyFont="1" applyBorder="1" applyAlignment="1">
      <alignment horizontal="right"/>
    </xf>
    <xf numFmtId="0" fontId="0" fillId="0" borderId="0" xfId="0" applyFill="1" applyBorder="1" applyAlignment="1">
      <alignment horizontal="center"/>
    </xf>
    <xf numFmtId="0" fontId="16" fillId="0" borderId="0" xfId="0" applyFont="1"/>
    <xf numFmtId="0" fontId="16" fillId="0" borderId="0" xfId="0" applyFont="1" applyAlignment="1">
      <alignment horizontal="right"/>
    </xf>
    <xf numFmtId="0" fontId="16" fillId="0" borderId="0" xfId="0" applyFont="1" applyFill="1"/>
    <xf numFmtId="165" fontId="16" fillId="0" borderId="0" xfId="0" applyNumberFormat="1" applyFont="1" applyBorder="1" applyAlignment="1">
      <alignment horizontal="right"/>
    </xf>
    <xf numFmtId="166" fontId="16" fillId="0" borderId="0" xfId="0" quotePrefix="1" applyNumberFormat="1" applyFont="1" applyBorder="1" applyAlignment="1">
      <alignment horizontal="right"/>
    </xf>
    <xf numFmtId="0" fontId="17" fillId="0" borderId="0" xfId="0" applyFont="1" applyFill="1" applyBorder="1" applyAlignment="1">
      <alignment horizontal="right"/>
    </xf>
    <xf numFmtId="0" fontId="17" fillId="0" borderId="0" xfId="0" applyFont="1" applyFill="1" applyBorder="1"/>
    <xf numFmtId="0" fontId="4" fillId="0" borderId="3" xfId="0" applyFont="1" applyFill="1" applyBorder="1" applyAlignment="1">
      <alignment horizontal="left"/>
    </xf>
    <xf numFmtId="0" fontId="8" fillId="0" borderId="3" xfId="0" applyFont="1" applyFill="1" applyBorder="1" applyAlignment="1">
      <alignment horizontal="left"/>
    </xf>
    <xf numFmtId="0" fontId="4" fillId="0" borderId="0" xfId="0" applyFont="1" applyAlignment="1">
      <alignment horizontal="right"/>
    </xf>
    <xf numFmtId="0" fontId="0" fillId="0" borderId="0" xfId="0" applyAlignment="1">
      <alignment horizontal="right"/>
    </xf>
    <xf numFmtId="167" fontId="3" fillId="0" borderId="0" xfId="0" applyNumberFormat="1" applyFont="1"/>
    <xf numFmtId="167" fontId="4" fillId="0" borderId="0" xfId="0" applyNumberFormat="1" applyFont="1"/>
    <xf numFmtId="0" fontId="8" fillId="0" borderId="2" xfId="0" applyFont="1" applyFill="1" applyBorder="1" applyAlignment="1">
      <alignment horizontal="left"/>
    </xf>
    <xf numFmtId="0" fontId="4" fillId="0" borderId="0" xfId="0" applyFont="1" applyAlignment="1">
      <alignment horizontal="left"/>
    </xf>
    <xf numFmtId="0" fontId="19" fillId="0" borderId="0" xfId="2" applyFont="1"/>
    <xf numFmtId="0" fontId="19" fillId="0" borderId="0" xfId="2" applyFont="1" applyFill="1" applyBorder="1"/>
    <xf numFmtId="170" fontId="19" fillId="0" borderId="0" xfId="2" applyNumberFormat="1" applyFont="1" applyFill="1" applyBorder="1" applyAlignment="1">
      <alignment horizontal="right"/>
    </xf>
    <xf numFmtId="0" fontId="19" fillId="0" borderId="0" xfId="2" quotePrefix="1" applyNumberFormat="1" applyFont="1" applyFill="1" applyBorder="1" applyAlignment="1">
      <alignment textRotation="90"/>
    </xf>
    <xf numFmtId="0" fontId="23" fillId="0" borderId="0" xfId="2" applyFont="1" applyFill="1" applyBorder="1" applyAlignment="1"/>
    <xf numFmtId="0" fontId="19" fillId="0" borderId="0" xfId="2" applyFont="1" applyFill="1" applyBorder="1" applyAlignment="1"/>
    <xf numFmtId="0" fontId="21" fillId="0" borderId="0" xfId="2" applyFont="1" applyAlignment="1"/>
    <xf numFmtId="0" fontId="21" fillId="0" borderId="0" xfId="2" applyFont="1" applyFill="1" applyBorder="1" applyAlignment="1"/>
    <xf numFmtId="0" fontId="25" fillId="0" borderId="0" xfId="2" applyFont="1" applyBorder="1"/>
    <xf numFmtId="0" fontId="19" fillId="0" borderId="0" xfId="2" applyFont="1" applyBorder="1"/>
    <xf numFmtId="0" fontId="25" fillId="0" borderId="0" xfId="2" applyFont="1"/>
    <xf numFmtId="0" fontId="21" fillId="0" borderId="0" xfId="2" applyFont="1" applyAlignment="1">
      <alignment vertical="center" textRotation="90"/>
    </xf>
    <xf numFmtId="0" fontId="21" fillId="0" borderId="0" xfId="2" applyFont="1" applyAlignment="1">
      <alignment horizontal="left" wrapText="1"/>
    </xf>
    <xf numFmtId="0" fontId="26" fillId="0" borderId="0" xfId="2" applyFont="1"/>
    <xf numFmtId="2" fontId="19" fillId="0" borderId="0" xfId="2" applyNumberFormat="1" applyFont="1"/>
    <xf numFmtId="0" fontId="20" fillId="0" borderId="0" xfId="2" applyFont="1" applyFill="1"/>
    <xf numFmtId="0" fontId="14" fillId="0" borderId="0" xfId="2" applyFont="1" applyFill="1" applyBorder="1"/>
    <xf numFmtId="0" fontId="16" fillId="0" borderId="0" xfId="2" applyFont="1" applyFill="1" applyBorder="1"/>
    <xf numFmtId="0" fontId="24" fillId="0" borderId="2" xfId="2" applyFont="1" applyFill="1" applyBorder="1" applyAlignment="1">
      <alignment wrapText="1"/>
    </xf>
    <xf numFmtId="0" fontId="24" fillId="0" borderId="2" xfId="2" applyFont="1" applyFill="1" applyBorder="1" applyAlignment="1">
      <alignment horizontal="right"/>
    </xf>
    <xf numFmtId="0" fontId="24" fillId="0" borderId="2" xfId="2" applyNumberFormat="1" applyFont="1" applyBorder="1" applyAlignment="1">
      <alignment textRotation="90"/>
    </xf>
    <xf numFmtId="0" fontId="24" fillId="0" borderId="2" xfId="2" applyNumberFormat="1" applyFont="1" applyFill="1" applyBorder="1" applyAlignment="1">
      <alignment textRotation="90"/>
    </xf>
    <xf numFmtId="0" fontId="24" fillId="0" borderId="2" xfId="2" quotePrefix="1" applyNumberFormat="1" applyFont="1" applyFill="1" applyBorder="1" applyAlignment="1">
      <alignment textRotation="90"/>
    </xf>
    <xf numFmtId="0" fontId="24" fillId="0" borderId="2" xfId="2" applyNumberFormat="1" applyFont="1" applyFill="1" applyBorder="1" applyAlignment="1">
      <alignment horizontal="right" textRotation="90"/>
    </xf>
    <xf numFmtId="0" fontId="24" fillId="0" borderId="2" xfId="2" quotePrefix="1" applyNumberFormat="1" applyFont="1" applyBorder="1" applyAlignment="1">
      <alignment textRotation="90"/>
    </xf>
    <xf numFmtId="0" fontId="16" fillId="0" borderId="0" xfId="2" applyFont="1" applyFill="1"/>
    <xf numFmtId="16" fontId="25" fillId="0" borderId="0" xfId="2" applyNumberFormat="1" applyFont="1" applyFill="1" applyBorder="1" applyAlignment="1">
      <alignment horizontal="right"/>
    </xf>
    <xf numFmtId="0" fontId="25" fillId="0" borderId="0" xfId="2" applyFont="1" applyFill="1"/>
    <xf numFmtId="0" fontId="25" fillId="0" borderId="0" xfId="2" applyFont="1" applyFill="1" applyAlignment="1"/>
    <xf numFmtId="0" fontId="24" fillId="0" borderId="0" xfId="2" applyFont="1" applyFill="1"/>
    <xf numFmtId="0" fontId="24" fillId="0" borderId="0" xfId="2" applyFont="1" applyFill="1" applyAlignment="1"/>
    <xf numFmtId="1" fontId="24" fillId="0" borderId="0" xfId="2" applyNumberFormat="1" applyFont="1" applyFill="1" applyAlignment="1"/>
    <xf numFmtId="16" fontId="25" fillId="0" borderId="4" xfId="2" applyNumberFormat="1" applyFont="1" applyFill="1" applyBorder="1" applyAlignment="1">
      <alignment horizontal="right"/>
    </xf>
    <xf numFmtId="16" fontId="24" fillId="0" borderId="0" xfId="2" applyNumberFormat="1" applyFont="1" applyFill="1" applyBorder="1" applyAlignment="1">
      <alignment horizontal="right"/>
    </xf>
    <xf numFmtId="16" fontId="25" fillId="0" borderId="3" xfId="2" applyNumberFormat="1" applyFont="1" applyFill="1" applyBorder="1" applyAlignment="1">
      <alignment horizontal="right"/>
    </xf>
    <xf numFmtId="0" fontId="25" fillId="0" borderId="0" xfId="2" applyFont="1" applyFill="1" applyAlignment="1">
      <alignment horizontal="right"/>
    </xf>
    <xf numFmtId="165" fontId="25" fillId="0" borderId="0" xfId="2" applyNumberFormat="1" applyFont="1" applyFill="1"/>
    <xf numFmtId="16" fontId="25" fillId="0" borderId="0" xfId="2" applyNumberFormat="1" applyFont="1" applyFill="1" applyBorder="1" applyAlignment="1">
      <alignment horizontal="left"/>
    </xf>
    <xf numFmtId="0" fontId="25" fillId="0" borderId="0" xfId="2" applyFont="1" applyFill="1" applyAlignment="1">
      <alignment horizontal="center"/>
    </xf>
    <xf numFmtId="1" fontId="25" fillId="0" borderId="0" xfId="2" applyNumberFormat="1" applyFont="1" applyFill="1"/>
    <xf numFmtId="0" fontId="16" fillId="0" borderId="0" xfId="0" applyFont="1" applyFill="1" applyAlignment="1">
      <alignment horizontal="right"/>
    </xf>
    <xf numFmtId="165" fontId="25" fillId="0" borderId="0" xfId="2" applyNumberFormat="1" applyFont="1" applyFill="1" applyAlignment="1">
      <alignment horizontal="right"/>
    </xf>
    <xf numFmtId="165" fontId="16" fillId="0" borderId="0" xfId="0" applyNumberFormat="1" applyFont="1" applyFill="1" applyAlignment="1">
      <alignment horizontal="right"/>
    </xf>
    <xf numFmtId="0" fontId="25" fillId="0" borderId="0" xfId="2" applyFont="1" applyFill="1" applyBorder="1" applyAlignment="1">
      <alignment horizontal="right"/>
    </xf>
    <xf numFmtId="1" fontId="25" fillId="0" borderId="0" xfId="2" applyNumberFormat="1" applyFont="1" applyFill="1" applyAlignment="1">
      <alignment horizontal="right"/>
    </xf>
    <xf numFmtId="16" fontId="27" fillId="0" borderId="0" xfId="2" applyNumberFormat="1" applyFont="1" applyFill="1" applyBorder="1" applyAlignment="1">
      <alignment horizontal="left"/>
    </xf>
    <xf numFmtId="22" fontId="25" fillId="0" borderId="0" xfId="2" applyNumberFormat="1" applyFont="1" applyFill="1" applyAlignment="1"/>
    <xf numFmtId="0" fontId="28" fillId="0" borderId="0" xfId="2" applyFont="1"/>
    <xf numFmtId="0" fontId="29" fillId="0" borderId="0" xfId="2" applyFont="1"/>
    <xf numFmtId="0" fontId="28" fillId="0" borderId="0" xfId="2" applyFont="1" applyAlignment="1">
      <alignment horizontal="right"/>
    </xf>
    <xf numFmtId="164" fontId="0" fillId="0" borderId="0" xfId="0" applyNumberFormat="1" applyAlignment="1">
      <alignment horizontal="left"/>
    </xf>
    <xf numFmtId="164" fontId="0" fillId="0" borderId="0" xfId="0" applyNumberFormat="1" applyFill="1" applyAlignment="1">
      <alignment horizontal="left"/>
    </xf>
    <xf numFmtId="0" fontId="4" fillId="0" borderId="2" xfId="0" applyFont="1" applyFill="1" applyBorder="1" applyAlignment="1">
      <alignment horizontal="left"/>
    </xf>
    <xf numFmtId="0" fontId="0" fillId="0" borderId="0" xfId="0" applyFill="1" applyAlignment="1">
      <alignment horizontal="left"/>
    </xf>
    <xf numFmtId="0" fontId="31" fillId="2" borderId="2" xfId="0" applyFont="1" applyFill="1" applyBorder="1" applyAlignment="1">
      <alignment horizontal="left"/>
    </xf>
    <xf numFmtId="164" fontId="32" fillId="2" borderId="0" xfId="0" applyNumberFormat="1" applyFont="1" applyFill="1" applyAlignment="1">
      <alignment horizontal="left"/>
    </xf>
    <xf numFmtId="172" fontId="25" fillId="0" borderId="0" xfId="2" applyNumberFormat="1" applyFont="1" applyFill="1" applyAlignment="1">
      <alignment horizontal="right"/>
    </xf>
    <xf numFmtId="164" fontId="0" fillId="7" borderId="0" xfId="0" applyNumberFormat="1" applyFill="1" applyAlignment="1">
      <alignment horizontal="left"/>
    </xf>
    <xf numFmtId="164" fontId="0" fillId="0" borderId="0" xfId="0" applyNumberFormat="1" applyFill="1" applyBorder="1" applyAlignment="1">
      <alignment horizontal="left"/>
    </xf>
    <xf numFmtId="0" fontId="3" fillId="0" borderId="3" xfId="0" applyFont="1" applyBorder="1"/>
    <xf numFmtId="0" fontId="0" fillId="0" borderId="3" xfId="0" applyBorder="1"/>
    <xf numFmtId="0" fontId="4" fillId="5" borderId="8" xfId="0" applyFont="1" applyFill="1" applyBorder="1"/>
    <xf numFmtId="0" fontId="0" fillId="5" borderId="8" xfId="0" applyFill="1" applyBorder="1"/>
    <xf numFmtId="0" fontId="0" fillId="0" borderId="9" xfId="0" applyBorder="1"/>
    <xf numFmtId="167" fontId="0" fillId="0" borderId="1" xfId="0" applyNumberFormat="1" applyBorder="1"/>
    <xf numFmtId="167" fontId="3" fillId="0" borderId="0" xfId="0" applyNumberFormat="1" applyFont="1" applyFill="1" applyBorder="1" applyAlignment="1" applyProtection="1">
      <alignment horizontal="left" wrapText="1"/>
      <protection locked="0"/>
    </xf>
    <xf numFmtId="0" fontId="3" fillId="0" borderId="0" xfId="0" applyFont="1" applyFill="1" applyBorder="1" applyAlignment="1" applyProtection="1">
      <alignment horizontal="left"/>
      <protection locked="0"/>
    </xf>
    <xf numFmtId="168" fontId="3" fillId="0" borderId="0" xfId="0" applyNumberFormat="1" applyFont="1" applyFill="1" applyBorder="1" applyAlignment="1" applyProtection="1">
      <alignment horizontal="left"/>
      <protection locked="0"/>
    </xf>
    <xf numFmtId="167" fontId="3" fillId="0" borderId="0" xfId="0" applyNumberFormat="1" applyFont="1" applyFill="1" applyBorder="1" applyAlignment="1" applyProtection="1">
      <alignment horizontal="right" wrapText="1"/>
      <protection locked="0"/>
    </xf>
    <xf numFmtId="0" fontId="3" fillId="0" borderId="0" xfId="0" applyFont="1" applyFill="1" applyBorder="1" applyAlignment="1" applyProtection="1">
      <alignment horizontal="center"/>
      <protection locked="0"/>
    </xf>
    <xf numFmtId="0" fontId="21" fillId="0" borderId="0" xfId="2" applyFont="1" applyAlignment="1">
      <alignment wrapText="1"/>
    </xf>
    <xf numFmtId="0" fontId="21" fillId="0" borderId="0" xfId="2" applyFont="1" applyAlignment="1">
      <alignment horizontal="left" wrapText="1"/>
    </xf>
    <xf numFmtId="0" fontId="0" fillId="0" borderId="0" xfId="0" applyFont="1" applyFill="1" applyBorder="1" applyAlignment="1" applyProtection="1">
      <alignment horizontal="left"/>
      <protection locked="0"/>
    </xf>
    <xf numFmtId="0" fontId="0" fillId="0" borderId="0" xfId="0" applyBorder="1"/>
    <xf numFmtId="0" fontId="0" fillId="0" borderId="0" xfId="0" applyFill="1" applyBorder="1" applyAlignment="1" applyProtection="1">
      <alignment horizontal="left"/>
      <protection locked="0"/>
    </xf>
    <xf numFmtId="16" fontId="25" fillId="0" borderId="0" xfId="2" applyNumberFormat="1" applyFont="1" applyFill="1" applyAlignment="1"/>
    <xf numFmtId="0" fontId="3" fillId="0" borderId="0" xfId="0" applyFont="1" applyFill="1" applyBorder="1" applyAlignment="1">
      <alignment horizontal="center"/>
    </xf>
    <xf numFmtId="168" fontId="3" fillId="0" borderId="0" xfId="0" applyNumberFormat="1" applyFont="1" applyFill="1" applyBorder="1" applyAlignment="1" applyProtection="1">
      <alignment horizontal="right" wrapText="1"/>
      <protection locked="0"/>
    </xf>
    <xf numFmtId="167" fontId="3" fillId="0" borderId="0" xfId="0" applyNumberFormat="1" applyFont="1" applyFill="1" applyBorder="1" applyAlignment="1" applyProtection="1">
      <alignment horizontal="right"/>
      <protection locked="0"/>
    </xf>
    <xf numFmtId="0" fontId="3" fillId="0" borderId="0" xfId="0" applyFont="1" applyFill="1" applyAlignment="1" applyProtection="1">
      <alignment horizontal="right" wrapText="1"/>
      <protection locked="0"/>
    </xf>
    <xf numFmtId="0" fontId="3" fillId="0" borderId="0" xfId="0" applyFont="1" applyFill="1" applyAlignment="1" applyProtection="1">
      <alignment horizontal="right"/>
      <protection locked="0"/>
    </xf>
    <xf numFmtId="168" fontId="3" fillId="0" borderId="0" xfId="0" applyNumberFormat="1" applyFont="1" applyFill="1" applyBorder="1" applyAlignment="1" applyProtection="1">
      <alignment horizontal="right"/>
      <protection locked="0"/>
    </xf>
    <xf numFmtId="49" fontId="3" fillId="0" borderId="0" xfId="0" applyNumberFormat="1" applyFont="1" applyFill="1" applyBorder="1" applyAlignment="1">
      <alignment horizontal="left" wrapText="1"/>
    </xf>
    <xf numFmtId="0" fontId="3" fillId="0" borderId="0" xfId="0" applyNumberFormat="1" applyFont="1" applyFill="1" applyBorder="1" applyAlignment="1" applyProtection="1">
      <alignment horizontal="center" wrapText="1"/>
      <protection locked="0"/>
    </xf>
    <xf numFmtId="0" fontId="3" fillId="0" borderId="0" xfId="0" applyFont="1" applyFill="1" applyBorder="1" applyAlignment="1" applyProtection="1">
      <alignment horizontal="right"/>
      <protection locked="0"/>
    </xf>
    <xf numFmtId="167" fontId="3" fillId="0" borderId="8" xfId="0" applyNumberFormat="1" applyFont="1" applyFill="1" applyBorder="1" applyAlignment="1" applyProtection="1">
      <alignment horizontal="right" wrapText="1"/>
      <protection locked="0"/>
    </xf>
    <xf numFmtId="49" fontId="3" fillId="0" borderId="8" xfId="0" applyNumberFormat="1" applyFont="1" applyFill="1" applyBorder="1" applyAlignment="1" applyProtection="1">
      <alignment horizontal="right" wrapText="1"/>
      <protection locked="0"/>
    </xf>
    <xf numFmtId="0" fontId="3" fillId="0" borderId="8" xfId="0" applyFont="1" applyFill="1" applyBorder="1" applyAlignment="1" applyProtection="1">
      <alignment horizontal="right"/>
      <protection locked="0"/>
    </xf>
    <xf numFmtId="168" fontId="3" fillId="0" borderId="8" xfId="0" applyNumberFormat="1" applyFont="1" applyFill="1" applyBorder="1" applyAlignment="1" applyProtection="1">
      <alignment horizontal="right" wrapText="1"/>
      <protection locked="0"/>
    </xf>
    <xf numFmtId="0" fontId="3" fillId="0" borderId="8" xfId="0" applyFont="1" applyFill="1" applyBorder="1" applyAlignment="1" applyProtection="1">
      <alignment horizontal="right" wrapText="1"/>
      <protection locked="0"/>
    </xf>
    <xf numFmtId="49" fontId="3" fillId="0" borderId="8" xfId="0" applyNumberFormat="1" applyFont="1" applyFill="1" applyBorder="1" applyAlignment="1">
      <alignment horizontal="left" wrapText="1"/>
    </xf>
    <xf numFmtId="0" fontId="3" fillId="0" borderId="10" xfId="0" applyFont="1" applyFill="1" applyBorder="1" applyAlignment="1" applyProtection="1">
      <alignment horizontal="center"/>
      <protection locked="0"/>
    </xf>
    <xf numFmtId="49" fontId="3" fillId="0" borderId="8" xfId="0" applyNumberFormat="1" applyFont="1" applyFill="1" applyBorder="1" applyAlignment="1">
      <alignment horizontal="center"/>
    </xf>
    <xf numFmtId="49" fontId="3" fillId="0" borderId="13" xfId="0" applyNumberFormat="1" applyFont="1" applyFill="1" applyBorder="1" applyAlignment="1">
      <alignment horizontal="left" wrapText="1"/>
    </xf>
    <xf numFmtId="0" fontId="3" fillId="0" borderId="13" xfId="0" applyFont="1" applyFill="1" applyBorder="1" applyAlignment="1" applyProtection="1">
      <alignment horizontal="left"/>
      <protection locked="0"/>
    </xf>
    <xf numFmtId="0" fontId="3" fillId="0" borderId="13" xfId="0" applyFont="1" applyFill="1" applyBorder="1" applyAlignment="1">
      <alignment horizontal="left"/>
    </xf>
    <xf numFmtId="49" fontId="3" fillId="0" borderId="8" xfId="0" applyNumberFormat="1" applyFont="1" applyFill="1" applyBorder="1" applyAlignment="1">
      <alignment horizontal="left"/>
    </xf>
    <xf numFmtId="49" fontId="3" fillId="0" borderId="14" xfId="0" applyNumberFormat="1" applyFont="1" applyFill="1" applyBorder="1" applyAlignment="1">
      <alignment horizontal="left"/>
    </xf>
    <xf numFmtId="167" fontId="3" fillId="0" borderId="0" xfId="0" applyNumberFormat="1" applyFont="1" applyFill="1" applyBorder="1" applyAlignment="1" applyProtection="1">
      <alignment horizontal="center" wrapText="1"/>
      <protection locked="0"/>
    </xf>
    <xf numFmtId="168" fontId="3" fillId="0" borderId="0" xfId="0" applyNumberFormat="1" applyFont="1" applyFill="1" applyBorder="1" applyAlignment="1" applyProtection="1">
      <alignment horizontal="center"/>
      <protection locked="0"/>
    </xf>
    <xf numFmtId="20" fontId="3" fillId="0" borderId="0" xfId="0" applyNumberFormat="1" applyFont="1" applyFill="1" applyBorder="1" applyAlignment="1" applyProtection="1">
      <alignment horizontal="center"/>
      <protection locked="0"/>
    </xf>
    <xf numFmtId="49" fontId="3" fillId="0" borderId="0" xfId="0" quotePrefix="1" applyNumberFormat="1" applyFont="1" applyFill="1" applyBorder="1" applyAlignment="1" applyProtection="1">
      <alignment horizontal="center"/>
      <protection locked="0"/>
    </xf>
    <xf numFmtId="168" fontId="3" fillId="0" borderId="0" xfId="0" quotePrefix="1" applyNumberFormat="1" applyFont="1" applyFill="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NumberFormat="1" applyFont="1" applyFill="1" applyBorder="1" applyAlignment="1" applyProtection="1">
      <alignment horizontal="center"/>
      <protection locked="0"/>
    </xf>
    <xf numFmtId="0" fontId="3" fillId="0" borderId="0" xfId="0" quotePrefix="1" applyFont="1" applyFill="1" applyBorder="1" applyAlignment="1" applyProtection="1">
      <alignment horizontal="center"/>
      <protection locked="0"/>
    </xf>
    <xf numFmtId="20" fontId="3" fillId="0" borderId="0" xfId="0" quotePrefix="1" applyNumberFormat="1" applyFont="1" applyFill="1" applyBorder="1" applyAlignment="1" applyProtection="1">
      <alignment horizontal="center"/>
      <protection locked="0"/>
    </xf>
    <xf numFmtId="18" fontId="3" fillId="0" borderId="0" xfId="0" quotePrefix="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49" fontId="0" fillId="0" borderId="0" xfId="0" quotePrefix="1" applyNumberFormat="1" applyFont="1" applyFill="1" applyBorder="1" applyAlignment="1" applyProtection="1">
      <alignment horizontal="center"/>
      <protection locked="0"/>
    </xf>
    <xf numFmtId="168" fontId="0" fillId="0" borderId="0" xfId="0" applyNumberFormat="1" applyFont="1" applyFill="1" applyBorder="1" applyAlignment="1" applyProtection="1">
      <alignment horizontal="center"/>
      <protection locked="0"/>
    </xf>
    <xf numFmtId="0" fontId="0" fillId="0" borderId="0" xfId="0" applyFill="1" applyBorder="1" applyAlignment="1" applyProtection="1">
      <alignment horizontal="center"/>
      <protection locked="0"/>
    </xf>
    <xf numFmtId="20" fontId="3" fillId="0" borderId="0" xfId="0" applyNumberFormat="1" applyFont="1" applyFill="1" applyBorder="1" applyAlignment="1">
      <alignment horizontal="center"/>
    </xf>
    <xf numFmtId="49" fontId="3" fillId="0" borderId="8" xfId="0" applyNumberFormat="1" applyFont="1" applyFill="1" applyBorder="1" applyAlignment="1" applyProtection="1">
      <alignment horizontal="center" wrapText="1"/>
      <protection locked="0"/>
    </xf>
    <xf numFmtId="49" fontId="3" fillId="0" borderId="8" xfId="0" applyNumberFormat="1" applyFont="1" applyFill="1" applyBorder="1" applyAlignment="1" applyProtection="1">
      <alignment horizontal="left" wrapText="1"/>
      <protection locked="0"/>
    </xf>
    <xf numFmtId="0" fontId="0" fillId="0" borderId="19" xfId="0" applyBorder="1"/>
    <xf numFmtId="0" fontId="4" fillId="0" borderId="12" xfId="0" applyFont="1" applyBorder="1" applyAlignment="1">
      <alignment horizontal="left"/>
    </xf>
    <xf numFmtId="0" fontId="4" fillId="0" borderId="0" xfId="0" applyFont="1" applyFill="1" applyBorder="1" applyAlignment="1">
      <alignment horizontal="left"/>
    </xf>
    <xf numFmtId="1" fontId="19" fillId="0" borderId="0" xfId="2" applyNumberFormat="1" applyFont="1"/>
    <xf numFmtId="0" fontId="19" fillId="0" borderId="0" xfId="2" applyFont="1" applyFill="1"/>
    <xf numFmtId="0" fontId="25" fillId="0" borderId="4" xfId="2" applyFont="1" applyFill="1" applyBorder="1"/>
    <xf numFmtId="0" fontId="25" fillId="0" borderId="4" xfId="2" applyFont="1" applyFill="1" applyBorder="1" applyAlignment="1"/>
    <xf numFmtId="0" fontId="24" fillId="0" borderId="0" xfId="2" applyFont="1" applyFill="1" applyBorder="1"/>
    <xf numFmtId="0" fontId="24" fillId="0" borderId="0" xfId="2" applyFont="1" applyFill="1" applyBorder="1" applyAlignment="1"/>
    <xf numFmtId="1" fontId="24" fillId="0" borderId="0" xfId="2" applyNumberFormat="1" applyFont="1" applyFill="1" applyBorder="1" applyAlignment="1"/>
    <xf numFmtId="0" fontId="21" fillId="0" borderId="0" xfId="2" applyFont="1" applyFill="1"/>
    <xf numFmtId="0" fontId="25" fillId="0" borderId="3" xfId="2" applyFont="1" applyFill="1" applyBorder="1"/>
    <xf numFmtId="0" fontId="25" fillId="0" borderId="3" xfId="2" applyFont="1" applyFill="1" applyBorder="1" applyAlignment="1"/>
    <xf numFmtId="1" fontId="36" fillId="6" borderId="13" xfId="2" applyNumberFormat="1" applyFont="1" applyFill="1" applyBorder="1" applyAlignment="1">
      <alignment horizontal="center"/>
    </xf>
    <xf numFmtId="0" fontId="36" fillId="6" borderId="0" xfId="2" applyFont="1" applyFill="1" applyBorder="1"/>
    <xf numFmtId="0" fontId="36" fillId="6" borderId="13" xfId="2" applyFont="1" applyFill="1" applyBorder="1"/>
    <xf numFmtId="165" fontId="36" fillId="6" borderId="0" xfId="2" applyNumberFormat="1" applyFont="1" applyFill="1" applyBorder="1"/>
    <xf numFmtId="165" fontId="36" fillId="6" borderId="13" xfId="2" applyNumberFormat="1" applyFont="1" applyFill="1" applyBorder="1"/>
    <xf numFmtId="1" fontId="36" fillId="6" borderId="20" xfId="2" quotePrefix="1" applyNumberFormat="1" applyFont="1" applyFill="1" applyBorder="1" applyAlignment="1">
      <alignment horizontal="center" textRotation="90"/>
    </xf>
    <xf numFmtId="0" fontId="36" fillId="6" borderId="3" xfId="2" quotePrefix="1" applyNumberFormat="1" applyFont="1" applyFill="1" applyBorder="1" applyAlignment="1">
      <alignment textRotation="90"/>
    </xf>
    <xf numFmtId="0" fontId="36" fillId="6" borderId="20" xfId="2" quotePrefix="1" applyNumberFormat="1" applyFont="1" applyFill="1" applyBorder="1" applyAlignment="1">
      <alignment textRotation="90"/>
    </xf>
    <xf numFmtId="165" fontId="36" fillId="6" borderId="3" xfId="2" quotePrefix="1" applyNumberFormat="1" applyFont="1" applyFill="1" applyBorder="1" applyAlignment="1">
      <alignment textRotation="90"/>
    </xf>
    <xf numFmtId="165" fontId="36" fillId="6" borderId="20" xfId="2" quotePrefix="1" applyNumberFormat="1" applyFont="1" applyFill="1" applyBorder="1" applyAlignment="1">
      <alignment textRotation="90"/>
    </xf>
    <xf numFmtId="1" fontId="37" fillId="6" borderId="13" xfId="0" applyNumberFormat="1" applyFont="1" applyFill="1" applyBorder="1" applyAlignment="1">
      <alignment horizontal="center"/>
    </xf>
    <xf numFmtId="165" fontId="36" fillId="6" borderId="0" xfId="2" applyNumberFormat="1" applyFont="1" applyFill="1" applyBorder="1" applyAlignment="1"/>
    <xf numFmtId="165" fontId="36" fillId="6" borderId="13" xfId="2" applyNumberFormat="1" applyFont="1" applyFill="1" applyBorder="1" applyAlignment="1"/>
    <xf numFmtId="1" fontId="36" fillId="6" borderId="0" xfId="2" applyNumberFormat="1" applyFont="1" applyFill="1" applyBorder="1" applyAlignment="1"/>
    <xf numFmtId="1" fontId="36" fillId="6" borderId="13" xfId="2" applyNumberFormat="1" applyFont="1" applyFill="1" applyBorder="1" applyAlignment="1"/>
    <xf numFmtId="165" fontId="36" fillId="6" borderId="0" xfId="2" applyNumberFormat="1" applyFont="1" applyFill="1"/>
    <xf numFmtId="1" fontId="37" fillId="0" borderId="13" xfId="0" applyNumberFormat="1" applyFont="1" applyFill="1" applyBorder="1" applyAlignment="1">
      <alignment horizontal="center"/>
    </xf>
    <xf numFmtId="165" fontId="36" fillId="0" borderId="0" xfId="2" applyNumberFormat="1" applyFont="1" applyFill="1" applyBorder="1" applyAlignment="1"/>
    <xf numFmtId="165" fontId="36" fillId="0" borderId="13" xfId="2" applyNumberFormat="1" applyFont="1" applyFill="1" applyBorder="1" applyAlignment="1"/>
    <xf numFmtId="1" fontId="36" fillId="0" borderId="0" xfId="2" applyNumberFormat="1" applyFont="1" applyFill="1" applyBorder="1" applyAlignment="1"/>
    <xf numFmtId="1" fontId="36" fillId="0" borderId="13" xfId="2" applyNumberFormat="1" applyFont="1" applyFill="1" applyBorder="1" applyAlignment="1"/>
    <xf numFmtId="165" fontId="36" fillId="0" borderId="0" xfId="2" applyNumberFormat="1" applyFont="1" applyFill="1"/>
    <xf numFmtId="165" fontId="36" fillId="0" borderId="13" xfId="2" applyNumberFormat="1" applyFont="1" applyFill="1" applyBorder="1"/>
    <xf numFmtId="165" fontId="38" fillId="0" borderId="0" xfId="2" applyNumberFormat="1" applyFont="1" applyFill="1"/>
    <xf numFmtId="165" fontId="38" fillId="0" borderId="13" xfId="2" applyNumberFormat="1" applyFont="1" applyFill="1" applyBorder="1"/>
    <xf numFmtId="1" fontId="36" fillId="0" borderId="13" xfId="2" applyNumberFormat="1" applyFont="1" applyFill="1" applyBorder="1" applyAlignment="1">
      <alignment horizontal="center"/>
    </xf>
    <xf numFmtId="2" fontId="36" fillId="0" borderId="0" xfId="2" applyNumberFormat="1" applyFont="1" applyFill="1" applyBorder="1" applyAlignment="1"/>
    <xf numFmtId="2" fontId="36" fillId="0" borderId="13" xfId="2" applyNumberFormat="1" applyFont="1" applyFill="1" applyBorder="1" applyAlignment="1"/>
    <xf numFmtId="0" fontId="36" fillId="0" borderId="0" xfId="2" applyFont="1" applyFill="1"/>
    <xf numFmtId="0" fontId="36" fillId="0" borderId="13" xfId="2" applyFont="1" applyFill="1" applyBorder="1"/>
    <xf numFmtId="1" fontId="39" fillId="0" borderId="13" xfId="2" applyNumberFormat="1" applyFont="1" applyFill="1" applyBorder="1" applyAlignment="1">
      <alignment horizontal="center"/>
    </xf>
    <xf numFmtId="0" fontId="36" fillId="6" borderId="0" xfId="2" applyFont="1" applyFill="1"/>
    <xf numFmtId="0" fontId="39" fillId="0" borderId="0" xfId="2" applyFont="1" applyFill="1"/>
    <xf numFmtId="0" fontId="39" fillId="0" borderId="13" xfId="2" applyFont="1" applyFill="1" applyBorder="1"/>
    <xf numFmtId="165" fontId="39" fillId="0" borderId="0" xfId="2" applyNumberFormat="1" applyFont="1" applyFill="1"/>
    <xf numFmtId="165" fontId="39" fillId="0" borderId="13" xfId="2" applyNumberFormat="1" applyFont="1" applyFill="1" applyBorder="1"/>
    <xf numFmtId="1" fontId="36" fillId="0" borderId="20" xfId="2" applyNumberFormat="1" applyFont="1" applyFill="1" applyBorder="1" applyAlignment="1">
      <alignment horizontal="center"/>
    </xf>
    <xf numFmtId="165" fontId="36" fillId="0" borderId="3" xfId="2" applyNumberFormat="1" applyFont="1" applyFill="1" applyBorder="1" applyAlignment="1"/>
    <xf numFmtId="165" fontId="36" fillId="0" borderId="20" xfId="2" applyNumberFormat="1" applyFont="1" applyFill="1" applyBorder="1" applyAlignment="1"/>
    <xf numFmtId="0" fontId="36" fillId="0" borderId="3" xfId="2" applyFont="1" applyFill="1" applyBorder="1"/>
    <xf numFmtId="0" fontId="36" fillId="0" borderId="20" xfId="2" applyFont="1" applyFill="1" applyBorder="1"/>
    <xf numFmtId="0" fontId="36" fillId="0" borderId="3" xfId="2" applyFont="1" applyFill="1" applyBorder="1" applyAlignment="1"/>
    <xf numFmtId="0" fontId="36" fillId="0" borderId="20" xfId="2" applyFont="1" applyFill="1" applyBorder="1" applyAlignment="1"/>
    <xf numFmtId="0" fontId="16" fillId="0" borderId="21" xfId="0" applyFont="1" applyFill="1" applyBorder="1" applyAlignment="1">
      <alignment horizontal="right"/>
    </xf>
    <xf numFmtId="0" fontId="30" fillId="7" borderId="0" xfId="0" applyFont="1" applyFill="1" applyAlignment="1"/>
    <xf numFmtId="0" fontId="9" fillId="7" borderId="0" xfId="0" applyFont="1" applyFill="1"/>
    <xf numFmtId="0" fontId="9" fillId="7" borderId="0" xfId="0" applyFont="1" applyFill="1" applyAlignment="1">
      <alignment horizontal="right"/>
    </xf>
    <xf numFmtId="0" fontId="14" fillId="7" borderId="4" xfId="0" applyFont="1" applyFill="1" applyBorder="1"/>
    <xf numFmtId="0" fontId="14" fillId="7" borderId="4" xfId="0" applyFont="1" applyFill="1" applyBorder="1" applyAlignment="1">
      <alignment horizontal="right"/>
    </xf>
    <xf numFmtId="0" fontId="14" fillId="7" borderId="4" xfId="0" applyFont="1" applyFill="1" applyBorder="1" applyAlignment="1">
      <alignment horizontal="center"/>
    </xf>
    <xf numFmtId="0" fontId="15" fillId="7" borderId="3" xfId="0" applyFont="1" applyFill="1" applyBorder="1"/>
    <xf numFmtId="0" fontId="14" fillId="7" borderId="3" xfId="0" applyFont="1" applyFill="1" applyBorder="1" applyAlignment="1">
      <alignment horizontal="right"/>
    </xf>
    <xf numFmtId="0" fontId="16" fillId="7" borderId="0" xfId="0" applyFont="1" applyFill="1"/>
    <xf numFmtId="0" fontId="16" fillId="7" borderId="0" xfId="0" applyFont="1" applyFill="1" applyBorder="1"/>
    <xf numFmtId="3" fontId="16" fillId="7" borderId="0" xfId="0" applyNumberFormat="1" applyFont="1" applyFill="1" applyBorder="1" applyAlignment="1">
      <alignment horizontal="right"/>
    </xf>
    <xf numFmtId="3" fontId="16" fillId="7" borderId="0" xfId="0" applyNumberFormat="1" applyFont="1" applyFill="1" applyAlignment="1">
      <alignment horizontal="right"/>
    </xf>
    <xf numFmtId="0" fontId="17" fillId="7" borderId="0" xfId="0" applyFont="1" applyFill="1" applyBorder="1"/>
    <xf numFmtId="0" fontId="17" fillId="7" borderId="0" xfId="0" applyFont="1" applyFill="1"/>
    <xf numFmtId="0" fontId="17" fillId="7" borderId="3" xfId="0" applyFont="1" applyFill="1" applyBorder="1"/>
    <xf numFmtId="3" fontId="16" fillId="7" borderId="3" xfId="0" applyNumberFormat="1" applyFont="1" applyFill="1" applyBorder="1" applyAlignment="1">
      <alignment horizontal="right"/>
    </xf>
    <xf numFmtId="0" fontId="41" fillId="7" borderId="0" xfId="0" applyFont="1" applyFill="1"/>
    <xf numFmtId="49" fontId="3" fillId="0" borderId="13" xfId="0" applyNumberFormat="1" applyFont="1" applyFill="1" applyBorder="1" applyAlignment="1">
      <alignment horizontal="left"/>
    </xf>
    <xf numFmtId="0" fontId="16" fillId="0" borderId="3" xfId="0" applyFont="1" applyBorder="1"/>
    <xf numFmtId="49" fontId="3" fillId="0" borderId="18" xfId="0" applyNumberFormat="1" applyFont="1" applyFill="1" applyBorder="1" applyAlignment="1" applyProtection="1">
      <alignment horizontal="center" wrapText="1"/>
      <protection locked="0"/>
    </xf>
    <xf numFmtId="0" fontId="3" fillId="0" borderId="10" xfId="0" applyFont="1" applyFill="1" applyBorder="1" applyAlignment="1" applyProtection="1">
      <alignment horizontal="left"/>
      <protection locked="0"/>
    </xf>
    <xf numFmtId="0" fontId="0" fillId="0" borderId="10" xfId="0" applyFont="1" applyFill="1" applyBorder="1" applyAlignment="1" applyProtection="1">
      <alignment horizontal="left"/>
      <protection locked="0"/>
    </xf>
    <xf numFmtId="0" fontId="0" fillId="0" borderId="22" xfId="0" pivotButton="1" applyBorder="1"/>
    <xf numFmtId="0" fontId="0" fillId="0" borderId="22" xfId="0" applyBorder="1"/>
    <xf numFmtId="167" fontId="0" fillId="0" borderId="22" xfId="0" pivotButton="1" applyNumberFormat="1" applyBorder="1"/>
    <xf numFmtId="0" fontId="0" fillId="0" borderId="23" xfId="0" applyBorder="1"/>
    <xf numFmtId="167" fontId="0" fillId="0" borderId="22" xfId="0" applyNumberFormat="1" applyBorder="1"/>
    <xf numFmtId="1" fontId="0" fillId="0" borderId="23" xfId="0" applyNumberFormat="1" applyBorder="1"/>
    <xf numFmtId="0" fontId="0" fillId="0" borderId="24" xfId="0" applyNumberFormat="1" applyBorder="1"/>
    <xf numFmtId="0" fontId="0" fillId="0" borderId="25" xfId="0" applyBorder="1"/>
    <xf numFmtId="165" fontId="0" fillId="0" borderId="24" xfId="0" applyNumberFormat="1" applyBorder="1"/>
    <xf numFmtId="2" fontId="3" fillId="0" borderId="0" xfId="0" applyNumberFormat="1" applyFont="1" applyBorder="1" applyAlignment="1" applyProtection="1">
      <alignment horizontal="right" wrapText="1"/>
      <protection locked="0"/>
    </xf>
    <xf numFmtId="0" fontId="3" fillId="0" borderId="0" xfId="0" applyNumberFormat="1" applyFont="1" applyFill="1" applyBorder="1" applyAlignment="1">
      <alignment horizontal="left"/>
    </xf>
    <xf numFmtId="14" fontId="0" fillId="0" borderId="22" xfId="0" applyNumberFormat="1" applyBorder="1"/>
    <xf numFmtId="0" fontId="0" fillId="0" borderId="22" xfId="0" applyNumberFormat="1" applyBorder="1"/>
    <xf numFmtId="0" fontId="0" fillId="0" borderId="28" xfId="0" applyBorder="1"/>
    <xf numFmtId="0" fontId="0" fillId="0" borderId="28" xfId="0" applyNumberFormat="1" applyBorder="1"/>
    <xf numFmtId="0" fontId="0" fillId="0" borderId="29" xfId="0" applyBorder="1"/>
    <xf numFmtId="0" fontId="0" fillId="0" borderId="30" xfId="0" applyBorder="1"/>
    <xf numFmtId="0" fontId="0" fillId="0" borderId="29" xfId="0" applyNumberFormat="1" applyBorder="1"/>
    <xf numFmtId="0" fontId="0" fillId="0" borderId="31" xfId="0" applyNumberFormat="1" applyBorder="1"/>
    <xf numFmtId="0" fontId="0" fillId="0" borderId="32" xfId="0" applyNumberFormat="1" applyBorder="1"/>
    <xf numFmtId="165" fontId="0" fillId="0" borderId="22" xfId="0" applyNumberFormat="1" applyBorder="1"/>
    <xf numFmtId="165" fontId="0" fillId="0" borderId="29" xfId="0" applyNumberFormat="1" applyBorder="1"/>
    <xf numFmtId="167" fontId="0" fillId="0" borderId="29" xfId="0" applyNumberFormat="1" applyBorder="1"/>
    <xf numFmtId="167" fontId="0" fillId="0" borderId="30" xfId="0" applyNumberFormat="1" applyBorder="1"/>
    <xf numFmtId="1" fontId="0" fillId="0" borderId="31" xfId="0" applyNumberFormat="1" applyBorder="1"/>
    <xf numFmtId="165" fontId="3" fillId="0" borderId="0" xfId="0" applyNumberFormat="1" applyFont="1" applyFill="1" applyAlignment="1" applyProtection="1">
      <alignment horizontal="right"/>
      <protection locked="0"/>
    </xf>
    <xf numFmtId="165" fontId="3" fillId="0" borderId="8" xfId="0" applyNumberFormat="1" applyFont="1" applyFill="1" applyBorder="1" applyAlignment="1" applyProtection="1">
      <alignment horizontal="right" wrapText="1"/>
      <protection locked="0"/>
    </xf>
    <xf numFmtId="0" fontId="0" fillId="0" borderId="34" xfId="0" applyBorder="1"/>
    <xf numFmtId="167" fontId="0" fillId="0" borderId="34" xfId="0" applyNumberFormat="1" applyBorder="1"/>
    <xf numFmtId="1" fontId="0" fillId="0" borderId="33" xfId="0" applyNumberFormat="1" applyBorder="1"/>
    <xf numFmtId="0" fontId="0" fillId="0" borderId="35" xfId="0" applyNumberFormat="1" applyBorder="1"/>
    <xf numFmtId="0" fontId="0" fillId="0" borderId="35" xfId="0" applyBorder="1"/>
    <xf numFmtId="0" fontId="0" fillId="0" borderId="34" xfId="0" pivotButton="1" applyBorder="1"/>
    <xf numFmtId="14" fontId="0" fillId="0" borderId="28" xfId="0" applyNumberFormat="1" applyBorder="1"/>
    <xf numFmtId="165" fontId="0" fillId="0" borderId="28" xfId="0" applyNumberFormat="1" applyBorder="1"/>
    <xf numFmtId="165" fontId="0" fillId="0" borderId="35" xfId="0" applyNumberFormat="1" applyBorder="1"/>
    <xf numFmtId="165" fontId="0" fillId="0" borderId="32" xfId="0" applyNumberFormat="1" applyBorder="1"/>
    <xf numFmtId="0" fontId="0" fillId="0" borderId="36" xfId="0" applyBorder="1"/>
    <xf numFmtId="0" fontId="0" fillId="0" borderId="36" xfId="0" applyNumberFormat="1" applyBorder="1"/>
    <xf numFmtId="0" fontId="0" fillId="0" borderId="0" xfId="0" applyNumberFormat="1"/>
    <xf numFmtId="0" fontId="0" fillId="0" borderId="37" xfId="0" applyNumberFormat="1" applyBorder="1"/>
    <xf numFmtId="165" fontId="0" fillId="0" borderId="36" xfId="0" applyNumberFormat="1" applyBorder="1"/>
    <xf numFmtId="165" fontId="0" fillId="0" borderId="0" xfId="0" applyNumberFormat="1"/>
    <xf numFmtId="165" fontId="0" fillId="0" borderId="37" xfId="0" applyNumberFormat="1" applyBorder="1"/>
    <xf numFmtId="165" fontId="36" fillId="6" borderId="38" xfId="2" applyNumberFormat="1" applyFont="1" applyFill="1" applyBorder="1"/>
    <xf numFmtId="165" fontId="36" fillId="6" borderId="39" xfId="2" applyNumberFormat="1" applyFont="1" applyFill="1" applyBorder="1"/>
    <xf numFmtId="167" fontId="3" fillId="0" borderId="40" xfId="0" applyNumberFormat="1" applyFont="1" applyFill="1" applyBorder="1" applyAlignment="1" applyProtection="1">
      <alignment horizontal="center" wrapText="1"/>
      <protection locked="0"/>
    </xf>
    <xf numFmtId="0" fontId="3" fillId="0" borderId="40" xfId="0" applyNumberFormat="1" applyFont="1" applyFill="1" applyBorder="1" applyAlignment="1" applyProtection="1">
      <alignment horizontal="center" wrapText="1"/>
      <protection locked="0"/>
    </xf>
    <xf numFmtId="0" fontId="3" fillId="0" borderId="40" xfId="0" applyFont="1" applyFill="1" applyBorder="1" applyAlignment="1" applyProtection="1">
      <alignment horizontal="center"/>
      <protection locked="0"/>
    </xf>
    <xf numFmtId="168" fontId="3" fillId="0" borderId="40" xfId="0" applyNumberFormat="1" applyFont="1" applyFill="1" applyBorder="1" applyAlignment="1" applyProtection="1">
      <alignment horizontal="center"/>
      <protection locked="0"/>
    </xf>
    <xf numFmtId="20" fontId="3" fillId="0" borderId="40" xfId="0" applyNumberFormat="1" applyFont="1" applyFill="1" applyBorder="1" applyAlignment="1" applyProtection="1">
      <alignment horizontal="center"/>
      <protection locked="0"/>
    </xf>
    <xf numFmtId="49" fontId="3" fillId="0" borderId="40" xfId="0" quotePrefix="1" applyNumberFormat="1" applyFont="1" applyFill="1" applyBorder="1" applyAlignment="1" applyProtection="1">
      <alignment horizontal="center"/>
      <protection locked="0"/>
    </xf>
    <xf numFmtId="0" fontId="3" fillId="0" borderId="40" xfId="0" applyFont="1" applyFill="1" applyBorder="1" applyAlignment="1" applyProtection="1">
      <alignment horizontal="left"/>
      <protection locked="0"/>
    </xf>
    <xf numFmtId="0" fontId="3" fillId="0" borderId="41" xfId="0" applyFont="1" applyFill="1" applyBorder="1" applyAlignment="1" applyProtection="1">
      <alignment horizontal="left"/>
      <protection locked="0"/>
    </xf>
    <xf numFmtId="0" fontId="3" fillId="0" borderId="40" xfId="0" applyFont="1" applyFill="1" applyBorder="1" applyAlignment="1">
      <alignment horizontal="left"/>
    </xf>
    <xf numFmtId="167" fontId="3" fillId="0" borderId="3" xfId="0" applyNumberFormat="1" applyFont="1" applyFill="1" applyBorder="1" applyAlignment="1" applyProtection="1">
      <alignment horizontal="center" wrapText="1"/>
      <protection locked="0"/>
    </xf>
    <xf numFmtId="0" fontId="3" fillId="0" borderId="3" xfId="0" applyNumberFormat="1" applyFont="1" applyFill="1" applyBorder="1" applyAlignment="1" applyProtection="1">
      <alignment horizontal="center" wrapText="1"/>
      <protection locked="0"/>
    </xf>
    <xf numFmtId="0" fontId="3" fillId="0" borderId="3" xfId="0" applyFont="1" applyFill="1" applyBorder="1" applyAlignment="1" applyProtection="1">
      <alignment horizontal="center"/>
      <protection locked="0"/>
    </xf>
    <xf numFmtId="168" fontId="3" fillId="0" borderId="3" xfId="0" applyNumberFormat="1" applyFont="1" applyFill="1" applyBorder="1" applyAlignment="1" applyProtection="1">
      <alignment horizontal="center"/>
      <protection locked="0"/>
    </xf>
    <xf numFmtId="20" fontId="3" fillId="0" borderId="3" xfId="0" applyNumberFormat="1" applyFont="1" applyFill="1" applyBorder="1" applyAlignment="1" applyProtection="1">
      <alignment horizontal="center"/>
      <protection locked="0"/>
    </xf>
    <xf numFmtId="49" fontId="3" fillId="0" borderId="3" xfId="0" quotePrefix="1" applyNumberFormat="1" applyFont="1" applyFill="1" applyBorder="1" applyAlignment="1" applyProtection="1">
      <alignment horizontal="center"/>
      <protection locked="0"/>
    </xf>
    <xf numFmtId="0" fontId="3" fillId="0" borderId="3" xfId="0" applyFont="1" applyFill="1" applyBorder="1" applyAlignment="1" applyProtection="1">
      <alignment horizontal="left"/>
      <protection locked="0"/>
    </xf>
    <xf numFmtId="0" fontId="3" fillId="0" borderId="7" xfId="0" applyFont="1" applyFill="1" applyBorder="1" applyAlignment="1" applyProtection="1">
      <alignment horizontal="left"/>
      <protection locked="0"/>
    </xf>
    <xf numFmtId="0" fontId="3" fillId="0" borderId="3" xfId="0" applyFont="1" applyFill="1" applyBorder="1" applyAlignment="1">
      <alignment horizontal="left"/>
    </xf>
    <xf numFmtId="0" fontId="0" fillId="0" borderId="23" xfId="0" applyNumberFormat="1" applyBorder="1"/>
    <xf numFmtId="0" fontId="0" fillId="0" borderId="33" xfId="0" applyNumberFormat="1" applyBorder="1"/>
    <xf numFmtId="167" fontId="3" fillId="0" borderId="45" xfId="0" applyNumberFormat="1" applyFont="1" applyFill="1" applyBorder="1" applyAlignment="1" applyProtection="1">
      <alignment horizontal="center" wrapText="1"/>
      <protection locked="0"/>
    </xf>
    <xf numFmtId="0" fontId="3" fillId="0" borderId="45" xfId="0" applyNumberFormat="1" applyFont="1" applyFill="1" applyBorder="1" applyAlignment="1" applyProtection="1">
      <alignment horizontal="center" wrapText="1"/>
      <protection locked="0"/>
    </xf>
    <xf numFmtId="0" fontId="3" fillId="0" borderId="45" xfId="0" applyFont="1" applyFill="1" applyBorder="1" applyAlignment="1" applyProtection="1">
      <alignment horizontal="center"/>
      <protection locked="0"/>
    </xf>
    <xf numFmtId="168" fontId="3" fillId="0" borderId="45" xfId="0" applyNumberFormat="1" applyFont="1" applyFill="1" applyBorder="1" applyAlignment="1" applyProtection="1">
      <alignment horizontal="center"/>
      <protection locked="0"/>
    </xf>
    <xf numFmtId="20" fontId="3" fillId="0" borderId="45" xfId="0" applyNumberFormat="1" applyFont="1" applyFill="1" applyBorder="1" applyAlignment="1" applyProtection="1">
      <alignment horizontal="center"/>
      <protection locked="0"/>
    </xf>
    <xf numFmtId="49" fontId="3" fillId="0" borderId="45" xfId="0" quotePrefix="1" applyNumberFormat="1" applyFont="1" applyFill="1" applyBorder="1" applyAlignment="1" applyProtection="1">
      <alignment horizontal="center"/>
      <protection locked="0"/>
    </xf>
    <xf numFmtId="0" fontId="3" fillId="0" borderId="45" xfId="0" applyFont="1" applyFill="1" applyBorder="1" applyAlignment="1" applyProtection="1">
      <alignment horizontal="left"/>
      <protection locked="0"/>
    </xf>
    <xf numFmtId="0" fontId="3" fillId="0" borderId="46" xfId="0" applyFont="1" applyFill="1" applyBorder="1" applyAlignment="1" applyProtection="1">
      <alignment horizontal="left"/>
      <protection locked="0"/>
    </xf>
    <xf numFmtId="167" fontId="3" fillId="0" borderId="4" xfId="0" applyNumberFormat="1" applyFont="1" applyFill="1" applyBorder="1" applyAlignment="1" applyProtection="1">
      <alignment horizontal="center" wrapText="1"/>
      <protection locked="0"/>
    </xf>
    <xf numFmtId="0" fontId="3" fillId="0" borderId="4" xfId="0" applyNumberFormat="1" applyFont="1" applyFill="1" applyBorder="1" applyAlignment="1" applyProtection="1">
      <alignment horizontal="center" wrapText="1"/>
      <protection locked="0"/>
    </xf>
    <xf numFmtId="0" fontId="3" fillId="0" borderId="4" xfId="0" applyFont="1" applyFill="1" applyBorder="1" applyAlignment="1" applyProtection="1">
      <alignment horizontal="center"/>
      <protection locked="0"/>
    </xf>
    <xf numFmtId="168" fontId="3" fillId="0" borderId="4" xfId="0" applyNumberFormat="1" applyFont="1" applyFill="1" applyBorder="1" applyAlignment="1" applyProtection="1">
      <alignment horizontal="center"/>
      <protection locked="0"/>
    </xf>
    <xf numFmtId="20" fontId="3" fillId="0" borderId="4" xfId="0" applyNumberFormat="1" applyFont="1" applyFill="1" applyBorder="1" applyAlignment="1" applyProtection="1">
      <alignment horizontal="center"/>
      <protection locked="0"/>
    </xf>
    <xf numFmtId="49" fontId="3" fillId="0" borderId="4" xfId="0" quotePrefix="1" applyNumberFormat="1"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3" fillId="0" borderId="4" xfId="0" applyFont="1" applyFill="1" applyBorder="1" applyAlignment="1">
      <alignment horizontal="left"/>
    </xf>
    <xf numFmtId="0" fontId="3" fillId="8" borderId="0" xfId="0" applyFont="1" applyFill="1" applyAlignment="1">
      <alignment horizontal="left"/>
    </xf>
    <xf numFmtId="0" fontId="0" fillId="0" borderId="44" xfId="0" applyBorder="1"/>
    <xf numFmtId="0" fontId="3" fillId="0" borderId="48" xfId="0" applyFont="1" applyFill="1" applyBorder="1" applyAlignment="1" applyProtection="1">
      <alignment horizontal="left"/>
      <protection locked="0"/>
    </xf>
    <xf numFmtId="0" fontId="3" fillId="0" borderId="20" xfId="0" applyFont="1" applyFill="1" applyBorder="1" applyAlignment="1" applyProtection="1">
      <alignment horizontal="left"/>
      <protection locked="0"/>
    </xf>
    <xf numFmtId="0" fontId="3" fillId="0" borderId="45" xfId="0" applyFont="1" applyFill="1" applyBorder="1" applyAlignment="1">
      <alignment horizontal="left"/>
    </xf>
    <xf numFmtId="0" fontId="3" fillId="0" borderId="50" xfId="0" applyFont="1" applyFill="1" applyBorder="1" applyAlignment="1" applyProtection="1">
      <alignment horizontal="left"/>
      <protection locked="0"/>
    </xf>
    <xf numFmtId="0" fontId="3" fillId="0" borderId="51" xfId="0" applyFont="1" applyFill="1" applyBorder="1" applyAlignment="1" applyProtection="1">
      <alignment horizontal="left"/>
      <protection locked="0"/>
    </xf>
    <xf numFmtId="167" fontId="3" fillId="0" borderId="3" xfId="0" applyNumberFormat="1" applyFont="1" applyFill="1" applyBorder="1" applyAlignment="1" applyProtection="1">
      <alignment horizontal="right" wrapText="1"/>
      <protection locked="0"/>
    </xf>
    <xf numFmtId="0" fontId="3" fillId="0" borderId="3" xfId="0" applyNumberFormat="1" applyFont="1" applyFill="1" applyBorder="1" applyAlignment="1" applyProtection="1">
      <alignment horizontal="right" wrapText="1"/>
      <protection locked="0"/>
    </xf>
    <xf numFmtId="0" fontId="3" fillId="0" borderId="0" xfId="0" applyNumberFormat="1" applyFont="1" applyFill="1" applyBorder="1" applyAlignment="1" applyProtection="1">
      <alignment horizontal="right" wrapText="1"/>
      <protection locked="0"/>
    </xf>
    <xf numFmtId="0" fontId="3" fillId="0" borderId="3" xfId="0" applyFont="1" applyFill="1" applyBorder="1" applyAlignment="1" applyProtection="1">
      <alignment horizontal="right"/>
      <protection locked="0"/>
    </xf>
    <xf numFmtId="168" fontId="3" fillId="0" borderId="3" xfId="0" applyNumberFormat="1" applyFont="1" applyFill="1" applyBorder="1" applyAlignment="1" applyProtection="1">
      <alignment horizontal="right" wrapText="1"/>
      <protection locked="0"/>
    </xf>
    <xf numFmtId="0" fontId="3" fillId="0" borderId="0" xfId="0" applyFont="1" applyFill="1" applyAlignment="1">
      <alignment horizontal="left"/>
    </xf>
    <xf numFmtId="20" fontId="3" fillId="0" borderId="0" xfId="0" applyNumberFormat="1" applyFont="1" applyFill="1" applyBorder="1" applyAlignment="1" applyProtection="1">
      <alignment horizontal="right"/>
      <protection locked="0"/>
    </xf>
    <xf numFmtId="165" fontId="36" fillId="0" borderId="39" xfId="2" applyNumberFormat="1" applyFont="1" applyFill="1" applyBorder="1"/>
    <xf numFmtId="168" fontId="3" fillId="0" borderId="3" xfId="0" quotePrefix="1" applyNumberFormat="1" applyFont="1" applyFill="1" applyBorder="1" applyAlignment="1" applyProtection="1">
      <alignment horizontal="center"/>
      <protection locked="0"/>
    </xf>
    <xf numFmtId="20" fontId="3" fillId="0" borderId="3" xfId="0" quotePrefix="1" applyNumberFormat="1" applyFont="1" applyFill="1" applyBorder="1" applyAlignment="1" applyProtection="1">
      <alignment horizontal="center"/>
      <protection locked="0"/>
    </xf>
    <xf numFmtId="49" fontId="3" fillId="0" borderId="45" xfId="0" applyNumberFormat="1" applyFont="1" applyFill="1" applyBorder="1" applyAlignment="1" applyProtection="1">
      <alignment horizontal="center"/>
      <protection locked="0"/>
    </xf>
    <xf numFmtId="0" fontId="16" fillId="0" borderId="21" xfId="0" applyFont="1" applyFill="1" applyBorder="1"/>
    <xf numFmtId="0" fontId="16" fillId="0" borderId="0" xfId="0" applyFont="1" applyAlignment="1">
      <alignment horizontal="center"/>
    </xf>
    <xf numFmtId="0" fontId="16" fillId="0" borderId="0" xfId="0" quotePrefix="1" applyFont="1" applyAlignment="1">
      <alignment horizontal="center"/>
    </xf>
    <xf numFmtId="0" fontId="16" fillId="0" borderId="3" xfId="0" quotePrefix="1" applyFont="1" applyBorder="1" applyAlignment="1">
      <alignment horizontal="center"/>
    </xf>
    <xf numFmtId="0" fontId="16" fillId="0" borderId="0" xfId="0" applyFont="1" applyFill="1" applyAlignment="1">
      <alignment horizontal="center"/>
    </xf>
    <xf numFmtId="0" fontId="16" fillId="0" borderId="21" xfId="0" applyFont="1" applyFill="1" applyBorder="1" applyAlignment="1">
      <alignment horizontal="center"/>
    </xf>
    <xf numFmtId="0" fontId="16" fillId="0" borderId="3" xfId="0" applyFont="1" applyBorder="1" applyAlignment="1">
      <alignment horizontal="center"/>
    </xf>
    <xf numFmtId="1" fontId="16" fillId="0" borderId="0" xfId="0" applyNumberFormat="1" applyFont="1" applyAlignment="1">
      <alignment horizontal="center"/>
    </xf>
    <xf numFmtId="1" fontId="16" fillId="0" borderId="3" xfId="0" applyNumberFormat="1" applyFont="1" applyBorder="1" applyAlignment="1">
      <alignment horizontal="center"/>
    </xf>
    <xf numFmtId="173" fontId="16" fillId="0" borderId="0" xfId="385" applyNumberFormat="1" applyFont="1" applyAlignment="1">
      <alignment horizontal="center"/>
    </xf>
    <xf numFmtId="173" fontId="16" fillId="0" borderId="3" xfId="385" applyNumberFormat="1" applyFont="1" applyBorder="1" applyAlignment="1">
      <alignment horizontal="center"/>
    </xf>
    <xf numFmtId="49" fontId="3" fillId="0" borderId="3" xfId="0" applyNumberFormat="1" applyFont="1" applyFill="1" applyBorder="1" applyAlignment="1" applyProtection="1">
      <alignment horizontal="center"/>
      <protection locked="0"/>
    </xf>
    <xf numFmtId="1" fontId="3" fillId="0" borderId="3" xfId="0" applyNumberFormat="1" applyFont="1" applyFill="1" applyBorder="1" applyAlignment="1" applyProtection="1">
      <alignment horizontal="center"/>
      <protection locked="0"/>
    </xf>
    <xf numFmtId="0" fontId="3" fillId="0" borderId="52" xfId="0" applyFont="1" applyFill="1" applyBorder="1" applyAlignment="1">
      <alignment horizontal="left"/>
    </xf>
    <xf numFmtId="0" fontId="3" fillId="0" borderId="53" xfId="0" applyFont="1" applyFill="1" applyBorder="1" applyAlignment="1">
      <alignment horizontal="left"/>
    </xf>
    <xf numFmtId="0" fontId="3" fillId="0" borderId="16" xfId="0" applyFont="1" applyFill="1" applyBorder="1" applyAlignment="1">
      <alignment horizontal="left"/>
    </xf>
    <xf numFmtId="0" fontId="3" fillId="0" borderId="0" xfId="0" applyFont="1" applyFill="1" applyBorder="1" applyAlignment="1">
      <alignment horizontal="left" wrapText="1"/>
    </xf>
    <xf numFmtId="0" fontId="0" fillId="0" borderId="3" xfId="0" applyFill="1" applyBorder="1" applyAlignment="1">
      <alignment horizontal="center"/>
    </xf>
    <xf numFmtId="0" fontId="3" fillId="0" borderId="3" xfId="0" applyFont="1" applyFill="1" applyBorder="1" applyAlignment="1">
      <alignment horizontal="left" wrapText="1"/>
    </xf>
    <xf numFmtId="164" fontId="3" fillId="0" borderId="0" xfId="0" applyNumberFormat="1" applyFont="1" applyAlignment="1">
      <alignment horizontal="left"/>
    </xf>
    <xf numFmtId="164" fontId="3" fillId="0" borderId="0" xfId="0" applyNumberFormat="1" applyFont="1" applyFill="1" applyAlignment="1">
      <alignment horizontal="left"/>
    </xf>
    <xf numFmtId="49" fontId="3" fillId="0" borderId="8" xfId="1" applyNumberFormat="1" applyFont="1" applyFill="1" applyBorder="1" applyAlignment="1">
      <alignment horizontal="left" wrapText="1"/>
    </xf>
    <xf numFmtId="49" fontId="3" fillId="0" borderId="18" xfId="0" applyNumberFormat="1" applyFont="1" applyFill="1" applyBorder="1" applyAlignment="1">
      <alignment horizontal="left" wrapText="1"/>
    </xf>
    <xf numFmtId="167" fontId="3" fillId="0" borderId="0" xfId="0" applyNumberFormat="1" applyFont="1" applyFill="1" applyBorder="1" applyAlignment="1">
      <alignment horizontal="left" wrapText="1"/>
    </xf>
    <xf numFmtId="168" fontId="3" fillId="0" borderId="0" xfId="0" applyNumberFormat="1" applyFont="1" applyFill="1" applyBorder="1" applyAlignment="1">
      <alignment horizontal="left"/>
    </xf>
    <xf numFmtId="20" fontId="3" fillId="0" borderId="0" xfId="0" applyNumberFormat="1" applyFont="1" applyFill="1" applyBorder="1" applyAlignment="1">
      <alignment horizontal="left"/>
    </xf>
    <xf numFmtId="49" fontId="3" fillId="0" borderId="0" xfId="0" quotePrefix="1" applyNumberFormat="1" applyFont="1" applyFill="1" applyBorder="1" applyAlignment="1">
      <alignment horizontal="left"/>
    </xf>
    <xf numFmtId="0" fontId="0" fillId="0" borderId="0" xfId="0" applyFill="1" applyBorder="1" applyAlignment="1">
      <alignment horizontal="left"/>
    </xf>
    <xf numFmtId="167" fontId="3" fillId="0" borderId="3" xfId="0" applyNumberFormat="1" applyFont="1" applyFill="1" applyBorder="1" applyAlignment="1">
      <alignment horizontal="left" wrapText="1"/>
    </xf>
    <xf numFmtId="168" fontId="3" fillId="0" borderId="3" xfId="0" applyNumberFormat="1" applyFont="1" applyFill="1" applyBorder="1" applyAlignment="1">
      <alignment horizontal="left"/>
    </xf>
    <xf numFmtId="20" fontId="3" fillId="0" borderId="3" xfId="0" applyNumberFormat="1" applyFont="1" applyFill="1" applyBorder="1" applyAlignment="1">
      <alignment horizontal="left"/>
    </xf>
    <xf numFmtId="49" fontId="3" fillId="0" borderId="3" xfId="0" quotePrefix="1" applyNumberFormat="1" applyFont="1" applyFill="1" applyBorder="1" applyAlignment="1">
      <alignment horizontal="left"/>
    </xf>
    <xf numFmtId="0" fontId="0" fillId="0" borderId="3" xfId="0" applyFill="1" applyBorder="1" applyAlignment="1">
      <alignment horizontal="left"/>
    </xf>
    <xf numFmtId="0" fontId="3" fillId="0" borderId="10" xfId="0" applyFont="1" applyFill="1" applyBorder="1" applyAlignment="1" applyProtection="1">
      <alignment horizontal="left"/>
    </xf>
    <xf numFmtId="0" fontId="3" fillId="0" borderId="7" xfId="0" applyFont="1" applyFill="1" applyBorder="1" applyAlignment="1">
      <alignment horizontal="left"/>
    </xf>
    <xf numFmtId="0" fontId="0" fillId="0" borderId="0" xfId="0" applyFill="1" applyBorder="1" applyAlignment="1" applyProtection="1">
      <alignment horizontal="left" wrapText="1"/>
    </xf>
    <xf numFmtId="0" fontId="3" fillId="0" borderId="10" xfId="0" applyFont="1" applyFill="1" applyBorder="1" applyAlignment="1">
      <alignment horizontal="left"/>
    </xf>
    <xf numFmtId="0" fontId="0" fillId="0" borderId="0" xfId="0" applyFill="1" applyBorder="1" applyAlignment="1">
      <alignment horizontal="left" wrapText="1"/>
    </xf>
    <xf numFmtId="0" fontId="3" fillId="0" borderId="0" xfId="0" applyFont="1" applyFill="1" applyBorder="1" applyAlignment="1" applyProtection="1">
      <alignment horizontal="left" wrapText="1"/>
    </xf>
    <xf numFmtId="0" fontId="3" fillId="0" borderId="3" xfId="0" applyFont="1" applyFill="1" applyBorder="1" applyAlignment="1" applyProtection="1">
      <alignment horizontal="left"/>
    </xf>
    <xf numFmtId="168" fontId="3" fillId="0" borderId="0" xfId="0" applyNumberFormat="1" applyFont="1" applyFill="1" applyBorder="1" applyAlignment="1" applyProtection="1">
      <alignment horizontal="left"/>
    </xf>
    <xf numFmtId="20" fontId="3" fillId="0" borderId="0" xfId="0" applyNumberFormat="1" applyFont="1" applyFill="1" applyBorder="1" applyAlignment="1" applyProtection="1">
      <alignment horizontal="left"/>
    </xf>
    <xf numFmtId="49" fontId="3" fillId="0" borderId="0" xfId="0" applyNumberFormat="1" applyFont="1" applyFill="1" applyBorder="1" applyAlignment="1">
      <alignment horizontal="left"/>
    </xf>
    <xf numFmtId="168" fontId="3" fillId="0" borderId="0" xfId="0" quotePrefix="1" applyNumberFormat="1" applyFont="1" applyFill="1" applyBorder="1" applyAlignment="1">
      <alignment horizontal="left"/>
    </xf>
    <xf numFmtId="0" fontId="0" fillId="0" borderId="10" xfId="0" applyFill="1" applyBorder="1" applyAlignment="1">
      <alignment horizontal="left"/>
    </xf>
    <xf numFmtId="49" fontId="3" fillId="0" borderId="3" xfId="0" applyNumberFormat="1" applyFont="1" applyFill="1" applyBorder="1" applyAlignment="1">
      <alignment horizontal="left"/>
    </xf>
    <xf numFmtId="0" fontId="0" fillId="0" borderId="3" xfId="0" applyFill="1" applyBorder="1" applyAlignment="1">
      <alignment horizontal="left" wrapText="1"/>
    </xf>
    <xf numFmtId="0" fontId="3" fillId="0" borderId="45" xfId="0" applyFont="1" applyFill="1" applyBorder="1" applyAlignment="1" applyProtection="1">
      <alignment horizontal="left"/>
    </xf>
    <xf numFmtId="168" fontId="3" fillId="0" borderId="45" xfId="0" applyNumberFormat="1" applyFont="1" applyFill="1" applyBorder="1" applyAlignment="1">
      <alignment horizontal="left"/>
    </xf>
    <xf numFmtId="20" fontId="3" fillId="0" borderId="45" xfId="0" applyNumberFormat="1" applyFont="1" applyFill="1" applyBorder="1" applyAlignment="1" applyProtection="1">
      <alignment horizontal="left"/>
    </xf>
    <xf numFmtId="49" fontId="3" fillId="0" borderId="45" xfId="0" applyNumberFormat="1" applyFont="1" applyFill="1" applyBorder="1" applyAlignment="1">
      <alignment horizontal="left"/>
    </xf>
    <xf numFmtId="0" fontId="0" fillId="0" borderId="45" xfId="0" applyFill="1" applyBorder="1" applyAlignment="1">
      <alignment horizontal="left"/>
    </xf>
    <xf numFmtId="0" fontId="0" fillId="0" borderId="45" xfId="0" applyFill="1" applyBorder="1" applyAlignment="1">
      <alignment horizontal="left" wrapText="1"/>
    </xf>
    <xf numFmtId="20" fontId="3" fillId="0" borderId="3" xfId="0" applyNumberFormat="1" applyFont="1" applyFill="1" applyBorder="1" applyAlignment="1" applyProtection="1">
      <alignment horizontal="left"/>
    </xf>
    <xf numFmtId="0" fontId="3" fillId="0" borderId="16" xfId="0" applyFont="1" applyFill="1" applyBorder="1" applyAlignment="1" applyProtection="1">
      <alignment horizontal="left"/>
      <protection locked="0"/>
    </xf>
    <xf numFmtId="0" fontId="3" fillId="0" borderId="45" xfId="0" applyFont="1" applyFill="1" applyBorder="1" applyAlignment="1">
      <alignment horizontal="left" wrapText="1"/>
    </xf>
    <xf numFmtId="20" fontId="3" fillId="0" borderId="45" xfId="0" applyNumberFormat="1" applyFont="1" applyFill="1" applyBorder="1" applyAlignment="1">
      <alignment horizontal="left"/>
    </xf>
    <xf numFmtId="49" fontId="3" fillId="0" borderId="45" xfId="0" quotePrefix="1" applyNumberFormat="1" applyFont="1" applyFill="1" applyBorder="1" applyAlignment="1">
      <alignment horizontal="left"/>
    </xf>
    <xf numFmtId="0" fontId="6" fillId="0" borderId="3" xfId="0" applyFont="1" applyFill="1" applyBorder="1" applyAlignment="1">
      <alignment horizontal="left" wrapText="1"/>
    </xf>
    <xf numFmtId="49" fontId="3" fillId="0" borderId="4" xfId="0" applyNumberFormat="1" applyFont="1" applyFill="1" applyBorder="1" applyAlignment="1" applyProtection="1">
      <alignment horizontal="center"/>
      <protection locked="0"/>
    </xf>
    <xf numFmtId="0" fontId="3" fillId="0" borderId="53" xfId="0" applyFont="1" applyFill="1" applyBorder="1" applyAlignment="1" applyProtection="1">
      <alignment horizontal="left"/>
      <protection locked="0"/>
    </xf>
    <xf numFmtId="0" fontId="3" fillId="0" borderId="52" xfId="0" applyFont="1" applyFill="1" applyBorder="1" applyAlignment="1" applyProtection="1">
      <alignment horizontal="left"/>
      <protection locked="0"/>
    </xf>
    <xf numFmtId="2" fontId="3" fillId="0" borderId="0" xfId="0" applyNumberFormat="1" applyFont="1" applyFill="1" applyBorder="1" applyAlignment="1" applyProtection="1">
      <alignment horizontal="right" wrapText="1"/>
      <protection locked="0"/>
    </xf>
    <xf numFmtId="174" fontId="3" fillId="0" borderId="0" xfId="0" applyNumberFormat="1" applyFont="1"/>
    <xf numFmtId="174" fontId="3" fillId="0" borderId="0" xfId="0" applyNumberFormat="1" applyFont="1" applyBorder="1" applyAlignment="1" applyProtection="1">
      <alignment horizontal="right" wrapText="1"/>
      <protection locked="0"/>
    </xf>
    <xf numFmtId="174" fontId="3" fillId="0" borderId="0" xfId="0" applyNumberFormat="1" applyFont="1" applyFill="1" applyBorder="1" applyAlignment="1" applyProtection="1">
      <alignment horizontal="right" wrapText="1"/>
      <protection locked="0"/>
    </xf>
    <xf numFmtId="174" fontId="0" fillId="0" borderId="0" xfId="0" applyNumberFormat="1"/>
    <xf numFmtId="0" fontId="0" fillId="0" borderId="3" xfId="0" applyFont="1" applyFill="1" applyBorder="1" applyAlignment="1" applyProtection="1">
      <alignment horizontal="left"/>
      <protection locked="0"/>
    </xf>
    <xf numFmtId="0" fontId="0" fillId="0" borderId="3" xfId="0" applyFont="1" applyFill="1" applyBorder="1" applyAlignment="1" applyProtection="1">
      <alignment horizontal="center"/>
      <protection locked="0"/>
    </xf>
    <xf numFmtId="168" fontId="0" fillId="0" borderId="3" xfId="0" applyNumberFormat="1" applyFont="1" applyFill="1" applyBorder="1" applyAlignment="1" applyProtection="1">
      <alignment horizontal="center"/>
      <protection locked="0"/>
    </xf>
    <xf numFmtId="49" fontId="0" fillId="0" borderId="3" xfId="0" quotePrefix="1" applyNumberFormat="1" applyFont="1" applyFill="1" applyBorder="1" applyAlignment="1" applyProtection="1">
      <alignment horizontal="center"/>
      <protection locked="0"/>
    </xf>
    <xf numFmtId="0" fontId="0" fillId="0" borderId="3" xfId="0" applyFill="1" applyBorder="1" applyAlignment="1" applyProtection="1">
      <alignment horizontal="left"/>
      <protection locked="0"/>
    </xf>
    <xf numFmtId="0" fontId="0" fillId="0" borderId="7" xfId="0" applyFont="1" applyFill="1" applyBorder="1" applyAlignment="1" applyProtection="1">
      <alignment horizontal="left"/>
      <protection locked="0"/>
    </xf>
    <xf numFmtId="1" fontId="0" fillId="9" borderId="0" xfId="0" applyNumberFormat="1" applyFill="1" applyAlignment="1">
      <alignment horizontal="left"/>
    </xf>
    <xf numFmtId="1" fontId="0" fillId="10" borderId="0" xfId="0" applyNumberFormat="1" applyFill="1" applyAlignment="1">
      <alignment horizontal="left"/>
    </xf>
    <xf numFmtId="1" fontId="0" fillId="11" borderId="0" xfId="0" applyNumberFormat="1" applyFill="1" applyAlignment="1">
      <alignment horizontal="left"/>
    </xf>
    <xf numFmtId="0" fontId="0" fillId="0" borderId="45" xfId="0" applyFont="1" applyFill="1" applyBorder="1" applyAlignment="1" applyProtection="1">
      <alignment horizontal="center"/>
      <protection locked="0"/>
    </xf>
    <xf numFmtId="168" fontId="0" fillId="0" borderId="45" xfId="0" applyNumberFormat="1" applyFont="1" applyFill="1" applyBorder="1" applyAlignment="1" applyProtection="1">
      <alignment horizontal="center"/>
      <protection locked="0"/>
    </xf>
    <xf numFmtId="0" fontId="0" fillId="0" borderId="45" xfId="0" applyFont="1" applyFill="1" applyBorder="1" applyAlignment="1" applyProtection="1">
      <alignment horizontal="left"/>
      <protection locked="0"/>
    </xf>
    <xf numFmtId="0" fontId="0" fillId="0" borderId="46" xfId="0" applyFont="1" applyFill="1" applyBorder="1" applyAlignment="1" applyProtection="1">
      <alignment horizontal="left"/>
      <protection locked="0"/>
    </xf>
    <xf numFmtId="0" fontId="19" fillId="3" borderId="0" xfId="2" applyFont="1" applyFill="1"/>
    <xf numFmtId="165" fontId="36" fillId="3" borderId="13" xfId="2" applyNumberFormat="1" applyFont="1" applyFill="1" applyBorder="1"/>
    <xf numFmtId="165" fontId="36" fillId="3" borderId="20" xfId="2" quotePrefix="1" applyNumberFormat="1" applyFont="1" applyFill="1" applyBorder="1" applyAlignment="1">
      <alignment textRotation="90"/>
    </xf>
    <xf numFmtId="1" fontId="36" fillId="3" borderId="13" xfId="2" applyNumberFormat="1" applyFont="1" applyFill="1" applyBorder="1"/>
    <xf numFmtId="165" fontId="38" fillId="3" borderId="13" xfId="2" applyNumberFormat="1" applyFont="1" applyFill="1" applyBorder="1"/>
    <xf numFmtId="165" fontId="39" fillId="3" borderId="13" xfId="2" applyNumberFormat="1" applyFont="1" applyFill="1" applyBorder="1"/>
    <xf numFmtId="9" fontId="9" fillId="0" borderId="0" xfId="385" applyFont="1" applyBorder="1"/>
    <xf numFmtId="49" fontId="3" fillId="0" borderId="13" xfId="0" applyNumberFormat="1" applyFont="1" applyFill="1" applyBorder="1" applyAlignment="1">
      <alignment horizontal="right"/>
    </xf>
    <xf numFmtId="0" fontId="7" fillId="0" borderId="0" xfId="0" applyFont="1" applyFill="1" applyBorder="1" applyAlignment="1">
      <alignment horizontal="right"/>
    </xf>
    <xf numFmtId="1" fontId="7" fillId="0" borderId="0" xfId="0" applyNumberFormat="1" applyFont="1" applyFill="1" applyBorder="1" applyAlignment="1">
      <alignment horizontal="right"/>
    </xf>
    <xf numFmtId="49" fontId="3" fillId="0" borderId="14" xfId="0" applyNumberFormat="1" applyFont="1" applyFill="1" applyBorder="1" applyAlignment="1">
      <alignment horizontal="right" wrapText="1"/>
    </xf>
    <xf numFmtId="49" fontId="3" fillId="0" borderId="14" xfId="0" applyNumberFormat="1" applyFont="1" applyFill="1" applyBorder="1" applyAlignment="1">
      <alignment horizontal="center"/>
    </xf>
    <xf numFmtId="49" fontId="3" fillId="0" borderId="14" xfId="0" applyNumberFormat="1" applyFont="1" applyFill="1" applyBorder="1" applyAlignment="1">
      <alignment horizontal="center" wrapText="1"/>
    </xf>
    <xf numFmtId="49" fontId="7" fillId="0" borderId="8" xfId="0" applyNumberFormat="1" applyFont="1" applyFill="1" applyBorder="1" applyAlignment="1">
      <alignment horizontal="right"/>
    </xf>
    <xf numFmtId="1" fontId="7" fillId="0" borderId="8" xfId="0" applyNumberFormat="1" applyFont="1" applyFill="1" applyBorder="1" applyAlignment="1">
      <alignment horizontal="right"/>
    </xf>
    <xf numFmtId="168" fontId="3" fillId="0" borderId="0" xfId="0" applyNumberFormat="1" applyFont="1" applyFill="1" applyAlignment="1" applyProtection="1">
      <alignment horizontal="right" wrapText="1"/>
      <protection locked="0"/>
    </xf>
    <xf numFmtId="1" fontId="3" fillId="0" borderId="0" xfId="0" applyNumberFormat="1" applyFont="1" applyFill="1" applyAlignment="1" applyProtection="1">
      <alignment horizontal="right" wrapText="1"/>
      <protection locked="0"/>
    </xf>
    <xf numFmtId="165" fontId="3" fillId="0" borderId="0" xfId="0" applyNumberFormat="1" applyFont="1" applyFill="1" applyAlignment="1" applyProtection="1">
      <alignment horizontal="right" wrapText="1"/>
      <protection locked="0"/>
    </xf>
    <xf numFmtId="0" fontId="3" fillId="0" borderId="13" xfId="0" applyNumberFormat="1" applyFont="1" applyFill="1" applyBorder="1" applyAlignment="1">
      <alignment horizontal="right" wrapText="1"/>
    </xf>
    <xf numFmtId="0" fontId="3" fillId="0" borderId="13" xfId="0" applyFont="1" applyFill="1" applyBorder="1" applyAlignment="1" applyProtection="1">
      <alignment horizontal="center"/>
      <protection locked="0"/>
    </xf>
    <xf numFmtId="0" fontId="3" fillId="0" borderId="13" xfId="0" applyFont="1" applyFill="1" applyBorder="1" applyAlignment="1">
      <alignment horizontal="center"/>
    </xf>
    <xf numFmtId="0" fontId="3" fillId="0" borderId="6" xfId="0" applyNumberFormat="1" applyFont="1" applyFill="1" applyBorder="1" applyAlignment="1" applyProtection="1">
      <alignment horizontal="center" wrapText="1"/>
      <protection locked="0"/>
    </xf>
    <xf numFmtId="1" fontId="3" fillId="0" borderId="0" xfId="0" applyNumberFormat="1" applyFont="1" applyFill="1" applyBorder="1" applyAlignment="1" applyProtection="1">
      <alignment horizontal="center" wrapText="1"/>
      <protection locked="0"/>
    </xf>
    <xf numFmtId="1" fontId="3" fillId="0" borderId="13" xfId="0" applyNumberFormat="1" applyFont="1" applyFill="1" applyBorder="1" applyAlignment="1">
      <alignment horizontal="center"/>
    </xf>
    <xf numFmtId="49" fontId="3" fillId="0" borderId="13" xfId="0" applyNumberFormat="1" applyFont="1" applyFill="1" applyBorder="1" applyAlignment="1" applyProtection="1">
      <alignment horizontal="left"/>
      <protection locked="0"/>
    </xf>
    <xf numFmtId="0" fontId="7" fillId="0" borderId="0" xfId="0" applyNumberFormat="1" applyFont="1" applyFill="1" applyBorder="1" applyAlignment="1">
      <alignment horizontal="right" wrapText="1"/>
    </xf>
    <xf numFmtId="1" fontId="3" fillId="0" borderId="3" xfId="0" applyNumberFormat="1" applyFont="1" applyFill="1" applyBorder="1" applyAlignment="1" applyProtection="1">
      <alignment horizontal="right" wrapText="1"/>
      <protection locked="0"/>
    </xf>
    <xf numFmtId="165" fontId="3" fillId="0" borderId="3" xfId="0" applyNumberFormat="1" applyFont="1" applyFill="1" applyBorder="1" applyAlignment="1" applyProtection="1">
      <alignment horizontal="right" wrapText="1"/>
      <protection locked="0"/>
    </xf>
    <xf numFmtId="2" fontId="3" fillId="0" borderId="3" xfId="0" applyNumberFormat="1" applyFont="1" applyFill="1" applyBorder="1" applyAlignment="1" applyProtection="1">
      <alignment horizontal="right" wrapText="1"/>
      <protection locked="0"/>
    </xf>
    <xf numFmtId="0" fontId="3" fillId="0" borderId="20" xfId="0" applyNumberFormat="1" applyFont="1" applyFill="1" applyBorder="1" applyAlignment="1">
      <alignment horizontal="right" wrapText="1"/>
    </xf>
    <xf numFmtId="0" fontId="3" fillId="0" borderId="20" xfId="0" applyFont="1" applyFill="1" applyBorder="1" applyAlignment="1" applyProtection="1">
      <alignment horizontal="center"/>
      <protection locked="0"/>
    </xf>
    <xf numFmtId="0" fontId="3" fillId="0" borderId="20" xfId="0" applyFont="1" applyFill="1" applyBorder="1" applyAlignment="1">
      <alignment horizontal="center"/>
    </xf>
    <xf numFmtId="0" fontId="3" fillId="0" borderId="7" xfId="0" applyFont="1" applyFill="1" applyBorder="1" applyAlignment="1" applyProtection="1">
      <alignment horizontal="center"/>
      <protection locked="0"/>
    </xf>
    <xf numFmtId="1" fontId="3" fillId="0" borderId="20" xfId="0" applyNumberFormat="1" applyFont="1" applyFill="1" applyBorder="1" applyAlignment="1">
      <alignment horizontal="center"/>
    </xf>
    <xf numFmtId="49" fontId="3" fillId="0" borderId="20" xfId="0" applyNumberFormat="1" applyFont="1" applyFill="1" applyBorder="1" applyAlignment="1" applyProtection="1">
      <alignment horizontal="left"/>
      <protection locked="0"/>
    </xf>
    <xf numFmtId="0" fontId="7" fillId="0" borderId="3" xfId="0" applyNumberFormat="1" applyFont="1" applyFill="1" applyBorder="1" applyAlignment="1">
      <alignment horizontal="right" wrapText="1"/>
    </xf>
    <xf numFmtId="1" fontId="3" fillId="0" borderId="0" xfId="0" applyNumberFormat="1" applyFont="1" applyFill="1" applyBorder="1" applyAlignment="1" applyProtection="1">
      <alignment horizontal="right" wrapText="1"/>
      <protection locked="0"/>
    </xf>
    <xf numFmtId="165" fontId="3" fillId="0" borderId="0" xfId="0" applyNumberFormat="1" applyFont="1" applyFill="1" applyBorder="1" applyAlignment="1" applyProtection="1">
      <alignment horizontal="right" wrapText="1"/>
      <protection locked="0"/>
    </xf>
    <xf numFmtId="1" fontId="3" fillId="0" borderId="0" xfId="0" applyNumberFormat="1" applyFont="1" applyFill="1" applyBorder="1" applyAlignment="1" applyProtection="1">
      <alignment horizontal="center"/>
      <protection locked="0"/>
    </xf>
    <xf numFmtId="167" fontId="3" fillId="0" borderId="45" xfId="0" applyNumberFormat="1" applyFont="1" applyFill="1" applyBorder="1" applyAlignment="1" applyProtection="1">
      <alignment horizontal="right" wrapText="1"/>
      <protection locked="0"/>
    </xf>
    <xf numFmtId="0" fontId="3" fillId="0" borderId="45" xfId="0" applyNumberFormat="1" applyFont="1" applyFill="1" applyBorder="1" applyAlignment="1" applyProtection="1">
      <alignment horizontal="right" wrapText="1"/>
      <protection locked="0"/>
    </xf>
    <xf numFmtId="0" fontId="3" fillId="0" borderId="45" xfId="0" applyFont="1" applyFill="1" applyBorder="1" applyAlignment="1" applyProtection="1">
      <alignment horizontal="right"/>
      <protection locked="0"/>
    </xf>
    <xf numFmtId="168" fontId="3" fillId="0" borderId="45" xfId="0" applyNumberFormat="1" applyFont="1" applyFill="1" applyBorder="1" applyAlignment="1" applyProtection="1">
      <alignment horizontal="right" wrapText="1"/>
      <protection locked="0"/>
    </xf>
    <xf numFmtId="1" fontId="3" fillId="0" borderId="45" xfId="0" applyNumberFormat="1" applyFont="1" applyFill="1" applyBorder="1" applyAlignment="1" applyProtection="1">
      <alignment horizontal="right" wrapText="1"/>
      <protection locked="0"/>
    </xf>
    <xf numFmtId="165" fontId="3" fillId="0" borderId="45" xfId="0" applyNumberFormat="1" applyFont="1" applyFill="1" applyBorder="1" applyAlignment="1" applyProtection="1">
      <alignment horizontal="right" wrapText="1"/>
      <protection locked="0"/>
    </xf>
    <xf numFmtId="2" fontId="3" fillId="0" borderId="45" xfId="0" applyNumberFormat="1" applyFont="1" applyFill="1" applyBorder="1" applyAlignment="1" applyProtection="1">
      <alignment horizontal="right" wrapText="1"/>
      <protection locked="0"/>
    </xf>
    <xf numFmtId="0" fontId="3" fillId="0" borderId="50" xfId="0" applyNumberFormat="1" applyFont="1" applyFill="1" applyBorder="1" applyAlignment="1">
      <alignment horizontal="right" wrapText="1"/>
    </xf>
    <xf numFmtId="0" fontId="3" fillId="0" borderId="50" xfId="0" applyFont="1" applyFill="1" applyBorder="1" applyAlignment="1" applyProtection="1">
      <alignment horizontal="center"/>
      <protection locked="0"/>
    </xf>
    <xf numFmtId="0" fontId="3" fillId="0" borderId="50" xfId="0" applyFont="1" applyFill="1" applyBorder="1" applyAlignment="1">
      <alignment horizontal="center"/>
    </xf>
    <xf numFmtId="0" fontId="3" fillId="0" borderId="46" xfId="0" applyFont="1" applyFill="1" applyBorder="1" applyAlignment="1" applyProtection="1">
      <alignment horizontal="center"/>
      <protection locked="0"/>
    </xf>
    <xf numFmtId="1" fontId="3" fillId="0" borderId="45" xfId="0" applyNumberFormat="1" applyFont="1" applyFill="1" applyBorder="1" applyAlignment="1" applyProtection="1">
      <alignment horizontal="center"/>
      <protection locked="0"/>
    </xf>
    <xf numFmtId="1" fontId="3" fillId="0" borderId="50" xfId="0" applyNumberFormat="1" applyFont="1" applyFill="1" applyBorder="1" applyAlignment="1">
      <alignment horizontal="center"/>
    </xf>
    <xf numFmtId="0" fontId="7" fillId="0" borderId="45" xfId="0" applyNumberFormat="1" applyFont="1" applyFill="1" applyBorder="1" applyAlignment="1">
      <alignment horizontal="right" wrapText="1"/>
    </xf>
    <xf numFmtId="167" fontId="3" fillId="0" borderId="4" xfId="0" applyNumberFormat="1" applyFont="1" applyFill="1" applyBorder="1" applyAlignment="1" applyProtection="1">
      <alignment horizontal="right" wrapText="1"/>
      <protection locked="0"/>
    </xf>
    <xf numFmtId="0" fontId="3" fillId="0" borderId="4" xfId="0" applyNumberFormat="1" applyFont="1" applyFill="1" applyBorder="1" applyAlignment="1" applyProtection="1">
      <alignment horizontal="right" wrapText="1"/>
      <protection locked="0"/>
    </xf>
    <xf numFmtId="0" fontId="3" fillId="0" borderId="4" xfId="0" applyFont="1" applyFill="1" applyBorder="1" applyAlignment="1" applyProtection="1">
      <alignment horizontal="right"/>
      <protection locked="0"/>
    </xf>
    <xf numFmtId="168" fontId="3" fillId="0" borderId="4" xfId="0" applyNumberFormat="1" applyFont="1" applyFill="1" applyBorder="1" applyAlignment="1" applyProtection="1">
      <alignment horizontal="right" wrapText="1"/>
      <protection locked="0"/>
    </xf>
    <xf numFmtId="1" fontId="3" fillId="0" borderId="4" xfId="0" applyNumberFormat="1" applyFont="1" applyFill="1" applyBorder="1" applyAlignment="1" applyProtection="1">
      <alignment horizontal="right" wrapText="1"/>
      <protection locked="0"/>
    </xf>
    <xf numFmtId="165" fontId="3" fillId="0" borderId="4" xfId="0" applyNumberFormat="1" applyFont="1" applyFill="1" applyBorder="1" applyAlignment="1" applyProtection="1">
      <alignment horizontal="right" wrapText="1"/>
      <protection locked="0"/>
    </xf>
    <xf numFmtId="2" fontId="3" fillId="0" borderId="4" xfId="0" applyNumberFormat="1" applyFont="1" applyFill="1" applyBorder="1" applyAlignment="1" applyProtection="1">
      <alignment horizontal="right" wrapText="1"/>
      <protection locked="0"/>
    </xf>
    <xf numFmtId="0" fontId="3" fillId="0" borderId="51" xfId="0" applyNumberFormat="1" applyFont="1" applyFill="1" applyBorder="1" applyAlignment="1">
      <alignment horizontal="right" wrapText="1"/>
    </xf>
    <xf numFmtId="0" fontId="3" fillId="0" borderId="51" xfId="0" applyFont="1" applyFill="1" applyBorder="1" applyAlignment="1" applyProtection="1">
      <alignment horizontal="center"/>
      <protection locked="0"/>
    </xf>
    <xf numFmtId="0" fontId="3" fillId="0" borderId="51" xfId="0" applyFont="1" applyFill="1" applyBorder="1" applyAlignment="1">
      <alignment horizontal="center"/>
    </xf>
    <xf numFmtId="0" fontId="3" fillId="0" borderId="48" xfId="0" applyFont="1" applyFill="1" applyBorder="1" applyAlignment="1" applyProtection="1">
      <alignment horizontal="center"/>
      <protection locked="0"/>
    </xf>
    <xf numFmtId="1" fontId="3" fillId="0" borderId="4" xfId="0" applyNumberFormat="1" applyFont="1" applyFill="1" applyBorder="1" applyAlignment="1" applyProtection="1">
      <alignment horizontal="center"/>
      <protection locked="0"/>
    </xf>
    <xf numFmtId="1" fontId="3" fillId="0" borderId="51" xfId="0" applyNumberFormat="1" applyFont="1" applyFill="1" applyBorder="1" applyAlignment="1">
      <alignment horizontal="center"/>
    </xf>
    <xf numFmtId="0" fontId="7" fillId="0" borderId="4" xfId="0" applyNumberFormat="1" applyFont="1" applyFill="1" applyBorder="1" applyAlignment="1">
      <alignment horizontal="right" wrapText="1"/>
    </xf>
    <xf numFmtId="0" fontId="3" fillId="0" borderId="13" xfId="0" applyNumberFormat="1" applyFont="1" applyFill="1" applyBorder="1" applyAlignment="1" applyProtection="1">
      <alignment horizontal="right" wrapText="1"/>
    </xf>
    <xf numFmtId="0" fontId="7" fillId="0" borderId="0" xfId="0" applyNumberFormat="1" applyFont="1" applyFill="1" applyBorder="1" applyAlignment="1" applyProtection="1">
      <alignment horizontal="right" wrapText="1"/>
    </xf>
    <xf numFmtId="0" fontId="3" fillId="0" borderId="0" xfId="0" applyNumberFormat="1" applyFont="1" applyFill="1" applyBorder="1" applyAlignment="1" applyProtection="1">
      <alignment horizontal="right"/>
      <protection locked="0"/>
    </xf>
    <xf numFmtId="165" fontId="3" fillId="0" borderId="0" xfId="0" applyNumberFormat="1" applyFont="1" applyFill="1" applyBorder="1" applyAlignment="1" applyProtection="1">
      <alignment horizontal="right"/>
      <protection locked="0"/>
    </xf>
    <xf numFmtId="0" fontId="7" fillId="0" borderId="0" xfId="0" applyNumberFormat="1" applyFont="1" applyFill="1" applyBorder="1" applyAlignment="1">
      <alignment horizontal="right"/>
    </xf>
    <xf numFmtId="0" fontId="3" fillId="0" borderId="6" xfId="0" applyFont="1" applyFill="1" applyBorder="1" applyAlignment="1" applyProtection="1">
      <alignment horizontal="center"/>
      <protection locked="0"/>
    </xf>
    <xf numFmtId="0" fontId="3" fillId="0" borderId="0" xfId="0" applyFont="1" applyFill="1" applyBorder="1" applyAlignment="1" applyProtection="1">
      <alignment horizontal="right" wrapText="1"/>
      <protection locked="0"/>
    </xf>
    <xf numFmtId="0" fontId="3" fillId="0" borderId="13" xfId="0" applyFont="1" applyFill="1" applyBorder="1" applyAlignment="1">
      <alignment horizontal="right"/>
    </xf>
    <xf numFmtId="0" fontId="3" fillId="0" borderId="6" xfId="0" applyFont="1" applyFill="1" applyBorder="1" applyAlignment="1">
      <alignment horizontal="center"/>
    </xf>
    <xf numFmtId="49" fontId="3" fillId="0" borderId="8" xfId="0" applyNumberFormat="1" applyFont="1" applyFill="1" applyBorder="1" applyAlignment="1">
      <alignment horizontal="center" wrapText="1"/>
    </xf>
    <xf numFmtId="49" fontId="3" fillId="0" borderId="26" xfId="0" applyNumberFormat="1" applyFont="1" applyFill="1" applyBorder="1" applyAlignment="1">
      <alignment horizontal="center" wrapText="1"/>
    </xf>
    <xf numFmtId="164" fontId="3" fillId="0" borderId="18" xfId="0" applyNumberFormat="1" applyFont="1" applyFill="1" applyBorder="1" applyAlignment="1">
      <alignment horizontal="center" wrapText="1"/>
    </xf>
    <xf numFmtId="0" fontId="3" fillId="0" borderId="40" xfId="0" applyFont="1" applyFill="1" applyBorder="1" applyAlignment="1">
      <alignment horizontal="center"/>
    </xf>
    <xf numFmtId="171" fontId="3" fillId="0" borderId="42" xfId="0" applyNumberFormat="1" applyFont="1" applyFill="1" applyBorder="1" applyAlignment="1">
      <alignment horizontal="center"/>
    </xf>
    <xf numFmtId="164" fontId="3" fillId="0" borderId="41" xfId="0" applyNumberFormat="1" applyFont="1" applyFill="1" applyBorder="1" applyAlignment="1">
      <alignment horizontal="center"/>
    </xf>
    <xf numFmtId="169" fontId="3" fillId="0" borderId="40" xfId="0" applyNumberFormat="1" applyFont="1" applyFill="1" applyBorder="1" applyAlignment="1">
      <alignment horizontal="center"/>
    </xf>
    <xf numFmtId="171" fontId="3" fillId="0" borderId="27" xfId="0" applyNumberFormat="1" applyFont="1" applyFill="1" applyBorder="1" applyAlignment="1">
      <alignment horizontal="center"/>
    </xf>
    <xf numFmtId="164" fontId="3" fillId="0" borderId="10" xfId="0" applyNumberFormat="1" applyFont="1" applyFill="1" applyBorder="1" applyAlignment="1">
      <alignment horizontal="center"/>
    </xf>
    <xf numFmtId="0" fontId="3" fillId="0" borderId="3" xfId="0" applyFont="1" applyFill="1" applyBorder="1" applyAlignment="1">
      <alignment horizontal="center"/>
    </xf>
    <xf numFmtId="171" fontId="3" fillId="0" borderId="43" xfId="0" applyNumberFormat="1" applyFont="1" applyFill="1" applyBorder="1" applyAlignment="1">
      <alignment horizontal="center"/>
    </xf>
    <xf numFmtId="164" fontId="3" fillId="0" borderId="7" xfId="0" applyNumberFormat="1" applyFont="1" applyFill="1" applyBorder="1" applyAlignment="1">
      <alignment horizontal="center"/>
    </xf>
    <xf numFmtId="0" fontId="3" fillId="0" borderId="4" xfId="0" applyFont="1" applyFill="1" applyBorder="1" applyAlignment="1">
      <alignment horizontal="center"/>
    </xf>
    <xf numFmtId="171" fontId="3" fillId="0" borderId="49" xfId="0" applyNumberFormat="1" applyFont="1" applyFill="1" applyBorder="1" applyAlignment="1">
      <alignment horizontal="center"/>
    </xf>
    <xf numFmtId="164" fontId="3" fillId="0" borderId="48" xfId="0" applyNumberFormat="1" applyFont="1" applyFill="1" applyBorder="1" applyAlignment="1">
      <alignment horizontal="center"/>
    </xf>
    <xf numFmtId="0" fontId="3" fillId="0" borderId="45" xfId="0" applyFont="1" applyFill="1" applyBorder="1" applyAlignment="1">
      <alignment horizontal="center"/>
    </xf>
    <xf numFmtId="171" fontId="3" fillId="0" borderId="47" xfId="0" applyNumberFormat="1" applyFont="1" applyFill="1" applyBorder="1" applyAlignment="1">
      <alignment horizontal="center"/>
    </xf>
    <xf numFmtId="164" fontId="3" fillId="0" borderId="46" xfId="0" applyNumberFormat="1" applyFont="1" applyFill="1" applyBorder="1" applyAlignment="1">
      <alignment horizontal="center"/>
    </xf>
    <xf numFmtId="20" fontId="3" fillId="0" borderId="3" xfId="0" quotePrefix="1" applyNumberFormat="1" applyFont="1" applyFill="1" applyBorder="1" applyAlignment="1">
      <alignment horizontal="center"/>
    </xf>
    <xf numFmtId="171" fontId="3" fillId="0" borderId="0" xfId="0" applyNumberFormat="1" applyFont="1" applyFill="1" applyBorder="1" applyAlignment="1">
      <alignment horizontal="center"/>
    </xf>
    <xf numFmtId="164" fontId="3" fillId="0" borderId="0" xfId="0" applyNumberFormat="1" applyFont="1" applyFill="1" applyBorder="1" applyAlignment="1">
      <alignment horizontal="center"/>
    </xf>
    <xf numFmtId="167" fontId="3" fillId="0" borderId="0" xfId="0" applyNumberFormat="1" applyFont="1" applyFill="1" applyBorder="1" applyAlignment="1">
      <alignment horizontal="left"/>
    </xf>
    <xf numFmtId="167" fontId="3" fillId="0" borderId="3" xfId="0" applyNumberFormat="1" applyFont="1" applyFill="1" applyBorder="1" applyAlignment="1">
      <alignment horizontal="left"/>
    </xf>
    <xf numFmtId="167" fontId="3" fillId="0" borderId="45" xfId="0" applyNumberFormat="1" applyFont="1" applyFill="1" applyBorder="1" applyAlignment="1">
      <alignment horizontal="left"/>
    </xf>
    <xf numFmtId="171" fontId="3" fillId="0" borderId="3" xfId="0" applyNumberFormat="1" applyFont="1" applyFill="1" applyBorder="1" applyAlignment="1">
      <alignment horizontal="center"/>
    </xf>
    <xf numFmtId="0" fontId="3" fillId="0" borderId="27" xfId="0" applyFont="1" applyFill="1" applyBorder="1" applyAlignment="1">
      <alignment horizontal="center"/>
    </xf>
    <xf numFmtId="49" fontId="3" fillId="0" borderId="18" xfId="1" applyNumberFormat="1" applyFont="1" applyFill="1" applyBorder="1" applyAlignment="1">
      <alignment horizontal="left" wrapText="1"/>
    </xf>
    <xf numFmtId="0" fontId="3" fillId="0" borderId="0" xfId="0" applyNumberFormat="1" applyFont="1" applyFill="1" applyBorder="1" applyAlignment="1">
      <alignment horizontal="left" wrapText="1"/>
    </xf>
    <xf numFmtId="20" fontId="0" fillId="0" borderId="0" xfId="0" applyNumberFormat="1" applyFill="1" applyBorder="1" applyAlignment="1" applyProtection="1">
      <alignment horizontal="left"/>
    </xf>
    <xf numFmtId="167" fontId="0" fillId="0" borderId="0" xfId="0" applyNumberFormat="1" applyFill="1" applyBorder="1" applyAlignment="1">
      <alignment horizontal="left"/>
    </xf>
    <xf numFmtId="0" fontId="3" fillId="0" borderId="3" xfId="0" applyNumberFormat="1" applyFont="1" applyFill="1" applyBorder="1" applyAlignment="1">
      <alignment horizontal="left" wrapText="1"/>
    </xf>
    <xf numFmtId="168" fontId="3" fillId="0" borderId="3" xfId="0" quotePrefix="1" applyNumberFormat="1" applyFont="1" applyFill="1" applyBorder="1" applyAlignment="1">
      <alignment horizontal="left"/>
    </xf>
    <xf numFmtId="20" fontId="0" fillId="0" borderId="3" xfId="0" applyNumberFormat="1" applyFill="1" applyBorder="1" applyAlignment="1" applyProtection="1">
      <alignment horizontal="left"/>
    </xf>
    <xf numFmtId="167" fontId="0" fillId="0" borderId="3" xfId="0" applyNumberFormat="1" applyFill="1" applyBorder="1" applyAlignment="1">
      <alignment horizontal="left"/>
    </xf>
    <xf numFmtId="167" fontId="3" fillId="0" borderId="0" xfId="0" applyNumberFormat="1" applyFont="1" applyFill="1" applyBorder="1" applyAlignment="1" applyProtection="1">
      <alignment horizontal="left" wrapText="1"/>
    </xf>
    <xf numFmtId="167" fontId="3" fillId="0" borderId="3" xfId="0" applyNumberFormat="1" applyFont="1" applyFill="1" applyBorder="1" applyAlignment="1" applyProtection="1">
      <alignment horizontal="left" wrapText="1"/>
    </xf>
    <xf numFmtId="0" fontId="0" fillId="0" borderId="0" xfId="0" applyFill="1" applyBorder="1" applyAlignment="1" applyProtection="1">
      <alignment horizontal="left"/>
    </xf>
    <xf numFmtId="0" fontId="0" fillId="0" borderId="10" xfId="0" applyFill="1" applyBorder="1" applyAlignment="1" applyProtection="1">
      <alignment horizontal="left"/>
    </xf>
    <xf numFmtId="0" fontId="0" fillId="0" borderId="3" xfId="0" applyFill="1" applyBorder="1" applyAlignment="1" applyProtection="1">
      <alignment horizontal="left"/>
    </xf>
    <xf numFmtId="168" fontId="0" fillId="0" borderId="3" xfId="0" applyNumberFormat="1" applyFill="1" applyBorder="1" applyAlignment="1">
      <alignment horizontal="left"/>
    </xf>
    <xf numFmtId="0" fontId="0" fillId="0" borderId="7" xfId="0" applyFill="1" applyBorder="1" applyAlignment="1">
      <alignment horizontal="left"/>
    </xf>
    <xf numFmtId="168" fontId="0" fillId="0" borderId="0" xfId="0" applyNumberFormat="1" applyFill="1" applyBorder="1" applyAlignment="1">
      <alignment horizontal="left"/>
    </xf>
    <xf numFmtId="0" fontId="0" fillId="0" borderId="7" xfId="0" applyFill="1" applyBorder="1" applyAlignment="1" applyProtection="1">
      <alignment horizontal="left"/>
    </xf>
    <xf numFmtId="167" fontId="3" fillId="0" borderId="45" xfId="0" applyNumberFormat="1" applyFont="1" applyFill="1" applyBorder="1" applyAlignment="1">
      <alignment horizontal="left" wrapText="1"/>
    </xf>
    <xf numFmtId="0" fontId="3" fillId="0" borderId="45" xfId="0" applyNumberFormat="1" applyFont="1" applyFill="1" applyBorder="1" applyAlignment="1">
      <alignment horizontal="left" wrapText="1"/>
    </xf>
    <xf numFmtId="0" fontId="0" fillId="0" borderId="45" xfId="0" applyFill="1" applyBorder="1" applyAlignment="1" applyProtection="1">
      <alignment horizontal="left"/>
    </xf>
    <xf numFmtId="168" fontId="0" fillId="0" borderId="45" xfId="0" applyNumberFormat="1" applyFill="1" applyBorder="1" applyAlignment="1">
      <alignment horizontal="left"/>
    </xf>
    <xf numFmtId="0" fontId="0" fillId="0" borderId="46" xfId="0" applyFill="1" applyBorder="1" applyAlignment="1" applyProtection="1">
      <alignment horizontal="left"/>
    </xf>
    <xf numFmtId="20" fontId="0" fillId="0" borderId="45" xfId="0" applyNumberFormat="1" applyFill="1" applyBorder="1" applyAlignment="1" applyProtection="1">
      <alignment horizontal="left"/>
    </xf>
    <xf numFmtId="0" fontId="3" fillId="0" borderId="46" xfId="0" applyFont="1" applyFill="1" applyBorder="1" applyAlignment="1">
      <alignment horizontal="left"/>
    </xf>
    <xf numFmtId="167" fontId="0" fillId="0" borderId="45" xfId="0" applyNumberFormat="1" applyFill="1" applyBorder="1" applyAlignment="1">
      <alignment horizontal="left"/>
    </xf>
    <xf numFmtId="0" fontId="0" fillId="0" borderId="45" xfId="0" applyFill="1" applyBorder="1" applyAlignment="1">
      <alignment horizontal="center"/>
    </xf>
    <xf numFmtId="0" fontId="3" fillId="0" borderId="46" xfId="0" applyFont="1" applyFill="1" applyBorder="1" applyAlignment="1" applyProtection="1">
      <alignment horizontal="left"/>
    </xf>
    <xf numFmtId="0" fontId="3" fillId="0" borderId="7" xfId="0" applyFont="1" applyFill="1" applyBorder="1" applyAlignment="1" applyProtection="1">
      <alignment horizontal="left"/>
    </xf>
    <xf numFmtId="168" fontId="3" fillId="0" borderId="45" xfId="0" quotePrefix="1" applyNumberFormat="1" applyFont="1" applyFill="1" applyBorder="1" applyAlignment="1">
      <alignment horizontal="left"/>
    </xf>
    <xf numFmtId="0" fontId="3" fillId="0" borderId="48" xfId="0" applyFont="1" applyFill="1" applyBorder="1" applyAlignment="1">
      <alignment horizontal="left"/>
    </xf>
    <xf numFmtId="0" fontId="0" fillId="0" borderId="46" xfId="0" applyFill="1" applyBorder="1" applyAlignment="1">
      <alignment horizontal="left"/>
    </xf>
    <xf numFmtId="20" fontId="0" fillId="0" borderId="47" xfId="0" applyNumberFormat="1" applyFill="1" applyBorder="1" applyAlignment="1" applyProtection="1">
      <alignment horizontal="left"/>
    </xf>
    <xf numFmtId="20" fontId="0" fillId="0" borderId="27" xfId="0" applyNumberFormat="1" applyFill="1" applyBorder="1" applyAlignment="1" applyProtection="1">
      <alignment horizontal="left"/>
    </xf>
    <xf numFmtId="0" fontId="3" fillId="0" borderId="17" xfId="0" applyFont="1" applyFill="1" applyBorder="1" applyAlignment="1">
      <alignment horizontal="center"/>
    </xf>
    <xf numFmtId="0" fontId="3" fillId="0" borderId="15" xfId="0" applyFont="1" applyFill="1" applyBorder="1" applyAlignment="1">
      <alignment horizontal="center"/>
    </xf>
    <xf numFmtId="0" fontId="3" fillId="0" borderId="16" xfId="0" applyFont="1" applyFill="1" applyBorder="1" applyAlignment="1">
      <alignment horizontal="center"/>
    </xf>
    <xf numFmtId="0" fontId="3" fillId="0" borderId="3" xfId="0" applyFont="1" applyFill="1" applyBorder="1" applyAlignment="1">
      <alignment horizontal="center"/>
    </xf>
    <xf numFmtId="0" fontId="3" fillId="0" borderId="7" xfId="0" applyFont="1" applyFill="1" applyBorder="1" applyAlignment="1">
      <alignment horizontal="center"/>
    </xf>
    <xf numFmtId="0" fontId="36" fillId="6" borderId="16" xfId="2" applyFont="1" applyFill="1" applyBorder="1" applyAlignment="1">
      <alignment horizontal="center"/>
    </xf>
    <xf numFmtId="0" fontId="36" fillId="6" borderId="3" xfId="2" applyFont="1" applyFill="1" applyBorder="1" applyAlignment="1">
      <alignment horizontal="center"/>
    </xf>
    <xf numFmtId="0" fontId="36" fillId="6" borderId="20" xfId="2" applyFont="1" applyFill="1" applyBorder="1" applyAlignment="1">
      <alignment horizontal="center"/>
    </xf>
    <xf numFmtId="165" fontId="36" fillId="6" borderId="16" xfId="2" applyNumberFormat="1" applyFont="1" applyFill="1" applyBorder="1" applyAlignment="1">
      <alignment horizontal="center"/>
    </xf>
    <xf numFmtId="165" fontId="36" fillId="6" borderId="3" xfId="2" applyNumberFormat="1" applyFont="1" applyFill="1" applyBorder="1" applyAlignment="1">
      <alignment horizontal="center"/>
    </xf>
    <xf numFmtId="165" fontId="36" fillId="6" borderId="20" xfId="2" applyNumberFormat="1" applyFont="1" applyFill="1" applyBorder="1" applyAlignment="1">
      <alignment horizontal="center"/>
    </xf>
    <xf numFmtId="170" fontId="28" fillId="0" borderId="0" xfId="2" applyNumberFormat="1" applyFont="1" applyAlignment="1">
      <alignment horizontal="center"/>
    </xf>
    <xf numFmtId="0" fontId="14" fillId="7" borderId="4" xfId="0" applyFont="1" applyFill="1" applyBorder="1" applyAlignment="1">
      <alignment horizontal="right" wrapText="1"/>
    </xf>
    <xf numFmtId="0" fontId="14" fillId="7" borderId="3" xfId="0" applyFont="1" applyFill="1" applyBorder="1" applyAlignment="1">
      <alignment horizontal="right" wrapText="1"/>
    </xf>
    <xf numFmtId="0" fontId="14" fillId="7" borderId="11" xfId="0" applyFont="1" applyFill="1" applyBorder="1" applyAlignment="1">
      <alignment horizontal="center"/>
    </xf>
    <xf numFmtId="0" fontId="41" fillId="7" borderId="0" xfId="0" applyFont="1" applyFill="1" applyAlignment="1">
      <alignment horizontal="left" vertical="center" wrapText="1"/>
    </xf>
    <xf numFmtId="0" fontId="21" fillId="0" borderId="0" xfId="2" applyFont="1" applyAlignment="1">
      <alignment horizontal="center"/>
    </xf>
    <xf numFmtId="0" fontId="21" fillId="0" borderId="0" xfId="2" applyFont="1" applyAlignment="1">
      <alignment horizontal="left" wrapText="1"/>
    </xf>
    <xf numFmtId="0" fontId="21" fillId="0" borderId="0" xfId="2" applyFont="1" applyAlignment="1">
      <alignment horizontal="center" vertical="center" textRotation="90"/>
    </xf>
  </cellXfs>
  <cellStyles count="386">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Normal" xfId="0" builtinId="0"/>
    <cellStyle name="Normal 2" xfId="2"/>
    <cellStyle name="Normal 3" xfId="383"/>
    <cellStyle name="Normal 4" xfId="384"/>
    <cellStyle name="Note" xfId="1" builtinId="10"/>
    <cellStyle name="Percent" xfId="385" builtinId="5"/>
  </cellStyles>
  <dxfs count="39">
    <dxf>
      <numFmt numFmtId="167" formatCode="d\ mmm\ yyyy"/>
    </dxf>
    <dxf>
      <numFmt numFmtId="167" formatCode="d\ mmm\ yyyy"/>
    </dxf>
    <dxf>
      <font>
        <color rgb="FF9C0006"/>
      </font>
      <fill>
        <patternFill>
          <bgColor rgb="FFFFC7CE"/>
        </patternFill>
      </fill>
    </dxf>
    <dxf>
      <numFmt numFmtId="165" formatCode="0.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numFmt numFmtId="1" formatCode="0"/>
    </dxf>
    <dxf>
      <numFmt numFmtId="167" formatCode="d\ mmm\ yyyy"/>
    </dxf>
    <dxf>
      <numFmt numFmtId="167" formatCode="d\ mmm\ yyyy"/>
    </dxf>
    <dxf>
      <numFmt numFmtId="167" formatCode="d\ mmm\ yyyy"/>
    </dxf>
    <dxf>
      <numFmt numFmtId="167" formatCode="d\ mmm\ yyyy"/>
    </dxf>
    <dxf>
      <font>
        <b/>
        <i val="0"/>
        <color rgb="FFFFFF00"/>
      </font>
      <fill>
        <patternFill>
          <bgColor rgb="FFFF0000"/>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condense val="0"/>
        <extend val="0"/>
        <color indexed="55"/>
      </font>
    </dxf>
    <dxf>
      <font>
        <condense val="0"/>
        <extend val="0"/>
        <color indexed="55"/>
      </font>
    </dxf>
  </dxfs>
  <tableStyles count="0" defaultTableStyle="TableStyleMedium2" defaultPivotStyle="PivotStyleLight16"/>
  <colors>
    <mruColors>
      <color rgb="FFA6E682"/>
      <color rgb="FFCCFFCC"/>
      <color rgb="FFCCFF66"/>
      <color rgb="FFFF66FF"/>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56119993228345E-2"/>
          <c:y val="5.3181035926122104E-2"/>
          <c:w val="0.93581834724065482"/>
          <c:h val="0.69232922809203701"/>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Summary'!$E$4:$E$97</c:f>
              <c:numCache>
                <c:formatCode>General</c:formatCode>
                <c:ptCount val="94"/>
                <c:pt idx="0">
                  <c:v>0</c:v>
                </c:pt>
                <c:pt idx="1">
                  <c:v>0</c:v>
                </c:pt>
                <c:pt idx="2">
                  <c:v>0</c:v>
                </c:pt>
                <c:pt idx="3">
                  <c:v>0</c:v>
                </c:pt>
                <c:pt idx="4">
                  <c:v>0</c:v>
                </c:pt>
                <c:pt idx="5">
                  <c:v>0</c:v>
                </c:pt>
                <c:pt idx="6">
                  <c:v>0</c:v>
                </c:pt>
                <c:pt idx="7">
                  <c:v>1</c:v>
                </c:pt>
                <c:pt idx="8">
                  <c:v>2</c:v>
                </c:pt>
                <c:pt idx="9">
                  <c:v>1</c:v>
                </c:pt>
                <c:pt idx="10">
                  <c:v>4</c:v>
                </c:pt>
                <c:pt idx="11">
                  <c:v>16</c:v>
                </c:pt>
                <c:pt idx="12">
                  <c:v>13</c:v>
                </c:pt>
                <c:pt idx="13">
                  <c:v>1</c:v>
                </c:pt>
                <c:pt idx="14">
                  <c:v>8</c:v>
                </c:pt>
                <c:pt idx="15">
                  <c:v>9</c:v>
                </c:pt>
                <c:pt idx="16">
                  <c:v>3</c:v>
                </c:pt>
                <c:pt idx="17">
                  <c:v>6</c:v>
                </c:pt>
                <c:pt idx="18">
                  <c:v>11</c:v>
                </c:pt>
                <c:pt idx="19">
                  <c:v>8</c:v>
                </c:pt>
                <c:pt idx="22">
                  <c:v>8</c:v>
                </c:pt>
                <c:pt idx="23">
                  <c:v>25</c:v>
                </c:pt>
                <c:pt idx="24">
                  <c:v>38</c:v>
                </c:pt>
                <c:pt idx="25">
                  <c:v>30</c:v>
                </c:pt>
                <c:pt idx="26">
                  <c:v>4</c:v>
                </c:pt>
                <c:pt idx="27">
                  <c:v>3</c:v>
                </c:pt>
                <c:pt idx="28">
                  <c:v>10</c:v>
                </c:pt>
                <c:pt idx="29">
                  <c:v>11</c:v>
                </c:pt>
                <c:pt idx="30">
                  <c:v>14</c:v>
                </c:pt>
                <c:pt idx="31">
                  <c:v>7</c:v>
                </c:pt>
                <c:pt idx="32">
                  <c:v>2</c:v>
                </c:pt>
                <c:pt idx="33">
                  <c:v>10</c:v>
                </c:pt>
                <c:pt idx="34">
                  <c:v>4</c:v>
                </c:pt>
                <c:pt idx="35">
                  <c:v>0</c:v>
                </c:pt>
                <c:pt idx="36">
                  <c:v>1</c:v>
                </c:pt>
                <c:pt idx="37">
                  <c:v>1</c:v>
                </c:pt>
                <c:pt idx="38">
                  <c:v>2</c:v>
                </c:pt>
                <c:pt idx="39">
                  <c:v>2</c:v>
                </c:pt>
                <c:pt idx="40">
                  <c:v>2</c:v>
                </c:pt>
                <c:pt idx="41">
                  <c:v>3</c:v>
                </c:pt>
                <c:pt idx="42">
                  <c:v>1</c:v>
                </c:pt>
                <c:pt idx="43">
                  <c:v>1</c:v>
                </c:pt>
                <c:pt idx="44">
                  <c:v>1</c:v>
                </c:pt>
                <c:pt idx="45">
                  <c:v>0</c:v>
                </c:pt>
                <c:pt idx="46">
                  <c:v>0</c:v>
                </c:pt>
                <c:pt idx="47">
                  <c:v>2</c:v>
                </c:pt>
                <c:pt idx="48">
                  <c:v>1</c:v>
                </c:pt>
                <c:pt idx="49">
                  <c:v>1</c:v>
                </c:pt>
                <c:pt idx="50">
                  <c:v>0</c:v>
                </c:pt>
                <c:pt idx="51">
                  <c:v>0</c:v>
                </c:pt>
                <c:pt idx="52">
                  <c:v>1</c:v>
                </c:pt>
                <c:pt idx="53">
                  <c:v>0</c:v>
                </c:pt>
                <c:pt idx="54">
                  <c:v>0</c:v>
                </c:pt>
                <c:pt idx="55">
                  <c:v>1</c:v>
                </c:pt>
                <c:pt idx="56">
                  <c:v>0</c:v>
                </c:pt>
                <c:pt idx="57">
                  <c:v>0</c:v>
                </c:pt>
                <c:pt idx="58">
                  <c:v>0</c:v>
                </c:pt>
                <c:pt idx="59">
                  <c:v>0</c:v>
                </c:pt>
                <c:pt idx="60">
                  <c:v>0</c:v>
                </c:pt>
                <c:pt idx="61">
                  <c:v>0</c:v>
                </c:pt>
                <c:pt idx="62">
                  <c:v>2</c:v>
                </c:pt>
                <c:pt idx="63">
                  <c:v>0</c:v>
                </c:pt>
                <c:pt idx="64">
                  <c:v>0</c:v>
                </c:pt>
                <c:pt idx="65">
                  <c:v>1</c:v>
                </c:pt>
                <c:pt idx="66">
                  <c:v>0</c:v>
                </c:pt>
                <c:pt idx="67">
                  <c:v>0</c:v>
                </c:pt>
                <c:pt idx="68">
                  <c:v>0</c:v>
                </c:pt>
                <c:pt idx="69">
                  <c:v>0</c:v>
                </c:pt>
                <c:pt idx="70">
                  <c:v>0</c:v>
                </c:pt>
                <c:pt idx="71">
                  <c:v>0</c:v>
                </c:pt>
                <c:pt idx="72">
                  <c:v>0</c:v>
                </c:pt>
                <c:pt idx="73">
                  <c:v>1</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Summary'!$E$100:$E$193</c:f>
              <c:numCache>
                <c:formatCode>General</c:formatCode>
                <c:ptCount val="94"/>
                <c:pt idx="6">
                  <c:v>2</c:v>
                </c:pt>
                <c:pt idx="7">
                  <c:v>3</c:v>
                </c:pt>
                <c:pt idx="8">
                  <c:v>6</c:v>
                </c:pt>
                <c:pt idx="9">
                  <c:v>2</c:v>
                </c:pt>
                <c:pt idx="10">
                  <c:v>1</c:v>
                </c:pt>
                <c:pt idx="11">
                  <c:v>1</c:v>
                </c:pt>
                <c:pt idx="12">
                  <c:v>3</c:v>
                </c:pt>
                <c:pt idx="13">
                  <c:v>0</c:v>
                </c:pt>
                <c:pt idx="14">
                  <c:v>2</c:v>
                </c:pt>
                <c:pt idx="15">
                  <c:v>0</c:v>
                </c:pt>
                <c:pt idx="16">
                  <c:v>1</c:v>
                </c:pt>
                <c:pt idx="17">
                  <c:v>6</c:v>
                </c:pt>
                <c:pt idx="18">
                  <c:v>4</c:v>
                </c:pt>
                <c:pt idx="19">
                  <c:v>3</c:v>
                </c:pt>
                <c:pt idx="22">
                  <c:v>0</c:v>
                </c:pt>
                <c:pt idx="23">
                  <c:v>0</c:v>
                </c:pt>
                <c:pt idx="24">
                  <c:v>0</c:v>
                </c:pt>
                <c:pt idx="25">
                  <c:v>1</c:v>
                </c:pt>
                <c:pt idx="26">
                  <c:v>3</c:v>
                </c:pt>
                <c:pt idx="27">
                  <c:v>2</c:v>
                </c:pt>
                <c:pt idx="28">
                  <c:v>1</c:v>
                </c:pt>
                <c:pt idx="29">
                  <c:v>11</c:v>
                </c:pt>
                <c:pt idx="30">
                  <c:v>5</c:v>
                </c:pt>
                <c:pt idx="31">
                  <c:v>5</c:v>
                </c:pt>
                <c:pt idx="32">
                  <c:v>3</c:v>
                </c:pt>
                <c:pt idx="33">
                  <c:v>2</c:v>
                </c:pt>
                <c:pt idx="34">
                  <c:v>2</c:v>
                </c:pt>
                <c:pt idx="35">
                  <c:v>3</c:v>
                </c:pt>
                <c:pt idx="36">
                  <c:v>0</c:v>
                </c:pt>
                <c:pt idx="37">
                  <c:v>3</c:v>
                </c:pt>
                <c:pt idx="38">
                  <c:v>2</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1</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ser>
          <c:idx val="0"/>
          <c:order val="2"/>
          <c:tx>
            <c:v>Site 3 (right bank)</c:v>
          </c:tx>
          <c:spPr>
            <a:solidFill>
              <a:srgbClr val="00B050"/>
            </a:solidFill>
            <a:ln>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Summary'!$E$196:$E$289</c:f>
              <c:numCache>
                <c:formatCode>General</c:formatCode>
                <c:ptCount val="94"/>
                <c:pt idx="3">
                  <c:v>0</c:v>
                </c:pt>
                <c:pt idx="4">
                  <c:v>0</c:v>
                </c:pt>
                <c:pt idx="5">
                  <c:v>2</c:v>
                </c:pt>
                <c:pt idx="6">
                  <c:v>0</c:v>
                </c:pt>
                <c:pt idx="7">
                  <c:v>1</c:v>
                </c:pt>
                <c:pt idx="8">
                  <c:v>3</c:v>
                </c:pt>
                <c:pt idx="9">
                  <c:v>0</c:v>
                </c:pt>
                <c:pt idx="10">
                  <c:v>0</c:v>
                </c:pt>
                <c:pt idx="11">
                  <c:v>1</c:v>
                </c:pt>
                <c:pt idx="12">
                  <c:v>2</c:v>
                </c:pt>
                <c:pt idx="13">
                  <c:v>7</c:v>
                </c:pt>
                <c:pt idx="14">
                  <c:v>7</c:v>
                </c:pt>
                <c:pt idx="15">
                  <c:v>14</c:v>
                </c:pt>
                <c:pt idx="16">
                  <c:v>12</c:v>
                </c:pt>
                <c:pt idx="17">
                  <c:v>3</c:v>
                </c:pt>
                <c:pt idx="18">
                  <c:v>7</c:v>
                </c:pt>
                <c:pt idx="19">
                  <c:v>8</c:v>
                </c:pt>
                <c:pt idx="23">
                  <c:v>3</c:v>
                </c:pt>
                <c:pt idx="24">
                  <c:v>11</c:v>
                </c:pt>
                <c:pt idx="25">
                  <c:v>27</c:v>
                </c:pt>
                <c:pt idx="26">
                  <c:v>20</c:v>
                </c:pt>
                <c:pt idx="27">
                  <c:v>10</c:v>
                </c:pt>
                <c:pt idx="28">
                  <c:v>19</c:v>
                </c:pt>
                <c:pt idx="29">
                  <c:v>18</c:v>
                </c:pt>
                <c:pt idx="30">
                  <c:v>14</c:v>
                </c:pt>
                <c:pt idx="31">
                  <c:v>16</c:v>
                </c:pt>
                <c:pt idx="32">
                  <c:v>5</c:v>
                </c:pt>
                <c:pt idx="33">
                  <c:v>12</c:v>
                </c:pt>
                <c:pt idx="34">
                  <c:v>12</c:v>
                </c:pt>
                <c:pt idx="35">
                  <c:v>12</c:v>
                </c:pt>
                <c:pt idx="36">
                  <c:v>6</c:v>
                </c:pt>
                <c:pt idx="37">
                  <c:v>8</c:v>
                </c:pt>
                <c:pt idx="38">
                  <c:v>5</c:v>
                </c:pt>
                <c:pt idx="39">
                  <c:v>8</c:v>
                </c:pt>
                <c:pt idx="40">
                  <c:v>5</c:v>
                </c:pt>
                <c:pt idx="41">
                  <c:v>4</c:v>
                </c:pt>
                <c:pt idx="42">
                  <c:v>8</c:v>
                </c:pt>
                <c:pt idx="43">
                  <c:v>5</c:v>
                </c:pt>
                <c:pt idx="44">
                  <c:v>5</c:v>
                </c:pt>
                <c:pt idx="45">
                  <c:v>4</c:v>
                </c:pt>
                <c:pt idx="46">
                  <c:v>1</c:v>
                </c:pt>
                <c:pt idx="47">
                  <c:v>1</c:v>
                </c:pt>
                <c:pt idx="48">
                  <c:v>0</c:v>
                </c:pt>
                <c:pt idx="49">
                  <c:v>1</c:v>
                </c:pt>
                <c:pt idx="50">
                  <c:v>1</c:v>
                </c:pt>
                <c:pt idx="51">
                  <c:v>0</c:v>
                </c:pt>
                <c:pt idx="52">
                  <c:v>0</c:v>
                </c:pt>
                <c:pt idx="53">
                  <c:v>0</c:v>
                </c:pt>
                <c:pt idx="54">
                  <c:v>0</c:v>
                </c:pt>
                <c:pt idx="55">
                  <c:v>2</c:v>
                </c:pt>
                <c:pt idx="56">
                  <c:v>1</c:v>
                </c:pt>
                <c:pt idx="57">
                  <c:v>0</c:v>
                </c:pt>
                <c:pt idx="58">
                  <c:v>0</c:v>
                </c:pt>
                <c:pt idx="59">
                  <c:v>0</c:v>
                </c:pt>
                <c:pt idx="60">
                  <c:v>3</c:v>
                </c:pt>
                <c:pt idx="61">
                  <c:v>1</c:v>
                </c:pt>
                <c:pt idx="62">
                  <c:v>1</c:v>
                </c:pt>
                <c:pt idx="63">
                  <c:v>1</c:v>
                </c:pt>
                <c:pt idx="64">
                  <c:v>1</c:v>
                </c:pt>
                <c:pt idx="65">
                  <c:v>0</c:v>
                </c:pt>
                <c:pt idx="66">
                  <c:v>0</c:v>
                </c:pt>
                <c:pt idx="67">
                  <c:v>0</c:v>
                </c:pt>
                <c:pt idx="68">
                  <c:v>1</c:v>
                </c:pt>
                <c:pt idx="69">
                  <c:v>0</c:v>
                </c:pt>
                <c:pt idx="70">
                  <c:v>0</c:v>
                </c:pt>
                <c:pt idx="71">
                  <c:v>0</c:v>
                </c:pt>
                <c:pt idx="72">
                  <c:v>0</c:v>
                </c:pt>
                <c:pt idx="73">
                  <c:v>0</c:v>
                </c:pt>
                <c:pt idx="74">
                  <c:v>0</c:v>
                </c:pt>
                <c:pt idx="75">
                  <c:v>0</c:v>
                </c:pt>
                <c:pt idx="76">
                  <c:v>0</c:v>
                </c:pt>
                <c:pt idx="77">
                  <c:v>0</c:v>
                </c:pt>
                <c:pt idx="78">
                  <c:v>0</c:v>
                </c:pt>
                <c:pt idx="79">
                  <c:v>1</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dLbls>
          <c:showLegendKey val="0"/>
          <c:showVal val="0"/>
          <c:showCatName val="0"/>
          <c:showSerName val="0"/>
          <c:showPercent val="0"/>
          <c:showBubbleSize val="0"/>
        </c:dLbls>
        <c:gapWidth val="25"/>
        <c:overlap val="100"/>
        <c:axId val="244446720"/>
        <c:axId val="244448256"/>
      </c:barChart>
      <c:dateAx>
        <c:axId val="244446720"/>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sz="1050">
                <a:latin typeface="Times New Roman" panose="02020603050405020304" pitchFamily="18" charset="0"/>
                <a:cs typeface="Times New Roman" panose="02020603050405020304" pitchFamily="18" charset="0"/>
              </a:defRPr>
            </a:pPr>
            <a:endParaRPr lang="en-US"/>
          </a:p>
        </c:txPr>
        <c:crossAx val="244448256"/>
        <c:crosses val="autoZero"/>
        <c:auto val="1"/>
        <c:lblOffset val="100"/>
        <c:baseTimeUnit val="days"/>
        <c:majorUnit val="7"/>
        <c:majorTimeUnit val="days"/>
        <c:minorUnit val="1"/>
        <c:minorTimeUnit val="days"/>
      </c:dateAx>
      <c:valAx>
        <c:axId val="244448256"/>
        <c:scaling>
          <c:orientation val="minMax"/>
          <c:max val="60"/>
          <c:min val="0"/>
        </c:scaling>
        <c:delete val="0"/>
        <c:axPos val="l"/>
        <c:numFmt formatCode="#,##0" sourceLinked="0"/>
        <c:majorTickMark val="out"/>
        <c:minorTickMark val="none"/>
        <c:tickLblPos val="nextTo"/>
        <c:spPr>
          <a:ln w="12700">
            <a:solidFill>
              <a:schemeClr val="tx1"/>
            </a:solidFill>
          </a:ln>
        </c:spPr>
        <c:txPr>
          <a:bodyPr rot="0" vert="horz"/>
          <a:lstStyle/>
          <a:p>
            <a:pPr>
              <a:defRPr sz="900">
                <a:latin typeface="Times New Roman" panose="02020603050405020304" pitchFamily="18" charset="0"/>
                <a:cs typeface="Times New Roman" panose="02020603050405020304" pitchFamily="18" charset="0"/>
              </a:defRPr>
            </a:pPr>
            <a:endParaRPr lang="en-US"/>
          </a:p>
        </c:txPr>
        <c:crossAx val="244446720"/>
        <c:crosses val="autoZero"/>
        <c:crossBetween val="between"/>
        <c:majorUnit val="10"/>
      </c:valAx>
    </c:plotArea>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676549690548E-2"/>
          <c:y val="4.5821999522786913E-2"/>
          <c:w val="0.92371468272349722"/>
          <c:h val="0.75689699215407524"/>
        </c:manualLayout>
      </c:layout>
      <c:areaChart>
        <c:grouping val="standard"/>
        <c:varyColors val="0"/>
        <c:ser>
          <c:idx val="1"/>
          <c:order val="1"/>
          <c:tx>
            <c:v>Effort</c:v>
          </c:tx>
          <c:spPr>
            <a:solidFill>
              <a:schemeClr val="bg1">
                <a:lumMod val="75000"/>
              </a:schemeClr>
            </a:solidFill>
            <a:ln w="28575">
              <a:noFill/>
            </a:ln>
          </c:spPr>
          <c:cat>
            <c:numRef>
              <c:f>'Tab_Catch Summary'!$B$100:$B$193</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Summary'!$D$196:$D$289</c:f>
              <c:numCache>
                <c:formatCode>#,##0.0</c:formatCode>
                <c:ptCount val="94"/>
                <c:pt idx="3">
                  <c:v>4.8333333333333375</c:v>
                </c:pt>
                <c:pt idx="4">
                  <c:v>13.750000000000002</c:v>
                </c:pt>
                <c:pt idx="5">
                  <c:v>14.35</c:v>
                </c:pt>
                <c:pt idx="6">
                  <c:v>15.750000000000002</c:v>
                </c:pt>
                <c:pt idx="7">
                  <c:v>15.249999999999996</c:v>
                </c:pt>
                <c:pt idx="8">
                  <c:v>15.450000000000001</c:v>
                </c:pt>
                <c:pt idx="9">
                  <c:v>15.666666666666666</c:v>
                </c:pt>
                <c:pt idx="10">
                  <c:v>15.883333333333333</c:v>
                </c:pt>
                <c:pt idx="11">
                  <c:v>16.933333333333334</c:v>
                </c:pt>
                <c:pt idx="12">
                  <c:v>13.133333333333335</c:v>
                </c:pt>
                <c:pt idx="13">
                  <c:v>15.899999999999997</c:v>
                </c:pt>
                <c:pt idx="14">
                  <c:v>16.266666666666669</c:v>
                </c:pt>
                <c:pt idx="15">
                  <c:v>17.100000000000001</c:v>
                </c:pt>
                <c:pt idx="16">
                  <c:v>17.399999999999999</c:v>
                </c:pt>
                <c:pt idx="17">
                  <c:v>17.416666666666668</c:v>
                </c:pt>
                <c:pt idx="18">
                  <c:v>17.5</c:v>
                </c:pt>
                <c:pt idx="19">
                  <c:v>16.100000000000001</c:v>
                </c:pt>
                <c:pt idx="23">
                  <c:v>17.616666666666667</c:v>
                </c:pt>
                <c:pt idx="24">
                  <c:v>23.7</c:v>
                </c:pt>
                <c:pt idx="25">
                  <c:v>24</c:v>
                </c:pt>
                <c:pt idx="26">
                  <c:v>22.816666666666666</c:v>
                </c:pt>
                <c:pt idx="27">
                  <c:v>13.316666666666666</c:v>
                </c:pt>
                <c:pt idx="28">
                  <c:v>23.283333333333335</c:v>
                </c:pt>
                <c:pt idx="29">
                  <c:v>23.766666666666666</c:v>
                </c:pt>
                <c:pt idx="30">
                  <c:v>23.533333333333335</c:v>
                </c:pt>
                <c:pt idx="31">
                  <c:v>22.716666666666665</c:v>
                </c:pt>
                <c:pt idx="32">
                  <c:v>17.850000000000001</c:v>
                </c:pt>
                <c:pt idx="33">
                  <c:v>23.233333333333334</c:v>
                </c:pt>
                <c:pt idx="34">
                  <c:v>24</c:v>
                </c:pt>
                <c:pt idx="35">
                  <c:v>24</c:v>
                </c:pt>
                <c:pt idx="36">
                  <c:v>23.816666666666666</c:v>
                </c:pt>
                <c:pt idx="37">
                  <c:v>23.2</c:v>
                </c:pt>
                <c:pt idx="38">
                  <c:v>24</c:v>
                </c:pt>
                <c:pt idx="39">
                  <c:v>23.916666666666668</c:v>
                </c:pt>
                <c:pt idx="40">
                  <c:v>24</c:v>
                </c:pt>
                <c:pt idx="41">
                  <c:v>23.75</c:v>
                </c:pt>
                <c:pt idx="42">
                  <c:v>23.4</c:v>
                </c:pt>
                <c:pt idx="43">
                  <c:v>11.83333333333333</c:v>
                </c:pt>
                <c:pt idx="44">
                  <c:v>11.949999999999998</c:v>
                </c:pt>
                <c:pt idx="45">
                  <c:v>12.016666666666667</c:v>
                </c:pt>
                <c:pt idx="46">
                  <c:v>11.666666666666666</c:v>
                </c:pt>
                <c:pt idx="47">
                  <c:v>11.866666666666667</c:v>
                </c:pt>
                <c:pt idx="48">
                  <c:v>12.083333333333336</c:v>
                </c:pt>
                <c:pt idx="49">
                  <c:v>11.999999999999996</c:v>
                </c:pt>
                <c:pt idx="50">
                  <c:v>12.616666666666667</c:v>
                </c:pt>
                <c:pt idx="51">
                  <c:v>12.016666666666667</c:v>
                </c:pt>
                <c:pt idx="52">
                  <c:v>12.033333333333333</c:v>
                </c:pt>
                <c:pt idx="53">
                  <c:v>12.016666666666669</c:v>
                </c:pt>
                <c:pt idx="54">
                  <c:v>12.083333333333334</c:v>
                </c:pt>
                <c:pt idx="55">
                  <c:v>11.78333333333333</c:v>
                </c:pt>
                <c:pt idx="56">
                  <c:v>11.999999999999998</c:v>
                </c:pt>
                <c:pt idx="57">
                  <c:v>12.016666666666667</c:v>
                </c:pt>
                <c:pt idx="58">
                  <c:v>11.999999999999996</c:v>
                </c:pt>
                <c:pt idx="59">
                  <c:v>11.999999999999998</c:v>
                </c:pt>
                <c:pt idx="60">
                  <c:v>12.083333333333334</c:v>
                </c:pt>
                <c:pt idx="61">
                  <c:v>12</c:v>
                </c:pt>
                <c:pt idx="62">
                  <c:v>12</c:v>
                </c:pt>
                <c:pt idx="63">
                  <c:v>11.966666666666663</c:v>
                </c:pt>
                <c:pt idx="64">
                  <c:v>12.000000000000002</c:v>
                </c:pt>
                <c:pt idx="65">
                  <c:v>12.216666666666667</c:v>
                </c:pt>
                <c:pt idx="66">
                  <c:v>11.999999999999998</c:v>
                </c:pt>
                <c:pt idx="67">
                  <c:v>12.000000000000002</c:v>
                </c:pt>
                <c:pt idx="68">
                  <c:v>11.983333333333336</c:v>
                </c:pt>
                <c:pt idx="69">
                  <c:v>12.033333333333333</c:v>
                </c:pt>
                <c:pt idx="70">
                  <c:v>12</c:v>
                </c:pt>
                <c:pt idx="71">
                  <c:v>12.2</c:v>
                </c:pt>
                <c:pt idx="72">
                  <c:v>12.000000000000002</c:v>
                </c:pt>
                <c:pt idx="73">
                  <c:v>12.1</c:v>
                </c:pt>
                <c:pt idx="74">
                  <c:v>12.000000000000002</c:v>
                </c:pt>
                <c:pt idx="75">
                  <c:v>12.000000000000002</c:v>
                </c:pt>
                <c:pt idx="76">
                  <c:v>12</c:v>
                </c:pt>
                <c:pt idx="77">
                  <c:v>12.016666666666667</c:v>
                </c:pt>
                <c:pt idx="78">
                  <c:v>11.883333333333335</c:v>
                </c:pt>
                <c:pt idx="79">
                  <c:v>12.183333333333334</c:v>
                </c:pt>
                <c:pt idx="80">
                  <c:v>12</c:v>
                </c:pt>
                <c:pt idx="81">
                  <c:v>11.983333333333333</c:v>
                </c:pt>
                <c:pt idx="82">
                  <c:v>12.05</c:v>
                </c:pt>
                <c:pt idx="83">
                  <c:v>12.05</c:v>
                </c:pt>
                <c:pt idx="84">
                  <c:v>12.183333333333334</c:v>
                </c:pt>
                <c:pt idx="85">
                  <c:v>9.9500000000000011</c:v>
                </c:pt>
                <c:pt idx="86">
                  <c:v>9.7666666666666675</c:v>
                </c:pt>
                <c:pt idx="87">
                  <c:v>9.56666666666667</c:v>
                </c:pt>
                <c:pt idx="88">
                  <c:v>9.7999999999999989</c:v>
                </c:pt>
                <c:pt idx="89">
                  <c:v>10.55</c:v>
                </c:pt>
                <c:pt idx="90">
                  <c:v>9.6333333333333346</c:v>
                </c:pt>
                <c:pt idx="91">
                  <c:v>10.099999999999998</c:v>
                </c:pt>
                <c:pt idx="92">
                  <c:v>9.7666666666666693</c:v>
                </c:pt>
                <c:pt idx="93">
                  <c:v>8.9666666666666686</c:v>
                </c:pt>
              </c:numCache>
            </c:numRef>
          </c:val>
        </c:ser>
        <c:dLbls>
          <c:showLegendKey val="0"/>
          <c:showVal val="0"/>
          <c:showCatName val="0"/>
          <c:showSerName val="0"/>
          <c:showPercent val="0"/>
          <c:showBubbleSize val="0"/>
        </c:dLbls>
        <c:axId val="264688384"/>
        <c:axId val="264691072"/>
      </c:areaChart>
      <c:scatterChart>
        <c:scatterStyle val="lineMarker"/>
        <c:varyColors val="0"/>
        <c:ser>
          <c:idx val="0"/>
          <c:order val="0"/>
          <c:tx>
            <c:v>RPM</c:v>
          </c:tx>
          <c:spPr>
            <a:ln w="25400">
              <a:solidFill>
                <a:schemeClr val="tx1"/>
              </a:solidFill>
            </a:ln>
          </c:spPr>
          <c:marker>
            <c:symbol val="diamond"/>
            <c:size val="5"/>
            <c:spPr>
              <a:solidFill>
                <a:schemeClr val="tx1"/>
              </a:solidFill>
              <a:ln>
                <a:solidFill>
                  <a:schemeClr val="tx1"/>
                </a:solidFill>
              </a:ln>
            </c:spPr>
          </c:marker>
          <c:xVal>
            <c:numRef>
              <c:f>'Tab_Catch Summary'!$B$100:$B$193</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Summary'!$C$196:$C$289</c:f>
              <c:numCache>
                <c:formatCode>0.0</c:formatCode>
                <c:ptCount val="94"/>
                <c:pt idx="3">
                  <c:v>4.1860465116279073</c:v>
                </c:pt>
                <c:pt idx="4">
                  <c:v>4.3902439024390247</c:v>
                </c:pt>
                <c:pt idx="5">
                  <c:v>4.0909090909090908</c:v>
                </c:pt>
                <c:pt idx="6">
                  <c:v>4.32</c:v>
                </c:pt>
                <c:pt idx="7">
                  <c:v>4.3636363636363633</c:v>
                </c:pt>
                <c:pt idx="8">
                  <c:v>4.2857142857142856</c:v>
                </c:pt>
                <c:pt idx="9">
                  <c:v>4.5859872611464967</c:v>
                </c:pt>
                <c:pt idx="10">
                  <c:v>4.8091603053435117</c:v>
                </c:pt>
                <c:pt idx="11">
                  <c:v>4.787234042553191</c:v>
                </c:pt>
                <c:pt idx="12">
                  <c:v>4.4444444444444438</c:v>
                </c:pt>
                <c:pt idx="13">
                  <c:v>4.6551724137931041</c:v>
                </c:pt>
                <c:pt idx="14">
                  <c:v>4.556962025316456</c:v>
                </c:pt>
                <c:pt idx="15">
                  <c:v>4.5283018867924527</c:v>
                </c:pt>
                <c:pt idx="16">
                  <c:v>4.615384615384615</c:v>
                </c:pt>
                <c:pt idx="17">
                  <c:v>4.2857142857142856</c:v>
                </c:pt>
                <c:pt idx="18">
                  <c:v>4</c:v>
                </c:pt>
                <c:pt idx="19">
                  <c:v>3.9560439560439562</c:v>
                </c:pt>
                <c:pt idx="23">
                  <c:v>5.1428571428571423</c:v>
                </c:pt>
                <c:pt idx="24">
                  <c:v>4.5283018867924527</c:v>
                </c:pt>
                <c:pt idx="25">
                  <c:v>3.4285714285714284</c:v>
                </c:pt>
                <c:pt idx="26">
                  <c:v>4.53781512605042</c:v>
                </c:pt>
                <c:pt idx="27">
                  <c:v>5.625</c:v>
                </c:pt>
                <c:pt idx="28">
                  <c:v>5.1428571428571423</c:v>
                </c:pt>
                <c:pt idx="29">
                  <c:v>4.615384615384615</c:v>
                </c:pt>
                <c:pt idx="30">
                  <c:v>4.4444444444444438</c:v>
                </c:pt>
                <c:pt idx="31">
                  <c:v>5.1798561151079134</c:v>
                </c:pt>
                <c:pt idx="32">
                  <c:v>5.2173913043478262</c:v>
                </c:pt>
                <c:pt idx="33">
                  <c:v>5.034965034965035</c:v>
                </c:pt>
                <c:pt idx="34">
                  <c:v>4.6451612903225801</c:v>
                </c:pt>
                <c:pt idx="35">
                  <c:v>4.9655172413793105</c:v>
                </c:pt>
                <c:pt idx="36">
                  <c:v>4.7682119205298017</c:v>
                </c:pt>
                <c:pt idx="37">
                  <c:v>5</c:v>
                </c:pt>
                <c:pt idx="38">
                  <c:v>4.8979591836734686</c:v>
                </c:pt>
                <c:pt idx="39">
                  <c:v>4.4720496894409942</c:v>
                </c:pt>
                <c:pt idx="40">
                  <c:v>4.3373493975903612</c:v>
                </c:pt>
                <c:pt idx="41">
                  <c:v>4.022346368715084</c:v>
                </c:pt>
                <c:pt idx="42">
                  <c:v>3.5643564356435644</c:v>
                </c:pt>
                <c:pt idx="43">
                  <c:v>3.6241610738255035</c:v>
                </c:pt>
                <c:pt idx="44">
                  <c:v>4.0909090909090908</c:v>
                </c:pt>
                <c:pt idx="45">
                  <c:v>4.1860465116279073</c:v>
                </c:pt>
                <c:pt idx="46">
                  <c:v>4.0909090909090908</c:v>
                </c:pt>
                <c:pt idx="47">
                  <c:v>3.4951456310679614</c:v>
                </c:pt>
                <c:pt idx="48">
                  <c:v>3.4615384615384612</c:v>
                </c:pt>
                <c:pt idx="49">
                  <c:v>3.576158940397351</c:v>
                </c:pt>
                <c:pt idx="50">
                  <c:v>3.8297872340425534</c:v>
                </c:pt>
                <c:pt idx="51">
                  <c:v>3.6734693877551021</c:v>
                </c:pt>
                <c:pt idx="52">
                  <c:v>3.3749999999999996</c:v>
                </c:pt>
                <c:pt idx="53">
                  <c:v>3.1764705882352944</c:v>
                </c:pt>
                <c:pt idx="54">
                  <c:v>3.2530120481927707</c:v>
                </c:pt>
                <c:pt idx="55">
                  <c:v>3.6734693877551021</c:v>
                </c:pt>
                <c:pt idx="56">
                  <c:v>3.5526315789473686</c:v>
                </c:pt>
                <c:pt idx="57">
                  <c:v>3.75</c:v>
                </c:pt>
                <c:pt idx="58">
                  <c:v>3.7762237762237763</c:v>
                </c:pt>
                <c:pt idx="59">
                  <c:v>3.5999999999999996</c:v>
                </c:pt>
                <c:pt idx="60">
                  <c:v>3.7894736842105265</c:v>
                </c:pt>
                <c:pt idx="61">
                  <c:v>3.8709677419354835</c:v>
                </c:pt>
                <c:pt idx="62">
                  <c:v>3.8028169014084501</c:v>
                </c:pt>
                <c:pt idx="63">
                  <c:v>3.5526315789473686</c:v>
                </c:pt>
                <c:pt idx="64">
                  <c:v>3.6486486486486482</c:v>
                </c:pt>
                <c:pt idx="65">
                  <c:v>3.5294117647058822</c:v>
                </c:pt>
                <c:pt idx="66">
                  <c:v>3.4394904458598727</c:v>
                </c:pt>
                <c:pt idx="67">
                  <c:v>3.75</c:v>
                </c:pt>
                <c:pt idx="68">
                  <c:v>4.5</c:v>
                </c:pt>
                <c:pt idx="69">
                  <c:v>4.4262295081967222</c:v>
                </c:pt>
                <c:pt idx="70">
                  <c:v>4.8648648648648649</c:v>
                </c:pt>
                <c:pt idx="71">
                  <c:v>4.695652173913043</c:v>
                </c:pt>
                <c:pt idx="72">
                  <c:v>3.9130434782608692</c:v>
                </c:pt>
                <c:pt idx="73">
                  <c:v>4.5</c:v>
                </c:pt>
                <c:pt idx="74">
                  <c:v>4.556962025316456</c:v>
                </c:pt>
                <c:pt idx="75">
                  <c:v>4.3373493975903612</c:v>
                </c:pt>
                <c:pt idx="76">
                  <c:v>4.1860465116279073</c:v>
                </c:pt>
                <c:pt idx="77">
                  <c:v>3.8297872340425534</c:v>
                </c:pt>
                <c:pt idx="78">
                  <c:v>3.8709677419354835</c:v>
                </c:pt>
                <c:pt idx="79">
                  <c:v>3.6734693877551021</c:v>
                </c:pt>
                <c:pt idx="80">
                  <c:v>3.7762237762237763</c:v>
                </c:pt>
                <c:pt idx="81">
                  <c:v>3.9705882352941173</c:v>
                </c:pt>
                <c:pt idx="82">
                  <c:v>3.9130434782608692</c:v>
                </c:pt>
                <c:pt idx="83">
                  <c:v>4.1860465116279073</c:v>
                </c:pt>
                <c:pt idx="84">
                  <c:v>4.6551724137931041</c:v>
                </c:pt>
                <c:pt idx="85">
                  <c:v>4.615384615384615</c:v>
                </c:pt>
                <c:pt idx="86">
                  <c:v>4.32</c:v>
                </c:pt>
                <c:pt idx="87">
                  <c:v>4.0909090909090908</c:v>
                </c:pt>
                <c:pt idx="88">
                  <c:v>4.1379310344827589</c:v>
                </c:pt>
                <c:pt idx="89">
                  <c:v>5.2173913043478262</c:v>
                </c:pt>
                <c:pt idx="90">
                  <c:v>4.6753246753246751</c:v>
                </c:pt>
                <c:pt idx="91">
                  <c:v>4.556962025316456</c:v>
                </c:pt>
                <c:pt idx="92">
                  <c:v>4.556962025316456</c:v>
                </c:pt>
                <c:pt idx="93">
                  <c:v>4.615384615384615</c:v>
                </c:pt>
              </c:numCache>
            </c:numRef>
          </c:yVal>
          <c:smooth val="0"/>
        </c:ser>
        <c:dLbls>
          <c:showLegendKey val="0"/>
          <c:showVal val="0"/>
          <c:showCatName val="0"/>
          <c:showSerName val="0"/>
          <c:showPercent val="0"/>
          <c:showBubbleSize val="0"/>
        </c:dLbls>
        <c:axId val="264701056"/>
        <c:axId val="264702592"/>
      </c:scatterChart>
      <c:dateAx>
        <c:axId val="264688384"/>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4691072"/>
        <c:crosses val="autoZero"/>
        <c:auto val="1"/>
        <c:lblOffset val="100"/>
        <c:baseTimeUnit val="days"/>
        <c:majorUnit val="7"/>
        <c:majorTimeUnit val="days"/>
        <c:minorUnit val="1"/>
        <c:minorTimeUnit val="days"/>
      </c:dateAx>
      <c:valAx>
        <c:axId val="264691072"/>
        <c:scaling>
          <c:orientation val="minMax"/>
          <c:max val="24"/>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64688384"/>
        <c:crosses val="autoZero"/>
        <c:crossBetween val="between"/>
        <c:majorUnit val="4"/>
      </c:valAx>
      <c:valAx>
        <c:axId val="264701056"/>
        <c:scaling>
          <c:orientation val="minMax"/>
        </c:scaling>
        <c:delete val="1"/>
        <c:axPos val="b"/>
        <c:numFmt formatCode="d\-mmm" sourceLinked="1"/>
        <c:majorTickMark val="out"/>
        <c:minorTickMark val="none"/>
        <c:tickLblPos val="none"/>
        <c:crossAx val="264702592"/>
        <c:crosses val="autoZero"/>
        <c:crossBetween val="midCat"/>
      </c:valAx>
      <c:valAx>
        <c:axId val="264702592"/>
        <c:scaling>
          <c:orientation val="minMax"/>
          <c:max val="8"/>
          <c:min val="0"/>
        </c:scaling>
        <c:delete val="0"/>
        <c:axPos val="r"/>
        <c:numFmt formatCode="#,##0" sourceLinked="0"/>
        <c:majorTickMark val="out"/>
        <c:minorTickMark val="none"/>
        <c:tickLblPos val="nextTo"/>
        <c:spPr>
          <a:ln w="12700">
            <a:solidFill>
              <a:schemeClr val="tx1"/>
            </a:solidFill>
          </a:ln>
        </c:spPr>
        <c:txPr>
          <a:bodyPr rot="0" vert="horz"/>
          <a:lstStyle/>
          <a:p>
            <a:pPr>
              <a:defRPr/>
            </a:pPr>
            <a:endParaRPr lang="en-US"/>
          </a:p>
        </c:txPr>
        <c:crossAx val="264701056"/>
        <c:crosses val="max"/>
        <c:crossBetween val="midCat"/>
        <c:majorUnit val="2"/>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8840769903763"/>
          <c:y val="8.5186535684538781E-2"/>
          <c:w val="0.85119094488188973"/>
          <c:h val="0.65529657592325374"/>
        </c:manualLayout>
      </c:layout>
      <c:lineChart>
        <c:grouping val="standard"/>
        <c:varyColors val="0"/>
        <c:ser>
          <c:idx val="0"/>
          <c:order val="0"/>
          <c:tx>
            <c:strRef>
              <c:f>Fig_NTU!$B$1</c:f>
              <c:strCache>
                <c:ptCount val="1"/>
                <c:pt idx="0">
                  <c:v>Turbidity (NTU)</c:v>
                </c:pt>
              </c:strCache>
            </c:strRef>
          </c:tx>
          <c:cat>
            <c:numRef>
              <c:f>Fig_NTU!$A$2:$A$34</c:f>
              <c:numCache>
                <c:formatCode>[$-409]mmmm\ d\,\ yyyy;@</c:formatCode>
                <c:ptCount val="33"/>
                <c:pt idx="0">
                  <c:v>41796</c:v>
                </c:pt>
                <c:pt idx="1">
                  <c:v>41802</c:v>
                </c:pt>
                <c:pt idx="2">
                  <c:v>41808</c:v>
                </c:pt>
                <c:pt idx="3">
                  <c:v>41811</c:v>
                </c:pt>
                <c:pt idx="4">
                  <c:v>41813</c:v>
                </c:pt>
                <c:pt idx="5">
                  <c:v>41818</c:v>
                </c:pt>
                <c:pt idx="6">
                  <c:v>41826</c:v>
                </c:pt>
                <c:pt idx="7">
                  <c:v>41828</c:v>
                </c:pt>
                <c:pt idx="8">
                  <c:v>41830</c:v>
                </c:pt>
                <c:pt idx="9">
                  <c:v>41838</c:v>
                </c:pt>
                <c:pt idx="10">
                  <c:v>41840</c:v>
                </c:pt>
                <c:pt idx="11">
                  <c:v>41842</c:v>
                </c:pt>
                <c:pt idx="12">
                  <c:v>41844</c:v>
                </c:pt>
                <c:pt idx="13">
                  <c:v>41847</c:v>
                </c:pt>
                <c:pt idx="14">
                  <c:v>41851</c:v>
                </c:pt>
                <c:pt idx="15">
                  <c:v>41853</c:v>
                </c:pt>
                <c:pt idx="16">
                  <c:v>41855</c:v>
                </c:pt>
                <c:pt idx="17">
                  <c:v>41857</c:v>
                </c:pt>
                <c:pt idx="18">
                  <c:v>41859</c:v>
                </c:pt>
                <c:pt idx="19">
                  <c:v>41861</c:v>
                </c:pt>
                <c:pt idx="20">
                  <c:v>41863</c:v>
                </c:pt>
                <c:pt idx="21">
                  <c:v>41865</c:v>
                </c:pt>
                <c:pt idx="22">
                  <c:v>41867</c:v>
                </c:pt>
                <c:pt idx="23">
                  <c:v>41869</c:v>
                </c:pt>
                <c:pt idx="24">
                  <c:v>41871</c:v>
                </c:pt>
                <c:pt idx="25">
                  <c:v>41873</c:v>
                </c:pt>
                <c:pt idx="26">
                  <c:v>41875</c:v>
                </c:pt>
                <c:pt idx="27">
                  <c:v>41877</c:v>
                </c:pt>
                <c:pt idx="28">
                  <c:v>41880</c:v>
                </c:pt>
                <c:pt idx="29">
                  <c:v>41882</c:v>
                </c:pt>
                <c:pt idx="30">
                  <c:v>41884</c:v>
                </c:pt>
                <c:pt idx="31">
                  <c:v>41886</c:v>
                </c:pt>
                <c:pt idx="32">
                  <c:v>41889</c:v>
                </c:pt>
              </c:numCache>
            </c:numRef>
          </c:cat>
          <c:val>
            <c:numRef>
              <c:f>Fig_NTU!$B$2:$B$34</c:f>
              <c:numCache>
                <c:formatCode>0.00</c:formatCode>
                <c:ptCount val="33"/>
                <c:pt idx="0">
                  <c:v>9.42</c:v>
                </c:pt>
                <c:pt idx="1">
                  <c:v>39.700000000000003</c:v>
                </c:pt>
                <c:pt idx="2">
                  <c:v>49.2</c:v>
                </c:pt>
                <c:pt idx="3">
                  <c:v>61.8</c:v>
                </c:pt>
                <c:pt idx="4">
                  <c:v>46</c:v>
                </c:pt>
                <c:pt idx="5">
                  <c:v>86.6</c:v>
                </c:pt>
                <c:pt idx="6">
                  <c:v>73.599999999999994</c:v>
                </c:pt>
                <c:pt idx="7">
                  <c:v>269.3</c:v>
                </c:pt>
                <c:pt idx="8">
                  <c:v>66.3</c:v>
                </c:pt>
                <c:pt idx="9">
                  <c:v>78.7</c:v>
                </c:pt>
                <c:pt idx="10">
                  <c:v>71.5</c:v>
                </c:pt>
                <c:pt idx="11">
                  <c:v>112</c:v>
                </c:pt>
                <c:pt idx="12">
                  <c:v>75.400000000000006</c:v>
                </c:pt>
                <c:pt idx="13">
                  <c:v>78.099999999999994</c:v>
                </c:pt>
                <c:pt idx="14">
                  <c:v>59.6</c:v>
                </c:pt>
                <c:pt idx="15">
                  <c:v>92.4</c:v>
                </c:pt>
                <c:pt idx="16">
                  <c:v>131</c:v>
                </c:pt>
                <c:pt idx="17">
                  <c:v>81.7</c:v>
                </c:pt>
                <c:pt idx="18">
                  <c:v>46.6</c:v>
                </c:pt>
                <c:pt idx="19">
                  <c:v>77</c:v>
                </c:pt>
                <c:pt idx="20">
                  <c:v>89.3</c:v>
                </c:pt>
                <c:pt idx="21">
                  <c:v>107</c:v>
                </c:pt>
                <c:pt idx="22">
                  <c:v>74.3</c:v>
                </c:pt>
                <c:pt idx="23">
                  <c:v>104</c:v>
                </c:pt>
                <c:pt idx="24">
                  <c:v>60.4</c:v>
                </c:pt>
                <c:pt idx="25">
                  <c:v>63</c:v>
                </c:pt>
                <c:pt idx="26">
                  <c:v>86.3</c:v>
                </c:pt>
                <c:pt idx="27">
                  <c:v>84.2</c:v>
                </c:pt>
                <c:pt idx="28">
                  <c:v>66.099999999999994</c:v>
                </c:pt>
                <c:pt idx="29">
                  <c:v>59.6</c:v>
                </c:pt>
                <c:pt idx="30">
                  <c:v>29.5</c:v>
                </c:pt>
                <c:pt idx="31">
                  <c:v>25.8</c:v>
                </c:pt>
                <c:pt idx="32">
                  <c:v>21.1</c:v>
                </c:pt>
              </c:numCache>
            </c:numRef>
          </c:val>
          <c:smooth val="0"/>
        </c:ser>
        <c:dLbls>
          <c:showLegendKey val="0"/>
          <c:showVal val="0"/>
          <c:showCatName val="0"/>
          <c:showSerName val="0"/>
          <c:showPercent val="0"/>
          <c:showBubbleSize val="0"/>
        </c:dLbls>
        <c:marker val="1"/>
        <c:smooth val="0"/>
        <c:axId val="264751744"/>
        <c:axId val="264758016"/>
      </c:lineChart>
      <c:dateAx>
        <c:axId val="264751744"/>
        <c:scaling>
          <c:orientation val="minMax"/>
          <c:max val="41889"/>
          <c:min val="41796"/>
        </c:scaling>
        <c:delete val="0"/>
        <c:axPos val="b"/>
        <c:title>
          <c:tx>
            <c:rich>
              <a:bodyPr/>
              <a:lstStyle/>
              <a:p>
                <a:pPr>
                  <a:defRPr/>
                </a:pPr>
                <a:r>
                  <a:rPr lang="en-US"/>
                  <a:t>Date (m/d)</a:t>
                </a:r>
              </a:p>
            </c:rich>
          </c:tx>
          <c:layout/>
          <c:overlay val="0"/>
        </c:title>
        <c:numFmt formatCode="m/d" sourceLinked="0"/>
        <c:majorTickMark val="out"/>
        <c:minorTickMark val="out"/>
        <c:tickLblPos val="nextTo"/>
        <c:crossAx val="264758016"/>
        <c:crosses val="autoZero"/>
        <c:auto val="1"/>
        <c:lblOffset val="100"/>
        <c:baseTimeUnit val="days"/>
        <c:majorUnit val="7"/>
        <c:majorTimeUnit val="days"/>
        <c:minorUnit val="1"/>
        <c:minorTimeUnit val="days"/>
      </c:dateAx>
      <c:valAx>
        <c:axId val="264758016"/>
        <c:scaling>
          <c:orientation val="minMax"/>
        </c:scaling>
        <c:delete val="0"/>
        <c:axPos val="l"/>
        <c:title>
          <c:tx>
            <c:rich>
              <a:bodyPr rot="-5400000" vert="horz"/>
              <a:lstStyle/>
              <a:p>
                <a:pPr>
                  <a:defRPr/>
                </a:pPr>
                <a:r>
                  <a:rPr lang="en-US"/>
                  <a:t>Turbidity (NTU)</a:t>
                </a:r>
              </a:p>
            </c:rich>
          </c:tx>
          <c:layout>
            <c:manualLayout>
              <c:xMode val="edge"/>
              <c:yMode val="edge"/>
              <c:x val="2.0137795275590553E-3"/>
              <c:y val="0.17322678191776439"/>
            </c:manualLayout>
          </c:layout>
          <c:overlay val="0"/>
        </c:title>
        <c:numFmt formatCode="0" sourceLinked="0"/>
        <c:majorTickMark val="out"/>
        <c:minorTickMark val="none"/>
        <c:tickLblPos val="nextTo"/>
        <c:crossAx val="264751744"/>
        <c:crosses val="autoZero"/>
        <c:crossBetween val="between"/>
      </c:valAx>
    </c:plotArea>
    <c:legend>
      <c:legendPos val="r"/>
      <c:layout>
        <c:manualLayout>
          <c:xMode val="edge"/>
          <c:yMode val="edge"/>
          <c:x val="0.61206824146981631"/>
          <c:y val="0.14507095879626472"/>
          <c:w val="0.25737620297462815"/>
          <c:h val="0.12332766063936219"/>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0057125213098E-2"/>
          <c:y val="3.7046115841855541E-2"/>
          <c:w val="0.890397251814111"/>
          <c:h val="0.6848939248447603"/>
        </c:manualLayout>
      </c:layout>
      <c:scatterChart>
        <c:scatterStyle val="lineMarker"/>
        <c:varyColors val="0"/>
        <c:ser>
          <c:idx val="2"/>
          <c:order val="0"/>
          <c:tx>
            <c:v>Site 3 (right bank)</c:v>
          </c:tx>
          <c:spPr>
            <a:ln w="25400">
              <a:solidFill>
                <a:srgbClr val="00B050"/>
              </a:solidFill>
            </a:ln>
          </c:spPr>
          <c:marker>
            <c:symbol val="triangle"/>
            <c:size val="4"/>
            <c:spPr>
              <a:solidFill>
                <a:srgbClr val="00B050"/>
              </a:solidFill>
              <a:ln>
                <a:solidFill>
                  <a:srgbClr val="00B050"/>
                </a:solidFill>
              </a:ln>
            </c:spPr>
          </c:marker>
          <c:xVal>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Summary'!$V$196:$V$289</c:f>
              <c:numCache>
                <c:formatCode>0.0</c:formatCode>
                <c:ptCount val="94"/>
                <c:pt idx="3">
                  <c:v>0</c:v>
                </c:pt>
                <c:pt idx="4">
                  <c:v>0</c:v>
                </c:pt>
                <c:pt idx="5">
                  <c:v>0.13937282229965156</c:v>
                </c:pt>
                <c:pt idx="6">
                  <c:v>0</c:v>
                </c:pt>
                <c:pt idx="7">
                  <c:v>6.5573770491803296E-2</c:v>
                </c:pt>
                <c:pt idx="8">
                  <c:v>0.1941747572815534</c:v>
                </c:pt>
                <c:pt idx="9">
                  <c:v>0</c:v>
                </c:pt>
                <c:pt idx="10">
                  <c:v>0</c:v>
                </c:pt>
                <c:pt idx="11">
                  <c:v>5.905511811023622E-2</c:v>
                </c:pt>
                <c:pt idx="12">
                  <c:v>0.15228426395939085</c:v>
                </c:pt>
                <c:pt idx="13">
                  <c:v>0.44025157232704409</c:v>
                </c:pt>
                <c:pt idx="14">
                  <c:v>0.43032786885245894</c:v>
                </c:pt>
                <c:pt idx="15">
                  <c:v>0.81871345029239762</c:v>
                </c:pt>
                <c:pt idx="16">
                  <c:v>0.68965517241379315</c:v>
                </c:pt>
                <c:pt idx="17">
                  <c:v>0.17224880382775118</c:v>
                </c:pt>
                <c:pt idx="18">
                  <c:v>0.4</c:v>
                </c:pt>
                <c:pt idx="19">
                  <c:v>0.49689440993788814</c:v>
                </c:pt>
                <c:pt idx="23">
                  <c:v>0.17029328287606432</c:v>
                </c:pt>
                <c:pt idx="24">
                  <c:v>0.46413502109704641</c:v>
                </c:pt>
                <c:pt idx="25">
                  <c:v>1.125</c:v>
                </c:pt>
                <c:pt idx="26">
                  <c:v>0.87655222790357923</c:v>
                </c:pt>
                <c:pt idx="27">
                  <c:v>0.75093867334167708</c:v>
                </c:pt>
                <c:pt idx="28">
                  <c:v>0.81603435934144586</c:v>
                </c:pt>
                <c:pt idx="29">
                  <c:v>0.75736325385694248</c:v>
                </c:pt>
                <c:pt idx="30">
                  <c:v>0.59490084985835689</c:v>
                </c:pt>
                <c:pt idx="31">
                  <c:v>0.70432868672046955</c:v>
                </c:pt>
                <c:pt idx="32">
                  <c:v>0.28011204481792717</c:v>
                </c:pt>
                <c:pt idx="33">
                  <c:v>0.5164992826398852</c:v>
                </c:pt>
                <c:pt idx="34">
                  <c:v>0.5</c:v>
                </c:pt>
                <c:pt idx="35">
                  <c:v>0.5</c:v>
                </c:pt>
                <c:pt idx="36">
                  <c:v>0.25192442267319803</c:v>
                </c:pt>
                <c:pt idx="37">
                  <c:v>0.34482758620689657</c:v>
                </c:pt>
                <c:pt idx="38">
                  <c:v>0.20833333333333334</c:v>
                </c:pt>
                <c:pt idx="39">
                  <c:v>0.33449477351916374</c:v>
                </c:pt>
                <c:pt idx="40">
                  <c:v>0.20833333333333334</c:v>
                </c:pt>
                <c:pt idx="41">
                  <c:v>0.16842105263157894</c:v>
                </c:pt>
                <c:pt idx="42">
                  <c:v>0.34188034188034189</c:v>
                </c:pt>
                <c:pt idx="43">
                  <c:v>0.42253521126760574</c:v>
                </c:pt>
                <c:pt idx="44">
                  <c:v>0.41841004184100428</c:v>
                </c:pt>
                <c:pt idx="45">
                  <c:v>0.33287101248266293</c:v>
                </c:pt>
                <c:pt idx="46">
                  <c:v>8.5714285714285715E-2</c:v>
                </c:pt>
                <c:pt idx="47">
                  <c:v>8.4269662921348312E-2</c:v>
                </c:pt>
                <c:pt idx="48">
                  <c:v>0</c:v>
                </c:pt>
                <c:pt idx="49">
                  <c:v>8.3333333333333356E-2</c:v>
                </c:pt>
                <c:pt idx="50">
                  <c:v>7.9260237780713338E-2</c:v>
                </c:pt>
                <c:pt idx="51">
                  <c:v>0</c:v>
                </c:pt>
                <c:pt idx="52">
                  <c:v>0</c:v>
                </c:pt>
                <c:pt idx="53">
                  <c:v>0</c:v>
                </c:pt>
                <c:pt idx="54">
                  <c:v>0</c:v>
                </c:pt>
                <c:pt idx="55">
                  <c:v>0.16973125884016979</c:v>
                </c:pt>
                <c:pt idx="56">
                  <c:v>8.3333333333333343E-2</c:v>
                </c:pt>
                <c:pt idx="57">
                  <c:v>0</c:v>
                </c:pt>
                <c:pt idx="58">
                  <c:v>0</c:v>
                </c:pt>
                <c:pt idx="59">
                  <c:v>0</c:v>
                </c:pt>
                <c:pt idx="60">
                  <c:v>0.24827586206896551</c:v>
                </c:pt>
                <c:pt idx="61">
                  <c:v>8.3333333333333329E-2</c:v>
                </c:pt>
                <c:pt idx="62">
                  <c:v>8.3333333333333329E-2</c:v>
                </c:pt>
                <c:pt idx="63">
                  <c:v>8.3565459610027884E-2</c:v>
                </c:pt>
                <c:pt idx="64">
                  <c:v>8.3333333333333315E-2</c:v>
                </c:pt>
                <c:pt idx="65">
                  <c:v>0</c:v>
                </c:pt>
                <c:pt idx="66">
                  <c:v>0</c:v>
                </c:pt>
                <c:pt idx="67">
                  <c:v>0</c:v>
                </c:pt>
                <c:pt idx="68">
                  <c:v>8.3449235048678697E-2</c:v>
                </c:pt>
                <c:pt idx="69">
                  <c:v>0</c:v>
                </c:pt>
                <c:pt idx="70">
                  <c:v>0</c:v>
                </c:pt>
                <c:pt idx="71">
                  <c:v>0</c:v>
                </c:pt>
                <c:pt idx="72">
                  <c:v>0</c:v>
                </c:pt>
                <c:pt idx="73">
                  <c:v>0</c:v>
                </c:pt>
                <c:pt idx="74">
                  <c:v>0</c:v>
                </c:pt>
                <c:pt idx="75">
                  <c:v>0</c:v>
                </c:pt>
                <c:pt idx="76">
                  <c:v>0</c:v>
                </c:pt>
                <c:pt idx="77">
                  <c:v>0</c:v>
                </c:pt>
                <c:pt idx="78">
                  <c:v>0</c:v>
                </c:pt>
                <c:pt idx="79">
                  <c:v>8.2079343365253077E-2</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yVal>
          <c:smooth val="0"/>
        </c:ser>
        <c:ser>
          <c:idx val="0"/>
          <c:order val="1"/>
          <c:tx>
            <c:v>Site 2 (left bank)</c:v>
          </c:tx>
          <c:spPr>
            <a:ln w="25400">
              <a:solidFill>
                <a:schemeClr val="tx2"/>
              </a:solidFill>
            </a:ln>
          </c:spPr>
          <c:marker>
            <c:symbol val="diamond"/>
            <c:size val="5"/>
            <c:spPr>
              <a:solidFill>
                <a:schemeClr val="tx2"/>
              </a:solidFill>
              <a:ln>
                <a:solidFill>
                  <a:schemeClr val="tx2"/>
                </a:solidFill>
              </a:ln>
            </c:spPr>
          </c:marker>
          <c:xVal>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Summary'!$V$100:$V$193</c:f>
              <c:numCache>
                <c:formatCode>0.0</c:formatCode>
                <c:ptCount val="94"/>
                <c:pt idx="0">
                  <c:v>0</c:v>
                </c:pt>
                <c:pt idx="6">
                  <c:v>0.16172506738544473</c:v>
                </c:pt>
                <c:pt idx="7">
                  <c:v>0.2015677491601344</c:v>
                </c:pt>
                <c:pt idx="8">
                  <c:v>0.38461538461538458</c:v>
                </c:pt>
                <c:pt idx="9">
                  <c:v>0.12618296529968451</c:v>
                </c:pt>
                <c:pt idx="10">
                  <c:v>5.9820538384845467E-2</c:v>
                </c:pt>
                <c:pt idx="11">
                  <c:v>6.5573770491803282E-2</c:v>
                </c:pt>
                <c:pt idx="12">
                  <c:v>0.18672199170124482</c:v>
                </c:pt>
                <c:pt idx="13">
                  <c:v>0</c:v>
                </c:pt>
                <c:pt idx="14">
                  <c:v>0.12383900928792571</c:v>
                </c:pt>
                <c:pt idx="15">
                  <c:v>0</c:v>
                </c:pt>
                <c:pt idx="16">
                  <c:v>6.2434963579604583E-2</c:v>
                </c:pt>
                <c:pt idx="17">
                  <c:v>0.34883720930232559</c:v>
                </c:pt>
                <c:pt idx="18">
                  <c:v>0.23210831721470018</c:v>
                </c:pt>
                <c:pt idx="19">
                  <c:v>0.18274111675126903</c:v>
                </c:pt>
                <c:pt idx="22">
                  <c:v>0</c:v>
                </c:pt>
                <c:pt idx="23">
                  <c:v>0</c:v>
                </c:pt>
                <c:pt idx="24">
                  <c:v>0</c:v>
                </c:pt>
                <c:pt idx="25">
                  <c:v>4.195804195804196E-2</c:v>
                </c:pt>
                <c:pt idx="26">
                  <c:v>0.12921751615218952</c:v>
                </c:pt>
                <c:pt idx="27">
                  <c:v>0.11267605633802817</c:v>
                </c:pt>
                <c:pt idx="28">
                  <c:v>0.10221465076660988</c:v>
                </c:pt>
                <c:pt idx="29">
                  <c:v>0.45833333333333331</c:v>
                </c:pt>
                <c:pt idx="30">
                  <c:v>0.20833333333333331</c:v>
                </c:pt>
                <c:pt idx="31">
                  <c:v>0.20833333333333334</c:v>
                </c:pt>
                <c:pt idx="32">
                  <c:v>0.12543554006968641</c:v>
                </c:pt>
                <c:pt idx="33">
                  <c:v>8.3333333333333329E-2</c:v>
                </c:pt>
                <c:pt idx="34">
                  <c:v>8.3333333333333329E-2</c:v>
                </c:pt>
                <c:pt idx="35">
                  <c:v>0.125</c:v>
                </c:pt>
                <c:pt idx="36">
                  <c:v>0</c:v>
                </c:pt>
                <c:pt idx="37">
                  <c:v>0.125</c:v>
                </c:pt>
                <c:pt idx="38">
                  <c:v>8.3333333333333329E-2</c:v>
                </c:pt>
                <c:pt idx="39">
                  <c:v>4.1666666666666664E-2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8.3333333333333356E-2</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yVal>
          <c:smooth val="0"/>
        </c:ser>
        <c:ser>
          <c:idx val="1"/>
          <c:order val="2"/>
          <c:tx>
            <c:v>Site 1 (right bank)</c:v>
          </c:tx>
          <c:spPr>
            <a:ln w="25400">
              <a:solidFill>
                <a:srgbClr val="C00000"/>
              </a:solidFill>
            </a:ln>
          </c:spPr>
          <c:marker>
            <c:symbol val="square"/>
            <c:size val="3"/>
            <c:spPr>
              <a:solidFill>
                <a:srgbClr val="C00000"/>
              </a:solidFill>
              <a:ln>
                <a:solidFill>
                  <a:srgbClr val="C00000"/>
                </a:solidFill>
              </a:ln>
            </c:spPr>
          </c:marker>
          <c:xVal>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Summary'!$V$4:$V$97</c:f>
              <c:numCache>
                <c:formatCode>0.0</c:formatCode>
                <c:ptCount val="94"/>
                <c:pt idx="0">
                  <c:v>0</c:v>
                </c:pt>
                <c:pt idx="1">
                  <c:v>0</c:v>
                </c:pt>
                <c:pt idx="2">
                  <c:v>0</c:v>
                </c:pt>
                <c:pt idx="3">
                  <c:v>0</c:v>
                </c:pt>
                <c:pt idx="4">
                  <c:v>0</c:v>
                </c:pt>
                <c:pt idx="5">
                  <c:v>0</c:v>
                </c:pt>
                <c:pt idx="6">
                  <c:v>0</c:v>
                </c:pt>
                <c:pt idx="7">
                  <c:v>6.7189249720044794E-2</c:v>
                </c:pt>
                <c:pt idx="8">
                  <c:v>0.1323042998897464</c:v>
                </c:pt>
                <c:pt idx="9">
                  <c:v>6.3025210084033598E-2</c:v>
                </c:pt>
                <c:pt idx="10">
                  <c:v>0.23076923076923078</c:v>
                </c:pt>
                <c:pt idx="11">
                  <c:v>1.0201912858661</c:v>
                </c:pt>
                <c:pt idx="12">
                  <c:v>0.74569789674952203</c:v>
                </c:pt>
                <c:pt idx="13">
                  <c:v>5.8765915768854066E-2</c:v>
                </c:pt>
                <c:pt idx="14">
                  <c:v>0.49180327868852475</c:v>
                </c:pt>
                <c:pt idx="15">
                  <c:v>0.51526717557251911</c:v>
                </c:pt>
                <c:pt idx="16">
                  <c:v>0.1789264413518887</c:v>
                </c:pt>
                <c:pt idx="17">
                  <c:v>0.34123222748815168</c:v>
                </c:pt>
                <c:pt idx="18">
                  <c:v>0.62559241706161128</c:v>
                </c:pt>
                <c:pt idx="19">
                  <c:v>0.46692607003891062</c:v>
                </c:pt>
                <c:pt idx="20">
                  <c:v>0</c:v>
                </c:pt>
                <c:pt idx="21">
                  <c:v>0</c:v>
                </c:pt>
                <c:pt idx="22">
                  <c:v>0.50261780104712039</c:v>
                </c:pt>
                <c:pt idx="23">
                  <c:v>1.0416666666666667</c:v>
                </c:pt>
                <c:pt idx="24">
                  <c:v>1.5833333333333335</c:v>
                </c:pt>
                <c:pt idx="25">
                  <c:v>1.2676056338028168</c:v>
                </c:pt>
                <c:pt idx="26">
                  <c:v>0.18662519440124417</c:v>
                </c:pt>
                <c:pt idx="27">
                  <c:v>0.16651248843663274</c:v>
                </c:pt>
                <c:pt idx="28">
                  <c:v>0.43699927166788055</c:v>
                </c:pt>
                <c:pt idx="29">
                  <c:v>0.45865184155663646</c:v>
                </c:pt>
                <c:pt idx="30">
                  <c:v>0.58536585365853666</c:v>
                </c:pt>
                <c:pt idx="31">
                  <c:v>0.29935851746258019</c:v>
                </c:pt>
                <c:pt idx="32">
                  <c:v>8.4925690021231418E-2</c:v>
                </c:pt>
                <c:pt idx="33">
                  <c:v>0.41899441340782123</c:v>
                </c:pt>
                <c:pt idx="34">
                  <c:v>0.16666666666666666</c:v>
                </c:pt>
                <c:pt idx="35">
                  <c:v>0</c:v>
                </c:pt>
                <c:pt idx="36">
                  <c:v>4.1666666666666664E-2</c:v>
                </c:pt>
                <c:pt idx="37">
                  <c:v>5.1903114186851215E-2</c:v>
                </c:pt>
                <c:pt idx="38">
                  <c:v>8.3333333333333329E-2</c:v>
                </c:pt>
                <c:pt idx="39">
                  <c:v>0.10050251256281408</c:v>
                </c:pt>
                <c:pt idx="40">
                  <c:v>8.3333333333333329E-2</c:v>
                </c:pt>
                <c:pt idx="41">
                  <c:v>0.12569832402234637</c:v>
                </c:pt>
                <c:pt idx="42">
                  <c:v>4.2765502494654314E-2</c:v>
                </c:pt>
                <c:pt idx="43">
                  <c:v>8.7082728592162581E-2</c:v>
                </c:pt>
                <c:pt idx="44">
                  <c:v>9.4488188976377979E-2</c:v>
                </c:pt>
                <c:pt idx="45">
                  <c:v>0</c:v>
                </c:pt>
                <c:pt idx="46">
                  <c:v>0</c:v>
                </c:pt>
                <c:pt idx="47">
                  <c:v>0.16438356164383564</c:v>
                </c:pt>
                <c:pt idx="48">
                  <c:v>8.8626292466765136E-2</c:v>
                </c:pt>
                <c:pt idx="49">
                  <c:v>7.9155672823219017E-2</c:v>
                </c:pt>
                <c:pt idx="50">
                  <c:v>0</c:v>
                </c:pt>
                <c:pt idx="51">
                  <c:v>0</c:v>
                </c:pt>
                <c:pt idx="52">
                  <c:v>8.0971659919028341E-2</c:v>
                </c:pt>
                <c:pt idx="53">
                  <c:v>0</c:v>
                </c:pt>
                <c:pt idx="54">
                  <c:v>0</c:v>
                </c:pt>
                <c:pt idx="55">
                  <c:v>8.3217753120665733E-2</c:v>
                </c:pt>
                <c:pt idx="56">
                  <c:v>0</c:v>
                </c:pt>
                <c:pt idx="57">
                  <c:v>0</c:v>
                </c:pt>
                <c:pt idx="58">
                  <c:v>0</c:v>
                </c:pt>
                <c:pt idx="59">
                  <c:v>0</c:v>
                </c:pt>
                <c:pt idx="60">
                  <c:v>0</c:v>
                </c:pt>
                <c:pt idx="61">
                  <c:v>0</c:v>
                </c:pt>
                <c:pt idx="62">
                  <c:v>0.16666666666666663</c:v>
                </c:pt>
                <c:pt idx="63">
                  <c:v>0</c:v>
                </c:pt>
                <c:pt idx="64">
                  <c:v>0</c:v>
                </c:pt>
                <c:pt idx="65">
                  <c:v>8.1081081081081072E-2</c:v>
                </c:pt>
                <c:pt idx="66">
                  <c:v>0</c:v>
                </c:pt>
                <c:pt idx="67">
                  <c:v>0</c:v>
                </c:pt>
                <c:pt idx="68">
                  <c:v>0</c:v>
                </c:pt>
                <c:pt idx="69">
                  <c:v>0</c:v>
                </c:pt>
                <c:pt idx="70">
                  <c:v>0</c:v>
                </c:pt>
                <c:pt idx="71">
                  <c:v>0</c:v>
                </c:pt>
                <c:pt idx="72">
                  <c:v>0</c:v>
                </c:pt>
                <c:pt idx="73">
                  <c:v>8.2530949105914714E-2</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yVal>
          <c:smooth val="0"/>
        </c:ser>
        <c:dLbls>
          <c:showLegendKey val="0"/>
          <c:showVal val="0"/>
          <c:showCatName val="0"/>
          <c:showSerName val="0"/>
          <c:showPercent val="0"/>
          <c:showBubbleSize val="0"/>
        </c:dLbls>
        <c:axId val="244352512"/>
        <c:axId val="244355840"/>
      </c:scatterChart>
      <c:valAx>
        <c:axId val="244352512"/>
        <c:scaling>
          <c:orientation val="minMax"/>
          <c:max val="41889"/>
          <c:min val="41796"/>
        </c:scaling>
        <c:delete val="0"/>
        <c:axPos val="b"/>
        <c:title>
          <c:tx>
            <c:rich>
              <a:bodyPr/>
              <a:lstStyle/>
              <a:p>
                <a:pPr>
                  <a:defRPr b="1"/>
                </a:pPr>
                <a:r>
                  <a:rPr lang="en-CA" b="1"/>
                  <a:t>Date (m/d)</a:t>
                </a:r>
              </a:p>
            </c:rich>
          </c:tx>
          <c:layout>
            <c:manualLayout>
              <c:xMode val="edge"/>
              <c:yMode val="edge"/>
              <c:x val="0.47548293963256022"/>
              <c:y val="0.91151791546418703"/>
            </c:manualLayout>
          </c:layout>
          <c:overlay val="0"/>
        </c:title>
        <c:numFmt formatCode="m/d" sourceLinked="0"/>
        <c:majorTickMark val="out"/>
        <c:minorTickMark val="out"/>
        <c:tickLblPos val="nextTo"/>
        <c:spPr>
          <a:ln w="12700">
            <a:solidFill>
              <a:schemeClr val="tx1"/>
            </a:solidFill>
          </a:ln>
        </c:spPr>
        <c:txPr>
          <a:bodyPr rot="-5400000" vert="horz"/>
          <a:lstStyle/>
          <a:p>
            <a:pPr>
              <a:defRPr/>
            </a:pPr>
            <a:endParaRPr lang="en-US"/>
          </a:p>
        </c:txPr>
        <c:crossAx val="244355840"/>
        <c:crosses val="autoZero"/>
        <c:crossBetween val="midCat"/>
        <c:majorUnit val="7"/>
        <c:minorUnit val="1"/>
      </c:valAx>
      <c:valAx>
        <c:axId val="244355840"/>
        <c:scaling>
          <c:orientation val="minMax"/>
          <c:max val="1.6"/>
          <c:min val="0"/>
        </c:scaling>
        <c:delete val="0"/>
        <c:axPos val="l"/>
        <c:title>
          <c:tx>
            <c:rich>
              <a:bodyPr/>
              <a:lstStyle/>
              <a:p>
                <a:pPr>
                  <a:defRPr b="1"/>
                </a:pPr>
                <a:r>
                  <a:rPr lang="en-CA" b="1"/>
                  <a:t>CPUE (# fish/h)</a:t>
                </a:r>
              </a:p>
            </c:rich>
          </c:tx>
          <c:layout>
            <c:manualLayout>
              <c:xMode val="edge"/>
              <c:yMode val="edge"/>
              <c:x val="3.3409468854561212E-3"/>
              <c:y val="0.15974679635634551"/>
            </c:manualLayout>
          </c:layout>
          <c:overlay val="0"/>
        </c:title>
        <c:numFmt formatCode="#,##0.0" sourceLinked="0"/>
        <c:majorTickMark val="out"/>
        <c:minorTickMark val="none"/>
        <c:tickLblPos val="nextTo"/>
        <c:spPr>
          <a:ln w="12700">
            <a:solidFill>
              <a:schemeClr val="tx1"/>
            </a:solidFill>
          </a:ln>
        </c:spPr>
        <c:txPr>
          <a:bodyPr rot="0" vert="horz"/>
          <a:lstStyle/>
          <a:p>
            <a:pPr>
              <a:defRPr/>
            </a:pPr>
            <a:endParaRPr lang="en-US"/>
          </a:p>
        </c:txPr>
        <c:crossAx val="244352512"/>
        <c:crosses val="autoZero"/>
        <c:crossBetween val="midCat"/>
        <c:majorUnit val="0.4"/>
      </c:valAx>
    </c:plotArea>
    <c:legend>
      <c:legendPos val="r"/>
      <c:layout>
        <c:manualLayout>
          <c:xMode val="edge"/>
          <c:yMode val="edge"/>
          <c:x val="0.71754994543207895"/>
          <c:y val="0.26040167862806901"/>
          <c:w val="0.25211912943871673"/>
          <c:h val="0.31270350268950098"/>
        </c:manualLayout>
      </c:layout>
      <c:overlay val="0"/>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23371414205362E-2"/>
          <c:y val="4.2736842105263198E-2"/>
          <c:w val="0.92663590675588803"/>
          <c:h val="0.74093285825306165"/>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Summary'!$K$4:$K$97</c:f>
              <c:numCache>
                <c:formatCode>General</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1</c:v>
                </c:pt>
                <c:pt idx="24">
                  <c:v>1</c:v>
                </c:pt>
                <c:pt idx="25">
                  <c:v>0</c:v>
                </c:pt>
                <c:pt idx="26">
                  <c:v>0</c:v>
                </c:pt>
                <c:pt idx="27">
                  <c:v>1</c:v>
                </c:pt>
                <c:pt idx="28">
                  <c:v>0</c:v>
                </c:pt>
                <c:pt idx="29">
                  <c:v>0</c:v>
                </c:pt>
                <c:pt idx="30">
                  <c:v>1</c:v>
                </c:pt>
                <c:pt idx="31">
                  <c:v>0</c:v>
                </c:pt>
                <c:pt idx="32">
                  <c:v>0</c:v>
                </c:pt>
                <c:pt idx="33">
                  <c:v>0</c:v>
                </c:pt>
                <c:pt idx="34">
                  <c:v>0</c:v>
                </c:pt>
                <c:pt idx="35">
                  <c:v>0</c:v>
                </c:pt>
                <c:pt idx="36">
                  <c:v>1</c:v>
                </c:pt>
                <c:pt idx="37">
                  <c:v>0</c:v>
                </c:pt>
                <c:pt idx="38">
                  <c:v>0</c:v>
                </c:pt>
                <c:pt idx="39">
                  <c:v>1</c:v>
                </c:pt>
                <c:pt idx="40">
                  <c:v>0</c:v>
                </c:pt>
                <c:pt idx="41">
                  <c:v>2</c:v>
                </c:pt>
                <c:pt idx="42">
                  <c:v>0</c:v>
                </c:pt>
                <c:pt idx="43">
                  <c:v>1</c:v>
                </c:pt>
                <c:pt idx="44">
                  <c:v>0</c:v>
                </c:pt>
                <c:pt idx="45">
                  <c:v>0</c:v>
                </c:pt>
                <c:pt idx="46">
                  <c:v>0</c:v>
                </c:pt>
                <c:pt idx="47">
                  <c:v>3</c:v>
                </c:pt>
                <c:pt idx="48">
                  <c:v>2</c:v>
                </c:pt>
                <c:pt idx="49">
                  <c:v>1</c:v>
                </c:pt>
                <c:pt idx="50">
                  <c:v>0</c:v>
                </c:pt>
                <c:pt idx="51">
                  <c:v>0</c:v>
                </c:pt>
                <c:pt idx="52">
                  <c:v>3</c:v>
                </c:pt>
                <c:pt idx="53">
                  <c:v>2</c:v>
                </c:pt>
                <c:pt idx="54">
                  <c:v>1</c:v>
                </c:pt>
                <c:pt idx="55">
                  <c:v>0</c:v>
                </c:pt>
                <c:pt idx="56">
                  <c:v>2</c:v>
                </c:pt>
                <c:pt idx="57">
                  <c:v>0</c:v>
                </c:pt>
                <c:pt idx="58">
                  <c:v>1</c:v>
                </c:pt>
                <c:pt idx="59">
                  <c:v>1</c:v>
                </c:pt>
                <c:pt idx="60">
                  <c:v>3</c:v>
                </c:pt>
                <c:pt idx="61">
                  <c:v>1</c:v>
                </c:pt>
                <c:pt idx="62">
                  <c:v>3</c:v>
                </c:pt>
                <c:pt idx="63">
                  <c:v>4</c:v>
                </c:pt>
                <c:pt idx="64">
                  <c:v>1</c:v>
                </c:pt>
                <c:pt idx="65">
                  <c:v>0</c:v>
                </c:pt>
                <c:pt idx="66">
                  <c:v>3</c:v>
                </c:pt>
                <c:pt idx="67">
                  <c:v>1</c:v>
                </c:pt>
                <c:pt idx="68">
                  <c:v>2</c:v>
                </c:pt>
                <c:pt idx="69">
                  <c:v>3</c:v>
                </c:pt>
                <c:pt idx="70">
                  <c:v>4</c:v>
                </c:pt>
                <c:pt idx="71">
                  <c:v>2</c:v>
                </c:pt>
                <c:pt idx="72">
                  <c:v>1</c:v>
                </c:pt>
                <c:pt idx="73">
                  <c:v>1</c:v>
                </c:pt>
                <c:pt idx="74">
                  <c:v>1</c:v>
                </c:pt>
                <c:pt idx="75">
                  <c:v>2</c:v>
                </c:pt>
                <c:pt idx="76">
                  <c:v>0</c:v>
                </c:pt>
                <c:pt idx="77">
                  <c:v>1</c:v>
                </c:pt>
                <c:pt idx="78">
                  <c:v>0</c:v>
                </c:pt>
                <c:pt idx="79">
                  <c:v>0</c:v>
                </c:pt>
                <c:pt idx="80">
                  <c:v>0</c:v>
                </c:pt>
                <c:pt idx="81">
                  <c:v>0</c:v>
                </c:pt>
                <c:pt idx="82">
                  <c:v>0</c:v>
                </c:pt>
                <c:pt idx="83">
                  <c:v>0</c:v>
                </c:pt>
                <c:pt idx="84">
                  <c:v>0</c:v>
                </c:pt>
                <c:pt idx="85">
                  <c:v>1</c:v>
                </c:pt>
                <c:pt idx="86">
                  <c:v>0</c:v>
                </c:pt>
                <c:pt idx="87">
                  <c:v>0</c:v>
                </c:pt>
                <c:pt idx="88">
                  <c:v>0</c:v>
                </c:pt>
                <c:pt idx="89">
                  <c:v>0</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Summary'!$K$100:$K$193</c:f>
              <c:numCache>
                <c:formatCode>General</c:formatCode>
                <c:ptCount val="94"/>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1</c:v>
                </c:pt>
                <c:pt idx="31">
                  <c:v>1</c:v>
                </c:pt>
                <c:pt idx="32">
                  <c:v>0</c:v>
                </c:pt>
                <c:pt idx="33">
                  <c:v>0</c:v>
                </c:pt>
                <c:pt idx="34">
                  <c:v>1</c:v>
                </c:pt>
                <c:pt idx="35">
                  <c:v>1</c:v>
                </c:pt>
                <c:pt idx="36">
                  <c:v>0</c:v>
                </c:pt>
                <c:pt idx="37">
                  <c:v>0</c:v>
                </c:pt>
                <c:pt idx="38">
                  <c:v>1</c:v>
                </c:pt>
                <c:pt idx="39">
                  <c:v>5</c:v>
                </c:pt>
                <c:pt idx="40">
                  <c:v>1</c:v>
                </c:pt>
                <c:pt idx="41">
                  <c:v>1</c:v>
                </c:pt>
                <c:pt idx="42">
                  <c:v>3</c:v>
                </c:pt>
                <c:pt idx="43">
                  <c:v>0</c:v>
                </c:pt>
                <c:pt idx="44">
                  <c:v>2</c:v>
                </c:pt>
                <c:pt idx="45">
                  <c:v>0</c:v>
                </c:pt>
                <c:pt idx="46">
                  <c:v>8</c:v>
                </c:pt>
                <c:pt idx="47">
                  <c:v>2</c:v>
                </c:pt>
                <c:pt idx="48">
                  <c:v>1</c:v>
                </c:pt>
                <c:pt idx="49">
                  <c:v>1</c:v>
                </c:pt>
                <c:pt idx="50">
                  <c:v>2</c:v>
                </c:pt>
                <c:pt idx="51">
                  <c:v>6</c:v>
                </c:pt>
                <c:pt idx="52">
                  <c:v>5</c:v>
                </c:pt>
                <c:pt idx="53">
                  <c:v>4</c:v>
                </c:pt>
                <c:pt idx="54">
                  <c:v>3</c:v>
                </c:pt>
                <c:pt idx="55">
                  <c:v>4</c:v>
                </c:pt>
                <c:pt idx="56">
                  <c:v>1</c:v>
                </c:pt>
                <c:pt idx="57">
                  <c:v>1</c:v>
                </c:pt>
                <c:pt idx="58">
                  <c:v>1</c:v>
                </c:pt>
                <c:pt idx="59">
                  <c:v>2</c:v>
                </c:pt>
                <c:pt idx="60">
                  <c:v>2</c:v>
                </c:pt>
                <c:pt idx="61">
                  <c:v>4</c:v>
                </c:pt>
                <c:pt idx="62">
                  <c:v>8</c:v>
                </c:pt>
                <c:pt idx="63">
                  <c:v>0</c:v>
                </c:pt>
                <c:pt idx="64">
                  <c:v>0</c:v>
                </c:pt>
                <c:pt idx="65">
                  <c:v>3</c:v>
                </c:pt>
                <c:pt idx="66">
                  <c:v>0</c:v>
                </c:pt>
                <c:pt idx="67">
                  <c:v>6</c:v>
                </c:pt>
                <c:pt idx="68">
                  <c:v>1</c:v>
                </c:pt>
                <c:pt idx="69">
                  <c:v>0</c:v>
                </c:pt>
                <c:pt idx="70">
                  <c:v>0</c:v>
                </c:pt>
                <c:pt idx="71">
                  <c:v>1</c:v>
                </c:pt>
                <c:pt idx="72">
                  <c:v>0</c:v>
                </c:pt>
                <c:pt idx="73">
                  <c:v>0</c:v>
                </c:pt>
                <c:pt idx="74">
                  <c:v>1</c:v>
                </c:pt>
                <c:pt idx="75">
                  <c:v>2</c:v>
                </c:pt>
                <c:pt idx="76">
                  <c:v>1</c:v>
                </c:pt>
                <c:pt idx="77">
                  <c:v>1</c:v>
                </c:pt>
                <c:pt idx="78">
                  <c:v>0</c:v>
                </c:pt>
                <c:pt idx="79">
                  <c:v>1</c:v>
                </c:pt>
                <c:pt idx="80">
                  <c:v>1</c:v>
                </c:pt>
                <c:pt idx="81">
                  <c:v>0</c:v>
                </c:pt>
                <c:pt idx="82">
                  <c:v>0</c:v>
                </c:pt>
                <c:pt idx="83">
                  <c:v>0</c:v>
                </c:pt>
                <c:pt idx="84">
                  <c:v>0</c:v>
                </c:pt>
                <c:pt idx="85">
                  <c:v>0</c:v>
                </c:pt>
                <c:pt idx="86">
                  <c:v>0</c:v>
                </c:pt>
                <c:pt idx="87">
                  <c:v>1</c:v>
                </c:pt>
                <c:pt idx="88">
                  <c:v>0</c:v>
                </c:pt>
                <c:pt idx="89">
                  <c:v>1</c:v>
                </c:pt>
                <c:pt idx="90">
                  <c:v>0</c:v>
                </c:pt>
                <c:pt idx="91">
                  <c:v>0</c:v>
                </c:pt>
                <c:pt idx="92">
                  <c:v>0</c:v>
                </c:pt>
                <c:pt idx="93">
                  <c:v>0</c:v>
                </c:pt>
              </c:numCache>
            </c:numRef>
          </c:val>
        </c:ser>
        <c:ser>
          <c:idx val="0"/>
          <c:order val="2"/>
          <c:tx>
            <c:v>Site 3 (right bank)</c:v>
          </c:tx>
          <c:spPr>
            <a:solidFill>
              <a:srgbClr val="00B050"/>
            </a:solidFill>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Summary'!$K$196:$K$289</c:f>
              <c:numCache>
                <c:formatCode>General</c:formatCode>
                <c:ptCount val="94"/>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c:v>
                </c:pt>
                <c:pt idx="40">
                  <c:v>1</c:v>
                </c:pt>
                <c:pt idx="41">
                  <c:v>0</c:v>
                </c:pt>
                <c:pt idx="42">
                  <c:v>1</c:v>
                </c:pt>
                <c:pt idx="43">
                  <c:v>3</c:v>
                </c:pt>
                <c:pt idx="44">
                  <c:v>1</c:v>
                </c:pt>
                <c:pt idx="45">
                  <c:v>0</c:v>
                </c:pt>
                <c:pt idx="46">
                  <c:v>0</c:v>
                </c:pt>
                <c:pt idx="47">
                  <c:v>6</c:v>
                </c:pt>
                <c:pt idx="48">
                  <c:v>2</c:v>
                </c:pt>
                <c:pt idx="49">
                  <c:v>0</c:v>
                </c:pt>
                <c:pt idx="50">
                  <c:v>2</c:v>
                </c:pt>
                <c:pt idx="51">
                  <c:v>3</c:v>
                </c:pt>
                <c:pt idx="52">
                  <c:v>5</c:v>
                </c:pt>
                <c:pt idx="53">
                  <c:v>2</c:v>
                </c:pt>
                <c:pt idx="54">
                  <c:v>1</c:v>
                </c:pt>
                <c:pt idx="55">
                  <c:v>3</c:v>
                </c:pt>
                <c:pt idx="56">
                  <c:v>4</c:v>
                </c:pt>
                <c:pt idx="57">
                  <c:v>0</c:v>
                </c:pt>
                <c:pt idx="58">
                  <c:v>0</c:v>
                </c:pt>
                <c:pt idx="59">
                  <c:v>1</c:v>
                </c:pt>
                <c:pt idx="60">
                  <c:v>3</c:v>
                </c:pt>
                <c:pt idx="61">
                  <c:v>0</c:v>
                </c:pt>
                <c:pt idx="62">
                  <c:v>1</c:v>
                </c:pt>
                <c:pt idx="63">
                  <c:v>1</c:v>
                </c:pt>
                <c:pt idx="64">
                  <c:v>0</c:v>
                </c:pt>
                <c:pt idx="65">
                  <c:v>3</c:v>
                </c:pt>
                <c:pt idx="66">
                  <c:v>6</c:v>
                </c:pt>
                <c:pt idx="67">
                  <c:v>3</c:v>
                </c:pt>
                <c:pt idx="68">
                  <c:v>1</c:v>
                </c:pt>
                <c:pt idx="69">
                  <c:v>0</c:v>
                </c:pt>
                <c:pt idx="70">
                  <c:v>0</c:v>
                </c:pt>
                <c:pt idx="71">
                  <c:v>1</c:v>
                </c:pt>
                <c:pt idx="72">
                  <c:v>1</c:v>
                </c:pt>
                <c:pt idx="73">
                  <c:v>0</c:v>
                </c:pt>
                <c:pt idx="74">
                  <c:v>0</c:v>
                </c:pt>
                <c:pt idx="75">
                  <c:v>0</c:v>
                </c:pt>
                <c:pt idx="76">
                  <c:v>1</c:v>
                </c:pt>
                <c:pt idx="77">
                  <c:v>2</c:v>
                </c:pt>
                <c:pt idx="78">
                  <c:v>1</c:v>
                </c:pt>
                <c:pt idx="79">
                  <c:v>1</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dLbls>
          <c:showLegendKey val="0"/>
          <c:showVal val="0"/>
          <c:showCatName val="0"/>
          <c:showSerName val="0"/>
          <c:showPercent val="0"/>
          <c:showBubbleSize val="0"/>
        </c:dLbls>
        <c:gapWidth val="25"/>
        <c:overlap val="100"/>
        <c:axId val="251737216"/>
        <c:axId val="251738752"/>
      </c:barChart>
      <c:dateAx>
        <c:axId val="251737216"/>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51738752"/>
        <c:crosses val="autoZero"/>
        <c:auto val="1"/>
        <c:lblOffset val="100"/>
        <c:baseTimeUnit val="days"/>
        <c:majorUnit val="7"/>
        <c:majorTimeUnit val="days"/>
        <c:minorUnit val="1"/>
        <c:minorTimeUnit val="days"/>
      </c:dateAx>
      <c:valAx>
        <c:axId val="251738752"/>
        <c:scaling>
          <c:orientation val="minMax"/>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51737216"/>
        <c:crosses val="autoZero"/>
        <c:crossBetween val="between"/>
        <c:majorUnit val="2"/>
      </c:valAx>
    </c:plotArea>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Times New Roman" panose="02020603050405020304" pitchFamily="18" charset="0"/>
          <a:ea typeface="+mn-ea"/>
          <a:cs typeface="Times New Roman" panose="02020603050405020304" pitchFamily="18" charset="0"/>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23359580052205E-2"/>
          <c:y val="6.7101612298462704E-2"/>
          <c:w val="0.91059317585301758"/>
          <c:h val="0.69289643142433865"/>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Summary'!$M$4:$M$97</c:f>
              <c:numCache>
                <c:formatCode>General</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3</c:v>
                </c:pt>
                <c:pt idx="46">
                  <c:v>11</c:v>
                </c:pt>
                <c:pt idx="47">
                  <c:v>16</c:v>
                </c:pt>
                <c:pt idx="48">
                  <c:v>68</c:v>
                </c:pt>
                <c:pt idx="49">
                  <c:v>135</c:v>
                </c:pt>
                <c:pt idx="50">
                  <c:v>45</c:v>
                </c:pt>
                <c:pt idx="51">
                  <c:v>101</c:v>
                </c:pt>
                <c:pt idx="52">
                  <c:v>227</c:v>
                </c:pt>
                <c:pt idx="53">
                  <c:v>349</c:v>
                </c:pt>
                <c:pt idx="54">
                  <c:v>120</c:v>
                </c:pt>
                <c:pt idx="55">
                  <c:v>247</c:v>
                </c:pt>
                <c:pt idx="56">
                  <c:v>217</c:v>
                </c:pt>
                <c:pt idx="57">
                  <c:v>239</c:v>
                </c:pt>
                <c:pt idx="58">
                  <c:v>224</c:v>
                </c:pt>
                <c:pt idx="59">
                  <c:v>221</c:v>
                </c:pt>
                <c:pt idx="60">
                  <c:v>162</c:v>
                </c:pt>
                <c:pt idx="61">
                  <c:v>86</c:v>
                </c:pt>
                <c:pt idx="62">
                  <c:v>163</c:v>
                </c:pt>
                <c:pt idx="63">
                  <c:v>78</c:v>
                </c:pt>
                <c:pt idx="64">
                  <c:v>53</c:v>
                </c:pt>
                <c:pt idx="65">
                  <c:v>69</c:v>
                </c:pt>
                <c:pt idx="66">
                  <c:v>25</c:v>
                </c:pt>
                <c:pt idx="67">
                  <c:v>16</c:v>
                </c:pt>
                <c:pt idx="68">
                  <c:v>27</c:v>
                </c:pt>
                <c:pt idx="69">
                  <c:v>32</c:v>
                </c:pt>
                <c:pt idx="70">
                  <c:v>18</c:v>
                </c:pt>
                <c:pt idx="71">
                  <c:v>13</c:v>
                </c:pt>
                <c:pt idx="72">
                  <c:v>4</c:v>
                </c:pt>
                <c:pt idx="73">
                  <c:v>9</c:v>
                </c:pt>
                <c:pt idx="74">
                  <c:v>11</c:v>
                </c:pt>
                <c:pt idx="75">
                  <c:v>5</c:v>
                </c:pt>
                <c:pt idx="76">
                  <c:v>5</c:v>
                </c:pt>
                <c:pt idx="77">
                  <c:v>6</c:v>
                </c:pt>
                <c:pt idx="78">
                  <c:v>1</c:v>
                </c:pt>
                <c:pt idx="79">
                  <c:v>1</c:v>
                </c:pt>
                <c:pt idx="80">
                  <c:v>0</c:v>
                </c:pt>
                <c:pt idx="81">
                  <c:v>0</c:v>
                </c:pt>
                <c:pt idx="82">
                  <c:v>0</c:v>
                </c:pt>
                <c:pt idx="83">
                  <c:v>0</c:v>
                </c:pt>
                <c:pt idx="84">
                  <c:v>1</c:v>
                </c:pt>
                <c:pt idx="85">
                  <c:v>1</c:v>
                </c:pt>
                <c:pt idx="86">
                  <c:v>0</c:v>
                </c:pt>
                <c:pt idx="87">
                  <c:v>0</c:v>
                </c:pt>
                <c:pt idx="88">
                  <c:v>0</c:v>
                </c:pt>
                <c:pt idx="89">
                  <c:v>0</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Summary'!$M$100:$M$193</c:f>
              <c:numCache>
                <c:formatCode>General</c:formatCode>
                <c:ptCount val="94"/>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c:v>
                </c:pt>
                <c:pt idx="47">
                  <c:v>3</c:v>
                </c:pt>
                <c:pt idx="48">
                  <c:v>0</c:v>
                </c:pt>
                <c:pt idx="49">
                  <c:v>2</c:v>
                </c:pt>
                <c:pt idx="50">
                  <c:v>4</c:v>
                </c:pt>
                <c:pt idx="51">
                  <c:v>2</c:v>
                </c:pt>
                <c:pt idx="52">
                  <c:v>4</c:v>
                </c:pt>
                <c:pt idx="53">
                  <c:v>5</c:v>
                </c:pt>
                <c:pt idx="54">
                  <c:v>2</c:v>
                </c:pt>
                <c:pt idx="55">
                  <c:v>4</c:v>
                </c:pt>
                <c:pt idx="56">
                  <c:v>5</c:v>
                </c:pt>
                <c:pt idx="57">
                  <c:v>2</c:v>
                </c:pt>
                <c:pt idx="58">
                  <c:v>1</c:v>
                </c:pt>
                <c:pt idx="59">
                  <c:v>7</c:v>
                </c:pt>
                <c:pt idx="60">
                  <c:v>1</c:v>
                </c:pt>
                <c:pt idx="61">
                  <c:v>2</c:v>
                </c:pt>
                <c:pt idx="62">
                  <c:v>3</c:v>
                </c:pt>
                <c:pt idx="63">
                  <c:v>2</c:v>
                </c:pt>
                <c:pt idx="64">
                  <c:v>0</c:v>
                </c:pt>
                <c:pt idx="65">
                  <c:v>4</c:v>
                </c:pt>
                <c:pt idx="66">
                  <c:v>2</c:v>
                </c:pt>
                <c:pt idx="67">
                  <c:v>0</c:v>
                </c:pt>
                <c:pt idx="68">
                  <c:v>3</c:v>
                </c:pt>
                <c:pt idx="69">
                  <c:v>1</c:v>
                </c:pt>
                <c:pt idx="70">
                  <c:v>3</c:v>
                </c:pt>
                <c:pt idx="71">
                  <c:v>1</c:v>
                </c:pt>
                <c:pt idx="72">
                  <c:v>1</c:v>
                </c:pt>
                <c:pt idx="73">
                  <c:v>1</c:v>
                </c:pt>
                <c:pt idx="74">
                  <c:v>0</c:v>
                </c:pt>
                <c:pt idx="75">
                  <c:v>2</c:v>
                </c:pt>
                <c:pt idx="76">
                  <c:v>0</c:v>
                </c:pt>
                <c:pt idx="77">
                  <c:v>1</c:v>
                </c:pt>
                <c:pt idx="78">
                  <c:v>0</c:v>
                </c:pt>
                <c:pt idx="79">
                  <c:v>0</c:v>
                </c:pt>
                <c:pt idx="80">
                  <c:v>0</c:v>
                </c:pt>
                <c:pt idx="81">
                  <c:v>1</c:v>
                </c:pt>
                <c:pt idx="82">
                  <c:v>0</c:v>
                </c:pt>
                <c:pt idx="83">
                  <c:v>0</c:v>
                </c:pt>
                <c:pt idx="84">
                  <c:v>0</c:v>
                </c:pt>
                <c:pt idx="85">
                  <c:v>0</c:v>
                </c:pt>
                <c:pt idx="86">
                  <c:v>0</c:v>
                </c:pt>
                <c:pt idx="87">
                  <c:v>0</c:v>
                </c:pt>
                <c:pt idx="88">
                  <c:v>0</c:v>
                </c:pt>
                <c:pt idx="89">
                  <c:v>0</c:v>
                </c:pt>
                <c:pt idx="90">
                  <c:v>0</c:v>
                </c:pt>
                <c:pt idx="91">
                  <c:v>0</c:v>
                </c:pt>
                <c:pt idx="92">
                  <c:v>0</c:v>
                </c:pt>
                <c:pt idx="93">
                  <c:v>0</c:v>
                </c:pt>
              </c:numCache>
            </c:numRef>
          </c:val>
        </c:ser>
        <c:ser>
          <c:idx val="0"/>
          <c:order val="2"/>
          <c:tx>
            <c:v>Site 3 (right bank)</c:v>
          </c:tx>
          <c:spPr>
            <a:solidFill>
              <a:srgbClr val="00B050"/>
            </a:solidFill>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Summary'!$M$196:$M$289</c:f>
              <c:numCache>
                <c:formatCode>General</c:formatCode>
                <c:ptCount val="94"/>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c:v>
                </c:pt>
                <c:pt idx="42">
                  <c:v>2</c:v>
                </c:pt>
                <c:pt idx="43">
                  <c:v>1</c:v>
                </c:pt>
                <c:pt idx="44">
                  <c:v>9</c:v>
                </c:pt>
                <c:pt idx="45">
                  <c:v>3</c:v>
                </c:pt>
                <c:pt idx="46">
                  <c:v>10</c:v>
                </c:pt>
                <c:pt idx="47">
                  <c:v>25</c:v>
                </c:pt>
                <c:pt idx="48">
                  <c:v>86</c:v>
                </c:pt>
                <c:pt idx="49">
                  <c:v>245</c:v>
                </c:pt>
                <c:pt idx="50">
                  <c:v>242</c:v>
                </c:pt>
                <c:pt idx="51">
                  <c:v>146</c:v>
                </c:pt>
                <c:pt idx="52">
                  <c:v>258</c:v>
                </c:pt>
                <c:pt idx="53">
                  <c:v>625</c:v>
                </c:pt>
                <c:pt idx="54">
                  <c:v>370</c:v>
                </c:pt>
                <c:pt idx="55">
                  <c:v>398</c:v>
                </c:pt>
                <c:pt idx="56">
                  <c:v>281</c:v>
                </c:pt>
                <c:pt idx="57">
                  <c:v>209</c:v>
                </c:pt>
                <c:pt idx="58">
                  <c:v>204</c:v>
                </c:pt>
                <c:pt idx="59">
                  <c:v>187</c:v>
                </c:pt>
                <c:pt idx="60">
                  <c:v>177</c:v>
                </c:pt>
                <c:pt idx="61">
                  <c:v>170</c:v>
                </c:pt>
                <c:pt idx="62">
                  <c:v>180</c:v>
                </c:pt>
                <c:pt idx="63">
                  <c:v>157</c:v>
                </c:pt>
                <c:pt idx="64">
                  <c:v>107</c:v>
                </c:pt>
                <c:pt idx="65">
                  <c:v>84</c:v>
                </c:pt>
                <c:pt idx="66">
                  <c:v>63</c:v>
                </c:pt>
                <c:pt idx="67">
                  <c:v>32</c:v>
                </c:pt>
                <c:pt idx="68">
                  <c:v>29</c:v>
                </c:pt>
                <c:pt idx="69">
                  <c:v>23</c:v>
                </c:pt>
                <c:pt idx="70">
                  <c:v>7</c:v>
                </c:pt>
                <c:pt idx="71">
                  <c:v>17</c:v>
                </c:pt>
                <c:pt idx="72">
                  <c:v>6</c:v>
                </c:pt>
                <c:pt idx="73">
                  <c:v>12</c:v>
                </c:pt>
                <c:pt idx="74">
                  <c:v>8</c:v>
                </c:pt>
                <c:pt idx="75">
                  <c:v>3</c:v>
                </c:pt>
                <c:pt idx="76">
                  <c:v>3</c:v>
                </c:pt>
                <c:pt idx="77">
                  <c:v>5</c:v>
                </c:pt>
                <c:pt idx="78">
                  <c:v>4</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dLbls>
          <c:showLegendKey val="0"/>
          <c:showVal val="0"/>
          <c:showCatName val="0"/>
          <c:showSerName val="0"/>
          <c:showPercent val="0"/>
          <c:showBubbleSize val="0"/>
        </c:dLbls>
        <c:gapWidth val="25"/>
        <c:overlap val="100"/>
        <c:axId val="251783424"/>
        <c:axId val="263323648"/>
      </c:barChart>
      <c:dateAx>
        <c:axId val="251783424"/>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3323648"/>
        <c:crosses val="autoZero"/>
        <c:auto val="1"/>
        <c:lblOffset val="100"/>
        <c:baseTimeUnit val="days"/>
        <c:majorUnit val="7"/>
        <c:majorTimeUnit val="days"/>
        <c:minorUnit val="1"/>
        <c:minorTimeUnit val="days"/>
      </c:dateAx>
      <c:valAx>
        <c:axId val="263323648"/>
        <c:scaling>
          <c:orientation val="minMax"/>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51783424"/>
        <c:crosses val="autoZero"/>
        <c:crossBetween val="between"/>
      </c:valAx>
    </c:plotArea>
    <c:legend>
      <c:legendPos val="r"/>
      <c:layout>
        <c:manualLayout>
          <c:xMode val="edge"/>
          <c:yMode val="edge"/>
          <c:x val="0.77204086989126364"/>
          <c:y val="0.24045972514305278"/>
          <c:w val="0.21204103293952764"/>
          <c:h val="0.35250239697376451"/>
        </c:manualLayout>
      </c:layout>
      <c:overlay val="0"/>
    </c:legend>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Times New Roman" panose="02020603050405020304" pitchFamily="18" charset="0"/>
          <a:ea typeface="+mn-ea"/>
          <a:cs typeface="Times New Roman" panose="02020603050405020304" pitchFamily="18" charset="0"/>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6625421822272E-2"/>
          <c:y val="4.3422678225827904E-2"/>
          <c:w val="0.91982602174728156"/>
          <c:h val="0.75207757363662964"/>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Summary'!$O$4:$O$97</c:f>
              <c:numCache>
                <c:formatCode>General</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c:v>
                </c:pt>
                <c:pt idx="44">
                  <c:v>1</c:v>
                </c:pt>
                <c:pt idx="45">
                  <c:v>0</c:v>
                </c:pt>
                <c:pt idx="46">
                  <c:v>3</c:v>
                </c:pt>
                <c:pt idx="47">
                  <c:v>2</c:v>
                </c:pt>
                <c:pt idx="48">
                  <c:v>3</c:v>
                </c:pt>
                <c:pt idx="49">
                  <c:v>1</c:v>
                </c:pt>
                <c:pt idx="50">
                  <c:v>3</c:v>
                </c:pt>
                <c:pt idx="51">
                  <c:v>3</c:v>
                </c:pt>
                <c:pt idx="52">
                  <c:v>4</c:v>
                </c:pt>
                <c:pt idx="53">
                  <c:v>10</c:v>
                </c:pt>
                <c:pt idx="54">
                  <c:v>4</c:v>
                </c:pt>
                <c:pt idx="55">
                  <c:v>11</c:v>
                </c:pt>
                <c:pt idx="56">
                  <c:v>22</c:v>
                </c:pt>
                <c:pt idx="57">
                  <c:v>25</c:v>
                </c:pt>
                <c:pt idx="58">
                  <c:v>13</c:v>
                </c:pt>
                <c:pt idx="59">
                  <c:v>18</c:v>
                </c:pt>
                <c:pt idx="60">
                  <c:v>9</c:v>
                </c:pt>
                <c:pt idx="61">
                  <c:v>6</c:v>
                </c:pt>
                <c:pt idx="62">
                  <c:v>18</c:v>
                </c:pt>
                <c:pt idx="63">
                  <c:v>9</c:v>
                </c:pt>
                <c:pt idx="64">
                  <c:v>12</c:v>
                </c:pt>
                <c:pt idx="65">
                  <c:v>37</c:v>
                </c:pt>
                <c:pt idx="66">
                  <c:v>40</c:v>
                </c:pt>
                <c:pt idx="67">
                  <c:v>20</c:v>
                </c:pt>
                <c:pt idx="68">
                  <c:v>30</c:v>
                </c:pt>
                <c:pt idx="69">
                  <c:v>24</c:v>
                </c:pt>
                <c:pt idx="70">
                  <c:v>31</c:v>
                </c:pt>
                <c:pt idx="71">
                  <c:v>16</c:v>
                </c:pt>
                <c:pt idx="72">
                  <c:v>9</c:v>
                </c:pt>
                <c:pt idx="73">
                  <c:v>11</c:v>
                </c:pt>
                <c:pt idx="74">
                  <c:v>31</c:v>
                </c:pt>
                <c:pt idx="75">
                  <c:v>28</c:v>
                </c:pt>
                <c:pt idx="76">
                  <c:v>37</c:v>
                </c:pt>
                <c:pt idx="77">
                  <c:v>22</c:v>
                </c:pt>
                <c:pt idx="78">
                  <c:v>22</c:v>
                </c:pt>
                <c:pt idx="79">
                  <c:v>13</c:v>
                </c:pt>
                <c:pt idx="80">
                  <c:v>10</c:v>
                </c:pt>
                <c:pt idx="81">
                  <c:v>4</c:v>
                </c:pt>
                <c:pt idx="82">
                  <c:v>3</c:v>
                </c:pt>
                <c:pt idx="83">
                  <c:v>1</c:v>
                </c:pt>
                <c:pt idx="84">
                  <c:v>3</c:v>
                </c:pt>
                <c:pt idx="85">
                  <c:v>4</c:v>
                </c:pt>
                <c:pt idx="86">
                  <c:v>5</c:v>
                </c:pt>
                <c:pt idx="87">
                  <c:v>1</c:v>
                </c:pt>
                <c:pt idx="88">
                  <c:v>0</c:v>
                </c:pt>
                <c:pt idx="89">
                  <c:v>0</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Summary'!$O$100:$O$193</c:f>
              <c:numCache>
                <c:formatCode>General</c:formatCode>
                <c:ptCount val="94"/>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c:v>
                </c:pt>
                <c:pt idx="41">
                  <c:v>1</c:v>
                </c:pt>
                <c:pt idx="42">
                  <c:v>0</c:v>
                </c:pt>
                <c:pt idx="43">
                  <c:v>1</c:v>
                </c:pt>
                <c:pt idx="44">
                  <c:v>1</c:v>
                </c:pt>
                <c:pt idx="45">
                  <c:v>1</c:v>
                </c:pt>
                <c:pt idx="46">
                  <c:v>2</c:v>
                </c:pt>
                <c:pt idx="47">
                  <c:v>1</c:v>
                </c:pt>
                <c:pt idx="48">
                  <c:v>3</c:v>
                </c:pt>
                <c:pt idx="49">
                  <c:v>5</c:v>
                </c:pt>
                <c:pt idx="50">
                  <c:v>2</c:v>
                </c:pt>
                <c:pt idx="51">
                  <c:v>3</c:v>
                </c:pt>
                <c:pt idx="52">
                  <c:v>4</c:v>
                </c:pt>
                <c:pt idx="53">
                  <c:v>4</c:v>
                </c:pt>
                <c:pt idx="54">
                  <c:v>2</c:v>
                </c:pt>
                <c:pt idx="55">
                  <c:v>4</c:v>
                </c:pt>
                <c:pt idx="56">
                  <c:v>10</c:v>
                </c:pt>
                <c:pt idx="57">
                  <c:v>3</c:v>
                </c:pt>
                <c:pt idx="58">
                  <c:v>2</c:v>
                </c:pt>
                <c:pt idx="59">
                  <c:v>8</c:v>
                </c:pt>
                <c:pt idx="60">
                  <c:v>7</c:v>
                </c:pt>
                <c:pt idx="61">
                  <c:v>3</c:v>
                </c:pt>
                <c:pt idx="62">
                  <c:v>19</c:v>
                </c:pt>
                <c:pt idx="63">
                  <c:v>14</c:v>
                </c:pt>
                <c:pt idx="64">
                  <c:v>8</c:v>
                </c:pt>
                <c:pt idx="65">
                  <c:v>6</c:v>
                </c:pt>
                <c:pt idx="66">
                  <c:v>13</c:v>
                </c:pt>
                <c:pt idx="67">
                  <c:v>26</c:v>
                </c:pt>
                <c:pt idx="68">
                  <c:v>22</c:v>
                </c:pt>
                <c:pt idx="69">
                  <c:v>11</c:v>
                </c:pt>
                <c:pt idx="70">
                  <c:v>12</c:v>
                </c:pt>
                <c:pt idx="71">
                  <c:v>8</c:v>
                </c:pt>
                <c:pt idx="72">
                  <c:v>8</c:v>
                </c:pt>
                <c:pt idx="73">
                  <c:v>5</c:v>
                </c:pt>
                <c:pt idx="74">
                  <c:v>16</c:v>
                </c:pt>
                <c:pt idx="75">
                  <c:v>39</c:v>
                </c:pt>
                <c:pt idx="76">
                  <c:v>22</c:v>
                </c:pt>
                <c:pt idx="77">
                  <c:v>13</c:v>
                </c:pt>
                <c:pt idx="78">
                  <c:v>6</c:v>
                </c:pt>
                <c:pt idx="79">
                  <c:v>28</c:v>
                </c:pt>
                <c:pt idx="80">
                  <c:v>33</c:v>
                </c:pt>
                <c:pt idx="81">
                  <c:v>15</c:v>
                </c:pt>
                <c:pt idx="82">
                  <c:v>4</c:v>
                </c:pt>
                <c:pt idx="83">
                  <c:v>2</c:v>
                </c:pt>
                <c:pt idx="84">
                  <c:v>4</c:v>
                </c:pt>
                <c:pt idx="85">
                  <c:v>2</c:v>
                </c:pt>
                <c:pt idx="86">
                  <c:v>7</c:v>
                </c:pt>
                <c:pt idx="87">
                  <c:v>3</c:v>
                </c:pt>
                <c:pt idx="88">
                  <c:v>3</c:v>
                </c:pt>
                <c:pt idx="89">
                  <c:v>0</c:v>
                </c:pt>
                <c:pt idx="90">
                  <c:v>0</c:v>
                </c:pt>
                <c:pt idx="91">
                  <c:v>0</c:v>
                </c:pt>
                <c:pt idx="92">
                  <c:v>0</c:v>
                </c:pt>
                <c:pt idx="93">
                  <c:v>0</c:v>
                </c:pt>
              </c:numCache>
            </c:numRef>
          </c:val>
        </c:ser>
        <c:ser>
          <c:idx val="0"/>
          <c:order val="2"/>
          <c:tx>
            <c:v>Site 3 (right bank)</c:v>
          </c:tx>
          <c:spPr>
            <a:solidFill>
              <a:srgbClr val="00B050"/>
            </a:solidFill>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Summary'!$O$196:$O$289</c:f>
              <c:numCache>
                <c:formatCode>General</c:formatCode>
                <c:ptCount val="94"/>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1</c:v>
                </c:pt>
                <c:pt idx="39">
                  <c:v>1</c:v>
                </c:pt>
                <c:pt idx="40">
                  <c:v>0</c:v>
                </c:pt>
                <c:pt idx="41">
                  <c:v>2</c:v>
                </c:pt>
                <c:pt idx="42">
                  <c:v>0</c:v>
                </c:pt>
                <c:pt idx="43">
                  <c:v>2</c:v>
                </c:pt>
                <c:pt idx="44">
                  <c:v>1</c:v>
                </c:pt>
                <c:pt idx="45">
                  <c:v>0</c:v>
                </c:pt>
                <c:pt idx="46">
                  <c:v>3</c:v>
                </c:pt>
                <c:pt idx="47">
                  <c:v>5</c:v>
                </c:pt>
                <c:pt idx="48">
                  <c:v>9</c:v>
                </c:pt>
                <c:pt idx="49">
                  <c:v>3</c:v>
                </c:pt>
                <c:pt idx="50">
                  <c:v>2</c:v>
                </c:pt>
                <c:pt idx="51">
                  <c:v>3</c:v>
                </c:pt>
                <c:pt idx="52">
                  <c:v>0</c:v>
                </c:pt>
                <c:pt idx="53">
                  <c:v>10</c:v>
                </c:pt>
                <c:pt idx="54">
                  <c:v>5</c:v>
                </c:pt>
                <c:pt idx="55">
                  <c:v>13</c:v>
                </c:pt>
                <c:pt idx="56">
                  <c:v>28</c:v>
                </c:pt>
                <c:pt idx="57">
                  <c:v>18</c:v>
                </c:pt>
                <c:pt idx="58">
                  <c:v>8</c:v>
                </c:pt>
                <c:pt idx="59">
                  <c:v>20</c:v>
                </c:pt>
                <c:pt idx="60">
                  <c:v>13</c:v>
                </c:pt>
                <c:pt idx="61">
                  <c:v>9</c:v>
                </c:pt>
                <c:pt idx="62">
                  <c:v>20</c:v>
                </c:pt>
                <c:pt idx="63">
                  <c:v>18</c:v>
                </c:pt>
                <c:pt idx="64">
                  <c:v>26</c:v>
                </c:pt>
                <c:pt idx="65">
                  <c:v>45</c:v>
                </c:pt>
                <c:pt idx="66">
                  <c:v>36</c:v>
                </c:pt>
                <c:pt idx="67">
                  <c:v>18</c:v>
                </c:pt>
                <c:pt idx="68">
                  <c:v>12</c:v>
                </c:pt>
                <c:pt idx="69">
                  <c:v>9</c:v>
                </c:pt>
                <c:pt idx="70">
                  <c:v>7</c:v>
                </c:pt>
                <c:pt idx="71">
                  <c:v>9</c:v>
                </c:pt>
                <c:pt idx="72">
                  <c:v>5</c:v>
                </c:pt>
                <c:pt idx="73">
                  <c:v>7</c:v>
                </c:pt>
                <c:pt idx="74">
                  <c:v>14</c:v>
                </c:pt>
                <c:pt idx="75">
                  <c:v>7</c:v>
                </c:pt>
                <c:pt idx="76">
                  <c:v>22</c:v>
                </c:pt>
                <c:pt idx="77">
                  <c:v>19</c:v>
                </c:pt>
                <c:pt idx="78">
                  <c:v>13</c:v>
                </c:pt>
                <c:pt idx="79">
                  <c:v>10</c:v>
                </c:pt>
                <c:pt idx="80">
                  <c:v>5</c:v>
                </c:pt>
                <c:pt idx="81">
                  <c:v>4</c:v>
                </c:pt>
                <c:pt idx="82">
                  <c:v>0</c:v>
                </c:pt>
                <c:pt idx="83">
                  <c:v>0</c:v>
                </c:pt>
                <c:pt idx="84">
                  <c:v>3</c:v>
                </c:pt>
                <c:pt idx="85">
                  <c:v>2</c:v>
                </c:pt>
                <c:pt idx="86">
                  <c:v>1</c:v>
                </c:pt>
                <c:pt idx="87">
                  <c:v>0</c:v>
                </c:pt>
                <c:pt idx="88">
                  <c:v>1</c:v>
                </c:pt>
                <c:pt idx="89">
                  <c:v>0</c:v>
                </c:pt>
                <c:pt idx="90">
                  <c:v>0</c:v>
                </c:pt>
                <c:pt idx="91">
                  <c:v>1</c:v>
                </c:pt>
                <c:pt idx="92">
                  <c:v>0</c:v>
                </c:pt>
                <c:pt idx="93">
                  <c:v>0</c:v>
                </c:pt>
              </c:numCache>
            </c:numRef>
          </c:val>
        </c:ser>
        <c:dLbls>
          <c:showLegendKey val="0"/>
          <c:showVal val="0"/>
          <c:showCatName val="0"/>
          <c:showSerName val="0"/>
          <c:showPercent val="0"/>
          <c:showBubbleSize val="0"/>
        </c:dLbls>
        <c:gapWidth val="25"/>
        <c:overlap val="100"/>
        <c:axId val="263372800"/>
        <c:axId val="263374336"/>
      </c:barChart>
      <c:dateAx>
        <c:axId val="263372800"/>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3374336"/>
        <c:crosses val="autoZero"/>
        <c:auto val="1"/>
        <c:lblOffset val="100"/>
        <c:baseTimeUnit val="days"/>
        <c:majorUnit val="7"/>
        <c:majorTimeUnit val="days"/>
        <c:minorUnit val="1"/>
        <c:minorTimeUnit val="days"/>
      </c:dateAx>
      <c:valAx>
        <c:axId val="263374336"/>
        <c:scaling>
          <c:orientation val="minMax"/>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63372800"/>
        <c:crosses val="autoZero"/>
        <c:crossBetween val="between"/>
      </c:valAx>
    </c:plotArea>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Times New Roman" panose="02020603050405020304" pitchFamily="18" charset="0"/>
          <a:ea typeface="+mn-ea"/>
          <a:cs typeface="Times New Roman" panose="02020603050405020304" pitchFamily="18" charset="0"/>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24559430071302E-2"/>
          <c:y val="4.5203875884442003E-2"/>
          <c:w val="0.91728290213722297"/>
          <c:h val="0.74983479138804165"/>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Summary'!$Q$4:$Q$97</c:f>
              <c:numCache>
                <c:formatCode>General</c:formatCode>
                <c:ptCount val="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0</c:v>
                </c:pt>
                <c:pt idx="48">
                  <c:v>0</c:v>
                </c:pt>
                <c:pt idx="49">
                  <c:v>0</c:v>
                </c:pt>
                <c:pt idx="50">
                  <c:v>0</c:v>
                </c:pt>
                <c:pt idx="51">
                  <c:v>0</c:v>
                </c:pt>
                <c:pt idx="52">
                  <c:v>0</c:v>
                </c:pt>
                <c:pt idx="53">
                  <c:v>1</c:v>
                </c:pt>
                <c:pt idx="54">
                  <c:v>0</c:v>
                </c:pt>
                <c:pt idx="55">
                  <c:v>2</c:v>
                </c:pt>
                <c:pt idx="56">
                  <c:v>0</c:v>
                </c:pt>
                <c:pt idx="57">
                  <c:v>0</c:v>
                </c:pt>
                <c:pt idx="58">
                  <c:v>1</c:v>
                </c:pt>
                <c:pt idx="59">
                  <c:v>2</c:v>
                </c:pt>
                <c:pt idx="60">
                  <c:v>1</c:v>
                </c:pt>
                <c:pt idx="61">
                  <c:v>1</c:v>
                </c:pt>
                <c:pt idx="62">
                  <c:v>5</c:v>
                </c:pt>
                <c:pt idx="63">
                  <c:v>2</c:v>
                </c:pt>
                <c:pt idx="64">
                  <c:v>1</c:v>
                </c:pt>
                <c:pt idx="65">
                  <c:v>3</c:v>
                </c:pt>
                <c:pt idx="66">
                  <c:v>2</c:v>
                </c:pt>
                <c:pt idx="67">
                  <c:v>2</c:v>
                </c:pt>
                <c:pt idx="68">
                  <c:v>5</c:v>
                </c:pt>
                <c:pt idx="69">
                  <c:v>9</c:v>
                </c:pt>
                <c:pt idx="70">
                  <c:v>2</c:v>
                </c:pt>
                <c:pt idx="71">
                  <c:v>1</c:v>
                </c:pt>
                <c:pt idx="72">
                  <c:v>5</c:v>
                </c:pt>
                <c:pt idx="73">
                  <c:v>8</c:v>
                </c:pt>
                <c:pt idx="74">
                  <c:v>7</c:v>
                </c:pt>
                <c:pt idx="75">
                  <c:v>10</c:v>
                </c:pt>
                <c:pt idx="76">
                  <c:v>7</c:v>
                </c:pt>
                <c:pt idx="77">
                  <c:v>13</c:v>
                </c:pt>
                <c:pt idx="78">
                  <c:v>2</c:v>
                </c:pt>
                <c:pt idx="79">
                  <c:v>2</c:v>
                </c:pt>
                <c:pt idx="80">
                  <c:v>6</c:v>
                </c:pt>
                <c:pt idx="81">
                  <c:v>2</c:v>
                </c:pt>
                <c:pt idx="82">
                  <c:v>1</c:v>
                </c:pt>
                <c:pt idx="83">
                  <c:v>0</c:v>
                </c:pt>
                <c:pt idx="84">
                  <c:v>1</c:v>
                </c:pt>
                <c:pt idx="85">
                  <c:v>3</c:v>
                </c:pt>
                <c:pt idx="86">
                  <c:v>1</c:v>
                </c:pt>
                <c:pt idx="87">
                  <c:v>1</c:v>
                </c:pt>
                <c:pt idx="88">
                  <c:v>0</c:v>
                </c:pt>
                <c:pt idx="89">
                  <c:v>1</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Summary'!$Q$100:$Q$193</c:f>
              <c:numCache>
                <c:formatCode>General</c:formatCode>
                <c:ptCount val="94"/>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0</c:v>
                </c:pt>
                <c:pt idx="53">
                  <c:v>0</c:v>
                </c:pt>
                <c:pt idx="54">
                  <c:v>0</c:v>
                </c:pt>
                <c:pt idx="55">
                  <c:v>0</c:v>
                </c:pt>
                <c:pt idx="56">
                  <c:v>0</c:v>
                </c:pt>
                <c:pt idx="57">
                  <c:v>1</c:v>
                </c:pt>
                <c:pt idx="58">
                  <c:v>0</c:v>
                </c:pt>
                <c:pt idx="59">
                  <c:v>0</c:v>
                </c:pt>
                <c:pt idx="60">
                  <c:v>0</c:v>
                </c:pt>
                <c:pt idx="61">
                  <c:v>1</c:v>
                </c:pt>
                <c:pt idx="62">
                  <c:v>0</c:v>
                </c:pt>
                <c:pt idx="63">
                  <c:v>0</c:v>
                </c:pt>
                <c:pt idx="64">
                  <c:v>0</c:v>
                </c:pt>
                <c:pt idx="65">
                  <c:v>0</c:v>
                </c:pt>
                <c:pt idx="66">
                  <c:v>0</c:v>
                </c:pt>
                <c:pt idx="67">
                  <c:v>0</c:v>
                </c:pt>
                <c:pt idx="68">
                  <c:v>0</c:v>
                </c:pt>
                <c:pt idx="69">
                  <c:v>1</c:v>
                </c:pt>
                <c:pt idx="70">
                  <c:v>4</c:v>
                </c:pt>
                <c:pt idx="71">
                  <c:v>0</c:v>
                </c:pt>
                <c:pt idx="72">
                  <c:v>1</c:v>
                </c:pt>
                <c:pt idx="73">
                  <c:v>2</c:v>
                </c:pt>
                <c:pt idx="74">
                  <c:v>0</c:v>
                </c:pt>
                <c:pt idx="75">
                  <c:v>2</c:v>
                </c:pt>
                <c:pt idx="76">
                  <c:v>0</c:v>
                </c:pt>
                <c:pt idx="77">
                  <c:v>3</c:v>
                </c:pt>
                <c:pt idx="78">
                  <c:v>0</c:v>
                </c:pt>
                <c:pt idx="79">
                  <c:v>2</c:v>
                </c:pt>
                <c:pt idx="80">
                  <c:v>5</c:v>
                </c:pt>
                <c:pt idx="81">
                  <c:v>0</c:v>
                </c:pt>
                <c:pt idx="82">
                  <c:v>0</c:v>
                </c:pt>
                <c:pt idx="83">
                  <c:v>0</c:v>
                </c:pt>
                <c:pt idx="84">
                  <c:v>0</c:v>
                </c:pt>
                <c:pt idx="85">
                  <c:v>1</c:v>
                </c:pt>
                <c:pt idx="86">
                  <c:v>1</c:v>
                </c:pt>
                <c:pt idx="87">
                  <c:v>0</c:v>
                </c:pt>
                <c:pt idx="88">
                  <c:v>0</c:v>
                </c:pt>
                <c:pt idx="89">
                  <c:v>0</c:v>
                </c:pt>
                <c:pt idx="90">
                  <c:v>0</c:v>
                </c:pt>
                <c:pt idx="91">
                  <c:v>0</c:v>
                </c:pt>
                <c:pt idx="92">
                  <c:v>0</c:v>
                </c:pt>
                <c:pt idx="93">
                  <c:v>0</c:v>
                </c:pt>
              </c:numCache>
            </c:numRef>
          </c:val>
        </c:ser>
        <c:ser>
          <c:idx val="0"/>
          <c:order val="2"/>
          <c:tx>
            <c:v>Site 3 (right bank)</c:v>
          </c:tx>
          <c:spPr>
            <a:solidFill>
              <a:srgbClr val="00B050"/>
            </a:solidFill>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Summary'!$Q$196:$Q$289</c:f>
              <c:numCache>
                <c:formatCode>General</c:formatCode>
                <c:ptCount val="94"/>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c:v>
                </c:pt>
                <c:pt idx="54">
                  <c:v>2</c:v>
                </c:pt>
                <c:pt idx="55">
                  <c:v>0</c:v>
                </c:pt>
                <c:pt idx="56">
                  <c:v>3</c:v>
                </c:pt>
                <c:pt idx="57">
                  <c:v>2</c:v>
                </c:pt>
                <c:pt idx="58">
                  <c:v>0</c:v>
                </c:pt>
                <c:pt idx="59">
                  <c:v>2</c:v>
                </c:pt>
                <c:pt idx="60">
                  <c:v>3</c:v>
                </c:pt>
                <c:pt idx="61">
                  <c:v>3</c:v>
                </c:pt>
                <c:pt idx="62">
                  <c:v>6</c:v>
                </c:pt>
                <c:pt idx="63">
                  <c:v>2</c:v>
                </c:pt>
                <c:pt idx="64">
                  <c:v>5</c:v>
                </c:pt>
                <c:pt idx="65">
                  <c:v>11</c:v>
                </c:pt>
                <c:pt idx="66">
                  <c:v>11</c:v>
                </c:pt>
                <c:pt idx="67">
                  <c:v>4</c:v>
                </c:pt>
                <c:pt idx="68">
                  <c:v>4</c:v>
                </c:pt>
                <c:pt idx="69">
                  <c:v>5</c:v>
                </c:pt>
                <c:pt idx="70">
                  <c:v>5</c:v>
                </c:pt>
                <c:pt idx="71">
                  <c:v>6</c:v>
                </c:pt>
                <c:pt idx="72">
                  <c:v>4</c:v>
                </c:pt>
                <c:pt idx="73">
                  <c:v>3</c:v>
                </c:pt>
                <c:pt idx="74">
                  <c:v>8</c:v>
                </c:pt>
                <c:pt idx="75">
                  <c:v>12</c:v>
                </c:pt>
                <c:pt idx="76">
                  <c:v>13</c:v>
                </c:pt>
                <c:pt idx="77">
                  <c:v>14</c:v>
                </c:pt>
                <c:pt idx="78">
                  <c:v>17</c:v>
                </c:pt>
                <c:pt idx="79">
                  <c:v>15</c:v>
                </c:pt>
                <c:pt idx="80">
                  <c:v>9</c:v>
                </c:pt>
                <c:pt idx="81">
                  <c:v>10</c:v>
                </c:pt>
                <c:pt idx="82">
                  <c:v>3</c:v>
                </c:pt>
                <c:pt idx="83">
                  <c:v>4</c:v>
                </c:pt>
                <c:pt idx="84">
                  <c:v>3</c:v>
                </c:pt>
                <c:pt idx="85">
                  <c:v>1</c:v>
                </c:pt>
                <c:pt idx="86">
                  <c:v>2</c:v>
                </c:pt>
                <c:pt idx="87">
                  <c:v>2</c:v>
                </c:pt>
                <c:pt idx="88">
                  <c:v>0</c:v>
                </c:pt>
                <c:pt idx="89">
                  <c:v>1</c:v>
                </c:pt>
                <c:pt idx="90">
                  <c:v>0</c:v>
                </c:pt>
                <c:pt idx="91">
                  <c:v>0</c:v>
                </c:pt>
                <c:pt idx="92">
                  <c:v>0</c:v>
                </c:pt>
                <c:pt idx="93">
                  <c:v>0</c:v>
                </c:pt>
              </c:numCache>
            </c:numRef>
          </c:val>
        </c:ser>
        <c:dLbls>
          <c:showLegendKey val="0"/>
          <c:showVal val="0"/>
          <c:showCatName val="0"/>
          <c:showSerName val="0"/>
          <c:showPercent val="0"/>
          <c:showBubbleSize val="0"/>
        </c:dLbls>
        <c:gapWidth val="25"/>
        <c:overlap val="100"/>
        <c:axId val="264455680"/>
        <c:axId val="264457216"/>
      </c:barChart>
      <c:dateAx>
        <c:axId val="264455680"/>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4457216"/>
        <c:crosses val="autoZero"/>
        <c:auto val="1"/>
        <c:lblOffset val="100"/>
        <c:baseTimeUnit val="days"/>
        <c:majorUnit val="7"/>
        <c:majorTimeUnit val="days"/>
        <c:minorUnit val="1"/>
        <c:minorTimeUnit val="days"/>
      </c:dateAx>
      <c:valAx>
        <c:axId val="264457216"/>
        <c:scaling>
          <c:orientation val="minMax"/>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64455680"/>
        <c:crosses val="autoZero"/>
        <c:crossBetween val="between"/>
      </c:valAx>
    </c:plotArea>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Times New Roman" panose="02020603050405020304" pitchFamily="18" charset="0"/>
          <a:ea typeface="+mn-ea"/>
          <a:cs typeface="Times New Roman" panose="02020603050405020304" pitchFamily="18" charset="0"/>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70399011923712E-2"/>
          <c:y val="5.3181035926122104E-2"/>
          <c:w val="0.89820512126705809"/>
          <c:h val="0.66149363274035189"/>
        </c:manualLayout>
      </c:layout>
      <c:barChart>
        <c:barDir val="col"/>
        <c:grouping val="stacked"/>
        <c:varyColors val="0"/>
        <c:ser>
          <c:idx val="2"/>
          <c:order val="0"/>
          <c:tx>
            <c:v>Site 1 (right bank)</c:v>
          </c:tx>
          <c:spPr>
            <a:solidFill>
              <a:srgbClr val="C00000"/>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Summary'!$F$4:$F$97</c:f>
              <c:numCache>
                <c:formatCode>General</c:formatCode>
                <c:ptCount val="94"/>
                <c:pt idx="0">
                  <c:v>0</c:v>
                </c:pt>
                <c:pt idx="1">
                  <c:v>0</c:v>
                </c:pt>
                <c:pt idx="2">
                  <c:v>0</c:v>
                </c:pt>
                <c:pt idx="3">
                  <c:v>0</c:v>
                </c:pt>
                <c:pt idx="4">
                  <c:v>0</c:v>
                </c:pt>
                <c:pt idx="5">
                  <c:v>0</c:v>
                </c:pt>
                <c:pt idx="6">
                  <c:v>0</c:v>
                </c:pt>
                <c:pt idx="7">
                  <c:v>1</c:v>
                </c:pt>
                <c:pt idx="8">
                  <c:v>1</c:v>
                </c:pt>
                <c:pt idx="9">
                  <c:v>1</c:v>
                </c:pt>
                <c:pt idx="10">
                  <c:v>3</c:v>
                </c:pt>
                <c:pt idx="11">
                  <c:v>16</c:v>
                </c:pt>
                <c:pt idx="12">
                  <c:v>13</c:v>
                </c:pt>
                <c:pt idx="13">
                  <c:v>1</c:v>
                </c:pt>
                <c:pt idx="14">
                  <c:v>7</c:v>
                </c:pt>
                <c:pt idx="15">
                  <c:v>8</c:v>
                </c:pt>
                <c:pt idx="16">
                  <c:v>3</c:v>
                </c:pt>
                <c:pt idx="17">
                  <c:v>5</c:v>
                </c:pt>
                <c:pt idx="18">
                  <c:v>10</c:v>
                </c:pt>
                <c:pt idx="19">
                  <c:v>7</c:v>
                </c:pt>
                <c:pt idx="22">
                  <c:v>7</c:v>
                </c:pt>
                <c:pt idx="23">
                  <c:v>23</c:v>
                </c:pt>
                <c:pt idx="24">
                  <c:v>35</c:v>
                </c:pt>
                <c:pt idx="25">
                  <c:v>26</c:v>
                </c:pt>
                <c:pt idx="26">
                  <c:v>4</c:v>
                </c:pt>
                <c:pt idx="27">
                  <c:v>3</c:v>
                </c:pt>
                <c:pt idx="28">
                  <c:v>10</c:v>
                </c:pt>
                <c:pt idx="29">
                  <c:v>9</c:v>
                </c:pt>
                <c:pt idx="30">
                  <c:v>14</c:v>
                </c:pt>
                <c:pt idx="31">
                  <c:v>7</c:v>
                </c:pt>
                <c:pt idx="32">
                  <c:v>2</c:v>
                </c:pt>
                <c:pt idx="33">
                  <c:v>9</c:v>
                </c:pt>
                <c:pt idx="34">
                  <c:v>4</c:v>
                </c:pt>
                <c:pt idx="35">
                  <c:v>0</c:v>
                </c:pt>
                <c:pt idx="36">
                  <c:v>1</c:v>
                </c:pt>
                <c:pt idx="37">
                  <c:v>1</c:v>
                </c:pt>
                <c:pt idx="38">
                  <c:v>1</c:v>
                </c:pt>
                <c:pt idx="39">
                  <c:v>2</c:v>
                </c:pt>
                <c:pt idx="40">
                  <c:v>2</c:v>
                </c:pt>
                <c:pt idx="41">
                  <c:v>2</c:v>
                </c:pt>
                <c:pt idx="42">
                  <c:v>1</c:v>
                </c:pt>
                <c:pt idx="43">
                  <c:v>1</c:v>
                </c:pt>
                <c:pt idx="44">
                  <c:v>1</c:v>
                </c:pt>
                <c:pt idx="45">
                  <c:v>0</c:v>
                </c:pt>
                <c:pt idx="46">
                  <c:v>0</c:v>
                </c:pt>
                <c:pt idx="47">
                  <c:v>2</c:v>
                </c:pt>
                <c:pt idx="48">
                  <c:v>1</c:v>
                </c:pt>
                <c:pt idx="49">
                  <c:v>1</c:v>
                </c:pt>
                <c:pt idx="50">
                  <c:v>0</c:v>
                </c:pt>
                <c:pt idx="51">
                  <c:v>0</c:v>
                </c:pt>
                <c:pt idx="52">
                  <c:v>1</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ser>
          <c:idx val="3"/>
          <c:order val="1"/>
          <c:tx>
            <c:v>Site 2 (left bank)</c:v>
          </c:tx>
          <c:spPr>
            <a:solidFill>
              <a:schemeClr val="tx2"/>
            </a:solidFill>
            <a:ln w="22225">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Summary'!$F$100:$F$193</c:f>
              <c:numCache>
                <c:formatCode>General</c:formatCode>
                <c:ptCount val="94"/>
                <c:pt idx="6">
                  <c:v>2</c:v>
                </c:pt>
                <c:pt idx="7">
                  <c:v>3</c:v>
                </c:pt>
                <c:pt idx="8">
                  <c:v>6</c:v>
                </c:pt>
                <c:pt idx="9">
                  <c:v>2</c:v>
                </c:pt>
                <c:pt idx="10">
                  <c:v>1</c:v>
                </c:pt>
                <c:pt idx="11">
                  <c:v>1</c:v>
                </c:pt>
                <c:pt idx="12">
                  <c:v>3</c:v>
                </c:pt>
                <c:pt idx="13">
                  <c:v>0</c:v>
                </c:pt>
                <c:pt idx="14">
                  <c:v>2</c:v>
                </c:pt>
                <c:pt idx="15">
                  <c:v>0</c:v>
                </c:pt>
                <c:pt idx="16">
                  <c:v>1</c:v>
                </c:pt>
                <c:pt idx="17">
                  <c:v>5</c:v>
                </c:pt>
                <c:pt idx="18">
                  <c:v>4</c:v>
                </c:pt>
                <c:pt idx="19">
                  <c:v>3</c:v>
                </c:pt>
                <c:pt idx="22">
                  <c:v>0</c:v>
                </c:pt>
                <c:pt idx="23">
                  <c:v>0</c:v>
                </c:pt>
                <c:pt idx="24">
                  <c:v>0</c:v>
                </c:pt>
                <c:pt idx="25">
                  <c:v>1</c:v>
                </c:pt>
                <c:pt idx="26">
                  <c:v>3</c:v>
                </c:pt>
                <c:pt idx="27">
                  <c:v>2</c:v>
                </c:pt>
                <c:pt idx="28">
                  <c:v>1</c:v>
                </c:pt>
                <c:pt idx="29">
                  <c:v>11</c:v>
                </c:pt>
                <c:pt idx="30">
                  <c:v>5</c:v>
                </c:pt>
                <c:pt idx="31">
                  <c:v>5</c:v>
                </c:pt>
                <c:pt idx="32">
                  <c:v>3</c:v>
                </c:pt>
                <c:pt idx="33">
                  <c:v>2</c:v>
                </c:pt>
                <c:pt idx="34">
                  <c:v>2</c:v>
                </c:pt>
                <c:pt idx="35">
                  <c:v>3</c:v>
                </c:pt>
                <c:pt idx="36">
                  <c:v>0</c:v>
                </c:pt>
                <c:pt idx="37">
                  <c:v>2</c:v>
                </c:pt>
                <c:pt idx="38">
                  <c:v>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ser>
          <c:idx val="0"/>
          <c:order val="2"/>
          <c:tx>
            <c:v>Site 3 (right bank)</c:v>
          </c:tx>
          <c:spPr>
            <a:solidFill>
              <a:srgbClr val="00B050"/>
            </a:solidFill>
            <a:ln>
              <a:noFill/>
            </a:ln>
          </c:spPr>
          <c:invertIfNegative val="0"/>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Summary'!$F$196:$F$289</c:f>
              <c:numCache>
                <c:formatCode>General</c:formatCode>
                <c:ptCount val="94"/>
                <c:pt idx="3">
                  <c:v>0</c:v>
                </c:pt>
                <c:pt idx="4">
                  <c:v>0</c:v>
                </c:pt>
                <c:pt idx="5">
                  <c:v>2</c:v>
                </c:pt>
                <c:pt idx="6">
                  <c:v>0</c:v>
                </c:pt>
                <c:pt idx="7">
                  <c:v>1</c:v>
                </c:pt>
                <c:pt idx="8">
                  <c:v>3</c:v>
                </c:pt>
                <c:pt idx="9">
                  <c:v>0</c:v>
                </c:pt>
                <c:pt idx="10">
                  <c:v>0</c:v>
                </c:pt>
                <c:pt idx="11">
                  <c:v>1</c:v>
                </c:pt>
                <c:pt idx="12">
                  <c:v>2</c:v>
                </c:pt>
                <c:pt idx="13">
                  <c:v>7</c:v>
                </c:pt>
                <c:pt idx="14">
                  <c:v>7</c:v>
                </c:pt>
                <c:pt idx="15">
                  <c:v>13</c:v>
                </c:pt>
                <c:pt idx="16">
                  <c:v>11</c:v>
                </c:pt>
                <c:pt idx="17">
                  <c:v>3</c:v>
                </c:pt>
                <c:pt idx="18">
                  <c:v>6</c:v>
                </c:pt>
                <c:pt idx="19">
                  <c:v>8</c:v>
                </c:pt>
                <c:pt idx="23">
                  <c:v>3</c:v>
                </c:pt>
                <c:pt idx="24">
                  <c:v>10</c:v>
                </c:pt>
                <c:pt idx="25">
                  <c:v>24</c:v>
                </c:pt>
                <c:pt idx="26">
                  <c:v>16</c:v>
                </c:pt>
                <c:pt idx="27">
                  <c:v>9</c:v>
                </c:pt>
                <c:pt idx="28">
                  <c:v>17</c:v>
                </c:pt>
                <c:pt idx="29">
                  <c:v>16</c:v>
                </c:pt>
                <c:pt idx="30">
                  <c:v>12</c:v>
                </c:pt>
                <c:pt idx="31">
                  <c:v>13</c:v>
                </c:pt>
                <c:pt idx="32">
                  <c:v>5</c:v>
                </c:pt>
                <c:pt idx="33">
                  <c:v>8</c:v>
                </c:pt>
                <c:pt idx="34">
                  <c:v>8</c:v>
                </c:pt>
                <c:pt idx="35">
                  <c:v>10</c:v>
                </c:pt>
                <c:pt idx="36">
                  <c:v>6</c:v>
                </c:pt>
                <c:pt idx="37">
                  <c:v>8</c:v>
                </c:pt>
                <c:pt idx="38">
                  <c:v>2</c:v>
                </c:pt>
                <c:pt idx="39">
                  <c:v>7</c:v>
                </c:pt>
                <c:pt idx="40">
                  <c:v>3</c:v>
                </c:pt>
                <c:pt idx="41">
                  <c:v>4</c:v>
                </c:pt>
                <c:pt idx="42">
                  <c:v>7</c:v>
                </c:pt>
                <c:pt idx="43">
                  <c:v>3</c:v>
                </c:pt>
                <c:pt idx="44">
                  <c:v>5</c:v>
                </c:pt>
                <c:pt idx="45">
                  <c:v>4</c:v>
                </c:pt>
                <c:pt idx="46">
                  <c:v>0</c:v>
                </c:pt>
                <c:pt idx="47">
                  <c:v>1</c:v>
                </c:pt>
                <c:pt idx="48">
                  <c:v>0</c:v>
                </c:pt>
                <c:pt idx="49">
                  <c:v>1</c:v>
                </c:pt>
                <c:pt idx="50">
                  <c:v>0</c:v>
                </c:pt>
                <c:pt idx="51">
                  <c:v>0</c:v>
                </c:pt>
                <c:pt idx="52">
                  <c:v>0</c:v>
                </c:pt>
                <c:pt idx="53">
                  <c:v>0</c:v>
                </c:pt>
                <c:pt idx="54">
                  <c:v>0</c:v>
                </c:pt>
                <c:pt idx="55">
                  <c:v>2</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er>
        <c:dLbls>
          <c:showLegendKey val="0"/>
          <c:showVal val="0"/>
          <c:showCatName val="0"/>
          <c:showSerName val="0"/>
          <c:showPercent val="0"/>
          <c:showBubbleSize val="0"/>
        </c:dLbls>
        <c:gapWidth val="25"/>
        <c:overlap val="100"/>
        <c:axId val="264501888"/>
        <c:axId val="264516352"/>
      </c:barChart>
      <c:dateAx>
        <c:axId val="264501888"/>
        <c:scaling>
          <c:orientation val="minMax"/>
          <c:max val="41889"/>
          <c:min val="41796"/>
        </c:scaling>
        <c:delete val="0"/>
        <c:axPos val="b"/>
        <c:title>
          <c:tx>
            <c:rich>
              <a:bodyPr/>
              <a:lstStyle/>
              <a:p>
                <a:pPr>
                  <a:defRPr/>
                </a:pPr>
                <a:r>
                  <a:rPr lang="en-US"/>
                  <a:t>Date (m/d)</a:t>
                </a:r>
              </a:p>
            </c:rich>
          </c:tx>
          <c:layout>
            <c:manualLayout>
              <c:xMode val="edge"/>
              <c:yMode val="edge"/>
              <c:x val="0.47912330546310578"/>
              <c:y val="0.88887236317682516"/>
            </c:manualLayout>
          </c:layout>
          <c:overlay val="0"/>
        </c:title>
        <c:numFmt formatCode="m/d" sourceLinked="0"/>
        <c:majorTickMark val="out"/>
        <c:minorTickMark val="out"/>
        <c:tickLblPos val="nextTo"/>
        <c:spPr>
          <a:ln w="12700">
            <a:solidFill>
              <a:schemeClr val="tx1"/>
            </a:solidFill>
          </a:ln>
        </c:spPr>
        <c:txPr>
          <a:bodyPr rot="-5400000" vert="horz"/>
          <a:lstStyle/>
          <a:p>
            <a:pPr>
              <a:defRPr/>
            </a:pPr>
            <a:endParaRPr lang="en-US"/>
          </a:p>
        </c:txPr>
        <c:crossAx val="264516352"/>
        <c:crosses val="autoZero"/>
        <c:auto val="1"/>
        <c:lblOffset val="100"/>
        <c:baseTimeUnit val="days"/>
        <c:majorUnit val="7"/>
        <c:majorTimeUnit val="days"/>
        <c:minorUnit val="1"/>
        <c:minorTimeUnit val="days"/>
      </c:dateAx>
      <c:valAx>
        <c:axId val="264516352"/>
        <c:scaling>
          <c:orientation val="minMax"/>
          <c:max val="60"/>
          <c:min val="0"/>
        </c:scaling>
        <c:delete val="0"/>
        <c:axPos val="l"/>
        <c:title>
          <c:tx>
            <c:rich>
              <a:bodyPr rot="-5400000" vert="horz"/>
              <a:lstStyle/>
              <a:p>
                <a:pPr>
                  <a:defRPr/>
                </a:pPr>
                <a:r>
                  <a:rPr lang="en-US"/>
                  <a:t>Tags Applied</a:t>
                </a:r>
              </a:p>
            </c:rich>
          </c:tx>
          <c:layout>
            <c:manualLayout>
              <c:xMode val="edge"/>
              <c:yMode val="edge"/>
              <c:x val="1.160628117361618E-3"/>
              <c:y val="0.22769320501603965"/>
            </c:manualLayout>
          </c:layout>
          <c:overlay val="0"/>
        </c:title>
        <c:numFmt formatCode="#,##0" sourceLinked="0"/>
        <c:majorTickMark val="out"/>
        <c:minorTickMark val="none"/>
        <c:tickLblPos val="nextTo"/>
        <c:spPr>
          <a:ln w="12700">
            <a:solidFill>
              <a:schemeClr val="tx1"/>
            </a:solidFill>
          </a:ln>
        </c:spPr>
        <c:txPr>
          <a:bodyPr rot="0" vert="horz"/>
          <a:lstStyle/>
          <a:p>
            <a:pPr>
              <a:defRPr/>
            </a:pPr>
            <a:endParaRPr lang="en-US"/>
          </a:p>
        </c:txPr>
        <c:crossAx val="264501888"/>
        <c:crosses val="autoZero"/>
        <c:crossBetween val="between"/>
        <c:majorUnit val="10"/>
      </c:valAx>
    </c:plotArea>
    <c:legend>
      <c:legendPos val="r"/>
      <c:layout>
        <c:manualLayout>
          <c:xMode val="edge"/>
          <c:yMode val="edge"/>
          <c:x val="0.71592174689504018"/>
          <c:y val="0.28438125789831825"/>
          <c:w val="0.25326460481099655"/>
          <c:h val="0.25837464761349277"/>
        </c:manualLayout>
      </c:layout>
      <c:overlay val="0"/>
    </c:legend>
    <c:plotVisOnly val="1"/>
    <c:dispBlanksAs val="gap"/>
    <c:showDLblsOverMax val="0"/>
  </c:chart>
  <c:spPr>
    <a:solidFill>
      <a:schemeClr val="lt1"/>
    </a:solidFill>
    <a:ln w="25400" cap="flat" cmpd="sng" algn="ctr">
      <a:noFill/>
      <a:prstDash val="solid"/>
    </a:ln>
    <a:effectLst/>
  </c:spPr>
  <c:txPr>
    <a:bodyPr/>
    <a:lstStyle/>
    <a:p>
      <a:pPr>
        <a:defRPr>
          <a:solidFill>
            <a:schemeClr val="dk1"/>
          </a:solidFill>
          <a:latin typeface="Times New Roman" panose="02020603050405020304" pitchFamily="18" charset="0"/>
          <a:ea typeface="+mn-ea"/>
          <a:cs typeface="Times New Roman" panose="02020603050405020304" pitchFamily="18" charset="0"/>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676549690548E-2"/>
          <c:y val="5.2952124299970503E-2"/>
          <c:w val="0.92371468272349722"/>
          <c:h val="0.74976686737688902"/>
        </c:manualLayout>
      </c:layout>
      <c:areaChart>
        <c:grouping val="standard"/>
        <c:varyColors val="0"/>
        <c:ser>
          <c:idx val="1"/>
          <c:order val="1"/>
          <c:tx>
            <c:v>Effort</c:v>
          </c:tx>
          <c:spPr>
            <a:solidFill>
              <a:schemeClr val="bg1">
                <a:lumMod val="75000"/>
              </a:schemeClr>
            </a:solidFill>
            <a:ln w="28575">
              <a:noFill/>
            </a:ln>
          </c:spPr>
          <c:cat>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Summary'!$D$4:$D$97</c:f>
              <c:numCache>
                <c:formatCode>#,##0.0</c:formatCode>
                <c:ptCount val="94"/>
                <c:pt idx="0">
                  <c:v>8.3333333333333375</c:v>
                </c:pt>
                <c:pt idx="1">
                  <c:v>11.350000000000003</c:v>
                </c:pt>
                <c:pt idx="2">
                  <c:v>13.3</c:v>
                </c:pt>
                <c:pt idx="3">
                  <c:v>13.083333333333336</c:v>
                </c:pt>
                <c:pt idx="4">
                  <c:v>13.25</c:v>
                </c:pt>
                <c:pt idx="5">
                  <c:v>13.666666666666664</c:v>
                </c:pt>
                <c:pt idx="6">
                  <c:v>16.816666666666666</c:v>
                </c:pt>
                <c:pt idx="7">
                  <c:v>14.883333333333333</c:v>
                </c:pt>
                <c:pt idx="8">
                  <c:v>15.116666666666669</c:v>
                </c:pt>
                <c:pt idx="9">
                  <c:v>15.866666666666669</c:v>
                </c:pt>
                <c:pt idx="10">
                  <c:v>17.333333333333332</c:v>
                </c:pt>
                <c:pt idx="11">
                  <c:v>15.683333333333334</c:v>
                </c:pt>
                <c:pt idx="12">
                  <c:v>17.433333333333334</c:v>
                </c:pt>
                <c:pt idx="13">
                  <c:v>17.016666666666666</c:v>
                </c:pt>
                <c:pt idx="14">
                  <c:v>16.266666666666662</c:v>
                </c:pt>
                <c:pt idx="15">
                  <c:v>17.466666666666665</c:v>
                </c:pt>
                <c:pt idx="16">
                  <c:v>16.766666666666662</c:v>
                </c:pt>
                <c:pt idx="17">
                  <c:v>17.583333333333332</c:v>
                </c:pt>
                <c:pt idx="18">
                  <c:v>17.583333333333336</c:v>
                </c:pt>
                <c:pt idx="19">
                  <c:v>17.133333333333329</c:v>
                </c:pt>
                <c:pt idx="22">
                  <c:v>15.916666666666666</c:v>
                </c:pt>
                <c:pt idx="23">
                  <c:v>24</c:v>
                </c:pt>
                <c:pt idx="24">
                  <c:v>23.999999999999996</c:v>
                </c:pt>
                <c:pt idx="25">
                  <c:v>23.666666666666668</c:v>
                </c:pt>
                <c:pt idx="26">
                  <c:v>21.433333333333334</c:v>
                </c:pt>
                <c:pt idx="27">
                  <c:v>18.016666666666666</c:v>
                </c:pt>
                <c:pt idx="28">
                  <c:v>22.883333333333333</c:v>
                </c:pt>
                <c:pt idx="29">
                  <c:v>23.983333333333338</c:v>
                </c:pt>
                <c:pt idx="30">
                  <c:v>23.916666666666664</c:v>
                </c:pt>
                <c:pt idx="31">
                  <c:v>23.383333333333333</c:v>
                </c:pt>
                <c:pt idx="32">
                  <c:v>23.55</c:v>
                </c:pt>
                <c:pt idx="33">
                  <c:v>23.866666666666667</c:v>
                </c:pt>
                <c:pt idx="34">
                  <c:v>24</c:v>
                </c:pt>
                <c:pt idx="35">
                  <c:v>23.899999999999995</c:v>
                </c:pt>
                <c:pt idx="36">
                  <c:v>24</c:v>
                </c:pt>
                <c:pt idx="37">
                  <c:v>19.266666666666666</c:v>
                </c:pt>
                <c:pt idx="38">
                  <c:v>24</c:v>
                </c:pt>
                <c:pt idx="39">
                  <c:v>19.899999999999999</c:v>
                </c:pt>
                <c:pt idx="40">
                  <c:v>24</c:v>
                </c:pt>
                <c:pt idx="41">
                  <c:v>23.866666666666667</c:v>
                </c:pt>
                <c:pt idx="42">
                  <c:v>23.383333333333333</c:v>
                </c:pt>
                <c:pt idx="43">
                  <c:v>11.483333333333331</c:v>
                </c:pt>
                <c:pt idx="44">
                  <c:v>10.58333333333333</c:v>
                </c:pt>
                <c:pt idx="45">
                  <c:v>11.833333333333334</c:v>
                </c:pt>
                <c:pt idx="46">
                  <c:v>11.816666666666668</c:v>
                </c:pt>
                <c:pt idx="47">
                  <c:v>12.166666666666666</c:v>
                </c:pt>
                <c:pt idx="48">
                  <c:v>11.283333333333333</c:v>
                </c:pt>
                <c:pt idx="49">
                  <c:v>12.633333333333329</c:v>
                </c:pt>
                <c:pt idx="50">
                  <c:v>12.066666666666668</c:v>
                </c:pt>
                <c:pt idx="51">
                  <c:v>12.283333333333333</c:v>
                </c:pt>
                <c:pt idx="52">
                  <c:v>12.35</c:v>
                </c:pt>
                <c:pt idx="53">
                  <c:v>12.033333333333335</c:v>
                </c:pt>
                <c:pt idx="54">
                  <c:v>11</c:v>
                </c:pt>
                <c:pt idx="55">
                  <c:v>12.016666666666667</c:v>
                </c:pt>
                <c:pt idx="56">
                  <c:v>11.833333333333336</c:v>
                </c:pt>
                <c:pt idx="57">
                  <c:v>12.000000000000002</c:v>
                </c:pt>
                <c:pt idx="58">
                  <c:v>13.066666666666666</c:v>
                </c:pt>
                <c:pt idx="59">
                  <c:v>12.000000000000002</c:v>
                </c:pt>
                <c:pt idx="60">
                  <c:v>12</c:v>
                </c:pt>
                <c:pt idx="61">
                  <c:v>12.000000000000002</c:v>
                </c:pt>
                <c:pt idx="62">
                  <c:v>12.000000000000002</c:v>
                </c:pt>
                <c:pt idx="63">
                  <c:v>11.999999999999998</c:v>
                </c:pt>
                <c:pt idx="64">
                  <c:v>12.183333333333334</c:v>
                </c:pt>
                <c:pt idx="65">
                  <c:v>12.333333333333336</c:v>
                </c:pt>
                <c:pt idx="66">
                  <c:v>12.066666666666663</c:v>
                </c:pt>
                <c:pt idx="67">
                  <c:v>12.033333333333333</c:v>
                </c:pt>
                <c:pt idx="68">
                  <c:v>12.100000000000001</c:v>
                </c:pt>
                <c:pt idx="69">
                  <c:v>11.983333333333333</c:v>
                </c:pt>
                <c:pt idx="70">
                  <c:v>12.016666666666667</c:v>
                </c:pt>
                <c:pt idx="71">
                  <c:v>12.066666666666666</c:v>
                </c:pt>
                <c:pt idx="72">
                  <c:v>12.016666666666667</c:v>
                </c:pt>
                <c:pt idx="73">
                  <c:v>12.116666666666667</c:v>
                </c:pt>
                <c:pt idx="74">
                  <c:v>11.833333333333334</c:v>
                </c:pt>
                <c:pt idx="75">
                  <c:v>12.15</c:v>
                </c:pt>
                <c:pt idx="76">
                  <c:v>11.999999999999998</c:v>
                </c:pt>
                <c:pt idx="77">
                  <c:v>12.183333333333332</c:v>
                </c:pt>
                <c:pt idx="78">
                  <c:v>12.15</c:v>
                </c:pt>
                <c:pt idx="79">
                  <c:v>12.249999999999996</c:v>
                </c:pt>
                <c:pt idx="80">
                  <c:v>12.066666666666665</c:v>
                </c:pt>
                <c:pt idx="81">
                  <c:v>12.000000000000002</c:v>
                </c:pt>
                <c:pt idx="82">
                  <c:v>12.066666666666666</c:v>
                </c:pt>
                <c:pt idx="83">
                  <c:v>12.1</c:v>
                </c:pt>
                <c:pt idx="84">
                  <c:v>10.5</c:v>
                </c:pt>
                <c:pt idx="85">
                  <c:v>9.9333333333333336</c:v>
                </c:pt>
                <c:pt idx="86">
                  <c:v>9.3666666666666671</c:v>
                </c:pt>
                <c:pt idx="87">
                  <c:v>9.7166666666666668</c:v>
                </c:pt>
                <c:pt idx="88">
                  <c:v>10.1</c:v>
                </c:pt>
                <c:pt idx="89">
                  <c:v>10.183333333333334</c:v>
                </c:pt>
                <c:pt idx="90">
                  <c:v>9.15</c:v>
                </c:pt>
                <c:pt idx="91">
                  <c:v>9.9000000000000039</c:v>
                </c:pt>
                <c:pt idx="92">
                  <c:v>9.7000000000000011</c:v>
                </c:pt>
                <c:pt idx="93">
                  <c:v>9.3333333333333339</c:v>
                </c:pt>
              </c:numCache>
            </c:numRef>
          </c:val>
        </c:ser>
        <c:dLbls>
          <c:showLegendKey val="0"/>
          <c:showVal val="0"/>
          <c:showCatName val="0"/>
          <c:showSerName val="0"/>
          <c:showPercent val="0"/>
          <c:showBubbleSize val="0"/>
        </c:dLbls>
        <c:axId val="264601600"/>
        <c:axId val="264604288"/>
      </c:areaChart>
      <c:scatterChart>
        <c:scatterStyle val="lineMarker"/>
        <c:varyColors val="0"/>
        <c:ser>
          <c:idx val="0"/>
          <c:order val="0"/>
          <c:tx>
            <c:v>RPM</c:v>
          </c:tx>
          <c:spPr>
            <a:ln w="25400">
              <a:solidFill>
                <a:schemeClr val="tx1"/>
              </a:solidFill>
            </a:ln>
          </c:spPr>
          <c:marker>
            <c:symbol val="diamond"/>
            <c:size val="5"/>
            <c:spPr>
              <a:solidFill>
                <a:schemeClr val="tx1"/>
              </a:solidFill>
              <a:ln>
                <a:solidFill>
                  <a:schemeClr val="tx1"/>
                </a:solidFill>
              </a:ln>
            </c:spPr>
          </c:marker>
          <c:xVal>
            <c:numRef>
              <c:f>'Tab_Catch Summary'!$B$4:$B$97</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Summary'!$C$4:$C$97</c:f>
              <c:numCache>
                <c:formatCode>0.0</c:formatCode>
                <c:ptCount val="94"/>
                <c:pt idx="0">
                  <c:v>3.050847457627119</c:v>
                </c:pt>
                <c:pt idx="1">
                  <c:v>2.8421052631578947</c:v>
                </c:pt>
                <c:pt idx="2">
                  <c:v>2.6865671641791042</c:v>
                </c:pt>
                <c:pt idx="3">
                  <c:v>3.050847457627119</c:v>
                </c:pt>
                <c:pt idx="4">
                  <c:v>3.2727272727272729</c:v>
                </c:pt>
                <c:pt idx="5">
                  <c:v>3.2727272727272729</c:v>
                </c:pt>
                <c:pt idx="6">
                  <c:v>3.1358885017421603</c:v>
                </c:pt>
                <c:pt idx="7">
                  <c:v>2.4699828473413379</c:v>
                </c:pt>
                <c:pt idx="8">
                  <c:v>2.3420074349442377</c:v>
                </c:pt>
                <c:pt idx="9">
                  <c:v>3</c:v>
                </c:pt>
                <c:pt idx="10">
                  <c:v>3.3245382585751977</c:v>
                </c:pt>
                <c:pt idx="11">
                  <c:v>3.8605898123324396</c:v>
                </c:pt>
                <c:pt idx="12">
                  <c:v>4.0540540540540544</c:v>
                </c:pt>
                <c:pt idx="13">
                  <c:v>4.2</c:v>
                </c:pt>
                <c:pt idx="14">
                  <c:v>4</c:v>
                </c:pt>
                <c:pt idx="15">
                  <c:v>3.5643564356435644</c:v>
                </c:pt>
                <c:pt idx="16">
                  <c:v>3.8793103448275863</c:v>
                </c:pt>
                <c:pt idx="17">
                  <c:v>3.1718061674008813</c:v>
                </c:pt>
                <c:pt idx="18">
                  <c:v>3.1802120141342756</c:v>
                </c:pt>
                <c:pt idx="19">
                  <c:v>3.1304347826086953</c:v>
                </c:pt>
                <c:pt idx="22">
                  <c:v>5.0806451612903221</c:v>
                </c:pt>
                <c:pt idx="23">
                  <c:v>4.1379310344827589</c:v>
                </c:pt>
                <c:pt idx="24">
                  <c:v>3.4123222748815167</c:v>
                </c:pt>
                <c:pt idx="25">
                  <c:v>3.6923076923076925</c:v>
                </c:pt>
                <c:pt idx="26">
                  <c:v>4.9655172413793105</c:v>
                </c:pt>
                <c:pt idx="27">
                  <c:v>5.202312138728324</c:v>
                </c:pt>
                <c:pt idx="28">
                  <c:v>5.1724137931034484</c:v>
                </c:pt>
                <c:pt idx="29">
                  <c:v>4.5283018867924527</c:v>
                </c:pt>
                <c:pt idx="30">
                  <c:v>3.9779005524861879</c:v>
                </c:pt>
                <c:pt idx="31">
                  <c:v>4.8</c:v>
                </c:pt>
                <c:pt idx="32">
                  <c:v>5.625</c:v>
                </c:pt>
                <c:pt idx="33">
                  <c:v>5.3731343283582085</c:v>
                </c:pt>
                <c:pt idx="34">
                  <c:v>5.2554744525547452</c:v>
                </c:pt>
                <c:pt idx="35">
                  <c:v>5.2173913043478262</c:v>
                </c:pt>
                <c:pt idx="36">
                  <c:v>5</c:v>
                </c:pt>
                <c:pt idx="37">
                  <c:v>5.1798561151079134</c:v>
                </c:pt>
                <c:pt idx="38">
                  <c:v>5.4961832061068705</c:v>
                </c:pt>
                <c:pt idx="39">
                  <c:v>4.8322147651006713</c:v>
                </c:pt>
                <c:pt idx="40">
                  <c:v>4.3373493975903612</c:v>
                </c:pt>
                <c:pt idx="41">
                  <c:v>4.3113772455089823</c:v>
                </c:pt>
                <c:pt idx="42">
                  <c:v>4</c:v>
                </c:pt>
                <c:pt idx="43">
                  <c:v>4.615384615384615</c:v>
                </c:pt>
                <c:pt idx="44">
                  <c:v>4.3373493975903612</c:v>
                </c:pt>
                <c:pt idx="45">
                  <c:v>4.3902439024390247</c:v>
                </c:pt>
                <c:pt idx="46">
                  <c:v>4.1860465116279073</c:v>
                </c:pt>
                <c:pt idx="47">
                  <c:v>3.6241610738255035</c:v>
                </c:pt>
                <c:pt idx="48">
                  <c:v>3.4951456310679614</c:v>
                </c:pt>
                <c:pt idx="49">
                  <c:v>3.6363636363636367</c:v>
                </c:pt>
                <c:pt idx="50">
                  <c:v>4.354838709677419</c:v>
                </c:pt>
                <c:pt idx="51">
                  <c:v>3.8571428571428572</c:v>
                </c:pt>
                <c:pt idx="52">
                  <c:v>3.4285714285714284</c:v>
                </c:pt>
                <c:pt idx="53">
                  <c:v>3.3027522935779818</c:v>
                </c:pt>
                <c:pt idx="54">
                  <c:v>3.3962264150943398</c:v>
                </c:pt>
                <c:pt idx="55">
                  <c:v>3.4838709677419359</c:v>
                </c:pt>
                <c:pt idx="56">
                  <c:v>3.333333333333333</c:v>
                </c:pt>
                <c:pt idx="57">
                  <c:v>3.4615384615384612</c:v>
                </c:pt>
                <c:pt idx="58">
                  <c:v>3.6734693877551021</c:v>
                </c:pt>
                <c:pt idx="59">
                  <c:v>3.3540372670807455</c:v>
                </c:pt>
                <c:pt idx="60">
                  <c:v>3.6986301369863015</c:v>
                </c:pt>
                <c:pt idx="61">
                  <c:v>3.8848920863309351</c:v>
                </c:pt>
                <c:pt idx="62">
                  <c:v>3.5643564356435644</c:v>
                </c:pt>
                <c:pt idx="63">
                  <c:v>3.3962264150943398</c:v>
                </c:pt>
                <c:pt idx="64">
                  <c:v>3.1858407079646018</c:v>
                </c:pt>
                <c:pt idx="65">
                  <c:v>3.243243243243243</c:v>
                </c:pt>
                <c:pt idx="66">
                  <c:v>2.9268292682926833</c:v>
                </c:pt>
                <c:pt idx="67">
                  <c:v>3.333333333333333</c:v>
                </c:pt>
                <c:pt idx="68">
                  <c:v>3.4177215189873418</c:v>
                </c:pt>
                <c:pt idx="69">
                  <c:v>3.2727272727272729</c:v>
                </c:pt>
                <c:pt idx="70">
                  <c:v>3.0769230769230771</c:v>
                </c:pt>
                <c:pt idx="71">
                  <c:v>3.2727272727272729</c:v>
                </c:pt>
                <c:pt idx="72">
                  <c:v>3.7894736842105265</c:v>
                </c:pt>
                <c:pt idx="73">
                  <c:v>3.9560439560439562</c:v>
                </c:pt>
                <c:pt idx="74">
                  <c:v>3.7696335078534036</c:v>
                </c:pt>
                <c:pt idx="75">
                  <c:v>3.4951456310679614</c:v>
                </c:pt>
                <c:pt idx="76">
                  <c:v>3.2727272727272729</c:v>
                </c:pt>
                <c:pt idx="77">
                  <c:v>3.116883116883117</c:v>
                </c:pt>
                <c:pt idx="78">
                  <c:v>2.8877005347593578</c:v>
                </c:pt>
                <c:pt idx="79">
                  <c:v>2.8877005347593578</c:v>
                </c:pt>
                <c:pt idx="80">
                  <c:v>2.88</c:v>
                </c:pt>
                <c:pt idx="81">
                  <c:v>3.0769230769230771</c:v>
                </c:pt>
                <c:pt idx="82">
                  <c:v>3.3962264150943398</c:v>
                </c:pt>
                <c:pt idx="83">
                  <c:v>3.5526315789473686</c:v>
                </c:pt>
                <c:pt idx="84">
                  <c:v>3.2142857142857144</c:v>
                </c:pt>
                <c:pt idx="85">
                  <c:v>3.333333333333333</c:v>
                </c:pt>
                <c:pt idx="86">
                  <c:v>3.195266272189349</c:v>
                </c:pt>
                <c:pt idx="87">
                  <c:v>3.1764705882352944</c:v>
                </c:pt>
                <c:pt idx="88">
                  <c:v>3.2142857142857144</c:v>
                </c:pt>
                <c:pt idx="89">
                  <c:v>4.0909090909090908</c:v>
                </c:pt>
                <c:pt idx="90">
                  <c:v>3.243243243243243</c:v>
                </c:pt>
                <c:pt idx="91">
                  <c:v>2.8571428571428572</c:v>
                </c:pt>
                <c:pt idx="92">
                  <c:v>3.0769230769230771</c:v>
                </c:pt>
                <c:pt idx="93">
                  <c:v>3</c:v>
                </c:pt>
              </c:numCache>
            </c:numRef>
          </c:yVal>
          <c:smooth val="0"/>
        </c:ser>
        <c:dLbls>
          <c:showLegendKey val="0"/>
          <c:showVal val="0"/>
          <c:showCatName val="0"/>
          <c:showSerName val="0"/>
          <c:showPercent val="0"/>
          <c:showBubbleSize val="0"/>
        </c:dLbls>
        <c:axId val="264606080"/>
        <c:axId val="264607616"/>
      </c:scatterChart>
      <c:dateAx>
        <c:axId val="264601600"/>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4604288"/>
        <c:crosses val="autoZero"/>
        <c:auto val="1"/>
        <c:lblOffset val="100"/>
        <c:baseTimeUnit val="days"/>
        <c:majorUnit val="7"/>
        <c:majorTimeUnit val="days"/>
        <c:minorUnit val="1"/>
        <c:minorTimeUnit val="days"/>
      </c:dateAx>
      <c:valAx>
        <c:axId val="264604288"/>
        <c:scaling>
          <c:orientation val="minMax"/>
          <c:max val="24"/>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64601600"/>
        <c:crosses val="autoZero"/>
        <c:crossBetween val="between"/>
        <c:majorUnit val="4"/>
      </c:valAx>
      <c:valAx>
        <c:axId val="264606080"/>
        <c:scaling>
          <c:orientation val="minMax"/>
        </c:scaling>
        <c:delete val="1"/>
        <c:axPos val="b"/>
        <c:numFmt formatCode="d\-mmm" sourceLinked="1"/>
        <c:majorTickMark val="out"/>
        <c:minorTickMark val="none"/>
        <c:tickLblPos val="none"/>
        <c:crossAx val="264607616"/>
        <c:crossesAt val="0"/>
        <c:crossBetween val="midCat"/>
      </c:valAx>
      <c:valAx>
        <c:axId val="264607616"/>
        <c:scaling>
          <c:orientation val="minMax"/>
          <c:max val="8"/>
          <c:min val="0"/>
        </c:scaling>
        <c:delete val="0"/>
        <c:axPos val="r"/>
        <c:numFmt formatCode="0" sourceLinked="0"/>
        <c:majorTickMark val="out"/>
        <c:minorTickMark val="none"/>
        <c:tickLblPos val="nextTo"/>
        <c:spPr>
          <a:ln w="12700">
            <a:solidFill>
              <a:schemeClr val="tx1"/>
            </a:solidFill>
          </a:ln>
        </c:spPr>
        <c:txPr>
          <a:bodyPr rot="0" vert="horz"/>
          <a:lstStyle/>
          <a:p>
            <a:pPr>
              <a:defRPr/>
            </a:pPr>
            <a:endParaRPr lang="en-US"/>
          </a:p>
        </c:txPr>
        <c:crossAx val="264606080"/>
        <c:crosses val="max"/>
        <c:crossBetween val="midCat"/>
        <c:majorUnit val="2"/>
      </c:valAx>
    </c:plotArea>
    <c:legend>
      <c:legendPos val="r"/>
      <c:layout>
        <c:manualLayout>
          <c:xMode val="edge"/>
          <c:yMode val="edge"/>
          <c:x val="0.34779064381658176"/>
          <c:y val="0.5527671396998145"/>
          <c:w val="0.24441974164994082"/>
          <c:h val="0.11833188075643103"/>
        </c:manualLayout>
      </c:layout>
      <c:overlay val="0"/>
      <c:spPr>
        <a:solidFill>
          <a:sysClr val="window" lastClr="FFFFFF"/>
        </a:solidFill>
      </c:spPr>
      <c:txPr>
        <a:bodyPr/>
        <a:lstStyle/>
        <a:p>
          <a:pPr>
            <a:defRPr sz="900"/>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676549690548E-2"/>
          <c:y val="4.5821999522786913E-2"/>
          <c:w val="0.92371468272349722"/>
          <c:h val="0.75689699215407524"/>
        </c:manualLayout>
      </c:layout>
      <c:areaChart>
        <c:grouping val="standard"/>
        <c:varyColors val="0"/>
        <c:ser>
          <c:idx val="1"/>
          <c:order val="1"/>
          <c:tx>
            <c:v>Effort</c:v>
          </c:tx>
          <c:spPr>
            <a:solidFill>
              <a:schemeClr val="bg1">
                <a:lumMod val="75000"/>
              </a:schemeClr>
            </a:solidFill>
            <a:ln w="28575">
              <a:noFill/>
            </a:ln>
          </c:spPr>
          <c:cat>
            <c:numRef>
              <c:f>'Tab_Catch Summary'!$B$100:$B$193</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cat>
          <c:val>
            <c:numRef>
              <c:f>'Tab_Catch Summary'!$D$100:$D$193</c:f>
              <c:numCache>
                <c:formatCode>#,##0.0</c:formatCode>
                <c:ptCount val="94"/>
                <c:pt idx="6">
                  <c:v>12.366666666666667</c:v>
                </c:pt>
                <c:pt idx="7">
                  <c:v>14.883333333333331</c:v>
                </c:pt>
                <c:pt idx="8">
                  <c:v>15.600000000000001</c:v>
                </c:pt>
                <c:pt idx="9">
                  <c:v>15.850000000000003</c:v>
                </c:pt>
                <c:pt idx="10">
                  <c:v>16.716666666666665</c:v>
                </c:pt>
                <c:pt idx="11">
                  <c:v>15.25</c:v>
                </c:pt>
                <c:pt idx="12">
                  <c:v>16.066666666666666</c:v>
                </c:pt>
                <c:pt idx="13">
                  <c:v>16.483333333333334</c:v>
                </c:pt>
                <c:pt idx="14">
                  <c:v>16.149999999999999</c:v>
                </c:pt>
                <c:pt idx="15">
                  <c:v>16.533333333333335</c:v>
                </c:pt>
                <c:pt idx="16">
                  <c:v>16.016666666666666</c:v>
                </c:pt>
                <c:pt idx="17">
                  <c:v>17.2</c:v>
                </c:pt>
                <c:pt idx="18">
                  <c:v>17.233333333333334</c:v>
                </c:pt>
                <c:pt idx="19">
                  <c:v>16.416666666666668</c:v>
                </c:pt>
                <c:pt idx="22">
                  <c:v>8.8000000000000007</c:v>
                </c:pt>
                <c:pt idx="23">
                  <c:v>17.600000000000001</c:v>
                </c:pt>
                <c:pt idx="24">
                  <c:v>24.000000000000004</c:v>
                </c:pt>
                <c:pt idx="25">
                  <c:v>23.833333333333332</c:v>
                </c:pt>
                <c:pt idx="26">
                  <c:v>23.216666666666665</c:v>
                </c:pt>
                <c:pt idx="27">
                  <c:v>17.75</c:v>
                </c:pt>
                <c:pt idx="28">
                  <c:v>9.7833333333333332</c:v>
                </c:pt>
                <c:pt idx="29">
                  <c:v>24</c:v>
                </c:pt>
                <c:pt idx="30">
                  <c:v>24.000000000000004</c:v>
                </c:pt>
                <c:pt idx="31">
                  <c:v>24</c:v>
                </c:pt>
                <c:pt idx="32">
                  <c:v>23.916666666666668</c:v>
                </c:pt>
                <c:pt idx="33">
                  <c:v>24</c:v>
                </c:pt>
                <c:pt idx="34">
                  <c:v>24</c:v>
                </c:pt>
                <c:pt idx="35">
                  <c:v>24</c:v>
                </c:pt>
                <c:pt idx="36">
                  <c:v>24</c:v>
                </c:pt>
                <c:pt idx="37">
                  <c:v>24</c:v>
                </c:pt>
                <c:pt idx="38">
                  <c:v>24</c:v>
                </c:pt>
                <c:pt idx="39">
                  <c:v>24</c:v>
                </c:pt>
                <c:pt idx="40">
                  <c:v>23.700000000000003</c:v>
                </c:pt>
                <c:pt idx="41">
                  <c:v>24</c:v>
                </c:pt>
                <c:pt idx="42">
                  <c:v>23.033333333333335</c:v>
                </c:pt>
                <c:pt idx="43">
                  <c:v>10.133333333333333</c:v>
                </c:pt>
                <c:pt idx="44">
                  <c:v>11.783333333333333</c:v>
                </c:pt>
                <c:pt idx="45">
                  <c:v>11.766666666666671</c:v>
                </c:pt>
                <c:pt idx="46">
                  <c:v>11.699999999999998</c:v>
                </c:pt>
                <c:pt idx="47">
                  <c:v>11.966666666666669</c:v>
                </c:pt>
                <c:pt idx="48">
                  <c:v>12.05</c:v>
                </c:pt>
                <c:pt idx="49">
                  <c:v>12.016666666666667</c:v>
                </c:pt>
                <c:pt idx="50">
                  <c:v>11.983333333333336</c:v>
                </c:pt>
                <c:pt idx="51">
                  <c:v>12.016666666666669</c:v>
                </c:pt>
                <c:pt idx="52">
                  <c:v>12.016666666666667</c:v>
                </c:pt>
                <c:pt idx="53">
                  <c:v>11.883333333333333</c:v>
                </c:pt>
                <c:pt idx="54">
                  <c:v>11.9</c:v>
                </c:pt>
                <c:pt idx="55">
                  <c:v>12.016666666666664</c:v>
                </c:pt>
                <c:pt idx="56">
                  <c:v>12.1</c:v>
                </c:pt>
                <c:pt idx="57">
                  <c:v>12</c:v>
                </c:pt>
                <c:pt idx="58">
                  <c:v>11.999999999999996</c:v>
                </c:pt>
                <c:pt idx="59">
                  <c:v>11.999999999999998</c:v>
                </c:pt>
                <c:pt idx="60">
                  <c:v>12</c:v>
                </c:pt>
                <c:pt idx="61">
                  <c:v>12.000000000000002</c:v>
                </c:pt>
                <c:pt idx="62">
                  <c:v>12.000000000000002</c:v>
                </c:pt>
                <c:pt idx="63">
                  <c:v>12.000000000000002</c:v>
                </c:pt>
                <c:pt idx="64">
                  <c:v>12.000000000000002</c:v>
                </c:pt>
                <c:pt idx="65">
                  <c:v>12.033333333333333</c:v>
                </c:pt>
                <c:pt idx="66">
                  <c:v>12</c:v>
                </c:pt>
                <c:pt idx="67">
                  <c:v>12</c:v>
                </c:pt>
                <c:pt idx="68">
                  <c:v>12.000000000000002</c:v>
                </c:pt>
                <c:pt idx="69">
                  <c:v>11.833333333333334</c:v>
                </c:pt>
                <c:pt idx="70">
                  <c:v>11.999999999999996</c:v>
                </c:pt>
                <c:pt idx="71">
                  <c:v>12.000000000000002</c:v>
                </c:pt>
                <c:pt idx="72">
                  <c:v>12.016666666666667</c:v>
                </c:pt>
                <c:pt idx="73">
                  <c:v>11.999999999999996</c:v>
                </c:pt>
                <c:pt idx="74">
                  <c:v>12</c:v>
                </c:pt>
                <c:pt idx="75">
                  <c:v>12.083333333333334</c:v>
                </c:pt>
                <c:pt idx="76">
                  <c:v>12</c:v>
                </c:pt>
                <c:pt idx="77">
                  <c:v>11.999999999999996</c:v>
                </c:pt>
                <c:pt idx="78">
                  <c:v>12.1</c:v>
                </c:pt>
                <c:pt idx="79">
                  <c:v>12.1</c:v>
                </c:pt>
                <c:pt idx="80">
                  <c:v>12.066666666666666</c:v>
                </c:pt>
                <c:pt idx="81">
                  <c:v>12</c:v>
                </c:pt>
                <c:pt idx="82">
                  <c:v>12.033333333333333</c:v>
                </c:pt>
                <c:pt idx="83">
                  <c:v>12</c:v>
                </c:pt>
                <c:pt idx="84">
                  <c:v>10.55</c:v>
                </c:pt>
                <c:pt idx="85">
                  <c:v>9.8333333333333339</c:v>
                </c:pt>
                <c:pt idx="86">
                  <c:v>9.2666666666666622</c:v>
                </c:pt>
                <c:pt idx="87">
                  <c:v>9.0333333333333332</c:v>
                </c:pt>
                <c:pt idx="88">
                  <c:v>10.050000000000001</c:v>
                </c:pt>
                <c:pt idx="89">
                  <c:v>10.466666666666669</c:v>
                </c:pt>
                <c:pt idx="90">
                  <c:v>9.4833333333333325</c:v>
                </c:pt>
                <c:pt idx="91">
                  <c:v>9.9333333333333318</c:v>
                </c:pt>
                <c:pt idx="92">
                  <c:v>10.033333333333333</c:v>
                </c:pt>
                <c:pt idx="93">
                  <c:v>9.15</c:v>
                </c:pt>
              </c:numCache>
            </c:numRef>
          </c:val>
        </c:ser>
        <c:dLbls>
          <c:showLegendKey val="0"/>
          <c:showVal val="0"/>
          <c:showCatName val="0"/>
          <c:showSerName val="0"/>
          <c:showPercent val="0"/>
          <c:showBubbleSize val="0"/>
        </c:dLbls>
        <c:axId val="264642944"/>
        <c:axId val="264645632"/>
      </c:areaChart>
      <c:scatterChart>
        <c:scatterStyle val="lineMarker"/>
        <c:varyColors val="0"/>
        <c:ser>
          <c:idx val="0"/>
          <c:order val="0"/>
          <c:tx>
            <c:v>RPM</c:v>
          </c:tx>
          <c:spPr>
            <a:ln w="25400">
              <a:solidFill>
                <a:schemeClr val="tx1"/>
              </a:solidFill>
            </a:ln>
          </c:spPr>
          <c:marker>
            <c:symbol val="diamond"/>
            <c:size val="5"/>
            <c:spPr>
              <a:solidFill>
                <a:schemeClr val="tx1"/>
              </a:solidFill>
              <a:ln>
                <a:solidFill>
                  <a:schemeClr val="tx1"/>
                </a:solidFill>
              </a:ln>
            </c:spPr>
          </c:marker>
          <c:xVal>
            <c:numRef>
              <c:f>'Tab_Catch Summary'!$B$100:$B$193</c:f>
              <c:numCache>
                <c:formatCode>d\-mmm</c:formatCode>
                <c:ptCount val="94"/>
                <c:pt idx="0">
                  <c:v>41796</c:v>
                </c:pt>
                <c:pt idx="1">
                  <c:v>41797</c:v>
                </c:pt>
                <c:pt idx="2">
                  <c:v>41798</c:v>
                </c:pt>
                <c:pt idx="3">
                  <c:v>41799</c:v>
                </c:pt>
                <c:pt idx="4">
                  <c:v>41800</c:v>
                </c:pt>
                <c:pt idx="5">
                  <c:v>41801</c:v>
                </c:pt>
                <c:pt idx="6">
                  <c:v>41802</c:v>
                </c:pt>
                <c:pt idx="7">
                  <c:v>41803</c:v>
                </c:pt>
                <c:pt idx="8">
                  <c:v>41804</c:v>
                </c:pt>
                <c:pt idx="9">
                  <c:v>41805</c:v>
                </c:pt>
                <c:pt idx="10">
                  <c:v>41806</c:v>
                </c:pt>
                <c:pt idx="11">
                  <c:v>41807</c:v>
                </c:pt>
                <c:pt idx="12">
                  <c:v>41808</c:v>
                </c:pt>
                <c:pt idx="13">
                  <c:v>41809</c:v>
                </c:pt>
                <c:pt idx="14">
                  <c:v>41810</c:v>
                </c:pt>
                <c:pt idx="15">
                  <c:v>41811</c:v>
                </c:pt>
                <c:pt idx="16">
                  <c:v>41812</c:v>
                </c:pt>
                <c:pt idx="17">
                  <c:v>41813</c:v>
                </c:pt>
                <c:pt idx="18">
                  <c:v>41814</c:v>
                </c:pt>
                <c:pt idx="19">
                  <c:v>41815</c:v>
                </c:pt>
                <c:pt idx="20">
                  <c:v>41816</c:v>
                </c:pt>
                <c:pt idx="21">
                  <c:v>41817</c:v>
                </c:pt>
                <c:pt idx="22">
                  <c:v>41818</c:v>
                </c:pt>
                <c:pt idx="23">
                  <c:v>41819</c:v>
                </c:pt>
                <c:pt idx="24">
                  <c:v>41820</c:v>
                </c:pt>
                <c:pt idx="25">
                  <c:v>41821</c:v>
                </c:pt>
                <c:pt idx="26">
                  <c:v>41822</c:v>
                </c:pt>
                <c:pt idx="27">
                  <c:v>41823</c:v>
                </c:pt>
                <c:pt idx="28">
                  <c:v>41824</c:v>
                </c:pt>
                <c:pt idx="29">
                  <c:v>41825</c:v>
                </c:pt>
                <c:pt idx="30">
                  <c:v>41826</c:v>
                </c:pt>
                <c:pt idx="31">
                  <c:v>41827</c:v>
                </c:pt>
                <c:pt idx="32">
                  <c:v>41828</c:v>
                </c:pt>
                <c:pt idx="33">
                  <c:v>41829</c:v>
                </c:pt>
                <c:pt idx="34">
                  <c:v>41830</c:v>
                </c:pt>
                <c:pt idx="35">
                  <c:v>41831</c:v>
                </c:pt>
                <c:pt idx="36">
                  <c:v>41832</c:v>
                </c:pt>
                <c:pt idx="37">
                  <c:v>41833</c:v>
                </c:pt>
                <c:pt idx="38">
                  <c:v>41834</c:v>
                </c:pt>
                <c:pt idx="39">
                  <c:v>41835</c:v>
                </c:pt>
                <c:pt idx="40">
                  <c:v>41836</c:v>
                </c:pt>
                <c:pt idx="41">
                  <c:v>41837</c:v>
                </c:pt>
                <c:pt idx="42">
                  <c:v>41838</c:v>
                </c:pt>
                <c:pt idx="43">
                  <c:v>41839</c:v>
                </c:pt>
                <c:pt idx="44">
                  <c:v>41840</c:v>
                </c:pt>
                <c:pt idx="45">
                  <c:v>41841</c:v>
                </c:pt>
                <c:pt idx="46">
                  <c:v>41842</c:v>
                </c:pt>
                <c:pt idx="47">
                  <c:v>41843</c:v>
                </c:pt>
                <c:pt idx="48">
                  <c:v>41844</c:v>
                </c:pt>
                <c:pt idx="49">
                  <c:v>41845</c:v>
                </c:pt>
                <c:pt idx="50">
                  <c:v>41846</c:v>
                </c:pt>
                <c:pt idx="51">
                  <c:v>41847</c:v>
                </c:pt>
                <c:pt idx="52">
                  <c:v>41848</c:v>
                </c:pt>
                <c:pt idx="53">
                  <c:v>41849</c:v>
                </c:pt>
                <c:pt idx="54">
                  <c:v>41850</c:v>
                </c:pt>
                <c:pt idx="55">
                  <c:v>41851</c:v>
                </c:pt>
                <c:pt idx="56">
                  <c:v>41852</c:v>
                </c:pt>
                <c:pt idx="57">
                  <c:v>41853</c:v>
                </c:pt>
                <c:pt idx="58">
                  <c:v>41854</c:v>
                </c:pt>
                <c:pt idx="59">
                  <c:v>41855</c:v>
                </c:pt>
                <c:pt idx="60">
                  <c:v>41856</c:v>
                </c:pt>
                <c:pt idx="61">
                  <c:v>41857</c:v>
                </c:pt>
                <c:pt idx="62">
                  <c:v>41858</c:v>
                </c:pt>
                <c:pt idx="63">
                  <c:v>41859</c:v>
                </c:pt>
                <c:pt idx="64">
                  <c:v>41860</c:v>
                </c:pt>
                <c:pt idx="65">
                  <c:v>41861</c:v>
                </c:pt>
                <c:pt idx="66">
                  <c:v>41862</c:v>
                </c:pt>
                <c:pt idx="67">
                  <c:v>41863</c:v>
                </c:pt>
                <c:pt idx="68">
                  <c:v>41864</c:v>
                </c:pt>
                <c:pt idx="69">
                  <c:v>41865</c:v>
                </c:pt>
                <c:pt idx="70">
                  <c:v>41866</c:v>
                </c:pt>
                <c:pt idx="71">
                  <c:v>41867</c:v>
                </c:pt>
                <c:pt idx="72">
                  <c:v>41868</c:v>
                </c:pt>
                <c:pt idx="73">
                  <c:v>41869</c:v>
                </c:pt>
                <c:pt idx="74">
                  <c:v>41870</c:v>
                </c:pt>
                <c:pt idx="75">
                  <c:v>41871</c:v>
                </c:pt>
                <c:pt idx="76">
                  <c:v>41872</c:v>
                </c:pt>
                <c:pt idx="77">
                  <c:v>41873</c:v>
                </c:pt>
                <c:pt idx="78">
                  <c:v>41874</c:v>
                </c:pt>
                <c:pt idx="79">
                  <c:v>41875</c:v>
                </c:pt>
                <c:pt idx="80">
                  <c:v>41876</c:v>
                </c:pt>
                <c:pt idx="81">
                  <c:v>41877</c:v>
                </c:pt>
                <c:pt idx="82">
                  <c:v>41878</c:v>
                </c:pt>
                <c:pt idx="83">
                  <c:v>41879</c:v>
                </c:pt>
                <c:pt idx="84">
                  <c:v>41880</c:v>
                </c:pt>
                <c:pt idx="85">
                  <c:v>41881</c:v>
                </c:pt>
                <c:pt idx="86">
                  <c:v>41882</c:v>
                </c:pt>
                <c:pt idx="87">
                  <c:v>41883</c:v>
                </c:pt>
                <c:pt idx="88">
                  <c:v>41884</c:v>
                </c:pt>
                <c:pt idx="89">
                  <c:v>41885</c:v>
                </c:pt>
                <c:pt idx="90">
                  <c:v>41886</c:v>
                </c:pt>
                <c:pt idx="91">
                  <c:v>41887</c:v>
                </c:pt>
                <c:pt idx="92">
                  <c:v>41888</c:v>
                </c:pt>
                <c:pt idx="93">
                  <c:v>41889</c:v>
                </c:pt>
              </c:numCache>
            </c:numRef>
          </c:xVal>
          <c:yVal>
            <c:numRef>
              <c:f>'Tab_Catch Summary'!$C$100:$C$193</c:f>
              <c:numCache>
                <c:formatCode>0.0</c:formatCode>
                <c:ptCount val="94"/>
                <c:pt idx="6">
                  <c:v>5</c:v>
                </c:pt>
                <c:pt idx="7">
                  <c:v>4.6905537459283391</c:v>
                </c:pt>
                <c:pt idx="8">
                  <c:v>4.2352941176470589</c:v>
                </c:pt>
                <c:pt idx="9">
                  <c:v>4.7682119205298017</c:v>
                </c:pt>
                <c:pt idx="10">
                  <c:v>5.3389830508474576</c:v>
                </c:pt>
                <c:pt idx="11">
                  <c:v>5.0991501416430598</c:v>
                </c:pt>
                <c:pt idx="12">
                  <c:v>5.3571428571428568</c:v>
                </c:pt>
                <c:pt idx="13">
                  <c:v>5.1136363636363633</c:v>
                </c:pt>
                <c:pt idx="14">
                  <c:v>5.6603773584905657</c:v>
                </c:pt>
                <c:pt idx="15">
                  <c:v>5.1923076923076925</c:v>
                </c:pt>
                <c:pt idx="16">
                  <c:v>5.76</c:v>
                </c:pt>
                <c:pt idx="17">
                  <c:v>5.333333333333333</c:v>
                </c:pt>
                <c:pt idx="18">
                  <c:v>5.3731343283582085</c:v>
                </c:pt>
                <c:pt idx="19">
                  <c:v>5.2173913043478262</c:v>
                </c:pt>
                <c:pt idx="22">
                  <c:v>6.0674157303370784</c:v>
                </c:pt>
                <c:pt idx="23">
                  <c:v>6.2608695652173907</c:v>
                </c:pt>
                <c:pt idx="24">
                  <c:v>5.625</c:v>
                </c:pt>
                <c:pt idx="25">
                  <c:v>5.8064516129032251</c:v>
                </c:pt>
                <c:pt idx="26">
                  <c:v>5.76</c:v>
                </c:pt>
                <c:pt idx="27">
                  <c:v>6.1538461538461542</c:v>
                </c:pt>
                <c:pt idx="28">
                  <c:v>5</c:v>
                </c:pt>
                <c:pt idx="29">
                  <c:v>5.1428571428571423</c:v>
                </c:pt>
                <c:pt idx="30">
                  <c:v>5.1428571428571423</c:v>
                </c:pt>
                <c:pt idx="31">
                  <c:v>5.6692913385826769</c:v>
                </c:pt>
                <c:pt idx="32">
                  <c:v>5.7142857142857144</c:v>
                </c:pt>
                <c:pt idx="33">
                  <c:v>5.4545454545454541</c:v>
                </c:pt>
                <c:pt idx="34">
                  <c:v>5.5813953488372094</c:v>
                </c:pt>
                <c:pt idx="35">
                  <c:v>5.625</c:v>
                </c:pt>
                <c:pt idx="36">
                  <c:v>5.4135338345864659</c:v>
                </c:pt>
                <c:pt idx="37">
                  <c:v>5.5813953488372094</c:v>
                </c:pt>
                <c:pt idx="38">
                  <c:v>5.625</c:v>
                </c:pt>
                <c:pt idx="39">
                  <c:v>5.2173913043478262</c:v>
                </c:pt>
                <c:pt idx="40">
                  <c:v>5.333333333333333</c:v>
                </c:pt>
                <c:pt idx="41">
                  <c:v>5.4961832061068705</c:v>
                </c:pt>
                <c:pt idx="42">
                  <c:v>5.1063829787234036</c:v>
                </c:pt>
                <c:pt idx="43">
                  <c:v>4.8648648648648649</c:v>
                </c:pt>
                <c:pt idx="44">
                  <c:v>5.7142857142857144</c:v>
                </c:pt>
                <c:pt idx="45">
                  <c:v>6</c:v>
                </c:pt>
                <c:pt idx="46">
                  <c:v>5.2941176470588234</c:v>
                </c:pt>
                <c:pt idx="47">
                  <c:v>5.3465346534653468</c:v>
                </c:pt>
                <c:pt idx="48">
                  <c:v>4.9315068493150687</c:v>
                </c:pt>
                <c:pt idx="49">
                  <c:v>5.2941176470588234</c:v>
                </c:pt>
                <c:pt idx="50">
                  <c:v>5.3465346534653468</c:v>
                </c:pt>
                <c:pt idx="51">
                  <c:v>5.7446808510638299</c:v>
                </c:pt>
                <c:pt idx="52">
                  <c:v>5.4545454545454541</c:v>
                </c:pt>
                <c:pt idx="53">
                  <c:v>4.9315068493150687</c:v>
                </c:pt>
                <c:pt idx="54">
                  <c:v>4.5</c:v>
                </c:pt>
                <c:pt idx="55">
                  <c:v>5</c:v>
                </c:pt>
                <c:pt idx="56">
                  <c:v>5.070422535211268</c:v>
                </c:pt>
                <c:pt idx="57">
                  <c:v>5.070422535211268</c:v>
                </c:pt>
                <c:pt idx="58">
                  <c:v>5.2173913043478262</c:v>
                </c:pt>
                <c:pt idx="59">
                  <c:v>5.1428571428571423</c:v>
                </c:pt>
                <c:pt idx="60">
                  <c:v>5.0943396226415096</c:v>
                </c:pt>
                <c:pt idx="61">
                  <c:v>5.2941176470588234</c:v>
                </c:pt>
                <c:pt idx="62">
                  <c:v>5.1428571428571423</c:v>
                </c:pt>
                <c:pt idx="63">
                  <c:v>4.9315068493150687</c:v>
                </c:pt>
                <c:pt idx="64">
                  <c:v>4.0449438202247192</c:v>
                </c:pt>
                <c:pt idx="65">
                  <c:v>4.9315068493150687</c:v>
                </c:pt>
                <c:pt idx="66">
                  <c:v>4.8648648648648649</c:v>
                </c:pt>
                <c:pt idx="67">
                  <c:v>4.9541284403669721</c:v>
                </c:pt>
                <c:pt idx="68">
                  <c:v>5.0943396226415096</c:v>
                </c:pt>
                <c:pt idx="69">
                  <c:v>4.8</c:v>
                </c:pt>
                <c:pt idx="70">
                  <c:v>5.070422535211268</c:v>
                </c:pt>
                <c:pt idx="71">
                  <c:v>5.2941176470588234</c:v>
                </c:pt>
                <c:pt idx="72">
                  <c:v>5.3731343283582085</c:v>
                </c:pt>
                <c:pt idx="73">
                  <c:v>5.625</c:v>
                </c:pt>
                <c:pt idx="74">
                  <c:v>5.5384615384615392</c:v>
                </c:pt>
                <c:pt idx="75">
                  <c:v>5.1428571428571423</c:v>
                </c:pt>
                <c:pt idx="76">
                  <c:v>5.070422535211268</c:v>
                </c:pt>
                <c:pt idx="77">
                  <c:v>4.8648648648648649</c:v>
                </c:pt>
                <c:pt idx="78">
                  <c:v>4.9090909090909092</c:v>
                </c:pt>
                <c:pt idx="79">
                  <c:v>4.8214285714285712</c:v>
                </c:pt>
                <c:pt idx="80">
                  <c:v>4.4444444444444438</c:v>
                </c:pt>
                <c:pt idx="81">
                  <c:v>4.8648648648648649</c:v>
                </c:pt>
                <c:pt idx="82">
                  <c:v>5.0943396226415096</c:v>
                </c:pt>
                <c:pt idx="83">
                  <c:v>5.4545454545454541</c:v>
                </c:pt>
                <c:pt idx="84">
                  <c:v>5.5384615384615392</c:v>
                </c:pt>
                <c:pt idx="85">
                  <c:v>5.2941176470588234</c:v>
                </c:pt>
                <c:pt idx="86">
                  <c:v>5.2427184466019412</c:v>
                </c:pt>
                <c:pt idx="87">
                  <c:v>4.9090909090909092</c:v>
                </c:pt>
                <c:pt idx="88">
                  <c:v>4.9315068493150687</c:v>
                </c:pt>
                <c:pt idx="89">
                  <c:v>5.7142857142857144</c:v>
                </c:pt>
                <c:pt idx="90">
                  <c:v>5.3731343283582085</c:v>
                </c:pt>
                <c:pt idx="91">
                  <c:v>4.8648648648648649</c:v>
                </c:pt>
                <c:pt idx="92">
                  <c:v>5.4545454545454541</c:v>
                </c:pt>
                <c:pt idx="93">
                  <c:v>5.2941176470588234</c:v>
                </c:pt>
              </c:numCache>
            </c:numRef>
          </c:yVal>
          <c:smooth val="0"/>
        </c:ser>
        <c:dLbls>
          <c:showLegendKey val="0"/>
          <c:showVal val="0"/>
          <c:showCatName val="0"/>
          <c:showSerName val="0"/>
          <c:showPercent val="0"/>
          <c:showBubbleSize val="0"/>
        </c:dLbls>
        <c:axId val="264659712"/>
        <c:axId val="264661248"/>
      </c:scatterChart>
      <c:dateAx>
        <c:axId val="264642944"/>
        <c:scaling>
          <c:orientation val="minMax"/>
          <c:max val="41889"/>
          <c:min val="41796"/>
        </c:scaling>
        <c:delete val="0"/>
        <c:axPos val="b"/>
        <c:numFmt formatCode="m/d" sourceLinked="0"/>
        <c:majorTickMark val="out"/>
        <c:minorTickMark val="out"/>
        <c:tickLblPos val="nextTo"/>
        <c:spPr>
          <a:ln w="12700">
            <a:solidFill>
              <a:schemeClr val="tx1"/>
            </a:solidFill>
          </a:ln>
        </c:spPr>
        <c:txPr>
          <a:bodyPr rot="-5400000" vert="horz"/>
          <a:lstStyle/>
          <a:p>
            <a:pPr>
              <a:defRPr/>
            </a:pPr>
            <a:endParaRPr lang="en-US"/>
          </a:p>
        </c:txPr>
        <c:crossAx val="264645632"/>
        <c:crosses val="autoZero"/>
        <c:auto val="1"/>
        <c:lblOffset val="100"/>
        <c:baseTimeUnit val="days"/>
        <c:majorUnit val="7"/>
        <c:majorTimeUnit val="days"/>
        <c:minorUnit val="1"/>
        <c:minorTimeUnit val="days"/>
      </c:dateAx>
      <c:valAx>
        <c:axId val="264645632"/>
        <c:scaling>
          <c:orientation val="minMax"/>
          <c:max val="24"/>
          <c:min val="0"/>
        </c:scaling>
        <c:delete val="0"/>
        <c:axPos val="l"/>
        <c:numFmt formatCode="#,##0" sourceLinked="0"/>
        <c:majorTickMark val="out"/>
        <c:minorTickMark val="none"/>
        <c:tickLblPos val="nextTo"/>
        <c:spPr>
          <a:ln w="12700">
            <a:solidFill>
              <a:schemeClr val="tx1"/>
            </a:solidFill>
          </a:ln>
        </c:spPr>
        <c:txPr>
          <a:bodyPr rot="0" vert="horz"/>
          <a:lstStyle/>
          <a:p>
            <a:pPr>
              <a:defRPr/>
            </a:pPr>
            <a:endParaRPr lang="en-US"/>
          </a:p>
        </c:txPr>
        <c:crossAx val="264642944"/>
        <c:crosses val="autoZero"/>
        <c:crossBetween val="between"/>
        <c:majorUnit val="4"/>
      </c:valAx>
      <c:valAx>
        <c:axId val="264659712"/>
        <c:scaling>
          <c:orientation val="minMax"/>
        </c:scaling>
        <c:delete val="1"/>
        <c:axPos val="b"/>
        <c:numFmt formatCode="d\-mmm" sourceLinked="1"/>
        <c:majorTickMark val="out"/>
        <c:minorTickMark val="none"/>
        <c:tickLblPos val="none"/>
        <c:crossAx val="264661248"/>
        <c:crosses val="autoZero"/>
        <c:crossBetween val="midCat"/>
      </c:valAx>
      <c:valAx>
        <c:axId val="264661248"/>
        <c:scaling>
          <c:orientation val="minMax"/>
          <c:max val="8"/>
          <c:min val="0"/>
        </c:scaling>
        <c:delete val="0"/>
        <c:axPos val="r"/>
        <c:numFmt formatCode="#,##0" sourceLinked="0"/>
        <c:majorTickMark val="out"/>
        <c:minorTickMark val="none"/>
        <c:tickLblPos val="nextTo"/>
        <c:spPr>
          <a:ln w="12700">
            <a:solidFill>
              <a:schemeClr val="tx1"/>
            </a:solidFill>
          </a:ln>
        </c:spPr>
        <c:txPr>
          <a:bodyPr rot="0" vert="horz"/>
          <a:lstStyle/>
          <a:p>
            <a:pPr>
              <a:defRPr/>
            </a:pPr>
            <a:endParaRPr lang="en-US"/>
          </a:p>
        </c:txPr>
        <c:crossAx val="264659712"/>
        <c:crosses val="max"/>
        <c:crossBetween val="midCat"/>
        <c:majorUnit val="2"/>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1321" l="0.70000000000000095" r="0.70000000000000095" t="0.75000000000001321" header="0.30000000000000032" footer="0.30000000000000032"/>
    <c:pageSetup/>
  </c:printSettings>
  <c:userShapes r:id="rId1"/>
</c:chartSpace>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6</xdr:col>
      <xdr:colOff>209550</xdr:colOff>
      <xdr:row>4</xdr:row>
      <xdr:rowOff>92075</xdr:rowOff>
    </xdr:to>
    <xdr:sp macro="" textlink="">
      <xdr:nvSpPr>
        <xdr:cNvPr id="2" name="TextBox 1"/>
        <xdr:cNvSpPr txBox="1"/>
      </xdr:nvSpPr>
      <xdr:spPr>
        <a:xfrm>
          <a:off x="814917" y="50800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0.09256</cdr:x>
      <cdr:y>0.07047</cdr:y>
    </cdr:from>
    <cdr:to>
      <cdr:x>0.22519</cdr:x>
      <cdr:y>0.20923</cdr:y>
    </cdr:to>
    <cdr:sp macro="" textlink="">
      <cdr:nvSpPr>
        <cdr:cNvPr id="2" name="TextBox 2"/>
        <cdr:cNvSpPr txBox="1"/>
      </cdr:nvSpPr>
      <cdr:spPr>
        <a:xfrm xmlns:a="http://schemas.openxmlformats.org/drawingml/2006/main">
          <a:off x="493738" y="108732"/>
          <a:ext cx="707448" cy="214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CA" sz="1200" b="1">
              <a:latin typeface="Times New Roman" pitchFamily="18" charset="0"/>
              <a:cs typeface="Times New Roman" pitchFamily="18" charset="0"/>
            </a:rPr>
            <a:t>Pink</a:t>
          </a:r>
        </a:p>
      </cdr:txBody>
    </cdr:sp>
  </cdr:relSizeAnchor>
</c:userShapes>
</file>

<file path=xl/drawings/drawing11.xml><?xml version="1.0" encoding="utf-8"?>
<c:userShapes xmlns:c="http://schemas.openxmlformats.org/drawingml/2006/chart">
  <cdr:relSizeAnchor xmlns:cdr="http://schemas.openxmlformats.org/drawingml/2006/chartDrawing">
    <cdr:from>
      <cdr:x>0.0918</cdr:x>
      <cdr:y>0.07027</cdr:y>
    </cdr:from>
    <cdr:to>
      <cdr:x>0.21444</cdr:x>
      <cdr:y>0.20903</cdr:y>
    </cdr:to>
    <cdr:sp macro="" textlink="">
      <cdr:nvSpPr>
        <cdr:cNvPr id="3" name="TextBox 2"/>
        <cdr:cNvSpPr txBox="1"/>
      </cdr:nvSpPr>
      <cdr:spPr>
        <a:xfrm xmlns:a="http://schemas.openxmlformats.org/drawingml/2006/main">
          <a:off x="489669" y="108432"/>
          <a:ext cx="654162" cy="214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CA" sz="1200" b="1">
              <a:latin typeface="Times New Roman" pitchFamily="18" charset="0"/>
              <a:cs typeface="Times New Roman" pitchFamily="18" charset="0"/>
            </a:rPr>
            <a:t>Chum</a:t>
          </a:r>
        </a:p>
      </cdr:txBody>
    </cdr:sp>
  </cdr:relSizeAnchor>
</c:userShapes>
</file>

<file path=xl/drawings/drawing12.xml><?xml version="1.0" encoding="utf-8"?>
<c:userShapes xmlns:c="http://schemas.openxmlformats.org/drawingml/2006/chart">
  <cdr:relSizeAnchor xmlns:cdr="http://schemas.openxmlformats.org/drawingml/2006/chartDrawing">
    <cdr:from>
      <cdr:x>0.09172</cdr:x>
      <cdr:y>0.06418</cdr:y>
    </cdr:from>
    <cdr:to>
      <cdr:x>0.21801</cdr:x>
      <cdr:y>0.20294</cdr:y>
    </cdr:to>
    <cdr:sp macro="" textlink="">
      <cdr:nvSpPr>
        <cdr:cNvPr id="2" name="TextBox 2"/>
        <cdr:cNvSpPr txBox="1"/>
      </cdr:nvSpPr>
      <cdr:spPr>
        <a:xfrm xmlns:a="http://schemas.openxmlformats.org/drawingml/2006/main">
          <a:off x="489250" y="99031"/>
          <a:ext cx="673631" cy="214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CA" sz="1200" b="1">
              <a:latin typeface="Times New Roman" pitchFamily="18" charset="0"/>
              <a:cs typeface="Times New Roman" pitchFamily="18" charset="0"/>
            </a:rPr>
            <a:t>Coho</a:t>
          </a:r>
        </a:p>
      </cdr:txBody>
    </cdr:sp>
  </cdr:relSizeAnchor>
</c:userShapes>
</file>

<file path=xl/drawings/drawing13.xml><?xml version="1.0" encoding="utf-8"?>
<c:userShapes xmlns:c="http://schemas.openxmlformats.org/drawingml/2006/chart">
  <cdr:relSizeAnchor xmlns:cdr="http://schemas.openxmlformats.org/drawingml/2006/chartDrawing">
    <cdr:from>
      <cdr:x>0.08671</cdr:x>
      <cdr:y>0.03342</cdr:y>
    </cdr:from>
    <cdr:to>
      <cdr:x>0.22509</cdr:x>
      <cdr:y>0.25926</cdr:y>
    </cdr:to>
    <cdr:sp macro="" textlink="">
      <cdr:nvSpPr>
        <cdr:cNvPr id="3" name="TextBox 2"/>
        <cdr:cNvSpPr txBox="1"/>
      </cdr:nvSpPr>
      <cdr:spPr>
        <a:xfrm xmlns:a="http://schemas.openxmlformats.org/drawingml/2006/main">
          <a:off x="480697" y="68758"/>
          <a:ext cx="767116" cy="4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200" b="1">
              <a:latin typeface="Times New Roman" pitchFamily="18" charset="0"/>
              <a:cs typeface="Times New Roman" pitchFamily="18" charset="0"/>
            </a:rPr>
            <a:t>Chinook</a:t>
          </a:r>
        </a:p>
        <a:p xmlns:a="http://schemas.openxmlformats.org/drawingml/2006/main">
          <a:pPr algn="ctr"/>
          <a:r>
            <a:rPr lang="en-CA" sz="1000" b="1">
              <a:latin typeface="Times New Roman" pitchFamily="18" charset="0"/>
              <a:cs typeface="Times New Roman" pitchFamily="18" charset="0"/>
            </a:rPr>
            <a:t>(≥ 50 cm)</a:t>
          </a:r>
          <a:endParaRPr lang="en-CA" sz="1100" b="1">
            <a:latin typeface="Times New Roman" pitchFamily="18" charset="0"/>
            <a:cs typeface="Times New Roman"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0</xdr:row>
      <xdr:rowOff>1</xdr:rowOff>
    </xdr:from>
    <xdr:to>
      <xdr:col>10</xdr:col>
      <xdr:colOff>0</xdr:colOff>
      <xdr:row>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xdr:row>
      <xdr:rowOff>0</xdr:rowOff>
    </xdr:from>
    <xdr:to>
      <xdr:col>10</xdr:col>
      <xdr:colOff>0</xdr:colOff>
      <xdr:row>16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16</xdr:row>
      <xdr:rowOff>28575</xdr:rowOff>
    </xdr:from>
    <xdr:to>
      <xdr:col>10</xdr:col>
      <xdr:colOff>0</xdr:colOff>
      <xdr:row>24</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5</xdr:col>
      <xdr:colOff>476250</xdr:colOff>
      <xdr:row>32</xdr:row>
      <xdr:rowOff>85725</xdr:rowOff>
    </xdr:to>
    <xdr:sp macro="" textlink="">
      <xdr:nvSpPr>
        <xdr:cNvPr id="5" name="TextBox 4"/>
        <xdr:cNvSpPr txBox="1"/>
      </xdr:nvSpPr>
      <xdr:spPr>
        <a:xfrm>
          <a:off x="295275" y="473392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0.69606</cdr:x>
      <cdr:y>0.04969</cdr:y>
    </cdr:from>
    <cdr:to>
      <cdr:x>0.96456</cdr:x>
      <cdr:y>0.25</cdr:y>
    </cdr:to>
    <cdr:sp macro="" textlink="">
      <cdr:nvSpPr>
        <cdr:cNvPr id="3" name="TextBox 2"/>
        <cdr:cNvSpPr txBox="1"/>
      </cdr:nvSpPr>
      <cdr:spPr>
        <a:xfrm xmlns:a="http://schemas.openxmlformats.org/drawingml/2006/main">
          <a:off x="4057543" y="64368"/>
          <a:ext cx="1565167" cy="259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CA" sz="1100" b="1">
              <a:latin typeface="Times New Roman" pitchFamily="18" charset="0"/>
              <a:cs typeface="Times New Roman" pitchFamily="18" charset="0"/>
            </a:rPr>
            <a:t>Site 1 (Right Bank)</a:t>
          </a:r>
        </a:p>
      </cdr:txBody>
    </cdr:sp>
  </cdr:relSizeAnchor>
</c:userShapes>
</file>

<file path=xl/drawings/drawing16.xml><?xml version="1.0" encoding="utf-8"?>
<c:userShapes xmlns:c="http://schemas.openxmlformats.org/drawingml/2006/chart">
  <cdr:relSizeAnchor xmlns:cdr="http://schemas.openxmlformats.org/drawingml/2006/chartDrawing">
    <cdr:from>
      <cdr:x>0.35521</cdr:x>
      <cdr:y>0.28819</cdr:y>
    </cdr:from>
    <cdr:to>
      <cdr:x>0.55521</cdr:x>
      <cdr:y>0.62153</cdr:y>
    </cdr:to>
    <cdr:sp macro="" textlink="">
      <cdr:nvSpPr>
        <cdr:cNvPr id="2" name="TextBox 1"/>
        <cdr:cNvSpPr txBox="1"/>
      </cdr:nvSpPr>
      <cdr:spPr>
        <a:xfrm xmlns:a="http://schemas.openxmlformats.org/drawingml/2006/main">
          <a:off x="1624013" y="790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CA"/>
        </a:p>
      </cdr:txBody>
    </cdr:sp>
  </cdr:relSizeAnchor>
  <cdr:relSizeAnchor xmlns:cdr="http://schemas.openxmlformats.org/drawingml/2006/chartDrawing">
    <cdr:from>
      <cdr:x>0.71639</cdr:x>
      <cdr:y>0.05059</cdr:y>
    </cdr:from>
    <cdr:to>
      <cdr:x>0.95999</cdr:x>
      <cdr:y>0.20261</cdr:y>
    </cdr:to>
    <cdr:sp macro="" textlink="">
      <cdr:nvSpPr>
        <cdr:cNvPr id="3" name="TextBox 2"/>
        <cdr:cNvSpPr txBox="1"/>
      </cdr:nvSpPr>
      <cdr:spPr>
        <a:xfrm xmlns:a="http://schemas.openxmlformats.org/drawingml/2006/main">
          <a:off x="4176052" y="73725"/>
          <a:ext cx="1420018" cy="221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CA" sz="1100" b="1">
              <a:latin typeface="Times New Roman" pitchFamily="18" charset="0"/>
              <a:cs typeface="Times New Roman" pitchFamily="18" charset="0"/>
            </a:rPr>
            <a:t>Site 2 (Left Bank)</a:t>
          </a:r>
        </a:p>
      </cdr:txBody>
    </cdr:sp>
  </cdr:relSizeAnchor>
</c:userShapes>
</file>

<file path=xl/drawings/drawing17.xml><?xml version="1.0" encoding="utf-8"?>
<c:userShapes xmlns:c="http://schemas.openxmlformats.org/drawingml/2006/chart">
  <cdr:relSizeAnchor xmlns:cdr="http://schemas.openxmlformats.org/drawingml/2006/chartDrawing">
    <cdr:from>
      <cdr:x>0.72619</cdr:x>
      <cdr:y>0.03919</cdr:y>
    </cdr:from>
    <cdr:to>
      <cdr:x>0.96979</cdr:x>
      <cdr:y>0.20915</cdr:y>
    </cdr:to>
    <cdr:sp macro="" textlink="">
      <cdr:nvSpPr>
        <cdr:cNvPr id="3" name="TextBox 2"/>
        <cdr:cNvSpPr txBox="1"/>
      </cdr:nvSpPr>
      <cdr:spPr>
        <a:xfrm xmlns:a="http://schemas.openxmlformats.org/drawingml/2006/main">
          <a:off x="4233179" y="57113"/>
          <a:ext cx="1420018" cy="247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CA" sz="1100" b="1">
              <a:latin typeface="Times New Roman" pitchFamily="18" charset="0"/>
              <a:cs typeface="Times New Roman" pitchFamily="18" charset="0"/>
            </a:rPr>
            <a:t>Site 3 (Right Bank)</a:t>
          </a: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290512</xdr:colOff>
      <xdr:row>0</xdr:row>
      <xdr:rowOff>152399</xdr:rowOff>
    </xdr:from>
    <xdr:to>
      <xdr:col>9</xdr:col>
      <xdr:colOff>595312</xdr:colOff>
      <xdr:row>12</xdr:row>
      <xdr:rowOff>71436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xdr:row>
      <xdr:rowOff>0</xdr:rowOff>
    </xdr:from>
    <xdr:to>
      <xdr:col>8</xdr:col>
      <xdr:colOff>19050</xdr:colOff>
      <xdr:row>20</xdr:row>
      <xdr:rowOff>85725</xdr:rowOff>
    </xdr:to>
    <xdr:sp macro="" textlink="">
      <xdr:nvSpPr>
        <xdr:cNvPr id="3" name="TextBox 2"/>
        <xdr:cNvSpPr txBox="1"/>
      </xdr:nvSpPr>
      <xdr:spPr>
        <a:xfrm>
          <a:off x="2628900" y="291465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114300</xdr:colOff>
      <xdr:row>15</xdr:row>
      <xdr:rowOff>85725</xdr:rowOff>
    </xdr:to>
    <xdr:sp macro="" textlink="">
      <xdr:nvSpPr>
        <xdr:cNvPr id="2" name="TextBox 1"/>
        <xdr:cNvSpPr txBox="1"/>
      </xdr:nvSpPr>
      <xdr:spPr>
        <a:xfrm>
          <a:off x="0" y="221932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5</xdr:col>
      <xdr:colOff>516466</xdr:colOff>
      <xdr:row>5</xdr:row>
      <xdr:rowOff>92075</xdr:rowOff>
    </xdr:to>
    <xdr:sp macro="" textlink="">
      <xdr:nvSpPr>
        <xdr:cNvPr id="2" name="TextBox 1"/>
        <xdr:cNvSpPr txBox="1"/>
      </xdr:nvSpPr>
      <xdr:spPr>
        <a:xfrm>
          <a:off x="518583" y="645583"/>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1323</xdr:colOff>
      <xdr:row>70</xdr:row>
      <xdr:rowOff>26458</xdr:rowOff>
    </xdr:from>
    <xdr:to>
      <xdr:col>32</xdr:col>
      <xdr:colOff>640556</xdr:colOff>
      <xdr:row>76</xdr:row>
      <xdr:rowOff>33601</xdr:rowOff>
    </xdr:to>
    <xdr:sp macro="" textlink="">
      <xdr:nvSpPr>
        <xdr:cNvPr id="2" name="TextBox 1"/>
        <xdr:cNvSpPr txBox="1"/>
      </xdr:nvSpPr>
      <xdr:spPr>
        <a:xfrm>
          <a:off x="15601156" y="11318875"/>
          <a:ext cx="7052733" cy="959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select tag_id, </a:t>
          </a:r>
          <a:r>
            <a:rPr lang="en-CA" sz="1100">
              <a:solidFill>
                <a:schemeClr val="dk1"/>
              </a:solidFill>
              <a:effectLst/>
              <a:latin typeface="+mn-lt"/>
              <a:ea typeface="+mn-ea"/>
              <a:cs typeface="+mn-cs"/>
            </a:rPr>
            <a:t>vanity_no , </a:t>
          </a:r>
          <a:r>
            <a:rPr lang="en-CA" sz="1100"/>
            <a:t>species_code from (</a:t>
          </a:r>
        </a:p>
        <a:p>
          <a:r>
            <a:rPr lang="en-CA" sz="1100"/>
            <a:t>select * from tags inner join species on tags.species_id = species.species_id where </a:t>
          </a:r>
        </a:p>
        <a:p>
          <a:r>
            <a:rPr lang="en-CA" sz="1100"/>
            <a:t>channel = 917 and code = 26</a:t>
          </a:r>
        </a:p>
        <a:p>
          <a:r>
            <a:rPr lang="en-CA" sz="1100"/>
            <a:t>) inner join sites on sites.site_id = tag_site</a:t>
          </a:r>
        </a:p>
        <a:p>
          <a:endParaRPr lang="en-CA" sz="1100"/>
        </a:p>
        <a:p>
          <a:endParaRPr lang="en-CA" sz="1100"/>
        </a:p>
      </xdr:txBody>
    </xdr:sp>
    <xdr:clientData/>
  </xdr:twoCellAnchor>
  <xdr:twoCellAnchor>
    <xdr:from>
      <xdr:col>1</xdr:col>
      <xdr:colOff>0</xdr:colOff>
      <xdr:row>1</xdr:row>
      <xdr:rowOff>0</xdr:rowOff>
    </xdr:from>
    <xdr:to>
      <xdr:col>7</xdr:col>
      <xdr:colOff>188383</xdr:colOff>
      <xdr:row>3</xdr:row>
      <xdr:rowOff>92075</xdr:rowOff>
    </xdr:to>
    <xdr:sp macro="" textlink="">
      <xdr:nvSpPr>
        <xdr:cNvPr id="3" name="TextBox 2"/>
        <xdr:cNvSpPr txBox="1"/>
      </xdr:nvSpPr>
      <xdr:spPr>
        <a:xfrm>
          <a:off x="476250" y="338667"/>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14</xdr:col>
      <xdr:colOff>9525</xdr:colOff>
      <xdr:row>5</xdr:row>
      <xdr:rowOff>28575</xdr:rowOff>
    </xdr:to>
    <xdr:sp macro="" textlink="">
      <xdr:nvSpPr>
        <xdr:cNvPr id="2" name="TextBox 1"/>
        <xdr:cNvSpPr txBox="1"/>
      </xdr:nvSpPr>
      <xdr:spPr>
        <a:xfrm>
          <a:off x="1209675" y="209550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0</xdr:rowOff>
    </xdr:from>
    <xdr:to>
      <xdr:col>7</xdr:col>
      <xdr:colOff>47625</xdr:colOff>
      <xdr:row>6</xdr:row>
      <xdr:rowOff>200025</xdr:rowOff>
    </xdr:to>
    <xdr:sp macro="" textlink="">
      <xdr:nvSpPr>
        <xdr:cNvPr id="2" name="TextBox 1"/>
        <xdr:cNvSpPr txBox="1"/>
      </xdr:nvSpPr>
      <xdr:spPr>
        <a:xfrm>
          <a:off x="0" y="990600"/>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276224</xdr:colOff>
      <xdr:row>0</xdr:row>
      <xdr:rowOff>1</xdr:rowOff>
    </xdr:from>
    <xdr:to>
      <xdr:col>16</xdr:col>
      <xdr:colOff>0</xdr:colOff>
      <xdr:row>9</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0</xdr:colOff>
      <xdr:row>12</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9</xdr:row>
      <xdr:rowOff>0</xdr:rowOff>
    </xdr:from>
    <xdr:to>
      <xdr:col>16</xdr:col>
      <xdr:colOff>0</xdr:colOff>
      <xdr:row>18</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18</xdr:row>
      <xdr:rowOff>1</xdr:rowOff>
    </xdr:from>
    <xdr:to>
      <xdr:col>16</xdr:col>
      <xdr:colOff>0</xdr:colOff>
      <xdr:row>27</xdr:row>
      <xdr:rowOff>1</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27</xdr:row>
      <xdr:rowOff>0</xdr:rowOff>
    </xdr:from>
    <xdr:to>
      <xdr:col>16</xdr:col>
      <xdr:colOff>0</xdr:colOff>
      <xdr:row>36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36</xdr:row>
      <xdr:rowOff>1</xdr:rowOff>
    </xdr:from>
    <xdr:to>
      <xdr:col>16</xdr:col>
      <xdr:colOff>0</xdr:colOff>
      <xdr:row>45</xdr:row>
      <xdr:rowOff>1</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xdr:row>
      <xdr:rowOff>0</xdr:rowOff>
    </xdr:from>
    <xdr:to>
      <xdr:col>8</xdr:col>
      <xdr:colOff>0</xdr:colOff>
      <xdr:row>29</xdr:row>
      <xdr:rowOff>0</xdr:rowOff>
    </xdr:to>
    <xdr:graphicFrame macro="">
      <xdr:nvGraphicFramePr>
        <xdr:cNvPr id="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35</xdr:row>
      <xdr:rowOff>0</xdr:rowOff>
    </xdr:from>
    <xdr:to>
      <xdr:col>5</xdr:col>
      <xdr:colOff>57150</xdr:colOff>
      <xdr:row>37</xdr:row>
      <xdr:rowOff>66675</xdr:rowOff>
    </xdr:to>
    <xdr:sp macro="" textlink="">
      <xdr:nvSpPr>
        <xdr:cNvPr id="9" name="TextBox 8"/>
        <xdr:cNvSpPr txBox="1"/>
      </xdr:nvSpPr>
      <xdr:spPr>
        <a:xfrm>
          <a:off x="276225" y="5895975"/>
          <a:ext cx="3067050" cy="4095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These data have only been reviewed to QC2 level</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0.0606</cdr:x>
      <cdr:y>0.03424</cdr:y>
    </cdr:from>
    <cdr:to>
      <cdr:x>0.20893</cdr:x>
      <cdr:y>0.39216</cdr:y>
    </cdr:to>
    <cdr:sp macro="" textlink="">
      <cdr:nvSpPr>
        <cdr:cNvPr id="3" name="TextBox 2"/>
        <cdr:cNvSpPr txBox="1"/>
      </cdr:nvSpPr>
      <cdr:spPr>
        <a:xfrm xmlns:a="http://schemas.openxmlformats.org/drawingml/2006/main">
          <a:off x="323240" y="49899"/>
          <a:ext cx="791193" cy="521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200" b="1">
              <a:latin typeface="Times New Roman" pitchFamily="18" charset="0"/>
              <a:cs typeface="Times New Roman" pitchFamily="18" charset="0"/>
            </a:rPr>
            <a:t>Large Chinook</a:t>
          </a:r>
          <a:endParaRPr lang="en-CA" sz="1600" b="1">
            <a:latin typeface="Times New Roman" pitchFamily="18" charset="0"/>
            <a:cs typeface="Times New Roman" pitchFamily="18"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0.09451</cdr:x>
      <cdr:y>0.01884</cdr:y>
    </cdr:from>
    <cdr:to>
      <cdr:x>0.23368</cdr:x>
      <cdr:y>0.2439</cdr:y>
    </cdr:to>
    <cdr:sp macro="" textlink="">
      <cdr:nvSpPr>
        <cdr:cNvPr id="5" name="TextBox 2"/>
        <cdr:cNvSpPr txBox="1"/>
      </cdr:nvSpPr>
      <cdr:spPr>
        <a:xfrm xmlns:a="http://schemas.openxmlformats.org/drawingml/2006/main">
          <a:off x="523896" y="36787"/>
          <a:ext cx="771504" cy="4394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200" b="1">
              <a:latin typeface="Times New Roman" pitchFamily="18" charset="0"/>
              <a:cs typeface="Times New Roman" pitchFamily="18" charset="0"/>
            </a:rPr>
            <a:t>Chinook</a:t>
          </a:r>
        </a:p>
        <a:p xmlns:a="http://schemas.openxmlformats.org/drawingml/2006/main">
          <a:pPr algn="ctr"/>
          <a:r>
            <a:rPr lang="en-CA" sz="900" b="1">
              <a:latin typeface="Times New Roman" pitchFamily="18" charset="0"/>
              <a:cs typeface="Times New Roman" pitchFamily="18" charset="0"/>
            </a:rPr>
            <a:t>(≥</a:t>
          </a:r>
          <a:r>
            <a:rPr lang="en-CA" sz="900" b="1" baseline="0">
              <a:latin typeface="Times New Roman" pitchFamily="18" charset="0"/>
              <a:cs typeface="Times New Roman" pitchFamily="18" charset="0"/>
            </a:rPr>
            <a:t> 50 cm)</a:t>
          </a:r>
          <a:endParaRPr lang="en-CA" sz="900" b="1">
            <a:latin typeface="Times New Roman" pitchFamily="18" charset="0"/>
            <a:cs typeface="Times New Roman" pitchFamily="18"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0.08535</cdr:x>
      <cdr:y>0.07745</cdr:y>
    </cdr:from>
    <cdr:to>
      <cdr:x>0.23084</cdr:x>
      <cdr:y>0.21621</cdr:y>
    </cdr:to>
    <cdr:sp macro="" textlink="">
      <cdr:nvSpPr>
        <cdr:cNvPr id="2" name="TextBox 2"/>
        <cdr:cNvSpPr txBox="1"/>
      </cdr:nvSpPr>
      <cdr:spPr>
        <a:xfrm xmlns:a="http://schemas.openxmlformats.org/drawingml/2006/main">
          <a:off x="455257" y="118034"/>
          <a:ext cx="776043" cy="2114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CA" sz="1200" b="1">
              <a:latin typeface="Times New Roman" pitchFamily="18" charset="0"/>
              <a:cs typeface="Times New Roman" pitchFamily="18" charset="0"/>
            </a:rPr>
            <a:t>Sockeye</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Smith" refreshedDate="41890.531183796294" createdVersion="4" refreshedVersion="4" minRefreshableVersion="3" recordCount="999">
  <cacheSource type="worksheet">
    <worksheetSource ref="A2:BQ890" sheet="CatchSummary"/>
  </cacheSource>
  <cacheFields count="69">
    <cacheField name="Date" numFmtId="167">
      <sharedItems containsNonDate="0" containsDate="1" containsString="0" containsBlank="1" minDate="2014-06-06T00:00:00" maxDate="2014-10-01T00:00:00" count="118">
        <d v="2014-06-06T00:00:00"/>
        <d v="2014-06-07T00:00:00"/>
        <d v="2014-06-08T00:00:00"/>
        <d v="2014-06-09T00:00:00"/>
        <d v="2014-06-10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4T00:00:00"/>
        <d v="2014-09-05T00:00:00"/>
        <d v="2014-09-06T00:00:00"/>
        <d v="2014-09-07T00:00:00"/>
        <m/>
        <d v="2014-09-27T00:00:00" u="1"/>
        <d v="2014-09-23T00:00:00" u="1"/>
        <d v="2014-09-19T00:00:00" u="1"/>
        <d v="2014-09-15T00:00:00" u="1"/>
        <d v="2014-09-11T00:00:00" u="1"/>
        <d v="2014-09-30T00:00:00" u="1"/>
        <d v="2014-09-26T00:00:00" u="1"/>
        <d v="2014-09-22T00:00:00" u="1"/>
        <d v="2014-09-18T00:00:00" u="1"/>
        <d v="2014-09-14T00:00:00" u="1"/>
        <d v="2014-09-10T00:00:00" u="1"/>
        <d v="2014-09-29T00:00:00" u="1"/>
        <d v="2014-09-25T00:00:00" u="1"/>
        <d v="2014-09-21T00:00:00" u="1"/>
        <d v="2014-09-17T00:00:00" u="1"/>
        <d v="2014-09-13T00:00:00" u="1"/>
        <d v="2014-09-09T00:00:00" u="1"/>
        <d v="2014-09-28T00:00:00" u="1"/>
        <d v="2014-09-24T00:00:00" u="1"/>
        <d v="2014-09-20T00:00:00" u="1"/>
        <d v="2014-09-16T00:00:00" u="1"/>
        <d v="2014-09-12T00:00:00" u="1"/>
        <d v="2014-09-08T00:00:00" u="1"/>
      </sharedItems>
    </cacheField>
    <cacheField name="Site" numFmtId="0">
      <sharedItems containsString="0" containsBlank="1" containsNumber="1" containsInteger="1" minValue="1" maxValue="3" count="4">
        <n v="1"/>
        <n v="3"/>
        <n v="2"/>
        <m/>
      </sharedItems>
    </cacheField>
    <cacheField name="Crew" numFmtId="0">
      <sharedItems containsBlank="1"/>
    </cacheField>
    <cacheField name="Start FW" numFmtId="168">
      <sharedItems containsNonDate="0" containsDate="1" containsString="0" containsBlank="1" minDate="1899-12-30T00:00:00" maxDate="1899-12-30T23:47:00"/>
    </cacheField>
    <cacheField name="Stop FW" numFmtId="168">
      <sharedItems containsNonDate="0" containsDate="1" containsString="0" containsBlank="1" minDate="1899-12-30T00:54:00" maxDate="1900-01-01T00:00:00"/>
    </cacheField>
    <cacheField name="3 Revs (s)" numFmtId="0">
      <sharedItems containsString="0" containsBlank="1" containsNumber="1" minValue="27" maxValue="93"/>
    </cacheField>
    <cacheField name="Water Temp (oC)" numFmtId="165">
      <sharedItems containsString="0" containsBlank="1" containsNumber="1" minValue="5" maxValue="17"/>
    </cacheField>
    <cacheField name="Vel (ft/s)" numFmtId="0">
      <sharedItems containsNonDate="0" containsString="0" containsBlank="1"/>
    </cacheField>
    <cacheField name="Turb (NTU)" numFmtId="0">
      <sharedItems containsString="0" containsBlank="1" containsNumber="1" minValue="9.42" maxValue="269.3"/>
    </cacheField>
    <cacheField name="Active Time (min)" numFmtId="0">
      <sharedItems containsString="0" containsBlank="1" containsNumber="1" minValue="0" maxValue="825.00000000000011"/>
    </cacheField>
    <cacheField name="Radio" numFmtId="0">
      <sharedItems containsString="0" containsBlank="1" containsNumber="1" containsInteger="1" minValue="1" maxValue="14"/>
    </cacheField>
    <cacheField name="No Tag" numFmtId="0">
      <sharedItems containsString="0" containsBlank="1" containsNumber="1" containsInteger="1" minValue="1" maxValue="2"/>
    </cacheField>
    <cacheField name="Recap" numFmtId="0">
      <sharedItems containsString="0" containsBlank="1" containsNumber="1" containsInteger="1" minValue="0" maxValue="3"/>
    </cacheField>
    <cacheField name="TotalCNlg" numFmtId="0">
      <sharedItems containsString="0" containsBlank="1" containsNumber="1" containsInteger="1" minValue="0" maxValue="16"/>
    </cacheField>
    <cacheField name="Radio2" numFmtId="0">
      <sharedItems containsString="0" containsBlank="1" containsNumber="1" containsInteger="1" minValue="1" maxValue="2"/>
    </cacheField>
    <cacheField name="No Tag2" numFmtId="0">
      <sharedItems containsString="0" containsBlank="1" containsNumber="1" containsInteger="1" minValue="1" maxValue="5"/>
    </cacheField>
    <cacheField name="Recap2" numFmtId="0">
      <sharedItems containsString="0" containsBlank="1" containsNumber="1" containsInteger="1" minValue="0" maxValue="1"/>
    </cacheField>
    <cacheField name="TotalCNsm" numFmtId="0">
      <sharedItems containsString="0" containsBlank="1" containsNumber="1" containsInteger="1" minValue="0" maxValue="5"/>
    </cacheField>
    <cacheField name="Radio3" numFmtId="0">
      <sharedItems containsString="0" containsBlank="1" containsNumber="1" containsInteger="1" minValue="1" maxValue="5"/>
    </cacheField>
    <cacheField name="No Tag3" numFmtId="0">
      <sharedItems containsString="0" containsBlank="1" containsNumber="1" containsInteger="1" minValue="1" maxValue="1"/>
    </cacheField>
    <cacheField name="Recap3" numFmtId="0">
      <sharedItems containsString="0" containsBlank="1" containsNumber="1" containsInteger="1" minValue="1" maxValue="1"/>
    </cacheField>
    <cacheField name="Jack" numFmtId="0">
      <sharedItems containsString="0" containsBlank="1" containsNumber="1" containsInteger="1" minValue="1" maxValue="1"/>
    </cacheField>
    <cacheField name="TotalSO" numFmtId="0">
      <sharedItems containsString="0" containsBlank="1" containsNumber="1" containsInteger="1" minValue="0" maxValue="5"/>
    </cacheField>
    <cacheField name="Radio4" numFmtId="0">
      <sharedItems containsString="0" containsBlank="1" containsNumber="1" containsInteger="1" minValue="1" maxValue="6"/>
    </cacheField>
    <cacheField name="No Tag4" numFmtId="0">
      <sharedItems containsString="0" containsBlank="1" containsNumber="1" containsInteger="1" minValue="1" maxValue="327"/>
    </cacheField>
    <cacheField name="Recap4" numFmtId="0">
      <sharedItems containsString="0" containsBlank="1" containsNumber="1" containsInteger="1" minValue="1" maxValue="1"/>
    </cacheField>
    <cacheField name="TotalPK" numFmtId="0">
      <sharedItems containsString="0" containsBlank="1" containsNumber="1" containsInteger="1" minValue="0" maxValue="327"/>
    </cacheField>
    <cacheField name="Radio5" numFmtId="0">
      <sharedItems containsString="0" containsBlank="1" containsNumber="1" containsInteger="1" minValue="1" maxValue="4"/>
    </cacheField>
    <cacheField name="No Tag5" numFmtId="0">
      <sharedItems containsString="0" containsBlank="1" containsNumber="1" containsInteger="1" minValue="1" maxValue="23"/>
    </cacheField>
    <cacheField name="Recap5" numFmtId="0">
      <sharedItems containsString="0" containsBlank="1" containsNumber="1" containsInteger="1" minValue="1" maxValue="1"/>
    </cacheField>
    <cacheField name="TotalCM" numFmtId="0">
      <sharedItems containsString="0" containsBlank="1" containsNumber="1" containsInteger="1" minValue="0" maxValue="24"/>
    </cacheField>
    <cacheField name="Radio6" numFmtId="0">
      <sharedItems containsString="0" containsBlank="1" containsNumber="1" containsInteger="1" minValue="1" maxValue="7"/>
    </cacheField>
    <cacheField name="No Tag6" numFmtId="0">
      <sharedItems containsString="0" containsBlank="1" containsNumber="1" containsInteger="1" minValue="0" maxValue="8"/>
    </cacheField>
    <cacheField name="Recap6" numFmtId="0">
      <sharedItems containsString="0" containsBlank="1" containsNumber="1" containsInteger="1" minValue="1" maxValue="1"/>
    </cacheField>
    <cacheField name="Jack2" numFmtId="0">
      <sharedItems containsString="0" containsBlank="1" containsNumber="1" containsInteger="1" minValue="1" maxValue="1"/>
    </cacheField>
    <cacheField name="TotalCO" numFmtId="0">
      <sharedItems containsString="0" containsBlank="1" containsNumber="1" containsInteger="1" minValue="0" maxValue="12"/>
    </cacheField>
    <cacheField name="RW" numFmtId="0">
      <sharedItems containsString="0" containsBlank="1" containsNumber="1" containsInteger="1" minValue="0" maxValue="5"/>
    </cacheField>
    <cacheField name="HW" numFmtId="0">
      <sharedItems containsString="0" containsBlank="1" containsNumber="1" containsInteger="1" minValue="1" maxValue="2"/>
    </cacheField>
    <cacheField name="RT" numFmtId="0">
      <sharedItems containsString="0" containsBlank="1" containsNumber="1" containsInteger="1" minValue="1" maxValue="3"/>
    </cacheField>
    <cacheField name="AG" numFmtId="0">
      <sharedItems containsString="0" containsBlank="1" containsNumber="1" containsInteger="1" minValue="1" maxValue="1"/>
    </cacheField>
    <cacheField name="LS" numFmtId="0">
      <sharedItems containsString="0" containsBlank="1" containsNumber="1" containsInteger="1" minValue="1" maxValue="1"/>
    </cacheField>
    <cacheField name="DV" numFmtId="0">
      <sharedItems containsString="0" containsBlank="1" containsNumber="1" containsInteger="1" minValue="1" maxValue="2"/>
    </cacheField>
    <cacheField name="BU" numFmtId="0">
      <sharedItems containsString="0" containsBlank="1" containsNumber="1" containsInteger="1" minValue="1" maxValue="1"/>
    </cacheField>
    <cacheField name="TotalOther" numFmtId="0">
      <sharedItems containsString="0" containsBlank="1" containsNumber="1" containsInteger="1" minValue="0" maxValue="6"/>
    </cacheField>
    <cacheField name="Fishwheel Operations" numFmtId="0">
      <sharedItems containsBlank="1"/>
    </cacheField>
    <cacheField name="Comments" numFmtId="0">
      <sharedItems containsBlank="1"/>
    </cacheField>
    <cacheField name="QC1" numFmtId="0">
      <sharedItems containsBlank="1"/>
    </cacheField>
    <cacheField name="QC2" numFmtId="0">
      <sharedItems containsBlank="1"/>
    </cacheField>
    <cacheField name="Scan FileName" numFmtId="0">
      <sharedItems containsBlank="1"/>
    </cacheField>
    <cacheField name="CNlgrad" numFmtId="0">
      <sharedItems containsString="0" containsBlank="1" containsNumber="1" containsInteger="1" minValue="0" maxValue="14"/>
    </cacheField>
    <cacheField name="CNlgno" numFmtId="0">
      <sharedItems containsString="0" containsBlank="1" containsNumber="1" containsInteger="1" minValue="0" maxValue="2"/>
    </cacheField>
    <cacheField name="CNlgrecap" numFmtId="0">
      <sharedItems containsString="0" containsBlank="1" containsNumber="1" containsInteger="1" minValue="0" maxValue="3"/>
    </cacheField>
    <cacheField name="CNsmradio" numFmtId="0">
      <sharedItems containsString="0" containsBlank="1" containsNumber="1" containsInteger="1" minValue="0" maxValue="2"/>
    </cacheField>
    <cacheField name="CNsmno" numFmtId="0">
      <sharedItems containsString="0" containsBlank="1" containsNumber="1" containsInteger="1" minValue="0" maxValue="5"/>
    </cacheField>
    <cacheField name="CNsmrecap" numFmtId="0">
      <sharedItems containsString="0" containsBlank="1" containsNumber="1" containsInteger="1" minValue="0" maxValue="1"/>
    </cacheField>
    <cacheField name="SOrad" numFmtId="0">
      <sharedItems containsString="0" containsBlank="1" containsNumber="1" containsInteger="1" minValue="0" maxValue="5"/>
    </cacheField>
    <cacheField name="SOno" numFmtId="0">
      <sharedItems containsString="0" containsBlank="1" containsNumber="1" containsInteger="1" minValue="0" maxValue="1"/>
    </cacheField>
    <cacheField name="SOrecap" numFmtId="0">
      <sharedItems containsString="0" containsBlank="1" containsNumber="1" containsInteger="1" minValue="0" maxValue="1"/>
    </cacheField>
    <cacheField name="SOjack" numFmtId="0">
      <sharedItems containsString="0" containsBlank="1" containsNumber="1" containsInteger="1" minValue="0" maxValue="1"/>
    </cacheField>
    <cacheField name="PKrad" numFmtId="0">
      <sharedItems containsString="0" containsBlank="1" containsNumber="1" containsInteger="1" minValue="0" maxValue="6"/>
    </cacheField>
    <cacheField name="PKno" numFmtId="0">
      <sharedItems containsString="0" containsBlank="1" containsNumber="1" containsInteger="1" minValue="0" maxValue="327"/>
    </cacheField>
    <cacheField name="PKrecap" numFmtId="0">
      <sharedItems containsString="0" containsBlank="1" containsNumber="1" containsInteger="1" minValue="0" maxValue="1"/>
    </cacheField>
    <cacheField name="CMrad" numFmtId="0">
      <sharedItems containsString="0" containsBlank="1" containsNumber="1" containsInteger="1" minValue="0" maxValue="4"/>
    </cacheField>
    <cacheField name="CMno" numFmtId="0">
      <sharedItems containsString="0" containsBlank="1" containsNumber="1" containsInteger="1" minValue="0" maxValue="23"/>
    </cacheField>
    <cacheField name="CMrecap" numFmtId="0">
      <sharedItems containsString="0" containsBlank="1" containsNumber="1" containsInteger="1" minValue="0" maxValue="1"/>
    </cacheField>
    <cacheField name="COrad" numFmtId="0">
      <sharedItems containsString="0" containsBlank="1" containsNumber="1" containsInteger="1" minValue="0" maxValue="7"/>
    </cacheField>
    <cacheField name="COno" numFmtId="0">
      <sharedItems containsString="0" containsBlank="1" containsNumber="1" containsInteger="1" minValue="0" maxValue="8"/>
    </cacheField>
    <cacheField name="COrecap" numFmtId="0">
      <sharedItems containsString="0" containsBlank="1" containsNumber="1" containsInteger="1" minValue="0" maxValue="1"/>
    </cacheField>
    <cacheField name="COjack"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Smith" refreshedDate="41890.531186921296" createdVersion="4" refreshedVersion="4" minRefreshableVersion="3" recordCount="4999">
  <cacheSource type="worksheet">
    <worksheetSource ref="A1:AD3629" sheet="Tag&amp;Biosample"/>
  </cacheSource>
  <cacheFields count="30">
    <cacheField name="Fish_No" numFmtId="0">
      <sharedItems containsSemiMixedTypes="0" containsString="0" containsNumber="1" containsInteger="1" minValue="1" maxValue="5000"/>
    </cacheField>
    <cacheField name="Date" numFmtId="167">
      <sharedItems containsNonDate="0" containsDate="1" containsString="0" containsBlank="1" minDate="2014-06-07T00:00:00" maxDate="2014-09-06T00:00:00" count="90">
        <d v="2014-06-07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5T00:00:00"/>
        <m/>
        <d v="2014-06-09T00:00:00" u="1"/>
        <d v="2014-06-27T00:00:00" u="1"/>
        <d v="2014-06-26T00:00:00" u="1"/>
        <d v="2014-06-10T00:00:00" u="1"/>
      </sharedItems>
    </cacheField>
    <cacheField name="Site" numFmtId="0">
      <sharedItems containsString="0" containsBlank="1" containsNumber="1" containsInteger="1" minValue="1" maxValue="3"/>
    </cacheField>
    <cacheField name="Species" numFmtId="0">
      <sharedItems containsBlank="1" count="15">
        <s v="RT"/>
        <s v="CN"/>
        <s v="HW"/>
        <s v="RW"/>
        <s v="CNj"/>
        <s v="LS"/>
        <s v="DV"/>
        <s v="SO"/>
        <s v="WF"/>
        <s v="AG"/>
        <s v="CM"/>
        <s v="BU"/>
        <s v="PK"/>
        <s v="CO"/>
        <m/>
      </sharedItems>
    </cacheField>
    <cacheField name="Life Stage" numFmtId="0">
      <sharedItems containsBlank="1" count="5">
        <s v="Adult"/>
        <s v="Jack"/>
        <s v="Unrecorded"/>
        <m/>
        <s v="Unknown" u="1"/>
      </sharedItems>
    </cacheField>
    <cacheField name="Channel" numFmtId="0">
      <sharedItems containsString="0" containsBlank="1" containsNumber="1" containsInteger="1" minValue="75" maxValue="917" count="34">
        <m/>
        <n v="725"/>
        <n v="684"/>
        <n v="917"/>
        <n v="784"/>
        <n v="755"/>
        <n v="573"/>
        <n v="564"/>
        <n v="364"/>
        <n v="875"/>
        <n v="586"/>
        <n v="534"/>
        <n v="596"/>
        <n v="515"/>
        <n v="325"/>
        <n v="266"/>
        <n v="572"/>
        <n v="584"/>
        <n v="75" u="1"/>
        <n v="574" u="1"/>
        <n v="535" u="1"/>
        <n v="262" u="1"/>
        <n v="915" u="1"/>
        <n v="876" u="1"/>
        <n v="514" u="1"/>
        <n v="565" u="1"/>
        <n v="264" u="1"/>
        <n v="322" u="1"/>
        <n v="532" u="1"/>
        <n v="525" u="1"/>
        <n v="724" u="1"/>
        <n v="685" u="1"/>
        <n v="756" u="1"/>
        <n v="594" u="1"/>
      </sharedItems>
    </cacheField>
    <cacheField name="Code" numFmtId="0">
      <sharedItems containsString="0" containsBlank="1" containsNumber="1" containsInteger="1" minValue="0" maxValue="99"/>
    </cacheField>
    <cacheField name="Vial_No" numFmtId="0">
      <sharedItems containsBlank="1"/>
    </cacheField>
    <cacheField name="MEF" numFmtId="0">
      <sharedItems containsString="0" containsBlank="1" containsNumber="1" minValue="23" maxValue="108"/>
    </cacheField>
    <cacheField name="FL" numFmtId="0">
      <sharedItems containsString="0" containsBlank="1" containsNumber="1" minValue="13" maxValue="53"/>
    </cacheField>
    <cacheField name="Sex" numFmtId="0">
      <sharedItems containsBlank="1"/>
    </cacheField>
    <cacheField name="Capture (hh:mm)" numFmtId="0">
      <sharedItems containsNonDate="0" containsDate="1" containsString="0" containsBlank="1" minDate="1899-12-30T05:45:00" maxDate="1899-12-30T23:26:00"/>
    </cacheField>
    <cacheField name="Process (m:ss)" numFmtId="0">
      <sharedItems containsDate="1" containsBlank="1" containsMixedTypes="1" minDate="1899-12-30T00:07:00" maxDate="1899-12-30T14:20:00"/>
    </cacheField>
    <cacheField name="Release (hh:mm)" numFmtId="0">
      <sharedItems containsDate="1" containsBlank="1" containsMixedTypes="1" minDate="1899-12-30T05:42:00" maxDate="1899-12-30T23:28:00"/>
    </cacheField>
    <cacheField name="Tagger" numFmtId="0">
      <sharedItems containsBlank="1"/>
    </cacheField>
    <cacheField name="Comments" numFmtId="0">
      <sharedItems containsBlank="1"/>
    </cacheField>
    <cacheField name="QC1" numFmtId="0">
      <sharedItems containsBlank="1"/>
    </cacheField>
    <cacheField name="QC2" numFmtId="0">
      <sharedItems containsBlank="1"/>
    </cacheField>
    <cacheField name="Hold Tank Duration (m:ss)" numFmtId="0">
      <sharedItems containsDate="1" containsMixedTypes="1" minDate="1899-12-30T00:00:00" maxDate="1899-12-30T00:13:50"/>
    </cacheField>
    <cacheField name="Freq" numFmtId="164">
      <sharedItems containsMixedTypes="1" containsNumber="1" minValue="151.26599999999999" maxValue="151.917"/>
    </cacheField>
    <cacheField name="Assistants" numFmtId="0">
      <sharedItems/>
    </cacheField>
    <cacheField name="Capt Meth" numFmtId="0">
      <sharedItems/>
    </cacheField>
    <cacheField name="Weight (g)" numFmtId="0">
      <sharedItems/>
    </cacheField>
    <cacheField name="Livetank H2O Temp (C)" numFmtId="0">
      <sharedItems/>
    </cacheField>
    <cacheField name="RT Model" numFmtId="0">
      <sharedItems/>
    </cacheField>
    <cacheField name="PIT Tag Code" numFmtId="0">
      <sharedItems/>
    </cacheField>
    <cacheField name="Start Livetank (hh:mm)" numFmtId="0">
      <sharedItems/>
    </cacheField>
    <cacheField name="Start Heavy Anes" numFmtId="0">
      <sharedItems/>
    </cacheField>
    <cacheField name="Start Surgery" numFmtId="0">
      <sharedItems/>
    </cacheField>
    <cacheField name="Start Recover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99">
  <r>
    <x v="0"/>
    <x v="0"/>
    <s v="as,js"/>
    <d v="1899-12-30T13:55:00"/>
    <d v="1899-12-30T22:10:00"/>
    <n v="60"/>
    <n v="8"/>
    <m/>
    <n v="9.42"/>
    <n v="495.00000000000023"/>
    <m/>
    <m/>
    <m/>
    <n v="0"/>
    <m/>
    <m/>
    <m/>
    <n v="0"/>
    <m/>
    <m/>
    <m/>
    <m/>
    <n v="0"/>
    <m/>
    <m/>
    <m/>
    <n v="0"/>
    <m/>
    <m/>
    <m/>
    <n v="0"/>
    <m/>
    <m/>
    <m/>
    <m/>
    <n v="0"/>
    <m/>
    <m/>
    <m/>
    <m/>
    <m/>
    <m/>
    <m/>
    <n v="0"/>
    <s v="3 spar poles on front, fw ~25 ft from shore &amp; 80 ft u/s ARIS"/>
    <s v="No fish"/>
    <s v="20140606 JSmith"/>
    <s v="20140607 NCollin"/>
    <s v="FW_Scan_20140606.pdf"/>
    <n v="0"/>
    <n v="0"/>
    <n v="0"/>
    <n v="0"/>
    <n v="0"/>
    <n v="0"/>
    <n v="0"/>
    <n v="0"/>
    <n v="0"/>
    <n v="0"/>
    <n v="0"/>
    <n v="0"/>
    <n v="0"/>
    <n v="0"/>
    <n v="0"/>
    <n v="0"/>
    <n v="0"/>
    <n v="0"/>
    <n v="0"/>
    <n v="0"/>
  </r>
  <r>
    <x v="0"/>
    <x v="0"/>
    <s v="js,sj"/>
    <d v="1899-12-30T22:10:00"/>
    <d v="1899-12-30T22:15:00"/>
    <n v="58"/>
    <m/>
    <m/>
    <m/>
    <n v="4.9999999999999822"/>
    <m/>
    <m/>
    <m/>
    <n v="0"/>
    <m/>
    <m/>
    <m/>
    <n v="0"/>
    <m/>
    <m/>
    <m/>
    <m/>
    <n v="0"/>
    <m/>
    <m/>
    <m/>
    <n v="0"/>
    <m/>
    <m/>
    <m/>
    <n v="0"/>
    <m/>
    <m/>
    <m/>
    <m/>
    <n v="0"/>
    <m/>
    <m/>
    <m/>
    <m/>
    <m/>
    <m/>
    <m/>
    <n v="0"/>
    <m/>
    <s v="No fish"/>
    <s v="20140606 JSmith"/>
    <s v="20140607 NCollin"/>
    <s v="FW_Scan_20140606.pdf"/>
    <n v="0"/>
    <n v="0"/>
    <n v="0"/>
    <n v="0"/>
    <n v="0"/>
    <n v="0"/>
    <n v="0"/>
    <n v="0"/>
    <n v="0"/>
    <n v="0"/>
    <n v="0"/>
    <n v="0"/>
    <n v="0"/>
    <n v="0"/>
    <n v="0"/>
    <n v="0"/>
    <n v="0"/>
    <n v="0"/>
    <n v="0"/>
    <n v="0"/>
  </r>
  <r>
    <x v="1"/>
    <x v="0"/>
    <s v="la,pj"/>
    <d v="1899-12-30T09:12:00"/>
    <d v="1899-12-30T16:10:00"/>
    <n v="53"/>
    <n v="7.5"/>
    <m/>
    <m/>
    <n v="418.00000000000011"/>
    <m/>
    <m/>
    <m/>
    <n v="0"/>
    <m/>
    <m/>
    <m/>
    <n v="0"/>
    <m/>
    <m/>
    <m/>
    <m/>
    <n v="0"/>
    <m/>
    <m/>
    <m/>
    <n v="0"/>
    <m/>
    <m/>
    <m/>
    <n v="0"/>
    <m/>
    <m/>
    <m/>
    <m/>
    <n v="0"/>
    <m/>
    <m/>
    <n v="1"/>
    <m/>
    <m/>
    <m/>
    <m/>
    <n v="1"/>
    <m/>
    <s v="RT not measured"/>
    <s v="20140607 NCollin"/>
    <s v="20140610 LAckein"/>
    <s v="FW_Scan_20140607.pdf"/>
    <n v="0"/>
    <n v="0"/>
    <n v="0"/>
    <n v="0"/>
    <n v="0"/>
    <n v="0"/>
    <n v="0"/>
    <n v="0"/>
    <n v="0"/>
    <n v="0"/>
    <n v="0"/>
    <n v="0"/>
    <n v="0"/>
    <n v="0"/>
    <n v="0"/>
    <n v="0"/>
    <n v="0"/>
    <n v="0"/>
    <n v="0"/>
    <n v="0"/>
  </r>
  <r>
    <x v="1"/>
    <x v="0"/>
    <s v="js,rt,sj,nc"/>
    <d v="1899-12-30T17:07:00"/>
    <d v="1899-12-30T19:20:00"/>
    <n v="68"/>
    <m/>
    <m/>
    <m/>
    <n v="132.99999999999986"/>
    <m/>
    <m/>
    <m/>
    <n v="0"/>
    <m/>
    <m/>
    <m/>
    <n v="0"/>
    <m/>
    <m/>
    <m/>
    <m/>
    <n v="0"/>
    <m/>
    <m/>
    <m/>
    <n v="0"/>
    <m/>
    <m/>
    <m/>
    <n v="0"/>
    <m/>
    <m/>
    <m/>
    <m/>
    <n v="0"/>
    <m/>
    <m/>
    <n v="1"/>
    <m/>
    <m/>
    <m/>
    <m/>
    <n v="1"/>
    <s v="stopped fw @ 16:10, moved inshore 6 ft (now 19 ft from shore), installed lead net, restarted 17:07"/>
    <m/>
    <s v="20140607 JSmith"/>
    <s v="20140610 LAckein"/>
    <s v="FW_Scan_20140607.pdf"/>
    <n v="0"/>
    <n v="0"/>
    <n v="0"/>
    <n v="0"/>
    <n v="0"/>
    <n v="0"/>
    <n v="0"/>
    <n v="0"/>
    <n v="0"/>
    <n v="0"/>
    <n v="0"/>
    <n v="0"/>
    <n v="0"/>
    <n v="0"/>
    <n v="0"/>
    <n v="0"/>
    <n v="0"/>
    <n v="0"/>
    <n v="0"/>
    <n v="0"/>
  </r>
  <r>
    <x v="1"/>
    <x v="0"/>
    <s v="js,sj"/>
    <d v="1899-12-30T19:20:00"/>
    <d v="1899-12-30T21:30:00"/>
    <n v="69"/>
    <n v="8"/>
    <m/>
    <m/>
    <n v="130.00000000000017"/>
    <m/>
    <m/>
    <m/>
    <n v="0"/>
    <m/>
    <m/>
    <m/>
    <n v="0"/>
    <m/>
    <m/>
    <m/>
    <m/>
    <n v="0"/>
    <m/>
    <m/>
    <m/>
    <n v="0"/>
    <m/>
    <m/>
    <m/>
    <n v="0"/>
    <m/>
    <m/>
    <m/>
    <m/>
    <n v="0"/>
    <m/>
    <m/>
    <m/>
    <m/>
    <m/>
    <m/>
    <m/>
    <n v="0"/>
    <m/>
    <s v="No fish"/>
    <s v="20140607 JSmith"/>
    <s v="20140610 LAckein"/>
    <s v="FW_Scan_20140607.pdf"/>
    <n v="0"/>
    <n v="0"/>
    <n v="0"/>
    <n v="0"/>
    <n v="0"/>
    <n v="0"/>
    <n v="0"/>
    <n v="0"/>
    <n v="0"/>
    <n v="0"/>
    <n v="0"/>
    <n v="0"/>
    <n v="0"/>
    <n v="0"/>
    <n v="0"/>
    <n v="0"/>
    <n v="0"/>
    <n v="0"/>
    <n v="0"/>
    <n v="0"/>
  </r>
  <r>
    <x v="2"/>
    <x v="0"/>
    <s v="la,pj"/>
    <d v="1899-12-30T08:57:00"/>
    <d v="1899-12-30T22:15:00"/>
    <n v="67"/>
    <n v="7.5"/>
    <m/>
    <m/>
    <n v="798"/>
    <m/>
    <m/>
    <m/>
    <n v="0"/>
    <m/>
    <m/>
    <m/>
    <n v="0"/>
    <m/>
    <m/>
    <m/>
    <m/>
    <n v="0"/>
    <m/>
    <m/>
    <m/>
    <n v="0"/>
    <m/>
    <m/>
    <m/>
    <n v="0"/>
    <m/>
    <m/>
    <m/>
    <m/>
    <n v="0"/>
    <m/>
    <m/>
    <m/>
    <m/>
    <m/>
    <m/>
    <m/>
    <n v="0"/>
    <m/>
    <s v="No fish"/>
    <s v="20140608 PJohnson"/>
    <s v="20140610 LAckein"/>
    <s v="FW_Scan_20140608.pdf"/>
    <n v="0"/>
    <n v="0"/>
    <n v="0"/>
    <n v="0"/>
    <n v="0"/>
    <n v="0"/>
    <n v="0"/>
    <n v="0"/>
    <n v="0"/>
    <n v="0"/>
    <n v="0"/>
    <n v="0"/>
    <n v="0"/>
    <n v="0"/>
    <n v="0"/>
    <n v="0"/>
    <n v="0"/>
    <n v="0"/>
    <n v="0"/>
    <n v="0"/>
  </r>
  <r>
    <x v="3"/>
    <x v="0"/>
    <s v="la,pj"/>
    <d v="1899-12-30T09:05:00"/>
    <d v="1899-12-30T22:00:00"/>
    <n v="59"/>
    <n v="6"/>
    <m/>
    <m/>
    <n v="775"/>
    <m/>
    <m/>
    <m/>
    <n v="0"/>
    <m/>
    <m/>
    <m/>
    <n v="0"/>
    <m/>
    <m/>
    <m/>
    <m/>
    <n v="0"/>
    <m/>
    <m/>
    <m/>
    <n v="0"/>
    <m/>
    <m/>
    <m/>
    <n v="0"/>
    <m/>
    <m/>
    <m/>
    <m/>
    <n v="0"/>
    <m/>
    <m/>
    <m/>
    <m/>
    <m/>
    <m/>
    <m/>
    <n v="0"/>
    <m/>
    <s v="No fish"/>
    <s v="20140609 LAckein"/>
    <s v="20140610 LAckein"/>
    <s v="FW_Scan_20140609.pdf"/>
    <n v="0"/>
    <n v="0"/>
    <n v="0"/>
    <n v="0"/>
    <n v="0"/>
    <n v="0"/>
    <n v="0"/>
    <n v="0"/>
    <n v="0"/>
    <n v="0"/>
    <n v="0"/>
    <n v="0"/>
    <n v="0"/>
    <n v="0"/>
    <n v="0"/>
    <n v="0"/>
    <n v="0"/>
    <n v="0"/>
    <n v="0"/>
    <n v="0"/>
  </r>
  <r>
    <x v="3"/>
    <x v="0"/>
    <s v="js,nc"/>
    <d v="1899-12-30T22:00:00"/>
    <d v="1899-12-30T22:10:00"/>
    <m/>
    <n v="9"/>
    <m/>
    <m/>
    <n v="10.000000000000124"/>
    <m/>
    <m/>
    <m/>
    <n v="0"/>
    <m/>
    <m/>
    <m/>
    <n v="0"/>
    <m/>
    <m/>
    <m/>
    <m/>
    <n v="0"/>
    <m/>
    <m/>
    <m/>
    <n v="0"/>
    <m/>
    <m/>
    <m/>
    <n v="0"/>
    <m/>
    <m/>
    <m/>
    <m/>
    <n v="0"/>
    <m/>
    <m/>
    <m/>
    <m/>
    <m/>
    <m/>
    <m/>
    <n v="0"/>
    <m/>
    <s v="No fish"/>
    <s v="20140609 JSmith"/>
    <s v="20140610 LAckein"/>
    <s v="FW_Scan_20140609.pdf"/>
    <n v="0"/>
    <n v="0"/>
    <n v="0"/>
    <n v="0"/>
    <n v="0"/>
    <n v="0"/>
    <n v="0"/>
    <n v="0"/>
    <n v="0"/>
    <n v="0"/>
    <n v="0"/>
    <n v="0"/>
    <n v="0"/>
    <n v="0"/>
    <n v="0"/>
    <n v="0"/>
    <n v="0"/>
    <n v="0"/>
    <n v="0"/>
    <n v="0"/>
  </r>
  <r>
    <x v="3"/>
    <x v="1"/>
    <s v="la,pj"/>
    <d v="1899-12-30T17:05:00"/>
    <d v="1899-12-30T17:10:00"/>
    <n v="43"/>
    <m/>
    <m/>
    <m/>
    <n v="5.0000000000001421"/>
    <m/>
    <m/>
    <m/>
    <n v="0"/>
    <m/>
    <m/>
    <m/>
    <n v="0"/>
    <m/>
    <m/>
    <m/>
    <m/>
    <n v="0"/>
    <m/>
    <m/>
    <m/>
    <n v="0"/>
    <m/>
    <m/>
    <m/>
    <n v="0"/>
    <m/>
    <m/>
    <m/>
    <m/>
    <n v="0"/>
    <m/>
    <m/>
    <m/>
    <m/>
    <m/>
    <m/>
    <m/>
    <n v="0"/>
    <s v="wheel started for season @ 17:10; 2 spar poles on bow, 1 pole on stern, wheel ~20 ft from shore; lead net installed"/>
    <s v="No fish"/>
    <s v="20140609 LAckein"/>
    <s v="20140610 LAckein"/>
    <s v="FW_Scan_20140609.pdf"/>
    <n v="0"/>
    <n v="0"/>
    <n v="0"/>
    <n v="0"/>
    <n v="0"/>
    <n v="0"/>
    <n v="0"/>
    <n v="0"/>
    <n v="0"/>
    <n v="0"/>
    <n v="0"/>
    <n v="0"/>
    <n v="0"/>
    <n v="0"/>
    <n v="0"/>
    <n v="0"/>
    <n v="0"/>
    <n v="0"/>
    <n v="0"/>
    <n v="0"/>
  </r>
  <r>
    <x v="3"/>
    <x v="1"/>
    <s v="js,nc"/>
    <d v="1899-12-30T17:10:00"/>
    <d v="1899-12-30T21:55:00"/>
    <n v="43"/>
    <m/>
    <m/>
    <m/>
    <n v="285.00000000000011"/>
    <m/>
    <m/>
    <m/>
    <n v="0"/>
    <m/>
    <m/>
    <m/>
    <n v="0"/>
    <m/>
    <m/>
    <m/>
    <m/>
    <n v="0"/>
    <m/>
    <m/>
    <m/>
    <n v="0"/>
    <m/>
    <m/>
    <m/>
    <n v="0"/>
    <m/>
    <m/>
    <m/>
    <m/>
    <n v="0"/>
    <m/>
    <m/>
    <m/>
    <m/>
    <m/>
    <m/>
    <m/>
    <n v="0"/>
    <m/>
    <s v="No fish"/>
    <s v="20140609 JSmith"/>
    <s v="20140610 LAckein"/>
    <s v="FW_Scan_20140609.pdf"/>
    <n v="0"/>
    <n v="0"/>
    <n v="0"/>
    <n v="0"/>
    <n v="0"/>
    <n v="0"/>
    <n v="0"/>
    <n v="0"/>
    <n v="0"/>
    <n v="0"/>
    <n v="0"/>
    <n v="0"/>
    <n v="0"/>
    <n v="0"/>
    <n v="0"/>
    <n v="0"/>
    <n v="0"/>
    <n v="0"/>
    <n v="0"/>
    <n v="0"/>
  </r>
  <r>
    <x v="4"/>
    <x v="0"/>
    <s v="nc,rt"/>
    <d v="1899-12-30T09:45:00"/>
    <d v="1899-12-30T23:00:00"/>
    <n v="55"/>
    <n v="7"/>
    <m/>
    <m/>
    <n v="795"/>
    <m/>
    <m/>
    <m/>
    <n v="0"/>
    <m/>
    <m/>
    <m/>
    <n v="0"/>
    <m/>
    <m/>
    <m/>
    <m/>
    <n v="0"/>
    <m/>
    <m/>
    <m/>
    <n v="0"/>
    <m/>
    <m/>
    <m/>
    <n v="0"/>
    <m/>
    <m/>
    <m/>
    <m/>
    <n v="0"/>
    <m/>
    <m/>
    <m/>
    <m/>
    <m/>
    <m/>
    <m/>
    <n v="0"/>
    <s v="cleaned lead net at 10:00 am"/>
    <s v="checked live tanks at 12:50 RT,JS,SJ; check RT,SB 14:35;check RT, AS at 16:15;JB,SB check at 20:45;check at 22:55 by SB, SC."/>
    <s v="20140610 AStephens"/>
    <s v="20140615 DRobichaud"/>
    <s v="FW_Scan_20140610.pdf"/>
    <n v="0"/>
    <n v="0"/>
    <n v="0"/>
    <n v="0"/>
    <n v="0"/>
    <n v="0"/>
    <n v="0"/>
    <n v="0"/>
    <n v="0"/>
    <n v="0"/>
    <n v="0"/>
    <n v="0"/>
    <n v="0"/>
    <n v="0"/>
    <n v="0"/>
    <n v="0"/>
    <n v="0"/>
    <n v="0"/>
    <n v="0"/>
    <n v="0"/>
  </r>
  <r>
    <x v="4"/>
    <x v="1"/>
    <s v="rt,nc"/>
    <d v="1899-12-30T09:30:00"/>
    <d v="1899-12-30T23:15:00"/>
    <n v="41"/>
    <n v="8"/>
    <m/>
    <m/>
    <n v="825.00000000000011"/>
    <m/>
    <m/>
    <m/>
    <n v="0"/>
    <m/>
    <m/>
    <m/>
    <n v="0"/>
    <m/>
    <m/>
    <m/>
    <m/>
    <n v="0"/>
    <m/>
    <m/>
    <m/>
    <n v="0"/>
    <m/>
    <m/>
    <m/>
    <n v="0"/>
    <m/>
    <m/>
    <m/>
    <m/>
    <n v="0"/>
    <m/>
    <m/>
    <m/>
    <m/>
    <m/>
    <m/>
    <m/>
    <n v="0"/>
    <m/>
    <s v="live tanks scooped at 12:40 SJ, RT;check 14:45 SB, RT; check 16:45 RT, AS; check 21:07 JB, SB; check at 23:09 by SB and SC."/>
    <s v="20140610 AStephens"/>
    <s v="20140615 DRobichaud"/>
    <s v="FW_Scan_20140610.pdf"/>
    <n v="0"/>
    <n v="0"/>
    <n v="0"/>
    <n v="0"/>
    <n v="0"/>
    <n v="0"/>
    <n v="0"/>
    <n v="0"/>
    <n v="0"/>
    <n v="0"/>
    <n v="0"/>
    <n v="0"/>
    <n v="0"/>
    <n v="0"/>
    <n v="0"/>
    <n v="0"/>
    <n v="0"/>
    <n v="0"/>
    <n v="0"/>
    <n v="0"/>
  </r>
  <r>
    <x v="5"/>
    <x v="0"/>
    <s v="as,la"/>
    <d v="1899-12-30T09:25:00"/>
    <d v="1899-12-30T09:29:00"/>
    <n v="55"/>
    <n v="7"/>
    <m/>
    <m/>
    <n v="3.9999999999999858"/>
    <m/>
    <m/>
    <m/>
    <n v="0"/>
    <m/>
    <m/>
    <m/>
    <n v="0"/>
    <m/>
    <m/>
    <m/>
    <m/>
    <n v="0"/>
    <m/>
    <m/>
    <m/>
    <n v="0"/>
    <m/>
    <m/>
    <m/>
    <n v="0"/>
    <m/>
    <m/>
    <m/>
    <m/>
    <n v="0"/>
    <m/>
    <m/>
    <m/>
    <m/>
    <m/>
    <m/>
    <m/>
    <n v="0"/>
    <m/>
    <m/>
    <s v="20140611 LAckein"/>
    <s v="20140615 DRobichaud"/>
    <s v="FW_Scan_20140611.pdf"/>
    <n v="0"/>
    <n v="0"/>
    <n v="0"/>
    <n v="0"/>
    <n v="0"/>
    <n v="0"/>
    <n v="0"/>
    <n v="0"/>
    <n v="0"/>
    <n v="0"/>
    <n v="0"/>
    <n v="0"/>
    <n v="0"/>
    <n v="0"/>
    <n v="0"/>
    <n v="0"/>
    <n v="0"/>
    <n v="0"/>
    <n v="0"/>
    <n v="0"/>
  </r>
  <r>
    <x v="5"/>
    <x v="0"/>
    <s v="jb,la"/>
    <d v="1899-12-30T09:29:00"/>
    <d v="1899-12-30T18:05:00"/>
    <m/>
    <m/>
    <m/>
    <m/>
    <n v="516"/>
    <m/>
    <m/>
    <m/>
    <n v="0"/>
    <m/>
    <m/>
    <m/>
    <n v="0"/>
    <m/>
    <m/>
    <m/>
    <m/>
    <n v="0"/>
    <m/>
    <m/>
    <m/>
    <n v="0"/>
    <m/>
    <m/>
    <m/>
    <n v="0"/>
    <m/>
    <m/>
    <m/>
    <m/>
    <n v="0"/>
    <m/>
    <m/>
    <m/>
    <m/>
    <m/>
    <m/>
    <m/>
    <n v="0"/>
    <m/>
    <s v="checked at 18:05 no fish"/>
    <s v="20140611 LAckein"/>
    <s v="20140615 DRobichaud"/>
    <s v="FW_Scan_20140611.pdf"/>
    <n v="0"/>
    <n v="0"/>
    <n v="0"/>
    <n v="0"/>
    <n v="0"/>
    <n v="0"/>
    <n v="0"/>
    <n v="0"/>
    <n v="0"/>
    <n v="0"/>
    <n v="0"/>
    <n v="0"/>
    <n v="0"/>
    <n v="0"/>
    <n v="0"/>
    <n v="0"/>
    <n v="0"/>
    <n v="0"/>
    <n v="0"/>
    <n v="0"/>
  </r>
  <r>
    <x v="5"/>
    <x v="0"/>
    <s v="as,sb"/>
    <d v="1899-12-30T18:05:00"/>
    <d v="1899-12-30T21:15:00"/>
    <n v="55"/>
    <n v="7"/>
    <m/>
    <m/>
    <n v="189.99999999999997"/>
    <m/>
    <m/>
    <m/>
    <n v="0"/>
    <m/>
    <m/>
    <m/>
    <n v="0"/>
    <m/>
    <m/>
    <m/>
    <m/>
    <n v="0"/>
    <m/>
    <m/>
    <m/>
    <n v="0"/>
    <m/>
    <m/>
    <m/>
    <n v="0"/>
    <m/>
    <m/>
    <m/>
    <m/>
    <n v="0"/>
    <m/>
    <m/>
    <m/>
    <m/>
    <m/>
    <m/>
    <m/>
    <n v="0"/>
    <s v="checked at 21:15"/>
    <s v="No fish"/>
    <s v="20140611 AStephens"/>
    <s v="20140615 DRobichaud"/>
    <s v="FW_Scan_20140611.pdf"/>
    <n v="0"/>
    <n v="0"/>
    <n v="0"/>
    <n v="0"/>
    <n v="0"/>
    <n v="0"/>
    <n v="0"/>
    <n v="0"/>
    <n v="0"/>
    <n v="0"/>
    <n v="0"/>
    <n v="0"/>
    <n v="0"/>
    <n v="0"/>
    <n v="0"/>
    <n v="0"/>
    <n v="0"/>
    <n v="0"/>
    <n v="0"/>
    <n v="0"/>
  </r>
  <r>
    <x v="5"/>
    <x v="0"/>
    <s v="as,sc"/>
    <d v="1899-12-30T21:15:00"/>
    <d v="1899-12-30T23:05:00"/>
    <m/>
    <m/>
    <m/>
    <m/>
    <n v="109.99999999999993"/>
    <m/>
    <m/>
    <m/>
    <n v="0"/>
    <m/>
    <m/>
    <m/>
    <n v="0"/>
    <m/>
    <m/>
    <m/>
    <m/>
    <n v="0"/>
    <m/>
    <m/>
    <m/>
    <n v="0"/>
    <m/>
    <m/>
    <m/>
    <n v="0"/>
    <m/>
    <m/>
    <m/>
    <m/>
    <n v="0"/>
    <m/>
    <m/>
    <m/>
    <m/>
    <m/>
    <m/>
    <m/>
    <n v="0"/>
    <m/>
    <s v="checked live tanks.  No fish.  Shutdown wheel."/>
    <s v="20140611 AStephens"/>
    <s v="20140615 DRobichaud"/>
    <s v="FW_Scan_20140611.pdf"/>
    <n v="0"/>
    <n v="0"/>
    <n v="0"/>
    <n v="0"/>
    <n v="0"/>
    <n v="0"/>
    <n v="0"/>
    <n v="0"/>
    <n v="0"/>
    <n v="0"/>
    <n v="0"/>
    <n v="0"/>
    <n v="0"/>
    <n v="0"/>
    <n v="0"/>
    <n v="0"/>
    <n v="0"/>
    <n v="0"/>
    <n v="0"/>
    <n v="0"/>
  </r>
  <r>
    <x v="5"/>
    <x v="1"/>
    <s v="as,la"/>
    <d v="1899-12-30T09:15:00"/>
    <d v="1899-12-30T09:20:00"/>
    <n v="39"/>
    <n v="7"/>
    <m/>
    <m/>
    <n v="4.9999999999999822"/>
    <m/>
    <m/>
    <m/>
    <n v="0"/>
    <m/>
    <m/>
    <m/>
    <n v="0"/>
    <m/>
    <m/>
    <m/>
    <m/>
    <n v="0"/>
    <m/>
    <m/>
    <m/>
    <n v="0"/>
    <m/>
    <m/>
    <m/>
    <n v="0"/>
    <m/>
    <m/>
    <m/>
    <m/>
    <n v="0"/>
    <m/>
    <m/>
    <m/>
    <m/>
    <m/>
    <m/>
    <m/>
    <n v="0"/>
    <s v="lowered fish wheel baskets"/>
    <m/>
    <s v="20140611 AStephens"/>
    <s v="20140615 DRobichaud"/>
    <s v="FW_Scan_20140611.pdf"/>
    <n v="0"/>
    <n v="0"/>
    <n v="0"/>
    <n v="0"/>
    <n v="0"/>
    <n v="0"/>
    <n v="0"/>
    <n v="0"/>
    <n v="0"/>
    <n v="0"/>
    <n v="0"/>
    <n v="0"/>
    <n v="0"/>
    <n v="0"/>
    <n v="0"/>
    <n v="0"/>
    <n v="0"/>
    <n v="0"/>
    <n v="0"/>
    <n v="0"/>
  </r>
  <r>
    <x v="5"/>
    <x v="1"/>
    <s v="jg,jk,sb"/>
    <d v="1899-12-30T09:20:00"/>
    <d v="1899-12-30T15:10:00"/>
    <n v="50"/>
    <n v="8"/>
    <m/>
    <m/>
    <n v="349.99999999999994"/>
    <n v="1"/>
    <m/>
    <m/>
    <n v="1"/>
    <m/>
    <m/>
    <m/>
    <n v="0"/>
    <m/>
    <m/>
    <m/>
    <m/>
    <n v="0"/>
    <m/>
    <m/>
    <m/>
    <n v="0"/>
    <m/>
    <m/>
    <m/>
    <n v="0"/>
    <m/>
    <m/>
    <m/>
    <m/>
    <n v="0"/>
    <m/>
    <m/>
    <m/>
    <m/>
    <m/>
    <m/>
    <m/>
    <n v="0"/>
    <m/>
    <m/>
    <s v="20140613 JKunzler"/>
    <s v="20140615 DRobichaud"/>
    <s v="FW_Scan_20140611.pdf"/>
    <n v="1"/>
    <n v="0"/>
    <n v="0"/>
    <n v="0"/>
    <n v="0"/>
    <n v="0"/>
    <n v="0"/>
    <n v="0"/>
    <n v="0"/>
    <n v="0"/>
    <n v="0"/>
    <n v="0"/>
    <n v="0"/>
    <n v="0"/>
    <n v="0"/>
    <n v="0"/>
    <n v="0"/>
    <n v="0"/>
    <n v="0"/>
    <n v="0"/>
  </r>
  <r>
    <x v="5"/>
    <x v="1"/>
    <s v="jb,la"/>
    <d v="1899-12-30T15:10:00"/>
    <d v="1899-12-30T17:50:00"/>
    <m/>
    <m/>
    <m/>
    <m/>
    <n v="159.99999999999991"/>
    <m/>
    <m/>
    <m/>
    <n v="0"/>
    <m/>
    <m/>
    <m/>
    <n v="0"/>
    <m/>
    <m/>
    <m/>
    <m/>
    <n v="0"/>
    <m/>
    <m/>
    <m/>
    <n v="0"/>
    <m/>
    <m/>
    <m/>
    <n v="0"/>
    <m/>
    <m/>
    <m/>
    <m/>
    <n v="0"/>
    <m/>
    <m/>
    <n v="1"/>
    <m/>
    <m/>
    <m/>
    <m/>
    <n v="1"/>
    <m/>
    <s v="checked at 17:50"/>
    <s v="20140611 LAckein"/>
    <s v="20140615 DRobichaud"/>
    <s v="FW_Scan_20140611.pdf"/>
    <n v="0"/>
    <n v="0"/>
    <n v="0"/>
    <n v="0"/>
    <n v="0"/>
    <n v="0"/>
    <n v="0"/>
    <n v="0"/>
    <n v="0"/>
    <n v="0"/>
    <n v="0"/>
    <n v="0"/>
    <n v="0"/>
    <n v="0"/>
    <n v="0"/>
    <n v="0"/>
    <n v="0"/>
    <n v="0"/>
    <n v="0"/>
    <n v="0"/>
  </r>
  <r>
    <x v="5"/>
    <x v="1"/>
    <s v="as,sb"/>
    <d v="1899-12-30T17:50:00"/>
    <d v="1899-12-30T20:45:00"/>
    <n v="43"/>
    <n v="8"/>
    <m/>
    <m/>
    <n v="175.00000000000017"/>
    <n v="1"/>
    <m/>
    <m/>
    <n v="1"/>
    <m/>
    <m/>
    <m/>
    <n v="0"/>
    <m/>
    <m/>
    <m/>
    <m/>
    <n v="0"/>
    <m/>
    <m/>
    <m/>
    <n v="0"/>
    <m/>
    <m/>
    <m/>
    <n v="0"/>
    <m/>
    <m/>
    <m/>
    <m/>
    <n v="0"/>
    <m/>
    <m/>
    <n v="1"/>
    <m/>
    <m/>
    <m/>
    <m/>
    <n v="1"/>
    <m/>
    <s v="checked tank at 20:45"/>
    <s v="20140611 AStephens"/>
    <s v="20140615 DRobichaud"/>
    <s v="FW_Scan_20140611.pdf"/>
    <n v="1"/>
    <n v="0"/>
    <n v="0"/>
    <n v="0"/>
    <n v="0"/>
    <n v="0"/>
    <n v="0"/>
    <n v="0"/>
    <n v="0"/>
    <n v="0"/>
    <n v="0"/>
    <n v="0"/>
    <n v="0"/>
    <n v="0"/>
    <n v="0"/>
    <n v="0"/>
    <n v="0"/>
    <n v="0"/>
    <n v="0"/>
    <n v="0"/>
  </r>
  <r>
    <x v="5"/>
    <x v="1"/>
    <s v="as,sc"/>
    <d v="1899-12-30T20:45:00"/>
    <d v="1899-12-30T23:36:00"/>
    <m/>
    <m/>
    <m/>
    <m/>
    <n v="171.00000000000003"/>
    <m/>
    <m/>
    <m/>
    <n v="0"/>
    <m/>
    <m/>
    <m/>
    <n v="0"/>
    <m/>
    <m/>
    <m/>
    <m/>
    <n v="0"/>
    <m/>
    <m/>
    <m/>
    <n v="0"/>
    <m/>
    <m/>
    <m/>
    <n v="0"/>
    <m/>
    <m/>
    <m/>
    <m/>
    <n v="0"/>
    <m/>
    <n v="1"/>
    <m/>
    <m/>
    <m/>
    <m/>
    <m/>
    <n v="1"/>
    <m/>
    <s v="checked tanks and then shut down wheel."/>
    <s v="20140611 AStephens"/>
    <s v="20140615 DRobichaud"/>
    <s v="FW_Scan_20140611.pdf"/>
    <n v="0"/>
    <n v="0"/>
    <n v="0"/>
    <n v="0"/>
    <n v="0"/>
    <n v="0"/>
    <n v="0"/>
    <n v="0"/>
    <n v="0"/>
    <n v="0"/>
    <n v="0"/>
    <n v="0"/>
    <n v="0"/>
    <n v="0"/>
    <n v="0"/>
    <n v="0"/>
    <n v="0"/>
    <n v="0"/>
    <n v="0"/>
    <n v="0"/>
  </r>
  <r>
    <x v="6"/>
    <x v="0"/>
    <s v="as,sj"/>
    <d v="1899-12-30T07:01:00"/>
    <d v="1899-12-30T07:01:00"/>
    <n v="52"/>
    <n v="6"/>
    <m/>
    <n v="39.700000000000003"/>
    <n v="0"/>
    <m/>
    <m/>
    <m/>
    <n v="0"/>
    <m/>
    <m/>
    <m/>
    <n v="0"/>
    <m/>
    <m/>
    <m/>
    <m/>
    <n v="0"/>
    <m/>
    <m/>
    <m/>
    <n v="0"/>
    <m/>
    <m/>
    <m/>
    <n v="0"/>
    <m/>
    <m/>
    <m/>
    <m/>
    <n v="0"/>
    <m/>
    <m/>
    <m/>
    <m/>
    <m/>
    <m/>
    <m/>
    <n v="0"/>
    <m/>
    <s v="collected turb sample. No fish"/>
    <s v="20140612 AStephens"/>
    <s v="20140615 DRobichaud"/>
    <s v="FW_Scan_20140612.pdf"/>
    <n v="0"/>
    <n v="0"/>
    <n v="0"/>
    <n v="0"/>
    <n v="0"/>
    <n v="0"/>
    <n v="0"/>
    <n v="0"/>
    <n v="0"/>
    <n v="0"/>
    <n v="0"/>
    <n v="0"/>
    <n v="0"/>
    <n v="0"/>
    <n v="0"/>
    <n v="0"/>
    <n v="0"/>
    <n v="0"/>
    <n v="0"/>
    <n v="0"/>
  </r>
  <r>
    <x v="6"/>
    <x v="0"/>
    <s v="la,jb"/>
    <d v="1899-12-30T07:01:00"/>
    <d v="1899-12-30T13:23:00"/>
    <n v="53"/>
    <n v="6.5"/>
    <m/>
    <m/>
    <n v="382"/>
    <m/>
    <m/>
    <m/>
    <n v="0"/>
    <m/>
    <m/>
    <m/>
    <n v="0"/>
    <m/>
    <m/>
    <m/>
    <m/>
    <n v="0"/>
    <m/>
    <m/>
    <m/>
    <n v="0"/>
    <m/>
    <m/>
    <m/>
    <n v="0"/>
    <m/>
    <m/>
    <m/>
    <m/>
    <n v="0"/>
    <m/>
    <m/>
    <m/>
    <m/>
    <m/>
    <m/>
    <m/>
    <n v="0"/>
    <m/>
    <s v="checked tanks at 09:42, no fish/ NC/JK checked at 13:23, no fish"/>
    <s v="20140212 LAckein"/>
    <s v="20140615 DRobichaud"/>
    <s v="FW_Scan_20140612.pdf"/>
    <n v="0"/>
    <n v="0"/>
    <n v="0"/>
    <n v="0"/>
    <n v="0"/>
    <n v="0"/>
    <n v="0"/>
    <n v="0"/>
    <n v="0"/>
    <n v="0"/>
    <n v="0"/>
    <n v="0"/>
    <n v="0"/>
    <n v="0"/>
    <n v="0"/>
    <n v="0"/>
    <n v="0"/>
    <n v="0"/>
    <n v="0"/>
    <n v="0"/>
  </r>
  <r>
    <x v="6"/>
    <x v="0"/>
    <s v="as,sb,sj,jg"/>
    <d v="1899-12-30T13:23:00"/>
    <d v="1899-12-30T15:00:00"/>
    <n v="61"/>
    <n v="7"/>
    <m/>
    <m/>
    <n v="96.999999999999972"/>
    <m/>
    <m/>
    <m/>
    <n v="0"/>
    <m/>
    <m/>
    <m/>
    <n v="0"/>
    <m/>
    <m/>
    <m/>
    <m/>
    <n v="0"/>
    <m/>
    <m/>
    <m/>
    <n v="0"/>
    <m/>
    <m/>
    <m/>
    <n v="0"/>
    <m/>
    <m/>
    <m/>
    <m/>
    <n v="0"/>
    <m/>
    <m/>
    <m/>
    <m/>
    <m/>
    <m/>
    <m/>
    <n v="0"/>
    <s v="moved fw in at 14:58. cleaned lead net"/>
    <s v="checked tanks at 15:00. No fish"/>
    <s v="20140612 AStephens"/>
    <s v="20140615 DRobichaud"/>
    <s v="FW_Scan_20140612.pdf"/>
    <n v="0"/>
    <n v="0"/>
    <n v="0"/>
    <n v="0"/>
    <n v="0"/>
    <n v="0"/>
    <n v="0"/>
    <n v="0"/>
    <n v="0"/>
    <n v="0"/>
    <n v="0"/>
    <n v="0"/>
    <n v="0"/>
    <n v="0"/>
    <n v="0"/>
    <n v="0"/>
    <n v="0"/>
    <n v="0"/>
    <n v="0"/>
    <n v="0"/>
  </r>
  <r>
    <x v="6"/>
    <x v="0"/>
    <s v="as,jg"/>
    <d v="1899-12-30T15:00:00"/>
    <d v="1899-12-30T18:12:00"/>
    <n v="61"/>
    <n v="8"/>
    <m/>
    <m/>
    <n v="191.99999999999994"/>
    <m/>
    <m/>
    <m/>
    <n v="0"/>
    <m/>
    <m/>
    <m/>
    <n v="0"/>
    <m/>
    <m/>
    <m/>
    <m/>
    <n v="0"/>
    <m/>
    <m/>
    <m/>
    <n v="0"/>
    <m/>
    <m/>
    <m/>
    <n v="0"/>
    <m/>
    <m/>
    <m/>
    <m/>
    <n v="0"/>
    <m/>
    <m/>
    <m/>
    <m/>
    <m/>
    <m/>
    <m/>
    <n v="0"/>
    <s v="checked wheel at 18:12.  re-attached bouy to lead line"/>
    <s v="No fish"/>
    <s v="20140612 AStephens"/>
    <s v="20140615 DRobichaud"/>
    <s v="FW_Scan_20140612.pdf"/>
    <n v="0"/>
    <n v="0"/>
    <n v="0"/>
    <n v="0"/>
    <n v="0"/>
    <n v="0"/>
    <n v="0"/>
    <n v="0"/>
    <n v="0"/>
    <n v="0"/>
    <n v="0"/>
    <n v="0"/>
    <n v="0"/>
    <n v="0"/>
    <n v="0"/>
    <n v="0"/>
    <n v="0"/>
    <n v="0"/>
    <n v="0"/>
    <n v="0"/>
  </r>
  <r>
    <x v="6"/>
    <x v="0"/>
    <s v="jb,sj"/>
    <d v="1899-12-30T18:12:00"/>
    <d v="1899-12-30T21:31:00"/>
    <n v="60"/>
    <n v="7"/>
    <m/>
    <m/>
    <n v="198.99999999999994"/>
    <m/>
    <m/>
    <m/>
    <n v="0"/>
    <m/>
    <m/>
    <m/>
    <n v="0"/>
    <m/>
    <m/>
    <m/>
    <m/>
    <n v="0"/>
    <m/>
    <m/>
    <m/>
    <n v="0"/>
    <m/>
    <m/>
    <m/>
    <n v="0"/>
    <m/>
    <m/>
    <m/>
    <m/>
    <n v="0"/>
    <m/>
    <m/>
    <m/>
    <m/>
    <m/>
    <m/>
    <m/>
    <n v="0"/>
    <m/>
    <s v="checked at 21:31, no fish"/>
    <s v="20140612 AStephens"/>
    <s v="20140615 DRobichaud"/>
    <s v="FW_Scan_20140612.pdf"/>
    <n v="0"/>
    <n v="0"/>
    <n v="0"/>
    <n v="0"/>
    <n v="0"/>
    <n v="0"/>
    <n v="0"/>
    <n v="0"/>
    <n v="0"/>
    <n v="0"/>
    <n v="0"/>
    <n v="0"/>
    <n v="0"/>
    <n v="0"/>
    <n v="0"/>
    <n v="0"/>
    <n v="0"/>
    <n v="0"/>
    <n v="0"/>
    <n v="0"/>
  </r>
  <r>
    <x v="6"/>
    <x v="0"/>
    <s v="nc,jg"/>
    <d v="1899-12-30T21:31:00"/>
    <d v="1899-12-30T23:50:00"/>
    <m/>
    <n v="7"/>
    <m/>
    <m/>
    <n v="139"/>
    <m/>
    <m/>
    <m/>
    <n v="0"/>
    <m/>
    <m/>
    <m/>
    <n v="0"/>
    <m/>
    <m/>
    <m/>
    <m/>
    <n v="0"/>
    <m/>
    <m/>
    <m/>
    <n v="0"/>
    <m/>
    <m/>
    <m/>
    <n v="0"/>
    <m/>
    <m/>
    <m/>
    <m/>
    <n v="0"/>
    <m/>
    <m/>
    <m/>
    <m/>
    <m/>
    <m/>
    <m/>
    <n v="0"/>
    <m/>
    <s v="raise baskets, bringing drill back, hot and smoking, no fish"/>
    <s v="20140612 JGraham"/>
    <s v="20140615 DRobichaud"/>
    <s v="FW_Scan_20140612.pdf"/>
    <n v="0"/>
    <n v="0"/>
    <n v="0"/>
    <n v="0"/>
    <n v="0"/>
    <n v="0"/>
    <n v="0"/>
    <n v="0"/>
    <n v="0"/>
    <n v="0"/>
    <n v="0"/>
    <n v="0"/>
    <n v="0"/>
    <n v="0"/>
    <n v="0"/>
    <n v="0"/>
    <n v="0"/>
    <n v="0"/>
    <n v="0"/>
    <n v="0"/>
  </r>
  <r>
    <x v="6"/>
    <x v="2"/>
    <s v="sb,jk,jg,sj,nc"/>
    <d v="1899-12-30T10:53:00"/>
    <d v="1899-12-30T12:52:00"/>
    <n v="35"/>
    <m/>
    <m/>
    <m/>
    <n v="118.99999999999997"/>
    <m/>
    <m/>
    <m/>
    <n v="0"/>
    <m/>
    <m/>
    <m/>
    <n v="0"/>
    <m/>
    <m/>
    <m/>
    <m/>
    <n v="0"/>
    <m/>
    <m/>
    <m/>
    <n v="0"/>
    <m/>
    <m/>
    <m/>
    <n v="0"/>
    <m/>
    <m/>
    <m/>
    <m/>
    <n v="0"/>
    <m/>
    <m/>
    <m/>
    <m/>
    <m/>
    <m/>
    <m/>
    <n v="0"/>
    <s v="started fishing"/>
    <s v="NC, JK checked at 12:52 No fish, cleared debris from lead line"/>
    <s v="20140612 AStephens"/>
    <s v="20140615 DRobichaud"/>
    <s v="FW_Scan_20140612.pdf"/>
    <n v="0"/>
    <n v="0"/>
    <n v="0"/>
    <n v="0"/>
    <n v="0"/>
    <n v="0"/>
    <n v="0"/>
    <n v="0"/>
    <n v="0"/>
    <n v="0"/>
    <n v="0"/>
    <n v="0"/>
    <n v="0"/>
    <n v="0"/>
    <n v="0"/>
    <n v="0"/>
    <n v="0"/>
    <n v="0"/>
    <n v="0"/>
    <n v="0"/>
  </r>
  <r>
    <x v="6"/>
    <x v="2"/>
    <s v="sj,sb,as"/>
    <d v="1899-12-30T12:52:00"/>
    <d v="1899-12-30T15:19:00"/>
    <n v="35"/>
    <m/>
    <m/>
    <m/>
    <n v="146.99999999999994"/>
    <n v="1"/>
    <m/>
    <m/>
    <n v="1"/>
    <m/>
    <m/>
    <m/>
    <n v="0"/>
    <m/>
    <m/>
    <m/>
    <m/>
    <n v="0"/>
    <m/>
    <m/>
    <m/>
    <n v="0"/>
    <m/>
    <m/>
    <m/>
    <n v="0"/>
    <m/>
    <m/>
    <m/>
    <m/>
    <n v="0"/>
    <m/>
    <m/>
    <m/>
    <m/>
    <m/>
    <m/>
    <m/>
    <n v="0"/>
    <s v="moved fw up ~1&quot; port side"/>
    <m/>
    <s v="20140612 AStephens"/>
    <s v="20140615 DRobichaud"/>
    <s v="FW_Scan_20140612.pdf"/>
    <n v="1"/>
    <n v="0"/>
    <n v="0"/>
    <n v="0"/>
    <n v="0"/>
    <n v="0"/>
    <n v="0"/>
    <n v="0"/>
    <n v="0"/>
    <n v="0"/>
    <n v="0"/>
    <n v="0"/>
    <n v="0"/>
    <n v="0"/>
    <n v="0"/>
    <n v="0"/>
    <n v="0"/>
    <n v="0"/>
    <n v="0"/>
    <n v="0"/>
  </r>
  <r>
    <x v="6"/>
    <x v="2"/>
    <s v="as,jg"/>
    <d v="1899-12-30T15:19:00"/>
    <d v="1899-12-30T18:27:00"/>
    <n v="36"/>
    <m/>
    <m/>
    <m/>
    <n v="187.99999999999997"/>
    <m/>
    <m/>
    <m/>
    <n v="0"/>
    <m/>
    <m/>
    <m/>
    <n v="0"/>
    <m/>
    <m/>
    <m/>
    <m/>
    <n v="0"/>
    <m/>
    <m/>
    <m/>
    <n v="0"/>
    <m/>
    <m/>
    <m/>
    <n v="0"/>
    <m/>
    <m/>
    <m/>
    <m/>
    <n v="0"/>
    <m/>
    <m/>
    <m/>
    <m/>
    <m/>
    <m/>
    <m/>
    <n v="0"/>
    <s v="checked wheel at 18:27"/>
    <s v="No fish"/>
    <s v="20140612 AStephens"/>
    <s v="20140615 DRobichaud"/>
    <s v="FW_Scan_20140612.pdf"/>
    <n v="0"/>
    <n v="0"/>
    <n v="0"/>
    <n v="0"/>
    <n v="0"/>
    <n v="0"/>
    <n v="0"/>
    <n v="0"/>
    <n v="0"/>
    <n v="0"/>
    <n v="0"/>
    <n v="0"/>
    <n v="0"/>
    <n v="0"/>
    <n v="0"/>
    <n v="0"/>
    <n v="0"/>
    <n v="0"/>
    <n v="0"/>
    <n v="0"/>
  </r>
  <r>
    <x v="6"/>
    <x v="2"/>
    <s v="jb,sj"/>
    <d v="1899-12-30T18:27:00"/>
    <d v="1899-12-30T21:19:00"/>
    <n v="38"/>
    <n v="5"/>
    <m/>
    <m/>
    <n v="172.00000000000003"/>
    <m/>
    <m/>
    <m/>
    <n v="0"/>
    <m/>
    <m/>
    <m/>
    <n v="0"/>
    <m/>
    <m/>
    <m/>
    <m/>
    <n v="0"/>
    <m/>
    <m/>
    <m/>
    <n v="0"/>
    <m/>
    <m/>
    <m/>
    <n v="0"/>
    <m/>
    <m/>
    <m/>
    <m/>
    <n v="0"/>
    <m/>
    <m/>
    <m/>
    <m/>
    <m/>
    <m/>
    <m/>
    <n v="0"/>
    <s v="moved fw up 1&quot;; checked at 21:19"/>
    <s v="No fish"/>
    <s v="20140613 JBerry"/>
    <s v="20140615 DRobichaud"/>
    <s v="FW_Scan_20140612.pdf"/>
    <n v="0"/>
    <n v="0"/>
    <n v="0"/>
    <n v="0"/>
    <n v="0"/>
    <n v="0"/>
    <n v="0"/>
    <n v="0"/>
    <n v="0"/>
    <n v="0"/>
    <n v="0"/>
    <n v="0"/>
    <n v="0"/>
    <n v="0"/>
    <n v="0"/>
    <n v="0"/>
    <n v="0"/>
    <n v="0"/>
    <n v="0"/>
    <n v="0"/>
  </r>
  <r>
    <x v="6"/>
    <x v="2"/>
    <s v="jg,nc"/>
    <d v="1899-12-30T21:19:00"/>
    <d v="1899-12-30T23:15:00"/>
    <m/>
    <n v="5"/>
    <m/>
    <m/>
    <n v="116.00000000000007"/>
    <n v="1"/>
    <m/>
    <m/>
    <n v="1"/>
    <m/>
    <m/>
    <m/>
    <n v="0"/>
    <m/>
    <m/>
    <m/>
    <m/>
    <n v="0"/>
    <m/>
    <m/>
    <m/>
    <n v="0"/>
    <m/>
    <m/>
    <m/>
    <n v="0"/>
    <m/>
    <m/>
    <m/>
    <m/>
    <n v="0"/>
    <m/>
    <m/>
    <m/>
    <m/>
    <m/>
    <m/>
    <m/>
    <n v="0"/>
    <s v="hard time raising wheel.  Crossbar onPort side seemed to bind when raising the wheel"/>
    <s v="raised basket 23:15 1 CN JG, NC "/>
    <s v="20140612 NCollin"/>
    <s v="20140615 DRobichaud"/>
    <s v="FW_Scan_20140612.pdf"/>
    <n v="1"/>
    <n v="0"/>
    <n v="0"/>
    <n v="0"/>
    <n v="0"/>
    <n v="0"/>
    <n v="0"/>
    <n v="0"/>
    <n v="0"/>
    <n v="0"/>
    <n v="0"/>
    <n v="0"/>
    <n v="0"/>
    <n v="0"/>
    <n v="0"/>
    <n v="0"/>
    <n v="0"/>
    <n v="0"/>
    <n v="0"/>
    <n v="0"/>
  </r>
  <r>
    <x v="6"/>
    <x v="1"/>
    <s v="as,sj"/>
    <d v="1899-12-30T07:15:00"/>
    <d v="1899-12-30T07:21:00"/>
    <n v="41"/>
    <n v="7"/>
    <m/>
    <m/>
    <n v="5.9999999999999787"/>
    <m/>
    <m/>
    <m/>
    <n v="0"/>
    <m/>
    <m/>
    <m/>
    <n v="0"/>
    <m/>
    <m/>
    <m/>
    <m/>
    <n v="0"/>
    <m/>
    <m/>
    <m/>
    <n v="0"/>
    <m/>
    <m/>
    <m/>
    <n v="0"/>
    <m/>
    <m/>
    <m/>
    <m/>
    <n v="0"/>
    <m/>
    <m/>
    <m/>
    <m/>
    <m/>
    <m/>
    <m/>
    <n v="0"/>
    <m/>
    <s v="No fish"/>
    <s v="20140612 AStephens"/>
    <s v="20140615 DRobichaud"/>
    <s v="FW_Scan_20140612.pdf"/>
    <n v="0"/>
    <n v="0"/>
    <n v="0"/>
    <n v="0"/>
    <n v="0"/>
    <n v="0"/>
    <n v="0"/>
    <n v="0"/>
    <n v="0"/>
    <n v="0"/>
    <n v="0"/>
    <n v="0"/>
    <n v="0"/>
    <n v="0"/>
    <n v="0"/>
    <n v="0"/>
    <n v="0"/>
    <n v="0"/>
    <n v="0"/>
    <n v="0"/>
  </r>
  <r>
    <x v="6"/>
    <x v="1"/>
    <s v="jb,la"/>
    <d v="1899-12-30T07:21:00"/>
    <d v="1899-12-30T09:30:00"/>
    <n v="41"/>
    <n v="7.5"/>
    <m/>
    <m/>
    <n v="129.00000000000003"/>
    <m/>
    <m/>
    <m/>
    <n v="0"/>
    <m/>
    <m/>
    <m/>
    <n v="0"/>
    <m/>
    <m/>
    <m/>
    <m/>
    <n v="0"/>
    <m/>
    <m/>
    <m/>
    <n v="0"/>
    <m/>
    <m/>
    <m/>
    <n v="0"/>
    <m/>
    <m/>
    <m/>
    <m/>
    <n v="0"/>
    <m/>
    <m/>
    <m/>
    <m/>
    <m/>
    <m/>
    <m/>
    <n v="0"/>
    <m/>
    <s v="checked at 09:30, no fish"/>
    <s v="20140612 JBerry"/>
    <s v="20140615 DRobichaud"/>
    <s v="FW_Scan_20140612.pdf"/>
    <n v="0"/>
    <n v="0"/>
    <n v="0"/>
    <n v="0"/>
    <n v="0"/>
    <n v="0"/>
    <n v="0"/>
    <n v="0"/>
    <n v="0"/>
    <n v="0"/>
    <n v="0"/>
    <n v="0"/>
    <n v="0"/>
    <n v="0"/>
    <n v="0"/>
    <n v="0"/>
    <n v="0"/>
    <n v="0"/>
    <n v="0"/>
    <n v="0"/>
  </r>
  <r>
    <x v="6"/>
    <x v="1"/>
    <s v="sj,sb"/>
    <d v="1899-12-30T09:30:00"/>
    <d v="1899-12-30T12:53:00"/>
    <n v="43"/>
    <n v="8"/>
    <m/>
    <m/>
    <n v="203"/>
    <m/>
    <m/>
    <m/>
    <n v="0"/>
    <m/>
    <m/>
    <m/>
    <n v="0"/>
    <m/>
    <m/>
    <m/>
    <m/>
    <n v="0"/>
    <m/>
    <m/>
    <m/>
    <n v="0"/>
    <m/>
    <m/>
    <m/>
    <n v="0"/>
    <m/>
    <m/>
    <m/>
    <m/>
    <n v="0"/>
    <m/>
    <m/>
    <m/>
    <m/>
    <m/>
    <m/>
    <m/>
    <n v="0"/>
    <m/>
    <s v="no fish @ 12:53"/>
    <s v="20140613 JBerry"/>
    <s v="20140615 DRobichaud"/>
    <s v="FW_Scan_20140612.pdf"/>
    <n v="0"/>
    <n v="0"/>
    <n v="0"/>
    <n v="0"/>
    <n v="0"/>
    <n v="0"/>
    <n v="0"/>
    <n v="0"/>
    <n v="0"/>
    <n v="0"/>
    <n v="0"/>
    <n v="0"/>
    <n v="0"/>
    <n v="0"/>
    <n v="0"/>
    <n v="0"/>
    <n v="0"/>
    <n v="0"/>
    <n v="0"/>
    <n v="0"/>
  </r>
  <r>
    <x v="6"/>
    <x v="1"/>
    <s v="la,jb"/>
    <d v="1899-12-30T12:53:00"/>
    <d v="1899-12-30T15:18:00"/>
    <n v="42"/>
    <n v="8"/>
    <m/>
    <m/>
    <n v="145.00000000000011"/>
    <m/>
    <m/>
    <m/>
    <n v="0"/>
    <m/>
    <m/>
    <m/>
    <n v="0"/>
    <m/>
    <m/>
    <m/>
    <m/>
    <n v="0"/>
    <m/>
    <m/>
    <m/>
    <n v="0"/>
    <m/>
    <m/>
    <m/>
    <n v="0"/>
    <m/>
    <m/>
    <m/>
    <m/>
    <n v="0"/>
    <m/>
    <m/>
    <m/>
    <m/>
    <m/>
    <m/>
    <m/>
    <n v="0"/>
    <m/>
    <s v="checked @ 15:18, no fish"/>
    <s v="20140612 LAckein"/>
    <s v="20140615 DRobichaud"/>
    <s v="FW_Scan_20140612.pdf"/>
    <n v="0"/>
    <n v="0"/>
    <n v="0"/>
    <n v="0"/>
    <n v="0"/>
    <n v="0"/>
    <n v="0"/>
    <n v="0"/>
    <n v="0"/>
    <n v="0"/>
    <n v="0"/>
    <n v="0"/>
    <n v="0"/>
    <n v="0"/>
    <n v="0"/>
    <n v="0"/>
    <n v="0"/>
    <n v="0"/>
    <n v="0"/>
    <n v="0"/>
  </r>
  <r>
    <x v="6"/>
    <x v="1"/>
    <s v="la,jk"/>
    <d v="1899-12-30T15:18:00"/>
    <d v="1899-12-30T20:14:00"/>
    <n v="42"/>
    <n v="8"/>
    <m/>
    <m/>
    <n v="295.99999999999989"/>
    <m/>
    <m/>
    <m/>
    <n v="0"/>
    <m/>
    <m/>
    <m/>
    <n v="0"/>
    <m/>
    <m/>
    <m/>
    <m/>
    <n v="0"/>
    <m/>
    <m/>
    <m/>
    <n v="0"/>
    <m/>
    <m/>
    <m/>
    <n v="0"/>
    <m/>
    <m/>
    <m/>
    <m/>
    <n v="0"/>
    <n v="1"/>
    <m/>
    <m/>
    <m/>
    <m/>
    <m/>
    <m/>
    <n v="1"/>
    <m/>
    <s v="checked @ 20:14"/>
    <s v="20140612 JKunzler"/>
    <s v="20140615 DRobichaud"/>
    <s v="FW_Scan_20140612.pdf"/>
    <n v="0"/>
    <n v="0"/>
    <n v="0"/>
    <n v="0"/>
    <n v="0"/>
    <n v="0"/>
    <n v="0"/>
    <n v="0"/>
    <n v="0"/>
    <n v="0"/>
    <n v="0"/>
    <n v="0"/>
    <n v="0"/>
    <n v="0"/>
    <n v="0"/>
    <n v="0"/>
    <n v="0"/>
    <n v="0"/>
    <n v="0"/>
    <n v="0"/>
  </r>
  <r>
    <x v="6"/>
    <x v="1"/>
    <s v="sj,jb"/>
    <d v="1899-12-30T20:14:00"/>
    <d v="1899-12-30T21:43:00"/>
    <n v="41"/>
    <n v="7"/>
    <m/>
    <m/>
    <n v="88.999999999999844"/>
    <m/>
    <m/>
    <m/>
    <n v="0"/>
    <m/>
    <m/>
    <m/>
    <n v="0"/>
    <m/>
    <m/>
    <m/>
    <m/>
    <n v="0"/>
    <m/>
    <m/>
    <m/>
    <n v="0"/>
    <m/>
    <m/>
    <m/>
    <n v="0"/>
    <m/>
    <m/>
    <m/>
    <m/>
    <n v="0"/>
    <m/>
    <m/>
    <m/>
    <m/>
    <m/>
    <m/>
    <m/>
    <n v="0"/>
    <s v="moved up ~1&quot;"/>
    <s v="checked @ 21:43, no fish"/>
    <s v="20140613 JBerry"/>
    <s v="20140615 DRobichaud"/>
    <s v="FW_Scan_20140612.pdf"/>
    <n v="0"/>
    <n v="0"/>
    <n v="0"/>
    <n v="0"/>
    <n v="0"/>
    <n v="0"/>
    <n v="0"/>
    <n v="0"/>
    <n v="0"/>
    <n v="0"/>
    <n v="0"/>
    <n v="0"/>
    <n v="0"/>
    <n v="0"/>
    <n v="0"/>
    <n v="0"/>
    <n v="0"/>
    <n v="0"/>
    <n v="0"/>
    <n v="0"/>
  </r>
  <r>
    <x v="6"/>
    <x v="1"/>
    <s v="nc,jg"/>
    <d v="1899-12-30T21:43:00"/>
    <d v="1899-12-30T23:00:00"/>
    <m/>
    <n v="7"/>
    <m/>
    <m/>
    <n v="77.000000000000199"/>
    <m/>
    <m/>
    <m/>
    <n v="0"/>
    <m/>
    <m/>
    <m/>
    <n v="0"/>
    <m/>
    <m/>
    <m/>
    <m/>
    <n v="0"/>
    <m/>
    <m/>
    <m/>
    <n v="0"/>
    <m/>
    <m/>
    <m/>
    <n v="0"/>
    <m/>
    <m/>
    <m/>
    <m/>
    <n v="0"/>
    <n v="0"/>
    <m/>
    <m/>
    <m/>
    <m/>
    <m/>
    <m/>
    <n v="0"/>
    <m/>
    <s v="raised baskets@ 23:00, no fish nc, jg"/>
    <s v="20140612 NCollin"/>
    <s v="20140616 DRobichaud"/>
    <s v="FW_Scan_20140612.pdf"/>
    <n v="0"/>
    <n v="0"/>
    <n v="0"/>
    <n v="0"/>
    <n v="0"/>
    <n v="0"/>
    <n v="0"/>
    <n v="0"/>
    <n v="0"/>
    <n v="0"/>
    <n v="0"/>
    <n v="0"/>
    <n v="0"/>
    <n v="0"/>
    <n v="0"/>
    <n v="0"/>
    <n v="0"/>
    <n v="0"/>
    <n v="0"/>
    <n v="0"/>
  </r>
  <r>
    <x v="7"/>
    <x v="0"/>
    <s v="as, sj"/>
    <d v="1899-12-30T08:00:00"/>
    <d v="1899-12-30T08:04:00"/>
    <n v="70"/>
    <n v="7"/>
    <m/>
    <m/>
    <n v="3.9999999999999858"/>
    <m/>
    <m/>
    <m/>
    <n v="0"/>
    <m/>
    <m/>
    <m/>
    <n v="0"/>
    <m/>
    <m/>
    <m/>
    <m/>
    <n v="0"/>
    <m/>
    <m/>
    <m/>
    <n v="0"/>
    <m/>
    <m/>
    <m/>
    <n v="0"/>
    <m/>
    <m/>
    <m/>
    <m/>
    <n v="0"/>
    <m/>
    <m/>
    <m/>
    <m/>
    <m/>
    <m/>
    <m/>
    <n v="0"/>
    <s v="lowered baskets"/>
    <m/>
    <s v="20140613 AStephens"/>
    <s v="20140615 DRobichaud"/>
    <s v="FW_Scan_20140613.pdf"/>
    <n v="0"/>
    <n v="0"/>
    <n v="0"/>
    <n v="0"/>
    <n v="0"/>
    <n v="0"/>
    <n v="0"/>
    <n v="0"/>
    <n v="0"/>
    <n v="0"/>
    <n v="0"/>
    <n v="0"/>
    <n v="0"/>
    <n v="0"/>
    <n v="0"/>
    <n v="0"/>
    <n v="0"/>
    <n v="0"/>
    <n v="0"/>
    <n v="0"/>
  </r>
  <r>
    <x v="7"/>
    <x v="0"/>
    <s v="jk,nc"/>
    <d v="1899-12-30T08:04:00"/>
    <d v="1899-12-30T11:00:00"/>
    <n v="69"/>
    <n v="8"/>
    <m/>
    <m/>
    <n v="176"/>
    <m/>
    <m/>
    <m/>
    <n v="0"/>
    <m/>
    <m/>
    <m/>
    <n v="0"/>
    <m/>
    <m/>
    <m/>
    <m/>
    <n v="0"/>
    <m/>
    <m/>
    <m/>
    <n v="0"/>
    <m/>
    <m/>
    <m/>
    <n v="0"/>
    <m/>
    <m/>
    <m/>
    <m/>
    <n v="0"/>
    <m/>
    <m/>
    <m/>
    <m/>
    <m/>
    <m/>
    <m/>
    <n v="0"/>
    <m/>
    <s v="checked @ 11:00, jk, nc no fish"/>
    <s v="20140613 NCollin"/>
    <s v="20140615 DRobichaud"/>
    <s v="FW_Scan_20140613.pdf"/>
    <n v="0"/>
    <n v="0"/>
    <n v="0"/>
    <n v="0"/>
    <n v="0"/>
    <n v="0"/>
    <n v="0"/>
    <n v="0"/>
    <n v="0"/>
    <n v="0"/>
    <n v="0"/>
    <n v="0"/>
    <n v="0"/>
    <n v="0"/>
    <n v="0"/>
    <n v="0"/>
    <n v="0"/>
    <n v="0"/>
    <n v="0"/>
    <n v="0"/>
  </r>
  <r>
    <x v="7"/>
    <x v="0"/>
    <s v="sj,as"/>
    <d v="1899-12-30T11:00:00"/>
    <d v="1899-12-30T12:37:00"/>
    <n v="72"/>
    <n v="7"/>
    <m/>
    <m/>
    <n v="97.000000000000057"/>
    <m/>
    <m/>
    <m/>
    <n v="0"/>
    <m/>
    <m/>
    <m/>
    <n v="0"/>
    <m/>
    <m/>
    <m/>
    <m/>
    <n v="0"/>
    <m/>
    <m/>
    <m/>
    <n v="0"/>
    <m/>
    <m/>
    <m/>
    <n v="0"/>
    <m/>
    <m/>
    <m/>
    <m/>
    <n v="0"/>
    <m/>
    <m/>
    <m/>
    <m/>
    <m/>
    <m/>
    <m/>
    <n v="0"/>
    <s v="checked FW @ 12:37"/>
    <s v="No fish"/>
    <s v="20140613 SJohnson"/>
    <s v="20140615 DRobichaud"/>
    <s v="FW_Scan_20140613.pdf"/>
    <n v="0"/>
    <n v="0"/>
    <n v="0"/>
    <n v="0"/>
    <n v="0"/>
    <n v="0"/>
    <n v="0"/>
    <n v="0"/>
    <n v="0"/>
    <n v="0"/>
    <n v="0"/>
    <n v="0"/>
    <n v="0"/>
    <n v="0"/>
    <n v="0"/>
    <n v="0"/>
    <n v="0"/>
    <n v="0"/>
    <n v="0"/>
    <n v="0"/>
  </r>
  <r>
    <x v="7"/>
    <x v="0"/>
    <s v="jk,nc"/>
    <d v="1899-12-30T12:37:00"/>
    <d v="1899-12-30T14:20:00"/>
    <n v="72"/>
    <n v="7"/>
    <m/>
    <m/>
    <n v="102.99999999999996"/>
    <m/>
    <m/>
    <m/>
    <n v="0"/>
    <m/>
    <m/>
    <m/>
    <n v="0"/>
    <m/>
    <m/>
    <m/>
    <m/>
    <n v="0"/>
    <m/>
    <m/>
    <m/>
    <n v="0"/>
    <m/>
    <m/>
    <m/>
    <n v="0"/>
    <m/>
    <m/>
    <m/>
    <m/>
    <n v="0"/>
    <m/>
    <m/>
    <m/>
    <m/>
    <m/>
    <m/>
    <m/>
    <n v="0"/>
    <s v="checked fw@14:20"/>
    <s v="no fish jk,nc"/>
    <s v="20140613 NCollin"/>
    <s v="20140615 DRobichaud"/>
    <s v="FW_Scan_20140613.pdf"/>
    <n v="0"/>
    <n v="0"/>
    <n v="0"/>
    <n v="0"/>
    <n v="0"/>
    <n v="0"/>
    <n v="0"/>
    <n v="0"/>
    <n v="0"/>
    <n v="0"/>
    <n v="0"/>
    <n v="0"/>
    <n v="0"/>
    <n v="0"/>
    <n v="0"/>
    <n v="0"/>
    <n v="0"/>
    <n v="0"/>
    <n v="0"/>
    <n v="0"/>
  </r>
  <r>
    <x v="7"/>
    <x v="0"/>
    <s v="la,sb"/>
    <d v="1899-12-30T14:20:00"/>
    <d v="1899-12-30T16:24:00"/>
    <n v="72"/>
    <n v="7.5"/>
    <m/>
    <m/>
    <n v="123.99999999999989"/>
    <m/>
    <m/>
    <m/>
    <n v="0"/>
    <m/>
    <m/>
    <m/>
    <n v="0"/>
    <m/>
    <m/>
    <m/>
    <m/>
    <n v="0"/>
    <m/>
    <m/>
    <m/>
    <n v="0"/>
    <m/>
    <m/>
    <m/>
    <n v="0"/>
    <m/>
    <m/>
    <m/>
    <m/>
    <n v="0"/>
    <m/>
    <m/>
    <m/>
    <m/>
    <m/>
    <m/>
    <m/>
    <n v="0"/>
    <s v="check @ 16:24. No fish"/>
    <m/>
    <s v="20140614 JBerry"/>
    <s v="20140615 DRobichaud"/>
    <s v="FW_Scan_20140613.pdf"/>
    <n v="0"/>
    <n v="0"/>
    <n v="0"/>
    <n v="0"/>
    <n v="0"/>
    <n v="0"/>
    <n v="0"/>
    <n v="0"/>
    <n v="0"/>
    <n v="0"/>
    <n v="0"/>
    <n v="0"/>
    <n v="0"/>
    <n v="0"/>
    <n v="0"/>
    <n v="0"/>
    <n v="0"/>
    <n v="0"/>
    <n v="0"/>
    <n v="0"/>
  </r>
  <r>
    <x v="7"/>
    <x v="0"/>
    <s v="jk,sb"/>
    <d v="1899-12-30T16:24:00"/>
    <d v="1899-12-30T18:14:00"/>
    <n v="74"/>
    <n v="8"/>
    <m/>
    <m/>
    <n v="110.00000000000026"/>
    <m/>
    <m/>
    <m/>
    <n v="0"/>
    <m/>
    <m/>
    <m/>
    <n v="0"/>
    <m/>
    <m/>
    <m/>
    <m/>
    <n v="0"/>
    <m/>
    <m/>
    <m/>
    <n v="0"/>
    <m/>
    <m/>
    <m/>
    <n v="0"/>
    <m/>
    <m/>
    <m/>
    <m/>
    <n v="0"/>
    <m/>
    <m/>
    <m/>
    <m/>
    <m/>
    <m/>
    <m/>
    <n v="0"/>
    <m/>
    <s v="jk,sb check @ 18:14"/>
    <s v="20140613 SBurril"/>
    <s v="20140615 DRobichaud"/>
    <s v="FW_Scan_20140613.pdf"/>
    <n v="0"/>
    <n v="0"/>
    <n v="0"/>
    <n v="0"/>
    <n v="0"/>
    <n v="0"/>
    <n v="0"/>
    <n v="0"/>
    <n v="0"/>
    <n v="0"/>
    <n v="0"/>
    <n v="0"/>
    <n v="0"/>
    <n v="0"/>
    <n v="0"/>
    <n v="0"/>
    <n v="0"/>
    <n v="0"/>
    <n v="0"/>
    <n v="0"/>
  </r>
  <r>
    <x v="7"/>
    <x v="0"/>
    <s v="sj,as"/>
    <d v="1899-12-30T18:14:00"/>
    <d v="1899-12-30T20:40:00"/>
    <n v="73"/>
    <n v="7"/>
    <m/>
    <m/>
    <n v="145.99999999999997"/>
    <n v="1"/>
    <m/>
    <m/>
    <n v="1"/>
    <m/>
    <m/>
    <m/>
    <n v="0"/>
    <m/>
    <m/>
    <m/>
    <m/>
    <n v="0"/>
    <m/>
    <m/>
    <m/>
    <n v="0"/>
    <m/>
    <m/>
    <m/>
    <n v="0"/>
    <m/>
    <m/>
    <m/>
    <m/>
    <n v="0"/>
    <m/>
    <m/>
    <m/>
    <m/>
    <m/>
    <m/>
    <m/>
    <n v="0"/>
    <s v="raised fw up ~1&quot;;checked @ 20:40"/>
    <s v="1 CN"/>
    <s v="20140613 AStephens"/>
    <s v="20140615 DRobichaud"/>
    <s v="FW_Scan_20140613.pdf"/>
    <n v="1"/>
    <n v="0"/>
    <n v="0"/>
    <n v="0"/>
    <n v="0"/>
    <n v="0"/>
    <n v="0"/>
    <n v="0"/>
    <n v="0"/>
    <n v="0"/>
    <n v="0"/>
    <n v="0"/>
    <n v="0"/>
    <n v="0"/>
    <n v="0"/>
    <n v="0"/>
    <n v="0"/>
    <n v="0"/>
    <n v="0"/>
    <n v="0"/>
  </r>
  <r>
    <x v="7"/>
    <x v="0"/>
    <s v="sb, jb"/>
    <d v="1899-12-30T20:40:00"/>
    <d v="1899-12-30T22:53:00"/>
    <n v="81"/>
    <n v="7"/>
    <m/>
    <m/>
    <n v="132.99999999999986"/>
    <m/>
    <m/>
    <m/>
    <n v="0"/>
    <m/>
    <m/>
    <m/>
    <n v="0"/>
    <m/>
    <m/>
    <m/>
    <m/>
    <n v="0"/>
    <m/>
    <m/>
    <m/>
    <n v="0"/>
    <m/>
    <m/>
    <m/>
    <n v="0"/>
    <m/>
    <m/>
    <m/>
    <m/>
    <n v="0"/>
    <m/>
    <m/>
    <m/>
    <m/>
    <m/>
    <m/>
    <m/>
    <n v="0"/>
    <m/>
    <s v="check @ 22:53"/>
    <s v="20140613 JBerry"/>
    <s v="20140615 DRobichaud"/>
    <s v="FW_Scan_20140613.pdf"/>
    <n v="0"/>
    <n v="0"/>
    <n v="0"/>
    <n v="0"/>
    <n v="0"/>
    <n v="0"/>
    <n v="0"/>
    <n v="0"/>
    <n v="0"/>
    <n v="0"/>
    <n v="0"/>
    <n v="0"/>
    <n v="0"/>
    <n v="0"/>
    <n v="0"/>
    <n v="0"/>
    <n v="0"/>
    <n v="0"/>
    <n v="0"/>
    <n v="0"/>
  </r>
  <r>
    <x v="7"/>
    <x v="2"/>
    <s v="sj,as"/>
    <d v="1899-12-30T07:48:00"/>
    <d v="1899-12-30T07:53:00"/>
    <n v="37"/>
    <n v="7"/>
    <m/>
    <m/>
    <n v="4.9999999999999822"/>
    <m/>
    <m/>
    <m/>
    <n v="0"/>
    <m/>
    <m/>
    <m/>
    <n v="0"/>
    <m/>
    <m/>
    <m/>
    <m/>
    <n v="0"/>
    <m/>
    <m/>
    <m/>
    <n v="0"/>
    <m/>
    <m/>
    <m/>
    <n v="0"/>
    <m/>
    <m/>
    <m/>
    <m/>
    <n v="0"/>
    <m/>
    <m/>
    <m/>
    <m/>
    <m/>
    <m/>
    <m/>
    <n v="0"/>
    <s v="lowered baskets"/>
    <m/>
    <s v="20140613 AStephens"/>
    <s v="20140615 DRobichaud"/>
    <s v="FW_Scan_20140613.pdf"/>
    <n v="0"/>
    <n v="0"/>
    <n v="0"/>
    <n v="0"/>
    <n v="0"/>
    <n v="0"/>
    <n v="0"/>
    <n v="0"/>
    <n v="0"/>
    <n v="0"/>
    <n v="0"/>
    <n v="0"/>
    <n v="0"/>
    <n v="0"/>
    <n v="0"/>
    <n v="0"/>
    <n v="0"/>
    <n v="0"/>
    <n v="0"/>
    <n v="0"/>
  </r>
  <r>
    <x v="7"/>
    <x v="2"/>
    <s v="jk,nc"/>
    <d v="1899-12-30T07:53:00"/>
    <d v="1899-12-30T10:20:00"/>
    <n v="38"/>
    <n v="7"/>
    <m/>
    <m/>
    <n v="147.00000000000003"/>
    <n v="1"/>
    <m/>
    <m/>
    <n v="1"/>
    <m/>
    <m/>
    <m/>
    <n v="0"/>
    <m/>
    <m/>
    <m/>
    <m/>
    <n v="0"/>
    <m/>
    <m/>
    <m/>
    <n v="0"/>
    <m/>
    <m/>
    <m/>
    <n v="0"/>
    <m/>
    <m/>
    <m/>
    <m/>
    <n v="0"/>
    <m/>
    <m/>
    <m/>
    <m/>
    <m/>
    <m/>
    <m/>
    <n v="0"/>
    <m/>
    <s v="jk, nc 10:20 checked tanks 1 CN"/>
    <s v="20140613 JKunzler"/>
    <s v="20140615 DRobichaud"/>
    <s v="FW_Scan_20140613.pdf"/>
    <n v="1"/>
    <n v="0"/>
    <n v="0"/>
    <n v="0"/>
    <n v="0"/>
    <n v="0"/>
    <n v="0"/>
    <n v="0"/>
    <n v="0"/>
    <n v="0"/>
    <n v="0"/>
    <n v="0"/>
    <n v="0"/>
    <n v="0"/>
    <n v="0"/>
    <n v="0"/>
    <n v="0"/>
    <n v="0"/>
    <n v="0"/>
    <n v="0"/>
  </r>
  <r>
    <x v="7"/>
    <x v="2"/>
    <s v="sj,as"/>
    <d v="1899-12-30T10:20:00"/>
    <d v="1899-12-30T12:27:00"/>
    <n v="39"/>
    <n v="6"/>
    <m/>
    <m/>
    <n v="126.99999999999987"/>
    <m/>
    <m/>
    <m/>
    <n v="0"/>
    <m/>
    <m/>
    <m/>
    <n v="0"/>
    <m/>
    <m/>
    <m/>
    <m/>
    <n v="0"/>
    <m/>
    <m/>
    <m/>
    <n v="0"/>
    <m/>
    <m/>
    <m/>
    <n v="0"/>
    <m/>
    <m/>
    <m/>
    <m/>
    <n v="0"/>
    <m/>
    <m/>
    <m/>
    <m/>
    <m/>
    <m/>
    <m/>
    <n v="0"/>
    <s v="checked fw@12:27; no fish"/>
    <s v="No fish"/>
    <s v="20140613 AStephens"/>
    <s v="20140615 DRobichaud"/>
    <s v="FW_Scan_20140613.pdf"/>
    <n v="0"/>
    <n v="0"/>
    <n v="0"/>
    <n v="0"/>
    <n v="0"/>
    <n v="0"/>
    <n v="0"/>
    <n v="0"/>
    <n v="0"/>
    <n v="0"/>
    <n v="0"/>
    <n v="0"/>
    <n v="0"/>
    <n v="0"/>
    <n v="0"/>
    <n v="0"/>
    <n v="0"/>
    <n v="0"/>
    <n v="0"/>
    <n v="0"/>
  </r>
  <r>
    <x v="7"/>
    <x v="2"/>
    <s v="nc,jk"/>
    <d v="1899-12-30T12:27:00"/>
    <d v="1899-12-30T14:00:00"/>
    <n v="37"/>
    <n v="7"/>
    <m/>
    <m/>
    <n v="93.000000000000142"/>
    <m/>
    <m/>
    <m/>
    <n v="0"/>
    <m/>
    <m/>
    <m/>
    <n v="0"/>
    <m/>
    <m/>
    <m/>
    <m/>
    <n v="0"/>
    <m/>
    <m/>
    <m/>
    <n v="0"/>
    <m/>
    <m/>
    <m/>
    <n v="0"/>
    <m/>
    <m/>
    <m/>
    <m/>
    <n v="0"/>
    <m/>
    <m/>
    <m/>
    <m/>
    <m/>
    <m/>
    <m/>
    <n v="0"/>
    <s v="checked wheel @14:00 no fish nc,jk"/>
    <m/>
    <s v="20140613 NCollin"/>
    <s v="20140615 DRobichaud"/>
    <s v="FW_Scan_20140613.pdf"/>
    <n v="0"/>
    <n v="0"/>
    <n v="0"/>
    <n v="0"/>
    <n v="0"/>
    <n v="0"/>
    <n v="0"/>
    <n v="0"/>
    <n v="0"/>
    <n v="0"/>
    <n v="0"/>
    <n v="0"/>
    <n v="0"/>
    <n v="0"/>
    <n v="0"/>
    <n v="0"/>
    <n v="0"/>
    <n v="0"/>
    <n v="0"/>
    <n v="0"/>
  </r>
  <r>
    <x v="7"/>
    <x v="2"/>
    <s v="la,jb"/>
    <d v="1899-12-30T14:00:00"/>
    <d v="1899-12-30T15:55:00"/>
    <n v="36"/>
    <n v="6"/>
    <m/>
    <m/>
    <n v="114.99999999999991"/>
    <n v="1"/>
    <m/>
    <m/>
    <n v="1"/>
    <n v="1"/>
    <m/>
    <m/>
    <n v="1"/>
    <m/>
    <m/>
    <m/>
    <m/>
    <n v="0"/>
    <m/>
    <m/>
    <m/>
    <n v="0"/>
    <m/>
    <m/>
    <m/>
    <n v="0"/>
    <m/>
    <m/>
    <m/>
    <m/>
    <n v="0"/>
    <m/>
    <m/>
    <m/>
    <m/>
    <m/>
    <m/>
    <m/>
    <n v="0"/>
    <s v="check @ 15:55"/>
    <m/>
    <s v="20140613 JBerry"/>
    <s v="20140615 DRobichaud"/>
    <s v="FW_Scan_20140613.pdf"/>
    <n v="1"/>
    <n v="0"/>
    <n v="0"/>
    <n v="1"/>
    <n v="0"/>
    <n v="0"/>
    <n v="0"/>
    <n v="0"/>
    <n v="0"/>
    <n v="0"/>
    <n v="0"/>
    <n v="0"/>
    <n v="0"/>
    <n v="0"/>
    <n v="0"/>
    <n v="0"/>
    <n v="0"/>
    <n v="0"/>
    <n v="0"/>
    <n v="0"/>
  </r>
  <r>
    <x v="7"/>
    <x v="2"/>
    <s v="sb,jk "/>
    <d v="1899-12-30T15:55:00"/>
    <d v="1899-12-30T18:01:00"/>
    <n v="38"/>
    <n v="7"/>
    <m/>
    <m/>
    <n v="126.00000000000003"/>
    <m/>
    <m/>
    <m/>
    <n v="0"/>
    <m/>
    <m/>
    <m/>
    <n v="0"/>
    <m/>
    <m/>
    <m/>
    <m/>
    <n v="0"/>
    <m/>
    <m/>
    <m/>
    <n v="0"/>
    <m/>
    <m/>
    <m/>
    <n v="0"/>
    <m/>
    <m/>
    <m/>
    <m/>
    <n v="0"/>
    <m/>
    <m/>
    <m/>
    <m/>
    <m/>
    <m/>
    <m/>
    <n v="0"/>
    <m/>
    <s v="checked @ 18:01 no fish"/>
    <s v="20140613 JKunzler"/>
    <s v="20140615 DRobichaud"/>
    <s v="FW_Scan_20140613.pdf"/>
    <n v="0"/>
    <n v="0"/>
    <n v="0"/>
    <n v="0"/>
    <n v="0"/>
    <n v="0"/>
    <n v="0"/>
    <n v="0"/>
    <n v="0"/>
    <n v="0"/>
    <n v="0"/>
    <n v="0"/>
    <n v="0"/>
    <n v="0"/>
    <n v="0"/>
    <n v="0"/>
    <n v="0"/>
    <n v="0"/>
    <n v="0"/>
    <n v="0"/>
  </r>
  <r>
    <x v="7"/>
    <x v="2"/>
    <s v="sj,as"/>
    <d v="1899-12-30T18:01:00"/>
    <d v="1899-12-30T20:15:00"/>
    <n v="42"/>
    <n v="6"/>
    <m/>
    <m/>
    <n v="134"/>
    <n v="1"/>
    <m/>
    <m/>
    <n v="1"/>
    <m/>
    <m/>
    <m/>
    <n v="0"/>
    <m/>
    <m/>
    <m/>
    <m/>
    <n v="0"/>
    <m/>
    <m/>
    <m/>
    <n v="0"/>
    <m/>
    <m/>
    <m/>
    <n v="0"/>
    <m/>
    <m/>
    <m/>
    <m/>
    <n v="0"/>
    <m/>
    <m/>
    <m/>
    <m/>
    <m/>
    <m/>
    <m/>
    <n v="0"/>
    <s v="checked FW @ 20:15"/>
    <s v="1 CN"/>
    <s v="20140613 SJohnson"/>
    <s v="20140615 DRobichaud"/>
    <s v="FW_Scan_20140613.pdf"/>
    <n v="1"/>
    <n v="0"/>
    <n v="0"/>
    <n v="0"/>
    <n v="0"/>
    <n v="0"/>
    <n v="0"/>
    <n v="0"/>
    <n v="0"/>
    <n v="0"/>
    <n v="0"/>
    <n v="0"/>
    <n v="0"/>
    <n v="0"/>
    <n v="0"/>
    <n v="0"/>
    <n v="0"/>
    <n v="0"/>
    <n v="0"/>
    <n v="0"/>
  </r>
  <r>
    <x v="7"/>
    <x v="2"/>
    <s v="sb, jb"/>
    <d v="1899-12-30T20:15:00"/>
    <d v="1899-12-30T22:41:00"/>
    <n v="40"/>
    <n v="6"/>
    <m/>
    <m/>
    <n v="145.99999999999997"/>
    <m/>
    <m/>
    <m/>
    <n v="0"/>
    <m/>
    <m/>
    <m/>
    <n v="0"/>
    <m/>
    <m/>
    <m/>
    <m/>
    <n v="0"/>
    <m/>
    <m/>
    <m/>
    <n v="0"/>
    <m/>
    <m/>
    <m/>
    <n v="0"/>
    <m/>
    <m/>
    <m/>
    <m/>
    <n v="0"/>
    <m/>
    <m/>
    <m/>
    <m/>
    <m/>
    <m/>
    <m/>
    <n v="0"/>
    <m/>
    <s v="check @ 22:35, no fish"/>
    <s v="20140613 JBerry"/>
    <s v="20140615 DRobichaud"/>
    <s v="FW_Scan_20140613.pdf"/>
    <n v="0"/>
    <n v="0"/>
    <n v="0"/>
    <n v="0"/>
    <n v="0"/>
    <n v="0"/>
    <n v="0"/>
    <n v="0"/>
    <n v="0"/>
    <n v="0"/>
    <n v="0"/>
    <n v="0"/>
    <n v="0"/>
    <n v="0"/>
    <n v="0"/>
    <n v="0"/>
    <n v="0"/>
    <n v="0"/>
    <n v="0"/>
    <n v="0"/>
  </r>
  <r>
    <x v="7"/>
    <x v="1"/>
    <s v="sj,as"/>
    <d v="1899-12-30T07:30:00"/>
    <d v="1899-12-30T07:37:00"/>
    <n v="43"/>
    <n v="7"/>
    <m/>
    <m/>
    <n v="7.0000000000000551"/>
    <m/>
    <m/>
    <m/>
    <n v="0"/>
    <m/>
    <m/>
    <m/>
    <n v="0"/>
    <m/>
    <m/>
    <m/>
    <m/>
    <n v="0"/>
    <m/>
    <m/>
    <m/>
    <n v="0"/>
    <m/>
    <m/>
    <m/>
    <n v="0"/>
    <m/>
    <m/>
    <m/>
    <m/>
    <n v="0"/>
    <m/>
    <m/>
    <m/>
    <m/>
    <m/>
    <m/>
    <m/>
    <n v="0"/>
    <s v="lower fish wheel to start fishing"/>
    <m/>
    <s v="20140613 AStephens"/>
    <s v="20140615 DRobichaud"/>
    <s v="FW_Scan_20140613.pdf"/>
    <n v="0"/>
    <n v="0"/>
    <n v="0"/>
    <n v="0"/>
    <n v="0"/>
    <n v="0"/>
    <n v="0"/>
    <n v="0"/>
    <n v="0"/>
    <n v="0"/>
    <n v="0"/>
    <n v="0"/>
    <n v="0"/>
    <n v="0"/>
    <n v="0"/>
    <n v="0"/>
    <n v="0"/>
    <n v="0"/>
    <n v="0"/>
    <n v="0"/>
  </r>
  <r>
    <x v="7"/>
    <x v="1"/>
    <s v="sj.jg"/>
    <d v="1899-12-30T07:37:00"/>
    <d v="1899-12-30T10:28:00"/>
    <n v="40"/>
    <n v="7"/>
    <m/>
    <m/>
    <n v="170.99999999999994"/>
    <m/>
    <m/>
    <m/>
    <n v="0"/>
    <m/>
    <m/>
    <m/>
    <n v="0"/>
    <m/>
    <m/>
    <m/>
    <m/>
    <n v="0"/>
    <m/>
    <m/>
    <m/>
    <n v="0"/>
    <m/>
    <m/>
    <m/>
    <n v="0"/>
    <m/>
    <m/>
    <m/>
    <m/>
    <n v="0"/>
    <m/>
    <m/>
    <n v="1"/>
    <m/>
    <m/>
    <m/>
    <m/>
    <n v="1"/>
    <s v="check fw @10:28; raised fw ~1&quot;; installed jump board extensions"/>
    <s v="1 RT caught"/>
    <s v="20140613 JGraham"/>
    <s v="20140615 DRobichaud"/>
    <s v="FW_Scan_20140613.pdf"/>
    <n v="0"/>
    <n v="0"/>
    <n v="0"/>
    <n v="0"/>
    <n v="0"/>
    <n v="0"/>
    <n v="0"/>
    <n v="0"/>
    <n v="0"/>
    <n v="0"/>
    <n v="0"/>
    <n v="0"/>
    <n v="0"/>
    <n v="0"/>
    <n v="0"/>
    <n v="0"/>
    <n v="0"/>
    <n v="0"/>
    <n v="0"/>
    <n v="0"/>
  </r>
  <r>
    <x v="7"/>
    <x v="1"/>
    <s v="sj.as"/>
    <d v="1899-12-30T10:28:00"/>
    <d v="1899-12-30T12:14:00"/>
    <n v="40"/>
    <n v="7"/>
    <m/>
    <m/>
    <n v="105.99999999999994"/>
    <m/>
    <m/>
    <m/>
    <n v="0"/>
    <m/>
    <m/>
    <m/>
    <n v="0"/>
    <m/>
    <m/>
    <m/>
    <m/>
    <n v="0"/>
    <m/>
    <m/>
    <m/>
    <n v="0"/>
    <m/>
    <m/>
    <m/>
    <n v="0"/>
    <m/>
    <m/>
    <m/>
    <m/>
    <n v="0"/>
    <m/>
    <m/>
    <m/>
    <m/>
    <m/>
    <m/>
    <m/>
    <n v="0"/>
    <s v="checked fw @12:14"/>
    <s v="no fish"/>
    <s v="20140613 SJohnson"/>
    <s v="20140615 DRobichaud"/>
    <s v="FW_Scan_20140613.pdf"/>
    <n v="0"/>
    <n v="0"/>
    <n v="0"/>
    <n v="0"/>
    <n v="0"/>
    <n v="0"/>
    <n v="0"/>
    <n v="0"/>
    <n v="0"/>
    <n v="0"/>
    <n v="0"/>
    <n v="0"/>
    <n v="0"/>
    <n v="0"/>
    <n v="0"/>
    <n v="0"/>
    <n v="0"/>
    <n v="0"/>
    <n v="0"/>
    <n v="0"/>
  </r>
  <r>
    <x v="7"/>
    <x v="1"/>
    <s v="sj,jg"/>
    <d v="1899-12-30T12:14:00"/>
    <d v="1899-12-30T14:05:00"/>
    <n v="40"/>
    <n v="8"/>
    <m/>
    <m/>
    <n v="111.00000000000009"/>
    <n v="1"/>
    <m/>
    <m/>
    <n v="1"/>
    <m/>
    <m/>
    <m/>
    <n v="0"/>
    <m/>
    <m/>
    <m/>
    <m/>
    <n v="0"/>
    <m/>
    <m/>
    <m/>
    <n v="0"/>
    <m/>
    <m/>
    <m/>
    <n v="0"/>
    <m/>
    <m/>
    <m/>
    <m/>
    <n v="0"/>
    <m/>
    <m/>
    <m/>
    <m/>
    <m/>
    <m/>
    <m/>
    <n v="0"/>
    <s v="check fw@ 14:05 moved fw up 1&quot;"/>
    <s v="1 CN; small lamprey mark that healed on caudal peduncal"/>
    <s v="20140613 SJohnson"/>
    <s v="20140615 DRobichaud"/>
    <s v="FW_Scan_20140613.pdf"/>
    <n v="1"/>
    <n v="0"/>
    <n v="0"/>
    <n v="0"/>
    <n v="0"/>
    <n v="0"/>
    <n v="0"/>
    <n v="0"/>
    <n v="0"/>
    <n v="0"/>
    <n v="0"/>
    <n v="0"/>
    <n v="0"/>
    <n v="0"/>
    <n v="0"/>
    <n v="0"/>
    <n v="0"/>
    <n v="0"/>
    <n v="0"/>
    <n v="0"/>
  </r>
  <r>
    <x v="7"/>
    <x v="1"/>
    <s v="sj,nc"/>
    <d v="1899-12-30T14:05:00"/>
    <d v="1899-12-30T16:20:00"/>
    <n v="41"/>
    <n v="8"/>
    <m/>
    <m/>
    <n v="134.99999999999983"/>
    <m/>
    <m/>
    <m/>
    <n v="0"/>
    <m/>
    <m/>
    <m/>
    <n v="0"/>
    <m/>
    <m/>
    <m/>
    <m/>
    <n v="0"/>
    <m/>
    <m/>
    <m/>
    <n v="0"/>
    <m/>
    <m/>
    <m/>
    <n v="0"/>
    <m/>
    <m/>
    <m/>
    <m/>
    <n v="0"/>
    <m/>
    <m/>
    <m/>
    <m/>
    <m/>
    <m/>
    <m/>
    <n v="0"/>
    <s v="checked @fw @ 16:20"/>
    <s v="no fish nc,sj"/>
    <s v="20140613 NCollin"/>
    <s v="20140615 DRobichaud"/>
    <s v="FW_Scan_20140613.pdf"/>
    <n v="0"/>
    <n v="0"/>
    <n v="0"/>
    <n v="0"/>
    <n v="0"/>
    <n v="0"/>
    <n v="0"/>
    <n v="0"/>
    <n v="0"/>
    <n v="0"/>
    <n v="0"/>
    <n v="0"/>
    <n v="0"/>
    <n v="0"/>
    <n v="0"/>
    <n v="0"/>
    <n v="0"/>
    <n v="0"/>
    <n v="0"/>
    <n v="0"/>
  </r>
  <r>
    <x v="7"/>
    <x v="1"/>
    <s v="kbm, as"/>
    <d v="1899-12-30T16:20:00"/>
    <d v="1899-12-30T18:20:00"/>
    <n v="43"/>
    <n v="8"/>
    <m/>
    <m/>
    <n v="120.00000000000006"/>
    <m/>
    <m/>
    <m/>
    <n v="0"/>
    <m/>
    <m/>
    <m/>
    <n v="0"/>
    <m/>
    <m/>
    <m/>
    <m/>
    <n v="0"/>
    <m/>
    <m/>
    <m/>
    <n v="0"/>
    <m/>
    <m/>
    <m/>
    <n v="0"/>
    <m/>
    <m/>
    <m/>
    <m/>
    <n v="0"/>
    <m/>
    <m/>
    <m/>
    <m/>
    <m/>
    <m/>
    <m/>
    <n v="0"/>
    <s v="checked wheel at 18:20"/>
    <s v="no fish"/>
    <s v="20140613 AStephens"/>
    <s v="20140615 DRobichaud"/>
    <s v="FW_Scan_20140613.pdf"/>
    <n v="0"/>
    <n v="0"/>
    <n v="0"/>
    <n v="0"/>
    <n v="0"/>
    <n v="0"/>
    <n v="0"/>
    <n v="0"/>
    <n v="0"/>
    <n v="0"/>
    <n v="0"/>
    <n v="0"/>
    <n v="0"/>
    <n v="0"/>
    <n v="0"/>
    <n v="0"/>
    <n v="0"/>
    <n v="0"/>
    <n v="0"/>
    <n v="0"/>
  </r>
  <r>
    <x v="7"/>
    <x v="1"/>
    <s v="jb,nc"/>
    <d v="1899-12-30T18:20:00"/>
    <d v="1899-12-30T20:08:00"/>
    <n v="41"/>
    <n v="7"/>
    <m/>
    <m/>
    <n v="108.0000000000001"/>
    <m/>
    <m/>
    <m/>
    <n v="0"/>
    <m/>
    <m/>
    <m/>
    <n v="0"/>
    <m/>
    <m/>
    <m/>
    <m/>
    <n v="0"/>
    <m/>
    <m/>
    <m/>
    <n v="0"/>
    <m/>
    <m/>
    <m/>
    <n v="0"/>
    <m/>
    <m/>
    <m/>
    <m/>
    <n v="0"/>
    <m/>
    <m/>
    <m/>
    <m/>
    <m/>
    <m/>
    <m/>
    <n v="0"/>
    <m/>
    <s v="check at 20:08, no fish"/>
    <s v="20140613 JBerry"/>
    <s v="20140615 DRobichaud"/>
    <s v="FW_Scan_20140613.pdf"/>
    <n v="0"/>
    <n v="0"/>
    <n v="0"/>
    <n v="0"/>
    <n v="0"/>
    <n v="0"/>
    <n v="0"/>
    <n v="0"/>
    <n v="0"/>
    <n v="0"/>
    <n v="0"/>
    <n v="0"/>
    <n v="0"/>
    <n v="0"/>
    <n v="0"/>
    <n v="0"/>
    <n v="0"/>
    <n v="0"/>
    <n v="0"/>
    <n v="0"/>
  </r>
  <r>
    <x v="7"/>
    <x v="1"/>
    <s v="sc, jk"/>
    <d v="1899-12-30T20:08:00"/>
    <d v="1899-12-30T22:45:00"/>
    <n v="42"/>
    <n v="7"/>
    <m/>
    <m/>
    <n v="156.99999999999991"/>
    <m/>
    <m/>
    <m/>
    <n v="0"/>
    <m/>
    <m/>
    <m/>
    <n v="0"/>
    <m/>
    <m/>
    <m/>
    <m/>
    <n v="0"/>
    <m/>
    <m/>
    <m/>
    <n v="0"/>
    <m/>
    <m/>
    <m/>
    <n v="0"/>
    <m/>
    <m/>
    <m/>
    <m/>
    <n v="0"/>
    <m/>
    <m/>
    <m/>
    <m/>
    <m/>
    <m/>
    <m/>
    <n v="0"/>
    <m/>
    <s v="checked @ 22:40 baskets are rubbing against bottom. No fish"/>
    <s v="20140613 JKunzler"/>
    <s v="20140615 DRobichaud"/>
    <s v="FW_Scan_20140613.pdf"/>
    <n v="0"/>
    <n v="0"/>
    <n v="0"/>
    <n v="0"/>
    <n v="0"/>
    <n v="0"/>
    <n v="0"/>
    <n v="0"/>
    <n v="0"/>
    <n v="0"/>
    <n v="0"/>
    <n v="0"/>
    <n v="0"/>
    <n v="0"/>
    <n v="0"/>
    <n v="0"/>
    <n v="0"/>
    <n v="0"/>
    <n v="0"/>
    <n v="0"/>
  </r>
  <r>
    <x v="8"/>
    <x v="0"/>
    <s v="nc,jk"/>
    <d v="1899-12-30T07:45:00"/>
    <d v="1899-12-30T07:51:00"/>
    <n v="83"/>
    <n v="7"/>
    <m/>
    <m/>
    <n v="5.9999999999999787"/>
    <m/>
    <m/>
    <m/>
    <n v="0"/>
    <m/>
    <m/>
    <m/>
    <n v="0"/>
    <m/>
    <m/>
    <m/>
    <m/>
    <n v="0"/>
    <m/>
    <m/>
    <m/>
    <n v="0"/>
    <m/>
    <m/>
    <m/>
    <n v="0"/>
    <m/>
    <m/>
    <m/>
    <m/>
    <n v="0"/>
    <m/>
    <m/>
    <m/>
    <m/>
    <m/>
    <m/>
    <m/>
    <n v="0"/>
    <m/>
    <s v="dropped baskets @7:45 jk,nc"/>
    <s v="20140614 JKunzler"/>
    <s v="20140616 DRobichaud"/>
    <s v="FW_Scan_20140614.pdf"/>
    <n v="0"/>
    <n v="0"/>
    <n v="0"/>
    <n v="0"/>
    <n v="0"/>
    <n v="0"/>
    <n v="0"/>
    <n v="0"/>
    <n v="0"/>
    <n v="0"/>
    <n v="0"/>
    <n v="0"/>
    <n v="0"/>
    <n v="0"/>
    <n v="0"/>
    <n v="0"/>
    <n v="0"/>
    <n v="0"/>
    <n v="0"/>
    <n v="0"/>
  </r>
  <r>
    <x v="8"/>
    <x v="0"/>
    <s v="as, kbm"/>
    <d v="1899-12-30T07:51:00"/>
    <d v="1899-12-30T09:40:00"/>
    <n v="93"/>
    <n v="7"/>
    <m/>
    <m/>
    <n v="108.99999999999993"/>
    <m/>
    <m/>
    <m/>
    <n v="0"/>
    <m/>
    <m/>
    <m/>
    <n v="0"/>
    <m/>
    <m/>
    <m/>
    <m/>
    <n v="0"/>
    <m/>
    <m/>
    <m/>
    <n v="0"/>
    <m/>
    <m/>
    <m/>
    <n v="0"/>
    <m/>
    <m/>
    <m/>
    <m/>
    <n v="0"/>
    <m/>
    <m/>
    <m/>
    <m/>
    <m/>
    <m/>
    <m/>
    <n v="0"/>
    <m/>
    <s v="checked wheel at 9:40. no fish"/>
    <s v="20140614 KBMatthews"/>
    <s v="20140616 DRobichaud"/>
    <s v="FW_Scan_20140614.pdf"/>
    <n v="0"/>
    <n v="0"/>
    <n v="0"/>
    <n v="0"/>
    <n v="0"/>
    <n v="0"/>
    <n v="0"/>
    <n v="0"/>
    <n v="0"/>
    <n v="0"/>
    <n v="0"/>
    <n v="0"/>
    <n v="0"/>
    <n v="0"/>
    <n v="0"/>
    <n v="0"/>
    <n v="0"/>
    <n v="0"/>
    <n v="0"/>
    <n v="0"/>
  </r>
  <r>
    <x v="8"/>
    <x v="0"/>
    <s v="sj,jg, as, jb"/>
    <d v="1899-12-30T09:40:00"/>
    <d v="1899-12-30T12:50:00"/>
    <n v="85"/>
    <n v="8"/>
    <m/>
    <m/>
    <n v="190.00000000000006"/>
    <n v="1"/>
    <m/>
    <m/>
    <n v="1"/>
    <m/>
    <m/>
    <m/>
    <n v="0"/>
    <m/>
    <m/>
    <m/>
    <m/>
    <n v="0"/>
    <m/>
    <m/>
    <m/>
    <n v="0"/>
    <m/>
    <m/>
    <m/>
    <n v="0"/>
    <m/>
    <m/>
    <m/>
    <m/>
    <n v="0"/>
    <m/>
    <m/>
    <n v="1"/>
    <m/>
    <n v="1"/>
    <m/>
    <m/>
    <n v="2"/>
    <s v="checked FW @ 12:50; moved FW out from bank ~4'; 3 rev 70 seconds @13:50"/>
    <m/>
    <s v="20140614 SJohnson"/>
    <s v="20140616 DRobichaud"/>
    <s v="FW_Scan_20140614.pdf"/>
    <n v="1"/>
    <n v="0"/>
    <n v="0"/>
    <n v="0"/>
    <n v="0"/>
    <n v="0"/>
    <n v="0"/>
    <n v="0"/>
    <n v="0"/>
    <n v="0"/>
    <n v="0"/>
    <n v="0"/>
    <n v="0"/>
    <n v="0"/>
    <n v="0"/>
    <n v="0"/>
    <n v="0"/>
    <n v="0"/>
    <n v="0"/>
    <n v="0"/>
  </r>
  <r>
    <x v="8"/>
    <x v="0"/>
    <s v="jb,jk"/>
    <d v="1899-12-30T12:50:00"/>
    <d v="1899-12-30T16:42:00"/>
    <n v="66"/>
    <n v="9"/>
    <m/>
    <m/>
    <n v="231.99999999999997"/>
    <m/>
    <m/>
    <m/>
    <n v="0"/>
    <m/>
    <m/>
    <m/>
    <n v="0"/>
    <m/>
    <m/>
    <m/>
    <m/>
    <n v="0"/>
    <m/>
    <m/>
    <m/>
    <n v="0"/>
    <m/>
    <m/>
    <m/>
    <n v="0"/>
    <m/>
    <m/>
    <m/>
    <m/>
    <n v="0"/>
    <m/>
    <m/>
    <m/>
    <m/>
    <m/>
    <m/>
    <m/>
    <n v="0"/>
    <m/>
    <m/>
    <s v="20140614 JBerry"/>
    <s v="20140616 DRobichaud"/>
    <s v="FW_Scan_20140614.pdf"/>
    <n v="0"/>
    <n v="0"/>
    <n v="0"/>
    <n v="0"/>
    <n v="0"/>
    <n v="0"/>
    <n v="0"/>
    <n v="0"/>
    <n v="0"/>
    <n v="0"/>
    <n v="0"/>
    <n v="0"/>
    <n v="0"/>
    <n v="0"/>
    <n v="0"/>
    <n v="0"/>
    <n v="0"/>
    <n v="0"/>
    <n v="0"/>
    <n v="0"/>
  </r>
  <r>
    <x v="8"/>
    <x v="0"/>
    <s v="jb,jk"/>
    <d v="1899-12-30T16:42:00"/>
    <d v="1899-12-30T17:44:00"/>
    <m/>
    <m/>
    <m/>
    <m/>
    <n v="62.000000000000099"/>
    <m/>
    <n v="1"/>
    <m/>
    <n v="1"/>
    <m/>
    <m/>
    <m/>
    <n v="0"/>
    <m/>
    <m/>
    <m/>
    <m/>
    <n v="0"/>
    <m/>
    <m/>
    <m/>
    <n v="0"/>
    <m/>
    <m/>
    <m/>
    <n v="0"/>
    <m/>
    <m/>
    <m/>
    <m/>
    <n v="0"/>
    <m/>
    <m/>
    <m/>
    <m/>
    <m/>
    <m/>
    <m/>
    <n v="0"/>
    <m/>
    <s v="check time guessed, based on half time between previous and next visit)"/>
    <s v="20140614 JBerry"/>
    <s v="20140616 DRobichaud"/>
    <s v="FW_Scan_20140614.pdf"/>
    <n v="0"/>
    <n v="1"/>
    <n v="0"/>
    <n v="0"/>
    <n v="0"/>
    <n v="0"/>
    <n v="0"/>
    <n v="0"/>
    <n v="0"/>
    <n v="0"/>
    <n v="0"/>
    <n v="0"/>
    <n v="0"/>
    <n v="0"/>
    <n v="0"/>
    <n v="0"/>
    <n v="0"/>
    <n v="0"/>
    <n v="0"/>
    <n v="0"/>
  </r>
  <r>
    <x v="8"/>
    <x v="0"/>
    <s v="as,jb,kbm"/>
    <d v="1899-12-30T17:44:00"/>
    <d v="1899-12-30T18:46:00"/>
    <n v="72"/>
    <n v="10"/>
    <m/>
    <m/>
    <n v="61.999999999999943"/>
    <m/>
    <m/>
    <m/>
    <n v="0"/>
    <m/>
    <m/>
    <m/>
    <n v="0"/>
    <m/>
    <m/>
    <m/>
    <m/>
    <n v="0"/>
    <m/>
    <m/>
    <m/>
    <n v="0"/>
    <m/>
    <m/>
    <m/>
    <n v="0"/>
    <m/>
    <m/>
    <m/>
    <m/>
    <n v="0"/>
    <m/>
    <m/>
    <m/>
    <m/>
    <m/>
    <m/>
    <m/>
    <n v="0"/>
    <m/>
    <s v="checked at 18:46. No fish"/>
    <s v="20140615 AStephens "/>
    <s v="20140616 DRobichaud"/>
    <s v="FW_Scan_20140614.pdf"/>
    <n v="0"/>
    <n v="0"/>
    <n v="0"/>
    <n v="0"/>
    <n v="0"/>
    <n v="0"/>
    <n v="0"/>
    <n v="0"/>
    <n v="0"/>
    <n v="0"/>
    <n v="0"/>
    <n v="0"/>
    <n v="0"/>
    <n v="0"/>
    <n v="0"/>
    <n v="0"/>
    <n v="0"/>
    <n v="0"/>
    <n v="0"/>
    <n v="0"/>
  </r>
  <r>
    <x v="8"/>
    <x v="0"/>
    <s v="kbm,sb"/>
    <d v="1899-12-30T18:46:00"/>
    <d v="1899-12-30T21:10:00"/>
    <n v="70"/>
    <n v="9"/>
    <m/>
    <m/>
    <n v="144.00000000000011"/>
    <m/>
    <m/>
    <m/>
    <n v="0"/>
    <m/>
    <m/>
    <m/>
    <n v="0"/>
    <m/>
    <m/>
    <m/>
    <m/>
    <n v="0"/>
    <m/>
    <m/>
    <m/>
    <n v="0"/>
    <m/>
    <m/>
    <m/>
    <n v="0"/>
    <m/>
    <m/>
    <m/>
    <m/>
    <n v="0"/>
    <m/>
    <m/>
    <m/>
    <m/>
    <m/>
    <m/>
    <m/>
    <n v="0"/>
    <m/>
    <s v="checked site at 21:10. No fish."/>
    <s v="20140614 KBMatthews"/>
    <s v="20140616 DRobichaud"/>
    <s v="FW_Scan_20140614.pdf"/>
    <n v="0"/>
    <n v="0"/>
    <n v="0"/>
    <n v="0"/>
    <n v="0"/>
    <n v="0"/>
    <n v="0"/>
    <n v="0"/>
    <n v="0"/>
    <n v="0"/>
    <n v="0"/>
    <n v="0"/>
    <n v="0"/>
    <n v="0"/>
    <n v="0"/>
    <n v="0"/>
    <n v="0"/>
    <n v="0"/>
    <n v="0"/>
    <n v="0"/>
  </r>
  <r>
    <x v="8"/>
    <x v="0"/>
    <s v="dr,jg"/>
    <d v="1899-12-30T21:10:00"/>
    <d v="1899-12-30T22:52:00"/>
    <n v="69"/>
    <n v="7"/>
    <m/>
    <m/>
    <n v="101.99999999999996"/>
    <m/>
    <m/>
    <m/>
    <n v="0"/>
    <m/>
    <m/>
    <m/>
    <n v="0"/>
    <m/>
    <m/>
    <m/>
    <m/>
    <n v="0"/>
    <m/>
    <m/>
    <m/>
    <n v="0"/>
    <m/>
    <m/>
    <m/>
    <n v="0"/>
    <m/>
    <m/>
    <m/>
    <m/>
    <n v="0"/>
    <m/>
    <m/>
    <m/>
    <m/>
    <m/>
    <m/>
    <m/>
    <n v="0"/>
    <m/>
    <s v="checked site at 22:47. no fish"/>
    <s v="20140614 DRobichaud"/>
    <s v="20140616 DRobichaud"/>
    <s v="FW_Scan_20140614.pdf"/>
    <n v="0"/>
    <n v="0"/>
    <n v="0"/>
    <n v="0"/>
    <n v="0"/>
    <n v="0"/>
    <n v="0"/>
    <n v="0"/>
    <n v="0"/>
    <n v="0"/>
    <n v="0"/>
    <n v="0"/>
    <n v="0"/>
    <n v="0"/>
    <n v="0"/>
    <n v="0"/>
    <n v="0"/>
    <n v="0"/>
    <n v="0"/>
    <n v="0"/>
  </r>
  <r>
    <x v="8"/>
    <x v="2"/>
    <s v="nc,jk"/>
    <d v="1899-12-30T07:34:00"/>
    <d v="1899-12-30T07:40:00"/>
    <n v="40"/>
    <n v="5"/>
    <m/>
    <m/>
    <n v="6.0000000000000586"/>
    <m/>
    <m/>
    <m/>
    <n v="0"/>
    <m/>
    <m/>
    <m/>
    <n v="0"/>
    <m/>
    <m/>
    <m/>
    <m/>
    <n v="0"/>
    <m/>
    <m/>
    <m/>
    <n v="0"/>
    <m/>
    <m/>
    <m/>
    <n v="0"/>
    <m/>
    <m/>
    <m/>
    <m/>
    <n v="0"/>
    <m/>
    <m/>
    <m/>
    <m/>
    <m/>
    <m/>
    <m/>
    <n v="0"/>
    <m/>
    <s v="dropped baskets @7:34 jk,nc"/>
    <s v="20140614 JKunzler"/>
    <s v="20140616 DRobichaud"/>
    <s v="FW_Scan_20140614.pdf"/>
    <n v="0"/>
    <n v="0"/>
    <n v="0"/>
    <n v="0"/>
    <n v="0"/>
    <n v="0"/>
    <n v="0"/>
    <n v="0"/>
    <n v="0"/>
    <n v="0"/>
    <n v="0"/>
    <n v="0"/>
    <n v="0"/>
    <n v="0"/>
    <n v="0"/>
    <n v="0"/>
    <n v="0"/>
    <n v="0"/>
    <n v="0"/>
    <n v="0"/>
  </r>
  <r>
    <x v="8"/>
    <x v="2"/>
    <s v="as,kbm"/>
    <d v="1899-12-30T07:40:00"/>
    <d v="1899-12-30T09:30:00"/>
    <n v="39"/>
    <n v="5"/>
    <m/>
    <m/>
    <n v="109.99999999999993"/>
    <m/>
    <m/>
    <m/>
    <n v="0"/>
    <m/>
    <m/>
    <m/>
    <n v="0"/>
    <m/>
    <m/>
    <m/>
    <m/>
    <n v="0"/>
    <m/>
    <m/>
    <m/>
    <n v="0"/>
    <m/>
    <m/>
    <m/>
    <n v="0"/>
    <m/>
    <m/>
    <m/>
    <m/>
    <n v="0"/>
    <m/>
    <m/>
    <m/>
    <m/>
    <m/>
    <m/>
    <m/>
    <n v="0"/>
    <s v="checked wheel @9:30, thermometer mercury split. Need new thermometer."/>
    <s v="no fish"/>
    <s v="20140614 AStephens"/>
    <s v="20140616 DRobichaud"/>
    <s v="FW_Scan_20140614.pdf"/>
    <n v="0"/>
    <n v="0"/>
    <n v="0"/>
    <n v="0"/>
    <n v="0"/>
    <n v="0"/>
    <n v="0"/>
    <n v="0"/>
    <n v="0"/>
    <n v="0"/>
    <n v="0"/>
    <n v="0"/>
    <n v="0"/>
    <n v="0"/>
    <n v="0"/>
    <n v="0"/>
    <n v="0"/>
    <n v="0"/>
    <n v="0"/>
    <n v="0"/>
  </r>
  <r>
    <x v="8"/>
    <x v="2"/>
    <s v="sj.jg"/>
    <d v="1899-12-30T09:30:00"/>
    <d v="1899-12-30T12:22:00"/>
    <n v="43"/>
    <n v="7"/>
    <m/>
    <m/>
    <n v="172.00000000000011"/>
    <n v="1"/>
    <m/>
    <m/>
    <n v="1"/>
    <m/>
    <m/>
    <m/>
    <n v="0"/>
    <m/>
    <m/>
    <m/>
    <m/>
    <n v="0"/>
    <m/>
    <m/>
    <m/>
    <n v="0"/>
    <m/>
    <m/>
    <m/>
    <n v="0"/>
    <m/>
    <m/>
    <m/>
    <m/>
    <n v="0"/>
    <m/>
    <m/>
    <m/>
    <m/>
    <m/>
    <m/>
    <m/>
    <n v="0"/>
    <s v="checked FW @12:22"/>
    <m/>
    <s v="20140614 JGraham"/>
    <s v="20140616 DRobichaud"/>
    <s v="FW_Scan_20140614.pdf"/>
    <n v="1"/>
    <n v="0"/>
    <n v="0"/>
    <n v="0"/>
    <n v="0"/>
    <n v="0"/>
    <n v="0"/>
    <n v="0"/>
    <n v="0"/>
    <n v="0"/>
    <n v="0"/>
    <n v="0"/>
    <n v="0"/>
    <n v="0"/>
    <n v="0"/>
    <n v="0"/>
    <n v="0"/>
    <n v="0"/>
    <n v="0"/>
    <n v="0"/>
  </r>
  <r>
    <x v="8"/>
    <x v="2"/>
    <s v="as,jg"/>
    <d v="1899-12-30T12:22:00"/>
    <d v="1899-12-30T14:17:00"/>
    <n v="45"/>
    <n v="8"/>
    <m/>
    <m/>
    <n v="114.99999999999991"/>
    <n v="1"/>
    <m/>
    <m/>
    <n v="1"/>
    <m/>
    <m/>
    <m/>
    <n v="0"/>
    <m/>
    <m/>
    <m/>
    <m/>
    <n v="0"/>
    <m/>
    <m/>
    <m/>
    <n v="0"/>
    <m/>
    <m/>
    <m/>
    <n v="0"/>
    <m/>
    <m/>
    <m/>
    <m/>
    <n v="0"/>
    <m/>
    <m/>
    <m/>
    <m/>
    <m/>
    <m/>
    <m/>
    <n v="0"/>
    <m/>
    <s v="checked at 14:17"/>
    <s v="20140614 AStephens"/>
    <s v="20140616 DRobichaud"/>
    <s v="FW_Scan_20140614.pdf"/>
    <n v="1"/>
    <n v="0"/>
    <n v="0"/>
    <n v="0"/>
    <n v="0"/>
    <n v="0"/>
    <n v="0"/>
    <n v="0"/>
    <n v="0"/>
    <n v="0"/>
    <n v="0"/>
    <n v="0"/>
    <n v="0"/>
    <n v="0"/>
    <n v="0"/>
    <n v="0"/>
    <n v="0"/>
    <n v="0"/>
    <n v="0"/>
    <n v="0"/>
  </r>
  <r>
    <x v="8"/>
    <x v="2"/>
    <s v="jb,jk"/>
    <d v="1899-12-30T14:17:00"/>
    <d v="1899-12-30T16:02:00"/>
    <n v="48"/>
    <n v="8"/>
    <m/>
    <m/>
    <n v="105.00000000000011"/>
    <n v="1"/>
    <m/>
    <m/>
    <n v="1"/>
    <m/>
    <m/>
    <m/>
    <n v="0"/>
    <m/>
    <m/>
    <m/>
    <m/>
    <n v="0"/>
    <m/>
    <m/>
    <m/>
    <n v="0"/>
    <m/>
    <m/>
    <m/>
    <n v="0"/>
    <m/>
    <m/>
    <m/>
    <m/>
    <n v="0"/>
    <m/>
    <m/>
    <m/>
    <m/>
    <m/>
    <m/>
    <m/>
    <n v="0"/>
    <s v="checked @ 16:02 jk, jb one chinook!"/>
    <m/>
    <s v="20140614 JKunzler"/>
    <s v="20140616 DRobichaud"/>
    <s v="FW_Scan_20140614.pdf"/>
    <n v="1"/>
    <n v="0"/>
    <n v="0"/>
    <n v="0"/>
    <n v="0"/>
    <n v="0"/>
    <n v="0"/>
    <n v="0"/>
    <n v="0"/>
    <n v="0"/>
    <n v="0"/>
    <n v="0"/>
    <n v="0"/>
    <n v="0"/>
    <n v="0"/>
    <n v="0"/>
    <n v="0"/>
    <n v="0"/>
    <n v="0"/>
    <n v="0"/>
  </r>
  <r>
    <x v="8"/>
    <x v="2"/>
    <s v="as,jb,kbm"/>
    <d v="1899-12-30T16:02:00"/>
    <d v="1899-12-30T18:25:00"/>
    <n v="44"/>
    <n v="8"/>
    <m/>
    <m/>
    <n v="142.99999999999997"/>
    <n v="1"/>
    <m/>
    <m/>
    <n v="1"/>
    <m/>
    <m/>
    <m/>
    <n v="0"/>
    <m/>
    <m/>
    <m/>
    <m/>
    <n v="0"/>
    <m/>
    <m/>
    <m/>
    <n v="0"/>
    <m/>
    <m/>
    <m/>
    <n v="0"/>
    <m/>
    <m/>
    <m/>
    <m/>
    <n v="0"/>
    <m/>
    <m/>
    <m/>
    <m/>
    <m/>
    <m/>
    <m/>
    <n v="0"/>
    <m/>
    <s v="checked fishwheel at 18:25. one CN"/>
    <s v="20140614 KBMatthews"/>
    <s v="20140616 DRobichaud"/>
    <s v="FW_Scan_20140614.pdf"/>
    <n v="1"/>
    <n v="0"/>
    <n v="0"/>
    <n v="0"/>
    <n v="0"/>
    <n v="0"/>
    <n v="0"/>
    <n v="0"/>
    <n v="0"/>
    <n v="0"/>
    <n v="0"/>
    <n v="0"/>
    <n v="0"/>
    <n v="0"/>
    <n v="0"/>
    <n v="0"/>
    <n v="0"/>
    <n v="0"/>
    <n v="0"/>
    <n v="0"/>
  </r>
  <r>
    <x v="8"/>
    <x v="2"/>
    <s v="sb,kbm"/>
    <d v="1899-12-30T18:25:00"/>
    <d v="1899-12-30T20:39:00"/>
    <n v="42"/>
    <n v="8"/>
    <m/>
    <m/>
    <n v="133.99999999999983"/>
    <n v="2"/>
    <m/>
    <m/>
    <n v="2"/>
    <m/>
    <m/>
    <m/>
    <n v="0"/>
    <m/>
    <m/>
    <m/>
    <m/>
    <n v="0"/>
    <m/>
    <m/>
    <m/>
    <n v="0"/>
    <m/>
    <m/>
    <m/>
    <n v="0"/>
    <m/>
    <m/>
    <m/>
    <m/>
    <n v="0"/>
    <m/>
    <m/>
    <m/>
    <m/>
    <m/>
    <m/>
    <m/>
    <n v="0"/>
    <m/>
    <s v="check fishwheel at 20:39. 2 Chinook"/>
    <s v="20140614 KBMatthews"/>
    <s v="20140616 DRobichaud"/>
    <s v="FW_Scan_20140614.pdf"/>
    <n v="2"/>
    <n v="0"/>
    <n v="0"/>
    <n v="0"/>
    <n v="0"/>
    <n v="0"/>
    <n v="0"/>
    <n v="0"/>
    <n v="0"/>
    <n v="0"/>
    <n v="0"/>
    <n v="0"/>
    <n v="0"/>
    <n v="0"/>
    <n v="0"/>
    <n v="0"/>
    <n v="0"/>
    <n v="0"/>
    <n v="0"/>
    <n v="0"/>
  </r>
  <r>
    <x v="8"/>
    <x v="2"/>
    <s v="dr,jg"/>
    <d v="1899-12-30T20:39:00"/>
    <d v="1899-12-30T23:10:00"/>
    <n v="39"/>
    <n v="8"/>
    <m/>
    <m/>
    <n v="151.00000000000011"/>
    <m/>
    <m/>
    <m/>
    <n v="0"/>
    <m/>
    <m/>
    <m/>
    <n v="0"/>
    <m/>
    <m/>
    <m/>
    <m/>
    <n v="0"/>
    <m/>
    <m/>
    <m/>
    <n v="0"/>
    <m/>
    <m/>
    <m/>
    <n v="0"/>
    <m/>
    <m/>
    <m/>
    <m/>
    <n v="0"/>
    <m/>
    <m/>
    <m/>
    <m/>
    <m/>
    <m/>
    <m/>
    <n v="0"/>
    <m/>
    <s v="check fishwheel at 23:05. No fish"/>
    <s v="20140614 DRobichaud"/>
    <s v="20140616 DRobichaud"/>
    <s v="FW_Scan_20140614.pdf"/>
    <n v="0"/>
    <n v="0"/>
    <n v="0"/>
    <n v="0"/>
    <n v="0"/>
    <n v="0"/>
    <n v="0"/>
    <n v="0"/>
    <n v="0"/>
    <n v="0"/>
    <n v="0"/>
    <n v="0"/>
    <n v="0"/>
    <n v="0"/>
    <n v="0"/>
    <n v="0"/>
    <n v="0"/>
    <n v="0"/>
    <n v="0"/>
    <n v="0"/>
  </r>
  <r>
    <x v="8"/>
    <x v="1"/>
    <s v="jk,nc"/>
    <d v="1899-12-30T07:15:00"/>
    <d v="1899-12-30T07:20:00"/>
    <n v="42"/>
    <n v="8"/>
    <m/>
    <m/>
    <n v="4.9999999999999822"/>
    <m/>
    <m/>
    <m/>
    <n v="0"/>
    <m/>
    <m/>
    <m/>
    <n v="0"/>
    <m/>
    <m/>
    <m/>
    <m/>
    <n v="0"/>
    <m/>
    <m/>
    <m/>
    <n v="0"/>
    <m/>
    <m/>
    <m/>
    <n v="0"/>
    <m/>
    <m/>
    <m/>
    <m/>
    <n v="0"/>
    <m/>
    <m/>
    <m/>
    <m/>
    <m/>
    <m/>
    <m/>
    <n v="0"/>
    <m/>
    <s v="lower baskets 7:15 NC, JK"/>
    <s v="20140614 NCollin"/>
    <s v="20140616 DRobichaud"/>
    <s v="FW_Scan_20140614.pdf"/>
    <n v="0"/>
    <n v="0"/>
    <n v="0"/>
    <n v="0"/>
    <n v="0"/>
    <n v="0"/>
    <n v="0"/>
    <n v="0"/>
    <n v="0"/>
    <n v="0"/>
    <n v="0"/>
    <n v="0"/>
    <n v="0"/>
    <n v="0"/>
    <n v="0"/>
    <n v="0"/>
    <n v="0"/>
    <n v="0"/>
    <n v="0"/>
    <n v="0"/>
  </r>
  <r>
    <x v="8"/>
    <x v="1"/>
    <s v="jg,jb"/>
    <d v="1899-12-30T07:20:00"/>
    <d v="1899-12-30T09:47:00"/>
    <n v="42"/>
    <n v="7"/>
    <m/>
    <m/>
    <n v="147.00000000000003"/>
    <m/>
    <m/>
    <m/>
    <n v="0"/>
    <m/>
    <m/>
    <m/>
    <n v="0"/>
    <m/>
    <m/>
    <m/>
    <m/>
    <n v="0"/>
    <m/>
    <m/>
    <m/>
    <n v="0"/>
    <m/>
    <m/>
    <m/>
    <n v="0"/>
    <m/>
    <m/>
    <m/>
    <m/>
    <n v="0"/>
    <m/>
    <m/>
    <m/>
    <m/>
    <m/>
    <m/>
    <m/>
    <n v="0"/>
    <m/>
    <s v="check @ 09:47"/>
    <s v="20140614 JBerry"/>
    <s v="20140616 DRobichaud"/>
    <s v="FW_Scan_20140614.pdf"/>
    <n v="0"/>
    <n v="0"/>
    <n v="0"/>
    <n v="0"/>
    <n v="0"/>
    <n v="0"/>
    <n v="0"/>
    <n v="0"/>
    <n v="0"/>
    <n v="0"/>
    <n v="0"/>
    <n v="0"/>
    <n v="0"/>
    <n v="0"/>
    <n v="0"/>
    <n v="0"/>
    <n v="0"/>
    <n v="0"/>
    <n v="0"/>
    <n v="0"/>
  </r>
  <r>
    <x v="8"/>
    <x v="1"/>
    <s v="nc,jk"/>
    <d v="1899-12-30T09:47:00"/>
    <d v="1899-12-30T12:07:00"/>
    <n v="42"/>
    <n v="9"/>
    <m/>
    <m/>
    <n v="139.99999999999997"/>
    <m/>
    <m/>
    <m/>
    <n v="0"/>
    <m/>
    <m/>
    <m/>
    <n v="0"/>
    <m/>
    <m/>
    <m/>
    <m/>
    <n v="0"/>
    <m/>
    <m/>
    <m/>
    <n v="0"/>
    <m/>
    <m/>
    <m/>
    <n v="0"/>
    <m/>
    <m/>
    <m/>
    <m/>
    <n v="0"/>
    <m/>
    <m/>
    <m/>
    <m/>
    <m/>
    <m/>
    <m/>
    <n v="0"/>
    <m/>
    <s v="checked tanks @ 1207. no fish"/>
    <s v="20140614 JKunzler"/>
    <s v="20140616 DRobichaud"/>
    <s v="FW_Scan_20140614.pdf"/>
    <n v="0"/>
    <n v="0"/>
    <n v="0"/>
    <n v="0"/>
    <n v="0"/>
    <n v="0"/>
    <n v="0"/>
    <n v="0"/>
    <n v="0"/>
    <n v="0"/>
    <n v="0"/>
    <n v="0"/>
    <n v="0"/>
    <n v="0"/>
    <n v="0"/>
    <n v="0"/>
    <n v="0"/>
    <n v="0"/>
    <n v="0"/>
    <n v="0"/>
  </r>
  <r>
    <x v="8"/>
    <x v="1"/>
    <s v="as,jg"/>
    <d v="1899-12-30T12:07:00"/>
    <d v="1899-12-30T14:45:00"/>
    <n v="42"/>
    <n v="10"/>
    <m/>
    <m/>
    <n v="158.00000000000009"/>
    <n v="2"/>
    <m/>
    <m/>
    <n v="2"/>
    <m/>
    <m/>
    <m/>
    <n v="0"/>
    <m/>
    <m/>
    <m/>
    <m/>
    <n v="0"/>
    <m/>
    <m/>
    <m/>
    <n v="0"/>
    <m/>
    <m/>
    <m/>
    <n v="0"/>
    <m/>
    <m/>
    <m/>
    <m/>
    <n v="0"/>
    <m/>
    <m/>
    <m/>
    <m/>
    <m/>
    <m/>
    <m/>
    <n v="0"/>
    <m/>
    <s v="checked at 14:45"/>
    <s v="20140614 AStephens"/>
    <s v="20140616 DRobichaud"/>
    <s v="FW_Scan_20140614.pdf"/>
    <n v="2"/>
    <n v="0"/>
    <n v="0"/>
    <n v="0"/>
    <n v="0"/>
    <n v="0"/>
    <n v="0"/>
    <n v="0"/>
    <n v="0"/>
    <n v="0"/>
    <n v="0"/>
    <n v="0"/>
    <n v="0"/>
    <n v="0"/>
    <n v="0"/>
    <n v="0"/>
    <n v="0"/>
    <n v="0"/>
    <n v="0"/>
    <n v="0"/>
  </r>
  <r>
    <x v="8"/>
    <x v="1"/>
    <s v="sj,jg"/>
    <d v="1899-12-30T14:45:00"/>
    <d v="1899-12-30T16:25:00"/>
    <n v="41"/>
    <n v="10"/>
    <m/>
    <m/>
    <n v="99.999999999999972"/>
    <m/>
    <m/>
    <m/>
    <n v="0"/>
    <m/>
    <m/>
    <m/>
    <n v="0"/>
    <m/>
    <m/>
    <m/>
    <m/>
    <n v="0"/>
    <m/>
    <m/>
    <m/>
    <n v="0"/>
    <m/>
    <m/>
    <m/>
    <n v="0"/>
    <m/>
    <m/>
    <m/>
    <m/>
    <n v="0"/>
    <m/>
    <m/>
    <m/>
    <m/>
    <m/>
    <m/>
    <m/>
    <n v="0"/>
    <m/>
    <s v="checked FW@16:25;move FW up 1&quot;"/>
    <s v="20140614 JGraham"/>
    <s v="20140616 DRobichaud"/>
    <s v="FW_Scan_20140614.pdf"/>
    <n v="0"/>
    <n v="0"/>
    <n v="0"/>
    <n v="0"/>
    <n v="0"/>
    <n v="0"/>
    <n v="0"/>
    <n v="0"/>
    <n v="0"/>
    <n v="0"/>
    <n v="0"/>
    <n v="0"/>
    <n v="0"/>
    <n v="0"/>
    <n v="0"/>
    <n v="0"/>
    <n v="0"/>
    <n v="0"/>
    <n v="0"/>
    <n v="0"/>
  </r>
  <r>
    <x v="8"/>
    <x v="1"/>
    <s v="jk,nc"/>
    <d v="1899-12-30T16:25:00"/>
    <d v="1899-12-30T18:04:00"/>
    <n v="42"/>
    <n v="10"/>
    <m/>
    <m/>
    <n v="98.999999999999972"/>
    <m/>
    <m/>
    <m/>
    <n v="0"/>
    <m/>
    <m/>
    <m/>
    <n v="0"/>
    <m/>
    <m/>
    <m/>
    <m/>
    <n v="0"/>
    <m/>
    <m/>
    <m/>
    <n v="0"/>
    <m/>
    <m/>
    <m/>
    <n v="0"/>
    <m/>
    <m/>
    <m/>
    <m/>
    <n v="0"/>
    <m/>
    <m/>
    <m/>
    <m/>
    <m/>
    <m/>
    <m/>
    <n v="0"/>
    <s v="checked FW@ 18:04 NC,JK"/>
    <s v="no fish"/>
    <s v="20140614 NCollin"/>
    <s v="20140616 DRobichaud"/>
    <s v="FW_Scan_20140614.pdf"/>
    <n v="0"/>
    <n v="0"/>
    <n v="0"/>
    <n v="0"/>
    <n v="0"/>
    <n v="0"/>
    <n v="0"/>
    <n v="0"/>
    <n v="0"/>
    <n v="0"/>
    <n v="0"/>
    <n v="0"/>
    <n v="0"/>
    <n v="0"/>
    <n v="0"/>
    <n v="0"/>
    <n v="0"/>
    <n v="0"/>
    <n v="0"/>
    <n v="0"/>
  </r>
  <r>
    <x v="8"/>
    <x v="1"/>
    <s v="kbm,sb"/>
    <d v="1899-12-30T18:04:00"/>
    <d v="1899-12-30T20:18:00"/>
    <n v="42"/>
    <n v="11"/>
    <m/>
    <m/>
    <n v="134"/>
    <n v="1"/>
    <m/>
    <m/>
    <n v="1"/>
    <m/>
    <m/>
    <m/>
    <n v="0"/>
    <m/>
    <m/>
    <m/>
    <m/>
    <n v="0"/>
    <m/>
    <m/>
    <m/>
    <n v="0"/>
    <m/>
    <m/>
    <m/>
    <n v="0"/>
    <m/>
    <m/>
    <m/>
    <m/>
    <n v="0"/>
    <m/>
    <m/>
    <m/>
    <m/>
    <m/>
    <m/>
    <m/>
    <n v="0"/>
    <m/>
    <s v="check @ 20:18"/>
    <s v="20140614 SBurril"/>
    <s v="20140616 DRobichaud"/>
    <s v="FW_Scan_20140614.pdf"/>
    <n v="1"/>
    <n v="0"/>
    <n v="0"/>
    <n v="0"/>
    <n v="0"/>
    <n v="0"/>
    <n v="0"/>
    <n v="0"/>
    <n v="0"/>
    <n v="0"/>
    <n v="0"/>
    <n v="0"/>
    <n v="0"/>
    <n v="0"/>
    <n v="0"/>
    <n v="0"/>
    <n v="0"/>
    <n v="0"/>
    <n v="0"/>
    <n v="0"/>
  </r>
  <r>
    <x v="8"/>
    <x v="1"/>
    <s v="as,jk"/>
    <d v="1899-12-30T20:18:00"/>
    <d v="1899-12-30T22:42:00"/>
    <n v="43"/>
    <n v="10"/>
    <m/>
    <m/>
    <n v="143.99999999999997"/>
    <m/>
    <m/>
    <m/>
    <n v="0"/>
    <m/>
    <m/>
    <m/>
    <n v="0"/>
    <m/>
    <m/>
    <m/>
    <m/>
    <n v="0"/>
    <m/>
    <m/>
    <m/>
    <n v="0"/>
    <m/>
    <m/>
    <m/>
    <n v="0"/>
    <m/>
    <m/>
    <m/>
    <m/>
    <n v="0"/>
    <m/>
    <m/>
    <m/>
    <m/>
    <m/>
    <m/>
    <m/>
    <n v="0"/>
    <m/>
    <s v="checked @ 22:39. No fish"/>
    <s v="20140614 AStephens"/>
    <s v="20140616 DRobichaud"/>
    <s v="FW_Scan_20140614.pdf"/>
    <n v="0"/>
    <n v="0"/>
    <n v="0"/>
    <n v="0"/>
    <n v="0"/>
    <n v="0"/>
    <n v="0"/>
    <n v="0"/>
    <n v="0"/>
    <n v="0"/>
    <n v="0"/>
    <n v="0"/>
    <n v="0"/>
    <n v="0"/>
    <n v="0"/>
    <n v="0"/>
    <n v="0"/>
    <n v="0"/>
    <n v="0"/>
    <n v="0"/>
  </r>
  <r>
    <x v="9"/>
    <x v="0"/>
    <s v="nc, jk"/>
    <d v="1899-12-30T07:22:00"/>
    <d v="1899-12-30T11:00:00"/>
    <n v="63"/>
    <n v="8"/>
    <m/>
    <m/>
    <n v="218.00000000000003"/>
    <m/>
    <m/>
    <m/>
    <n v="0"/>
    <m/>
    <m/>
    <m/>
    <n v="0"/>
    <m/>
    <m/>
    <m/>
    <m/>
    <n v="0"/>
    <m/>
    <m/>
    <m/>
    <n v="0"/>
    <m/>
    <m/>
    <m/>
    <n v="0"/>
    <m/>
    <m/>
    <m/>
    <m/>
    <n v="0"/>
    <m/>
    <m/>
    <m/>
    <m/>
    <m/>
    <m/>
    <m/>
    <n v="0"/>
    <s v="drop baskets @ 7:32, End shift @ 11:00."/>
    <m/>
    <s v="20140615 NCollin"/>
    <s v="20140617 DRobichaud"/>
    <s v="FW_Scan_20140615.pdf"/>
    <n v="0"/>
    <n v="0"/>
    <n v="0"/>
    <n v="0"/>
    <n v="0"/>
    <n v="0"/>
    <n v="0"/>
    <n v="0"/>
    <n v="0"/>
    <n v="0"/>
    <n v="0"/>
    <n v="0"/>
    <n v="0"/>
    <n v="0"/>
    <n v="0"/>
    <n v="0"/>
    <n v="0"/>
    <n v="0"/>
    <n v="0"/>
    <n v="0"/>
  </r>
  <r>
    <x v="9"/>
    <x v="0"/>
    <s v="kbm,dr"/>
    <d v="1899-12-30T11:00:00"/>
    <d v="1899-12-30T14:37:00"/>
    <n v="59"/>
    <n v="8"/>
    <m/>
    <m/>
    <n v="217.00000000000011"/>
    <m/>
    <m/>
    <m/>
    <n v="0"/>
    <m/>
    <m/>
    <m/>
    <n v="0"/>
    <m/>
    <m/>
    <m/>
    <m/>
    <n v="0"/>
    <m/>
    <m/>
    <m/>
    <n v="0"/>
    <m/>
    <m/>
    <m/>
    <n v="0"/>
    <m/>
    <m/>
    <m/>
    <m/>
    <n v="0"/>
    <m/>
    <m/>
    <m/>
    <m/>
    <m/>
    <m/>
    <m/>
    <n v="0"/>
    <m/>
    <s v="no fish"/>
    <s v="20140615 DRobichaud"/>
    <s v="20140617 DRobichaud"/>
    <s v="FW_Scan_20140615.pdf"/>
    <n v="0"/>
    <n v="0"/>
    <n v="0"/>
    <n v="0"/>
    <n v="0"/>
    <n v="0"/>
    <n v="0"/>
    <n v="0"/>
    <n v="0"/>
    <n v="0"/>
    <n v="0"/>
    <n v="0"/>
    <n v="0"/>
    <n v="0"/>
    <n v="0"/>
    <n v="0"/>
    <n v="0"/>
    <n v="0"/>
    <n v="0"/>
    <n v="0"/>
  </r>
  <r>
    <x v="9"/>
    <x v="0"/>
    <s v="rt,jk,eg,dr"/>
    <d v="1899-12-30T14:37:00"/>
    <d v="1899-12-30T18:27:00"/>
    <n v="60"/>
    <n v="9"/>
    <m/>
    <m/>
    <n v="229.99999999999983"/>
    <m/>
    <m/>
    <m/>
    <n v="0"/>
    <m/>
    <m/>
    <m/>
    <n v="0"/>
    <m/>
    <m/>
    <m/>
    <m/>
    <n v="0"/>
    <m/>
    <m/>
    <m/>
    <n v="0"/>
    <m/>
    <m/>
    <m/>
    <n v="0"/>
    <m/>
    <m/>
    <m/>
    <m/>
    <n v="0"/>
    <m/>
    <m/>
    <n v="1"/>
    <m/>
    <m/>
    <m/>
    <m/>
    <n v="1"/>
    <m/>
    <m/>
    <s v="20140616 DRobichaud"/>
    <s v="20140617 DRobichaud"/>
    <s v="FW_Scan_20140615.pdf"/>
    <n v="0"/>
    <n v="0"/>
    <n v="0"/>
    <n v="0"/>
    <n v="0"/>
    <n v="0"/>
    <n v="0"/>
    <n v="0"/>
    <n v="0"/>
    <n v="0"/>
    <n v="0"/>
    <n v="0"/>
    <n v="0"/>
    <n v="0"/>
    <n v="0"/>
    <n v="0"/>
    <n v="0"/>
    <n v="0"/>
    <n v="0"/>
    <n v="0"/>
  </r>
  <r>
    <x v="9"/>
    <x v="0"/>
    <s v="eg,jg,krm"/>
    <d v="1899-12-30T18:27:00"/>
    <d v="1899-12-30T23:14:00"/>
    <n v="58"/>
    <n v="8"/>
    <m/>
    <m/>
    <n v="287.00000000000011"/>
    <n v="1"/>
    <m/>
    <m/>
    <n v="1"/>
    <m/>
    <m/>
    <m/>
    <n v="0"/>
    <m/>
    <m/>
    <m/>
    <m/>
    <n v="0"/>
    <m/>
    <m/>
    <m/>
    <n v="0"/>
    <m/>
    <m/>
    <m/>
    <n v="0"/>
    <m/>
    <m/>
    <m/>
    <m/>
    <n v="0"/>
    <m/>
    <m/>
    <m/>
    <m/>
    <m/>
    <m/>
    <m/>
    <n v="0"/>
    <m/>
    <m/>
    <s v="20140615 EGora"/>
    <s v="20140617 DRobichaud"/>
    <s v="FW_Scan_20140615.pdf"/>
    <n v="1"/>
    <n v="0"/>
    <n v="0"/>
    <n v="0"/>
    <n v="0"/>
    <n v="0"/>
    <n v="0"/>
    <n v="0"/>
    <n v="0"/>
    <n v="0"/>
    <n v="0"/>
    <n v="0"/>
    <n v="0"/>
    <n v="0"/>
    <n v="0"/>
    <n v="0"/>
    <n v="0"/>
    <n v="0"/>
    <n v="0"/>
    <n v="0"/>
  </r>
  <r>
    <x v="9"/>
    <x v="2"/>
    <s v="nc, jk"/>
    <d v="1899-12-30T07:34:00"/>
    <d v="1899-12-30T10:50:00"/>
    <n v="38"/>
    <n v="7"/>
    <m/>
    <m/>
    <n v="196.00000000000003"/>
    <m/>
    <m/>
    <m/>
    <n v="0"/>
    <m/>
    <m/>
    <m/>
    <n v="0"/>
    <m/>
    <m/>
    <m/>
    <m/>
    <n v="0"/>
    <m/>
    <m/>
    <m/>
    <n v="0"/>
    <m/>
    <m/>
    <m/>
    <n v="0"/>
    <m/>
    <m/>
    <m/>
    <m/>
    <n v="0"/>
    <m/>
    <m/>
    <m/>
    <m/>
    <m/>
    <m/>
    <m/>
    <n v="0"/>
    <m/>
    <s v="lowered baskets @ 734, ended shift at 10:50"/>
    <s v="20140615 JKunzler"/>
    <s v="20140617 DRobichaud"/>
    <s v="FW_Scan_20140615.pdf"/>
    <n v="0"/>
    <n v="0"/>
    <n v="0"/>
    <n v="0"/>
    <n v="0"/>
    <n v="0"/>
    <n v="0"/>
    <n v="0"/>
    <n v="0"/>
    <n v="0"/>
    <n v="0"/>
    <n v="0"/>
    <n v="0"/>
    <n v="0"/>
    <n v="0"/>
    <n v="0"/>
    <n v="0"/>
    <n v="0"/>
    <n v="0"/>
    <n v="0"/>
  </r>
  <r>
    <x v="9"/>
    <x v="2"/>
    <s v="kbm,dr"/>
    <d v="1899-12-30T10:50:00"/>
    <d v="1899-12-30T14:30:00"/>
    <n v="39"/>
    <n v="7"/>
    <m/>
    <m/>
    <n v="219.99999999999994"/>
    <m/>
    <m/>
    <m/>
    <n v="0"/>
    <m/>
    <m/>
    <m/>
    <n v="0"/>
    <m/>
    <m/>
    <m/>
    <m/>
    <n v="0"/>
    <m/>
    <m/>
    <m/>
    <n v="0"/>
    <m/>
    <m/>
    <m/>
    <n v="0"/>
    <m/>
    <m/>
    <m/>
    <m/>
    <n v="0"/>
    <m/>
    <m/>
    <m/>
    <m/>
    <m/>
    <m/>
    <m/>
    <n v="0"/>
    <m/>
    <s v="no fish"/>
    <s v="20140615 KBMatthews"/>
    <s v="20140617 DRobichaud"/>
    <s v="FW_Scan_20140615.pdf"/>
    <n v="0"/>
    <n v="0"/>
    <n v="0"/>
    <n v="0"/>
    <n v="0"/>
    <n v="0"/>
    <n v="0"/>
    <n v="0"/>
    <n v="0"/>
    <n v="0"/>
    <n v="0"/>
    <n v="0"/>
    <n v="0"/>
    <n v="0"/>
    <n v="0"/>
    <n v="0"/>
    <n v="0"/>
    <n v="0"/>
    <n v="0"/>
    <n v="0"/>
  </r>
  <r>
    <x v="9"/>
    <x v="2"/>
    <s v="rt,jk,eg,dr"/>
    <d v="1899-12-30T14:30:00"/>
    <d v="1899-12-30T18:06:00"/>
    <n v="38"/>
    <n v="8"/>
    <m/>
    <m/>
    <n v="216.0000000000002"/>
    <n v="1"/>
    <m/>
    <m/>
    <n v="1"/>
    <m/>
    <m/>
    <m/>
    <n v="0"/>
    <m/>
    <m/>
    <m/>
    <m/>
    <n v="0"/>
    <m/>
    <m/>
    <m/>
    <n v="0"/>
    <m/>
    <m/>
    <m/>
    <n v="0"/>
    <m/>
    <m/>
    <m/>
    <m/>
    <n v="0"/>
    <m/>
    <m/>
    <m/>
    <m/>
    <m/>
    <m/>
    <m/>
    <n v="0"/>
    <m/>
    <s v="arrive at wheel @ 17:04"/>
    <s v="20140615 JKunzler"/>
    <s v="20140617 DRobichaud"/>
    <s v="FW_Scan_20140615.pdf"/>
    <n v="1"/>
    <n v="0"/>
    <n v="0"/>
    <n v="0"/>
    <n v="0"/>
    <n v="0"/>
    <n v="0"/>
    <n v="0"/>
    <n v="0"/>
    <n v="0"/>
    <n v="0"/>
    <n v="0"/>
    <n v="0"/>
    <n v="0"/>
    <n v="0"/>
    <n v="0"/>
    <n v="0"/>
    <n v="0"/>
    <n v="0"/>
    <n v="0"/>
  </r>
  <r>
    <x v="9"/>
    <x v="2"/>
    <s v="kbm,jg,eg"/>
    <d v="1899-12-30T18:06:00"/>
    <d v="1899-12-30T23:25:00"/>
    <n v="36"/>
    <n v="7"/>
    <m/>
    <m/>
    <n v="319"/>
    <n v="1"/>
    <m/>
    <m/>
    <n v="1"/>
    <m/>
    <m/>
    <m/>
    <n v="0"/>
    <m/>
    <m/>
    <m/>
    <m/>
    <n v="0"/>
    <m/>
    <m/>
    <m/>
    <n v="0"/>
    <m/>
    <m/>
    <m/>
    <n v="0"/>
    <m/>
    <m/>
    <m/>
    <m/>
    <n v="0"/>
    <m/>
    <m/>
    <m/>
    <m/>
    <m/>
    <m/>
    <m/>
    <n v="0"/>
    <m/>
    <m/>
    <s v="20140615 KBMatthews"/>
    <s v="20140617 DRobichaud"/>
    <s v="FW_Scan_20140615.pdf"/>
    <n v="1"/>
    <n v="0"/>
    <n v="0"/>
    <n v="0"/>
    <n v="0"/>
    <n v="0"/>
    <n v="0"/>
    <n v="0"/>
    <n v="0"/>
    <n v="0"/>
    <n v="0"/>
    <n v="0"/>
    <n v="0"/>
    <n v="0"/>
    <n v="0"/>
    <n v="0"/>
    <n v="0"/>
    <n v="0"/>
    <n v="0"/>
    <n v="0"/>
  </r>
  <r>
    <x v="9"/>
    <x v="1"/>
    <s v="sb,as"/>
    <d v="1899-12-30T07:23:00"/>
    <d v="1899-12-30T11:00:00"/>
    <n v="40"/>
    <n v="10"/>
    <m/>
    <m/>
    <n v="216.99999999999994"/>
    <m/>
    <m/>
    <m/>
    <n v="0"/>
    <m/>
    <m/>
    <m/>
    <n v="0"/>
    <m/>
    <m/>
    <m/>
    <m/>
    <n v="0"/>
    <m/>
    <m/>
    <m/>
    <n v="0"/>
    <m/>
    <m/>
    <m/>
    <n v="0"/>
    <m/>
    <m/>
    <m/>
    <m/>
    <n v="0"/>
    <m/>
    <m/>
    <m/>
    <m/>
    <m/>
    <m/>
    <m/>
    <n v="0"/>
    <s v="zip tied hole in basket. Fishing on deck stb side, off deck port side"/>
    <m/>
    <s v="20140615 AStephens "/>
    <s v="20140617 DRobichaud"/>
    <s v="FW_Scan_20140615.pdf"/>
    <n v="0"/>
    <n v="0"/>
    <n v="0"/>
    <n v="0"/>
    <n v="0"/>
    <n v="0"/>
    <n v="0"/>
    <n v="0"/>
    <n v="0"/>
    <n v="0"/>
    <n v="0"/>
    <n v="0"/>
    <n v="0"/>
    <n v="0"/>
    <n v="0"/>
    <n v="0"/>
    <n v="0"/>
    <n v="0"/>
    <n v="0"/>
    <n v="0"/>
  </r>
  <r>
    <x v="9"/>
    <x v="1"/>
    <s v="sj,jg,dr,kbm"/>
    <d v="1899-12-30T11:00:00"/>
    <d v="1899-12-30T14:47:00"/>
    <n v="39"/>
    <n v="8"/>
    <m/>
    <m/>
    <n v="227.00000000000009"/>
    <m/>
    <m/>
    <m/>
    <n v="0"/>
    <m/>
    <m/>
    <m/>
    <n v="0"/>
    <m/>
    <m/>
    <m/>
    <m/>
    <n v="0"/>
    <m/>
    <m/>
    <m/>
    <n v="0"/>
    <m/>
    <m/>
    <m/>
    <n v="0"/>
    <m/>
    <m/>
    <m/>
    <m/>
    <n v="0"/>
    <m/>
    <m/>
    <m/>
    <m/>
    <m/>
    <m/>
    <m/>
    <n v="0"/>
    <s v="no fish"/>
    <s v="had to leave the fw ~25 mintes to get a pencil.  Wheel visited periodically thoughout shift."/>
    <s v="20140615 DRobichaud"/>
    <s v="20140617 DRobichaud"/>
    <s v="FW_Scan_20140615.pdf"/>
    <n v="0"/>
    <n v="0"/>
    <n v="0"/>
    <n v="0"/>
    <n v="0"/>
    <n v="0"/>
    <n v="0"/>
    <n v="0"/>
    <n v="0"/>
    <n v="0"/>
    <n v="0"/>
    <n v="0"/>
    <n v="0"/>
    <n v="0"/>
    <n v="0"/>
    <n v="0"/>
    <n v="0"/>
    <n v="0"/>
    <n v="0"/>
    <n v="0"/>
  </r>
  <r>
    <x v="9"/>
    <x v="1"/>
    <s v="eg,jk,rt,kbm,dr"/>
    <d v="1899-12-30T14:47:00"/>
    <d v="1899-12-30T18:47:00"/>
    <n v="40"/>
    <n v="10"/>
    <m/>
    <m/>
    <n v="240.00000000000011"/>
    <m/>
    <m/>
    <m/>
    <n v="0"/>
    <m/>
    <m/>
    <m/>
    <n v="0"/>
    <m/>
    <m/>
    <m/>
    <m/>
    <n v="0"/>
    <m/>
    <m/>
    <m/>
    <n v="0"/>
    <m/>
    <m/>
    <m/>
    <n v="0"/>
    <m/>
    <m/>
    <m/>
    <m/>
    <n v="0"/>
    <m/>
    <m/>
    <m/>
    <m/>
    <m/>
    <m/>
    <m/>
    <n v="0"/>
    <s v="RT fixed hole in netting with zip ties-hole repaired"/>
    <s v="check fishwheel@18:46-no fish"/>
    <s v="20140615 EGora"/>
    <s v="20140617 DRobichaud"/>
    <s v="FW_Scan_20140615.pdf"/>
    <n v="0"/>
    <n v="0"/>
    <n v="0"/>
    <n v="0"/>
    <n v="0"/>
    <n v="0"/>
    <n v="0"/>
    <n v="0"/>
    <n v="0"/>
    <n v="0"/>
    <n v="0"/>
    <n v="0"/>
    <n v="0"/>
    <n v="0"/>
    <n v="0"/>
    <n v="0"/>
    <n v="0"/>
    <n v="0"/>
    <n v="0"/>
    <n v="0"/>
  </r>
  <r>
    <x v="9"/>
    <x v="1"/>
    <s v="kbm,eg,jg"/>
    <d v="1899-12-30T18:47:00"/>
    <d v="1899-12-30T23:03:00"/>
    <n v="38"/>
    <n v="9"/>
    <m/>
    <m/>
    <n v="255.99999999999989"/>
    <m/>
    <m/>
    <m/>
    <n v="0"/>
    <m/>
    <m/>
    <m/>
    <n v="0"/>
    <m/>
    <m/>
    <m/>
    <m/>
    <n v="0"/>
    <m/>
    <m/>
    <m/>
    <n v="0"/>
    <m/>
    <m/>
    <m/>
    <n v="0"/>
    <m/>
    <m/>
    <m/>
    <m/>
    <n v="0"/>
    <m/>
    <m/>
    <m/>
    <m/>
    <m/>
    <m/>
    <m/>
    <n v="0"/>
    <m/>
    <s v="no fish"/>
    <s v="20140615 EGora"/>
    <s v="20140617 DRobichaud"/>
    <s v="FW_Scan_20140615.pdf"/>
    <n v="0"/>
    <n v="0"/>
    <n v="0"/>
    <n v="0"/>
    <n v="0"/>
    <n v="0"/>
    <n v="0"/>
    <n v="0"/>
    <n v="0"/>
    <n v="0"/>
    <n v="0"/>
    <n v="0"/>
    <n v="0"/>
    <n v="0"/>
    <n v="0"/>
    <n v="0"/>
    <n v="0"/>
    <n v="0"/>
    <n v="0"/>
    <n v="0"/>
  </r>
  <r>
    <x v="10"/>
    <x v="0"/>
    <s v="as,jk"/>
    <d v="1899-12-30T06:10:00"/>
    <d v="1899-12-30T10:37:00"/>
    <n v="60"/>
    <n v="8"/>
    <m/>
    <m/>
    <n v="267"/>
    <m/>
    <m/>
    <m/>
    <n v="0"/>
    <m/>
    <m/>
    <m/>
    <n v="0"/>
    <m/>
    <m/>
    <m/>
    <m/>
    <n v="0"/>
    <m/>
    <m/>
    <m/>
    <n v="0"/>
    <m/>
    <m/>
    <m/>
    <n v="0"/>
    <m/>
    <m/>
    <m/>
    <m/>
    <n v="0"/>
    <m/>
    <m/>
    <m/>
    <m/>
    <m/>
    <m/>
    <m/>
    <n v="0"/>
    <s v="water rose, spar poles need adjustment jk lead net needs to be cleared, lead net cleared"/>
    <m/>
    <s v="20140616 JKunzler"/>
    <s v="20140617 DRobichaud"/>
    <s v="FW_Scan_20140616.pdf"/>
    <n v="0"/>
    <n v="0"/>
    <n v="0"/>
    <n v="0"/>
    <n v="0"/>
    <n v="0"/>
    <n v="0"/>
    <n v="0"/>
    <n v="0"/>
    <n v="0"/>
    <n v="0"/>
    <n v="0"/>
    <n v="0"/>
    <n v="0"/>
    <n v="0"/>
    <n v="0"/>
    <n v="0"/>
    <n v="0"/>
    <n v="0"/>
    <n v="0"/>
  </r>
  <r>
    <x v="10"/>
    <x v="0"/>
    <s v="eg,krm,dr"/>
    <d v="1899-12-30T10:37:00"/>
    <d v="1899-12-30T10:56:00"/>
    <n v="42"/>
    <n v="7.5"/>
    <m/>
    <m/>
    <n v="18.999999999999932"/>
    <m/>
    <m/>
    <m/>
    <n v="0"/>
    <m/>
    <m/>
    <m/>
    <n v="0"/>
    <m/>
    <m/>
    <m/>
    <m/>
    <n v="0"/>
    <m/>
    <m/>
    <m/>
    <n v="0"/>
    <m/>
    <m/>
    <m/>
    <n v="0"/>
    <m/>
    <m/>
    <m/>
    <m/>
    <n v="0"/>
    <m/>
    <m/>
    <m/>
    <m/>
    <m/>
    <m/>
    <m/>
    <n v="0"/>
    <s v="moved FW in @10:56~4ft. Readjusted lead line. New revs 45."/>
    <s v="checked @ 10:37. no fish. Crew moved wheel."/>
    <s v="20140616 EGora"/>
    <s v="20140617 DRobichaud"/>
    <s v="FW_Scan_20140616.pdf"/>
    <n v="0"/>
    <n v="0"/>
    <n v="0"/>
    <n v="0"/>
    <n v="0"/>
    <n v="0"/>
    <n v="0"/>
    <n v="0"/>
    <n v="0"/>
    <n v="0"/>
    <n v="0"/>
    <n v="0"/>
    <n v="0"/>
    <n v="0"/>
    <n v="0"/>
    <n v="0"/>
    <n v="0"/>
    <n v="0"/>
    <n v="0"/>
    <n v="0"/>
  </r>
  <r>
    <x v="10"/>
    <x v="0"/>
    <s v="jg,kmb"/>
    <d v="1899-12-30T10:56:00"/>
    <d v="1899-12-30T12:51:00"/>
    <n v="55"/>
    <n v="9"/>
    <m/>
    <m/>
    <n v="114.99999999999999"/>
    <m/>
    <m/>
    <m/>
    <n v="0"/>
    <m/>
    <m/>
    <m/>
    <n v="0"/>
    <m/>
    <m/>
    <m/>
    <m/>
    <n v="0"/>
    <m/>
    <m/>
    <m/>
    <n v="0"/>
    <m/>
    <m/>
    <m/>
    <n v="0"/>
    <m/>
    <m/>
    <m/>
    <m/>
    <n v="0"/>
    <m/>
    <m/>
    <m/>
    <m/>
    <m/>
    <m/>
    <m/>
    <n v="0"/>
    <s v="Large debris caught on upstream side of wheel."/>
    <s v="checked FW @ 12:51.  No fish"/>
    <s v="20140616 JGraham"/>
    <s v="20140617 DRobichaud"/>
    <s v="FW_Scan_20140616.pdf"/>
    <n v="0"/>
    <n v="0"/>
    <n v="0"/>
    <n v="0"/>
    <n v="0"/>
    <n v="0"/>
    <n v="0"/>
    <n v="0"/>
    <n v="0"/>
    <n v="0"/>
    <n v="0"/>
    <n v="0"/>
    <n v="0"/>
    <n v="0"/>
    <n v="0"/>
    <n v="0"/>
    <n v="0"/>
    <n v="0"/>
    <n v="0"/>
    <n v="0"/>
  </r>
  <r>
    <x v="10"/>
    <x v="0"/>
    <s v="dr,jg"/>
    <d v="1899-12-30T12:51:00"/>
    <d v="1899-12-30T15:44:00"/>
    <n v="59"/>
    <n v="7"/>
    <m/>
    <m/>
    <n v="173.00000000000003"/>
    <n v="1"/>
    <m/>
    <m/>
    <n v="1"/>
    <m/>
    <m/>
    <m/>
    <n v="0"/>
    <m/>
    <m/>
    <m/>
    <m/>
    <n v="0"/>
    <m/>
    <m/>
    <m/>
    <n v="0"/>
    <m/>
    <m/>
    <m/>
    <n v="0"/>
    <m/>
    <m/>
    <m/>
    <m/>
    <n v="0"/>
    <m/>
    <m/>
    <m/>
    <m/>
    <m/>
    <m/>
    <m/>
    <n v="0"/>
    <m/>
    <s v="checked at 15:26"/>
    <s v="20140616 DRobichaud"/>
    <s v="20140617 DRobichaud"/>
    <s v="FW_Scan_20140616.pdf"/>
    <n v="1"/>
    <n v="0"/>
    <n v="0"/>
    <n v="0"/>
    <n v="0"/>
    <n v="0"/>
    <n v="0"/>
    <n v="0"/>
    <n v="0"/>
    <n v="0"/>
    <n v="0"/>
    <n v="0"/>
    <n v="0"/>
    <n v="0"/>
    <n v="0"/>
    <n v="0"/>
    <n v="0"/>
    <n v="0"/>
    <n v="0"/>
    <n v="0"/>
  </r>
  <r>
    <x v="10"/>
    <x v="0"/>
    <s v="jk,as"/>
    <d v="1899-12-30T15:44:00"/>
    <d v="1899-12-30T17:12:00"/>
    <n v="54"/>
    <n v="8"/>
    <m/>
    <m/>
    <n v="88"/>
    <n v="1"/>
    <m/>
    <m/>
    <n v="1"/>
    <m/>
    <m/>
    <m/>
    <n v="0"/>
    <m/>
    <m/>
    <m/>
    <m/>
    <n v="0"/>
    <m/>
    <m/>
    <m/>
    <n v="0"/>
    <m/>
    <m/>
    <m/>
    <n v="0"/>
    <m/>
    <m/>
    <m/>
    <m/>
    <n v="0"/>
    <m/>
    <m/>
    <m/>
    <m/>
    <m/>
    <m/>
    <m/>
    <n v="0"/>
    <s v="cleaned debris from lead jk"/>
    <m/>
    <s v="20140616 JKunzler"/>
    <s v="20140617 DRobichaud"/>
    <s v="FW_Scan_20140616.pdf"/>
    <n v="1"/>
    <n v="0"/>
    <n v="0"/>
    <n v="0"/>
    <n v="0"/>
    <n v="0"/>
    <n v="0"/>
    <n v="0"/>
    <n v="0"/>
    <n v="0"/>
    <n v="0"/>
    <n v="0"/>
    <n v="0"/>
    <n v="0"/>
    <n v="0"/>
    <n v="0"/>
    <n v="0"/>
    <n v="0"/>
    <n v="0"/>
    <n v="0"/>
  </r>
  <r>
    <x v="10"/>
    <x v="0"/>
    <s v="jk,as"/>
    <d v="1899-12-30T17:12:00"/>
    <d v="1899-12-30T20:39:00"/>
    <n v="54"/>
    <n v="8"/>
    <m/>
    <m/>
    <n v="176.99999999999991"/>
    <m/>
    <m/>
    <m/>
    <n v="0"/>
    <m/>
    <m/>
    <m/>
    <n v="0"/>
    <m/>
    <m/>
    <m/>
    <m/>
    <n v="0"/>
    <m/>
    <m/>
    <m/>
    <n v="0"/>
    <m/>
    <m/>
    <m/>
    <n v="0"/>
    <m/>
    <m/>
    <m/>
    <m/>
    <n v="0"/>
    <m/>
    <m/>
    <m/>
    <m/>
    <m/>
    <m/>
    <m/>
    <n v="0"/>
    <s v="Wheel stopped for about a half hour due to a tree being wedged. cleaned debris from lead line and fishwheel @ 20:30."/>
    <m/>
    <s v="20140616 JKunzler"/>
    <s v="20140617 DRobichaud"/>
    <s v="FW_Scan_20140616.pdf"/>
    <n v="0"/>
    <n v="0"/>
    <n v="0"/>
    <n v="0"/>
    <n v="0"/>
    <n v="0"/>
    <n v="0"/>
    <n v="0"/>
    <n v="0"/>
    <n v="0"/>
    <n v="0"/>
    <n v="0"/>
    <n v="0"/>
    <n v="0"/>
    <n v="0"/>
    <n v="0"/>
    <n v="0"/>
    <n v="0"/>
    <n v="0"/>
    <n v="0"/>
  </r>
  <r>
    <x v="10"/>
    <x v="0"/>
    <s v="dr,eg"/>
    <d v="1899-12-30T20:39:00"/>
    <d v="1899-12-30T22:53:00"/>
    <n v="55"/>
    <n v="7"/>
    <m/>
    <m/>
    <n v="134"/>
    <n v="1"/>
    <n v="1"/>
    <m/>
    <n v="2"/>
    <m/>
    <m/>
    <m/>
    <n v="0"/>
    <m/>
    <m/>
    <m/>
    <m/>
    <n v="0"/>
    <m/>
    <m/>
    <m/>
    <n v="0"/>
    <m/>
    <m/>
    <m/>
    <n v="0"/>
    <m/>
    <m/>
    <m/>
    <m/>
    <n v="0"/>
    <m/>
    <m/>
    <m/>
    <m/>
    <m/>
    <m/>
    <m/>
    <n v="0"/>
    <m/>
    <s v="untagged CN: escaped from trough without being measured, etc."/>
    <s v="20140617 DRobichaud"/>
    <s v="20140617 DRobichaud"/>
    <s v="FW_Scan_20140616.pdf"/>
    <n v="1"/>
    <n v="1"/>
    <n v="0"/>
    <n v="0"/>
    <n v="0"/>
    <n v="0"/>
    <n v="0"/>
    <n v="0"/>
    <n v="0"/>
    <n v="0"/>
    <n v="0"/>
    <n v="0"/>
    <n v="0"/>
    <n v="0"/>
    <n v="0"/>
    <n v="0"/>
    <n v="0"/>
    <n v="0"/>
    <n v="0"/>
    <n v="0"/>
  </r>
  <r>
    <x v="10"/>
    <x v="0"/>
    <s v="jg,krm"/>
    <d v="1899-12-30T22:53:00"/>
    <d v="1899-12-31T00:00:00"/>
    <m/>
    <m/>
    <m/>
    <m/>
    <n v="67.000000000000085"/>
    <m/>
    <m/>
    <m/>
    <n v="0"/>
    <m/>
    <m/>
    <m/>
    <n v="0"/>
    <m/>
    <m/>
    <m/>
    <m/>
    <n v="0"/>
    <m/>
    <m/>
    <m/>
    <n v="0"/>
    <m/>
    <m/>
    <m/>
    <n v="0"/>
    <m/>
    <m/>
    <m/>
    <m/>
    <n v="0"/>
    <m/>
    <m/>
    <m/>
    <m/>
    <m/>
    <m/>
    <m/>
    <n v="0"/>
    <m/>
    <s v="this sheet was split into two lines, see next line"/>
    <s v="20140616 JGraham"/>
    <s v="20140617 DRobichaud"/>
    <s v="FW_Scan_20140616.pdf"/>
    <n v="0"/>
    <n v="0"/>
    <n v="0"/>
    <n v="0"/>
    <n v="0"/>
    <n v="0"/>
    <n v="0"/>
    <n v="0"/>
    <n v="0"/>
    <n v="0"/>
    <n v="0"/>
    <n v="0"/>
    <n v="0"/>
    <n v="0"/>
    <n v="0"/>
    <n v="0"/>
    <n v="0"/>
    <n v="0"/>
    <n v="0"/>
    <n v="0"/>
  </r>
  <r>
    <x v="11"/>
    <x v="0"/>
    <s v="jg,krm"/>
    <d v="1899-12-30T00:00:00"/>
    <d v="1899-12-30T00:54:00"/>
    <n v="54"/>
    <n v="8"/>
    <m/>
    <m/>
    <n v="53.999999999999993"/>
    <n v="3"/>
    <m/>
    <m/>
    <n v="3"/>
    <m/>
    <m/>
    <m/>
    <n v="0"/>
    <m/>
    <m/>
    <m/>
    <m/>
    <n v="0"/>
    <m/>
    <m/>
    <m/>
    <n v="0"/>
    <m/>
    <m/>
    <m/>
    <n v="0"/>
    <m/>
    <m/>
    <m/>
    <m/>
    <n v="0"/>
    <m/>
    <m/>
    <m/>
    <m/>
    <m/>
    <m/>
    <m/>
    <n v="0"/>
    <s v="cleaned debris"/>
    <s v="stopped wheel @ 0:54 June 17.  ADS split sheet to reflect fishing on a new day."/>
    <s v="20140616 JGraham"/>
    <s v="20140617 DRobichaud"/>
    <s v="FW_Scan_20140616.pdf"/>
    <n v="3"/>
    <n v="0"/>
    <n v="0"/>
    <n v="0"/>
    <n v="0"/>
    <n v="0"/>
    <n v="0"/>
    <n v="0"/>
    <n v="0"/>
    <n v="0"/>
    <n v="0"/>
    <n v="0"/>
    <n v="0"/>
    <n v="0"/>
    <n v="0"/>
    <n v="0"/>
    <n v="0"/>
    <n v="0"/>
    <n v="0"/>
    <n v="0"/>
  </r>
  <r>
    <x v="10"/>
    <x v="2"/>
    <s v="as,jk"/>
    <d v="1899-12-30T06:25:00"/>
    <d v="1899-12-30T08:47:00"/>
    <n v="36"/>
    <n v="8"/>
    <m/>
    <m/>
    <n v="141.99999999999997"/>
    <m/>
    <m/>
    <m/>
    <n v="0"/>
    <m/>
    <m/>
    <m/>
    <n v="0"/>
    <m/>
    <m/>
    <m/>
    <m/>
    <n v="0"/>
    <m/>
    <m/>
    <m/>
    <n v="0"/>
    <m/>
    <m/>
    <m/>
    <n v="0"/>
    <m/>
    <m/>
    <m/>
    <m/>
    <n v="0"/>
    <m/>
    <m/>
    <m/>
    <m/>
    <m/>
    <m/>
    <m/>
    <n v="0"/>
    <s v="lowered baskets"/>
    <m/>
    <s v="20140616 JKunzler"/>
    <s v="20140617 DRobichaud"/>
    <s v="FW_Scan_20140616.pdf"/>
    <n v="0"/>
    <n v="0"/>
    <n v="0"/>
    <n v="0"/>
    <n v="0"/>
    <n v="0"/>
    <n v="0"/>
    <n v="0"/>
    <n v="0"/>
    <n v="0"/>
    <n v="0"/>
    <n v="0"/>
    <n v="0"/>
    <n v="0"/>
    <n v="0"/>
    <n v="0"/>
    <n v="0"/>
    <n v="0"/>
    <n v="0"/>
    <n v="0"/>
  </r>
  <r>
    <x v="10"/>
    <x v="2"/>
    <s v="eg,dr,kbm"/>
    <d v="1899-12-30T08:47:00"/>
    <d v="1899-12-30T10:52:00"/>
    <n v="33"/>
    <n v="8"/>
    <m/>
    <m/>
    <n v="125.00000000000003"/>
    <m/>
    <m/>
    <m/>
    <n v="0"/>
    <m/>
    <m/>
    <m/>
    <n v="0"/>
    <m/>
    <m/>
    <m/>
    <m/>
    <n v="0"/>
    <m/>
    <m/>
    <m/>
    <n v="0"/>
    <m/>
    <m/>
    <m/>
    <n v="0"/>
    <m/>
    <m/>
    <m/>
    <m/>
    <n v="0"/>
    <m/>
    <m/>
    <m/>
    <m/>
    <m/>
    <m/>
    <m/>
    <n v="0"/>
    <m/>
    <s v="checked wheel at 10:52. no fish"/>
    <s v="20140616 DRobichaud"/>
    <s v="20140617 DRobichaud"/>
    <s v="FW_Scan_20140616.pdf"/>
    <n v="0"/>
    <n v="0"/>
    <n v="0"/>
    <n v="0"/>
    <n v="0"/>
    <n v="0"/>
    <n v="0"/>
    <n v="0"/>
    <n v="0"/>
    <n v="0"/>
    <n v="0"/>
    <n v="0"/>
    <n v="0"/>
    <n v="0"/>
    <n v="0"/>
    <n v="0"/>
    <n v="0"/>
    <n v="0"/>
    <n v="0"/>
    <n v="0"/>
  </r>
  <r>
    <x v="10"/>
    <x v="2"/>
    <s v="kbm,jg "/>
    <d v="1899-12-30T10:52:00"/>
    <d v="1899-12-30T12:41:00"/>
    <n v="35"/>
    <n v="8"/>
    <m/>
    <m/>
    <n v="109.00000000000001"/>
    <m/>
    <m/>
    <m/>
    <n v="0"/>
    <m/>
    <m/>
    <m/>
    <n v="0"/>
    <m/>
    <m/>
    <m/>
    <m/>
    <n v="0"/>
    <m/>
    <m/>
    <m/>
    <n v="0"/>
    <m/>
    <m/>
    <m/>
    <n v="0"/>
    <m/>
    <m/>
    <m/>
    <m/>
    <n v="0"/>
    <m/>
    <m/>
    <m/>
    <m/>
    <m/>
    <m/>
    <m/>
    <n v="0"/>
    <m/>
    <s v="checked wheel at 12:40. no fish"/>
    <s v="20140616 KBMatthews"/>
    <s v="20140617 DRobichaud"/>
    <s v="FW_Scan_20140616.pdf"/>
    <n v="0"/>
    <n v="0"/>
    <n v="0"/>
    <n v="0"/>
    <n v="0"/>
    <n v="0"/>
    <n v="0"/>
    <n v="0"/>
    <n v="0"/>
    <n v="0"/>
    <n v="0"/>
    <n v="0"/>
    <n v="0"/>
    <n v="0"/>
    <n v="0"/>
    <n v="0"/>
    <n v="0"/>
    <n v="0"/>
    <n v="0"/>
    <n v="0"/>
  </r>
  <r>
    <x v="10"/>
    <x v="2"/>
    <s v="dr,eg"/>
    <d v="1899-12-30T12:41:00"/>
    <d v="1899-12-30T14:44:00"/>
    <n v="33"/>
    <n v="9"/>
    <m/>
    <m/>
    <n v="122.99999999999989"/>
    <m/>
    <m/>
    <m/>
    <n v="0"/>
    <m/>
    <m/>
    <m/>
    <n v="0"/>
    <m/>
    <m/>
    <m/>
    <m/>
    <n v="0"/>
    <m/>
    <m/>
    <m/>
    <n v="0"/>
    <m/>
    <m/>
    <m/>
    <n v="0"/>
    <m/>
    <m/>
    <m/>
    <m/>
    <n v="0"/>
    <m/>
    <m/>
    <m/>
    <m/>
    <m/>
    <m/>
    <m/>
    <n v="0"/>
    <s v="cleaned lead net at 14:55"/>
    <s v="checked wheel at 14:44. no fish"/>
    <s v="20140616 DRobichaud"/>
    <s v="20140617 DRobichaud"/>
    <s v="FW_Scan_20140616.pdf"/>
    <n v="0"/>
    <n v="0"/>
    <n v="0"/>
    <n v="0"/>
    <n v="0"/>
    <n v="0"/>
    <n v="0"/>
    <n v="0"/>
    <n v="0"/>
    <n v="0"/>
    <n v="0"/>
    <n v="0"/>
    <n v="0"/>
    <n v="0"/>
    <n v="0"/>
    <n v="0"/>
    <n v="0"/>
    <n v="0"/>
    <n v="0"/>
    <n v="0"/>
  </r>
  <r>
    <x v="10"/>
    <x v="2"/>
    <s v="as,jk"/>
    <d v="1899-12-30T14:44:00"/>
    <d v="1899-12-30T17:05:00"/>
    <n v="34"/>
    <n v="8"/>
    <m/>
    <m/>
    <n v="140.99999999999997"/>
    <m/>
    <m/>
    <m/>
    <n v="0"/>
    <m/>
    <m/>
    <m/>
    <n v="0"/>
    <m/>
    <m/>
    <m/>
    <m/>
    <n v="0"/>
    <m/>
    <m/>
    <m/>
    <n v="0"/>
    <m/>
    <m/>
    <m/>
    <n v="0"/>
    <m/>
    <m/>
    <m/>
    <m/>
    <n v="0"/>
    <m/>
    <m/>
    <m/>
    <m/>
    <m/>
    <m/>
    <m/>
    <n v="0"/>
    <m/>
    <s v="no fish"/>
    <s v="20140616 AStephens"/>
    <s v="20140617 DRobichaud"/>
    <s v="FW_Scan_20140616.pdf"/>
    <n v="0"/>
    <n v="0"/>
    <n v="0"/>
    <n v="0"/>
    <n v="0"/>
    <n v="0"/>
    <n v="0"/>
    <n v="0"/>
    <n v="0"/>
    <n v="0"/>
    <n v="0"/>
    <n v="0"/>
    <n v="0"/>
    <n v="0"/>
    <n v="0"/>
    <n v="0"/>
    <n v="0"/>
    <n v="0"/>
    <n v="0"/>
    <n v="0"/>
  </r>
  <r>
    <x v="10"/>
    <x v="2"/>
    <s v="as,jk"/>
    <d v="1899-12-30T17:05:00"/>
    <d v="1899-12-30T19:18:00"/>
    <n v="32"/>
    <n v="8"/>
    <m/>
    <m/>
    <n v="133.00000000000017"/>
    <n v="1"/>
    <m/>
    <m/>
    <n v="1"/>
    <m/>
    <m/>
    <m/>
    <n v="0"/>
    <m/>
    <m/>
    <m/>
    <m/>
    <n v="0"/>
    <m/>
    <m/>
    <m/>
    <n v="0"/>
    <m/>
    <m/>
    <m/>
    <n v="0"/>
    <m/>
    <m/>
    <m/>
    <m/>
    <n v="0"/>
    <m/>
    <m/>
    <m/>
    <m/>
    <m/>
    <m/>
    <m/>
    <n v="0"/>
    <m/>
    <s v="cleared debris from lead line"/>
    <s v="20140616 JKunzler"/>
    <s v="20140617 DRobichaud"/>
    <s v="FW_Scan_20140616.pdf"/>
    <n v="1"/>
    <n v="0"/>
    <n v="0"/>
    <n v="0"/>
    <n v="0"/>
    <n v="0"/>
    <n v="0"/>
    <n v="0"/>
    <n v="0"/>
    <n v="0"/>
    <n v="0"/>
    <n v="0"/>
    <n v="0"/>
    <n v="0"/>
    <n v="0"/>
    <n v="0"/>
    <n v="0"/>
    <n v="0"/>
    <n v="0"/>
    <n v="0"/>
  </r>
  <r>
    <x v="10"/>
    <x v="2"/>
    <s v="kbm,jg"/>
    <d v="1899-12-30T19:18:00"/>
    <d v="1899-12-30T23:08:00"/>
    <n v="33"/>
    <n v="7"/>
    <m/>
    <m/>
    <n v="229.99999999999997"/>
    <m/>
    <m/>
    <m/>
    <n v="0"/>
    <m/>
    <m/>
    <m/>
    <n v="0"/>
    <m/>
    <m/>
    <m/>
    <m/>
    <n v="0"/>
    <m/>
    <m/>
    <m/>
    <n v="0"/>
    <m/>
    <m/>
    <m/>
    <n v="0"/>
    <m/>
    <m/>
    <m/>
    <m/>
    <n v="0"/>
    <m/>
    <m/>
    <m/>
    <m/>
    <m/>
    <m/>
    <m/>
    <n v="0"/>
    <s v="checked wheel and stopped at 23:10"/>
    <s v="no fish"/>
    <s v="20140616 KBMatthews"/>
    <s v="20140617 DRobichaud"/>
    <s v="FW_Scan_20140616.pdf"/>
    <n v="0"/>
    <n v="0"/>
    <n v="0"/>
    <n v="0"/>
    <n v="0"/>
    <n v="0"/>
    <n v="0"/>
    <n v="0"/>
    <n v="0"/>
    <n v="0"/>
    <n v="0"/>
    <n v="0"/>
    <n v="0"/>
    <n v="0"/>
    <n v="0"/>
    <n v="0"/>
    <n v="0"/>
    <n v="0"/>
    <n v="0"/>
    <n v="0"/>
  </r>
  <r>
    <x v="10"/>
    <x v="1"/>
    <s v="as,jk"/>
    <d v="1899-12-30T05:56:00"/>
    <d v="1899-12-30T10:02:00"/>
    <n v="38"/>
    <n v="10"/>
    <m/>
    <m/>
    <n v="245.99999999999997"/>
    <m/>
    <m/>
    <m/>
    <n v="0"/>
    <m/>
    <m/>
    <m/>
    <n v="0"/>
    <m/>
    <m/>
    <m/>
    <m/>
    <n v="0"/>
    <m/>
    <m/>
    <m/>
    <n v="0"/>
    <m/>
    <m/>
    <m/>
    <n v="0"/>
    <m/>
    <m/>
    <m/>
    <m/>
    <n v="0"/>
    <m/>
    <m/>
    <m/>
    <m/>
    <m/>
    <m/>
    <m/>
    <n v="0"/>
    <s v="cleared debris"/>
    <m/>
    <s v="20140616 AStephens"/>
    <s v="20140617 DRobichaud"/>
    <s v="FW_Scan_20140616.pdf"/>
    <n v="0"/>
    <n v="0"/>
    <n v="0"/>
    <n v="0"/>
    <n v="0"/>
    <n v="0"/>
    <n v="0"/>
    <n v="0"/>
    <n v="0"/>
    <n v="0"/>
    <n v="0"/>
    <n v="0"/>
    <n v="0"/>
    <n v="0"/>
    <n v="0"/>
    <n v="0"/>
    <n v="0"/>
    <n v="0"/>
    <n v="0"/>
    <n v="0"/>
  </r>
  <r>
    <x v="10"/>
    <x v="1"/>
    <s v="kbm,dr,eg"/>
    <d v="1899-12-30T10:02:00"/>
    <d v="1899-12-30T11:20:00"/>
    <n v="36"/>
    <n v="10"/>
    <m/>
    <m/>
    <n v="78.000000000000043"/>
    <m/>
    <m/>
    <m/>
    <n v="0"/>
    <m/>
    <m/>
    <m/>
    <n v="0"/>
    <m/>
    <m/>
    <m/>
    <m/>
    <n v="0"/>
    <m/>
    <m/>
    <m/>
    <n v="0"/>
    <m/>
    <m/>
    <m/>
    <n v="0"/>
    <m/>
    <m/>
    <m/>
    <m/>
    <n v="0"/>
    <m/>
    <m/>
    <m/>
    <m/>
    <m/>
    <m/>
    <m/>
    <n v="0"/>
    <s v="check wheel at 11:11"/>
    <s v="no fish"/>
    <s v="20140616 KBMatthews"/>
    <s v="20140617 DRobichaud"/>
    <s v="FW_Scan_20140616.pdf"/>
    <n v="0"/>
    <n v="0"/>
    <n v="0"/>
    <n v="0"/>
    <n v="0"/>
    <n v="0"/>
    <n v="0"/>
    <n v="0"/>
    <n v="0"/>
    <n v="0"/>
    <n v="0"/>
    <n v="0"/>
    <n v="0"/>
    <n v="0"/>
    <n v="0"/>
    <n v="0"/>
    <n v="0"/>
    <n v="0"/>
    <n v="0"/>
    <n v="0"/>
  </r>
  <r>
    <x v="10"/>
    <x v="1"/>
    <s v="kbm,jg"/>
    <d v="1899-12-30T11:20:00"/>
    <d v="1899-12-30T13:15:00"/>
    <n v="35"/>
    <n v="10"/>
    <m/>
    <m/>
    <n v="114.99999999999999"/>
    <m/>
    <m/>
    <m/>
    <n v="0"/>
    <m/>
    <m/>
    <m/>
    <n v="0"/>
    <m/>
    <m/>
    <m/>
    <m/>
    <n v="0"/>
    <m/>
    <m/>
    <m/>
    <n v="0"/>
    <m/>
    <m/>
    <m/>
    <n v="0"/>
    <m/>
    <m/>
    <m/>
    <m/>
    <n v="0"/>
    <m/>
    <m/>
    <m/>
    <m/>
    <m/>
    <m/>
    <m/>
    <n v="0"/>
    <s v="cleared debris"/>
    <s v="checked at 13:11 no fish"/>
    <s v="20140616 KBMatthews"/>
    <s v="20140617 DRobichaud"/>
    <s v="FW_Scan_20140616.pdf"/>
    <n v="0"/>
    <n v="0"/>
    <n v="0"/>
    <n v="0"/>
    <n v="0"/>
    <n v="0"/>
    <n v="0"/>
    <n v="0"/>
    <n v="0"/>
    <n v="0"/>
    <n v="0"/>
    <n v="0"/>
    <n v="0"/>
    <n v="0"/>
    <n v="0"/>
    <n v="0"/>
    <n v="0"/>
    <n v="0"/>
    <n v="0"/>
    <n v="0"/>
  </r>
  <r>
    <x v="10"/>
    <x v="1"/>
    <s v="dr,eg"/>
    <d v="1899-12-30T13:15:00"/>
    <d v="1899-12-30T16:15:00"/>
    <n v="35"/>
    <n v="9"/>
    <m/>
    <m/>
    <n v="180"/>
    <m/>
    <m/>
    <m/>
    <n v="0"/>
    <m/>
    <m/>
    <m/>
    <n v="0"/>
    <m/>
    <m/>
    <m/>
    <m/>
    <n v="0"/>
    <m/>
    <m/>
    <m/>
    <n v="0"/>
    <m/>
    <m/>
    <m/>
    <n v="0"/>
    <m/>
    <m/>
    <m/>
    <m/>
    <n v="0"/>
    <m/>
    <m/>
    <m/>
    <m/>
    <m/>
    <m/>
    <m/>
    <n v="0"/>
    <m/>
    <s v="checked at 16:15 no fish"/>
    <s v="20140616 DRobichaud"/>
    <s v="20140617 DRobichaud"/>
    <s v="FW_Scan_20140616.pdf"/>
    <n v="0"/>
    <n v="0"/>
    <n v="0"/>
    <n v="0"/>
    <n v="0"/>
    <n v="0"/>
    <n v="0"/>
    <n v="0"/>
    <n v="0"/>
    <n v="0"/>
    <n v="0"/>
    <n v="0"/>
    <n v="0"/>
    <n v="0"/>
    <n v="0"/>
    <n v="0"/>
    <n v="0"/>
    <n v="0"/>
    <n v="0"/>
    <n v="0"/>
  </r>
  <r>
    <x v="10"/>
    <x v="1"/>
    <s v="as,jk"/>
    <d v="1899-12-30T16:15:00"/>
    <d v="1899-12-30T17:56:00"/>
    <n v="39"/>
    <n v="10"/>
    <m/>
    <m/>
    <n v="100.99999999999996"/>
    <m/>
    <m/>
    <m/>
    <n v="0"/>
    <m/>
    <m/>
    <m/>
    <n v="0"/>
    <m/>
    <m/>
    <m/>
    <m/>
    <n v="0"/>
    <m/>
    <m/>
    <m/>
    <n v="0"/>
    <m/>
    <m/>
    <m/>
    <n v="0"/>
    <m/>
    <m/>
    <m/>
    <m/>
    <n v="0"/>
    <m/>
    <m/>
    <m/>
    <m/>
    <m/>
    <m/>
    <m/>
    <n v="0"/>
    <s v="cleared debris, adjusted lead net"/>
    <s v="check @1756, no fish"/>
    <s v="20140616 JKunzler"/>
    <s v="20140617 DRobichaud"/>
    <s v="FW_Scan_20140616.pdf"/>
    <n v="0"/>
    <n v="0"/>
    <n v="0"/>
    <n v="0"/>
    <n v="0"/>
    <n v="0"/>
    <n v="0"/>
    <n v="0"/>
    <n v="0"/>
    <n v="0"/>
    <n v="0"/>
    <n v="0"/>
    <n v="0"/>
    <n v="0"/>
    <n v="0"/>
    <n v="0"/>
    <n v="0"/>
    <n v="0"/>
    <n v="0"/>
    <n v="0"/>
  </r>
  <r>
    <x v="10"/>
    <x v="1"/>
    <s v="dr,eg"/>
    <d v="1899-12-30T17:56:00"/>
    <d v="1899-12-30T20:07:00"/>
    <n v="44"/>
    <n v="9"/>
    <m/>
    <m/>
    <n v="131"/>
    <m/>
    <m/>
    <m/>
    <n v="0"/>
    <m/>
    <m/>
    <m/>
    <n v="0"/>
    <m/>
    <m/>
    <m/>
    <m/>
    <n v="0"/>
    <m/>
    <m/>
    <m/>
    <n v="0"/>
    <m/>
    <m/>
    <m/>
    <n v="0"/>
    <m/>
    <m/>
    <m/>
    <m/>
    <n v="0"/>
    <m/>
    <m/>
    <m/>
    <m/>
    <m/>
    <m/>
    <m/>
    <n v="0"/>
    <s v="cleared debris-had wheel out of the water for 20 min DR note: wheel was not turning upon arrival.  Used 1/2 time since last check as stoptime.  Restarted at 22:17"/>
    <m/>
    <s v="20140616 DRobichaud"/>
    <s v="20140617 DRobichaud"/>
    <s v="FW_Scan_20140616.pdf"/>
    <n v="0"/>
    <n v="0"/>
    <n v="0"/>
    <n v="0"/>
    <n v="0"/>
    <n v="0"/>
    <n v="0"/>
    <n v="0"/>
    <n v="0"/>
    <n v="0"/>
    <n v="0"/>
    <n v="0"/>
    <n v="0"/>
    <n v="0"/>
    <n v="0"/>
    <n v="0"/>
    <n v="0"/>
    <n v="0"/>
    <n v="0"/>
    <n v="0"/>
  </r>
  <r>
    <x v="10"/>
    <x v="1"/>
    <s v="jg,kbm"/>
    <d v="1899-12-30T22:17:00"/>
    <d v="1899-12-30T23:59:00"/>
    <n v="35"/>
    <n v="10"/>
    <m/>
    <m/>
    <n v="101.99999999999996"/>
    <m/>
    <m/>
    <m/>
    <n v="0"/>
    <m/>
    <m/>
    <m/>
    <n v="0"/>
    <m/>
    <m/>
    <m/>
    <m/>
    <n v="0"/>
    <m/>
    <m/>
    <m/>
    <n v="0"/>
    <m/>
    <m/>
    <m/>
    <n v="0"/>
    <m/>
    <m/>
    <m/>
    <m/>
    <n v="0"/>
    <m/>
    <m/>
    <m/>
    <m/>
    <m/>
    <m/>
    <m/>
    <n v="0"/>
    <s v="shut down wheel for the night.  Clear debris"/>
    <s v="no fish"/>
    <s v="20140616 JGraham"/>
    <s v="20140617 DRobichaud"/>
    <s v="FW_Scan_20140616.pdf"/>
    <n v="0"/>
    <n v="0"/>
    <n v="0"/>
    <n v="0"/>
    <n v="0"/>
    <n v="0"/>
    <n v="0"/>
    <n v="0"/>
    <n v="0"/>
    <n v="0"/>
    <n v="0"/>
    <n v="0"/>
    <n v="0"/>
    <n v="0"/>
    <n v="0"/>
    <n v="0"/>
    <n v="0"/>
    <n v="0"/>
    <n v="0"/>
    <n v="0"/>
  </r>
  <r>
    <x v="11"/>
    <x v="0"/>
    <s v="as,jk"/>
    <d v="1899-12-30T06:08:00"/>
    <d v="1899-12-30T08:21:00"/>
    <n v="49"/>
    <n v="7"/>
    <m/>
    <m/>
    <n v="132.99999999999991"/>
    <n v="1"/>
    <m/>
    <m/>
    <n v="1"/>
    <m/>
    <m/>
    <m/>
    <n v="0"/>
    <m/>
    <m/>
    <m/>
    <m/>
    <n v="0"/>
    <m/>
    <m/>
    <m/>
    <n v="0"/>
    <m/>
    <m/>
    <m/>
    <n v="0"/>
    <m/>
    <m/>
    <m/>
    <m/>
    <n v="0"/>
    <m/>
    <m/>
    <m/>
    <m/>
    <m/>
    <m/>
    <m/>
    <n v="0"/>
    <s v="cleared lead line of debris &amp; fishwheel of tree"/>
    <m/>
    <s v="20140617 AStephens"/>
    <s v="20140618 DRobichaud"/>
    <s v="FW_Scan_20140617.pdf"/>
    <n v="1"/>
    <n v="0"/>
    <n v="0"/>
    <n v="0"/>
    <n v="0"/>
    <n v="0"/>
    <n v="0"/>
    <n v="0"/>
    <n v="0"/>
    <n v="0"/>
    <n v="0"/>
    <n v="0"/>
    <n v="0"/>
    <n v="0"/>
    <n v="0"/>
    <n v="0"/>
    <n v="0"/>
    <n v="0"/>
    <n v="0"/>
    <n v="0"/>
  </r>
  <r>
    <x v="11"/>
    <x v="0"/>
    <s v="dr,eg"/>
    <d v="1899-12-30T09:44:00"/>
    <d v="1899-12-30T11:27:00"/>
    <n v="46"/>
    <n v="7"/>
    <m/>
    <m/>
    <n v="103.00000000000003"/>
    <n v="2"/>
    <m/>
    <m/>
    <n v="2"/>
    <m/>
    <m/>
    <m/>
    <n v="0"/>
    <m/>
    <m/>
    <m/>
    <m/>
    <n v="0"/>
    <m/>
    <m/>
    <m/>
    <n v="0"/>
    <m/>
    <m/>
    <m/>
    <n v="0"/>
    <m/>
    <m/>
    <m/>
    <m/>
    <n v="0"/>
    <m/>
    <m/>
    <m/>
    <m/>
    <m/>
    <m/>
    <m/>
    <n v="0"/>
    <s v="wheel was not turning upon arrival.  Used 1/2 the time since last check for fw activity time (start time), or 9:44 am"/>
    <m/>
    <s v="20140617 DRobichaud"/>
    <s v="20140618 DRobichaud"/>
    <s v="FW_Scan_20140617.pdf"/>
    <n v="2"/>
    <n v="0"/>
    <n v="0"/>
    <n v="0"/>
    <n v="0"/>
    <n v="0"/>
    <n v="0"/>
    <n v="0"/>
    <n v="0"/>
    <n v="0"/>
    <n v="0"/>
    <n v="0"/>
    <n v="0"/>
    <n v="0"/>
    <n v="0"/>
    <n v="0"/>
    <n v="0"/>
    <n v="0"/>
    <n v="0"/>
    <n v="0"/>
  </r>
  <r>
    <x v="11"/>
    <x v="0"/>
    <s v="jg,kmb,jb"/>
    <d v="1899-12-30T11:27:00"/>
    <d v="1899-12-30T15:22:00"/>
    <n v="48"/>
    <n v="8"/>
    <m/>
    <m/>
    <n v="235.00000000000011"/>
    <n v="3"/>
    <m/>
    <m/>
    <n v="3"/>
    <m/>
    <m/>
    <m/>
    <n v="0"/>
    <m/>
    <m/>
    <m/>
    <m/>
    <n v="0"/>
    <m/>
    <m/>
    <m/>
    <n v="0"/>
    <m/>
    <m/>
    <m/>
    <n v="0"/>
    <m/>
    <m/>
    <m/>
    <m/>
    <n v="0"/>
    <m/>
    <m/>
    <m/>
    <m/>
    <m/>
    <m/>
    <m/>
    <n v="0"/>
    <s v="Removed debris from wheel.  Broken plywood on slide."/>
    <s v="dr: end time taken from biosample sheet"/>
    <s v="20140617 JGraham"/>
    <s v="20140618 DRobichaud"/>
    <s v="FW_Scan_20140617.pdf"/>
    <n v="3"/>
    <n v="0"/>
    <n v="0"/>
    <n v="0"/>
    <n v="0"/>
    <n v="0"/>
    <n v="0"/>
    <n v="0"/>
    <n v="0"/>
    <n v="0"/>
    <n v="0"/>
    <n v="0"/>
    <n v="0"/>
    <n v="0"/>
    <n v="0"/>
    <n v="0"/>
    <n v="0"/>
    <n v="0"/>
    <n v="0"/>
    <n v="0"/>
  </r>
  <r>
    <x v="11"/>
    <x v="0"/>
    <s v="dr,eg"/>
    <d v="1899-12-30T15:22:00"/>
    <d v="1899-12-30T17:32:00"/>
    <n v="49"/>
    <n v="7"/>
    <m/>
    <m/>
    <n v="130.00000000000003"/>
    <n v="2"/>
    <m/>
    <m/>
    <n v="2"/>
    <m/>
    <m/>
    <m/>
    <n v="0"/>
    <m/>
    <m/>
    <m/>
    <m/>
    <n v="0"/>
    <m/>
    <m/>
    <m/>
    <n v="0"/>
    <m/>
    <m/>
    <m/>
    <n v="0"/>
    <m/>
    <m/>
    <m/>
    <m/>
    <n v="0"/>
    <m/>
    <m/>
    <m/>
    <m/>
    <m/>
    <m/>
    <m/>
    <n v="0"/>
    <m/>
    <m/>
    <s v="20140617 DRobichaud"/>
    <s v="20140618 DRobichaud"/>
    <s v="FW_Scan_20140617.pdf"/>
    <n v="2"/>
    <n v="0"/>
    <n v="0"/>
    <n v="0"/>
    <n v="0"/>
    <n v="0"/>
    <n v="0"/>
    <n v="0"/>
    <n v="0"/>
    <n v="0"/>
    <n v="0"/>
    <n v="0"/>
    <n v="0"/>
    <n v="0"/>
    <n v="0"/>
    <n v="0"/>
    <n v="0"/>
    <n v="0"/>
    <n v="0"/>
    <n v="0"/>
  </r>
  <r>
    <x v="11"/>
    <x v="0"/>
    <s v="as,jk,eg,dr"/>
    <d v="1899-12-30T17:32:00"/>
    <d v="1899-12-30T18:00:00"/>
    <n v="38"/>
    <n v="7"/>
    <m/>
    <m/>
    <n v="27.999999999999901"/>
    <n v="1"/>
    <m/>
    <m/>
    <n v="1"/>
    <m/>
    <m/>
    <m/>
    <n v="0"/>
    <m/>
    <m/>
    <m/>
    <m/>
    <n v="0"/>
    <m/>
    <m/>
    <m/>
    <n v="0"/>
    <m/>
    <m/>
    <m/>
    <n v="0"/>
    <m/>
    <m/>
    <m/>
    <m/>
    <n v="0"/>
    <m/>
    <m/>
    <m/>
    <m/>
    <m/>
    <m/>
    <m/>
    <n v="0"/>
    <s v="wheel not turning when passed wheel at 18:30.  wheel restarted at 19:20"/>
    <s v="prob turning from 17:32 to ~18"/>
    <s v="20140617 DRobichaud"/>
    <s v="20140618 DRobichaud"/>
    <s v="FW_Scan_20140617.pdf"/>
    <n v="1"/>
    <n v="0"/>
    <n v="0"/>
    <n v="0"/>
    <n v="0"/>
    <n v="0"/>
    <n v="0"/>
    <n v="0"/>
    <n v="0"/>
    <n v="0"/>
    <n v="0"/>
    <n v="0"/>
    <n v="0"/>
    <n v="0"/>
    <n v="0"/>
    <n v="0"/>
    <n v="0"/>
    <n v="0"/>
    <n v="0"/>
    <n v="0"/>
  </r>
  <r>
    <x v="11"/>
    <x v="0"/>
    <s v="as,jk,eg,dr"/>
    <d v="1899-12-30T19:20:00"/>
    <d v="1899-12-30T19:48:00"/>
    <n v="38"/>
    <n v="7"/>
    <m/>
    <m/>
    <n v="28.00000000000022"/>
    <n v="1"/>
    <m/>
    <m/>
    <n v="1"/>
    <m/>
    <m/>
    <m/>
    <n v="0"/>
    <m/>
    <m/>
    <m/>
    <m/>
    <n v="0"/>
    <m/>
    <m/>
    <m/>
    <n v="0"/>
    <m/>
    <m/>
    <m/>
    <n v="0"/>
    <m/>
    <m/>
    <m/>
    <m/>
    <n v="0"/>
    <m/>
    <m/>
    <m/>
    <m/>
    <m/>
    <m/>
    <m/>
    <n v="0"/>
    <m/>
    <m/>
    <s v="20140617 DRobichaud"/>
    <s v="20140618 DRobichaud"/>
    <s v="FW_Scan_20140617.pdf"/>
    <n v="1"/>
    <n v="0"/>
    <n v="0"/>
    <n v="0"/>
    <n v="0"/>
    <n v="0"/>
    <n v="0"/>
    <n v="0"/>
    <n v="0"/>
    <n v="0"/>
    <n v="0"/>
    <n v="0"/>
    <n v="0"/>
    <n v="0"/>
    <n v="0"/>
    <n v="0"/>
    <n v="0"/>
    <n v="0"/>
    <n v="0"/>
    <n v="0"/>
  </r>
  <r>
    <x v="11"/>
    <x v="0"/>
    <s v="jg,kmb"/>
    <d v="1899-12-30T19:48:00"/>
    <d v="1899-12-30T23:38:00"/>
    <n v="51"/>
    <n v="8"/>
    <m/>
    <m/>
    <n v="229.99999999999983"/>
    <n v="3"/>
    <m/>
    <m/>
    <n v="3"/>
    <m/>
    <m/>
    <m/>
    <n v="0"/>
    <m/>
    <m/>
    <m/>
    <m/>
    <n v="0"/>
    <m/>
    <m/>
    <m/>
    <n v="0"/>
    <m/>
    <m/>
    <m/>
    <n v="0"/>
    <m/>
    <m/>
    <m/>
    <m/>
    <n v="0"/>
    <m/>
    <m/>
    <m/>
    <m/>
    <m/>
    <m/>
    <m/>
    <n v="0"/>
    <s v="cleaned debris from lead net"/>
    <s v="stopped wheel @23:38"/>
    <s v="20140617 JGraham"/>
    <s v="20140618 DRobichaud"/>
    <s v="FW_Scan_20140617.pdf"/>
    <n v="3"/>
    <n v="0"/>
    <n v="0"/>
    <n v="0"/>
    <n v="0"/>
    <n v="0"/>
    <n v="0"/>
    <n v="0"/>
    <n v="0"/>
    <n v="0"/>
    <n v="0"/>
    <n v="0"/>
    <n v="0"/>
    <n v="0"/>
    <n v="0"/>
    <n v="0"/>
    <n v="0"/>
    <n v="0"/>
    <n v="0"/>
    <n v="0"/>
  </r>
  <r>
    <x v="11"/>
    <x v="2"/>
    <s v="as,jk"/>
    <d v="1899-12-30T06:30:00"/>
    <d v="1899-12-30T07:54:00"/>
    <n v="38"/>
    <n v="7"/>
    <m/>
    <m/>
    <n v="84.000000000000028"/>
    <m/>
    <m/>
    <m/>
    <n v="0"/>
    <m/>
    <m/>
    <m/>
    <n v="0"/>
    <m/>
    <m/>
    <m/>
    <m/>
    <n v="0"/>
    <m/>
    <m/>
    <m/>
    <n v="0"/>
    <m/>
    <m/>
    <m/>
    <n v="0"/>
    <m/>
    <m/>
    <m/>
    <m/>
    <n v="0"/>
    <m/>
    <m/>
    <m/>
    <m/>
    <m/>
    <m/>
    <m/>
    <n v="0"/>
    <s v="cleared debris from the fishwheel &amp; leadline, no fish."/>
    <m/>
    <s v="20140617 JKunzler"/>
    <s v="20140618 DRobichaud"/>
    <s v="FW_Scan_20140617.pdf"/>
    <n v="0"/>
    <n v="0"/>
    <n v="0"/>
    <n v="0"/>
    <n v="0"/>
    <n v="0"/>
    <n v="0"/>
    <n v="0"/>
    <n v="0"/>
    <n v="0"/>
    <n v="0"/>
    <n v="0"/>
    <n v="0"/>
    <n v="0"/>
    <n v="0"/>
    <n v="0"/>
    <n v="0"/>
    <n v="0"/>
    <n v="0"/>
    <n v="0"/>
  </r>
  <r>
    <x v="11"/>
    <x v="2"/>
    <s v="dr,eg"/>
    <d v="1899-12-30T07:54:00"/>
    <d v="1899-12-30T11:45:00"/>
    <n v="32"/>
    <n v="7"/>
    <m/>
    <m/>
    <n v="230.99999999999997"/>
    <m/>
    <m/>
    <m/>
    <n v="0"/>
    <m/>
    <m/>
    <m/>
    <n v="0"/>
    <m/>
    <m/>
    <m/>
    <m/>
    <n v="0"/>
    <m/>
    <m/>
    <m/>
    <n v="0"/>
    <m/>
    <m/>
    <m/>
    <n v="0"/>
    <m/>
    <m/>
    <m/>
    <m/>
    <n v="0"/>
    <m/>
    <m/>
    <m/>
    <m/>
    <m/>
    <m/>
    <m/>
    <n v="0"/>
    <s v="replaced thermometer"/>
    <m/>
    <s v="20140617 DRobichaud"/>
    <s v="20140618 DRobichaud"/>
    <s v="FW_Scan_20140617.pdf"/>
    <n v="0"/>
    <n v="0"/>
    <n v="0"/>
    <n v="0"/>
    <n v="0"/>
    <n v="0"/>
    <n v="0"/>
    <n v="0"/>
    <n v="0"/>
    <n v="0"/>
    <n v="0"/>
    <n v="0"/>
    <n v="0"/>
    <n v="0"/>
    <n v="0"/>
    <n v="0"/>
    <n v="0"/>
    <n v="0"/>
    <n v="0"/>
    <n v="0"/>
  </r>
  <r>
    <x v="11"/>
    <x v="2"/>
    <s v="jg, kbm"/>
    <d v="1899-12-30T11:45:00"/>
    <d v="1899-12-30T16:05:00"/>
    <n v="32.5"/>
    <n v="11"/>
    <m/>
    <m/>
    <n v="259.99999999999994"/>
    <m/>
    <m/>
    <m/>
    <n v="0"/>
    <m/>
    <m/>
    <m/>
    <n v="0"/>
    <m/>
    <m/>
    <m/>
    <m/>
    <n v="0"/>
    <m/>
    <m/>
    <m/>
    <n v="0"/>
    <m/>
    <m/>
    <m/>
    <n v="0"/>
    <m/>
    <m/>
    <m/>
    <m/>
    <n v="0"/>
    <m/>
    <m/>
    <m/>
    <m/>
    <m/>
    <m/>
    <m/>
    <n v="0"/>
    <s v="raised wheel to dislodge large tree, replaced missing thermometer with old one"/>
    <s v="checked at 15:56, no fish"/>
    <s v="20140617 KBMatthews"/>
    <s v="20140618 DRobichaud"/>
    <s v="FW_Scan_20140617.pdf"/>
    <n v="0"/>
    <n v="0"/>
    <n v="0"/>
    <n v="0"/>
    <n v="0"/>
    <n v="0"/>
    <n v="0"/>
    <n v="0"/>
    <n v="0"/>
    <n v="0"/>
    <n v="0"/>
    <n v="0"/>
    <n v="0"/>
    <n v="0"/>
    <n v="0"/>
    <n v="0"/>
    <n v="0"/>
    <n v="0"/>
    <n v="0"/>
    <n v="0"/>
  </r>
  <r>
    <x v="11"/>
    <x v="2"/>
    <s v="dr,eg"/>
    <d v="1899-12-30T16:05:00"/>
    <d v="1899-12-30T16:55:00"/>
    <n v="40"/>
    <n v="9"/>
    <m/>
    <m/>
    <n v="50.000000000000142"/>
    <n v="1"/>
    <m/>
    <m/>
    <n v="1"/>
    <m/>
    <m/>
    <m/>
    <n v="0"/>
    <m/>
    <m/>
    <m/>
    <m/>
    <n v="0"/>
    <m/>
    <m/>
    <m/>
    <n v="0"/>
    <m/>
    <m/>
    <m/>
    <n v="0"/>
    <m/>
    <m/>
    <m/>
    <m/>
    <n v="0"/>
    <m/>
    <m/>
    <m/>
    <m/>
    <m/>
    <m/>
    <m/>
    <n v="0"/>
    <s v="wheel not turning on arrival.  Used 1/2 time for stop.  Restarted wheel at 18:15"/>
    <m/>
    <s v="20140617 DRobichaud"/>
    <s v="20140618 DRobichaud"/>
    <s v="FW_Scan_20140617.pdf"/>
    <n v="1"/>
    <n v="0"/>
    <n v="0"/>
    <n v="0"/>
    <n v="0"/>
    <n v="0"/>
    <n v="0"/>
    <n v="0"/>
    <n v="0"/>
    <n v="0"/>
    <n v="0"/>
    <n v="0"/>
    <n v="0"/>
    <n v="0"/>
    <n v="0"/>
    <n v="0"/>
    <n v="0"/>
    <n v="0"/>
    <n v="0"/>
    <n v="0"/>
  </r>
  <r>
    <x v="11"/>
    <x v="2"/>
    <s v="kbm,jg"/>
    <d v="1899-12-30T18:15:00"/>
    <d v="1899-12-30T23:05:00"/>
    <n v="34"/>
    <n v="10"/>
    <m/>
    <m/>
    <n v="289.99999999999994"/>
    <m/>
    <m/>
    <m/>
    <n v="0"/>
    <m/>
    <m/>
    <m/>
    <n v="0"/>
    <m/>
    <m/>
    <m/>
    <m/>
    <n v="0"/>
    <m/>
    <m/>
    <m/>
    <n v="0"/>
    <m/>
    <m/>
    <m/>
    <n v="0"/>
    <m/>
    <m/>
    <m/>
    <m/>
    <n v="0"/>
    <m/>
    <m/>
    <m/>
    <m/>
    <m/>
    <m/>
    <m/>
    <n v="0"/>
    <s v="stopped wheel @ 2305"/>
    <s v="no fish"/>
    <s v="20140617 KBMatthews"/>
    <s v="20140618 DRobichaud"/>
    <s v="FW_Scan_20140617.pdf"/>
    <n v="0"/>
    <n v="0"/>
    <n v="0"/>
    <n v="0"/>
    <n v="0"/>
    <n v="0"/>
    <n v="0"/>
    <n v="0"/>
    <n v="0"/>
    <n v="0"/>
    <n v="0"/>
    <n v="0"/>
    <n v="0"/>
    <n v="0"/>
    <n v="0"/>
    <n v="0"/>
    <n v="0"/>
    <n v="0"/>
    <n v="0"/>
    <n v="0"/>
  </r>
  <r>
    <x v="11"/>
    <x v="1"/>
    <s v="as,jk"/>
    <d v="1899-12-30T05:51:00"/>
    <d v="1899-12-30T07:41:00"/>
    <n v="34"/>
    <n v="10"/>
    <m/>
    <m/>
    <n v="110.00000000000004"/>
    <m/>
    <m/>
    <m/>
    <n v="0"/>
    <m/>
    <m/>
    <m/>
    <n v="0"/>
    <m/>
    <m/>
    <m/>
    <m/>
    <n v="0"/>
    <m/>
    <m/>
    <m/>
    <n v="0"/>
    <m/>
    <m/>
    <m/>
    <n v="0"/>
    <m/>
    <m/>
    <m/>
    <m/>
    <n v="0"/>
    <m/>
    <m/>
    <m/>
    <m/>
    <m/>
    <m/>
    <m/>
    <n v="0"/>
    <s v="cleared fish wheel of debris"/>
    <m/>
    <s v="20140617 JKunzler"/>
    <s v="20140618 DRobichaud"/>
    <s v="FW_Scan_20140617.pdf"/>
    <n v="0"/>
    <n v="0"/>
    <n v="0"/>
    <n v="0"/>
    <n v="0"/>
    <n v="0"/>
    <n v="0"/>
    <n v="0"/>
    <n v="0"/>
    <n v="0"/>
    <n v="0"/>
    <n v="0"/>
    <n v="0"/>
    <n v="0"/>
    <n v="0"/>
    <n v="0"/>
    <n v="0"/>
    <n v="0"/>
    <n v="0"/>
    <n v="0"/>
  </r>
  <r>
    <x v="11"/>
    <x v="1"/>
    <s v="dr,eg"/>
    <d v="1899-12-30T07:41:00"/>
    <d v="1899-12-30T12:25:00"/>
    <n v="36"/>
    <n v="9"/>
    <m/>
    <m/>
    <n v="283.99999999999983"/>
    <n v="1"/>
    <m/>
    <m/>
    <n v="1"/>
    <m/>
    <m/>
    <m/>
    <n v="0"/>
    <m/>
    <m/>
    <m/>
    <m/>
    <n v="0"/>
    <m/>
    <m/>
    <m/>
    <n v="0"/>
    <m/>
    <m/>
    <m/>
    <n v="0"/>
    <m/>
    <n v="0"/>
    <m/>
    <m/>
    <n v="0"/>
    <m/>
    <m/>
    <m/>
    <m/>
    <m/>
    <m/>
    <m/>
    <n v="0"/>
    <m/>
    <s v="smolt: coho (11 cm approx)"/>
    <s v="20140617 DRobichaud"/>
    <s v="20140618 DRobichaud"/>
    <s v="FW_Scan_20140617.pdf"/>
    <n v="1"/>
    <n v="0"/>
    <n v="0"/>
    <n v="0"/>
    <n v="0"/>
    <n v="0"/>
    <n v="0"/>
    <n v="0"/>
    <n v="0"/>
    <n v="0"/>
    <n v="0"/>
    <n v="0"/>
    <n v="0"/>
    <n v="0"/>
    <n v="0"/>
    <n v="0"/>
    <n v="0"/>
    <n v="0"/>
    <n v="0"/>
    <n v="0"/>
  </r>
  <r>
    <x v="11"/>
    <x v="1"/>
    <s v="kbm,jg"/>
    <d v="1899-12-30T12:25:00"/>
    <d v="1899-12-30T15:39:00"/>
    <n v="40"/>
    <n v="9"/>
    <m/>
    <m/>
    <n v="194.00000000000011"/>
    <m/>
    <m/>
    <m/>
    <n v="0"/>
    <m/>
    <m/>
    <m/>
    <n v="0"/>
    <m/>
    <m/>
    <m/>
    <m/>
    <n v="0"/>
    <m/>
    <m/>
    <m/>
    <n v="0"/>
    <m/>
    <m/>
    <m/>
    <n v="0"/>
    <m/>
    <m/>
    <m/>
    <m/>
    <n v="0"/>
    <m/>
    <m/>
    <m/>
    <m/>
    <m/>
    <m/>
    <m/>
    <n v="0"/>
    <s v="checked wheel at 15:34. No fish"/>
    <m/>
    <s v="20140617 KBMatthews"/>
    <s v="20140618 DRobichaud"/>
    <s v="FW_Scan_20140617.pdf"/>
    <n v="0"/>
    <n v="0"/>
    <n v="0"/>
    <n v="0"/>
    <n v="0"/>
    <n v="0"/>
    <n v="0"/>
    <n v="0"/>
    <n v="0"/>
    <n v="0"/>
    <n v="0"/>
    <n v="0"/>
    <n v="0"/>
    <n v="0"/>
    <n v="0"/>
    <n v="0"/>
    <n v="0"/>
    <n v="0"/>
    <n v="0"/>
    <n v="0"/>
  </r>
  <r>
    <x v="11"/>
    <x v="1"/>
    <s v="dr,eg"/>
    <d v="1899-12-30T15:39:00"/>
    <d v="1899-12-30T18:47:00"/>
    <n v="37"/>
    <n v="9"/>
    <m/>
    <m/>
    <n v="188.00000000000014"/>
    <m/>
    <m/>
    <m/>
    <n v="0"/>
    <m/>
    <m/>
    <m/>
    <n v="0"/>
    <m/>
    <m/>
    <m/>
    <m/>
    <n v="0"/>
    <m/>
    <m/>
    <m/>
    <n v="0"/>
    <m/>
    <m/>
    <m/>
    <n v="0"/>
    <m/>
    <m/>
    <m/>
    <m/>
    <n v="0"/>
    <m/>
    <m/>
    <m/>
    <m/>
    <m/>
    <m/>
    <m/>
    <n v="0"/>
    <s v="checked at 18:47. "/>
    <s v="no fish"/>
    <s v="20140617 DRobichaud"/>
    <s v="20140618 DRobichaud"/>
    <s v="FW_Scan_20140617.pdf"/>
    <n v="0"/>
    <n v="0"/>
    <n v="0"/>
    <n v="0"/>
    <n v="0"/>
    <n v="0"/>
    <n v="0"/>
    <n v="0"/>
    <n v="0"/>
    <n v="0"/>
    <n v="0"/>
    <n v="0"/>
    <n v="0"/>
    <n v="0"/>
    <n v="0"/>
    <n v="0"/>
    <n v="0"/>
    <n v="0"/>
    <n v="0"/>
    <n v="0"/>
  </r>
  <r>
    <x v="11"/>
    <x v="1"/>
    <s v="jg,kbm"/>
    <d v="1899-12-30T18:47:00"/>
    <d v="1899-12-30T22:47:00"/>
    <n v="41"/>
    <n v="9"/>
    <m/>
    <m/>
    <n v="239.99999999999994"/>
    <m/>
    <m/>
    <m/>
    <n v="0"/>
    <m/>
    <m/>
    <m/>
    <n v="0"/>
    <m/>
    <m/>
    <m/>
    <m/>
    <n v="0"/>
    <m/>
    <m/>
    <m/>
    <n v="0"/>
    <m/>
    <m/>
    <m/>
    <n v="0"/>
    <m/>
    <m/>
    <m/>
    <m/>
    <n v="0"/>
    <m/>
    <m/>
    <m/>
    <m/>
    <m/>
    <m/>
    <m/>
    <n v="0"/>
    <s v="checked @ 20:48. no fish.  Stopped wheel at 22:45"/>
    <m/>
    <s v="20140617 KBMatthews"/>
    <s v="20140618 DRobichaud"/>
    <s v="FW_Scan_20140617.pdf"/>
    <n v="0"/>
    <n v="0"/>
    <n v="0"/>
    <n v="0"/>
    <n v="0"/>
    <n v="0"/>
    <n v="0"/>
    <n v="0"/>
    <n v="0"/>
    <n v="0"/>
    <n v="0"/>
    <n v="0"/>
    <n v="0"/>
    <n v="0"/>
    <n v="0"/>
    <n v="0"/>
    <n v="0"/>
    <n v="0"/>
    <n v="0"/>
    <n v="0"/>
  </r>
  <r>
    <x v="12"/>
    <x v="0"/>
    <s v="eg,as"/>
    <d v="1899-12-30T05:42:00"/>
    <d v="1899-12-30T09:15:00"/>
    <n v="45"/>
    <n v="8"/>
    <m/>
    <m/>
    <n v="213"/>
    <n v="2"/>
    <m/>
    <m/>
    <n v="2"/>
    <m/>
    <m/>
    <m/>
    <n v="0"/>
    <m/>
    <m/>
    <m/>
    <m/>
    <n v="0"/>
    <m/>
    <m/>
    <m/>
    <n v="0"/>
    <m/>
    <m/>
    <m/>
    <n v="0"/>
    <m/>
    <m/>
    <m/>
    <m/>
    <n v="0"/>
    <m/>
    <m/>
    <m/>
    <m/>
    <m/>
    <m/>
    <m/>
    <n v="0"/>
    <s v="checked @ 6:48,09:10.  cleaned bridal and lead net"/>
    <m/>
    <s v="20140618 AStephens"/>
    <s v="20140619 DRobichaud"/>
    <s v="FW_Scan_20140618.pdf"/>
    <n v="2"/>
    <n v="0"/>
    <n v="0"/>
    <n v="0"/>
    <n v="0"/>
    <n v="0"/>
    <n v="0"/>
    <n v="0"/>
    <n v="0"/>
    <n v="0"/>
    <n v="0"/>
    <n v="0"/>
    <n v="0"/>
    <n v="0"/>
    <n v="0"/>
    <n v="0"/>
    <n v="0"/>
    <n v="0"/>
    <n v="0"/>
    <n v="0"/>
  </r>
  <r>
    <x v="12"/>
    <x v="0"/>
    <s v="dr, jk"/>
    <d v="1899-12-30T09:15:00"/>
    <d v="1899-12-30T12:20:00"/>
    <n v="45"/>
    <n v="7"/>
    <m/>
    <m/>
    <n v="185.00000000000006"/>
    <n v="3"/>
    <m/>
    <m/>
    <n v="3"/>
    <m/>
    <m/>
    <m/>
    <n v="0"/>
    <m/>
    <m/>
    <m/>
    <m/>
    <n v="0"/>
    <m/>
    <m/>
    <m/>
    <n v="0"/>
    <m/>
    <m/>
    <m/>
    <n v="0"/>
    <m/>
    <m/>
    <m/>
    <m/>
    <n v="0"/>
    <m/>
    <m/>
    <m/>
    <m/>
    <m/>
    <m/>
    <m/>
    <n v="0"/>
    <m/>
    <m/>
    <s v="20140618 JKunzler"/>
    <s v="20140619 DRobichaud"/>
    <s v="FW_Scan_20140618.pdf"/>
    <n v="3"/>
    <n v="0"/>
    <n v="0"/>
    <n v="0"/>
    <n v="0"/>
    <n v="0"/>
    <n v="0"/>
    <n v="0"/>
    <n v="0"/>
    <n v="0"/>
    <n v="0"/>
    <n v="0"/>
    <n v="0"/>
    <n v="0"/>
    <n v="0"/>
    <n v="0"/>
    <n v="0"/>
    <n v="0"/>
    <n v="0"/>
    <n v="0"/>
  </r>
  <r>
    <x v="12"/>
    <x v="0"/>
    <s v="rt.jg"/>
    <d v="1899-12-30T12:20:00"/>
    <d v="1899-12-30T16:50:00"/>
    <n v="44"/>
    <n v="7"/>
    <m/>
    <m/>
    <n v="269.99999999999983"/>
    <n v="4"/>
    <m/>
    <m/>
    <n v="4"/>
    <m/>
    <m/>
    <m/>
    <n v="0"/>
    <m/>
    <m/>
    <m/>
    <m/>
    <n v="0"/>
    <m/>
    <m/>
    <m/>
    <n v="0"/>
    <m/>
    <m/>
    <m/>
    <n v="0"/>
    <m/>
    <m/>
    <m/>
    <m/>
    <n v="0"/>
    <m/>
    <m/>
    <m/>
    <m/>
    <m/>
    <m/>
    <m/>
    <n v="0"/>
    <m/>
    <s v="arrive @ 13:07"/>
    <s v="20140618 JGraham"/>
    <s v="20140619 DRobichaud"/>
    <s v="FW_Scan_20140618.pdf"/>
    <n v="4"/>
    <n v="0"/>
    <n v="0"/>
    <n v="0"/>
    <n v="0"/>
    <n v="0"/>
    <n v="0"/>
    <n v="0"/>
    <n v="0"/>
    <n v="0"/>
    <n v="0"/>
    <n v="0"/>
    <n v="0"/>
    <n v="0"/>
    <n v="0"/>
    <n v="0"/>
    <n v="0"/>
    <n v="0"/>
    <n v="0"/>
    <n v="0"/>
  </r>
  <r>
    <x v="12"/>
    <x v="0"/>
    <s v="dr,jk"/>
    <d v="1899-12-30T16:50:00"/>
    <d v="1899-12-30T19:47:00"/>
    <n v="43"/>
    <n v="8"/>
    <m/>
    <m/>
    <n v="177.00000000000017"/>
    <n v="3"/>
    <m/>
    <m/>
    <n v="3"/>
    <m/>
    <n v="1"/>
    <m/>
    <n v="1"/>
    <m/>
    <m/>
    <m/>
    <m/>
    <n v="0"/>
    <m/>
    <m/>
    <m/>
    <n v="0"/>
    <m/>
    <m/>
    <m/>
    <n v="0"/>
    <m/>
    <m/>
    <m/>
    <m/>
    <n v="0"/>
    <m/>
    <m/>
    <m/>
    <m/>
    <m/>
    <m/>
    <m/>
    <n v="0"/>
    <m/>
    <s v="CNj was too small to take tag; One CN was 50 cm but would not take large tag, inserted small one."/>
    <s v="20140618 JKunzler"/>
    <s v="20140619 DRobichaud"/>
    <s v="FW_Scan_20140618.pdf"/>
    <n v="3"/>
    <n v="0"/>
    <n v="0"/>
    <n v="0"/>
    <n v="1"/>
    <n v="0"/>
    <n v="0"/>
    <n v="0"/>
    <n v="0"/>
    <n v="0"/>
    <n v="0"/>
    <n v="0"/>
    <n v="0"/>
    <n v="0"/>
    <n v="0"/>
    <n v="0"/>
    <n v="0"/>
    <n v="0"/>
    <n v="0"/>
    <n v="0"/>
  </r>
  <r>
    <x v="12"/>
    <x v="0"/>
    <s v="rt,jg"/>
    <d v="1899-12-30T19:47:00"/>
    <d v="1899-12-30T23:08:00"/>
    <n v="45"/>
    <n v="7"/>
    <m/>
    <n v="49.2"/>
    <n v="200.99999999999991"/>
    <n v="1"/>
    <m/>
    <m/>
    <n v="1"/>
    <m/>
    <n v="1"/>
    <m/>
    <n v="1"/>
    <m/>
    <m/>
    <m/>
    <m/>
    <n v="0"/>
    <m/>
    <m/>
    <m/>
    <n v="0"/>
    <m/>
    <m/>
    <m/>
    <n v="0"/>
    <m/>
    <m/>
    <m/>
    <m/>
    <n v="0"/>
    <m/>
    <m/>
    <m/>
    <m/>
    <m/>
    <m/>
    <m/>
    <n v="0"/>
    <s v="arrived 20:45 wheel stopped due to lodged stick, removed, turning well"/>
    <s v="turbidity sample @20:54"/>
    <s v="20140618 RTyler"/>
    <s v="20140619 DRobichaud"/>
    <s v="FW_Scan_20140618.pdf"/>
    <n v="1"/>
    <n v="0"/>
    <n v="0"/>
    <n v="0"/>
    <n v="1"/>
    <n v="0"/>
    <n v="0"/>
    <n v="0"/>
    <n v="0"/>
    <n v="0"/>
    <n v="0"/>
    <n v="0"/>
    <n v="0"/>
    <n v="0"/>
    <n v="0"/>
    <n v="0"/>
    <n v="0"/>
    <n v="0"/>
    <n v="0"/>
    <n v="0"/>
  </r>
  <r>
    <x v="12"/>
    <x v="2"/>
    <s v="fg,as"/>
    <d v="1899-12-30T06:28:00"/>
    <d v="1899-12-30T08:56:00"/>
    <n v="34"/>
    <n v="9"/>
    <m/>
    <m/>
    <n v="148.00000000000003"/>
    <m/>
    <m/>
    <m/>
    <n v="0"/>
    <m/>
    <n v="1"/>
    <m/>
    <n v="1"/>
    <m/>
    <m/>
    <m/>
    <m/>
    <n v="0"/>
    <m/>
    <m/>
    <m/>
    <n v="0"/>
    <m/>
    <m/>
    <m/>
    <n v="0"/>
    <m/>
    <m/>
    <m/>
    <m/>
    <n v="0"/>
    <m/>
    <m/>
    <m/>
    <m/>
    <m/>
    <m/>
    <m/>
    <n v="0"/>
    <s v="cleared lead net"/>
    <s v="1 CNj had wound &amp; too small"/>
    <s v="20140618 AStephens"/>
    <s v="20140619 DRobichaud"/>
    <s v="FW_Scan_20140618.pdf"/>
    <n v="0"/>
    <n v="0"/>
    <n v="0"/>
    <n v="0"/>
    <n v="1"/>
    <n v="0"/>
    <n v="0"/>
    <n v="0"/>
    <n v="0"/>
    <n v="0"/>
    <n v="0"/>
    <n v="0"/>
    <n v="0"/>
    <n v="0"/>
    <n v="0"/>
    <n v="0"/>
    <n v="0"/>
    <n v="0"/>
    <n v="0"/>
    <n v="0"/>
  </r>
  <r>
    <x v="12"/>
    <x v="2"/>
    <s v="dr,jk"/>
    <d v="1899-12-30T08:56:00"/>
    <d v="1899-12-30T12:50:00"/>
    <n v="36"/>
    <n v="10"/>
    <m/>
    <m/>
    <n v="213.99999999999997"/>
    <n v="2"/>
    <m/>
    <m/>
    <n v="2"/>
    <m/>
    <m/>
    <m/>
    <n v="0"/>
    <m/>
    <m/>
    <m/>
    <m/>
    <n v="0"/>
    <m/>
    <m/>
    <m/>
    <n v="0"/>
    <m/>
    <m/>
    <m/>
    <n v="0"/>
    <m/>
    <m/>
    <m/>
    <m/>
    <n v="0"/>
    <m/>
    <m/>
    <m/>
    <m/>
    <m/>
    <m/>
    <m/>
    <n v="0"/>
    <s v="debris in wheel, stopped for 20 min (12:25-12:45)"/>
    <m/>
    <s v="20140618 JKunzler"/>
    <s v="20140619 DRobichaud"/>
    <s v="FW_Scan_20140618.pdf"/>
    <n v="2"/>
    <n v="0"/>
    <n v="0"/>
    <n v="0"/>
    <n v="0"/>
    <n v="0"/>
    <n v="0"/>
    <n v="0"/>
    <n v="0"/>
    <n v="0"/>
    <n v="0"/>
    <n v="0"/>
    <n v="0"/>
    <n v="0"/>
    <n v="0"/>
    <n v="0"/>
    <n v="0"/>
    <n v="0"/>
    <n v="0"/>
    <n v="0"/>
  </r>
  <r>
    <x v="12"/>
    <x v="2"/>
    <s v="rt,jg"/>
    <d v="1899-12-30T12:50:00"/>
    <d v="1899-12-30T16:25:00"/>
    <n v="33"/>
    <n v="9"/>
    <m/>
    <m/>
    <n v="215.00000000000003"/>
    <n v="1"/>
    <m/>
    <m/>
    <n v="1"/>
    <m/>
    <m/>
    <m/>
    <n v="0"/>
    <m/>
    <m/>
    <m/>
    <m/>
    <n v="0"/>
    <m/>
    <m/>
    <m/>
    <n v="0"/>
    <m/>
    <m/>
    <m/>
    <n v="0"/>
    <m/>
    <m/>
    <m/>
    <m/>
    <n v="0"/>
    <m/>
    <m/>
    <m/>
    <m/>
    <m/>
    <m/>
    <m/>
    <n v="0"/>
    <m/>
    <m/>
    <s v="20140618 RTyler"/>
    <s v="20140619 DRobichaud"/>
    <s v="FW_Scan_20140618.pdf"/>
    <n v="1"/>
    <n v="0"/>
    <n v="0"/>
    <n v="0"/>
    <n v="0"/>
    <n v="0"/>
    <n v="0"/>
    <n v="0"/>
    <n v="0"/>
    <n v="0"/>
    <n v="0"/>
    <n v="0"/>
    <n v="0"/>
    <n v="0"/>
    <n v="0"/>
    <n v="0"/>
    <n v="0"/>
    <n v="0"/>
    <n v="0"/>
    <n v="0"/>
  </r>
  <r>
    <x v="12"/>
    <x v="2"/>
    <s v="dr,jk"/>
    <d v="1899-12-30T16:25:00"/>
    <d v="1899-12-30T19:54:00"/>
    <n v="32"/>
    <n v="9"/>
    <m/>
    <m/>
    <n v="208.99999999999989"/>
    <m/>
    <m/>
    <m/>
    <n v="0"/>
    <m/>
    <m/>
    <m/>
    <n v="0"/>
    <m/>
    <m/>
    <m/>
    <m/>
    <n v="0"/>
    <m/>
    <m/>
    <m/>
    <n v="0"/>
    <m/>
    <m/>
    <m/>
    <n v="0"/>
    <m/>
    <m/>
    <m/>
    <m/>
    <n v="0"/>
    <m/>
    <m/>
    <m/>
    <m/>
    <m/>
    <m/>
    <m/>
    <n v="0"/>
    <m/>
    <s v="no fish"/>
    <s v="20140618 JKunzler"/>
    <s v="20140619 DRobichaud"/>
    <s v="FW_Scan_20140618.pdf"/>
    <n v="0"/>
    <n v="0"/>
    <n v="0"/>
    <n v="0"/>
    <n v="0"/>
    <n v="0"/>
    <n v="0"/>
    <n v="0"/>
    <n v="0"/>
    <n v="0"/>
    <n v="0"/>
    <n v="0"/>
    <n v="0"/>
    <n v="0"/>
    <n v="0"/>
    <n v="0"/>
    <n v="0"/>
    <n v="0"/>
    <n v="0"/>
    <n v="0"/>
  </r>
  <r>
    <x v="12"/>
    <x v="2"/>
    <s v="rt,jg"/>
    <d v="1899-12-30T19:54:00"/>
    <d v="1899-12-30T22:52:00"/>
    <n v="33"/>
    <n v="10"/>
    <m/>
    <m/>
    <n v="178.00000000000017"/>
    <m/>
    <m/>
    <m/>
    <n v="0"/>
    <m/>
    <m/>
    <m/>
    <n v="0"/>
    <m/>
    <m/>
    <m/>
    <m/>
    <n v="0"/>
    <m/>
    <m/>
    <m/>
    <n v="0"/>
    <m/>
    <m/>
    <m/>
    <n v="0"/>
    <m/>
    <m/>
    <m/>
    <m/>
    <n v="0"/>
    <m/>
    <m/>
    <m/>
    <m/>
    <m/>
    <m/>
    <m/>
    <n v="0"/>
    <m/>
    <s v="no fish"/>
    <s v="20140618 RTyler"/>
    <s v="20140619 DRobichaud"/>
    <s v="FW_Scan_20140618.pdf"/>
    <n v="0"/>
    <n v="0"/>
    <n v="0"/>
    <n v="0"/>
    <n v="0"/>
    <n v="0"/>
    <n v="0"/>
    <n v="0"/>
    <n v="0"/>
    <n v="0"/>
    <n v="0"/>
    <n v="0"/>
    <n v="0"/>
    <n v="0"/>
    <n v="0"/>
    <n v="0"/>
    <n v="0"/>
    <n v="0"/>
    <n v="0"/>
    <n v="0"/>
  </r>
  <r>
    <x v="12"/>
    <x v="1"/>
    <s v="as,eg"/>
    <d v="1899-12-30T06:13:00"/>
    <d v="1899-12-30T09:27:00"/>
    <n v="36"/>
    <n v="9"/>
    <m/>
    <m/>
    <n v="193.99999999999994"/>
    <m/>
    <m/>
    <m/>
    <n v="0"/>
    <m/>
    <m/>
    <m/>
    <n v="0"/>
    <m/>
    <m/>
    <m/>
    <m/>
    <n v="0"/>
    <m/>
    <m/>
    <m/>
    <n v="0"/>
    <m/>
    <m/>
    <m/>
    <n v="0"/>
    <m/>
    <m/>
    <m/>
    <m/>
    <n v="0"/>
    <m/>
    <m/>
    <m/>
    <m/>
    <m/>
    <m/>
    <m/>
    <n v="0"/>
    <s v="checked @ 8:26, 9:26; cleaned lead net"/>
    <m/>
    <s v="20140618 AStephens"/>
    <s v="20140619 DRobichaud"/>
    <s v="FW_Scan_20140618.pdf"/>
    <n v="0"/>
    <n v="0"/>
    <n v="0"/>
    <n v="0"/>
    <n v="0"/>
    <n v="0"/>
    <n v="0"/>
    <n v="0"/>
    <n v="0"/>
    <n v="0"/>
    <n v="0"/>
    <n v="0"/>
    <n v="0"/>
    <n v="0"/>
    <n v="0"/>
    <n v="0"/>
    <n v="0"/>
    <n v="0"/>
    <n v="0"/>
    <n v="0"/>
  </r>
  <r>
    <x v="12"/>
    <x v="1"/>
    <s v="dr,jk"/>
    <d v="1899-12-30T09:27:00"/>
    <d v="1899-12-30T11:53:00"/>
    <n v="39"/>
    <n v="9"/>
    <m/>
    <m/>
    <n v="145.99999999999997"/>
    <m/>
    <m/>
    <m/>
    <n v="0"/>
    <m/>
    <m/>
    <m/>
    <n v="0"/>
    <m/>
    <m/>
    <m/>
    <m/>
    <n v="0"/>
    <m/>
    <m/>
    <m/>
    <n v="0"/>
    <m/>
    <m/>
    <m/>
    <n v="0"/>
    <m/>
    <m/>
    <m/>
    <m/>
    <n v="0"/>
    <m/>
    <m/>
    <m/>
    <m/>
    <m/>
    <m/>
    <m/>
    <n v="0"/>
    <s v="checked @ 1153"/>
    <s v="no fish"/>
    <s v="20140618 JKunzler"/>
    <s v="20140619 DRobichaud"/>
    <s v="FW_Scan_20140618.pdf"/>
    <n v="0"/>
    <n v="0"/>
    <n v="0"/>
    <n v="0"/>
    <n v="0"/>
    <n v="0"/>
    <n v="0"/>
    <n v="0"/>
    <n v="0"/>
    <n v="0"/>
    <n v="0"/>
    <n v="0"/>
    <n v="0"/>
    <n v="0"/>
    <n v="0"/>
    <n v="0"/>
    <n v="0"/>
    <n v="0"/>
    <n v="0"/>
    <n v="0"/>
  </r>
  <r>
    <x v="12"/>
    <x v="1"/>
    <s v="rt,jg"/>
    <d v="1899-12-30T11:53:00"/>
    <d v="1899-12-30T15:08:00"/>
    <n v="42"/>
    <n v="8"/>
    <m/>
    <m/>
    <n v="195.00000000000003"/>
    <m/>
    <m/>
    <m/>
    <n v="0"/>
    <m/>
    <m/>
    <m/>
    <n v="0"/>
    <m/>
    <m/>
    <m/>
    <m/>
    <n v="0"/>
    <m/>
    <m/>
    <m/>
    <n v="0"/>
    <m/>
    <m/>
    <m/>
    <n v="0"/>
    <m/>
    <m/>
    <m/>
    <m/>
    <n v="0"/>
    <m/>
    <m/>
    <m/>
    <m/>
    <m/>
    <m/>
    <m/>
    <n v="0"/>
    <s v="raised for net/basket repair, moved upriver 6 ft, checked @ 13:49, 15:07"/>
    <s v="no fish"/>
    <s v="20140618 RTyler"/>
    <s v="20140619 DRobichaud"/>
    <s v="FW_Scan_20140618.pdf"/>
    <n v="0"/>
    <n v="0"/>
    <n v="0"/>
    <n v="0"/>
    <n v="0"/>
    <n v="0"/>
    <n v="0"/>
    <n v="0"/>
    <n v="0"/>
    <n v="0"/>
    <n v="0"/>
    <n v="0"/>
    <n v="0"/>
    <n v="0"/>
    <n v="0"/>
    <n v="0"/>
    <n v="0"/>
    <n v="0"/>
    <n v="0"/>
    <n v="0"/>
  </r>
  <r>
    <x v="12"/>
    <x v="1"/>
    <s v="rt,jg,as,eg"/>
    <d v="1899-12-30T19:08:00"/>
    <d v="1899-12-30T23:21:00"/>
    <n v="45"/>
    <n v="8"/>
    <m/>
    <m/>
    <n v="253.00000000000023"/>
    <n v="2"/>
    <m/>
    <m/>
    <n v="2"/>
    <m/>
    <n v="2"/>
    <m/>
    <n v="2"/>
    <m/>
    <m/>
    <m/>
    <m/>
    <n v="0"/>
    <m/>
    <m/>
    <m/>
    <n v="0"/>
    <m/>
    <m/>
    <m/>
    <n v="0"/>
    <m/>
    <m/>
    <m/>
    <m/>
    <n v="0"/>
    <m/>
    <m/>
    <n v="1"/>
    <m/>
    <m/>
    <m/>
    <m/>
    <n v="1"/>
    <m/>
    <m/>
    <s v="20140618 JGraham"/>
    <s v="20140619 DRobichaud"/>
    <s v="FW_Scan_20140618.pdf"/>
    <n v="2"/>
    <n v="0"/>
    <n v="0"/>
    <n v="0"/>
    <n v="2"/>
    <n v="0"/>
    <n v="0"/>
    <n v="0"/>
    <n v="0"/>
    <n v="0"/>
    <n v="0"/>
    <n v="0"/>
    <n v="0"/>
    <n v="0"/>
    <n v="0"/>
    <n v="0"/>
    <n v="0"/>
    <n v="0"/>
    <n v="0"/>
    <n v="0"/>
  </r>
  <r>
    <x v="13"/>
    <x v="0"/>
    <s v="as,eg"/>
    <d v="1899-12-30T05:45:00"/>
    <d v="1899-12-30T08:00:00"/>
    <n v="47"/>
    <n v="7"/>
    <m/>
    <m/>
    <n v="134.99999999999994"/>
    <m/>
    <m/>
    <m/>
    <n v="0"/>
    <m/>
    <m/>
    <m/>
    <n v="0"/>
    <m/>
    <m/>
    <m/>
    <m/>
    <n v="0"/>
    <m/>
    <m/>
    <m/>
    <n v="0"/>
    <m/>
    <m/>
    <m/>
    <n v="0"/>
    <m/>
    <m/>
    <m/>
    <m/>
    <n v="0"/>
    <m/>
    <m/>
    <m/>
    <m/>
    <m/>
    <m/>
    <m/>
    <n v="0"/>
    <s v="raised wheel to fix broken slides"/>
    <m/>
    <s v="20140619 AStephens"/>
    <s v="20140621 DRobichaud"/>
    <s v="FW_Scan_20140619.pdf"/>
    <n v="0"/>
    <n v="0"/>
    <n v="0"/>
    <n v="0"/>
    <n v="0"/>
    <n v="0"/>
    <n v="0"/>
    <n v="0"/>
    <n v="0"/>
    <n v="0"/>
    <n v="0"/>
    <n v="0"/>
    <n v="0"/>
    <n v="0"/>
    <n v="0"/>
    <n v="0"/>
    <n v="0"/>
    <n v="0"/>
    <n v="0"/>
    <n v="0"/>
  </r>
  <r>
    <x v="13"/>
    <x v="0"/>
    <s v="as,eg"/>
    <d v="1899-12-30T08:10:00"/>
    <d v="1899-12-30T09:34:00"/>
    <n v="45"/>
    <n v="8"/>
    <m/>
    <m/>
    <n v="84.000000000000028"/>
    <m/>
    <m/>
    <m/>
    <n v="0"/>
    <m/>
    <m/>
    <m/>
    <n v="0"/>
    <m/>
    <m/>
    <m/>
    <m/>
    <n v="0"/>
    <m/>
    <m/>
    <m/>
    <n v="0"/>
    <m/>
    <m/>
    <m/>
    <n v="0"/>
    <m/>
    <m/>
    <m/>
    <m/>
    <n v="0"/>
    <m/>
    <m/>
    <m/>
    <m/>
    <m/>
    <m/>
    <m/>
    <n v="0"/>
    <s v="large log in basket; raised wheel 1/4 way; took 3 min"/>
    <m/>
    <s v="20140619 AStephens"/>
    <s v="20140621 DRobichaud"/>
    <s v="FW_Scan_20140619.pdf"/>
    <n v="0"/>
    <n v="0"/>
    <n v="0"/>
    <n v="0"/>
    <n v="0"/>
    <n v="0"/>
    <n v="0"/>
    <n v="0"/>
    <n v="0"/>
    <n v="0"/>
    <n v="0"/>
    <n v="0"/>
    <n v="0"/>
    <n v="0"/>
    <n v="0"/>
    <n v="0"/>
    <n v="0"/>
    <n v="0"/>
    <n v="0"/>
    <n v="0"/>
  </r>
  <r>
    <x v="13"/>
    <x v="0"/>
    <s v="dr,jk"/>
    <d v="1899-12-30T09:34:00"/>
    <d v="1899-12-30T12:29:00"/>
    <n v="45"/>
    <n v="7"/>
    <m/>
    <m/>
    <n v="174.99999999999994"/>
    <n v="1"/>
    <m/>
    <m/>
    <n v="1"/>
    <m/>
    <m/>
    <m/>
    <n v="0"/>
    <m/>
    <m/>
    <m/>
    <m/>
    <n v="0"/>
    <m/>
    <m/>
    <m/>
    <n v="0"/>
    <m/>
    <m/>
    <m/>
    <n v="0"/>
    <m/>
    <m/>
    <m/>
    <m/>
    <n v="0"/>
    <m/>
    <m/>
    <m/>
    <m/>
    <m/>
    <m/>
    <m/>
    <n v="0"/>
    <m/>
    <m/>
    <s v="20140619 JKunzler"/>
    <s v="20140621 DRobichaud"/>
    <s v="FW_Scan_20140619.pdf"/>
    <n v="1"/>
    <n v="0"/>
    <n v="0"/>
    <n v="0"/>
    <n v="0"/>
    <n v="0"/>
    <n v="0"/>
    <n v="0"/>
    <n v="0"/>
    <n v="0"/>
    <n v="0"/>
    <n v="0"/>
    <n v="0"/>
    <n v="0"/>
    <n v="0"/>
    <n v="0"/>
    <n v="0"/>
    <n v="0"/>
    <n v="0"/>
    <n v="0"/>
  </r>
  <r>
    <x v="13"/>
    <x v="0"/>
    <s v="kbm,eg"/>
    <d v="1899-12-30T12:29:00"/>
    <d v="1899-12-30T13:33:00"/>
    <n v="43"/>
    <n v="8"/>
    <m/>
    <m/>
    <n v="64.000000000000085"/>
    <m/>
    <m/>
    <m/>
    <n v="0"/>
    <m/>
    <m/>
    <m/>
    <n v="0"/>
    <m/>
    <m/>
    <m/>
    <m/>
    <n v="0"/>
    <m/>
    <m/>
    <m/>
    <n v="0"/>
    <m/>
    <m/>
    <m/>
    <n v="0"/>
    <m/>
    <m/>
    <m/>
    <m/>
    <n v="0"/>
    <m/>
    <m/>
    <m/>
    <m/>
    <m/>
    <m/>
    <m/>
    <n v="0"/>
    <s v="raised wheel at 13:33 to clear log"/>
    <m/>
    <s v="20140619 EGora"/>
    <s v="20140621 DRobichaud"/>
    <s v="FW_Scan_20140619.pdf"/>
    <n v="0"/>
    <n v="0"/>
    <n v="0"/>
    <n v="0"/>
    <n v="0"/>
    <n v="0"/>
    <n v="0"/>
    <n v="0"/>
    <n v="0"/>
    <n v="0"/>
    <n v="0"/>
    <n v="0"/>
    <n v="0"/>
    <n v="0"/>
    <n v="0"/>
    <n v="0"/>
    <n v="0"/>
    <n v="0"/>
    <n v="0"/>
    <n v="0"/>
  </r>
  <r>
    <x v="13"/>
    <x v="0"/>
    <s v="eg,jg,kbm"/>
    <d v="1899-12-30T13:33:00"/>
    <d v="1899-12-30T16:58:00"/>
    <n v="41"/>
    <n v="8"/>
    <m/>
    <m/>
    <n v="204.99999999999991"/>
    <m/>
    <m/>
    <m/>
    <n v="0"/>
    <m/>
    <m/>
    <m/>
    <n v="0"/>
    <m/>
    <m/>
    <m/>
    <m/>
    <n v="0"/>
    <m/>
    <m/>
    <m/>
    <n v="0"/>
    <m/>
    <m/>
    <m/>
    <n v="0"/>
    <m/>
    <m/>
    <m/>
    <m/>
    <n v="0"/>
    <m/>
    <m/>
    <m/>
    <m/>
    <m/>
    <m/>
    <m/>
    <n v="0"/>
    <s v="raised wheel at 15:34 to replace slides (4 in total)"/>
    <s v="no fish"/>
    <s v="20140619 KMatthews"/>
    <s v="20140621 DRobichaud"/>
    <s v="FW_Scan_20140619.pdf"/>
    <n v="0"/>
    <n v="0"/>
    <n v="0"/>
    <n v="0"/>
    <n v="0"/>
    <n v="0"/>
    <n v="0"/>
    <n v="0"/>
    <n v="0"/>
    <n v="0"/>
    <n v="0"/>
    <n v="0"/>
    <n v="0"/>
    <n v="0"/>
    <n v="0"/>
    <n v="0"/>
    <n v="0"/>
    <n v="0"/>
    <n v="0"/>
    <n v="0"/>
  </r>
  <r>
    <x v="13"/>
    <x v="0"/>
    <s v="dr,jk"/>
    <d v="1899-12-30T16:58:00"/>
    <d v="1899-12-30T20:03:00"/>
    <n v="40"/>
    <n v="8"/>
    <m/>
    <m/>
    <n v="185.00000000000014"/>
    <m/>
    <m/>
    <m/>
    <n v="0"/>
    <m/>
    <m/>
    <m/>
    <n v="0"/>
    <m/>
    <m/>
    <m/>
    <m/>
    <n v="0"/>
    <m/>
    <m/>
    <m/>
    <n v="0"/>
    <m/>
    <m/>
    <m/>
    <n v="0"/>
    <m/>
    <m/>
    <m/>
    <m/>
    <n v="0"/>
    <m/>
    <m/>
    <m/>
    <m/>
    <m/>
    <m/>
    <m/>
    <n v="0"/>
    <m/>
    <s v="no fish"/>
    <s v="20140619 JKunzler"/>
    <s v="20140621 DRobichaud"/>
    <s v="FW_Scan_20140619.pdf"/>
    <n v="0"/>
    <n v="0"/>
    <n v="0"/>
    <n v="0"/>
    <n v="0"/>
    <n v="0"/>
    <n v="0"/>
    <n v="0"/>
    <n v="0"/>
    <n v="0"/>
    <n v="0"/>
    <n v="0"/>
    <n v="0"/>
    <n v="0"/>
    <n v="0"/>
    <n v="0"/>
    <n v="0"/>
    <n v="0"/>
    <n v="0"/>
    <n v="0"/>
  </r>
  <r>
    <x v="13"/>
    <x v="0"/>
    <s v="kbm,jg"/>
    <d v="1899-12-30T20:03:00"/>
    <d v="1899-12-30T22:56:00"/>
    <n v="39"/>
    <n v="7"/>
    <m/>
    <m/>
    <n v="173.00000000000003"/>
    <m/>
    <m/>
    <m/>
    <n v="0"/>
    <m/>
    <m/>
    <m/>
    <n v="0"/>
    <m/>
    <m/>
    <m/>
    <m/>
    <n v="0"/>
    <m/>
    <m/>
    <m/>
    <n v="0"/>
    <m/>
    <m/>
    <m/>
    <n v="0"/>
    <m/>
    <m/>
    <m/>
    <m/>
    <n v="0"/>
    <m/>
    <m/>
    <m/>
    <m/>
    <m/>
    <m/>
    <m/>
    <n v="0"/>
    <m/>
    <s v="no fish"/>
    <s v="20140619 KMatthews"/>
    <s v="20140621 DRobichaud"/>
    <s v="FW_Scan_20140619.pdf"/>
    <n v="0"/>
    <n v="0"/>
    <n v="0"/>
    <n v="0"/>
    <n v="0"/>
    <n v="0"/>
    <n v="0"/>
    <n v="0"/>
    <n v="0"/>
    <n v="0"/>
    <n v="0"/>
    <n v="0"/>
    <n v="0"/>
    <n v="0"/>
    <n v="0"/>
    <n v="0"/>
    <n v="0"/>
    <n v="0"/>
    <n v="0"/>
    <n v="0"/>
  </r>
  <r>
    <x v="13"/>
    <x v="2"/>
    <s v="as,fg"/>
    <d v="1899-12-30T06:19:00"/>
    <d v="1899-12-30T09:20:00"/>
    <n v="46"/>
    <n v="8"/>
    <m/>
    <m/>
    <n v="181"/>
    <m/>
    <m/>
    <m/>
    <n v="0"/>
    <m/>
    <m/>
    <m/>
    <n v="0"/>
    <m/>
    <m/>
    <m/>
    <m/>
    <n v="0"/>
    <m/>
    <m/>
    <m/>
    <n v="0"/>
    <m/>
    <m/>
    <m/>
    <n v="0"/>
    <m/>
    <m/>
    <m/>
    <m/>
    <n v="0"/>
    <m/>
    <m/>
    <m/>
    <m/>
    <m/>
    <m/>
    <m/>
    <n v="0"/>
    <m/>
    <s v="no fish"/>
    <s v="20140619 AStephens"/>
    <s v="20140621 DRobichaud"/>
    <s v="FW_Scan_20140619.pdf"/>
    <n v="0"/>
    <n v="0"/>
    <n v="0"/>
    <n v="0"/>
    <n v="0"/>
    <n v="0"/>
    <n v="0"/>
    <n v="0"/>
    <n v="0"/>
    <n v="0"/>
    <n v="0"/>
    <n v="0"/>
    <n v="0"/>
    <n v="0"/>
    <n v="0"/>
    <n v="0"/>
    <n v="0"/>
    <n v="0"/>
    <n v="0"/>
    <n v="0"/>
  </r>
  <r>
    <x v="13"/>
    <x v="2"/>
    <s v="dr,jk"/>
    <d v="1899-12-30T09:20:00"/>
    <d v="1899-12-30T12:15:00"/>
    <n v="34"/>
    <n v="9"/>
    <m/>
    <m/>
    <n v="174.99999999999994"/>
    <m/>
    <m/>
    <m/>
    <n v="0"/>
    <m/>
    <m/>
    <m/>
    <n v="0"/>
    <m/>
    <m/>
    <m/>
    <m/>
    <n v="0"/>
    <m/>
    <m/>
    <m/>
    <n v="0"/>
    <m/>
    <m/>
    <m/>
    <n v="0"/>
    <m/>
    <m/>
    <m/>
    <m/>
    <n v="0"/>
    <m/>
    <m/>
    <m/>
    <m/>
    <m/>
    <m/>
    <m/>
    <n v="0"/>
    <m/>
    <s v="no fish"/>
    <s v="20140619 DRobichaud"/>
    <s v="20140621 DRobichaud"/>
    <s v="FW_Scan_20140619.pdf"/>
    <n v="0"/>
    <n v="0"/>
    <n v="0"/>
    <n v="0"/>
    <n v="0"/>
    <n v="0"/>
    <n v="0"/>
    <n v="0"/>
    <n v="0"/>
    <n v="0"/>
    <n v="0"/>
    <n v="0"/>
    <n v="0"/>
    <n v="0"/>
    <n v="0"/>
    <n v="0"/>
    <n v="0"/>
    <n v="0"/>
    <n v="0"/>
    <n v="0"/>
  </r>
  <r>
    <x v="13"/>
    <x v="2"/>
    <s v="kbm,eg"/>
    <d v="1899-12-30T12:15:00"/>
    <d v="1899-12-30T16:58:00"/>
    <n v="31"/>
    <n v="10"/>
    <m/>
    <m/>
    <n v="282.99999999999994"/>
    <m/>
    <m/>
    <m/>
    <n v="0"/>
    <m/>
    <m/>
    <m/>
    <n v="0"/>
    <m/>
    <m/>
    <m/>
    <m/>
    <n v="0"/>
    <m/>
    <m/>
    <m/>
    <n v="0"/>
    <m/>
    <m/>
    <m/>
    <n v="0"/>
    <m/>
    <m/>
    <m/>
    <m/>
    <n v="0"/>
    <m/>
    <m/>
    <m/>
    <m/>
    <m/>
    <m/>
    <m/>
    <n v="0"/>
    <m/>
    <s v="no fish"/>
    <s v="20140619 KMatthews"/>
    <s v="20140621 DRobichaud"/>
    <s v="FW_Scan_20140619.pdf"/>
    <n v="0"/>
    <n v="0"/>
    <n v="0"/>
    <n v="0"/>
    <n v="0"/>
    <n v="0"/>
    <n v="0"/>
    <n v="0"/>
    <n v="0"/>
    <n v="0"/>
    <n v="0"/>
    <n v="0"/>
    <n v="0"/>
    <n v="0"/>
    <n v="0"/>
    <n v="0"/>
    <n v="0"/>
    <n v="0"/>
    <n v="0"/>
    <n v="0"/>
  </r>
  <r>
    <x v="13"/>
    <x v="2"/>
    <s v="dr,jk"/>
    <d v="1899-12-30T16:58:00"/>
    <d v="1899-12-30T19:20:00"/>
    <n v="32"/>
    <n v="10"/>
    <m/>
    <m/>
    <n v="141.99999999999997"/>
    <m/>
    <m/>
    <m/>
    <n v="0"/>
    <m/>
    <m/>
    <m/>
    <n v="0"/>
    <m/>
    <m/>
    <m/>
    <m/>
    <n v="0"/>
    <m/>
    <m/>
    <m/>
    <n v="0"/>
    <m/>
    <m/>
    <m/>
    <n v="0"/>
    <m/>
    <m/>
    <m/>
    <m/>
    <n v="0"/>
    <m/>
    <m/>
    <m/>
    <m/>
    <m/>
    <m/>
    <m/>
    <n v="0"/>
    <m/>
    <s v="no fish"/>
    <s v="20140619 JKunzler"/>
    <s v="20140621 DRobichaud"/>
    <s v="FW_Scan_20140619.pdf"/>
    <n v="0"/>
    <n v="0"/>
    <n v="0"/>
    <n v="0"/>
    <n v="0"/>
    <n v="0"/>
    <n v="0"/>
    <n v="0"/>
    <n v="0"/>
    <n v="0"/>
    <n v="0"/>
    <n v="0"/>
    <n v="0"/>
    <n v="0"/>
    <n v="0"/>
    <n v="0"/>
    <n v="0"/>
    <n v="0"/>
    <n v="0"/>
    <n v="0"/>
  </r>
  <r>
    <x v="13"/>
    <x v="2"/>
    <s v="kbm,jg"/>
    <d v="1899-12-30T19:20:00"/>
    <d v="1899-12-30T22:48:00"/>
    <n v="33"/>
    <n v="10"/>
    <m/>
    <m/>
    <n v="208.00000000000023"/>
    <m/>
    <m/>
    <m/>
    <n v="0"/>
    <m/>
    <m/>
    <m/>
    <n v="0"/>
    <m/>
    <m/>
    <m/>
    <m/>
    <n v="0"/>
    <m/>
    <m/>
    <m/>
    <n v="0"/>
    <m/>
    <m/>
    <m/>
    <n v="0"/>
    <m/>
    <m/>
    <m/>
    <m/>
    <n v="0"/>
    <m/>
    <m/>
    <n v="1"/>
    <m/>
    <m/>
    <m/>
    <m/>
    <n v="1"/>
    <m/>
    <m/>
    <s v="20140619 JGraham"/>
    <s v="20140621 DRobichaud"/>
    <s v="FW_Scan_20140619.pdf"/>
    <n v="0"/>
    <n v="0"/>
    <n v="0"/>
    <n v="0"/>
    <n v="0"/>
    <n v="0"/>
    <n v="0"/>
    <n v="0"/>
    <n v="0"/>
    <n v="0"/>
    <n v="0"/>
    <n v="0"/>
    <n v="0"/>
    <n v="0"/>
    <n v="0"/>
    <n v="0"/>
    <n v="0"/>
    <n v="0"/>
    <n v="0"/>
    <n v="0"/>
  </r>
  <r>
    <x v="13"/>
    <x v="1"/>
    <s v="as,eg"/>
    <d v="1899-12-30T06:02:00"/>
    <d v="1899-12-30T09:07:00"/>
    <n v="39"/>
    <n v="8"/>
    <m/>
    <m/>
    <n v="185.00000000000006"/>
    <n v="1"/>
    <m/>
    <m/>
    <n v="1"/>
    <m/>
    <n v="1"/>
    <m/>
    <n v="1"/>
    <m/>
    <m/>
    <m/>
    <m/>
    <n v="0"/>
    <m/>
    <m/>
    <m/>
    <n v="0"/>
    <m/>
    <m/>
    <m/>
    <n v="0"/>
    <m/>
    <m/>
    <m/>
    <m/>
    <n v="0"/>
    <m/>
    <m/>
    <m/>
    <m/>
    <m/>
    <m/>
    <m/>
    <n v="0"/>
    <m/>
    <m/>
    <s v="20140619 AStephens"/>
    <s v="20140621 DRobichaud"/>
    <s v="FW_Scan_20140619.pdf"/>
    <n v="1"/>
    <n v="0"/>
    <n v="0"/>
    <n v="0"/>
    <n v="1"/>
    <n v="0"/>
    <n v="0"/>
    <n v="0"/>
    <n v="0"/>
    <n v="0"/>
    <n v="0"/>
    <n v="0"/>
    <n v="0"/>
    <n v="0"/>
    <n v="0"/>
    <n v="0"/>
    <n v="0"/>
    <n v="0"/>
    <n v="0"/>
    <n v="0"/>
  </r>
  <r>
    <x v="13"/>
    <x v="1"/>
    <s v="dr,jk"/>
    <d v="1899-12-30T09:07:00"/>
    <d v="1899-12-30T13:05:00"/>
    <n v="40"/>
    <n v="8"/>
    <m/>
    <m/>
    <n v="238.00000000000003"/>
    <n v="2"/>
    <m/>
    <m/>
    <n v="2"/>
    <m/>
    <n v="3"/>
    <m/>
    <n v="3"/>
    <m/>
    <m/>
    <m/>
    <m/>
    <n v="0"/>
    <m/>
    <m/>
    <m/>
    <n v="0"/>
    <m/>
    <m/>
    <m/>
    <n v="0"/>
    <m/>
    <m/>
    <m/>
    <m/>
    <n v="0"/>
    <m/>
    <m/>
    <m/>
    <m/>
    <m/>
    <n v="2"/>
    <m/>
    <n v="2"/>
    <m/>
    <s v="1 DV not measured"/>
    <s v="20140619 DRobichaud"/>
    <s v="20140621 DRobichaud"/>
    <s v="FW_Scan_20140619.pdf"/>
    <n v="2"/>
    <n v="0"/>
    <n v="0"/>
    <n v="0"/>
    <n v="3"/>
    <n v="0"/>
    <n v="0"/>
    <n v="0"/>
    <n v="0"/>
    <n v="0"/>
    <n v="0"/>
    <n v="0"/>
    <n v="0"/>
    <n v="0"/>
    <n v="0"/>
    <n v="0"/>
    <n v="0"/>
    <n v="0"/>
    <n v="0"/>
    <n v="0"/>
  </r>
  <r>
    <x v="13"/>
    <x v="1"/>
    <s v="kbm,eg"/>
    <d v="1899-12-30T13:05:00"/>
    <d v="1899-12-30T16:24:00"/>
    <n v="40"/>
    <n v="7"/>
    <m/>
    <m/>
    <n v="198.99999999999977"/>
    <n v="2"/>
    <m/>
    <m/>
    <n v="2"/>
    <m/>
    <n v="1"/>
    <m/>
    <n v="1"/>
    <m/>
    <m/>
    <m/>
    <m/>
    <n v="0"/>
    <m/>
    <m/>
    <m/>
    <n v="0"/>
    <m/>
    <m/>
    <m/>
    <n v="0"/>
    <m/>
    <m/>
    <m/>
    <m/>
    <n v="0"/>
    <m/>
    <m/>
    <m/>
    <m/>
    <m/>
    <m/>
    <m/>
    <n v="0"/>
    <s v="stopped wheel to fix broken slides"/>
    <m/>
    <s v="20140619 EGora"/>
    <s v="20140621 DRobichaud"/>
    <s v="FW_Scan_20140619.pdf"/>
    <n v="2"/>
    <n v="0"/>
    <n v="0"/>
    <n v="0"/>
    <n v="1"/>
    <n v="0"/>
    <n v="0"/>
    <n v="0"/>
    <n v="0"/>
    <n v="0"/>
    <n v="0"/>
    <n v="0"/>
    <n v="0"/>
    <n v="0"/>
    <n v="0"/>
    <n v="0"/>
    <n v="0"/>
    <n v="0"/>
    <n v="0"/>
    <n v="0"/>
  </r>
  <r>
    <x v="13"/>
    <x v="1"/>
    <s v="eg,jg,kbm"/>
    <d v="1899-12-30T16:48:00"/>
    <d v="1899-12-30T16:50:00"/>
    <n v="38"/>
    <n v="8"/>
    <m/>
    <m/>
    <n v="1.999999999999833"/>
    <m/>
    <m/>
    <m/>
    <n v="0"/>
    <m/>
    <m/>
    <m/>
    <n v="0"/>
    <m/>
    <m/>
    <m/>
    <m/>
    <n v="0"/>
    <m/>
    <m/>
    <m/>
    <n v="0"/>
    <m/>
    <m/>
    <m/>
    <n v="0"/>
    <m/>
    <m/>
    <m/>
    <m/>
    <n v="0"/>
    <m/>
    <m/>
    <m/>
    <m/>
    <m/>
    <m/>
    <m/>
    <n v="0"/>
    <s v="replaced 3 side panels"/>
    <m/>
    <s v="20140619 EGora"/>
    <s v="20140621 DRobichaud"/>
    <s v="FW_Scan_20140619.pdf"/>
    <n v="0"/>
    <n v="0"/>
    <n v="0"/>
    <n v="0"/>
    <n v="0"/>
    <n v="0"/>
    <n v="0"/>
    <n v="0"/>
    <n v="0"/>
    <n v="0"/>
    <n v="0"/>
    <n v="0"/>
    <n v="0"/>
    <n v="0"/>
    <n v="0"/>
    <n v="0"/>
    <n v="0"/>
    <n v="0"/>
    <n v="0"/>
    <n v="0"/>
  </r>
  <r>
    <x v="13"/>
    <x v="1"/>
    <s v="dr,jk"/>
    <d v="1899-12-30T16:50:00"/>
    <d v="1899-12-30T19:55:00"/>
    <n v="39"/>
    <n v="8"/>
    <m/>
    <m/>
    <n v="135.00000000000014"/>
    <n v="1"/>
    <m/>
    <m/>
    <n v="1"/>
    <m/>
    <n v="2"/>
    <m/>
    <n v="2"/>
    <m/>
    <m/>
    <m/>
    <m/>
    <n v="0"/>
    <m/>
    <m/>
    <m/>
    <n v="0"/>
    <m/>
    <m/>
    <m/>
    <n v="0"/>
    <m/>
    <m/>
    <m/>
    <m/>
    <n v="0"/>
    <m/>
    <m/>
    <m/>
    <m/>
    <m/>
    <m/>
    <m/>
    <n v="0"/>
    <s v="wheel not turning on arrival 19:30; turning when left 17:45; stopped ~ 50 min"/>
    <s v="CNj too small to tag"/>
    <s v="20140619 DRobichaud"/>
    <s v="20140621 DRobichaud"/>
    <s v="FW_Scan_20140619.pdf"/>
    <n v="1"/>
    <n v="0"/>
    <n v="0"/>
    <n v="0"/>
    <n v="2"/>
    <n v="0"/>
    <n v="0"/>
    <n v="0"/>
    <n v="0"/>
    <n v="0"/>
    <n v="0"/>
    <n v="0"/>
    <n v="0"/>
    <n v="0"/>
    <n v="0"/>
    <n v="0"/>
    <n v="0"/>
    <n v="0"/>
    <n v="0"/>
    <n v="0"/>
  </r>
  <r>
    <x v="13"/>
    <x v="1"/>
    <s v="jg,kbm"/>
    <d v="1899-12-30T19:55:00"/>
    <d v="1899-12-30T23:10:00"/>
    <n v="36"/>
    <n v="8"/>
    <m/>
    <m/>
    <n v="194.99999999999994"/>
    <n v="1"/>
    <m/>
    <m/>
    <n v="1"/>
    <m/>
    <m/>
    <m/>
    <n v="0"/>
    <m/>
    <m/>
    <m/>
    <m/>
    <n v="0"/>
    <m/>
    <m/>
    <m/>
    <n v="0"/>
    <m/>
    <m/>
    <m/>
    <n v="0"/>
    <m/>
    <m/>
    <m/>
    <m/>
    <n v="0"/>
    <m/>
    <m/>
    <m/>
    <m/>
    <m/>
    <m/>
    <m/>
    <n v="0"/>
    <m/>
    <m/>
    <s v="20140619 JGraham"/>
    <s v="20140621 DRobichaud"/>
    <s v="FW_Scan_20140619.pdf"/>
    <n v="1"/>
    <n v="0"/>
    <n v="0"/>
    <n v="0"/>
    <n v="0"/>
    <n v="0"/>
    <n v="0"/>
    <n v="0"/>
    <n v="0"/>
    <n v="0"/>
    <n v="0"/>
    <n v="0"/>
    <n v="0"/>
    <n v="0"/>
    <n v="0"/>
    <n v="0"/>
    <n v="0"/>
    <n v="0"/>
    <n v="0"/>
    <n v="0"/>
  </r>
  <r>
    <x v="14"/>
    <x v="0"/>
    <s v="as,eg"/>
    <d v="1899-12-30T06:08:00"/>
    <d v="1899-12-30T07:05:00"/>
    <n v="41"/>
    <n v="7"/>
    <m/>
    <m/>
    <n v="56.999999999999957"/>
    <m/>
    <m/>
    <m/>
    <n v="0"/>
    <m/>
    <m/>
    <m/>
    <n v="0"/>
    <m/>
    <m/>
    <m/>
    <m/>
    <n v="0"/>
    <m/>
    <m/>
    <m/>
    <n v="0"/>
    <m/>
    <m/>
    <m/>
    <n v="0"/>
    <m/>
    <m/>
    <m/>
    <m/>
    <n v="0"/>
    <m/>
    <m/>
    <m/>
    <m/>
    <m/>
    <m/>
    <m/>
    <n v="0"/>
    <s v="replaced slide before lowering baskets; came back and log jammed in, took time off for not fishing"/>
    <s v="no fish"/>
    <s v="20140620 AStephens"/>
    <s v="20140621 DRobichaud"/>
    <s v="FW_Scan_20140620.pdf"/>
    <n v="0"/>
    <n v="0"/>
    <n v="0"/>
    <n v="0"/>
    <n v="0"/>
    <n v="0"/>
    <n v="0"/>
    <n v="0"/>
    <n v="0"/>
    <n v="0"/>
    <n v="0"/>
    <n v="0"/>
    <n v="0"/>
    <n v="0"/>
    <n v="0"/>
    <n v="0"/>
    <n v="0"/>
    <n v="0"/>
    <n v="0"/>
    <n v="0"/>
  </r>
  <r>
    <x v="14"/>
    <x v="0"/>
    <s v="as,eg"/>
    <d v="1899-12-30T07:29:00"/>
    <d v="1899-12-30T08:38:00"/>
    <n v="43"/>
    <n v="7"/>
    <m/>
    <m/>
    <n v="69"/>
    <n v="1"/>
    <m/>
    <m/>
    <n v="1"/>
    <n v="1"/>
    <m/>
    <m/>
    <n v="1"/>
    <m/>
    <m/>
    <m/>
    <m/>
    <n v="0"/>
    <m/>
    <m/>
    <m/>
    <n v="0"/>
    <m/>
    <m/>
    <m/>
    <n v="0"/>
    <m/>
    <m/>
    <m/>
    <m/>
    <n v="0"/>
    <m/>
    <m/>
    <m/>
    <m/>
    <m/>
    <m/>
    <m/>
    <n v="0"/>
    <s v="restarted wheel after log jam"/>
    <m/>
    <s v="20140620 AStephens"/>
    <s v="20140621 DRobichaud"/>
    <s v="FW_Scan_20140620.pdf"/>
    <n v="1"/>
    <n v="0"/>
    <n v="0"/>
    <n v="1"/>
    <n v="0"/>
    <n v="0"/>
    <n v="0"/>
    <n v="0"/>
    <n v="0"/>
    <n v="0"/>
    <n v="0"/>
    <n v="0"/>
    <n v="0"/>
    <n v="0"/>
    <n v="0"/>
    <n v="0"/>
    <n v="0"/>
    <n v="0"/>
    <n v="0"/>
    <n v="0"/>
  </r>
  <r>
    <x v="14"/>
    <x v="0"/>
    <s v="dr,jk,wc"/>
    <d v="1899-12-30T08:38:00"/>
    <d v="1899-12-30T11:40:00"/>
    <n v="40"/>
    <n v="7"/>
    <m/>
    <m/>
    <n v="182"/>
    <m/>
    <m/>
    <m/>
    <n v="0"/>
    <m/>
    <m/>
    <m/>
    <n v="0"/>
    <m/>
    <m/>
    <m/>
    <m/>
    <n v="0"/>
    <m/>
    <m/>
    <m/>
    <n v="0"/>
    <m/>
    <m/>
    <m/>
    <n v="0"/>
    <m/>
    <m/>
    <m/>
    <m/>
    <n v="0"/>
    <m/>
    <m/>
    <m/>
    <m/>
    <m/>
    <m/>
    <m/>
    <n v="0"/>
    <m/>
    <s v="no fish"/>
    <s v="20140620 JKunzler"/>
    <s v="20140621 DRobichaud"/>
    <s v="FW_Scan_20140620.pdf"/>
    <n v="0"/>
    <n v="0"/>
    <n v="0"/>
    <n v="0"/>
    <n v="0"/>
    <n v="0"/>
    <n v="0"/>
    <n v="0"/>
    <n v="0"/>
    <n v="0"/>
    <n v="0"/>
    <n v="0"/>
    <n v="0"/>
    <n v="0"/>
    <n v="0"/>
    <n v="0"/>
    <n v="0"/>
    <n v="0"/>
    <n v="0"/>
    <n v="0"/>
  </r>
  <r>
    <x v="14"/>
    <x v="0"/>
    <s v="eg,kbm,jg"/>
    <d v="1899-12-30T11:40:00"/>
    <d v="1899-12-30T17:10:00"/>
    <n v="47"/>
    <n v="8"/>
    <m/>
    <m/>
    <n v="305"/>
    <n v="3"/>
    <n v="1"/>
    <m/>
    <n v="4"/>
    <m/>
    <n v="1"/>
    <m/>
    <n v="1"/>
    <m/>
    <m/>
    <m/>
    <m/>
    <n v="0"/>
    <m/>
    <m/>
    <m/>
    <n v="0"/>
    <m/>
    <m/>
    <m/>
    <n v="0"/>
    <m/>
    <m/>
    <m/>
    <m/>
    <n v="0"/>
    <m/>
    <m/>
    <m/>
    <m/>
    <m/>
    <m/>
    <m/>
    <n v="0"/>
    <s v="crew moved wheel several feet towards shore; stopped for 25 min"/>
    <m/>
    <s v="20140620 EGora"/>
    <s v="20140621 DRobichaud"/>
    <s v="FW_Scan_20140620.pdf"/>
    <n v="3"/>
    <n v="1"/>
    <n v="0"/>
    <n v="0"/>
    <n v="1"/>
    <n v="0"/>
    <n v="0"/>
    <n v="0"/>
    <n v="0"/>
    <n v="0"/>
    <n v="0"/>
    <n v="0"/>
    <n v="0"/>
    <n v="0"/>
    <n v="0"/>
    <n v="0"/>
    <n v="0"/>
    <n v="0"/>
    <n v="0"/>
    <n v="0"/>
  </r>
  <r>
    <x v="14"/>
    <x v="0"/>
    <s v="dr,wc,jb"/>
    <d v="1899-12-30T17:10:00"/>
    <d v="1899-12-30T19:58:00"/>
    <n v="49"/>
    <n v="8.5"/>
    <m/>
    <m/>
    <n v="167.99999999999989"/>
    <n v="2"/>
    <m/>
    <m/>
    <n v="2"/>
    <m/>
    <m/>
    <m/>
    <n v="0"/>
    <m/>
    <m/>
    <m/>
    <m/>
    <n v="0"/>
    <m/>
    <m/>
    <m/>
    <n v="0"/>
    <m/>
    <m/>
    <m/>
    <n v="0"/>
    <m/>
    <m/>
    <m/>
    <m/>
    <n v="0"/>
    <m/>
    <m/>
    <m/>
    <m/>
    <m/>
    <m/>
    <m/>
    <n v="0"/>
    <m/>
    <m/>
    <s v="20140620 DRobichaud"/>
    <s v="20140621 DRobichaud"/>
    <s v="FW_Scan_20140620.pdf"/>
    <n v="2"/>
    <n v="0"/>
    <n v="0"/>
    <n v="0"/>
    <n v="0"/>
    <n v="0"/>
    <n v="0"/>
    <n v="0"/>
    <n v="0"/>
    <n v="0"/>
    <n v="0"/>
    <n v="0"/>
    <n v="0"/>
    <n v="0"/>
    <n v="0"/>
    <n v="0"/>
    <n v="0"/>
    <n v="0"/>
    <n v="0"/>
    <n v="0"/>
  </r>
  <r>
    <x v="14"/>
    <x v="0"/>
    <s v="kbm,jg"/>
    <d v="1899-12-30T19:58:00"/>
    <d v="1899-12-30T23:13:00"/>
    <n v="50"/>
    <n v="8"/>
    <m/>
    <m/>
    <n v="194.99999999999994"/>
    <n v="1"/>
    <m/>
    <m/>
    <n v="1"/>
    <m/>
    <n v="1"/>
    <m/>
    <n v="1"/>
    <m/>
    <m/>
    <m/>
    <m/>
    <n v="0"/>
    <m/>
    <m/>
    <m/>
    <n v="0"/>
    <m/>
    <m/>
    <m/>
    <n v="0"/>
    <m/>
    <m/>
    <m/>
    <m/>
    <n v="0"/>
    <m/>
    <m/>
    <m/>
    <m/>
    <m/>
    <m/>
    <m/>
    <n v="0"/>
    <m/>
    <m/>
    <s v="20140620 JGraham"/>
    <s v="20140621 DRobichaud"/>
    <s v="FW_Scan_20140620.pdf"/>
    <n v="1"/>
    <n v="0"/>
    <n v="0"/>
    <n v="0"/>
    <n v="1"/>
    <n v="0"/>
    <n v="0"/>
    <n v="0"/>
    <n v="0"/>
    <n v="0"/>
    <n v="0"/>
    <n v="0"/>
    <n v="0"/>
    <n v="0"/>
    <n v="0"/>
    <n v="0"/>
    <n v="0"/>
    <n v="0"/>
    <n v="0"/>
    <n v="0"/>
  </r>
  <r>
    <x v="14"/>
    <x v="2"/>
    <s v="as,eg"/>
    <d v="1899-12-30T06:46:00"/>
    <d v="1899-12-30T08:32:00"/>
    <n v="33"/>
    <n v="8"/>
    <m/>
    <m/>
    <n v="106.00000000000003"/>
    <m/>
    <m/>
    <m/>
    <n v="0"/>
    <m/>
    <m/>
    <m/>
    <n v="0"/>
    <m/>
    <m/>
    <m/>
    <m/>
    <n v="0"/>
    <m/>
    <m/>
    <m/>
    <n v="0"/>
    <m/>
    <m/>
    <m/>
    <n v="0"/>
    <m/>
    <m/>
    <m/>
    <m/>
    <n v="0"/>
    <m/>
    <m/>
    <m/>
    <m/>
    <m/>
    <m/>
    <m/>
    <n v="0"/>
    <s v="cleared lead net"/>
    <m/>
    <s v="20140620 AStephens"/>
    <s v="20140621 DRobichaud"/>
    <s v="FW_Scan_20140620.pdf"/>
    <n v="0"/>
    <n v="0"/>
    <n v="0"/>
    <n v="0"/>
    <n v="0"/>
    <n v="0"/>
    <n v="0"/>
    <n v="0"/>
    <n v="0"/>
    <n v="0"/>
    <n v="0"/>
    <n v="0"/>
    <n v="0"/>
    <n v="0"/>
    <n v="0"/>
    <n v="0"/>
    <n v="0"/>
    <n v="0"/>
    <n v="0"/>
    <n v="0"/>
  </r>
  <r>
    <x v="14"/>
    <x v="2"/>
    <s v="dr,jk,wc"/>
    <d v="1899-12-30T08:32:00"/>
    <d v="1899-12-30T13:35:00"/>
    <n v="33"/>
    <n v="9"/>
    <m/>
    <m/>
    <n v="302.99999999999994"/>
    <n v="1"/>
    <m/>
    <m/>
    <n v="1"/>
    <m/>
    <m/>
    <m/>
    <n v="0"/>
    <m/>
    <m/>
    <m/>
    <m/>
    <n v="0"/>
    <m/>
    <m/>
    <m/>
    <n v="0"/>
    <m/>
    <m/>
    <m/>
    <n v="0"/>
    <m/>
    <m/>
    <m/>
    <m/>
    <n v="0"/>
    <m/>
    <m/>
    <m/>
    <m/>
    <m/>
    <m/>
    <m/>
    <n v="0"/>
    <m/>
    <m/>
    <s v="20140620 JKunzler"/>
    <s v="20140621 DRobichaud"/>
    <s v="FW_Scan_20140620.pdf"/>
    <n v="1"/>
    <n v="0"/>
    <n v="0"/>
    <n v="0"/>
    <n v="0"/>
    <n v="0"/>
    <n v="0"/>
    <n v="0"/>
    <n v="0"/>
    <n v="0"/>
    <n v="0"/>
    <n v="0"/>
    <n v="0"/>
    <n v="0"/>
    <n v="0"/>
    <n v="0"/>
    <n v="0"/>
    <n v="0"/>
    <n v="0"/>
    <n v="0"/>
  </r>
  <r>
    <x v="14"/>
    <x v="2"/>
    <s v="eg,kbm"/>
    <d v="1899-12-30T13:35:00"/>
    <d v="1899-12-30T16:40:00"/>
    <n v="30"/>
    <n v="11"/>
    <m/>
    <m/>
    <n v="185.00000000000014"/>
    <m/>
    <m/>
    <m/>
    <n v="0"/>
    <m/>
    <m/>
    <m/>
    <n v="0"/>
    <m/>
    <m/>
    <m/>
    <m/>
    <n v="0"/>
    <m/>
    <m/>
    <m/>
    <n v="0"/>
    <m/>
    <m/>
    <m/>
    <n v="0"/>
    <m/>
    <m/>
    <m/>
    <m/>
    <n v="0"/>
    <m/>
    <m/>
    <m/>
    <m/>
    <m/>
    <m/>
    <m/>
    <n v="0"/>
    <m/>
    <m/>
    <s v="20140620 EGora"/>
    <s v="20140621 DRobichaud"/>
    <s v="FW_Scan_20140620.pdf"/>
    <n v="0"/>
    <n v="0"/>
    <n v="0"/>
    <n v="0"/>
    <n v="0"/>
    <n v="0"/>
    <n v="0"/>
    <n v="0"/>
    <n v="0"/>
    <n v="0"/>
    <n v="0"/>
    <n v="0"/>
    <n v="0"/>
    <n v="0"/>
    <n v="0"/>
    <n v="0"/>
    <n v="0"/>
    <n v="0"/>
    <n v="0"/>
    <n v="0"/>
  </r>
  <r>
    <x v="14"/>
    <x v="2"/>
    <s v="dr,wc,jb"/>
    <d v="1899-12-30T16:40:00"/>
    <d v="1899-12-30T19:30:00"/>
    <n v="31"/>
    <n v="11"/>
    <m/>
    <m/>
    <n v="169.99999999999989"/>
    <n v="1"/>
    <m/>
    <m/>
    <n v="1"/>
    <m/>
    <m/>
    <m/>
    <n v="0"/>
    <m/>
    <m/>
    <m/>
    <m/>
    <n v="0"/>
    <m/>
    <m/>
    <m/>
    <n v="0"/>
    <m/>
    <m/>
    <m/>
    <n v="0"/>
    <m/>
    <m/>
    <m/>
    <m/>
    <n v="0"/>
    <m/>
    <m/>
    <m/>
    <m/>
    <m/>
    <m/>
    <m/>
    <n v="0"/>
    <m/>
    <m/>
    <s v="20140620 DRobichaud"/>
    <s v="20140621 DRobichaud"/>
    <s v="FW_Scan_20140620.pdf"/>
    <n v="1"/>
    <n v="0"/>
    <n v="0"/>
    <n v="0"/>
    <n v="0"/>
    <n v="0"/>
    <n v="0"/>
    <n v="0"/>
    <n v="0"/>
    <n v="0"/>
    <n v="0"/>
    <n v="0"/>
    <n v="0"/>
    <n v="0"/>
    <n v="0"/>
    <n v="0"/>
    <n v="0"/>
    <n v="0"/>
    <n v="0"/>
    <n v="0"/>
  </r>
  <r>
    <x v="14"/>
    <x v="2"/>
    <s v="kbm,jg"/>
    <d v="1899-12-30T19:30:00"/>
    <d v="1899-12-30T22:55:00"/>
    <n v="32"/>
    <n v="12"/>
    <m/>
    <m/>
    <n v="205.00000000000006"/>
    <m/>
    <m/>
    <m/>
    <n v="0"/>
    <m/>
    <m/>
    <m/>
    <n v="0"/>
    <m/>
    <m/>
    <m/>
    <m/>
    <n v="0"/>
    <m/>
    <m/>
    <m/>
    <n v="0"/>
    <m/>
    <m/>
    <m/>
    <n v="0"/>
    <m/>
    <m/>
    <m/>
    <m/>
    <n v="0"/>
    <m/>
    <m/>
    <m/>
    <m/>
    <m/>
    <m/>
    <m/>
    <n v="0"/>
    <m/>
    <s v="no fish"/>
    <s v="20140620 KMatthews"/>
    <s v="20140621 DRobichaud"/>
    <s v="FW_Scan_20140620.pdf"/>
    <n v="0"/>
    <n v="0"/>
    <n v="0"/>
    <n v="0"/>
    <n v="0"/>
    <n v="0"/>
    <n v="0"/>
    <n v="0"/>
    <n v="0"/>
    <n v="0"/>
    <n v="0"/>
    <n v="0"/>
    <n v="0"/>
    <n v="0"/>
    <n v="0"/>
    <n v="0"/>
    <n v="0"/>
    <n v="0"/>
    <n v="0"/>
    <n v="0"/>
  </r>
  <r>
    <x v="14"/>
    <x v="1"/>
    <s v="as,eg"/>
    <d v="1899-12-30T06:25:00"/>
    <d v="1899-12-30T08:49:00"/>
    <n v="39"/>
    <n v="8"/>
    <m/>
    <m/>
    <n v="143.99999999999997"/>
    <n v="1"/>
    <m/>
    <m/>
    <n v="1"/>
    <m/>
    <m/>
    <m/>
    <n v="0"/>
    <m/>
    <m/>
    <m/>
    <m/>
    <n v="0"/>
    <m/>
    <m/>
    <m/>
    <n v="0"/>
    <m/>
    <m/>
    <m/>
    <n v="0"/>
    <m/>
    <m/>
    <m/>
    <m/>
    <n v="0"/>
    <m/>
    <m/>
    <m/>
    <m/>
    <m/>
    <m/>
    <m/>
    <n v="0"/>
    <m/>
    <m/>
    <s v="20140620 AStephens"/>
    <s v="20140621 DRobichaud"/>
    <s v="FW_Scan_20140620.pdf"/>
    <n v="1"/>
    <n v="0"/>
    <n v="0"/>
    <n v="0"/>
    <n v="0"/>
    <n v="0"/>
    <n v="0"/>
    <n v="0"/>
    <n v="0"/>
    <n v="0"/>
    <n v="0"/>
    <n v="0"/>
    <n v="0"/>
    <n v="0"/>
    <n v="0"/>
    <n v="0"/>
    <n v="0"/>
    <n v="0"/>
    <n v="0"/>
    <n v="0"/>
  </r>
  <r>
    <x v="14"/>
    <x v="1"/>
    <s v="dr,jk,wc"/>
    <d v="1899-12-30T08:49:00"/>
    <d v="1899-12-30T13:23:00"/>
    <n v="39"/>
    <n v="9"/>
    <m/>
    <m/>
    <n v="274.00000000000011"/>
    <n v="3"/>
    <m/>
    <m/>
    <n v="3"/>
    <m/>
    <n v="1"/>
    <m/>
    <n v="1"/>
    <m/>
    <m/>
    <m/>
    <m/>
    <n v="0"/>
    <m/>
    <m/>
    <m/>
    <n v="0"/>
    <m/>
    <m/>
    <m/>
    <n v="0"/>
    <m/>
    <m/>
    <m/>
    <m/>
    <n v="0"/>
    <m/>
    <m/>
    <m/>
    <m/>
    <m/>
    <m/>
    <m/>
    <n v="0"/>
    <m/>
    <m/>
    <s v="20140620 JKunzler"/>
    <s v="20140621 DRobichaud"/>
    <s v="FW_Scan_20140620.pdf"/>
    <n v="3"/>
    <n v="0"/>
    <n v="0"/>
    <n v="0"/>
    <n v="1"/>
    <n v="0"/>
    <n v="0"/>
    <n v="0"/>
    <n v="0"/>
    <n v="0"/>
    <n v="0"/>
    <n v="0"/>
    <n v="0"/>
    <n v="0"/>
    <n v="0"/>
    <n v="0"/>
    <n v="0"/>
    <n v="0"/>
    <n v="0"/>
    <n v="0"/>
  </r>
  <r>
    <x v="14"/>
    <x v="1"/>
    <s v="eg,jg,kbm"/>
    <d v="1899-12-30T13:23:00"/>
    <d v="1899-12-30T15:03:00"/>
    <n v="40"/>
    <n v="8"/>
    <m/>
    <m/>
    <n v="99.999999999999972"/>
    <m/>
    <m/>
    <m/>
    <n v="0"/>
    <m/>
    <n v="1"/>
    <m/>
    <n v="1"/>
    <m/>
    <m/>
    <m/>
    <m/>
    <n v="0"/>
    <m/>
    <m/>
    <m/>
    <n v="0"/>
    <m/>
    <m/>
    <m/>
    <n v="0"/>
    <m/>
    <m/>
    <m/>
    <m/>
    <n v="0"/>
    <m/>
    <m/>
    <m/>
    <m/>
    <m/>
    <m/>
    <m/>
    <n v="0"/>
    <m/>
    <m/>
    <s v="20140620 EGora"/>
    <s v="20140621 DRobichaud"/>
    <s v="FW_Scan_20140620.pdf"/>
    <n v="0"/>
    <n v="0"/>
    <n v="0"/>
    <n v="0"/>
    <n v="1"/>
    <n v="0"/>
    <n v="0"/>
    <n v="0"/>
    <n v="0"/>
    <n v="0"/>
    <n v="0"/>
    <n v="0"/>
    <n v="0"/>
    <n v="0"/>
    <n v="0"/>
    <n v="0"/>
    <n v="0"/>
    <n v="0"/>
    <n v="0"/>
    <n v="0"/>
  </r>
  <r>
    <x v="14"/>
    <x v="1"/>
    <s v="eg,kbm,jg"/>
    <d v="1899-12-30T15:03:00"/>
    <d v="1899-12-30T16:24:00"/>
    <n v="39"/>
    <n v="11"/>
    <m/>
    <m/>
    <n v="80.999999999999872"/>
    <m/>
    <m/>
    <m/>
    <n v="0"/>
    <m/>
    <m/>
    <m/>
    <n v="0"/>
    <m/>
    <m/>
    <m/>
    <m/>
    <n v="0"/>
    <m/>
    <m/>
    <m/>
    <n v="0"/>
    <m/>
    <m/>
    <m/>
    <n v="0"/>
    <m/>
    <m/>
    <m/>
    <m/>
    <n v="0"/>
    <m/>
    <m/>
    <m/>
    <m/>
    <m/>
    <m/>
    <m/>
    <n v="0"/>
    <m/>
    <s v="no fish"/>
    <s v="20140620 EGora"/>
    <s v="20140621 DRobichaud"/>
    <s v="FW_Scan_20140620.pdf"/>
    <n v="0"/>
    <n v="0"/>
    <n v="0"/>
    <n v="0"/>
    <n v="0"/>
    <n v="0"/>
    <n v="0"/>
    <n v="0"/>
    <n v="0"/>
    <n v="0"/>
    <n v="0"/>
    <n v="0"/>
    <n v="0"/>
    <n v="0"/>
    <n v="0"/>
    <n v="0"/>
    <n v="0"/>
    <n v="0"/>
    <n v="0"/>
    <n v="0"/>
  </r>
  <r>
    <x v="14"/>
    <x v="1"/>
    <s v="dr,wc,jb"/>
    <d v="1899-12-30T16:24:00"/>
    <d v="1899-12-30T19:20:00"/>
    <n v="40"/>
    <n v="9"/>
    <m/>
    <m/>
    <n v="176"/>
    <n v="1"/>
    <m/>
    <m/>
    <n v="1"/>
    <m/>
    <n v="1"/>
    <m/>
    <n v="1"/>
    <m/>
    <m/>
    <m/>
    <m/>
    <n v="0"/>
    <m/>
    <m/>
    <m/>
    <n v="0"/>
    <m/>
    <m/>
    <m/>
    <n v="0"/>
    <m/>
    <m/>
    <m/>
    <m/>
    <n v="0"/>
    <n v="1"/>
    <m/>
    <m/>
    <m/>
    <m/>
    <m/>
    <m/>
    <n v="1"/>
    <m/>
    <m/>
    <s v="20140620 DRobichaud"/>
    <s v="20140621 DRobichaud"/>
    <s v="FW_Scan_20140620.pdf"/>
    <n v="1"/>
    <n v="0"/>
    <n v="0"/>
    <n v="0"/>
    <n v="1"/>
    <n v="0"/>
    <n v="0"/>
    <n v="0"/>
    <n v="0"/>
    <n v="0"/>
    <n v="0"/>
    <n v="0"/>
    <n v="0"/>
    <n v="0"/>
    <n v="0"/>
    <n v="0"/>
    <n v="0"/>
    <n v="0"/>
    <n v="0"/>
    <n v="0"/>
  </r>
  <r>
    <x v="14"/>
    <x v="1"/>
    <s v="kbm,jg"/>
    <d v="1899-12-30T19:20:00"/>
    <d v="1899-12-30T22:41:00"/>
    <n v="40"/>
    <n v="9"/>
    <m/>
    <m/>
    <n v="201.00000000000009"/>
    <n v="2"/>
    <m/>
    <m/>
    <n v="2"/>
    <m/>
    <m/>
    <m/>
    <n v="0"/>
    <m/>
    <m/>
    <m/>
    <m/>
    <n v="0"/>
    <m/>
    <m/>
    <m/>
    <n v="0"/>
    <m/>
    <m/>
    <m/>
    <n v="0"/>
    <m/>
    <m/>
    <m/>
    <m/>
    <n v="0"/>
    <m/>
    <n v="1"/>
    <m/>
    <m/>
    <m/>
    <m/>
    <m/>
    <n v="1"/>
    <m/>
    <m/>
    <s v="20140620 KMatthews"/>
    <s v="20140621 DRobichaud"/>
    <s v="FW_Scan_20140620.pdf"/>
    <n v="2"/>
    <n v="0"/>
    <n v="0"/>
    <n v="0"/>
    <n v="0"/>
    <n v="0"/>
    <n v="0"/>
    <n v="0"/>
    <n v="0"/>
    <n v="0"/>
    <n v="0"/>
    <n v="0"/>
    <n v="0"/>
    <n v="0"/>
    <n v="0"/>
    <n v="0"/>
    <n v="0"/>
    <n v="0"/>
    <n v="0"/>
    <n v="0"/>
  </r>
  <r>
    <x v="15"/>
    <x v="0"/>
    <s v="la,eg"/>
    <d v="1899-12-30T06:00:00"/>
    <d v="1899-12-30T10:00:00"/>
    <n v="50"/>
    <n v="7.5"/>
    <m/>
    <m/>
    <n v="240"/>
    <n v="1"/>
    <m/>
    <m/>
    <n v="1"/>
    <n v="2"/>
    <n v="3"/>
    <m/>
    <n v="5"/>
    <m/>
    <m/>
    <m/>
    <m/>
    <n v="0"/>
    <m/>
    <m/>
    <m/>
    <n v="0"/>
    <m/>
    <m/>
    <m/>
    <n v="0"/>
    <m/>
    <m/>
    <m/>
    <m/>
    <n v="0"/>
    <m/>
    <m/>
    <m/>
    <m/>
    <m/>
    <n v="1"/>
    <m/>
    <n v="1"/>
    <m/>
    <m/>
    <s v="20140621 EGora"/>
    <s v="20140622 DRobichaud"/>
    <s v="FW_Scan_20140621.pdf"/>
    <n v="1"/>
    <n v="0"/>
    <n v="0"/>
    <n v="2"/>
    <n v="3"/>
    <n v="0"/>
    <n v="0"/>
    <n v="0"/>
    <n v="0"/>
    <n v="0"/>
    <n v="0"/>
    <n v="0"/>
    <n v="0"/>
    <n v="0"/>
    <n v="0"/>
    <n v="0"/>
    <n v="0"/>
    <n v="0"/>
    <n v="0"/>
    <n v="0"/>
  </r>
  <r>
    <x v="15"/>
    <x v="0"/>
    <s v="jb,wc"/>
    <d v="1899-12-30T10:00:00"/>
    <d v="1899-12-30T14:26:00"/>
    <n v="52"/>
    <n v="8"/>
    <m/>
    <m/>
    <n v="265.99999999999989"/>
    <n v="1"/>
    <m/>
    <m/>
    <n v="1"/>
    <m/>
    <n v="3"/>
    <m/>
    <n v="3"/>
    <m/>
    <m/>
    <m/>
    <m/>
    <n v="0"/>
    <m/>
    <m/>
    <m/>
    <n v="0"/>
    <m/>
    <m/>
    <m/>
    <n v="0"/>
    <m/>
    <m/>
    <m/>
    <m/>
    <n v="0"/>
    <m/>
    <m/>
    <m/>
    <m/>
    <m/>
    <m/>
    <m/>
    <n v="0"/>
    <s v="raised wheel 1 inch"/>
    <m/>
    <s v="20140621 JBerry"/>
    <s v="20140622 DRobichaud"/>
    <s v="FW_Scan_20140621.pdf"/>
    <n v="1"/>
    <n v="0"/>
    <n v="0"/>
    <n v="0"/>
    <n v="3"/>
    <n v="0"/>
    <n v="0"/>
    <n v="0"/>
    <n v="0"/>
    <n v="0"/>
    <n v="0"/>
    <n v="0"/>
    <n v="0"/>
    <n v="0"/>
    <n v="0"/>
    <n v="0"/>
    <n v="0"/>
    <n v="0"/>
    <n v="0"/>
    <n v="0"/>
  </r>
  <r>
    <x v="15"/>
    <x v="0"/>
    <s v="dr,eg,la"/>
    <d v="1899-12-30T14:26:00"/>
    <d v="1899-12-30T18:52:00"/>
    <n v="51"/>
    <n v="7"/>
    <m/>
    <m/>
    <n v="266"/>
    <n v="4"/>
    <n v="1"/>
    <m/>
    <n v="5"/>
    <m/>
    <n v="1"/>
    <m/>
    <n v="1"/>
    <m/>
    <m/>
    <m/>
    <m/>
    <n v="0"/>
    <m/>
    <m/>
    <m/>
    <n v="0"/>
    <m/>
    <m/>
    <m/>
    <n v="0"/>
    <m/>
    <m/>
    <m/>
    <m/>
    <n v="0"/>
    <m/>
    <m/>
    <m/>
    <m/>
    <m/>
    <m/>
    <m/>
    <n v="0"/>
    <m/>
    <m/>
    <s v="20140621 EGora"/>
    <s v="20140622 DRobichaud"/>
    <s v="FW_Scan_20140621.pdf"/>
    <n v="4"/>
    <n v="1"/>
    <n v="0"/>
    <n v="0"/>
    <n v="1"/>
    <n v="0"/>
    <n v="0"/>
    <n v="0"/>
    <n v="0"/>
    <n v="0"/>
    <n v="0"/>
    <n v="0"/>
    <n v="0"/>
    <n v="0"/>
    <n v="0"/>
    <n v="0"/>
    <n v="0"/>
    <n v="0"/>
    <n v="0"/>
    <n v="0"/>
  </r>
  <r>
    <x v="15"/>
    <x v="0"/>
    <s v="jb,jg"/>
    <d v="1899-12-30T18:52:00"/>
    <d v="1899-12-30T23:28:00"/>
    <n v="49"/>
    <n v="7"/>
    <m/>
    <m/>
    <n v="276"/>
    <n v="2"/>
    <m/>
    <m/>
    <n v="2"/>
    <m/>
    <n v="2"/>
    <m/>
    <n v="2"/>
    <m/>
    <m/>
    <m/>
    <m/>
    <n v="0"/>
    <m/>
    <m/>
    <m/>
    <n v="0"/>
    <m/>
    <m/>
    <m/>
    <n v="0"/>
    <m/>
    <m/>
    <m/>
    <m/>
    <n v="0"/>
    <m/>
    <m/>
    <m/>
    <m/>
    <m/>
    <m/>
    <m/>
    <n v="0"/>
    <m/>
    <m/>
    <s v="20140621 JBerry"/>
    <s v="20140622 DRobichaud"/>
    <s v="FW_Scan_20140621.pdf"/>
    <n v="2"/>
    <n v="0"/>
    <n v="0"/>
    <n v="0"/>
    <n v="2"/>
    <n v="0"/>
    <n v="0"/>
    <n v="0"/>
    <n v="0"/>
    <n v="0"/>
    <n v="0"/>
    <n v="0"/>
    <n v="0"/>
    <n v="0"/>
    <n v="0"/>
    <n v="0"/>
    <n v="0"/>
    <n v="0"/>
    <n v="0"/>
    <n v="0"/>
  </r>
  <r>
    <x v="15"/>
    <x v="2"/>
    <s v="la,eg"/>
    <d v="1899-12-30T06:23:00"/>
    <d v="1899-12-30T09:00:00"/>
    <n v="33"/>
    <n v="11"/>
    <m/>
    <m/>
    <n v="157"/>
    <m/>
    <m/>
    <m/>
    <n v="0"/>
    <m/>
    <m/>
    <m/>
    <n v="0"/>
    <m/>
    <m/>
    <m/>
    <m/>
    <n v="0"/>
    <m/>
    <m/>
    <m/>
    <n v="0"/>
    <m/>
    <m/>
    <m/>
    <n v="0"/>
    <m/>
    <m/>
    <m/>
    <m/>
    <n v="0"/>
    <m/>
    <m/>
    <m/>
    <m/>
    <m/>
    <m/>
    <m/>
    <n v="0"/>
    <m/>
    <s v="no fish"/>
    <s v="20140622 LAckein"/>
    <s v="20140622 DRobichaud"/>
    <s v="FW_Scan_20140621.pdf"/>
    <n v="0"/>
    <n v="0"/>
    <n v="0"/>
    <n v="0"/>
    <n v="0"/>
    <n v="0"/>
    <n v="0"/>
    <n v="0"/>
    <n v="0"/>
    <n v="0"/>
    <n v="0"/>
    <n v="0"/>
    <n v="0"/>
    <n v="0"/>
    <n v="0"/>
    <n v="0"/>
    <n v="0"/>
    <n v="0"/>
    <n v="0"/>
    <n v="0"/>
  </r>
  <r>
    <x v="15"/>
    <x v="2"/>
    <s v="jb,wc"/>
    <d v="1899-12-30T09:00:00"/>
    <d v="1899-12-30T13:30:00"/>
    <n v="37"/>
    <n v="9.5"/>
    <m/>
    <n v="61.8"/>
    <n v="270"/>
    <m/>
    <m/>
    <m/>
    <n v="0"/>
    <m/>
    <m/>
    <m/>
    <n v="0"/>
    <m/>
    <m/>
    <m/>
    <m/>
    <n v="0"/>
    <m/>
    <m/>
    <m/>
    <n v="0"/>
    <m/>
    <m/>
    <m/>
    <n v="0"/>
    <m/>
    <m/>
    <m/>
    <m/>
    <n v="0"/>
    <m/>
    <m/>
    <m/>
    <m/>
    <m/>
    <m/>
    <m/>
    <n v="0"/>
    <m/>
    <s v="no fish"/>
    <s v="20140621 JBerry"/>
    <s v="20140622 DRobichaud"/>
    <s v="FW_Scan_20140621.pdf"/>
    <n v="0"/>
    <n v="0"/>
    <n v="0"/>
    <n v="0"/>
    <n v="0"/>
    <n v="0"/>
    <n v="0"/>
    <n v="0"/>
    <n v="0"/>
    <n v="0"/>
    <n v="0"/>
    <n v="0"/>
    <n v="0"/>
    <n v="0"/>
    <n v="0"/>
    <n v="0"/>
    <n v="0"/>
    <n v="0"/>
    <n v="0"/>
    <n v="0"/>
  </r>
  <r>
    <x v="15"/>
    <x v="2"/>
    <s v="jb,jg"/>
    <d v="1899-12-30T13:30:00"/>
    <d v="1899-12-30T22:55:00"/>
    <n v="34"/>
    <n v="9"/>
    <m/>
    <m/>
    <n v="565.00000000000011"/>
    <m/>
    <m/>
    <m/>
    <n v="0"/>
    <m/>
    <m/>
    <m/>
    <n v="0"/>
    <m/>
    <m/>
    <m/>
    <m/>
    <n v="0"/>
    <m/>
    <m/>
    <m/>
    <n v="0"/>
    <m/>
    <m/>
    <m/>
    <n v="0"/>
    <m/>
    <m/>
    <m/>
    <m/>
    <n v="0"/>
    <m/>
    <m/>
    <m/>
    <m/>
    <m/>
    <m/>
    <m/>
    <n v="0"/>
    <m/>
    <s v="no fish"/>
    <s v="20140621 JBerry"/>
    <s v="20140622 DRobichaud"/>
    <s v="FW_Scan_20140621.pdf"/>
    <n v="0"/>
    <n v="0"/>
    <n v="0"/>
    <n v="0"/>
    <n v="0"/>
    <n v="0"/>
    <n v="0"/>
    <n v="0"/>
    <n v="0"/>
    <n v="0"/>
    <n v="0"/>
    <n v="0"/>
    <n v="0"/>
    <n v="0"/>
    <n v="0"/>
    <n v="0"/>
    <n v="0"/>
    <n v="0"/>
    <n v="0"/>
    <n v="0"/>
  </r>
  <r>
    <x v="15"/>
    <x v="1"/>
    <s v="dr,bk"/>
    <d v="1899-12-30T06:10:00"/>
    <d v="1899-12-30T09:50:00"/>
    <n v="39"/>
    <n v="8"/>
    <m/>
    <m/>
    <n v="220.00000000000003"/>
    <n v="3"/>
    <m/>
    <m/>
    <n v="3"/>
    <m/>
    <m/>
    <m/>
    <n v="0"/>
    <m/>
    <m/>
    <m/>
    <m/>
    <n v="0"/>
    <m/>
    <m/>
    <m/>
    <n v="0"/>
    <m/>
    <m/>
    <m/>
    <n v="0"/>
    <m/>
    <m/>
    <m/>
    <m/>
    <n v="0"/>
    <n v="2"/>
    <m/>
    <m/>
    <m/>
    <m/>
    <m/>
    <m/>
    <n v="2"/>
    <m/>
    <m/>
    <s v="20140621 DRobichaud"/>
    <s v="20140622 DRobichaud"/>
    <s v="FW_Scan_20140621.pdf"/>
    <n v="3"/>
    <n v="0"/>
    <n v="0"/>
    <n v="0"/>
    <n v="0"/>
    <n v="0"/>
    <n v="0"/>
    <n v="0"/>
    <n v="0"/>
    <n v="0"/>
    <n v="0"/>
    <n v="0"/>
    <n v="0"/>
    <n v="0"/>
    <n v="0"/>
    <n v="0"/>
    <n v="0"/>
    <n v="0"/>
    <n v="0"/>
    <n v="0"/>
  </r>
  <r>
    <x v="15"/>
    <x v="1"/>
    <s v="jg,kbm"/>
    <d v="1899-12-30T09:50:00"/>
    <d v="1899-12-30T14:20:00"/>
    <n v="38"/>
    <n v="8"/>
    <m/>
    <m/>
    <n v="269.99999999999989"/>
    <n v="2"/>
    <m/>
    <m/>
    <n v="2"/>
    <m/>
    <n v="2"/>
    <m/>
    <n v="2"/>
    <m/>
    <m/>
    <m/>
    <m/>
    <n v="0"/>
    <m/>
    <m/>
    <m/>
    <n v="0"/>
    <m/>
    <m/>
    <m/>
    <n v="0"/>
    <m/>
    <m/>
    <m/>
    <m/>
    <n v="0"/>
    <m/>
    <m/>
    <m/>
    <m/>
    <m/>
    <m/>
    <m/>
    <n v="0"/>
    <m/>
    <m/>
    <s v="20140621 KMatthews"/>
    <s v="20140622 DRobichaud"/>
    <s v="FW_Scan_20140621.pdf"/>
    <n v="2"/>
    <n v="0"/>
    <n v="0"/>
    <n v="0"/>
    <n v="2"/>
    <n v="0"/>
    <n v="0"/>
    <n v="0"/>
    <n v="0"/>
    <n v="0"/>
    <n v="0"/>
    <n v="0"/>
    <n v="0"/>
    <n v="0"/>
    <n v="0"/>
    <n v="0"/>
    <n v="0"/>
    <n v="0"/>
    <n v="0"/>
    <n v="0"/>
  </r>
  <r>
    <x v="15"/>
    <x v="1"/>
    <s v="dr,eg,la"/>
    <d v="1899-12-30T14:20:00"/>
    <d v="1899-12-30T18:15:00"/>
    <n v="40"/>
    <n v="8"/>
    <m/>
    <m/>
    <n v="234.99999999999997"/>
    <n v="5"/>
    <n v="1"/>
    <m/>
    <n v="6"/>
    <m/>
    <m/>
    <m/>
    <n v="0"/>
    <m/>
    <m/>
    <m/>
    <m/>
    <n v="0"/>
    <m/>
    <m/>
    <m/>
    <n v="0"/>
    <m/>
    <m/>
    <m/>
    <n v="0"/>
    <m/>
    <m/>
    <m/>
    <m/>
    <n v="0"/>
    <m/>
    <m/>
    <m/>
    <m/>
    <m/>
    <m/>
    <m/>
    <n v="0"/>
    <m/>
    <m/>
    <s v="20140621 EGora"/>
    <s v="20140622 DRobichaud"/>
    <s v="FW_Scan_20140621.pdf"/>
    <n v="5"/>
    <n v="1"/>
    <n v="0"/>
    <n v="0"/>
    <n v="0"/>
    <n v="0"/>
    <n v="0"/>
    <n v="0"/>
    <n v="0"/>
    <n v="0"/>
    <n v="0"/>
    <n v="0"/>
    <n v="0"/>
    <n v="0"/>
    <n v="0"/>
    <n v="0"/>
    <n v="0"/>
    <n v="0"/>
    <n v="0"/>
    <n v="0"/>
  </r>
  <r>
    <x v="15"/>
    <x v="1"/>
    <s v="kbm,wc"/>
    <d v="1899-12-30T18:15:00"/>
    <d v="1899-12-30T23:16:00"/>
    <n v="42"/>
    <n v="8"/>
    <m/>
    <m/>
    <n v="301.00000000000006"/>
    <n v="3"/>
    <m/>
    <m/>
    <n v="3"/>
    <m/>
    <n v="4"/>
    <m/>
    <n v="4"/>
    <m/>
    <m/>
    <m/>
    <m/>
    <n v="0"/>
    <m/>
    <m/>
    <m/>
    <n v="0"/>
    <m/>
    <m/>
    <m/>
    <n v="0"/>
    <m/>
    <m/>
    <m/>
    <m/>
    <n v="0"/>
    <n v="1"/>
    <m/>
    <m/>
    <m/>
    <m/>
    <m/>
    <m/>
    <n v="1"/>
    <m/>
    <m/>
    <s v="20140621 KMatthews"/>
    <s v="20140622 DRobichaud"/>
    <s v="FW_Scan_20140621.pdf"/>
    <n v="3"/>
    <n v="0"/>
    <n v="0"/>
    <n v="0"/>
    <n v="4"/>
    <n v="0"/>
    <n v="0"/>
    <n v="0"/>
    <n v="0"/>
    <n v="0"/>
    <n v="0"/>
    <n v="0"/>
    <n v="0"/>
    <n v="0"/>
    <n v="0"/>
    <n v="0"/>
    <n v="0"/>
    <n v="0"/>
    <n v="0"/>
    <n v="0"/>
  </r>
  <r>
    <x v="16"/>
    <x v="0"/>
    <s v="js,cs,bk"/>
    <d v="1899-12-30T05:47:00"/>
    <d v="1899-12-30T10:29:00"/>
    <n v="45"/>
    <n v="6.5"/>
    <m/>
    <m/>
    <n v="281.99999999999989"/>
    <m/>
    <m/>
    <m/>
    <n v="0"/>
    <m/>
    <m/>
    <m/>
    <n v="0"/>
    <m/>
    <m/>
    <m/>
    <m/>
    <n v="0"/>
    <m/>
    <m/>
    <m/>
    <n v="0"/>
    <m/>
    <m/>
    <m/>
    <n v="0"/>
    <m/>
    <m/>
    <m/>
    <m/>
    <n v="0"/>
    <m/>
    <m/>
    <m/>
    <m/>
    <m/>
    <m/>
    <m/>
    <n v="0"/>
    <m/>
    <s v="no fish"/>
    <s v="20140622 BKalb"/>
    <s v="20140623 DRobichaud"/>
    <s v="FW_Scan_20140622.pdf"/>
    <n v="0"/>
    <n v="0"/>
    <n v="0"/>
    <n v="0"/>
    <n v="0"/>
    <n v="0"/>
    <n v="0"/>
    <n v="0"/>
    <n v="0"/>
    <n v="0"/>
    <n v="0"/>
    <n v="0"/>
    <n v="0"/>
    <n v="0"/>
    <n v="0"/>
    <n v="0"/>
    <n v="0"/>
    <n v="0"/>
    <n v="0"/>
    <n v="0"/>
  </r>
  <r>
    <x v="16"/>
    <x v="0"/>
    <s v="kbm,wc"/>
    <d v="1899-12-30T10:29:00"/>
    <d v="1899-12-30T13:08:00"/>
    <n v="48"/>
    <n v="7"/>
    <m/>
    <m/>
    <n v="159"/>
    <m/>
    <m/>
    <m/>
    <n v="0"/>
    <m/>
    <m/>
    <m/>
    <n v="0"/>
    <m/>
    <m/>
    <m/>
    <m/>
    <n v="0"/>
    <m/>
    <m/>
    <m/>
    <n v="0"/>
    <m/>
    <m/>
    <m/>
    <n v="0"/>
    <m/>
    <m/>
    <m/>
    <m/>
    <n v="0"/>
    <m/>
    <m/>
    <m/>
    <m/>
    <m/>
    <m/>
    <m/>
    <n v="0"/>
    <s v="raised wheel to clear debris (13:08 - 13:15)"/>
    <s v="no fish"/>
    <s v="20140622 KMatthews"/>
    <s v="20140623 DRobichaud"/>
    <s v="FW_Scan_20140622.pdf"/>
    <n v="0"/>
    <n v="0"/>
    <n v="0"/>
    <n v="0"/>
    <n v="0"/>
    <n v="0"/>
    <n v="0"/>
    <n v="0"/>
    <n v="0"/>
    <n v="0"/>
    <n v="0"/>
    <n v="0"/>
    <n v="0"/>
    <n v="0"/>
    <n v="0"/>
    <n v="0"/>
    <n v="0"/>
    <n v="0"/>
    <n v="0"/>
    <n v="0"/>
  </r>
  <r>
    <x v="16"/>
    <x v="0"/>
    <s v="kbm,wc"/>
    <d v="1899-12-30T13:15:00"/>
    <d v="1899-12-30T14:34:00"/>
    <n v="45"/>
    <n v="8"/>
    <m/>
    <m/>
    <n v="78.999999999999886"/>
    <n v="1"/>
    <m/>
    <m/>
    <n v="1"/>
    <m/>
    <m/>
    <m/>
    <n v="0"/>
    <m/>
    <m/>
    <m/>
    <m/>
    <n v="0"/>
    <m/>
    <m/>
    <m/>
    <n v="0"/>
    <m/>
    <m/>
    <m/>
    <n v="0"/>
    <m/>
    <m/>
    <m/>
    <m/>
    <n v="0"/>
    <m/>
    <m/>
    <m/>
    <m/>
    <m/>
    <m/>
    <m/>
    <n v="0"/>
    <m/>
    <m/>
    <s v="20140622 WChallenger"/>
    <s v="20140623 DRobichaud"/>
    <s v="FW_Scan_20140622.pdf"/>
    <n v="1"/>
    <n v="0"/>
    <n v="0"/>
    <n v="0"/>
    <n v="0"/>
    <n v="0"/>
    <n v="0"/>
    <n v="0"/>
    <n v="0"/>
    <n v="0"/>
    <n v="0"/>
    <n v="0"/>
    <n v="0"/>
    <n v="0"/>
    <n v="0"/>
    <n v="0"/>
    <n v="0"/>
    <n v="0"/>
    <n v="0"/>
    <n v="0"/>
  </r>
  <r>
    <x v="16"/>
    <x v="0"/>
    <s v="dr,bk"/>
    <d v="1899-12-30T14:34:00"/>
    <d v="1899-12-30T19:05:00"/>
    <n v="46"/>
    <n v="8"/>
    <m/>
    <m/>
    <n v="220"/>
    <n v="1"/>
    <m/>
    <m/>
    <n v="1"/>
    <m/>
    <m/>
    <m/>
    <n v="0"/>
    <m/>
    <m/>
    <m/>
    <m/>
    <n v="0"/>
    <m/>
    <m/>
    <m/>
    <n v="0"/>
    <m/>
    <m/>
    <m/>
    <n v="0"/>
    <m/>
    <m/>
    <m/>
    <m/>
    <n v="0"/>
    <m/>
    <m/>
    <m/>
    <m/>
    <m/>
    <m/>
    <m/>
    <n v="0"/>
    <s v="wheel raised 17:54-18:45, moved closer to shore"/>
    <m/>
    <s v="20140622 DRobichaud"/>
    <s v="20140623 DRobichaud"/>
    <s v="FW_Scan_20140622.pdf"/>
    <n v="1"/>
    <n v="0"/>
    <n v="0"/>
    <n v="0"/>
    <n v="0"/>
    <n v="0"/>
    <n v="0"/>
    <n v="0"/>
    <n v="0"/>
    <n v="0"/>
    <n v="0"/>
    <n v="0"/>
    <n v="0"/>
    <n v="0"/>
    <n v="0"/>
    <n v="0"/>
    <n v="0"/>
    <n v="0"/>
    <n v="0"/>
    <n v="0"/>
  </r>
  <r>
    <x v="16"/>
    <x v="0"/>
    <s v="jb,kbm"/>
    <d v="1899-12-30T19:05:00"/>
    <d v="1899-12-30T23:31:00"/>
    <n v="48"/>
    <n v="8"/>
    <m/>
    <m/>
    <n v="266"/>
    <n v="1"/>
    <m/>
    <m/>
    <n v="1"/>
    <m/>
    <n v="1"/>
    <m/>
    <n v="1"/>
    <m/>
    <m/>
    <m/>
    <m/>
    <n v="0"/>
    <m/>
    <m/>
    <m/>
    <n v="0"/>
    <m/>
    <m/>
    <m/>
    <n v="0"/>
    <m/>
    <m/>
    <m/>
    <m/>
    <n v="0"/>
    <m/>
    <m/>
    <m/>
    <m/>
    <m/>
    <m/>
    <m/>
    <n v="0"/>
    <m/>
    <m/>
    <s v="20140622 KMatthews"/>
    <s v="20140623 DRobichaud"/>
    <s v="FW_Scan_20140622.pdf"/>
    <n v="1"/>
    <n v="0"/>
    <n v="0"/>
    <n v="0"/>
    <n v="1"/>
    <n v="0"/>
    <n v="0"/>
    <n v="0"/>
    <n v="0"/>
    <n v="0"/>
    <n v="0"/>
    <n v="0"/>
    <n v="0"/>
    <n v="0"/>
    <n v="0"/>
    <n v="0"/>
    <n v="0"/>
    <n v="0"/>
    <n v="0"/>
    <n v="0"/>
  </r>
  <r>
    <x v="16"/>
    <x v="2"/>
    <s v="cs,bk,js"/>
    <d v="1899-12-30T06:03:00"/>
    <d v="1899-12-30T10:22:00"/>
    <n v="31"/>
    <n v="9"/>
    <m/>
    <m/>
    <n v="259.00000000000006"/>
    <m/>
    <m/>
    <m/>
    <n v="0"/>
    <m/>
    <m/>
    <m/>
    <n v="0"/>
    <m/>
    <m/>
    <m/>
    <m/>
    <n v="0"/>
    <m/>
    <m/>
    <m/>
    <n v="0"/>
    <m/>
    <m/>
    <m/>
    <n v="0"/>
    <m/>
    <m/>
    <m/>
    <m/>
    <n v="0"/>
    <m/>
    <m/>
    <m/>
    <m/>
    <m/>
    <m/>
    <m/>
    <n v="0"/>
    <m/>
    <s v="no fish"/>
    <s v="20140622 JSmith"/>
    <s v="20140623 DRobichaud"/>
    <s v="FW_Scan_20140622.pdf"/>
    <n v="0"/>
    <n v="0"/>
    <n v="0"/>
    <n v="0"/>
    <n v="0"/>
    <n v="0"/>
    <n v="0"/>
    <n v="0"/>
    <n v="0"/>
    <n v="0"/>
    <n v="0"/>
    <n v="0"/>
    <n v="0"/>
    <n v="0"/>
    <n v="0"/>
    <n v="0"/>
    <n v="0"/>
    <n v="0"/>
    <n v="0"/>
    <n v="0"/>
  </r>
  <r>
    <x v="16"/>
    <x v="2"/>
    <s v="kbm,wc"/>
    <d v="1899-12-30T10:22:00"/>
    <d v="1899-12-30T14:14:00"/>
    <n v="31"/>
    <n v="9"/>
    <m/>
    <m/>
    <n v="231.99999999999997"/>
    <m/>
    <m/>
    <m/>
    <n v="0"/>
    <m/>
    <m/>
    <m/>
    <n v="0"/>
    <m/>
    <m/>
    <m/>
    <m/>
    <n v="0"/>
    <m/>
    <m/>
    <m/>
    <n v="0"/>
    <m/>
    <m/>
    <m/>
    <n v="0"/>
    <m/>
    <m/>
    <m/>
    <m/>
    <n v="0"/>
    <m/>
    <m/>
    <m/>
    <m/>
    <m/>
    <m/>
    <m/>
    <n v="0"/>
    <m/>
    <s v="no fish"/>
    <s v="20140622 KMatthews"/>
    <s v="20140623 DRobichaud"/>
    <s v="FW_Scan_20140622.pdf"/>
    <n v="0"/>
    <n v="0"/>
    <n v="0"/>
    <n v="0"/>
    <n v="0"/>
    <n v="0"/>
    <n v="0"/>
    <n v="0"/>
    <n v="0"/>
    <n v="0"/>
    <n v="0"/>
    <n v="0"/>
    <n v="0"/>
    <n v="0"/>
    <n v="0"/>
    <n v="0"/>
    <n v="0"/>
    <n v="0"/>
    <n v="0"/>
    <n v="0"/>
  </r>
  <r>
    <x v="16"/>
    <x v="2"/>
    <s v="bk,dr"/>
    <d v="1899-12-30T14:14:00"/>
    <d v="1899-12-30T18:25:00"/>
    <n v="32"/>
    <n v="11"/>
    <m/>
    <m/>
    <n v="251.00000000000006"/>
    <n v="1"/>
    <m/>
    <m/>
    <n v="1"/>
    <m/>
    <m/>
    <m/>
    <n v="0"/>
    <m/>
    <m/>
    <m/>
    <m/>
    <n v="0"/>
    <m/>
    <m/>
    <m/>
    <n v="0"/>
    <m/>
    <m/>
    <m/>
    <n v="0"/>
    <m/>
    <m/>
    <m/>
    <m/>
    <n v="0"/>
    <m/>
    <m/>
    <m/>
    <m/>
    <m/>
    <m/>
    <m/>
    <n v="0"/>
    <m/>
    <m/>
    <s v="20140622 BKalb"/>
    <s v="20140623 DRobichaud"/>
    <s v="FW_Scan_20140622.pdf"/>
    <n v="1"/>
    <n v="0"/>
    <n v="0"/>
    <n v="0"/>
    <n v="0"/>
    <n v="0"/>
    <n v="0"/>
    <n v="0"/>
    <n v="0"/>
    <n v="0"/>
    <n v="0"/>
    <n v="0"/>
    <n v="0"/>
    <n v="0"/>
    <n v="0"/>
    <n v="0"/>
    <n v="0"/>
    <n v="0"/>
    <n v="0"/>
    <n v="0"/>
  </r>
  <r>
    <x v="16"/>
    <x v="2"/>
    <s v="jb,kbm"/>
    <d v="1899-12-30T18:25:00"/>
    <d v="1899-12-30T22:04:00"/>
    <n v="31"/>
    <n v="12"/>
    <m/>
    <m/>
    <n v="218.99999999999986"/>
    <m/>
    <m/>
    <m/>
    <n v="0"/>
    <m/>
    <m/>
    <m/>
    <n v="0"/>
    <m/>
    <m/>
    <m/>
    <m/>
    <n v="0"/>
    <m/>
    <m/>
    <m/>
    <n v="0"/>
    <m/>
    <m/>
    <m/>
    <n v="0"/>
    <m/>
    <m/>
    <m/>
    <m/>
    <n v="0"/>
    <m/>
    <m/>
    <m/>
    <m/>
    <m/>
    <m/>
    <m/>
    <n v="0"/>
    <m/>
    <s v="no fish"/>
    <s v="20140622 KMatthews"/>
    <s v="20140623 DRobichaud"/>
    <s v="FW_Scan_20140622.pdf"/>
    <n v="0"/>
    <n v="0"/>
    <n v="0"/>
    <n v="0"/>
    <n v="0"/>
    <n v="0"/>
    <n v="0"/>
    <n v="0"/>
    <n v="0"/>
    <n v="0"/>
    <n v="0"/>
    <n v="0"/>
    <n v="0"/>
    <n v="0"/>
    <n v="0"/>
    <n v="0"/>
    <n v="0"/>
    <n v="0"/>
    <n v="0"/>
    <n v="0"/>
  </r>
  <r>
    <x v="16"/>
    <x v="1"/>
    <s v="la,eg"/>
    <d v="1899-12-30T05:55:00"/>
    <d v="1899-12-30T09:15:00"/>
    <n v="41"/>
    <n v="9"/>
    <m/>
    <m/>
    <n v="200"/>
    <n v="3"/>
    <m/>
    <m/>
    <n v="3"/>
    <m/>
    <n v="2"/>
    <m/>
    <n v="2"/>
    <m/>
    <m/>
    <m/>
    <m/>
    <n v="0"/>
    <m/>
    <m/>
    <m/>
    <n v="0"/>
    <m/>
    <m/>
    <m/>
    <n v="0"/>
    <m/>
    <m/>
    <m/>
    <m/>
    <n v="0"/>
    <m/>
    <m/>
    <m/>
    <m/>
    <m/>
    <m/>
    <m/>
    <n v="0"/>
    <m/>
    <m/>
    <s v="20140622 EGora"/>
    <s v="20140623 DRobichaud"/>
    <s v="FW_Scan_20140622.pdf"/>
    <n v="3"/>
    <n v="0"/>
    <n v="0"/>
    <n v="0"/>
    <n v="2"/>
    <n v="0"/>
    <n v="0"/>
    <n v="0"/>
    <n v="0"/>
    <n v="0"/>
    <n v="0"/>
    <n v="0"/>
    <n v="0"/>
    <n v="0"/>
    <n v="0"/>
    <n v="0"/>
    <n v="0"/>
    <n v="0"/>
    <n v="0"/>
    <n v="0"/>
  </r>
  <r>
    <x v="16"/>
    <x v="1"/>
    <s v="jb,jg"/>
    <d v="1899-12-30T09:15:00"/>
    <d v="1899-12-30T14:20:00"/>
    <n v="36"/>
    <n v="7"/>
    <m/>
    <m/>
    <n v="304.99999999999994"/>
    <n v="1"/>
    <m/>
    <m/>
    <n v="1"/>
    <m/>
    <n v="1"/>
    <m/>
    <n v="1"/>
    <m/>
    <m/>
    <m/>
    <m/>
    <n v="0"/>
    <m/>
    <m/>
    <m/>
    <n v="0"/>
    <m/>
    <m/>
    <m/>
    <n v="0"/>
    <m/>
    <m/>
    <m/>
    <m/>
    <n v="0"/>
    <m/>
    <m/>
    <m/>
    <m/>
    <m/>
    <m/>
    <m/>
    <n v="0"/>
    <m/>
    <s v="one 10 cm Chinook smolt"/>
    <s v="20140622 JBerry"/>
    <s v="20140623 DRobichaud"/>
    <s v="FW_Scan_20140622.pdf"/>
    <n v="1"/>
    <n v="0"/>
    <n v="0"/>
    <n v="0"/>
    <n v="1"/>
    <n v="0"/>
    <n v="0"/>
    <n v="0"/>
    <n v="0"/>
    <n v="0"/>
    <n v="0"/>
    <n v="0"/>
    <n v="0"/>
    <n v="0"/>
    <n v="0"/>
    <n v="0"/>
    <n v="0"/>
    <n v="0"/>
    <n v="0"/>
    <n v="0"/>
  </r>
  <r>
    <x v="16"/>
    <x v="1"/>
    <s v="dr,bk"/>
    <d v="1899-12-30T14:20:00"/>
    <d v="1899-12-30T18:53:00"/>
    <n v="39"/>
    <n v="9"/>
    <m/>
    <m/>
    <n v="273"/>
    <n v="5"/>
    <m/>
    <m/>
    <n v="5"/>
    <m/>
    <n v="2"/>
    <m/>
    <n v="2"/>
    <m/>
    <m/>
    <m/>
    <m/>
    <n v="0"/>
    <m/>
    <m/>
    <m/>
    <n v="0"/>
    <m/>
    <m/>
    <m/>
    <n v="0"/>
    <m/>
    <m/>
    <m/>
    <m/>
    <n v="0"/>
    <m/>
    <m/>
    <n v="1"/>
    <m/>
    <m/>
    <m/>
    <m/>
    <n v="1"/>
    <m/>
    <m/>
    <s v="20140622 DRobichaud"/>
    <s v="20140623 DRobichaud"/>
    <s v="FW_Scan_20140622.pdf"/>
    <n v="5"/>
    <n v="0"/>
    <n v="0"/>
    <n v="0"/>
    <n v="2"/>
    <n v="0"/>
    <n v="0"/>
    <n v="0"/>
    <n v="0"/>
    <n v="0"/>
    <n v="0"/>
    <n v="0"/>
    <n v="0"/>
    <n v="0"/>
    <n v="0"/>
    <n v="0"/>
    <n v="0"/>
    <n v="0"/>
    <n v="0"/>
    <n v="0"/>
  </r>
  <r>
    <x v="16"/>
    <x v="1"/>
    <s v="kbm,jb"/>
    <d v="1899-12-30T18:53:00"/>
    <d v="1899-12-30T23:19:00"/>
    <n v="40"/>
    <n v="9"/>
    <m/>
    <m/>
    <n v="266"/>
    <n v="2"/>
    <n v="1"/>
    <m/>
    <n v="3"/>
    <n v="1"/>
    <n v="1"/>
    <m/>
    <n v="2"/>
    <m/>
    <m/>
    <m/>
    <m/>
    <n v="0"/>
    <m/>
    <m/>
    <m/>
    <n v="0"/>
    <m/>
    <m/>
    <m/>
    <n v="0"/>
    <m/>
    <m/>
    <m/>
    <m/>
    <n v="0"/>
    <n v="1"/>
    <m/>
    <m/>
    <m/>
    <m/>
    <n v="1"/>
    <m/>
    <n v="2"/>
    <m/>
    <m/>
    <s v="20140622 JBerry"/>
    <s v="20140623 DRobichaud"/>
    <s v="FW_Scan_20140622.pdf"/>
    <n v="2"/>
    <n v="1"/>
    <n v="0"/>
    <n v="1"/>
    <n v="1"/>
    <n v="0"/>
    <n v="0"/>
    <n v="0"/>
    <n v="0"/>
    <n v="0"/>
    <n v="0"/>
    <n v="0"/>
    <n v="0"/>
    <n v="0"/>
    <n v="0"/>
    <n v="0"/>
    <n v="0"/>
    <n v="0"/>
    <n v="0"/>
    <n v="0"/>
  </r>
  <r>
    <x v="17"/>
    <x v="0"/>
    <s v="ks,bk"/>
    <d v="1899-12-30T05:45:00"/>
    <d v="1899-12-30T09:47:00"/>
    <n v="54"/>
    <n v="8.5"/>
    <m/>
    <m/>
    <n v="242"/>
    <n v="1"/>
    <m/>
    <m/>
    <n v="1"/>
    <m/>
    <n v="1"/>
    <m/>
    <n v="1"/>
    <m/>
    <m/>
    <m/>
    <m/>
    <n v="0"/>
    <m/>
    <m/>
    <m/>
    <n v="0"/>
    <m/>
    <m/>
    <m/>
    <n v="0"/>
    <m/>
    <m/>
    <m/>
    <m/>
    <n v="0"/>
    <m/>
    <m/>
    <m/>
    <m/>
    <m/>
    <m/>
    <m/>
    <n v="0"/>
    <m/>
    <m/>
    <s v="20140623 BKalb"/>
    <s v="20140624 DRobichaud"/>
    <s v="FW_Scan_20140623.pdf"/>
    <n v="1"/>
    <n v="0"/>
    <n v="0"/>
    <n v="0"/>
    <n v="1"/>
    <n v="0"/>
    <n v="0"/>
    <n v="0"/>
    <n v="0"/>
    <n v="0"/>
    <n v="0"/>
    <n v="0"/>
    <n v="0"/>
    <n v="0"/>
    <n v="0"/>
    <n v="0"/>
    <n v="0"/>
    <n v="0"/>
    <n v="0"/>
    <n v="0"/>
  </r>
  <r>
    <x v="17"/>
    <x v="0"/>
    <s v="kbm,jbu,js"/>
    <d v="1899-12-30T09:47:00"/>
    <d v="1899-12-30T14:14:00"/>
    <n v="54"/>
    <n v="8"/>
    <m/>
    <m/>
    <n v="267"/>
    <n v="2"/>
    <m/>
    <m/>
    <n v="2"/>
    <m/>
    <m/>
    <m/>
    <n v="0"/>
    <m/>
    <m/>
    <m/>
    <m/>
    <n v="0"/>
    <m/>
    <m/>
    <m/>
    <n v="0"/>
    <m/>
    <m/>
    <m/>
    <n v="0"/>
    <m/>
    <m/>
    <m/>
    <m/>
    <n v="0"/>
    <m/>
    <m/>
    <m/>
    <m/>
    <m/>
    <m/>
    <m/>
    <n v="0"/>
    <m/>
    <m/>
    <s v="20140623 KMatthews"/>
    <s v="20140624 DRobichaud"/>
    <s v="FW_Scan_20140623.pdf"/>
    <n v="2"/>
    <n v="0"/>
    <n v="0"/>
    <n v="0"/>
    <n v="0"/>
    <n v="0"/>
    <n v="0"/>
    <n v="0"/>
    <n v="0"/>
    <n v="0"/>
    <n v="0"/>
    <n v="0"/>
    <n v="0"/>
    <n v="0"/>
    <n v="0"/>
    <n v="0"/>
    <n v="0"/>
    <n v="0"/>
    <n v="0"/>
    <n v="0"/>
  </r>
  <r>
    <x v="17"/>
    <x v="0"/>
    <s v="ks,cs"/>
    <d v="1899-12-30T14:14:00"/>
    <d v="1899-12-30T18:53:00"/>
    <n v="60"/>
    <n v="8"/>
    <m/>
    <n v="46"/>
    <n v="278.99999999999994"/>
    <m/>
    <n v="1"/>
    <m/>
    <n v="1"/>
    <m/>
    <n v="1"/>
    <m/>
    <n v="1"/>
    <m/>
    <m/>
    <m/>
    <m/>
    <n v="0"/>
    <m/>
    <m/>
    <m/>
    <n v="0"/>
    <m/>
    <m/>
    <m/>
    <n v="0"/>
    <m/>
    <m/>
    <m/>
    <m/>
    <n v="0"/>
    <m/>
    <m/>
    <m/>
    <m/>
    <m/>
    <m/>
    <m/>
    <n v="0"/>
    <m/>
    <s v="untagged CN looked too much like a coho"/>
    <s v="20140623 CSejkora"/>
    <s v="20140624 DRobichaud"/>
    <s v="FW_Scan_20140623.pdf"/>
    <n v="0"/>
    <n v="1"/>
    <n v="0"/>
    <n v="0"/>
    <n v="1"/>
    <n v="0"/>
    <n v="0"/>
    <n v="0"/>
    <n v="0"/>
    <n v="0"/>
    <n v="0"/>
    <n v="0"/>
    <n v="0"/>
    <n v="0"/>
    <n v="0"/>
    <n v="0"/>
    <n v="0"/>
    <n v="0"/>
    <n v="0"/>
    <n v="0"/>
  </r>
  <r>
    <x v="17"/>
    <x v="0"/>
    <s v="kbm,jb"/>
    <d v="1899-12-30T18:53:00"/>
    <d v="1899-12-30T23:20:00"/>
    <n v="59"/>
    <n v="9"/>
    <m/>
    <m/>
    <n v="267"/>
    <n v="2"/>
    <m/>
    <m/>
    <n v="2"/>
    <m/>
    <m/>
    <m/>
    <n v="0"/>
    <m/>
    <m/>
    <m/>
    <m/>
    <n v="0"/>
    <m/>
    <m/>
    <m/>
    <n v="0"/>
    <m/>
    <m/>
    <m/>
    <n v="0"/>
    <m/>
    <m/>
    <m/>
    <m/>
    <n v="0"/>
    <m/>
    <m/>
    <m/>
    <m/>
    <m/>
    <m/>
    <m/>
    <n v="0"/>
    <m/>
    <m/>
    <s v="20140623 JBerry"/>
    <s v="20140624 DRobichaud"/>
    <s v="FW_Scan_20140623.pdf"/>
    <n v="2"/>
    <n v="0"/>
    <n v="0"/>
    <n v="0"/>
    <n v="0"/>
    <n v="0"/>
    <n v="0"/>
    <n v="0"/>
    <n v="0"/>
    <n v="0"/>
    <n v="0"/>
    <n v="0"/>
    <n v="0"/>
    <n v="0"/>
    <n v="0"/>
    <n v="0"/>
    <n v="0"/>
    <n v="0"/>
    <n v="0"/>
    <n v="0"/>
  </r>
  <r>
    <x v="17"/>
    <x v="2"/>
    <s v="ks,bk"/>
    <d v="1899-12-30T05:55:00"/>
    <d v="1899-12-30T09:40:00"/>
    <n v="32"/>
    <n v="9"/>
    <m/>
    <m/>
    <n v="224.99999999999991"/>
    <n v="1"/>
    <m/>
    <m/>
    <n v="1"/>
    <m/>
    <m/>
    <m/>
    <n v="0"/>
    <m/>
    <m/>
    <m/>
    <m/>
    <n v="0"/>
    <m/>
    <m/>
    <m/>
    <n v="0"/>
    <m/>
    <m/>
    <m/>
    <n v="0"/>
    <m/>
    <m/>
    <m/>
    <m/>
    <n v="0"/>
    <m/>
    <m/>
    <m/>
    <m/>
    <m/>
    <m/>
    <m/>
    <n v="0"/>
    <m/>
    <m/>
    <s v="20140623 BKalb"/>
    <s v="20140624 DRobichaud"/>
    <s v="FW_Scan_20140623.pdf"/>
    <n v="1"/>
    <n v="0"/>
    <n v="0"/>
    <n v="0"/>
    <n v="0"/>
    <n v="0"/>
    <n v="0"/>
    <n v="0"/>
    <n v="0"/>
    <n v="0"/>
    <n v="0"/>
    <n v="0"/>
    <n v="0"/>
    <n v="0"/>
    <n v="0"/>
    <n v="0"/>
    <n v="0"/>
    <n v="0"/>
    <n v="0"/>
    <n v="0"/>
  </r>
  <r>
    <x v="17"/>
    <x v="2"/>
    <s v="kbm,jbu,js"/>
    <d v="1899-12-30T09:40:00"/>
    <d v="1899-12-30T14:20:00"/>
    <n v="34"/>
    <n v="10"/>
    <m/>
    <m/>
    <n v="280.00000000000006"/>
    <m/>
    <m/>
    <m/>
    <n v="0"/>
    <m/>
    <m/>
    <m/>
    <n v="0"/>
    <m/>
    <m/>
    <m/>
    <m/>
    <n v="0"/>
    <m/>
    <m/>
    <m/>
    <n v="0"/>
    <m/>
    <m/>
    <m/>
    <n v="0"/>
    <m/>
    <m/>
    <m/>
    <m/>
    <n v="0"/>
    <m/>
    <m/>
    <m/>
    <m/>
    <m/>
    <m/>
    <m/>
    <n v="0"/>
    <m/>
    <s v="no fish"/>
    <s v="20140623 KMatthews"/>
    <s v="20140624 DRobichaud"/>
    <s v="FW_Scan_20140623.pdf"/>
    <n v="0"/>
    <n v="0"/>
    <n v="0"/>
    <n v="0"/>
    <n v="0"/>
    <n v="0"/>
    <n v="0"/>
    <n v="0"/>
    <n v="0"/>
    <n v="0"/>
    <n v="0"/>
    <n v="0"/>
    <n v="0"/>
    <n v="0"/>
    <n v="0"/>
    <n v="0"/>
    <n v="0"/>
    <n v="0"/>
    <n v="0"/>
    <n v="0"/>
  </r>
  <r>
    <x v="17"/>
    <x v="2"/>
    <s v="ks,cs"/>
    <d v="1899-12-30T14:20:00"/>
    <d v="1899-12-30T18:58:00"/>
    <n v="35"/>
    <n v="11"/>
    <m/>
    <m/>
    <n v="278"/>
    <n v="3"/>
    <m/>
    <m/>
    <n v="3"/>
    <m/>
    <m/>
    <m/>
    <n v="0"/>
    <m/>
    <m/>
    <m/>
    <m/>
    <n v="0"/>
    <m/>
    <m/>
    <m/>
    <n v="0"/>
    <m/>
    <m/>
    <m/>
    <n v="0"/>
    <m/>
    <m/>
    <m/>
    <m/>
    <n v="0"/>
    <m/>
    <m/>
    <m/>
    <m/>
    <m/>
    <m/>
    <m/>
    <n v="0"/>
    <m/>
    <m/>
    <s v="20140623 KShippen"/>
    <s v="20140624 DRobichaud"/>
    <s v="FW_Scan_20140623.pdf"/>
    <n v="3"/>
    <n v="0"/>
    <n v="0"/>
    <n v="0"/>
    <n v="0"/>
    <n v="0"/>
    <n v="0"/>
    <n v="0"/>
    <n v="0"/>
    <n v="0"/>
    <n v="0"/>
    <n v="0"/>
    <n v="0"/>
    <n v="0"/>
    <n v="0"/>
    <n v="0"/>
    <n v="0"/>
    <n v="0"/>
    <n v="0"/>
    <n v="0"/>
  </r>
  <r>
    <x v="17"/>
    <x v="2"/>
    <s v="kbm,jb"/>
    <d v="1899-12-30T18:58:00"/>
    <d v="1899-12-30T23:07:00"/>
    <n v="34"/>
    <n v="11"/>
    <m/>
    <m/>
    <n v="249.00000000000009"/>
    <n v="1"/>
    <n v="1"/>
    <m/>
    <n v="2"/>
    <m/>
    <m/>
    <m/>
    <n v="0"/>
    <m/>
    <m/>
    <m/>
    <m/>
    <n v="0"/>
    <m/>
    <m/>
    <m/>
    <n v="0"/>
    <m/>
    <m/>
    <m/>
    <n v="0"/>
    <m/>
    <m/>
    <m/>
    <m/>
    <n v="0"/>
    <m/>
    <m/>
    <m/>
    <m/>
    <m/>
    <m/>
    <m/>
    <n v="0"/>
    <m/>
    <m/>
    <s v="20140623 JBerry"/>
    <s v="20140624 DRobichaud"/>
    <s v="FW_Scan_20140623.pdf"/>
    <n v="1"/>
    <n v="1"/>
    <n v="0"/>
    <n v="0"/>
    <n v="0"/>
    <n v="0"/>
    <n v="0"/>
    <n v="0"/>
    <n v="0"/>
    <n v="0"/>
    <n v="0"/>
    <n v="0"/>
    <n v="0"/>
    <n v="0"/>
    <n v="0"/>
    <n v="0"/>
    <n v="0"/>
    <n v="0"/>
    <n v="0"/>
    <n v="0"/>
  </r>
  <r>
    <x v="17"/>
    <x v="1"/>
    <s v="la,csj"/>
    <d v="1899-12-30T05:45:00"/>
    <d v="1899-12-30T09:30:00"/>
    <n v="42"/>
    <n v="8"/>
    <m/>
    <m/>
    <n v="224.99999999999994"/>
    <m/>
    <m/>
    <m/>
    <n v="0"/>
    <m/>
    <m/>
    <m/>
    <n v="0"/>
    <m/>
    <m/>
    <m/>
    <m/>
    <n v="0"/>
    <m/>
    <m/>
    <m/>
    <n v="0"/>
    <m/>
    <m/>
    <m/>
    <n v="0"/>
    <m/>
    <m/>
    <m/>
    <m/>
    <n v="0"/>
    <m/>
    <m/>
    <m/>
    <m/>
    <m/>
    <m/>
    <m/>
    <n v="0"/>
    <s v="cleared lead net at 6:30"/>
    <s v="no fish"/>
    <s v="20140623 LAckein"/>
    <s v="20140624 DRobichaud"/>
    <s v="FW_Scan_20140623.pdf"/>
    <n v="0"/>
    <n v="0"/>
    <n v="0"/>
    <n v="0"/>
    <n v="0"/>
    <n v="0"/>
    <n v="0"/>
    <n v="0"/>
    <n v="0"/>
    <n v="0"/>
    <n v="0"/>
    <n v="0"/>
    <n v="0"/>
    <n v="0"/>
    <n v="0"/>
    <n v="0"/>
    <n v="0"/>
    <n v="0"/>
    <n v="0"/>
    <n v="0"/>
  </r>
  <r>
    <x v="17"/>
    <x v="1"/>
    <s v="jb,wc"/>
    <d v="1899-12-30T09:30:00"/>
    <d v="1899-12-30T14:11:00"/>
    <n v="41"/>
    <n v="9.5"/>
    <m/>
    <m/>
    <n v="271"/>
    <m/>
    <m/>
    <m/>
    <n v="0"/>
    <m/>
    <m/>
    <m/>
    <n v="0"/>
    <m/>
    <m/>
    <m/>
    <m/>
    <n v="0"/>
    <m/>
    <m/>
    <m/>
    <n v="0"/>
    <m/>
    <m/>
    <m/>
    <n v="0"/>
    <m/>
    <m/>
    <m/>
    <m/>
    <n v="0"/>
    <n v="1"/>
    <m/>
    <n v="1"/>
    <m/>
    <m/>
    <m/>
    <m/>
    <n v="2"/>
    <s v="stopped wheel 1:30-11:40 for log clearing"/>
    <m/>
    <s v="20140623 JBerry"/>
    <s v="20140624 DRobichaud"/>
    <s v="FW_Scan_20140623.pdf"/>
    <n v="0"/>
    <n v="0"/>
    <n v="0"/>
    <n v="0"/>
    <n v="0"/>
    <n v="0"/>
    <n v="0"/>
    <n v="0"/>
    <n v="0"/>
    <n v="0"/>
    <n v="0"/>
    <n v="0"/>
    <n v="0"/>
    <n v="0"/>
    <n v="0"/>
    <n v="0"/>
    <n v="0"/>
    <n v="0"/>
    <n v="0"/>
    <n v="0"/>
  </r>
  <r>
    <x v="17"/>
    <x v="1"/>
    <s v="bk,dr"/>
    <d v="1899-12-30T14:11:00"/>
    <d v="1899-12-30T18:53:00"/>
    <n v="41"/>
    <n v="9"/>
    <m/>
    <m/>
    <n v="281.99999999999994"/>
    <n v="1"/>
    <m/>
    <m/>
    <n v="1"/>
    <m/>
    <m/>
    <m/>
    <n v="0"/>
    <m/>
    <m/>
    <m/>
    <m/>
    <n v="0"/>
    <m/>
    <m/>
    <m/>
    <n v="0"/>
    <m/>
    <m/>
    <m/>
    <n v="0"/>
    <m/>
    <m/>
    <m/>
    <m/>
    <n v="0"/>
    <m/>
    <m/>
    <m/>
    <m/>
    <m/>
    <m/>
    <m/>
    <n v="0"/>
    <m/>
    <m/>
    <s v="20140623 DRobichaud"/>
    <s v="20140624 DRobichaud"/>
    <s v="FW_Scan_20140623.pdf"/>
    <n v="1"/>
    <n v="0"/>
    <n v="0"/>
    <n v="0"/>
    <n v="0"/>
    <n v="0"/>
    <n v="0"/>
    <n v="0"/>
    <n v="0"/>
    <n v="0"/>
    <n v="0"/>
    <n v="0"/>
    <n v="0"/>
    <n v="0"/>
    <n v="0"/>
    <n v="0"/>
    <n v="0"/>
    <n v="0"/>
    <n v="0"/>
    <n v="0"/>
  </r>
  <r>
    <x v="17"/>
    <x v="1"/>
    <s v="jbu,wc"/>
    <d v="1899-12-30T18:53:00"/>
    <d v="1899-12-30T23:20:00"/>
    <n v="44"/>
    <n v="9.5"/>
    <m/>
    <m/>
    <n v="267"/>
    <n v="2"/>
    <m/>
    <m/>
    <n v="2"/>
    <m/>
    <m/>
    <m/>
    <n v="0"/>
    <m/>
    <m/>
    <m/>
    <m/>
    <n v="0"/>
    <m/>
    <m/>
    <m/>
    <n v="0"/>
    <m/>
    <m/>
    <m/>
    <n v="0"/>
    <m/>
    <m/>
    <m/>
    <m/>
    <n v="0"/>
    <m/>
    <m/>
    <m/>
    <m/>
    <m/>
    <m/>
    <m/>
    <n v="0"/>
    <m/>
    <m/>
    <s v="20140623 JBuris"/>
    <s v="20140624 DRobichaud"/>
    <s v="FW_Scan_20140623.pdf"/>
    <n v="2"/>
    <n v="0"/>
    <n v="0"/>
    <n v="0"/>
    <n v="0"/>
    <n v="0"/>
    <n v="0"/>
    <n v="0"/>
    <n v="0"/>
    <n v="0"/>
    <n v="0"/>
    <n v="0"/>
    <n v="0"/>
    <n v="0"/>
    <n v="0"/>
    <n v="0"/>
    <n v="0"/>
    <n v="0"/>
    <n v="0"/>
    <n v="0"/>
  </r>
  <r>
    <x v="18"/>
    <x v="0"/>
    <s v="bk,la"/>
    <d v="1899-12-30T05:36:00"/>
    <d v="1899-12-30T08:38:00"/>
    <n v="65"/>
    <n v="8"/>
    <m/>
    <m/>
    <n v="182.00000000000006"/>
    <n v="1"/>
    <m/>
    <m/>
    <n v="1"/>
    <m/>
    <m/>
    <m/>
    <n v="0"/>
    <m/>
    <m/>
    <m/>
    <m/>
    <n v="0"/>
    <m/>
    <m/>
    <m/>
    <n v="0"/>
    <m/>
    <m/>
    <m/>
    <n v="0"/>
    <m/>
    <m/>
    <m/>
    <m/>
    <n v="0"/>
    <m/>
    <m/>
    <m/>
    <m/>
    <m/>
    <m/>
    <m/>
    <n v="0"/>
    <s v="moved wheel out 6 feet 8:38-8:52"/>
    <m/>
    <s v="20140624 LAckein"/>
    <s v="20140625 DRobichaud"/>
    <s v="FW_Scan_20140624.pdf"/>
    <n v="1"/>
    <n v="0"/>
    <n v="0"/>
    <n v="0"/>
    <n v="0"/>
    <n v="0"/>
    <n v="0"/>
    <n v="0"/>
    <n v="0"/>
    <n v="0"/>
    <n v="0"/>
    <n v="0"/>
    <n v="0"/>
    <n v="0"/>
    <n v="0"/>
    <n v="0"/>
    <n v="0"/>
    <n v="0"/>
    <n v="0"/>
    <n v="0"/>
  </r>
  <r>
    <x v="18"/>
    <x v="0"/>
    <s v="bk,la"/>
    <d v="1899-12-30T08:52:00"/>
    <d v="1899-12-30T09:50:00"/>
    <n v="55"/>
    <m/>
    <m/>
    <m/>
    <n v="58.000000000000036"/>
    <m/>
    <m/>
    <m/>
    <n v="0"/>
    <m/>
    <m/>
    <m/>
    <n v="0"/>
    <m/>
    <m/>
    <m/>
    <m/>
    <n v="0"/>
    <m/>
    <m/>
    <m/>
    <n v="0"/>
    <m/>
    <m/>
    <m/>
    <n v="0"/>
    <m/>
    <m/>
    <m/>
    <m/>
    <n v="0"/>
    <m/>
    <m/>
    <m/>
    <m/>
    <m/>
    <m/>
    <m/>
    <n v="0"/>
    <m/>
    <s v="no fish"/>
    <s v="20140624 LAckein"/>
    <s v="20140625 DRobichaud"/>
    <s v="FW_Scan_20140624.pdf"/>
    <n v="0"/>
    <n v="0"/>
    <n v="0"/>
    <n v="0"/>
    <n v="0"/>
    <n v="0"/>
    <n v="0"/>
    <n v="0"/>
    <n v="0"/>
    <n v="0"/>
    <n v="0"/>
    <n v="0"/>
    <n v="0"/>
    <n v="0"/>
    <n v="0"/>
    <n v="0"/>
    <n v="0"/>
    <n v="0"/>
    <n v="0"/>
    <n v="0"/>
  </r>
  <r>
    <x v="18"/>
    <x v="0"/>
    <s v="kbm,jb"/>
    <d v="1899-12-30T09:50:00"/>
    <d v="1899-12-30T14:17:00"/>
    <n v="51"/>
    <n v="9"/>
    <m/>
    <m/>
    <n v="266.99999999999994"/>
    <n v="1"/>
    <n v="1"/>
    <m/>
    <n v="2"/>
    <m/>
    <m/>
    <m/>
    <n v="0"/>
    <m/>
    <m/>
    <m/>
    <m/>
    <n v="0"/>
    <m/>
    <m/>
    <m/>
    <n v="0"/>
    <m/>
    <m/>
    <m/>
    <n v="0"/>
    <m/>
    <m/>
    <m/>
    <m/>
    <n v="0"/>
    <m/>
    <m/>
    <m/>
    <m/>
    <m/>
    <m/>
    <m/>
    <n v="0"/>
    <m/>
    <m/>
    <s v="20140624 KMatthews"/>
    <s v="20140625 DRobichaud"/>
    <s v="FW_Scan_20140624.pdf"/>
    <n v="1"/>
    <n v="1"/>
    <n v="0"/>
    <n v="0"/>
    <n v="0"/>
    <n v="0"/>
    <n v="0"/>
    <n v="0"/>
    <n v="0"/>
    <n v="0"/>
    <n v="0"/>
    <n v="0"/>
    <n v="0"/>
    <n v="0"/>
    <n v="0"/>
    <n v="0"/>
    <n v="0"/>
    <n v="0"/>
    <n v="0"/>
    <n v="0"/>
  </r>
  <r>
    <x v="18"/>
    <x v="0"/>
    <s v="dr,bk"/>
    <d v="1899-12-30T14:17:00"/>
    <d v="1899-12-30T18:47:00"/>
    <n v="53"/>
    <n v="9"/>
    <m/>
    <m/>
    <n v="270.00000000000017"/>
    <n v="3"/>
    <m/>
    <m/>
    <n v="3"/>
    <m/>
    <m/>
    <m/>
    <n v="0"/>
    <m/>
    <m/>
    <m/>
    <m/>
    <n v="0"/>
    <m/>
    <m/>
    <m/>
    <n v="0"/>
    <m/>
    <m/>
    <m/>
    <n v="0"/>
    <m/>
    <m/>
    <m/>
    <m/>
    <n v="0"/>
    <m/>
    <m/>
    <m/>
    <m/>
    <m/>
    <m/>
    <m/>
    <n v="0"/>
    <m/>
    <m/>
    <s v="20140624 DRobichaud"/>
    <s v="20140625 DRobichaud"/>
    <s v="FW_Scan_20140624.pdf"/>
    <n v="3"/>
    <n v="0"/>
    <n v="0"/>
    <n v="0"/>
    <n v="0"/>
    <n v="0"/>
    <n v="0"/>
    <n v="0"/>
    <n v="0"/>
    <n v="0"/>
    <n v="0"/>
    <n v="0"/>
    <n v="0"/>
    <n v="0"/>
    <n v="0"/>
    <n v="0"/>
    <n v="0"/>
    <n v="0"/>
    <n v="0"/>
    <n v="0"/>
  </r>
  <r>
    <x v="18"/>
    <x v="0"/>
    <s v="jb,wc"/>
    <d v="1899-12-30T18:47:00"/>
    <d v="1899-12-30T23:25:00"/>
    <n v="59"/>
    <n v="9"/>
    <m/>
    <m/>
    <n v="278"/>
    <n v="5"/>
    <m/>
    <m/>
    <n v="5"/>
    <m/>
    <m/>
    <m/>
    <n v="0"/>
    <m/>
    <m/>
    <m/>
    <m/>
    <n v="0"/>
    <m/>
    <m/>
    <m/>
    <n v="0"/>
    <m/>
    <m/>
    <m/>
    <n v="0"/>
    <m/>
    <m/>
    <m/>
    <m/>
    <n v="0"/>
    <m/>
    <m/>
    <m/>
    <m/>
    <m/>
    <m/>
    <m/>
    <n v="0"/>
    <m/>
    <m/>
    <s v="20140624 JBerry"/>
    <s v="20140625 DRobichaud"/>
    <s v="FW_Scan_20140624.pdf"/>
    <n v="5"/>
    <n v="0"/>
    <n v="0"/>
    <n v="0"/>
    <n v="0"/>
    <n v="0"/>
    <n v="0"/>
    <n v="0"/>
    <n v="0"/>
    <n v="0"/>
    <n v="0"/>
    <n v="0"/>
    <n v="0"/>
    <n v="0"/>
    <n v="0"/>
    <n v="0"/>
    <n v="0"/>
    <n v="0"/>
    <n v="0"/>
    <n v="0"/>
  </r>
  <r>
    <x v="18"/>
    <x v="2"/>
    <s v="bk,la"/>
    <d v="1899-12-30T05:45:00"/>
    <d v="1899-12-30T09:35:00"/>
    <n v="32"/>
    <n v="10"/>
    <m/>
    <m/>
    <n v="230.00000000000003"/>
    <m/>
    <m/>
    <m/>
    <n v="0"/>
    <m/>
    <m/>
    <m/>
    <n v="0"/>
    <m/>
    <m/>
    <m/>
    <m/>
    <n v="0"/>
    <m/>
    <m/>
    <m/>
    <n v="0"/>
    <m/>
    <m/>
    <m/>
    <n v="0"/>
    <m/>
    <m/>
    <m/>
    <m/>
    <n v="0"/>
    <m/>
    <m/>
    <m/>
    <m/>
    <m/>
    <m/>
    <m/>
    <n v="0"/>
    <m/>
    <s v="no fish"/>
    <s v="20140624 BKalb"/>
    <s v="20140625 DRobichaud"/>
    <s v="FW_Scan_20140624.pdf"/>
    <n v="0"/>
    <n v="0"/>
    <n v="0"/>
    <n v="0"/>
    <n v="0"/>
    <n v="0"/>
    <n v="0"/>
    <n v="0"/>
    <n v="0"/>
    <n v="0"/>
    <n v="0"/>
    <n v="0"/>
    <n v="0"/>
    <n v="0"/>
    <n v="0"/>
    <n v="0"/>
    <n v="0"/>
    <n v="0"/>
    <n v="0"/>
    <n v="0"/>
  </r>
  <r>
    <x v="18"/>
    <x v="2"/>
    <s v="kbm,jb"/>
    <d v="1899-12-30T09:35:00"/>
    <d v="1899-12-30T14:05:00"/>
    <n v="35"/>
    <n v="10"/>
    <m/>
    <m/>
    <n v="270"/>
    <m/>
    <m/>
    <m/>
    <n v="0"/>
    <m/>
    <m/>
    <m/>
    <n v="0"/>
    <m/>
    <m/>
    <m/>
    <m/>
    <n v="0"/>
    <m/>
    <m/>
    <m/>
    <n v="0"/>
    <m/>
    <m/>
    <m/>
    <n v="0"/>
    <m/>
    <m/>
    <m/>
    <m/>
    <n v="0"/>
    <m/>
    <m/>
    <m/>
    <m/>
    <m/>
    <m/>
    <m/>
    <n v="0"/>
    <m/>
    <s v="no fish"/>
    <s v="20140624 KMatthews"/>
    <s v="20140625 DRobichaud"/>
    <s v="FW_Scan_20140624.pdf"/>
    <n v="0"/>
    <n v="0"/>
    <n v="0"/>
    <n v="0"/>
    <n v="0"/>
    <n v="0"/>
    <n v="0"/>
    <n v="0"/>
    <n v="0"/>
    <n v="0"/>
    <n v="0"/>
    <n v="0"/>
    <n v="0"/>
    <n v="0"/>
    <n v="0"/>
    <n v="0"/>
    <n v="0"/>
    <n v="0"/>
    <n v="0"/>
    <n v="0"/>
  </r>
  <r>
    <x v="18"/>
    <x v="2"/>
    <s v="dr,bk"/>
    <d v="1899-12-30T14:05:00"/>
    <d v="1899-12-30T19:00:00"/>
    <n v="33"/>
    <n v="12"/>
    <m/>
    <m/>
    <n v="294.99999999999989"/>
    <n v="1"/>
    <m/>
    <m/>
    <n v="1"/>
    <m/>
    <m/>
    <m/>
    <n v="0"/>
    <m/>
    <m/>
    <m/>
    <m/>
    <n v="0"/>
    <m/>
    <m/>
    <m/>
    <n v="0"/>
    <m/>
    <m/>
    <m/>
    <n v="0"/>
    <m/>
    <m/>
    <m/>
    <m/>
    <n v="0"/>
    <m/>
    <m/>
    <m/>
    <m/>
    <m/>
    <m/>
    <m/>
    <n v="0"/>
    <m/>
    <m/>
    <s v="20140624 DRobichaud"/>
    <s v="20140625 DRobichaud"/>
    <s v="FW_Scan_20140624.pdf"/>
    <n v="1"/>
    <n v="0"/>
    <n v="0"/>
    <n v="0"/>
    <n v="0"/>
    <n v="0"/>
    <n v="0"/>
    <n v="0"/>
    <n v="0"/>
    <n v="0"/>
    <n v="0"/>
    <n v="0"/>
    <n v="0"/>
    <n v="0"/>
    <n v="0"/>
    <n v="0"/>
    <n v="0"/>
    <n v="0"/>
    <n v="0"/>
    <n v="0"/>
  </r>
  <r>
    <x v="18"/>
    <x v="2"/>
    <s v="jb,wc"/>
    <d v="1899-12-30T19:00:00"/>
    <d v="1899-12-30T22:59:00"/>
    <n v="34"/>
    <n v="12.5"/>
    <m/>
    <m/>
    <n v="239.00000000000011"/>
    <n v="3"/>
    <m/>
    <m/>
    <n v="3"/>
    <m/>
    <m/>
    <m/>
    <n v="0"/>
    <m/>
    <m/>
    <m/>
    <m/>
    <n v="0"/>
    <m/>
    <m/>
    <m/>
    <n v="0"/>
    <m/>
    <m/>
    <m/>
    <n v="0"/>
    <m/>
    <m/>
    <m/>
    <m/>
    <n v="0"/>
    <m/>
    <m/>
    <m/>
    <m/>
    <m/>
    <m/>
    <m/>
    <n v="0"/>
    <m/>
    <m/>
    <s v="20140624 JBerry"/>
    <s v="20140625 DRobichaud"/>
    <s v="FW_Scan_20140624.pdf"/>
    <n v="3"/>
    <n v="0"/>
    <n v="0"/>
    <n v="0"/>
    <n v="0"/>
    <n v="0"/>
    <n v="0"/>
    <n v="0"/>
    <n v="0"/>
    <n v="0"/>
    <n v="0"/>
    <n v="0"/>
    <n v="0"/>
    <n v="0"/>
    <n v="0"/>
    <n v="0"/>
    <n v="0"/>
    <n v="0"/>
    <n v="0"/>
    <n v="0"/>
  </r>
  <r>
    <x v="18"/>
    <x v="1"/>
    <s v="ks,cs"/>
    <d v="1899-12-30T05:47:00"/>
    <d v="1899-12-30T09:50:00"/>
    <n v="45"/>
    <n v="8"/>
    <m/>
    <m/>
    <n v="243.00000000000006"/>
    <m/>
    <m/>
    <m/>
    <n v="0"/>
    <m/>
    <m/>
    <m/>
    <n v="0"/>
    <m/>
    <m/>
    <m/>
    <m/>
    <n v="0"/>
    <m/>
    <m/>
    <m/>
    <n v="0"/>
    <m/>
    <m/>
    <m/>
    <n v="0"/>
    <m/>
    <m/>
    <m/>
    <m/>
    <n v="0"/>
    <m/>
    <m/>
    <m/>
    <m/>
    <m/>
    <m/>
    <m/>
    <n v="0"/>
    <m/>
    <s v="no fish"/>
    <s v="20140624 KShippen"/>
    <s v="20140625 DRobichaud"/>
    <s v="FW_Scan_20140624.pdf"/>
    <n v="0"/>
    <n v="0"/>
    <n v="0"/>
    <n v="0"/>
    <n v="0"/>
    <n v="0"/>
    <n v="0"/>
    <n v="0"/>
    <n v="0"/>
    <n v="0"/>
    <n v="0"/>
    <n v="0"/>
    <n v="0"/>
    <n v="0"/>
    <n v="0"/>
    <n v="0"/>
    <n v="0"/>
    <n v="0"/>
    <n v="0"/>
    <n v="0"/>
  </r>
  <r>
    <x v="18"/>
    <x v="1"/>
    <s v="jbu,wc"/>
    <d v="1899-12-30T09:50:00"/>
    <d v="1899-12-30T14:27:00"/>
    <n v="45"/>
    <n v="9.5"/>
    <m/>
    <m/>
    <n v="276.99999999999994"/>
    <n v="1"/>
    <n v="1"/>
    <m/>
    <n v="2"/>
    <m/>
    <m/>
    <m/>
    <n v="0"/>
    <m/>
    <m/>
    <m/>
    <m/>
    <n v="0"/>
    <m/>
    <m/>
    <m/>
    <n v="0"/>
    <m/>
    <m/>
    <m/>
    <n v="0"/>
    <m/>
    <m/>
    <m/>
    <m/>
    <n v="0"/>
    <m/>
    <m/>
    <m/>
    <m/>
    <m/>
    <m/>
    <m/>
    <n v="0"/>
    <m/>
    <m/>
    <s v="20140624 JBuris"/>
    <s v="20140625 DRobichaud"/>
    <s v="FW_Scan_20140624.pdf"/>
    <n v="1"/>
    <n v="1"/>
    <n v="0"/>
    <n v="0"/>
    <n v="0"/>
    <n v="0"/>
    <n v="0"/>
    <n v="0"/>
    <n v="0"/>
    <n v="0"/>
    <n v="0"/>
    <n v="0"/>
    <n v="0"/>
    <n v="0"/>
    <n v="0"/>
    <n v="0"/>
    <n v="0"/>
    <n v="0"/>
    <n v="0"/>
    <n v="0"/>
  </r>
  <r>
    <x v="18"/>
    <x v="1"/>
    <s v="dr,bk"/>
    <d v="1899-12-30T14:27:00"/>
    <d v="1899-12-30T18:40:00"/>
    <n v="45"/>
    <n v="9"/>
    <m/>
    <m/>
    <n v="253.00000000000006"/>
    <n v="2"/>
    <m/>
    <m/>
    <n v="2"/>
    <m/>
    <m/>
    <m/>
    <n v="0"/>
    <m/>
    <m/>
    <m/>
    <m/>
    <n v="0"/>
    <m/>
    <m/>
    <m/>
    <n v="0"/>
    <m/>
    <m/>
    <m/>
    <n v="0"/>
    <m/>
    <m/>
    <m/>
    <m/>
    <n v="0"/>
    <m/>
    <m/>
    <m/>
    <m/>
    <m/>
    <m/>
    <m/>
    <n v="0"/>
    <m/>
    <m/>
    <s v="20140624 BKalb"/>
    <s v="20140625 DRobichaud"/>
    <s v="FW_Scan_20140624.pdf"/>
    <n v="2"/>
    <n v="0"/>
    <n v="0"/>
    <n v="0"/>
    <n v="0"/>
    <n v="0"/>
    <n v="0"/>
    <n v="0"/>
    <n v="0"/>
    <n v="0"/>
    <n v="0"/>
    <n v="0"/>
    <n v="0"/>
    <n v="0"/>
    <n v="0"/>
    <n v="0"/>
    <n v="0"/>
    <n v="0"/>
    <n v="0"/>
    <n v="0"/>
  </r>
  <r>
    <x v="18"/>
    <x v="1"/>
    <s v="jbu,kbm"/>
    <d v="1899-12-30T18:40:00"/>
    <d v="1899-12-30T23:17:00"/>
    <n v="45"/>
    <n v="10"/>
    <m/>
    <m/>
    <n v="277.00000000000011"/>
    <n v="3"/>
    <m/>
    <m/>
    <n v="3"/>
    <m/>
    <n v="1"/>
    <m/>
    <n v="1"/>
    <m/>
    <m/>
    <m/>
    <m/>
    <n v="0"/>
    <m/>
    <m/>
    <m/>
    <n v="0"/>
    <m/>
    <m/>
    <m/>
    <n v="0"/>
    <m/>
    <m/>
    <m/>
    <m/>
    <n v="0"/>
    <m/>
    <m/>
    <m/>
    <m/>
    <m/>
    <m/>
    <m/>
    <n v="0"/>
    <m/>
    <m/>
    <s v="20140624 KMatthews"/>
    <s v="20140625 DRobichaud"/>
    <s v="FW_Scan_20140624.pdf"/>
    <n v="3"/>
    <n v="0"/>
    <n v="0"/>
    <n v="0"/>
    <n v="1"/>
    <n v="0"/>
    <n v="0"/>
    <n v="0"/>
    <n v="0"/>
    <n v="0"/>
    <n v="0"/>
    <n v="0"/>
    <n v="0"/>
    <n v="0"/>
    <n v="0"/>
    <n v="0"/>
    <n v="0"/>
    <n v="0"/>
    <n v="0"/>
    <n v="0"/>
  </r>
  <r>
    <x v="19"/>
    <x v="0"/>
    <s v="bk,ks"/>
    <d v="1899-12-30T05:41:00"/>
    <d v="1899-12-30T09:50:00"/>
    <n v="59"/>
    <n v="7"/>
    <m/>
    <m/>
    <n v="249.00000000000003"/>
    <n v="2"/>
    <m/>
    <m/>
    <n v="2"/>
    <m/>
    <m/>
    <m/>
    <n v="0"/>
    <m/>
    <m/>
    <m/>
    <m/>
    <n v="0"/>
    <m/>
    <m/>
    <m/>
    <n v="0"/>
    <m/>
    <m/>
    <m/>
    <n v="0"/>
    <m/>
    <m/>
    <m/>
    <m/>
    <n v="0"/>
    <n v="1"/>
    <m/>
    <m/>
    <m/>
    <m/>
    <m/>
    <m/>
    <n v="1"/>
    <m/>
    <m/>
    <s v="20140625 BKalb"/>
    <s v="20140626 DRobichaud"/>
    <s v="FW_Scan_20140625.pdf"/>
    <n v="2"/>
    <n v="0"/>
    <n v="0"/>
    <n v="0"/>
    <n v="0"/>
    <n v="0"/>
    <n v="0"/>
    <n v="0"/>
    <n v="0"/>
    <n v="0"/>
    <n v="0"/>
    <n v="0"/>
    <n v="0"/>
    <n v="0"/>
    <n v="0"/>
    <n v="0"/>
    <n v="0"/>
    <n v="0"/>
    <n v="0"/>
    <n v="0"/>
  </r>
  <r>
    <x v="19"/>
    <x v="0"/>
    <s v="kbm,jb"/>
    <d v="1899-12-30T09:50:00"/>
    <d v="1899-12-30T14:20:00"/>
    <n v="59"/>
    <n v="8"/>
    <m/>
    <m/>
    <n v="269.99999999999989"/>
    <n v="2"/>
    <m/>
    <m/>
    <n v="2"/>
    <m/>
    <m/>
    <m/>
    <n v="0"/>
    <m/>
    <m/>
    <m/>
    <m/>
    <n v="0"/>
    <m/>
    <m/>
    <m/>
    <n v="0"/>
    <m/>
    <m/>
    <m/>
    <n v="0"/>
    <m/>
    <m/>
    <m/>
    <m/>
    <n v="0"/>
    <m/>
    <m/>
    <m/>
    <m/>
    <m/>
    <m/>
    <m/>
    <n v="0"/>
    <m/>
    <m/>
    <s v="20140625 KMatthews"/>
    <s v="20140626 DRobichaud"/>
    <s v="FW_Scan_20140625.pdf"/>
    <n v="2"/>
    <n v="0"/>
    <n v="0"/>
    <n v="0"/>
    <n v="0"/>
    <n v="0"/>
    <n v="0"/>
    <n v="0"/>
    <n v="0"/>
    <n v="0"/>
    <n v="0"/>
    <n v="0"/>
    <n v="0"/>
    <n v="0"/>
    <n v="0"/>
    <n v="0"/>
    <n v="0"/>
    <n v="0"/>
    <n v="0"/>
    <n v="0"/>
  </r>
  <r>
    <x v="19"/>
    <x v="0"/>
    <s v="ks,cs"/>
    <d v="1899-12-30T14:20:00"/>
    <d v="1899-12-30T18:44:00"/>
    <n v="57"/>
    <n v="8"/>
    <m/>
    <m/>
    <n v="264"/>
    <n v="2"/>
    <n v="1"/>
    <m/>
    <n v="3"/>
    <m/>
    <m/>
    <m/>
    <n v="0"/>
    <m/>
    <m/>
    <m/>
    <m/>
    <n v="0"/>
    <m/>
    <m/>
    <m/>
    <n v="0"/>
    <m/>
    <m/>
    <m/>
    <n v="0"/>
    <m/>
    <m/>
    <m/>
    <m/>
    <n v="0"/>
    <m/>
    <m/>
    <m/>
    <m/>
    <m/>
    <m/>
    <m/>
    <n v="0"/>
    <m/>
    <m/>
    <s v="20140625 KShippen"/>
    <s v="20140626 DRobichaud"/>
    <s v="FW_Scan_20140625.pdf"/>
    <n v="2"/>
    <n v="1"/>
    <n v="0"/>
    <n v="0"/>
    <n v="0"/>
    <n v="0"/>
    <n v="0"/>
    <n v="0"/>
    <n v="0"/>
    <n v="0"/>
    <n v="0"/>
    <n v="0"/>
    <n v="0"/>
    <n v="0"/>
    <n v="0"/>
    <n v="0"/>
    <n v="0"/>
    <n v="0"/>
    <n v="0"/>
    <n v="0"/>
  </r>
  <r>
    <x v="19"/>
    <x v="0"/>
    <s v="kbm,wc"/>
    <d v="1899-12-30T18:44:00"/>
    <d v="1899-12-30T22:49:00"/>
    <n v="55"/>
    <n v="8"/>
    <m/>
    <m/>
    <n v="244.99999999999994"/>
    <n v="1"/>
    <m/>
    <m/>
    <n v="1"/>
    <m/>
    <m/>
    <m/>
    <n v="0"/>
    <m/>
    <m/>
    <m/>
    <m/>
    <n v="0"/>
    <m/>
    <m/>
    <m/>
    <n v="0"/>
    <m/>
    <m/>
    <m/>
    <n v="0"/>
    <m/>
    <m/>
    <m/>
    <m/>
    <n v="0"/>
    <m/>
    <m/>
    <m/>
    <m/>
    <m/>
    <m/>
    <m/>
    <n v="0"/>
    <m/>
    <m/>
    <s v="20140625 KMatthews"/>
    <s v="20140626 DRobichaud"/>
    <s v="FW_Scan_20140625.pdf"/>
    <n v="1"/>
    <n v="0"/>
    <n v="0"/>
    <n v="0"/>
    <n v="0"/>
    <n v="0"/>
    <n v="0"/>
    <n v="0"/>
    <n v="0"/>
    <n v="0"/>
    <n v="0"/>
    <n v="0"/>
    <n v="0"/>
    <n v="0"/>
    <n v="0"/>
    <n v="0"/>
    <n v="0"/>
    <n v="0"/>
    <n v="0"/>
    <n v="0"/>
  </r>
  <r>
    <x v="19"/>
    <x v="2"/>
    <s v="bk,ks"/>
    <d v="1899-12-30T06:00:00"/>
    <d v="1899-12-30T09:23:00"/>
    <n v="38"/>
    <n v="11"/>
    <m/>
    <m/>
    <n v="203"/>
    <m/>
    <m/>
    <m/>
    <n v="0"/>
    <m/>
    <m/>
    <m/>
    <n v="0"/>
    <m/>
    <m/>
    <m/>
    <m/>
    <n v="0"/>
    <m/>
    <m/>
    <m/>
    <n v="0"/>
    <m/>
    <m/>
    <m/>
    <n v="0"/>
    <m/>
    <m/>
    <m/>
    <m/>
    <n v="0"/>
    <m/>
    <m/>
    <m/>
    <m/>
    <m/>
    <m/>
    <m/>
    <n v="0"/>
    <m/>
    <s v="no fish"/>
    <s v="20140625 KShippen"/>
    <s v="20140626 DRobichaud"/>
    <s v="FW_Scan_20140625.pdf"/>
    <n v="0"/>
    <n v="0"/>
    <n v="0"/>
    <n v="0"/>
    <n v="0"/>
    <n v="0"/>
    <n v="0"/>
    <n v="0"/>
    <n v="0"/>
    <n v="0"/>
    <n v="0"/>
    <n v="0"/>
    <n v="0"/>
    <n v="0"/>
    <n v="0"/>
    <n v="0"/>
    <n v="0"/>
    <n v="0"/>
    <n v="0"/>
    <n v="0"/>
  </r>
  <r>
    <x v="19"/>
    <x v="2"/>
    <s v="kbm,jb"/>
    <d v="1899-12-30T09:23:00"/>
    <d v="1899-12-30T14:05:00"/>
    <n v="32"/>
    <n v="10"/>
    <m/>
    <m/>
    <n v="282.00000000000006"/>
    <n v="1"/>
    <m/>
    <m/>
    <n v="1"/>
    <m/>
    <m/>
    <m/>
    <n v="0"/>
    <m/>
    <m/>
    <m/>
    <m/>
    <n v="0"/>
    <m/>
    <m/>
    <m/>
    <n v="0"/>
    <m/>
    <m/>
    <m/>
    <n v="0"/>
    <m/>
    <m/>
    <m/>
    <m/>
    <n v="0"/>
    <m/>
    <m/>
    <m/>
    <m/>
    <m/>
    <m/>
    <m/>
    <n v="0"/>
    <m/>
    <m/>
    <s v="20140625 KMatthews"/>
    <s v="20140626 DRobichaud"/>
    <s v="FW_Scan_20140625.pdf"/>
    <n v="1"/>
    <n v="0"/>
    <n v="0"/>
    <n v="0"/>
    <n v="0"/>
    <n v="0"/>
    <n v="0"/>
    <n v="0"/>
    <n v="0"/>
    <n v="0"/>
    <n v="0"/>
    <n v="0"/>
    <n v="0"/>
    <n v="0"/>
    <n v="0"/>
    <n v="0"/>
    <n v="0"/>
    <n v="0"/>
    <n v="0"/>
    <n v="0"/>
  </r>
  <r>
    <x v="19"/>
    <x v="2"/>
    <s v="ks,cs"/>
    <d v="1899-12-30T14:05:00"/>
    <d v="1899-12-30T18:44:00"/>
    <n v="35"/>
    <n v="8"/>
    <m/>
    <m/>
    <n v="278.99999999999994"/>
    <n v="1"/>
    <m/>
    <m/>
    <n v="1"/>
    <m/>
    <m/>
    <m/>
    <n v="0"/>
    <m/>
    <m/>
    <m/>
    <m/>
    <n v="0"/>
    <m/>
    <m/>
    <m/>
    <n v="0"/>
    <m/>
    <m/>
    <m/>
    <n v="0"/>
    <m/>
    <m/>
    <m/>
    <m/>
    <n v="0"/>
    <m/>
    <m/>
    <m/>
    <m/>
    <m/>
    <m/>
    <m/>
    <n v="0"/>
    <m/>
    <m/>
    <s v="20140625 CSejkora"/>
    <s v="20140626 DRobichaud"/>
    <s v="FW_Scan_20140625.pdf"/>
    <n v="1"/>
    <n v="0"/>
    <n v="0"/>
    <n v="0"/>
    <n v="0"/>
    <n v="0"/>
    <n v="0"/>
    <n v="0"/>
    <n v="0"/>
    <n v="0"/>
    <n v="0"/>
    <n v="0"/>
    <n v="0"/>
    <n v="0"/>
    <n v="0"/>
    <n v="0"/>
    <n v="0"/>
    <n v="0"/>
    <n v="0"/>
    <n v="0"/>
  </r>
  <r>
    <x v="19"/>
    <x v="2"/>
    <s v="kbm,wc"/>
    <d v="1899-12-30T18:44:00"/>
    <d v="1899-12-30T22:25:00"/>
    <n v="33"/>
    <n v="10.5"/>
    <m/>
    <m/>
    <n v="221"/>
    <n v="1"/>
    <m/>
    <m/>
    <n v="1"/>
    <m/>
    <m/>
    <m/>
    <n v="0"/>
    <m/>
    <m/>
    <m/>
    <m/>
    <n v="0"/>
    <m/>
    <m/>
    <m/>
    <n v="0"/>
    <m/>
    <m/>
    <m/>
    <n v="0"/>
    <m/>
    <m/>
    <m/>
    <m/>
    <n v="0"/>
    <m/>
    <m/>
    <m/>
    <m/>
    <m/>
    <m/>
    <m/>
    <n v="0"/>
    <m/>
    <m/>
    <s v="20140625 KMatthews"/>
    <s v="20140626 DRobichaud"/>
    <s v="FW_Scan_20140625.pdf"/>
    <n v="1"/>
    <n v="0"/>
    <n v="0"/>
    <n v="0"/>
    <n v="0"/>
    <n v="0"/>
    <n v="0"/>
    <n v="0"/>
    <n v="0"/>
    <n v="0"/>
    <n v="0"/>
    <n v="0"/>
    <n v="0"/>
    <n v="0"/>
    <n v="0"/>
    <n v="0"/>
    <n v="0"/>
    <n v="0"/>
    <n v="0"/>
    <n v="0"/>
  </r>
  <r>
    <x v="19"/>
    <x v="1"/>
    <s v="la,csj"/>
    <d v="1899-12-30T05:57:00"/>
    <d v="1899-12-30T09:32:00"/>
    <n v="47"/>
    <n v="8"/>
    <m/>
    <m/>
    <n v="214.99999999999994"/>
    <n v="2"/>
    <m/>
    <m/>
    <n v="2"/>
    <m/>
    <m/>
    <m/>
    <n v="0"/>
    <m/>
    <m/>
    <m/>
    <m/>
    <n v="0"/>
    <m/>
    <m/>
    <m/>
    <n v="0"/>
    <m/>
    <m/>
    <m/>
    <n v="0"/>
    <m/>
    <m/>
    <m/>
    <m/>
    <n v="0"/>
    <m/>
    <m/>
    <m/>
    <m/>
    <m/>
    <m/>
    <m/>
    <n v="0"/>
    <m/>
    <m/>
    <s v="20140624 LAckein"/>
    <s v="20140626 DRobichaud"/>
    <s v="FW_Scan_20140625.pdf"/>
    <n v="2"/>
    <n v="0"/>
    <n v="0"/>
    <n v="0"/>
    <n v="0"/>
    <n v="0"/>
    <n v="0"/>
    <n v="0"/>
    <n v="0"/>
    <n v="0"/>
    <n v="0"/>
    <n v="0"/>
    <n v="0"/>
    <n v="0"/>
    <n v="0"/>
    <n v="0"/>
    <n v="0"/>
    <n v="0"/>
    <n v="0"/>
    <n v="0"/>
  </r>
  <r>
    <x v="19"/>
    <x v="1"/>
    <s v="wc,sb"/>
    <d v="1899-12-30T09:32:00"/>
    <d v="1899-12-30T14:13:00"/>
    <n v="46"/>
    <n v="9"/>
    <m/>
    <m/>
    <n v="281"/>
    <n v="1"/>
    <m/>
    <m/>
    <n v="1"/>
    <m/>
    <m/>
    <m/>
    <n v="0"/>
    <m/>
    <m/>
    <m/>
    <m/>
    <n v="0"/>
    <m/>
    <m/>
    <m/>
    <n v="0"/>
    <m/>
    <m/>
    <m/>
    <n v="0"/>
    <m/>
    <m/>
    <m/>
    <m/>
    <n v="0"/>
    <m/>
    <m/>
    <n v="1"/>
    <m/>
    <m/>
    <m/>
    <m/>
    <n v="1"/>
    <m/>
    <m/>
    <s v="20140624 WChallenger"/>
    <s v="20140626 DRobichaud"/>
    <s v="FW_Scan_20140625.pdf"/>
    <n v="1"/>
    <n v="0"/>
    <n v="0"/>
    <n v="0"/>
    <n v="0"/>
    <n v="0"/>
    <n v="0"/>
    <n v="0"/>
    <n v="0"/>
    <n v="0"/>
    <n v="0"/>
    <n v="0"/>
    <n v="0"/>
    <n v="0"/>
    <n v="0"/>
    <n v="0"/>
    <n v="0"/>
    <n v="0"/>
    <n v="0"/>
    <n v="0"/>
  </r>
  <r>
    <x v="19"/>
    <x v="1"/>
    <s v="bk,la"/>
    <d v="1899-12-30T14:13:00"/>
    <d v="1899-12-30T18:55:00"/>
    <n v="45"/>
    <n v="8.5"/>
    <m/>
    <m/>
    <n v="282.00000000000011"/>
    <n v="4"/>
    <m/>
    <m/>
    <n v="4"/>
    <m/>
    <n v="1"/>
    <m/>
    <n v="1"/>
    <m/>
    <m/>
    <m/>
    <m/>
    <n v="0"/>
    <m/>
    <m/>
    <m/>
    <n v="0"/>
    <m/>
    <m/>
    <m/>
    <n v="0"/>
    <m/>
    <m/>
    <m/>
    <m/>
    <n v="0"/>
    <m/>
    <m/>
    <m/>
    <m/>
    <m/>
    <m/>
    <m/>
    <n v="0"/>
    <m/>
    <m/>
    <s v="20140625 BKalb"/>
    <s v="20140626 DRobichaud"/>
    <s v="FW_Scan_20140625.pdf"/>
    <n v="4"/>
    <n v="0"/>
    <n v="0"/>
    <n v="0"/>
    <n v="1"/>
    <n v="0"/>
    <n v="0"/>
    <n v="0"/>
    <n v="0"/>
    <n v="0"/>
    <n v="0"/>
    <n v="0"/>
    <n v="0"/>
    <n v="0"/>
    <n v="0"/>
    <n v="0"/>
    <n v="0"/>
    <n v="0"/>
    <n v="0"/>
    <n v="0"/>
  </r>
  <r>
    <x v="19"/>
    <x v="1"/>
    <s v="jbu,jb"/>
    <d v="1899-12-30T18:55:00"/>
    <d v="1899-12-30T22:03:00"/>
    <n v="44"/>
    <n v="8"/>
    <m/>
    <m/>
    <n v="187.99999999999997"/>
    <n v="1"/>
    <m/>
    <m/>
    <n v="1"/>
    <m/>
    <m/>
    <m/>
    <n v="0"/>
    <m/>
    <m/>
    <m/>
    <m/>
    <n v="0"/>
    <m/>
    <m/>
    <m/>
    <n v="0"/>
    <m/>
    <m/>
    <m/>
    <n v="0"/>
    <m/>
    <m/>
    <m/>
    <m/>
    <n v="0"/>
    <m/>
    <m/>
    <m/>
    <m/>
    <m/>
    <m/>
    <m/>
    <n v="0"/>
    <m/>
    <m/>
    <s v="20140623 JBerry"/>
    <s v="20140626 DRobichaud"/>
    <s v="FW_Scan_20140625.pdf"/>
    <n v="1"/>
    <n v="0"/>
    <n v="0"/>
    <n v="0"/>
    <n v="0"/>
    <n v="0"/>
    <n v="0"/>
    <n v="0"/>
    <n v="0"/>
    <n v="0"/>
    <n v="0"/>
    <n v="0"/>
    <n v="0"/>
    <n v="0"/>
    <n v="0"/>
    <n v="0"/>
    <n v="0"/>
    <n v="0"/>
    <n v="0"/>
    <n v="0"/>
  </r>
  <r>
    <x v="20"/>
    <x v="0"/>
    <s v="dr"/>
    <m/>
    <m/>
    <m/>
    <m/>
    <m/>
    <m/>
    <n v="0"/>
    <m/>
    <m/>
    <m/>
    <n v="0"/>
    <m/>
    <m/>
    <m/>
    <n v="0"/>
    <m/>
    <m/>
    <m/>
    <m/>
    <n v="0"/>
    <m/>
    <m/>
    <m/>
    <n v="0"/>
    <m/>
    <m/>
    <m/>
    <n v="0"/>
    <m/>
    <m/>
    <m/>
    <m/>
    <n v="0"/>
    <m/>
    <m/>
    <m/>
    <m/>
    <m/>
    <m/>
    <m/>
    <n v="0"/>
    <s v="wheels did not run today due to high debris load in rapidly rising river."/>
    <s v="made checks of wheel throughout day to clear out larger chunks of debris (logs, trunks, etc)"/>
    <s v="20140626 DRobichaud"/>
    <s v="20140627 DRobichaud"/>
    <s v="FW_Scan_20140626.pdf"/>
    <n v="0"/>
    <n v="0"/>
    <n v="0"/>
    <n v="0"/>
    <n v="0"/>
    <n v="0"/>
    <n v="0"/>
    <n v="0"/>
    <n v="0"/>
    <n v="0"/>
    <n v="0"/>
    <n v="0"/>
    <n v="0"/>
    <n v="0"/>
    <n v="0"/>
    <n v="0"/>
    <n v="0"/>
    <n v="0"/>
    <n v="0"/>
    <n v="0"/>
  </r>
  <r>
    <x v="20"/>
    <x v="2"/>
    <s v="dr"/>
    <m/>
    <m/>
    <m/>
    <m/>
    <m/>
    <m/>
    <n v="0"/>
    <m/>
    <m/>
    <m/>
    <n v="0"/>
    <m/>
    <m/>
    <m/>
    <n v="0"/>
    <m/>
    <m/>
    <m/>
    <m/>
    <n v="0"/>
    <m/>
    <m/>
    <m/>
    <n v="0"/>
    <m/>
    <m/>
    <m/>
    <n v="0"/>
    <m/>
    <m/>
    <m/>
    <m/>
    <n v="0"/>
    <m/>
    <m/>
    <m/>
    <m/>
    <m/>
    <m/>
    <m/>
    <n v="0"/>
    <s v="wheels did not run today due to high debris load in rapidly rising river."/>
    <s v="made checks of wheel throughout day to clear out larger chunks of debris (logs, trunks, etc)"/>
    <s v="20140626 DRobichaud"/>
    <s v="20140627 DRobichaud"/>
    <s v="FW_Scan_20140626.pdf"/>
    <n v="0"/>
    <n v="0"/>
    <n v="0"/>
    <n v="0"/>
    <n v="0"/>
    <n v="0"/>
    <n v="0"/>
    <n v="0"/>
    <n v="0"/>
    <n v="0"/>
    <n v="0"/>
    <n v="0"/>
    <n v="0"/>
    <n v="0"/>
    <n v="0"/>
    <n v="0"/>
    <n v="0"/>
    <n v="0"/>
    <n v="0"/>
    <n v="0"/>
  </r>
  <r>
    <x v="20"/>
    <x v="1"/>
    <s v="dr"/>
    <m/>
    <m/>
    <m/>
    <m/>
    <m/>
    <m/>
    <n v="0"/>
    <m/>
    <m/>
    <m/>
    <n v="0"/>
    <m/>
    <m/>
    <m/>
    <n v="0"/>
    <m/>
    <m/>
    <m/>
    <m/>
    <n v="0"/>
    <m/>
    <m/>
    <m/>
    <n v="0"/>
    <m/>
    <m/>
    <m/>
    <n v="0"/>
    <m/>
    <m/>
    <m/>
    <m/>
    <n v="0"/>
    <m/>
    <m/>
    <m/>
    <m/>
    <m/>
    <m/>
    <m/>
    <n v="0"/>
    <s v="wheels did not run today due to high debris load in rapidly rising river."/>
    <s v="made checks of wheel throughout day to clear out larger chunks of debris (logs, trunks, etc)"/>
    <s v="20140626 DRobichaud"/>
    <s v="20140627 DRobichaud"/>
    <s v="FW_Scan_20140626.pdf"/>
    <n v="0"/>
    <n v="0"/>
    <n v="0"/>
    <n v="0"/>
    <n v="0"/>
    <n v="0"/>
    <n v="0"/>
    <n v="0"/>
    <n v="0"/>
    <n v="0"/>
    <n v="0"/>
    <n v="0"/>
    <n v="0"/>
    <n v="0"/>
    <n v="0"/>
    <n v="0"/>
    <n v="0"/>
    <n v="0"/>
    <n v="0"/>
    <n v="0"/>
  </r>
  <r>
    <x v="21"/>
    <x v="0"/>
    <s v="dr"/>
    <m/>
    <m/>
    <m/>
    <m/>
    <m/>
    <m/>
    <n v="0"/>
    <m/>
    <m/>
    <m/>
    <n v="0"/>
    <m/>
    <m/>
    <m/>
    <n v="0"/>
    <m/>
    <m/>
    <m/>
    <m/>
    <n v="0"/>
    <m/>
    <m/>
    <m/>
    <n v="0"/>
    <m/>
    <m/>
    <m/>
    <n v="0"/>
    <m/>
    <m/>
    <m/>
    <m/>
    <n v="0"/>
    <m/>
    <m/>
    <m/>
    <m/>
    <m/>
    <m/>
    <m/>
    <n v="0"/>
    <s v="wheels did not run today due to high debris load in river"/>
    <m/>
    <s v="20140627 DRobichaud"/>
    <s v="20140628 DRobichaud"/>
    <s v="FW_Scan_20140627.pdf"/>
    <n v="0"/>
    <n v="0"/>
    <n v="0"/>
    <n v="0"/>
    <n v="0"/>
    <n v="0"/>
    <n v="0"/>
    <n v="0"/>
    <n v="0"/>
    <n v="0"/>
    <n v="0"/>
    <n v="0"/>
    <n v="0"/>
    <n v="0"/>
    <n v="0"/>
    <n v="0"/>
    <n v="0"/>
    <n v="0"/>
    <n v="0"/>
    <n v="0"/>
  </r>
  <r>
    <x v="21"/>
    <x v="2"/>
    <s v="dr"/>
    <m/>
    <m/>
    <m/>
    <m/>
    <m/>
    <m/>
    <n v="0"/>
    <m/>
    <m/>
    <m/>
    <n v="0"/>
    <m/>
    <m/>
    <m/>
    <n v="0"/>
    <m/>
    <m/>
    <m/>
    <m/>
    <n v="0"/>
    <m/>
    <m/>
    <m/>
    <n v="0"/>
    <m/>
    <m/>
    <m/>
    <n v="0"/>
    <m/>
    <m/>
    <m/>
    <m/>
    <n v="0"/>
    <m/>
    <m/>
    <m/>
    <m/>
    <m/>
    <m/>
    <m/>
    <n v="0"/>
    <s v="wheels did not run today due to high debris load in river"/>
    <m/>
    <s v="20140627 DRobichaud"/>
    <s v="20140628 DRobichaud"/>
    <s v="FW_Scan_20140627.pdf"/>
    <n v="0"/>
    <n v="0"/>
    <n v="0"/>
    <n v="0"/>
    <n v="0"/>
    <n v="0"/>
    <n v="0"/>
    <n v="0"/>
    <n v="0"/>
    <n v="0"/>
    <n v="0"/>
    <n v="0"/>
    <n v="0"/>
    <n v="0"/>
    <n v="0"/>
    <n v="0"/>
    <n v="0"/>
    <n v="0"/>
    <n v="0"/>
    <n v="0"/>
  </r>
  <r>
    <x v="21"/>
    <x v="1"/>
    <s v="dr"/>
    <m/>
    <m/>
    <m/>
    <m/>
    <m/>
    <m/>
    <n v="0"/>
    <m/>
    <m/>
    <m/>
    <n v="0"/>
    <m/>
    <m/>
    <m/>
    <n v="0"/>
    <m/>
    <m/>
    <m/>
    <m/>
    <n v="0"/>
    <m/>
    <m/>
    <m/>
    <n v="0"/>
    <m/>
    <m/>
    <m/>
    <n v="0"/>
    <m/>
    <m/>
    <m/>
    <m/>
    <n v="0"/>
    <m/>
    <m/>
    <m/>
    <m/>
    <m/>
    <m/>
    <m/>
    <n v="0"/>
    <s v="wheels did not run today due to high debris load in river"/>
    <m/>
    <s v="20140627 DRobichaud"/>
    <s v="20140628 DRobichaud"/>
    <s v="FW_Scan_20140627.pdf"/>
    <n v="0"/>
    <n v="0"/>
    <n v="0"/>
    <n v="0"/>
    <n v="0"/>
    <n v="0"/>
    <n v="0"/>
    <n v="0"/>
    <n v="0"/>
    <n v="0"/>
    <n v="0"/>
    <n v="0"/>
    <n v="0"/>
    <n v="0"/>
    <n v="0"/>
    <n v="0"/>
    <n v="0"/>
    <n v="0"/>
    <n v="0"/>
    <n v="0"/>
  </r>
  <r>
    <x v="22"/>
    <x v="0"/>
    <s v="la,ks,cj,jg,jk,dr"/>
    <d v="1899-12-30T07:23:00"/>
    <d v="1899-12-30T09:50:00"/>
    <n v="34"/>
    <n v="8"/>
    <m/>
    <n v="86.6"/>
    <n v="147.00000000000003"/>
    <n v="1"/>
    <m/>
    <m/>
    <n v="1"/>
    <m/>
    <m/>
    <m/>
    <n v="0"/>
    <m/>
    <m/>
    <m/>
    <m/>
    <n v="0"/>
    <m/>
    <m/>
    <m/>
    <n v="0"/>
    <m/>
    <m/>
    <m/>
    <n v="0"/>
    <m/>
    <m/>
    <m/>
    <m/>
    <n v="0"/>
    <m/>
    <m/>
    <m/>
    <m/>
    <m/>
    <m/>
    <m/>
    <n v="0"/>
    <s v="moved fishwheel from secure-non fishing position, revs at 07:23 am 34, moved fw @ 07:50 am, revs at 33 jk."/>
    <m/>
    <s v="20140629 LAckein"/>
    <s v="20140629 DRobichaud"/>
    <s v="FW_Scan_20140628.pdf"/>
    <n v="1"/>
    <n v="0"/>
    <n v="0"/>
    <n v="0"/>
    <n v="0"/>
    <n v="0"/>
    <n v="0"/>
    <n v="0"/>
    <n v="0"/>
    <n v="0"/>
    <n v="0"/>
    <n v="0"/>
    <n v="0"/>
    <n v="0"/>
    <n v="0"/>
    <n v="0"/>
    <n v="0"/>
    <n v="0"/>
    <n v="0"/>
    <n v="0"/>
  </r>
  <r>
    <x v="22"/>
    <x v="0"/>
    <s v="as,qb"/>
    <d v="1899-12-30T09:50:00"/>
    <d v="1899-12-30T12:00:00"/>
    <n v="33"/>
    <n v="7"/>
    <m/>
    <m/>
    <n v="129.99999999999994"/>
    <n v="2"/>
    <m/>
    <m/>
    <n v="2"/>
    <m/>
    <n v="1"/>
    <m/>
    <n v="1"/>
    <m/>
    <m/>
    <m/>
    <m/>
    <n v="0"/>
    <m/>
    <m/>
    <m/>
    <n v="0"/>
    <m/>
    <m/>
    <m/>
    <n v="0"/>
    <m/>
    <m/>
    <m/>
    <m/>
    <n v="0"/>
    <m/>
    <m/>
    <m/>
    <m/>
    <m/>
    <m/>
    <m/>
    <n v="0"/>
    <m/>
    <m/>
    <s v="20140628 AStephens"/>
    <s v="20140629 DRobichaud"/>
    <s v="FW_Scan_20140628.pdf"/>
    <n v="2"/>
    <n v="0"/>
    <n v="0"/>
    <n v="0"/>
    <n v="1"/>
    <n v="0"/>
    <n v="0"/>
    <n v="0"/>
    <n v="0"/>
    <n v="0"/>
    <n v="0"/>
    <n v="0"/>
    <n v="0"/>
    <n v="0"/>
    <n v="0"/>
    <n v="0"/>
    <n v="0"/>
    <n v="0"/>
    <n v="0"/>
    <n v="0"/>
  </r>
  <r>
    <x v="22"/>
    <x v="0"/>
    <s v="bk,wc"/>
    <d v="1899-12-30T12:00:00"/>
    <d v="1899-12-30T14:25:00"/>
    <n v="34"/>
    <n v="7"/>
    <m/>
    <m/>
    <n v="128.99999999999997"/>
    <m/>
    <m/>
    <m/>
    <n v="0"/>
    <m/>
    <n v="1"/>
    <m/>
    <n v="1"/>
    <m/>
    <m/>
    <m/>
    <m/>
    <n v="0"/>
    <m/>
    <m/>
    <m/>
    <n v="0"/>
    <m/>
    <m/>
    <m/>
    <n v="0"/>
    <m/>
    <m/>
    <m/>
    <m/>
    <n v="0"/>
    <m/>
    <m/>
    <m/>
    <m/>
    <m/>
    <m/>
    <m/>
    <n v="0"/>
    <s v="out 13:04-13:20 to get out log.  Subtracted down time from fishing effort calculation (col J)"/>
    <m/>
    <s v="20140628 WChallenger"/>
    <s v="20140629 DRobichaud"/>
    <s v="FW_Scan_20140628.pdf"/>
    <n v="0"/>
    <n v="0"/>
    <n v="0"/>
    <n v="0"/>
    <n v="1"/>
    <n v="0"/>
    <n v="0"/>
    <n v="0"/>
    <n v="0"/>
    <n v="0"/>
    <n v="0"/>
    <n v="0"/>
    <n v="0"/>
    <n v="0"/>
    <n v="0"/>
    <n v="0"/>
    <n v="0"/>
    <n v="0"/>
    <n v="0"/>
    <n v="0"/>
  </r>
  <r>
    <x v="22"/>
    <x v="0"/>
    <s v="la,jg"/>
    <d v="1899-12-30T14:25:00"/>
    <d v="1899-12-30T16:43:00"/>
    <n v="39"/>
    <n v="8"/>
    <m/>
    <m/>
    <n v="112"/>
    <n v="1"/>
    <m/>
    <m/>
    <n v="1"/>
    <m/>
    <m/>
    <m/>
    <n v="0"/>
    <m/>
    <m/>
    <m/>
    <m/>
    <n v="0"/>
    <m/>
    <m/>
    <m/>
    <n v="0"/>
    <m/>
    <m/>
    <m/>
    <n v="0"/>
    <m/>
    <m/>
    <m/>
    <m/>
    <n v="0"/>
    <m/>
    <m/>
    <m/>
    <m/>
    <m/>
    <m/>
    <m/>
    <n v="0"/>
    <s v="baskets raised @ 16:04- hole in basket net mended, slide tab replaced where missing, lowered @ 1630"/>
    <m/>
    <s v="20140628 JGraham"/>
    <s v="20140629 DRobichaud"/>
    <s v="FW_Scan_20140628.pdf"/>
    <n v="1"/>
    <n v="0"/>
    <n v="0"/>
    <n v="0"/>
    <n v="0"/>
    <n v="0"/>
    <n v="0"/>
    <n v="0"/>
    <n v="0"/>
    <n v="0"/>
    <n v="0"/>
    <n v="0"/>
    <n v="0"/>
    <n v="0"/>
    <n v="0"/>
    <n v="0"/>
    <n v="0"/>
    <n v="0"/>
    <n v="0"/>
    <n v="0"/>
  </r>
  <r>
    <x v="22"/>
    <x v="0"/>
    <s v="csj,jk"/>
    <d v="1899-12-30T16:43:00"/>
    <d v="1899-12-30T19:04:00"/>
    <n v="33"/>
    <n v="8"/>
    <m/>
    <m/>
    <n v="140.99999999999997"/>
    <n v="2"/>
    <m/>
    <m/>
    <n v="2"/>
    <m/>
    <n v="3"/>
    <m/>
    <n v="3"/>
    <m/>
    <m/>
    <m/>
    <m/>
    <n v="0"/>
    <m/>
    <m/>
    <m/>
    <n v="0"/>
    <m/>
    <m/>
    <m/>
    <n v="0"/>
    <m/>
    <m/>
    <m/>
    <m/>
    <n v="0"/>
    <m/>
    <m/>
    <n v="1"/>
    <m/>
    <m/>
    <m/>
    <m/>
    <n v="1"/>
    <m/>
    <m/>
    <s v="20140628 JKunzler"/>
    <s v="20140629 DRobichaud"/>
    <s v="FW_Scan_20140628.pdf"/>
    <n v="2"/>
    <n v="0"/>
    <n v="0"/>
    <n v="0"/>
    <n v="3"/>
    <n v="0"/>
    <n v="0"/>
    <n v="0"/>
    <n v="0"/>
    <n v="0"/>
    <n v="0"/>
    <n v="0"/>
    <n v="0"/>
    <n v="0"/>
    <n v="0"/>
    <n v="0"/>
    <n v="0"/>
    <n v="0"/>
    <n v="0"/>
    <n v="0"/>
  </r>
  <r>
    <x v="22"/>
    <x v="0"/>
    <s v="dr,wc "/>
    <d v="1899-12-30T19:04:00"/>
    <d v="1899-12-30T21:30:00"/>
    <n v="37"/>
    <n v="8"/>
    <m/>
    <m/>
    <n v="146.00000000000011"/>
    <n v="1"/>
    <n v="1"/>
    <m/>
    <n v="2"/>
    <m/>
    <m/>
    <m/>
    <n v="0"/>
    <m/>
    <m/>
    <m/>
    <m/>
    <n v="0"/>
    <m/>
    <m/>
    <m/>
    <n v="0"/>
    <m/>
    <m/>
    <m/>
    <n v="0"/>
    <m/>
    <m/>
    <m/>
    <m/>
    <n v="0"/>
    <m/>
    <m/>
    <m/>
    <m/>
    <m/>
    <m/>
    <m/>
    <n v="0"/>
    <m/>
    <s v="1 CN escaped while processing"/>
    <s v="20140628 DRobichaud"/>
    <s v="20140629 DRobichaud"/>
    <s v="FW_Scan_20140628.pdf"/>
    <n v="1"/>
    <n v="1"/>
    <n v="0"/>
    <n v="0"/>
    <n v="0"/>
    <n v="0"/>
    <n v="0"/>
    <n v="0"/>
    <n v="0"/>
    <n v="0"/>
    <n v="0"/>
    <n v="0"/>
    <n v="0"/>
    <n v="0"/>
    <n v="0"/>
    <n v="0"/>
    <n v="0"/>
    <n v="0"/>
    <n v="0"/>
    <n v="0"/>
  </r>
  <r>
    <x v="22"/>
    <x v="0"/>
    <s v="bk,qb"/>
    <d v="1899-12-30T21:30:00"/>
    <d v="1899-12-31T00:00:00"/>
    <n v="38"/>
    <n v="8"/>
    <m/>
    <m/>
    <n v="149.99999999999994"/>
    <m/>
    <m/>
    <m/>
    <n v="0"/>
    <m/>
    <m/>
    <m/>
    <n v="0"/>
    <m/>
    <m/>
    <m/>
    <m/>
    <n v="0"/>
    <m/>
    <m/>
    <m/>
    <n v="0"/>
    <m/>
    <m/>
    <m/>
    <n v="0"/>
    <m/>
    <m/>
    <m/>
    <m/>
    <n v="0"/>
    <m/>
    <m/>
    <m/>
    <m/>
    <m/>
    <m/>
    <m/>
    <n v="0"/>
    <s v="fishwheel left running overnight"/>
    <s v="no fish"/>
    <s v="20140628 BKalb"/>
    <s v="20140629 DRobichaud"/>
    <s v="FW_Scan_20140628.pdf"/>
    <n v="0"/>
    <n v="0"/>
    <n v="0"/>
    <n v="0"/>
    <n v="0"/>
    <n v="0"/>
    <n v="0"/>
    <n v="0"/>
    <n v="0"/>
    <n v="0"/>
    <n v="0"/>
    <n v="0"/>
    <n v="0"/>
    <n v="0"/>
    <n v="0"/>
    <n v="0"/>
    <n v="0"/>
    <n v="0"/>
    <n v="0"/>
    <n v="0"/>
  </r>
  <r>
    <x v="22"/>
    <x v="2"/>
    <s v="csj,jk"/>
    <d v="1899-12-30T14:34:00"/>
    <d v="1899-12-30T18:29:00"/>
    <n v="29"/>
    <n v="10"/>
    <m/>
    <m/>
    <n v="235.00000000000011"/>
    <m/>
    <m/>
    <m/>
    <n v="0"/>
    <m/>
    <m/>
    <m/>
    <n v="0"/>
    <m/>
    <m/>
    <m/>
    <m/>
    <n v="0"/>
    <m/>
    <m/>
    <m/>
    <n v="0"/>
    <m/>
    <m/>
    <m/>
    <n v="0"/>
    <m/>
    <m/>
    <m/>
    <m/>
    <n v="0"/>
    <m/>
    <m/>
    <m/>
    <m/>
    <m/>
    <m/>
    <m/>
    <n v="0"/>
    <m/>
    <s v="no fish"/>
    <s v="20140628 JKunzler"/>
    <s v="20140629 DRobichaud"/>
    <s v="FW_Scan_20140628.pdf"/>
    <n v="0"/>
    <n v="0"/>
    <n v="0"/>
    <n v="0"/>
    <n v="0"/>
    <n v="0"/>
    <n v="0"/>
    <n v="0"/>
    <n v="0"/>
    <n v="0"/>
    <n v="0"/>
    <n v="0"/>
    <n v="0"/>
    <n v="0"/>
    <n v="0"/>
    <n v="0"/>
    <n v="0"/>
    <n v="0"/>
    <n v="0"/>
    <n v="0"/>
  </r>
  <r>
    <x v="22"/>
    <x v="2"/>
    <s v="wc,dr"/>
    <d v="1899-12-30T18:29:00"/>
    <d v="1899-12-30T21:30:00"/>
    <n v="29"/>
    <n v="11"/>
    <m/>
    <m/>
    <n v="181"/>
    <m/>
    <m/>
    <m/>
    <n v="0"/>
    <m/>
    <m/>
    <m/>
    <n v="0"/>
    <m/>
    <m/>
    <m/>
    <m/>
    <n v="0"/>
    <m/>
    <m/>
    <m/>
    <n v="0"/>
    <m/>
    <m/>
    <m/>
    <n v="0"/>
    <m/>
    <m/>
    <m/>
    <m/>
    <n v="0"/>
    <m/>
    <m/>
    <m/>
    <m/>
    <m/>
    <m/>
    <m/>
    <n v="0"/>
    <m/>
    <s v="no fish"/>
    <s v="20140628 DRobichaud"/>
    <s v="20140629 DRobichaud"/>
    <s v="FW_Scan_20140628.pdf"/>
    <n v="0"/>
    <n v="0"/>
    <n v="0"/>
    <n v="0"/>
    <n v="0"/>
    <n v="0"/>
    <n v="0"/>
    <n v="0"/>
    <n v="0"/>
    <n v="0"/>
    <n v="0"/>
    <n v="0"/>
    <n v="0"/>
    <n v="0"/>
    <n v="0"/>
    <n v="0"/>
    <n v="0"/>
    <n v="0"/>
    <n v="0"/>
    <n v="0"/>
  </r>
  <r>
    <x v="22"/>
    <x v="2"/>
    <s v="qb,bk"/>
    <d v="1899-12-30T21:30:00"/>
    <d v="1899-12-30T23:22:00"/>
    <n v="31"/>
    <n v="9"/>
    <m/>
    <m/>
    <n v="111.99999999999991"/>
    <m/>
    <m/>
    <m/>
    <n v="0"/>
    <m/>
    <m/>
    <m/>
    <n v="0"/>
    <m/>
    <m/>
    <m/>
    <m/>
    <n v="0"/>
    <m/>
    <m/>
    <m/>
    <n v="0"/>
    <m/>
    <m/>
    <m/>
    <n v="0"/>
    <m/>
    <m/>
    <m/>
    <m/>
    <n v="0"/>
    <m/>
    <m/>
    <n v="1"/>
    <m/>
    <m/>
    <m/>
    <m/>
    <n v="1"/>
    <m/>
    <m/>
    <s v="20140628 QBerger"/>
    <s v="20140629 DRobichaud"/>
    <s v="FW_Scan_20140628.pdf"/>
    <n v="0"/>
    <n v="0"/>
    <n v="0"/>
    <n v="0"/>
    <n v="0"/>
    <n v="0"/>
    <n v="0"/>
    <n v="0"/>
    <n v="0"/>
    <n v="0"/>
    <n v="0"/>
    <n v="0"/>
    <n v="0"/>
    <n v="0"/>
    <n v="0"/>
    <n v="0"/>
    <n v="0"/>
    <n v="0"/>
    <n v="0"/>
    <n v="0"/>
  </r>
  <r>
    <x v="22"/>
    <x v="1"/>
    <s v="dr"/>
    <m/>
    <m/>
    <m/>
    <m/>
    <m/>
    <m/>
    <n v="0"/>
    <m/>
    <m/>
    <m/>
    <n v="0"/>
    <m/>
    <m/>
    <m/>
    <n v="0"/>
    <m/>
    <m/>
    <m/>
    <m/>
    <n v="0"/>
    <m/>
    <m/>
    <m/>
    <n v="0"/>
    <m/>
    <m/>
    <m/>
    <n v="0"/>
    <m/>
    <m/>
    <m/>
    <m/>
    <n v="0"/>
    <m/>
    <m/>
    <m/>
    <m/>
    <m/>
    <m/>
    <m/>
    <n v="0"/>
    <s v="did not fish today due to high water"/>
    <m/>
    <s v="20140628 DRobichaud"/>
    <s v="20140629 DRobichaud"/>
    <s v="FW_Scan_20140628.pdf"/>
    <n v="0"/>
    <n v="0"/>
    <n v="0"/>
    <n v="0"/>
    <n v="0"/>
    <n v="0"/>
    <n v="0"/>
    <n v="0"/>
    <n v="0"/>
    <n v="0"/>
    <n v="0"/>
    <n v="0"/>
    <n v="0"/>
    <n v="0"/>
    <n v="0"/>
    <n v="0"/>
    <n v="0"/>
    <n v="0"/>
    <n v="0"/>
    <n v="0"/>
  </r>
  <r>
    <x v="23"/>
    <x v="0"/>
    <s v="cs,jg,dr"/>
    <d v="1899-12-30T00:00:00"/>
    <d v="1899-12-30T10:00:00"/>
    <n v="41"/>
    <n v="9"/>
    <m/>
    <m/>
    <n v="600"/>
    <n v="7"/>
    <m/>
    <n v="2"/>
    <n v="9"/>
    <n v="1"/>
    <n v="1"/>
    <m/>
    <n v="2"/>
    <m/>
    <n v="1"/>
    <m/>
    <m/>
    <n v="1"/>
    <m/>
    <m/>
    <m/>
    <n v="0"/>
    <m/>
    <m/>
    <m/>
    <n v="0"/>
    <m/>
    <m/>
    <m/>
    <m/>
    <n v="0"/>
    <m/>
    <m/>
    <m/>
    <m/>
    <m/>
    <m/>
    <m/>
    <n v="0"/>
    <m/>
    <m/>
    <s v="20140629 CSejkora"/>
    <s v="20140630 DRobichaud"/>
    <s v="FW_Scan_20140629.pdf"/>
    <n v="7"/>
    <n v="0"/>
    <n v="2"/>
    <n v="1"/>
    <n v="1"/>
    <n v="0"/>
    <n v="0"/>
    <n v="1"/>
    <n v="0"/>
    <n v="0"/>
    <n v="0"/>
    <n v="0"/>
    <n v="0"/>
    <n v="0"/>
    <n v="0"/>
    <n v="0"/>
    <n v="0"/>
    <n v="0"/>
    <n v="0"/>
    <n v="0"/>
  </r>
  <r>
    <x v="23"/>
    <x v="0"/>
    <s v="bk,wc"/>
    <d v="1899-12-30T10:00:00"/>
    <d v="1899-12-30T14:30:00"/>
    <n v="43"/>
    <n v="8.5"/>
    <m/>
    <m/>
    <n v="269.99999999999989"/>
    <n v="6"/>
    <m/>
    <m/>
    <n v="6"/>
    <m/>
    <n v="3"/>
    <m/>
    <n v="3"/>
    <m/>
    <m/>
    <m/>
    <m/>
    <n v="0"/>
    <m/>
    <m/>
    <m/>
    <n v="0"/>
    <m/>
    <m/>
    <m/>
    <n v="0"/>
    <m/>
    <m/>
    <m/>
    <m/>
    <n v="0"/>
    <m/>
    <m/>
    <m/>
    <m/>
    <m/>
    <m/>
    <m/>
    <n v="0"/>
    <m/>
    <m/>
    <s v="20140629 WChallenger"/>
    <s v="20140630 DRobichaud"/>
    <s v="FW_Scan_20140629.pdf"/>
    <n v="6"/>
    <n v="0"/>
    <n v="0"/>
    <n v="0"/>
    <n v="3"/>
    <n v="0"/>
    <n v="0"/>
    <n v="0"/>
    <n v="0"/>
    <n v="0"/>
    <n v="0"/>
    <n v="0"/>
    <n v="0"/>
    <n v="0"/>
    <n v="0"/>
    <n v="0"/>
    <n v="0"/>
    <n v="0"/>
    <n v="0"/>
    <n v="0"/>
  </r>
  <r>
    <x v="23"/>
    <x v="0"/>
    <s v="la,jg"/>
    <d v="1899-12-30T14:30:00"/>
    <d v="1899-12-30T18:50:00"/>
    <n v="45"/>
    <n v="9"/>
    <m/>
    <m/>
    <n v="260.00000000000006"/>
    <n v="6"/>
    <m/>
    <m/>
    <n v="6"/>
    <n v="1"/>
    <m/>
    <m/>
    <n v="1"/>
    <m/>
    <m/>
    <m/>
    <m/>
    <n v="0"/>
    <m/>
    <m/>
    <m/>
    <n v="0"/>
    <m/>
    <m/>
    <m/>
    <n v="0"/>
    <m/>
    <m/>
    <m/>
    <m/>
    <n v="0"/>
    <m/>
    <m/>
    <m/>
    <m/>
    <m/>
    <m/>
    <m/>
    <n v="0"/>
    <m/>
    <m/>
    <s v="20140629 LAckein"/>
    <s v="20140630 DRobichaud"/>
    <s v="FW_Scan_20140629.pdf"/>
    <n v="6"/>
    <n v="0"/>
    <n v="0"/>
    <n v="1"/>
    <n v="0"/>
    <n v="0"/>
    <n v="0"/>
    <n v="0"/>
    <n v="0"/>
    <n v="0"/>
    <n v="0"/>
    <n v="0"/>
    <n v="0"/>
    <n v="0"/>
    <n v="0"/>
    <n v="0"/>
    <n v="0"/>
    <n v="0"/>
    <n v="0"/>
    <n v="0"/>
  </r>
  <r>
    <x v="23"/>
    <x v="0"/>
    <s v="wc,as"/>
    <d v="1899-12-30T18:50:00"/>
    <d v="1899-12-31T00:00:00"/>
    <n v="45"/>
    <n v="9"/>
    <m/>
    <m/>
    <n v="310"/>
    <n v="4"/>
    <m/>
    <m/>
    <n v="4"/>
    <m/>
    <n v="1"/>
    <m/>
    <n v="1"/>
    <m/>
    <m/>
    <m/>
    <m/>
    <n v="0"/>
    <m/>
    <m/>
    <m/>
    <n v="0"/>
    <m/>
    <m/>
    <m/>
    <n v="0"/>
    <m/>
    <m/>
    <m/>
    <m/>
    <n v="0"/>
    <m/>
    <m/>
    <m/>
    <m/>
    <m/>
    <m/>
    <m/>
    <n v="0"/>
    <m/>
    <m/>
    <s v="20140629 WChallenger"/>
    <s v="20140630 DRobichaud"/>
    <s v="FW_Scan_20140629.pdf"/>
    <n v="4"/>
    <n v="0"/>
    <n v="0"/>
    <n v="0"/>
    <n v="1"/>
    <n v="0"/>
    <n v="0"/>
    <n v="0"/>
    <n v="0"/>
    <n v="0"/>
    <n v="0"/>
    <n v="0"/>
    <n v="0"/>
    <n v="0"/>
    <n v="0"/>
    <n v="0"/>
    <n v="0"/>
    <n v="0"/>
    <n v="0"/>
    <n v="0"/>
  </r>
  <r>
    <x v="23"/>
    <x v="2"/>
    <s v="cs,jg"/>
    <d v="1899-12-30T06:24:00"/>
    <d v="1899-12-30T10:15:00"/>
    <n v="27"/>
    <n v="11"/>
    <m/>
    <m/>
    <n v="230.99999999999997"/>
    <m/>
    <m/>
    <m/>
    <n v="0"/>
    <m/>
    <m/>
    <m/>
    <n v="0"/>
    <m/>
    <m/>
    <m/>
    <m/>
    <n v="0"/>
    <m/>
    <m/>
    <m/>
    <n v="0"/>
    <m/>
    <m/>
    <m/>
    <n v="0"/>
    <m/>
    <m/>
    <m/>
    <m/>
    <n v="0"/>
    <m/>
    <m/>
    <m/>
    <m/>
    <m/>
    <m/>
    <m/>
    <n v="0"/>
    <m/>
    <s v="no fish"/>
    <s v="20140629 CSejkora"/>
    <s v="20140630 DRobichaud"/>
    <s v="FW_Scan_20140629.pdf"/>
    <n v="0"/>
    <n v="0"/>
    <n v="0"/>
    <n v="0"/>
    <n v="0"/>
    <n v="0"/>
    <n v="0"/>
    <n v="0"/>
    <n v="0"/>
    <n v="0"/>
    <n v="0"/>
    <n v="0"/>
    <n v="0"/>
    <n v="0"/>
    <n v="0"/>
    <n v="0"/>
    <n v="0"/>
    <n v="0"/>
    <n v="0"/>
    <n v="0"/>
  </r>
  <r>
    <x v="23"/>
    <x v="2"/>
    <s v="bk,wc"/>
    <d v="1899-12-30T10:15:00"/>
    <d v="1899-12-30T14:05:00"/>
    <n v="28"/>
    <n v="11"/>
    <m/>
    <m/>
    <n v="230.00000000000006"/>
    <m/>
    <m/>
    <m/>
    <n v="0"/>
    <m/>
    <m/>
    <m/>
    <n v="0"/>
    <m/>
    <m/>
    <m/>
    <m/>
    <n v="0"/>
    <m/>
    <m/>
    <m/>
    <n v="0"/>
    <m/>
    <m/>
    <m/>
    <n v="0"/>
    <m/>
    <m/>
    <m/>
    <m/>
    <n v="0"/>
    <m/>
    <m/>
    <m/>
    <m/>
    <m/>
    <m/>
    <m/>
    <n v="0"/>
    <m/>
    <s v="no fish"/>
    <s v="20140629 WChallenger"/>
    <s v="20140630 DRobichaud"/>
    <s v="FW_Scan_20140629.pdf"/>
    <n v="0"/>
    <n v="0"/>
    <n v="0"/>
    <n v="0"/>
    <n v="0"/>
    <n v="0"/>
    <n v="0"/>
    <n v="0"/>
    <n v="0"/>
    <n v="0"/>
    <n v="0"/>
    <n v="0"/>
    <n v="0"/>
    <n v="0"/>
    <n v="0"/>
    <n v="0"/>
    <n v="0"/>
    <n v="0"/>
    <n v="0"/>
    <n v="0"/>
  </r>
  <r>
    <x v="23"/>
    <x v="2"/>
    <s v="la,jg"/>
    <d v="1899-12-30T14:05:00"/>
    <d v="1899-12-30T18:55:00"/>
    <n v="31"/>
    <n v="13"/>
    <m/>
    <m/>
    <n v="290.00000000000011"/>
    <m/>
    <m/>
    <m/>
    <n v="0"/>
    <m/>
    <m/>
    <m/>
    <n v="0"/>
    <m/>
    <m/>
    <m/>
    <m/>
    <n v="0"/>
    <m/>
    <m/>
    <m/>
    <n v="0"/>
    <m/>
    <m/>
    <m/>
    <n v="0"/>
    <m/>
    <m/>
    <m/>
    <m/>
    <n v="0"/>
    <m/>
    <m/>
    <m/>
    <m/>
    <m/>
    <m/>
    <m/>
    <n v="0"/>
    <s v="cleaned lead net at 18:00"/>
    <s v="no fish"/>
    <s v="20140629 LAckein"/>
    <s v="20140630 DRobichaud"/>
    <s v="FW_Scan_20140629.pdf"/>
    <n v="0"/>
    <n v="0"/>
    <n v="0"/>
    <n v="0"/>
    <n v="0"/>
    <n v="0"/>
    <n v="0"/>
    <n v="0"/>
    <n v="0"/>
    <n v="0"/>
    <n v="0"/>
    <n v="0"/>
    <n v="0"/>
    <n v="0"/>
    <n v="0"/>
    <n v="0"/>
    <n v="0"/>
    <n v="0"/>
    <n v="0"/>
    <n v="0"/>
  </r>
  <r>
    <x v="23"/>
    <x v="2"/>
    <s v="wc,as"/>
    <d v="1899-12-30T18:55:00"/>
    <d v="1899-12-31T00:00:00"/>
    <n v="29"/>
    <n v="13"/>
    <m/>
    <m/>
    <n v="304.99999999999989"/>
    <m/>
    <m/>
    <m/>
    <n v="0"/>
    <m/>
    <m/>
    <m/>
    <n v="0"/>
    <m/>
    <m/>
    <m/>
    <m/>
    <n v="0"/>
    <m/>
    <m/>
    <m/>
    <n v="0"/>
    <m/>
    <m/>
    <m/>
    <n v="0"/>
    <m/>
    <m/>
    <m/>
    <m/>
    <n v="0"/>
    <m/>
    <m/>
    <m/>
    <m/>
    <m/>
    <m/>
    <m/>
    <n v="0"/>
    <m/>
    <s v="no fish"/>
    <s v="20140629 AStephens"/>
    <s v="20140630 DRobichaud"/>
    <s v="FW_Scan_20140629.pdf"/>
    <n v="0"/>
    <n v="0"/>
    <n v="0"/>
    <n v="0"/>
    <n v="0"/>
    <n v="0"/>
    <n v="0"/>
    <n v="0"/>
    <n v="0"/>
    <n v="0"/>
    <n v="0"/>
    <n v="0"/>
    <n v="0"/>
    <n v="0"/>
    <n v="0"/>
    <n v="0"/>
    <n v="0"/>
    <n v="0"/>
    <n v="0"/>
    <n v="0"/>
  </r>
  <r>
    <x v="23"/>
    <x v="1"/>
    <s v="jk,la,dr"/>
    <d v="1899-12-30T06:23:00"/>
    <d v="1899-12-30T09:55:00"/>
    <n v="33"/>
    <m/>
    <m/>
    <m/>
    <n v="211.99999999999997"/>
    <m/>
    <m/>
    <m/>
    <n v="0"/>
    <m/>
    <m/>
    <m/>
    <n v="0"/>
    <m/>
    <m/>
    <m/>
    <m/>
    <n v="0"/>
    <m/>
    <m/>
    <m/>
    <n v="0"/>
    <m/>
    <m/>
    <m/>
    <n v="0"/>
    <m/>
    <m/>
    <m/>
    <m/>
    <n v="0"/>
    <m/>
    <m/>
    <m/>
    <m/>
    <m/>
    <m/>
    <m/>
    <n v="0"/>
    <s v="thermometer broken"/>
    <s v="no fish"/>
    <s v="20140629 DRobichaud"/>
    <s v="20140630 DRobichaud"/>
    <s v="FW_Scan_20140629.pdf"/>
    <n v="0"/>
    <n v="0"/>
    <n v="0"/>
    <n v="0"/>
    <n v="0"/>
    <n v="0"/>
    <n v="0"/>
    <n v="0"/>
    <n v="0"/>
    <n v="0"/>
    <n v="0"/>
    <n v="0"/>
    <n v="0"/>
    <n v="0"/>
    <n v="0"/>
    <n v="0"/>
    <n v="0"/>
    <n v="0"/>
    <n v="0"/>
    <n v="0"/>
  </r>
  <r>
    <x v="23"/>
    <x v="1"/>
    <s v="dr,qb"/>
    <d v="1899-12-30T09:55:00"/>
    <d v="1899-12-30T14:21:00"/>
    <n v="36"/>
    <m/>
    <m/>
    <m/>
    <n v="266"/>
    <n v="2"/>
    <m/>
    <m/>
    <n v="2"/>
    <m/>
    <n v="1"/>
    <m/>
    <n v="1"/>
    <m/>
    <m/>
    <m/>
    <m/>
    <n v="0"/>
    <m/>
    <m/>
    <m/>
    <n v="0"/>
    <m/>
    <m/>
    <m/>
    <n v="0"/>
    <m/>
    <m/>
    <m/>
    <m/>
    <n v="0"/>
    <m/>
    <m/>
    <m/>
    <m/>
    <m/>
    <m/>
    <m/>
    <n v="0"/>
    <m/>
    <m/>
    <s v="20140629 DRobichaud"/>
    <s v="20140630 DRobichaud"/>
    <s v="FW_Scan_20140629.pdf"/>
    <n v="2"/>
    <n v="0"/>
    <n v="0"/>
    <n v="0"/>
    <n v="1"/>
    <n v="0"/>
    <n v="0"/>
    <n v="0"/>
    <n v="0"/>
    <n v="0"/>
    <n v="0"/>
    <n v="0"/>
    <n v="0"/>
    <n v="0"/>
    <n v="0"/>
    <n v="0"/>
    <n v="0"/>
    <n v="0"/>
    <n v="0"/>
    <n v="0"/>
  </r>
  <r>
    <x v="23"/>
    <x v="1"/>
    <s v="csj,jk"/>
    <d v="1899-12-30T14:21:00"/>
    <d v="1899-12-30T18:54:00"/>
    <n v="36"/>
    <m/>
    <m/>
    <m/>
    <n v="273"/>
    <n v="1"/>
    <m/>
    <m/>
    <n v="1"/>
    <m/>
    <m/>
    <m/>
    <n v="0"/>
    <m/>
    <m/>
    <m/>
    <m/>
    <n v="0"/>
    <m/>
    <m/>
    <m/>
    <n v="0"/>
    <m/>
    <m/>
    <m/>
    <n v="0"/>
    <m/>
    <m/>
    <m/>
    <m/>
    <n v="0"/>
    <m/>
    <m/>
    <m/>
    <m/>
    <m/>
    <m/>
    <m/>
    <n v="0"/>
    <m/>
    <m/>
    <s v="20140629 JKunzler"/>
    <s v="20140630 DRobichaud"/>
    <s v="FW_Scan_20140629.pdf"/>
    <n v="1"/>
    <n v="0"/>
    <n v="0"/>
    <n v="0"/>
    <n v="0"/>
    <n v="0"/>
    <n v="0"/>
    <n v="0"/>
    <n v="0"/>
    <n v="0"/>
    <n v="0"/>
    <n v="0"/>
    <n v="0"/>
    <n v="0"/>
    <n v="0"/>
    <n v="0"/>
    <n v="0"/>
    <n v="0"/>
    <n v="0"/>
    <n v="0"/>
  </r>
  <r>
    <x v="23"/>
    <x v="1"/>
    <s v="bk,qb"/>
    <d v="1899-12-30T18:54:00"/>
    <d v="1899-12-31T00:00:00"/>
    <n v="35"/>
    <m/>
    <m/>
    <m/>
    <n v="306.00000000000006"/>
    <m/>
    <m/>
    <m/>
    <n v="0"/>
    <m/>
    <m/>
    <m/>
    <n v="0"/>
    <m/>
    <m/>
    <m/>
    <m/>
    <n v="0"/>
    <m/>
    <m/>
    <m/>
    <n v="0"/>
    <m/>
    <m/>
    <m/>
    <n v="0"/>
    <m/>
    <m/>
    <m/>
    <m/>
    <n v="0"/>
    <m/>
    <m/>
    <m/>
    <m/>
    <m/>
    <m/>
    <m/>
    <n v="0"/>
    <m/>
    <s v="no fish"/>
    <s v="20140629 QBerger"/>
    <s v="20140630 DRobichaud"/>
    <s v="FW_Scan_20140629.pdf"/>
    <n v="0"/>
    <n v="0"/>
    <n v="0"/>
    <n v="0"/>
    <n v="0"/>
    <n v="0"/>
    <n v="0"/>
    <n v="0"/>
    <n v="0"/>
    <n v="0"/>
    <n v="0"/>
    <n v="0"/>
    <n v="0"/>
    <n v="0"/>
    <n v="0"/>
    <n v="0"/>
    <n v="0"/>
    <n v="0"/>
    <n v="0"/>
    <n v="0"/>
  </r>
  <r>
    <x v="24"/>
    <x v="0"/>
    <s v="jk,csj"/>
    <d v="1899-12-30T00:00:00"/>
    <d v="1899-12-30T09:47:00"/>
    <n v="62"/>
    <n v="10"/>
    <m/>
    <m/>
    <n v="587"/>
    <n v="12"/>
    <n v="1"/>
    <m/>
    <n v="13"/>
    <n v="1"/>
    <n v="3"/>
    <m/>
    <n v="4"/>
    <m/>
    <m/>
    <m/>
    <m/>
    <n v="0"/>
    <m/>
    <m/>
    <m/>
    <n v="0"/>
    <m/>
    <m/>
    <m/>
    <n v="0"/>
    <m/>
    <m/>
    <m/>
    <m/>
    <n v="0"/>
    <m/>
    <m/>
    <m/>
    <m/>
    <m/>
    <n v="1"/>
    <m/>
    <n v="1"/>
    <m/>
    <m/>
    <s v="20140630 JKunzler"/>
    <s v="20140701 DRobichaud"/>
    <s v="FW_Scan_20140630.pdf"/>
    <n v="12"/>
    <n v="1"/>
    <n v="0"/>
    <n v="1"/>
    <n v="3"/>
    <n v="0"/>
    <n v="0"/>
    <n v="0"/>
    <n v="0"/>
    <n v="0"/>
    <n v="0"/>
    <n v="0"/>
    <n v="0"/>
    <n v="0"/>
    <n v="0"/>
    <n v="0"/>
    <n v="0"/>
    <n v="0"/>
    <n v="0"/>
    <n v="0"/>
  </r>
  <r>
    <x v="24"/>
    <x v="0"/>
    <s v="bk,as"/>
    <d v="1899-12-30T09:47:00"/>
    <d v="1899-12-30T14:17:00"/>
    <n v="48"/>
    <n v="10"/>
    <m/>
    <m/>
    <n v="270"/>
    <n v="10"/>
    <m/>
    <m/>
    <n v="10"/>
    <m/>
    <m/>
    <m/>
    <n v="0"/>
    <n v="1"/>
    <m/>
    <m/>
    <m/>
    <n v="1"/>
    <m/>
    <m/>
    <m/>
    <n v="0"/>
    <m/>
    <m/>
    <m/>
    <n v="0"/>
    <m/>
    <m/>
    <m/>
    <m/>
    <n v="0"/>
    <m/>
    <m/>
    <n v="1"/>
    <m/>
    <m/>
    <m/>
    <m/>
    <n v="1"/>
    <s v="cleaned lead net, fixed live tank pin"/>
    <m/>
    <s v="20140630 BKalb"/>
    <s v="20140701 DRobichaud"/>
    <s v="FW_Scan_20140630.pdf"/>
    <n v="10"/>
    <n v="0"/>
    <n v="0"/>
    <n v="0"/>
    <n v="0"/>
    <n v="0"/>
    <n v="1"/>
    <n v="0"/>
    <n v="0"/>
    <n v="0"/>
    <n v="0"/>
    <n v="0"/>
    <n v="0"/>
    <n v="0"/>
    <n v="0"/>
    <n v="0"/>
    <n v="0"/>
    <n v="0"/>
    <n v="0"/>
    <n v="0"/>
  </r>
  <r>
    <x v="24"/>
    <x v="0"/>
    <s v="jg,la,dj"/>
    <d v="1899-12-30T14:17:00"/>
    <d v="1899-12-30T18:55:00"/>
    <n v="51"/>
    <n v="11"/>
    <m/>
    <m/>
    <n v="278.00000000000011"/>
    <n v="8"/>
    <n v="1"/>
    <m/>
    <n v="9"/>
    <n v="1"/>
    <m/>
    <m/>
    <n v="1"/>
    <m/>
    <m/>
    <m/>
    <m/>
    <n v="0"/>
    <m/>
    <m/>
    <m/>
    <n v="0"/>
    <m/>
    <m/>
    <m/>
    <n v="0"/>
    <m/>
    <m/>
    <m/>
    <m/>
    <n v="0"/>
    <m/>
    <m/>
    <m/>
    <m/>
    <m/>
    <m/>
    <m/>
    <n v="0"/>
    <m/>
    <m/>
    <s v="20140630 LAckein"/>
    <s v="20140701 DRobichaud"/>
    <s v="FW_Scan_20140630.pdf"/>
    <n v="8"/>
    <n v="1"/>
    <n v="0"/>
    <n v="1"/>
    <n v="0"/>
    <n v="0"/>
    <n v="0"/>
    <n v="0"/>
    <n v="0"/>
    <n v="0"/>
    <n v="0"/>
    <n v="0"/>
    <n v="0"/>
    <n v="0"/>
    <n v="0"/>
    <n v="0"/>
    <n v="0"/>
    <n v="0"/>
    <n v="0"/>
    <n v="0"/>
  </r>
  <r>
    <x v="24"/>
    <x v="0"/>
    <s v="dr, wc"/>
    <d v="1899-12-30T18:55:00"/>
    <d v="1899-12-30T23:30:00"/>
    <n v="50"/>
    <n v="10"/>
    <m/>
    <m/>
    <n v="274.99999999999983"/>
    <n v="5"/>
    <n v="1"/>
    <m/>
    <n v="6"/>
    <m/>
    <m/>
    <m/>
    <n v="0"/>
    <m/>
    <m/>
    <m/>
    <m/>
    <n v="0"/>
    <m/>
    <m/>
    <m/>
    <n v="0"/>
    <m/>
    <m/>
    <m/>
    <n v="0"/>
    <m/>
    <m/>
    <m/>
    <m/>
    <n v="0"/>
    <m/>
    <m/>
    <m/>
    <m/>
    <m/>
    <m/>
    <m/>
    <n v="0"/>
    <m/>
    <m/>
    <s v="20140630 DRobichaud"/>
    <s v="20140701 DRobichaud"/>
    <s v="FW_Scan_20140630.pdf"/>
    <n v="5"/>
    <n v="1"/>
    <n v="0"/>
    <n v="0"/>
    <n v="0"/>
    <n v="0"/>
    <n v="0"/>
    <n v="0"/>
    <n v="0"/>
    <n v="0"/>
    <n v="0"/>
    <n v="0"/>
    <n v="0"/>
    <n v="0"/>
    <n v="0"/>
    <n v="0"/>
    <n v="0"/>
    <n v="0"/>
    <n v="0"/>
    <n v="0"/>
  </r>
  <r>
    <x v="24"/>
    <x v="0"/>
    <s v="dr,wc"/>
    <d v="1899-12-30T23:30:00"/>
    <d v="1899-12-31T00:00:00"/>
    <m/>
    <m/>
    <m/>
    <m/>
    <n v="30.000000000000053"/>
    <m/>
    <m/>
    <m/>
    <n v="0"/>
    <m/>
    <m/>
    <m/>
    <n v="0"/>
    <m/>
    <m/>
    <m/>
    <m/>
    <n v="0"/>
    <m/>
    <m/>
    <m/>
    <n v="0"/>
    <m/>
    <m/>
    <m/>
    <n v="0"/>
    <m/>
    <m/>
    <m/>
    <m/>
    <n v="0"/>
    <m/>
    <m/>
    <m/>
    <m/>
    <m/>
    <m/>
    <m/>
    <n v="0"/>
    <s v="fishwheel left running overnight"/>
    <m/>
    <s v="20140630 AStephens"/>
    <s v="20140701 DRobichaud"/>
    <s v="FW_Scan_20140630.pdf"/>
    <n v="0"/>
    <n v="0"/>
    <n v="0"/>
    <n v="0"/>
    <n v="0"/>
    <n v="0"/>
    <n v="0"/>
    <n v="0"/>
    <n v="0"/>
    <n v="0"/>
    <n v="0"/>
    <n v="0"/>
    <n v="0"/>
    <n v="0"/>
    <n v="0"/>
    <n v="0"/>
    <n v="0"/>
    <n v="0"/>
    <n v="0"/>
    <n v="0"/>
  </r>
  <r>
    <x v="24"/>
    <x v="2"/>
    <s v="csj,jk"/>
    <d v="1899-12-30T00:00:00"/>
    <d v="1899-12-30T09:29:00"/>
    <n v="32"/>
    <n v="12"/>
    <m/>
    <m/>
    <n v="569"/>
    <m/>
    <m/>
    <m/>
    <n v="0"/>
    <m/>
    <m/>
    <m/>
    <n v="0"/>
    <m/>
    <m/>
    <m/>
    <m/>
    <n v="0"/>
    <m/>
    <m/>
    <m/>
    <n v="0"/>
    <m/>
    <m/>
    <m/>
    <n v="0"/>
    <m/>
    <m/>
    <m/>
    <m/>
    <n v="0"/>
    <m/>
    <m/>
    <m/>
    <m/>
    <m/>
    <m/>
    <m/>
    <n v="0"/>
    <m/>
    <s v="no fish"/>
    <s v="20140630 JKunzler"/>
    <s v="20140701 DRobichaud"/>
    <s v="FW_Scan_20140630.pdf"/>
    <n v="0"/>
    <n v="0"/>
    <n v="0"/>
    <n v="0"/>
    <n v="0"/>
    <n v="0"/>
    <n v="0"/>
    <n v="0"/>
    <n v="0"/>
    <n v="0"/>
    <n v="0"/>
    <n v="0"/>
    <n v="0"/>
    <n v="0"/>
    <n v="0"/>
    <n v="0"/>
    <n v="0"/>
    <n v="0"/>
    <n v="0"/>
    <n v="0"/>
  </r>
  <r>
    <x v="24"/>
    <x v="2"/>
    <s v="bk,as"/>
    <d v="1899-12-30T09:29:00"/>
    <d v="1899-12-30T14:26:00"/>
    <n v="32"/>
    <n v="12"/>
    <m/>
    <m/>
    <n v="296.99999999999994"/>
    <m/>
    <m/>
    <m/>
    <n v="0"/>
    <m/>
    <m/>
    <m/>
    <n v="0"/>
    <m/>
    <m/>
    <m/>
    <m/>
    <n v="0"/>
    <m/>
    <m/>
    <m/>
    <n v="0"/>
    <m/>
    <m/>
    <m/>
    <n v="0"/>
    <m/>
    <m/>
    <m/>
    <m/>
    <n v="0"/>
    <m/>
    <m/>
    <m/>
    <m/>
    <m/>
    <m/>
    <m/>
    <n v="0"/>
    <s v="cleared lead net. "/>
    <s v="no fish"/>
    <s v="20140630 AStephens"/>
    <s v="20140701 DRobichaud"/>
    <s v="FW_Scan_20140630.pdf"/>
    <n v="0"/>
    <n v="0"/>
    <n v="0"/>
    <n v="0"/>
    <n v="0"/>
    <n v="0"/>
    <n v="0"/>
    <n v="0"/>
    <n v="0"/>
    <n v="0"/>
    <n v="0"/>
    <n v="0"/>
    <n v="0"/>
    <n v="0"/>
    <n v="0"/>
    <n v="0"/>
    <n v="0"/>
    <n v="0"/>
    <n v="0"/>
    <n v="0"/>
  </r>
  <r>
    <x v="24"/>
    <x v="2"/>
    <s v="la,jg,dj"/>
    <d v="1899-12-30T14:26:00"/>
    <d v="1899-12-30T18:42:00"/>
    <n v="32"/>
    <n v="13"/>
    <m/>
    <m/>
    <n v="256.00000000000006"/>
    <m/>
    <m/>
    <m/>
    <n v="0"/>
    <m/>
    <m/>
    <m/>
    <n v="0"/>
    <m/>
    <m/>
    <m/>
    <m/>
    <n v="0"/>
    <m/>
    <m/>
    <m/>
    <n v="0"/>
    <m/>
    <m/>
    <m/>
    <n v="0"/>
    <m/>
    <m/>
    <m/>
    <m/>
    <n v="0"/>
    <m/>
    <m/>
    <m/>
    <m/>
    <m/>
    <m/>
    <m/>
    <n v="0"/>
    <m/>
    <s v="no fish"/>
    <s v="20140630 JGraham"/>
    <s v="20140701 DRobichaud"/>
    <s v="FW_Scan_20140630.pdf"/>
    <n v="0"/>
    <n v="0"/>
    <n v="0"/>
    <n v="0"/>
    <n v="0"/>
    <n v="0"/>
    <n v="0"/>
    <n v="0"/>
    <n v="0"/>
    <n v="0"/>
    <n v="0"/>
    <n v="0"/>
    <n v="0"/>
    <n v="0"/>
    <n v="0"/>
    <n v="0"/>
    <n v="0"/>
    <n v="0"/>
    <n v="0"/>
    <n v="0"/>
  </r>
  <r>
    <x v="24"/>
    <x v="2"/>
    <s v="wc,dr"/>
    <d v="1899-12-30T18:42:00"/>
    <d v="1899-12-30T23:05:00"/>
    <n v="32"/>
    <n v="14"/>
    <m/>
    <m/>
    <n v="262.99999999999989"/>
    <m/>
    <m/>
    <m/>
    <n v="0"/>
    <m/>
    <m/>
    <m/>
    <n v="0"/>
    <m/>
    <m/>
    <m/>
    <m/>
    <n v="0"/>
    <m/>
    <m/>
    <m/>
    <n v="0"/>
    <m/>
    <m/>
    <m/>
    <n v="0"/>
    <m/>
    <m/>
    <m/>
    <m/>
    <n v="0"/>
    <m/>
    <m/>
    <m/>
    <m/>
    <m/>
    <m/>
    <m/>
    <n v="0"/>
    <m/>
    <s v="no fish"/>
    <s v="20140630 DRobichaud"/>
    <s v="20140701 DRobichaud"/>
    <s v="FW_Scan_20140630.pdf"/>
    <n v="0"/>
    <n v="0"/>
    <n v="0"/>
    <n v="0"/>
    <n v="0"/>
    <n v="0"/>
    <n v="0"/>
    <n v="0"/>
    <n v="0"/>
    <n v="0"/>
    <n v="0"/>
    <n v="0"/>
    <n v="0"/>
    <n v="0"/>
    <n v="0"/>
    <n v="0"/>
    <n v="0"/>
    <n v="0"/>
    <n v="0"/>
    <n v="0"/>
  </r>
  <r>
    <x v="24"/>
    <x v="2"/>
    <s v="wc,dr "/>
    <d v="1899-12-30T23:05:00"/>
    <d v="1899-12-31T00:00:00"/>
    <m/>
    <m/>
    <m/>
    <m/>
    <n v="55.000000000000128"/>
    <m/>
    <m/>
    <m/>
    <n v="0"/>
    <m/>
    <m/>
    <m/>
    <n v="0"/>
    <m/>
    <m/>
    <m/>
    <m/>
    <n v="0"/>
    <m/>
    <m/>
    <m/>
    <n v="0"/>
    <m/>
    <m/>
    <m/>
    <n v="0"/>
    <m/>
    <m/>
    <m/>
    <m/>
    <n v="0"/>
    <m/>
    <m/>
    <m/>
    <m/>
    <m/>
    <m/>
    <m/>
    <n v="0"/>
    <s v="fishwheel left running overnight"/>
    <m/>
    <s v="20140630 AStephens"/>
    <s v="20140701 DRobichaud"/>
    <s v="FW_Scan_20140630.pdf"/>
    <n v="0"/>
    <n v="0"/>
    <n v="0"/>
    <n v="0"/>
    <n v="0"/>
    <n v="0"/>
    <n v="0"/>
    <n v="0"/>
    <n v="0"/>
    <n v="0"/>
    <n v="0"/>
    <n v="0"/>
    <n v="0"/>
    <n v="0"/>
    <n v="0"/>
    <n v="0"/>
    <n v="0"/>
    <n v="0"/>
    <n v="0"/>
    <n v="0"/>
  </r>
  <r>
    <x v="24"/>
    <x v="1"/>
    <s v="la,jg,dj"/>
    <d v="1899-12-30T00:00:00"/>
    <d v="1899-12-30T09:50:00"/>
    <n v="35"/>
    <n v="11"/>
    <m/>
    <m/>
    <n v="590"/>
    <n v="3"/>
    <m/>
    <m/>
    <n v="3"/>
    <n v="1"/>
    <m/>
    <m/>
    <n v="1"/>
    <m/>
    <m/>
    <m/>
    <m/>
    <n v="0"/>
    <m/>
    <m/>
    <m/>
    <n v="0"/>
    <m/>
    <m/>
    <m/>
    <n v="0"/>
    <m/>
    <m/>
    <m/>
    <m/>
    <n v="0"/>
    <m/>
    <m/>
    <m/>
    <m/>
    <m/>
    <m/>
    <m/>
    <n v="0"/>
    <m/>
    <m/>
    <s v="20140630 JGraham"/>
    <s v="20140701 DRobichaud"/>
    <s v="FW_Scan_20140630.pdf"/>
    <n v="3"/>
    <n v="0"/>
    <n v="0"/>
    <n v="1"/>
    <n v="0"/>
    <n v="0"/>
    <n v="0"/>
    <n v="0"/>
    <n v="0"/>
    <n v="0"/>
    <n v="0"/>
    <n v="0"/>
    <n v="0"/>
    <n v="0"/>
    <n v="0"/>
    <n v="0"/>
    <n v="0"/>
    <n v="0"/>
    <n v="0"/>
    <n v="0"/>
  </r>
  <r>
    <x v="24"/>
    <x v="1"/>
    <s v="wc,qb"/>
    <d v="1899-12-30T09:50:00"/>
    <d v="1899-12-30T14:22:00"/>
    <n v="37"/>
    <n v="12"/>
    <m/>
    <m/>
    <n v="271.99999999999989"/>
    <m/>
    <m/>
    <m/>
    <n v="0"/>
    <m/>
    <m/>
    <m/>
    <n v="0"/>
    <m/>
    <m/>
    <m/>
    <m/>
    <n v="0"/>
    <m/>
    <m/>
    <m/>
    <n v="0"/>
    <m/>
    <m/>
    <m/>
    <n v="0"/>
    <m/>
    <m/>
    <m/>
    <m/>
    <n v="0"/>
    <m/>
    <m/>
    <m/>
    <m/>
    <m/>
    <m/>
    <m/>
    <n v="0"/>
    <m/>
    <s v="no fish"/>
    <s v="20140630 WChallenger"/>
    <s v="20140701 DRobichaud"/>
    <s v="FW_Scan_20140630.pdf"/>
    <n v="0"/>
    <n v="0"/>
    <n v="0"/>
    <n v="0"/>
    <n v="0"/>
    <n v="0"/>
    <n v="0"/>
    <n v="0"/>
    <n v="0"/>
    <n v="0"/>
    <n v="0"/>
    <n v="0"/>
    <n v="0"/>
    <n v="0"/>
    <n v="0"/>
    <n v="0"/>
    <n v="0"/>
    <n v="0"/>
    <n v="0"/>
    <n v="0"/>
  </r>
  <r>
    <x v="24"/>
    <x v="1"/>
    <s v="csj,jk"/>
    <d v="1899-12-30T14:22:00"/>
    <d v="1899-12-30T19:00:00"/>
    <n v="37"/>
    <n v="12"/>
    <m/>
    <m/>
    <n v="260"/>
    <n v="3"/>
    <m/>
    <m/>
    <n v="3"/>
    <m/>
    <n v="2"/>
    <m/>
    <n v="2"/>
    <m/>
    <m/>
    <m/>
    <m/>
    <n v="0"/>
    <m/>
    <m/>
    <m/>
    <n v="0"/>
    <m/>
    <m/>
    <m/>
    <n v="0"/>
    <m/>
    <m/>
    <m/>
    <m/>
    <n v="0"/>
    <m/>
    <m/>
    <m/>
    <m/>
    <m/>
    <m/>
    <m/>
    <n v="0"/>
    <s v="back spar poles in.  Lowered fw at 17:02.  3 revs at 0:48!"/>
    <m/>
    <s v="20140630 CSejkora"/>
    <s v="20140701 DRobichaud"/>
    <s v="FW_Scan_20140630.pdf"/>
    <n v="3"/>
    <n v="0"/>
    <n v="0"/>
    <n v="0"/>
    <n v="2"/>
    <n v="0"/>
    <n v="0"/>
    <n v="0"/>
    <n v="0"/>
    <n v="0"/>
    <n v="0"/>
    <n v="0"/>
    <n v="0"/>
    <n v="0"/>
    <n v="0"/>
    <n v="0"/>
    <n v="0"/>
    <n v="0"/>
    <n v="0"/>
    <n v="0"/>
  </r>
  <r>
    <x v="24"/>
    <x v="1"/>
    <s v="bk,qb"/>
    <d v="1899-12-30T19:00:00"/>
    <d v="1899-12-30T23:30:00"/>
    <n v="50"/>
    <n v="12"/>
    <m/>
    <m/>
    <n v="270"/>
    <n v="4"/>
    <n v="1"/>
    <m/>
    <n v="5"/>
    <m/>
    <n v="2"/>
    <m/>
    <n v="2"/>
    <m/>
    <m/>
    <m/>
    <m/>
    <n v="0"/>
    <m/>
    <m/>
    <m/>
    <n v="0"/>
    <m/>
    <m/>
    <m/>
    <n v="0"/>
    <m/>
    <m/>
    <m/>
    <m/>
    <n v="0"/>
    <m/>
    <m/>
    <m/>
    <m/>
    <m/>
    <m/>
    <m/>
    <n v="0"/>
    <m/>
    <m/>
    <s v="20140630 QBerger"/>
    <s v="20140701 DRobichaud"/>
    <s v="FW_Scan_20140630.pdf"/>
    <n v="4"/>
    <n v="1"/>
    <n v="0"/>
    <n v="0"/>
    <n v="2"/>
    <n v="0"/>
    <n v="0"/>
    <n v="0"/>
    <n v="0"/>
    <n v="0"/>
    <n v="0"/>
    <n v="0"/>
    <n v="0"/>
    <n v="0"/>
    <n v="0"/>
    <n v="0"/>
    <n v="0"/>
    <n v="0"/>
    <n v="0"/>
    <n v="0"/>
  </r>
  <r>
    <x v="24"/>
    <x v="1"/>
    <s v="bk,qb"/>
    <d v="1899-12-30T23:30:00"/>
    <d v="1899-12-31T00:00:00"/>
    <m/>
    <m/>
    <m/>
    <m/>
    <n v="30.000000000000053"/>
    <m/>
    <m/>
    <m/>
    <n v="0"/>
    <m/>
    <m/>
    <m/>
    <n v="0"/>
    <m/>
    <m/>
    <m/>
    <m/>
    <n v="0"/>
    <m/>
    <m/>
    <m/>
    <n v="0"/>
    <m/>
    <m/>
    <m/>
    <n v="0"/>
    <m/>
    <m/>
    <m/>
    <m/>
    <n v="0"/>
    <m/>
    <m/>
    <m/>
    <m/>
    <m/>
    <m/>
    <m/>
    <n v="0"/>
    <s v="fishwheel left running overnight"/>
    <m/>
    <s v="20140630 AStephens"/>
    <s v="20140701 DRobichaud"/>
    <s v="FW_Scan_20140630.pdf"/>
    <n v="0"/>
    <n v="0"/>
    <n v="0"/>
    <n v="0"/>
    <n v="0"/>
    <n v="0"/>
    <n v="0"/>
    <n v="0"/>
    <n v="0"/>
    <n v="0"/>
    <n v="0"/>
    <n v="0"/>
    <n v="0"/>
    <n v="0"/>
    <n v="0"/>
    <n v="0"/>
    <n v="0"/>
    <n v="0"/>
    <n v="0"/>
    <n v="0"/>
  </r>
  <r>
    <x v="25"/>
    <x v="0"/>
    <s v="la,dj,cg,csj,jk"/>
    <d v="1899-12-30T00:00:00"/>
    <d v="1899-12-30T09:59:00"/>
    <n v="48"/>
    <n v="9"/>
    <m/>
    <m/>
    <n v="599"/>
    <n v="14"/>
    <m/>
    <n v="2"/>
    <n v="16"/>
    <n v="1"/>
    <n v="1"/>
    <m/>
    <n v="2"/>
    <m/>
    <m/>
    <m/>
    <m/>
    <n v="0"/>
    <m/>
    <m/>
    <m/>
    <n v="0"/>
    <m/>
    <m/>
    <m/>
    <n v="0"/>
    <m/>
    <m/>
    <m/>
    <m/>
    <n v="0"/>
    <m/>
    <m/>
    <m/>
    <m/>
    <n v="1"/>
    <m/>
    <m/>
    <n v="1"/>
    <m/>
    <m/>
    <s v="20140701 LAckein"/>
    <s v="20140702 AStephens"/>
    <s v="FW_Scan_20140701.pdf"/>
    <n v="14"/>
    <n v="0"/>
    <n v="2"/>
    <n v="1"/>
    <n v="1"/>
    <n v="0"/>
    <n v="0"/>
    <n v="0"/>
    <n v="0"/>
    <n v="0"/>
    <n v="0"/>
    <n v="0"/>
    <n v="0"/>
    <n v="0"/>
    <n v="0"/>
    <n v="0"/>
    <n v="0"/>
    <n v="0"/>
    <n v="0"/>
    <n v="0"/>
  </r>
  <r>
    <x v="25"/>
    <x v="0"/>
    <s v="dr,bk"/>
    <d v="1899-12-30T09:59:00"/>
    <d v="1899-12-30T14:15:00"/>
    <n v="49"/>
    <n v="9"/>
    <m/>
    <m/>
    <n v="256.00000000000006"/>
    <n v="6"/>
    <n v="1"/>
    <m/>
    <n v="7"/>
    <m/>
    <m/>
    <m/>
    <n v="0"/>
    <m/>
    <m/>
    <m/>
    <m/>
    <n v="0"/>
    <m/>
    <m/>
    <m/>
    <n v="0"/>
    <m/>
    <m/>
    <m/>
    <n v="0"/>
    <m/>
    <m/>
    <m/>
    <m/>
    <n v="0"/>
    <m/>
    <m/>
    <m/>
    <m/>
    <n v="1"/>
    <m/>
    <m/>
    <n v="1"/>
    <m/>
    <m/>
    <s v="20140701 DRobichaud"/>
    <s v="20140702 AStephens"/>
    <s v="FW_Scan_20140701.pdf"/>
    <n v="6"/>
    <n v="1"/>
    <n v="0"/>
    <n v="0"/>
    <n v="0"/>
    <n v="0"/>
    <n v="0"/>
    <n v="0"/>
    <n v="0"/>
    <n v="0"/>
    <n v="0"/>
    <n v="0"/>
    <n v="0"/>
    <n v="0"/>
    <n v="0"/>
    <n v="0"/>
    <n v="0"/>
    <n v="0"/>
    <n v="0"/>
    <n v="0"/>
  </r>
  <r>
    <x v="25"/>
    <x v="0"/>
    <s v="csj,jg"/>
    <d v="1899-12-30T14:15:00"/>
    <d v="1899-12-30T19:05:00"/>
    <n v="50"/>
    <n v="9"/>
    <m/>
    <m/>
    <n v="269.99999999999994"/>
    <n v="3"/>
    <m/>
    <m/>
    <n v="3"/>
    <m/>
    <m/>
    <m/>
    <n v="0"/>
    <m/>
    <m/>
    <m/>
    <m/>
    <n v="0"/>
    <m/>
    <m/>
    <m/>
    <n v="0"/>
    <m/>
    <m/>
    <m/>
    <n v="0"/>
    <m/>
    <m/>
    <m/>
    <m/>
    <n v="0"/>
    <m/>
    <m/>
    <m/>
    <m/>
    <m/>
    <m/>
    <m/>
    <n v="0"/>
    <s v="arrived at wheel at 18:50 it was not turning.  Liekly down time ~ 20 minutes"/>
    <s v="1 un'IDed whitefish"/>
    <s v="20140701 JGraham"/>
    <s v="20140702 AStephens"/>
    <s v="FW_Scan_20140701.pdf"/>
    <n v="3"/>
    <n v="0"/>
    <n v="0"/>
    <n v="0"/>
    <n v="0"/>
    <n v="0"/>
    <n v="0"/>
    <n v="0"/>
    <n v="0"/>
    <n v="0"/>
    <n v="0"/>
    <n v="0"/>
    <n v="0"/>
    <n v="0"/>
    <n v="0"/>
    <n v="0"/>
    <n v="0"/>
    <n v="0"/>
    <n v="0"/>
    <n v="0"/>
  </r>
  <r>
    <x v="25"/>
    <x v="0"/>
    <s v="as,wc"/>
    <d v="1899-12-30T19:05:00"/>
    <d v="1899-12-31T00:00:00"/>
    <n v="48"/>
    <n v="8"/>
    <m/>
    <m/>
    <n v="295.00000000000006"/>
    <n v="3"/>
    <n v="1"/>
    <m/>
    <n v="4"/>
    <m/>
    <m/>
    <m/>
    <n v="0"/>
    <m/>
    <m/>
    <m/>
    <m/>
    <n v="0"/>
    <m/>
    <m/>
    <m/>
    <n v="0"/>
    <m/>
    <m/>
    <m/>
    <n v="0"/>
    <m/>
    <m/>
    <m/>
    <m/>
    <n v="0"/>
    <m/>
    <m/>
    <n v="1"/>
    <m/>
    <m/>
    <m/>
    <m/>
    <n v="1"/>
    <s v="fishwheel left running overnight"/>
    <m/>
    <s v="20140701 WChallenger"/>
    <s v="20140702 AStephens"/>
    <s v="FW_Scan_20140701.pdf"/>
    <n v="3"/>
    <n v="1"/>
    <n v="0"/>
    <n v="0"/>
    <n v="0"/>
    <n v="0"/>
    <n v="0"/>
    <n v="0"/>
    <n v="0"/>
    <n v="0"/>
    <n v="0"/>
    <n v="0"/>
    <n v="0"/>
    <n v="0"/>
    <n v="0"/>
    <n v="0"/>
    <n v="0"/>
    <n v="0"/>
    <n v="0"/>
    <n v="0"/>
  </r>
  <r>
    <x v="25"/>
    <x v="2"/>
    <s v="la,dj,jg"/>
    <d v="1899-12-30T00:00:00"/>
    <d v="1899-12-30T09:35:00"/>
    <n v="29"/>
    <n v="11"/>
    <m/>
    <m/>
    <n v="575"/>
    <m/>
    <m/>
    <m/>
    <n v="0"/>
    <m/>
    <m/>
    <m/>
    <n v="0"/>
    <m/>
    <m/>
    <m/>
    <m/>
    <n v="0"/>
    <m/>
    <m/>
    <m/>
    <n v="0"/>
    <m/>
    <m/>
    <m/>
    <n v="0"/>
    <m/>
    <m/>
    <m/>
    <m/>
    <n v="0"/>
    <m/>
    <m/>
    <m/>
    <m/>
    <m/>
    <m/>
    <m/>
    <n v="0"/>
    <m/>
    <s v="no fish"/>
    <s v="20140701 LAckein"/>
    <s v="20140702 AStephens"/>
    <s v="FW_Scan_20140701.pdf"/>
    <n v="0"/>
    <n v="0"/>
    <n v="0"/>
    <n v="0"/>
    <n v="0"/>
    <n v="0"/>
    <n v="0"/>
    <n v="0"/>
    <n v="0"/>
    <n v="0"/>
    <n v="0"/>
    <n v="0"/>
    <n v="0"/>
    <n v="0"/>
    <n v="0"/>
    <n v="0"/>
    <n v="0"/>
    <n v="0"/>
    <n v="0"/>
    <n v="0"/>
  </r>
  <r>
    <x v="25"/>
    <x v="2"/>
    <s v="bk,dr"/>
    <d v="1899-12-30T09:35:00"/>
    <d v="1899-12-30T14:20:00"/>
    <n v="29"/>
    <n v="11"/>
    <m/>
    <m/>
    <n v="284.99999999999994"/>
    <m/>
    <m/>
    <m/>
    <n v="0"/>
    <m/>
    <m/>
    <m/>
    <n v="0"/>
    <m/>
    <m/>
    <m/>
    <m/>
    <n v="0"/>
    <m/>
    <m/>
    <m/>
    <n v="0"/>
    <m/>
    <m/>
    <m/>
    <n v="0"/>
    <m/>
    <m/>
    <m/>
    <m/>
    <n v="0"/>
    <m/>
    <m/>
    <m/>
    <m/>
    <m/>
    <m/>
    <m/>
    <n v="0"/>
    <m/>
    <s v="no fish"/>
    <s v="20140701 DRobichaud"/>
    <s v="20140702 AStephens"/>
    <s v="FW_Scan_20140701.pdf"/>
    <n v="0"/>
    <n v="0"/>
    <n v="0"/>
    <n v="0"/>
    <n v="0"/>
    <n v="0"/>
    <n v="0"/>
    <n v="0"/>
    <n v="0"/>
    <n v="0"/>
    <n v="0"/>
    <n v="0"/>
    <n v="0"/>
    <n v="0"/>
    <n v="0"/>
    <n v="0"/>
    <n v="0"/>
    <n v="0"/>
    <n v="0"/>
    <n v="0"/>
  </r>
  <r>
    <x v="25"/>
    <x v="2"/>
    <s v="jg,csj"/>
    <d v="1899-12-30T14:20:00"/>
    <d v="1899-12-30T18:45:00"/>
    <n v="32"/>
    <n v="11"/>
    <m/>
    <m/>
    <n v="265"/>
    <m/>
    <m/>
    <m/>
    <n v="0"/>
    <m/>
    <m/>
    <m/>
    <n v="0"/>
    <m/>
    <m/>
    <m/>
    <m/>
    <n v="0"/>
    <m/>
    <m/>
    <m/>
    <n v="0"/>
    <m/>
    <m/>
    <m/>
    <n v="0"/>
    <m/>
    <m/>
    <m/>
    <m/>
    <n v="0"/>
    <m/>
    <m/>
    <m/>
    <m/>
    <m/>
    <m/>
    <m/>
    <n v="0"/>
    <m/>
    <s v="no fish"/>
    <s v="20140701 CSejkora"/>
    <s v="20140702 AStephens"/>
    <s v="FW_Scan_20140701.pdf"/>
    <n v="0"/>
    <n v="0"/>
    <n v="0"/>
    <n v="0"/>
    <n v="0"/>
    <n v="0"/>
    <n v="0"/>
    <n v="0"/>
    <n v="0"/>
    <n v="0"/>
    <n v="0"/>
    <n v="0"/>
    <n v="0"/>
    <n v="0"/>
    <n v="0"/>
    <n v="0"/>
    <n v="0"/>
    <n v="0"/>
    <n v="0"/>
    <n v="0"/>
  </r>
  <r>
    <x v="25"/>
    <x v="2"/>
    <s v="as,wc"/>
    <d v="1899-12-30T18:45:00"/>
    <d v="1899-12-31T00:00:00"/>
    <n v="34"/>
    <n v="12"/>
    <m/>
    <m/>
    <n v="305"/>
    <n v="1"/>
    <m/>
    <m/>
    <n v="1"/>
    <m/>
    <n v="1"/>
    <m/>
    <n v="1"/>
    <m/>
    <m/>
    <m/>
    <m/>
    <n v="0"/>
    <m/>
    <m/>
    <m/>
    <n v="0"/>
    <m/>
    <m/>
    <m/>
    <n v="0"/>
    <m/>
    <m/>
    <m/>
    <m/>
    <n v="0"/>
    <m/>
    <m/>
    <m/>
    <m/>
    <m/>
    <m/>
    <m/>
    <n v="0"/>
    <s v="wheel moved closer to shore, down 10 min, fishwheel left running overnight"/>
    <m/>
    <s v="20140701 AStephens"/>
    <s v="20140702 AStephens"/>
    <s v="FW_Scan_20140701.pdf"/>
    <n v="1"/>
    <n v="0"/>
    <n v="0"/>
    <n v="0"/>
    <n v="1"/>
    <n v="0"/>
    <n v="0"/>
    <n v="0"/>
    <n v="0"/>
    <n v="0"/>
    <n v="0"/>
    <n v="0"/>
    <n v="0"/>
    <n v="0"/>
    <n v="0"/>
    <n v="0"/>
    <n v="0"/>
    <n v="0"/>
    <n v="0"/>
    <n v="0"/>
  </r>
  <r>
    <x v="25"/>
    <x v="1"/>
    <s v="csj,jk"/>
    <d v="1899-12-30T00:00:00"/>
    <d v="1899-12-30T09:48:00"/>
    <n v="60"/>
    <n v="11"/>
    <m/>
    <m/>
    <n v="588"/>
    <n v="7"/>
    <n v="2"/>
    <m/>
    <n v="9"/>
    <n v="1"/>
    <m/>
    <m/>
    <n v="1"/>
    <m/>
    <m/>
    <m/>
    <m/>
    <n v="0"/>
    <m/>
    <m/>
    <m/>
    <n v="0"/>
    <m/>
    <m/>
    <m/>
    <n v="0"/>
    <m/>
    <m/>
    <m/>
    <m/>
    <n v="0"/>
    <m/>
    <n v="2"/>
    <m/>
    <m/>
    <m/>
    <m/>
    <m/>
    <n v="2"/>
    <m/>
    <s v="one CN (&gt;50) not biosampled"/>
    <s v="20140701 JKunzler"/>
    <s v="20140702 AStephens"/>
    <s v="FW_Scan_20140701.pdf"/>
    <n v="7"/>
    <n v="2"/>
    <n v="0"/>
    <n v="1"/>
    <n v="0"/>
    <n v="0"/>
    <n v="0"/>
    <n v="0"/>
    <n v="0"/>
    <n v="0"/>
    <n v="0"/>
    <n v="0"/>
    <n v="0"/>
    <n v="0"/>
    <n v="0"/>
    <n v="0"/>
    <n v="0"/>
    <n v="0"/>
    <n v="0"/>
    <n v="0"/>
  </r>
  <r>
    <x v="25"/>
    <x v="1"/>
    <s v="wc,qb"/>
    <d v="1899-12-30T09:48:00"/>
    <d v="1899-12-30T14:25:00"/>
    <n v="50"/>
    <n v="11"/>
    <m/>
    <m/>
    <n v="276.99999999999994"/>
    <n v="3"/>
    <m/>
    <m/>
    <n v="3"/>
    <n v="1"/>
    <n v="3"/>
    <m/>
    <n v="4"/>
    <m/>
    <m/>
    <m/>
    <m/>
    <n v="0"/>
    <m/>
    <m/>
    <m/>
    <n v="0"/>
    <m/>
    <m/>
    <m/>
    <n v="0"/>
    <m/>
    <m/>
    <m/>
    <m/>
    <n v="0"/>
    <m/>
    <m/>
    <m/>
    <m/>
    <m/>
    <m/>
    <m/>
    <n v="0"/>
    <m/>
    <m/>
    <s v="20140701 QBerger"/>
    <s v="20140702 AStephens"/>
    <s v="FW_Scan_20140701.pdf"/>
    <n v="3"/>
    <n v="0"/>
    <n v="0"/>
    <n v="1"/>
    <n v="3"/>
    <n v="0"/>
    <n v="0"/>
    <n v="0"/>
    <n v="0"/>
    <n v="0"/>
    <n v="0"/>
    <n v="0"/>
    <n v="0"/>
    <n v="0"/>
    <n v="0"/>
    <n v="0"/>
    <n v="0"/>
    <n v="0"/>
    <n v="0"/>
    <n v="0"/>
  </r>
  <r>
    <x v="25"/>
    <x v="1"/>
    <s v="la,dr,dj,jk"/>
    <d v="1899-12-30T14:25:00"/>
    <d v="1899-12-30T18:49:00"/>
    <n v="54"/>
    <n v="10"/>
    <m/>
    <m/>
    <n v="264"/>
    <n v="5"/>
    <n v="1"/>
    <m/>
    <n v="6"/>
    <m/>
    <n v="2"/>
    <m/>
    <n v="2"/>
    <m/>
    <m/>
    <m/>
    <m/>
    <n v="0"/>
    <m/>
    <m/>
    <m/>
    <n v="0"/>
    <m/>
    <m/>
    <m/>
    <n v="0"/>
    <m/>
    <m/>
    <m/>
    <m/>
    <n v="0"/>
    <n v="1"/>
    <m/>
    <m/>
    <m/>
    <m/>
    <m/>
    <m/>
    <n v="1"/>
    <m/>
    <m/>
    <s v="20140701 JKunzler"/>
    <s v="20140702 AStephens"/>
    <s v="FW_Scan_20140701.pdf"/>
    <n v="5"/>
    <n v="1"/>
    <n v="0"/>
    <n v="0"/>
    <n v="2"/>
    <n v="0"/>
    <n v="0"/>
    <n v="0"/>
    <n v="0"/>
    <n v="0"/>
    <n v="0"/>
    <n v="0"/>
    <n v="0"/>
    <n v="0"/>
    <n v="0"/>
    <n v="0"/>
    <n v="0"/>
    <n v="0"/>
    <n v="0"/>
    <n v="0"/>
  </r>
  <r>
    <x v="25"/>
    <x v="1"/>
    <s v="bk,qb"/>
    <d v="1899-12-30T18:49:00"/>
    <d v="1899-12-31T00:00:00"/>
    <n v="46"/>
    <n v="10"/>
    <m/>
    <m/>
    <n v="311"/>
    <n v="9"/>
    <m/>
    <m/>
    <n v="9"/>
    <m/>
    <n v="2"/>
    <m/>
    <n v="2"/>
    <m/>
    <m/>
    <m/>
    <m/>
    <n v="0"/>
    <m/>
    <m/>
    <m/>
    <n v="0"/>
    <m/>
    <m/>
    <m/>
    <n v="0"/>
    <m/>
    <m/>
    <m/>
    <m/>
    <n v="0"/>
    <m/>
    <n v="1"/>
    <n v="1"/>
    <m/>
    <m/>
    <m/>
    <m/>
    <n v="2"/>
    <s v="fishwheel left running overnight"/>
    <m/>
    <s v="20140701 BKalb"/>
    <s v="20140702 AStephens"/>
    <s v="FW_Scan_20140701.pdf"/>
    <n v="9"/>
    <n v="0"/>
    <n v="0"/>
    <n v="0"/>
    <n v="2"/>
    <n v="0"/>
    <n v="0"/>
    <n v="0"/>
    <n v="0"/>
    <n v="0"/>
    <n v="0"/>
    <n v="0"/>
    <n v="0"/>
    <n v="0"/>
    <n v="0"/>
    <n v="0"/>
    <n v="0"/>
    <n v="0"/>
    <n v="0"/>
    <n v="0"/>
  </r>
  <r>
    <x v="26"/>
    <x v="0"/>
    <s v="csj,jg"/>
    <d v="1899-12-30T00:00:00"/>
    <d v="1899-12-30T09:53:00"/>
    <n v="34"/>
    <n v="7"/>
    <m/>
    <m/>
    <n v="593"/>
    <n v="1"/>
    <m/>
    <m/>
    <n v="1"/>
    <n v="1"/>
    <n v="1"/>
    <m/>
    <n v="2"/>
    <m/>
    <m/>
    <m/>
    <m/>
    <n v="0"/>
    <m/>
    <m/>
    <m/>
    <n v="0"/>
    <m/>
    <m/>
    <m/>
    <n v="0"/>
    <m/>
    <m/>
    <m/>
    <m/>
    <n v="0"/>
    <m/>
    <m/>
    <m/>
    <m/>
    <m/>
    <m/>
    <m/>
    <n v="0"/>
    <m/>
    <m/>
    <s v="20140702 CSejkora"/>
    <s v="20140705 DRobichaud"/>
    <s v="FW_Scan_20140702_dr.pdf"/>
    <n v="1"/>
    <n v="0"/>
    <n v="0"/>
    <n v="1"/>
    <n v="1"/>
    <n v="0"/>
    <n v="0"/>
    <n v="0"/>
    <n v="0"/>
    <n v="0"/>
    <n v="0"/>
    <n v="0"/>
    <n v="0"/>
    <n v="0"/>
    <n v="0"/>
    <n v="0"/>
    <n v="0"/>
    <n v="0"/>
    <n v="0"/>
    <n v="0"/>
  </r>
  <r>
    <x v="26"/>
    <x v="0"/>
    <s v="as,wc"/>
    <d v="1899-12-30T09:53:00"/>
    <d v="1899-12-30T14:19:00"/>
    <n v="42"/>
    <n v="8"/>
    <m/>
    <m/>
    <n v="203"/>
    <n v="1"/>
    <m/>
    <m/>
    <n v="1"/>
    <m/>
    <n v="2"/>
    <m/>
    <n v="2"/>
    <m/>
    <m/>
    <m/>
    <m/>
    <n v="0"/>
    <m/>
    <m/>
    <m/>
    <n v="0"/>
    <m/>
    <m/>
    <m/>
    <n v="0"/>
    <m/>
    <m/>
    <m/>
    <m/>
    <n v="0"/>
    <m/>
    <m/>
    <m/>
    <m/>
    <m/>
    <m/>
    <m/>
    <n v="0"/>
    <s v="wheel raised for 63 min to move wheel in and clear debris"/>
    <m/>
    <s v="20140702 AStephens"/>
    <s v="20140705 DRobichaud"/>
    <s v="FW_Scan_20140702_dr.pdf"/>
    <n v="1"/>
    <n v="0"/>
    <n v="0"/>
    <n v="0"/>
    <n v="2"/>
    <n v="0"/>
    <n v="0"/>
    <n v="0"/>
    <n v="0"/>
    <n v="0"/>
    <n v="0"/>
    <n v="0"/>
    <n v="0"/>
    <n v="0"/>
    <n v="0"/>
    <n v="0"/>
    <n v="0"/>
    <n v="0"/>
    <n v="0"/>
    <n v="0"/>
  </r>
  <r>
    <x v="26"/>
    <x v="0"/>
    <s v="csj,dj,jg"/>
    <d v="1899-12-30T14:19:00"/>
    <d v="1899-12-30T19:03:00"/>
    <n v="34"/>
    <n v="9"/>
    <m/>
    <m/>
    <n v="224.00000000000011"/>
    <n v="1"/>
    <m/>
    <m/>
    <n v="1"/>
    <n v="1"/>
    <n v="1"/>
    <m/>
    <n v="2"/>
    <m/>
    <m/>
    <m/>
    <m/>
    <n v="0"/>
    <m/>
    <m/>
    <m/>
    <n v="0"/>
    <m/>
    <m/>
    <m/>
    <n v="0"/>
    <m/>
    <m/>
    <m/>
    <m/>
    <n v="0"/>
    <m/>
    <m/>
    <m/>
    <m/>
    <m/>
    <m/>
    <m/>
    <n v="0"/>
    <s v="arrived back at site 1 from site 2 at 17:00 to wheel stopped w/ debris.  Observed large tree penetrate the wheel puncturing net and breaking slide."/>
    <m/>
    <s v="20140702 DJohnson"/>
    <s v="20140705 DRobichaud"/>
    <s v="FW_Scan_20140702_dr.pdf"/>
    <n v="1"/>
    <n v="0"/>
    <n v="0"/>
    <n v="1"/>
    <n v="1"/>
    <n v="0"/>
    <n v="0"/>
    <n v="0"/>
    <n v="0"/>
    <n v="0"/>
    <n v="0"/>
    <n v="0"/>
    <n v="0"/>
    <n v="0"/>
    <n v="0"/>
    <n v="0"/>
    <n v="0"/>
    <n v="0"/>
    <n v="0"/>
    <n v="0"/>
  </r>
  <r>
    <x v="26"/>
    <x v="0"/>
    <s v="bk,wc"/>
    <d v="1899-12-30T19:03:00"/>
    <d v="1899-12-30T23:29:00"/>
    <n v="35"/>
    <n v="8"/>
    <m/>
    <m/>
    <n v="266"/>
    <n v="1"/>
    <m/>
    <m/>
    <n v="1"/>
    <m/>
    <n v="3"/>
    <m/>
    <n v="3"/>
    <m/>
    <m/>
    <m/>
    <m/>
    <n v="0"/>
    <m/>
    <m/>
    <m/>
    <n v="0"/>
    <m/>
    <m/>
    <m/>
    <n v="0"/>
    <m/>
    <m/>
    <m/>
    <m/>
    <n v="0"/>
    <m/>
    <m/>
    <n v="1"/>
    <n v="1"/>
    <m/>
    <m/>
    <m/>
    <n v="2"/>
    <s v="sad, sad fishwheel"/>
    <m/>
    <s v="20140703 WChallenger"/>
    <s v="20140705 DRobichaud"/>
    <s v="FW_Scan_20140702_dr.pdf"/>
    <n v="1"/>
    <n v="0"/>
    <n v="0"/>
    <n v="0"/>
    <n v="3"/>
    <n v="0"/>
    <n v="0"/>
    <n v="0"/>
    <n v="0"/>
    <n v="0"/>
    <n v="0"/>
    <n v="0"/>
    <n v="0"/>
    <n v="0"/>
    <n v="0"/>
    <n v="0"/>
    <n v="0"/>
    <n v="0"/>
    <n v="0"/>
    <n v="0"/>
  </r>
  <r>
    <x v="26"/>
    <x v="2"/>
    <s v="jg,csj"/>
    <d v="1899-12-30T00:00:00"/>
    <d v="1899-12-30T09:20:00"/>
    <n v="32"/>
    <n v="10"/>
    <m/>
    <m/>
    <n v="560"/>
    <n v="2"/>
    <m/>
    <m/>
    <n v="2"/>
    <m/>
    <n v="1"/>
    <m/>
    <n v="1"/>
    <m/>
    <m/>
    <m/>
    <m/>
    <n v="0"/>
    <m/>
    <m/>
    <m/>
    <n v="0"/>
    <m/>
    <m/>
    <m/>
    <n v="0"/>
    <m/>
    <m/>
    <m/>
    <m/>
    <n v="0"/>
    <m/>
    <m/>
    <n v="1"/>
    <m/>
    <m/>
    <m/>
    <m/>
    <n v="1"/>
    <m/>
    <m/>
    <s v="20140702 CSejkora"/>
    <s v="20140705 DRobichaud"/>
    <s v="FW_Scan_20140702_dr.pdf"/>
    <n v="2"/>
    <n v="0"/>
    <n v="0"/>
    <n v="0"/>
    <n v="1"/>
    <n v="0"/>
    <n v="0"/>
    <n v="0"/>
    <n v="0"/>
    <n v="0"/>
    <n v="0"/>
    <n v="0"/>
    <n v="0"/>
    <n v="0"/>
    <n v="0"/>
    <n v="0"/>
    <n v="0"/>
    <n v="0"/>
    <n v="0"/>
    <n v="0"/>
  </r>
  <r>
    <x v="26"/>
    <x v="2"/>
    <s v="as,wc"/>
    <d v="1899-12-30T09:20:00"/>
    <d v="1899-12-30T14:27:00"/>
    <n v="33"/>
    <n v="10"/>
    <m/>
    <m/>
    <n v="306.99999999999994"/>
    <m/>
    <m/>
    <m/>
    <n v="0"/>
    <m/>
    <m/>
    <m/>
    <n v="0"/>
    <m/>
    <m/>
    <m/>
    <m/>
    <n v="0"/>
    <m/>
    <m/>
    <m/>
    <n v="0"/>
    <m/>
    <m/>
    <m/>
    <n v="0"/>
    <m/>
    <m/>
    <m/>
    <m/>
    <n v="0"/>
    <n v="1"/>
    <m/>
    <m/>
    <m/>
    <m/>
    <m/>
    <m/>
    <n v="1"/>
    <s v="moved wheel into shore about 2 ft"/>
    <m/>
    <s v="20140702 AStephens"/>
    <s v="20140705 DRobichaud"/>
    <s v="FW_Scan_20140702_dr.pdf"/>
    <n v="0"/>
    <n v="0"/>
    <n v="0"/>
    <n v="0"/>
    <n v="0"/>
    <n v="0"/>
    <n v="0"/>
    <n v="0"/>
    <n v="0"/>
    <n v="0"/>
    <n v="0"/>
    <n v="0"/>
    <n v="0"/>
    <n v="0"/>
    <n v="0"/>
    <n v="0"/>
    <n v="0"/>
    <n v="0"/>
    <n v="0"/>
    <n v="0"/>
  </r>
  <r>
    <x v="26"/>
    <x v="2"/>
    <s v="csj,dj,jg"/>
    <d v="1899-12-30T14:27:00"/>
    <d v="1899-12-30T18:50:00"/>
    <n v="31"/>
    <n v="11"/>
    <m/>
    <m/>
    <n v="263"/>
    <n v="1"/>
    <m/>
    <m/>
    <n v="1"/>
    <m/>
    <n v="1"/>
    <m/>
    <n v="1"/>
    <m/>
    <m/>
    <m/>
    <m/>
    <n v="0"/>
    <m/>
    <m/>
    <m/>
    <n v="0"/>
    <m/>
    <m/>
    <m/>
    <n v="0"/>
    <m/>
    <m/>
    <m/>
    <m/>
    <n v="0"/>
    <m/>
    <m/>
    <m/>
    <m/>
    <m/>
    <m/>
    <m/>
    <n v="0"/>
    <m/>
    <m/>
    <s v="20140702 JGraham"/>
    <s v="20140705 DRobichaud"/>
    <s v="FW_Scan_20140702_dr.pdf"/>
    <n v="1"/>
    <n v="0"/>
    <n v="0"/>
    <n v="0"/>
    <n v="1"/>
    <n v="0"/>
    <n v="0"/>
    <n v="0"/>
    <n v="0"/>
    <n v="0"/>
    <n v="0"/>
    <n v="0"/>
    <n v="0"/>
    <n v="0"/>
    <n v="0"/>
    <n v="0"/>
    <n v="0"/>
    <n v="0"/>
    <n v="0"/>
    <n v="0"/>
  </r>
  <r>
    <x v="26"/>
    <x v="2"/>
    <s v="bk,wc"/>
    <d v="1899-12-30T18:50:00"/>
    <d v="1899-12-30T23:13:00"/>
    <n v="29"/>
    <n v="11"/>
    <m/>
    <m/>
    <n v="262.99999999999989"/>
    <m/>
    <m/>
    <m/>
    <n v="0"/>
    <m/>
    <m/>
    <m/>
    <n v="0"/>
    <m/>
    <m/>
    <m/>
    <m/>
    <n v="0"/>
    <m/>
    <m/>
    <m/>
    <n v="0"/>
    <m/>
    <m/>
    <m/>
    <n v="0"/>
    <m/>
    <m/>
    <m/>
    <m/>
    <n v="0"/>
    <m/>
    <m/>
    <m/>
    <m/>
    <m/>
    <m/>
    <m/>
    <n v="0"/>
    <s v="no fish :("/>
    <m/>
    <s v="20140702 BKalb"/>
    <s v="20140705 DRobichaud"/>
    <s v="FW_Scan_20140702_dr.pdf"/>
    <n v="0"/>
    <n v="0"/>
    <n v="0"/>
    <n v="0"/>
    <n v="0"/>
    <n v="0"/>
    <n v="0"/>
    <n v="0"/>
    <n v="0"/>
    <n v="0"/>
    <n v="0"/>
    <n v="0"/>
    <n v="0"/>
    <n v="0"/>
    <n v="0"/>
    <n v="0"/>
    <n v="0"/>
    <n v="0"/>
    <n v="0"/>
    <n v="0"/>
  </r>
  <r>
    <x v="26"/>
    <x v="1"/>
    <s v="la,jk,dj"/>
    <d v="1899-12-30T00:00:00"/>
    <d v="1899-12-30T09:57:00"/>
    <n v="42"/>
    <n v="9"/>
    <m/>
    <m/>
    <n v="597"/>
    <n v="7"/>
    <m/>
    <m/>
    <n v="7"/>
    <m/>
    <n v="3"/>
    <m/>
    <n v="3"/>
    <m/>
    <m/>
    <m/>
    <m/>
    <n v="0"/>
    <m/>
    <m/>
    <m/>
    <n v="0"/>
    <m/>
    <m/>
    <m/>
    <n v="0"/>
    <m/>
    <m/>
    <m/>
    <m/>
    <n v="0"/>
    <m/>
    <m/>
    <m/>
    <m/>
    <m/>
    <n v="1"/>
    <m/>
    <n v="1"/>
    <s v="no bio on dv.  Smolt caught (10 cm, photos)"/>
    <m/>
    <s v="20140702 JKunzler"/>
    <s v="20140705 DRobichaud"/>
    <s v="FW_Scan_20140702_dr.pdf"/>
    <n v="7"/>
    <n v="0"/>
    <n v="0"/>
    <n v="0"/>
    <n v="3"/>
    <n v="0"/>
    <n v="0"/>
    <n v="0"/>
    <n v="0"/>
    <n v="0"/>
    <n v="0"/>
    <n v="0"/>
    <n v="0"/>
    <n v="0"/>
    <n v="0"/>
    <n v="0"/>
    <n v="0"/>
    <n v="0"/>
    <n v="0"/>
    <n v="0"/>
  </r>
  <r>
    <x v="26"/>
    <x v="1"/>
    <s v="bk,qb"/>
    <d v="1899-12-30T09:57:00"/>
    <d v="1899-12-30T14:25:00"/>
    <n v="40"/>
    <n v="9"/>
    <m/>
    <m/>
    <n v="259"/>
    <n v="4"/>
    <m/>
    <m/>
    <n v="4"/>
    <m/>
    <m/>
    <m/>
    <n v="0"/>
    <m/>
    <m/>
    <m/>
    <m/>
    <n v="0"/>
    <m/>
    <m/>
    <m/>
    <n v="0"/>
    <m/>
    <m/>
    <m/>
    <n v="0"/>
    <m/>
    <m/>
    <m/>
    <m/>
    <n v="0"/>
    <n v="1"/>
    <m/>
    <m/>
    <m/>
    <m/>
    <m/>
    <m/>
    <n v="1"/>
    <s v="wheel jammed with log 14:04-14:13."/>
    <m/>
    <s v="20140702 QBerger"/>
    <s v="20140705 DRobichaud"/>
    <s v="FW_Scan_20140702_dr.pdf"/>
    <n v="4"/>
    <n v="0"/>
    <n v="0"/>
    <n v="0"/>
    <n v="0"/>
    <n v="0"/>
    <n v="0"/>
    <n v="0"/>
    <n v="0"/>
    <n v="0"/>
    <n v="0"/>
    <n v="0"/>
    <n v="0"/>
    <n v="0"/>
    <n v="0"/>
    <n v="0"/>
    <n v="0"/>
    <n v="0"/>
    <n v="0"/>
    <n v="0"/>
  </r>
  <r>
    <x v="26"/>
    <x v="1"/>
    <s v="dr,la,jk"/>
    <d v="1899-12-30T14:25:00"/>
    <d v="1899-12-30T18:55:00"/>
    <n v="37"/>
    <n v="10"/>
    <m/>
    <m/>
    <n v="248.00000000000017"/>
    <n v="4"/>
    <m/>
    <n v="1"/>
    <n v="5"/>
    <m/>
    <n v="1"/>
    <m/>
    <n v="1"/>
    <m/>
    <m/>
    <m/>
    <m/>
    <n v="0"/>
    <m/>
    <m/>
    <m/>
    <n v="0"/>
    <m/>
    <m/>
    <m/>
    <n v="0"/>
    <m/>
    <m/>
    <m/>
    <m/>
    <n v="0"/>
    <m/>
    <m/>
    <n v="1"/>
    <m/>
    <m/>
    <m/>
    <m/>
    <n v="1"/>
    <s v="wheel jammed with log 1700-1722"/>
    <m/>
    <s v="20140702 DRobichaud"/>
    <s v="20140705 DRobichaud"/>
    <s v="FW_Scan_20140702_dr.pdf"/>
    <n v="4"/>
    <n v="0"/>
    <n v="1"/>
    <n v="0"/>
    <n v="1"/>
    <n v="0"/>
    <n v="0"/>
    <n v="0"/>
    <n v="0"/>
    <n v="0"/>
    <n v="0"/>
    <n v="0"/>
    <n v="0"/>
    <n v="0"/>
    <n v="0"/>
    <n v="0"/>
    <n v="0"/>
    <n v="0"/>
    <n v="0"/>
    <n v="0"/>
  </r>
  <r>
    <x v="26"/>
    <x v="1"/>
    <s v="dr,qb"/>
    <d v="1899-12-30T18:55:00"/>
    <d v="1899-12-30T23:20:00"/>
    <m/>
    <n v="9"/>
    <m/>
    <m/>
    <n v="264.99999999999989"/>
    <n v="1"/>
    <m/>
    <n v="3"/>
    <n v="4"/>
    <n v="1"/>
    <m/>
    <m/>
    <n v="1"/>
    <m/>
    <m/>
    <m/>
    <m/>
    <n v="0"/>
    <m/>
    <m/>
    <m/>
    <n v="0"/>
    <m/>
    <m/>
    <m/>
    <n v="0"/>
    <m/>
    <m/>
    <m/>
    <m/>
    <n v="0"/>
    <m/>
    <m/>
    <m/>
    <m/>
    <m/>
    <m/>
    <m/>
    <n v="0"/>
    <m/>
    <m/>
    <s v="20140702 DRobichaud"/>
    <s v="20140705 DRobichaud"/>
    <s v="FW_Scan_20140702_dr.pdf"/>
    <n v="1"/>
    <n v="0"/>
    <n v="3"/>
    <n v="1"/>
    <n v="0"/>
    <n v="0"/>
    <n v="0"/>
    <n v="0"/>
    <n v="0"/>
    <n v="0"/>
    <n v="0"/>
    <n v="0"/>
    <n v="0"/>
    <n v="0"/>
    <n v="0"/>
    <n v="0"/>
    <n v="0"/>
    <n v="0"/>
    <n v="0"/>
    <n v="0"/>
  </r>
  <r>
    <x v="27"/>
    <x v="0"/>
    <s v="jg,csj"/>
    <d v="1899-12-30T05:30:00"/>
    <d v="1899-12-30T08:35:00"/>
    <n v="34"/>
    <n v="8"/>
    <m/>
    <m/>
    <n v="185.00000000000003"/>
    <n v="1"/>
    <m/>
    <m/>
    <n v="1"/>
    <m/>
    <m/>
    <m/>
    <n v="0"/>
    <m/>
    <m/>
    <m/>
    <m/>
    <n v="0"/>
    <m/>
    <m/>
    <m/>
    <n v="0"/>
    <m/>
    <m/>
    <m/>
    <n v="0"/>
    <m/>
    <m/>
    <m/>
    <m/>
    <n v="0"/>
    <m/>
    <m/>
    <m/>
    <m/>
    <m/>
    <m/>
    <m/>
    <n v="0"/>
    <m/>
    <m/>
    <s v="20140703 CSejkora"/>
    <s v="20140705 DRobichaud"/>
    <s v="FW_Scan_20140703_dr.pdf"/>
    <n v="1"/>
    <n v="0"/>
    <n v="0"/>
    <n v="0"/>
    <n v="0"/>
    <n v="0"/>
    <n v="0"/>
    <n v="0"/>
    <n v="0"/>
    <n v="0"/>
    <n v="0"/>
    <n v="0"/>
    <n v="0"/>
    <n v="0"/>
    <n v="0"/>
    <n v="0"/>
    <n v="0"/>
    <n v="0"/>
    <n v="0"/>
    <n v="0"/>
  </r>
  <r>
    <x v="27"/>
    <x v="0"/>
    <s v="wc,bk,qb"/>
    <d v="1899-12-30T08:35:00"/>
    <d v="1899-12-30T14:25:00"/>
    <n v="33"/>
    <n v="8"/>
    <m/>
    <m/>
    <n v="349.99999999999994"/>
    <m/>
    <m/>
    <m/>
    <n v="0"/>
    <m/>
    <n v="3"/>
    <m/>
    <n v="3"/>
    <m/>
    <m/>
    <m/>
    <m/>
    <n v="0"/>
    <m/>
    <m/>
    <m/>
    <n v="0"/>
    <m/>
    <m/>
    <m/>
    <n v="0"/>
    <m/>
    <m/>
    <m/>
    <m/>
    <n v="0"/>
    <n v="1"/>
    <m/>
    <m/>
    <m/>
    <m/>
    <m/>
    <m/>
    <n v="1"/>
    <s v="smolt 1 (CN or CO, 13 cm)"/>
    <m/>
    <s v="20140703 QBerger"/>
    <s v="20140705 DRobichaud"/>
    <s v="FW_Scan_20140703_dr.pdf"/>
    <n v="0"/>
    <n v="0"/>
    <n v="0"/>
    <n v="0"/>
    <n v="3"/>
    <n v="0"/>
    <n v="0"/>
    <n v="0"/>
    <n v="0"/>
    <n v="0"/>
    <n v="0"/>
    <n v="0"/>
    <n v="0"/>
    <n v="0"/>
    <n v="0"/>
    <n v="0"/>
    <n v="0"/>
    <n v="0"/>
    <n v="0"/>
    <n v="0"/>
  </r>
  <r>
    <x v="27"/>
    <x v="0"/>
    <s v="jg,la "/>
    <d v="1899-12-30T14:25:00"/>
    <d v="1899-12-30T17:03:00"/>
    <n v="33"/>
    <n v="8.5"/>
    <m/>
    <m/>
    <n v="158.00000000000009"/>
    <n v="2"/>
    <m/>
    <m/>
    <n v="2"/>
    <m/>
    <m/>
    <m/>
    <n v="0"/>
    <m/>
    <m/>
    <m/>
    <m/>
    <n v="0"/>
    <m/>
    <m/>
    <m/>
    <n v="0"/>
    <m/>
    <m/>
    <m/>
    <n v="0"/>
    <m/>
    <m/>
    <m/>
    <m/>
    <n v="0"/>
    <m/>
    <m/>
    <m/>
    <m/>
    <m/>
    <m/>
    <m/>
    <n v="0"/>
    <s v="raised wheel to mend/repair hole in net (LA,JG).  Bolt on the right side of the wheel is stripped and needs replacing.  Will inform AS."/>
    <m/>
    <s v="20140703 EGora"/>
    <s v="20140705 DRobichaud"/>
    <s v="FW_Scan_20140703_dr.pdf"/>
    <n v="2"/>
    <n v="0"/>
    <n v="0"/>
    <n v="0"/>
    <n v="0"/>
    <n v="0"/>
    <n v="0"/>
    <n v="0"/>
    <n v="0"/>
    <n v="0"/>
    <n v="0"/>
    <n v="0"/>
    <n v="0"/>
    <n v="0"/>
    <n v="0"/>
    <n v="0"/>
    <n v="0"/>
    <n v="0"/>
    <n v="0"/>
    <n v="0"/>
  </r>
  <r>
    <x v="27"/>
    <x v="0"/>
    <s v="jg,la,eg"/>
    <d v="1899-12-30T17:32:00"/>
    <d v="1899-12-30T18:00:00"/>
    <n v="37"/>
    <n v="8.5"/>
    <m/>
    <m/>
    <n v="27.999999999999901"/>
    <m/>
    <m/>
    <m/>
    <n v="0"/>
    <m/>
    <m/>
    <m/>
    <n v="0"/>
    <m/>
    <m/>
    <m/>
    <m/>
    <n v="0"/>
    <m/>
    <m/>
    <m/>
    <n v="0"/>
    <m/>
    <m/>
    <m/>
    <n v="0"/>
    <m/>
    <m/>
    <m/>
    <m/>
    <n v="0"/>
    <m/>
    <m/>
    <m/>
    <m/>
    <m/>
    <m/>
    <m/>
    <n v="0"/>
    <m/>
    <m/>
    <s v="20140703 EGora"/>
    <s v="20140705 DRobichaud"/>
    <s v="FW_Scan_20140703_dr.pdf"/>
    <n v="0"/>
    <n v="0"/>
    <n v="0"/>
    <n v="0"/>
    <n v="0"/>
    <n v="0"/>
    <n v="0"/>
    <n v="0"/>
    <n v="0"/>
    <n v="0"/>
    <n v="0"/>
    <n v="0"/>
    <n v="0"/>
    <n v="0"/>
    <n v="0"/>
    <n v="0"/>
    <n v="0"/>
    <n v="0"/>
    <n v="0"/>
    <n v="0"/>
  </r>
  <r>
    <x v="27"/>
    <x v="0"/>
    <s v="as,hr,jk"/>
    <d v="1899-12-30T18:00:00"/>
    <d v="1899-12-31T00:00:00"/>
    <n v="36"/>
    <n v="9"/>
    <m/>
    <m/>
    <n v="360"/>
    <m/>
    <m/>
    <m/>
    <n v="0"/>
    <m/>
    <n v="1"/>
    <m/>
    <n v="1"/>
    <n v="1"/>
    <m/>
    <m/>
    <m/>
    <n v="1"/>
    <m/>
    <m/>
    <m/>
    <n v="0"/>
    <m/>
    <m/>
    <m/>
    <n v="0"/>
    <m/>
    <m/>
    <m/>
    <m/>
    <n v="0"/>
    <m/>
    <m/>
    <m/>
    <m/>
    <m/>
    <m/>
    <m/>
    <n v="0"/>
    <s v="moved wheel out.  Left wheel fishing overnight."/>
    <m/>
    <s v="20140703 AStephens"/>
    <s v="20140705 DRobichaud"/>
    <s v="FW_Scan_20140703_dr.pdf"/>
    <n v="0"/>
    <n v="0"/>
    <n v="0"/>
    <n v="0"/>
    <n v="1"/>
    <n v="0"/>
    <n v="1"/>
    <n v="0"/>
    <n v="0"/>
    <n v="0"/>
    <n v="0"/>
    <n v="0"/>
    <n v="0"/>
    <n v="0"/>
    <n v="0"/>
    <n v="0"/>
    <n v="0"/>
    <n v="0"/>
    <n v="0"/>
    <n v="0"/>
  </r>
  <r>
    <x v="27"/>
    <x v="2"/>
    <s v="jg,csj"/>
    <d v="1899-12-30T06:05:00"/>
    <d v="1899-12-30T08:00:00"/>
    <n v="29"/>
    <n v="10"/>
    <m/>
    <m/>
    <n v="114.99999999999999"/>
    <m/>
    <m/>
    <m/>
    <n v="0"/>
    <m/>
    <m/>
    <m/>
    <n v="0"/>
    <m/>
    <m/>
    <m/>
    <m/>
    <n v="0"/>
    <m/>
    <m/>
    <m/>
    <n v="0"/>
    <m/>
    <m/>
    <m/>
    <n v="0"/>
    <m/>
    <m/>
    <m/>
    <m/>
    <n v="0"/>
    <m/>
    <m/>
    <m/>
    <m/>
    <m/>
    <m/>
    <m/>
    <n v="0"/>
    <s v="no fish :("/>
    <m/>
    <s v="20140703 JGraham"/>
    <s v="20140705 DRobichaud"/>
    <s v="FW_Scan_20140703_dr.pdf"/>
    <n v="0"/>
    <n v="0"/>
    <n v="0"/>
    <n v="0"/>
    <n v="0"/>
    <n v="0"/>
    <n v="0"/>
    <n v="0"/>
    <n v="0"/>
    <n v="0"/>
    <n v="0"/>
    <n v="0"/>
    <n v="0"/>
    <n v="0"/>
    <n v="0"/>
    <n v="0"/>
    <n v="0"/>
    <n v="0"/>
    <n v="0"/>
    <n v="0"/>
  </r>
  <r>
    <x v="27"/>
    <x v="2"/>
    <s v="wc,bk,qb"/>
    <d v="1899-12-30T08:00:00"/>
    <d v="1899-12-30T14:16:00"/>
    <n v="28"/>
    <n v="11"/>
    <m/>
    <m/>
    <n v="376.00000000000006"/>
    <n v="1"/>
    <m/>
    <m/>
    <n v="1"/>
    <m/>
    <n v="2"/>
    <m/>
    <n v="2"/>
    <m/>
    <m/>
    <m/>
    <m/>
    <n v="0"/>
    <m/>
    <m/>
    <m/>
    <n v="0"/>
    <m/>
    <m/>
    <m/>
    <n v="0"/>
    <m/>
    <m/>
    <m/>
    <m/>
    <n v="0"/>
    <m/>
    <m/>
    <m/>
    <n v="1"/>
    <m/>
    <m/>
    <m/>
    <n v="1"/>
    <m/>
    <m/>
    <s v="20140703 QBerger"/>
    <s v="20140705 DRobichaud"/>
    <s v="FW_Scan_20140703_dr.pdf"/>
    <n v="1"/>
    <n v="0"/>
    <n v="0"/>
    <n v="0"/>
    <n v="2"/>
    <n v="0"/>
    <n v="0"/>
    <n v="0"/>
    <n v="0"/>
    <n v="0"/>
    <n v="0"/>
    <n v="0"/>
    <n v="0"/>
    <n v="0"/>
    <n v="0"/>
    <n v="0"/>
    <n v="0"/>
    <n v="0"/>
    <n v="0"/>
    <n v="0"/>
  </r>
  <r>
    <x v="27"/>
    <x v="2"/>
    <s v="la,jg"/>
    <d v="1899-12-30T14:16:00"/>
    <d v="1899-12-30T18:35:00"/>
    <n v="30"/>
    <n v="11"/>
    <m/>
    <m/>
    <n v="258.99999999999989"/>
    <m/>
    <m/>
    <m/>
    <n v="0"/>
    <m/>
    <m/>
    <m/>
    <n v="0"/>
    <m/>
    <m/>
    <m/>
    <m/>
    <n v="0"/>
    <m/>
    <m/>
    <m/>
    <n v="0"/>
    <m/>
    <m/>
    <m/>
    <n v="0"/>
    <m/>
    <m/>
    <m/>
    <m/>
    <n v="0"/>
    <m/>
    <m/>
    <m/>
    <m/>
    <m/>
    <m/>
    <m/>
    <n v="0"/>
    <s v="stopped fishwheel to mend hole in the net on the left side.  EG 7/3/14.  Winch on left side stopped working.  Net was mended;wheel remained half up.  Informed AS."/>
    <m/>
    <s v="20140703 EGora"/>
    <s v="20140705 DRobichaud"/>
    <s v="FW_Scan_20140703_dr.pdf"/>
    <n v="0"/>
    <n v="0"/>
    <n v="0"/>
    <n v="0"/>
    <n v="0"/>
    <n v="0"/>
    <n v="0"/>
    <n v="0"/>
    <n v="0"/>
    <n v="0"/>
    <n v="0"/>
    <n v="0"/>
    <n v="0"/>
    <n v="0"/>
    <n v="0"/>
    <n v="0"/>
    <n v="0"/>
    <n v="0"/>
    <n v="0"/>
    <n v="0"/>
  </r>
  <r>
    <x v="27"/>
    <x v="2"/>
    <s v="as,jk"/>
    <d v="1899-12-30T18:35:00"/>
    <d v="1899-12-30T23:50:00"/>
    <n v="30"/>
    <n v="11"/>
    <m/>
    <m/>
    <n v="315"/>
    <n v="1"/>
    <m/>
    <m/>
    <n v="1"/>
    <m/>
    <m/>
    <m/>
    <n v="0"/>
    <m/>
    <m/>
    <m/>
    <m/>
    <n v="0"/>
    <m/>
    <m/>
    <m/>
    <n v="0"/>
    <m/>
    <m/>
    <m/>
    <n v="0"/>
    <m/>
    <m/>
    <m/>
    <m/>
    <n v="0"/>
    <m/>
    <m/>
    <m/>
    <m/>
    <m/>
    <m/>
    <m/>
    <n v="0"/>
    <s v="wheel winch on P side is broken.  Wheel half way up.  Tied off."/>
    <m/>
    <s v="20140703 AStephens"/>
    <s v="20140705 DRobichaud"/>
    <s v="FW_Scan_20140703_dr.pdf"/>
    <n v="1"/>
    <n v="0"/>
    <n v="0"/>
    <n v="0"/>
    <n v="0"/>
    <n v="0"/>
    <n v="0"/>
    <n v="0"/>
    <n v="0"/>
    <n v="0"/>
    <n v="0"/>
    <n v="0"/>
    <n v="0"/>
    <n v="0"/>
    <n v="0"/>
    <n v="0"/>
    <n v="0"/>
    <n v="0"/>
    <n v="0"/>
    <n v="0"/>
  </r>
  <r>
    <x v="27"/>
    <x v="1"/>
    <s v="la,dj"/>
    <d v="1899-12-30T05:45:00"/>
    <d v="1899-12-30T08:50:00"/>
    <n v="35"/>
    <n v="10"/>
    <m/>
    <m/>
    <n v="185.00000000000003"/>
    <n v="2"/>
    <n v="1"/>
    <m/>
    <n v="3"/>
    <m/>
    <m/>
    <m/>
    <n v="0"/>
    <m/>
    <m/>
    <m/>
    <m/>
    <n v="0"/>
    <m/>
    <m/>
    <m/>
    <n v="0"/>
    <m/>
    <m/>
    <m/>
    <n v="0"/>
    <m/>
    <m/>
    <m/>
    <m/>
    <n v="0"/>
    <m/>
    <m/>
    <m/>
    <m/>
    <m/>
    <m/>
    <m/>
    <n v="0"/>
    <s v="wheel stopped at 8:50 due to debris damage."/>
    <m/>
    <s v="20140703 LAckein"/>
    <s v="20140705 DRobichaud"/>
    <s v="FW_Scan_20140703_dr.pdf"/>
    <n v="2"/>
    <n v="1"/>
    <n v="0"/>
    <n v="0"/>
    <n v="0"/>
    <n v="0"/>
    <n v="0"/>
    <n v="0"/>
    <n v="0"/>
    <n v="0"/>
    <n v="0"/>
    <n v="0"/>
    <n v="0"/>
    <n v="0"/>
    <n v="0"/>
    <n v="0"/>
    <n v="0"/>
    <n v="0"/>
    <n v="0"/>
    <n v="0"/>
  </r>
  <r>
    <x v="27"/>
    <x v="1"/>
    <s v="dr,jk"/>
    <d v="1899-12-30T12:36:00"/>
    <d v="1899-12-30T14:25:00"/>
    <n v="31"/>
    <n v="11"/>
    <m/>
    <m/>
    <n v="98.999999999999929"/>
    <n v="2"/>
    <m/>
    <m/>
    <n v="2"/>
    <m/>
    <m/>
    <m/>
    <n v="0"/>
    <m/>
    <m/>
    <m/>
    <m/>
    <n v="0"/>
    <m/>
    <m/>
    <m/>
    <n v="0"/>
    <m/>
    <m/>
    <m/>
    <n v="0"/>
    <m/>
    <m/>
    <m/>
    <m/>
    <n v="0"/>
    <m/>
    <m/>
    <m/>
    <m/>
    <m/>
    <m/>
    <m/>
    <n v="0"/>
    <s v="fishwheel stopeed when arrived at site, adjusted spar poles.  Repaired live tank boards."/>
    <s v="wheel stopped 14:00-14:10 for net mending."/>
    <s v="20140703 DRobichaud "/>
    <s v="20140705 DRobichaud"/>
    <s v="FW_Scan_20140703_dr.pdf"/>
    <n v="2"/>
    <n v="0"/>
    <n v="0"/>
    <n v="0"/>
    <n v="0"/>
    <n v="0"/>
    <n v="0"/>
    <n v="0"/>
    <n v="0"/>
    <n v="0"/>
    <n v="0"/>
    <n v="0"/>
    <n v="0"/>
    <n v="0"/>
    <n v="0"/>
    <n v="0"/>
    <n v="0"/>
    <n v="0"/>
    <n v="0"/>
    <n v="0"/>
  </r>
  <r>
    <x v="27"/>
    <x v="1"/>
    <s v="dj,csj"/>
    <d v="1899-12-30T14:25:00"/>
    <d v="1899-12-30T18:40:00"/>
    <n v="30"/>
    <n v="10.5"/>
    <m/>
    <m/>
    <n v="255.00000000000006"/>
    <n v="2"/>
    <m/>
    <m/>
    <n v="2"/>
    <m/>
    <m/>
    <m/>
    <n v="0"/>
    <m/>
    <m/>
    <m/>
    <m/>
    <n v="0"/>
    <m/>
    <m/>
    <m/>
    <n v="0"/>
    <m/>
    <m/>
    <m/>
    <n v="0"/>
    <m/>
    <m/>
    <m/>
    <m/>
    <n v="0"/>
    <m/>
    <m/>
    <m/>
    <m/>
    <m/>
    <m/>
    <m/>
    <n v="0"/>
    <m/>
    <m/>
    <s v="20140703 CSejkora"/>
    <s v="20140705 DRobichaud"/>
    <s v="FW_Scan_20140703_dr.pdf"/>
    <n v="2"/>
    <n v="0"/>
    <n v="0"/>
    <n v="0"/>
    <n v="0"/>
    <n v="0"/>
    <n v="0"/>
    <n v="0"/>
    <n v="0"/>
    <n v="0"/>
    <n v="0"/>
    <n v="0"/>
    <n v="0"/>
    <n v="0"/>
    <n v="0"/>
    <n v="0"/>
    <n v="0"/>
    <n v="0"/>
    <n v="0"/>
    <n v="0"/>
  </r>
  <r>
    <x v="27"/>
    <x v="1"/>
    <s v="bk,qb"/>
    <d v="1899-12-30T18:40:00"/>
    <d v="1899-12-31T00:00:00"/>
    <n v="32"/>
    <n v="10"/>
    <m/>
    <m/>
    <n v="260"/>
    <n v="3"/>
    <m/>
    <m/>
    <n v="3"/>
    <m/>
    <n v="1"/>
    <m/>
    <n v="1"/>
    <m/>
    <m/>
    <m/>
    <m/>
    <n v="0"/>
    <m/>
    <m/>
    <m/>
    <n v="0"/>
    <m/>
    <m/>
    <m/>
    <n v="0"/>
    <m/>
    <m/>
    <m/>
    <m/>
    <n v="0"/>
    <m/>
    <m/>
    <m/>
    <m/>
    <m/>
    <m/>
    <m/>
    <n v="0"/>
    <s v="wheel jammed at ~2300.  Restarted 00:43. wheel fishing overnight."/>
    <m/>
    <s v="20140703 BKalb"/>
    <s v="20140705 DRobichaud"/>
    <s v="FW_Scan_20140703_dr.pdf"/>
    <n v="3"/>
    <n v="0"/>
    <n v="0"/>
    <n v="0"/>
    <n v="1"/>
    <n v="0"/>
    <n v="0"/>
    <n v="0"/>
    <n v="0"/>
    <n v="0"/>
    <n v="0"/>
    <n v="0"/>
    <n v="0"/>
    <n v="0"/>
    <n v="0"/>
    <n v="0"/>
    <n v="0"/>
    <n v="0"/>
    <n v="0"/>
    <n v="0"/>
  </r>
  <r>
    <x v="28"/>
    <x v="0"/>
    <s v="hr,la,csj"/>
    <d v="1899-12-30T00:00:00"/>
    <d v="1899-12-30T09:50:00"/>
    <n v="32"/>
    <n v="9"/>
    <m/>
    <m/>
    <n v="590"/>
    <m/>
    <m/>
    <m/>
    <n v="0"/>
    <n v="1"/>
    <m/>
    <m/>
    <n v="1"/>
    <m/>
    <m/>
    <m/>
    <m/>
    <n v="0"/>
    <m/>
    <m/>
    <m/>
    <n v="0"/>
    <m/>
    <m/>
    <m/>
    <n v="0"/>
    <m/>
    <m/>
    <m/>
    <m/>
    <n v="0"/>
    <m/>
    <m/>
    <m/>
    <m/>
    <m/>
    <m/>
    <m/>
    <n v="0"/>
    <s v="5:30 arrived to check overnight catch, baskets hitting hard on bottom, still spinning. "/>
    <m/>
    <s v="20140704 LAckein"/>
    <s v="20140707 LFerreira"/>
    <s v="FW_Scan_20140704.pdf"/>
    <n v="0"/>
    <n v="0"/>
    <n v="0"/>
    <n v="1"/>
    <n v="0"/>
    <n v="0"/>
    <n v="0"/>
    <n v="0"/>
    <n v="0"/>
    <n v="0"/>
    <n v="0"/>
    <n v="0"/>
    <n v="0"/>
    <n v="0"/>
    <n v="0"/>
    <n v="0"/>
    <n v="0"/>
    <n v="0"/>
    <n v="0"/>
    <n v="0"/>
  </r>
  <r>
    <x v="28"/>
    <x v="0"/>
    <s v="eg,qb"/>
    <d v="1899-12-30T09:50:00"/>
    <d v="1899-12-30T14:20:00"/>
    <n v="32"/>
    <n v="9"/>
    <m/>
    <m/>
    <n v="203"/>
    <m/>
    <m/>
    <m/>
    <n v="0"/>
    <m/>
    <m/>
    <m/>
    <n v="0"/>
    <m/>
    <m/>
    <m/>
    <m/>
    <n v="0"/>
    <m/>
    <m/>
    <m/>
    <n v="0"/>
    <m/>
    <m/>
    <m/>
    <n v="0"/>
    <m/>
    <m/>
    <m/>
    <m/>
    <n v="0"/>
    <m/>
    <m/>
    <m/>
    <m/>
    <m/>
    <m/>
    <m/>
    <n v="0"/>
    <s v="raised wheel to change location of the wheel 10:45;wheel started at 11:52 EG 7/4/14 new rev 30"/>
    <m/>
    <s v="20140707 LFerreira"/>
    <s v="20140707 LFerreira"/>
    <s v="FW_Scan_20140704.pdf"/>
    <n v="0"/>
    <n v="0"/>
    <n v="0"/>
    <n v="0"/>
    <n v="0"/>
    <n v="0"/>
    <n v="0"/>
    <n v="0"/>
    <n v="0"/>
    <n v="0"/>
    <n v="0"/>
    <n v="0"/>
    <n v="0"/>
    <n v="0"/>
    <n v="0"/>
    <n v="0"/>
    <n v="0"/>
    <n v="0"/>
    <n v="0"/>
    <n v="0"/>
  </r>
  <r>
    <x v="28"/>
    <x v="0"/>
    <s v="hr,la,jb,as"/>
    <d v="1899-12-30T14:20:00"/>
    <d v="1899-12-30T18:54:00"/>
    <n v="36"/>
    <n v="10"/>
    <m/>
    <m/>
    <n v="274"/>
    <n v="4"/>
    <m/>
    <m/>
    <n v="4"/>
    <n v="1"/>
    <n v="1"/>
    <m/>
    <n v="2"/>
    <m/>
    <m/>
    <m/>
    <m/>
    <n v="0"/>
    <m/>
    <m/>
    <m/>
    <n v="0"/>
    <m/>
    <m/>
    <m/>
    <n v="0"/>
    <m/>
    <m/>
    <m/>
    <m/>
    <n v="0"/>
    <m/>
    <m/>
    <m/>
    <m/>
    <m/>
    <m/>
    <m/>
    <n v="0"/>
    <s v="when arrived @ 14:30 wheel was not spinning-unknown duration of no fishing effort."/>
    <m/>
    <s v="20140704 JBerry"/>
    <s v="20140707 LFerreira"/>
    <s v="FW_Scan_20140704.pdf"/>
    <n v="4"/>
    <n v="0"/>
    <n v="0"/>
    <n v="1"/>
    <n v="1"/>
    <n v="0"/>
    <n v="0"/>
    <n v="0"/>
    <n v="0"/>
    <n v="0"/>
    <n v="0"/>
    <n v="0"/>
    <n v="0"/>
    <n v="0"/>
    <n v="0"/>
    <n v="0"/>
    <n v="0"/>
    <n v="0"/>
    <n v="0"/>
    <n v="0"/>
  </r>
  <r>
    <x v="28"/>
    <x v="0"/>
    <s v="eg,as,lf"/>
    <d v="1899-12-30T18:54:00"/>
    <d v="1899-12-30T23:47:00"/>
    <n v="38"/>
    <n v="11"/>
    <m/>
    <m/>
    <n v="293.00000000000006"/>
    <n v="6"/>
    <m/>
    <m/>
    <n v="6"/>
    <m/>
    <m/>
    <m/>
    <n v="0"/>
    <m/>
    <m/>
    <m/>
    <m/>
    <n v="0"/>
    <m/>
    <m/>
    <m/>
    <n v="0"/>
    <m/>
    <m/>
    <m/>
    <n v="0"/>
    <m/>
    <m/>
    <m/>
    <m/>
    <n v="0"/>
    <m/>
    <m/>
    <m/>
    <m/>
    <m/>
    <m/>
    <m/>
    <n v="0"/>
    <s v="fishwheel fishing overnight"/>
    <m/>
    <s v="20140704 EGora"/>
    <s v="20140707 LFerreira"/>
    <s v="FW_Scan_20140704.pdf"/>
    <n v="6"/>
    <n v="0"/>
    <n v="0"/>
    <n v="0"/>
    <n v="0"/>
    <n v="0"/>
    <n v="0"/>
    <n v="0"/>
    <n v="0"/>
    <n v="0"/>
    <n v="0"/>
    <n v="0"/>
    <n v="0"/>
    <n v="0"/>
    <n v="0"/>
    <n v="0"/>
    <n v="0"/>
    <n v="0"/>
    <n v="0"/>
    <n v="0"/>
  </r>
  <r>
    <x v="28"/>
    <x v="0"/>
    <s v="eg,as,lf"/>
    <d v="1899-12-30T23:47:00"/>
    <d v="1899-12-31T00:00:00"/>
    <n v="36"/>
    <n v="11"/>
    <m/>
    <m/>
    <n v="12.999999999999954"/>
    <m/>
    <m/>
    <m/>
    <n v="0"/>
    <m/>
    <m/>
    <m/>
    <n v="0"/>
    <m/>
    <m/>
    <m/>
    <m/>
    <n v="0"/>
    <m/>
    <m/>
    <m/>
    <n v="0"/>
    <m/>
    <m/>
    <m/>
    <n v="0"/>
    <m/>
    <m/>
    <m/>
    <m/>
    <n v="0"/>
    <m/>
    <m/>
    <m/>
    <m/>
    <m/>
    <m/>
    <m/>
    <n v="0"/>
    <s v="fishwheel fishing overnight"/>
    <m/>
    <s v="20140706 AStephens"/>
    <s v="20140707 LFerreira"/>
    <s v="FW_Scan_20140704.pdf"/>
    <n v="0"/>
    <n v="0"/>
    <n v="0"/>
    <n v="0"/>
    <n v="0"/>
    <n v="0"/>
    <n v="0"/>
    <n v="0"/>
    <n v="0"/>
    <n v="0"/>
    <n v="0"/>
    <n v="0"/>
    <n v="0"/>
    <n v="0"/>
    <n v="0"/>
    <n v="0"/>
    <n v="0"/>
    <n v="0"/>
    <n v="0"/>
    <n v="0"/>
  </r>
  <r>
    <x v="28"/>
    <x v="2"/>
    <s v="hr,jb"/>
    <d v="1899-12-30T14:13:00"/>
    <d v="1899-12-30T18:28:00"/>
    <n v="34"/>
    <n v="14"/>
    <m/>
    <m/>
    <n v="254.99999999999989"/>
    <m/>
    <m/>
    <m/>
    <n v="0"/>
    <m/>
    <m/>
    <m/>
    <n v="0"/>
    <m/>
    <m/>
    <m/>
    <m/>
    <n v="0"/>
    <m/>
    <m/>
    <m/>
    <n v="0"/>
    <m/>
    <m/>
    <m/>
    <n v="0"/>
    <m/>
    <m/>
    <m/>
    <m/>
    <n v="0"/>
    <m/>
    <m/>
    <m/>
    <m/>
    <m/>
    <m/>
    <m/>
    <n v="0"/>
    <s v="fishwheel down for repair until 14:13 today AS."/>
    <m/>
    <s v="20140704 JBerry"/>
    <s v="20140707 LFerreira"/>
    <s v="FW_Scan_20140704.pdf"/>
    <n v="0"/>
    <n v="0"/>
    <n v="0"/>
    <n v="0"/>
    <n v="0"/>
    <n v="0"/>
    <n v="0"/>
    <n v="0"/>
    <n v="0"/>
    <n v="0"/>
    <n v="0"/>
    <n v="0"/>
    <n v="0"/>
    <n v="0"/>
    <n v="0"/>
    <n v="0"/>
    <n v="0"/>
    <n v="0"/>
    <n v="0"/>
    <n v="0"/>
  </r>
  <r>
    <x v="28"/>
    <x v="2"/>
    <s v="eg,as,lf"/>
    <d v="1899-12-30T18:28:00"/>
    <d v="1899-12-30T23:15:00"/>
    <n v="37"/>
    <n v="13"/>
    <m/>
    <m/>
    <n v="287.00000000000011"/>
    <n v="1"/>
    <m/>
    <m/>
    <n v="1"/>
    <m/>
    <m/>
    <m/>
    <n v="0"/>
    <m/>
    <m/>
    <m/>
    <m/>
    <n v="0"/>
    <m/>
    <m/>
    <m/>
    <n v="0"/>
    <m/>
    <m/>
    <m/>
    <n v="0"/>
    <m/>
    <m/>
    <m/>
    <m/>
    <n v="0"/>
    <m/>
    <m/>
    <n v="1"/>
    <m/>
    <m/>
    <m/>
    <m/>
    <n v="1"/>
    <s v="fishing overnight."/>
    <m/>
    <s v="20140704 EGora"/>
    <s v="20140707 LFerreira"/>
    <s v="FW_Scan_20140704.pdf"/>
    <n v="1"/>
    <n v="0"/>
    <n v="0"/>
    <n v="0"/>
    <n v="0"/>
    <n v="0"/>
    <n v="0"/>
    <n v="0"/>
    <n v="0"/>
    <n v="0"/>
    <n v="0"/>
    <n v="0"/>
    <n v="0"/>
    <n v="0"/>
    <n v="0"/>
    <n v="0"/>
    <n v="0"/>
    <n v="0"/>
    <n v="0"/>
    <n v="0"/>
  </r>
  <r>
    <x v="28"/>
    <x v="2"/>
    <s v="eg,as,lf"/>
    <d v="1899-12-30T23:15:00"/>
    <d v="1899-12-31T00:00:00"/>
    <n v="37"/>
    <n v="13"/>
    <m/>
    <m/>
    <n v="45"/>
    <m/>
    <m/>
    <m/>
    <n v="0"/>
    <m/>
    <m/>
    <m/>
    <n v="0"/>
    <m/>
    <m/>
    <m/>
    <m/>
    <n v="0"/>
    <m/>
    <m/>
    <m/>
    <n v="0"/>
    <m/>
    <m/>
    <m/>
    <n v="0"/>
    <m/>
    <m/>
    <m/>
    <m/>
    <n v="0"/>
    <m/>
    <m/>
    <m/>
    <m/>
    <m/>
    <m/>
    <m/>
    <n v="0"/>
    <s v="fishing overnight."/>
    <m/>
    <s v="20140706 AStephens"/>
    <s v="20140707 LFerreira"/>
    <s v="FW_Scan_20140704.pdf"/>
    <n v="0"/>
    <n v="0"/>
    <n v="0"/>
    <n v="0"/>
    <n v="0"/>
    <n v="0"/>
    <n v="0"/>
    <n v="0"/>
    <n v="0"/>
    <n v="0"/>
    <n v="0"/>
    <n v="0"/>
    <n v="0"/>
    <n v="0"/>
    <n v="0"/>
    <n v="0"/>
    <n v="0"/>
    <n v="0"/>
    <n v="0"/>
    <n v="0"/>
  </r>
  <r>
    <x v="28"/>
    <x v="1"/>
    <s v="dj,jg"/>
    <d v="1899-12-30T00:43:00"/>
    <d v="1899-12-30T09:47:00"/>
    <n v="34"/>
    <n v="10"/>
    <m/>
    <m/>
    <n v="544"/>
    <n v="2"/>
    <m/>
    <n v="1"/>
    <n v="3"/>
    <m/>
    <m/>
    <m/>
    <n v="0"/>
    <m/>
    <m/>
    <m/>
    <m/>
    <n v="0"/>
    <m/>
    <m/>
    <m/>
    <n v="0"/>
    <m/>
    <m/>
    <m/>
    <n v="0"/>
    <m/>
    <m/>
    <m/>
    <m/>
    <n v="0"/>
    <m/>
    <m/>
    <m/>
    <m/>
    <m/>
    <m/>
    <m/>
    <n v="0"/>
    <m/>
    <m/>
    <s v="20140704 DJohnson"/>
    <s v="20140707 LFerreira"/>
    <s v="FW_Scan_20140704.pdf"/>
    <n v="2"/>
    <n v="0"/>
    <n v="1"/>
    <n v="0"/>
    <n v="0"/>
    <n v="0"/>
    <n v="0"/>
    <n v="0"/>
    <n v="0"/>
    <n v="0"/>
    <n v="0"/>
    <n v="0"/>
    <n v="0"/>
    <n v="0"/>
    <n v="0"/>
    <n v="0"/>
    <n v="0"/>
    <n v="0"/>
    <n v="0"/>
    <n v="0"/>
  </r>
  <r>
    <x v="28"/>
    <x v="1"/>
    <s v="bk,jk"/>
    <d v="1899-12-30T09:47:00"/>
    <d v="1899-12-30T14:20:00"/>
    <n v="33"/>
    <n v="10"/>
    <m/>
    <m/>
    <n v="273"/>
    <n v="2"/>
    <m/>
    <m/>
    <n v="2"/>
    <m/>
    <n v="5"/>
    <m/>
    <n v="5"/>
    <m/>
    <m/>
    <m/>
    <m/>
    <n v="0"/>
    <m/>
    <m/>
    <m/>
    <n v="0"/>
    <m/>
    <m/>
    <m/>
    <n v="0"/>
    <m/>
    <m/>
    <m/>
    <m/>
    <n v="0"/>
    <m/>
    <m/>
    <m/>
    <m/>
    <m/>
    <n v="1"/>
    <m/>
    <n v="1"/>
    <s v="greased winches and towers"/>
    <s v="1 cnj, no bio too small to tag."/>
    <s v="20140704 JKunzler"/>
    <s v="20140707 LFerreira"/>
    <s v="FW_Scan_20140704.pdf"/>
    <n v="2"/>
    <n v="0"/>
    <n v="0"/>
    <n v="0"/>
    <n v="5"/>
    <n v="0"/>
    <n v="0"/>
    <n v="0"/>
    <n v="0"/>
    <n v="0"/>
    <n v="0"/>
    <n v="0"/>
    <n v="0"/>
    <n v="0"/>
    <n v="0"/>
    <n v="0"/>
    <n v="0"/>
    <n v="0"/>
    <n v="0"/>
    <n v="0"/>
  </r>
  <r>
    <x v="28"/>
    <x v="1"/>
    <s v="jg,dj"/>
    <d v="1899-12-30T14:20:00"/>
    <d v="1899-12-30T18:48:00"/>
    <n v="36"/>
    <n v="12"/>
    <m/>
    <m/>
    <n v="268"/>
    <n v="3"/>
    <n v="1"/>
    <m/>
    <n v="4"/>
    <m/>
    <m/>
    <m/>
    <n v="0"/>
    <m/>
    <m/>
    <m/>
    <m/>
    <n v="0"/>
    <m/>
    <m/>
    <m/>
    <n v="0"/>
    <m/>
    <m/>
    <m/>
    <n v="0"/>
    <m/>
    <m/>
    <m/>
    <m/>
    <n v="0"/>
    <n v="2"/>
    <m/>
    <m/>
    <m/>
    <m/>
    <m/>
    <m/>
    <n v="2"/>
    <m/>
    <m/>
    <s v="20140704 DJohnson"/>
    <s v="20140707 LFerreira"/>
    <s v="FW_Scan_20140704.pdf"/>
    <n v="3"/>
    <n v="1"/>
    <n v="0"/>
    <n v="0"/>
    <n v="0"/>
    <n v="0"/>
    <n v="0"/>
    <n v="0"/>
    <n v="0"/>
    <n v="0"/>
    <n v="0"/>
    <n v="0"/>
    <n v="0"/>
    <n v="0"/>
    <n v="0"/>
    <n v="0"/>
    <n v="0"/>
    <n v="0"/>
    <n v="0"/>
    <n v="0"/>
  </r>
  <r>
    <x v="28"/>
    <x v="1"/>
    <s v="jk,qb"/>
    <d v="1899-12-30T18:48:00"/>
    <d v="1899-12-30T23:30:00"/>
    <n v="36"/>
    <n v="12"/>
    <m/>
    <m/>
    <n v="281.99999999999994"/>
    <n v="10"/>
    <m/>
    <m/>
    <n v="10"/>
    <m/>
    <m/>
    <m/>
    <n v="0"/>
    <m/>
    <m/>
    <m/>
    <m/>
    <n v="0"/>
    <m/>
    <m/>
    <m/>
    <n v="0"/>
    <m/>
    <m/>
    <m/>
    <n v="0"/>
    <m/>
    <m/>
    <m/>
    <m/>
    <n v="0"/>
    <n v="1"/>
    <m/>
    <n v="1"/>
    <m/>
    <m/>
    <m/>
    <m/>
    <n v="2"/>
    <s v="fishwheel fishing overnight"/>
    <s v="CN landed in bin when wer leaving fishwheel.  CN total 10"/>
    <s v="20140704 JKunzler"/>
    <s v="20140707 LFerreira"/>
    <s v="FW_Scan_20140704.pdf"/>
    <n v="10"/>
    <n v="0"/>
    <n v="0"/>
    <n v="0"/>
    <n v="0"/>
    <n v="0"/>
    <n v="0"/>
    <n v="0"/>
    <n v="0"/>
    <n v="0"/>
    <n v="0"/>
    <n v="0"/>
    <n v="0"/>
    <n v="0"/>
    <n v="0"/>
    <n v="0"/>
    <n v="0"/>
    <n v="0"/>
    <n v="0"/>
    <n v="0"/>
  </r>
  <r>
    <x v="28"/>
    <x v="1"/>
    <s v="jk,qb"/>
    <d v="1899-12-30T23:30:00"/>
    <d v="1899-12-31T00:00:00"/>
    <n v="36"/>
    <n v="12"/>
    <m/>
    <m/>
    <n v="30.000000000000053"/>
    <m/>
    <m/>
    <m/>
    <n v="0"/>
    <m/>
    <m/>
    <m/>
    <n v="0"/>
    <m/>
    <m/>
    <m/>
    <m/>
    <n v="0"/>
    <m/>
    <m/>
    <m/>
    <n v="0"/>
    <m/>
    <m/>
    <m/>
    <n v="0"/>
    <m/>
    <m/>
    <m/>
    <m/>
    <n v="0"/>
    <m/>
    <m/>
    <m/>
    <m/>
    <m/>
    <m/>
    <m/>
    <n v="0"/>
    <s v="fishwheel fishing overnight"/>
    <m/>
    <s v="20140706 AStephens"/>
    <s v="20140707 LFerreira"/>
    <s v="FW_Scan_20140704.pdf"/>
    <n v="0"/>
    <n v="0"/>
    <n v="0"/>
    <n v="0"/>
    <n v="0"/>
    <n v="0"/>
    <n v="0"/>
    <n v="0"/>
    <n v="0"/>
    <n v="0"/>
    <n v="0"/>
    <n v="0"/>
    <n v="0"/>
    <n v="0"/>
    <n v="0"/>
    <n v="0"/>
    <n v="0"/>
    <n v="0"/>
    <n v="0"/>
    <n v="0"/>
  </r>
  <r>
    <x v="29"/>
    <x v="0"/>
    <s v="jb,hr"/>
    <d v="1899-12-30T00:00:00"/>
    <d v="1899-12-30T10:00:00"/>
    <n v="38"/>
    <n v="11"/>
    <m/>
    <m/>
    <n v="600"/>
    <n v="3"/>
    <m/>
    <m/>
    <n v="3"/>
    <m/>
    <n v="2"/>
    <m/>
    <n v="2"/>
    <m/>
    <m/>
    <m/>
    <m/>
    <n v="0"/>
    <m/>
    <m/>
    <m/>
    <n v="0"/>
    <m/>
    <m/>
    <m/>
    <n v="0"/>
    <m/>
    <m/>
    <m/>
    <m/>
    <n v="0"/>
    <m/>
    <m/>
    <m/>
    <m/>
    <m/>
    <m/>
    <m/>
    <n v="0"/>
    <m/>
    <m/>
    <s v="20140705 HReider"/>
    <s v="20140707 LFerreira"/>
    <s v="FW_Scan_20140705.pdf"/>
    <n v="3"/>
    <n v="0"/>
    <n v="0"/>
    <n v="0"/>
    <n v="2"/>
    <n v="0"/>
    <n v="0"/>
    <n v="0"/>
    <n v="0"/>
    <n v="0"/>
    <n v="0"/>
    <n v="0"/>
    <n v="0"/>
    <n v="0"/>
    <n v="0"/>
    <n v="0"/>
    <n v="0"/>
    <n v="0"/>
    <n v="0"/>
    <n v="0"/>
  </r>
  <r>
    <x v="29"/>
    <x v="0"/>
    <s v="qb,as,lf"/>
    <d v="1899-12-30T10:00:00"/>
    <d v="1899-12-30T14:30:00"/>
    <n v="40"/>
    <n v="11"/>
    <m/>
    <m/>
    <n v="269.99999999999989"/>
    <n v="4"/>
    <m/>
    <n v="1"/>
    <n v="5"/>
    <m/>
    <m/>
    <m/>
    <n v="0"/>
    <m/>
    <m/>
    <m/>
    <m/>
    <n v="0"/>
    <m/>
    <m/>
    <m/>
    <n v="0"/>
    <m/>
    <m/>
    <m/>
    <n v="0"/>
    <m/>
    <m/>
    <m/>
    <m/>
    <n v="0"/>
    <m/>
    <m/>
    <m/>
    <m/>
    <m/>
    <m/>
    <m/>
    <n v="0"/>
    <m/>
    <m/>
    <s v="20140705 LFerreira"/>
    <s v="20140707 LFerreira"/>
    <s v="FW_Scan_20140705.pdf"/>
    <n v="4"/>
    <n v="0"/>
    <n v="1"/>
    <n v="0"/>
    <n v="0"/>
    <n v="0"/>
    <n v="0"/>
    <n v="0"/>
    <n v="0"/>
    <n v="0"/>
    <n v="0"/>
    <n v="0"/>
    <n v="0"/>
    <n v="0"/>
    <n v="0"/>
    <n v="0"/>
    <n v="0"/>
    <n v="0"/>
    <n v="0"/>
    <n v="0"/>
  </r>
  <r>
    <x v="29"/>
    <x v="0"/>
    <s v="hr,jb"/>
    <d v="1899-12-30T14:30:00"/>
    <d v="1899-12-30T18:43:00"/>
    <n v="36"/>
    <n v="16"/>
    <m/>
    <m/>
    <n v="252"/>
    <n v="1"/>
    <n v="1"/>
    <m/>
    <n v="2"/>
    <m/>
    <m/>
    <m/>
    <n v="0"/>
    <m/>
    <m/>
    <m/>
    <m/>
    <n v="0"/>
    <m/>
    <m/>
    <m/>
    <n v="0"/>
    <n v="1"/>
    <m/>
    <m/>
    <n v="1"/>
    <m/>
    <m/>
    <m/>
    <m/>
    <n v="0"/>
    <m/>
    <m/>
    <m/>
    <m/>
    <m/>
    <m/>
    <m/>
    <n v="0"/>
    <s v="at 16:22 wheel stopped for 1 min, reason unknown"/>
    <m/>
    <s v="20140705 HReider"/>
    <s v="20140707 LFerreira"/>
    <s v="FW_Scan_20140705.pdf"/>
    <n v="1"/>
    <n v="1"/>
    <n v="0"/>
    <n v="0"/>
    <n v="0"/>
    <n v="0"/>
    <n v="0"/>
    <n v="0"/>
    <n v="0"/>
    <n v="0"/>
    <n v="0"/>
    <n v="0"/>
    <n v="0"/>
    <n v="1"/>
    <n v="0"/>
    <n v="0"/>
    <n v="0"/>
    <n v="0"/>
    <n v="0"/>
    <n v="0"/>
  </r>
  <r>
    <x v="29"/>
    <x v="0"/>
    <s v="qb,jk"/>
    <d v="1899-12-30T18:43:00"/>
    <d v="1899-12-31T00:00:00"/>
    <n v="45"/>
    <n v="13"/>
    <m/>
    <m/>
    <n v="317.00000000000017"/>
    <n v="1"/>
    <m/>
    <m/>
    <n v="1"/>
    <n v="2"/>
    <n v="1"/>
    <m/>
    <n v="3"/>
    <m/>
    <m/>
    <m/>
    <m/>
    <n v="0"/>
    <m/>
    <m/>
    <m/>
    <n v="0"/>
    <m/>
    <m/>
    <m/>
    <n v="0"/>
    <m/>
    <m/>
    <m/>
    <m/>
    <n v="0"/>
    <n v="3"/>
    <m/>
    <m/>
    <n v="1"/>
    <m/>
    <m/>
    <m/>
    <n v="4"/>
    <s v="cleaned lead net"/>
    <m/>
    <s v="20140705 JKunzler"/>
    <s v="20140707 LFerreira"/>
    <s v="FW_Scan_20140705.pdf"/>
    <n v="1"/>
    <n v="0"/>
    <n v="0"/>
    <n v="2"/>
    <n v="1"/>
    <n v="0"/>
    <n v="0"/>
    <n v="0"/>
    <n v="0"/>
    <n v="0"/>
    <n v="0"/>
    <n v="0"/>
    <n v="0"/>
    <n v="0"/>
    <n v="0"/>
    <n v="0"/>
    <n v="0"/>
    <n v="0"/>
    <n v="0"/>
    <n v="0"/>
  </r>
  <r>
    <x v="29"/>
    <x v="2"/>
    <s v="jb,hr"/>
    <d v="1899-12-30T00:00:00"/>
    <d v="1899-12-30T09:51:00"/>
    <n v="33"/>
    <n v="12"/>
    <m/>
    <m/>
    <n v="591"/>
    <n v="3"/>
    <m/>
    <m/>
    <n v="3"/>
    <m/>
    <n v="1"/>
    <m/>
    <n v="1"/>
    <m/>
    <m/>
    <m/>
    <m/>
    <n v="0"/>
    <m/>
    <m/>
    <m/>
    <n v="0"/>
    <m/>
    <m/>
    <m/>
    <n v="0"/>
    <m/>
    <m/>
    <m/>
    <m/>
    <n v="0"/>
    <n v="1"/>
    <m/>
    <m/>
    <m/>
    <m/>
    <m/>
    <m/>
    <n v="1"/>
    <m/>
    <m/>
    <s v="20140705 JBerry"/>
    <s v="20140707 LFerreira"/>
    <s v="FW_Scan_20140705.pdf"/>
    <n v="3"/>
    <n v="0"/>
    <n v="0"/>
    <n v="0"/>
    <n v="1"/>
    <n v="0"/>
    <n v="0"/>
    <n v="0"/>
    <n v="0"/>
    <n v="0"/>
    <n v="0"/>
    <n v="0"/>
    <n v="0"/>
    <n v="0"/>
    <n v="0"/>
    <n v="0"/>
    <n v="0"/>
    <n v="0"/>
    <n v="0"/>
    <n v="0"/>
  </r>
  <r>
    <x v="29"/>
    <x v="2"/>
    <s v="qb,as,lf"/>
    <d v="1899-12-30T09:51:00"/>
    <d v="1899-12-30T14:00:00"/>
    <n v="36"/>
    <n v="12"/>
    <m/>
    <m/>
    <n v="249.00000000000009"/>
    <n v="3"/>
    <m/>
    <m/>
    <n v="3"/>
    <n v="1"/>
    <n v="1"/>
    <m/>
    <n v="2"/>
    <m/>
    <m/>
    <m/>
    <m/>
    <n v="0"/>
    <m/>
    <m/>
    <m/>
    <n v="0"/>
    <m/>
    <m/>
    <m/>
    <n v="0"/>
    <m/>
    <m/>
    <m/>
    <m/>
    <n v="0"/>
    <m/>
    <m/>
    <m/>
    <m/>
    <m/>
    <m/>
    <m/>
    <n v="0"/>
    <m/>
    <m/>
    <s v="20140705 LFerreira"/>
    <s v="20140707 LFerreira"/>
    <s v="FW_Scan_20140705.pdf"/>
    <n v="3"/>
    <n v="0"/>
    <n v="0"/>
    <n v="1"/>
    <n v="1"/>
    <n v="0"/>
    <n v="0"/>
    <n v="0"/>
    <n v="0"/>
    <n v="0"/>
    <n v="0"/>
    <n v="0"/>
    <n v="0"/>
    <n v="0"/>
    <n v="0"/>
    <n v="0"/>
    <n v="0"/>
    <n v="0"/>
    <n v="0"/>
    <n v="0"/>
  </r>
  <r>
    <x v="29"/>
    <x v="2"/>
    <s v="jb,hr"/>
    <d v="1899-12-30T14:00:00"/>
    <d v="1899-12-30T18:28:00"/>
    <n v="35"/>
    <n v="17"/>
    <m/>
    <m/>
    <n v="267.99999999999983"/>
    <n v="3"/>
    <m/>
    <m/>
    <n v="3"/>
    <m/>
    <m/>
    <m/>
    <n v="0"/>
    <m/>
    <m/>
    <m/>
    <m/>
    <n v="0"/>
    <m/>
    <m/>
    <m/>
    <n v="0"/>
    <m/>
    <m/>
    <m/>
    <n v="0"/>
    <m/>
    <m/>
    <m/>
    <m/>
    <n v="0"/>
    <m/>
    <m/>
    <m/>
    <m/>
    <m/>
    <m/>
    <m/>
    <n v="0"/>
    <m/>
    <m/>
    <s v="20140705 HReider"/>
    <s v="20140707 LFerreira"/>
    <s v="FW_Scan_20140705.pdf"/>
    <n v="3"/>
    <n v="0"/>
    <n v="0"/>
    <n v="0"/>
    <n v="0"/>
    <n v="0"/>
    <n v="0"/>
    <n v="0"/>
    <n v="0"/>
    <n v="0"/>
    <n v="0"/>
    <n v="0"/>
    <n v="0"/>
    <n v="0"/>
    <n v="0"/>
    <n v="0"/>
    <n v="0"/>
    <n v="0"/>
    <n v="0"/>
    <n v="0"/>
  </r>
  <r>
    <x v="29"/>
    <x v="2"/>
    <s v="qb,jk"/>
    <d v="1899-12-30T18:28:00"/>
    <d v="1899-12-31T00:00:00"/>
    <n v="36"/>
    <n v="14"/>
    <m/>
    <m/>
    <n v="332.00000000000011"/>
    <n v="2"/>
    <m/>
    <m/>
    <n v="2"/>
    <m/>
    <m/>
    <m/>
    <n v="0"/>
    <m/>
    <m/>
    <m/>
    <m/>
    <n v="0"/>
    <m/>
    <m/>
    <m/>
    <n v="0"/>
    <m/>
    <m/>
    <m/>
    <n v="0"/>
    <m/>
    <m/>
    <m/>
    <m/>
    <n v="0"/>
    <m/>
    <m/>
    <m/>
    <m/>
    <n v="1"/>
    <m/>
    <m/>
    <n v="1"/>
    <s v="adjusted trough"/>
    <m/>
    <s v="20140705 JKunzler"/>
    <s v="20140707 LFerreira"/>
    <s v="FW_Scan_20140705.pdf"/>
    <n v="2"/>
    <n v="0"/>
    <n v="0"/>
    <n v="0"/>
    <n v="0"/>
    <n v="0"/>
    <n v="0"/>
    <n v="0"/>
    <n v="0"/>
    <n v="0"/>
    <n v="0"/>
    <n v="0"/>
    <n v="0"/>
    <n v="0"/>
    <n v="0"/>
    <n v="0"/>
    <n v="0"/>
    <n v="0"/>
    <n v="0"/>
    <n v="0"/>
  </r>
  <r>
    <x v="29"/>
    <x v="1"/>
    <s v="dj,jg"/>
    <d v="1899-12-30T00:00:00"/>
    <d v="1899-12-30T09:47:00"/>
    <n v="37"/>
    <n v="12"/>
    <m/>
    <m/>
    <n v="587"/>
    <n v="4"/>
    <m/>
    <m/>
    <n v="4"/>
    <m/>
    <n v="2"/>
    <m/>
    <n v="2"/>
    <m/>
    <m/>
    <m/>
    <m/>
    <n v="0"/>
    <m/>
    <m/>
    <m/>
    <n v="0"/>
    <m/>
    <m/>
    <m/>
    <n v="0"/>
    <m/>
    <m/>
    <m/>
    <m/>
    <n v="0"/>
    <n v="2"/>
    <m/>
    <m/>
    <m/>
    <m/>
    <m/>
    <m/>
    <n v="2"/>
    <m/>
    <m/>
    <s v="20140705 JGraham"/>
    <s v="20140707 LFerreira"/>
    <s v="FW_Scan_20140705.pdf"/>
    <n v="4"/>
    <n v="0"/>
    <n v="0"/>
    <n v="0"/>
    <n v="2"/>
    <n v="0"/>
    <n v="0"/>
    <n v="0"/>
    <n v="0"/>
    <n v="0"/>
    <n v="0"/>
    <n v="0"/>
    <n v="0"/>
    <n v="0"/>
    <n v="0"/>
    <n v="0"/>
    <n v="0"/>
    <n v="0"/>
    <n v="0"/>
    <n v="0"/>
  </r>
  <r>
    <x v="29"/>
    <x v="1"/>
    <s v="eg,jk"/>
    <d v="1899-12-30T09:47:00"/>
    <d v="1899-12-30T14:21:00"/>
    <n v="40"/>
    <n v="11"/>
    <m/>
    <m/>
    <n v="274"/>
    <n v="4"/>
    <m/>
    <m/>
    <n v="4"/>
    <m/>
    <m/>
    <m/>
    <n v="0"/>
    <m/>
    <m/>
    <m/>
    <m/>
    <n v="0"/>
    <m/>
    <m/>
    <m/>
    <n v="0"/>
    <m/>
    <m/>
    <m/>
    <n v="0"/>
    <m/>
    <m/>
    <m/>
    <m/>
    <n v="0"/>
    <m/>
    <m/>
    <m/>
    <m/>
    <m/>
    <m/>
    <m/>
    <n v="0"/>
    <m/>
    <m/>
    <s v="20140705 JKunzler"/>
    <s v="20140707 LFerreira"/>
    <s v="FW_Scan_20140705.pdf"/>
    <n v="4"/>
    <n v="0"/>
    <n v="0"/>
    <n v="0"/>
    <n v="0"/>
    <n v="0"/>
    <n v="0"/>
    <n v="0"/>
    <n v="0"/>
    <n v="0"/>
    <n v="0"/>
    <n v="0"/>
    <n v="0"/>
    <n v="0"/>
    <n v="0"/>
    <n v="0"/>
    <n v="0"/>
    <n v="0"/>
    <n v="0"/>
    <n v="0"/>
  </r>
  <r>
    <x v="29"/>
    <x v="1"/>
    <s v="dj,jg"/>
    <d v="1899-12-30T14:21:00"/>
    <d v="1899-12-30T18:48:00"/>
    <n v="38"/>
    <n v="14"/>
    <m/>
    <m/>
    <n v="267"/>
    <n v="7"/>
    <m/>
    <m/>
    <n v="7"/>
    <m/>
    <m/>
    <m/>
    <n v="0"/>
    <m/>
    <m/>
    <m/>
    <m/>
    <n v="0"/>
    <m/>
    <m/>
    <m/>
    <n v="0"/>
    <m/>
    <m/>
    <m/>
    <n v="0"/>
    <m/>
    <m/>
    <m/>
    <m/>
    <n v="0"/>
    <n v="2"/>
    <m/>
    <m/>
    <m/>
    <m/>
    <m/>
    <m/>
    <n v="2"/>
    <m/>
    <m/>
    <s v="20140705 JGraham"/>
    <s v="20140707 LFerreira"/>
    <s v="FW_Scan_20140705.pdf"/>
    <n v="7"/>
    <n v="0"/>
    <n v="0"/>
    <n v="0"/>
    <n v="0"/>
    <n v="0"/>
    <n v="0"/>
    <n v="0"/>
    <n v="0"/>
    <n v="0"/>
    <n v="0"/>
    <n v="0"/>
    <n v="0"/>
    <n v="0"/>
    <n v="0"/>
    <n v="0"/>
    <n v="0"/>
    <n v="0"/>
    <n v="0"/>
    <n v="0"/>
  </r>
  <r>
    <x v="29"/>
    <x v="1"/>
    <s v="eg,as,lf"/>
    <d v="1899-12-30T18:48:00"/>
    <d v="1899-12-31T00:00:00"/>
    <n v="41"/>
    <n v="14"/>
    <m/>
    <m/>
    <n v="298"/>
    <n v="1"/>
    <n v="1"/>
    <n v="1"/>
    <n v="3"/>
    <m/>
    <n v="1"/>
    <m/>
    <n v="1"/>
    <m/>
    <m/>
    <m/>
    <m/>
    <n v="0"/>
    <m/>
    <m/>
    <m/>
    <n v="0"/>
    <m/>
    <m/>
    <m/>
    <n v="0"/>
    <m/>
    <m/>
    <m/>
    <m/>
    <n v="0"/>
    <n v="1"/>
    <m/>
    <m/>
    <m/>
    <m/>
    <n v="1"/>
    <m/>
    <n v="2"/>
    <s v="fishwheel stopped to mend net 19:37-19:41;fishing overnight"/>
    <m/>
    <s v="20140705 EGora"/>
    <s v="20140707 LFerreira"/>
    <s v="FW_Scan_20140705.pdf"/>
    <n v="1"/>
    <n v="1"/>
    <n v="1"/>
    <n v="0"/>
    <n v="1"/>
    <n v="0"/>
    <n v="0"/>
    <n v="0"/>
    <n v="0"/>
    <n v="0"/>
    <n v="0"/>
    <n v="0"/>
    <n v="0"/>
    <n v="0"/>
    <n v="0"/>
    <n v="0"/>
    <n v="0"/>
    <n v="0"/>
    <n v="0"/>
    <n v="0"/>
  </r>
  <r>
    <x v="30"/>
    <x v="0"/>
    <s v="dj,jb"/>
    <d v="1899-12-30T00:00:00"/>
    <d v="1899-12-30T09:53:00"/>
    <n v="47"/>
    <n v="11"/>
    <m/>
    <n v="73.599999999999994"/>
    <n v="593"/>
    <n v="6"/>
    <m/>
    <m/>
    <n v="6"/>
    <m/>
    <n v="5"/>
    <m/>
    <n v="5"/>
    <n v="1"/>
    <m/>
    <m/>
    <m/>
    <n v="1"/>
    <m/>
    <m/>
    <m/>
    <n v="0"/>
    <m/>
    <m/>
    <m/>
    <n v="0"/>
    <m/>
    <m/>
    <m/>
    <m/>
    <n v="0"/>
    <m/>
    <m/>
    <n v="1"/>
    <m/>
    <n v="1"/>
    <m/>
    <m/>
    <n v="2"/>
    <m/>
    <m/>
    <s v="20140706 DJohnson"/>
    <s v="20140707 LFerreira"/>
    <s v="FW_Scan_20140706.pdf"/>
    <n v="6"/>
    <n v="0"/>
    <n v="0"/>
    <n v="0"/>
    <n v="5"/>
    <n v="0"/>
    <n v="1"/>
    <n v="0"/>
    <n v="0"/>
    <n v="0"/>
    <n v="0"/>
    <n v="0"/>
    <n v="0"/>
    <n v="0"/>
    <n v="0"/>
    <n v="0"/>
    <n v="0"/>
    <n v="0"/>
    <n v="0"/>
    <n v="0"/>
  </r>
  <r>
    <x v="30"/>
    <x v="0"/>
    <s v="qb,lf,hr"/>
    <d v="1899-12-30T09:53:00"/>
    <d v="1899-12-30T14:26:00"/>
    <n v="46"/>
    <n v="11"/>
    <m/>
    <m/>
    <n v="273"/>
    <n v="6"/>
    <m/>
    <m/>
    <n v="6"/>
    <m/>
    <n v="3"/>
    <m/>
    <n v="3"/>
    <m/>
    <m/>
    <m/>
    <m/>
    <n v="0"/>
    <m/>
    <m/>
    <m/>
    <n v="0"/>
    <m/>
    <m/>
    <m/>
    <n v="0"/>
    <m/>
    <m/>
    <m/>
    <m/>
    <n v="0"/>
    <m/>
    <m/>
    <m/>
    <m/>
    <m/>
    <m/>
    <m/>
    <n v="0"/>
    <m/>
    <m/>
    <s v="20140706 LFerreira"/>
    <s v="20140707 LFerreira"/>
    <s v="FW_Scan_20140706.pdf"/>
    <n v="6"/>
    <n v="0"/>
    <n v="0"/>
    <n v="0"/>
    <n v="3"/>
    <n v="0"/>
    <n v="0"/>
    <n v="0"/>
    <n v="0"/>
    <n v="0"/>
    <n v="0"/>
    <n v="0"/>
    <n v="0"/>
    <n v="0"/>
    <n v="0"/>
    <n v="0"/>
    <n v="0"/>
    <n v="0"/>
    <n v="0"/>
    <n v="0"/>
  </r>
  <r>
    <x v="30"/>
    <x v="0"/>
    <s v="jb,hr"/>
    <d v="1899-12-30T14:26:00"/>
    <d v="1899-12-30T18:47:00"/>
    <n v="44"/>
    <n v="11"/>
    <m/>
    <m/>
    <n v="256"/>
    <n v="2"/>
    <m/>
    <m/>
    <n v="2"/>
    <m/>
    <m/>
    <m/>
    <n v="0"/>
    <m/>
    <m/>
    <m/>
    <m/>
    <n v="0"/>
    <m/>
    <m/>
    <m/>
    <n v="0"/>
    <m/>
    <m/>
    <m/>
    <n v="0"/>
    <m/>
    <m/>
    <m/>
    <m/>
    <n v="0"/>
    <m/>
    <m/>
    <n v="1"/>
    <m/>
    <m/>
    <m/>
    <m/>
    <n v="1"/>
    <s v="1500 wheel stopped for basket repair, started at 15:05"/>
    <m/>
    <s v="20140706 HReider"/>
    <s v="20140707 LFerreira"/>
    <s v="FW_Scan_20140706.pdf"/>
    <n v="2"/>
    <n v="0"/>
    <n v="0"/>
    <n v="0"/>
    <n v="0"/>
    <n v="0"/>
    <n v="0"/>
    <n v="0"/>
    <n v="0"/>
    <n v="0"/>
    <n v="0"/>
    <n v="0"/>
    <n v="0"/>
    <n v="0"/>
    <n v="0"/>
    <n v="0"/>
    <n v="0"/>
    <n v="0"/>
    <n v="0"/>
    <n v="0"/>
  </r>
  <r>
    <x v="30"/>
    <x v="0"/>
    <s v="eg,jk"/>
    <d v="1899-12-30T18:47:00"/>
    <d v="1899-12-31T00:00:00"/>
    <n v="44"/>
    <n v="11"/>
    <m/>
    <m/>
    <n v="312.99999999999983"/>
    <m/>
    <m/>
    <m/>
    <n v="0"/>
    <m/>
    <m/>
    <m/>
    <n v="0"/>
    <m/>
    <m/>
    <m/>
    <m/>
    <n v="0"/>
    <m/>
    <m/>
    <m/>
    <n v="0"/>
    <m/>
    <m/>
    <m/>
    <n v="0"/>
    <m/>
    <m/>
    <m/>
    <m/>
    <n v="0"/>
    <m/>
    <m/>
    <m/>
    <m/>
    <m/>
    <m/>
    <m/>
    <n v="0"/>
    <s v="fished overnight"/>
    <s v="no fish"/>
    <s v="20140706 JKunzler"/>
    <s v="20140707 LFerreira"/>
    <s v="FW_Scan_20140706.pdf"/>
    <n v="0"/>
    <n v="0"/>
    <n v="0"/>
    <n v="0"/>
    <n v="0"/>
    <n v="0"/>
    <n v="0"/>
    <n v="0"/>
    <n v="0"/>
    <n v="0"/>
    <n v="0"/>
    <n v="0"/>
    <n v="0"/>
    <n v="0"/>
    <n v="0"/>
    <n v="0"/>
    <n v="0"/>
    <n v="0"/>
    <n v="0"/>
    <n v="0"/>
  </r>
  <r>
    <x v="30"/>
    <x v="2"/>
    <s v="dj.jb"/>
    <d v="1899-12-30T00:00:00"/>
    <d v="1899-12-30T09:18:00"/>
    <n v="33"/>
    <n v="13"/>
    <m/>
    <m/>
    <n v="558"/>
    <n v="3"/>
    <m/>
    <m/>
    <n v="3"/>
    <m/>
    <m/>
    <m/>
    <n v="0"/>
    <n v="1"/>
    <m/>
    <m/>
    <m/>
    <n v="1"/>
    <m/>
    <m/>
    <m/>
    <n v="0"/>
    <m/>
    <m/>
    <m/>
    <n v="0"/>
    <m/>
    <m/>
    <m/>
    <m/>
    <n v="0"/>
    <m/>
    <m/>
    <m/>
    <m/>
    <m/>
    <m/>
    <m/>
    <n v="0"/>
    <m/>
    <m/>
    <s v="20140706 JBerry"/>
    <s v="20140707 LFerreira"/>
    <s v="FW_Scan_20140706.pdf"/>
    <n v="3"/>
    <n v="0"/>
    <n v="0"/>
    <n v="0"/>
    <n v="0"/>
    <n v="0"/>
    <n v="1"/>
    <n v="0"/>
    <n v="0"/>
    <n v="0"/>
    <n v="0"/>
    <n v="0"/>
    <n v="0"/>
    <n v="0"/>
    <n v="0"/>
    <n v="0"/>
    <n v="0"/>
    <n v="0"/>
    <n v="0"/>
    <n v="0"/>
  </r>
  <r>
    <x v="30"/>
    <x v="2"/>
    <s v="qb,lf,hr"/>
    <d v="1899-12-30T09:18:00"/>
    <d v="1899-12-30T13:51:00"/>
    <n v="37"/>
    <n v="12"/>
    <m/>
    <m/>
    <n v="272.99999999999994"/>
    <n v="1"/>
    <m/>
    <m/>
    <n v="1"/>
    <m/>
    <m/>
    <m/>
    <n v="0"/>
    <m/>
    <m/>
    <m/>
    <m/>
    <n v="0"/>
    <m/>
    <m/>
    <m/>
    <n v="0"/>
    <m/>
    <m/>
    <m/>
    <n v="0"/>
    <m/>
    <m/>
    <m/>
    <m/>
    <n v="0"/>
    <m/>
    <m/>
    <m/>
    <m/>
    <m/>
    <m/>
    <m/>
    <n v="0"/>
    <m/>
    <m/>
    <s v="20140706 LFerreira"/>
    <s v="20140707 LFerreira"/>
    <s v="FW_Scan_20140706.pdf"/>
    <n v="1"/>
    <n v="0"/>
    <n v="0"/>
    <n v="0"/>
    <n v="0"/>
    <n v="0"/>
    <n v="0"/>
    <n v="0"/>
    <n v="0"/>
    <n v="0"/>
    <n v="0"/>
    <n v="0"/>
    <n v="0"/>
    <n v="0"/>
    <n v="0"/>
    <n v="0"/>
    <n v="0"/>
    <n v="0"/>
    <n v="0"/>
    <n v="0"/>
  </r>
  <r>
    <x v="30"/>
    <x v="2"/>
    <s v="hr,jb"/>
    <d v="1899-12-30T13:51:00"/>
    <d v="1899-12-30T18:22:00"/>
    <n v="37"/>
    <n v="13"/>
    <m/>
    <m/>
    <n v="271.00000000000017"/>
    <m/>
    <m/>
    <m/>
    <n v="0"/>
    <m/>
    <m/>
    <m/>
    <n v="0"/>
    <m/>
    <m/>
    <m/>
    <m/>
    <n v="0"/>
    <m/>
    <m/>
    <m/>
    <n v="0"/>
    <m/>
    <m/>
    <m/>
    <n v="0"/>
    <m/>
    <m/>
    <m/>
    <m/>
    <n v="0"/>
    <m/>
    <m/>
    <m/>
    <m/>
    <m/>
    <m/>
    <m/>
    <n v="0"/>
    <m/>
    <m/>
    <s v="20140706 HReider"/>
    <s v="20140707 LFerreira"/>
    <s v="FW_Scan_20140706.pdf"/>
    <n v="0"/>
    <n v="0"/>
    <n v="0"/>
    <n v="0"/>
    <n v="0"/>
    <n v="0"/>
    <n v="0"/>
    <n v="0"/>
    <n v="0"/>
    <n v="0"/>
    <n v="0"/>
    <n v="0"/>
    <n v="0"/>
    <n v="0"/>
    <n v="0"/>
    <n v="0"/>
    <n v="0"/>
    <n v="0"/>
    <n v="0"/>
    <n v="0"/>
  </r>
  <r>
    <x v="30"/>
    <x v="2"/>
    <s v="eg,jk"/>
    <d v="1899-12-30T18:22:00"/>
    <d v="1899-12-31T00:00:00"/>
    <n v="33"/>
    <n v="13"/>
    <m/>
    <m/>
    <n v="337.99999999999994"/>
    <n v="1"/>
    <m/>
    <m/>
    <n v="1"/>
    <m/>
    <m/>
    <m/>
    <n v="0"/>
    <m/>
    <m/>
    <m/>
    <m/>
    <n v="0"/>
    <m/>
    <m/>
    <m/>
    <n v="0"/>
    <m/>
    <m/>
    <m/>
    <n v="0"/>
    <m/>
    <m/>
    <m/>
    <m/>
    <n v="0"/>
    <m/>
    <m/>
    <m/>
    <m/>
    <m/>
    <m/>
    <m/>
    <n v="0"/>
    <s v="fished wheel overnight"/>
    <m/>
    <s v="20140706 EGora"/>
    <s v="20140707 LFerreira"/>
    <s v="FW_Scan_20140706.pdf"/>
    <n v="1"/>
    <n v="0"/>
    <n v="0"/>
    <n v="0"/>
    <n v="0"/>
    <n v="0"/>
    <n v="0"/>
    <n v="0"/>
    <n v="0"/>
    <n v="0"/>
    <n v="0"/>
    <n v="0"/>
    <n v="0"/>
    <n v="0"/>
    <n v="0"/>
    <n v="0"/>
    <n v="0"/>
    <n v="0"/>
    <n v="0"/>
    <n v="0"/>
  </r>
  <r>
    <x v="30"/>
    <x v="1"/>
    <s v="jg,hr"/>
    <d v="1899-12-30T00:00:00"/>
    <d v="1899-12-30T09:59:00"/>
    <n v="42"/>
    <n v="13"/>
    <m/>
    <m/>
    <n v="599"/>
    <n v="6"/>
    <m/>
    <m/>
    <n v="6"/>
    <m/>
    <n v="1"/>
    <m/>
    <n v="1"/>
    <m/>
    <m/>
    <m/>
    <m/>
    <n v="0"/>
    <m/>
    <m/>
    <m/>
    <n v="0"/>
    <m/>
    <m/>
    <m/>
    <n v="0"/>
    <m/>
    <m/>
    <m/>
    <m/>
    <n v="0"/>
    <n v="5"/>
    <m/>
    <n v="1"/>
    <m/>
    <m/>
    <m/>
    <m/>
    <n v="6"/>
    <m/>
    <m/>
    <s v="20140706 JGraham"/>
    <s v="20140707 LFerreira"/>
    <s v="FW_Scan_20140706.pdf"/>
    <n v="6"/>
    <n v="0"/>
    <n v="0"/>
    <n v="0"/>
    <n v="1"/>
    <n v="0"/>
    <n v="0"/>
    <n v="0"/>
    <n v="0"/>
    <n v="0"/>
    <n v="0"/>
    <n v="0"/>
    <n v="0"/>
    <n v="0"/>
    <n v="0"/>
    <n v="0"/>
    <n v="0"/>
    <n v="0"/>
    <n v="0"/>
    <n v="0"/>
  </r>
  <r>
    <x v="30"/>
    <x v="1"/>
    <s v="eg,jk"/>
    <d v="1899-12-30T09:59:00"/>
    <d v="1899-12-30T14:18:00"/>
    <n v="39"/>
    <n v="12"/>
    <m/>
    <m/>
    <n v="231"/>
    <n v="4"/>
    <m/>
    <m/>
    <n v="4"/>
    <m/>
    <n v="3"/>
    <m/>
    <n v="3"/>
    <m/>
    <m/>
    <m/>
    <m/>
    <n v="0"/>
    <m/>
    <m/>
    <m/>
    <n v="0"/>
    <m/>
    <m/>
    <m/>
    <n v="0"/>
    <m/>
    <m/>
    <m/>
    <m/>
    <n v="0"/>
    <m/>
    <m/>
    <m/>
    <m/>
    <m/>
    <m/>
    <m/>
    <n v="0"/>
    <s v="raised wheel at 10:51 am to mend net.  Stopped fishing 10:51-11:19."/>
    <m/>
    <s v="20140706 EGora"/>
    <s v="20140707 LFerreira"/>
    <s v="FW_Scan_20140706.pdf"/>
    <n v="4"/>
    <n v="0"/>
    <n v="0"/>
    <n v="0"/>
    <n v="3"/>
    <n v="0"/>
    <n v="0"/>
    <n v="0"/>
    <n v="0"/>
    <n v="0"/>
    <n v="0"/>
    <n v="0"/>
    <n v="0"/>
    <n v="0"/>
    <n v="0"/>
    <n v="0"/>
    <n v="0"/>
    <n v="0"/>
    <n v="0"/>
    <n v="0"/>
  </r>
  <r>
    <x v="30"/>
    <x v="1"/>
    <s v="dj,jg"/>
    <d v="1899-12-30T14:18:00"/>
    <d v="1899-12-30T18:48:00"/>
    <n v="39"/>
    <n v="12"/>
    <m/>
    <m/>
    <n v="270"/>
    <n v="1"/>
    <m/>
    <m/>
    <n v="1"/>
    <n v="1"/>
    <n v="1"/>
    <m/>
    <n v="2"/>
    <m/>
    <m/>
    <m/>
    <m/>
    <n v="0"/>
    <m/>
    <m/>
    <m/>
    <n v="0"/>
    <m/>
    <m/>
    <m/>
    <n v="0"/>
    <m/>
    <m/>
    <m/>
    <m/>
    <n v="0"/>
    <n v="1"/>
    <m/>
    <n v="1"/>
    <m/>
    <m/>
    <m/>
    <m/>
    <n v="2"/>
    <m/>
    <m/>
    <s v="20140706 JGraham"/>
    <s v="20140707 LFerreira"/>
    <s v="FW_Scan_20140706.pdf"/>
    <n v="1"/>
    <n v="0"/>
    <n v="0"/>
    <n v="1"/>
    <n v="1"/>
    <n v="0"/>
    <n v="0"/>
    <n v="0"/>
    <n v="0"/>
    <n v="0"/>
    <n v="0"/>
    <n v="0"/>
    <n v="0"/>
    <n v="0"/>
    <n v="0"/>
    <n v="0"/>
    <n v="0"/>
    <n v="0"/>
    <n v="0"/>
    <n v="0"/>
  </r>
  <r>
    <x v="30"/>
    <x v="1"/>
    <s v="rt,lf"/>
    <d v="1899-12-30T18:48:00"/>
    <d v="1899-12-31T00:00:00"/>
    <n v="42"/>
    <n v="12"/>
    <m/>
    <m/>
    <n v="312"/>
    <n v="1"/>
    <n v="1"/>
    <n v="1"/>
    <n v="3"/>
    <n v="1"/>
    <n v="2"/>
    <m/>
    <n v="3"/>
    <m/>
    <m/>
    <m/>
    <m/>
    <n v="0"/>
    <m/>
    <m/>
    <m/>
    <n v="0"/>
    <m/>
    <m/>
    <m/>
    <n v="0"/>
    <m/>
    <m/>
    <m/>
    <m/>
    <n v="0"/>
    <m/>
    <m/>
    <m/>
    <m/>
    <m/>
    <m/>
    <m/>
    <n v="0"/>
    <s v="wheel fishing overnight"/>
    <m/>
    <s v="20140706 LFerreira"/>
    <s v="20140707 LFerreira"/>
    <s v="FW_Scan_20140706.pdf"/>
    <n v="1"/>
    <n v="1"/>
    <n v="1"/>
    <n v="1"/>
    <n v="2"/>
    <n v="0"/>
    <n v="0"/>
    <n v="0"/>
    <n v="0"/>
    <n v="0"/>
    <n v="0"/>
    <n v="0"/>
    <n v="0"/>
    <n v="0"/>
    <n v="0"/>
    <n v="0"/>
    <n v="0"/>
    <n v="0"/>
    <n v="0"/>
    <n v="0"/>
  </r>
  <r>
    <x v="31"/>
    <x v="0"/>
    <s v="dj,hr"/>
    <d v="1899-12-30T00:00:00"/>
    <d v="1899-12-30T09:27:00"/>
    <n v="39"/>
    <n v="10"/>
    <m/>
    <m/>
    <n v="567"/>
    <n v="5"/>
    <m/>
    <m/>
    <n v="5"/>
    <m/>
    <m/>
    <m/>
    <n v="0"/>
    <m/>
    <m/>
    <m/>
    <m/>
    <n v="0"/>
    <m/>
    <m/>
    <m/>
    <n v="0"/>
    <m/>
    <m/>
    <m/>
    <n v="0"/>
    <m/>
    <m/>
    <m/>
    <m/>
    <n v="0"/>
    <m/>
    <m/>
    <m/>
    <m/>
    <n v="1"/>
    <m/>
    <m/>
    <n v="1"/>
    <s v="fished wheels overnight"/>
    <m/>
    <s v="20140707 HReider"/>
    <s v="20140708LFerreira"/>
    <s v="FW_Scan_20140707.pdf"/>
    <n v="5"/>
    <n v="0"/>
    <n v="0"/>
    <n v="0"/>
    <n v="0"/>
    <n v="0"/>
    <n v="0"/>
    <n v="0"/>
    <n v="0"/>
    <n v="0"/>
    <n v="0"/>
    <n v="0"/>
    <n v="0"/>
    <n v="0"/>
    <n v="0"/>
    <n v="0"/>
    <n v="0"/>
    <n v="0"/>
    <n v="0"/>
    <n v="0"/>
  </r>
  <r>
    <x v="31"/>
    <x v="0"/>
    <s v="eg,csj"/>
    <d v="1899-12-30T09:27:00"/>
    <d v="1899-12-30T14:16:00"/>
    <n v="41"/>
    <n v="10"/>
    <m/>
    <m/>
    <n v="272"/>
    <m/>
    <m/>
    <m/>
    <n v="0"/>
    <m/>
    <m/>
    <m/>
    <n v="0"/>
    <m/>
    <m/>
    <m/>
    <m/>
    <n v="0"/>
    <m/>
    <m/>
    <m/>
    <n v="0"/>
    <m/>
    <m/>
    <m/>
    <n v="0"/>
    <m/>
    <m/>
    <m/>
    <m/>
    <n v="0"/>
    <m/>
    <m/>
    <m/>
    <m/>
    <n v="1"/>
    <m/>
    <m/>
    <n v="1"/>
    <s v="13:10 log stopped wheel- went to shore for saw. EG 13:27 fishing resumed."/>
    <m/>
    <s v="20140707 CSejkora"/>
    <s v="20140708LFerreira"/>
    <s v="FW_Scan_20140707.pdf"/>
    <n v="0"/>
    <n v="0"/>
    <n v="0"/>
    <n v="0"/>
    <n v="0"/>
    <n v="0"/>
    <n v="0"/>
    <n v="0"/>
    <n v="0"/>
    <n v="0"/>
    <n v="0"/>
    <n v="0"/>
    <n v="0"/>
    <n v="0"/>
    <n v="0"/>
    <n v="0"/>
    <n v="0"/>
    <n v="0"/>
    <n v="0"/>
    <n v="0"/>
  </r>
  <r>
    <x v="31"/>
    <x v="0"/>
    <s v="hr,jg"/>
    <d v="1899-12-30T14:16:00"/>
    <d v="1899-12-30T18:52:00"/>
    <n v="36"/>
    <n v="11"/>
    <m/>
    <m/>
    <n v="276"/>
    <m/>
    <m/>
    <m/>
    <n v="0"/>
    <m/>
    <m/>
    <m/>
    <n v="0"/>
    <m/>
    <m/>
    <m/>
    <m/>
    <n v="0"/>
    <m/>
    <m/>
    <m/>
    <n v="0"/>
    <m/>
    <m/>
    <m/>
    <n v="0"/>
    <m/>
    <m/>
    <m/>
    <m/>
    <n v="0"/>
    <m/>
    <m/>
    <m/>
    <m/>
    <m/>
    <m/>
    <m/>
    <n v="0"/>
    <s v="no fish"/>
    <m/>
    <s v="20140707 HReider"/>
    <s v="20140708LFerreira"/>
    <s v="FW_Scan_20140707.pdf"/>
    <n v="0"/>
    <n v="0"/>
    <n v="0"/>
    <n v="0"/>
    <n v="0"/>
    <n v="0"/>
    <n v="0"/>
    <n v="0"/>
    <n v="0"/>
    <n v="0"/>
    <n v="0"/>
    <n v="0"/>
    <n v="0"/>
    <n v="0"/>
    <n v="0"/>
    <n v="0"/>
    <n v="0"/>
    <n v="0"/>
    <n v="0"/>
    <n v="0"/>
  </r>
  <r>
    <x v="31"/>
    <x v="0"/>
    <s v="csj,jk"/>
    <d v="1899-12-30T18:52:00"/>
    <d v="1899-12-31T00:00:00"/>
    <n v="34"/>
    <n v="10"/>
    <m/>
    <m/>
    <n v="288"/>
    <n v="2"/>
    <m/>
    <m/>
    <n v="2"/>
    <m/>
    <m/>
    <m/>
    <n v="0"/>
    <m/>
    <m/>
    <m/>
    <m/>
    <n v="0"/>
    <m/>
    <m/>
    <m/>
    <n v="0"/>
    <m/>
    <m/>
    <m/>
    <n v="0"/>
    <m/>
    <m/>
    <m/>
    <m/>
    <n v="0"/>
    <m/>
    <m/>
    <m/>
    <m/>
    <m/>
    <m/>
    <m/>
    <n v="0"/>
    <s v="19:28-19:43 wheel stopped to remove tree, moved wheel closer to bank.  Raised wheel at 22:25 to clear debris.  5 min."/>
    <m/>
    <s v="20140707 JKunzler"/>
    <s v="20140708LFerreira"/>
    <s v="FW_Scan_20140707.pdf"/>
    <n v="2"/>
    <n v="0"/>
    <n v="0"/>
    <n v="0"/>
    <n v="0"/>
    <n v="0"/>
    <n v="0"/>
    <n v="0"/>
    <n v="0"/>
    <n v="0"/>
    <n v="0"/>
    <n v="0"/>
    <n v="0"/>
    <n v="0"/>
    <n v="0"/>
    <n v="0"/>
    <n v="0"/>
    <n v="0"/>
    <n v="0"/>
    <n v="0"/>
  </r>
  <r>
    <x v="31"/>
    <x v="2"/>
    <s v="hr,dj"/>
    <d v="1899-12-30T00:00:00"/>
    <d v="1899-12-30T09:50:00"/>
    <n v="32"/>
    <n v="12"/>
    <m/>
    <m/>
    <n v="590"/>
    <n v="2"/>
    <m/>
    <m/>
    <n v="2"/>
    <m/>
    <m/>
    <m/>
    <n v="0"/>
    <m/>
    <m/>
    <m/>
    <m/>
    <n v="0"/>
    <m/>
    <m/>
    <m/>
    <n v="0"/>
    <m/>
    <m/>
    <m/>
    <n v="0"/>
    <m/>
    <m/>
    <m/>
    <m/>
    <n v="0"/>
    <m/>
    <m/>
    <m/>
    <m/>
    <n v="1"/>
    <m/>
    <m/>
    <n v="1"/>
    <m/>
    <m/>
    <s v="20140707 DJohnson"/>
    <s v="20140708LFerreira"/>
    <s v="FW_Scan_20140707.pdf"/>
    <n v="2"/>
    <n v="0"/>
    <n v="0"/>
    <n v="0"/>
    <n v="0"/>
    <n v="0"/>
    <n v="0"/>
    <n v="0"/>
    <n v="0"/>
    <n v="0"/>
    <n v="0"/>
    <n v="0"/>
    <n v="0"/>
    <n v="0"/>
    <n v="0"/>
    <n v="0"/>
    <n v="0"/>
    <n v="0"/>
    <n v="0"/>
    <n v="0"/>
  </r>
  <r>
    <x v="31"/>
    <x v="2"/>
    <s v="csj,eg"/>
    <d v="1899-12-30T09:50:00"/>
    <d v="1899-12-30T14:22:00"/>
    <n v="32"/>
    <n v="12"/>
    <m/>
    <m/>
    <n v="271.99999999999989"/>
    <n v="2"/>
    <m/>
    <m/>
    <n v="2"/>
    <m/>
    <m/>
    <m/>
    <n v="0"/>
    <m/>
    <m/>
    <m/>
    <m/>
    <n v="0"/>
    <m/>
    <m/>
    <m/>
    <n v="0"/>
    <m/>
    <m/>
    <m/>
    <n v="0"/>
    <m/>
    <m/>
    <m/>
    <m/>
    <n v="0"/>
    <m/>
    <m/>
    <m/>
    <m/>
    <m/>
    <m/>
    <m/>
    <n v="0"/>
    <m/>
    <m/>
    <s v="20140707 CSejkora"/>
    <s v="20140708LFerreira"/>
    <s v="FW_Scan_20140707.pdf"/>
    <n v="2"/>
    <n v="0"/>
    <n v="0"/>
    <n v="0"/>
    <n v="0"/>
    <n v="0"/>
    <n v="0"/>
    <n v="0"/>
    <n v="0"/>
    <n v="0"/>
    <n v="0"/>
    <n v="0"/>
    <n v="0"/>
    <n v="0"/>
    <n v="0"/>
    <n v="0"/>
    <n v="0"/>
    <n v="0"/>
    <n v="0"/>
    <n v="0"/>
  </r>
  <r>
    <x v="31"/>
    <x v="2"/>
    <s v="hr,jg"/>
    <d v="1899-12-30T14:22:00"/>
    <d v="1899-12-30T18:30:00"/>
    <n v="31"/>
    <n v="13"/>
    <m/>
    <m/>
    <n v="248.00000000000009"/>
    <m/>
    <m/>
    <m/>
    <n v="0"/>
    <m/>
    <m/>
    <m/>
    <n v="0"/>
    <m/>
    <m/>
    <m/>
    <m/>
    <n v="0"/>
    <m/>
    <m/>
    <m/>
    <n v="0"/>
    <m/>
    <m/>
    <m/>
    <n v="0"/>
    <m/>
    <m/>
    <m/>
    <m/>
    <n v="0"/>
    <m/>
    <m/>
    <m/>
    <m/>
    <m/>
    <m/>
    <m/>
    <n v="0"/>
    <s v="no fish! :("/>
    <m/>
    <s v="20140707 Jgraham"/>
    <s v="20140708LFerreira"/>
    <s v="FW_Scan_20140707.pdf"/>
    <n v="0"/>
    <n v="0"/>
    <n v="0"/>
    <n v="0"/>
    <n v="0"/>
    <n v="0"/>
    <n v="0"/>
    <n v="0"/>
    <n v="0"/>
    <n v="0"/>
    <n v="0"/>
    <n v="0"/>
    <n v="0"/>
    <n v="0"/>
    <n v="0"/>
    <n v="0"/>
    <n v="0"/>
    <n v="0"/>
    <n v="0"/>
    <n v="0"/>
  </r>
  <r>
    <x v="31"/>
    <x v="2"/>
    <s v="as,csj,jk"/>
    <d v="1899-12-30T18:30:00"/>
    <d v="1899-12-31T00:00:00"/>
    <n v="32"/>
    <n v="12"/>
    <m/>
    <m/>
    <n v="329.99999999999994"/>
    <n v="1"/>
    <m/>
    <m/>
    <n v="1"/>
    <m/>
    <m/>
    <m/>
    <n v="0"/>
    <n v="1"/>
    <m/>
    <m/>
    <m/>
    <n v="1"/>
    <m/>
    <m/>
    <m/>
    <n v="0"/>
    <m/>
    <m/>
    <m/>
    <n v="0"/>
    <m/>
    <m/>
    <m/>
    <m/>
    <n v="0"/>
    <m/>
    <m/>
    <m/>
    <m/>
    <m/>
    <m/>
    <m/>
    <n v="0"/>
    <s v="moved fish wheel in to shore 3 ft."/>
    <m/>
    <s v="20140707 CSejkora"/>
    <s v="20140708LFerreira"/>
    <s v="FW_Scan_20140707.pdf"/>
    <n v="1"/>
    <n v="0"/>
    <n v="0"/>
    <n v="0"/>
    <n v="0"/>
    <n v="0"/>
    <n v="1"/>
    <n v="0"/>
    <n v="0"/>
    <n v="0"/>
    <n v="0"/>
    <n v="0"/>
    <n v="0"/>
    <n v="0"/>
    <n v="0"/>
    <n v="0"/>
    <n v="0"/>
    <n v="0"/>
    <n v="0"/>
    <n v="0"/>
  </r>
  <r>
    <x v="31"/>
    <x v="1"/>
    <s v="jg.jb"/>
    <d v="1899-12-30T00:00:00"/>
    <d v="1899-12-30T09:44:00"/>
    <n v="39"/>
    <n v="12"/>
    <m/>
    <m/>
    <n v="584"/>
    <n v="5"/>
    <n v="1"/>
    <m/>
    <n v="6"/>
    <m/>
    <n v="2"/>
    <m/>
    <n v="2"/>
    <m/>
    <m/>
    <m/>
    <m/>
    <n v="0"/>
    <m/>
    <m/>
    <m/>
    <n v="0"/>
    <m/>
    <m/>
    <m/>
    <n v="0"/>
    <m/>
    <m/>
    <m/>
    <m/>
    <n v="0"/>
    <m/>
    <m/>
    <m/>
    <m/>
    <m/>
    <m/>
    <m/>
    <n v="0"/>
    <m/>
    <m/>
    <s v="20140707 JBerry"/>
    <s v="20140708LFerreira"/>
    <s v="FW_Scan_20140707.pdf"/>
    <n v="5"/>
    <n v="1"/>
    <n v="0"/>
    <n v="0"/>
    <n v="2"/>
    <n v="0"/>
    <n v="0"/>
    <n v="0"/>
    <n v="0"/>
    <n v="0"/>
    <n v="0"/>
    <n v="0"/>
    <n v="0"/>
    <n v="0"/>
    <n v="0"/>
    <n v="0"/>
    <n v="0"/>
    <n v="0"/>
    <n v="0"/>
    <n v="0"/>
  </r>
  <r>
    <x v="31"/>
    <x v="1"/>
    <s v="jk,lf"/>
    <d v="1899-12-30T09:44:00"/>
    <d v="1899-12-30T14:20:00"/>
    <n v="34"/>
    <n v="12"/>
    <m/>
    <m/>
    <n v="271.00000000000011"/>
    <n v="3"/>
    <m/>
    <m/>
    <n v="3"/>
    <m/>
    <n v="3"/>
    <m/>
    <n v="3"/>
    <m/>
    <m/>
    <m/>
    <m/>
    <n v="0"/>
    <m/>
    <m/>
    <m/>
    <n v="0"/>
    <m/>
    <m/>
    <m/>
    <n v="0"/>
    <m/>
    <m/>
    <m/>
    <m/>
    <n v="0"/>
    <m/>
    <m/>
    <m/>
    <m/>
    <m/>
    <m/>
    <m/>
    <n v="0"/>
    <s v="raised fish wheel at 14:10 due to tree jam, lowered back to fishing position at 14:15"/>
    <m/>
    <s v="20140707 JKunzler"/>
    <s v="20140708LFerreira"/>
    <s v="FW_Scan_20140707.pdf"/>
    <n v="3"/>
    <n v="0"/>
    <n v="0"/>
    <n v="0"/>
    <n v="3"/>
    <n v="0"/>
    <n v="0"/>
    <n v="0"/>
    <n v="0"/>
    <n v="0"/>
    <n v="0"/>
    <n v="0"/>
    <n v="0"/>
    <n v="0"/>
    <n v="0"/>
    <n v="0"/>
    <n v="0"/>
    <n v="0"/>
    <n v="0"/>
    <n v="0"/>
  </r>
  <r>
    <x v="31"/>
    <x v="1"/>
    <s v="dj,jb"/>
    <d v="1899-12-30T14:20:00"/>
    <d v="1899-12-30T18:42:00"/>
    <n v="35"/>
    <n v="14"/>
    <m/>
    <m/>
    <n v="262"/>
    <n v="1"/>
    <m/>
    <n v="2"/>
    <n v="3"/>
    <m/>
    <m/>
    <m/>
    <n v="0"/>
    <m/>
    <m/>
    <m/>
    <m/>
    <n v="0"/>
    <m/>
    <m/>
    <m/>
    <n v="0"/>
    <m/>
    <m/>
    <m/>
    <n v="0"/>
    <m/>
    <m/>
    <m/>
    <m/>
    <n v="0"/>
    <m/>
    <m/>
    <m/>
    <m/>
    <m/>
    <m/>
    <m/>
    <n v="0"/>
    <m/>
    <m/>
    <s v="20140707 JBerry"/>
    <s v="20140708LFerreira"/>
    <s v="FW_Scan_20140707.pdf"/>
    <n v="1"/>
    <n v="0"/>
    <n v="2"/>
    <n v="0"/>
    <n v="0"/>
    <n v="0"/>
    <n v="0"/>
    <n v="0"/>
    <n v="0"/>
    <n v="0"/>
    <n v="0"/>
    <n v="0"/>
    <n v="0"/>
    <n v="0"/>
    <n v="0"/>
    <n v="0"/>
    <n v="0"/>
    <n v="0"/>
    <n v="0"/>
    <n v="0"/>
  </r>
  <r>
    <x v="31"/>
    <x v="1"/>
    <s v="eg,lf"/>
    <d v="1899-12-30T18:42:00"/>
    <d v="1899-12-30T23:11:00"/>
    <n v="31"/>
    <n v="13"/>
    <m/>
    <m/>
    <n v="246"/>
    <n v="4"/>
    <m/>
    <m/>
    <n v="4"/>
    <m/>
    <m/>
    <m/>
    <n v="0"/>
    <m/>
    <m/>
    <m/>
    <m/>
    <n v="0"/>
    <m/>
    <m/>
    <m/>
    <n v="0"/>
    <m/>
    <m/>
    <m/>
    <n v="0"/>
    <m/>
    <m/>
    <m/>
    <m/>
    <n v="0"/>
    <m/>
    <m/>
    <m/>
    <m/>
    <m/>
    <m/>
    <m/>
    <n v="0"/>
    <s v="fish wheel stopped 22:48-23:11-to clear debris.  Fishwheel raised for the evening due to large debris."/>
    <m/>
    <s v="20140707 EGora"/>
    <s v="20140708LFerreira"/>
    <s v="FW_Scan_20140707.pdf"/>
    <n v="4"/>
    <n v="0"/>
    <n v="0"/>
    <n v="0"/>
    <n v="0"/>
    <n v="0"/>
    <n v="0"/>
    <n v="0"/>
    <n v="0"/>
    <n v="0"/>
    <n v="0"/>
    <n v="0"/>
    <n v="0"/>
    <n v="0"/>
    <n v="0"/>
    <n v="0"/>
    <n v="0"/>
    <n v="0"/>
    <n v="0"/>
    <n v="0"/>
  </r>
  <r>
    <x v="32"/>
    <x v="0"/>
    <s v="jg,dj"/>
    <d v="1899-12-30T00:00:00"/>
    <d v="1899-12-30T09:47:00"/>
    <n v="33"/>
    <n v="9"/>
    <m/>
    <m/>
    <n v="587"/>
    <m/>
    <m/>
    <m/>
    <n v="0"/>
    <m/>
    <m/>
    <m/>
    <n v="0"/>
    <m/>
    <m/>
    <m/>
    <m/>
    <n v="0"/>
    <m/>
    <m/>
    <m/>
    <n v="0"/>
    <m/>
    <m/>
    <m/>
    <n v="0"/>
    <m/>
    <m/>
    <m/>
    <m/>
    <n v="0"/>
    <m/>
    <m/>
    <m/>
    <m/>
    <m/>
    <m/>
    <m/>
    <n v="0"/>
    <s v="no fish"/>
    <m/>
    <s v="20140708 JGraham"/>
    <s v="20140710LFerreira"/>
    <s v="FW_Scan_20140708.pdf"/>
    <n v="0"/>
    <n v="0"/>
    <n v="0"/>
    <n v="0"/>
    <n v="0"/>
    <n v="0"/>
    <n v="0"/>
    <n v="0"/>
    <n v="0"/>
    <n v="0"/>
    <n v="0"/>
    <n v="0"/>
    <n v="0"/>
    <n v="0"/>
    <n v="0"/>
    <n v="0"/>
    <n v="0"/>
    <n v="0"/>
    <n v="0"/>
    <n v="0"/>
  </r>
  <r>
    <x v="32"/>
    <x v="0"/>
    <s v="csj,lf"/>
    <d v="1899-12-30T09:47:00"/>
    <d v="1899-12-30T14:25:00"/>
    <n v="32"/>
    <n v="10"/>
    <m/>
    <m/>
    <n v="251"/>
    <m/>
    <m/>
    <m/>
    <n v="0"/>
    <m/>
    <m/>
    <m/>
    <n v="0"/>
    <m/>
    <m/>
    <m/>
    <m/>
    <n v="0"/>
    <m/>
    <m/>
    <m/>
    <n v="0"/>
    <m/>
    <m/>
    <m/>
    <n v="0"/>
    <m/>
    <m/>
    <m/>
    <m/>
    <n v="0"/>
    <m/>
    <m/>
    <m/>
    <m/>
    <m/>
    <m/>
    <m/>
    <n v="0"/>
    <s v="10:57-fishwheel lifted up for repairs, start 11:24, After fixing boards revs =34 sec."/>
    <m/>
    <s v="20140708 LFerreira"/>
    <s v="20140710LFerreira"/>
    <s v="FW_Scan_20140708.pdf"/>
    <n v="0"/>
    <n v="0"/>
    <n v="0"/>
    <n v="0"/>
    <n v="0"/>
    <n v="0"/>
    <n v="0"/>
    <n v="0"/>
    <n v="0"/>
    <n v="0"/>
    <n v="0"/>
    <n v="0"/>
    <n v="0"/>
    <n v="0"/>
    <n v="0"/>
    <n v="0"/>
    <n v="0"/>
    <n v="0"/>
    <n v="0"/>
    <n v="0"/>
  </r>
  <r>
    <x v="32"/>
    <x v="0"/>
    <s v="dj,hr"/>
    <d v="1899-12-30T14:25:00"/>
    <d v="1899-12-30T18:50:00"/>
    <n v="32"/>
    <n v="12"/>
    <m/>
    <n v="269.3"/>
    <n v="265"/>
    <n v="1"/>
    <m/>
    <m/>
    <n v="1"/>
    <m/>
    <m/>
    <m/>
    <n v="0"/>
    <m/>
    <m/>
    <m/>
    <m/>
    <n v="0"/>
    <m/>
    <m/>
    <m/>
    <n v="0"/>
    <m/>
    <m/>
    <m/>
    <n v="0"/>
    <m/>
    <m/>
    <m/>
    <m/>
    <n v="0"/>
    <m/>
    <m/>
    <m/>
    <m/>
    <m/>
    <m/>
    <m/>
    <n v="0"/>
    <m/>
    <m/>
    <s v="20140708 HReider"/>
    <s v="20140710LFerreira"/>
    <s v="FW_Scan_20140708.pdf"/>
    <n v="1"/>
    <n v="0"/>
    <n v="0"/>
    <n v="0"/>
    <n v="0"/>
    <n v="0"/>
    <n v="0"/>
    <n v="0"/>
    <n v="0"/>
    <n v="0"/>
    <n v="0"/>
    <n v="0"/>
    <n v="0"/>
    <n v="0"/>
    <n v="0"/>
    <n v="0"/>
    <n v="0"/>
    <n v="0"/>
    <n v="0"/>
    <n v="0"/>
  </r>
  <r>
    <x v="32"/>
    <x v="0"/>
    <s v="cs,eg"/>
    <d v="1899-12-30T18:50:00"/>
    <d v="1899-12-31T00:00:00"/>
    <n v="31"/>
    <n v="12"/>
    <m/>
    <m/>
    <n v="310"/>
    <n v="1"/>
    <m/>
    <m/>
    <n v="1"/>
    <m/>
    <m/>
    <m/>
    <n v="0"/>
    <m/>
    <m/>
    <m/>
    <m/>
    <n v="0"/>
    <m/>
    <m/>
    <m/>
    <n v="0"/>
    <m/>
    <m/>
    <m/>
    <n v="0"/>
    <m/>
    <m/>
    <m/>
    <m/>
    <n v="0"/>
    <m/>
    <m/>
    <m/>
    <m/>
    <m/>
    <m/>
    <m/>
    <n v="0"/>
    <s v="wheel fishing overnight"/>
    <s v="stop 23:28"/>
    <s v="20140708 CSejkora"/>
    <s v="20140710LFerreira"/>
    <s v="FW_Scan_20140708.pdf"/>
    <n v="1"/>
    <n v="0"/>
    <n v="0"/>
    <n v="0"/>
    <n v="0"/>
    <n v="0"/>
    <n v="0"/>
    <n v="0"/>
    <n v="0"/>
    <n v="0"/>
    <n v="0"/>
    <n v="0"/>
    <n v="0"/>
    <n v="0"/>
    <n v="0"/>
    <n v="0"/>
    <n v="0"/>
    <n v="0"/>
    <n v="0"/>
    <n v="0"/>
  </r>
  <r>
    <x v="32"/>
    <x v="2"/>
    <s v="dj,jg"/>
    <d v="1899-12-30T00:00:00"/>
    <d v="1899-12-30T09:25:00"/>
    <n v="31"/>
    <n v="11"/>
    <m/>
    <m/>
    <n v="565"/>
    <m/>
    <m/>
    <m/>
    <n v="0"/>
    <m/>
    <m/>
    <m/>
    <n v="0"/>
    <m/>
    <m/>
    <m/>
    <m/>
    <n v="0"/>
    <m/>
    <m/>
    <m/>
    <n v="0"/>
    <m/>
    <m/>
    <m/>
    <n v="0"/>
    <m/>
    <m/>
    <m/>
    <m/>
    <n v="0"/>
    <m/>
    <m/>
    <m/>
    <m/>
    <m/>
    <m/>
    <m/>
    <n v="0"/>
    <s v="no fish! :("/>
    <m/>
    <s v="20140708 JGraham"/>
    <s v="20140710LFerreira"/>
    <s v="FW_Scan_20140708.pdf"/>
    <n v="0"/>
    <n v="0"/>
    <n v="0"/>
    <n v="0"/>
    <n v="0"/>
    <n v="0"/>
    <n v="0"/>
    <n v="0"/>
    <n v="0"/>
    <n v="0"/>
    <n v="0"/>
    <n v="0"/>
    <n v="0"/>
    <n v="0"/>
    <n v="0"/>
    <n v="0"/>
    <n v="0"/>
    <n v="0"/>
    <n v="0"/>
    <n v="0"/>
  </r>
  <r>
    <x v="32"/>
    <x v="2"/>
    <s v="csj,lf"/>
    <d v="1899-12-30T09:25:00"/>
    <d v="1899-12-30T14:15:00"/>
    <n v="32"/>
    <n v="11"/>
    <m/>
    <m/>
    <n v="290.00000000000006"/>
    <m/>
    <m/>
    <m/>
    <n v="0"/>
    <m/>
    <m/>
    <m/>
    <n v="0"/>
    <m/>
    <m/>
    <m/>
    <m/>
    <n v="0"/>
    <m/>
    <m/>
    <m/>
    <n v="0"/>
    <m/>
    <m/>
    <m/>
    <n v="0"/>
    <m/>
    <m/>
    <m/>
    <m/>
    <n v="0"/>
    <n v="1"/>
    <m/>
    <m/>
    <m/>
    <m/>
    <m/>
    <m/>
    <n v="1"/>
    <m/>
    <m/>
    <s v="20140708 LFerreira"/>
    <s v="20140710LFerreira"/>
    <s v="FW_Scan_20140708.pdf"/>
    <n v="0"/>
    <n v="0"/>
    <n v="0"/>
    <n v="0"/>
    <n v="0"/>
    <n v="0"/>
    <n v="0"/>
    <n v="0"/>
    <n v="0"/>
    <n v="0"/>
    <n v="0"/>
    <n v="0"/>
    <n v="0"/>
    <n v="0"/>
    <n v="0"/>
    <n v="0"/>
    <n v="0"/>
    <n v="0"/>
    <n v="0"/>
    <n v="0"/>
  </r>
  <r>
    <x v="32"/>
    <x v="2"/>
    <s v="dj,hr"/>
    <d v="1899-12-30T14:20:00"/>
    <d v="1899-12-30T18:36:00"/>
    <n v="31"/>
    <n v="13"/>
    <m/>
    <m/>
    <n v="256.00000000000006"/>
    <n v="2"/>
    <m/>
    <m/>
    <n v="2"/>
    <m/>
    <m/>
    <m/>
    <n v="0"/>
    <m/>
    <m/>
    <m/>
    <m/>
    <n v="0"/>
    <m/>
    <m/>
    <m/>
    <n v="0"/>
    <m/>
    <m/>
    <m/>
    <n v="0"/>
    <m/>
    <m/>
    <m/>
    <m/>
    <n v="0"/>
    <m/>
    <m/>
    <m/>
    <m/>
    <m/>
    <m/>
    <m/>
    <n v="0"/>
    <m/>
    <m/>
    <s v="20140708 DJohnson"/>
    <s v="20140710LFerreira"/>
    <s v="FW_Scan_20140708.pdf"/>
    <n v="2"/>
    <n v="0"/>
    <n v="0"/>
    <n v="0"/>
    <n v="0"/>
    <n v="0"/>
    <n v="0"/>
    <n v="0"/>
    <n v="0"/>
    <n v="0"/>
    <n v="0"/>
    <n v="0"/>
    <n v="0"/>
    <n v="0"/>
    <n v="0"/>
    <n v="0"/>
    <n v="0"/>
    <n v="0"/>
    <n v="0"/>
    <n v="0"/>
  </r>
  <r>
    <x v="32"/>
    <x v="2"/>
    <s v="eg,csj"/>
    <d v="1899-12-30T18:36:00"/>
    <d v="1899-12-31T00:00:00"/>
    <n v="32"/>
    <n v="13"/>
    <m/>
    <m/>
    <n v="323.99999999999994"/>
    <n v="1"/>
    <m/>
    <m/>
    <n v="1"/>
    <m/>
    <m/>
    <m/>
    <n v="0"/>
    <m/>
    <m/>
    <m/>
    <m/>
    <n v="0"/>
    <m/>
    <m/>
    <m/>
    <n v="0"/>
    <m/>
    <m/>
    <m/>
    <n v="0"/>
    <m/>
    <m/>
    <m/>
    <m/>
    <n v="0"/>
    <m/>
    <m/>
    <m/>
    <m/>
    <m/>
    <m/>
    <m/>
    <n v="0"/>
    <m/>
    <m/>
    <s v="20140708 CSejkora"/>
    <s v="20140710LFerreira"/>
    <s v="FW_Scan_20140708.pdf"/>
    <n v="1"/>
    <n v="0"/>
    <n v="0"/>
    <n v="0"/>
    <n v="0"/>
    <n v="0"/>
    <n v="0"/>
    <n v="0"/>
    <n v="0"/>
    <n v="0"/>
    <n v="0"/>
    <n v="0"/>
    <n v="0"/>
    <n v="0"/>
    <n v="0"/>
    <n v="0"/>
    <n v="0"/>
    <n v="0"/>
    <n v="0"/>
    <n v="0"/>
  </r>
  <r>
    <x v="32"/>
    <x v="1"/>
    <s v="jb,hr"/>
    <d v="1899-12-30T05:52:00"/>
    <d v="1899-12-30T09:45:00"/>
    <n v="34"/>
    <n v="11"/>
    <m/>
    <m/>
    <n v="232.99999999999997"/>
    <n v="1"/>
    <m/>
    <m/>
    <n v="1"/>
    <m/>
    <m/>
    <m/>
    <n v="0"/>
    <m/>
    <m/>
    <m/>
    <m/>
    <n v="0"/>
    <m/>
    <m/>
    <m/>
    <n v="0"/>
    <m/>
    <m/>
    <m/>
    <n v="0"/>
    <m/>
    <m/>
    <m/>
    <m/>
    <n v="0"/>
    <m/>
    <m/>
    <m/>
    <m/>
    <m/>
    <m/>
    <m/>
    <n v="0"/>
    <m/>
    <m/>
    <s v="20140708 HReider"/>
    <s v="20140710LFerreira"/>
    <s v="FW_Scan_20140708.pdf"/>
    <n v="1"/>
    <n v="0"/>
    <n v="0"/>
    <n v="0"/>
    <n v="0"/>
    <n v="0"/>
    <n v="0"/>
    <n v="0"/>
    <n v="0"/>
    <n v="0"/>
    <n v="0"/>
    <n v="0"/>
    <n v="0"/>
    <n v="0"/>
    <n v="0"/>
    <n v="0"/>
    <n v="0"/>
    <n v="0"/>
    <n v="0"/>
    <n v="0"/>
  </r>
  <r>
    <x v="32"/>
    <x v="1"/>
    <s v="eg,jk"/>
    <d v="1899-12-30T09:45:00"/>
    <d v="1899-12-30T14:15:00"/>
    <n v="33"/>
    <n v="11"/>
    <m/>
    <m/>
    <n v="253"/>
    <n v="1"/>
    <m/>
    <m/>
    <n v="1"/>
    <m/>
    <m/>
    <m/>
    <n v="0"/>
    <m/>
    <m/>
    <m/>
    <m/>
    <n v="0"/>
    <m/>
    <m/>
    <m/>
    <n v="0"/>
    <m/>
    <m/>
    <m/>
    <n v="0"/>
    <m/>
    <m/>
    <m/>
    <m/>
    <n v="0"/>
    <m/>
    <m/>
    <m/>
    <m/>
    <m/>
    <m/>
    <m/>
    <n v="0"/>
    <s v="FW stopped at 11:55 to mend line on baskets; fishing/fw down at 12:12"/>
    <m/>
    <s v="20140708 JKunzler"/>
    <s v="20140710LFerreira"/>
    <s v="FW_Scan_20140708.pdf"/>
    <n v="1"/>
    <n v="0"/>
    <n v="0"/>
    <n v="0"/>
    <n v="0"/>
    <n v="0"/>
    <n v="0"/>
    <n v="0"/>
    <n v="0"/>
    <n v="0"/>
    <n v="0"/>
    <n v="0"/>
    <n v="0"/>
    <n v="0"/>
    <n v="0"/>
    <n v="0"/>
    <n v="0"/>
    <n v="0"/>
    <n v="0"/>
    <n v="0"/>
  </r>
  <r>
    <x v="32"/>
    <x v="1"/>
    <s v="jb,jg"/>
    <d v="1899-12-30T14:15:00"/>
    <d v="1899-12-30T18:47:00"/>
    <n v="35"/>
    <n v="12"/>
    <m/>
    <m/>
    <n v="272.00000000000017"/>
    <n v="1"/>
    <m/>
    <m/>
    <n v="1"/>
    <m/>
    <m/>
    <m/>
    <n v="0"/>
    <m/>
    <m/>
    <m/>
    <m/>
    <n v="0"/>
    <m/>
    <m/>
    <m/>
    <n v="0"/>
    <m/>
    <m/>
    <m/>
    <n v="0"/>
    <m/>
    <m/>
    <m/>
    <m/>
    <n v="0"/>
    <m/>
    <m/>
    <n v="1"/>
    <m/>
    <m/>
    <m/>
    <m/>
    <n v="1"/>
    <m/>
    <m/>
    <s v="20140708 JGraham"/>
    <s v="20140710LFerreira"/>
    <s v="FW_Scan_20140708.pdf"/>
    <n v="1"/>
    <n v="0"/>
    <n v="0"/>
    <n v="0"/>
    <n v="0"/>
    <n v="0"/>
    <n v="0"/>
    <n v="0"/>
    <n v="0"/>
    <n v="0"/>
    <n v="0"/>
    <n v="0"/>
    <n v="0"/>
    <n v="0"/>
    <n v="0"/>
    <n v="0"/>
    <n v="0"/>
    <n v="0"/>
    <n v="0"/>
    <n v="0"/>
  </r>
  <r>
    <x v="32"/>
    <x v="1"/>
    <s v="lf,jk"/>
    <d v="1899-12-30T18:47:00"/>
    <d v="1899-12-31T00:00:00"/>
    <n v="36"/>
    <n v="13"/>
    <m/>
    <m/>
    <n v="312.99999999999983"/>
    <n v="2"/>
    <m/>
    <m/>
    <n v="2"/>
    <m/>
    <m/>
    <m/>
    <n v="0"/>
    <m/>
    <m/>
    <m/>
    <m/>
    <n v="0"/>
    <m/>
    <m/>
    <m/>
    <n v="0"/>
    <m/>
    <m/>
    <m/>
    <n v="0"/>
    <m/>
    <m/>
    <m/>
    <m/>
    <n v="0"/>
    <m/>
    <m/>
    <m/>
    <m/>
    <m/>
    <m/>
    <m/>
    <n v="0"/>
    <m/>
    <m/>
    <s v="20140708 LFerreira"/>
    <s v="20140710LFerreira"/>
    <s v="FW_Scan_20140708.pdf"/>
    <n v="2"/>
    <n v="0"/>
    <n v="0"/>
    <n v="0"/>
    <n v="0"/>
    <n v="0"/>
    <n v="0"/>
    <n v="0"/>
    <n v="0"/>
    <n v="0"/>
    <n v="0"/>
    <n v="0"/>
    <n v="0"/>
    <n v="0"/>
    <n v="0"/>
    <n v="0"/>
    <n v="0"/>
    <n v="0"/>
    <n v="0"/>
    <n v="0"/>
  </r>
  <r>
    <x v="33"/>
    <x v="0"/>
    <s v="jg,dj"/>
    <d v="1899-12-30T00:00:00"/>
    <d v="1899-12-30T09:50:00"/>
    <n v="33"/>
    <n v="10"/>
    <m/>
    <m/>
    <n v="590"/>
    <n v="4"/>
    <m/>
    <m/>
    <n v="4"/>
    <m/>
    <m/>
    <m/>
    <n v="0"/>
    <m/>
    <m/>
    <m/>
    <m/>
    <n v="0"/>
    <m/>
    <m/>
    <m/>
    <n v="0"/>
    <m/>
    <m/>
    <m/>
    <n v="0"/>
    <m/>
    <m/>
    <m/>
    <m/>
    <n v="0"/>
    <m/>
    <n v="1"/>
    <m/>
    <m/>
    <m/>
    <m/>
    <m/>
    <n v="1"/>
    <s v="fished overnight"/>
    <m/>
    <s v="20140709 JGraham"/>
    <s v="20140710LFerreira"/>
    <s v="FW_Scan_20140709.pdf"/>
    <n v="4"/>
    <n v="0"/>
    <n v="0"/>
    <n v="0"/>
    <n v="0"/>
    <n v="0"/>
    <n v="0"/>
    <n v="0"/>
    <n v="0"/>
    <n v="0"/>
    <n v="0"/>
    <n v="0"/>
    <n v="0"/>
    <n v="0"/>
    <n v="0"/>
    <n v="0"/>
    <n v="0"/>
    <n v="0"/>
    <n v="0"/>
    <n v="0"/>
  </r>
  <r>
    <x v="33"/>
    <x v="0"/>
    <s v="csj,lf"/>
    <d v="1899-12-30T09:50:00"/>
    <d v="1899-12-30T14:38:00"/>
    <n v="33"/>
    <n v="10"/>
    <m/>
    <m/>
    <n v="279.99999999999983"/>
    <n v="1"/>
    <m/>
    <n v="1"/>
    <n v="2"/>
    <m/>
    <m/>
    <m/>
    <n v="0"/>
    <m/>
    <m/>
    <m/>
    <m/>
    <n v="0"/>
    <m/>
    <m/>
    <m/>
    <n v="0"/>
    <m/>
    <m/>
    <m/>
    <n v="0"/>
    <m/>
    <m/>
    <m/>
    <m/>
    <n v="0"/>
    <m/>
    <m/>
    <m/>
    <m/>
    <m/>
    <m/>
    <m/>
    <n v="0"/>
    <s v="wheel shut down from 14:28 to 14:36 to tie net"/>
    <m/>
    <s v="20140709 LFerreira"/>
    <s v="20140710LFerreira"/>
    <s v="FW_Scan_20140709.pdf"/>
    <n v="1"/>
    <n v="0"/>
    <n v="1"/>
    <n v="0"/>
    <n v="0"/>
    <n v="0"/>
    <n v="0"/>
    <n v="0"/>
    <n v="0"/>
    <n v="0"/>
    <n v="0"/>
    <n v="0"/>
    <n v="0"/>
    <n v="0"/>
    <n v="0"/>
    <n v="0"/>
    <n v="0"/>
    <n v="0"/>
    <n v="0"/>
    <n v="0"/>
  </r>
  <r>
    <x v="33"/>
    <x v="0"/>
    <s v="hr,dj"/>
    <d v="1899-12-30T14:38:00"/>
    <d v="1899-12-30T18:55:00"/>
    <n v="37"/>
    <n v="10"/>
    <m/>
    <m/>
    <n v="257.00000000000023"/>
    <n v="3"/>
    <m/>
    <m/>
    <n v="3"/>
    <m/>
    <m/>
    <m/>
    <n v="0"/>
    <m/>
    <m/>
    <m/>
    <m/>
    <n v="0"/>
    <m/>
    <m/>
    <m/>
    <n v="0"/>
    <m/>
    <m/>
    <m/>
    <n v="0"/>
    <m/>
    <m/>
    <m/>
    <m/>
    <n v="0"/>
    <m/>
    <m/>
    <m/>
    <m/>
    <m/>
    <m/>
    <m/>
    <n v="0"/>
    <s v="wheel hitting (B3), raised 18:50"/>
    <m/>
    <s v="20140709 DJohnson"/>
    <s v="20140710LFerreira"/>
    <s v="FW_Scan_20140709.pdf"/>
    <n v="3"/>
    <n v="0"/>
    <n v="0"/>
    <n v="0"/>
    <n v="0"/>
    <n v="0"/>
    <n v="0"/>
    <n v="0"/>
    <n v="0"/>
    <n v="0"/>
    <n v="0"/>
    <n v="0"/>
    <n v="0"/>
    <n v="0"/>
    <n v="0"/>
    <n v="0"/>
    <n v="0"/>
    <n v="0"/>
    <n v="0"/>
    <n v="0"/>
  </r>
  <r>
    <x v="33"/>
    <x v="0"/>
    <s v="eg,csj"/>
    <d v="1899-12-30T18:55:00"/>
    <d v="1899-12-31T00:00:00"/>
    <n v="31"/>
    <n v="11"/>
    <m/>
    <m/>
    <n v="304.99999999999989"/>
    <n v="1"/>
    <m/>
    <m/>
    <n v="1"/>
    <m/>
    <n v="1"/>
    <m/>
    <n v="1"/>
    <m/>
    <m/>
    <m/>
    <m/>
    <n v="0"/>
    <m/>
    <m/>
    <m/>
    <n v="0"/>
    <m/>
    <m/>
    <m/>
    <n v="0"/>
    <m/>
    <m/>
    <m/>
    <m/>
    <n v="0"/>
    <m/>
    <m/>
    <m/>
    <m/>
    <m/>
    <m/>
    <m/>
    <n v="0"/>
    <s v="moved wheel out 19:15, wheel fishing overnight"/>
    <m/>
    <s v="20140709 CSejkora"/>
    <s v="20140710LFerreira"/>
    <s v="FW_Scan_20140709.pdf"/>
    <n v="1"/>
    <n v="0"/>
    <n v="0"/>
    <n v="0"/>
    <n v="1"/>
    <n v="0"/>
    <n v="0"/>
    <n v="0"/>
    <n v="0"/>
    <n v="0"/>
    <n v="0"/>
    <n v="0"/>
    <n v="0"/>
    <n v="0"/>
    <n v="0"/>
    <n v="0"/>
    <n v="0"/>
    <n v="0"/>
    <n v="0"/>
    <n v="0"/>
  </r>
  <r>
    <x v="33"/>
    <x v="2"/>
    <s v="dj,jg"/>
    <d v="1899-12-30T00:00:00"/>
    <d v="1899-12-30T09:22:00"/>
    <n v="33"/>
    <n v="12"/>
    <m/>
    <m/>
    <n v="562"/>
    <n v="1"/>
    <m/>
    <m/>
    <n v="1"/>
    <m/>
    <n v="1"/>
    <m/>
    <n v="1"/>
    <m/>
    <m/>
    <m/>
    <m/>
    <n v="0"/>
    <m/>
    <m/>
    <m/>
    <n v="0"/>
    <m/>
    <m/>
    <m/>
    <n v="0"/>
    <m/>
    <m/>
    <m/>
    <m/>
    <n v="0"/>
    <m/>
    <m/>
    <m/>
    <m/>
    <m/>
    <m/>
    <m/>
    <n v="0"/>
    <s v="fished overnight, wheel hitting bottom when we got here"/>
    <m/>
    <s v="20140709 JGraham"/>
    <s v="20140710LFerreira"/>
    <s v="FW_Scan_20140709.pdf"/>
    <n v="1"/>
    <n v="0"/>
    <n v="0"/>
    <n v="0"/>
    <n v="1"/>
    <n v="0"/>
    <n v="0"/>
    <n v="0"/>
    <n v="0"/>
    <n v="0"/>
    <n v="0"/>
    <n v="0"/>
    <n v="0"/>
    <n v="0"/>
    <n v="0"/>
    <n v="0"/>
    <n v="0"/>
    <n v="0"/>
    <n v="0"/>
    <n v="0"/>
  </r>
  <r>
    <x v="33"/>
    <x v="2"/>
    <s v="lf,csj"/>
    <d v="1899-12-30T09:22:00"/>
    <d v="1899-12-30T14:01:00"/>
    <n v="35"/>
    <n v="12"/>
    <m/>
    <m/>
    <n v="279"/>
    <n v="1"/>
    <m/>
    <m/>
    <n v="1"/>
    <m/>
    <m/>
    <m/>
    <n v="0"/>
    <m/>
    <m/>
    <m/>
    <m/>
    <n v="0"/>
    <m/>
    <m/>
    <m/>
    <n v="0"/>
    <m/>
    <m/>
    <m/>
    <n v="0"/>
    <m/>
    <m/>
    <m/>
    <m/>
    <n v="0"/>
    <m/>
    <m/>
    <m/>
    <m/>
    <m/>
    <m/>
    <m/>
    <n v="0"/>
    <m/>
    <m/>
    <s v="20140709 CSejkora"/>
    <s v="20140710LFerreira"/>
    <s v="FW_Scan_20140709.pdf"/>
    <n v="1"/>
    <n v="0"/>
    <n v="0"/>
    <n v="0"/>
    <n v="0"/>
    <n v="0"/>
    <n v="0"/>
    <n v="0"/>
    <n v="0"/>
    <n v="0"/>
    <n v="0"/>
    <n v="0"/>
    <n v="0"/>
    <n v="0"/>
    <n v="0"/>
    <n v="0"/>
    <n v="0"/>
    <n v="0"/>
    <n v="0"/>
    <n v="0"/>
  </r>
  <r>
    <x v="33"/>
    <x v="2"/>
    <s v="hr,dj"/>
    <d v="1899-12-30T14:01:00"/>
    <d v="1899-12-30T18:12:00"/>
    <n v="32"/>
    <n v="12"/>
    <m/>
    <m/>
    <n v="250.99999999999991"/>
    <m/>
    <m/>
    <m/>
    <n v="0"/>
    <m/>
    <m/>
    <m/>
    <n v="0"/>
    <m/>
    <m/>
    <m/>
    <m/>
    <n v="0"/>
    <m/>
    <m/>
    <m/>
    <n v="0"/>
    <m/>
    <m/>
    <m/>
    <n v="0"/>
    <m/>
    <m/>
    <m/>
    <m/>
    <n v="0"/>
    <m/>
    <m/>
    <m/>
    <m/>
    <m/>
    <m/>
    <m/>
    <n v="0"/>
    <s v="moved fishwheel out at 15:00, away from bank"/>
    <m/>
    <s v="20140709 HReider"/>
    <s v="20140710LFerreira"/>
    <s v="FW_Scan_20140709.pdf"/>
    <n v="0"/>
    <n v="0"/>
    <n v="0"/>
    <n v="0"/>
    <n v="0"/>
    <n v="0"/>
    <n v="0"/>
    <n v="0"/>
    <n v="0"/>
    <n v="0"/>
    <n v="0"/>
    <n v="0"/>
    <n v="0"/>
    <n v="0"/>
    <n v="0"/>
    <n v="0"/>
    <n v="0"/>
    <n v="0"/>
    <n v="0"/>
    <n v="0"/>
  </r>
  <r>
    <x v="33"/>
    <x v="2"/>
    <s v="csj,eg"/>
    <d v="1899-12-30T18:12:00"/>
    <d v="1899-12-31T00:00:00"/>
    <n v="32"/>
    <n v="11"/>
    <m/>
    <m/>
    <n v="348.00000000000006"/>
    <m/>
    <m/>
    <m/>
    <n v="0"/>
    <m/>
    <m/>
    <m/>
    <n v="0"/>
    <m/>
    <m/>
    <m/>
    <m/>
    <n v="0"/>
    <m/>
    <m/>
    <m/>
    <n v="0"/>
    <m/>
    <m/>
    <m/>
    <n v="0"/>
    <m/>
    <m/>
    <m/>
    <m/>
    <n v="0"/>
    <m/>
    <m/>
    <m/>
    <m/>
    <m/>
    <m/>
    <m/>
    <n v="0"/>
    <s v="fished wheel overnight"/>
    <m/>
    <s v="20140709 EGora"/>
    <s v="20140710LFerreira"/>
    <s v="FW_Scan_20140709.pdf"/>
    <n v="0"/>
    <n v="0"/>
    <n v="0"/>
    <n v="0"/>
    <n v="0"/>
    <n v="0"/>
    <n v="0"/>
    <n v="0"/>
    <n v="0"/>
    <n v="0"/>
    <n v="0"/>
    <n v="0"/>
    <n v="0"/>
    <n v="0"/>
    <n v="0"/>
    <n v="0"/>
    <n v="0"/>
    <n v="0"/>
    <n v="0"/>
    <n v="0"/>
  </r>
  <r>
    <x v="33"/>
    <x v="1"/>
    <s v="jb,hr"/>
    <d v="1899-12-30T00:00:00"/>
    <d v="1899-12-30T09:47:00"/>
    <n v="35"/>
    <n v="11.5"/>
    <m/>
    <m/>
    <n v="587"/>
    <n v="2"/>
    <m/>
    <m/>
    <n v="2"/>
    <m/>
    <m/>
    <m/>
    <n v="0"/>
    <m/>
    <m/>
    <m/>
    <m/>
    <n v="0"/>
    <m/>
    <m/>
    <m/>
    <n v="0"/>
    <m/>
    <m/>
    <m/>
    <n v="0"/>
    <m/>
    <m/>
    <m/>
    <m/>
    <n v="0"/>
    <m/>
    <m/>
    <m/>
    <m/>
    <m/>
    <m/>
    <m/>
    <n v="0"/>
    <m/>
    <m/>
    <s v="20140709 JBerry"/>
    <s v="20140710LFerreira"/>
    <s v="FW_Scan_20140709.pdf"/>
    <n v="2"/>
    <n v="0"/>
    <n v="0"/>
    <n v="0"/>
    <n v="0"/>
    <n v="0"/>
    <n v="0"/>
    <n v="0"/>
    <n v="0"/>
    <n v="0"/>
    <n v="0"/>
    <n v="0"/>
    <n v="0"/>
    <n v="0"/>
    <n v="0"/>
    <n v="0"/>
    <n v="0"/>
    <n v="0"/>
    <n v="0"/>
    <n v="0"/>
  </r>
  <r>
    <x v="33"/>
    <x v="1"/>
    <s v="eg,jk"/>
    <d v="1899-12-30T09:47:00"/>
    <d v="1899-12-30T14:22:00"/>
    <n v="34"/>
    <n v="11"/>
    <m/>
    <m/>
    <n v="275"/>
    <n v="4"/>
    <m/>
    <m/>
    <n v="4"/>
    <m/>
    <m/>
    <m/>
    <n v="0"/>
    <m/>
    <m/>
    <m/>
    <m/>
    <n v="0"/>
    <m/>
    <m/>
    <m/>
    <n v="0"/>
    <m/>
    <m/>
    <m/>
    <n v="0"/>
    <m/>
    <m/>
    <m/>
    <m/>
    <n v="0"/>
    <m/>
    <m/>
    <m/>
    <m/>
    <m/>
    <m/>
    <m/>
    <n v="0"/>
    <m/>
    <m/>
    <s v="20140709 EGora"/>
    <s v="20140710LFerreira"/>
    <s v="FW_Scan_20140709.pdf"/>
    <n v="4"/>
    <n v="0"/>
    <n v="0"/>
    <n v="0"/>
    <n v="0"/>
    <n v="0"/>
    <n v="0"/>
    <n v="0"/>
    <n v="0"/>
    <n v="0"/>
    <n v="0"/>
    <n v="0"/>
    <n v="0"/>
    <n v="0"/>
    <n v="0"/>
    <n v="0"/>
    <n v="0"/>
    <n v="0"/>
    <n v="0"/>
    <n v="0"/>
  </r>
  <r>
    <x v="33"/>
    <x v="1"/>
    <s v="jb,jg"/>
    <d v="1899-12-30T14:22:00"/>
    <d v="1899-12-30T18:48:00"/>
    <n v="36"/>
    <n v="12"/>
    <m/>
    <m/>
    <n v="266"/>
    <n v="1"/>
    <n v="1"/>
    <m/>
    <n v="2"/>
    <m/>
    <m/>
    <m/>
    <n v="0"/>
    <m/>
    <m/>
    <m/>
    <m/>
    <n v="0"/>
    <m/>
    <m/>
    <m/>
    <n v="0"/>
    <m/>
    <m/>
    <m/>
    <n v="0"/>
    <m/>
    <m/>
    <m/>
    <m/>
    <n v="0"/>
    <m/>
    <m/>
    <n v="1"/>
    <m/>
    <m/>
    <m/>
    <m/>
    <n v="1"/>
    <m/>
    <m/>
    <s v="20140709 JBerry"/>
    <s v="20140710LFerreira"/>
    <s v="FW_Scan_20140709.pdf"/>
    <n v="1"/>
    <n v="1"/>
    <n v="0"/>
    <n v="0"/>
    <n v="0"/>
    <n v="0"/>
    <n v="0"/>
    <n v="0"/>
    <n v="0"/>
    <n v="0"/>
    <n v="0"/>
    <n v="0"/>
    <n v="0"/>
    <n v="0"/>
    <n v="0"/>
    <n v="0"/>
    <n v="0"/>
    <n v="0"/>
    <n v="0"/>
    <n v="0"/>
  </r>
  <r>
    <x v="33"/>
    <x v="1"/>
    <s v="jk,lf"/>
    <d v="1899-12-30T19:20:00"/>
    <d v="1899-12-31T00:00:00"/>
    <n v="38"/>
    <n v="12"/>
    <m/>
    <m/>
    <n v="266.00000000000011"/>
    <n v="1"/>
    <n v="2"/>
    <n v="1"/>
    <n v="4"/>
    <m/>
    <m/>
    <m/>
    <n v="0"/>
    <m/>
    <m/>
    <m/>
    <m/>
    <n v="0"/>
    <m/>
    <m/>
    <m/>
    <n v="0"/>
    <m/>
    <m/>
    <m/>
    <n v="0"/>
    <m/>
    <m/>
    <m/>
    <m/>
    <n v="0"/>
    <n v="2"/>
    <m/>
    <m/>
    <m/>
    <n v="1"/>
    <m/>
    <m/>
    <n v="3"/>
    <s v="stopped wheel at 22:01-2215 to mend line on baskets"/>
    <m/>
    <s v="20140709 JKunzler"/>
    <s v="20140710LFerreira"/>
    <s v="FW_Scan_20140709.pdf"/>
    <n v="1"/>
    <n v="2"/>
    <n v="1"/>
    <n v="0"/>
    <n v="0"/>
    <n v="0"/>
    <n v="0"/>
    <n v="0"/>
    <n v="0"/>
    <n v="0"/>
    <n v="0"/>
    <n v="0"/>
    <n v="0"/>
    <n v="0"/>
    <n v="0"/>
    <n v="0"/>
    <n v="0"/>
    <n v="0"/>
    <n v="0"/>
    <n v="0"/>
  </r>
  <r>
    <x v="34"/>
    <x v="0"/>
    <s v="jb,dj"/>
    <d v="1899-12-30T00:00:00"/>
    <d v="1899-12-30T09:40:00"/>
    <n v="35"/>
    <n v="12"/>
    <m/>
    <m/>
    <n v="580"/>
    <n v="4"/>
    <m/>
    <m/>
    <n v="4"/>
    <m/>
    <n v="1"/>
    <m/>
    <n v="1"/>
    <m/>
    <m/>
    <m/>
    <m/>
    <n v="0"/>
    <m/>
    <m/>
    <m/>
    <n v="0"/>
    <m/>
    <m/>
    <m/>
    <n v="0"/>
    <m/>
    <m/>
    <m/>
    <m/>
    <n v="0"/>
    <n v="1"/>
    <m/>
    <m/>
    <m/>
    <m/>
    <m/>
    <m/>
    <n v="1"/>
    <m/>
    <m/>
    <s v="20140710 JBerry"/>
    <s v="20140711 DRobichaud"/>
    <s v="FW_Scan_20140710_qc2.pdf"/>
    <n v="4"/>
    <n v="0"/>
    <n v="0"/>
    <n v="0"/>
    <n v="1"/>
    <n v="0"/>
    <n v="0"/>
    <n v="0"/>
    <n v="0"/>
    <n v="0"/>
    <n v="0"/>
    <n v="0"/>
    <n v="0"/>
    <n v="0"/>
    <n v="0"/>
    <n v="0"/>
    <n v="0"/>
    <n v="0"/>
    <n v="0"/>
    <n v="0"/>
  </r>
  <r>
    <x v="34"/>
    <x v="0"/>
    <s v="csj,jk"/>
    <d v="1899-12-30T09:40:00"/>
    <d v="1899-12-30T14:20:00"/>
    <n v="35"/>
    <n v="12"/>
    <m/>
    <m/>
    <n v="280.00000000000006"/>
    <m/>
    <m/>
    <m/>
    <n v="0"/>
    <m/>
    <m/>
    <m/>
    <n v="0"/>
    <m/>
    <m/>
    <m/>
    <m/>
    <n v="0"/>
    <m/>
    <m/>
    <m/>
    <n v="0"/>
    <m/>
    <m/>
    <m/>
    <n v="0"/>
    <m/>
    <m/>
    <m/>
    <m/>
    <n v="0"/>
    <m/>
    <m/>
    <m/>
    <m/>
    <m/>
    <m/>
    <m/>
    <n v="0"/>
    <m/>
    <s v="no fish!  "/>
    <s v="20140710 JKunzler"/>
    <s v="20140711 DRobichaud"/>
    <s v="FW_Scan_20140710_qc2.pdf"/>
    <n v="0"/>
    <n v="0"/>
    <n v="0"/>
    <n v="0"/>
    <n v="0"/>
    <n v="0"/>
    <n v="0"/>
    <n v="0"/>
    <n v="0"/>
    <n v="0"/>
    <n v="0"/>
    <n v="0"/>
    <n v="0"/>
    <n v="0"/>
    <n v="0"/>
    <n v="0"/>
    <n v="0"/>
    <n v="0"/>
    <n v="0"/>
    <n v="0"/>
  </r>
  <r>
    <x v="34"/>
    <x v="0"/>
    <s v="hr,dj"/>
    <d v="1899-12-30T14:20:00"/>
    <d v="1899-12-30T18:15:00"/>
    <n v="34"/>
    <n v="10"/>
    <m/>
    <n v="66.3"/>
    <n v="234.99999999999997"/>
    <m/>
    <m/>
    <m/>
    <n v="0"/>
    <m/>
    <m/>
    <m/>
    <n v="0"/>
    <m/>
    <m/>
    <m/>
    <m/>
    <n v="0"/>
    <m/>
    <m/>
    <m/>
    <n v="0"/>
    <m/>
    <m/>
    <m/>
    <n v="0"/>
    <m/>
    <m/>
    <m/>
    <m/>
    <n v="0"/>
    <m/>
    <m/>
    <m/>
    <m/>
    <m/>
    <m/>
    <m/>
    <n v="0"/>
    <m/>
    <s v="no fish"/>
    <s v="20140710 HReider"/>
    <s v="20140711 DRobichaud"/>
    <s v="FW_Scan_20140710_qc2.pdf"/>
    <n v="0"/>
    <n v="0"/>
    <n v="0"/>
    <n v="0"/>
    <n v="0"/>
    <n v="0"/>
    <n v="0"/>
    <n v="0"/>
    <n v="0"/>
    <n v="0"/>
    <n v="0"/>
    <n v="0"/>
    <n v="0"/>
    <n v="0"/>
    <n v="0"/>
    <n v="0"/>
    <n v="0"/>
    <n v="0"/>
    <n v="0"/>
    <n v="0"/>
  </r>
  <r>
    <x v="34"/>
    <x v="0"/>
    <s v="lf,csj"/>
    <d v="1899-12-30T18:15:00"/>
    <d v="1899-12-31T00:00:00"/>
    <n v="33"/>
    <n v="10"/>
    <m/>
    <m/>
    <n v="345.00000000000006"/>
    <m/>
    <m/>
    <m/>
    <n v="0"/>
    <m/>
    <m/>
    <m/>
    <n v="0"/>
    <m/>
    <m/>
    <m/>
    <m/>
    <n v="0"/>
    <m/>
    <m/>
    <m/>
    <n v="0"/>
    <m/>
    <m/>
    <m/>
    <n v="0"/>
    <m/>
    <m/>
    <m/>
    <m/>
    <n v="0"/>
    <m/>
    <m/>
    <m/>
    <m/>
    <m/>
    <m/>
    <m/>
    <n v="0"/>
    <s v="fishwheel ran overnight"/>
    <s v="no fish"/>
    <s v="20140710 LFerreira"/>
    <s v="20140711 DRobichaud"/>
    <s v="FW_Scan_20140710_qc2.pdf"/>
    <n v="0"/>
    <n v="0"/>
    <n v="0"/>
    <n v="0"/>
    <n v="0"/>
    <n v="0"/>
    <n v="0"/>
    <n v="0"/>
    <n v="0"/>
    <n v="0"/>
    <n v="0"/>
    <n v="0"/>
    <n v="0"/>
    <n v="0"/>
    <n v="0"/>
    <n v="0"/>
    <n v="0"/>
    <n v="0"/>
    <n v="0"/>
    <n v="0"/>
  </r>
  <r>
    <x v="34"/>
    <x v="2"/>
    <s v="jb,dj"/>
    <d v="1899-12-30T00:00:00"/>
    <d v="1899-12-30T09:30:00"/>
    <n v="32"/>
    <n v="12"/>
    <m/>
    <m/>
    <n v="570"/>
    <n v="1"/>
    <m/>
    <m/>
    <n v="1"/>
    <m/>
    <m/>
    <m/>
    <n v="0"/>
    <m/>
    <m/>
    <m/>
    <m/>
    <n v="0"/>
    <m/>
    <m/>
    <m/>
    <n v="0"/>
    <m/>
    <m/>
    <m/>
    <n v="0"/>
    <m/>
    <m/>
    <m/>
    <m/>
    <n v="0"/>
    <m/>
    <m/>
    <m/>
    <m/>
    <m/>
    <m/>
    <m/>
    <n v="0"/>
    <m/>
    <m/>
    <s v="20140710 HReider"/>
    <s v="20140711 DRobichaud"/>
    <s v="FW_Scan_20140710_qc2.pdf"/>
    <n v="1"/>
    <n v="0"/>
    <n v="0"/>
    <n v="0"/>
    <n v="0"/>
    <n v="0"/>
    <n v="0"/>
    <n v="0"/>
    <n v="0"/>
    <n v="0"/>
    <n v="0"/>
    <n v="0"/>
    <n v="0"/>
    <n v="0"/>
    <n v="0"/>
    <n v="0"/>
    <n v="0"/>
    <n v="0"/>
    <n v="0"/>
    <n v="0"/>
  </r>
  <r>
    <x v="34"/>
    <x v="2"/>
    <s v="jk,csj"/>
    <d v="1899-12-30T09:30:00"/>
    <d v="1899-12-30T14:12:00"/>
    <n v="33"/>
    <n v="12"/>
    <m/>
    <m/>
    <n v="282.00000000000006"/>
    <n v="1"/>
    <m/>
    <m/>
    <n v="1"/>
    <m/>
    <m/>
    <m/>
    <n v="0"/>
    <m/>
    <m/>
    <m/>
    <m/>
    <n v="0"/>
    <m/>
    <m/>
    <m/>
    <n v="0"/>
    <m/>
    <m/>
    <m/>
    <n v="0"/>
    <m/>
    <m/>
    <m/>
    <m/>
    <n v="0"/>
    <m/>
    <m/>
    <m/>
    <m/>
    <m/>
    <m/>
    <m/>
    <n v="0"/>
    <m/>
    <m/>
    <s v="20140710 Csejkora"/>
    <s v="20140711 DRobichaud"/>
    <s v="FW_Scan_20140710_qc2.pdf"/>
    <n v="1"/>
    <n v="0"/>
    <n v="0"/>
    <n v="0"/>
    <n v="0"/>
    <n v="0"/>
    <n v="0"/>
    <n v="0"/>
    <n v="0"/>
    <n v="0"/>
    <n v="0"/>
    <n v="0"/>
    <n v="0"/>
    <n v="0"/>
    <n v="0"/>
    <n v="0"/>
    <n v="0"/>
    <n v="0"/>
    <n v="0"/>
    <n v="0"/>
  </r>
  <r>
    <x v="34"/>
    <x v="2"/>
    <s v="hr,dj"/>
    <d v="1899-12-30T14:12:00"/>
    <d v="1899-12-30T18:10:00"/>
    <n v="31"/>
    <n v="14"/>
    <m/>
    <m/>
    <n v="238.00000000000011"/>
    <m/>
    <m/>
    <m/>
    <n v="0"/>
    <m/>
    <m/>
    <m/>
    <n v="0"/>
    <m/>
    <m/>
    <m/>
    <m/>
    <n v="0"/>
    <m/>
    <m/>
    <m/>
    <n v="0"/>
    <m/>
    <m/>
    <m/>
    <n v="0"/>
    <m/>
    <m/>
    <m/>
    <m/>
    <n v="0"/>
    <m/>
    <m/>
    <m/>
    <m/>
    <m/>
    <m/>
    <m/>
    <n v="0"/>
    <m/>
    <s v="no fish"/>
    <s v="20140710 HReider"/>
    <s v="20140711 DRobichaud"/>
    <s v="FW_Scan_20140710_qc2.pdf"/>
    <n v="0"/>
    <n v="0"/>
    <n v="0"/>
    <n v="0"/>
    <n v="0"/>
    <n v="0"/>
    <n v="0"/>
    <n v="0"/>
    <n v="0"/>
    <n v="0"/>
    <n v="0"/>
    <n v="0"/>
    <n v="0"/>
    <n v="0"/>
    <n v="0"/>
    <n v="0"/>
    <n v="0"/>
    <n v="0"/>
    <n v="0"/>
    <n v="0"/>
  </r>
  <r>
    <x v="34"/>
    <x v="2"/>
    <s v="csj,lf"/>
    <d v="1899-12-30T18:10:00"/>
    <d v="1899-12-31T00:00:00"/>
    <n v="33"/>
    <n v="12"/>
    <m/>
    <m/>
    <n v="349.99999999999989"/>
    <m/>
    <m/>
    <m/>
    <n v="0"/>
    <m/>
    <n v="1"/>
    <m/>
    <n v="1"/>
    <n v="1"/>
    <m/>
    <m/>
    <m/>
    <n v="1"/>
    <m/>
    <m/>
    <m/>
    <n v="0"/>
    <m/>
    <m/>
    <m/>
    <n v="0"/>
    <m/>
    <m/>
    <m/>
    <m/>
    <n v="0"/>
    <m/>
    <m/>
    <m/>
    <m/>
    <m/>
    <m/>
    <m/>
    <n v="0"/>
    <s v="fishwheel ran overnight"/>
    <m/>
    <s v="20140710 LFerreira"/>
    <s v="20140711 DRobichaud"/>
    <s v="FW_Scan_20140710_qc2.pdf"/>
    <n v="0"/>
    <n v="0"/>
    <n v="0"/>
    <n v="0"/>
    <n v="1"/>
    <n v="0"/>
    <n v="1"/>
    <n v="0"/>
    <n v="0"/>
    <n v="0"/>
    <n v="0"/>
    <n v="0"/>
    <n v="0"/>
    <n v="0"/>
    <n v="0"/>
    <n v="0"/>
    <n v="0"/>
    <n v="0"/>
    <n v="0"/>
    <n v="0"/>
  </r>
  <r>
    <x v="34"/>
    <x v="1"/>
    <s v="jg,hr"/>
    <d v="1899-12-30T00:00:00"/>
    <d v="1899-12-30T09:32:00"/>
    <n v="41"/>
    <n v="12"/>
    <m/>
    <m/>
    <n v="572"/>
    <n v="6"/>
    <n v="1"/>
    <n v="1"/>
    <n v="8"/>
    <m/>
    <n v="1"/>
    <m/>
    <n v="1"/>
    <m/>
    <m/>
    <m/>
    <m/>
    <n v="0"/>
    <m/>
    <m/>
    <m/>
    <n v="0"/>
    <m/>
    <m/>
    <m/>
    <n v="0"/>
    <m/>
    <m/>
    <m/>
    <m/>
    <n v="0"/>
    <m/>
    <m/>
    <m/>
    <n v="1"/>
    <m/>
    <m/>
    <m/>
    <n v="1"/>
    <m/>
    <m/>
    <s v="20140710 JGraham"/>
    <s v="20140711 DRobichaud"/>
    <s v="FW_Scan_20140710_qc2.pdf"/>
    <n v="6"/>
    <n v="1"/>
    <n v="1"/>
    <n v="0"/>
    <n v="1"/>
    <n v="0"/>
    <n v="0"/>
    <n v="0"/>
    <n v="0"/>
    <n v="0"/>
    <n v="0"/>
    <n v="0"/>
    <n v="0"/>
    <n v="0"/>
    <n v="0"/>
    <n v="0"/>
    <n v="0"/>
    <n v="0"/>
    <n v="0"/>
    <n v="0"/>
  </r>
  <r>
    <x v="34"/>
    <x v="1"/>
    <s v="eg,lf"/>
    <d v="1899-12-30T09:32:00"/>
    <d v="1899-12-30T14:20:00"/>
    <n v="39"/>
    <n v="12"/>
    <m/>
    <m/>
    <n v="288.00000000000006"/>
    <n v="1"/>
    <n v="1"/>
    <m/>
    <n v="2"/>
    <m/>
    <m/>
    <m/>
    <n v="0"/>
    <m/>
    <m/>
    <m/>
    <m/>
    <n v="0"/>
    <m/>
    <m/>
    <m/>
    <n v="0"/>
    <m/>
    <m/>
    <m/>
    <n v="0"/>
    <m/>
    <m/>
    <m/>
    <m/>
    <n v="0"/>
    <m/>
    <m/>
    <m/>
    <n v="1"/>
    <m/>
    <m/>
    <m/>
    <n v="1"/>
    <m/>
    <m/>
    <s v="20140710 LFerreira"/>
    <s v="20140711 DRobichaud"/>
    <s v="FW_Scan_20140710_qc2.pdf"/>
    <n v="1"/>
    <n v="1"/>
    <n v="0"/>
    <n v="0"/>
    <n v="0"/>
    <n v="0"/>
    <n v="0"/>
    <n v="0"/>
    <n v="0"/>
    <n v="0"/>
    <n v="0"/>
    <n v="0"/>
    <n v="0"/>
    <n v="0"/>
    <n v="0"/>
    <n v="0"/>
    <n v="0"/>
    <n v="0"/>
    <n v="0"/>
    <n v="0"/>
  </r>
  <r>
    <x v="34"/>
    <x v="1"/>
    <s v="jb,jg"/>
    <d v="1899-12-30T14:20:00"/>
    <d v="1899-12-30T18:45:00"/>
    <n v="39"/>
    <n v="12"/>
    <m/>
    <m/>
    <n v="265"/>
    <n v="1"/>
    <m/>
    <m/>
    <n v="1"/>
    <m/>
    <n v="1"/>
    <m/>
    <n v="1"/>
    <m/>
    <m/>
    <m/>
    <m/>
    <n v="0"/>
    <m/>
    <m/>
    <m/>
    <n v="0"/>
    <m/>
    <m/>
    <m/>
    <n v="0"/>
    <m/>
    <m/>
    <m/>
    <m/>
    <n v="0"/>
    <m/>
    <m/>
    <m/>
    <n v="1"/>
    <m/>
    <m/>
    <m/>
    <n v="1"/>
    <m/>
    <m/>
    <s v="20140710 JGraham"/>
    <s v="20140711 DRobichaud"/>
    <s v="FW_Scan_20140710_qc2.pdf"/>
    <n v="1"/>
    <n v="0"/>
    <n v="0"/>
    <n v="0"/>
    <n v="1"/>
    <n v="0"/>
    <n v="0"/>
    <n v="0"/>
    <n v="0"/>
    <n v="0"/>
    <n v="0"/>
    <n v="0"/>
    <n v="0"/>
    <n v="0"/>
    <n v="0"/>
    <n v="0"/>
    <n v="0"/>
    <n v="0"/>
    <n v="0"/>
    <n v="0"/>
  </r>
  <r>
    <x v="34"/>
    <x v="1"/>
    <s v="eg,jk"/>
    <d v="1899-12-30T18:45:00"/>
    <d v="1899-12-31T00:00:00"/>
    <n v="36"/>
    <n v="12"/>
    <m/>
    <m/>
    <n v="315"/>
    <m/>
    <n v="1"/>
    <m/>
    <n v="1"/>
    <m/>
    <m/>
    <m/>
    <n v="0"/>
    <m/>
    <m/>
    <m/>
    <m/>
    <n v="0"/>
    <m/>
    <m/>
    <m/>
    <n v="0"/>
    <m/>
    <m/>
    <m/>
    <n v="0"/>
    <m/>
    <m/>
    <m/>
    <m/>
    <n v="0"/>
    <m/>
    <m/>
    <m/>
    <m/>
    <m/>
    <m/>
    <m/>
    <n v="0"/>
    <s v="Wheel fishing overnight"/>
    <s v="one CN (&gt;50) not biosampled"/>
    <s v="20140710 JKunzler"/>
    <s v="20140711 DRobichaud"/>
    <s v="FW_Scan_20140710_qc2.pdf"/>
    <n v="0"/>
    <n v="1"/>
    <n v="0"/>
    <n v="0"/>
    <n v="0"/>
    <n v="0"/>
    <n v="0"/>
    <n v="0"/>
    <n v="0"/>
    <n v="0"/>
    <n v="0"/>
    <n v="0"/>
    <n v="0"/>
    <n v="0"/>
    <n v="0"/>
    <n v="0"/>
    <n v="0"/>
    <n v="0"/>
    <n v="0"/>
    <n v="0"/>
  </r>
  <r>
    <x v="35"/>
    <x v="0"/>
    <s v="jb,dj"/>
    <d v="1899-12-30T00:00:00"/>
    <d v="1899-12-30T09:45:00"/>
    <n v="33"/>
    <n v="10"/>
    <m/>
    <m/>
    <n v="585"/>
    <m/>
    <m/>
    <m/>
    <n v="0"/>
    <n v="1"/>
    <m/>
    <m/>
    <n v="1"/>
    <m/>
    <m/>
    <m/>
    <m/>
    <n v="0"/>
    <m/>
    <m/>
    <m/>
    <n v="0"/>
    <m/>
    <m/>
    <m/>
    <n v="0"/>
    <m/>
    <m/>
    <m/>
    <m/>
    <n v="0"/>
    <m/>
    <m/>
    <m/>
    <m/>
    <m/>
    <m/>
    <m/>
    <n v="0"/>
    <m/>
    <m/>
    <s v="20140711 DJohnson"/>
    <s v="20140712LFerreira"/>
    <s v="FW_Scan_20140711.pdf"/>
    <n v="0"/>
    <n v="0"/>
    <n v="0"/>
    <n v="1"/>
    <n v="0"/>
    <n v="0"/>
    <n v="0"/>
    <n v="0"/>
    <n v="0"/>
    <n v="0"/>
    <n v="0"/>
    <n v="0"/>
    <n v="0"/>
    <n v="0"/>
    <n v="0"/>
    <n v="0"/>
    <n v="0"/>
    <n v="0"/>
    <n v="0"/>
    <n v="0"/>
  </r>
  <r>
    <x v="35"/>
    <x v="0"/>
    <s v="csj,jk"/>
    <d v="1899-12-30T09:45:00"/>
    <d v="1899-12-30T14:02:00"/>
    <n v="34"/>
    <n v="9"/>
    <m/>
    <m/>
    <n v="251.00000000000006"/>
    <m/>
    <m/>
    <m/>
    <n v="0"/>
    <m/>
    <m/>
    <m/>
    <n v="0"/>
    <m/>
    <m/>
    <m/>
    <m/>
    <n v="0"/>
    <m/>
    <m/>
    <m/>
    <n v="0"/>
    <m/>
    <m/>
    <m/>
    <n v="0"/>
    <m/>
    <m/>
    <m/>
    <m/>
    <n v="0"/>
    <m/>
    <m/>
    <m/>
    <m/>
    <m/>
    <m/>
    <m/>
    <n v="0"/>
    <s v="stopped wheel at 12:54-13:00 to mend line on baskets"/>
    <s v="no fish!  "/>
    <s v="20140711 JKunzler"/>
    <s v="20140712LFerreira"/>
    <s v="FW_Scan_20140711.pdf"/>
    <n v="0"/>
    <n v="0"/>
    <n v="0"/>
    <n v="0"/>
    <n v="0"/>
    <n v="0"/>
    <n v="0"/>
    <n v="0"/>
    <n v="0"/>
    <n v="0"/>
    <n v="0"/>
    <n v="0"/>
    <n v="0"/>
    <n v="0"/>
    <n v="0"/>
    <n v="0"/>
    <n v="0"/>
    <n v="0"/>
    <n v="0"/>
    <n v="0"/>
  </r>
  <r>
    <x v="35"/>
    <x v="0"/>
    <s v="dj,qb"/>
    <d v="1899-12-30T14:02:00"/>
    <d v="1899-12-30T18:47:00"/>
    <n v="35"/>
    <n v="10"/>
    <m/>
    <m/>
    <n v="285.00000000000011"/>
    <m/>
    <m/>
    <m/>
    <n v="0"/>
    <m/>
    <m/>
    <m/>
    <n v="0"/>
    <m/>
    <m/>
    <m/>
    <m/>
    <n v="0"/>
    <m/>
    <m/>
    <m/>
    <n v="0"/>
    <m/>
    <m/>
    <m/>
    <n v="0"/>
    <m/>
    <m/>
    <m/>
    <m/>
    <n v="0"/>
    <m/>
    <m/>
    <m/>
    <m/>
    <m/>
    <m/>
    <m/>
    <n v="0"/>
    <s v="moved wheel in approximately 2 ft."/>
    <s v="NO fish"/>
    <s v="20140711 DJohnson"/>
    <s v="20140712LFerreira"/>
    <s v="FW_Scan_20140711.pdf"/>
    <n v="0"/>
    <n v="0"/>
    <n v="0"/>
    <n v="0"/>
    <n v="0"/>
    <n v="0"/>
    <n v="0"/>
    <n v="0"/>
    <n v="0"/>
    <n v="0"/>
    <n v="0"/>
    <n v="0"/>
    <n v="0"/>
    <n v="0"/>
    <n v="0"/>
    <n v="0"/>
    <n v="0"/>
    <n v="0"/>
    <n v="0"/>
    <n v="0"/>
  </r>
  <r>
    <x v="35"/>
    <x v="0"/>
    <s v="eg,jk"/>
    <d v="1899-12-30T18:47:00"/>
    <d v="1899-12-31T00:00:00"/>
    <n v="36"/>
    <n v="9"/>
    <m/>
    <m/>
    <n v="312.99999999999983"/>
    <m/>
    <m/>
    <m/>
    <n v="0"/>
    <m/>
    <m/>
    <m/>
    <n v="0"/>
    <m/>
    <m/>
    <m/>
    <m/>
    <n v="0"/>
    <m/>
    <m/>
    <m/>
    <n v="0"/>
    <m/>
    <m/>
    <m/>
    <n v="0"/>
    <m/>
    <m/>
    <m/>
    <m/>
    <n v="0"/>
    <m/>
    <m/>
    <m/>
    <m/>
    <m/>
    <m/>
    <m/>
    <n v="0"/>
    <m/>
    <m/>
    <s v="20140711 EGora"/>
    <s v="20140712LFerreira"/>
    <s v="FW_Scan_20140711.pdf"/>
    <n v="0"/>
    <n v="0"/>
    <n v="0"/>
    <n v="0"/>
    <n v="0"/>
    <n v="0"/>
    <n v="0"/>
    <n v="0"/>
    <n v="0"/>
    <n v="0"/>
    <n v="0"/>
    <n v="0"/>
    <n v="0"/>
    <n v="0"/>
    <n v="0"/>
    <n v="0"/>
    <n v="0"/>
    <n v="0"/>
    <n v="0"/>
    <n v="0"/>
  </r>
  <r>
    <x v="35"/>
    <x v="2"/>
    <s v="jb,dj"/>
    <d v="1899-12-30T00:00:00"/>
    <d v="1899-12-30T09:30:00"/>
    <n v="33"/>
    <n v="11"/>
    <m/>
    <m/>
    <n v="570"/>
    <n v="3"/>
    <m/>
    <m/>
    <n v="3"/>
    <m/>
    <m/>
    <m/>
    <n v="0"/>
    <n v="1"/>
    <m/>
    <m/>
    <m/>
    <n v="1"/>
    <m/>
    <m/>
    <m/>
    <n v="0"/>
    <m/>
    <m/>
    <m/>
    <n v="0"/>
    <m/>
    <m/>
    <m/>
    <m/>
    <n v="0"/>
    <m/>
    <m/>
    <m/>
    <m/>
    <m/>
    <m/>
    <m/>
    <n v="0"/>
    <s v="fished wheel overnight"/>
    <m/>
    <s v="20140711 DJohnson"/>
    <s v="20140712LFerreira"/>
    <s v="FW_Scan_20140711.pdf"/>
    <n v="3"/>
    <n v="0"/>
    <n v="0"/>
    <n v="0"/>
    <n v="0"/>
    <n v="0"/>
    <n v="1"/>
    <n v="0"/>
    <n v="0"/>
    <n v="0"/>
    <n v="0"/>
    <n v="0"/>
    <n v="0"/>
    <n v="0"/>
    <n v="0"/>
    <n v="0"/>
    <n v="0"/>
    <n v="0"/>
    <n v="0"/>
    <n v="0"/>
  </r>
  <r>
    <x v="35"/>
    <x v="2"/>
    <s v="csj,jk"/>
    <d v="1899-12-30T09:30:00"/>
    <d v="1899-12-30T14:16:00"/>
    <n v="32"/>
    <n v="11"/>
    <m/>
    <m/>
    <n v="286.00000000000006"/>
    <m/>
    <m/>
    <m/>
    <n v="0"/>
    <m/>
    <m/>
    <m/>
    <n v="0"/>
    <m/>
    <m/>
    <m/>
    <m/>
    <n v="0"/>
    <m/>
    <m/>
    <m/>
    <n v="0"/>
    <m/>
    <m/>
    <m/>
    <n v="0"/>
    <m/>
    <m/>
    <m/>
    <m/>
    <n v="0"/>
    <m/>
    <m/>
    <m/>
    <m/>
    <m/>
    <m/>
    <m/>
    <n v="0"/>
    <m/>
    <s v="no fish!  "/>
    <s v="20140711 JKunzler"/>
    <s v="20140712LFerreira"/>
    <s v="FW_Scan_20140711.pdf"/>
    <n v="0"/>
    <n v="0"/>
    <n v="0"/>
    <n v="0"/>
    <n v="0"/>
    <n v="0"/>
    <n v="0"/>
    <n v="0"/>
    <n v="0"/>
    <n v="0"/>
    <n v="0"/>
    <n v="0"/>
    <n v="0"/>
    <n v="0"/>
    <n v="0"/>
    <n v="0"/>
    <n v="0"/>
    <n v="0"/>
    <n v="0"/>
    <n v="0"/>
  </r>
  <r>
    <x v="35"/>
    <x v="2"/>
    <s v="dj,qb"/>
    <d v="1899-12-30T14:16:00"/>
    <d v="1899-12-30T18:39:00"/>
    <n v="32"/>
    <n v="10"/>
    <m/>
    <m/>
    <n v="262.99999999999989"/>
    <m/>
    <m/>
    <m/>
    <n v="0"/>
    <m/>
    <m/>
    <m/>
    <n v="0"/>
    <m/>
    <m/>
    <m/>
    <m/>
    <n v="0"/>
    <m/>
    <m/>
    <m/>
    <n v="0"/>
    <m/>
    <m/>
    <m/>
    <n v="0"/>
    <m/>
    <m/>
    <m/>
    <m/>
    <n v="0"/>
    <m/>
    <m/>
    <m/>
    <m/>
    <m/>
    <m/>
    <m/>
    <n v="0"/>
    <m/>
    <s v="no fish"/>
    <s v="20140711 DJohnson"/>
    <s v="20140712LFerreira"/>
    <s v="FW_Scan_20140711.pdf"/>
    <n v="0"/>
    <n v="0"/>
    <n v="0"/>
    <n v="0"/>
    <n v="0"/>
    <n v="0"/>
    <n v="0"/>
    <n v="0"/>
    <n v="0"/>
    <n v="0"/>
    <n v="0"/>
    <n v="0"/>
    <n v="0"/>
    <n v="0"/>
    <n v="0"/>
    <n v="0"/>
    <n v="0"/>
    <n v="0"/>
    <n v="0"/>
    <n v="0"/>
  </r>
  <r>
    <x v="35"/>
    <x v="2"/>
    <s v="eg,jk"/>
    <d v="1899-12-30T18:39:00"/>
    <d v="1899-12-31T00:00:00"/>
    <n v="31"/>
    <n v="10"/>
    <m/>
    <m/>
    <n v="321.00000000000011"/>
    <m/>
    <m/>
    <m/>
    <n v="0"/>
    <m/>
    <m/>
    <m/>
    <n v="0"/>
    <m/>
    <m/>
    <m/>
    <m/>
    <n v="0"/>
    <m/>
    <m/>
    <m/>
    <n v="0"/>
    <m/>
    <m/>
    <m/>
    <n v="0"/>
    <m/>
    <m/>
    <m/>
    <m/>
    <n v="0"/>
    <m/>
    <m/>
    <m/>
    <m/>
    <m/>
    <m/>
    <m/>
    <n v="0"/>
    <m/>
    <s v="no fish!  "/>
    <s v="20140711 EGora"/>
    <s v="20140712LFerreira"/>
    <s v="FW_Scan_20140711.pdf"/>
    <n v="0"/>
    <n v="0"/>
    <n v="0"/>
    <n v="0"/>
    <n v="0"/>
    <n v="0"/>
    <n v="0"/>
    <n v="0"/>
    <n v="0"/>
    <n v="0"/>
    <n v="0"/>
    <n v="0"/>
    <n v="0"/>
    <n v="0"/>
    <n v="0"/>
    <n v="0"/>
    <n v="0"/>
    <n v="0"/>
    <n v="0"/>
    <n v="0"/>
  </r>
  <r>
    <x v="35"/>
    <x v="1"/>
    <s v="hr, jg"/>
    <d v="1899-12-30T00:00:00"/>
    <d v="1899-12-30T09:40:00"/>
    <n v="36"/>
    <n v="11"/>
    <m/>
    <m/>
    <n v="580"/>
    <n v="4"/>
    <m/>
    <n v="1"/>
    <n v="5"/>
    <m/>
    <m/>
    <m/>
    <n v="0"/>
    <m/>
    <m/>
    <m/>
    <m/>
    <n v="0"/>
    <m/>
    <m/>
    <m/>
    <n v="0"/>
    <m/>
    <m/>
    <m/>
    <n v="0"/>
    <m/>
    <m/>
    <m/>
    <m/>
    <n v="0"/>
    <m/>
    <m/>
    <m/>
    <n v="1"/>
    <m/>
    <m/>
    <m/>
    <n v="1"/>
    <m/>
    <m/>
    <s v="20140711 HReider"/>
    <s v="20140712LFerreira"/>
    <s v="FW_Scan_20140711.pdf"/>
    <n v="4"/>
    <n v="0"/>
    <n v="1"/>
    <n v="0"/>
    <n v="0"/>
    <n v="0"/>
    <n v="0"/>
    <n v="0"/>
    <n v="0"/>
    <n v="0"/>
    <n v="0"/>
    <n v="0"/>
    <n v="0"/>
    <n v="0"/>
    <n v="0"/>
    <n v="0"/>
    <n v="0"/>
    <n v="0"/>
    <n v="0"/>
    <n v="0"/>
  </r>
  <r>
    <x v="35"/>
    <x v="1"/>
    <s v="lf,eg, csj"/>
    <d v="1899-12-30T09:40:00"/>
    <d v="1899-12-30T14:20:00"/>
    <n v="35"/>
    <n v="11"/>
    <m/>
    <m/>
    <n v="280.00000000000006"/>
    <n v="4"/>
    <m/>
    <m/>
    <n v="4"/>
    <m/>
    <n v="1"/>
    <m/>
    <n v="1"/>
    <m/>
    <m/>
    <m/>
    <m/>
    <n v="0"/>
    <m/>
    <m/>
    <m/>
    <n v="0"/>
    <m/>
    <m/>
    <m/>
    <n v="0"/>
    <m/>
    <m/>
    <m/>
    <m/>
    <n v="0"/>
    <m/>
    <m/>
    <m/>
    <m/>
    <m/>
    <m/>
    <n v="1"/>
    <n v="1"/>
    <m/>
    <m/>
    <s v="20140711 EGora"/>
    <s v="20140712LFerreira"/>
    <s v="FW_Scan_20140711.pdf"/>
    <n v="4"/>
    <n v="0"/>
    <n v="0"/>
    <n v="0"/>
    <n v="1"/>
    <n v="0"/>
    <n v="0"/>
    <n v="0"/>
    <n v="0"/>
    <n v="0"/>
    <n v="0"/>
    <n v="0"/>
    <n v="0"/>
    <n v="0"/>
    <n v="0"/>
    <n v="0"/>
    <n v="0"/>
    <n v="0"/>
    <n v="0"/>
    <n v="0"/>
  </r>
  <r>
    <x v="35"/>
    <x v="1"/>
    <s v="jb,jg"/>
    <d v="1899-12-30T14:20:00"/>
    <d v="1899-12-30T18:45:00"/>
    <n v="38"/>
    <n v="10"/>
    <m/>
    <m/>
    <n v="265"/>
    <n v="1"/>
    <m/>
    <n v="1"/>
    <n v="2"/>
    <m/>
    <m/>
    <m/>
    <n v="0"/>
    <m/>
    <m/>
    <m/>
    <m/>
    <n v="0"/>
    <m/>
    <m/>
    <m/>
    <n v="0"/>
    <m/>
    <m/>
    <m/>
    <n v="0"/>
    <m/>
    <m/>
    <m/>
    <m/>
    <n v="0"/>
    <m/>
    <m/>
    <m/>
    <m/>
    <m/>
    <m/>
    <m/>
    <n v="0"/>
    <m/>
    <m/>
    <s v="20140711 JBerry"/>
    <s v="20140712LFerreira"/>
    <s v="FW_Scan_20140711.pdf"/>
    <n v="1"/>
    <n v="0"/>
    <n v="1"/>
    <n v="0"/>
    <n v="0"/>
    <n v="0"/>
    <n v="0"/>
    <n v="0"/>
    <n v="0"/>
    <n v="0"/>
    <n v="0"/>
    <n v="0"/>
    <n v="0"/>
    <n v="0"/>
    <n v="0"/>
    <n v="0"/>
    <n v="0"/>
    <n v="0"/>
    <n v="0"/>
    <n v="0"/>
  </r>
  <r>
    <x v="35"/>
    <x v="1"/>
    <s v="sc,lf,csj"/>
    <d v="1899-12-30T18:45:00"/>
    <d v="1899-12-31T00:00:00"/>
    <n v="36"/>
    <n v="10"/>
    <m/>
    <m/>
    <n v="315"/>
    <n v="1"/>
    <m/>
    <m/>
    <n v="1"/>
    <m/>
    <m/>
    <m/>
    <n v="0"/>
    <m/>
    <m/>
    <m/>
    <m/>
    <n v="0"/>
    <m/>
    <m/>
    <m/>
    <n v="0"/>
    <m/>
    <m/>
    <m/>
    <n v="0"/>
    <m/>
    <m/>
    <m/>
    <m/>
    <n v="0"/>
    <m/>
    <m/>
    <m/>
    <m/>
    <m/>
    <m/>
    <m/>
    <n v="0"/>
    <m/>
    <m/>
    <s v="20140711 LFerreira"/>
    <s v="20140712LFerreira"/>
    <s v="FW_Scan_20140711.pdf"/>
    <n v="1"/>
    <n v="0"/>
    <n v="0"/>
    <n v="0"/>
    <n v="0"/>
    <n v="0"/>
    <n v="0"/>
    <n v="0"/>
    <n v="0"/>
    <n v="0"/>
    <n v="0"/>
    <n v="0"/>
    <n v="0"/>
    <n v="0"/>
    <n v="0"/>
    <n v="0"/>
    <n v="0"/>
    <n v="0"/>
    <n v="0"/>
    <n v="0"/>
  </r>
  <r>
    <x v="36"/>
    <x v="0"/>
    <s v="dj,qb"/>
    <d v="1899-12-30T00:00:00"/>
    <d v="1899-12-30T09:50:00"/>
    <n v="38"/>
    <n v="8"/>
    <m/>
    <m/>
    <n v="590"/>
    <n v="1"/>
    <m/>
    <m/>
    <n v="1"/>
    <m/>
    <m/>
    <m/>
    <n v="0"/>
    <m/>
    <m/>
    <m/>
    <m/>
    <n v="0"/>
    <m/>
    <m/>
    <m/>
    <n v="0"/>
    <m/>
    <m/>
    <m/>
    <n v="0"/>
    <m/>
    <m/>
    <m/>
    <m/>
    <n v="0"/>
    <m/>
    <m/>
    <m/>
    <m/>
    <m/>
    <m/>
    <m/>
    <n v="0"/>
    <m/>
    <m/>
    <s v="20140712 QBerger"/>
    <s v="20140713LFerreira"/>
    <s v="FW_Scan_20140712.pdf"/>
    <n v="1"/>
    <n v="0"/>
    <n v="0"/>
    <n v="0"/>
    <n v="0"/>
    <n v="0"/>
    <n v="0"/>
    <n v="0"/>
    <n v="0"/>
    <n v="0"/>
    <n v="0"/>
    <n v="0"/>
    <n v="0"/>
    <n v="0"/>
    <n v="0"/>
    <n v="0"/>
    <n v="0"/>
    <n v="0"/>
    <n v="0"/>
    <n v="0"/>
  </r>
  <r>
    <x v="36"/>
    <x v="0"/>
    <s v="eg,jk"/>
    <d v="1899-12-30T09:50:00"/>
    <d v="1899-12-30T14:28:00"/>
    <n v="37"/>
    <n v="8"/>
    <m/>
    <m/>
    <n v="277.99999999999989"/>
    <m/>
    <m/>
    <m/>
    <n v="0"/>
    <m/>
    <n v="1"/>
    <m/>
    <n v="1"/>
    <m/>
    <m/>
    <m/>
    <m/>
    <n v="0"/>
    <m/>
    <m/>
    <m/>
    <n v="0"/>
    <m/>
    <m/>
    <m/>
    <n v="0"/>
    <m/>
    <m/>
    <m/>
    <m/>
    <n v="0"/>
    <m/>
    <m/>
    <m/>
    <m/>
    <m/>
    <m/>
    <m/>
    <n v="0"/>
    <m/>
    <m/>
    <s v="20140712 JKunzler"/>
    <s v="20140713LFerreira"/>
    <s v="FW_Scan_20140712.pdf"/>
    <n v="0"/>
    <n v="0"/>
    <n v="0"/>
    <n v="0"/>
    <n v="1"/>
    <n v="0"/>
    <n v="0"/>
    <n v="0"/>
    <n v="0"/>
    <n v="0"/>
    <n v="0"/>
    <n v="0"/>
    <n v="0"/>
    <n v="0"/>
    <n v="0"/>
    <n v="0"/>
    <n v="0"/>
    <n v="0"/>
    <n v="0"/>
    <n v="0"/>
  </r>
  <r>
    <x v="36"/>
    <x v="0"/>
    <s v="dj,jg"/>
    <d v="1899-12-30T14:28:00"/>
    <d v="1899-12-30T18:45:00"/>
    <n v="36"/>
    <n v="9"/>
    <m/>
    <m/>
    <n v="257.00000000000006"/>
    <m/>
    <m/>
    <m/>
    <n v="0"/>
    <m/>
    <m/>
    <m/>
    <n v="0"/>
    <n v="1"/>
    <m/>
    <m/>
    <m/>
    <n v="1"/>
    <m/>
    <m/>
    <m/>
    <n v="0"/>
    <m/>
    <m/>
    <m/>
    <n v="0"/>
    <m/>
    <m/>
    <m/>
    <m/>
    <n v="0"/>
    <m/>
    <m/>
    <m/>
    <m/>
    <m/>
    <m/>
    <m/>
    <n v="0"/>
    <m/>
    <m/>
    <s v="20140712 DJohnson"/>
    <s v="20140713LFerreira"/>
    <s v="FW_Scan_20140712.pdf"/>
    <n v="0"/>
    <n v="0"/>
    <n v="0"/>
    <n v="0"/>
    <n v="0"/>
    <n v="0"/>
    <n v="1"/>
    <n v="0"/>
    <n v="0"/>
    <n v="0"/>
    <n v="0"/>
    <n v="0"/>
    <n v="0"/>
    <n v="0"/>
    <n v="0"/>
    <n v="0"/>
    <n v="0"/>
    <n v="0"/>
    <n v="0"/>
    <n v="0"/>
  </r>
  <r>
    <x v="36"/>
    <x v="0"/>
    <s v="csj,jk"/>
    <d v="1899-12-30T18:45:00"/>
    <d v="1899-12-31T00:00:00"/>
    <n v="33"/>
    <n v="9"/>
    <m/>
    <m/>
    <n v="315"/>
    <m/>
    <m/>
    <m/>
    <n v="0"/>
    <m/>
    <m/>
    <m/>
    <n v="0"/>
    <m/>
    <m/>
    <m/>
    <m/>
    <n v="0"/>
    <m/>
    <m/>
    <m/>
    <n v="0"/>
    <m/>
    <m/>
    <m/>
    <n v="0"/>
    <m/>
    <m/>
    <m/>
    <m/>
    <n v="0"/>
    <m/>
    <m/>
    <m/>
    <m/>
    <m/>
    <m/>
    <m/>
    <n v="0"/>
    <m/>
    <s v="no fish!  "/>
    <s v="20140712 JKunzler"/>
    <s v="20140713LFerreira"/>
    <s v="FW_Scan_20140712.pdf"/>
    <n v="0"/>
    <n v="0"/>
    <n v="0"/>
    <n v="0"/>
    <n v="0"/>
    <n v="0"/>
    <n v="0"/>
    <n v="0"/>
    <n v="0"/>
    <n v="0"/>
    <n v="0"/>
    <n v="0"/>
    <n v="0"/>
    <n v="0"/>
    <n v="0"/>
    <n v="0"/>
    <n v="0"/>
    <n v="0"/>
    <n v="0"/>
    <n v="0"/>
  </r>
  <r>
    <x v="36"/>
    <x v="2"/>
    <s v="dj,qb"/>
    <d v="1899-12-30T00:00:00"/>
    <d v="1899-12-30T09:35:00"/>
    <n v="34"/>
    <n v="10"/>
    <m/>
    <m/>
    <n v="575"/>
    <m/>
    <m/>
    <m/>
    <n v="0"/>
    <m/>
    <n v="1"/>
    <m/>
    <n v="1"/>
    <m/>
    <m/>
    <m/>
    <m/>
    <n v="0"/>
    <m/>
    <m/>
    <m/>
    <n v="0"/>
    <m/>
    <m/>
    <m/>
    <n v="0"/>
    <m/>
    <m/>
    <m/>
    <m/>
    <n v="0"/>
    <m/>
    <m/>
    <m/>
    <m/>
    <m/>
    <m/>
    <m/>
    <n v="0"/>
    <m/>
    <m/>
    <s v="20140712 DJohnson"/>
    <s v="20140713LFerreira"/>
    <s v="FW_Scan_20140712.pdf"/>
    <n v="0"/>
    <n v="0"/>
    <n v="0"/>
    <n v="0"/>
    <n v="1"/>
    <n v="0"/>
    <n v="0"/>
    <n v="0"/>
    <n v="0"/>
    <n v="0"/>
    <n v="0"/>
    <n v="0"/>
    <n v="0"/>
    <n v="0"/>
    <n v="0"/>
    <n v="0"/>
    <n v="0"/>
    <n v="0"/>
    <n v="0"/>
    <n v="0"/>
  </r>
  <r>
    <x v="36"/>
    <x v="2"/>
    <s v="eg,jk"/>
    <d v="1899-12-30T09:35:00"/>
    <d v="1899-12-30T14:20:00"/>
    <n v="33"/>
    <n v="10"/>
    <m/>
    <m/>
    <n v="284.99999999999994"/>
    <m/>
    <m/>
    <m/>
    <n v="0"/>
    <m/>
    <n v="1"/>
    <m/>
    <n v="1"/>
    <m/>
    <m/>
    <m/>
    <m/>
    <n v="0"/>
    <m/>
    <m/>
    <m/>
    <n v="0"/>
    <m/>
    <m/>
    <m/>
    <n v="0"/>
    <m/>
    <m/>
    <m/>
    <m/>
    <n v="0"/>
    <m/>
    <m/>
    <m/>
    <m/>
    <m/>
    <m/>
    <m/>
    <n v="0"/>
    <m/>
    <m/>
    <s v="20140712 JKunzler"/>
    <s v="20140713LFerreira"/>
    <s v="FW_Scan_20140712.pdf"/>
    <n v="0"/>
    <n v="0"/>
    <n v="0"/>
    <n v="0"/>
    <n v="1"/>
    <n v="0"/>
    <n v="0"/>
    <n v="0"/>
    <n v="0"/>
    <n v="0"/>
    <n v="0"/>
    <n v="0"/>
    <n v="0"/>
    <n v="0"/>
    <n v="0"/>
    <n v="0"/>
    <n v="0"/>
    <n v="0"/>
    <n v="0"/>
    <n v="0"/>
  </r>
  <r>
    <x v="36"/>
    <x v="2"/>
    <s v="dj,jg"/>
    <d v="1899-12-30T14:20:00"/>
    <d v="1899-12-30T18:28:00"/>
    <n v="33"/>
    <n v="12"/>
    <m/>
    <m/>
    <n v="247.99999999999991"/>
    <m/>
    <m/>
    <m/>
    <n v="0"/>
    <m/>
    <m/>
    <m/>
    <n v="0"/>
    <m/>
    <m/>
    <m/>
    <m/>
    <n v="0"/>
    <m/>
    <m/>
    <m/>
    <n v="0"/>
    <m/>
    <m/>
    <m/>
    <n v="0"/>
    <m/>
    <m/>
    <m/>
    <m/>
    <n v="0"/>
    <m/>
    <m/>
    <m/>
    <m/>
    <m/>
    <m/>
    <m/>
    <n v="0"/>
    <m/>
    <s v="no fish!  "/>
    <s v="20140712 JGraham"/>
    <s v="20140713LFerreira"/>
    <s v="FW_Scan_20140712.pdf"/>
    <n v="0"/>
    <n v="0"/>
    <n v="0"/>
    <n v="0"/>
    <n v="0"/>
    <n v="0"/>
    <n v="0"/>
    <n v="0"/>
    <n v="0"/>
    <n v="0"/>
    <n v="0"/>
    <n v="0"/>
    <n v="0"/>
    <n v="0"/>
    <n v="0"/>
    <n v="0"/>
    <n v="0"/>
    <n v="0"/>
    <n v="0"/>
    <n v="0"/>
  </r>
  <r>
    <x v="36"/>
    <x v="2"/>
    <s v="csj,jk"/>
    <d v="1899-12-30T18:28:00"/>
    <d v="1899-12-31T00:00:00"/>
    <n v="33"/>
    <n v="11"/>
    <m/>
    <m/>
    <n v="332.00000000000011"/>
    <m/>
    <m/>
    <m/>
    <n v="0"/>
    <m/>
    <m/>
    <m/>
    <n v="0"/>
    <m/>
    <m/>
    <m/>
    <m/>
    <n v="0"/>
    <m/>
    <m/>
    <m/>
    <n v="0"/>
    <m/>
    <m/>
    <m/>
    <n v="0"/>
    <m/>
    <m/>
    <m/>
    <m/>
    <n v="0"/>
    <m/>
    <m/>
    <m/>
    <m/>
    <m/>
    <m/>
    <m/>
    <n v="0"/>
    <m/>
    <s v="no fish!  "/>
    <s v="20140712 JKunzler"/>
    <s v="20140713LFerreira"/>
    <s v="FW_Scan_20140712.pdf"/>
    <n v="0"/>
    <n v="0"/>
    <n v="0"/>
    <n v="0"/>
    <n v="0"/>
    <n v="0"/>
    <n v="0"/>
    <n v="0"/>
    <n v="0"/>
    <n v="0"/>
    <n v="0"/>
    <n v="0"/>
    <n v="0"/>
    <n v="0"/>
    <n v="0"/>
    <n v="0"/>
    <n v="0"/>
    <n v="0"/>
    <n v="0"/>
    <n v="0"/>
  </r>
  <r>
    <x v="36"/>
    <x v="1"/>
    <s v="jb,jg"/>
    <d v="1899-12-30T00:00:00"/>
    <d v="1899-12-30T09:45:00"/>
    <n v="38"/>
    <n v="10"/>
    <m/>
    <m/>
    <n v="585"/>
    <n v="4"/>
    <m/>
    <m/>
    <n v="4"/>
    <m/>
    <n v="1"/>
    <m/>
    <n v="1"/>
    <m/>
    <m/>
    <m/>
    <m/>
    <n v="0"/>
    <m/>
    <m/>
    <m/>
    <n v="0"/>
    <n v="1"/>
    <m/>
    <m/>
    <n v="1"/>
    <m/>
    <m/>
    <m/>
    <m/>
    <n v="0"/>
    <m/>
    <m/>
    <m/>
    <m/>
    <m/>
    <m/>
    <m/>
    <n v="0"/>
    <m/>
    <m/>
    <s v="20140712 JBerry"/>
    <s v="20140713LFerreira"/>
    <s v="FW_Scan_20140712.pdf"/>
    <n v="4"/>
    <n v="0"/>
    <n v="0"/>
    <n v="0"/>
    <n v="1"/>
    <n v="0"/>
    <n v="0"/>
    <n v="0"/>
    <n v="0"/>
    <n v="0"/>
    <n v="0"/>
    <n v="0"/>
    <n v="0"/>
    <n v="1"/>
    <n v="0"/>
    <n v="0"/>
    <n v="0"/>
    <n v="0"/>
    <n v="0"/>
    <n v="0"/>
  </r>
  <r>
    <x v="36"/>
    <x v="1"/>
    <s v="csj,lf"/>
    <d v="1899-12-30T09:45:00"/>
    <d v="1899-12-30T14:15:00"/>
    <n v="40"/>
    <n v="11"/>
    <m/>
    <m/>
    <n v="259"/>
    <n v="2"/>
    <m/>
    <m/>
    <n v="2"/>
    <m/>
    <n v="1"/>
    <m/>
    <n v="1"/>
    <m/>
    <m/>
    <m/>
    <m/>
    <n v="0"/>
    <m/>
    <m/>
    <m/>
    <n v="0"/>
    <m/>
    <m/>
    <m/>
    <n v="0"/>
    <m/>
    <m/>
    <m/>
    <m/>
    <n v="0"/>
    <m/>
    <m/>
    <m/>
    <n v="1"/>
    <m/>
    <m/>
    <m/>
    <n v="1"/>
    <s v="FW up for net repairs 10:29 to 10:40, 11 minutes not fishing"/>
    <m/>
    <s v="20140712 LFerreira"/>
    <s v="20140713LFerreira"/>
    <s v="FW_Scan_20140712.pdf"/>
    <n v="2"/>
    <n v="0"/>
    <n v="0"/>
    <n v="0"/>
    <n v="1"/>
    <n v="0"/>
    <n v="0"/>
    <n v="0"/>
    <n v="0"/>
    <n v="0"/>
    <n v="0"/>
    <n v="0"/>
    <n v="0"/>
    <n v="0"/>
    <n v="0"/>
    <n v="0"/>
    <n v="0"/>
    <n v="0"/>
    <n v="0"/>
    <n v="0"/>
  </r>
  <r>
    <x v="36"/>
    <x v="1"/>
    <s v="jb,qb"/>
    <d v="1899-12-30T14:15:00"/>
    <d v="1899-12-30T18:43:00"/>
    <n v="37"/>
    <n v="11"/>
    <m/>
    <m/>
    <n v="267.99999999999983"/>
    <m/>
    <m/>
    <m/>
    <n v="0"/>
    <m/>
    <m/>
    <m/>
    <n v="0"/>
    <m/>
    <m/>
    <m/>
    <m/>
    <n v="0"/>
    <m/>
    <m/>
    <m/>
    <n v="0"/>
    <m/>
    <m/>
    <m/>
    <n v="0"/>
    <m/>
    <m/>
    <m/>
    <m/>
    <n v="0"/>
    <m/>
    <m/>
    <m/>
    <m/>
    <m/>
    <m/>
    <m/>
    <n v="0"/>
    <m/>
    <s v="no fish"/>
    <s v="20140712 QBerger"/>
    <s v="20140713LFerreira"/>
    <s v="FW_Scan_20140712.pdf"/>
    <n v="0"/>
    <n v="0"/>
    <n v="0"/>
    <n v="0"/>
    <n v="0"/>
    <n v="0"/>
    <n v="0"/>
    <n v="0"/>
    <n v="0"/>
    <n v="0"/>
    <n v="0"/>
    <n v="0"/>
    <n v="0"/>
    <n v="0"/>
    <n v="0"/>
    <n v="0"/>
    <n v="0"/>
    <n v="0"/>
    <n v="0"/>
    <n v="0"/>
  </r>
  <r>
    <x v="36"/>
    <x v="1"/>
    <s v="nc,lf"/>
    <d v="1899-12-30T18:43:00"/>
    <d v="1899-12-31T00:00:00"/>
    <n v="36"/>
    <n v="11"/>
    <m/>
    <m/>
    <n v="317.00000000000017"/>
    <m/>
    <m/>
    <m/>
    <n v="0"/>
    <m/>
    <m/>
    <m/>
    <n v="0"/>
    <m/>
    <m/>
    <m/>
    <m/>
    <n v="0"/>
    <m/>
    <m/>
    <m/>
    <n v="0"/>
    <m/>
    <m/>
    <m/>
    <n v="0"/>
    <m/>
    <m/>
    <m/>
    <m/>
    <n v="0"/>
    <m/>
    <m/>
    <m/>
    <m/>
    <m/>
    <m/>
    <m/>
    <n v="0"/>
    <m/>
    <m/>
    <s v="20140712 LFerreira"/>
    <s v="20140713LFerreira"/>
    <s v="FW_Scan_20140712.pdf"/>
    <n v="0"/>
    <n v="0"/>
    <n v="0"/>
    <n v="0"/>
    <n v="0"/>
    <n v="0"/>
    <n v="0"/>
    <n v="0"/>
    <n v="0"/>
    <n v="0"/>
    <n v="0"/>
    <n v="0"/>
    <n v="0"/>
    <n v="0"/>
    <n v="0"/>
    <n v="0"/>
    <n v="0"/>
    <n v="0"/>
    <n v="0"/>
    <n v="0"/>
  </r>
  <r>
    <x v="37"/>
    <x v="0"/>
    <s v="jb,qb"/>
    <d v="1899-12-30T00:00:00"/>
    <d v="1899-12-30T09:27:00"/>
    <n v="36"/>
    <n v="8"/>
    <m/>
    <m/>
    <n v="391"/>
    <m/>
    <m/>
    <m/>
    <n v="0"/>
    <m/>
    <m/>
    <m/>
    <n v="0"/>
    <m/>
    <m/>
    <m/>
    <m/>
    <n v="0"/>
    <m/>
    <m/>
    <m/>
    <n v="0"/>
    <m/>
    <m/>
    <m/>
    <n v="0"/>
    <m/>
    <m/>
    <m/>
    <m/>
    <n v="0"/>
    <m/>
    <m/>
    <m/>
    <m/>
    <m/>
    <m/>
    <m/>
    <n v="0"/>
    <s v="wheel stopped from 06:30 to 09:26 for log removal and slide repair/net mending"/>
    <s v="replaced ends of damaged slide boards on port side"/>
    <s v="20140713 JBerry"/>
    <s v="20140714LFerreira"/>
    <s v="FW_Scan_20140713.pdf"/>
    <n v="0"/>
    <n v="0"/>
    <n v="0"/>
    <n v="0"/>
    <n v="0"/>
    <n v="0"/>
    <n v="0"/>
    <n v="0"/>
    <n v="0"/>
    <n v="0"/>
    <n v="0"/>
    <n v="0"/>
    <n v="0"/>
    <n v="0"/>
    <n v="0"/>
    <n v="0"/>
    <n v="0"/>
    <n v="0"/>
    <n v="0"/>
    <n v="0"/>
  </r>
  <r>
    <x v="37"/>
    <x v="0"/>
    <s v="nc,lf"/>
    <d v="1899-12-30T09:27:00"/>
    <d v="1899-12-30T14:00:00"/>
    <n v="37"/>
    <n v="9"/>
    <m/>
    <m/>
    <n v="273.00000000000006"/>
    <m/>
    <m/>
    <m/>
    <n v="0"/>
    <m/>
    <m/>
    <m/>
    <n v="0"/>
    <m/>
    <m/>
    <m/>
    <m/>
    <n v="0"/>
    <m/>
    <m/>
    <m/>
    <n v="0"/>
    <m/>
    <m/>
    <m/>
    <n v="0"/>
    <m/>
    <m/>
    <m/>
    <m/>
    <n v="0"/>
    <m/>
    <m/>
    <m/>
    <m/>
    <m/>
    <m/>
    <m/>
    <n v="0"/>
    <m/>
    <s v="no fish"/>
    <s v="20140713 LFerreira"/>
    <s v="20140714LFerreira"/>
    <s v="FW_Scan_20140713.pdf"/>
    <n v="0"/>
    <n v="0"/>
    <n v="0"/>
    <n v="0"/>
    <n v="0"/>
    <n v="0"/>
    <n v="0"/>
    <n v="0"/>
    <n v="0"/>
    <n v="0"/>
    <n v="0"/>
    <n v="0"/>
    <n v="0"/>
    <n v="0"/>
    <n v="0"/>
    <n v="0"/>
    <n v="0"/>
    <n v="0"/>
    <n v="0"/>
    <n v="0"/>
  </r>
  <r>
    <x v="37"/>
    <x v="0"/>
    <s v="jb,jg"/>
    <d v="1899-12-30T14:00:00"/>
    <d v="1899-12-30T18:45:00"/>
    <n v="33"/>
    <n v="9"/>
    <m/>
    <m/>
    <n v="176.99999999999994"/>
    <n v="1"/>
    <m/>
    <m/>
    <n v="1"/>
    <m/>
    <n v="1"/>
    <m/>
    <n v="1"/>
    <m/>
    <m/>
    <m/>
    <m/>
    <n v="0"/>
    <m/>
    <m/>
    <m/>
    <n v="0"/>
    <m/>
    <m/>
    <m/>
    <n v="0"/>
    <m/>
    <m/>
    <m/>
    <m/>
    <n v="0"/>
    <m/>
    <m/>
    <m/>
    <m/>
    <m/>
    <m/>
    <m/>
    <n v="0"/>
    <s v="wheel stopped 16:25-17:07 for debris removal, stopped for unknown time during lightning storm due to log jam, resumed fishing at 18:13"/>
    <m/>
    <s v="20140713 JBerry"/>
    <s v="20140714LFerreira"/>
    <s v="FW_Scan_20140713.pdf"/>
    <n v="1"/>
    <n v="0"/>
    <n v="0"/>
    <n v="0"/>
    <n v="1"/>
    <n v="0"/>
    <n v="0"/>
    <n v="0"/>
    <n v="0"/>
    <n v="0"/>
    <n v="0"/>
    <n v="0"/>
    <n v="0"/>
    <n v="0"/>
    <n v="0"/>
    <n v="0"/>
    <n v="0"/>
    <n v="0"/>
    <n v="0"/>
    <n v="0"/>
  </r>
  <r>
    <x v="37"/>
    <x v="0"/>
    <s v="nc,jk"/>
    <d v="1899-12-30T18:45:00"/>
    <d v="1899-12-31T00:00:00"/>
    <n v="33"/>
    <n v="8"/>
    <m/>
    <m/>
    <n v="315"/>
    <m/>
    <m/>
    <m/>
    <n v="0"/>
    <m/>
    <m/>
    <m/>
    <n v="0"/>
    <m/>
    <m/>
    <m/>
    <m/>
    <n v="0"/>
    <m/>
    <m/>
    <m/>
    <n v="0"/>
    <m/>
    <m/>
    <m/>
    <n v="0"/>
    <m/>
    <m/>
    <m/>
    <m/>
    <n v="0"/>
    <m/>
    <m/>
    <m/>
    <m/>
    <m/>
    <m/>
    <m/>
    <n v="0"/>
    <s v="cleaned lead net; cleared area between wheel and shore of debris"/>
    <s v="no fish"/>
    <s v="20140713 JKunzler"/>
    <s v="20140714LFerreira"/>
    <s v="FW_Scan_20140713.pdf"/>
    <n v="0"/>
    <n v="0"/>
    <n v="0"/>
    <n v="0"/>
    <n v="0"/>
    <n v="0"/>
    <n v="0"/>
    <n v="0"/>
    <n v="0"/>
    <n v="0"/>
    <n v="0"/>
    <n v="0"/>
    <n v="0"/>
    <n v="0"/>
    <n v="0"/>
    <n v="0"/>
    <n v="0"/>
    <n v="0"/>
    <n v="0"/>
    <n v="0"/>
  </r>
  <r>
    <x v="37"/>
    <x v="2"/>
    <s v="jb,qb"/>
    <d v="1899-12-30T00:00:00"/>
    <d v="1899-12-30T09:45:00"/>
    <n v="33"/>
    <n v="11"/>
    <m/>
    <m/>
    <n v="585"/>
    <n v="1"/>
    <m/>
    <m/>
    <n v="1"/>
    <m/>
    <m/>
    <m/>
    <n v="0"/>
    <m/>
    <m/>
    <m/>
    <m/>
    <n v="0"/>
    <m/>
    <m/>
    <m/>
    <n v="0"/>
    <m/>
    <m/>
    <m/>
    <n v="0"/>
    <m/>
    <m/>
    <m/>
    <m/>
    <n v="0"/>
    <m/>
    <m/>
    <m/>
    <m/>
    <m/>
    <m/>
    <m/>
    <n v="0"/>
    <m/>
    <s v="7.5 cm CN or CO parr not included in tag&amp;biosample"/>
    <s v="20140713 QBerger"/>
    <s v="20140714LFerreira"/>
    <s v="FW_Scan_20140713.pdf"/>
    <n v="1"/>
    <n v="0"/>
    <n v="0"/>
    <n v="0"/>
    <n v="0"/>
    <n v="0"/>
    <n v="0"/>
    <n v="0"/>
    <n v="0"/>
    <n v="0"/>
    <n v="0"/>
    <n v="0"/>
    <n v="0"/>
    <n v="0"/>
    <n v="0"/>
    <n v="0"/>
    <n v="0"/>
    <n v="0"/>
    <n v="0"/>
    <n v="0"/>
  </r>
  <r>
    <x v="37"/>
    <x v="2"/>
    <s v="nc,lf"/>
    <d v="1899-12-30T09:45:00"/>
    <d v="1899-12-30T14:13:00"/>
    <n v="32"/>
    <n v="11"/>
    <m/>
    <m/>
    <n v="268"/>
    <m/>
    <m/>
    <n v="1"/>
    <n v="1"/>
    <m/>
    <n v="1"/>
    <m/>
    <n v="1"/>
    <m/>
    <m/>
    <m/>
    <m/>
    <n v="0"/>
    <m/>
    <m/>
    <m/>
    <n v="0"/>
    <m/>
    <m/>
    <m/>
    <n v="0"/>
    <m/>
    <m/>
    <m/>
    <m/>
    <n v="0"/>
    <m/>
    <m/>
    <m/>
    <m/>
    <m/>
    <m/>
    <m/>
    <n v="0"/>
    <m/>
    <m/>
    <s v="20140713 LFerreira"/>
    <s v="20140714LFerreira"/>
    <s v="FW_Scan_20140713.pdf"/>
    <n v="0"/>
    <n v="0"/>
    <n v="1"/>
    <n v="0"/>
    <n v="1"/>
    <n v="0"/>
    <n v="0"/>
    <n v="0"/>
    <n v="0"/>
    <n v="0"/>
    <n v="0"/>
    <n v="0"/>
    <n v="0"/>
    <n v="0"/>
    <n v="0"/>
    <n v="0"/>
    <n v="0"/>
    <n v="0"/>
    <n v="0"/>
    <n v="0"/>
  </r>
  <r>
    <x v="37"/>
    <x v="2"/>
    <s v="jb,jg"/>
    <d v="1899-12-30T14:13:00"/>
    <d v="1899-12-30T18:26:00"/>
    <n v="32"/>
    <n v="11"/>
    <m/>
    <m/>
    <n v="253.00000000000006"/>
    <n v="1"/>
    <m/>
    <m/>
    <n v="1"/>
    <m/>
    <m/>
    <m/>
    <n v="0"/>
    <m/>
    <m/>
    <m/>
    <m/>
    <n v="0"/>
    <m/>
    <m/>
    <m/>
    <n v="0"/>
    <m/>
    <m/>
    <m/>
    <n v="0"/>
    <m/>
    <m/>
    <m/>
    <m/>
    <n v="0"/>
    <m/>
    <m/>
    <m/>
    <m/>
    <m/>
    <m/>
    <m/>
    <n v="0"/>
    <m/>
    <m/>
    <s v="20140713 JBerry"/>
    <s v="20140714LFerreira"/>
    <s v="FW_Scan_20140713.pdf"/>
    <n v="1"/>
    <n v="0"/>
    <n v="0"/>
    <n v="0"/>
    <n v="0"/>
    <n v="0"/>
    <n v="0"/>
    <n v="0"/>
    <n v="0"/>
    <n v="0"/>
    <n v="0"/>
    <n v="0"/>
    <n v="0"/>
    <n v="0"/>
    <n v="0"/>
    <n v="0"/>
    <n v="0"/>
    <n v="0"/>
    <n v="0"/>
    <n v="0"/>
  </r>
  <r>
    <x v="37"/>
    <x v="2"/>
    <s v="nc,jk"/>
    <d v="1899-12-30T18:26:00"/>
    <d v="1899-12-31T00:00:00"/>
    <n v="32"/>
    <n v="11"/>
    <m/>
    <m/>
    <n v="333.99999999999994"/>
    <m/>
    <m/>
    <m/>
    <n v="0"/>
    <m/>
    <m/>
    <m/>
    <n v="0"/>
    <m/>
    <m/>
    <m/>
    <m/>
    <n v="0"/>
    <m/>
    <m/>
    <m/>
    <n v="0"/>
    <m/>
    <m/>
    <m/>
    <n v="0"/>
    <m/>
    <m/>
    <m/>
    <m/>
    <n v="0"/>
    <m/>
    <m/>
    <m/>
    <m/>
    <m/>
    <m/>
    <m/>
    <n v="0"/>
    <m/>
    <s v="no fish"/>
    <s v="20140713 JKunzler"/>
    <s v="20140714LFerreira"/>
    <s v="FW_Scan_20140713.pdf"/>
    <n v="0"/>
    <n v="0"/>
    <n v="0"/>
    <n v="0"/>
    <n v="0"/>
    <n v="0"/>
    <n v="0"/>
    <n v="0"/>
    <n v="0"/>
    <n v="0"/>
    <n v="0"/>
    <n v="0"/>
    <n v="0"/>
    <n v="0"/>
    <n v="0"/>
    <n v="0"/>
    <n v="0"/>
    <n v="0"/>
    <n v="0"/>
    <n v="0"/>
  </r>
  <r>
    <x v="37"/>
    <x v="1"/>
    <s v="dj,jg"/>
    <d v="1899-12-30T00:00:00"/>
    <d v="1899-12-30T09:50:00"/>
    <n v="34"/>
    <n v="10"/>
    <m/>
    <m/>
    <n v="590"/>
    <n v="6"/>
    <m/>
    <m/>
    <n v="6"/>
    <m/>
    <n v="1"/>
    <m/>
    <n v="1"/>
    <m/>
    <m/>
    <m/>
    <m/>
    <n v="0"/>
    <m/>
    <m/>
    <m/>
    <n v="0"/>
    <m/>
    <m/>
    <m/>
    <n v="0"/>
    <m/>
    <m/>
    <m/>
    <m/>
    <n v="0"/>
    <m/>
    <m/>
    <m/>
    <n v="1"/>
    <m/>
    <m/>
    <m/>
    <n v="1"/>
    <m/>
    <m/>
    <s v="20140713 DJohnson"/>
    <s v="20140714LFerreira"/>
    <s v="FW_Scan_20140713.pdf"/>
    <n v="6"/>
    <n v="0"/>
    <n v="0"/>
    <n v="0"/>
    <n v="1"/>
    <n v="0"/>
    <n v="0"/>
    <n v="0"/>
    <n v="0"/>
    <n v="0"/>
    <n v="0"/>
    <n v="0"/>
    <n v="0"/>
    <n v="0"/>
    <n v="0"/>
    <n v="0"/>
    <n v="0"/>
    <n v="0"/>
    <n v="0"/>
    <n v="0"/>
  </r>
  <r>
    <x v="37"/>
    <x v="1"/>
    <s v="csj,jk"/>
    <d v="1899-12-30T09:50:00"/>
    <d v="1899-12-30T13:58:00"/>
    <n v="39"/>
    <n v="10"/>
    <m/>
    <m/>
    <n v="247.99999999999997"/>
    <n v="1"/>
    <m/>
    <m/>
    <n v="1"/>
    <m/>
    <m/>
    <m/>
    <n v="0"/>
    <m/>
    <m/>
    <m/>
    <m/>
    <n v="0"/>
    <m/>
    <m/>
    <m/>
    <n v="0"/>
    <m/>
    <m/>
    <m/>
    <n v="0"/>
    <m/>
    <m/>
    <m/>
    <m/>
    <n v="0"/>
    <m/>
    <m/>
    <m/>
    <m/>
    <m/>
    <m/>
    <m/>
    <n v="0"/>
    <m/>
    <m/>
    <s v="20140713 CSejkora"/>
    <s v="20140714LFerreira"/>
    <s v="FW_Scan_20140713.pdf"/>
    <n v="1"/>
    <n v="0"/>
    <n v="0"/>
    <n v="0"/>
    <n v="0"/>
    <n v="0"/>
    <n v="0"/>
    <n v="0"/>
    <n v="0"/>
    <n v="0"/>
    <n v="0"/>
    <n v="0"/>
    <n v="0"/>
    <n v="0"/>
    <n v="0"/>
    <n v="0"/>
    <n v="0"/>
    <n v="0"/>
    <n v="0"/>
    <n v="0"/>
  </r>
  <r>
    <x v="37"/>
    <x v="1"/>
    <s v="dj,qb"/>
    <d v="1899-12-30T13:58:00"/>
    <d v="1899-12-30T18:45:00"/>
    <n v="36"/>
    <n v="10"/>
    <m/>
    <m/>
    <n v="238.99999999999994"/>
    <m/>
    <m/>
    <m/>
    <n v="0"/>
    <m/>
    <m/>
    <m/>
    <n v="0"/>
    <m/>
    <m/>
    <m/>
    <m/>
    <n v="0"/>
    <m/>
    <m/>
    <m/>
    <n v="0"/>
    <m/>
    <m/>
    <m/>
    <n v="0"/>
    <m/>
    <m/>
    <m/>
    <m/>
    <n v="0"/>
    <m/>
    <m/>
    <m/>
    <m/>
    <n v="1"/>
    <m/>
    <m/>
    <n v="1"/>
    <s v="15:50 to 16:38 FW not fishing from debris in wheel/a lot debris in river"/>
    <m/>
    <s v="20140713 DJohnson"/>
    <s v="20140714LFerreira"/>
    <s v="FW_Scan_20140713.pdf"/>
    <n v="0"/>
    <n v="0"/>
    <n v="0"/>
    <n v="0"/>
    <n v="0"/>
    <n v="0"/>
    <n v="0"/>
    <n v="0"/>
    <n v="0"/>
    <n v="0"/>
    <n v="0"/>
    <n v="0"/>
    <n v="0"/>
    <n v="0"/>
    <n v="0"/>
    <n v="0"/>
    <n v="0"/>
    <n v="0"/>
    <n v="0"/>
    <n v="0"/>
  </r>
  <r>
    <x v="37"/>
    <x v="1"/>
    <s v="lf,csj"/>
    <d v="1899-12-30T18:45:00"/>
    <d v="1899-12-31T00:00:00"/>
    <n v="35"/>
    <n v="11"/>
    <m/>
    <m/>
    <n v="315"/>
    <n v="1"/>
    <m/>
    <m/>
    <n v="1"/>
    <m/>
    <m/>
    <m/>
    <n v="0"/>
    <m/>
    <m/>
    <m/>
    <m/>
    <n v="0"/>
    <m/>
    <m/>
    <m/>
    <n v="0"/>
    <m/>
    <m/>
    <m/>
    <n v="0"/>
    <m/>
    <m/>
    <m/>
    <m/>
    <n v="0"/>
    <m/>
    <m/>
    <m/>
    <m/>
    <m/>
    <m/>
    <m/>
    <n v="0"/>
    <m/>
    <m/>
    <s v="20140713 LFerreira"/>
    <s v="20140714LFerreira"/>
    <s v="FW_Scan_20140713.pdf"/>
    <n v="1"/>
    <n v="0"/>
    <n v="0"/>
    <n v="0"/>
    <n v="0"/>
    <n v="0"/>
    <n v="0"/>
    <n v="0"/>
    <n v="0"/>
    <n v="0"/>
    <n v="0"/>
    <n v="0"/>
    <n v="0"/>
    <n v="0"/>
    <n v="0"/>
    <n v="0"/>
    <n v="0"/>
    <n v="0"/>
    <n v="0"/>
    <n v="0"/>
  </r>
  <r>
    <x v="38"/>
    <x v="0"/>
    <s v="dj,qb"/>
    <d v="1899-12-30T00:00:00"/>
    <d v="1899-12-30T09:52:00"/>
    <n v="33"/>
    <n v="9"/>
    <m/>
    <m/>
    <n v="592"/>
    <m/>
    <n v="1"/>
    <m/>
    <n v="1"/>
    <m/>
    <n v="2"/>
    <m/>
    <n v="2"/>
    <m/>
    <m/>
    <m/>
    <m/>
    <n v="0"/>
    <m/>
    <m/>
    <m/>
    <n v="0"/>
    <m/>
    <m/>
    <m/>
    <n v="0"/>
    <m/>
    <m/>
    <m/>
    <m/>
    <n v="0"/>
    <m/>
    <m/>
    <m/>
    <m/>
    <m/>
    <m/>
    <m/>
    <n v="0"/>
    <m/>
    <m/>
    <s v="20140714 DJohnson"/>
    <s v="20140715LFerreira"/>
    <s v="FW_Scan_20140714.pdf"/>
    <n v="0"/>
    <n v="1"/>
    <n v="0"/>
    <n v="0"/>
    <n v="2"/>
    <n v="0"/>
    <n v="0"/>
    <n v="0"/>
    <n v="0"/>
    <n v="0"/>
    <n v="0"/>
    <n v="0"/>
    <n v="0"/>
    <n v="0"/>
    <n v="0"/>
    <n v="0"/>
    <n v="0"/>
    <n v="0"/>
    <n v="0"/>
    <n v="0"/>
  </r>
  <r>
    <x v="38"/>
    <x v="0"/>
    <s v="lf,csj"/>
    <d v="1899-12-30T09:52:00"/>
    <d v="1899-12-30T14:23:00"/>
    <n v="33"/>
    <n v="8"/>
    <m/>
    <m/>
    <n v="270.99999999999994"/>
    <m/>
    <m/>
    <m/>
    <n v="0"/>
    <m/>
    <m/>
    <m/>
    <n v="0"/>
    <m/>
    <m/>
    <m/>
    <m/>
    <n v="0"/>
    <m/>
    <m/>
    <m/>
    <n v="0"/>
    <m/>
    <m/>
    <m/>
    <n v="0"/>
    <m/>
    <m/>
    <m/>
    <m/>
    <n v="0"/>
    <m/>
    <m/>
    <n v="1"/>
    <m/>
    <m/>
    <m/>
    <m/>
    <n v="1"/>
    <m/>
    <m/>
    <s v="20140714 LFerreira"/>
    <s v="20140715LFerreira"/>
    <s v="FW_Scan_20140714.pdf"/>
    <n v="0"/>
    <n v="0"/>
    <n v="0"/>
    <n v="0"/>
    <n v="0"/>
    <n v="0"/>
    <n v="0"/>
    <n v="0"/>
    <n v="0"/>
    <n v="0"/>
    <n v="0"/>
    <n v="0"/>
    <n v="0"/>
    <n v="0"/>
    <n v="0"/>
    <n v="0"/>
    <n v="0"/>
    <n v="0"/>
    <n v="0"/>
    <n v="0"/>
  </r>
  <r>
    <x v="38"/>
    <x v="0"/>
    <s v="jg,qb"/>
    <d v="1899-12-30T14:23:00"/>
    <d v="1899-12-30T18:51:00"/>
    <n v="33"/>
    <n v="9"/>
    <m/>
    <m/>
    <n v="268.00000000000017"/>
    <n v="1"/>
    <m/>
    <m/>
    <n v="1"/>
    <m/>
    <m/>
    <m/>
    <n v="0"/>
    <m/>
    <m/>
    <m/>
    <m/>
    <n v="0"/>
    <m/>
    <m/>
    <m/>
    <n v="0"/>
    <m/>
    <m/>
    <m/>
    <n v="0"/>
    <m/>
    <m/>
    <m/>
    <m/>
    <n v="0"/>
    <m/>
    <m/>
    <m/>
    <m/>
    <m/>
    <m/>
    <m/>
    <n v="0"/>
    <m/>
    <m/>
    <s v="20140714 QBerger"/>
    <s v="20140715LFerreira"/>
    <s v="FW_Scan_20140714.pdf"/>
    <n v="1"/>
    <n v="0"/>
    <n v="0"/>
    <n v="0"/>
    <n v="0"/>
    <n v="0"/>
    <n v="0"/>
    <n v="0"/>
    <n v="0"/>
    <n v="0"/>
    <n v="0"/>
    <n v="0"/>
    <n v="0"/>
    <n v="0"/>
    <n v="0"/>
    <n v="0"/>
    <n v="0"/>
    <n v="0"/>
    <n v="0"/>
    <n v="0"/>
  </r>
  <r>
    <x v="38"/>
    <x v="0"/>
    <s v="jk,lf"/>
    <d v="1899-12-30T18:51:00"/>
    <d v="1899-12-31T00:00:00"/>
    <n v="32"/>
    <n v="9"/>
    <m/>
    <m/>
    <n v="308.99999999999989"/>
    <m/>
    <m/>
    <m/>
    <n v="0"/>
    <m/>
    <m/>
    <m/>
    <n v="0"/>
    <m/>
    <m/>
    <m/>
    <m/>
    <n v="0"/>
    <m/>
    <m/>
    <m/>
    <n v="0"/>
    <m/>
    <m/>
    <m/>
    <n v="0"/>
    <m/>
    <m/>
    <m/>
    <m/>
    <n v="0"/>
    <m/>
    <m/>
    <m/>
    <m/>
    <m/>
    <m/>
    <m/>
    <n v="0"/>
    <m/>
    <m/>
    <s v="20140714 JKunzler"/>
    <s v="20140715LFerreira"/>
    <s v="FW_Scan_20140714.pdf"/>
    <n v="0"/>
    <n v="0"/>
    <n v="0"/>
    <n v="0"/>
    <n v="0"/>
    <n v="0"/>
    <n v="0"/>
    <n v="0"/>
    <n v="0"/>
    <n v="0"/>
    <n v="0"/>
    <n v="0"/>
    <n v="0"/>
    <n v="0"/>
    <n v="0"/>
    <n v="0"/>
    <n v="0"/>
    <n v="0"/>
    <n v="0"/>
    <n v="0"/>
  </r>
  <r>
    <x v="38"/>
    <x v="2"/>
    <s v="dj,qb"/>
    <d v="1899-12-30T00:00:00"/>
    <d v="1899-12-30T09:36:00"/>
    <n v="32"/>
    <n v="10"/>
    <m/>
    <m/>
    <n v="576"/>
    <m/>
    <m/>
    <m/>
    <n v="0"/>
    <m/>
    <m/>
    <m/>
    <n v="0"/>
    <m/>
    <m/>
    <m/>
    <m/>
    <n v="0"/>
    <m/>
    <m/>
    <m/>
    <n v="0"/>
    <m/>
    <m/>
    <m/>
    <n v="0"/>
    <m/>
    <m/>
    <m/>
    <m/>
    <n v="0"/>
    <m/>
    <m/>
    <m/>
    <m/>
    <m/>
    <m/>
    <m/>
    <n v="0"/>
    <s v="Shortened starboard slide to ease scooping"/>
    <s v="No fish"/>
    <s v="20140714 DJohnson"/>
    <s v="20140715LFerreira"/>
    <s v="FW_Scan_20140714.pdf"/>
    <n v="0"/>
    <n v="0"/>
    <n v="0"/>
    <n v="0"/>
    <n v="0"/>
    <n v="0"/>
    <n v="0"/>
    <n v="0"/>
    <n v="0"/>
    <n v="0"/>
    <n v="0"/>
    <n v="0"/>
    <n v="0"/>
    <n v="0"/>
    <n v="0"/>
    <n v="0"/>
    <n v="0"/>
    <n v="0"/>
    <n v="0"/>
    <n v="0"/>
  </r>
  <r>
    <x v="38"/>
    <x v="2"/>
    <s v="lf,csj"/>
    <d v="1899-12-30T09:36:00"/>
    <d v="1899-12-30T14:10:00"/>
    <n v="30"/>
    <n v="10"/>
    <m/>
    <m/>
    <n v="274.00000000000011"/>
    <m/>
    <m/>
    <m/>
    <n v="0"/>
    <m/>
    <m/>
    <m/>
    <n v="0"/>
    <m/>
    <m/>
    <m/>
    <m/>
    <n v="0"/>
    <m/>
    <m/>
    <m/>
    <n v="0"/>
    <m/>
    <m/>
    <m/>
    <n v="0"/>
    <m/>
    <m/>
    <m/>
    <m/>
    <n v="0"/>
    <m/>
    <m/>
    <m/>
    <m/>
    <m/>
    <m/>
    <m/>
    <n v="0"/>
    <m/>
    <s v="no fish"/>
    <s v="20140714 LFerreira"/>
    <s v="20140715LFerreira"/>
    <s v="FW_Scan_20140714.pdf"/>
    <n v="0"/>
    <n v="0"/>
    <n v="0"/>
    <n v="0"/>
    <n v="0"/>
    <n v="0"/>
    <n v="0"/>
    <n v="0"/>
    <n v="0"/>
    <n v="0"/>
    <n v="0"/>
    <n v="0"/>
    <n v="0"/>
    <n v="0"/>
    <n v="0"/>
    <n v="0"/>
    <n v="0"/>
    <n v="0"/>
    <n v="0"/>
    <n v="0"/>
  </r>
  <r>
    <x v="38"/>
    <x v="2"/>
    <s v="jg,qb"/>
    <d v="1899-12-30T14:10:00"/>
    <d v="1899-12-30T18:39:00"/>
    <n v="33"/>
    <n v="9"/>
    <m/>
    <m/>
    <n v="268.99999999999983"/>
    <m/>
    <m/>
    <m/>
    <n v="0"/>
    <m/>
    <m/>
    <m/>
    <n v="0"/>
    <n v="1"/>
    <m/>
    <m/>
    <m/>
    <n v="1"/>
    <m/>
    <m/>
    <m/>
    <n v="0"/>
    <m/>
    <m/>
    <m/>
    <n v="0"/>
    <m/>
    <m/>
    <m/>
    <m/>
    <n v="0"/>
    <m/>
    <m/>
    <m/>
    <m/>
    <m/>
    <m/>
    <m/>
    <n v="0"/>
    <m/>
    <m/>
    <s v="20140714 QBerger"/>
    <s v="20140715LFerreira"/>
    <s v="FW_Scan_20140714.pdf"/>
    <n v="0"/>
    <n v="0"/>
    <n v="0"/>
    <n v="0"/>
    <n v="0"/>
    <n v="0"/>
    <n v="1"/>
    <n v="0"/>
    <n v="0"/>
    <n v="0"/>
    <n v="0"/>
    <n v="0"/>
    <n v="0"/>
    <n v="0"/>
    <n v="0"/>
    <n v="0"/>
    <n v="0"/>
    <n v="0"/>
    <n v="0"/>
    <n v="0"/>
  </r>
  <r>
    <x v="38"/>
    <x v="2"/>
    <s v="jk,lf"/>
    <d v="1899-12-30T18:39:00"/>
    <d v="1899-12-31T00:00:00"/>
    <n v="33"/>
    <n v="10"/>
    <m/>
    <m/>
    <n v="321.00000000000011"/>
    <n v="2"/>
    <m/>
    <m/>
    <n v="2"/>
    <m/>
    <m/>
    <m/>
    <n v="0"/>
    <m/>
    <m/>
    <m/>
    <m/>
    <n v="0"/>
    <m/>
    <m/>
    <m/>
    <n v="0"/>
    <m/>
    <m/>
    <m/>
    <n v="0"/>
    <m/>
    <m/>
    <m/>
    <m/>
    <n v="0"/>
    <m/>
    <m/>
    <m/>
    <m/>
    <m/>
    <m/>
    <m/>
    <n v="0"/>
    <m/>
    <m/>
    <s v="20140714 LFerreira"/>
    <s v="20140715LFerreira"/>
    <s v="FW_Scan_20140714.pdf"/>
    <n v="2"/>
    <n v="0"/>
    <n v="0"/>
    <n v="0"/>
    <n v="0"/>
    <n v="0"/>
    <n v="0"/>
    <n v="0"/>
    <n v="0"/>
    <n v="0"/>
    <n v="0"/>
    <n v="0"/>
    <n v="0"/>
    <n v="0"/>
    <n v="0"/>
    <n v="0"/>
    <n v="0"/>
    <n v="0"/>
    <n v="0"/>
    <n v="0"/>
  </r>
  <r>
    <x v="38"/>
    <x v="1"/>
    <s v="jg,jb"/>
    <d v="1899-12-30T00:00:00"/>
    <d v="1899-12-30T09:41:00"/>
    <n v="37"/>
    <n v="10"/>
    <m/>
    <m/>
    <n v="581"/>
    <m/>
    <m/>
    <n v="2"/>
    <n v="2"/>
    <m/>
    <m/>
    <m/>
    <n v="0"/>
    <m/>
    <m/>
    <m/>
    <m/>
    <n v="0"/>
    <m/>
    <m/>
    <m/>
    <n v="0"/>
    <n v="1"/>
    <m/>
    <m/>
    <n v="1"/>
    <m/>
    <m/>
    <m/>
    <m/>
    <n v="0"/>
    <m/>
    <m/>
    <m/>
    <m/>
    <m/>
    <m/>
    <n v="1"/>
    <n v="1"/>
    <m/>
    <m/>
    <s v="20140714 JBerry"/>
    <s v="20140715LFerreira"/>
    <s v="FW_Scan_20140714.pdf"/>
    <n v="0"/>
    <n v="0"/>
    <n v="2"/>
    <n v="0"/>
    <n v="0"/>
    <n v="0"/>
    <n v="0"/>
    <n v="0"/>
    <n v="0"/>
    <n v="0"/>
    <n v="0"/>
    <n v="0"/>
    <n v="0"/>
    <n v="1"/>
    <n v="0"/>
    <n v="0"/>
    <n v="0"/>
    <n v="0"/>
    <n v="0"/>
    <n v="0"/>
  </r>
  <r>
    <x v="38"/>
    <x v="1"/>
    <s v="nc,jk"/>
    <d v="1899-12-30T09:41:00"/>
    <d v="1899-12-30T14:26:00"/>
    <n v="36"/>
    <n v="10"/>
    <m/>
    <m/>
    <n v="284.99999999999994"/>
    <m/>
    <m/>
    <m/>
    <n v="0"/>
    <m/>
    <m/>
    <m/>
    <n v="0"/>
    <m/>
    <m/>
    <m/>
    <m/>
    <n v="0"/>
    <m/>
    <m/>
    <m/>
    <n v="0"/>
    <m/>
    <m/>
    <m/>
    <n v="0"/>
    <m/>
    <m/>
    <m/>
    <m/>
    <n v="0"/>
    <n v="1"/>
    <m/>
    <n v="1"/>
    <m/>
    <m/>
    <m/>
    <m/>
    <n v="2"/>
    <m/>
    <m/>
    <s v="20140714 JKunzler"/>
    <s v="20140715LFerreira"/>
    <s v="FW_Scan_20140714.pdf"/>
    <n v="0"/>
    <n v="0"/>
    <n v="0"/>
    <n v="0"/>
    <n v="0"/>
    <n v="0"/>
    <n v="0"/>
    <n v="0"/>
    <n v="0"/>
    <n v="0"/>
    <n v="0"/>
    <n v="0"/>
    <n v="0"/>
    <n v="0"/>
    <n v="0"/>
    <n v="0"/>
    <n v="0"/>
    <n v="0"/>
    <n v="0"/>
    <n v="0"/>
  </r>
  <r>
    <x v="38"/>
    <x v="1"/>
    <s v="jb,dj"/>
    <d v="1899-12-30T14:26:00"/>
    <d v="1899-12-30T18:45:00"/>
    <n v="38"/>
    <n v="10"/>
    <m/>
    <m/>
    <n v="259.00000000000006"/>
    <n v="2"/>
    <m/>
    <m/>
    <n v="2"/>
    <m/>
    <m/>
    <m/>
    <n v="0"/>
    <m/>
    <m/>
    <m/>
    <m/>
    <n v="0"/>
    <m/>
    <m/>
    <m/>
    <n v="0"/>
    <m/>
    <m/>
    <m/>
    <n v="0"/>
    <m/>
    <m/>
    <m/>
    <m/>
    <n v="0"/>
    <m/>
    <m/>
    <m/>
    <m/>
    <m/>
    <m/>
    <m/>
    <n v="0"/>
    <m/>
    <m/>
    <s v="20140714 JBerry"/>
    <s v="20140715LFerreira"/>
    <s v="FW_Scan_20140714.pdf"/>
    <n v="2"/>
    <n v="0"/>
    <n v="0"/>
    <n v="0"/>
    <n v="0"/>
    <n v="0"/>
    <n v="0"/>
    <n v="0"/>
    <n v="0"/>
    <n v="0"/>
    <n v="0"/>
    <n v="0"/>
    <n v="0"/>
    <n v="0"/>
    <n v="0"/>
    <n v="0"/>
    <n v="0"/>
    <n v="0"/>
    <n v="0"/>
    <n v="0"/>
  </r>
  <r>
    <x v="38"/>
    <x v="1"/>
    <s v="nc,csj"/>
    <d v="1899-12-30T18:45:00"/>
    <d v="1899-12-31T00:00:00"/>
    <n v="36"/>
    <n v="10"/>
    <m/>
    <m/>
    <n v="315"/>
    <m/>
    <n v="1"/>
    <m/>
    <n v="1"/>
    <m/>
    <m/>
    <m/>
    <n v="0"/>
    <m/>
    <m/>
    <m/>
    <m/>
    <n v="0"/>
    <m/>
    <m/>
    <m/>
    <n v="0"/>
    <m/>
    <m/>
    <m/>
    <n v="0"/>
    <m/>
    <m/>
    <m/>
    <m/>
    <n v="0"/>
    <m/>
    <m/>
    <m/>
    <m/>
    <m/>
    <m/>
    <m/>
    <n v="0"/>
    <m/>
    <m/>
    <s v="20140714 CSejkora"/>
    <s v="20140715LFerreira"/>
    <s v="FW_Scan_20140714.pdf"/>
    <n v="0"/>
    <n v="1"/>
    <n v="0"/>
    <n v="0"/>
    <n v="0"/>
    <n v="0"/>
    <n v="0"/>
    <n v="0"/>
    <n v="0"/>
    <n v="0"/>
    <n v="0"/>
    <n v="0"/>
    <n v="0"/>
    <n v="0"/>
    <n v="0"/>
    <n v="0"/>
    <n v="0"/>
    <n v="0"/>
    <n v="0"/>
    <n v="0"/>
  </r>
  <r>
    <x v="39"/>
    <x v="0"/>
    <s v="jg,jb"/>
    <d v="1899-12-30T00:00:00"/>
    <d v="1899-12-30T09:45:00"/>
    <n v="36"/>
    <n v="9"/>
    <m/>
    <m/>
    <n v="549"/>
    <n v="1"/>
    <m/>
    <m/>
    <n v="1"/>
    <m/>
    <m/>
    <m/>
    <n v="0"/>
    <m/>
    <m/>
    <m/>
    <m/>
    <n v="0"/>
    <m/>
    <m/>
    <m/>
    <n v="0"/>
    <m/>
    <m/>
    <m/>
    <n v="0"/>
    <m/>
    <m/>
    <m/>
    <m/>
    <n v="0"/>
    <m/>
    <m/>
    <m/>
    <m/>
    <m/>
    <m/>
    <m/>
    <n v="0"/>
    <s v="wheel raised for basket and slide repair from 05:53 to 06:29"/>
    <m/>
    <s v="20140715 JBerry"/>
    <s v="20140716LFerreira"/>
    <s v="FW_Scan_20140715.pdf"/>
    <n v="1"/>
    <n v="0"/>
    <n v="0"/>
    <n v="0"/>
    <n v="0"/>
    <n v="0"/>
    <n v="0"/>
    <n v="0"/>
    <n v="0"/>
    <n v="0"/>
    <n v="0"/>
    <n v="0"/>
    <n v="0"/>
    <n v="0"/>
    <n v="0"/>
    <n v="0"/>
    <n v="0"/>
    <n v="0"/>
    <n v="0"/>
    <n v="0"/>
  </r>
  <r>
    <x v="39"/>
    <x v="0"/>
    <s v="nc,csj"/>
    <d v="1899-12-30T09:45:00"/>
    <d v="1899-12-30T14:30:00"/>
    <n v="37"/>
    <n v="9"/>
    <m/>
    <m/>
    <n v="194.99999999999994"/>
    <m/>
    <m/>
    <m/>
    <n v="0"/>
    <m/>
    <m/>
    <m/>
    <n v="0"/>
    <m/>
    <m/>
    <m/>
    <m/>
    <n v="0"/>
    <m/>
    <m/>
    <m/>
    <n v="0"/>
    <m/>
    <m/>
    <m/>
    <n v="0"/>
    <m/>
    <m/>
    <m/>
    <m/>
    <n v="0"/>
    <m/>
    <m/>
    <m/>
    <m/>
    <m/>
    <m/>
    <m/>
    <n v="0"/>
    <s v="wheel damaged from log, not fishing unknown duration--last check approximately 13:00, found stopped at approximately 14:00"/>
    <s v="no fish"/>
    <s v="20140715 CSejkora"/>
    <s v="20140716LFerreira"/>
    <s v="FW_Scan_20140715.pdf"/>
    <n v="0"/>
    <n v="0"/>
    <n v="0"/>
    <n v="0"/>
    <n v="0"/>
    <n v="0"/>
    <n v="0"/>
    <n v="0"/>
    <n v="0"/>
    <n v="0"/>
    <n v="0"/>
    <n v="0"/>
    <n v="0"/>
    <n v="0"/>
    <n v="0"/>
    <n v="0"/>
    <n v="0"/>
    <n v="0"/>
    <n v="0"/>
    <n v="0"/>
  </r>
  <r>
    <x v="39"/>
    <x v="0"/>
    <s v="dj,jg"/>
    <d v="1899-12-30T14:30:00"/>
    <d v="1899-12-30T18:47:00"/>
    <n v="36"/>
    <n v="10"/>
    <m/>
    <m/>
    <n v="137.00000000000023"/>
    <m/>
    <m/>
    <m/>
    <n v="0"/>
    <m/>
    <m/>
    <m/>
    <n v="0"/>
    <m/>
    <m/>
    <m/>
    <m/>
    <n v="0"/>
    <m/>
    <m/>
    <m/>
    <n v="0"/>
    <m/>
    <m/>
    <m/>
    <n v="0"/>
    <m/>
    <m/>
    <m/>
    <m/>
    <n v="0"/>
    <m/>
    <m/>
    <m/>
    <m/>
    <m/>
    <m/>
    <m/>
    <n v="0"/>
    <s v="wheel was up at shift start being fixed until approximately 16:30, then lowered and fishing again"/>
    <s v="no fish"/>
    <s v="20140715 DJohnson"/>
    <s v="20140716LFerreira"/>
    <s v="FW_Scan_20140715.pdf"/>
    <n v="0"/>
    <n v="0"/>
    <n v="0"/>
    <n v="0"/>
    <n v="0"/>
    <n v="0"/>
    <n v="0"/>
    <n v="0"/>
    <n v="0"/>
    <n v="0"/>
    <n v="0"/>
    <n v="0"/>
    <n v="0"/>
    <n v="0"/>
    <n v="0"/>
    <n v="0"/>
    <n v="0"/>
    <n v="0"/>
    <n v="0"/>
    <n v="0"/>
  </r>
  <r>
    <x v="39"/>
    <x v="0"/>
    <s v="jk,csj"/>
    <d v="1899-12-30T18:47:00"/>
    <d v="1899-12-31T00:00:00"/>
    <n v="40"/>
    <n v="9"/>
    <m/>
    <m/>
    <n v="312.99999999999983"/>
    <n v="1"/>
    <m/>
    <m/>
    <n v="1"/>
    <m/>
    <m/>
    <m/>
    <n v="0"/>
    <m/>
    <m/>
    <n v="1"/>
    <m/>
    <n v="1"/>
    <m/>
    <m/>
    <m/>
    <n v="0"/>
    <m/>
    <m/>
    <m/>
    <n v="0"/>
    <m/>
    <m/>
    <m/>
    <m/>
    <n v="0"/>
    <m/>
    <m/>
    <m/>
    <m/>
    <m/>
    <m/>
    <m/>
    <n v="0"/>
    <m/>
    <m/>
    <s v="20140715 CSejkora"/>
    <s v="20140716LFerreira"/>
    <s v="FW_Scan_20140715.pdf"/>
    <n v="1"/>
    <n v="0"/>
    <n v="0"/>
    <n v="0"/>
    <n v="0"/>
    <n v="0"/>
    <n v="0"/>
    <n v="0"/>
    <n v="1"/>
    <n v="0"/>
    <n v="0"/>
    <n v="0"/>
    <n v="0"/>
    <n v="0"/>
    <n v="0"/>
    <n v="0"/>
    <n v="0"/>
    <n v="0"/>
    <n v="0"/>
    <n v="0"/>
  </r>
  <r>
    <x v="39"/>
    <x v="2"/>
    <s v="jg,jb"/>
    <d v="1899-12-30T00:00:00"/>
    <d v="1899-12-30T09:24:00"/>
    <n v="36"/>
    <n v="11"/>
    <m/>
    <m/>
    <n v="564"/>
    <m/>
    <m/>
    <m/>
    <n v="0"/>
    <m/>
    <m/>
    <m/>
    <n v="0"/>
    <n v="1"/>
    <m/>
    <m/>
    <m/>
    <n v="1"/>
    <m/>
    <m/>
    <m/>
    <n v="0"/>
    <m/>
    <m/>
    <m/>
    <n v="0"/>
    <m/>
    <m/>
    <m/>
    <m/>
    <n v="0"/>
    <m/>
    <m/>
    <m/>
    <m/>
    <m/>
    <m/>
    <m/>
    <n v="0"/>
    <m/>
    <m/>
    <s v="20140715 JBerry"/>
    <s v="20140716LFerreira"/>
    <s v="FW_Scan_20140715.pdf"/>
    <n v="0"/>
    <n v="0"/>
    <n v="0"/>
    <n v="0"/>
    <n v="0"/>
    <n v="0"/>
    <n v="1"/>
    <n v="0"/>
    <n v="0"/>
    <n v="0"/>
    <n v="0"/>
    <n v="0"/>
    <n v="0"/>
    <n v="0"/>
    <n v="0"/>
    <n v="0"/>
    <n v="0"/>
    <n v="0"/>
    <n v="0"/>
    <n v="0"/>
  </r>
  <r>
    <x v="39"/>
    <x v="2"/>
    <s v="nc,csj"/>
    <d v="1899-12-30T09:24:00"/>
    <d v="1899-12-30T14:11:00"/>
    <n v="35"/>
    <n v="10"/>
    <m/>
    <m/>
    <n v="287"/>
    <m/>
    <n v="1"/>
    <m/>
    <n v="1"/>
    <m/>
    <m/>
    <m/>
    <n v="0"/>
    <n v="1"/>
    <m/>
    <m/>
    <m/>
    <n v="1"/>
    <m/>
    <m/>
    <m/>
    <n v="0"/>
    <m/>
    <m/>
    <m/>
    <n v="0"/>
    <m/>
    <m/>
    <m/>
    <m/>
    <n v="0"/>
    <m/>
    <m/>
    <m/>
    <m/>
    <m/>
    <m/>
    <m/>
    <n v="0"/>
    <m/>
    <m/>
    <s v="20140715 CSejkora"/>
    <s v="20140716LFerreira"/>
    <s v="FW_Scan_20140715.pdf"/>
    <n v="0"/>
    <n v="1"/>
    <n v="0"/>
    <n v="0"/>
    <n v="0"/>
    <n v="0"/>
    <n v="1"/>
    <n v="0"/>
    <n v="0"/>
    <n v="0"/>
    <n v="0"/>
    <n v="0"/>
    <n v="0"/>
    <n v="0"/>
    <n v="0"/>
    <n v="0"/>
    <n v="0"/>
    <n v="0"/>
    <n v="0"/>
    <n v="0"/>
  </r>
  <r>
    <x v="39"/>
    <x v="2"/>
    <s v="dj,jg"/>
    <d v="1899-12-30T14:11:00"/>
    <d v="1899-12-30T18:35:00"/>
    <n v="34"/>
    <n v="12"/>
    <m/>
    <m/>
    <n v="263.99999999999989"/>
    <m/>
    <m/>
    <m/>
    <n v="0"/>
    <m/>
    <m/>
    <m/>
    <n v="0"/>
    <n v="2"/>
    <m/>
    <m/>
    <m/>
    <n v="2"/>
    <m/>
    <m/>
    <m/>
    <n v="0"/>
    <m/>
    <m/>
    <m/>
    <n v="0"/>
    <m/>
    <m/>
    <m/>
    <m/>
    <n v="0"/>
    <m/>
    <m/>
    <m/>
    <m/>
    <m/>
    <m/>
    <m/>
    <n v="0"/>
    <s v="raised wheel a bit, was hitting"/>
    <m/>
    <s v="20140715 DJohnson"/>
    <s v="20140716LFerreira"/>
    <s v="FW_Scan_20140715.pdf"/>
    <n v="0"/>
    <n v="0"/>
    <n v="0"/>
    <n v="0"/>
    <n v="0"/>
    <n v="0"/>
    <n v="2"/>
    <n v="0"/>
    <n v="0"/>
    <n v="0"/>
    <n v="0"/>
    <n v="0"/>
    <n v="0"/>
    <n v="0"/>
    <n v="0"/>
    <n v="0"/>
    <n v="0"/>
    <n v="0"/>
    <n v="0"/>
    <n v="0"/>
  </r>
  <r>
    <x v="39"/>
    <x v="2"/>
    <s v="jk,csj"/>
    <d v="1899-12-30T18:35:00"/>
    <d v="1899-12-31T00:00:00"/>
    <n v="33"/>
    <n v="12"/>
    <m/>
    <m/>
    <n v="325.00000000000011"/>
    <m/>
    <m/>
    <m/>
    <n v="0"/>
    <m/>
    <m/>
    <m/>
    <n v="0"/>
    <n v="1"/>
    <m/>
    <m/>
    <m/>
    <n v="1"/>
    <m/>
    <m/>
    <m/>
    <n v="0"/>
    <m/>
    <m/>
    <m/>
    <n v="0"/>
    <m/>
    <m/>
    <m/>
    <m/>
    <n v="0"/>
    <m/>
    <m/>
    <m/>
    <m/>
    <m/>
    <m/>
    <m/>
    <n v="0"/>
    <s v="moved FW out about 2 ft, lowered wheel"/>
    <m/>
    <s v="20140715 CSejkora"/>
    <s v="20140716LFerreira"/>
    <s v="FW_Scan_20140715.pdf"/>
    <n v="0"/>
    <n v="0"/>
    <n v="0"/>
    <n v="0"/>
    <n v="0"/>
    <n v="0"/>
    <n v="1"/>
    <n v="0"/>
    <n v="0"/>
    <n v="0"/>
    <n v="0"/>
    <n v="0"/>
    <n v="0"/>
    <n v="0"/>
    <n v="0"/>
    <n v="0"/>
    <n v="0"/>
    <n v="0"/>
    <n v="0"/>
    <n v="0"/>
  </r>
  <r>
    <x v="39"/>
    <x v="1"/>
    <s v="dj,qb"/>
    <d v="1899-12-30T00:00:00"/>
    <d v="1899-12-30T09:48:00"/>
    <n v="40"/>
    <n v="10"/>
    <m/>
    <m/>
    <n v="588"/>
    <n v="3"/>
    <m/>
    <m/>
    <n v="3"/>
    <n v="1"/>
    <n v="2"/>
    <m/>
    <n v="3"/>
    <n v="1"/>
    <m/>
    <m/>
    <m/>
    <n v="1"/>
    <m/>
    <m/>
    <m/>
    <n v="0"/>
    <m/>
    <m/>
    <m/>
    <n v="0"/>
    <m/>
    <m/>
    <m/>
    <m/>
    <n v="0"/>
    <m/>
    <m/>
    <m/>
    <n v="1"/>
    <m/>
    <m/>
    <m/>
    <n v="1"/>
    <m/>
    <s v="start time 23:15"/>
    <s v="20140715 QBerger"/>
    <s v="20140716LFerreira"/>
    <s v="FW_Scan_20140715.pdf"/>
    <n v="3"/>
    <n v="0"/>
    <n v="0"/>
    <n v="1"/>
    <n v="2"/>
    <n v="0"/>
    <n v="1"/>
    <n v="0"/>
    <n v="0"/>
    <n v="0"/>
    <n v="0"/>
    <n v="0"/>
    <n v="0"/>
    <n v="0"/>
    <n v="0"/>
    <n v="0"/>
    <n v="0"/>
    <n v="0"/>
    <n v="0"/>
    <n v="0"/>
  </r>
  <r>
    <x v="39"/>
    <x v="1"/>
    <s v="jk,lf"/>
    <d v="1899-12-30T09:48:00"/>
    <d v="1899-12-30T14:24:00"/>
    <n v="40"/>
    <n v="10"/>
    <m/>
    <m/>
    <n v="270.99999999999989"/>
    <n v="1"/>
    <n v="1"/>
    <m/>
    <n v="2"/>
    <m/>
    <m/>
    <m/>
    <n v="0"/>
    <m/>
    <m/>
    <m/>
    <m/>
    <n v="0"/>
    <m/>
    <m/>
    <m/>
    <n v="0"/>
    <m/>
    <m/>
    <m/>
    <n v="0"/>
    <m/>
    <m/>
    <m/>
    <m/>
    <n v="0"/>
    <m/>
    <n v="1"/>
    <m/>
    <m/>
    <m/>
    <m/>
    <m/>
    <n v="1"/>
    <s v="11:14, stopped wheel for about 5 minutes, log removal"/>
    <m/>
    <s v="20140715 JKunzler"/>
    <s v="20140716LFerreira"/>
    <s v="FW_Scan_20140715.pdf"/>
    <n v="1"/>
    <n v="1"/>
    <n v="0"/>
    <n v="0"/>
    <n v="0"/>
    <n v="0"/>
    <n v="0"/>
    <n v="0"/>
    <n v="0"/>
    <n v="0"/>
    <n v="0"/>
    <n v="0"/>
    <n v="0"/>
    <n v="0"/>
    <n v="0"/>
    <n v="0"/>
    <n v="0"/>
    <n v="0"/>
    <n v="0"/>
    <n v="0"/>
  </r>
  <r>
    <x v="39"/>
    <x v="1"/>
    <s v="jb,qb"/>
    <d v="1899-12-30T14:24:00"/>
    <d v="1899-12-30T18:45:00"/>
    <n v="40"/>
    <n v="10"/>
    <m/>
    <m/>
    <n v="261.00000000000006"/>
    <n v="2"/>
    <m/>
    <m/>
    <n v="2"/>
    <m/>
    <m/>
    <m/>
    <n v="0"/>
    <m/>
    <m/>
    <m/>
    <n v="1"/>
    <n v="1"/>
    <m/>
    <m/>
    <m/>
    <n v="0"/>
    <n v="1"/>
    <m/>
    <m/>
    <n v="1"/>
    <m/>
    <m/>
    <m/>
    <m/>
    <n v="0"/>
    <m/>
    <m/>
    <m/>
    <m/>
    <m/>
    <m/>
    <m/>
    <n v="0"/>
    <m/>
    <m/>
    <s v="20140715 JBerry"/>
    <s v="20140716LFerreira"/>
    <s v="FW_Scan_20140715.pdf"/>
    <n v="2"/>
    <n v="0"/>
    <n v="0"/>
    <n v="0"/>
    <n v="0"/>
    <n v="0"/>
    <n v="0"/>
    <n v="0"/>
    <n v="0"/>
    <n v="1"/>
    <n v="0"/>
    <n v="0"/>
    <n v="0"/>
    <n v="1"/>
    <n v="0"/>
    <n v="0"/>
    <n v="0"/>
    <n v="0"/>
    <n v="0"/>
    <n v="0"/>
  </r>
  <r>
    <x v="39"/>
    <x v="1"/>
    <s v="lf,nc"/>
    <d v="1899-12-30T18:45:00"/>
    <d v="1899-12-31T00:00:00"/>
    <n v="41"/>
    <n v="10"/>
    <m/>
    <m/>
    <n v="315"/>
    <n v="1"/>
    <m/>
    <m/>
    <n v="1"/>
    <m/>
    <m/>
    <m/>
    <n v="0"/>
    <m/>
    <m/>
    <m/>
    <m/>
    <n v="0"/>
    <m/>
    <m/>
    <m/>
    <n v="0"/>
    <m/>
    <m/>
    <m/>
    <n v="0"/>
    <m/>
    <m/>
    <m/>
    <m/>
    <n v="0"/>
    <m/>
    <m/>
    <m/>
    <n v="1"/>
    <m/>
    <m/>
    <m/>
    <n v="1"/>
    <s v="At 23:15, lifted wheel about 2 inches in anticipation of lower water over night."/>
    <s v="found dead AG under slide 15 cm FL"/>
    <s v="20140715 NCollin"/>
    <s v="20140716LFerreira"/>
    <s v="FW_Scan_20140715.pdf"/>
    <n v="1"/>
    <n v="0"/>
    <n v="0"/>
    <n v="0"/>
    <n v="0"/>
    <n v="0"/>
    <n v="0"/>
    <n v="0"/>
    <n v="0"/>
    <n v="0"/>
    <n v="0"/>
    <n v="0"/>
    <n v="0"/>
    <n v="0"/>
    <n v="0"/>
    <n v="0"/>
    <n v="0"/>
    <n v="0"/>
    <n v="0"/>
    <n v="0"/>
  </r>
  <r>
    <x v="40"/>
    <x v="0"/>
    <s v="jb,dj"/>
    <d v="1899-12-30T00:00:00"/>
    <d v="1899-12-30T09:30:00"/>
    <n v="42"/>
    <n v="9"/>
    <m/>
    <m/>
    <n v="570"/>
    <n v="2"/>
    <m/>
    <m/>
    <n v="2"/>
    <m/>
    <m/>
    <m/>
    <n v="0"/>
    <m/>
    <m/>
    <m/>
    <m/>
    <n v="0"/>
    <m/>
    <m/>
    <m/>
    <n v="0"/>
    <m/>
    <m/>
    <m/>
    <n v="0"/>
    <m/>
    <m/>
    <m/>
    <m/>
    <n v="0"/>
    <m/>
    <m/>
    <m/>
    <m/>
    <m/>
    <m/>
    <m/>
    <n v="0"/>
    <s v="lowered a little"/>
    <m/>
    <s v="20140716 DJohnson"/>
    <s v="20140717LFerreira"/>
    <s v="FW_Scan_20140716.pdf"/>
    <n v="2"/>
    <n v="0"/>
    <n v="0"/>
    <n v="0"/>
    <n v="0"/>
    <n v="0"/>
    <n v="0"/>
    <n v="0"/>
    <n v="0"/>
    <n v="0"/>
    <n v="0"/>
    <n v="0"/>
    <n v="0"/>
    <n v="0"/>
    <n v="0"/>
    <n v="0"/>
    <n v="0"/>
    <n v="0"/>
    <n v="0"/>
    <n v="0"/>
  </r>
  <r>
    <x v="40"/>
    <x v="0"/>
    <s v="lf,nc"/>
    <d v="1899-12-30T09:30:00"/>
    <d v="1899-12-30T14:35:00"/>
    <n v="41"/>
    <n v="9"/>
    <m/>
    <m/>
    <n v="305.00000000000011"/>
    <m/>
    <m/>
    <m/>
    <n v="0"/>
    <n v="1"/>
    <m/>
    <m/>
    <n v="1"/>
    <m/>
    <m/>
    <m/>
    <m/>
    <n v="0"/>
    <m/>
    <m/>
    <m/>
    <n v="0"/>
    <m/>
    <m/>
    <m/>
    <n v="0"/>
    <m/>
    <m/>
    <m/>
    <m/>
    <n v="0"/>
    <m/>
    <m/>
    <m/>
    <m/>
    <m/>
    <m/>
    <m/>
    <n v="0"/>
    <s v="moved FW out 5 ft at 10:30"/>
    <m/>
    <s v="20140716 LFerreira"/>
    <s v="20140717LFerreira"/>
    <s v="FW_Scan_20140716.pdf"/>
    <n v="0"/>
    <n v="0"/>
    <n v="0"/>
    <n v="1"/>
    <n v="0"/>
    <n v="0"/>
    <n v="0"/>
    <n v="0"/>
    <n v="0"/>
    <n v="0"/>
    <n v="0"/>
    <n v="0"/>
    <n v="0"/>
    <n v="0"/>
    <n v="0"/>
    <n v="0"/>
    <n v="0"/>
    <n v="0"/>
    <n v="0"/>
    <n v="0"/>
  </r>
  <r>
    <x v="40"/>
    <x v="0"/>
    <s v="jb,jg"/>
    <d v="1899-12-30T14:35:00"/>
    <d v="1899-12-30T18:30:00"/>
    <n v="41"/>
    <n v="9"/>
    <m/>
    <m/>
    <n v="234.99999999999997"/>
    <m/>
    <m/>
    <m/>
    <n v="0"/>
    <m/>
    <m/>
    <m/>
    <n v="0"/>
    <m/>
    <m/>
    <m/>
    <m/>
    <n v="0"/>
    <m/>
    <m/>
    <m/>
    <n v="0"/>
    <m/>
    <m/>
    <m/>
    <n v="0"/>
    <m/>
    <m/>
    <m/>
    <m/>
    <n v="0"/>
    <m/>
    <m/>
    <n v="1"/>
    <m/>
    <m/>
    <m/>
    <m/>
    <n v="1"/>
    <m/>
    <m/>
    <s v="20140716 JBerry"/>
    <s v="20140717LFerreira"/>
    <s v="FW_Scan_20140716.pdf"/>
    <n v="0"/>
    <n v="0"/>
    <n v="0"/>
    <n v="0"/>
    <n v="0"/>
    <n v="0"/>
    <n v="0"/>
    <n v="0"/>
    <n v="0"/>
    <n v="0"/>
    <n v="0"/>
    <n v="0"/>
    <n v="0"/>
    <n v="0"/>
    <n v="0"/>
    <n v="0"/>
    <n v="0"/>
    <n v="0"/>
    <n v="0"/>
    <n v="0"/>
  </r>
  <r>
    <x v="40"/>
    <x v="0"/>
    <s v="csj,jk"/>
    <d v="1899-12-30T18:30:00"/>
    <d v="1899-12-31T00:00:00"/>
    <n v="42"/>
    <n v="9"/>
    <m/>
    <m/>
    <n v="329.99999999999994"/>
    <m/>
    <m/>
    <m/>
    <n v="0"/>
    <m/>
    <m/>
    <m/>
    <n v="0"/>
    <m/>
    <m/>
    <m/>
    <m/>
    <n v="0"/>
    <m/>
    <m/>
    <m/>
    <n v="0"/>
    <m/>
    <m/>
    <m/>
    <n v="0"/>
    <m/>
    <m/>
    <m/>
    <m/>
    <n v="0"/>
    <m/>
    <m/>
    <m/>
    <m/>
    <m/>
    <m/>
    <m/>
    <n v="0"/>
    <m/>
    <s v="no fish"/>
    <s v="20140716 JKunzler"/>
    <s v="20140717LFerreira"/>
    <s v="FW_Scan_20140716.pdf"/>
    <n v="0"/>
    <n v="0"/>
    <n v="0"/>
    <n v="0"/>
    <n v="0"/>
    <n v="0"/>
    <n v="0"/>
    <n v="0"/>
    <n v="0"/>
    <n v="0"/>
    <n v="0"/>
    <n v="0"/>
    <n v="0"/>
    <n v="0"/>
    <n v="0"/>
    <n v="0"/>
    <n v="0"/>
    <n v="0"/>
    <n v="0"/>
    <n v="0"/>
  </r>
  <r>
    <x v="40"/>
    <x v="2"/>
    <s v="jb,dj"/>
    <d v="1899-12-30T00:00:00"/>
    <d v="1899-12-30T09:45:00"/>
    <n v="31"/>
    <n v="10"/>
    <m/>
    <m/>
    <n v="585"/>
    <m/>
    <m/>
    <m/>
    <n v="0"/>
    <m/>
    <n v="1"/>
    <m/>
    <n v="1"/>
    <n v="1"/>
    <m/>
    <m/>
    <m/>
    <n v="1"/>
    <m/>
    <m/>
    <m/>
    <n v="0"/>
    <m/>
    <m/>
    <m/>
    <n v="0"/>
    <m/>
    <m/>
    <m/>
    <m/>
    <n v="0"/>
    <m/>
    <m/>
    <m/>
    <m/>
    <m/>
    <m/>
    <m/>
    <n v="0"/>
    <m/>
    <m/>
    <s v="20140716 JBerry"/>
    <s v="20140717LFerreira"/>
    <s v="FW_Scan_20140716.pdf"/>
    <n v="0"/>
    <n v="0"/>
    <n v="0"/>
    <n v="0"/>
    <n v="1"/>
    <n v="0"/>
    <n v="1"/>
    <n v="0"/>
    <n v="0"/>
    <n v="0"/>
    <n v="0"/>
    <n v="0"/>
    <n v="0"/>
    <n v="0"/>
    <n v="0"/>
    <n v="0"/>
    <n v="0"/>
    <n v="0"/>
    <n v="0"/>
    <n v="0"/>
  </r>
  <r>
    <x v="40"/>
    <x v="2"/>
    <s v="lf,nc"/>
    <d v="1899-12-30T09:45:00"/>
    <d v="1899-12-30T14:20:00"/>
    <n v="38"/>
    <n v="10"/>
    <m/>
    <m/>
    <n v="257"/>
    <m/>
    <m/>
    <m/>
    <n v="0"/>
    <m/>
    <m/>
    <m/>
    <n v="0"/>
    <m/>
    <m/>
    <m/>
    <m/>
    <n v="0"/>
    <m/>
    <m/>
    <m/>
    <n v="0"/>
    <n v="1"/>
    <m/>
    <m/>
    <n v="1"/>
    <m/>
    <m/>
    <m/>
    <m/>
    <n v="0"/>
    <m/>
    <m/>
    <m/>
    <m/>
    <m/>
    <m/>
    <m/>
    <n v="0"/>
    <s v="stopped FW at 13:20 to repair basket. Resume ops at 13:38"/>
    <m/>
    <s v="20140716 LFerreira"/>
    <s v="20140717LFerreira"/>
    <s v="FW_Scan_20140716.pdf"/>
    <n v="0"/>
    <n v="0"/>
    <n v="0"/>
    <n v="0"/>
    <n v="0"/>
    <n v="0"/>
    <n v="0"/>
    <n v="0"/>
    <n v="0"/>
    <n v="0"/>
    <n v="0"/>
    <n v="0"/>
    <n v="0"/>
    <n v="1"/>
    <n v="0"/>
    <n v="0"/>
    <n v="0"/>
    <n v="0"/>
    <n v="0"/>
    <n v="0"/>
  </r>
  <r>
    <x v="40"/>
    <x v="2"/>
    <s v="jb,jg"/>
    <d v="1899-12-30T14:20:00"/>
    <d v="1899-12-30T18:43:00"/>
    <n v="33"/>
    <n v="12"/>
    <m/>
    <m/>
    <n v="262.99999999999989"/>
    <m/>
    <m/>
    <m/>
    <n v="0"/>
    <m/>
    <m/>
    <m/>
    <n v="0"/>
    <m/>
    <m/>
    <m/>
    <m/>
    <n v="0"/>
    <m/>
    <m/>
    <m/>
    <n v="0"/>
    <m/>
    <m/>
    <m/>
    <n v="0"/>
    <m/>
    <m/>
    <m/>
    <m/>
    <n v="0"/>
    <m/>
    <m/>
    <m/>
    <m/>
    <n v="1"/>
    <m/>
    <m/>
    <n v="1"/>
    <m/>
    <m/>
    <s v="20140716 JBerry"/>
    <s v="20140717LFerreira"/>
    <s v="FW_Scan_20140716.pdf"/>
    <n v="0"/>
    <n v="0"/>
    <n v="0"/>
    <n v="0"/>
    <n v="0"/>
    <n v="0"/>
    <n v="0"/>
    <n v="0"/>
    <n v="0"/>
    <n v="0"/>
    <n v="0"/>
    <n v="0"/>
    <n v="0"/>
    <n v="0"/>
    <n v="0"/>
    <n v="0"/>
    <n v="0"/>
    <n v="0"/>
    <n v="0"/>
    <n v="0"/>
  </r>
  <r>
    <x v="40"/>
    <x v="2"/>
    <s v="csj,jk"/>
    <d v="1899-12-30T18:43:00"/>
    <d v="1899-12-31T00:00:00"/>
    <n v="33"/>
    <n v="11"/>
    <m/>
    <m/>
    <n v="317.00000000000017"/>
    <m/>
    <m/>
    <m/>
    <n v="0"/>
    <m/>
    <m/>
    <m/>
    <n v="0"/>
    <m/>
    <m/>
    <m/>
    <m/>
    <n v="0"/>
    <m/>
    <m/>
    <m/>
    <n v="0"/>
    <m/>
    <m/>
    <m/>
    <n v="0"/>
    <m/>
    <m/>
    <m/>
    <m/>
    <n v="0"/>
    <m/>
    <m/>
    <m/>
    <m/>
    <m/>
    <m/>
    <m/>
    <n v="0"/>
    <s v="raised wheel 3 inches for overnight fishing"/>
    <s v="no fish, stop time 23:11"/>
    <s v="20140716 CSejkora"/>
    <s v="20140717LFerreira"/>
    <s v="FW_Scan_20140716.pdf"/>
    <n v="0"/>
    <n v="0"/>
    <n v="0"/>
    <n v="0"/>
    <n v="0"/>
    <n v="0"/>
    <n v="0"/>
    <n v="0"/>
    <n v="0"/>
    <n v="0"/>
    <n v="0"/>
    <n v="0"/>
    <n v="0"/>
    <n v="0"/>
    <n v="0"/>
    <n v="0"/>
    <n v="0"/>
    <n v="0"/>
    <n v="0"/>
    <n v="0"/>
  </r>
  <r>
    <x v="40"/>
    <x v="1"/>
    <s v="jg,qb"/>
    <d v="1899-12-30T00:00:00"/>
    <d v="1899-12-30T09:43:00"/>
    <n v="40"/>
    <n v="11"/>
    <m/>
    <m/>
    <n v="583"/>
    <n v="1"/>
    <m/>
    <m/>
    <n v="1"/>
    <m/>
    <m/>
    <m/>
    <n v="0"/>
    <m/>
    <m/>
    <m/>
    <m/>
    <n v="0"/>
    <m/>
    <m/>
    <m/>
    <n v="0"/>
    <m/>
    <m/>
    <m/>
    <n v="0"/>
    <m/>
    <m/>
    <m/>
    <m/>
    <n v="0"/>
    <m/>
    <m/>
    <m/>
    <m/>
    <m/>
    <m/>
    <m/>
    <n v="0"/>
    <s v="lowered wheel about 3-4 inches to bottom, no rocks hitting"/>
    <m/>
    <s v="20140716 QBerger"/>
    <s v="20140717LFerreira"/>
    <s v="FW_Scan_20140716.pdf"/>
    <n v="1"/>
    <n v="0"/>
    <n v="0"/>
    <n v="0"/>
    <n v="0"/>
    <n v="0"/>
    <n v="0"/>
    <n v="0"/>
    <n v="0"/>
    <n v="0"/>
    <n v="0"/>
    <n v="0"/>
    <n v="0"/>
    <n v="0"/>
    <n v="0"/>
    <n v="0"/>
    <n v="0"/>
    <n v="0"/>
    <n v="0"/>
    <n v="0"/>
  </r>
  <r>
    <x v="40"/>
    <x v="1"/>
    <s v="csj,jk"/>
    <d v="1899-12-30T09:43:00"/>
    <d v="1899-12-30T14:19:00"/>
    <n v="39"/>
    <n v="10"/>
    <m/>
    <m/>
    <n v="276"/>
    <n v="1"/>
    <m/>
    <m/>
    <n v="1"/>
    <m/>
    <n v="1"/>
    <m/>
    <n v="1"/>
    <m/>
    <m/>
    <m/>
    <m/>
    <n v="0"/>
    <m/>
    <m/>
    <m/>
    <n v="0"/>
    <m/>
    <m/>
    <m/>
    <n v="0"/>
    <m/>
    <m/>
    <m/>
    <m/>
    <n v="0"/>
    <m/>
    <m/>
    <m/>
    <m/>
    <m/>
    <m/>
    <m/>
    <n v="0"/>
    <m/>
    <m/>
    <s v="20140716 JKunzler"/>
    <s v="20140717LFerreira"/>
    <s v="FW_Scan_20140716.pdf"/>
    <n v="1"/>
    <n v="0"/>
    <n v="0"/>
    <n v="0"/>
    <n v="1"/>
    <n v="0"/>
    <n v="0"/>
    <n v="0"/>
    <n v="0"/>
    <n v="0"/>
    <n v="0"/>
    <n v="0"/>
    <n v="0"/>
    <n v="0"/>
    <n v="0"/>
    <n v="0"/>
    <n v="0"/>
    <n v="0"/>
    <n v="0"/>
    <n v="0"/>
  </r>
  <r>
    <x v="40"/>
    <x v="1"/>
    <s v="qb,dj"/>
    <d v="1899-12-30T14:19:00"/>
    <d v="1899-12-30T18:47:00"/>
    <n v="43"/>
    <n v="11"/>
    <m/>
    <m/>
    <n v="268.00000000000017"/>
    <m/>
    <m/>
    <n v="1"/>
    <n v="1"/>
    <m/>
    <m/>
    <m/>
    <n v="0"/>
    <m/>
    <m/>
    <m/>
    <m/>
    <n v="0"/>
    <m/>
    <m/>
    <m/>
    <n v="0"/>
    <m/>
    <m/>
    <m/>
    <n v="0"/>
    <m/>
    <m/>
    <m/>
    <m/>
    <n v="0"/>
    <m/>
    <m/>
    <n v="1"/>
    <m/>
    <m/>
    <m/>
    <m/>
    <n v="1"/>
    <m/>
    <m/>
    <s v="20140716 QBerger"/>
    <s v="20140717LFerreira"/>
    <s v="FW_Scan_20140716.pdf"/>
    <n v="0"/>
    <n v="0"/>
    <n v="1"/>
    <n v="0"/>
    <n v="0"/>
    <n v="0"/>
    <n v="0"/>
    <n v="0"/>
    <n v="0"/>
    <n v="0"/>
    <n v="0"/>
    <n v="0"/>
    <n v="0"/>
    <n v="0"/>
    <n v="0"/>
    <n v="0"/>
    <n v="0"/>
    <n v="0"/>
    <n v="0"/>
    <n v="0"/>
  </r>
  <r>
    <x v="40"/>
    <x v="1"/>
    <s v="nc,lf"/>
    <d v="1899-12-30T18:47:00"/>
    <d v="1899-12-31T00:00:00"/>
    <n v="44"/>
    <n v="11"/>
    <m/>
    <m/>
    <n v="312.99999999999983"/>
    <n v="1"/>
    <m/>
    <n v="1"/>
    <n v="2"/>
    <m/>
    <m/>
    <m/>
    <n v="0"/>
    <m/>
    <m/>
    <n v="1"/>
    <m/>
    <n v="1"/>
    <m/>
    <m/>
    <m/>
    <n v="0"/>
    <m/>
    <m/>
    <m/>
    <n v="0"/>
    <m/>
    <m/>
    <m/>
    <m/>
    <n v="0"/>
    <m/>
    <m/>
    <m/>
    <m/>
    <m/>
    <m/>
    <m/>
    <n v="0"/>
    <s v="lifted wheel @ 23:35, 1.5 inches"/>
    <s v="unknown species, 10 cm, have photo"/>
    <s v="20140716 LFerreira"/>
    <s v="20140717LFerreira"/>
    <s v="FW_Scan_20140716.pdf"/>
    <n v="1"/>
    <n v="0"/>
    <n v="1"/>
    <n v="0"/>
    <n v="0"/>
    <n v="0"/>
    <n v="0"/>
    <n v="0"/>
    <n v="1"/>
    <n v="0"/>
    <n v="0"/>
    <n v="0"/>
    <n v="0"/>
    <n v="0"/>
    <n v="0"/>
    <n v="0"/>
    <n v="0"/>
    <n v="0"/>
    <n v="0"/>
    <n v="0"/>
  </r>
  <r>
    <x v="41"/>
    <x v="0"/>
    <s v="dj,qb"/>
    <d v="1899-12-30T00:00:00"/>
    <d v="1899-12-30T09:50:00"/>
    <n v="45"/>
    <n v="9"/>
    <m/>
    <m/>
    <n v="590"/>
    <n v="2"/>
    <m/>
    <n v="1"/>
    <n v="3"/>
    <m/>
    <m/>
    <m/>
    <n v="0"/>
    <n v="1"/>
    <m/>
    <m/>
    <m/>
    <n v="1"/>
    <m/>
    <m/>
    <m/>
    <n v="0"/>
    <m/>
    <m/>
    <m/>
    <n v="0"/>
    <m/>
    <m/>
    <m/>
    <m/>
    <n v="0"/>
    <m/>
    <m/>
    <m/>
    <m/>
    <m/>
    <m/>
    <m/>
    <n v="0"/>
    <s v="didn't move it at all, not hitting bottom"/>
    <m/>
    <s v="20140717 QBerger"/>
    <s v="20140718 DRobichaud"/>
    <s v="FW_Scan_20140717_dr.pdf"/>
    <n v="2"/>
    <n v="0"/>
    <n v="1"/>
    <n v="0"/>
    <n v="0"/>
    <n v="0"/>
    <n v="1"/>
    <n v="0"/>
    <n v="0"/>
    <n v="0"/>
    <n v="0"/>
    <n v="0"/>
    <n v="0"/>
    <n v="0"/>
    <n v="0"/>
    <n v="0"/>
    <n v="0"/>
    <n v="0"/>
    <n v="0"/>
    <n v="0"/>
  </r>
  <r>
    <x v="41"/>
    <x v="0"/>
    <s v="nc,csj"/>
    <d v="1899-12-30T09:50:00"/>
    <d v="1899-12-30T14:20:00"/>
    <n v="39"/>
    <n v="9"/>
    <m/>
    <m/>
    <n v="269.99999999999989"/>
    <m/>
    <m/>
    <m/>
    <n v="0"/>
    <m/>
    <m/>
    <m/>
    <n v="0"/>
    <m/>
    <m/>
    <m/>
    <m/>
    <n v="0"/>
    <m/>
    <m/>
    <m/>
    <n v="0"/>
    <m/>
    <m/>
    <m/>
    <n v="0"/>
    <m/>
    <m/>
    <m/>
    <m/>
    <n v="0"/>
    <m/>
    <m/>
    <m/>
    <m/>
    <m/>
    <m/>
    <m/>
    <n v="0"/>
    <s v="moved FW 3 ft out, but didn't stop wheel to do it."/>
    <s v="no fish"/>
    <s v="20140717 CSejkora"/>
    <s v="20140718 DRobichaud"/>
    <s v="FW_Scan_20140717_dr.pdf"/>
    <n v="0"/>
    <n v="0"/>
    <n v="0"/>
    <n v="0"/>
    <n v="0"/>
    <n v="0"/>
    <n v="0"/>
    <n v="0"/>
    <n v="0"/>
    <n v="0"/>
    <n v="0"/>
    <n v="0"/>
    <n v="0"/>
    <n v="0"/>
    <n v="0"/>
    <n v="0"/>
    <n v="0"/>
    <n v="0"/>
    <n v="0"/>
    <n v="0"/>
  </r>
  <r>
    <x v="41"/>
    <x v="0"/>
    <s v="jb,dj"/>
    <d v="1899-12-30T14:20:00"/>
    <d v="1899-12-30T18:27:00"/>
    <n v="40"/>
    <n v="10"/>
    <m/>
    <m/>
    <n v="238.99999999999991"/>
    <m/>
    <m/>
    <m/>
    <n v="0"/>
    <m/>
    <n v="1"/>
    <m/>
    <n v="1"/>
    <n v="1"/>
    <m/>
    <m/>
    <m/>
    <n v="1"/>
    <m/>
    <m/>
    <m/>
    <n v="0"/>
    <m/>
    <m/>
    <m/>
    <n v="0"/>
    <m/>
    <m/>
    <m/>
    <m/>
    <n v="0"/>
    <m/>
    <m/>
    <m/>
    <m/>
    <m/>
    <m/>
    <m/>
    <n v="0"/>
    <s v="wheel stopped 15:00 to 15:08 for basket repair"/>
    <m/>
    <s v="20140717 DJohnson"/>
    <s v="20140718 DRobichaud"/>
    <s v="FW_Scan_20140717_dr.pdf"/>
    <n v="0"/>
    <n v="0"/>
    <n v="0"/>
    <n v="0"/>
    <n v="1"/>
    <n v="0"/>
    <n v="1"/>
    <n v="0"/>
    <n v="0"/>
    <n v="0"/>
    <n v="0"/>
    <n v="0"/>
    <n v="0"/>
    <n v="0"/>
    <n v="0"/>
    <n v="0"/>
    <n v="0"/>
    <n v="0"/>
    <n v="0"/>
    <n v="0"/>
  </r>
  <r>
    <x v="41"/>
    <x v="0"/>
    <s v="nc,jk"/>
    <d v="1899-12-30T18:27:00"/>
    <d v="1899-12-31T00:00:00"/>
    <n v="43"/>
    <n v="10"/>
    <m/>
    <m/>
    <n v="333.00000000000011"/>
    <m/>
    <m/>
    <m/>
    <n v="0"/>
    <m/>
    <m/>
    <m/>
    <n v="0"/>
    <m/>
    <m/>
    <m/>
    <m/>
    <n v="0"/>
    <m/>
    <m/>
    <m/>
    <n v="0"/>
    <m/>
    <m/>
    <m/>
    <n v="0"/>
    <m/>
    <m/>
    <m/>
    <m/>
    <n v="0"/>
    <m/>
    <m/>
    <m/>
    <m/>
    <n v="1"/>
    <m/>
    <m/>
    <n v="1"/>
    <m/>
    <m/>
    <s v="20140717 JKunzler"/>
    <s v="20140718 DRobichaud"/>
    <s v="FW_Scan_20140717_dr.pdf"/>
    <n v="0"/>
    <n v="0"/>
    <n v="0"/>
    <n v="0"/>
    <n v="0"/>
    <n v="0"/>
    <n v="0"/>
    <n v="0"/>
    <n v="0"/>
    <n v="0"/>
    <n v="0"/>
    <n v="0"/>
    <n v="0"/>
    <n v="0"/>
    <n v="0"/>
    <n v="0"/>
    <n v="0"/>
    <n v="0"/>
    <n v="0"/>
    <n v="0"/>
  </r>
  <r>
    <x v="41"/>
    <x v="2"/>
    <s v="dj,qb"/>
    <d v="1899-12-30T00:00:00"/>
    <d v="1899-12-30T09:30:00"/>
    <n v="30"/>
    <n v="10"/>
    <m/>
    <m/>
    <n v="570"/>
    <m/>
    <m/>
    <m/>
    <n v="0"/>
    <m/>
    <m/>
    <m/>
    <n v="0"/>
    <m/>
    <m/>
    <m/>
    <m/>
    <n v="0"/>
    <m/>
    <m/>
    <m/>
    <n v="0"/>
    <m/>
    <m/>
    <m/>
    <n v="0"/>
    <m/>
    <m/>
    <m/>
    <m/>
    <n v="0"/>
    <m/>
    <m/>
    <m/>
    <m/>
    <m/>
    <m/>
    <m/>
    <n v="0"/>
    <m/>
    <s v="no fish"/>
    <s v="20140717 DJohnson"/>
    <s v="20140718 DRobichaud"/>
    <s v="FW_Scan_20140717_dr.pdf"/>
    <n v="0"/>
    <n v="0"/>
    <n v="0"/>
    <n v="0"/>
    <n v="0"/>
    <n v="0"/>
    <n v="0"/>
    <n v="0"/>
    <n v="0"/>
    <n v="0"/>
    <n v="0"/>
    <n v="0"/>
    <n v="0"/>
    <n v="0"/>
    <n v="0"/>
    <n v="0"/>
    <n v="0"/>
    <n v="0"/>
    <n v="0"/>
    <n v="0"/>
  </r>
  <r>
    <x v="41"/>
    <x v="2"/>
    <s v="nc,csj"/>
    <d v="1899-12-30T09:30:00"/>
    <d v="1899-12-30T14:10:00"/>
    <n v="31"/>
    <n v="11"/>
    <m/>
    <m/>
    <n v="280.00000000000006"/>
    <m/>
    <m/>
    <m/>
    <n v="0"/>
    <m/>
    <n v="1"/>
    <m/>
    <n v="1"/>
    <m/>
    <m/>
    <m/>
    <m/>
    <n v="0"/>
    <m/>
    <m/>
    <m/>
    <n v="0"/>
    <n v="1"/>
    <m/>
    <m/>
    <n v="1"/>
    <m/>
    <m/>
    <m/>
    <m/>
    <n v="0"/>
    <m/>
    <m/>
    <m/>
    <m/>
    <m/>
    <m/>
    <m/>
    <n v="0"/>
    <m/>
    <m/>
    <s v="20140717 CSejkora"/>
    <s v="20140718 DRobichaud"/>
    <s v="FW_Scan_20140717_dr.pdf"/>
    <n v="0"/>
    <n v="0"/>
    <n v="0"/>
    <n v="0"/>
    <n v="1"/>
    <n v="0"/>
    <n v="0"/>
    <n v="0"/>
    <n v="0"/>
    <n v="0"/>
    <n v="0"/>
    <n v="0"/>
    <n v="0"/>
    <n v="1"/>
    <n v="0"/>
    <n v="0"/>
    <n v="0"/>
    <n v="0"/>
    <n v="0"/>
    <n v="0"/>
  </r>
  <r>
    <x v="41"/>
    <x v="2"/>
    <s v="jb,dj"/>
    <d v="1899-12-30T14:10:00"/>
    <d v="1899-12-30T18:44:00"/>
    <n v="34"/>
    <n v="13"/>
    <m/>
    <m/>
    <n v="274"/>
    <m/>
    <m/>
    <m/>
    <n v="0"/>
    <m/>
    <n v="1"/>
    <m/>
    <n v="1"/>
    <m/>
    <m/>
    <m/>
    <m/>
    <n v="0"/>
    <m/>
    <m/>
    <m/>
    <n v="0"/>
    <m/>
    <m/>
    <m/>
    <n v="0"/>
    <m/>
    <m/>
    <m/>
    <m/>
    <n v="0"/>
    <m/>
    <m/>
    <m/>
    <m/>
    <m/>
    <m/>
    <m/>
    <n v="0"/>
    <m/>
    <m/>
    <s v="20140717 JBerry"/>
    <s v="20140718 DRobichaud"/>
    <s v="FW_Scan_20140717_dr.pdf"/>
    <n v="0"/>
    <n v="0"/>
    <n v="0"/>
    <n v="0"/>
    <n v="1"/>
    <n v="0"/>
    <n v="0"/>
    <n v="0"/>
    <n v="0"/>
    <n v="0"/>
    <n v="0"/>
    <n v="0"/>
    <n v="0"/>
    <n v="0"/>
    <n v="0"/>
    <n v="0"/>
    <n v="0"/>
    <n v="0"/>
    <n v="0"/>
    <n v="0"/>
  </r>
  <r>
    <x v="41"/>
    <x v="2"/>
    <s v="nc,jk"/>
    <d v="1899-12-30T18:44:00"/>
    <d v="1899-12-31T00:00:00"/>
    <n v="36"/>
    <n v="12"/>
    <m/>
    <m/>
    <n v="316"/>
    <m/>
    <m/>
    <m/>
    <n v="0"/>
    <m/>
    <m/>
    <m/>
    <n v="0"/>
    <n v="1"/>
    <m/>
    <m/>
    <m/>
    <n v="1"/>
    <m/>
    <m/>
    <m/>
    <n v="0"/>
    <m/>
    <m/>
    <m/>
    <n v="0"/>
    <m/>
    <m/>
    <m/>
    <m/>
    <n v="0"/>
    <n v="1"/>
    <m/>
    <m/>
    <m/>
    <m/>
    <m/>
    <m/>
    <n v="1"/>
    <m/>
    <m/>
    <s v="20140717 NCollin"/>
    <s v="20140718 DRobichaud"/>
    <s v="FW_Scan_20140717_dr.pdf"/>
    <n v="0"/>
    <n v="0"/>
    <n v="0"/>
    <n v="0"/>
    <n v="0"/>
    <n v="0"/>
    <n v="1"/>
    <n v="0"/>
    <n v="0"/>
    <n v="0"/>
    <n v="0"/>
    <n v="0"/>
    <n v="0"/>
    <n v="0"/>
    <n v="0"/>
    <n v="0"/>
    <n v="0"/>
    <n v="0"/>
    <n v="0"/>
    <n v="0"/>
  </r>
  <r>
    <x v="41"/>
    <x v="1"/>
    <s v="jb,jg"/>
    <d v="1899-12-30T00:00:00"/>
    <d v="1899-12-30T09:45:00"/>
    <n v="44"/>
    <n v="10"/>
    <m/>
    <m/>
    <n v="570"/>
    <n v="3"/>
    <m/>
    <m/>
    <n v="3"/>
    <m/>
    <n v="2"/>
    <m/>
    <n v="2"/>
    <m/>
    <m/>
    <m/>
    <m/>
    <n v="0"/>
    <m/>
    <m/>
    <m/>
    <n v="0"/>
    <m/>
    <m/>
    <m/>
    <n v="0"/>
    <m/>
    <m/>
    <m/>
    <m/>
    <n v="0"/>
    <m/>
    <m/>
    <n v="1"/>
    <m/>
    <m/>
    <m/>
    <m/>
    <n v="1"/>
    <s v="raised wheel at 05:55 to repair net on basket; started fishing again at 06:10"/>
    <m/>
    <s v="20140717 JGraham"/>
    <s v="20140718 DRobichaud"/>
    <s v="FW_Scan_20140717_dr.pdf"/>
    <n v="3"/>
    <n v="0"/>
    <n v="0"/>
    <n v="0"/>
    <n v="2"/>
    <n v="0"/>
    <n v="0"/>
    <n v="0"/>
    <n v="0"/>
    <n v="0"/>
    <n v="0"/>
    <n v="0"/>
    <n v="0"/>
    <n v="0"/>
    <n v="0"/>
    <n v="0"/>
    <n v="0"/>
    <n v="0"/>
    <n v="0"/>
    <n v="0"/>
  </r>
  <r>
    <x v="41"/>
    <x v="1"/>
    <s v="lf,jk"/>
    <d v="1899-12-30T09:45:00"/>
    <d v="1899-12-30T14:24:00"/>
    <n v="43"/>
    <n v="11"/>
    <m/>
    <m/>
    <n v="278.99999999999994"/>
    <m/>
    <m/>
    <m/>
    <n v="0"/>
    <m/>
    <m/>
    <m/>
    <n v="0"/>
    <m/>
    <m/>
    <m/>
    <m/>
    <n v="0"/>
    <m/>
    <m/>
    <m/>
    <n v="0"/>
    <m/>
    <m/>
    <m/>
    <n v="0"/>
    <m/>
    <m/>
    <m/>
    <m/>
    <n v="0"/>
    <m/>
    <m/>
    <m/>
    <m/>
    <m/>
    <m/>
    <m/>
    <n v="0"/>
    <m/>
    <s v="no fish!  "/>
    <s v="20140717 JKunzler"/>
    <s v="20140718 DRobichaud"/>
    <s v="FW_Scan_20140717_dr.pdf"/>
    <n v="0"/>
    <n v="0"/>
    <n v="0"/>
    <n v="0"/>
    <n v="0"/>
    <n v="0"/>
    <n v="0"/>
    <n v="0"/>
    <n v="0"/>
    <n v="0"/>
    <n v="0"/>
    <n v="0"/>
    <n v="0"/>
    <n v="0"/>
    <n v="0"/>
    <n v="0"/>
    <n v="0"/>
    <n v="0"/>
    <n v="0"/>
    <n v="0"/>
  </r>
  <r>
    <x v="41"/>
    <x v="1"/>
    <s v="qb,jg"/>
    <d v="1899-12-30T14:24:00"/>
    <d v="1899-12-30T18:44:00"/>
    <n v="46"/>
    <n v="12"/>
    <m/>
    <m/>
    <n v="260.00000000000006"/>
    <n v="1"/>
    <m/>
    <m/>
    <n v="1"/>
    <m/>
    <m/>
    <m/>
    <n v="0"/>
    <m/>
    <m/>
    <m/>
    <m/>
    <n v="0"/>
    <m/>
    <m/>
    <m/>
    <n v="0"/>
    <m/>
    <m/>
    <m/>
    <n v="0"/>
    <m/>
    <m/>
    <m/>
    <m/>
    <n v="0"/>
    <n v="4"/>
    <m/>
    <m/>
    <n v="1"/>
    <m/>
    <m/>
    <m/>
    <n v="5"/>
    <m/>
    <m/>
    <s v="20140717 QBerger"/>
    <s v="20140718 DRobichaud"/>
    <s v="FW_Scan_20140717_dr.pdf"/>
    <n v="1"/>
    <n v="0"/>
    <n v="0"/>
    <n v="0"/>
    <n v="0"/>
    <n v="0"/>
    <n v="0"/>
    <n v="0"/>
    <n v="0"/>
    <n v="0"/>
    <n v="0"/>
    <n v="0"/>
    <n v="0"/>
    <n v="0"/>
    <n v="0"/>
    <n v="0"/>
    <n v="0"/>
    <n v="0"/>
    <n v="0"/>
    <n v="0"/>
  </r>
  <r>
    <x v="41"/>
    <x v="1"/>
    <s v="csj,lf"/>
    <d v="1899-12-30T18:44:00"/>
    <d v="1899-12-31T00:00:00"/>
    <n v="46"/>
    <n v="12"/>
    <m/>
    <m/>
    <n v="316"/>
    <m/>
    <m/>
    <n v="0"/>
    <n v="0"/>
    <m/>
    <n v="2"/>
    <n v="1"/>
    <n v="3"/>
    <m/>
    <m/>
    <m/>
    <m/>
    <n v="0"/>
    <n v="1"/>
    <m/>
    <m/>
    <n v="1"/>
    <n v="1"/>
    <n v="1"/>
    <m/>
    <n v="2"/>
    <m/>
    <m/>
    <m/>
    <m/>
    <n v="0"/>
    <m/>
    <m/>
    <n v="2"/>
    <n v="1"/>
    <m/>
    <m/>
    <m/>
    <n v="3"/>
    <m/>
    <m/>
    <s v="20140717 LFerreira"/>
    <s v="20140718 DRobichaud"/>
    <s v="FW_Scan_20140717_dr.pdf"/>
    <n v="0"/>
    <n v="0"/>
    <n v="0"/>
    <n v="0"/>
    <n v="2"/>
    <n v="1"/>
    <n v="0"/>
    <n v="0"/>
    <n v="0"/>
    <n v="0"/>
    <n v="1"/>
    <n v="0"/>
    <n v="0"/>
    <n v="1"/>
    <n v="1"/>
    <n v="0"/>
    <n v="0"/>
    <n v="0"/>
    <n v="0"/>
    <n v="0"/>
  </r>
  <r>
    <x v="42"/>
    <x v="0"/>
    <s v="jg,jb"/>
    <d v="1899-12-30T00:00:00"/>
    <d v="1899-12-30T09:27:00"/>
    <n v="44"/>
    <n v="10"/>
    <m/>
    <m/>
    <n v="567"/>
    <m/>
    <m/>
    <m/>
    <n v="0"/>
    <m/>
    <m/>
    <m/>
    <n v="0"/>
    <m/>
    <m/>
    <m/>
    <m/>
    <n v="0"/>
    <m/>
    <m/>
    <m/>
    <n v="0"/>
    <m/>
    <m/>
    <m/>
    <n v="0"/>
    <m/>
    <m/>
    <m/>
    <m/>
    <n v="0"/>
    <m/>
    <m/>
    <m/>
    <m/>
    <m/>
    <m/>
    <m/>
    <n v="0"/>
    <s v="no fish"/>
    <m/>
    <s v="20140718 JBerry"/>
    <s v="20140719 LAckein"/>
    <s v="FW_Scan_20140718.pdf"/>
    <n v="0"/>
    <n v="0"/>
    <n v="0"/>
    <n v="0"/>
    <n v="0"/>
    <n v="0"/>
    <n v="0"/>
    <n v="0"/>
    <n v="0"/>
    <n v="0"/>
    <n v="0"/>
    <n v="0"/>
    <n v="0"/>
    <n v="0"/>
    <n v="0"/>
    <n v="0"/>
    <n v="0"/>
    <n v="0"/>
    <n v="0"/>
    <n v="0"/>
  </r>
  <r>
    <x v="42"/>
    <x v="0"/>
    <s v="lf,csj"/>
    <d v="1899-12-30T09:27:00"/>
    <d v="1899-12-30T14:25:00"/>
    <n v="43"/>
    <n v="10"/>
    <m/>
    <m/>
    <n v="298"/>
    <m/>
    <m/>
    <m/>
    <n v="0"/>
    <m/>
    <m/>
    <m/>
    <n v="0"/>
    <m/>
    <m/>
    <m/>
    <m/>
    <n v="0"/>
    <m/>
    <m/>
    <m/>
    <n v="0"/>
    <m/>
    <m/>
    <m/>
    <n v="0"/>
    <m/>
    <m/>
    <m/>
    <m/>
    <n v="0"/>
    <m/>
    <m/>
    <m/>
    <m/>
    <m/>
    <m/>
    <m/>
    <n v="0"/>
    <s v="no fish"/>
    <m/>
    <s v="20140718 LFerreira"/>
    <s v="20140719 LAckein"/>
    <s v="FW_Scan_20140718.pdf"/>
    <n v="0"/>
    <n v="0"/>
    <n v="0"/>
    <n v="0"/>
    <n v="0"/>
    <n v="0"/>
    <n v="0"/>
    <n v="0"/>
    <n v="0"/>
    <n v="0"/>
    <n v="0"/>
    <n v="0"/>
    <n v="0"/>
    <n v="0"/>
    <n v="0"/>
    <n v="0"/>
    <n v="0"/>
    <n v="0"/>
    <n v="0"/>
    <n v="0"/>
  </r>
  <r>
    <x v="42"/>
    <x v="0"/>
    <s v="qb,jg,as,ji"/>
    <d v="1899-12-30T14:25:00"/>
    <d v="1899-12-30T18:50:00"/>
    <n v="46"/>
    <n v="11"/>
    <m/>
    <m/>
    <n v="265"/>
    <m/>
    <m/>
    <m/>
    <n v="0"/>
    <m/>
    <m/>
    <m/>
    <n v="0"/>
    <m/>
    <m/>
    <m/>
    <m/>
    <n v="0"/>
    <m/>
    <m/>
    <m/>
    <n v="0"/>
    <m/>
    <m/>
    <m/>
    <n v="0"/>
    <m/>
    <m/>
    <m/>
    <m/>
    <n v="0"/>
    <m/>
    <m/>
    <m/>
    <m/>
    <m/>
    <m/>
    <m/>
    <n v="0"/>
    <s v="AS/JI took over at 16:40"/>
    <m/>
    <s v="20140718 AStephens"/>
    <s v="20140719 LAckein"/>
    <s v="FW_Scan_20140718.pdf"/>
    <n v="0"/>
    <n v="0"/>
    <n v="0"/>
    <n v="0"/>
    <n v="0"/>
    <n v="0"/>
    <n v="0"/>
    <n v="0"/>
    <n v="0"/>
    <n v="0"/>
    <n v="0"/>
    <n v="0"/>
    <n v="0"/>
    <n v="0"/>
    <n v="0"/>
    <n v="0"/>
    <n v="0"/>
    <n v="0"/>
    <n v="0"/>
    <n v="0"/>
  </r>
  <r>
    <x v="42"/>
    <x v="0"/>
    <s v="hr,nc"/>
    <d v="1899-12-30T18:50:00"/>
    <d v="1899-12-30T23:23:00"/>
    <n v="47"/>
    <n v="11"/>
    <m/>
    <m/>
    <n v="273"/>
    <n v="1"/>
    <m/>
    <m/>
    <n v="1"/>
    <m/>
    <m/>
    <m/>
    <n v="0"/>
    <m/>
    <m/>
    <m/>
    <m/>
    <n v="0"/>
    <m/>
    <m/>
    <m/>
    <n v="0"/>
    <m/>
    <m/>
    <m/>
    <n v="0"/>
    <m/>
    <m/>
    <m/>
    <m/>
    <n v="0"/>
    <m/>
    <m/>
    <m/>
    <m/>
    <m/>
    <m/>
    <m/>
    <n v="0"/>
    <s v="wheel stopped at 23:23"/>
    <m/>
    <s v="20140718 HReider"/>
    <s v="20140719 LAckein"/>
    <s v="FW_Scan_20140718.pdf"/>
    <n v="1"/>
    <n v="0"/>
    <n v="0"/>
    <n v="0"/>
    <n v="0"/>
    <n v="0"/>
    <n v="0"/>
    <n v="0"/>
    <n v="0"/>
    <n v="0"/>
    <n v="0"/>
    <n v="0"/>
    <n v="0"/>
    <n v="0"/>
    <n v="0"/>
    <n v="0"/>
    <n v="0"/>
    <n v="0"/>
    <n v="0"/>
    <n v="0"/>
  </r>
  <r>
    <x v="42"/>
    <x v="2"/>
    <s v="jb,jg"/>
    <d v="1899-12-30T00:00:00"/>
    <d v="1899-12-30T09:46:00"/>
    <n v="34"/>
    <n v="12"/>
    <m/>
    <m/>
    <n v="586"/>
    <m/>
    <m/>
    <m/>
    <n v="0"/>
    <m/>
    <m/>
    <m/>
    <n v="0"/>
    <n v="3"/>
    <m/>
    <m/>
    <m/>
    <n v="3"/>
    <m/>
    <m/>
    <m/>
    <n v="0"/>
    <m/>
    <m/>
    <m/>
    <n v="0"/>
    <m/>
    <m/>
    <m/>
    <m/>
    <n v="0"/>
    <m/>
    <m/>
    <m/>
    <m/>
    <m/>
    <m/>
    <m/>
    <n v="0"/>
    <m/>
    <m/>
    <s v="20140718 JBerry"/>
    <s v="20140719 LAckein"/>
    <s v="FW_Scan_20140718.pdf"/>
    <n v="0"/>
    <n v="0"/>
    <n v="0"/>
    <n v="0"/>
    <n v="0"/>
    <n v="0"/>
    <n v="3"/>
    <n v="0"/>
    <n v="0"/>
    <n v="0"/>
    <n v="0"/>
    <n v="0"/>
    <n v="0"/>
    <n v="0"/>
    <n v="0"/>
    <n v="0"/>
    <n v="0"/>
    <n v="0"/>
    <n v="0"/>
    <n v="0"/>
  </r>
  <r>
    <x v="42"/>
    <x v="2"/>
    <s v="lf,csj"/>
    <d v="1899-12-30T09:46:00"/>
    <d v="1899-12-30T14:16:00"/>
    <n v="36"/>
    <n v="12"/>
    <m/>
    <m/>
    <n v="269.99999999999989"/>
    <m/>
    <m/>
    <m/>
    <n v="0"/>
    <m/>
    <m/>
    <m/>
    <n v="0"/>
    <m/>
    <m/>
    <m/>
    <m/>
    <n v="0"/>
    <m/>
    <m/>
    <m/>
    <n v="0"/>
    <m/>
    <m/>
    <m/>
    <n v="0"/>
    <m/>
    <m/>
    <m/>
    <m/>
    <n v="0"/>
    <m/>
    <m/>
    <m/>
    <m/>
    <m/>
    <m/>
    <m/>
    <n v="0"/>
    <m/>
    <s v="no fish caught"/>
    <s v="20140718 AStephens"/>
    <s v="20140719 LAckein"/>
    <s v="FW_Scan_20140718.pdf"/>
    <n v="0"/>
    <n v="0"/>
    <n v="0"/>
    <n v="0"/>
    <n v="0"/>
    <n v="0"/>
    <n v="0"/>
    <n v="0"/>
    <n v="0"/>
    <n v="0"/>
    <n v="0"/>
    <n v="0"/>
    <n v="0"/>
    <n v="0"/>
    <n v="0"/>
    <n v="0"/>
    <n v="0"/>
    <n v="0"/>
    <n v="0"/>
    <n v="0"/>
  </r>
  <r>
    <x v="42"/>
    <x v="2"/>
    <s v="qb,jg,as,ji"/>
    <d v="1899-12-30T14:16:00"/>
    <d v="1899-12-30T18:40:00"/>
    <n v="36"/>
    <n v="13"/>
    <m/>
    <n v="78.7"/>
    <n v="264"/>
    <m/>
    <m/>
    <m/>
    <n v="0"/>
    <m/>
    <m/>
    <m/>
    <n v="0"/>
    <m/>
    <m/>
    <m/>
    <m/>
    <n v="0"/>
    <m/>
    <m/>
    <m/>
    <n v="0"/>
    <m/>
    <m/>
    <m/>
    <n v="0"/>
    <m/>
    <m/>
    <m/>
    <m/>
    <n v="0"/>
    <m/>
    <m/>
    <m/>
    <m/>
    <m/>
    <m/>
    <m/>
    <n v="0"/>
    <s v="AS/JI took over at 16:40"/>
    <s v="no fish"/>
    <s v="20140718 AStephens"/>
    <s v="20140719 LAckein"/>
    <s v="FW_Scan_20140718.pdf"/>
    <n v="0"/>
    <n v="0"/>
    <n v="0"/>
    <n v="0"/>
    <n v="0"/>
    <n v="0"/>
    <n v="0"/>
    <n v="0"/>
    <n v="0"/>
    <n v="0"/>
    <n v="0"/>
    <n v="0"/>
    <n v="0"/>
    <n v="0"/>
    <n v="0"/>
    <n v="0"/>
    <n v="0"/>
    <n v="0"/>
    <n v="0"/>
    <n v="0"/>
  </r>
  <r>
    <x v="42"/>
    <x v="2"/>
    <s v="hr,nc"/>
    <d v="1899-12-30T18:40:00"/>
    <d v="1899-12-30T23:02:00"/>
    <n v="35"/>
    <n v="13"/>
    <m/>
    <m/>
    <n v="262"/>
    <m/>
    <m/>
    <m/>
    <n v="0"/>
    <m/>
    <m/>
    <m/>
    <n v="0"/>
    <m/>
    <m/>
    <m/>
    <m/>
    <n v="0"/>
    <m/>
    <m/>
    <m/>
    <n v="0"/>
    <m/>
    <m/>
    <m/>
    <n v="0"/>
    <m/>
    <m/>
    <m/>
    <m/>
    <n v="0"/>
    <m/>
    <n v="1"/>
    <m/>
    <m/>
    <m/>
    <m/>
    <m/>
    <n v="1"/>
    <s v="23:02 stopped wheel from spinning"/>
    <m/>
    <s v="20140718 HReider"/>
    <s v="20140719 LAckein"/>
    <s v="FW_Scan_20140718.pdf"/>
    <n v="0"/>
    <n v="0"/>
    <n v="0"/>
    <n v="0"/>
    <n v="0"/>
    <n v="0"/>
    <n v="0"/>
    <n v="0"/>
    <n v="0"/>
    <n v="0"/>
    <n v="0"/>
    <n v="0"/>
    <n v="0"/>
    <n v="0"/>
    <n v="0"/>
    <n v="0"/>
    <n v="0"/>
    <n v="0"/>
    <n v="0"/>
    <n v="0"/>
  </r>
  <r>
    <x v="42"/>
    <x v="1"/>
    <s v="dj,qb"/>
    <d v="1899-12-30T00:00:00"/>
    <d v="1899-12-30T09:45:00"/>
    <n v="46"/>
    <n v="12"/>
    <m/>
    <m/>
    <n v="585"/>
    <n v="3"/>
    <m/>
    <n v="1"/>
    <n v="4"/>
    <m/>
    <n v="1"/>
    <m/>
    <n v="1"/>
    <m/>
    <m/>
    <m/>
    <m/>
    <n v="0"/>
    <n v="1"/>
    <m/>
    <n v="1"/>
    <n v="2"/>
    <m/>
    <m/>
    <m/>
    <n v="0"/>
    <m/>
    <m/>
    <m/>
    <m/>
    <n v="0"/>
    <m/>
    <n v="1"/>
    <m/>
    <m/>
    <m/>
    <m/>
    <m/>
    <n v="1"/>
    <m/>
    <s v="Accidental CN tagged with PK tag//# on biosample (596-22)"/>
    <s v="20140718 QBerger"/>
    <s v="20140719 LAckein"/>
    <s v="FW_Scan_20140718.pdf"/>
    <n v="3"/>
    <n v="0"/>
    <n v="1"/>
    <n v="0"/>
    <n v="1"/>
    <n v="0"/>
    <n v="0"/>
    <n v="0"/>
    <n v="0"/>
    <n v="0"/>
    <n v="1"/>
    <n v="0"/>
    <n v="1"/>
    <n v="0"/>
    <n v="0"/>
    <n v="0"/>
    <n v="0"/>
    <n v="0"/>
    <n v="0"/>
    <n v="0"/>
  </r>
  <r>
    <x v="42"/>
    <x v="1"/>
    <s v="jk,nc"/>
    <d v="1899-12-30T09:45:00"/>
    <d v="1899-12-30T14:30:00"/>
    <n v="50"/>
    <n v="12"/>
    <m/>
    <m/>
    <n v="284.99999999999994"/>
    <n v="2"/>
    <m/>
    <m/>
    <n v="2"/>
    <n v="1"/>
    <n v="1"/>
    <m/>
    <n v="2"/>
    <m/>
    <m/>
    <m/>
    <m/>
    <n v="0"/>
    <m/>
    <m/>
    <m/>
    <n v="0"/>
    <m/>
    <m/>
    <m/>
    <n v="0"/>
    <m/>
    <m/>
    <m/>
    <m/>
    <n v="0"/>
    <n v="2"/>
    <m/>
    <n v="1"/>
    <n v="1"/>
    <m/>
    <m/>
    <m/>
    <n v="4"/>
    <m/>
    <s v="1 CN juv"/>
    <s v="20140718 NCollin"/>
    <s v="20140719 LAckein"/>
    <s v="FW_Scan_20140718.pdf"/>
    <n v="2"/>
    <n v="0"/>
    <n v="0"/>
    <n v="1"/>
    <n v="1"/>
    <n v="0"/>
    <n v="0"/>
    <n v="0"/>
    <n v="0"/>
    <n v="0"/>
    <n v="0"/>
    <n v="0"/>
    <n v="0"/>
    <n v="0"/>
    <n v="0"/>
    <n v="0"/>
    <n v="0"/>
    <n v="0"/>
    <n v="0"/>
    <n v="0"/>
  </r>
  <r>
    <x v="42"/>
    <x v="1"/>
    <s v="jb,dj"/>
    <d v="1899-12-30T14:30:00"/>
    <d v="1899-12-30T18:45:00"/>
    <n v="50"/>
    <n v="12"/>
    <m/>
    <m/>
    <n v="255.00000000000006"/>
    <n v="1"/>
    <m/>
    <m/>
    <n v="1"/>
    <m/>
    <n v="1"/>
    <m/>
    <n v="1"/>
    <m/>
    <m/>
    <m/>
    <m/>
    <n v="0"/>
    <m/>
    <m/>
    <m/>
    <n v="0"/>
    <m/>
    <m/>
    <m/>
    <n v="0"/>
    <m/>
    <m/>
    <m/>
    <m/>
    <n v="0"/>
    <n v="1"/>
    <m/>
    <n v="1"/>
    <m/>
    <m/>
    <m/>
    <m/>
    <n v="2"/>
    <m/>
    <m/>
    <s v="20140718 DJohnson"/>
    <s v="20140719 LAckein"/>
    <s v="FW_Scan_20140718.pdf"/>
    <n v="1"/>
    <n v="0"/>
    <n v="0"/>
    <n v="0"/>
    <n v="1"/>
    <n v="0"/>
    <n v="0"/>
    <n v="0"/>
    <n v="0"/>
    <n v="0"/>
    <n v="0"/>
    <n v="0"/>
    <n v="0"/>
    <n v="0"/>
    <n v="0"/>
    <n v="0"/>
    <n v="0"/>
    <n v="0"/>
    <n v="0"/>
    <n v="0"/>
  </r>
  <r>
    <x v="42"/>
    <x v="1"/>
    <s v="la,eg"/>
    <d v="1899-12-30T18:45:00"/>
    <d v="1899-12-30T23:24:00"/>
    <n v="56"/>
    <n v="12"/>
    <m/>
    <m/>
    <n v="278.99999999999994"/>
    <n v="1"/>
    <m/>
    <m/>
    <n v="1"/>
    <m/>
    <n v="1"/>
    <m/>
    <n v="1"/>
    <n v="1"/>
    <m/>
    <m/>
    <m/>
    <n v="1"/>
    <m/>
    <m/>
    <m/>
    <n v="0"/>
    <m/>
    <m/>
    <m/>
    <n v="0"/>
    <m/>
    <m/>
    <m/>
    <m/>
    <n v="0"/>
    <n v="3"/>
    <m/>
    <n v="1"/>
    <m/>
    <m/>
    <m/>
    <m/>
    <n v="4"/>
    <s v="greased winch cables on wheel EG 7/18"/>
    <m/>
    <s v="20140718 EGora"/>
    <s v="20140719 LAckein"/>
    <s v="FW_Scan_20140718.pdf"/>
    <n v="1"/>
    <n v="0"/>
    <n v="0"/>
    <n v="0"/>
    <n v="1"/>
    <n v="0"/>
    <n v="1"/>
    <n v="0"/>
    <n v="0"/>
    <n v="0"/>
    <n v="0"/>
    <n v="0"/>
    <n v="0"/>
    <n v="0"/>
    <n v="0"/>
    <n v="0"/>
    <n v="0"/>
    <n v="0"/>
    <n v="0"/>
    <n v="0"/>
  </r>
  <r>
    <x v="43"/>
    <x v="0"/>
    <s v="nc,eg"/>
    <d v="1899-12-30T08:16:00"/>
    <d v="1899-12-30T13:55:00"/>
    <n v="36"/>
    <n v="11"/>
    <m/>
    <m/>
    <n v="338.99999999999983"/>
    <m/>
    <m/>
    <m/>
    <n v="0"/>
    <m/>
    <m/>
    <m/>
    <n v="0"/>
    <m/>
    <m/>
    <m/>
    <m/>
    <n v="0"/>
    <m/>
    <m/>
    <m/>
    <n v="0"/>
    <n v="1"/>
    <m/>
    <m/>
    <n v="1"/>
    <m/>
    <m/>
    <m/>
    <m/>
    <n v="0"/>
    <m/>
    <m/>
    <m/>
    <m/>
    <m/>
    <m/>
    <m/>
    <n v="0"/>
    <s v="fishwheel was raised overnight-lowered in am."/>
    <s v="Left fishwheel at 1100 for tailboard"/>
    <s v="20140719 NCollin"/>
    <s v="20140720 LAckein"/>
    <s v="FW_Scan_20140719.pdf"/>
    <n v="0"/>
    <n v="0"/>
    <n v="0"/>
    <n v="0"/>
    <n v="0"/>
    <n v="0"/>
    <n v="0"/>
    <n v="0"/>
    <n v="0"/>
    <n v="0"/>
    <n v="0"/>
    <n v="0"/>
    <n v="0"/>
    <n v="1"/>
    <n v="0"/>
    <n v="0"/>
    <n v="0"/>
    <n v="0"/>
    <n v="0"/>
    <n v="0"/>
  </r>
  <r>
    <x v="43"/>
    <x v="0"/>
    <s v="dj,jb,ji"/>
    <d v="1899-12-30T13:55:00"/>
    <d v="1899-12-30T19:45:00"/>
    <n v="42"/>
    <n v="14"/>
    <m/>
    <m/>
    <n v="350.00000000000006"/>
    <n v="1"/>
    <m/>
    <m/>
    <n v="1"/>
    <m/>
    <m/>
    <m/>
    <n v="0"/>
    <n v="1"/>
    <m/>
    <m/>
    <m/>
    <n v="1"/>
    <m/>
    <m/>
    <m/>
    <n v="0"/>
    <m/>
    <m/>
    <m/>
    <n v="0"/>
    <m/>
    <m/>
    <m/>
    <m/>
    <n v="0"/>
    <m/>
    <m/>
    <m/>
    <m/>
    <m/>
    <m/>
    <m/>
    <n v="0"/>
    <m/>
    <m/>
    <s v="20140719 JBerry"/>
    <s v="20140720 LAckein"/>
    <s v="FW_Scan_20140719.pdf"/>
    <n v="1"/>
    <n v="0"/>
    <n v="0"/>
    <n v="0"/>
    <n v="0"/>
    <n v="0"/>
    <n v="1"/>
    <n v="0"/>
    <n v="0"/>
    <n v="0"/>
    <n v="0"/>
    <n v="0"/>
    <n v="0"/>
    <n v="0"/>
    <n v="0"/>
    <n v="0"/>
    <n v="0"/>
    <n v="0"/>
    <n v="0"/>
    <n v="0"/>
  </r>
  <r>
    <x v="43"/>
    <x v="2"/>
    <s v="nc,eg"/>
    <d v="1899-12-30T08:25:00"/>
    <d v="1899-12-30T13:45:00"/>
    <n v="40"/>
    <n v="12"/>
    <m/>
    <m/>
    <n v="320"/>
    <m/>
    <m/>
    <m/>
    <n v="0"/>
    <m/>
    <m/>
    <m/>
    <n v="0"/>
    <m/>
    <m/>
    <m/>
    <m/>
    <n v="0"/>
    <m/>
    <m/>
    <m/>
    <n v="0"/>
    <m/>
    <m/>
    <m/>
    <n v="0"/>
    <m/>
    <m/>
    <m/>
    <m/>
    <n v="0"/>
    <m/>
    <m/>
    <m/>
    <m/>
    <m/>
    <m/>
    <m/>
    <n v="0"/>
    <s v="fishwheels raised overnight, lowered am"/>
    <s v="Left fishwheel at 1100 for tailboard"/>
    <s v="20140719 NCollin"/>
    <s v="20140720 LAckein"/>
    <s v="FW_Scan_20140719.pdf"/>
    <n v="0"/>
    <n v="0"/>
    <n v="0"/>
    <n v="0"/>
    <n v="0"/>
    <n v="0"/>
    <n v="0"/>
    <n v="0"/>
    <n v="0"/>
    <n v="0"/>
    <n v="0"/>
    <n v="0"/>
    <n v="0"/>
    <n v="0"/>
    <n v="0"/>
    <n v="0"/>
    <n v="0"/>
    <n v="0"/>
    <n v="0"/>
    <n v="0"/>
  </r>
  <r>
    <x v="43"/>
    <x v="2"/>
    <s v="dj,jb,ji"/>
    <d v="1899-12-30T13:45:00"/>
    <d v="1899-12-30T19:58:00"/>
    <n v="34"/>
    <n v="15"/>
    <m/>
    <m/>
    <n v="287.99999999999994"/>
    <m/>
    <m/>
    <m/>
    <n v="0"/>
    <m/>
    <m/>
    <m/>
    <n v="0"/>
    <m/>
    <m/>
    <m/>
    <m/>
    <n v="0"/>
    <m/>
    <m/>
    <m/>
    <n v="0"/>
    <m/>
    <n v="1"/>
    <m/>
    <n v="1"/>
    <m/>
    <m/>
    <m/>
    <m/>
    <n v="0"/>
    <m/>
    <m/>
    <m/>
    <m/>
    <m/>
    <m/>
    <m/>
    <n v="0"/>
    <s v="wheel stopped 17:05-17:28 due to log jam.  Stopped 17:45-18:47 basket and slide repair."/>
    <m/>
    <s v="20140719 JImerie"/>
    <s v="20140720 LAckein"/>
    <s v="FW_Scan_20140719.pdf"/>
    <n v="0"/>
    <n v="0"/>
    <n v="0"/>
    <n v="0"/>
    <n v="0"/>
    <n v="0"/>
    <n v="0"/>
    <n v="0"/>
    <n v="0"/>
    <n v="0"/>
    <n v="0"/>
    <n v="0"/>
    <n v="0"/>
    <n v="0"/>
    <n v="1"/>
    <n v="0"/>
    <n v="0"/>
    <n v="0"/>
    <n v="0"/>
    <n v="0"/>
  </r>
  <r>
    <x v="43"/>
    <x v="1"/>
    <s v="jb,dj"/>
    <d v="1899-12-30T08:11:00"/>
    <d v="1899-12-30T10:36:00"/>
    <n v="50"/>
    <n v="12"/>
    <m/>
    <m/>
    <n v="144.99999999999997"/>
    <m/>
    <m/>
    <m/>
    <n v="0"/>
    <m/>
    <m/>
    <m/>
    <n v="0"/>
    <m/>
    <m/>
    <m/>
    <m/>
    <n v="0"/>
    <m/>
    <m/>
    <m/>
    <n v="0"/>
    <m/>
    <m/>
    <m/>
    <n v="0"/>
    <m/>
    <m/>
    <m/>
    <m/>
    <n v="0"/>
    <n v="2"/>
    <m/>
    <m/>
    <m/>
    <m/>
    <m/>
    <m/>
    <n v="2"/>
    <m/>
    <m/>
    <s v="20140719 JBerry"/>
    <s v="20140720 LAckein"/>
    <s v="FW_Scan_20140719.pdf"/>
    <n v="0"/>
    <n v="0"/>
    <n v="0"/>
    <n v="0"/>
    <n v="0"/>
    <n v="0"/>
    <n v="0"/>
    <n v="0"/>
    <n v="0"/>
    <n v="0"/>
    <n v="0"/>
    <n v="0"/>
    <n v="0"/>
    <n v="0"/>
    <n v="0"/>
    <n v="0"/>
    <n v="0"/>
    <n v="0"/>
    <n v="0"/>
    <n v="0"/>
  </r>
  <r>
    <x v="43"/>
    <x v="1"/>
    <s v="la,hr"/>
    <d v="1899-12-30T10:36:00"/>
    <d v="1899-12-30T17:00:00"/>
    <n v="51"/>
    <n v="12"/>
    <m/>
    <m/>
    <n v="384.00000000000006"/>
    <n v="2"/>
    <m/>
    <n v="1"/>
    <n v="3"/>
    <n v="1"/>
    <m/>
    <n v="1"/>
    <n v="2"/>
    <n v="2"/>
    <m/>
    <m/>
    <m/>
    <n v="2"/>
    <n v="1"/>
    <m/>
    <m/>
    <n v="1"/>
    <m/>
    <n v="1"/>
    <m/>
    <n v="1"/>
    <m/>
    <m/>
    <m/>
    <m/>
    <n v="0"/>
    <m/>
    <m/>
    <m/>
    <m/>
    <m/>
    <m/>
    <m/>
    <n v="0"/>
    <m/>
    <m/>
    <s v="20140719 HReider"/>
    <s v="20140720 LAckein"/>
    <s v="FW_Scan_20140719.pdf"/>
    <n v="2"/>
    <n v="0"/>
    <n v="1"/>
    <n v="1"/>
    <n v="0"/>
    <n v="1"/>
    <n v="2"/>
    <n v="0"/>
    <n v="0"/>
    <n v="0"/>
    <n v="1"/>
    <n v="0"/>
    <n v="0"/>
    <n v="0"/>
    <n v="1"/>
    <n v="0"/>
    <n v="0"/>
    <n v="0"/>
    <n v="0"/>
    <n v="0"/>
  </r>
  <r>
    <x v="43"/>
    <x v="1"/>
    <s v="eg,nc"/>
    <d v="1899-12-30T17:00:00"/>
    <d v="1899-12-30T20:01:00"/>
    <n v="48"/>
    <n v="12"/>
    <m/>
    <m/>
    <n v="180.99999999999983"/>
    <n v="1"/>
    <m/>
    <n v="1"/>
    <n v="2"/>
    <m/>
    <m/>
    <n v="0"/>
    <n v="0"/>
    <n v="1"/>
    <m/>
    <m/>
    <m/>
    <n v="1"/>
    <m/>
    <m/>
    <m/>
    <n v="0"/>
    <m/>
    <n v="1"/>
    <m/>
    <n v="1"/>
    <m/>
    <m/>
    <m/>
    <m/>
    <n v="0"/>
    <n v="1"/>
    <m/>
    <n v="1"/>
    <m/>
    <m/>
    <m/>
    <m/>
    <n v="2"/>
    <s v="raised wheel overnight"/>
    <m/>
    <s v="20140719 EGora"/>
    <s v="20140720 LAckein"/>
    <s v="FW_Scan_20140719.pdf"/>
    <n v="1"/>
    <n v="0"/>
    <n v="1"/>
    <n v="0"/>
    <n v="0"/>
    <n v="0"/>
    <n v="1"/>
    <n v="0"/>
    <n v="0"/>
    <n v="0"/>
    <n v="0"/>
    <n v="0"/>
    <n v="0"/>
    <n v="0"/>
    <n v="1"/>
    <n v="0"/>
    <n v="0"/>
    <n v="0"/>
    <n v="0"/>
    <n v="0"/>
  </r>
  <r>
    <x v="44"/>
    <x v="0"/>
    <s v="dj,jb"/>
    <d v="1899-12-30T08:03:00"/>
    <d v="1899-12-30T13:47:00"/>
    <n v="40"/>
    <n v="9"/>
    <m/>
    <n v="71.5"/>
    <n v="263.99999999999989"/>
    <m/>
    <m/>
    <m/>
    <n v="0"/>
    <m/>
    <m/>
    <m/>
    <n v="0"/>
    <m/>
    <m/>
    <m/>
    <m/>
    <n v="0"/>
    <m/>
    <m/>
    <m/>
    <n v="0"/>
    <m/>
    <m/>
    <m/>
    <n v="0"/>
    <m/>
    <m/>
    <m/>
    <m/>
    <n v="0"/>
    <m/>
    <m/>
    <m/>
    <m/>
    <m/>
    <m/>
    <m/>
    <n v="0"/>
    <s v="Wheel stopped for unknown time due to log jam (last checked ~0900).  Resumed fishing @ 10:20.  Lead net cleared 11:45-12:30, wheel moved in ~ 2ft.  No fish.  New revs=42"/>
    <m/>
    <s v="20140720 DJohnson"/>
    <s v="20140721 LAckein"/>
    <s v="FW_Scan_20140720.pdf"/>
    <n v="0"/>
    <n v="0"/>
    <n v="0"/>
    <n v="0"/>
    <n v="0"/>
    <n v="0"/>
    <n v="0"/>
    <n v="0"/>
    <n v="0"/>
    <n v="0"/>
    <n v="0"/>
    <n v="0"/>
    <n v="0"/>
    <n v="0"/>
    <n v="0"/>
    <n v="0"/>
    <n v="0"/>
    <n v="0"/>
    <n v="0"/>
    <n v="0"/>
  </r>
  <r>
    <x v="44"/>
    <x v="0"/>
    <s v="nc,eg"/>
    <d v="1899-12-30T13:47:00"/>
    <d v="1899-12-30T19:58:00"/>
    <n v="43"/>
    <n v="10"/>
    <m/>
    <m/>
    <n v="370.99999999999994"/>
    <n v="1"/>
    <m/>
    <m/>
    <n v="1"/>
    <m/>
    <m/>
    <m/>
    <n v="0"/>
    <m/>
    <m/>
    <m/>
    <m/>
    <n v="0"/>
    <m/>
    <n v="1"/>
    <m/>
    <n v="1"/>
    <m/>
    <n v="1"/>
    <m/>
    <n v="1"/>
    <m/>
    <m/>
    <m/>
    <m/>
    <n v="0"/>
    <m/>
    <m/>
    <m/>
    <m/>
    <m/>
    <m/>
    <m/>
    <n v="0"/>
    <s v="fishwheel raised overnight."/>
    <m/>
    <s v="20140720 EGora"/>
    <s v="20140721 LAckein"/>
    <s v="FW_Scan_20140720.pdf"/>
    <n v="1"/>
    <n v="0"/>
    <n v="0"/>
    <n v="0"/>
    <n v="0"/>
    <n v="0"/>
    <n v="0"/>
    <n v="0"/>
    <n v="0"/>
    <n v="0"/>
    <n v="0"/>
    <n v="1"/>
    <n v="0"/>
    <n v="0"/>
    <n v="1"/>
    <n v="0"/>
    <n v="0"/>
    <n v="0"/>
    <n v="0"/>
    <n v="0"/>
  </r>
  <r>
    <x v="44"/>
    <x v="2"/>
    <s v="jb,dj"/>
    <d v="1899-12-30T07:53:00"/>
    <d v="1899-12-30T13:35:00"/>
    <n v="31"/>
    <n v="10"/>
    <m/>
    <m/>
    <n v="341.99999999999994"/>
    <m/>
    <m/>
    <m/>
    <n v="0"/>
    <m/>
    <m/>
    <m/>
    <n v="0"/>
    <m/>
    <m/>
    <m/>
    <m/>
    <n v="0"/>
    <m/>
    <m/>
    <m/>
    <n v="0"/>
    <m/>
    <m/>
    <m/>
    <n v="0"/>
    <m/>
    <m/>
    <m/>
    <m/>
    <n v="0"/>
    <m/>
    <m/>
    <m/>
    <m/>
    <m/>
    <m/>
    <m/>
    <n v="0"/>
    <m/>
    <s v="no fish"/>
    <s v="20140720 DJohnson"/>
    <s v="20140721 LAckein"/>
    <s v="FW_Scan_20140720.pdf"/>
    <n v="0"/>
    <n v="0"/>
    <n v="0"/>
    <n v="0"/>
    <n v="0"/>
    <n v="0"/>
    <n v="0"/>
    <n v="0"/>
    <n v="0"/>
    <n v="0"/>
    <n v="0"/>
    <n v="0"/>
    <n v="0"/>
    <n v="0"/>
    <n v="0"/>
    <n v="0"/>
    <n v="0"/>
    <n v="0"/>
    <n v="0"/>
    <n v="0"/>
  </r>
  <r>
    <x v="44"/>
    <x v="2"/>
    <s v="eg,nc"/>
    <d v="1899-12-30T13:35:00"/>
    <d v="1899-12-30T19:40:00"/>
    <n v="32"/>
    <n v="12"/>
    <m/>
    <m/>
    <n v="365.00000000000011"/>
    <m/>
    <m/>
    <m/>
    <n v="0"/>
    <m/>
    <m/>
    <m/>
    <n v="0"/>
    <n v="2"/>
    <m/>
    <m/>
    <m/>
    <n v="2"/>
    <m/>
    <m/>
    <m/>
    <n v="0"/>
    <n v="1"/>
    <m/>
    <m/>
    <n v="1"/>
    <m/>
    <m/>
    <m/>
    <m/>
    <n v="0"/>
    <m/>
    <m/>
    <m/>
    <m/>
    <m/>
    <m/>
    <m/>
    <n v="0"/>
    <m/>
    <m/>
    <s v="20140720 NCollin"/>
    <s v="20140721 LAckein"/>
    <s v="FW_Scan_20140720.pdf"/>
    <n v="0"/>
    <n v="0"/>
    <n v="0"/>
    <n v="0"/>
    <n v="0"/>
    <n v="0"/>
    <n v="2"/>
    <n v="0"/>
    <n v="0"/>
    <n v="0"/>
    <n v="0"/>
    <n v="0"/>
    <n v="0"/>
    <n v="1"/>
    <n v="0"/>
    <n v="0"/>
    <n v="0"/>
    <n v="0"/>
    <n v="0"/>
    <n v="0"/>
  </r>
  <r>
    <x v="44"/>
    <x v="1"/>
    <s v="eg,nc"/>
    <d v="1899-12-30T08:03:00"/>
    <d v="1899-12-30T10:45:00"/>
    <n v="44"/>
    <n v="10"/>
    <m/>
    <m/>
    <n v="161.99999999999997"/>
    <m/>
    <m/>
    <m/>
    <n v="0"/>
    <m/>
    <m/>
    <m/>
    <n v="0"/>
    <m/>
    <m/>
    <m/>
    <m/>
    <n v="0"/>
    <m/>
    <m/>
    <m/>
    <n v="0"/>
    <n v="1"/>
    <m/>
    <m/>
    <n v="1"/>
    <m/>
    <m/>
    <m/>
    <m/>
    <n v="0"/>
    <m/>
    <m/>
    <m/>
    <m/>
    <m/>
    <m/>
    <m/>
    <n v="0"/>
    <m/>
    <s v="end of shift-tailboard @ 1100"/>
    <s v="20140720 EGora"/>
    <s v="20140721 LAckein"/>
    <s v="FW_Scan_20140720.pdf"/>
    <n v="0"/>
    <n v="0"/>
    <n v="0"/>
    <n v="0"/>
    <n v="0"/>
    <n v="0"/>
    <n v="0"/>
    <n v="0"/>
    <n v="0"/>
    <n v="0"/>
    <n v="0"/>
    <n v="0"/>
    <n v="0"/>
    <n v="1"/>
    <n v="0"/>
    <n v="0"/>
    <n v="0"/>
    <n v="0"/>
    <n v="0"/>
    <n v="0"/>
  </r>
  <r>
    <x v="44"/>
    <x v="1"/>
    <s v="la,hr,ji"/>
    <d v="1899-12-30T10:45:00"/>
    <d v="1899-12-30T16:57:00"/>
    <n v="44"/>
    <n v="11"/>
    <m/>
    <m/>
    <n v="371.99999999999983"/>
    <n v="3"/>
    <m/>
    <m/>
    <n v="3"/>
    <m/>
    <m/>
    <m/>
    <n v="0"/>
    <m/>
    <m/>
    <m/>
    <m/>
    <n v="0"/>
    <n v="1"/>
    <n v="3"/>
    <n v="1"/>
    <n v="5"/>
    <m/>
    <m/>
    <m/>
    <n v="0"/>
    <m/>
    <m/>
    <m/>
    <m/>
    <n v="0"/>
    <m/>
    <m/>
    <m/>
    <m/>
    <m/>
    <m/>
    <m/>
    <n v="0"/>
    <m/>
    <m/>
    <s v="20140720 LAckein"/>
    <s v="20140721 LAckein"/>
    <s v="FW_Scan_20140720.pdf"/>
    <n v="3"/>
    <n v="0"/>
    <n v="0"/>
    <n v="0"/>
    <n v="0"/>
    <n v="0"/>
    <n v="0"/>
    <n v="0"/>
    <n v="0"/>
    <n v="0"/>
    <n v="1"/>
    <n v="3"/>
    <n v="1"/>
    <n v="0"/>
    <n v="0"/>
    <n v="0"/>
    <n v="0"/>
    <n v="0"/>
    <n v="0"/>
    <n v="0"/>
  </r>
  <r>
    <x v="44"/>
    <x v="1"/>
    <s v="jb,dj"/>
    <d v="1899-12-30T16:57:00"/>
    <d v="1899-12-30T20:00:00"/>
    <n v="44"/>
    <n v="12"/>
    <m/>
    <m/>
    <n v="183.00000000000014"/>
    <n v="2"/>
    <m/>
    <m/>
    <n v="2"/>
    <m/>
    <n v="1"/>
    <m/>
    <n v="1"/>
    <m/>
    <n v="1"/>
    <m/>
    <m/>
    <n v="1"/>
    <m/>
    <n v="4"/>
    <m/>
    <n v="4"/>
    <m/>
    <m/>
    <m/>
    <n v="0"/>
    <m/>
    <m/>
    <m/>
    <m/>
    <n v="0"/>
    <m/>
    <m/>
    <m/>
    <m/>
    <m/>
    <m/>
    <m/>
    <n v="0"/>
    <s v="raised @20:00"/>
    <m/>
    <s v="20140720 DJohnson"/>
    <s v="20140721 LAckein"/>
    <s v="FW_Scan_20140720.pdf"/>
    <n v="2"/>
    <n v="0"/>
    <n v="0"/>
    <n v="0"/>
    <n v="1"/>
    <n v="0"/>
    <n v="0"/>
    <n v="1"/>
    <n v="0"/>
    <n v="0"/>
    <n v="0"/>
    <n v="4"/>
    <n v="0"/>
    <n v="0"/>
    <n v="0"/>
    <n v="0"/>
    <n v="0"/>
    <n v="0"/>
    <n v="0"/>
    <n v="0"/>
  </r>
  <r>
    <x v="45"/>
    <x v="0"/>
    <s v="dj,eg"/>
    <d v="1899-12-30T08:08:00"/>
    <d v="1899-12-30T13:55:00"/>
    <n v="41"/>
    <n v="9"/>
    <m/>
    <m/>
    <n v="347"/>
    <m/>
    <m/>
    <m/>
    <n v="0"/>
    <m/>
    <n v="1"/>
    <m/>
    <n v="1"/>
    <m/>
    <m/>
    <m/>
    <m/>
    <n v="0"/>
    <n v="1"/>
    <m/>
    <m/>
    <n v="1"/>
    <m/>
    <m/>
    <m/>
    <n v="0"/>
    <m/>
    <m/>
    <m/>
    <m/>
    <n v="0"/>
    <m/>
    <m/>
    <m/>
    <m/>
    <m/>
    <m/>
    <m/>
    <n v="0"/>
    <m/>
    <m/>
    <s v="20140721 DJohnson"/>
    <s v="20140722 LAckein"/>
    <s v="FW_Scan_20140721.pdf"/>
    <n v="0"/>
    <n v="0"/>
    <n v="0"/>
    <n v="0"/>
    <n v="1"/>
    <n v="0"/>
    <n v="0"/>
    <n v="0"/>
    <n v="0"/>
    <n v="0"/>
    <n v="1"/>
    <n v="0"/>
    <n v="0"/>
    <n v="0"/>
    <n v="0"/>
    <n v="0"/>
    <n v="0"/>
    <n v="0"/>
    <n v="0"/>
    <n v="0"/>
  </r>
  <r>
    <x v="45"/>
    <x v="0"/>
    <s v="jb,nc"/>
    <d v="1899-12-30T13:55:00"/>
    <d v="1899-12-30T19:58:00"/>
    <n v="41"/>
    <n v="9.5"/>
    <m/>
    <m/>
    <n v="363"/>
    <m/>
    <m/>
    <m/>
    <n v="0"/>
    <n v="1"/>
    <m/>
    <m/>
    <n v="1"/>
    <m/>
    <m/>
    <m/>
    <m/>
    <n v="0"/>
    <m/>
    <n v="2"/>
    <m/>
    <n v="2"/>
    <m/>
    <m/>
    <m/>
    <n v="0"/>
    <m/>
    <m/>
    <m/>
    <m/>
    <n v="0"/>
    <m/>
    <m/>
    <m/>
    <m/>
    <m/>
    <m/>
    <m/>
    <n v="0"/>
    <m/>
    <m/>
    <s v="20140721 JBerry"/>
    <s v="20140722 LAckein"/>
    <s v="FW_Scan_20140721.pdf"/>
    <n v="0"/>
    <n v="0"/>
    <n v="0"/>
    <n v="1"/>
    <n v="0"/>
    <n v="0"/>
    <n v="0"/>
    <n v="0"/>
    <n v="0"/>
    <n v="0"/>
    <n v="0"/>
    <n v="2"/>
    <n v="0"/>
    <n v="0"/>
    <n v="0"/>
    <n v="0"/>
    <n v="0"/>
    <n v="0"/>
    <n v="0"/>
    <n v="0"/>
  </r>
  <r>
    <x v="45"/>
    <x v="2"/>
    <s v="dj,eg"/>
    <d v="1899-12-30T07:58:00"/>
    <d v="1899-12-30T13:43:00"/>
    <n v="31"/>
    <n v="10"/>
    <m/>
    <m/>
    <n v="345"/>
    <m/>
    <m/>
    <m/>
    <n v="0"/>
    <m/>
    <m/>
    <m/>
    <n v="0"/>
    <m/>
    <m/>
    <m/>
    <m/>
    <n v="0"/>
    <m/>
    <m/>
    <m/>
    <n v="0"/>
    <m/>
    <m/>
    <m/>
    <n v="0"/>
    <m/>
    <m/>
    <m/>
    <m/>
    <n v="0"/>
    <m/>
    <m/>
    <m/>
    <m/>
    <m/>
    <m/>
    <m/>
    <n v="0"/>
    <m/>
    <s v="no fish"/>
    <s v="20140721 EGora"/>
    <s v="20140722 LAckein"/>
    <s v="FW_Scan_20140721.pdf"/>
    <n v="0"/>
    <n v="0"/>
    <n v="0"/>
    <n v="0"/>
    <n v="0"/>
    <n v="0"/>
    <n v="0"/>
    <n v="0"/>
    <n v="0"/>
    <n v="0"/>
    <n v="0"/>
    <n v="0"/>
    <n v="0"/>
    <n v="0"/>
    <n v="0"/>
    <n v="0"/>
    <n v="0"/>
    <n v="0"/>
    <n v="0"/>
    <n v="0"/>
  </r>
  <r>
    <x v="45"/>
    <x v="2"/>
    <s v="jb,nc"/>
    <d v="1899-12-30T13:43:00"/>
    <d v="1899-12-30T19:44:00"/>
    <n v="29"/>
    <n v="12"/>
    <m/>
    <m/>
    <n v="361.00000000000017"/>
    <m/>
    <m/>
    <m/>
    <n v="0"/>
    <m/>
    <m/>
    <m/>
    <n v="0"/>
    <m/>
    <m/>
    <m/>
    <m/>
    <n v="0"/>
    <m/>
    <m/>
    <m/>
    <n v="0"/>
    <n v="1"/>
    <m/>
    <m/>
    <n v="1"/>
    <m/>
    <m/>
    <m/>
    <m/>
    <n v="0"/>
    <m/>
    <m/>
    <m/>
    <m/>
    <m/>
    <m/>
    <m/>
    <n v="0"/>
    <m/>
    <m/>
    <s v="20140721 NCollin"/>
    <s v="20140722 LAckein"/>
    <s v="FW_Scan_20140721.pdf"/>
    <n v="0"/>
    <n v="0"/>
    <n v="0"/>
    <n v="0"/>
    <n v="0"/>
    <n v="0"/>
    <n v="0"/>
    <n v="0"/>
    <n v="0"/>
    <n v="0"/>
    <n v="0"/>
    <n v="0"/>
    <n v="0"/>
    <n v="1"/>
    <n v="0"/>
    <n v="0"/>
    <n v="0"/>
    <n v="0"/>
    <n v="0"/>
    <n v="0"/>
  </r>
  <r>
    <x v="45"/>
    <x v="1"/>
    <s v="jb,nc"/>
    <d v="1899-12-30T08:00:00"/>
    <d v="1899-12-30T10:49:00"/>
    <n v="43"/>
    <n v="10"/>
    <m/>
    <m/>
    <n v="169.00000000000003"/>
    <n v="1"/>
    <m/>
    <m/>
    <n v="1"/>
    <m/>
    <m/>
    <m/>
    <n v="0"/>
    <m/>
    <m/>
    <m/>
    <m/>
    <n v="0"/>
    <n v="1"/>
    <n v="1"/>
    <m/>
    <n v="2"/>
    <m/>
    <m/>
    <m/>
    <n v="0"/>
    <m/>
    <m/>
    <m/>
    <m/>
    <n v="0"/>
    <m/>
    <m/>
    <m/>
    <m/>
    <m/>
    <m/>
    <m/>
    <n v="0"/>
    <m/>
    <m/>
    <s v="20140721 NCollin"/>
    <s v="20140722 LAckein"/>
    <s v="FW_Scan_20140721.pdf"/>
    <n v="1"/>
    <n v="0"/>
    <n v="0"/>
    <n v="0"/>
    <n v="0"/>
    <n v="0"/>
    <n v="0"/>
    <n v="0"/>
    <n v="0"/>
    <n v="0"/>
    <n v="1"/>
    <n v="1"/>
    <n v="0"/>
    <n v="0"/>
    <n v="0"/>
    <n v="0"/>
    <n v="0"/>
    <n v="0"/>
    <n v="0"/>
    <n v="0"/>
  </r>
  <r>
    <x v="45"/>
    <x v="1"/>
    <s v="hr,la,ji"/>
    <d v="1899-12-30T10:49:00"/>
    <d v="1899-12-30T16:55:00"/>
    <n v="42"/>
    <n v="11"/>
    <m/>
    <m/>
    <n v="366.00000000000011"/>
    <n v="3"/>
    <m/>
    <m/>
    <n v="3"/>
    <m/>
    <n v="2"/>
    <m/>
    <n v="2"/>
    <m/>
    <m/>
    <m/>
    <m/>
    <n v="0"/>
    <m/>
    <m/>
    <m/>
    <n v="0"/>
    <m/>
    <m/>
    <m/>
    <n v="0"/>
    <m/>
    <m/>
    <m/>
    <m/>
    <n v="0"/>
    <m/>
    <m/>
    <m/>
    <m/>
    <m/>
    <m/>
    <m/>
    <n v="0"/>
    <s v="cleaned lead net @ 16:50, tightened and secured lead net at shore"/>
    <m/>
    <s v="20140721 LAckein"/>
    <s v="20140722 LAckein"/>
    <s v="FW_Scan_20140721.pdf"/>
    <n v="3"/>
    <n v="0"/>
    <n v="0"/>
    <n v="0"/>
    <n v="2"/>
    <n v="0"/>
    <n v="0"/>
    <n v="0"/>
    <n v="0"/>
    <n v="0"/>
    <n v="0"/>
    <n v="0"/>
    <n v="0"/>
    <n v="0"/>
    <n v="0"/>
    <n v="0"/>
    <n v="0"/>
    <n v="0"/>
    <n v="0"/>
    <n v="0"/>
  </r>
  <r>
    <x v="45"/>
    <x v="1"/>
    <s v="dj,eg"/>
    <d v="1899-12-30T16:55:00"/>
    <d v="1899-12-30T20:01:00"/>
    <n v="44"/>
    <n v="12"/>
    <m/>
    <m/>
    <n v="185.99999999999983"/>
    <m/>
    <m/>
    <m/>
    <n v="0"/>
    <m/>
    <m/>
    <m/>
    <n v="0"/>
    <m/>
    <m/>
    <m/>
    <m/>
    <n v="0"/>
    <m/>
    <n v="1"/>
    <m/>
    <n v="1"/>
    <m/>
    <m/>
    <m/>
    <n v="0"/>
    <m/>
    <m/>
    <m/>
    <m/>
    <n v="0"/>
    <m/>
    <m/>
    <n v="1"/>
    <m/>
    <m/>
    <m/>
    <m/>
    <n v="1"/>
    <s v="raised wheel overnight"/>
    <m/>
    <s v="20140721 EGora"/>
    <s v="20140722 LAckein"/>
    <s v="FW_Scan_20140721.pdf"/>
    <n v="0"/>
    <n v="0"/>
    <n v="0"/>
    <n v="0"/>
    <n v="0"/>
    <n v="0"/>
    <n v="0"/>
    <n v="0"/>
    <n v="0"/>
    <n v="0"/>
    <n v="0"/>
    <n v="1"/>
    <n v="0"/>
    <n v="0"/>
    <n v="0"/>
    <n v="0"/>
    <n v="0"/>
    <n v="0"/>
    <n v="0"/>
    <n v="0"/>
  </r>
  <r>
    <x v="46"/>
    <x v="0"/>
    <s v="eg,dj"/>
    <d v="1899-12-30T08:10:00"/>
    <d v="1899-12-30T11:00:00"/>
    <n v="43"/>
    <n v="9"/>
    <m/>
    <m/>
    <n v="170.00000000000003"/>
    <m/>
    <m/>
    <m/>
    <n v="0"/>
    <m/>
    <m/>
    <m/>
    <n v="0"/>
    <m/>
    <m/>
    <m/>
    <m/>
    <n v="0"/>
    <n v="1"/>
    <n v="1"/>
    <m/>
    <n v="2"/>
    <m/>
    <m/>
    <m/>
    <n v="0"/>
    <m/>
    <m/>
    <m/>
    <m/>
    <n v="0"/>
    <m/>
    <m/>
    <m/>
    <m/>
    <m/>
    <m/>
    <m/>
    <n v="0"/>
    <m/>
    <m/>
    <s v="20140722 DJohnson"/>
    <s v="20140723 LAckein"/>
    <s v="FW_Scan_20140722.pdf"/>
    <n v="0"/>
    <n v="0"/>
    <n v="0"/>
    <n v="0"/>
    <n v="0"/>
    <n v="0"/>
    <n v="0"/>
    <n v="0"/>
    <n v="0"/>
    <n v="0"/>
    <n v="1"/>
    <n v="1"/>
    <n v="0"/>
    <n v="0"/>
    <n v="0"/>
    <n v="0"/>
    <n v="0"/>
    <n v="0"/>
    <n v="0"/>
    <n v="0"/>
  </r>
  <r>
    <x v="46"/>
    <x v="0"/>
    <s v="hr,la,ji"/>
    <d v="1899-12-30T11:00:00"/>
    <d v="1899-12-30T17:00:00"/>
    <n v="42"/>
    <n v="9"/>
    <m/>
    <n v="112"/>
    <n v="360.00000000000011"/>
    <m/>
    <m/>
    <m/>
    <n v="0"/>
    <m/>
    <m/>
    <m/>
    <n v="0"/>
    <m/>
    <m/>
    <m/>
    <m/>
    <n v="0"/>
    <m/>
    <n v="4"/>
    <n v="1"/>
    <n v="5"/>
    <m/>
    <n v="2"/>
    <n v="1"/>
    <n v="3"/>
    <m/>
    <m/>
    <m/>
    <m/>
    <n v="0"/>
    <m/>
    <m/>
    <m/>
    <m/>
    <n v="1"/>
    <m/>
    <m/>
    <n v="1"/>
    <s v="cleared lead net @14:20; raised baskets 2&quot;, was hitting the bottom (15:50)"/>
    <s v="turb. Vial collected 12:06"/>
    <s v="20140722 JImrie"/>
    <s v="20140723 LAckein"/>
    <s v="FW_Scan_20140722.pdf"/>
    <n v="0"/>
    <n v="0"/>
    <n v="0"/>
    <n v="0"/>
    <n v="0"/>
    <n v="0"/>
    <n v="0"/>
    <n v="0"/>
    <n v="0"/>
    <n v="0"/>
    <n v="0"/>
    <n v="4"/>
    <n v="1"/>
    <n v="0"/>
    <n v="2"/>
    <n v="1"/>
    <n v="0"/>
    <n v="0"/>
    <n v="0"/>
    <n v="0"/>
  </r>
  <r>
    <x v="46"/>
    <x v="0"/>
    <s v="nc,jb"/>
    <d v="1899-12-30T17:00:00"/>
    <d v="1899-12-30T19:59:00"/>
    <n v="44"/>
    <n v="10.5"/>
    <m/>
    <m/>
    <n v="179"/>
    <m/>
    <m/>
    <m/>
    <n v="0"/>
    <m/>
    <n v="1"/>
    <m/>
    <n v="1"/>
    <m/>
    <m/>
    <m/>
    <m/>
    <n v="0"/>
    <m/>
    <n v="4"/>
    <m/>
    <n v="4"/>
    <m/>
    <m/>
    <m/>
    <n v="0"/>
    <n v="1"/>
    <m/>
    <m/>
    <m/>
    <n v="1"/>
    <m/>
    <m/>
    <m/>
    <m/>
    <m/>
    <m/>
    <m/>
    <n v="0"/>
    <m/>
    <m/>
    <s v="20140722 JBerry"/>
    <s v="20140723 LAckein"/>
    <s v="FW_Scan_20140722.pdf"/>
    <n v="0"/>
    <n v="0"/>
    <n v="0"/>
    <n v="0"/>
    <n v="1"/>
    <n v="0"/>
    <n v="0"/>
    <n v="0"/>
    <n v="0"/>
    <n v="0"/>
    <n v="0"/>
    <n v="4"/>
    <n v="0"/>
    <n v="0"/>
    <n v="0"/>
    <n v="0"/>
    <n v="1"/>
    <n v="0"/>
    <n v="0"/>
    <n v="0"/>
  </r>
  <r>
    <x v="46"/>
    <x v="2"/>
    <s v="dj,eg"/>
    <d v="1899-12-30T08:01:00"/>
    <d v="1899-12-30T10:47:00"/>
    <n v="34"/>
    <n v="10"/>
    <m/>
    <m/>
    <n v="165.99999999999997"/>
    <m/>
    <m/>
    <m/>
    <n v="0"/>
    <m/>
    <m/>
    <m/>
    <n v="0"/>
    <m/>
    <m/>
    <m/>
    <m/>
    <n v="0"/>
    <m/>
    <m/>
    <m/>
    <n v="0"/>
    <n v="1"/>
    <m/>
    <m/>
    <n v="1"/>
    <m/>
    <m/>
    <m/>
    <m/>
    <n v="0"/>
    <m/>
    <m/>
    <m/>
    <m/>
    <m/>
    <m/>
    <m/>
    <n v="0"/>
    <m/>
    <m/>
    <s v="20140722 EGora"/>
    <s v="20140723 LAckein"/>
    <s v="FW_Scan_20140722.pdf"/>
    <n v="0"/>
    <n v="0"/>
    <n v="0"/>
    <n v="0"/>
    <n v="0"/>
    <n v="0"/>
    <n v="0"/>
    <n v="0"/>
    <n v="0"/>
    <n v="0"/>
    <n v="0"/>
    <n v="0"/>
    <n v="0"/>
    <n v="1"/>
    <n v="0"/>
    <n v="0"/>
    <n v="0"/>
    <n v="0"/>
    <n v="0"/>
    <n v="0"/>
  </r>
  <r>
    <x v="46"/>
    <x v="2"/>
    <s v="hr,la,ji"/>
    <d v="1899-12-30T10:47:00"/>
    <d v="1899-12-30T16:48:00"/>
    <n v="34"/>
    <n v="11"/>
    <m/>
    <m/>
    <n v="361.00000000000006"/>
    <m/>
    <m/>
    <m/>
    <n v="0"/>
    <m/>
    <m/>
    <m/>
    <n v="0"/>
    <n v="3"/>
    <m/>
    <m/>
    <m/>
    <n v="3"/>
    <m/>
    <m/>
    <m/>
    <n v="0"/>
    <n v="1"/>
    <m/>
    <m/>
    <n v="1"/>
    <m/>
    <m/>
    <m/>
    <m/>
    <n v="0"/>
    <m/>
    <m/>
    <m/>
    <m/>
    <m/>
    <m/>
    <m/>
    <n v="0"/>
    <m/>
    <m/>
    <s v="20140722 JImrie"/>
    <s v="20140723 LAckein"/>
    <s v="FW_Scan_20140722.pdf"/>
    <n v="0"/>
    <n v="0"/>
    <n v="0"/>
    <n v="0"/>
    <n v="0"/>
    <n v="0"/>
    <n v="3"/>
    <n v="0"/>
    <n v="0"/>
    <n v="0"/>
    <n v="0"/>
    <n v="0"/>
    <n v="0"/>
    <n v="1"/>
    <n v="0"/>
    <n v="0"/>
    <n v="0"/>
    <n v="0"/>
    <n v="0"/>
    <n v="0"/>
  </r>
  <r>
    <x v="46"/>
    <x v="2"/>
    <s v="jb,nc"/>
    <d v="1899-12-30T16:48:00"/>
    <d v="1899-12-30T19:43:00"/>
    <n v="34"/>
    <n v="13"/>
    <m/>
    <m/>
    <n v="174.99999999999986"/>
    <m/>
    <m/>
    <m/>
    <n v="0"/>
    <m/>
    <m/>
    <m/>
    <n v="0"/>
    <n v="5"/>
    <m/>
    <m/>
    <m/>
    <n v="5"/>
    <m/>
    <n v="4"/>
    <m/>
    <n v="4"/>
    <m/>
    <m/>
    <m/>
    <n v="0"/>
    <m/>
    <m/>
    <m/>
    <m/>
    <n v="0"/>
    <m/>
    <m/>
    <m/>
    <m/>
    <m/>
    <m/>
    <m/>
    <n v="0"/>
    <m/>
    <m/>
    <s v="20140722 NCollin"/>
    <s v="20140723 LAckein"/>
    <s v="FW_Scan_20140722.pdf"/>
    <n v="0"/>
    <n v="0"/>
    <n v="0"/>
    <n v="0"/>
    <n v="0"/>
    <n v="0"/>
    <n v="5"/>
    <n v="0"/>
    <n v="0"/>
    <n v="0"/>
    <n v="0"/>
    <n v="4"/>
    <n v="0"/>
    <n v="0"/>
    <n v="0"/>
    <n v="0"/>
    <n v="0"/>
    <n v="0"/>
    <n v="0"/>
    <n v="0"/>
  </r>
  <r>
    <x v="46"/>
    <x v="1"/>
    <s v="jb,nc"/>
    <d v="1899-12-30T08:04:00"/>
    <d v="1899-12-30T13:59:00"/>
    <n v="42"/>
    <n v="10"/>
    <m/>
    <m/>
    <n v="354.99999999999994"/>
    <m/>
    <n v="1"/>
    <m/>
    <n v="1"/>
    <m/>
    <m/>
    <m/>
    <n v="0"/>
    <m/>
    <m/>
    <m/>
    <m/>
    <n v="0"/>
    <n v="2"/>
    <n v="2"/>
    <m/>
    <n v="4"/>
    <m/>
    <m/>
    <n v="1"/>
    <n v="1"/>
    <m/>
    <m/>
    <m/>
    <m/>
    <n v="0"/>
    <m/>
    <m/>
    <n v="1"/>
    <m/>
    <m/>
    <m/>
    <m/>
    <n v="1"/>
    <m/>
    <m/>
    <s v="20140722 NCollin"/>
    <s v="20140723 LAckein"/>
    <s v="FW_Scan_20140722.pdf"/>
    <n v="0"/>
    <n v="1"/>
    <n v="0"/>
    <n v="0"/>
    <n v="0"/>
    <n v="0"/>
    <n v="0"/>
    <n v="0"/>
    <n v="0"/>
    <n v="0"/>
    <n v="2"/>
    <n v="2"/>
    <n v="0"/>
    <n v="0"/>
    <n v="0"/>
    <n v="1"/>
    <n v="0"/>
    <n v="0"/>
    <n v="0"/>
    <n v="0"/>
  </r>
  <r>
    <x v="46"/>
    <x v="1"/>
    <s v="eg,dj"/>
    <d v="1899-12-30T14:15:00"/>
    <d v="1899-12-30T20:00:00"/>
    <n v="46"/>
    <n v="11"/>
    <m/>
    <m/>
    <n v="345.00000000000006"/>
    <m/>
    <m/>
    <m/>
    <n v="0"/>
    <m/>
    <m/>
    <m/>
    <n v="0"/>
    <m/>
    <m/>
    <m/>
    <m/>
    <n v="0"/>
    <m/>
    <n v="6"/>
    <m/>
    <n v="6"/>
    <m/>
    <n v="2"/>
    <m/>
    <n v="2"/>
    <m/>
    <m/>
    <m/>
    <m/>
    <n v="0"/>
    <n v="1"/>
    <m/>
    <m/>
    <m/>
    <m/>
    <m/>
    <m/>
    <n v="1"/>
    <s v="fishwheel raised overnight."/>
    <m/>
    <s v="20140722 EGora"/>
    <s v="20140723 LAckein"/>
    <s v="FW_Scan_20140722.pdf"/>
    <n v="0"/>
    <n v="0"/>
    <n v="0"/>
    <n v="0"/>
    <n v="0"/>
    <n v="0"/>
    <n v="0"/>
    <n v="0"/>
    <n v="0"/>
    <n v="0"/>
    <n v="0"/>
    <n v="6"/>
    <n v="0"/>
    <n v="0"/>
    <n v="2"/>
    <n v="0"/>
    <n v="0"/>
    <n v="0"/>
    <n v="0"/>
    <n v="0"/>
  </r>
  <r>
    <x v="47"/>
    <x v="0"/>
    <s v="dj,nc"/>
    <d v="1899-12-30T08:01:00"/>
    <d v="1899-12-30T10:40:00"/>
    <n v="51"/>
    <n v="10"/>
    <m/>
    <m/>
    <n v="158.99999999999991"/>
    <m/>
    <m/>
    <m/>
    <n v="0"/>
    <m/>
    <m/>
    <m/>
    <n v="0"/>
    <m/>
    <m/>
    <m/>
    <m/>
    <n v="0"/>
    <n v="2"/>
    <n v="1"/>
    <m/>
    <n v="3"/>
    <m/>
    <m/>
    <m/>
    <n v="0"/>
    <m/>
    <m/>
    <m/>
    <m/>
    <n v="0"/>
    <m/>
    <m/>
    <m/>
    <m/>
    <m/>
    <m/>
    <m/>
    <n v="0"/>
    <s v="moved fw1 3 ft from shore @ 0945"/>
    <m/>
    <s v="20140723 DJohnson"/>
    <s v="20140724 LAckein"/>
    <s v="FW_Scan_20140723.pdf"/>
    <n v="0"/>
    <n v="0"/>
    <n v="0"/>
    <n v="0"/>
    <n v="0"/>
    <n v="0"/>
    <n v="0"/>
    <n v="0"/>
    <n v="0"/>
    <n v="0"/>
    <n v="2"/>
    <n v="1"/>
    <n v="0"/>
    <n v="0"/>
    <n v="0"/>
    <n v="0"/>
    <n v="0"/>
    <n v="0"/>
    <n v="0"/>
    <n v="0"/>
  </r>
  <r>
    <x v="47"/>
    <x v="0"/>
    <s v="la,hr"/>
    <d v="1899-12-30T10:40:00"/>
    <d v="1899-12-30T16:55:00"/>
    <n v="48"/>
    <n v="11"/>
    <m/>
    <m/>
    <n v="375.00000000000011"/>
    <n v="1"/>
    <m/>
    <m/>
    <n v="1"/>
    <m/>
    <m/>
    <m/>
    <n v="0"/>
    <n v="3"/>
    <m/>
    <m/>
    <m/>
    <n v="3"/>
    <m/>
    <n v="8"/>
    <m/>
    <n v="8"/>
    <n v="2"/>
    <m/>
    <m/>
    <n v="2"/>
    <m/>
    <m/>
    <m/>
    <m/>
    <n v="0"/>
    <m/>
    <m/>
    <m/>
    <m/>
    <m/>
    <m/>
    <m/>
    <n v="0"/>
    <m/>
    <m/>
    <s v="20140722 LAckein"/>
    <s v="20140724 LAckein"/>
    <s v="FW_Scan_20140723.pdf"/>
    <n v="1"/>
    <n v="0"/>
    <n v="0"/>
    <n v="0"/>
    <n v="0"/>
    <n v="0"/>
    <n v="3"/>
    <n v="0"/>
    <n v="0"/>
    <n v="0"/>
    <n v="0"/>
    <n v="8"/>
    <n v="0"/>
    <n v="2"/>
    <n v="0"/>
    <n v="0"/>
    <n v="0"/>
    <n v="0"/>
    <n v="0"/>
    <n v="0"/>
  </r>
  <r>
    <x v="47"/>
    <x v="0"/>
    <s v="jb,eg"/>
    <d v="1899-12-30T16:55:00"/>
    <d v="1899-12-30T20:11:00"/>
    <n v="50"/>
    <n v="11"/>
    <m/>
    <m/>
    <n v="195.99999999999994"/>
    <n v="1"/>
    <m/>
    <m/>
    <n v="1"/>
    <m/>
    <m/>
    <m/>
    <n v="0"/>
    <m/>
    <m/>
    <m/>
    <m/>
    <n v="0"/>
    <m/>
    <n v="5"/>
    <m/>
    <n v="5"/>
    <m/>
    <m/>
    <m/>
    <n v="0"/>
    <m/>
    <m/>
    <m/>
    <m/>
    <n v="0"/>
    <m/>
    <m/>
    <m/>
    <m/>
    <m/>
    <m/>
    <m/>
    <n v="0"/>
    <m/>
    <m/>
    <s v="20140723 JBerry"/>
    <s v="20140724 LAckein"/>
    <s v="FW_Scan_20140723.pdf"/>
    <n v="1"/>
    <n v="0"/>
    <n v="0"/>
    <n v="0"/>
    <n v="0"/>
    <n v="0"/>
    <n v="0"/>
    <n v="0"/>
    <n v="0"/>
    <n v="0"/>
    <n v="0"/>
    <n v="5"/>
    <n v="0"/>
    <n v="0"/>
    <n v="0"/>
    <n v="0"/>
    <n v="0"/>
    <n v="0"/>
    <n v="0"/>
    <n v="0"/>
  </r>
  <r>
    <x v="47"/>
    <x v="2"/>
    <s v="nc,dj"/>
    <d v="1899-12-30T07:53:00"/>
    <d v="1899-12-30T10:45:00"/>
    <n v="34"/>
    <n v="11"/>
    <m/>
    <m/>
    <n v="172.00000000000003"/>
    <m/>
    <m/>
    <m/>
    <n v="0"/>
    <m/>
    <m/>
    <m/>
    <n v="0"/>
    <n v="2"/>
    <m/>
    <m/>
    <m/>
    <n v="2"/>
    <n v="1"/>
    <n v="2"/>
    <m/>
    <n v="3"/>
    <m/>
    <m/>
    <m/>
    <n v="0"/>
    <m/>
    <m/>
    <m/>
    <m/>
    <n v="0"/>
    <m/>
    <m/>
    <m/>
    <m/>
    <m/>
    <m/>
    <m/>
    <n v="0"/>
    <s v="moved wheel out about 3 ft from shore @ 0939"/>
    <m/>
    <s v="20140723 NCollin"/>
    <s v="20140724 LAckein"/>
    <s v="FW_Scan_20140723.pdf"/>
    <n v="0"/>
    <n v="0"/>
    <n v="0"/>
    <n v="0"/>
    <n v="0"/>
    <n v="0"/>
    <n v="2"/>
    <n v="0"/>
    <n v="0"/>
    <n v="0"/>
    <n v="1"/>
    <n v="2"/>
    <n v="0"/>
    <n v="0"/>
    <n v="0"/>
    <n v="0"/>
    <n v="0"/>
    <n v="0"/>
    <n v="0"/>
    <n v="0"/>
  </r>
  <r>
    <x v="47"/>
    <x v="2"/>
    <s v="la,hr"/>
    <d v="1899-12-30T10:45:00"/>
    <d v="1899-12-30T16:40:00"/>
    <n v="34"/>
    <n v="12"/>
    <m/>
    <m/>
    <n v="355.00000000000006"/>
    <m/>
    <m/>
    <m/>
    <n v="0"/>
    <m/>
    <m/>
    <m/>
    <n v="0"/>
    <m/>
    <m/>
    <m/>
    <m/>
    <n v="0"/>
    <m/>
    <m/>
    <m/>
    <n v="0"/>
    <m/>
    <m/>
    <m/>
    <n v="0"/>
    <m/>
    <m/>
    <m/>
    <m/>
    <n v="0"/>
    <m/>
    <m/>
    <m/>
    <m/>
    <m/>
    <m/>
    <m/>
    <n v="0"/>
    <m/>
    <s v="no fish"/>
    <s v="20140723 HReider"/>
    <s v="20140724 LAckein"/>
    <s v="FW_Scan_20140723.pdf"/>
    <n v="0"/>
    <n v="0"/>
    <n v="0"/>
    <n v="0"/>
    <n v="0"/>
    <n v="0"/>
    <n v="0"/>
    <n v="0"/>
    <n v="0"/>
    <n v="0"/>
    <n v="0"/>
    <n v="0"/>
    <n v="0"/>
    <n v="0"/>
    <n v="0"/>
    <n v="0"/>
    <n v="0"/>
    <n v="0"/>
    <n v="0"/>
    <n v="0"/>
  </r>
  <r>
    <x v="47"/>
    <x v="2"/>
    <s v="jb,eg"/>
    <d v="1899-12-30T16:40:00"/>
    <d v="1899-12-30T19:51:00"/>
    <n v="33"/>
    <n v="13"/>
    <m/>
    <m/>
    <n v="190.99999999999997"/>
    <m/>
    <m/>
    <m/>
    <n v="0"/>
    <m/>
    <m/>
    <m/>
    <n v="0"/>
    <m/>
    <m/>
    <m/>
    <m/>
    <n v="0"/>
    <m/>
    <m/>
    <m/>
    <n v="0"/>
    <n v="1"/>
    <m/>
    <m/>
    <n v="1"/>
    <m/>
    <m/>
    <m/>
    <m/>
    <n v="0"/>
    <m/>
    <m/>
    <m/>
    <m/>
    <m/>
    <m/>
    <m/>
    <n v="0"/>
    <s v="raised wheel to fix water in pontoon and overnight"/>
    <m/>
    <s v="20140723 JBerry"/>
    <s v="20140724 LAckein"/>
    <s v="FW_Scan_20140723.pdf"/>
    <n v="0"/>
    <n v="0"/>
    <n v="0"/>
    <n v="0"/>
    <n v="0"/>
    <n v="0"/>
    <n v="0"/>
    <n v="0"/>
    <n v="0"/>
    <n v="0"/>
    <n v="0"/>
    <n v="0"/>
    <n v="0"/>
    <n v="1"/>
    <n v="0"/>
    <n v="0"/>
    <n v="0"/>
    <n v="0"/>
    <n v="0"/>
    <n v="0"/>
  </r>
  <r>
    <x v="47"/>
    <x v="1"/>
    <s v="jb,eg"/>
    <d v="1899-12-30T08:00:00"/>
    <d v="1899-12-30T13:50:00"/>
    <n v="50"/>
    <n v="12"/>
    <m/>
    <m/>
    <n v="345.00000000000011"/>
    <n v="1"/>
    <m/>
    <m/>
    <n v="1"/>
    <m/>
    <m/>
    <m/>
    <n v="0"/>
    <n v="3"/>
    <m/>
    <m/>
    <m/>
    <n v="3"/>
    <n v="2"/>
    <n v="8"/>
    <m/>
    <n v="10"/>
    <m/>
    <m/>
    <m/>
    <n v="0"/>
    <m/>
    <m/>
    <m/>
    <m/>
    <n v="0"/>
    <n v="1"/>
    <m/>
    <n v="1"/>
    <m/>
    <m/>
    <m/>
    <m/>
    <n v="2"/>
    <s v="wheel stopped 12:05-12:10 to mend net"/>
    <m/>
    <s v="20140723 EGora"/>
    <s v="20140724 LAckein"/>
    <s v="FW_Scan_20140723.pdf"/>
    <n v="1"/>
    <n v="0"/>
    <n v="0"/>
    <n v="0"/>
    <n v="0"/>
    <n v="0"/>
    <n v="3"/>
    <n v="0"/>
    <n v="0"/>
    <n v="0"/>
    <n v="2"/>
    <n v="8"/>
    <n v="0"/>
    <n v="0"/>
    <n v="0"/>
    <n v="0"/>
    <n v="0"/>
    <n v="0"/>
    <n v="0"/>
    <n v="0"/>
  </r>
  <r>
    <x v="47"/>
    <x v="1"/>
    <s v="nc,dj"/>
    <d v="1899-12-30T13:50:00"/>
    <d v="1899-12-30T19:57:00"/>
    <n v="53"/>
    <n v="14"/>
    <m/>
    <m/>
    <n v="366.99999999999983"/>
    <m/>
    <m/>
    <m/>
    <n v="0"/>
    <m/>
    <m/>
    <m/>
    <n v="0"/>
    <n v="3"/>
    <m/>
    <m/>
    <m/>
    <n v="3"/>
    <m/>
    <n v="15"/>
    <m/>
    <n v="15"/>
    <n v="2"/>
    <n v="3"/>
    <m/>
    <n v="5"/>
    <m/>
    <m/>
    <m/>
    <m/>
    <n v="0"/>
    <n v="2"/>
    <m/>
    <m/>
    <m/>
    <m/>
    <m/>
    <m/>
    <n v="2"/>
    <m/>
    <m/>
    <s v="20140723 NCollin"/>
    <s v="20140724 LAckein"/>
    <s v="FW_Scan_20140723.pdf"/>
    <n v="0"/>
    <n v="0"/>
    <n v="0"/>
    <n v="0"/>
    <n v="0"/>
    <n v="0"/>
    <n v="3"/>
    <n v="0"/>
    <n v="0"/>
    <n v="0"/>
    <n v="0"/>
    <n v="15"/>
    <n v="0"/>
    <n v="2"/>
    <n v="3"/>
    <n v="0"/>
    <n v="0"/>
    <n v="0"/>
    <n v="0"/>
    <n v="0"/>
  </r>
  <r>
    <x v="48"/>
    <x v="0"/>
    <s v="dj,nc"/>
    <d v="1899-12-30T07:46:00"/>
    <d v="1899-12-30T13:47:00"/>
    <n v="53"/>
    <n v="9"/>
    <m/>
    <m/>
    <n v="360.99999999999994"/>
    <n v="1"/>
    <m/>
    <m/>
    <n v="1"/>
    <m/>
    <m/>
    <m/>
    <n v="0"/>
    <n v="1"/>
    <m/>
    <m/>
    <m/>
    <n v="1"/>
    <n v="3"/>
    <n v="24"/>
    <m/>
    <n v="27"/>
    <m/>
    <m/>
    <m/>
    <n v="0"/>
    <m/>
    <m/>
    <m/>
    <m/>
    <n v="0"/>
    <m/>
    <m/>
    <m/>
    <m/>
    <m/>
    <m/>
    <m/>
    <n v="0"/>
    <m/>
    <m/>
    <s v="20140724 DJohnson"/>
    <s v="20140725 LAckein"/>
    <s v="FW_Scan_20140724.pdf"/>
    <n v="1"/>
    <n v="0"/>
    <n v="0"/>
    <n v="0"/>
    <n v="0"/>
    <n v="0"/>
    <n v="1"/>
    <n v="0"/>
    <n v="0"/>
    <n v="0"/>
    <n v="3"/>
    <n v="24"/>
    <n v="0"/>
    <n v="0"/>
    <n v="0"/>
    <n v="0"/>
    <n v="0"/>
    <n v="0"/>
    <n v="0"/>
    <n v="0"/>
  </r>
  <r>
    <x v="48"/>
    <x v="0"/>
    <s v="jb,eg"/>
    <d v="1899-12-30T13:47:00"/>
    <d v="1899-12-30T20:00:00"/>
    <n v="50"/>
    <n v="9.5"/>
    <m/>
    <n v="75.400000000000006"/>
    <n v="316.00000000000011"/>
    <m/>
    <m/>
    <m/>
    <n v="0"/>
    <m/>
    <m/>
    <m/>
    <n v="0"/>
    <n v="1"/>
    <m/>
    <m/>
    <m/>
    <n v="1"/>
    <m/>
    <n v="41"/>
    <m/>
    <n v="41"/>
    <n v="1"/>
    <n v="2"/>
    <m/>
    <n v="3"/>
    <m/>
    <m/>
    <m/>
    <m/>
    <n v="0"/>
    <m/>
    <m/>
    <m/>
    <m/>
    <m/>
    <m/>
    <m/>
    <n v="0"/>
    <s v="wheel stopped 14:50-15:47 for net mending"/>
    <m/>
    <s v="20140724 EGora"/>
    <s v="20140725 LAckein"/>
    <s v="FW_Scan_20140724.pdf"/>
    <n v="0"/>
    <n v="0"/>
    <n v="0"/>
    <n v="0"/>
    <n v="0"/>
    <n v="0"/>
    <n v="1"/>
    <n v="0"/>
    <n v="0"/>
    <n v="0"/>
    <n v="0"/>
    <n v="41"/>
    <n v="0"/>
    <n v="1"/>
    <n v="2"/>
    <n v="0"/>
    <n v="0"/>
    <n v="0"/>
    <n v="0"/>
    <n v="0"/>
  </r>
  <r>
    <x v="48"/>
    <x v="2"/>
    <s v="nc,dj"/>
    <d v="1899-12-30T07:56:00"/>
    <d v="1899-12-30T13:40:00"/>
    <n v="35"/>
    <n v="11"/>
    <m/>
    <m/>
    <n v="343.99999999999994"/>
    <m/>
    <m/>
    <m/>
    <n v="0"/>
    <m/>
    <m/>
    <m/>
    <n v="0"/>
    <m/>
    <m/>
    <m/>
    <m/>
    <n v="0"/>
    <m/>
    <m/>
    <m/>
    <n v="0"/>
    <n v="1"/>
    <m/>
    <m/>
    <n v="1"/>
    <m/>
    <m/>
    <m/>
    <m/>
    <n v="0"/>
    <m/>
    <m/>
    <m/>
    <m/>
    <m/>
    <m/>
    <m/>
    <n v="0"/>
    <m/>
    <m/>
    <s v="20140724 DJohnson"/>
    <s v="20140725 LAckein"/>
    <s v="FW_Scan_20140724.pdf"/>
    <n v="0"/>
    <n v="0"/>
    <n v="0"/>
    <n v="0"/>
    <n v="0"/>
    <n v="0"/>
    <n v="0"/>
    <n v="0"/>
    <n v="0"/>
    <n v="0"/>
    <n v="0"/>
    <n v="0"/>
    <n v="0"/>
    <n v="1"/>
    <n v="0"/>
    <n v="0"/>
    <n v="0"/>
    <n v="0"/>
    <n v="0"/>
    <n v="0"/>
  </r>
  <r>
    <x v="48"/>
    <x v="2"/>
    <s v="eg,jb"/>
    <d v="1899-12-30T13:40:00"/>
    <d v="1899-12-30T19:59:00"/>
    <n v="38"/>
    <n v="12"/>
    <m/>
    <m/>
    <n v="379.00000000000011"/>
    <m/>
    <m/>
    <m/>
    <n v="0"/>
    <m/>
    <m/>
    <m/>
    <n v="0"/>
    <n v="1"/>
    <m/>
    <m/>
    <m/>
    <n v="1"/>
    <m/>
    <m/>
    <m/>
    <n v="0"/>
    <m/>
    <n v="2"/>
    <m/>
    <n v="2"/>
    <m/>
    <m/>
    <m/>
    <m/>
    <n v="0"/>
    <m/>
    <m/>
    <m/>
    <m/>
    <m/>
    <m/>
    <m/>
    <n v="0"/>
    <s v="generator running from 1345-1426 to pump water out of pontoon compartments."/>
    <m/>
    <s v="20140724 JBerry"/>
    <s v="20140725 LAckein"/>
    <s v="FW_Scan_20140724.pdf"/>
    <n v="0"/>
    <n v="0"/>
    <n v="0"/>
    <n v="0"/>
    <n v="0"/>
    <n v="0"/>
    <n v="1"/>
    <n v="0"/>
    <n v="0"/>
    <n v="0"/>
    <n v="0"/>
    <n v="0"/>
    <n v="0"/>
    <n v="0"/>
    <n v="2"/>
    <n v="0"/>
    <n v="0"/>
    <n v="0"/>
    <n v="0"/>
    <n v="0"/>
  </r>
  <r>
    <x v="48"/>
    <x v="1"/>
    <s v="jb,eg"/>
    <d v="1899-12-30T07:55:00"/>
    <d v="1899-12-30T10:46:00"/>
    <n v="54"/>
    <n v="12"/>
    <m/>
    <m/>
    <n v="171.00000000000003"/>
    <m/>
    <m/>
    <m/>
    <n v="0"/>
    <n v="1"/>
    <m/>
    <m/>
    <n v="1"/>
    <m/>
    <m/>
    <m/>
    <m/>
    <n v="0"/>
    <n v="2"/>
    <n v="12"/>
    <m/>
    <n v="14"/>
    <n v="2"/>
    <m/>
    <m/>
    <n v="2"/>
    <m/>
    <m/>
    <m/>
    <m/>
    <n v="0"/>
    <m/>
    <m/>
    <m/>
    <m/>
    <m/>
    <m/>
    <m/>
    <n v="0"/>
    <s v="fishing 3 in off bottom"/>
    <m/>
    <s v="20140724 JBerry"/>
    <s v="20140725 LAckein"/>
    <s v="FW_Scan_20140724.pdf"/>
    <n v="0"/>
    <n v="0"/>
    <n v="0"/>
    <n v="1"/>
    <n v="0"/>
    <n v="0"/>
    <n v="0"/>
    <n v="0"/>
    <n v="0"/>
    <n v="0"/>
    <n v="2"/>
    <n v="12"/>
    <n v="0"/>
    <n v="2"/>
    <n v="0"/>
    <n v="0"/>
    <n v="0"/>
    <n v="0"/>
    <n v="0"/>
    <n v="0"/>
  </r>
  <r>
    <x v="48"/>
    <x v="1"/>
    <s v="hr,la "/>
    <d v="1899-12-30T10:46:00"/>
    <d v="1899-12-30T16:53:00"/>
    <n v="49"/>
    <n v="11"/>
    <m/>
    <m/>
    <n v="366.99999999999994"/>
    <m/>
    <m/>
    <m/>
    <n v="0"/>
    <m/>
    <m/>
    <m/>
    <n v="0"/>
    <n v="1"/>
    <m/>
    <m/>
    <m/>
    <n v="1"/>
    <m/>
    <n v="36"/>
    <n v="1"/>
    <n v="37"/>
    <n v="2"/>
    <m/>
    <m/>
    <n v="2"/>
    <m/>
    <m/>
    <m/>
    <m/>
    <n v="0"/>
    <m/>
    <m/>
    <n v="1"/>
    <m/>
    <m/>
    <m/>
    <m/>
    <n v="1"/>
    <m/>
    <m/>
    <s v="20140724 LAckein"/>
    <s v="20140725 LAckein"/>
    <s v="FW_Scan_20140724.pdf"/>
    <n v="0"/>
    <n v="0"/>
    <n v="0"/>
    <n v="0"/>
    <n v="0"/>
    <n v="0"/>
    <n v="1"/>
    <n v="0"/>
    <n v="0"/>
    <n v="0"/>
    <n v="0"/>
    <n v="36"/>
    <n v="1"/>
    <n v="2"/>
    <n v="0"/>
    <n v="0"/>
    <n v="0"/>
    <n v="0"/>
    <n v="0"/>
    <n v="0"/>
  </r>
  <r>
    <x v="48"/>
    <x v="1"/>
    <s v="nc,dj"/>
    <d v="1899-12-30T16:53:00"/>
    <d v="1899-12-30T20:00:00"/>
    <n v="53"/>
    <n v="11"/>
    <m/>
    <m/>
    <n v="187.00000000000014"/>
    <m/>
    <m/>
    <m/>
    <n v="0"/>
    <n v="1"/>
    <m/>
    <m/>
    <n v="1"/>
    <n v="1"/>
    <m/>
    <m/>
    <m/>
    <n v="1"/>
    <m/>
    <n v="35"/>
    <m/>
    <n v="35"/>
    <m/>
    <n v="5"/>
    <m/>
    <n v="5"/>
    <m/>
    <m/>
    <m/>
    <m/>
    <n v="0"/>
    <m/>
    <m/>
    <n v="1"/>
    <m/>
    <m/>
    <m/>
    <m/>
    <n v="1"/>
    <m/>
    <m/>
    <s v="20140724 DJohnson"/>
    <s v="20140725 LAckein"/>
    <s v="FW_Scan_20140724.pdf"/>
    <n v="0"/>
    <n v="0"/>
    <n v="0"/>
    <n v="1"/>
    <n v="0"/>
    <n v="0"/>
    <n v="1"/>
    <n v="0"/>
    <n v="0"/>
    <n v="0"/>
    <n v="0"/>
    <n v="35"/>
    <n v="0"/>
    <n v="0"/>
    <n v="5"/>
    <n v="0"/>
    <n v="0"/>
    <n v="0"/>
    <n v="0"/>
    <n v="0"/>
  </r>
  <r>
    <x v="49"/>
    <x v="0"/>
    <s v="jb,dj"/>
    <d v="1899-12-30T08:05:00"/>
    <d v="1899-12-30T13:44:00"/>
    <n v="50"/>
    <n v="8"/>
    <m/>
    <m/>
    <n v="338.99999999999989"/>
    <n v="1"/>
    <m/>
    <m/>
    <n v="1"/>
    <m/>
    <m/>
    <m/>
    <n v="0"/>
    <m/>
    <m/>
    <m/>
    <m/>
    <n v="0"/>
    <n v="2"/>
    <n v="86"/>
    <m/>
    <n v="88"/>
    <m/>
    <m/>
    <m/>
    <n v="0"/>
    <m/>
    <m/>
    <m/>
    <m/>
    <n v="0"/>
    <m/>
    <m/>
    <m/>
    <m/>
    <m/>
    <m/>
    <m/>
    <n v="0"/>
    <m/>
    <m/>
    <s v="20140725 JBerry"/>
    <s v="20140726 LAckein"/>
    <s v="FW_Scan_20140725.pdf"/>
    <n v="1"/>
    <n v="0"/>
    <n v="0"/>
    <n v="0"/>
    <n v="0"/>
    <n v="0"/>
    <n v="0"/>
    <n v="0"/>
    <n v="0"/>
    <n v="0"/>
    <n v="2"/>
    <n v="86"/>
    <n v="0"/>
    <n v="0"/>
    <n v="0"/>
    <n v="0"/>
    <n v="0"/>
    <n v="0"/>
    <n v="0"/>
    <n v="0"/>
  </r>
  <r>
    <x v="49"/>
    <x v="0"/>
    <s v="eg,nc,as"/>
    <d v="1899-12-30T13:44:00"/>
    <d v="1899-12-30T20:43:00"/>
    <n v="49"/>
    <n v="9"/>
    <m/>
    <m/>
    <n v="418.99999999999994"/>
    <m/>
    <m/>
    <m/>
    <n v="0"/>
    <m/>
    <m/>
    <m/>
    <n v="0"/>
    <n v="1"/>
    <m/>
    <m/>
    <m/>
    <n v="1"/>
    <m/>
    <n v="47"/>
    <m/>
    <n v="47"/>
    <m/>
    <n v="1"/>
    <m/>
    <n v="1"/>
    <m/>
    <m/>
    <m/>
    <m/>
    <n v="0"/>
    <m/>
    <m/>
    <m/>
    <m/>
    <m/>
    <m/>
    <m/>
    <n v="0"/>
    <m/>
    <m/>
    <s v="20140725 AStephens"/>
    <s v="20140726 LAckein"/>
    <s v="FW_Scan_20140725.pdf"/>
    <n v="0"/>
    <n v="0"/>
    <n v="0"/>
    <n v="0"/>
    <n v="0"/>
    <n v="0"/>
    <n v="1"/>
    <n v="0"/>
    <n v="0"/>
    <n v="0"/>
    <n v="0"/>
    <n v="47"/>
    <n v="0"/>
    <n v="0"/>
    <n v="1"/>
    <n v="0"/>
    <n v="0"/>
    <n v="0"/>
    <n v="0"/>
    <n v="0"/>
  </r>
  <r>
    <x v="49"/>
    <x v="2"/>
    <s v="jb,dj"/>
    <d v="1899-12-30T07:56:00"/>
    <d v="1899-12-30T13:50:00"/>
    <n v="34"/>
    <n v="10"/>
    <m/>
    <m/>
    <n v="344.00000000000011"/>
    <m/>
    <m/>
    <m/>
    <n v="0"/>
    <m/>
    <m/>
    <m/>
    <n v="0"/>
    <m/>
    <m/>
    <m/>
    <m/>
    <n v="0"/>
    <m/>
    <m/>
    <m/>
    <n v="0"/>
    <n v="2"/>
    <m/>
    <m/>
    <n v="2"/>
    <m/>
    <m/>
    <m/>
    <m/>
    <n v="0"/>
    <m/>
    <m/>
    <m/>
    <m/>
    <m/>
    <m/>
    <m/>
    <n v="0"/>
    <s v="wheel stopped 12:10-12:20 for slide repair.  Generator running to pump water from port-side float 12:25-12:35."/>
    <m/>
    <s v="20140725 DJohnson"/>
    <s v="20140726 LAckein"/>
    <s v="FW_Scan_20140725.pdf"/>
    <n v="0"/>
    <n v="0"/>
    <n v="0"/>
    <n v="0"/>
    <n v="0"/>
    <n v="0"/>
    <n v="0"/>
    <n v="0"/>
    <n v="0"/>
    <n v="0"/>
    <n v="0"/>
    <n v="0"/>
    <n v="0"/>
    <n v="2"/>
    <n v="0"/>
    <n v="0"/>
    <n v="0"/>
    <n v="0"/>
    <n v="0"/>
    <n v="0"/>
  </r>
  <r>
    <x v="49"/>
    <x v="2"/>
    <s v="nc,eg,as, jk"/>
    <d v="1899-12-30T13:50:00"/>
    <d v="1899-12-30T20:15:00"/>
    <n v="34"/>
    <n v="11"/>
    <m/>
    <m/>
    <n v="376.99999999999989"/>
    <m/>
    <m/>
    <m/>
    <n v="0"/>
    <m/>
    <m/>
    <m/>
    <n v="0"/>
    <n v="1"/>
    <m/>
    <m/>
    <m/>
    <n v="1"/>
    <m/>
    <n v="2"/>
    <m/>
    <n v="2"/>
    <n v="3"/>
    <m/>
    <m/>
    <n v="3"/>
    <m/>
    <m/>
    <m/>
    <m/>
    <n v="0"/>
    <m/>
    <m/>
    <m/>
    <m/>
    <m/>
    <m/>
    <m/>
    <n v="0"/>
    <s v="stopped wheel 15:15-15:23 for slide repair to put yoga mats over splintered wood.  Moved wheel inshore about 2 ft."/>
    <s v="QB/JK helped tag 1 CM while we were moving the wheel."/>
    <s v="20140725 AStephens"/>
    <s v="20140726 LAckein"/>
    <s v="FW_Scan_20140725.pdf"/>
    <n v="0"/>
    <n v="0"/>
    <n v="0"/>
    <n v="0"/>
    <n v="0"/>
    <n v="0"/>
    <n v="1"/>
    <n v="0"/>
    <n v="0"/>
    <n v="0"/>
    <n v="0"/>
    <n v="2"/>
    <n v="0"/>
    <n v="3"/>
    <n v="0"/>
    <n v="0"/>
    <n v="0"/>
    <n v="0"/>
    <n v="0"/>
    <n v="0"/>
  </r>
  <r>
    <x v="49"/>
    <x v="1"/>
    <s v="nc,eg"/>
    <d v="1899-12-30T08:01:00"/>
    <d v="1899-12-30T10:45:00"/>
    <n v="52"/>
    <n v="10"/>
    <m/>
    <m/>
    <n v="163.99999999999997"/>
    <m/>
    <m/>
    <m/>
    <n v="0"/>
    <m/>
    <m/>
    <m/>
    <n v="0"/>
    <m/>
    <m/>
    <m/>
    <m/>
    <n v="0"/>
    <n v="3"/>
    <n v="25"/>
    <m/>
    <n v="28"/>
    <n v="1"/>
    <m/>
    <m/>
    <n v="1"/>
    <m/>
    <m/>
    <m/>
    <m/>
    <n v="0"/>
    <m/>
    <m/>
    <m/>
    <m/>
    <m/>
    <m/>
    <m/>
    <n v="0"/>
    <m/>
    <m/>
    <s v="20140725 EGora"/>
    <s v="20140726 LAckein"/>
    <s v="FW_Scan_20140725.pdf"/>
    <n v="0"/>
    <n v="0"/>
    <n v="0"/>
    <n v="0"/>
    <n v="0"/>
    <n v="0"/>
    <n v="0"/>
    <n v="0"/>
    <n v="0"/>
    <n v="0"/>
    <n v="3"/>
    <n v="25"/>
    <n v="0"/>
    <n v="1"/>
    <n v="0"/>
    <n v="0"/>
    <n v="0"/>
    <n v="0"/>
    <n v="0"/>
    <n v="0"/>
  </r>
  <r>
    <x v="49"/>
    <x v="1"/>
    <s v="hr,la"/>
    <d v="1899-12-30T10:45:00"/>
    <d v="1899-12-30T16:52:00"/>
    <n v="48"/>
    <n v="10"/>
    <m/>
    <m/>
    <n v="367"/>
    <m/>
    <m/>
    <m/>
    <n v="0"/>
    <m/>
    <m/>
    <m/>
    <n v="0"/>
    <m/>
    <m/>
    <m/>
    <m/>
    <n v="0"/>
    <m/>
    <n v="140"/>
    <m/>
    <n v="140"/>
    <n v="1"/>
    <m/>
    <m/>
    <n v="1"/>
    <m/>
    <m/>
    <m/>
    <m/>
    <n v="0"/>
    <m/>
    <m/>
    <m/>
    <m/>
    <m/>
    <m/>
    <m/>
    <n v="0"/>
    <m/>
    <m/>
    <s v="20140725 LAckein"/>
    <s v="20140726 LAckein"/>
    <s v="FW_Scan_20140725.pdf"/>
    <n v="0"/>
    <n v="0"/>
    <n v="0"/>
    <n v="0"/>
    <n v="0"/>
    <n v="0"/>
    <n v="0"/>
    <n v="0"/>
    <n v="0"/>
    <n v="0"/>
    <n v="0"/>
    <n v="140"/>
    <n v="0"/>
    <n v="1"/>
    <n v="0"/>
    <n v="0"/>
    <n v="0"/>
    <n v="0"/>
    <n v="0"/>
    <n v="0"/>
  </r>
  <r>
    <x v="49"/>
    <x v="1"/>
    <s v="qb,jk"/>
    <d v="1899-12-30T16:52:00"/>
    <d v="1899-12-30T20:01:00"/>
    <n v="51"/>
    <n v="10"/>
    <m/>
    <m/>
    <n v="188.9999999999998"/>
    <n v="1"/>
    <m/>
    <m/>
    <n v="1"/>
    <m/>
    <m/>
    <m/>
    <n v="0"/>
    <m/>
    <m/>
    <m/>
    <m/>
    <n v="0"/>
    <m/>
    <n v="77"/>
    <m/>
    <n v="77"/>
    <m/>
    <n v="1"/>
    <m/>
    <n v="1"/>
    <m/>
    <m/>
    <m/>
    <m/>
    <n v="0"/>
    <m/>
    <m/>
    <m/>
    <m/>
    <m/>
    <m/>
    <m/>
    <n v="0"/>
    <m/>
    <m/>
    <s v="20140725 JKunzler"/>
    <s v="20140726 LAckein"/>
    <s v="FW_Scan_20140725.pdf"/>
    <n v="1"/>
    <n v="0"/>
    <n v="0"/>
    <n v="0"/>
    <n v="0"/>
    <n v="0"/>
    <n v="0"/>
    <n v="0"/>
    <n v="0"/>
    <n v="0"/>
    <n v="0"/>
    <n v="77"/>
    <n v="0"/>
    <n v="0"/>
    <n v="1"/>
    <n v="0"/>
    <n v="0"/>
    <n v="0"/>
    <n v="0"/>
    <n v="0"/>
  </r>
  <r>
    <x v="50"/>
    <x v="0"/>
    <s v="hr,qb"/>
    <d v="1899-12-30T08:25:00"/>
    <d v="1899-12-30T10:40:00"/>
    <n v="45"/>
    <n v="7"/>
    <m/>
    <m/>
    <n v="135"/>
    <m/>
    <m/>
    <m/>
    <n v="0"/>
    <m/>
    <m/>
    <m/>
    <n v="0"/>
    <m/>
    <m/>
    <m/>
    <m/>
    <n v="0"/>
    <n v="4"/>
    <m/>
    <m/>
    <n v="4"/>
    <m/>
    <m/>
    <m/>
    <n v="0"/>
    <m/>
    <m/>
    <m/>
    <m/>
    <n v="0"/>
    <m/>
    <m/>
    <m/>
    <m/>
    <m/>
    <m/>
    <m/>
    <n v="0"/>
    <m/>
    <m/>
    <s v="20140726 QBerger"/>
    <s v="20140727 AStephens"/>
    <s v="FW_Scan_20140726.pdf"/>
    <n v="0"/>
    <n v="0"/>
    <n v="0"/>
    <n v="0"/>
    <n v="0"/>
    <n v="0"/>
    <n v="0"/>
    <n v="0"/>
    <n v="0"/>
    <n v="0"/>
    <n v="4"/>
    <n v="0"/>
    <n v="0"/>
    <n v="0"/>
    <n v="0"/>
    <n v="0"/>
    <n v="0"/>
    <n v="0"/>
    <n v="0"/>
    <n v="0"/>
  </r>
  <r>
    <x v="50"/>
    <x v="0"/>
    <s v="la, cz"/>
    <d v="1899-12-30T10:40:00"/>
    <d v="1899-12-30T17:12:00"/>
    <n v="37"/>
    <n v="8"/>
    <m/>
    <m/>
    <n v="392.00000000000006"/>
    <m/>
    <m/>
    <m/>
    <n v="0"/>
    <m/>
    <m/>
    <m/>
    <n v="0"/>
    <m/>
    <m/>
    <m/>
    <m/>
    <n v="0"/>
    <n v="1"/>
    <n v="29"/>
    <m/>
    <n v="30"/>
    <n v="2"/>
    <m/>
    <m/>
    <n v="2"/>
    <m/>
    <m/>
    <m/>
    <m/>
    <n v="0"/>
    <m/>
    <m/>
    <m/>
    <m/>
    <m/>
    <m/>
    <m/>
    <n v="0"/>
    <s v="Moved FW1 in ~2ft, fishing baskets 1&quot; off deck @ 1150"/>
    <m/>
    <s v="20140726 LAckein"/>
    <s v="20140727 AStephens"/>
    <s v="FW_Scan_20140726.pdf"/>
    <n v="0"/>
    <n v="0"/>
    <n v="0"/>
    <n v="0"/>
    <n v="0"/>
    <n v="0"/>
    <n v="0"/>
    <n v="0"/>
    <n v="0"/>
    <n v="0"/>
    <n v="1"/>
    <n v="29"/>
    <n v="0"/>
    <n v="2"/>
    <n v="0"/>
    <n v="0"/>
    <n v="0"/>
    <n v="0"/>
    <n v="0"/>
    <n v="0"/>
  </r>
  <r>
    <x v="50"/>
    <x v="0"/>
    <s v="nc, jk"/>
    <d v="1899-12-30T17:12:00"/>
    <d v="1899-12-30T20:29:00"/>
    <n v="42"/>
    <n v="8"/>
    <m/>
    <m/>
    <n v="197.00000000000011"/>
    <m/>
    <m/>
    <m/>
    <n v="0"/>
    <m/>
    <m/>
    <m/>
    <n v="0"/>
    <m/>
    <m/>
    <m/>
    <m/>
    <n v="0"/>
    <m/>
    <n v="11"/>
    <m/>
    <n v="11"/>
    <n v="1"/>
    <m/>
    <m/>
    <n v="1"/>
    <m/>
    <m/>
    <m/>
    <m/>
    <n v="0"/>
    <m/>
    <m/>
    <m/>
    <m/>
    <m/>
    <m/>
    <m/>
    <n v="0"/>
    <m/>
    <m/>
    <s v="20140726JKunzler"/>
    <s v="20140727 AStephens"/>
    <s v="FW_Scan_20140726.pdf"/>
    <n v="0"/>
    <n v="0"/>
    <n v="0"/>
    <n v="0"/>
    <n v="0"/>
    <n v="0"/>
    <n v="0"/>
    <n v="0"/>
    <n v="0"/>
    <n v="0"/>
    <n v="0"/>
    <n v="11"/>
    <n v="0"/>
    <n v="1"/>
    <n v="0"/>
    <n v="0"/>
    <n v="0"/>
    <n v="0"/>
    <n v="0"/>
    <n v="0"/>
  </r>
  <r>
    <x v="50"/>
    <x v="2"/>
    <s v="hr, qb"/>
    <d v="1899-12-30T08:19:00"/>
    <d v="1899-12-30T10:50:00"/>
    <n v="35"/>
    <n v="9"/>
    <m/>
    <m/>
    <n v="151.00000000000003"/>
    <m/>
    <m/>
    <m/>
    <n v="0"/>
    <m/>
    <m/>
    <m/>
    <n v="0"/>
    <m/>
    <m/>
    <m/>
    <m/>
    <n v="0"/>
    <m/>
    <m/>
    <m/>
    <n v="0"/>
    <n v="1"/>
    <m/>
    <m/>
    <n v="1"/>
    <m/>
    <m/>
    <m/>
    <m/>
    <n v="0"/>
    <m/>
    <m/>
    <m/>
    <m/>
    <m/>
    <m/>
    <m/>
    <n v="0"/>
    <s v="0945 Moved front spart pole out a tad. 10:46 lowered baskets a few inches"/>
    <m/>
    <s v="20140726 HReider"/>
    <s v="20140727 AStephens"/>
    <s v="FW_Scan_20140726.pdf"/>
    <n v="0"/>
    <n v="0"/>
    <n v="0"/>
    <n v="0"/>
    <n v="0"/>
    <n v="0"/>
    <n v="0"/>
    <n v="0"/>
    <n v="0"/>
    <n v="0"/>
    <n v="0"/>
    <n v="0"/>
    <n v="0"/>
    <n v="1"/>
    <n v="0"/>
    <n v="0"/>
    <n v="0"/>
    <n v="0"/>
    <n v="0"/>
    <n v="0"/>
  </r>
  <r>
    <x v="50"/>
    <x v="2"/>
    <s v="la, cz"/>
    <d v="1899-12-30T10:50:00"/>
    <d v="1899-12-30T16:57:00"/>
    <n v="33"/>
    <n v="11"/>
    <m/>
    <m/>
    <n v="366.99999999999994"/>
    <m/>
    <m/>
    <m/>
    <n v="0"/>
    <m/>
    <m/>
    <m/>
    <n v="0"/>
    <n v="2"/>
    <m/>
    <m/>
    <m/>
    <n v="2"/>
    <m/>
    <m/>
    <m/>
    <n v="0"/>
    <m/>
    <m/>
    <m/>
    <n v="0"/>
    <m/>
    <m/>
    <m/>
    <m/>
    <n v="0"/>
    <n v="2"/>
    <m/>
    <m/>
    <m/>
    <m/>
    <m/>
    <m/>
    <n v="2"/>
    <s v="Cleaned lead net @ 1550"/>
    <m/>
    <s v="20140726 CZiolkowski"/>
    <s v="20140727 AStephens"/>
    <s v="FW_Scan_20140726.pdf"/>
    <n v="0"/>
    <n v="0"/>
    <n v="0"/>
    <n v="0"/>
    <n v="0"/>
    <n v="0"/>
    <n v="2"/>
    <n v="0"/>
    <n v="0"/>
    <n v="0"/>
    <n v="0"/>
    <n v="0"/>
    <n v="0"/>
    <n v="0"/>
    <n v="0"/>
    <n v="0"/>
    <n v="0"/>
    <n v="0"/>
    <n v="0"/>
    <n v="0"/>
  </r>
  <r>
    <x v="50"/>
    <x v="2"/>
    <s v="jk, nc"/>
    <d v="1899-12-30T16:57:00"/>
    <d v="1899-12-30T20:18:00"/>
    <n v="33"/>
    <n v="12"/>
    <m/>
    <m/>
    <n v="201.00000000000009"/>
    <m/>
    <m/>
    <m/>
    <n v="0"/>
    <m/>
    <m/>
    <m/>
    <n v="0"/>
    <m/>
    <m/>
    <m/>
    <m/>
    <n v="0"/>
    <n v="2"/>
    <n v="2"/>
    <m/>
    <n v="4"/>
    <m/>
    <n v="1"/>
    <m/>
    <n v="1"/>
    <m/>
    <m/>
    <m/>
    <m/>
    <n v="0"/>
    <m/>
    <m/>
    <m/>
    <m/>
    <m/>
    <m/>
    <m/>
    <n v="0"/>
    <m/>
    <m/>
    <s v="20140726 JKunzler"/>
    <s v="20140727 AStephens"/>
    <s v="FW_Scan_20140726.pdf"/>
    <n v="0"/>
    <n v="0"/>
    <n v="0"/>
    <n v="0"/>
    <n v="0"/>
    <n v="0"/>
    <n v="0"/>
    <n v="0"/>
    <n v="0"/>
    <n v="0"/>
    <n v="2"/>
    <n v="2"/>
    <n v="0"/>
    <n v="0"/>
    <n v="1"/>
    <n v="0"/>
    <n v="0"/>
    <n v="0"/>
    <n v="0"/>
    <n v="0"/>
  </r>
  <r>
    <x v="50"/>
    <x v="1"/>
    <s v="nc, jk"/>
    <d v="1899-12-30T08:18:00"/>
    <d v="1899-12-30T13:55:00"/>
    <n v="48"/>
    <n v="9"/>
    <m/>
    <m/>
    <n v="336.99999999999983"/>
    <m/>
    <m/>
    <m/>
    <n v="0"/>
    <m/>
    <m/>
    <m/>
    <n v="0"/>
    <m/>
    <m/>
    <m/>
    <m/>
    <n v="0"/>
    <n v="5"/>
    <n v="133"/>
    <m/>
    <n v="138"/>
    <n v="1"/>
    <m/>
    <m/>
    <n v="1"/>
    <m/>
    <m/>
    <m/>
    <m/>
    <n v="0"/>
    <n v="1"/>
    <m/>
    <m/>
    <m/>
    <m/>
    <m/>
    <m/>
    <n v="1"/>
    <s v="5 pk radio tag"/>
    <m/>
    <s v="20140726 NCollin"/>
    <s v="20140727 AStephens"/>
    <s v="FW_Scan_20140726.pdf"/>
    <n v="0"/>
    <n v="0"/>
    <n v="0"/>
    <n v="0"/>
    <n v="0"/>
    <n v="0"/>
    <n v="0"/>
    <n v="0"/>
    <n v="0"/>
    <n v="0"/>
    <n v="5"/>
    <n v="133"/>
    <n v="0"/>
    <n v="1"/>
    <n v="0"/>
    <n v="0"/>
    <n v="0"/>
    <n v="0"/>
    <n v="0"/>
    <n v="0"/>
  </r>
  <r>
    <x v="50"/>
    <x v="1"/>
    <s v="hr, qb"/>
    <d v="1899-12-30T13:55:00"/>
    <d v="1899-12-30T20:55:00"/>
    <n v="46"/>
    <n v="10"/>
    <m/>
    <m/>
    <n v="420.00000000000011"/>
    <m/>
    <m/>
    <n v="1"/>
    <n v="1"/>
    <m/>
    <m/>
    <m/>
    <n v="0"/>
    <n v="2"/>
    <m/>
    <m/>
    <m/>
    <n v="2"/>
    <n v="3"/>
    <n v="101"/>
    <m/>
    <n v="104"/>
    <n v="1"/>
    <m/>
    <m/>
    <n v="1"/>
    <m/>
    <m/>
    <m/>
    <m/>
    <n v="0"/>
    <m/>
    <m/>
    <m/>
    <m/>
    <m/>
    <m/>
    <m/>
    <n v="0"/>
    <m/>
    <m/>
    <s v="20140726 HReider"/>
    <s v="20140727 AStephens"/>
    <s v="FW_Scan_20140726.pdf"/>
    <n v="0"/>
    <n v="0"/>
    <n v="1"/>
    <n v="0"/>
    <n v="0"/>
    <n v="0"/>
    <n v="2"/>
    <n v="0"/>
    <n v="0"/>
    <n v="0"/>
    <n v="3"/>
    <n v="101"/>
    <n v="0"/>
    <n v="1"/>
    <n v="0"/>
    <n v="0"/>
    <n v="0"/>
    <n v="0"/>
    <n v="0"/>
    <n v="0"/>
  </r>
  <r>
    <x v="51"/>
    <x v="0"/>
    <s v="hr,qb"/>
    <d v="1899-12-30T07:59:00"/>
    <d v="1899-12-30T11:05:00"/>
    <n v="46"/>
    <n v="8"/>
    <m/>
    <n v="78.099999999999994"/>
    <n v="186.00000000000006"/>
    <m/>
    <m/>
    <m/>
    <n v="0"/>
    <m/>
    <m/>
    <m/>
    <n v="0"/>
    <m/>
    <m/>
    <m/>
    <m/>
    <n v="0"/>
    <n v="3"/>
    <n v="11"/>
    <m/>
    <n v="14"/>
    <m/>
    <m/>
    <m/>
    <n v="0"/>
    <m/>
    <m/>
    <m/>
    <m/>
    <n v="0"/>
    <m/>
    <m/>
    <m/>
    <m/>
    <m/>
    <m/>
    <m/>
    <n v="0"/>
    <m/>
    <s v="need to biosample 2 more pinks"/>
    <s v="20140727 QBeger"/>
    <s v="20140728 JImrie"/>
    <s v="FW_Scan_20140727.pdf"/>
    <n v="0"/>
    <n v="0"/>
    <n v="0"/>
    <n v="0"/>
    <n v="0"/>
    <n v="0"/>
    <n v="0"/>
    <n v="0"/>
    <n v="0"/>
    <n v="0"/>
    <n v="3"/>
    <n v="11"/>
    <n v="0"/>
    <n v="0"/>
    <n v="0"/>
    <n v="0"/>
    <n v="0"/>
    <n v="0"/>
    <n v="0"/>
    <n v="0"/>
  </r>
  <r>
    <x v="51"/>
    <x v="0"/>
    <s v="la,cz"/>
    <d v="1899-12-30T11:05:00"/>
    <d v="1899-12-30T16:50:00"/>
    <n v="48"/>
    <n v="8"/>
    <m/>
    <m/>
    <n v="344.99999999999989"/>
    <m/>
    <m/>
    <m/>
    <n v="0"/>
    <m/>
    <m/>
    <m/>
    <n v="0"/>
    <m/>
    <m/>
    <m/>
    <m/>
    <n v="0"/>
    <m/>
    <n v="39"/>
    <m/>
    <n v="39"/>
    <n v="1"/>
    <n v="1"/>
    <m/>
    <n v="2"/>
    <m/>
    <m/>
    <m/>
    <m/>
    <n v="0"/>
    <m/>
    <m/>
    <m/>
    <m/>
    <m/>
    <m/>
    <m/>
    <n v="0"/>
    <m/>
    <m/>
    <s v="20140727 LAckein"/>
    <s v="20140728 JImrie"/>
    <s v="FW_Scan_20140727.pdf"/>
    <n v="0"/>
    <n v="0"/>
    <n v="0"/>
    <n v="0"/>
    <n v="0"/>
    <n v="0"/>
    <n v="0"/>
    <n v="0"/>
    <n v="0"/>
    <n v="0"/>
    <n v="0"/>
    <n v="39"/>
    <n v="0"/>
    <n v="1"/>
    <n v="1"/>
    <n v="0"/>
    <n v="0"/>
    <n v="0"/>
    <n v="0"/>
    <n v="0"/>
  </r>
  <r>
    <x v="51"/>
    <x v="0"/>
    <s v="jk,nc"/>
    <d v="1899-12-30T16:50:00"/>
    <d v="1899-12-30T20:16:00"/>
    <n v="46"/>
    <n v="10"/>
    <m/>
    <m/>
    <n v="206.00000000000006"/>
    <m/>
    <m/>
    <m/>
    <n v="0"/>
    <n v="1"/>
    <m/>
    <m/>
    <n v="1"/>
    <m/>
    <m/>
    <m/>
    <m/>
    <n v="0"/>
    <m/>
    <n v="48"/>
    <m/>
    <n v="48"/>
    <m/>
    <n v="1"/>
    <m/>
    <n v="1"/>
    <m/>
    <m/>
    <m/>
    <m/>
    <n v="0"/>
    <m/>
    <m/>
    <m/>
    <m/>
    <m/>
    <m/>
    <m/>
    <n v="0"/>
    <m/>
    <m/>
    <s v="20140727 NCollin"/>
    <s v="20140728 JImrie"/>
    <s v="FW_Scan_20140727.pdf"/>
    <n v="0"/>
    <n v="0"/>
    <n v="0"/>
    <n v="1"/>
    <n v="0"/>
    <n v="0"/>
    <n v="0"/>
    <n v="0"/>
    <n v="0"/>
    <n v="0"/>
    <n v="0"/>
    <n v="48"/>
    <n v="0"/>
    <n v="0"/>
    <n v="1"/>
    <n v="0"/>
    <n v="0"/>
    <n v="0"/>
    <n v="0"/>
    <n v="0"/>
  </r>
  <r>
    <x v="51"/>
    <x v="2"/>
    <s v="hr,qb"/>
    <d v="1899-12-30T07:50:00"/>
    <d v="1899-12-30T10:52:00"/>
    <n v="32"/>
    <n v="9"/>
    <m/>
    <m/>
    <n v="182"/>
    <m/>
    <m/>
    <m/>
    <n v="0"/>
    <m/>
    <m/>
    <m/>
    <n v="0"/>
    <n v="1"/>
    <m/>
    <m/>
    <m/>
    <n v="1"/>
    <m/>
    <m/>
    <m/>
    <n v="0"/>
    <n v="2"/>
    <m/>
    <m/>
    <n v="2"/>
    <n v="1"/>
    <m/>
    <m/>
    <m/>
    <n v="1"/>
    <m/>
    <m/>
    <m/>
    <m/>
    <m/>
    <m/>
    <m/>
    <n v="0"/>
    <m/>
    <s v="pontoon slightly low, goes slightly under if standing on it"/>
    <s v="20140727 HReider"/>
    <s v="20140728 JImrie"/>
    <s v="FW_Scan_20140727.pdf"/>
    <n v="0"/>
    <n v="0"/>
    <n v="0"/>
    <n v="0"/>
    <n v="0"/>
    <n v="0"/>
    <n v="1"/>
    <n v="0"/>
    <n v="0"/>
    <n v="0"/>
    <n v="0"/>
    <n v="0"/>
    <n v="0"/>
    <n v="2"/>
    <n v="0"/>
    <n v="0"/>
    <n v="1"/>
    <n v="0"/>
    <n v="0"/>
    <n v="0"/>
  </r>
  <r>
    <x v="51"/>
    <x v="2"/>
    <s v="la,cz"/>
    <d v="1899-12-30T10:52:00"/>
    <d v="1899-12-30T16:39:00"/>
    <n v="32"/>
    <n v="11"/>
    <m/>
    <m/>
    <n v="347"/>
    <m/>
    <m/>
    <m/>
    <n v="0"/>
    <m/>
    <m/>
    <m/>
    <n v="0"/>
    <n v="4"/>
    <m/>
    <m/>
    <m/>
    <n v="4"/>
    <n v="1"/>
    <m/>
    <m/>
    <n v="1"/>
    <m/>
    <m/>
    <m/>
    <n v="0"/>
    <m/>
    <m/>
    <m/>
    <m/>
    <n v="0"/>
    <m/>
    <m/>
    <m/>
    <m/>
    <m/>
    <m/>
    <m/>
    <n v="0"/>
    <s v="moved FW out ~ 1 ft @ 1445.  stabilized rear spar pole"/>
    <m/>
    <s v="20140727 LAckein"/>
    <s v="20140728 JImrie"/>
    <s v="FW_Scan_20140727.pdf"/>
    <n v="0"/>
    <n v="0"/>
    <n v="0"/>
    <n v="0"/>
    <n v="0"/>
    <n v="0"/>
    <n v="4"/>
    <n v="0"/>
    <n v="0"/>
    <n v="0"/>
    <n v="1"/>
    <n v="0"/>
    <n v="0"/>
    <n v="0"/>
    <n v="0"/>
    <n v="0"/>
    <n v="0"/>
    <n v="0"/>
    <n v="0"/>
    <n v="0"/>
  </r>
  <r>
    <x v="51"/>
    <x v="2"/>
    <s v="nc,jk"/>
    <d v="1899-12-30T16:39:00"/>
    <d v="1899-12-30T19:51:00"/>
    <n v="30"/>
    <n v="12"/>
    <m/>
    <m/>
    <n v="192.00000000000011"/>
    <m/>
    <m/>
    <m/>
    <n v="0"/>
    <m/>
    <m/>
    <m/>
    <n v="0"/>
    <n v="1"/>
    <m/>
    <m/>
    <m/>
    <n v="1"/>
    <n v="1"/>
    <m/>
    <m/>
    <n v="1"/>
    <m/>
    <n v="1"/>
    <m/>
    <n v="1"/>
    <m/>
    <m/>
    <m/>
    <m/>
    <n v="0"/>
    <m/>
    <m/>
    <m/>
    <m/>
    <m/>
    <m/>
    <m/>
    <n v="0"/>
    <m/>
    <m/>
    <s v="20140727 JKunzler"/>
    <s v="20140728 JImrie"/>
    <s v="FW_Scan_20140727.pdf"/>
    <n v="0"/>
    <n v="0"/>
    <n v="0"/>
    <n v="0"/>
    <n v="0"/>
    <n v="0"/>
    <n v="1"/>
    <n v="0"/>
    <n v="0"/>
    <n v="0"/>
    <n v="1"/>
    <n v="0"/>
    <n v="0"/>
    <n v="0"/>
    <n v="1"/>
    <n v="0"/>
    <n v="0"/>
    <n v="0"/>
    <n v="0"/>
    <n v="0"/>
  </r>
  <r>
    <x v="51"/>
    <x v="1"/>
    <s v="jk,nc"/>
    <d v="1899-12-30T07:56:00"/>
    <d v="1899-12-30T13:54:00"/>
    <n v="49"/>
    <n v="9"/>
    <m/>
    <m/>
    <n v="358.00000000000011"/>
    <m/>
    <m/>
    <m/>
    <n v="0"/>
    <m/>
    <m/>
    <m/>
    <n v="0"/>
    <n v="2"/>
    <m/>
    <m/>
    <m/>
    <n v="2"/>
    <n v="5"/>
    <n v="56"/>
    <m/>
    <n v="61"/>
    <m/>
    <m/>
    <m/>
    <n v="0"/>
    <m/>
    <m/>
    <m/>
    <m/>
    <n v="0"/>
    <m/>
    <m/>
    <m/>
    <m/>
    <m/>
    <m/>
    <m/>
    <n v="0"/>
    <m/>
    <m/>
    <s v="20140727 NCollin"/>
    <s v="20140728 JImrie"/>
    <s v="FW_Scan_20140727.pdf"/>
    <n v="0"/>
    <n v="0"/>
    <n v="0"/>
    <n v="0"/>
    <n v="0"/>
    <n v="0"/>
    <n v="2"/>
    <n v="0"/>
    <n v="0"/>
    <n v="0"/>
    <n v="5"/>
    <n v="56"/>
    <n v="0"/>
    <n v="0"/>
    <n v="0"/>
    <n v="0"/>
    <n v="0"/>
    <n v="0"/>
    <n v="0"/>
    <n v="0"/>
  </r>
  <r>
    <x v="51"/>
    <x v="1"/>
    <s v="hr,qb"/>
    <d v="1899-12-30T13:54:00"/>
    <d v="1899-12-30T19:57:00"/>
    <n v="49"/>
    <n v="11"/>
    <m/>
    <m/>
    <n v="362.99999999999983"/>
    <m/>
    <m/>
    <m/>
    <n v="0"/>
    <m/>
    <m/>
    <m/>
    <n v="0"/>
    <n v="1"/>
    <m/>
    <m/>
    <m/>
    <n v="1"/>
    <m/>
    <n v="85"/>
    <m/>
    <n v="85"/>
    <m/>
    <n v="3"/>
    <m/>
    <n v="3"/>
    <m/>
    <m/>
    <m/>
    <m/>
    <n v="0"/>
    <m/>
    <m/>
    <m/>
    <m/>
    <m/>
    <m/>
    <m/>
    <n v="0"/>
    <m/>
    <m/>
    <s v="20140727 QBeger"/>
    <s v="20140728 JImrie"/>
    <s v="FW_Scan_20140727.pdf"/>
    <n v="0"/>
    <n v="0"/>
    <n v="0"/>
    <n v="0"/>
    <n v="0"/>
    <n v="0"/>
    <n v="1"/>
    <n v="0"/>
    <n v="0"/>
    <n v="0"/>
    <n v="0"/>
    <n v="85"/>
    <n v="0"/>
    <n v="0"/>
    <n v="3"/>
    <n v="0"/>
    <n v="0"/>
    <n v="0"/>
    <n v="0"/>
    <n v="0"/>
  </r>
  <r>
    <x v="52"/>
    <x v="0"/>
    <s v="la,nc"/>
    <d v="1899-12-30T07:57:00"/>
    <d v="1899-12-30T13:54:00"/>
    <n v="54"/>
    <n v="8"/>
    <m/>
    <m/>
    <n v="357.00000000000006"/>
    <m/>
    <m/>
    <m/>
    <n v="0"/>
    <m/>
    <m/>
    <m/>
    <n v="0"/>
    <n v="1"/>
    <m/>
    <m/>
    <m/>
    <n v="1"/>
    <n v="3"/>
    <n v="92"/>
    <m/>
    <n v="95"/>
    <n v="2"/>
    <n v="1"/>
    <m/>
    <n v="3"/>
    <m/>
    <m/>
    <m/>
    <m/>
    <n v="0"/>
    <m/>
    <m/>
    <m/>
    <m/>
    <m/>
    <m/>
    <m/>
    <n v="0"/>
    <s v="moved FW out ~3 ft @ 1235 (was fishing ~ 4-5&quot; off deck, fishing on deck after move"/>
    <s v="1 pk released was bleeding from gills"/>
    <s v="20140728 LAckein"/>
    <s v="20140729 JImrie"/>
    <s v="FW_Scan_20140728.pdf"/>
    <n v="0"/>
    <n v="0"/>
    <n v="0"/>
    <n v="0"/>
    <n v="0"/>
    <n v="0"/>
    <n v="1"/>
    <n v="0"/>
    <n v="0"/>
    <n v="0"/>
    <n v="3"/>
    <n v="92"/>
    <n v="0"/>
    <n v="2"/>
    <n v="1"/>
    <n v="0"/>
    <n v="0"/>
    <n v="0"/>
    <n v="0"/>
    <n v="0"/>
  </r>
  <r>
    <x v="52"/>
    <x v="0"/>
    <s v="qb,jk"/>
    <d v="1899-12-30T13:54:00"/>
    <d v="1899-12-30T20:18:00"/>
    <n v="51"/>
    <n v="9"/>
    <m/>
    <m/>
    <n v="383.99999999999989"/>
    <n v="1"/>
    <m/>
    <m/>
    <n v="1"/>
    <m/>
    <m/>
    <m/>
    <n v="0"/>
    <n v="2"/>
    <m/>
    <m/>
    <m/>
    <n v="2"/>
    <m/>
    <n v="132"/>
    <m/>
    <n v="132"/>
    <m/>
    <n v="1"/>
    <m/>
    <n v="1"/>
    <m/>
    <m/>
    <m/>
    <m/>
    <n v="0"/>
    <m/>
    <m/>
    <m/>
    <m/>
    <m/>
    <m/>
    <m/>
    <n v="0"/>
    <m/>
    <m/>
    <s v="20140728 JKunzler"/>
    <s v="20140729 JImrie"/>
    <s v="FW_Scan_20140728.pdf"/>
    <n v="1"/>
    <n v="0"/>
    <n v="0"/>
    <n v="0"/>
    <n v="0"/>
    <n v="0"/>
    <n v="2"/>
    <n v="0"/>
    <n v="0"/>
    <n v="0"/>
    <n v="0"/>
    <n v="132"/>
    <n v="0"/>
    <n v="0"/>
    <n v="1"/>
    <n v="0"/>
    <n v="0"/>
    <n v="0"/>
    <n v="0"/>
    <n v="0"/>
  </r>
  <r>
    <x v="52"/>
    <x v="2"/>
    <s v="nc,la"/>
    <d v="1899-12-30T08:04:00"/>
    <d v="1899-12-30T13:25:00"/>
    <n v="33"/>
    <n v="11"/>
    <m/>
    <m/>
    <n v="321.00000000000011"/>
    <m/>
    <m/>
    <m/>
    <n v="0"/>
    <m/>
    <m/>
    <m/>
    <n v="0"/>
    <n v="1"/>
    <m/>
    <m/>
    <m/>
    <n v="1"/>
    <n v="2"/>
    <n v="1"/>
    <m/>
    <n v="3"/>
    <n v="1"/>
    <m/>
    <m/>
    <n v="1"/>
    <m/>
    <m/>
    <m/>
    <m/>
    <n v="0"/>
    <m/>
    <m/>
    <m/>
    <m/>
    <m/>
    <m/>
    <m/>
    <n v="0"/>
    <s v="moved FW out ~2ft @ 1150, still fishing ~3&quot; off deck"/>
    <m/>
    <s v="20140728 LAckein"/>
    <s v="20140729 JImrie"/>
    <s v="FW_Scan_20140728.pdf"/>
    <n v="0"/>
    <n v="0"/>
    <n v="0"/>
    <n v="0"/>
    <n v="0"/>
    <n v="0"/>
    <n v="1"/>
    <n v="0"/>
    <n v="0"/>
    <n v="0"/>
    <n v="2"/>
    <n v="1"/>
    <n v="0"/>
    <n v="1"/>
    <n v="0"/>
    <n v="0"/>
    <n v="0"/>
    <n v="0"/>
    <n v="0"/>
    <n v="0"/>
  </r>
  <r>
    <x v="52"/>
    <x v="2"/>
    <s v="qb,jk"/>
    <d v="1899-12-30T13:25:00"/>
    <d v="1899-12-30T20:05:00"/>
    <n v="33"/>
    <n v="12"/>
    <m/>
    <m/>
    <n v="399.99999999999989"/>
    <m/>
    <m/>
    <m/>
    <n v="0"/>
    <m/>
    <m/>
    <m/>
    <n v="0"/>
    <n v="4"/>
    <m/>
    <m/>
    <m/>
    <n v="4"/>
    <m/>
    <n v="1"/>
    <m/>
    <n v="1"/>
    <m/>
    <n v="3"/>
    <m/>
    <n v="3"/>
    <m/>
    <m/>
    <m/>
    <m/>
    <n v="0"/>
    <m/>
    <m/>
    <m/>
    <m/>
    <m/>
    <m/>
    <m/>
    <n v="0"/>
    <m/>
    <m/>
    <s v="20140728 JKunzler"/>
    <s v="20140729 JImrie"/>
    <s v="FW_Scan_20140728.pdf"/>
    <n v="0"/>
    <n v="0"/>
    <n v="0"/>
    <n v="0"/>
    <n v="0"/>
    <n v="0"/>
    <n v="4"/>
    <n v="0"/>
    <n v="0"/>
    <n v="0"/>
    <n v="0"/>
    <n v="1"/>
    <n v="0"/>
    <n v="0"/>
    <n v="3"/>
    <n v="0"/>
    <n v="0"/>
    <n v="0"/>
    <n v="0"/>
    <n v="0"/>
  </r>
  <r>
    <x v="52"/>
    <x v="1"/>
    <s v="qb,jk"/>
    <d v="1899-12-30T08:00:00"/>
    <d v="1899-12-30T10:57:00"/>
    <n v="54"/>
    <n v="10"/>
    <m/>
    <m/>
    <n v="177"/>
    <m/>
    <m/>
    <m/>
    <n v="0"/>
    <m/>
    <m/>
    <m/>
    <n v="0"/>
    <n v="2"/>
    <m/>
    <m/>
    <m/>
    <n v="2"/>
    <n v="3"/>
    <n v="13"/>
    <m/>
    <n v="16"/>
    <m/>
    <m/>
    <m/>
    <n v="0"/>
    <m/>
    <m/>
    <m/>
    <m/>
    <n v="0"/>
    <m/>
    <m/>
    <m/>
    <m/>
    <m/>
    <m/>
    <m/>
    <n v="0"/>
    <s v="3 revs @ 0:54"/>
    <m/>
    <s v="20140728 QBerger"/>
    <s v="20140729 JImrie"/>
    <s v="FW_Scan_20140728.pdf"/>
    <n v="0"/>
    <n v="0"/>
    <n v="0"/>
    <n v="0"/>
    <n v="0"/>
    <n v="0"/>
    <n v="2"/>
    <n v="0"/>
    <n v="0"/>
    <n v="0"/>
    <n v="3"/>
    <n v="13"/>
    <n v="0"/>
    <n v="0"/>
    <n v="0"/>
    <n v="0"/>
    <n v="0"/>
    <n v="0"/>
    <n v="0"/>
    <n v="0"/>
  </r>
  <r>
    <x v="52"/>
    <x v="1"/>
    <s v="cz,hr,ji"/>
    <d v="1899-12-30T10:57:00"/>
    <d v="1899-12-30T17:00:00"/>
    <n v="52"/>
    <n v="10"/>
    <m/>
    <m/>
    <n v="363.00000000000006"/>
    <m/>
    <m/>
    <m/>
    <n v="0"/>
    <m/>
    <m/>
    <m/>
    <n v="0"/>
    <n v="3"/>
    <m/>
    <m/>
    <m/>
    <n v="3"/>
    <m/>
    <n v="156"/>
    <m/>
    <n v="156"/>
    <m/>
    <m/>
    <m/>
    <n v="0"/>
    <m/>
    <m/>
    <m/>
    <m/>
    <n v="0"/>
    <n v="1"/>
    <n v="1"/>
    <m/>
    <m/>
    <m/>
    <m/>
    <m/>
    <n v="2"/>
    <m/>
    <s v="hw lost in transfer to trough"/>
    <s v="20140728 HReider"/>
    <s v="20140729 JImrie"/>
    <s v="FW_Scan_20140728.pdf"/>
    <n v="0"/>
    <n v="0"/>
    <n v="0"/>
    <n v="0"/>
    <n v="0"/>
    <n v="0"/>
    <n v="3"/>
    <n v="0"/>
    <n v="0"/>
    <n v="0"/>
    <n v="0"/>
    <n v="156"/>
    <n v="0"/>
    <n v="0"/>
    <n v="0"/>
    <n v="0"/>
    <n v="0"/>
    <n v="0"/>
    <n v="0"/>
    <n v="0"/>
  </r>
  <r>
    <x v="52"/>
    <x v="1"/>
    <s v="la,nc"/>
    <d v="1899-12-30T17:00:00"/>
    <d v="1899-12-30T20:02:00"/>
    <n v="54"/>
    <n v="10"/>
    <m/>
    <m/>
    <n v="182"/>
    <m/>
    <m/>
    <m/>
    <n v="0"/>
    <n v="1"/>
    <m/>
    <m/>
    <n v="1"/>
    <m/>
    <m/>
    <m/>
    <m/>
    <n v="0"/>
    <m/>
    <n v="86"/>
    <m/>
    <n v="86"/>
    <m/>
    <m/>
    <m/>
    <n v="0"/>
    <m/>
    <m/>
    <m/>
    <m/>
    <n v="0"/>
    <m/>
    <m/>
    <m/>
    <m/>
    <m/>
    <m/>
    <m/>
    <n v="0"/>
    <m/>
    <m/>
    <s v="2014728 LAckein"/>
    <s v="20140729 JImrie"/>
    <s v="FW_Scan_20140728.pdf"/>
    <n v="0"/>
    <n v="0"/>
    <n v="0"/>
    <n v="1"/>
    <n v="0"/>
    <n v="0"/>
    <n v="0"/>
    <n v="0"/>
    <n v="0"/>
    <n v="0"/>
    <n v="0"/>
    <n v="86"/>
    <n v="0"/>
    <n v="0"/>
    <n v="0"/>
    <n v="0"/>
    <n v="0"/>
    <n v="0"/>
    <n v="0"/>
    <n v="0"/>
  </r>
  <r>
    <x v="53"/>
    <x v="0"/>
    <s v="nc,la"/>
    <d v="1899-12-30T08:02:00"/>
    <d v="1899-12-30T13:56:00"/>
    <n v="55"/>
    <n v="7"/>
    <m/>
    <m/>
    <n v="354.00000000000011"/>
    <m/>
    <m/>
    <m/>
    <n v="0"/>
    <m/>
    <m/>
    <m/>
    <n v="0"/>
    <m/>
    <m/>
    <m/>
    <m/>
    <n v="0"/>
    <n v="1"/>
    <n v="172"/>
    <m/>
    <n v="173"/>
    <m/>
    <n v="1"/>
    <m/>
    <n v="1"/>
    <m/>
    <m/>
    <m/>
    <m/>
    <n v="0"/>
    <m/>
    <m/>
    <m/>
    <m/>
    <m/>
    <m/>
    <m/>
    <n v="0"/>
    <m/>
    <m/>
    <s v="20140729 NCollin"/>
    <s v="20140730 JImrie"/>
    <s v="FW_Scan_20140729.pdf"/>
    <n v="0"/>
    <n v="0"/>
    <n v="0"/>
    <n v="0"/>
    <n v="0"/>
    <n v="0"/>
    <n v="0"/>
    <n v="0"/>
    <n v="0"/>
    <n v="0"/>
    <n v="1"/>
    <n v="172"/>
    <n v="0"/>
    <n v="0"/>
    <n v="1"/>
    <n v="0"/>
    <n v="0"/>
    <n v="0"/>
    <n v="0"/>
    <n v="0"/>
  </r>
  <r>
    <x v="53"/>
    <x v="0"/>
    <s v="qb,jk"/>
    <d v="1899-12-30T13:56:00"/>
    <d v="1899-12-30T20:04:00"/>
    <n v="54"/>
    <n v="11"/>
    <m/>
    <m/>
    <n v="368"/>
    <m/>
    <m/>
    <m/>
    <n v="0"/>
    <m/>
    <m/>
    <m/>
    <n v="0"/>
    <n v="2"/>
    <m/>
    <m/>
    <m/>
    <n v="2"/>
    <m/>
    <n v="176"/>
    <m/>
    <n v="176"/>
    <m/>
    <n v="9"/>
    <m/>
    <n v="9"/>
    <n v="1"/>
    <m/>
    <m/>
    <m/>
    <n v="1"/>
    <m/>
    <m/>
    <m/>
    <m/>
    <m/>
    <m/>
    <m/>
    <n v="0"/>
    <m/>
    <m/>
    <s v="20140729 JKunzler"/>
    <s v="20140730 JImrie"/>
    <s v="FW_Scan_20140729.pdf"/>
    <n v="0"/>
    <n v="0"/>
    <n v="0"/>
    <n v="0"/>
    <n v="0"/>
    <n v="0"/>
    <n v="2"/>
    <n v="0"/>
    <n v="0"/>
    <n v="0"/>
    <n v="0"/>
    <n v="176"/>
    <n v="0"/>
    <n v="0"/>
    <n v="9"/>
    <n v="0"/>
    <n v="1"/>
    <n v="0"/>
    <n v="0"/>
    <n v="0"/>
  </r>
  <r>
    <x v="53"/>
    <x v="2"/>
    <s v="la,nc"/>
    <d v="1899-12-30T08:34:00"/>
    <d v="1899-12-30T13:34:00"/>
    <n v="37"/>
    <n v="9"/>
    <m/>
    <m/>
    <n v="293"/>
    <m/>
    <m/>
    <m/>
    <n v="0"/>
    <m/>
    <m/>
    <m/>
    <n v="0"/>
    <n v="3"/>
    <m/>
    <m/>
    <m/>
    <n v="3"/>
    <n v="1"/>
    <n v="1"/>
    <m/>
    <n v="2"/>
    <n v="1"/>
    <n v="1"/>
    <m/>
    <n v="2"/>
    <m/>
    <m/>
    <m/>
    <m/>
    <n v="0"/>
    <m/>
    <m/>
    <m/>
    <m/>
    <m/>
    <m/>
    <m/>
    <n v="0"/>
    <s v="FW stopped 1247-1254 to remove bar w/broken bolt"/>
    <m/>
    <s v="20140729 LAckein"/>
    <s v="20140730 JImrie"/>
    <s v="FW_Scan_20140729.pdf"/>
    <n v="0"/>
    <n v="0"/>
    <n v="0"/>
    <n v="0"/>
    <n v="0"/>
    <n v="0"/>
    <n v="3"/>
    <n v="0"/>
    <n v="0"/>
    <n v="0"/>
    <n v="1"/>
    <n v="1"/>
    <n v="0"/>
    <n v="1"/>
    <n v="1"/>
    <n v="0"/>
    <n v="0"/>
    <n v="0"/>
    <n v="0"/>
    <n v="0"/>
  </r>
  <r>
    <x v="53"/>
    <x v="2"/>
    <s v="qb,jk"/>
    <d v="1899-12-30T13:34:00"/>
    <d v="1899-12-30T20:34:00"/>
    <n v="36"/>
    <n v="12"/>
    <m/>
    <m/>
    <n v="419.99999999999994"/>
    <m/>
    <m/>
    <m/>
    <n v="0"/>
    <m/>
    <m/>
    <m/>
    <n v="0"/>
    <n v="1"/>
    <m/>
    <m/>
    <m/>
    <n v="1"/>
    <m/>
    <n v="3"/>
    <m/>
    <n v="3"/>
    <m/>
    <n v="2"/>
    <m/>
    <n v="2"/>
    <m/>
    <m/>
    <m/>
    <m/>
    <n v="0"/>
    <m/>
    <m/>
    <n v="1"/>
    <m/>
    <m/>
    <m/>
    <m/>
    <n v="1"/>
    <s v="pumped out water from port pontoon, generator started at 14:25, end 14:46. stopped wheel at 20:34 to replace missing bar."/>
    <m/>
    <s v="20140729 JKunzler"/>
    <s v="20140730 JImrie"/>
    <s v="FW_Scan_20140729.pdf"/>
    <n v="0"/>
    <n v="0"/>
    <n v="0"/>
    <n v="0"/>
    <n v="0"/>
    <n v="0"/>
    <n v="1"/>
    <n v="0"/>
    <n v="0"/>
    <n v="0"/>
    <n v="0"/>
    <n v="3"/>
    <n v="0"/>
    <n v="0"/>
    <n v="2"/>
    <n v="0"/>
    <n v="0"/>
    <n v="0"/>
    <n v="0"/>
    <n v="0"/>
  </r>
  <r>
    <x v="53"/>
    <x v="1"/>
    <s v="qb,jk"/>
    <d v="1899-12-30T08:02:00"/>
    <d v="1899-12-30T10:48:00"/>
    <n v="57"/>
    <n v="8"/>
    <m/>
    <m/>
    <n v="166.00000000000006"/>
    <m/>
    <m/>
    <m/>
    <n v="0"/>
    <m/>
    <m/>
    <m/>
    <n v="0"/>
    <m/>
    <m/>
    <m/>
    <m/>
    <n v="0"/>
    <n v="3"/>
    <n v="79"/>
    <m/>
    <n v="82"/>
    <m/>
    <m/>
    <m/>
    <n v="0"/>
    <n v="1"/>
    <m/>
    <m/>
    <m/>
    <n v="1"/>
    <m/>
    <m/>
    <m/>
    <m/>
    <m/>
    <m/>
    <m/>
    <n v="0"/>
    <s v="wheel hitting when lowered to deck, raised port side 4-5&quot;, not hitting"/>
    <m/>
    <s v="20140729 QBerger"/>
    <s v="20140730 JImrie"/>
    <s v="FW_Scan_20140729.pdf"/>
    <n v="0"/>
    <n v="0"/>
    <n v="0"/>
    <n v="0"/>
    <n v="0"/>
    <n v="0"/>
    <n v="0"/>
    <n v="0"/>
    <n v="0"/>
    <n v="0"/>
    <n v="3"/>
    <n v="79"/>
    <n v="0"/>
    <n v="0"/>
    <n v="0"/>
    <n v="0"/>
    <n v="1"/>
    <n v="0"/>
    <n v="0"/>
    <n v="0"/>
  </r>
  <r>
    <x v="53"/>
    <x v="1"/>
    <s v="ji,cz,hr"/>
    <d v="1899-12-30T10:48:00"/>
    <d v="1899-12-30T17:02:00"/>
    <n v="55"/>
    <n v="11"/>
    <m/>
    <m/>
    <n v="374.00000000000006"/>
    <m/>
    <m/>
    <m/>
    <n v="0"/>
    <m/>
    <m/>
    <m/>
    <n v="0"/>
    <n v="1"/>
    <m/>
    <m/>
    <m/>
    <n v="1"/>
    <m/>
    <n v="327"/>
    <m/>
    <n v="327"/>
    <n v="2"/>
    <n v="5"/>
    <m/>
    <n v="7"/>
    <n v="1"/>
    <m/>
    <m/>
    <m/>
    <n v="1"/>
    <m/>
    <m/>
    <m/>
    <m/>
    <m/>
    <m/>
    <m/>
    <n v="0"/>
    <m/>
    <s v="recovered 2 tags from live tanks 151.784 65 and 151.364 31"/>
    <s v="20140729 Hreider"/>
    <s v="20140730 JImrie"/>
    <s v="FW_Scan_20140729.pdf"/>
    <n v="0"/>
    <n v="0"/>
    <n v="0"/>
    <n v="0"/>
    <n v="0"/>
    <n v="0"/>
    <n v="1"/>
    <n v="0"/>
    <n v="0"/>
    <n v="0"/>
    <n v="0"/>
    <n v="327"/>
    <n v="0"/>
    <n v="2"/>
    <n v="5"/>
    <n v="0"/>
    <n v="1"/>
    <n v="0"/>
    <n v="0"/>
    <n v="0"/>
  </r>
  <r>
    <x v="53"/>
    <x v="1"/>
    <s v="la,nc"/>
    <d v="1899-12-30T17:02:00"/>
    <d v="1899-12-30T20:03:00"/>
    <n v="58"/>
    <n v="11"/>
    <m/>
    <m/>
    <n v="181"/>
    <m/>
    <m/>
    <m/>
    <n v="0"/>
    <m/>
    <m/>
    <m/>
    <n v="0"/>
    <n v="1"/>
    <m/>
    <m/>
    <m/>
    <n v="1"/>
    <m/>
    <n v="216"/>
    <m/>
    <n v="216"/>
    <m/>
    <n v="3"/>
    <m/>
    <n v="3"/>
    <n v="1"/>
    <m/>
    <m/>
    <m/>
    <n v="1"/>
    <m/>
    <m/>
    <m/>
    <m/>
    <m/>
    <m/>
    <m/>
    <n v="0"/>
    <m/>
    <m/>
    <s v="20140729 LAckein"/>
    <s v="20140730 JImrie"/>
    <s v="FW_Scan_20140729.pdf"/>
    <n v="0"/>
    <n v="0"/>
    <n v="0"/>
    <n v="0"/>
    <n v="0"/>
    <n v="0"/>
    <n v="1"/>
    <n v="0"/>
    <n v="0"/>
    <n v="0"/>
    <n v="0"/>
    <n v="216"/>
    <n v="0"/>
    <n v="0"/>
    <n v="3"/>
    <n v="0"/>
    <n v="1"/>
    <n v="0"/>
    <n v="0"/>
    <n v="0"/>
  </r>
  <r>
    <x v="54"/>
    <x v="0"/>
    <s v="jk,cz"/>
    <d v="1899-12-30T07:56:00"/>
    <d v="1899-12-30T13:00:00"/>
    <n v="54"/>
    <n v="9"/>
    <m/>
    <m/>
    <n v="304"/>
    <m/>
    <m/>
    <m/>
    <n v="0"/>
    <m/>
    <m/>
    <m/>
    <n v="0"/>
    <m/>
    <m/>
    <m/>
    <m/>
    <n v="0"/>
    <n v="3"/>
    <n v="58"/>
    <m/>
    <n v="61"/>
    <n v="1"/>
    <m/>
    <m/>
    <n v="1"/>
    <m/>
    <m/>
    <m/>
    <m/>
    <n v="0"/>
    <m/>
    <m/>
    <m/>
    <m/>
    <m/>
    <m/>
    <m/>
    <n v="0"/>
    <s v="13:00 raised baskets to move FW in.  Started again @ 1410"/>
    <m/>
    <s v="20140730 JKunzler"/>
    <s v="20140801 LAckein"/>
    <s v="FW_Scan_20140730.pdf"/>
    <n v="0"/>
    <n v="0"/>
    <n v="0"/>
    <n v="0"/>
    <n v="0"/>
    <n v="0"/>
    <n v="0"/>
    <n v="0"/>
    <n v="0"/>
    <n v="0"/>
    <n v="3"/>
    <n v="58"/>
    <n v="0"/>
    <n v="1"/>
    <n v="0"/>
    <n v="0"/>
    <n v="0"/>
    <n v="0"/>
    <n v="0"/>
    <n v="0"/>
  </r>
  <r>
    <x v="54"/>
    <x v="0"/>
    <s v="qb,nc"/>
    <d v="1899-12-30T14:10:00"/>
    <d v="1899-12-30T20:06:00"/>
    <n v="52"/>
    <n v="12"/>
    <m/>
    <m/>
    <n v="356"/>
    <m/>
    <m/>
    <m/>
    <n v="0"/>
    <m/>
    <m/>
    <m/>
    <n v="0"/>
    <n v="1"/>
    <m/>
    <m/>
    <m/>
    <n v="1"/>
    <m/>
    <n v="59"/>
    <m/>
    <n v="59"/>
    <n v="2"/>
    <n v="1"/>
    <m/>
    <n v="3"/>
    <m/>
    <m/>
    <m/>
    <m/>
    <n v="0"/>
    <m/>
    <m/>
    <m/>
    <m/>
    <m/>
    <m/>
    <m/>
    <n v="0"/>
    <s v="Adjusted lower spar pole and tightened lead net (16:30-17:20)"/>
    <m/>
    <s v="20140730 NCollin"/>
    <s v="20140801 LAckein"/>
    <s v="FW_Scan_20140730.pdf"/>
    <n v="0"/>
    <n v="0"/>
    <n v="0"/>
    <n v="0"/>
    <n v="0"/>
    <n v="0"/>
    <n v="1"/>
    <n v="0"/>
    <n v="0"/>
    <n v="0"/>
    <n v="0"/>
    <n v="59"/>
    <n v="0"/>
    <n v="2"/>
    <n v="1"/>
    <n v="0"/>
    <n v="0"/>
    <n v="0"/>
    <n v="0"/>
    <n v="0"/>
  </r>
  <r>
    <x v="54"/>
    <x v="2"/>
    <s v="jk,cz"/>
    <d v="1899-12-30T08:04:00"/>
    <d v="1899-12-30T14:00:00"/>
    <n v="44"/>
    <n v="9"/>
    <m/>
    <m/>
    <n v="356.00000000000011"/>
    <m/>
    <m/>
    <m/>
    <n v="0"/>
    <m/>
    <m/>
    <m/>
    <n v="0"/>
    <n v="1"/>
    <m/>
    <m/>
    <m/>
    <n v="1"/>
    <n v="2"/>
    <m/>
    <m/>
    <n v="2"/>
    <m/>
    <m/>
    <m/>
    <n v="0"/>
    <m/>
    <m/>
    <m/>
    <m/>
    <n v="0"/>
    <m/>
    <m/>
    <m/>
    <m/>
    <m/>
    <m/>
    <m/>
    <n v="0"/>
    <m/>
    <m/>
    <s v="20140730 JKunzler"/>
    <s v="20140801 LAckein"/>
    <s v="FW_Scan_20140730.pdf"/>
    <n v="0"/>
    <n v="0"/>
    <n v="0"/>
    <n v="0"/>
    <n v="0"/>
    <n v="0"/>
    <n v="1"/>
    <n v="0"/>
    <n v="0"/>
    <n v="0"/>
    <n v="2"/>
    <n v="0"/>
    <n v="0"/>
    <n v="0"/>
    <n v="0"/>
    <n v="0"/>
    <n v="0"/>
    <n v="0"/>
    <n v="0"/>
    <n v="0"/>
  </r>
  <r>
    <x v="54"/>
    <x v="2"/>
    <s v="nc,qb"/>
    <d v="1899-12-30T14:00:00"/>
    <d v="1899-12-30T19:58:00"/>
    <n v="36"/>
    <n v="14"/>
    <m/>
    <m/>
    <n v="357.99999999999983"/>
    <m/>
    <m/>
    <m/>
    <n v="0"/>
    <m/>
    <m/>
    <m/>
    <n v="0"/>
    <n v="2"/>
    <m/>
    <m/>
    <m/>
    <n v="2"/>
    <m/>
    <m/>
    <m/>
    <n v="0"/>
    <m/>
    <n v="2"/>
    <m/>
    <n v="2"/>
    <m/>
    <m/>
    <m/>
    <m/>
    <n v="0"/>
    <m/>
    <m/>
    <m/>
    <m/>
    <m/>
    <m/>
    <m/>
    <n v="0"/>
    <m/>
    <m/>
    <s v="20140730 NCollin"/>
    <s v="20140801 LAckein"/>
    <s v="FW_Scan_20140730.pdf"/>
    <n v="0"/>
    <n v="0"/>
    <n v="0"/>
    <n v="0"/>
    <n v="0"/>
    <n v="0"/>
    <n v="2"/>
    <n v="0"/>
    <n v="0"/>
    <n v="0"/>
    <n v="0"/>
    <n v="0"/>
    <n v="0"/>
    <n v="0"/>
    <n v="2"/>
    <n v="0"/>
    <n v="0"/>
    <n v="0"/>
    <n v="0"/>
    <n v="0"/>
  </r>
  <r>
    <x v="54"/>
    <x v="1"/>
    <s v="qb,nc"/>
    <d v="1899-12-30T07:55:00"/>
    <d v="1899-12-30T10:50:00"/>
    <n v="58"/>
    <n v="11"/>
    <m/>
    <m/>
    <n v="175.00000000000003"/>
    <m/>
    <m/>
    <m/>
    <n v="0"/>
    <m/>
    <m/>
    <m/>
    <n v="0"/>
    <m/>
    <m/>
    <m/>
    <m/>
    <n v="0"/>
    <n v="6"/>
    <n v="42"/>
    <m/>
    <n v="48"/>
    <n v="1"/>
    <m/>
    <m/>
    <n v="1"/>
    <n v="1"/>
    <m/>
    <m/>
    <m/>
    <n v="1"/>
    <m/>
    <m/>
    <m/>
    <m/>
    <m/>
    <m/>
    <m/>
    <n v="0"/>
    <s v="portside raised up 6-8&quot;"/>
    <m/>
    <s v="20140730 QBerger"/>
    <s v="20140801 LAckein"/>
    <s v="FW_Scan_20140730.pdf"/>
    <n v="0"/>
    <n v="0"/>
    <n v="0"/>
    <n v="0"/>
    <n v="0"/>
    <n v="0"/>
    <n v="0"/>
    <n v="0"/>
    <n v="0"/>
    <n v="0"/>
    <n v="6"/>
    <n v="42"/>
    <n v="0"/>
    <n v="1"/>
    <n v="0"/>
    <n v="0"/>
    <n v="1"/>
    <n v="0"/>
    <n v="0"/>
    <n v="0"/>
  </r>
  <r>
    <x v="54"/>
    <x v="1"/>
    <s v="la,hr"/>
    <d v="1899-12-30T10:50:00"/>
    <d v="1899-12-30T17:01:00"/>
    <n v="56"/>
    <n v="12"/>
    <m/>
    <m/>
    <n v="370.99999999999989"/>
    <m/>
    <m/>
    <m/>
    <n v="0"/>
    <m/>
    <m/>
    <m/>
    <n v="0"/>
    <n v="1"/>
    <m/>
    <m/>
    <m/>
    <n v="1"/>
    <m/>
    <n v="218"/>
    <m/>
    <n v="218"/>
    <m/>
    <n v="3"/>
    <m/>
    <n v="3"/>
    <n v="1"/>
    <m/>
    <m/>
    <m/>
    <n v="1"/>
    <m/>
    <m/>
    <m/>
    <m/>
    <m/>
    <m/>
    <m/>
    <n v="0"/>
    <s v="12:30 moved FW out 2 ft, fishing on deck"/>
    <m/>
    <s v="20140730 LAckein"/>
    <s v="20140801 LAckein"/>
    <s v="FW_Scan_20140730.pdf"/>
    <n v="0"/>
    <n v="0"/>
    <n v="0"/>
    <n v="0"/>
    <n v="0"/>
    <n v="0"/>
    <n v="1"/>
    <n v="0"/>
    <n v="0"/>
    <n v="0"/>
    <n v="0"/>
    <n v="218"/>
    <n v="0"/>
    <n v="0"/>
    <n v="3"/>
    <n v="0"/>
    <n v="1"/>
    <n v="0"/>
    <n v="0"/>
    <n v="0"/>
  </r>
  <r>
    <x v="54"/>
    <x v="1"/>
    <s v="cz,jk"/>
    <d v="1899-12-30T17:01:00"/>
    <d v="1899-12-30T20:00:00"/>
    <n v="52"/>
    <n v="12"/>
    <m/>
    <m/>
    <n v="179.00000000000017"/>
    <m/>
    <m/>
    <m/>
    <n v="0"/>
    <m/>
    <m/>
    <m/>
    <n v="0"/>
    <m/>
    <m/>
    <m/>
    <m/>
    <n v="0"/>
    <m/>
    <n v="104"/>
    <m/>
    <n v="104"/>
    <m/>
    <n v="1"/>
    <m/>
    <n v="1"/>
    <m/>
    <m/>
    <m/>
    <m/>
    <n v="0"/>
    <m/>
    <m/>
    <m/>
    <m/>
    <m/>
    <m/>
    <m/>
    <n v="0"/>
    <m/>
    <m/>
    <s v="20140730 JKunzler"/>
    <s v="20140801 LAckein"/>
    <s v="FW_Scan_20140730.pdf"/>
    <n v="0"/>
    <n v="0"/>
    <n v="0"/>
    <n v="0"/>
    <n v="0"/>
    <n v="0"/>
    <n v="0"/>
    <n v="0"/>
    <n v="0"/>
    <n v="0"/>
    <n v="0"/>
    <n v="104"/>
    <n v="0"/>
    <n v="0"/>
    <n v="1"/>
    <n v="0"/>
    <n v="0"/>
    <n v="0"/>
    <n v="0"/>
    <n v="0"/>
  </r>
  <r>
    <x v="55"/>
    <x v="0"/>
    <s v="jk,nc"/>
    <d v="1899-12-30T08:07:00"/>
    <d v="1899-12-30T10:59:00"/>
    <n v="53"/>
    <n v="10.5"/>
    <m/>
    <m/>
    <n v="171.99999999999994"/>
    <m/>
    <m/>
    <m/>
    <n v="0"/>
    <m/>
    <m/>
    <m/>
    <n v="0"/>
    <m/>
    <m/>
    <m/>
    <m/>
    <n v="0"/>
    <n v="3"/>
    <n v="72"/>
    <m/>
    <n v="75"/>
    <n v="2"/>
    <n v="1"/>
    <m/>
    <n v="3"/>
    <n v="1"/>
    <m/>
    <m/>
    <m/>
    <n v="1"/>
    <m/>
    <m/>
    <m/>
    <m/>
    <m/>
    <m/>
    <m/>
    <n v="0"/>
    <m/>
    <m/>
    <s v="20140731 JKunzler"/>
    <s v="20140801 JImrie"/>
    <s v="FW_Scan_20140731.pdf"/>
    <n v="0"/>
    <n v="0"/>
    <n v="0"/>
    <n v="0"/>
    <n v="0"/>
    <n v="0"/>
    <n v="0"/>
    <n v="0"/>
    <n v="0"/>
    <n v="0"/>
    <n v="3"/>
    <n v="72"/>
    <n v="0"/>
    <n v="2"/>
    <n v="1"/>
    <n v="0"/>
    <n v="1"/>
    <n v="0"/>
    <n v="0"/>
    <n v="0"/>
  </r>
  <r>
    <x v="55"/>
    <x v="0"/>
    <s v="hr,ji,cz"/>
    <d v="1899-12-30T10:59:00"/>
    <d v="1899-12-30T17:04:00"/>
    <n v="53"/>
    <n v="12"/>
    <m/>
    <n v="59.6"/>
    <n v="365.00000000000006"/>
    <n v="1"/>
    <m/>
    <m/>
    <n v="1"/>
    <m/>
    <m/>
    <m/>
    <n v="0"/>
    <m/>
    <m/>
    <m/>
    <m/>
    <n v="0"/>
    <m/>
    <n v="150"/>
    <m/>
    <n v="150"/>
    <m/>
    <n v="6"/>
    <m/>
    <n v="6"/>
    <m/>
    <m/>
    <m/>
    <m/>
    <n v="0"/>
    <m/>
    <m/>
    <m/>
    <m/>
    <m/>
    <m/>
    <m/>
    <n v="0"/>
    <m/>
    <s v="CM jumped out of trough/ 1 CN smolt (172 mm) indentified as CN on biosample sheet"/>
    <s v="20140731 CZiolkowski"/>
    <s v="20140801 JImrie"/>
    <s v="FW_Scan_20140731.pdf"/>
    <n v="1"/>
    <n v="0"/>
    <n v="0"/>
    <n v="0"/>
    <n v="0"/>
    <n v="0"/>
    <n v="0"/>
    <n v="0"/>
    <n v="0"/>
    <n v="0"/>
    <n v="0"/>
    <n v="150"/>
    <n v="0"/>
    <n v="0"/>
    <n v="6"/>
    <n v="0"/>
    <n v="0"/>
    <n v="0"/>
    <n v="0"/>
    <n v="0"/>
  </r>
  <r>
    <x v="55"/>
    <x v="0"/>
    <s v="la,qb"/>
    <d v="1899-12-30T17:04:00"/>
    <d v="1899-12-30T20:08:00"/>
    <n v="49"/>
    <n v="12"/>
    <m/>
    <m/>
    <n v="184"/>
    <m/>
    <m/>
    <m/>
    <n v="0"/>
    <m/>
    <m/>
    <m/>
    <n v="0"/>
    <m/>
    <m/>
    <m/>
    <m/>
    <n v="0"/>
    <m/>
    <n v="22"/>
    <m/>
    <n v="22"/>
    <m/>
    <n v="2"/>
    <m/>
    <n v="2"/>
    <n v="1"/>
    <m/>
    <m/>
    <m/>
    <n v="1"/>
    <m/>
    <m/>
    <m/>
    <m/>
    <m/>
    <m/>
    <m/>
    <n v="0"/>
    <m/>
    <m/>
    <s v="20140731 LAckein"/>
    <s v="20140801 JImrie"/>
    <s v="FW_Scan_20140731.pdf"/>
    <n v="0"/>
    <n v="0"/>
    <n v="0"/>
    <n v="0"/>
    <n v="0"/>
    <n v="0"/>
    <n v="0"/>
    <n v="0"/>
    <n v="0"/>
    <n v="0"/>
    <n v="0"/>
    <n v="22"/>
    <n v="0"/>
    <n v="0"/>
    <n v="2"/>
    <n v="0"/>
    <n v="1"/>
    <n v="0"/>
    <n v="0"/>
    <n v="0"/>
  </r>
  <r>
    <x v="55"/>
    <x v="2"/>
    <s v="nc,jk"/>
    <d v="1899-12-30T07:57:00"/>
    <d v="1899-12-30T10:45:00"/>
    <n v="38"/>
    <n v="12"/>
    <m/>
    <m/>
    <n v="168.00000000000006"/>
    <m/>
    <m/>
    <m/>
    <n v="0"/>
    <m/>
    <m/>
    <m/>
    <n v="0"/>
    <n v="1"/>
    <m/>
    <m/>
    <m/>
    <n v="1"/>
    <m/>
    <n v="1"/>
    <m/>
    <n v="1"/>
    <m/>
    <m/>
    <m/>
    <n v="0"/>
    <m/>
    <m/>
    <m/>
    <m/>
    <n v="0"/>
    <m/>
    <m/>
    <m/>
    <m/>
    <m/>
    <m/>
    <m/>
    <n v="0"/>
    <m/>
    <s v="stop time 10:45"/>
    <s v="20140731 NCollin"/>
    <s v="20140801 JImrie"/>
    <s v="FW_Scan_20140731.pdf"/>
    <n v="0"/>
    <n v="0"/>
    <n v="0"/>
    <n v="0"/>
    <n v="0"/>
    <n v="0"/>
    <n v="1"/>
    <n v="0"/>
    <n v="0"/>
    <n v="0"/>
    <n v="0"/>
    <n v="1"/>
    <n v="0"/>
    <n v="0"/>
    <n v="0"/>
    <n v="0"/>
    <n v="0"/>
    <n v="0"/>
    <n v="0"/>
    <n v="0"/>
  </r>
  <r>
    <x v="55"/>
    <x v="2"/>
    <s v="hr,ji,cz"/>
    <d v="1899-12-30T10:45:00"/>
    <d v="1899-12-30T17:11:00"/>
    <n v="35"/>
    <n v="12"/>
    <m/>
    <m/>
    <n v="386"/>
    <m/>
    <m/>
    <m/>
    <n v="0"/>
    <m/>
    <m/>
    <m/>
    <n v="0"/>
    <n v="3"/>
    <m/>
    <m/>
    <m/>
    <n v="3"/>
    <m/>
    <n v="3"/>
    <m/>
    <n v="3"/>
    <m/>
    <m/>
    <m/>
    <n v="0"/>
    <m/>
    <m/>
    <m/>
    <m/>
    <n v="0"/>
    <m/>
    <m/>
    <m/>
    <m/>
    <m/>
    <m/>
    <m/>
    <n v="0"/>
    <m/>
    <m/>
    <s v="20140731 JImrie"/>
    <s v="20140801 JImrie"/>
    <s v="FW_Scan_20140731.pdf"/>
    <n v="0"/>
    <n v="0"/>
    <n v="0"/>
    <n v="0"/>
    <n v="0"/>
    <n v="0"/>
    <n v="3"/>
    <n v="0"/>
    <n v="0"/>
    <n v="0"/>
    <n v="0"/>
    <n v="3"/>
    <n v="0"/>
    <n v="0"/>
    <n v="0"/>
    <n v="0"/>
    <n v="0"/>
    <n v="0"/>
    <n v="0"/>
    <n v="0"/>
  </r>
  <r>
    <x v="55"/>
    <x v="2"/>
    <s v="la,qb"/>
    <d v="1899-12-30T17:11:00"/>
    <d v="1899-12-30T19:58:00"/>
    <n v="35"/>
    <n v="13"/>
    <m/>
    <m/>
    <n v="166.99999999999989"/>
    <m/>
    <m/>
    <m/>
    <n v="0"/>
    <m/>
    <m/>
    <m/>
    <n v="0"/>
    <m/>
    <m/>
    <m/>
    <m/>
    <n v="0"/>
    <m/>
    <m/>
    <m/>
    <n v="0"/>
    <m/>
    <n v="4"/>
    <m/>
    <n v="4"/>
    <m/>
    <m/>
    <m/>
    <m/>
    <n v="0"/>
    <m/>
    <m/>
    <m/>
    <m/>
    <m/>
    <m/>
    <m/>
    <n v="0"/>
    <m/>
    <m/>
    <s v="20140731 LAckein"/>
    <s v="20140801 JImrie"/>
    <s v="FW_Scan_20140731.pdf"/>
    <n v="0"/>
    <n v="0"/>
    <n v="0"/>
    <n v="0"/>
    <n v="0"/>
    <n v="0"/>
    <n v="0"/>
    <n v="0"/>
    <n v="0"/>
    <n v="0"/>
    <n v="0"/>
    <n v="0"/>
    <n v="0"/>
    <n v="0"/>
    <n v="4"/>
    <n v="0"/>
    <n v="0"/>
    <n v="0"/>
    <n v="0"/>
    <n v="0"/>
  </r>
  <r>
    <x v="55"/>
    <x v="1"/>
    <s v="qb,la"/>
    <d v="1899-12-30T08:03:00"/>
    <d v="1899-12-30T13:50:00"/>
    <n v="49"/>
    <n v="12"/>
    <m/>
    <m/>
    <n v="347.00000000000006"/>
    <n v="2"/>
    <m/>
    <m/>
    <n v="2"/>
    <m/>
    <m/>
    <m/>
    <n v="0"/>
    <n v="2"/>
    <n v="1"/>
    <m/>
    <m/>
    <n v="3"/>
    <n v="3"/>
    <n v="172"/>
    <m/>
    <n v="175"/>
    <n v="1"/>
    <n v="4"/>
    <m/>
    <n v="5"/>
    <m/>
    <m/>
    <m/>
    <m/>
    <n v="0"/>
    <m/>
    <m/>
    <m/>
    <m/>
    <m/>
    <m/>
    <m/>
    <n v="0"/>
    <m/>
    <m/>
    <s v="20140731 LAckein"/>
    <s v="20140801 JImrie"/>
    <s v="FW_Scan_20140731.pdf"/>
    <n v="2"/>
    <n v="0"/>
    <n v="0"/>
    <n v="0"/>
    <n v="0"/>
    <n v="0"/>
    <n v="2"/>
    <n v="1"/>
    <n v="0"/>
    <n v="0"/>
    <n v="3"/>
    <n v="172"/>
    <n v="0"/>
    <n v="1"/>
    <n v="4"/>
    <n v="0"/>
    <n v="0"/>
    <n v="0"/>
    <n v="0"/>
    <n v="0"/>
  </r>
  <r>
    <x v="55"/>
    <x v="1"/>
    <s v="nc,jk"/>
    <d v="1899-12-30T13:50:00"/>
    <d v="1899-12-30T20:01:00"/>
    <n v="49"/>
    <n v="13"/>
    <m/>
    <m/>
    <n v="359.99999999999977"/>
    <m/>
    <m/>
    <m/>
    <n v="0"/>
    <m/>
    <m/>
    <m/>
    <n v="0"/>
    <m/>
    <m/>
    <m/>
    <m/>
    <n v="0"/>
    <m/>
    <n v="223"/>
    <m/>
    <n v="223"/>
    <m/>
    <n v="8"/>
    <m/>
    <n v="8"/>
    <m/>
    <m/>
    <m/>
    <m/>
    <n v="0"/>
    <m/>
    <m/>
    <m/>
    <m/>
    <m/>
    <m/>
    <m/>
    <n v="0"/>
    <s v="FW stopped @ 1425 to repair basket net.  Started back @1436 revs 49"/>
    <m/>
    <s v="20140731 NCollin"/>
    <s v="20140801 JImrie"/>
    <s v="FW_Scan_20140731.pdf"/>
    <n v="0"/>
    <n v="0"/>
    <n v="0"/>
    <n v="0"/>
    <n v="0"/>
    <n v="0"/>
    <n v="0"/>
    <n v="0"/>
    <n v="0"/>
    <n v="0"/>
    <n v="0"/>
    <n v="223"/>
    <n v="0"/>
    <n v="0"/>
    <n v="8"/>
    <n v="0"/>
    <n v="0"/>
    <n v="0"/>
    <n v="0"/>
    <n v="0"/>
  </r>
  <r>
    <x v="56"/>
    <x v="0"/>
    <s v="cz,nc"/>
    <d v="1899-12-30T08:02:00"/>
    <d v="1899-12-30T13:41:00"/>
    <n v="54"/>
    <n v="12"/>
    <m/>
    <m/>
    <n v="339"/>
    <m/>
    <m/>
    <m/>
    <n v="0"/>
    <m/>
    <m/>
    <m/>
    <n v="0"/>
    <m/>
    <m/>
    <m/>
    <m/>
    <n v="0"/>
    <n v="2"/>
    <n v="109"/>
    <m/>
    <n v="111"/>
    <n v="1"/>
    <n v="17"/>
    <m/>
    <n v="18"/>
    <m/>
    <m/>
    <m/>
    <m/>
    <n v="0"/>
    <m/>
    <m/>
    <n v="1"/>
    <m/>
    <m/>
    <m/>
    <m/>
    <n v="1"/>
    <m/>
    <m/>
    <s v="20140801 CZiolkowski"/>
    <s v="20140802 AStephens"/>
    <s v="FW_Scan_20140801.pdf"/>
    <n v="0"/>
    <n v="0"/>
    <n v="0"/>
    <n v="0"/>
    <n v="0"/>
    <n v="0"/>
    <n v="0"/>
    <n v="0"/>
    <n v="0"/>
    <n v="0"/>
    <n v="2"/>
    <n v="109"/>
    <n v="0"/>
    <n v="1"/>
    <n v="17"/>
    <n v="0"/>
    <n v="0"/>
    <n v="0"/>
    <n v="0"/>
    <n v="0"/>
  </r>
  <r>
    <x v="56"/>
    <x v="0"/>
    <s v="qb,jk"/>
    <d v="1899-12-30T13:41:00"/>
    <d v="1899-12-30T20:02:00"/>
    <n v="54"/>
    <n v="12"/>
    <m/>
    <m/>
    <n v="371.00000000000011"/>
    <m/>
    <m/>
    <m/>
    <n v="0"/>
    <m/>
    <m/>
    <m/>
    <n v="0"/>
    <n v="2"/>
    <m/>
    <m/>
    <n v="1"/>
    <n v="3"/>
    <n v="3"/>
    <n v="103"/>
    <m/>
    <n v="106"/>
    <m/>
    <n v="4"/>
    <m/>
    <n v="4"/>
    <m/>
    <m/>
    <m/>
    <m/>
    <n v="0"/>
    <m/>
    <m/>
    <m/>
    <m/>
    <m/>
    <m/>
    <m/>
    <n v="0"/>
    <s v="Stopped FW @ 1450-1500 to fix a hole in FW basket"/>
    <m/>
    <s v="20140801 JKunzler"/>
    <s v="20140802 AStephens"/>
    <s v="FW_Scan_20140801.pdf"/>
    <n v="0"/>
    <n v="0"/>
    <n v="0"/>
    <n v="0"/>
    <n v="0"/>
    <n v="0"/>
    <n v="2"/>
    <n v="0"/>
    <n v="0"/>
    <n v="1"/>
    <n v="3"/>
    <n v="103"/>
    <n v="0"/>
    <n v="0"/>
    <n v="4"/>
    <n v="0"/>
    <n v="0"/>
    <n v="0"/>
    <n v="0"/>
    <n v="0"/>
  </r>
  <r>
    <x v="56"/>
    <x v="2"/>
    <s v="nc, cz"/>
    <d v="1899-12-30T08:12:00"/>
    <d v="1899-12-30T14:02:00"/>
    <n v="35"/>
    <n v="12"/>
    <m/>
    <m/>
    <n v="350.00000000000011"/>
    <m/>
    <m/>
    <m/>
    <n v="0"/>
    <m/>
    <m/>
    <m/>
    <n v="0"/>
    <n v="1"/>
    <m/>
    <m/>
    <m/>
    <n v="1"/>
    <n v="1"/>
    <n v="2"/>
    <m/>
    <n v="3"/>
    <n v="1"/>
    <n v="3"/>
    <m/>
    <n v="4"/>
    <m/>
    <m/>
    <m/>
    <m/>
    <n v="0"/>
    <m/>
    <m/>
    <m/>
    <m/>
    <m/>
    <m/>
    <m/>
    <n v="0"/>
    <s v="Replaced nut on basket prior to start up"/>
    <m/>
    <s v="20140801 CZiolkowski"/>
    <s v="20140802 AStephens"/>
    <s v="FW_Scan_20140801.pdf"/>
    <n v="0"/>
    <n v="0"/>
    <n v="0"/>
    <n v="0"/>
    <n v="0"/>
    <n v="0"/>
    <n v="1"/>
    <n v="0"/>
    <n v="0"/>
    <n v="0"/>
    <n v="1"/>
    <n v="2"/>
    <n v="0"/>
    <n v="1"/>
    <n v="3"/>
    <n v="0"/>
    <n v="0"/>
    <n v="0"/>
    <n v="0"/>
    <n v="0"/>
  </r>
  <r>
    <x v="56"/>
    <x v="2"/>
    <s v="qb, jk"/>
    <d v="1899-12-30T14:02:00"/>
    <d v="1899-12-30T20:18:00"/>
    <n v="36"/>
    <n v="12"/>
    <m/>
    <m/>
    <n v="375.99999999999994"/>
    <m/>
    <m/>
    <m/>
    <n v="0"/>
    <m/>
    <m/>
    <m/>
    <n v="0"/>
    <m/>
    <m/>
    <m/>
    <m/>
    <n v="0"/>
    <m/>
    <n v="2"/>
    <m/>
    <n v="2"/>
    <m/>
    <n v="6"/>
    <m/>
    <n v="6"/>
    <m/>
    <m/>
    <m/>
    <m/>
    <n v="0"/>
    <m/>
    <m/>
    <m/>
    <m/>
    <m/>
    <m/>
    <m/>
    <n v="0"/>
    <m/>
    <m/>
    <s v="20140801 JKunzler"/>
    <s v="20140802 AStephens"/>
    <s v="FW_Scan_20140801.pdf"/>
    <n v="0"/>
    <n v="0"/>
    <n v="0"/>
    <n v="0"/>
    <n v="0"/>
    <n v="0"/>
    <n v="0"/>
    <n v="0"/>
    <n v="0"/>
    <n v="0"/>
    <n v="0"/>
    <n v="2"/>
    <n v="0"/>
    <n v="0"/>
    <n v="6"/>
    <n v="0"/>
    <n v="0"/>
    <n v="0"/>
    <n v="0"/>
    <n v="0"/>
  </r>
  <r>
    <x v="56"/>
    <x v="1"/>
    <s v="qb, jk"/>
    <d v="1899-12-30T08:01:00"/>
    <d v="1899-12-30T10:47:00"/>
    <n v="54"/>
    <n v="12"/>
    <m/>
    <m/>
    <n v="165.99999999999997"/>
    <m/>
    <n v="1"/>
    <m/>
    <n v="1"/>
    <m/>
    <m/>
    <m/>
    <n v="0"/>
    <n v="1"/>
    <n v="1"/>
    <m/>
    <m/>
    <n v="2"/>
    <n v="2"/>
    <n v="49"/>
    <m/>
    <n v="51"/>
    <n v="2"/>
    <n v="4"/>
    <m/>
    <n v="6"/>
    <n v="1"/>
    <m/>
    <m/>
    <m/>
    <n v="1"/>
    <m/>
    <m/>
    <m/>
    <m/>
    <m/>
    <m/>
    <m/>
    <n v="0"/>
    <s v="No tag or biosample CN (post-spawned). Lost when removing pinks from net"/>
    <m/>
    <s v="20140801 QBerger"/>
    <s v="20140802 AStephens"/>
    <s v="FW_Scan_20140801.pdf"/>
    <n v="0"/>
    <n v="1"/>
    <n v="0"/>
    <n v="0"/>
    <n v="0"/>
    <n v="0"/>
    <n v="1"/>
    <n v="1"/>
    <n v="0"/>
    <n v="0"/>
    <n v="2"/>
    <n v="49"/>
    <n v="0"/>
    <n v="2"/>
    <n v="4"/>
    <n v="0"/>
    <n v="1"/>
    <n v="0"/>
    <n v="0"/>
    <n v="0"/>
  </r>
  <r>
    <x v="56"/>
    <x v="1"/>
    <s v="la,ji"/>
    <d v="1899-12-30T10:47:00"/>
    <d v="1899-12-30T16:38:00"/>
    <n v="49"/>
    <n v="13"/>
    <m/>
    <m/>
    <n v="351"/>
    <m/>
    <m/>
    <m/>
    <n v="0"/>
    <m/>
    <m/>
    <m/>
    <n v="0"/>
    <m/>
    <m/>
    <m/>
    <m/>
    <n v="0"/>
    <m/>
    <n v="164"/>
    <m/>
    <n v="164"/>
    <n v="1"/>
    <n v="18"/>
    <m/>
    <n v="19"/>
    <m/>
    <n v="1"/>
    <m/>
    <m/>
    <n v="1"/>
    <m/>
    <m/>
    <n v="3"/>
    <m/>
    <m/>
    <m/>
    <m/>
    <n v="3"/>
    <s v="one pink release bleeding, unknown source"/>
    <m/>
    <s v="20140801 LAckein"/>
    <s v="20140802 AStephens"/>
    <s v="FW_Scan_20140801.pdf"/>
    <n v="0"/>
    <n v="0"/>
    <n v="0"/>
    <n v="0"/>
    <n v="0"/>
    <n v="0"/>
    <n v="0"/>
    <n v="0"/>
    <n v="0"/>
    <n v="0"/>
    <n v="0"/>
    <n v="164"/>
    <n v="0"/>
    <n v="1"/>
    <n v="18"/>
    <n v="0"/>
    <n v="0"/>
    <n v="1"/>
    <n v="0"/>
    <n v="0"/>
  </r>
  <r>
    <x v="56"/>
    <x v="1"/>
    <s v="bk,csj,cs"/>
    <d v="1899-12-30T16:38:00"/>
    <d v="1899-12-30T20:01:00"/>
    <n v="49"/>
    <n v="12"/>
    <m/>
    <m/>
    <n v="202.99999999999991"/>
    <m/>
    <m/>
    <m/>
    <n v="0"/>
    <m/>
    <m/>
    <m/>
    <n v="0"/>
    <n v="2"/>
    <m/>
    <m/>
    <m/>
    <n v="2"/>
    <n v="4"/>
    <n v="62"/>
    <m/>
    <n v="66"/>
    <n v="1"/>
    <n v="2"/>
    <m/>
    <n v="3"/>
    <n v="1"/>
    <m/>
    <m/>
    <m/>
    <n v="1"/>
    <m/>
    <n v="1"/>
    <m/>
    <m/>
    <m/>
    <m/>
    <m/>
    <n v="1"/>
    <m/>
    <m/>
    <s v="20140801 CSejkora"/>
    <s v="20140802 AStephens"/>
    <s v="FW_Scan_20140801.pdf"/>
    <n v="0"/>
    <n v="0"/>
    <n v="0"/>
    <n v="0"/>
    <n v="0"/>
    <n v="0"/>
    <n v="2"/>
    <n v="0"/>
    <n v="0"/>
    <n v="0"/>
    <n v="4"/>
    <n v="62"/>
    <n v="0"/>
    <n v="1"/>
    <n v="2"/>
    <n v="0"/>
    <n v="1"/>
    <n v="0"/>
    <n v="0"/>
    <n v="0"/>
  </r>
  <r>
    <x v="57"/>
    <x v="0"/>
    <s v="bk,qb"/>
    <d v="1899-12-30T08:10:00"/>
    <d v="1899-12-30T13:52:00"/>
    <n v="54"/>
    <n v="10"/>
    <m/>
    <n v="92.4"/>
    <n v="342.00000000000017"/>
    <m/>
    <m/>
    <m/>
    <n v="0"/>
    <m/>
    <m/>
    <m/>
    <n v="0"/>
    <m/>
    <m/>
    <m/>
    <m/>
    <n v="0"/>
    <n v="4"/>
    <n v="92"/>
    <m/>
    <n v="96"/>
    <n v="3"/>
    <n v="9"/>
    <m/>
    <n v="12"/>
    <m/>
    <m/>
    <m/>
    <m/>
    <n v="0"/>
    <m/>
    <m/>
    <m/>
    <m/>
    <m/>
    <m/>
    <m/>
    <n v="0"/>
    <m/>
    <m/>
    <s v="20140802 BKalb"/>
    <s v="20140803 JImrie"/>
    <s v="FW_Scan_20140802.pdf"/>
    <n v="0"/>
    <n v="0"/>
    <n v="0"/>
    <n v="0"/>
    <n v="0"/>
    <n v="0"/>
    <n v="0"/>
    <n v="0"/>
    <n v="0"/>
    <n v="0"/>
    <n v="4"/>
    <n v="92"/>
    <n v="0"/>
    <n v="3"/>
    <n v="9"/>
    <n v="0"/>
    <n v="0"/>
    <n v="0"/>
    <n v="0"/>
    <n v="0"/>
  </r>
  <r>
    <x v="57"/>
    <x v="0"/>
    <s v="csw,csj"/>
    <d v="1899-12-30T13:52:00"/>
    <d v="1899-12-30T20:10:00"/>
    <n v="50"/>
    <n v="10.5"/>
    <m/>
    <m/>
    <n v="377.99999999999994"/>
    <m/>
    <m/>
    <m/>
    <n v="0"/>
    <m/>
    <m/>
    <m/>
    <n v="0"/>
    <m/>
    <m/>
    <m/>
    <m/>
    <n v="0"/>
    <m/>
    <n v="143"/>
    <m/>
    <n v="143"/>
    <m/>
    <n v="13"/>
    <m/>
    <n v="13"/>
    <m/>
    <m/>
    <m/>
    <m/>
    <n v="0"/>
    <m/>
    <m/>
    <m/>
    <m/>
    <m/>
    <m/>
    <m/>
    <n v="0"/>
    <m/>
    <m/>
    <s v="20140802 CSejkora"/>
    <s v="20140803 JImrie"/>
    <s v="FW_Scan_20140802.pdf"/>
    <n v="0"/>
    <n v="0"/>
    <n v="0"/>
    <n v="0"/>
    <n v="0"/>
    <n v="0"/>
    <n v="0"/>
    <n v="0"/>
    <n v="0"/>
    <n v="0"/>
    <n v="0"/>
    <n v="143"/>
    <n v="0"/>
    <n v="0"/>
    <n v="13"/>
    <n v="0"/>
    <n v="0"/>
    <n v="0"/>
    <n v="0"/>
    <n v="0"/>
  </r>
  <r>
    <x v="57"/>
    <x v="2"/>
    <s v="bk,qb"/>
    <d v="1899-12-30T08:03:00"/>
    <d v="1899-12-30T13:35:00"/>
    <n v="36"/>
    <n v="11"/>
    <m/>
    <m/>
    <n v="331.99999999999994"/>
    <m/>
    <m/>
    <m/>
    <n v="0"/>
    <m/>
    <m/>
    <m/>
    <n v="0"/>
    <m/>
    <m/>
    <m/>
    <m/>
    <n v="0"/>
    <n v="1"/>
    <m/>
    <m/>
    <n v="1"/>
    <m/>
    <n v="1"/>
    <m/>
    <n v="1"/>
    <n v="1"/>
    <m/>
    <m/>
    <m/>
    <n v="1"/>
    <m/>
    <m/>
    <m/>
    <m/>
    <m/>
    <m/>
    <m/>
    <n v="0"/>
    <m/>
    <m/>
    <s v="20140802 BKalb"/>
    <s v="20140803 JImrie"/>
    <s v="FW_Scan_20140802.pdf"/>
    <n v="0"/>
    <n v="0"/>
    <n v="0"/>
    <n v="0"/>
    <n v="0"/>
    <n v="0"/>
    <n v="0"/>
    <n v="0"/>
    <n v="0"/>
    <n v="0"/>
    <n v="1"/>
    <n v="0"/>
    <n v="0"/>
    <n v="0"/>
    <n v="1"/>
    <n v="0"/>
    <n v="1"/>
    <n v="0"/>
    <n v="0"/>
    <n v="0"/>
  </r>
  <r>
    <x v="57"/>
    <x v="2"/>
    <s v="csw,csj"/>
    <d v="1899-12-30T13:35:00"/>
    <d v="1899-12-30T20:03:00"/>
    <n v="35"/>
    <n v="12.5"/>
    <m/>
    <m/>
    <n v="388.00000000000006"/>
    <m/>
    <m/>
    <m/>
    <n v="0"/>
    <m/>
    <m/>
    <m/>
    <n v="0"/>
    <n v="1"/>
    <m/>
    <m/>
    <m/>
    <n v="1"/>
    <n v="1"/>
    <m/>
    <m/>
    <n v="1"/>
    <m/>
    <n v="2"/>
    <m/>
    <n v="2"/>
    <m/>
    <m/>
    <m/>
    <m/>
    <n v="0"/>
    <m/>
    <m/>
    <m/>
    <m/>
    <m/>
    <m/>
    <m/>
    <n v="0"/>
    <m/>
    <m/>
    <s v="20140802 CSejkora"/>
    <s v="20140803 JImrie"/>
    <s v="FW_Scan_20140802.pdf"/>
    <n v="0"/>
    <n v="0"/>
    <n v="0"/>
    <n v="0"/>
    <n v="0"/>
    <n v="0"/>
    <n v="1"/>
    <n v="0"/>
    <n v="0"/>
    <n v="0"/>
    <n v="1"/>
    <n v="0"/>
    <n v="0"/>
    <n v="0"/>
    <n v="2"/>
    <n v="0"/>
    <n v="0"/>
    <n v="0"/>
    <n v="0"/>
    <n v="0"/>
  </r>
  <r>
    <x v="57"/>
    <x v="1"/>
    <s v="csw,csj"/>
    <d v="1899-12-30T08:10:00"/>
    <d v="1899-12-30T11:00:00"/>
    <n v="49"/>
    <n v="12"/>
    <m/>
    <m/>
    <n v="170.00000000000003"/>
    <m/>
    <m/>
    <m/>
    <n v="0"/>
    <m/>
    <m/>
    <m/>
    <n v="0"/>
    <m/>
    <m/>
    <m/>
    <m/>
    <n v="0"/>
    <n v="3"/>
    <n v="22"/>
    <m/>
    <n v="25"/>
    <n v="2"/>
    <n v="5"/>
    <m/>
    <n v="7"/>
    <m/>
    <m/>
    <m/>
    <m/>
    <n v="0"/>
    <m/>
    <m/>
    <m/>
    <m/>
    <m/>
    <m/>
    <m/>
    <n v="0"/>
    <m/>
    <m/>
    <s v="20140802 CSewright"/>
    <s v="20140803 JImrie"/>
    <s v="FW_Scan_20140802.pdf"/>
    <n v="0"/>
    <n v="0"/>
    <n v="0"/>
    <n v="0"/>
    <n v="0"/>
    <n v="0"/>
    <n v="0"/>
    <n v="0"/>
    <n v="0"/>
    <n v="0"/>
    <n v="3"/>
    <n v="22"/>
    <n v="0"/>
    <n v="2"/>
    <n v="5"/>
    <n v="0"/>
    <n v="0"/>
    <n v="0"/>
    <n v="0"/>
    <n v="0"/>
  </r>
  <r>
    <x v="57"/>
    <x v="1"/>
    <s v="ji,jk"/>
    <d v="1899-12-30T11:00:00"/>
    <d v="1899-12-30T16:56:00"/>
    <n v="48"/>
    <n v="11"/>
    <m/>
    <m/>
    <n v="356.00000000000011"/>
    <m/>
    <m/>
    <m/>
    <n v="0"/>
    <m/>
    <m/>
    <m/>
    <n v="0"/>
    <m/>
    <m/>
    <m/>
    <m/>
    <n v="0"/>
    <n v="2"/>
    <n v="116"/>
    <m/>
    <n v="118"/>
    <n v="1"/>
    <n v="8"/>
    <m/>
    <n v="9"/>
    <m/>
    <m/>
    <m/>
    <m/>
    <n v="0"/>
    <m/>
    <m/>
    <n v="1"/>
    <m/>
    <m/>
    <m/>
    <m/>
    <n v="1"/>
    <m/>
    <m/>
    <s v="20140802 JKunzler"/>
    <s v="20140803 JImrie"/>
    <s v="FW_Scan_20140802.pdf"/>
    <n v="0"/>
    <n v="0"/>
    <n v="0"/>
    <n v="0"/>
    <n v="0"/>
    <n v="0"/>
    <n v="0"/>
    <n v="0"/>
    <n v="0"/>
    <n v="0"/>
    <n v="2"/>
    <n v="116"/>
    <n v="0"/>
    <n v="1"/>
    <n v="8"/>
    <n v="0"/>
    <n v="0"/>
    <n v="0"/>
    <n v="0"/>
    <n v="0"/>
  </r>
  <r>
    <x v="57"/>
    <x v="1"/>
    <s v="bk,qb"/>
    <d v="1899-12-30T16:56:00"/>
    <d v="1899-12-30T20:11:00"/>
    <n v="47"/>
    <n v="12"/>
    <m/>
    <m/>
    <n v="194.99999999999994"/>
    <m/>
    <m/>
    <m/>
    <n v="0"/>
    <m/>
    <m/>
    <m/>
    <n v="0"/>
    <m/>
    <m/>
    <m/>
    <m/>
    <n v="0"/>
    <n v="1"/>
    <n v="65"/>
    <m/>
    <n v="66"/>
    <m/>
    <n v="2"/>
    <m/>
    <n v="2"/>
    <n v="2"/>
    <m/>
    <m/>
    <m/>
    <n v="2"/>
    <m/>
    <m/>
    <m/>
    <m/>
    <m/>
    <m/>
    <m/>
    <n v="0"/>
    <m/>
    <m/>
    <s v="20140802 QBerger"/>
    <s v="20140803 JImrie"/>
    <s v="FW_Scan_20140802.pdf"/>
    <n v="0"/>
    <n v="0"/>
    <n v="0"/>
    <n v="0"/>
    <n v="0"/>
    <n v="0"/>
    <n v="0"/>
    <n v="0"/>
    <n v="0"/>
    <n v="0"/>
    <n v="1"/>
    <n v="65"/>
    <n v="0"/>
    <n v="0"/>
    <n v="2"/>
    <n v="0"/>
    <n v="2"/>
    <n v="0"/>
    <n v="0"/>
    <n v="0"/>
  </r>
  <r>
    <x v="58"/>
    <x v="0"/>
    <s v="bk, csw"/>
    <d v="1899-12-30T08:18:00"/>
    <d v="1899-12-30T13:59:00"/>
    <n v="49"/>
    <n v="8"/>
    <m/>
    <m/>
    <n v="340.99999999999977"/>
    <m/>
    <m/>
    <m/>
    <n v="0"/>
    <m/>
    <m/>
    <m/>
    <n v="0"/>
    <m/>
    <m/>
    <m/>
    <m/>
    <n v="0"/>
    <n v="3"/>
    <n v="97"/>
    <m/>
    <n v="100"/>
    <n v="2"/>
    <n v="6"/>
    <m/>
    <n v="8"/>
    <n v="1"/>
    <m/>
    <m/>
    <m/>
    <n v="1"/>
    <m/>
    <m/>
    <m/>
    <m/>
    <m/>
    <m/>
    <m/>
    <n v="0"/>
    <m/>
    <m/>
    <s v="20140803 BKalb"/>
    <s v="20140804 AStephens"/>
    <s v="FW_Scan_20140803.pdf"/>
    <n v="0"/>
    <n v="0"/>
    <n v="0"/>
    <n v="0"/>
    <n v="0"/>
    <n v="0"/>
    <n v="0"/>
    <n v="0"/>
    <n v="0"/>
    <n v="0"/>
    <n v="3"/>
    <n v="97"/>
    <n v="0"/>
    <n v="2"/>
    <n v="6"/>
    <n v="0"/>
    <n v="1"/>
    <n v="0"/>
    <n v="0"/>
    <n v="0"/>
  </r>
  <r>
    <x v="58"/>
    <x v="0"/>
    <s v="qb, csj"/>
    <d v="1899-12-30T13:59:00"/>
    <d v="1899-12-30T21:22:00"/>
    <n v="49"/>
    <n v="8"/>
    <m/>
    <m/>
    <n v="443.00000000000017"/>
    <m/>
    <m/>
    <m/>
    <n v="0"/>
    <m/>
    <m/>
    <m/>
    <n v="0"/>
    <n v="1"/>
    <m/>
    <m/>
    <m/>
    <n v="1"/>
    <n v="2"/>
    <n v="122"/>
    <m/>
    <n v="124"/>
    <n v="3"/>
    <n v="2"/>
    <m/>
    <n v="5"/>
    <m/>
    <m/>
    <m/>
    <m/>
    <n v="0"/>
    <m/>
    <m/>
    <m/>
    <m/>
    <m/>
    <m/>
    <m/>
    <n v="0"/>
    <m/>
    <m/>
    <s v="20140803 CSewright"/>
    <s v="20140804 AStephens"/>
    <s v="FW_Scan_20140803.pdf"/>
    <n v="0"/>
    <n v="0"/>
    <n v="0"/>
    <n v="0"/>
    <n v="0"/>
    <n v="0"/>
    <n v="1"/>
    <n v="0"/>
    <n v="0"/>
    <n v="0"/>
    <n v="2"/>
    <n v="122"/>
    <n v="0"/>
    <n v="3"/>
    <n v="2"/>
    <n v="0"/>
    <n v="0"/>
    <n v="0"/>
    <n v="0"/>
    <n v="0"/>
  </r>
  <r>
    <x v="58"/>
    <x v="2"/>
    <s v="bk, csw"/>
    <d v="1899-12-30T08:09:00"/>
    <d v="1899-12-30T13:35:00"/>
    <n v="34"/>
    <n v="11"/>
    <m/>
    <m/>
    <n v="325.99999999999994"/>
    <m/>
    <m/>
    <m/>
    <n v="0"/>
    <m/>
    <m/>
    <m/>
    <n v="0"/>
    <m/>
    <m/>
    <m/>
    <m/>
    <n v="0"/>
    <n v="1"/>
    <m/>
    <m/>
    <n v="1"/>
    <n v="1"/>
    <m/>
    <m/>
    <n v="1"/>
    <m/>
    <m/>
    <m/>
    <m/>
    <n v="0"/>
    <m/>
    <m/>
    <m/>
    <m/>
    <m/>
    <m/>
    <m/>
    <n v="0"/>
    <s v="1 smolt"/>
    <m/>
    <s v="20140803 BKalb"/>
    <s v="20140804 AStephens"/>
    <s v="FW_Scan_20140803.pdf"/>
    <n v="0"/>
    <n v="0"/>
    <n v="0"/>
    <n v="0"/>
    <n v="0"/>
    <n v="0"/>
    <n v="0"/>
    <n v="0"/>
    <n v="0"/>
    <n v="0"/>
    <n v="1"/>
    <n v="0"/>
    <n v="0"/>
    <n v="1"/>
    <n v="0"/>
    <n v="0"/>
    <n v="0"/>
    <n v="0"/>
    <n v="0"/>
    <n v="0"/>
  </r>
  <r>
    <x v="58"/>
    <x v="2"/>
    <s v="qb, csj"/>
    <d v="1899-12-30T13:35:00"/>
    <d v="1899-12-30T20:09:00"/>
    <n v="35"/>
    <n v="11"/>
    <m/>
    <m/>
    <n v="393.99999999999989"/>
    <m/>
    <m/>
    <m/>
    <n v="0"/>
    <m/>
    <m/>
    <m/>
    <n v="0"/>
    <n v="1"/>
    <m/>
    <m/>
    <m/>
    <n v="1"/>
    <m/>
    <m/>
    <m/>
    <n v="0"/>
    <m/>
    <n v="1"/>
    <m/>
    <n v="1"/>
    <m/>
    <m/>
    <m/>
    <m/>
    <n v="0"/>
    <m/>
    <m/>
    <m/>
    <m/>
    <m/>
    <m/>
    <m/>
    <n v="0"/>
    <m/>
    <m/>
    <s v="20140803 Csejkora"/>
    <s v="20140804 AStephens"/>
    <s v="FW_Scan_20140803.pdf"/>
    <n v="0"/>
    <n v="0"/>
    <n v="0"/>
    <n v="0"/>
    <n v="0"/>
    <n v="0"/>
    <n v="1"/>
    <n v="0"/>
    <n v="0"/>
    <n v="0"/>
    <n v="0"/>
    <n v="0"/>
    <n v="0"/>
    <n v="0"/>
    <n v="1"/>
    <n v="0"/>
    <n v="0"/>
    <n v="0"/>
    <n v="0"/>
    <n v="0"/>
  </r>
  <r>
    <x v="58"/>
    <x v="1"/>
    <s v="qb, csj"/>
    <d v="1899-12-30T08:05:00"/>
    <d v="1899-12-30T10:45:00"/>
    <n v="49"/>
    <n v="10"/>
    <m/>
    <m/>
    <n v="160"/>
    <m/>
    <m/>
    <m/>
    <n v="0"/>
    <m/>
    <m/>
    <m/>
    <n v="0"/>
    <m/>
    <m/>
    <m/>
    <m/>
    <n v="0"/>
    <n v="3"/>
    <n v="34"/>
    <m/>
    <n v="37"/>
    <m/>
    <n v="2"/>
    <m/>
    <n v="2"/>
    <m/>
    <m/>
    <m/>
    <m/>
    <n v="0"/>
    <n v="1"/>
    <m/>
    <m/>
    <m/>
    <m/>
    <m/>
    <m/>
    <n v="1"/>
    <m/>
    <m/>
    <s v="20140803 Csejkora"/>
    <s v="20140804 AStephens"/>
    <s v="FW_Scan_20140803.pdf"/>
    <n v="0"/>
    <n v="0"/>
    <n v="0"/>
    <n v="0"/>
    <n v="0"/>
    <n v="0"/>
    <n v="0"/>
    <n v="0"/>
    <n v="0"/>
    <n v="0"/>
    <n v="3"/>
    <n v="34"/>
    <n v="0"/>
    <n v="0"/>
    <n v="2"/>
    <n v="0"/>
    <n v="0"/>
    <n v="0"/>
    <n v="0"/>
    <n v="0"/>
  </r>
  <r>
    <x v="58"/>
    <x v="1"/>
    <s v="ji, as"/>
    <d v="1899-12-30T10:45:00"/>
    <d v="1899-12-30T17:00:00"/>
    <n v="47"/>
    <n v="12"/>
    <m/>
    <m/>
    <n v="375"/>
    <m/>
    <m/>
    <m/>
    <n v="0"/>
    <m/>
    <m/>
    <m/>
    <n v="0"/>
    <m/>
    <m/>
    <m/>
    <m/>
    <n v="0"/>
    <n v="2"/>
    <n v="84"/>
    <m/>
    <n v="86"/>
    <n v="4"/>
    <m/>
    <m/>
    <n v="4"/>
    <m/>
    <m/>
    <m/>
    <m/>
    <n v="0"/>
    <n v="1"/>
    <m/>
    <n v="1"/>
    <m/>
    <m/>
    <m/>
    <m/>
    <n v="2"/>
    <m/>
    <m/>
    <s v="20140803 JImrie"/>
    <s v="20140804 AStephens"/>
    <s v="FW_Scan_20140803.pdf"/>
    <n v="0"/>
    <n v="0"/>
    <n v="0"/>
    <n v="0"/>
    <n v="0"/>
    <n v="0"/>
    <n v="0"/>
    <n v="0"/>
    <n v="0"/>
    <n v="0"/>
    <n v="2"/>
    <n v="84"/>
    <n v="0"/>
    <n v="4"/>
    <n v="0"/>
    <n v="0"/>
    <n v="0"/>
    <n v="0"/>
    <n v="0"/>
    <n v="0"/>
  </r>
  <r>
    <x v="58"/>
    <x v="1"/>
    <s v="bk, csw"/>
    <d v="1899-12-30T17:00:00"/>
    <d v="1899-12-30T20:05:00"/>
    <n v="47"/>
    <n v="11"/>
    <m/>
    <m/>
    <n v="184.99999999999983"/>
    <m/>
    <m/>
    <m/>
    <n v="0"/>
    <m/>
    <m/>
    <m/>
    <n v="0"/>
    <m/>
    <m/>
    <m/>
    <m/>
    <n v="0"/>
    <n v="1"/>
    <n v="80"/>
    <m/>
    <n v="81"/>
    <n v="2"/>
    <m/>
    <m/>
    <n v="2"/>
    <m/>
    <m/>
    <m/>
    <m/>
    <n v="0"/>
    <m/>
    <m/>
    <m/>
    <m/>
    <m/>
    <m/>
    <m/>
    <n v="0"/>
    <m/>
    <m/>
    <s v="20140803 BKalb"/>
    <s v="20140804 AStephens"/>
    <s v="FW_Scan_20140803.pdf"/>
    <n v="0"/>
    <n v="0"/>
    <n v="0"/>
    <n v="0"/>
    <n v="0"/>
    <n v="0"/>
    <n v="0"/>
    <n v="0"/>
    <n v="0"/>
    <n v="0"/>
    <n v="1"/>
    <n v="80"/>
    <n v="0"/>
    <n v="2"/>
    <n v="0"/>
    <n v="0"/>
    <n v="0"/>
    <n v="0"/>
    <n v="0"/>
    <n v="0"/>
  </r>
  <r>
    <x v="59"/>
    <x v="0"/>
    <s v="bk,jk"/>
    <d v="1899-12-30T08:06:00"/>
    <d v="1899-12-30T10:43:00"/>
    <n v="54"/>
    <n v="9"/>
    <m/>
    <m/>
    <n v="157.00000000000009"/>
    <m/>
    <m/>
    <m/>
    <n v="0"/>
    <m/>
    <n v="1"/>
    <m/>
    <n v="1"/>
    <m/>
    <n v="1"/>
    <m/>
    <m/>
    <n v="1"/>
    <n v="1"/>
    <n v="53"/>
    <m/>
    <n v="54"/>
    <n v="1"/>
    <n v="4"/>
    <m/>
    <n v="5"/>
    <m/>
    <m/>
    <m/>
    <m/>
    <n v="0"/>
    <m/>
    <m/>
    <m/>
    <m/>
    <m/>
    <m/>
    <m/>
    <n v="0"/>
    <m/>
    <m/>
    <s v="20140804 BKalb"/>
    <s v="20140805 JImrie"/>
    <s v="FW_Scan_20140804.pdf"/>
    <n v="0"/>
    <n v="0"/>
    <n v="0"/>
    <n v="0"/>
    <n v="1"/>
    <n v="0"/>
    <n v="0"/>
    <n v="1"/>
    <n v="0"/>
    <n v="0"/>
    <n v="1"/>
    <n v="53"/>
    <n v="0"/>
    <n v="1"/>
    <n v="4"/>
    <n v="0"/>
    <n v="0"/>
    <n v="0"/>
    <n v="0"/>
    <n v="0"/>
  </r>
  <r>
    <x v="59"/>
    <x v="0"/>
    <s v="ji,qb"/>
    <d v="1899-12-30T10:43:00"/>
    <d v="1899-12-30T16:32:00"/>
    <n v="54"/>
    <n v="10"/>
    <m/>
    <n v="131"/>
    <n v="349.00000000000011"/>
    <m/>
    <m/>
    <m/>
    <n v="0"/>
    <m/>
    <m/>
    <m/>
    <n v="0"/>
    <m/>
    <m/>
    <m/>
    <m/>
    <n v="0"/>
    <n v="1"/>
    <n v="93"/>
    <m/>
    <n v="94"/>
    <n v="4"/>
    <n v="4"/>
    <m/>
    <n v="8"/>
    <n v="2"/>
    <m/>
    <m/>
    <m/>
    <n v="2"/>
    <m/>
    <m/>
    <m/>
    <m/>
    <m/>
    <m/>
    <m/>
    <n v="0"/>
    <m/>
    <m/>
    <s v="20140804 QBerger"/>
    <s v="20140805 JImrie"/>
    <s v="FW_Scan_20140804.pdf"/>
    <n v="0"/>
    <n v="0"/>
    <n v="0"/>
    <n v="0"/>
    <n v="0"/>
    <n v="0"/>
    <n v="0"/>
    <n v="0"/>
    <n v="0"/>
    <n v="0"/>
    <n v="1"/>
    <n v="93"/>
    <n v="0"/>
    <n v="4"/>
    <n v="4"/>
    <n v="0"/>
    <n v="2"/>
    <n v="0"/>
    <n v="0"/>
    <n v="0"/>
  </r>
  <r>
    <x v="59"/>
    <x v="0"/>
    <s v="csw,csj"/>
    <d v="1899-12-30T16:32:00"/>
    <d v="1899-12-30T20:06:00"/>
    <n v="53"/>
    <n v="9"/>
    <m/>
    <m/>
    <n v="213.99999999999989"/>
    <m/>
    <m/>
    <m/>
    <n v="0"/>
    <m/>
    <m/>
    <m/>
    <n v="0"/>
    <m/>
    <m/>
    <m/>
    <m/>
    <n v="0"/>
    <m/>
    <n v="73"/>
    <m/>
    <n v="73"/>
    <m/>
    <n v="5"/>
    <m/>
    <n v="5"/>
    <m/>
    <m/>
    <m/>
    <m/>
    <n v="0"/>
    <m/>
    <m/>
    <m/>
    <m/>
    <m/>
    <m/>
    <m/>
    <n v="0"/>
    <m/>
    <m/>
    <s v="20140804 CSejkora"/>
    <s v="20140805 JImrie"/>
    <s v="FW_Scan_20140804.pdf"/>
    <n v="0"/>
    <n v="0"/>
    <n v="0"/>
    <n v="0"/>
    <n v="0"/>
    <n v="0"/>
    <n v="0"/>
    <n v="0"/>
    <n v="0"/>
    <n v="0"/>
    <n v="0"/>
    <n v="73"/>
    <n v="0"/>
    <n v="0"/>
    <n v="5"/>
    <n v="0"/>
    <n v="0"/>
    <n v="0"/>
    <n v="0"/>
    <n v="0"/>
  </r>
  <r>
    <x v="59"/>
    <x v="2"/>
    <s v="bk,jk"/>
    <d v="1899-12-30T07:58:00"/>
    <d v="1899-12-30T10:54:00"/>
    <n v="38"/>
    <n v="11"/>
    <m/>
    <m/>
    <n v="176"/>
    <m/>
    <m/>
    <m/>
    <n v="0"/>
    <m/>
    <m/>
    <m/>
    <n v="0"/>
    <m/>
    <m/>
    <m/>
    <m/>
    <n v="0"/>
    <n v="1"/>
    <m/>
    <m/>
    <n v="1"/>
    <m/>
    <m/>
    <m/>
    <n v="0"/>
    <m/>
    <m/>
    <m/>
    <m/>
    <n v="0"/>
    <m/>
    <m/>
    <m/>
    <m/>
    <m/>
    <m/>
    <m/>
    <n v="0"/>
    <m/>
    <m/>
    <s v="20140804 JKunzler"/>
    <s v="20140805 JImrie"/>
    <s v="FW_Scan_20140804.pdf"/>
    <n v="0"/>
    <n v="0"/>
    <n v="0"/>
    <n v="0"/>
    <n v="0"/>
    <n v="0"/>
    <n v="0"/>
    <n v="0"/>
    <n v="0"/>
    <n v="0"/>
    <n v="1"/>
    <n v="0"/>
    <n v="0"/>
    <n v="0"/>
    <n v="0"/>
    <n v="0"/>
    <n v="0"/>
    <n v="0"/>
    <n v="0"/>
    <n v="0"/>
  </r>
  <r>
    <x v="59"/>
    <x v="2"/>
    <s v="ji,qb"/>
    <d v="1899-12-30T10:54:00"/>
    <d v="1899-12-30T16:48:00"/>
    <n v="35"/>
    <n v="11"/>
    <m/>
    <m/>
    <n v="354.00000000000011"/>
    <m/>
    <m/>
    <m/>
    <n v="0"/>
    <m/>
    <m/>
    <m/>
    <n v="0"/>
    <n v="1"/>
    <m/>
    <m/>
    <m/>
    <n v="1"/>
    <n v="1"/>
    <n v="2"/>
    <m/>
    <n v="3"/>
    <n v="1"/>
    <n v="5"/>
    <m/>
    <n v="6"/>
    <m/>
    <m/>
    <m/>
    <m/>
    <n v="0"/>
    <m/>
    <m/>
    <m/>
    <m/>
    <m/>
    <m/>
    <m/>
    <n v="0"/>
    <m/>
    <m/>
    <s v="20140804 QBerger"/>
    <s v="20140805 JImrie"/>
    <s v="FW_Scan_20140804.pdf"/>
    <n v="0"/>
    <n v="0"/>
    <n v="0"/>
    <n v="0"/>
    <n v="0"/>
    <n v="0"/>
    <n v="1"/>
    <n v="0"/>
    <n v="0"/>
    <n v="0"/>
    <n v="1"/>
    <n v="2"/>
    <n v="0"/>
    <n v="1"/>
    <n v="5"/>
    <n v="0"/>
    <n v="0"/>
    <n v="0"/>
    <n v="0"/>
    <n v="0"/>
  </r>
  <r>
    <x v="59"/>
    <x v="2"/>
    <s v="csw,csj"/>
    <d v="1899-12-30T16:48:00"/>
    <d v="1899-12-30T19:58:00"/>
    <n v="32"/>
    <n v="12"/>
    <m/>
    <m/>
    <n v="189.9999999999998"/>
    <m/>
    <m/>
    <m/>
    <n v="0"/>
    <m/>
    <m/>
    <m/>
    <n v="0"/>
    <n v="1"/>
    <m/>
    <m/>
    <m/>
    <n v="1"/>
    <m/>
    <n v="3"/>
    <m/>
    <n v="3"/>
    <m/>
    <n v="2"/>
    <m/>
    <n v="2"/>
    <m/>
    <m/>
    <m/>
    <m/>
    <n v="0"/>
    <m/>
    <m/>
    <m/>
    <m/>
    <m/>
    <m/>
    <m/>
    <n v="0"/>
    <m/>
    <m/>
    <s v="20140804 CSejkora"/>
    <s v="20140805 JImrie"/>
    <s v="FW_Scan_20140804.pdf"/>
    <n v="0"/>
    <n v="0"/>
    <n v="0"/>
    <n v="0"/>
    <n v="0"/>
    <n v="0"/>
    <n v="1"/>
    <n v="0"/>
    <n v="0"/>
    <n v="0"/>
    <n v="0"/>
    <n v="3"/>
    <n v="0"/>
    <n v="0"/>
    <n v="2"/>
    <n v="0"/>
    <n v="0"/>
    <n v="0"/>
    <n v="0"/>
    <n v="0"/>
  </r>
  <r>
    <x v="59"/>
    <x v="1"/>
    <s v="csw,csj"/>
    <d v="1899-12-30T08:09:00"/>
    <d v="1899-12-30T14:00:00"/>
    <n v="49"/>
    <n v="10"/>
    <m/>
    <m/>
    <n v="351.00000000000006"/>
    <m/>
    <m/>
    <m/>
    <n v="0"/>
    <m/>
    <n v="1"/>
    <m/>
    <n v="1"/>
    <m/>
    <m/>
    <m/>
    <n v="1"/>
    <n v="1"/>
    <n v="2"/>
    <n v="84"/>
    <m/>
    <n v="86"/>
    <n v="3"/>
    <n v="10"/>
    <n v="1"/>
    <n v="14"/>
    <n v="1"/>
    <m/>
    <m/>
    <m/>
    <n v="1"/>
    <m/>
    <m/>
    <m/>
    <m/>
    <m/>
    <m/>
    <m/>
    <n v="0"/>
    <m/>
    <m/>
    <s v="20140804 CSewright"/>
    <s v="20140805 JImrie"/>
    <s v="FW_Scan_20140804.pdf"/>
    <n v="0"/>
    <n v="0"/>
    <n v="0"/>
    <n v="0"/>
    <n v="1"/>
    <n v="0"/>
    <n v="0"/>
    <n v="0"/>
    <n v="0"/>
    <n v="1"/>
    <n v="2"/>
    <n v="84"/>
    <n v="0"/>
    <n v="3"/>
    <n v="10"/>
    <n v="1"/>
    <n v="1"/>
    <n v="0"/>
    <n v="0"/>
    <n v="0"/>
  </r>
  <r>
    <x v="59"/>
    <x v="1"/>
    <s v="bk,jk"/>
    <d v="1899-12-30T14:00:00"/>
    <d v="1899-12-30T20:09:00"/>
    <n v="51"/>
    <n v="12"/>
    <m/>
    <m/>
    <n v="368.99999999999983"/>
    <m/>
    <m/>
    <m/>
    <n v="0"/>
    <m/>
    <m/>
    <m/>
    <n v="0"/>
    <n v="1"/>
    <m/>
    <m/>
    <m/>
    <n v="1"/>
    <n v="2"/>
    <n v="99"/>
    <m/>
    <n v="101"/>
    <n v="3"/>
    <n v="3"/>
    <m/>
    <n v="6"/>
    <n v="1"/>
    <m/>
    <m/>
    <m/>
    <n v="1"/>
    <m/>
    <m/>
    <n v="1"/>
    <m/>
    <m/>
    <m/>
    <m/>
    <n v="1"/>
    <m/>
    <m/>
    <s v="20140804 JKunzler"/>
    <s v="20140805 JImrie"/>
    <s v="FW_Scan_20140804.pdf"/>
    <n v="0"/>
    <n v="0"/>
    <n v="0"/>
    <n v="0"/>
    <n v="0"/>
    <n v="0"/>
    <n v="1"/>
    <n v="0"/>
    <n v="0"/>
    <n v="0"/>
    <n v="2"/>
    <n v="99"/>
    <n v="0"/>
    <n v="3"/>
    <n v="3"/>
    <n v="0"/>
    <n v="1"/>
    <n v="0"/>
    <n v="0"/>
    <n v="0"/>
  </r>
  <r>
    <x v="60"/>
    <x v="0"/>
    <s v="csw, qb"/>
    <d v="1899-12-30T08:11:00"/>
    <d v="1899-12-30T11:00:00"/>
    <n v="50"/>
    <n v="9"/>
    <m/>
    <m/>
    <n v="168.99999999999997"/>
    <m/>
    <m/>
    <m/>
    <n v="0"/>
    <m/>
    <m/>
    <m/>
    <n v="0"/>
    <n v="1"/>
    <m/>
    <m/>
    <m/>
    <n v="1"/>
    <n v="2"/>
    <n v="18"/>
    <m/>
    <n v="20"/>
    <n v="1"/>
    <m/>
    <m/>
    <n v="1"/>
    <m/>
    <m/>
    <m/>
    <m/>
    <n v="0"/>
    <m/>
    <m/>
    <m/>
    <m/>
    <m/>
    <m/>
    <m/>
    <n v="0"/>
    <m/>
    <m/>
    <s v="20140805 CSewright"/>
    <s v="20140806 AStephens"/>
    <s v="FW_Scan_20140805.pdf"/>
    <n v="0"/>
    <n v="0"/>
    <n v="0"/>
    <n v="0"/>
    <n v="0"/>
    <n v="0"/>
    <n v="1"/>
    <n v="0"/>
    <n v="0"/>
    <n v="0"/>
    <n v="2"/>
    <n v="18"/>
    <n v="0"/>
    <n v="1"/>
    <n v="0"/>
    <n v="0"/>
    <n v="0"/>
    <n v="0"/>
    <n v="0"/>
    <n v="0"/>
  </r>
  <r>
    <x v="60"/>
    <x v="0"/>
    <s v="ji, csj"/>
    <d v="1899-12-30T11:00:00"/>
    <d v="1899-12-30T16:52:00"/>
    <n v="50"/>
    <n v="9.5"/>
    <m/>
    <m/>
    <n v="352.00000000000011"/>
    <m/>
    <m/>
    <m/>
    <n v="0"/>
    <m/>
    <m/>
    <m/>
    <n v="0"/>
    <m/>
    <m/>
    <m/>
    <m/>
    <n v="0"/>
    <n v="1"/>
    <n v="97"/>
    <m/>
    <n v="98"/>
    <n v="1"/>
    <n v="1"/>
    <m/>
    <n v="2"/>
    <n v="1"/>
    <m/>
    <m/>
    <m/>
    <n v="1"/>
    <m/>
    <m/>
    <m/>
    <m/>
    <m/>
    <m/>
    <m/>
    <n v="0"/>
    <m/>
    <m/>
    <s v="20140805 CSejkora"/>
    <s v="20140806 AStephens"/>
    <s v="FW_Scan_20140805.pdf"/>
    <n v="0"/>
    <n v="0"/>
    <n v="0"/>
    <n v="0"/>
    <n v="0"/>
    <n v="0"/>
    <n v="0"/>
    <n v="0"/>
    <n v="0"/>
    <n v="0"/>
    <n v="1"/>
    <n v="97"/>
    <n v="0"/>
    <n v="1"/>
    <n v="1"/>
    <n v="0"/>
    <n v="1"/>
    <n v="0"/>
    <n v="0"/>
    <n v="0"/>
  </r>
  <r>
    <x v="60"/>
    <x v="0"/>
    <s v="bk,jk"/>
    <d v="1899-12-30T16:52:00"/>
    <d v="1899-12-30T20:11:00"/>
    <n v="46"/>
    <n v="10"/>
    <m/>
    <m/>
    <n v="198.99999999999994"/>
    <m/>
    <m/>
    <m/>
    <n v="0"/>
    <m/>
    <m/>
    <m/>
    <n v="0"/>
    <n v="2"/>
    <m/>
    <m/>
    <m/>
    <n v="2"/>
    <n v="1"/>
    <n v="43"/>
    <m/>
    <n v="44"/>
    <m/>
    <n v="6"/>
    <m/>
    <n v="6"/>
    <m/>
    <m/>
    <m/>
    <m/>
    <n v="0"/>
    <m/>
    <m/>
    <m/>
    <m/>
    <m/>
    <m/>
    <m/>
    <n v="0"/>
    <m/>
    <m/>
    <s v="20140805 BKalb"/>
    <s v="20140806 AStephens"/>
    <s v="FW_Scan_20140805.pdf"/>
    <n v="0"/>
    <n v="0"/>
    <n v="0"/>
    <n v="0"/>
    <n v="0"/>
    <n v="0"/>
    <n v="2"/>
    <n v="0"/>
    <n v="0"/>
    <n v="0"/>
    <n v="1"/>
    <n v="43"/>
    <n v="0"/>
    <n v="0"/>
    <n v="6"/>
    <n v="0"/>
    <n v="0"/>
    <n v="0"/>
    <n v="0"/>
    <n v="0"/>
  </r>
  <r>
    <x v="60"/>
    <x v="2"/>
    <s v="csw, qb"/>
    <d v="1899-12-30T08:03:00"/>
    <d v="1899-12-30T11:00:00"/>
    <n v="35"/>
    <n v="11"/>
    <m/>
    <m/>
    <n v="176.99999999999994"/>
    <m/>
    <m/>
    <m/>
    <n v="0"/>
    <m/>
    <m/>
    <m/>
    <n v="0"/>
    <m/>
    <m/>
    <m/>
    <m/>
    <n v="0"/>
    <m/>
    <m/>
    <m/>
    <n v="0"/>
    <n v="2"/>
    <m/>
    <m/>
    <n v="2"/>
    <m/>
    <m/>
    <m/>
    <m/>
    <n v="0"/>
    <m/>
    <m/>
    <m/>
    <m/>
    <m/>
    <m/>
    <m/>
    <n v="0"/>
    <m/>
    <m/>
    <s v="20140805 CSewright"/>
    <s v="20140806 AStephens"/>
    <s v="FW_Scan_20140805.pdf"/>
    <n v="0"/>
    <n v="0"/>
    <n v="0"/>
    <n v="0"/>
    <n v="0"/>
    <n v="0"/>
    <n v="0"/>
    <n v="0"/>
    <n v="0"/>
    <n v="0"/>
    <n v="0"/>
    <n v="0"/>
    <n v="0"/>
    <n v="2"/>
    <n v="0"/>
    <n v="0"/>
    <n v="0"/>
    <n v="0"/>
    <n v="0"/>
    <n v="0"/>
  </r>
  <r>
    <x v="60"/>
    <x v="2"/>
    <s v="ji, csj"/>
    <d v="1899-12-30T11:00:00"/>
    <d v="1899-12-30T16:10:00"/>
    <n v="35"/>
    <n v="12"/>
    <m/>
    <m/>
    <n v="310.00000000000006"/>
    <m/>
    <m/>
    <m/>
    <n v="0"/>
    <m/>
    <m/>
    <m/>
    <n v="0"/>
    <m/>
    <m/>
    <m/>
    <m/>
    <n v="0"/>
    <n v="1"/>
    <m/>
    <m/>
    <n v="1"/>
    <n v="2"/>
    <m/>
    <m/>
    <n v="2"/>
    <m/>
    <m/>
    <m/>
    <m/>
    <n v="0"/>
    <m/>
    <m/>
    <m/>
    <m/>
    <m/>
    <m/>
    <m/>
    <n v="0"/>
    <s v="Moved FW down 1.5&quot; on both sides. Bilged port side pontoon 11:45-12:15"/>
    <m/>
    <s v="20140805 JImrie"/>
    <s v="20140806 AStephens"/>
    <s v="FW_Scan_20140805.pdf"/>
    <n v="0"/>
    <n v="0"/>
    <n v="0"/>
    <n v="0"/>
    <n v="0"/>
    <n v="0"/>
    <n v="0"/>
    <n v="0"/>
    <n v="0"/>
    <n v="0"/>
    <n v="1"/>
    <n v="0"/>
    <n v="0"/>
    <n v="2"/>
    <n v="0"/>
    <n v="0"/>
    <n v="0"/>
    <n v="0"/>
    <n v="0"/>
    <n v="0"/>
  </r>
  <r>
    <x v="60"/>
    <x v="2"/>
    <s v="jk,bk"/>
    <d v="1899-12-30T16:10:00"/>
    <d v="1899-12-30T20:03:00"/>
    <n v="36"/>
    <n v="12"/>
    <m/>
    <m/>
    <n v="232.99999999999997"/>
    <m/>
    <m/>
    <m/>
    <n v="0"/>
    <m/>
    <m/>
    <m/>
    <n v="0"/>
    <n v="2"/>
    <m/>
    <m/>
    <m/>
    <n v="2"/>
    <m/>
    <m/>
    <m/>
    <n v="0"/>
    <m/>
    <n v="3"/>
    <m/>
    <n v="3"/>
    <m/>
    <m/>
    <m/>
    <m/>
    <n v="0"/>
    <m/>
    <m/>
    <m/>
    <m/>
    <m/>
    <m/>
    <m/>
    <n v="0"/>
    <m/>
    <m/>
    <s v="20140805 JKunzler"/>
    <s v="20140806 AStephens"/>
    <s v="FW_Scan_20140805.pdf"/>
    <n v="0"/>
    <n v="0"/>
    <n v="0"/>
    <n v="0"/>
    <n v="0"/>
    <n v="0"/>
    <n v="2"/>
    <n v="0"/>
    <n v="0"/>
    <n v="0"/>
    <n v="0"/>
    <n v="0"/>
    <n v="0"/>
    <n v="0"/>
    <n v="3"/>
    <n v="0"/>
    <n v="0"/>
    <n v="0"/>
    <n v="0"/>
    <n v="0"/>
  </r>
  <r>
    <x v="60"/>
    <x v="1"/>
    <s v="jk, bk"/>
    <d v="1899-12-30T08:04:00"/>
    <d v="1899-12-30T13:35:00"/>
    <n v="48"/>
    <n v="10"/>
    <m/>
    <m/>
    <n v="331.00000000000006"/>
    <m/>
    <n v="2"/>
    <m/>
    <n v="2"/>
    <m/>
    <m/>
    <m/>
    <n v="0"/>
    <n v="1"/>
    <m/>
    <m/>
    <m/>
    <n v="1"/>
    <n v="3"/>
    <n v="79"/>
    <m/>
    <n v="82"/>
    <n v="4"/>
    <m/>
    <m/>
    <n v="4"/>
    <m/>
    <n v="1"/>
    <m/>
    <m/>
    <n v="1"/>
    <m/>
    <m/>
    <n v="1"/>
    <m/>
    <m/>
    <m/>
    <m/>
    <n v="1"/>
    <m/>
    <m/>
    <s v="20140805 JKunzler"/>
    <s v="20140806 AStephens"/>
    <s v="FW_Scan_20140805.pdf"/>
    <n v="0"/>
    <n v="2"/>
    <n v="0"/>
    <n v="0"/>
    <n v="0"/>
    <n v="0"/>
    <n v="1"/>
    <n v="0"/>
    <n v="0"/>
    <n v="0"/>
    <n v="3"/>
    <n v="79"/>
    <n v="0"/>
    <n v="4"/>
    <n v="0"/>
    <n v="0"/>
    <n v="0"/>
    <n v="1"/>
    <n v="0"/>
    <n v="0"/>
  </r>
  <r>
    <x v="60"/>
    <x v="1"/>
    <s v="csw, qb"/>
    <d v="1899-12-30T13:35:00"/>
    <d v="1899-12-30T20:09:00"/>
    <n v="47"/>
    <n v="11.5"/>
    <m/>
    <m/>
    <n v="393.99999999999989"/>
    <m/>
    <n v="1"/>
    <m/>
    <n v="1"/>
    <m/>
    <m/>
    <m/>
    <n v="0"/>
    <n v="2"/>
    <m/>
    <m/>
    <m/>
    <n v="2"/>
    <n v="2"/>
    <n v="92"/>
    <n v="1"/>
    <n v="95"/>
    <n v="2"/>
    <n v="6"/>
    <n v="1"/>
    <n v="9"/>
    <n v="2"/>
    <m/>
    <m/>
    <m/>
    <n v="2"/>
    <m/>
    <m/>
    <m/>
    <m/>
    <m/>
    <m/>
    <m/>
    <n v="0"/>
    <m/>
    <m/>
    <s v="20140805 CSewright"/>
    <s v="20140806 AStephens"/>
    <s v="FW_Scan_20140805.pdf"/>
    <n v="0"/>
    <n v="1"/>
    <n v="0"/>
    <n v="0"/>
    <n v="0"/>
    <n v="0"/>
    <n v="2"/>
    <n v="0"/>
    <n v="0"/>
    <n v="0"/>
    <n v="2"/>
    <n v="92"/>
    <n v="1"/>
    <n v="2"/>
    <n v="6"/>
    <n v="1"/>
    <n v="2"/>
    <n v="0"/>
    <n v="0"/>
    <n v="0"/>
  </r>
  <r>
    <x v="61"/>
    <x v="0"/>
    <s v="qb, csw"/>
    <d v="1899-12-30T08:14:00"/>
    <d v="1899-12-30T11:00:00"/>
    <n v="49"/>
    <n v="8.5"/>
    <m/>
    <m/>
    <n v="166.00000000000006"/>
    <m/>
    <m/>
    <m/>
    <n v="0"/>
    <m/>
    <m/>
    <m/>
    <n v="0"/>
    <n v="1"/>
    <m/>
    <m/>
    <m/>
    <n v="1"/>
    <n v="2"/>
    <n v="4"/>
    <m/>
    <n v="6"/>
    <m/>
    <m/>
    <m/>
    <n v="0"/>
    <m/>
    <m/>
    <m/>
    <m/>
    <n v="0"/>
    <m/>
    <m/>
    <m/>
    <m/>
    <m/>
    <m/>
    <m/>
    <n v="0"/>
    <m/>
    <m/>
    <s v="20140806 CSewright"/>
    <s v="20140807 JImrie"/>
    <s v="FW_Scan_20140806.pdf"/>
    <n v="0"/>
    <n v="0"/>
    <n v="0"/>
    <n v="0"/>
    <n v="0"/>
    <n v="0"/>
    <n v="1"/>
    <n v="0"/>
    <n v="0"/>
    <n v="0"/>
    <n v="2"/>
    <n v="4"/>
    <n v="0"/>
    <n v="0"/>
    <n v="0"/>
    <n v="0"/>
    <n v="0"/>
    <n v="0"/>
    <n v="0"/>
    <n v="0"/>
  </r>
  <r>
    <x v="61"/>
    <x v="0"/>
    <s v="bk, ji"/>
    <d v="1899-12-30T11:00:00"/>
    <d v="1899-12-30T16:45:00"/>
    <n v="44"/>
    <n v="9"/>
    <m/>
    <n v="81.7"/>
    <n v="345"/>
    <m/>
    <m/>
    <m/>
    <n v="0"/>
    <m/>
    <m/>
    <m/>
    <n v="0"/>
    <m/>
    <m/>
    <m/>
    <m/>
    <n v="0"/>
    <m/>
    <n v="43"/>
    <m/>
    <n v="43"/>
    <n v="3"/>
    <n v="1"/>
    <m/>
    <n v="4"/>
    <m/>
    <m/>
    <m/>
    <m/>
    <n v="0"/>
    <m/>
    <n v="1"/>
    <m/>
    <m/>
    <m/>
    <m/>
    <m/>
    <n v="1"/>
    <m/>
    <m/>
    <s v="20140806 JImrie"/>
    <s v="20140807 JImrie"/>
    <s v="FW_Scan_20140806.pdf"/>
    <n v="0"/>
    <n v="0"/>
    <n v="0"/>
    <n v="0"/>
    <n v="0"/>
    <n v="0"/>
    <n v="0"/>
    <n v="0"/>
    <n v="0"/>
    <n v="0"/>
    <n v="0"/>
    <n v="43"/>
    <n v="0"/>
    <n v="3"/>
    <n v="1"/>
    <n v="0"/>
    <n v="0"/>
    <n v="0"/>
    <n v="0"/>
    <n v="0"/>
  </r>
  <r>
    <x v="61"/>
    <x v="0"/>
    <s v="jk,csj"/>
    <d v="1899-12-30T16:45:00"/>
    <d v="1899-12-30T20:14:00"/>
    <n v="46"/>
    <n v="9"/>
    <m/>
    <m/>
    <n v="209.00000000000006"/>
    <m/>
    <m/>
    <m/>
    <n v="0"/>
    <m/>
    <m/>
    <m/>
    <n v="0"/>
    <m/>
    <m/>
    <m/>
    <m/>
    <n v="0"/>
    <n v="1"/>
    <n v="36"/>
    <m/>
    <n v="37"/>
    <n v="1"/>
    <n v="1"/>
    <m/>
    <n v="2"/>
    <m/>
    <m/>
    <n v="1"/>
    <m/>
    <n v="1"/>
    <m/>
    <m/>
    <m/>
    <m/>
    <m/>
    <m/>
    <m/>
    <n v="0"/>
    <m/>
    <m/>
    <s v="20140806 JKunzler"/>
    <s v="20140807 JImrie"/>
    <s v="FW_Scan_20140806.pdf"/>
    <n v="0"/>
    <n v="0"/>
    <n v="0"/>
    <n v="0"/>
    <n v="0"/>
    <n v="0"/>
    <n v="0"/>
    <n v="0"/>
    <n v="0"/>
    <n v="0"/>
    <n v="1"/>
    <n v="36"/>
    <n v="0"/>
    <n v="1"/>
    <n v="1"/>
    <n v="0"/>
    <n v="0"/>
    <n v="0"/>
    <n v="1"/>
    <n v="0"/>
  </r>
  <r>
    <x v="61"/>
    <x v="2"/>
    <s v="csw,qb"/>
    <d v="1899-12-30T08:08:00"/>
    <d v="1899-12-30T11:00:00"/>
    <n v="33"/>
    <n v="10.5"/>
    <m/>
    <m/>
    <n v="172.00000000000003"/>
    <m/>
    <m/>
    <m/>
    <n v="0"/>
    <m/>
    <m/>
    <m/>
    <n v="0"/>
    <m/>
    <m/>
    <m/>
    <m/>
    <n v="0"/>
    <m/>
    <m/>
    <m/>
    <n v="0"/>
    <m/>
    <m/>
    <m/>
    <n v="0"/>
    <m/>
    <m/>
    <m/>
    <m/>
    <n v="0"/>
    <m/>
    <m/>
    <m/>
    <m/>
    <m/>
    <m/>
    <m/>
    <n v="0"/>
    <m/>
    <s v="No fish!  Water up, lowered wheel at end of shift. Other crews check regularly. "/>
    <s v="20140806 CSewright"/>
    <s v="20140807 JImrie"/>
    <s v="FW_Scan_20140806.pdf"/>
    <n v="0"/>
    <n v="0"/>
    <n v="0"/>
    <n v="0"/>
    <n v="0"/>
    <n v="0"/>
    <n v="0"/>
    <n v="0"/>
    <n v="0"/>
    <n v="0"/>
    <n v="0"/>
    <n v="0"/>
    <n v="0"/>
    <n v="0"/>
    <n v="0"/>
    <n v="0"/>
    <n v="0"/>
    <n v="0"/>
    <n v="0"/>
    <n v="0"/>
  </r>
  <r>
    <x v="61"/>
    <x v="2"/>
    <s v="ji,bk"/>
    <d v="1899-12-30T11:00:00"/>
    <d v="1899-12-30T16:33:00"/>
    <n v="35"/>
    <n v="10"/>
    <m/>
    <m/>
    <n v="333.00000000000006"/>
    <m/>
    <m/>
    <m/>
    <n v="0"/>
    <m/>
    <m/>
    <m/>
    <n v="0"/>
    <n v="2"/>
    <m/>
    <m/>
    <m/>
    <n v="2"/>
    <n v="1"/>
    <m/>
    <m/>
    <n v="1"/>
    <n v="1"/>
    <m/>
    <m/>
    <n v="1"/>
    <n v="1"/>
    <m/>
    <m/>
    <m/>
    <n v="1"/>
    <m/>
    <m/>
    <m/>
    <m/>
    <m/>
    <m/>
    <m/>
    <n v="0"/>
    <s v="cleared lead net of debris.  Let top lead net out about 12 cm.  Chain out about 20 cm @ 1345."/>
    <m/>
    <s v="20140806 JImrie"/>
    <s v="20140807 JImrie"/>
    <s v="FW_Scan_20140806.pdf"/>
    <n v="0"/>
    <n v="0"/>
    <n v="0"/>
    <n v="0"/>
    <n v="0"/>
    <n v="0"/>
    <n v="2"/>
    <n v="0"/>
    <n v="0"/>
    <n v="0"/>
    <n v="1"/>
    <n v="0"/>
    <n v="0"/>
    <n v="1"/>
    <n v="0"/>
    <n v="0"/>
    <n v="1"/>
    <n v="0"/>
    <n v="0"/>
    <n v="0"/>
  </r>
  <r>
    <x v="61"/>
    <x v="2"/>
    <s v="jk,csj"/>
    <d v="1899-12-30T16:33:00"/>
    <d v="1899-12-30T20:08:00"/>
    <n v="34"/>
    <n v="10"/>
    <m/>
    <m/>
    <n v="215.00000000000003"/>
    <m/>
    <m/>
    <m/>
    <n v="0"/>
    <m/>
    <m/>
    <m/>
    <n v="0"/>
    <n v="2"/>
    <m/>
    <m/>
    <n v="1"/>
    <n v="3"/>
    <m/>
    <n v="1"/>
    <m/>
    <n v="1"/>
    <n v="1"/>
    <n v="1"/>
    <m/>
    <n v="2"/>
    <m/>
    <m/>
    <m/>
    <m/>
    <n v="0"/>
    <m/>
    <m/>
    <m/>
    <m/>
    <m/>
    <m/>
    <m/>
    <n v="0"/>
    <m/>
    <m/>
    <s v="20140806 CSejkora"/>
    <s v="20140807 JImrie"/>
    <s v="FW_Scan_20140806.pdf"/>
    <n v="0"/>
    <n v="0"/>
    <n v="0"/>
    <n v="0"/>
    <n v="0"/>
    <n v="0"/>
    <n v="2"/>
    <n v="0"/>
    <n v="0"/>
    <n v="1"/>
    <n v="0"/>
    <n v="1"/>
    <n v="0"/>
    <n v="1"/>
    <n v="1"/>
    <n v="0"/>
    <n v="0"/>
    <n v="0"/>
    <n v="0"/>
    <n v="0"/>
  </r>
  <r>
    <x v="61"/>
    <x v="1"/>
    <s v="csj, jk"/>
    <d v="1899-12-30T08:06:00"/>
    <d v="1899-12-30T13:56:00"/>
    <n v="47"/>
    <n v="10"/>
    <m/>
    <m/>
    <n v="350.00000000000011"/>
    <m/>
    <m/>
    <m/>
    <n v="0"/>
    <m/>
    <n v="1"/>
    <m/>
    <n v="1"/>
    <m/>
    <m/>
    <m/>
    <m/>
    <n v="0"/>
    <n v="2"/>
    <n v="64"/>
    <m/>
    <n v="66"/>
    <n v="4"/>
    <n v="1"/>
    <m/>
    <n v="5"/>
    <m/>
    <m/>
    <m/>
    <m/>
    <n v="0"/>
    <m/>
    <m/>
    <m/>
    <m/>
    <m/>
    <m/>
    <m/>
    <n v="0"/>
    <m/>
    <m/>
    <s v="20140806 JKunzler"/>
    <s v="20140807 JImrie"/>
    <s v="FW_Scan_20140806.pdf"/>
    <n v="0"/>
    <n v="0"/>
    <n v="0"/>
    <n v="0"/>
    <n v="1"/>
    <n v="0"/>
    <n v="0"/>
    <n v="0"/>
    <n v="0"/>
    <n v="0"/>
    <n v="2"/>
    <n v="64"/>
    <n v="0"/>
    <n v="4"/>
    <n v="1"/>
    <n v="0"/>
    <n v="0"/>
    <n v="0"/>
    <n v="0"/>
    <n v="0"/>
  </r>
  <r>
    <x v="61"/>
    <x v="1"/>
    <s v="qb,csw"/>
    <d v="1899-12-30T13:56:00"/>
    <d v="1899-12-30T20:06:00"/>
    <n v="46"/>
    <n v="11"/>
    <m/>
    <m/>
    <n v="369.99999999999994"/>
    <m/>
    <n v="1"/>
    <m/>
    <n v="1"/>
    <m/>
    <m/>
    <m/>
    <n v="0"/>
    <m/>
    <m/>
    <m/>
    <m/>
    <n v="0"/>
    <n v="2"/>
    <n v="101"/>
    <n v="1"/>
    <n v="104"/>
    <n v="2"/>
    <n v="2"/>
    <m/>
    <n v="4"/>
    <n v="3"/>
    <m/>
    <m/>
    <m/>
    <n v="3"/>
    <m/>
    <m/>
    <n v="1"/>
    <m/>
    <m/>
    <m/>
    <m/>
    <n v="1"/>
    <m/>
    <s v="small smolt seen in port side tank"/>
    <s v="20140806 QBerger"/>
    <s v="20140807 JImrie"/>
    <s v="FW_Scan_20140806.pdf"/>
    <n v="0"/>
    <n v="1"/>
    <n v="0"/>
    <n v="0"/>
    <n v="0"/>
    <n v="0"/>
    <n v="0"/>
    <n v="0"/>
    <n v="0"/>
    <n v="0"/>
    <n v="2"/>
    <n v="101"/>
    <n v="1"/>
    <n v="2"/>
    <n v="2"/>
    <n v="0"/>
    <n v="3"/>
    <n v="0"/>
    <n v="0"/>
    <n v="0"/>
  </r>
  <r>
    <x v="62"/>
    <x v="0"/>
    <s v="qb, jk"/>
    <d v="1899-12-30T08:10:00"/>
    <d v="1899-12-30T13:41:00"/>
    <n v="49"/>
    <n v="7"/>
    <m/>
    <m/>
    <n v="331.00000000000006"/>
    <m/>
    <n v="1"/>
    <m/>
    <n v="1"/>
    <m/>
    <m/>
    <m/>
    <n v="0"/>
    <n v="1"/>
    <m/>
    <m/>
    <m/>
    <n v="1"/>
    <n v="1"/>
    <n v="63"/>
    <m/>
    <n v="64"/>
    <n v="2"/>
    <n v="6"/>
    <m/>
    <n v="8"/>
    <n v="2"/>
    <m/>
    <m/>
    <m/>
    <n v="2"/>
    <m/>
    <m/>
    <m/>
    <m/>
    <m/>
    <m/>
    <m/>
    <n v="0"/>
    <m/>
    <m/>
    <s v="20140807 QBerger"/>
    <s v="20140808 LAckein"/>
    <s v="FW_Scan_20140807.pdf"/>
    <n v="0"/>
    <n v="1"/>
    <n v="0"/>
    <n v="0"/>
    <n v="0"/>
    <n v="0"/>
    <n v="1"/>
    <n v="0"/>
    <n v="0"/>
    <n v="0"/>
    <n v="1"/>
    <n v="63"/>
    <n v="0"/>
    <n v="2"/>
    <n v="6"/>
    <n v="0"/>
    <n v="2"/>
    <n v="0"/>
    <n v="0"/>
    <n v="0"/>
  </r>
  <r>
    <x v="62"/>
    <x v="0"/>
    <s v="bk,csj "/>
    <d v="1899-12-30T13:41:00"/>
    <d v="1899-12-30T20:10:00"/>
    <n v="52"/>
    <n v="10"/>
    <m/>
    <m/>
    <n v="389.00000000000006"/>
    <m/>
    <n v="1"/>
    <m/>
    <n v="1"/>
    <m/>
    <m/>
    <m/>
    <n v="0"/>
    <n v="2"/>
    <m/>
    <m/>
    <m/>
    <n v="2"/>
    <n v="2"/>
    <n v="96"/>
    <n v="1"/>
    <n v="99"/>
    <m/>
    <n v="10"/>
    <m/>
    <n v="10"/>
    <n v="3"/>
    <m/>
    <m/>
    <m/>
    <n v="3"/>
    <m/>
    <m/>
    <m/>
    <m/>
    <m/>
    <m/>
    <m/>
    <n v="0"/>
    <m/>
    <m/>
    <s v="20140807 CSejkora"/>
    <s v="20140808 LAckein"/>
    <s v="FW_Scan_20140807.pdf"/>
    <n v="0"/>
    <n v="1"/>
    <n v="0"/>
    <n v="0"/>
    <n v="0"/>
    <n v="0"/>
    <n v="2"/>
    <n v="0"/>
    <n v="0"/>
    <n v="0"/>
    <n v="2"/>
    <n v="96"/>
    <n v="1"/>
    <n v="0"/>
    <n v="10"/>
    <n v="0"/>
    <n v="3"/>
    <n v="0"/>
    <n v="0"/>
    <n v="0"/>
  </r>
  <r>
    <x v="62"/>
    <x v="2"/>
    <s v="qb,jk"/>
    <d v="1899-12-30T08:02:00"/>
    <d v="1899-12-30T14:00:00"/>
    <n v="35"/>
    <n v="10"/>
    <m/>
    <m/>
    <n v="358.00000000000011"/>
    <m/>
    <m/>
    <m/>
    <n v="0"/>
    <m/>
    <m/>
    <m/>
    <n v="0"/>
    <n v="5"/>
    <m/>
    <m/>
    <m/>
    <n v="5"/>
    <m/>
    <n v="1"/>
    <m/>
    <n v="1"/>
    <n v="4"/>
    <n v="9"/>
    <m/>
    <n v="13"/>
    <m/>
    <m/>
    <m/>
    <m/>
    <n v="0"/>
    <m/>
    <m/>
    <m/>
    <m/>
    <m/>
    <m/>
    <m/>
    <n v="0"/>
    <m/>
    <m/>
    <s v="20140807 JKunzler"/>
    <s v="20140808 HReider"/>
    <s v="FW_Scan_20140807.pdf"/>
    <n v="0"/>
    <n v="0"/>
    <n v="0"/>
    <n v="0"/>
    <n v="0"/>
    <n v="0"/>
    <n v="5"/>
    <n v="0"/>
    <n v="0"/>
    <n v="0"/>
    <n v="0"/>
    <n v="1"/>
    <n v="0"/>
    <n v="4"/>
    <n v="9"/>
    <n v="0"/>
    <n v="0"/>
    <n v="0"/>
    <n v="0"/>
    <n v="0"/>
  </r>
  <r>
    <x v="62"/>
    <x v="2"/>
    <s v="bk,csj"/>
    <d v="1899-12-30T14:00:00"/>
    <d v="1899-12-30T20:02:00"/>
    <n v="35"/>
    <n v="11"/>
    <m/>
    <m/>
    <n v="362"/>
    <m/>
    <m/>
    <m/>
    <n v="0"/>
    <m/>
    <m/>
    <m/>
    <n v="0"/>
    <n v="3"/>
    <m/>
    <m/>
    <m/>
    <n v="3"/>
    <n v="1"/>
    <n v="1"/>
    <m/>
    <n v="2"/>
    <m/>
    <n v="6"/>
    <m/>
    <n v="6"/>
    <m/>
    <m/>
    <m/>
    <m/>
    <n v="0"/>
    <m/>
    <m/>
    <m/>
    <m/>
    <m/>
    <m/>
    <m/>
    <n v="0"/>
    <m/>
    <m/>
    <s v="20140807 BKalb"/>
    <s v="20140808 HReider"/>
    <s v="FW_Scan_20140807.pdf"/>
    <n v="0"/>
    <n v="0"/>
    <n v="0"/>
    <n v="0"/>
    <n v="0"/>
    <n v="0"/>
    <n v="3"/>
    <n v="0"/>
    <n v="0"/>
    <n v="0"/>
    <n v="1"/>
    <n v="1"/>
    <n v="0"/>
    <n v="0"/>
    <n v="6"/>
    <n v="0"/>
    <n v="0"/>
    <n v="0"/>
    <n v="0"/>
    <n v="0"/>
  </r>
  <r>
    <x v="62"/>
    <x v="1"/>
    <s v="bk,csj"/>
    <d v="1899-12-30T08:03:00"/>
    <d v="1899-12-30T10:45:00"/>
    <n v="49"/>
    <n v="10"/>
    <m/>
    <m/>
    <n v="161.99999999999997"/>
    <m/>
    <m/>
    <m/>
    <n v="0"/>
    <m/>
    <m/>
    <m/>
    <n v="0"/>
    <m/>
    <m/>
    <m/>
    <m/>
    <n v="0"/>
    <n v="1"/>
    <n v="30"/>
    <m/>
    <n v="31"/>
    <n v="3"/>
    <n v="2"/>
    <m/>
    <n v="5"/>
    <n v="1"/>
    <m/>
    <n v="1"/>
    <m/>
    <n v="2"/>
    <m/>
    <m/>
    <m/>
    <m/>
    <m/>
    <m/>
    <m/>
    <n v="0"/>
    <m/>
    <m/>
    <s v="20140807 CSejkora"/>
    <s v="20140808 HReider"/>
    <s v="FW_Scan_20140807.pdf"/>
    <n v="0"/>
    <n v="0"/>
    <n v="0"/>
    <n v="0"/>
    <n v="0"/>
    <n v="0"/>
    <n v="0"/>
    <n v="0"/>
    <n v="0"/>
    <n v="0"/>
    <n v="1"/>
    <n v="30"/>
    <n v="0"/>
    <n v="3"/>
    <n v="2"/>
    <n v="0"/>
    <n v="1"/>
    <n v="0"/>
    <n v="1"/>
    <n v="0"/>
  </r>
  <r>
    <x v="62"/>
    <x v="1"/>
    <s v="csw,ji"/>
    <d v="1899-12-30T10:45:00"/>
    <d v="1899-12-30T17:00:00"/>
    <n v="49"/>
    <n v="11"/>
    <m/>
    <m/>
    <n v="375"/>
    <m/>
    <n v="1"/>
    <m/>
    <n v="1"/>
    <m/>
    <m/>
    <m/>
    <n v="0"/>
    <n v="1"/>
    <m/>
    <m/>
    <m/>
    <n v="1"/>
    <n v="2"/>
    <n v="87"/>
    <n v="1"/>
    <n v="90"/>
    <n v="2"/>
    <n v="8"/>
    <m/>
    <n v="10"/>
    <n v="3"/>
    <m/>
    <m/>
    <m/>
    <n v="3"/>
    <m/>
    <m/>
    <m/>
    <m/>
    <m/>
    <m/>
    <m/>
    <n v="0"/>
    <m/>
    <m/>
    <s v="20140807 CSewright"/>
    <s v="20140808 HReider"/>
    <s v="FW_Scan_20140807.pdf"/>
    <n v="0"/>
    <n v="1"/>
    <n v="0"/>
    <n v="0"/>
    <n v="0"/>
    <n v="0"/>
    <n v="1"/>
    <n v="0"/>
    <n v="0"/>
    <n v="0"/>
    <n v="2"/>
    <n v="87"/>
    <n v="1"/>
    <n v="2"/>
    <n v="8"/>
    <n v="0"/>
    <n v="3"/>
    <n v="0"/>
    <n v="0"/>
    <n v="0"/>
  </r>
  <r>
    <x v="62"/>
    <x v="1"/>
    <s v="qb, jk"/>
    <d v="1899-12-30T17:00:00"/>
    <d v="1899-12-30T20:03:00"/>
    <n v="44"/>
    <n v="11"/>
    <m/>
    <m/>
    <n v="183"/>
    <m/>
    <m/>
    <m/>
    <n v="0"/>
    <m/>
    <m/>
    <m/>
    <n v="0"/>
    <m/>
    <m/>
    <m/>
    <m/>
    <n v="0"/>
    <n v="1"/>
    <n v="58"/>
    <m/>
    <n v="59"/>
    <n v="1"/>
    <n v="4"/>
    <m/>
    <n v="5"/>
    <n v="1"/>
    <m/>
    <m/>
    <m/>
    <n v="1"/>
    <m/>
    <m/>
    <m/>
    <m/>
    <m/>
    <m/>
    <m/>
    <n v="0"/>
    <m/>
    <m/>
    <s v="20140807 JKunzler"/>
    <s v="20140808 HReider"/>
    <s v="FW_Scan_20140807.pdf"/>
    <n v="0"/>
    <n v="0"/>
    <n v="0"/>
    <n v="0"/>
    <n v="0"/>
    <n v="0"/>
    <n v="0"/>
    <n v="0"/>
    <n v="0"/>
    <n v="0"/>
    <n v="1"/>
    <n v="58"/>
    <n v="0"/>
    <n v="1"/>
    <n v="4"/>
    <n v="0"/>
    <n v="1"/>
    <n v="0"/>
    <n v="0"/>
    <n v="0"/>
  </r>
  <r>
    <x v="63"/>
    <x v="0"/>
    <s v="csw,ji"/>
    <d v="1899-12-30T08:16:00"/>
    <d v="1899-12-30T14:00:00"/>
    <n v="52"/>
    <n v="9"/>
    <m/>
    <n v="46.6"/>
    <n v="343.99999999999994"/>
    <m/>
    <m/>
    <m/>
    <n v="0"/>
    <m/>
    <m/>
    <m/>
    <n v="0"/>
    <n v="1"/>
    <m/>
    <m/>
    <m/>
    <n v="1"/>
    <n v="1"/>
    <n v="26"/>
    <m/>
    <n v="27"/>
    <n v="1"/>
    <n v="1"/>
    <m/>
    <n v="2"/>
    <m/>
    <m/>
    <m/>
    <m/>
    <n v="0"/>
    <m/>
    <m/>
    <m/>
    <m/>
    <m/>
    <m/>
    <m/>
    <n v="0"/>
    <m/>
    <m/>
    <s v="20140808 CSewright"/>
    <s v="20140809 HReider"/>
    <s v="FW_Scan_20140808.pdf"/>
    <n v="0"/>
    <n v="0"/>
    <n v="0"/>
    <n v="0"/>
    <n v="0"/>
    <n v="0"/>
    <n v="1"/>
    <n v="0"/>
    <n v="0"/>
    <n v="0"/>
    <n v="1"/>
    <n v="26"/>
    <n v="0"/>
    <n v="1"/>
    <n v="1"/>
    <n v="0"/>
    <n v="0"/>
    <n v="0"/>
    <n v="0"/>
    <n v="0"/>
  </r>
  <r>
    <x v="63"/>
    <x v="0"/>
    <s v="qb,csj"/>
    <d v="1899-12-30T14:00:00"/>
    <d v="1899-12-30T20:16:00"/>
    <n v="54"/>
    <n v="12"/>
    <m/>
    <m/>
    <n v="375.99999999999994"/>
    <m/>
    <m/>
    <m/>
    <n v="0"/>
    <m/>
    <n v="1"/>
    <m/>
    <n v="1"/>
    <n v="3"/>
    <m/>
    <m/>
    <m/>
    <n v="3"/>
    <n v="3"/>
    <n v="48"/>
    <m/>
    <n v="51"/>
    <m/>
    <n v="7"/>
    <m/>
    <n v="7"/>
    <n v="1"/>
    <n v="1"/>
    <m/>
    <m/>
    <n v="2"/>
    <m/>
    <m/>
    <m/>
    <m/>
    <m/>
    <m/>
    <m/>
    <n v="0"/>
    <m/>
    <m/>
    <s v="20140808 CSejkora"/>
    <s v="20140809 HReider"/>
    <s v="FW_Scan_20140808.pdf"/>
    <n v="0"/>
    <n v="0"/>
    <n v="0"/>
    <n v="0"/>
    <n v="1"/>
    <n v="0"/>
    <n v="3"/>
    <n v="0"/>
    <n v="0"/>
    <n v="0"/>
    <n v="3"/>
    <n v="48"/>
    <n v="0"/>
    <n v="0"/>
    <n v="7"/>
    <n v="0"/>
    <n v="1"/>
    <n v="1"/>
    <n v="0"/>
    <n v="0"/>
  </r>
  <r>
    <x v="63"/>
    <x v="2"/>
    <s v="csw,ji"/>
    <d v="1899-12-30T08:06:00"/>
    <d v="1899-12-30T14:00:00"/>
    <n v="36"/>
    <n v="11"/>
    <m/>
    <m/>
    <n v="354.00000000000011"/>
    <m/>
    <m/>
    <m/>
    <n v="0"/>
    <m/>
    <m/>
    <m/>
    <n v="0"/>
    <m/>
    <m/>
    <m/>
    <m/>
    <n v="0"/>
    <n v="1"/>
    <n v="1"/>
    <m/>
    <n v="2"/>
    <n v="3"/>
    <n v="3"/>
    <m/>
    <n v="6"/>
    <m/>
    <m/>
    <m/>
    <m/>
    <n v="0"/>
    <m/>
    <m/>
    <m/>
    <m/>
    <m/>
    <m/>
    <m/>
    <n v="0"/>
    <m/>
    <m/>
    <s v="20140808 CSewright"/>
    <s v="20140809 HReider"/>
    <s v="FW_Scan_20140808.pdf"/>
    <n v="0"/>
    <n v="0"/>
    <n v="0"/>
    <n v="0"/>
    <n v="0"/>
    <n v="0"/>
    <n v="0"/>
    <n v="0"/>
    <n v="0"/>
    <n v="0"/>
    <n v="1"/>
    <n v="1"/>
    <n v="0"/>
    <n v="3"/>
    <n v="3"/>
    <n v="0"/>
    <n v="0"/>
    <n v="0"/>
    <n v="0"/>
    <n v="0"/>
  </r>
  <r>
    <x v="63"/>
    <x v="2"/>
    <s v="csj,qb"/>
    <d v="1899-12-30T14:00:00"/>
    <d v="1899-12-30T20:06:00"/>
    <n v="37"/>
    <n v="11"/>
    <m/>
    <m/>
    <n v="366"/>
    <m/>
    <m/>
    <m/>
    <n v="0"/>
    <m/>
    <m/>
    <m/>
    <n v="0"/>
    <m/>
    <m/>
    <m/>
    <m/>
    <n v="0"/>
    <m/>
    <m/>
    <m/>
    <n v="0"/>
    <n v="2"/>
    <n v="5"/>
    <n v="1"/>
    <n v="8"/>
    <m/>
    <m/>
    <m/>
    <m/>
    <n v="0"/>
    <m/>
    <m/>
    <m/>
    <m/>
    <m/>
    <m/>
    <m/>
    <n v="0"/>
    <m/>
    <m/>
    <s v="20140808 CSejkora"/>
    <s v="20140809 HReider"/>
    <s v="FW_Scan_20140808.pdf"/>
    <n v="0"/>
    <n v="0"/>
    <n v="0"/>
    <n v="0"/>
    <n v="0"/>
    <n v="0"/>
    <n v="0"/>
    <n v="0"/>
    <n v="0"/>
    <n v="0"/>
    <n v="0"/>
    <n v="0"/>
    <n v="0"/>
    <n v="2"/>
    <n v="5"/>
    <n v="1"/>
    <n v="0"/>
    <n v="0"/>
    <n v="0"/>
    <n v="0"/>
  </r>
  <r>
    <x v="63"/>
    <x v="1"/>
    <s v="qb,csj"/>
    <d v="1899-12-30T08:07:00"/>
    <d v="1899-12-30T10:47:00"/>
    <n v="51"/>
    <n v="10"/>
    <m/>
    <m/>
    <n v="160"/>
    <m/>
    <m/>
    <m/>
    <n v="0"/>
    <m/>
    <m/>
    <m/>
    <n v="0"/>
    <m/>
    <m/>
    <m/>
    <m/>
    <n v="0"/>
    <n v="2"/>
    <n v="25"/>
    <m/>
    <n v="27"/>
    <n v="1"/>
    <m/>
    <m/>
    <n v="1"/>
    <m/>
    <m/>
    <m/>
    <m/>
    <n v="0"/>
    <m/>
    <m/>
    <m/>
    <m/>
    <m/>
    <m/>
    <m/>
    <n v="0"/>
    <m/>
    <m/>
    <s v="20140808 CSejkora"/>
    <s v="20140809 HReider"/>
    <s v="FW_Scan_20140808.pdf"/>
    <n v="0"/>
    <n v="0"/>
    <n v="0"/>
    <n v="0"/>
    <n v="0"/>
    <n v="0"/>
    <n v="0"/>
    <n v="0"/>
    <n v="0"/>
    <n v="0"/>
    <n v="2"/>
    <n v="25"/>
    <n v="0"/>
    <n v="1"/>
    <n v="0"/>
    <n v="0"/>
    <n v="0"/>
    <n v="0"/>
    <n v="0"/>
    <n v="0"/>
  </r>
  <r>
    <x v="63"/>
    <x v="1"/>
    <s v="bk,jk"/>
    <d v="1899-12-30T10:47:00"/>
    <d v="1899-12-30T16:44:00"/>
    <n v="51"/>
    <n v="11"/>
    <m/>
    <m/>
    <n v="357.00000000000006"/>
    <m/>
    <m/>
    <m/>
    <n v="0"/>
    <m/>
    <m/>
    <m/>
    <n v="0"/>
    <m/>
    <m/>
    <m/>
    <m/>
    <n v="0"/>
    <n v="1"/>
    <n v="77"/>
    <m/>
    <n v="78"/>
    <n v="4"/>
    <n v="6"/>
    <m/>
    <n v="10"/>
    <m/>
    <m/>
    <n v="1"/>
    <m/>
    <n v="1"/>
    <m/>
    <m/>
    <m/>
    <m/>
    <m/>
    <m/>
    <m/>
    <n v="0"/>
    <m/>
    <m/>
    <s v="20140808 BKalb"/>
    <s v="20140809 HReider"/>
    <s v="FW_Scan_20140808.pdf"/>
    <n v="0"/>
    <n v="0"/>
    <n v="0"/>
    <n v="0"/>
    <n v="0"/>
    <n v="0"/>
    <n v="0"/>
    <n v="0"/>
    <n v="0"/>
    <n v="0"/>
    <n v="1"/>
    <n v="77"/>
    <n v="0"/>
    <n v="4"/>
    <n v="6"/>
    <n v="0"/>
    <n v="0"/>
    <n v="0"/>
    <n v="1"/>
    <n v="0"/>
  </r>
  <r>
    <x v="63"/>
    <x v="1"/>
    <s v="dj,nc"/>
    <d v="1899-12-30T16:44:00"/>
    <d v="1899-12-30T20:05:00"/>
    <n v="50"/>
    <n v="12"/>
    <m/>
    <m/>
    <n v="200.99999999999977"/>
    <m/>
    <n v="1"/>
    <m/>
    <n v="1"/>
    <m/>
    <m/>
    <m/>
    <n v="0"/>
    <n v="1"/>
    <m/>
    <m/>
    <m/>
    <n v="1"/>
    <n v="1"/>
    <n v="51"/>
    <m/>
    <n v="52"/>
    <n v="1"/>
    <n v="6"/>
    <m/>
    <n v="7"/>
    <n v="1"/>
    <m/>
    <m/>
    <m/>
    <n v="1"/>
    <m/>
    <m/>
    <m/>
    <m/>
    <m/>
    <m/>
    <m/>
    <n v="0"/>
    <m/>
    <m/>
    <s v="20140808 NCollin"/>
    <s v="20140809 HReider"/>
    <s v="FW_Scan_20140808.pdf"/>
    <n v="0"/>
    <n v="1"/>
    <n v="0"/>
    <n v="0"/>
    <n v="0"/>
    <n v="0"/>
    <n v="1"/>
    <n v="0"/>
    <n v="0"/>
    <n v="0"/>
    <n v="1"/>
    <n v="51"/>
    <n v="0"/>
    <n v="1"/>
    <n v="6"/>
    <n v="0"/>
    <n v="1"/>
    <n v="0"/>
    <n v="0"/>
    <n v="0"/>
  </r>
  <r>
    <x v="64"/>
    <x v="0"/>
    <s v="csj,nc"/>
    <d v="1899-12-30T08:13:00"/>
    <d v="1899-12-30T13:56:00"/>
    <n v="58"/>
    <n v="9"/>
    <m/>
    <m/>
    <n v="343.00000000000006"/>
    <m/>
    <m/>
    <m/>
    <n v="0"/>
    <m/>
    <m/>
    <m/>
    <n v="0"/>
    <m/>
    <n v="1"/>
    <m/>
    <m/>
    <n v="1"/>
    <n v="1"/>
    <n v="13"/>
    <m/>
    <n v="14"/>
    <n v="2"/>
    <n v="4"/>
    <m/>
    <n v="6"/>
    <m/>
    <m/>
    <m/>
    <m/>
    <n v="0"/>
    <m/>
    <m/>
    <m/>
    <m/>
    <m/>
    <m/>
    <m/>
    <n v="0"/>
    <m/>
    <s v="had one SO very beat up, let go"/>
    <s v="20140809 CSejkora"/>
    <s v="20140810 HReider"/>
    <s v="FW_Scan_20140809.pdf"/>
    <n v="0"/>
    <n v="0"/>
    <n v="0"/>
    <n v="0"/>
    <n v="0"/>
    <n v="0"/>
    <n v="0"/>
    <n v="1"/>
    <n v="0"/>
    <n v="0"/>
    <n v="1"/>
    <n v="13"/>
    <n v="0"/>
    <n v="2"/>
    <n v="4"/>
    <n v="0"/>
    <n v="0"/>
    <n v="0"/>
    <n v="0"/>
    <n v="0"/>
  </r>
  <r>
    <x v="64"/>
    <x v="0"/>
    <s v="jbu,dj"/>
    <d v="1899-12-30T13:56:00"/>
    <d v="1899-12-30T20:24:00"/>
    <n v="55"/>
    <n v="10"/>
    <m/>
    <m/>
    <n v="387.99999999999989"/>
    <m/>
    <m/>
    <m/>
    <n v="0"/>
    <m/>
    <m/>
    <m/>
    <n v="0"/>
    <m/>
    <m/>
    <m/>
    <m/>
    <n v="0"/>
    <n v="3"/>
    <n v="36"/>
    <m/>
    <n v="39"/>
    <m/>
    <n v="6"/>
    <m/>
    <n v="6"/>
    <n v="1"/>
    <m/>
    <m/>
    <m/>
    <n v="1"/>
    <m/>
    <m/>
    <m/>
    <m/>
    <m/>
    <m/>
    <m/>
    <n v="0"/>
    <m/>
    <m/>
    <s v="20140809 JBures"/>
    <s v="20140810 HReider"/>
    <s v="FW_Scan_20140809.pdf"/>
    <n v="0"/>
    <n v="0"/>
    <n v="0"/>
    <n v="0"/>
    <n v="0"/>
    <n v="0"/>
    <n v="0"/>
    <n v="0"/>
    <n v="0"/>
    <n v="0"/>
    <n v="3"/>
    <n v="36"/>
    <n v="0"/>
    <n v="0"/>
    <n v="6"/>
    <n v="0"/>
    <n v="1"/>
    <n v="0"/>
    <n v="0"/>
    <n v="0"/>
  </r>
  <r>
    <x v="64"/>
    <x v="2"/>
    <s v="csj,nc"/>
    <d v="1899-12-30T08:02:00"/>
    <d v="1899-12-30T13:41:00"/>
    <n v="54"/>
    <n v="11"/>
    <m/>
    <m/>
    <n v="339"/>
    <m/>
    <m/>
    <m/>
    <n v="0"/>
    <m/>
    <m/>
    <m/>
    <n v="0"/>
    <m/>
    <m/>
    <m/>
    <m/>
    <n v="0"/>
    <m/>
    <m/>
    <m/>
    <n v="0"/>
    <n v="1"/>
    <n v="3"/>
    <m/>
    <n v="4"/>
    <m/>
    <m/>
    <m/>
    <m/>
    <n v="0"/>
    <m/>
    <m/>
    <m/>
    <m/>
    <m/>
    <m/>
    <m/>
    <n v="0"/>
    <m/>
    <m/>
    <s v="20140809 CSejkora"/>
    <s v="20140810 HReider"/>
    <s v="FW_Scan_20140809.pdf"/>
    <n v="0"/>
    <n v="0"/>
    <n v="0"/>
    <n v="0"/>
    <n v="0"/>
    <n v="0"/>
    <n v="0"/>
    <n v="0"/>
    <n v="0"/>
    <n v="0"/>
    <n v="0"/>
    <n v="0"/>
    <n v="0"/>
    <n v="1"/>
    <n v="3"/>
    <n v="0"/>
    <n v="0"/>
    <n v="0"/>
    <n v="0"/>
    <n v="0"/>
  </r>
  <r>
    <x v="64"/>
    <x v="2"/>
    <s v="jbu,dj"/>
    <d v="1899-12-30T13:41:00"/>
    <d v="1899-12-30T20:02:00"/>
    <n v="35"/>
    <n v="12"/>
    <m/>
    <m/>
    <n v="381.00000000000011"/>
    <m/>
    <m/>
    <m/>
    <n v="0"/>
    <m/>
    <m/>
    <m/>
    <n v="0"/>
    <m/>
    <m/>
    <m/>
    <m/>
    <n v="0"/>
    <m/>
    <m/>
    <m/>
    <n v="0"/>
    <m/>
    <n v="4"/>
    <m/>
    <n v="4"/>
    <m/>
    <m/>
    <m/>
    <m/>
    <n v="0"/>
    <m/>
    <m/>
    <n v="1"/>
    <m/>
    <m/>
    <m/>
    <m/>
    <n v="1"/>
    <m/>
    <m/>
    <s v="20140809 JBures"/>
    <s v="20140810 HReider"/>
    <s v="FW_Scan_20140809.pdf"/>
    <n v="0"/>
    <n v="0"/>
    <n v="0"/>
    <n v="0"/>
    <n v="0"/>
    <n v="0"/>
    <n v="0"/>
    <n v="0"/>
    <n v="0"/>
    <n v="0"/>
    <n v="0"/>
    <n v="0"/>
    <n v="0"/>
    <n v="0"/>
    <n v="4"/>
    <n v="0"/>
    <n v="0"/>
    <n v="0"/>
    <n v="0"/>
    <n v="0"/>
  </r>
  <r>
    <x v="64"/>
    <x v="1"/>
    <s v="dj,jbu"/>
    <d v="1899-12-30T08:03:00"/>
    <d v="1899-12-30T10:48:00"/>
    <n v="51"/>
    <n v="10"/>
    <m/>
    <m/>
    <n v="164.99999999999997"/>
    <m/>
    <n v="1"/>
    <m/>
    <n v="1"/>
    <m/>
    <m/>
    <m/>
    <n v="0"/>
    <m/>
    <m/>
    <m/>
    <m/>
    <n v="0"/>
    <n v="1"/>
    <n v="17"/>
    <m/>
    <n v="18"/>
    <n v="2"/>
    <n v="3"/>
    <m/>
    <n v="5"/>
    <m/>
    <m/>
    <m/>
    <m/>
    <n v="0"/>
    <m/>
    <m/>
    <m/>
    <m/>
    <m/>
    <m/>
    <m/>
    <n v="0"/>
    <m/>
    <m/>
    <s v="20140809 DJohnson"/>
    <s v="20140810 HReider"/>
    <s v="FW_Scan_20140809.pdf"/>
    <n v="0"/>
    <n v="1"/>
    <n v="0"/>
    <n v="0"/>
    <n v="0"/>
    <n v="0"/>
    <n v="0"/>
    <n v="0"/>
    <n v="0"/>
    <n v="0"/>
    <n v="1"/>
    <n v="17"/>
    <n v="0"/>
    <n v="2"/>
    <n v="3"/>
    <n v="0"/>
    <n v="0"/>
    <n v="0"/>
    <n v="0"/>
    <n v="0"/>
  </r>
  <r>
    <x v="64"/>
    <x v="1"/>
    <s v="qb,hr"/>
    <d v="1899-12-30T10:48:00"/>
    <d v="1899-12-30T16:52:00"/>
    <n v="49"/>
    <n v="11"/>
    <m/>
    <m/>
    <n v="364.00000000000011"/>
    <m/>
    <m/>
    <m/>
    <n v="0"/>
    <m/>
    <m/>
    <m/>
    <n v="0"/>
    <m/>
    <m/>
    <m/>
    <m/>
    <n v="0"/>
    <n v="2"/>
    <n v="55"/>
    <m/>
    <n v="57"/>
    <m/>
    <n v="14"/>
    <m/>
    <n v="14"/>
    <n v="1"/>
    <n v="1"/>
    <m/>
    <m/>
    <n v="2"/>
    <m/>
    <m/>
    <n v="1"/>
    <m/>
    <m/>
    <m/>
    <m/>
    <n v="1"/>
    <m/>
    <m/>
    <s v="20140809 HReider"/>
    <s v="20140810 HReider"/>
    <s v="FW_Scan_20140809.pdf"/>
    <n v="0"/>
    <n v="0"/>
    <n v="0"/>
    <n v="0"/>
    <n v="0"/>
    <n v="0"/>
    <n v="0"/>
    <n v="0"/>
    <n v="0"/>
    <n v="0"/>
    <n v="2"/>
    <n v="55"/>
    <n v="0"/>
    <n v="0"/>
    <n v="14"/>
    <n v="0"/>
    <n v="1"/>
    <n v="1"/>
    <n v="0"/>
    <n v="0"/>
  </r>
  <r>
    <x v="64"/>
    <x v="1"/>
    <s v="csj,nc"/>
    <d v="1899-12-30T16:52:00"/>
    <d v="1899-12-30T20:03:00"/>
    <n v="48"/>
    <n v="11"/>
    <m/>
    <m/>
    <n v="190.99999999999997"/>
    <m/>
    <m/>
    <m/>
    <n v="0"/>
    <m/>
    <m/>
    <m/>
    <n v="0"/>
    <m/>
    <m/>
    <m/>
    <m/>
    <n v="0"/>
    <n v="1"/>
    <n v="31"/>
    <m/>
    <n v="32"/>
    <m/>
    <n v="7"/>
    <m/>
    <n v="7"/>
    <n v="2"/>
    <n v="1"/>
    <m/>
    <m/>
    <n v="3"/>
    <m/>
    <m/>
    <m/>
    <m/>
    <m/>
    <m/>
    <m/>
    <n v="0"/>
    <m/>
    <m/>
    <s v="20140809 CSejkora"/>
    <s v="20140810 HReider"/>
    <s v="FW_Scan_20140809.pdf"/>
    <n v="0"/>
    <n v="0"/>
    <n v="0"/>
    <n v="0"/>
    <n v="0"/>
    <n v="0"/>
    <n v="0"/>
    <n v="0"/>
    <n v="0"/>
    <n v="0"/>
    <n v="1"/>
    <n v="31"/>
    <n v="0"/>
    <n v="0"/>
    <n v="7"/>
    <n v="0"/>
    <n v="2"/>
    <n v="1"/>
    <n v="0"/>
    <n v="0"/>
  </r>
  <r>
    <x v="65"/>
    <x v="0"/>
    <s v="dj,qb"/>
    <d v="1899-12-30T08:12:00"/>
    <d v="1899-12-30T13:42:00"/>
    <n v="54"/>
    <n v="11"/>
    <m/>
    <m/>
    <n v="330"/>
    <m/>
    <n v="1"/>
    <m/>
    <n v="1"/>
    <m/>
    <m/>
    <m/>
    <n v="0"/>
    <m/>
    <m/>
    <m/>
    <m/>
    <n v="0"/>
    <m/>
    <n v="30"/>
    <m/>
    <n v="30"/>
    <n v="1"/>
    <n v="14"/>
    <m/>
    <n v="15"/>
    <n v="1"/>
    <m/>
    <m/>
    <m/>
    <n v="1"/>
    <m/>
    <m/>
    <m/>
    <m/>
    <m/>
    <m/>
    <m/>
    <n v="0"/>
    <s v="portside fishing 12&quot; off deck, starboard side 6&quot; off deck"/>
    <m/>
    <s v="20140810 DJohnson"/>
    <s v="20140810 HReider"/>
    <s v="FW_Scan_20140810.pdf"/>
    <n v="0"/>
    <n v="1"/>
    <n v="0"/>
    <n v="0"/>
    <n v="0"/>
    <n v="0"/>
    <n v="0"/>
    <n v="0"/>
    <n v="0"/>
    <n v="0"/>
    <n v="0"/>
    <n v="30"/>
    <n v="0"/>
    <n v="1"/>
    <n v="14"/>
    <n v="0"/>
    <n v="1"/>
    <n v="0"/>
    <n v="0"/>
    <n v="0"/>
  </r>
  <r>
    <x v="65"/>
    <x v="0"/>
    <s v="nc,jbu"/>
    <d v="1899-12-30T13:42:00"/>
    <d v="1899-12-30T20:32:00"/>
    <n v="57"/>
    <n v="14"/>
    <m/>
    <n v="77"/>
    <n v="410.00000000000011"/>
    <m/>
    <m/>
    <m/>
    <n v="0"/>
    <m/>
    <m/>
    <m/>
    <n v="0"/>
    <m/>
    <m/>
    <m/>
    <m/>
    <n v="0"/>
    <m/>
    <n v="39"/>
    <m/>
    <n v="39"/>
    <n v="1"/>
    <n v="21"/>
    <m/>
    <n v="22"/>
    <n v="1"/>
    <n v="1"/>
    <m/>
    <m/>
    <n v="2"/>
    <m/>
    <m/>
    <m/>
    <m/>
    <m/>
    <m/>
    <m/>
    <n v="0"/>
    <m/>
    <s v="one CO escaped"/>
    <s v="20140810 NCollin"/>
    <s v="20140810 HReider"/>
    <s v="FW_Scan_20140810.pdf"/>
    <n v="0"/>
    <n v="0"/>
    <n v="0"/>
    <n v="0"/>
    <n v="0"/>
    <n v="0"/>
    <n v="0"/>
    <n v="0"/>
    <n v="0"/>
    <n v="0"/>
    <n v="0"/>
    <n v="39"/>
    <n v="0"/>
    <n v="1"/>
    <n v="21"/>
    <n v="0"/>
    <n v="1"/>
    <n v="1"/>
    <n v="0"/>
    <n v="0"/>
  </r>
  <r>
    <x v="65"/>
    <x v="2"/>
    <s v="qb,dj"/>
    <d v="1899-12-30T08:01:00"/>
    <d v="1899-12-30T14:00:00"/>
    <n v="37"/>
    <n v="11"/>
    <m/>
    <m/>
    <n v="359"/>
    <m/>
    <m/>
    <m/>
    <n v="0"/>
    <m/>
    <m/>
    <m/>
    <n v="0"/>
    <n v="2"/>
    <m/>
    <m/>
    <m/>
    <n v="2"/>
    <n v="2"/>
    <m/>
    <m/>
    <n v="2"/>
    <n v="1"/>
    <n v="4"/>
    <m/>
    <n v="5"/>
    <m/>
    <m/>
    <m/>
    <m/>
    <n v="0"/>
    <m/>
    <m/>
    <m/>
    <m/>
    <m/>
    <m/>
    <m/>
    <n v="0"/>
    <s v="wheel fishing 18&quot; off deck (both sides), should be moved out. LA: FW moved out 1 ft at 12:20, now fishing 6&quot; off deck"/>
    <m/>
    <s v="20140810 DJohnson"/>
    <s v="20140810 HReider"/>
    <s v="FW_Scan_20140810.pdf"/>
    <n v="0"/>
    <n v="0"/>
    <n v="0"/>
    <n v="0"/>
    <n v="0"/>
    <n v="0"/>
    <n v="2"/>
    <n v="0"/>
    <n v="0"/>
    <n v="0"/>
    <n v="2"/>
    <n v="0"/>
    <n v="0"/>
    <n v="1"/>
    <n v="4"/>
    <n v="0"/>
    <n v="0"/>
    <n v="0"/>
    <n v="0"/>
    <n v="0"/>
  </r>
  <r>
    <x v="65"/>
    <x v="2"/>
    <s v="jbu,nc"/>
    <d v="1899-12-30T14:00:00"/>
    <d v="1899-12-30T20:03:00"/>
    <n v="36"/>
    <n v="13"/>
    <m/>
    <m/>
    <n v="363"/>
    <m/>
    <m/>
    <m/>
    <n v="0"/>
    <m/>
    <m/>
    <m/>
    <n v="0"/>
    <n v="1"/>
    <m/>
    <m/>
    <m/>
    <n v="1"/>
    <n v="1"/>
    <n v="1"/>
    <m/>
    <n v="2"/>
    <m/>
    <m/>
    <n v="1"/>
    <n v="1"/>
    <m/>
    <m/>
    <m/>
    <m/>
    <n v="0"/>
    <m/>
    <m/>
    <m/>
    <m/>
    <m/>
    <m/>
    <m/>
    <n v="0"/>
    <m/>
    <m/>
    <s v="20140810 NCollin"/>
    <s v="20140810 HReider"/>
    <s v="FW_Scan_20140810.pdf"/>
    <n v="0"/>
    <n v="0"/>
    <n v="0"/>
    <n v="0"/>
    <n v="0"/>
    <n v="0"/>
    <n v="1"/>
    <n v="0"/>
    <n v="0"/>
    <n v="0"/>
    <n v="1"/>
    <n v="1"/>
    <n v="0"/>
    <n v="0"/>
    <n v="0"/>
    <n v="1"/>
    <n v="0"/>
    <n v="0"/>
    <n v="0"/>
    <n v="0"/>
  </r>
  <r>
    <x v="65"/>
    <x v="1"/>
    <s v="jbu,nc"/>
    <d v="1899-12-30T08:03:00"/>
    <d v="1899-12-30T10:50:00"/>
    <n v="50"/>
    <n v="10"/>
    <m/>
    <m/>
    <n v="166.99999999999997"/>
    <m/>
    <m/>
    <m/>
    <n v="0"/>
    <m/>
    <m/>
    <m/>
    <n v="0"/>
    <m/>
    <m/>
    <m/>
    <m/>
    <n v="0"/>
    <n v="1"/>
    <n v="6"/>
    <m/>
    <n v="7"/>
    <n v="1"/>
    <n v="4"/>
    <m/>
    <n v="5"/>
    <m/>
    <m/>
    <m/>
    <m/>
    <n v="0"/>
    <m/>
    <m/>
    <m/>
    <m/>
    <m/>
    <m/>
    <m/>
    <n v="0"/>
    <m/>
    <m/>
    <s v="20140810 JBures"/>
    <s v="20140810 HReider"/>
    <s v="FW_Scan_20140810.pdf"/>
    <n v="0"/>
    <n v="0"/>
    <n v="0"/>
    <n v="0"/>
    <n v="0"/>
    <n v="0"/>
    <n v="0"/>
    <n v="0"/>
    <n v="0"/>
    <n v="0"/>
    <n v="1"/>
    <n v="6"/>
    <n v="0"/>
    <n v="1"/>
    <n v="4"/>
    <n v="0"/>
    <n v="0"/>
    <n v="0"/>
    <n v="0"/>
    <n v="0"/>
  </r>
  <r>
    <x v="65"/>
    <x v="1"/>
    <s v="csj,hr"/>
    <d v="1899-12-30T10:50:00"/>
    <d v="1899-12-30T16:20:00"/>
    <n v="51"/>
    <n v="11"/>
    <m/>
    <m/>
    <n v="329.99999999999989"/>
    <m/>
    <m/>
    <m/>
    <n v="0"/>
    <m/>
    <m/>
    <m/>
    <n v="0"/>
    <n v="1"/>
    <m/>
    <m/>
    <m/>
    <n v="1"/>
    <n v="1"/>
    <n v="44"/>
    <m/>
    <n v="45"/>
    <n v="1"/>
    <n v="18"/>
    <m/>
    <n v="19"/>
    <n v="4"/>
    <m/>
    <m/>
    <m/>
    <n v="4"/>
    <n v="1"/>
    <m/>
    <m/>
    <m/>
    <m/>
    <m/>
    <m/>
    <n v="1"/>
    <m/>
    <s v="one PK no tag missing nose; 1.5&quot; top of nose gone; 1 PK no tag big gash on belly"/>
    <s v="20140810 CSejkora"/>
    <s v="20140810 HReider"/>
    <s v="FW_Scan_20140810.pdf"/>
    <n v="0"/>
    <n v="0"/>
    <n v="0"/>
    <n v="0"/>
    <n v="0"/>
    <n v="0"/>
    <n v="1"/>
    <n v="0"/>
    <n v="0"/>
    <n v="0"/>
    <n v="1"/>
    <n v="44"/>
    <n v="0"/>
    <n v="1"/>
    <n v="18"/>
    <n v="0"/>
    <n v="4"/>
    <n v="0"/>
    <n v="0"/>
    <n v="0"/>
  </r>
  <r>
    <x v="65"/>
    <x v="1"/>
    <s v="dj,qb"/>
    <d v="1899-12-30T16:20:00"/>
    <d v="1899-12-30T20:16:00"/>
    <n v="52"/>
    <n v="12"/>
    <m/>
    <m/>
    <n v="236.00000000000011"/>
    <m/>
    <m/>
    <m/>
    <n v="0"/>
    <m/>
    <m/>
    <m/>
    <n v="0"/>
    <n v="2"/>
    <m/>
    <m/>
    <m/>
    <n v="2"/>
    <m/>
    <n v="32"/>
    <m/>
    <n v="32"/>
    <m/>
    <n v="21"/>
    <m/>
    <n v="21"/>
    <n v="7"/>
    <m/>
    <m/>
    <m/>
    <n v="7"/>
    <m/>
    <m/>
    <n v="1"/>
    <m/>
    <m/>
    <m/>
    <m/>
    <n v="1"/>
    <m/>
    <s v="one RT, fell out of net no bio"/>
    <s v="20140810 DJohnson"/>
    <s v="20140810 HReider"/>
    <s v="FW_Scan_20140810.pdf"/>
    <n v="0"/>
    <n v="0"/>
    <n v="0"/>
    <n v="0"/>
    <n v="0"/>
    <n v="0"/>
    <n v="2"/>
    <n v="0"/>
    <n v="0"/>
    <n v="0"/>
    <n v="0"/>
    <n v="32"/>
    <n v="0"/>
    <n v="0"/>
    <n v="21"/>
    <n v="0"/>
    <n v="7"/>
    <n v="0"/>
    <n v="0"/>
    <n v="0"/>
  </r>
  <r>
    <x v="66"/>
    <x v="0"/>
    <s v="hr,nc"/>
    <d v="1899-12-30T08:09:00"/>
    <d v="1899-12-30T13:55:00"/>
    <n v="63"/>
    <n v="10"/>
    <m/>
    <m/>
    <n v="345.99999999999989"/>
    <m/>
    <m/>
    <m/>
    <n v="0"/>
    <m/>
    <m/>
    <m/>
    <n v="0"/>
    <n v="2"/>
    <m/>
    <m/>
    <m/>
    <n v="2"/>
    <n v="1"/>
    <n v="14"/>
    <m/>
    <n v="15"/>
    <n v="1"/>
    <n v="23"/>
    <m/>
    <n v="24"/>
    <m/>
    <m/>
    <m/>
    <m/>
    <n v="0"/>
    <m/>
    <m/>
    <m/>
    <m/>
    <m/>
    <m/>
    <m/>
    <n v="0"/>
    <s v="Moved FW out about 2 ft at 12:25."/>
    <m/>
    <s v="20140811 HReider"/>
    <s v="20140812 HReider"/>
    <s v="FW_Scan_20140811.pdf"/>
    <n v="0"/>
    <n v="0"/>
    <n v="0"/>
    <n v="0"/>
    <n v="0"/>
    <n v="0"/>
    <n v="2"/>
    <n v="0"/>
    <n v="0"/>
    <n v="0"/>
    <n v="1"/>
    <n v="14"/>
    <n v="0"/>
    <n v="1"/>
    <n v="23"/>
    <n v="0"/>
    <n v="0"/>
    <n v="0"/>
    <n v="0"/>
    <n v="0"/>
  </r>
  <r>
    <x v="66"/>
    <x v="0"/>
    <s v="csj,qb"/>
    <d v="1899-12-30T13:55:00"/>
    <d v="1899-12-30T20:13:00"/>
    <n v="60"/>
    <n v="12"/>
    <m/>
    <m/>
    <n v="377.99999999999994"/>
    <m/>
    <m/>
    <m/>
    <n v="0"/>
    <m/>
    <m/>
    <m/>
    <n v="0"/>
    <n v="1"/>
    <m/>
    <m/>
    <m/>
    <n v="1"/>
    <m/>
    <n v="10"/>
    <m/>
    <n v="10"/>
    <m/>
    <n v="16"/>
    <m/>
    <n v="16"/>
    <m/>
    <n v="2"/>
    <m/>
    <m/>
    <n v="2"/>
    <m/>
    <m/>
    <m/>
    <m/>
    <m/>
    <m/>
    <m/>
    <n v="0"/>
    <s v="Greased winches and guide slides for wheel"/>
    <m/>
    <s v="20140811 QBerger"/>
    <s v="20140812 HReider"/>
    <s v="FW_Scan_20140811.pdf"/>
    <n v="0"/>
    <n v="0"/>
    <n v="0"/>
    <n v="0"/>
    <n v="0"/>
    <n v="0"/>
    <n v="1"/>
    <n v="0"/>
    <n v="0"/>
    <n v="0"/>
    <n v="0"/>
    <n v="10"/>
    <n v="0"/>
    <n v="0"/>
    <n v="16"/>
    <n v="0"/>
    <n v="0"/>
    <n v="2"/>
    <n v="0"/>
    <n v="0"/>
  </r>
  <r>
    <x v="66"/>
    <x v="2"/>
    <s v="nc,hr"/>
    <d v="1899-12-30T08:03:00"/>
    <d v="1899-12-30T14:05:00"/>
    <n v="37"/>
    <n v="12"/>
    <m/>
    <m/>
    <n v="362"/>
    <m/>
    <m/>
    <m/>
    <n v="0"/>
    <m/>
    <m/>
    <m/>
    <n v="0"/>
    <m/>
    <m/>
    <m/>
    <m/>
    <n v="0"/>
    <n v="1"/>
    <m/>
    <m/>
    <n v="1"/>
    <n v="1"/>
    <n v="3"/>
    <m/>
    <n v="4"/>
    <m/>
    <m/>
    <m/>
    <m/>
    <n v="0"/>
    <m/>
    <m/>
    <m/>
    <m/>
    <m/>
    <m/>
    <m/>
    <n v="0"/>
    <s v="Moved FW out about 1 ft at 12:50"/>
    <m/>
    <s v="20140811 HReider"/>
    <s v="20140812 HReider"/>
    <s v="FW_Scan_20140811.pdf"/>
    <n v="0"/>
    <n v="0"/>
    <n v="0"/>
    <n v="0"/>
    <n v="0"/>
    <n v="0"/>
    <n v="0"/>
    <n v="0"/>
    <n v="0"/>
    <n v="0"/>
    <n v="1"/>
    <n v="0"/>
    <n v="0"/>
    <n v="1"/>
    <n v="3"/>
    <n v="0"/>
    <n v="0"/>
    <n v="0"/>
    <n v="0"/>
    <n v="0"/>
  </r>
  <r>
    <x v="66"/>
    <x v="2"/>
    <s v="qb,csj"/>
    <d v="1899-12-30T14:05:00"/>
    <d v="1899-12-30T20:03:00"/>
    <n v="37"/>
    <n v="13"/>
    <m/>
    <m/>
    <n v="358"/>
    <m/>
    <m/>
    <m/>
    <n v="0"/>
    <m/>
    <m/>
    <m/>
    <n v="0"/>
    <m/>
    <m/>
    <m/>
    <m/>
    <n v="0"/>
    <n v="1"/>
    <m/>
    <m/>
    <n v="1"/>
    <n v="1"/>
    <n v="8"/>
    <m/>
    <n v="9"/>
    <m/>
    <m/>
    <m/>
    <m/>
    <n v="0"/>
    <m/>
    <m/>
    <m/>
    <m/>
    <m/>
    <m/>
    <m/>
    <n v="0"/>
    <s v="Cleared pontoon 15:45 to 16:04 (generator running)"/>
    <m/>
    <s v="20140811 CSejkora"/>
    <s v="20140812 HReider"/>
    <s v="FW_Scan_20140811.pdf"/>
    <n v="0"/>
    <n v="0"/>
    <n v="0"/>
    <n v="0"/>
    <n v="0"/>
    <n v="0"/>
    <n v="0"/>
    <n v="0"/>
    <n v="0"/>
    <n v="0"/>
    <n v="1"/>
    <n v="0"/>
    <n v="0"/>
    <n v="1"/>
    <n v="8"/>
    <n v="0"/>
    <n v="0"/>
    <n v="0"/>
    <n v="0"/>
    <n v="0"/>
  </r>
  <r>
    <x v="66"/>
    <x v="1"/>
    <s v="csj,qb"/>
    <d v="1899-12-30T08:01:00"/>
    <d v="1899-12-30T10:55:00"/>
    <n v="53"/>
    <n v="11"/>
    <m/>
    <m/>
    <n v="173.99999999999994"/>
    <m/>
    <m/>
    <m/>
    <n v="0"/>
    <m/>
    <m/>
    <m/>
    <n v="0"/>
    <m/>
    <m/>
    <m/>
    <m/>
    <n v="0"/>
    <n v="1"/>
    <n v="12"/>
    <m/>
    <n v="13"/>
    <n v="1"/>
    <n v="3"/>
    <m/>
    <n v="4"/>
    <n v="2"/>
    <n v="1"/>
    <m/>
    <m/>
    <n v="3"/>
    <m/>
    <m/>
    <m/>
    <m/>
    <m/>
    <m/>
    <m/>
    <n v="0"/>
    <s v="Fishing 1 foot off deck (both sides)"/>
    <m/>
    <s v="20140811 QBerger"/>
    <s v="20140812 HReider"/>
    <s v="FW_Scan_20140811.pdf"/>
    <n v="0"/>
    <n v="0"/>
    <n v="0"/>
    <n v="0"/>
    <n v="0"/>
    <n v="0"/>
    <n v="0"/>
    <n v="0"/>
    <n v="0"/>
    <n v="0"/>
    <n v="1"/>
    <n v="12"/>
    <n v="0"/>
    <n v="1"/>
    <n v="3"/>
    <n v="0"/>
    <n v="2"/>
    <n v="1"/>
    <n v="0"/>
    <n v="0"/>
  </r>
  <r>
    <x v="66"/>
    <x v="1"/>
    <s v="dj,jbu"/>
    <d v="1899-12-30T10:55:00"/>
    <d v="1899-12-30T16:50:00"/>
    <n v="53"/>
    <n v="12"/>
    <m/>
    <m/>
    <n v="354.99999999999994"/>
    <m/>
    <m/>
    <m/>
    <n v="0"/>
    <m/>
    <m/>
    <m/>
    <n v="0"/>
    <n v="3"/>
    <m/>
    <m/>
    <m/>
    <n v="3"/>
    <m/>
    <n v="33"/>
    <m/>
    <n v="33"/>
    <m/>
    <n v="17"/>
    <m/>
    <n v="17"/>
    <n v="5"/>
    <n v="1"/>
    <m/>
    <m/>
    <n v="6"/>
    <m/>
    <m/>
    <n v="1"/>
    <m/>
    <m/>
    <m/>
    <m/>
    <n v="1"/>
    <m/>
    <m/>
    <s v="20140811 DJohnson"/>
    <s v="20140812 HReider"/>
    <s v="FW_Scan_20140811.pdf"/>
    <n v="0"/>
    <n v="0"/>
    <n v="0"/>
    <n v="0"/>
    <n v="0"/>
    <n v="0"/>
    <n v="3"/>
    <n v="0"/>
    <n v="0"/>
    <n v="0"/>
    <n v="0"/>
    <n v="33"/>
    <n v="0"/>
    <n v="0"/>
    <n v="17"/>
    <n v="0"/>
    <n v="5"/>
    <n v="1"/>
    <n v="0"/>
    <n v="0"/>
  </r>
  <r>
    <x v="66"/>
    <x v="1"/>
    <s v="hr,la"/>
    <d v="1899-12-30T16:50:00"/>
    <d v="1899-12-30T20:01:00"/>
    <n v="51"/>
    <n v="12"/>
    <m/>
    <m/>
    <n v="190.99999999999997"/>
    <m/>
    <m/>
    <m/>
    <n v="0"/>
    <m/>
    <m/>
    <m/>
    <n v="0"/>
    <n v="3"/>
    <m/>
    <m/>
    <m/>
    <n v="3"/>
    <n v="1"/>
    <n v="16"/>
    <m/>
    <n v="17"/>
    <n v="1"/>
    <n v="14"/>
    <m/>
    <n v="15"/>
    <m/>
    <n v="2"/>
    <m/>
    <m/>
    <n v="2"/>
    <m/>
    <m/>
    <m/>
    <m/>
    <m/>
    <m/>
    <m/>
    <n v="0"/>
    <s v="repaired net once wheel stopped for the night"/>
    <m/>
    <s v="20140811 LAckein"/>
    <s v="20140812 HReider"/>
    <s v="FW_Scan_20140811.pdf"/>
    <n v="0"/>
    <n v="0"/>
    <n v="0"/>
    <n v="0"/>
    <n v="0"/>
    <n v="0"/>
    <n v="3"/>
    <n v="0"/>
    <n v="0"/>
    <n v="0"/>
    <n v="1"/>
    <n v="16"/>
    <n v="0"/>
    <n v="1"/>
    <n v="14"/>
    <n v="0"/>
    <n v="0"/>
    <n v="2"/>
    <n v="0"/>
    <n v="0"/>
  </r>
  <r>
    <x v="67"/>
    <x v="0"/>
    <s v="dj,nc"/>
    <d v="1899-12-30T08:08:00"/>
    <d v="1899-12-30T10:35:00"/>
    <n v="57"/>
    <n v="11"/>
    <m/>
    <m/>
    <n v="147.00000000000011"/>
    <m/>
    <m/>
    <m/>
    <n v="0"/>
    <m/>
    <m/>
    <m/>
    <n v="0"/>
    <m/>
    <m/>
    <m/>
    <m/>
    <n v="0"/>
    <n v="1"/>
    <n v="2"/>
    <m/>
    <n v="3"/>
    <n v="1"/>
    <n v="4"/>
    <m/>
    <n v="5"/>
    <m/>
    <m/>
    <m/>
    <m/>
    <n v="0"/>
    <m/>
    <m/>
    <m/>
    <m/>
    <m/>
    <m/>
    <m/>
    <n v="0"/>
    <m/>
    <m/>
    <s v="20140812 DJohnson"/>
    <s v="20140813 HReider"/>
    <s v="FW_Scan_20140812.pdf"/>
    <n v="0"/>
    <n v="0"/>
    <n v="0"/>
    <n v="0"/>
    <n v="0"/>
    <n v="0"/>
    <n v="0"/>
    <n v="0"/>
    <n v="0"/>
    <n v="0"/>
    <n v="1"/>
    <n v="2"/>
    <n v="0"/>
    <n v="1"/>
    <n v="4"/>
    <n v="0"/>
    <n v="0"/>
    <n v="0"/>
    <n v="0"/>
    <n v="0"/>
  </r>
  <r>
    <x v="67"/>
    <x v="0"/>
    <s v="hr,qb"/>
    <d v="1899-12-30T10:35:00"/>
    <d v="1899-12-30T17:04:00"/>
    <n v="52"/>
    <n v="11"/>
    <m/>
    <n v="89.3"/>
    <n v="388.99999999999994"/>
    <m/>
    <m/>
    <m/>
    <n v="0"/>
    <m/>
    <m/>
    <m/>
    <n v="0"/>
    <n v="1"/>
    <m/>
    <m/>
    <m/>
    <n v="1"/>
    <n v="1"/>
    <n v="8"/>
    <m/>
    <n v="9"/>
    <m/>
    <n v="10"/>
    <m/>
    <n v="10"/>
    <n v="1"/>
    <m/>
    <m/>
    <m/>
    <n v="1"/>
    <m/>
    <m/>
    <m/>
    <m/>
    <m/>
    <m/>
    <m/>
    <n v="0"/>
    <m/>
    <m/>
    <s v="20140812 HReider"/>
    <s v="20140813 HReider"/>
    <s v="FW_Scan_20140812.pdf"/>
    <n v="0"/>
    <n v="0"/>
    <n v="0"/>
    <n v="0"/>
    <n v="0"/>
    <n v="0"/>
    <n v="1"/>
    <n v="0"/>
    <n v="0"/>
    <n v="0"/>
    <n v="1"/>
    <n v="8"/>
    <n v="0"/>
    <n v="0"/>
    <n v="10"/>
    <n v="0"/>
    <n v="1"/>
    <n v="0"/>
    <n v="0"/>
    <n v="0"/>
  </r>
  <r>
    <x v="67"/>
    <x v="0"/>
    <s v="jbu,csj"/>
    <d v="1899-12-30T17:04:00"/>
    <d v="1899-12-30T20:10:00"/>
    <n v="53"/>
    <n v="12"/>
    <m/>
    <m/>
    <n v="185.99999999999997"/>
    <m/>
    <m/>
    <m/>
    <n v="0"/>
    <m/>
    <m/>
    <m/>
    <n v="0"/>
    <m/>
    <m/>
    <m/>
    <m/>
    <n v="0"/>
    <n v="1"/>
    <n v="3"/>
    <m/>
    <n v="4"/>
    <m/>
    <n v="5"/>
    <m/>
    <n v="5"/>
    <n v="1"/>
    <m/>
    <m/>
    <m/>
    <n v="1"/>
    <m/>
    <m/>
    <m/>
    <m/>
    <m/>
    <m/>
    <m/>
    <n v="0"/>
    <m/>
    <m/>
    <s v="20140812 JBures"/>
    <s v="20140813 HReider"/>
    <s v="FW_Scan_20140812.pdf"/>
    <n v="0"/>
    <n v="0"/>
    <n v="0"/>
    <n v="0"/>
    <n v="0"/>
    <n v="0"/>
    <n v="0"/>
    <n v="0"/>
    <n v="0"/>
    <n v="0"/>
    <n v="1"/>
    <n v="3"/>
    <n v="0"/>
    <n v="0"/>
    <n v="5"/>
    <n v="0"/>
    <n v="1"/>
    <n v="0"/>
    <n v="0"/>
    <n v="0"/>
  </r>
  <r>
    <x v="67"/>
    <x v="2"/>
    <s v="dj,nc"/>
    <d v="1899-12-30T07:58:00"/>
    <d v="1899-12-30T10:46:00"/>
    <n v="39"/>
    <n v="10"/>
    <m/>
    <m/>
    <n v="168.00000000000006"/>
    <m/>
    <m/>
    <m/>
    <n v="0"/>
    <m/>
    <m/>
    <m/>
    <n v="0"/>
    <n v="2"/>
    <m/>
    <m/>
    <m/>
    <n v="2"/>
    <m/>
    <m/>
    <m/>
    <n v="0"/>
    <m/>
    <n v="3"/>
    <m/>
    <n v="3"/>
    <m/>
    <m/>
    <m/>
    <m/>
    <n v="0"/>
    <m/>
    <m/>
    <m/>
    <m/>
    <m/>
    <m/>
    <m/>
    <n v="0"/>
    <m/>
    <m/>
    <s v="20140812 DJohnson"/>
    <s v="20140813 HReider"/>
    <s v="FW_Scan_20140812.pdf"/>
    <n v="0"/>
    <n v="0"/>
    <n v="0"/>
    <n v="0"/>
    <n v="0"/>
    <n v="0"/>
    <n v="2"/>
    <n v="0"/>
    <n v="0"/>
    <n v="0"/>
    <n v="0"/>
    <n v="0"/>
    <n v="0"/>
    <n v="0"/>
    <n v="3"/>
    <n v="0"/>
    <n v="0"/>
    <n v="0"/>
    <n v="0"/>
    <n v="0"/>
  </r>
  <r>
    <x v="67"/>
    <x v="2"/>
    <s v="hr,qb"/>
    <d v="1899-12-30T10:46:00"/>
    <d v="1899-12-30T16:48:00"/>
    <n v="36"/>
    <n v="12"/>
    <m/>
    <m/>
    <n v="362.00000000000011"/>
    <m/>
    <m/>
    <m/>
    <n v="0"/>
    <m/>
    <m/>
    <m/>
    <n v="0"/>
    <n v="2"/>
    <n v="1"/>
    <m/>
    <m/>
    <n v="3"/>
    <m/>
    <m/>
    <m/>
    <n v="0"/>
    <n v="2"/>
    <n v="13"/>
    <m/>
    <n v="15"/>
    <m/>
    <m/>
    <m/>
    <m/>
    <n v="0"/>
    <m/>
    <m/>
    <m/>
    <m/>
    <m/>
    <m/>
    <m/>
    <n v="0"/>
    <s v="lowered and cleaned out lead net at 13:15 (QB)"/>
    <m/>
    <s v="20140812 QBerger"/>
    <s v="20140813 HReider"/>
    <s v="FW_Scan_20140812.pdf"/>
    <n v="0"/>
    <n v="0"/>
    <n v="0"/>
    <n v="0"/>
    <n v="0"/>
    <n v="0"/>
    <n v="2"/>
    <n v="1"/>
    <n v="0"/>
    <n v="0"/>
    <n v="0"/>
    <n v="0"/>
    <n v="0"/>
    <n v="2"/>
    <n v="13"/>
    <n v="0"/>
    <n v="0"/>
    <n v="0"/>
    <n v="0"/>
    <n v="0"/>
  </r>
  <r>
    <x v="67"/>
    <x v="2"/>
    <s v="jbu,csj"/>
    <d v="1899-12-30T16:48:00"/>
    <d v="1899-12-30T19:58:00"/>
    <n v="34"/>
    <n v="13"/>
    <m/>
    <m/>
    <n v="189.9999999999998"/>
    <m/>
    <m/>
    <m/>
    <n v="0"/>
    <m/>
    <m/>
    <m/>
    <n v="0"/>
    <n v="1"/>
    <m/>
    <m/>
    <m/>
    <n v="1"/>
    <m/>
    <m/>
    <m/>
    <n v="0"/>
    <m/>
    <n v="8"/>
    <m/>
    <n v="8"/>
    <m/>
    <m/>
    <m/>
    <m/>
    <n v="0"/>
    <m/>
    <m/>
    <m/>
    <m/>
    <m/>
    <m/>
    <m/>
    <n v="0"/>
    <m/>
    <m/>
    <s v="20140812 JBures"/>
    <s v="20140813 HReider"/>
    <s v="FW_Scan_20140812.pdf"/>
    <n v="0"/>
    <n v="0"/>
    <n v="0"/>
    <n v="0"/>
    <n v="0"/>
    <n v="0"/>
    <n v="1"/>
    <n v="0"/>
    <n v="0"/>
    <n v="0"/>
    <n v="0"/>
    <n v="0"/>
    <n v="0"/>
    <n v="0"/>
    <n v="8"/>
    <n v="0"/>
    <n v="0"/>
    <n v="0"/>
    <n v="0"/>
    <n v="0"/>
  </r>
  <r>
    <x v="67"/>
    <x v="1"/>
    <s v="jbu,csj"/>
    <d v="1899-12-30T08:02:00"/>
    <d v="1899-12-30T13:59:00"/>
    <n v="54"/>
    <n v="11"/>
    <m/>
    <m/>
    <n v="356.99999999999994"/>
    <m/>
    <m/>
    <m/>
    <n v="0"/>
    <m/>
    <m/>
    <m/>
    <n v="0"/>
    <n v="1"/>
    <m/>
    <m/>
    <m/>
    <n v="1"/>
    <n v="1"/>
    <n v="19"/>
    <m/>
    <n v="20"/>
    <n v="1"/>
    <n v="7"/>
    <m/>
    <n v="8"/>
    <n v="2"/>
    <m/>
    <m/>
    <m/>
    <n v="2"/>
    <m/>
    <m/>
    <m/>
    <m/>
    <m/>
    <m/>
    <m/>
    <n v="0"/>
    <s v="moved wheel out 2 ft"/>
    <m/>
    <s v="20140812 CSejkora"/>
    <s v="20140813 HReider"/>
    <s v="FW_Scan_20140812.pdf"/>
    <n v="0"/>
    <n v="0"/>
    <n v="0"/>
    <n v="0"/>
    <n v="0"/>
    <n v="0"/>
    <n v="1"/>
    <n v="0"/>
    <n v="0"/>
    <n v="0"/>
    <n v="1"/>
    <n v="19"/>
    <n v="0"/>
    <n v="1"/>
    <n v="7"/>
    <n v="0"/>
    <n v="2"/>
    <n v="0"/>
    <n v="0"/>
    <n v="0"/>
  </r>
  <r>
    <x v="67"/>
    <x v="1"/>
    <s v="nc,dj"/>
    <d v="1899-12-30T13:59:00"/>
    <d v="1899-12-30T20:02:00"/>
    <n v="42"/>
    <n v="12"/>
    <m/>
    <m/>
    <n v="363.00000000000017"/>
    <m/>
    <m/>
    <m/>
    <n v="0"/>
    <m/>
    <m/>
    <m/>
    <n v="0"/>
    <n v="2"/>
    <m/>
    <m/>
    <m/>
    <n v="2"/>
    <n v="1"/>
    <n v="11"/>
    <m/>
    <n v="12"/>
    <n v="1"/>
    <n v="9"/>
    <m/>
    <n v="10"/>
    <n v="2"/>
    <m/>
    <m/>
    <m/>
    <n v="2"/>
    <m/>
    <m/>
    <n v="1"/>
    <m/>
    <m/>
    <m/>
    <m/>
    <n v="1"/>
    <m/>
    <m/>
    <s v="20140812 NCollin"/>
    <s v="20140813 HReider"/>
    <s v="FW_Scan_20140812.pdf"/>
    <n v="0"/>
    <n v="0"/>
    <n v="0"/>
    <n v="0"/>
    <n v="0"/>
    <n v="0"/>
    <n v="2"/>
    <n v="0"/>
    <n v="0"/>
    <n v="0"/>
    <n v="1"/>
    <n v="11"/>
    <n v="0"/>
    <n v="1"/>
    <n v="9"/>
    <n v="0"/>
    <n v="2"/>
    <n v="0"/>
    <n v="0"/>
    <n v="0"/>
  </r>
  <r>
    <x v="68"/>
    <x v="0"/>
    <s v="qb, dj"/>
    <d v="1899-12-30T08:10:00"/>
    <d v="1899-12-30T10:50:00"/>
    <n v="52"/>
    <n v="10"/>
    <m/>
    <m/>
    <n v="160.00000000000006"/>
    <m/>
    <m/>
    <m/>
    <n v="0"/>
    <m/>
    <m/>
    <m/>
    <n v="0"/>
    <m/>
    <m/>
    <m/>
    <m/>
    <n v="0"/>
    <n v="1"/>
    <n v="2"/>
    <m/>
    <n v="3"/>
    <n v="1"/>
    <n v="2"/>
    <m/>
    <n v="3"/>
    <m/>
    <m/>
    <m/>
    <m/>
    <n v="0"/>
    <m/>
    <m/>
    <m/>
    <m/>
    <m/>
    <m/>
    <m/>
    <n v="0"/>
    <m/>
    <m/>
    <s v="20140813 DJohnson"/>
    <s v="20140814 HReider"/>
    <s v="FW_Scan_20140813.pdf"/>
    <n v="0"/>
    <n v="0"/>
    <n v="0"/>
    <n v="0"/>
    <n v="0"/>
    <n v="0"/>
    <n v="0"/>
    <n v="0"/>
    <n v="0"/>
    <n v="0"/>
    <n v="1"/>
    <n v="2"/>
    <n v="0"/>
    <n v="1"/>
    <n v="2"/>
    <n v="0"/>
    <n v="0"/>
    <n v="0"/>
    <n v="0"/>
    <n v="0"/>
  </r>
  <r>
    <x v="68"/>
    <x v="0"/>
    <s v="hj, jbu"/>
    <d v="1899-12-30T10:50:00"/>
    <d v="1899-12-30T16:54:00"/>
    <n v="53"/>
    <n v="11"/>
    <m/>
    <m/>
    <n v="363.99999999999989"/>
    <m/>
    <m/>
    <m/>
    <n v="0"/>
    <m/>
    <m/>
    <m/>
    <n v="0"/>
    <m/>
    <m/>
    <m/>
    <m/>
    <n v="0"/>
    <m/>
    <n v="16"/>
    <m/>
    <n v="16"/>
    <m/>
    <n v="17"/>
    <m/>
    <n v="17"/>
    <n v="1"/>
    <m/>
    <m/>
    <m/>
    <n v="1"/>
    <m/>
    <m/>
    <m/>
    <m/>
    <m/>
    <m/>
    <m/>
    <n v="0"/>
    <s v="One of no tag PK had large lesions (~4 inch long) on both sides of body"/>
    <m/>
    <s v="20140813 HReider"/>
    <s v="20140814 HReider"/>
    <s v="FW_Scan_20140813.pdf"/>
    <n v="0"/>
    <n v="0"/>
    <n v="0"/>
    <n v="0"/>
    <n v="0"/>
    <n v="0"/>
    <n v="0"/>
    <n v="0"/>
    <n v="0"/>
    <n v="0"/>
    <n v="0"/>
    <n v="16"/>
    <n v="0"/>
    <n v="0"/>
    <n v="17"/>
    <n v="0"/>
    <n v="1"/>
    <n v="0"/>
    <n v="0"/>
    <n v="0"/>
  </r>
  <r>
    <x v="68"/>
    <x v="0"/>
    <s v="nc, csj"/>
    <d v="1899-12-30T16:54:00"/>
    <d v="1899-12-30T20:16:00"/>
    <n v="53"/>
    <n v="12"/>
    <m/>
    <m/>
    <n v="202.00000000000009"/>
    <m/>
    <m/>
    <m/>
    <n v="0"/>
    <m/>
    <m/>
    <m/>
    <n v="0"/>
    <n v="2"/>
    <m/>
    <m/>
    <m/>
    <n v="2"/>
    <n v="1"/>
    <n v="7"/>
    <m/>
    <n v="8"/>
    <m/>
    <n v="10"/>
    <m/>
    <n v="10"/>
    <n v="4"/>
    <m/>
    <m/>
    <m/>
    <n v="4"/>
    <m/>
    <m/>
    <m/>
    <m/>
    <m/>
    <m/>
    <m/>
    <n v="0"/>
    <m/>
    <m/>
    <s v="20140813 NCollin"/>
    <s v="20140814 HReider"/>
    <s v="FW_Scan_20140813.pdf"/>
    <n v="0"/>
    <n v="0"/>
    <n v="0"/>
    <n v="0"/>
    <n v="0"/>
    <n v="0"/>
    <n v="2"/>
    <n v="0"/>
    <n v="0"/>
    <n v="0"/>
    <n v="1"/>
    <n v="7"/>
    <n v="0"/>
    <n v="0"/>
    <n v="10"/>
    <n v="0"/>
    <n v="4"/>
    <n v="0"/>
    <n v="0"/>
    <n v="0"/>
  </r>
  <r>
    <x v="68"/>
    <x v="2"/>
    <s v="qb, dj"/>
    <d v="1899-12-30T08:00:00"/>
    <d v="1899-12-30T10:30:00"/>
    <n v="37"/>
    <n v="11"/>
    <m/>
    <m/>
    <n v="150.00000000000003"/>
    <m/>
    <m/>
    <m/>
    <n v="0"/>
    <m/>
    <m/>
    <m/>
    <n v="0"/>
    <m/>
    <m/>
    <m/>
    <m/>
    <n v="0"/>
    <m/>
    <m/>
    <m/>
    <n v="0"/>
    <m/>
    <n v="6"/>
    <m/>
    <n v="6"/>
    <m/>
    <m/>
    <m/>
    <m/>
    <n v="0"/>
    <m/>
    <m/>
    <m/>
    <m/>
    <m/>
    <m/>
    <m/>
    <n v="0"/>
    <m/>
    <m/>
    <s v="20140813 DJohnson"/>
    <s v="20140814 HReider"/>
    <s v="FW_Scan_20140813.pdf"/>
    <n v="0"/>
    <n v="0"/>
    <n v="0"/>
    <n v="0"/>
    <n v="0"/>
    <n v="0"/>
    <n v="0"/>
    <n v="0"/>
    <n v="0"/>
    <n v="0"/>
    <n v="0"/>
    <n v="0"/>
    <n v="0"/>
    <n v="0"/>
    <n v="6"/>
    <n v="0"/>
    <n v="0"/>
    <n v="0"/>
    <n v="0"/>
    <n v="0"/>
  </r>
  <r>
    <x v="68"/>
    <x v="2"/>
    <s v="hr, jbu"/>
    <d v="1899-12-30T10:30:00"/>
    <d v="1899-12-30T16:32:00"/>
    <n v="33"/>
    <n v="12"/>
    <m/>
    <m/>
    <n v="362.00000000000017"/>
    <m/>
    <m/>
    <m/>
    <n v="0"/>
    <m/>
    <m/>
    <m/>
    <n v="0"/>
    <m/>
    <n v="1"/>
    <m/>
    <m/>
    <n v="1"/>
    <n v="1"/>
    <m/>
    <m/>
    <n v="1"/>
    <n v="1"/>
    <n v="12"/>
    <m/>
    <n v="13"/>
    <m/>
    <m/>
    <m/>
    <m/>
    <n v="0"/>
    <m/>
    <m/>
    <m/>
    <m/>
    <m/>
    <m/>
    <m/>
    <n v="0"/>
    <m/>
    <m/>
    <s v="20140813 HReider"/>
    <s v="20140814 HReider"/>
    <s v="FW_Scan_20140813.pdf"/>
    <n v="0"/>
    <n v="0"/>
    <n v="0"/>
    <n v="0"/>
    <n v="0"/>
    <n v="0"/>
    <n v="0"/>
    <n v="1"/>
    <n v="0"/>
    <n v="0"/>
    <n v="1"/>
    <n v="0"/>
    <n v="0"/>
    <n v="1"/>
    <n v="12"/>
    <n v="0"/>
    <n v="0"/>
    <n v="0"/>
    <n v="0"/>
    <n v="0"/>
  </r>
  <r>
    <x v="68"/>
    <x v="2"/>
    <s v="nc, csj"/>
    <d v="1899-12-30T16:32:00"/>
    <d v="1899-12-30T20:00:00"/>
    <n v="36"/>
    <n v="12"/>
    <m/>
    <m/>
    <n v="207.99999999999989"/>
    <m/>
    <m/>
    <m/>
    <n v="0"/>
    <m/>
    <m/>
    <m/>
    <n v="0"/>
    <m/>
    <m/>
    <m/>
    <m/>
    <n v="0"/>
    <n v="1"/>
    <n v="1"/>
    <m/>
    <n v="2"/>
    <n v="2"/>
    <n v="1"/>
    <m/>
    <n v="3"/>
    <m/>
    <m/>
    <m/>
    <m/>
    <n v="0"/>
    <m/>
    <m/>
    <m/>
    <m/>
    <m/>
    <m/>
    <m/>
    <n v="0"/>
    <m/>
    <m/>
    <s v="20140813 CSejkora"/>
    <s v="20140814 HReider"/>
    <s v="FW_Scan_20140813.pdf"/>
    <n v="0"/>
    <n v="0"/>
    <n v="0"/>
    <n v="0"/>
    <n v="0"/>
    <n v="0"/>
    <n v="0"/>
    <n v="0"/>
    <n v="0"/>
    <n v="0"/>
    <n v="1"/>
    <n v="1"/>
    <n v="0"/>
    <n v="2"/>
    <n v="1"/>
    <n v="0"/>
    <n v="0"/>
    <n v="0"/>
    <n v="0"/>
    <n v="0"/>
  </r>
  <r>
    <x v="68"/>
    <x v="1"/>
    <s v="nc, csj"/>
    <d v="1899-12-30T08:04:00"/>
    <d v="1899-12-30T13:58:00"/>
    <n v="40"/>
    <n v="11"/>
    <m/>
    <m/>
    <n v="354.00000000000011"/>
    <m/>
    <m/>
    <m/>
    <n v="0"/>
    <m/>
    <m/>
    <m/>
    <n v="0"/>
    <m/>
    <m/>
    <m/>
    <m/>
    <n v="0"/>
    <n v="1"/>
    <n v="25"/>
    <m/>
    <n v="26"/>
    <n v="1"/>
    <n v="5"/>
    <m/>
    <n v="6"/>
    <n v="2"/>
    <n v="1"/>
    <m/>
    <m/>
    <n v="3"/>
    <m/>
    <m/>
    <m/>
    <m/>
    <m/>
    <m/>
    <m/>
    <n v="0"/>
    <m/>
    <m/>
    <s v="20140813 NCollin"/>
    <s v="20140814 HReider"/>
    <s v="FW_Scan_20140813.pdf"/>
    <n v="0"/>
    <n v="0"/>
    <n v="0"/>
    <n v="0"/>
    <n v="0"/>
    <n v="0"/>
    <n v="0"/>
    <n v="0"/>
    <n v="0"/>
    <n v="0"/>
    <n v="1"/>
    <n v="25"/>
    <n v="0"/>
    <n v="1"/>
    <n v="5"/>
    <n v="0"/>
    <n v="2"/>
    <n v="1"/>
    <n v="0"/>
    <n v="0"/>
  </r>
  <r>
    <x v="68"/>
    <x v="1"/>
    <s v="dj, qb"/>
    <d v="1899-12-30T13:58:00"/>
    <d v="1899-12-30T20:03:00"/>
    <n v="40"/>
    <n v="12"/>
    <m/>
    <m/>
    <n v="365"/>
    <m/>
    <n v="1"/>
    <m/>
    <n v="1"/>
    <m/>
    <m/>
    <m/>
    <n v="0"/>
    <m/>
    <n v="1"/>
    <m/>
    <m/>
    <n v="1"/>
    <m/>
    <n v="3"/>
    <m/>
    <n v="3"/>
    <m/>
    <n v="6"/>
    <m/>
    <n v="6"/>
    <n v="1"/>
    <m/>
    <m/>
    <m/>
    <n v="1"/>
    <m/>
    <m/>
    <m/>
    <m/>
    <m/>
    <m/>
    <m/>
    <n v="0"/>
    <m/>
    <m/>
    <s v="20140813 DJohnson"/>
    <s v="20140814 HReider"/>
    <s v="FW_Scan_20140813.pdf"/>
    <n v="0"/>
    <n v="1"/>
    <n v="0"/>
    <n v="0"/>
    <n v="0"/>
    <n v="0"/>
    <n v="0"/>
    <n v="1"/>
    <n v="0"/>
    <n v="0"/>
    <n v="0"/>
    <n v="3"/>
    <n v="0"/>
    <n v="0"/>
    <n v="6"/>
    <n v="0"/>
    <n v="1"/>
    <n v="0"/>
    <n v="0"/>
    <n v="0"/>
  </r>
  <r>
    <x v="69"/>
    <x v="0"/>
    <s v="nc,qb"/>
    <d v="1899-12-30T08:04:00"/>
    <d v="1899-12-30T14:03:00"/>
    <n v="57"/>
    <n v="9"/>
    <m/>
    <n v="107"/>
    <n v="359.00000000000006"/>
    <m/>
    <m/>
    <m/>
    <n v="0"/>
    <m/>
    <m/>
    <m/>
    <n v="0"/>
    <n v="1"/>
    <m/>
    <n v="1"/>
    <m/>
    <n v="2"/>
    <n v="1"/>
    <n v="17"/>
    <n v="1"/>
    <n v="19"/>
    <n v="1"/>
    <n v="13"/>
    <m/>
    <n v="14"/>
    <n v="2"/>
    <n v="2"/>
    <m/>
    <m/>
    <n v="4"/>
    <m/>
    <m/>
    <m/>
    <m/>
    <m/>
    <m/>
    <m/>
    <n v="0"/>
    <m/>
    <m/>
    <s v="20140814 NCollin"/>
    <s v="20140815 LAckein"/>
    <s v="FW_Scan_20140814.pdf"/>
    <n v="0"/>
    <n v="0"/>
    <n v="0"/>
    <n v="0"/>
    <n v="0"/>
    <n v="0"/>
    <n v="1"/>
    <n v="0"/>
    <n v="1"/>
    <n v="0"/>
    <n v="1"/>
    <n v="17"/>
    <n v="1"/>
    <n v="1"/>
    <n v="13"/>
    <n v="0"/>
    <n v="2"/>
    <n v="2"/>
    <n v="0"/>
    <n v="0"/>
  </r>
  <r>
    <x v="69"/>
    <x v="0"/>
    <s v="dj,csj"/>
    <d v="1899-12-30T14:03:00"/>
    <d v="1899-12-30T20:03:00"/>
    <n v="53"/>
    <n v="9"/>
    <m/>
    <m/>
    <n v="360"/>
    <m/>
    <m/>
    <m/>
    <n v="0"/>
    <m/>
    <n v="1"/>
    <m/>
    <n v="1"/>
    <n v="1"/>
    <m/>
    <m/>
    <m/>
    <n v="1"/>
    <m/>
    <n v="13"/>
    <m/>
    <n v="13"/>
    <m/>
    <n v="10"/>
    <m/>
    <n v="10"/>
    <n v="4"/>
    <n v="1"/>
    <m/>
    <m/>
    <n v="5"/>
    <m/>
    <m/>
    <m/>
    <m/>
    <m/>
    <m/>
    <m/>
    <n v="0"/>
    <m/>
    <m/>
    <s v="20140814 CSejkora"/>
    <s v="20140815 LAckein"/>
    <s v="FW_Scan_20140814.pdf"/>
    <n v="0"/>
    <n v="0"/>
    <n v="0"/>
    <n v="0"/>
    <n v="1"/>
    <n v="0"/>
    <n v="1"/>
    <n v="0"/>
    <n v="0"/>
    <n v="0"/>
    <n v="0"/>
    <n v="13"/>
    <n v="0"/>
    <n v="0"/>
    <n v="10"/>
    <n v="0"/>
    <n v="4"/>
    <n v="1"/>
    <n v="0"/>
    <n v="0"/>
  </r>
  <r>
    <x v="69"/>
    <x v="2"/>
    <s v="nc,qb"/>
    <d v="1899-12-30T07:56:00"/>
    <d v="1899-12-30T13:50:00"/>
    <n v="39"/>
    <n v="11"/>
    <m/>
    <m/>
    <n v="354.00000000000011"/>
    <m/>
    <m/>
    <m/>
    <n v="0"/>
    <m/>
    <m/>
    <m/>
    <n v="0"/>
    <m/>
    <m/>
    <m/>
    <m/>
    <n v="0"/>
    <m/>
    <m/>
    <m/>
    <n v="0"/>
    <n v="1"/>
    <n v="5"/>
    <m/>
    <n v="6"/>
    <n v="1"/>
    <m/>
    <m/>
    <m/>
    <n v="1"/>
    <m/>
    <m/>
    <m/>
    <m/>
    <m/>
    <m/>
    <m/>
    <n v="0"/>
    <m/>
    <m/>
    <s v="20140814 NCollin"/>
    <s v="20140815 LAckein"/>
    <s v="FW_Scan_20140814.pdf"/>
    <n v="0"/>
    <n v="0"/>
    <n v="0"/>
    <n v="0"/>
    <n v="0"/>
    <n v="0"/>
    <n v="0"/>
    <n v="0"/>
    <n v="0"/>
    <n v="0"/>
    <n v="0"/>
    <n v="0"/>
    <n v="0"/>
    <n v="1"/>
    <n v="5"/>
    <n v="0"/>
    <n v="1"/>
    <n v="0"/>
    <n v="0"/>
    <n v="0"/>
  </r>
  <r>
    <x v="69"/>
    <x v="2"/>
    <s v="dj,csj"/>
    <d v="1899-12-30T13:50:00"/>
    <d v="1899-12-30T19:46:00"/>
    <n v="36"/>
    <n v="11"/>
    <m/>
    <m/>
    <n v="355.99999999999983"/>
    <m/>
    <m/>
    <m/>
    <n v="0"/>
    <m/>
    <m/>
    <m/>
    <n v="0"/>
    <m/>
    <m/>
    <m/>
    <m/>
    <n v="0"/>
    <m/>
    <n v="1"/>
    <m/>
    <n v="1"/>
    <n v="1"/>
    <n v="4"/>
    <m/>
    <n v="5"/>
    <m/>
    <m/>
    <m/>
    <m/>
    <n v="0"/>
    <m/>
    <m/>
    <m/>
    <m/>
    <m/>
    <m/>
    <m/>
    <n v="0"/>
    <s v="raised slightly early to mend net"/>
    <m/>
    <s v="20140814 DJohnson"/>
    <s v="20140815 LAckein"/>
    <s v="FW_Scan_20140814.pdf"/>
    <n v="0"/>
    <n v="0"/>
    <n v="0"/>
    <n v="0"/>
    <n v="0"/>
    <n v="0"/>
    <n v="0"/>
    <n v="0"/>
    <n v="0"/>
    <n v="0"/>
    <n v="0"/>
    <n v="1"/>
    <n v="0"/>
    <n v="1"/>
    <n v="4"/>
    <n v="0"/>
    <n v="0"/>
    <n v="0"/>
    <n v="0"/>
    <n v="0"/>
  </r>
  <r>
    <x v="69"/>
    <x v="1"/>
    <s v="dj,csj"/>
    <d v="1899-12-30T08:00:00"/>
    <d v="1899-12-30T10:45:00"/>
    <n v="43"/>
    <n v="10"/>
    <m/>
    <m/>
    <n v="165.00000000000006"/>
    <m/>
    <m/>
    <m/>
    <n v="0"/>
    <m/>
    <m/>
    <m/>
    <n v="0"/>
    <m/>
    <m/>
    <m/>
    <m/>
    <n v="0"/>
    <n v="1"/>
    <n v="4"/>
    <m/>
    <n v="5"/>
    <n v="1"/>
    <m/>
    <m/>
    <n v="1"/>
    <n v="1"/>
    <m/>
    <m/>
    <m/>
    <n v="1"/>
    <m/>
    <m/>
    <m/>
    <m/>
    <m/>
    <m/>
    <m/>
    <n v="0"/>
    <m/>
    <m/>
    <s v="20140814 DJohnson"/>
    <s v="20140815 LAckein"/>
    <s v="FW_Scan_20140814.pdf"/>
    <n v="0"/>
    <n v="0"/>
    <n v="0"/>
    <n v="0"/>
    <n v="0"/>
    <n v="0"/>
    <n v="0"/>
    <n v="0"/>
    <n v="0"/>
    <n v="0"/>
    <n v="1"/>
    <n v="4"/>
    <n v="0"/>
    <n v="1"/>
    <n v="0"/>
    <n v="0"/>
    <n v="1"/>
    <n v="0"/>
    <n v="0"/>
    <n v="0"/>
  </r>
  <r>
    <x v="69"/>
    <x v="1"/>
    <s v="hr,la"/>
    <d v="1899-12-30T10:45:00"/>
    <d v="1899-12-30T17:02:00"/>
    <n v="42"/>
    <n v="11"/>
    <m/>
    <m/>
    <n v="377"/>
    <m/>
    <m/>
    <m/>
    <n v="0"/>
    <m/>
    <m/>
    <m/>
    <n v="0"/>
    <m/>
    <m/>
    <m/>
    <m/>
    <n v="0"/>
    <m/>
    <n v="14"/>
    <m/>
    <n v="14"/>
    <n v="1"/>
    <n v="4"/>
    <m/>
    <n v="5"/>
    <n v="3"/>
    <m/>
    <m/>
    <m/>
    <n v="3"/>
    <m/>
    <m/>
    <m/>
    <m/>
    <m/>
    <m/>
    <m/>
    <n v="0"/>
    <s v="moved FW out 1 ft at 13:55"/>
    <m/>
    <s v="20140814 LAckein"/>
    <s v="20140815 LAckein"/>
    <s v="FW_Scan_20140814.pdf"/>
    <n v="0"/>
    <n v="0"/>
    <n v="0"/>
    <n v="0"/>
    <n v="0"/>
    <n v="0"/>
    <n v="0"/>
    <n v="0"/>
    <n v="0"/>
    <n v="0"/>
    <n v="0"/>
    <n v="14"/>
    <n v="0"/>
    <n v="1"/>
    <n v="4"/>
    <n v="0"/>
    <n v="3"/>
    <n v="0"/>
    <n v="0"/>
    <n v="0"/>
  </r>
  <r>
    <x v="69"/>
    <x v="1"/>
    <s v="nc,qb,sc"/>
    <d v="1899-12-30T17:02:00"/>
    <d v="1899-12-30T20:02:00"/>
    <n v="37"/>
    <n v="11"/>
    <m/>
    <m/>
    <n v="180"/>
    <m/>
    <m/>
    <m/>
    <n v="0"/>
    <m/>
    <m/>
    <m/>
    <n v="0"/>
    <m/>
    <m/>
    <m/>
    <m/>
    <n v="0"/>
    <m/>
    <n v="4"/>
    <m/>
    <n v="4"/>
    <n v="1"/>
    <n v="2"/>
    <m/>
    <n v="3"/>
    <m/>
    <n v="1"/>
    <m/>
    <m/>
    <n v="1"/>
    <m/>
    <m/>
    <m/>
    <m/>
    <m/>
    <m/>
    <m/>
    <n v="0"/>
    <m/>
    <m/>
    <s v="20140814 QBerger"/>
    <s v="20140815 LAckein"/>
    <s v="FW_Scan_20140814.pdf"/>
    <n v="0"/>
    <n v="0"/>
    <n v="0"/>
    <n v="0"/>
    <n v="0"/>
    <n v="0"/>
    <n v="0"/>
    <n v="0"/>
    <n v="0"/>
    <n v="0"/>
    <n v="0"/>
    <n v="4"/>
    <n v="0"/>
    <n v="1"/>
    <n v="2"/>
    <n v="0"/>
    <n v="0"/>
    <n v="1"/>
    <n v="0"/>
    <n v="0"/>
  </r>
  <r>
    <x v="70"/>
    <x v="0"/>
    <s v="dj,csj"/>
    <d v="1899-12-30T08:13:00"/>
    <d v="1899-12-30T14:04:00"/>
    <n v="59"/>
    <n v="11"/>
    <m/>
    <m/>
    <n v="351.00000000000006"/>
    <m/>
    <m/>
    <m/>
    <n v="0"/>
    <m/>
    <m/>
    <m/>
    <n v="0"/>
    <n v="2"/>
    <m/>
    <m/>
    <m/>
    <n v="2"/>
    <n v="1"/>
    <n v="8"/>
    <n v="1"/>
    <n v="10"/>
    <n v="1"/>
    <n v="9"/>
    <m/>
    <n v="10"/>
    <n v="2"/>
    <m/>
    <m/>
    <m/>
    <n v="2"/>
    <m/>
    <m/>
    <m/>
    <m/>
    <m/>
    <m/>
    <m/>
    <n v="0"/>
    <m/>
    <m/>
    <s v="20140815 CSejkora"/>
    <s v="20140816 HReider"/>
    <s v="FW_Scan_20140815.pdf"/>
    <n v="0"/>
    <n v="0"/>
    <n v="0"/>
    <n v="0"/>
    <n v="0"/>
    <n v="0"/>
    <n v="2"/>
    <n v="0"/>
    <n v="0"/>
    <n v="0"/>
    <n v="1"/>
    <n v="8"/>
    <n v="1"/>
    <n v="1"/>
    <n v="9"/>
    <n v="0"/>
    <n v="2"/>
    <n v="0"/>
    <n v="0"/>
    <n v="0"/>
  </r>
  <r>
    <x v="70"/>
    <x v="0"/>
    <s v="jbu,ks"/>
    <d v="1899-12-30T14:04:00"/>
    <d v="1899-12-30T20:14:00"/>
    <n v="58"/>
    <n v="10"/>
    <m/>
    <m/>
    <n v="369.99999999999994"/>
    <m/>
    <m/>
    <m/>
    <n v="0"/>
    <m/>
    <m/>
    <m/>
    <n v="0"/>
    <n v="2"/>
    <m/>
    <m/>
    <m/>
    <n v="2"/>
    <m/>
    <n v="8"/>
    <m/>
    <n v="8"/>
    <n v="2"/>
    <n v="19"/>
    <m/>
    <n v="21"/>
    <m/>
    <m/>
    <m/>
    <m/>
    <n v="0"/>
    <m/>
    <m/>
    <m/>
    <n v="1"/>
    <m/>
    <m/>
    <m/>
    <n v="1"/>
    <m/>
    <m/>
    <s v="20140815 JBures"/>
    <s v="20140816 HReider"/>
    <s v="FW_Scan_20140815.pdf"/>
    <n v="0"/>
    <n v="0"/>
    <n v="0"/>
    <n v="0"/>
    <n v="0"/>
    <n v="0"/>
    <n v="2"/>
    <n v="0"/>
    <n v="0"/>
    <n v="0"/>
    <n v="0"/>
    <n v="8"/>
    <n v="0"/>
    <n v="2"/>
    <n v="19"/>
    <n v="0"/>
    <n v="0"/>
    <n v="0"/>
    <n v="0"/>
    <n v="0"/>
  </r>
  <r>
    <x v="70"/>
    <x v="2"/>
    <s v="dj,csj"/>
    <d v="1899-12-30T08:05:00"/>
    <d v="1899-12-30T13:40:00"/>
    <n v="36"/>
    <n v="10"/>
    <m/>
    <m/>
    <n v="334.99999999999994"/>
    <m/>
    <m/>
    <m/>
    <n v="0"/>
    <m/>
    <m/>
    <m/>
    <n v="0"/>
    <m/>
    <m/>
    <m/>
    <m/>
    <n v="0"/>
    <m/>
    <n v="1"/>
    <m/>
    <n v="1"/>
    <m/>
    <n v="6"/>
    <m/>
    <n v="6"/>
    <n v="2"/>
    <m/>
    <m/>
    <m/>
    <n v="2"/>
    <m/>
    <m/>
    <m/>
    <m/>
    <m/>
    <m/>
    <m/>
    <n v="0"/>
    <m/>
    <m/>
    <s v="20140815 DJohnson"/>
    <s v="20140816 HReider"/>
    <s v="FW_Scan_20140815.pdf"/>
    <n v="0"/>
    <n v="0"/>
    <n v="0"/>
    <n v="0"/>
    <n v="0"/>
    <n v="0"/>
    <n v="0"/>
    <n v="0"/>
    <n v="0"/>
    <n v="0"/>
    <n v="0"/>
    <n v="1"/>
    <n v="0"/>
    <n v="0"/>
    <n v="6"/>
    <n v="0"/>
    <n v="2"/>
    <n v="0"/>
    <n v="0"/>
    <n v="0"/>
  </r>
  <r>
    <x v="70"/>
    <x v="2"/>
    <s v="jbu,ks"/>
    <d v="1899-12-30T13:40:00"/>
    <d v="1899-12-30T20:05:00"/>
    <n v="35"/>
    <n v="11"/>
    <m/>
    <m/>
    <n v="384.99999999999989"/>
    <m/>
    <n v="1"/>
    <m/>
    <n v="1"/>
    <m/>
    <m/>
    <m/>
    <n v="0"/>
    <m/>
    <m/>
    <m/>
    <m/>
    <n v="0"/>
    <m/>
    <n v="2"/>
    <m/>
    <n v="2"/>
    <m/>
    <n v="6"/>
    <m/>
    <n v="6"/>
    <m/>
    <n v="2"/>
    <m/>
    <m/>
    <n v="2"/>
    <m/>
    <m/>
    <m/>
    <m/>
    <m/>
    <m/>
    <m/>
    <n v="0"/>
    <m/>
    <m/>
    <s v="20140815 JBures"/>
    <s v="20140816 HReider"/>
    <s v="FW_Scan_20140815.pdf"/>
    <n v="0"/>
    <n v="1"/>
    <n v="0"/>
    <n v="0"/>
    <n v="0"/>
    <n v="0"/>
    <n v="0"/>
    <n v="0"/>
    <n v="0"/>
    <n v="0"/>
    <n v="0"/>
    <n v="2"/>
    <n v="0"/>
    <n v="0"/>
    <n v="6"/>
    <n v="0"/>
    <n v="0"/>
    <n v="2"/>
    <n v="0"/>
    <n v="0"/>
  </r>
  <r>
    <x v="70"/>
    <x v="1"/>
    <s v="jbu,ks"/>
    <d v="1899-12-30T08:10:00"/>
    <d v="1899-12-30T10:45:00"/>
    <n v="36"/>
    <n v="10"/>
    <m/>
    <m/>
    <n v="155.00000000000009"/>
    <m/>
    <m/>
    <m/>
    <n v="0"/>
    <m/>
    <m/>
    <m/>
    <n v="0"/>
    <m/>
    <m/>
    <m/>
    <n v="1"/>
    <n v="1"/>
    <m/>
    <m/>
    <m/>
    <n v="0"/>
    <n v="1"/>
    <m/>
    <m/>
    <n v="1"/>
    <n v="1"/>
    <m/>
    <m/>
    <m/>
    <n v="1"/>
    <m/>
    <m/>
    <n v="1"/>
    <m/>
    <m/>
    <m/>
    <m/>
    <n v="1"/>
    <m/>
    <m/>
    <s v="20140815 JBures"/>
    <s v="20140816 HReider"/>
    <s v="FW_Scan_20140815.pdf"/>
    <n v="0"/>
    <n v="0"/>
    <n v="0"/>
    <n v="0"/>
    <n v="0"/>
    <n v="0"/>
    <n v="0"/>
    <n v="0"/>
    <n v="0"/>
    <n v="1"/>
    <n v="0"/>
    <n v="0"/>
    <n v="0"/>
    <n v="1"/>
    <n v="0"/>
    <n v="0"/>
    <n v="1"/>
    <n v="0"/>
    <n v="0"/>
    <n v="0"/>
  </r>
  <r>
    <x v="70"/>
    <x v="1"/>
    <s v="hr,la"/>
    <d v="1899-12-30T10:45:00"/>
    <d v="1899-12-30T16:55:00"/>
    <n v="37"/>
    <n v="11"/>
    <m/>
    <m/>
    <n v="370.00000000000006"/>
    <m/>
    <m/>
    <m/>
    <n v="0"/>
    <m/>
    <m/>
    <m/>
    <n v="0"/>
    <m/>
    <m/>
    <m/>
    <m/>
    <n v="0"/>
    <n v="1"/>
    <n v="4"/>
    <m/>
    <n v="5"/>
    <n v="1"/>
    <n v="2"/>
    <m/>
    <n v="3"/>
    <n v="3"/>
    <n v="1"/>
    <m/>
    <m/>
    <n v="4"/>
    <m/>
    <m/>
    <m/>
    <m/>
    <m/>
    <m/>
    <m/>
    <n v="0"/>
    <m/>
    <m/>
    <s v="20140815 HReider"/>
    <s v="20140816 HReider"/>
    <s v="FW_Scan_20140815.pdf"/>
    <n v="0"/>
    <n v="0"/>
    <n v="0"/>
    <n v="0"/>
    <n v="0"/>
    <n v="0"/>
    <n v="0"/>
    <n v="0"/>
    <n v="0"/>
    <n v="0"/>
    <n v="1"/>
    <n v="4"/>
    <n v="0"/>
    <n v="1"/>
    <n v="2"/>
    <n v="0"/>
    <n v="3"/>
    <n v="1"/>
    <n v="0"/>
    <n v="0"/>
  </r>
  <r>
    <x v="70"/>
    <x v="1"/>
    <s v="csj,jk"/>
    <d v="1899-12-30T16:55:00"/>
    <d v="1899-12-30T20:10:00"/>
    <n v="38"/>
    <n v="10.5"/>
    <m/>
    <m/>
    <n v="194.99999999999994"/>
    <m/>
    <m/>
    <m/>
    <n v="0"/>
    <m/>
    <m/>
    <m/>
    <n v="0"/>
    <m/>
    <m/>
    <m/>
    <m/>
    <n v="0"/>
    <m/>
    <n v="2"/>
    <m/>
    <n v="2"/>
    <m/>
    <n v="3"/>
    <m/>
    <n v="3"/>
    <m/>
    <m/>
    <m/>
    <m/>
    <n v="0"/>
    <m/>
    <m/>
    <m/>
    <m/>
    <m/>
    <m/>
    <m/>
    <n v="0"/>
    <m/>
    <m/>
    <s v="20140815 JKunzler"/>
    <s v="20140816 HReider"/>
    <s v="FW_Scan_20140815.pdf"/>
    <n v="0"/>
    <n v="0"/>
    <n v="0"/>
    <n v="0"/>
    <n v="0"/>
    <n v="0"/>
    <n v="0"/>
    <n v="0"/>
    <n v="0"/>
    <n v="0"/>
    <n v="0"/>
    <n v="2"/>
    <n v="0"/>
    <n v="0"/>
    <n v="3"/>
    <n v="0"/>
    <n v="0"/>
    <n v="0"/>
    <n v="0"/>
    <n v="0"/>
  </r>
  <r>
    <x v="71"/>
    <x v="0"/>
    <s v="ks,jk"/>
    <d v="1899-12-30T08:16:00"/>
    <d v="1899-12-30T14:03:00"/>
    <n v="54"/>
    <n v="9"/>
    <m/>
    <n v="74.3"/>
    <n v="347"/>
    <m/>
    <m/>
    <m/>
    <n v="0"/>
    <m/>
    <m/>
    <m/>
    <n v="0"/>
    <n v="1"/>
    <m/>
    <m/>
    <m/>
    <n v="1"/>
    <n v="1"/>
    <n v="7"/>
    <m/>
    <n v="8"/>
    <n v="1"/>
    <n v="2"/>
    <m/>
    <n v="3"/>
    <n v="1"/>
    <m/>
    <m/>
    <m/>
    <n v="1"/>
    <m/>
    <m/>
    <m/>
    <m/>
    <m/>
    <m/>
    <m/>
    <n v="0"/>
    <m/>
    <m/>
    <s v="20140816 KShippen"/>
    <s v="20140817 HReider"/>
    <s v="FW_Scan_20140816.pdf"/>
    <n v="0"/>
    <n v="0"/>
    <n v="0"/>
    <n v="0"/>
    <n v="0"/>
    <n v="0"/>
    <n v="1"/>
    <n v="0"/>
    <n v="0"/>
    <n v="0"/>
    <n v="1"/>
    <n v="7"/>
    <n v="0"/>
    <n v="1"/>
    <n v="2"/>
    <n v="0"/>
    <n v="1"/>
    <n v="0"/>
    <n v="0"/>
    <n v="0"/>
  </r>
  <r>
    <x v="71"/>
    <x v="0"/>
    <s v="jbu,qb"/>
    <d v="1899-12-30T14:03:00"/>
    <d v="1899-12-30T20:20:00"/>
    <n v="56"/>
    <n v="10"/>
    <m/>
    <m/>
    <n v="376.99999999999994"/>
    <m/>
    <m/>
    <m/>
    <n v="0"/>
    <m/>
    <m/>
    <m/>
    <n v="0"/>
    <n v="1"/>
    <m/>
    <m/>
    <m/>
    <n v="1"/>
    <m/>
    <n v="5"/>
    <m/>
    <n v="5"/>
    <m/>
    <n v="13"/>
    <m/>
    <n v="13"/>
    <m/>
    <m/>
    <m/>
    <m/>
    <n v="0"/>
    <m/>
    <m/>
    <m/>
    <m/>
    <m/>
    <m/>
    <m/>
    <n v="0"/>
    <m/>
    <m/>
    <s v="20140816 JBures"/>
    <s v="20140817 HReider"/>
    <s v="FW_Scan_20140816.pdf"/>
    <n v="0"/>
    <n v="0"/>
    <n v="0"/>
    <n v="0"/>
    <n v="0"/>
    <n v="0"/>
    <n v="1"/>
    <n v="0"/>
    <n v="0"/>
    <n v="0"/>
    <n v="0"/>
    <n v="5"/>
    <n v="0"/>
    <n v="0"/>
    <n v="13"/>
    <n v="0"/>
    <n v="0"/>
    <n v="0"/>
    <n v="0"/>
    <n v="0"/>
  </r>
  <r>
    <x v="71"/>
    <x v="2"/>
    <s v="ks,jk"/>
    <d v="1899-12-30T08:10:00"/>
    <d v="1899-12-30T13:56:00"/>
    <n v="33"/>
    <n v="10"/>
    <m/>
    <m/>
    <n v="346.00000000000017"/>
    <m/>
    <m/>
    <m/>
    <n v="0"/>
    <m/>
    <m/>
    <m/>
    <n v="0"/>
    <m/>
    <m/>
    <m/>
    <m/>
    <n v="0"/>
    <m/>
    <n v="1"/>
    <m/>
    <n v="1"/>
    <n v="1"/>
    <n v="2"/>
    <m/>
    <n v="3"/>
    <m/>
    <m/>
    <m/>
    <m/>
    <n v="0"/>
    <m/>
    <m/>
    <m/>
    <m/>
    <m/>
    <m/>
    <m/>
    <n v="0"/>
    <m/>
    <m/>
    <s v="20140816 JKunzler"/>
    <s v="20140817 HReider"/>
    <s v="FW_Scan_20140816.pdf"/>
    <n v="0"/>
    <n v="0"/>
    <n v="0"/>
    <n v="0"/>
    <n v="0"/>
    <n v="0"/>
    <n v="0"/>
    <n v="0"/>
    <n v="0"/>
    <n v="0"/>
    <n v="0"/>
    <n v="1"/>
    <n v="0"/>
    <n v="1"/>
    <n v="2"/>
    <n v="0"/>
    <n v="0"/>
    <n v="0"/>
    <n v="0"/>
    <n v="0"/>
  </r>
  <r>
    <x v="71"/>
    <x v="2"/>
    <s v="jbu,qb"/>
    <d v="1899-12-30T13:56:00"/>
    <d v="1899-12-30T20:10:00"/>
    <n v="35"/>
    <n v="11"/>
    <m/>
    <m/>
    <n v="373.99999999999994"/>
    <m/>
    <m/>
    <m/>
    <n v="0"/>
    <m/>
    <m/>
    <m/>
    <n v="0"/>
    <n v="1"/>
    <m/>
    <m/>
    <m/>
    <n v="1"/>
    <m/>
    <m/>
    <m/>
    <n v="0"/>
    <m/>
    <n v="5"/>
    <m/>
    <n v="5"/>
    <m/>
    <m/>
    <m/>
    <m/>
    <n v="0"/>
    <m/>
    <m/>
    <m/>
    <m/>
    <m/>
    <m/>
    <m/>
    <n v="0"/>
    <m/>
    <m/>
    <s v="20140816 JBures"/>
    <s v="20140817 HReider"/>
    <s v="FW_Scan_20140816.pdf"/>
    <n v="0"/>
    <n v="0"/>
    <n v="0"/>
    <n v="0"/>
    <n v="0"/>
    <n v="0"/>
    <n v="1"/>
    <n v="0"/>
    <n v="0"/>
    <n v="0"/>
    <n v="0"/>
    <n v="0"/>
    <n v="0"/>
    <n v="0"/>
    <n v="5"/>
    <n v="0"/>
    <n v="0"/>
    <n v="0"/>
    <n v="0"/>
    <n v="0"/>
  </r>
  <r>
    <x v="71"/>
    <x v="1"/>
    <s v="jbu,qb"/>
    <d v="1899-12-30T08:08:00"/>
    <d v="1899-12-30T10:54:00"/>
    <n v="37"/>
    <n v="9"/>
    <m/>
    <m/>
    <n v="166.00000000000006"/>
    <m/>
    <m/>
    <m/>
    <n v="0"/>
    <m/>
    <m/>
    <m/>
    <n v="0"/>
    <m/>
    <m/>
    <m/>
    <m/>
    <n v="0"/>
    <n v="1"/>
    <n v="4"/>
    <m/>
    <n v="5"/>
    <n v="1"/>
    <n v="1"/>
    <m/>
    <n v="2"/>
    <m/>
    <m/>
    <m/>
    <m/>
    <n v="0"/>
    <m/>
    <m/>
    <m/>
    <m/>
    <m/>
    <m/>
    <m/>
    <n v="0"/>
    <m/>
    <m/>
    <s v="20140816 JBures"/>
    <s v="20140817 HReider"/>
    <s v="FW_Scan_20140816.pdf"/>
    <n v="0"/>
    <n v="0"/>
    <n v="0"/>
    <n v="0"/>
    <n v="0"/>
    <n v="0"/>
    <n v="0"/>
    <n v="0"/>
    <n v="0"/>
    <n v="0"/>
    <n v="1"/>
    <n v="4"/>
    <n v="0"/>
    <n v="1"/>
    <n v="1"/>
    <n v="0"/>
    <n v="0"/>
    <n v="0"/>
    <n v="0"/>
    <n v="0"/>
  </r>
  <r>
    <x v="71"/>
    <x v="1"/>
    <s v="hr,la"/>
    <d v="1899-12-30T10:54:00"/>
    <d v="1899-12-30T16:53:00"/>
    <n v="36"/>
    <n v="10"/>
    <m/>
    <m/>
    <n v="358.99999999999994"/>
    <m/>
    <m/>
    <m/>
    <n v="0"/>
    <m/>
    <m/>
    <m/>
    <n v="0"/>
    <n v="1"/>
    <m/>
    <m/>
    <m/>
    <n v="1"/>
    <m/>
    <n v="5"/>
    <m/>
    <n v="5"/>
    <m/>
    <n v="5"/>
    <m/>
    <n v="5"/>
    <n v="3"/>
    <m/>
    <m/>
    <m/>
    <n v="3"/>
    <m/>
    <m/>
    <m/>
    <m/>
    <m/>
    <m/>
    <m/>
    <n v="0"/>
    <s v="cleaned and secured lead net/chain at 13:05; moved FW in 3 ft at 15:45"/>
    <m/>
    <s v="20140816 HReider"/>
    <s v="20140817 HReider"/>
    <s v="FW_Scan_20140816.pdf"/>
    <n v="0"/>
    <n v="0"/>
    <n v="0"/>
    <n v="0"/>
    <n v="0"/>
    <n v="0"/>
    <n v="1"/>
    <n v="0"/>
    <n v="0"/>
    <n v="0"/>
    <n v="0"/>
    <n v="5"/>
    <n v="0"/>
    <n v="0"/>
    <n v="5"/>
    <n v="0"/>
    <n v="3"/>
    <n v="0"/>
    <n v="0"/>
    <n v="0"/>
  </r>
  <r>
    <x v="71"/>
    <x v="1"/>
    <s v="ks,jk"/>
    <d v="1899-12-30T16:53:00"/>
    <d v="1899-12-30T20:20:00"/>
    <n v="42"/>
    <n v="10"/>
    <m/>
    <m/>
    <n v="207.00000000000006"/>
    <m/>
    <m/>
    <m/>
    <n v="0"/>
    <m/>
    <n v="1"/>
    <m/>
    <n v="1"/>
    <m/>
    <m/>
    <m/>
    <m/>
    <n v="0"/>
    <m/>
    <n v="7"/>
    <m/>
    <n v="7"/>
    <m/>
    <n v="2"/>
    <m/>
    <n v="2"/>
    <n v="3"/>
    <m/>
    <m/>
    <m/>
    <n v="3"/>
    <m/>
    <m/>
    <m/>
    <m/>
    <m/>
    <m/>
    <m/>
    <n v="0"/>
    <m/>
    <m/>
    <s v="20140816 JKunzler"/>
    <s v="20140817 HReider"/>
    <s v="FW_Scan_20140816.pdf"/>
    <n v="0"/>
    <n v="0"/>
    <n v="0"/>
    <n v="0"/>
    <n v="1"/>
    <n v="0"/>
    <n v="0"/>
    <n v="0"/>
    <n v="0"/>
    <n v="0"/>
    <n v="0"/>
    <n v="7"/>
    <n v="0"/>
    <n v="0"/>
    <n v="2"/>
    <n v="0"/>
    <n v="3"/>
    <n v="0"/>
    <n v="0"/>
    <n v="0"/>
  </r>
  <r>
    <x v="72"/>
    <x v="0"/>
    <s v="jbu,jk"/>
    <d v="1899-12-30T08:05:00"/>
    <d v="1899-12-30T13:58:00"/>
    <n v="46"/>
    <n v="9"/>
    <m/>
    <m/>
    <n v="353"/>
    <m/>
    <m/>
    <m/>
    <n v="0"/>
    <m/>
    <m/>
    <m/>
    <n v="0"/>
    <n v="1"/>
    <m/>
    <m/>
    <m/>
    <n v="1"/>
    <n v="1"/>
    <n v="1"/>
    <m/>
    <n v="2"/>
    <n v="1"/>
    <n v="3"/>
    <m/>
    <n v="4"/>
    <n v="2"/>
    <m/>
    <m/>
    <m/>
    <n v="2"/>
    <m/>
    <m/>
    <m/>
    <m/>
    <m/>
    <m/>
    <m/>
    <n v="0"/>
    <m/>
    <m/>
    <s v="20140817 JKunzler"/>
    <s v="20140817 HReider"/>
    <s v="FW_Scan_20140817.pdf"/>
    <n v="0"/>
    <n v="0"/>
    <n v="0"/>
    <n v="0"/>
    <n v="0"/>
    <n v="0"/>
    <n v="1"/>
    <n v="0"/>
    <n v="0"/>
    <n v="0"/>
    <n v="1"/>
    <n v="1"/>
    <n v="0"/>
    <n v="1"/>
    <n v="3"/>
    <n v="0"/>
    <n v="2"/>
    <n v="0"/>
    <n v="0"/>
    <n v="0"/>
  </r>
  <r>
    <x v="72"/>
    <x v="0"/>
    <s v="qb,csj"/>
    <d v="1899-12-30T13:58:00"/>
    <d v="1899-12-30T20:06:00"/>
    <n v="49"/>
    <n v="11"/>
    <m/>
    <m/>
    <n v="368"/>
    <m/>
    <m/>
    <m/>
    <n v="0"/>
    <m/>
    <m/>
    <m/>
    <n v="0"/>
    <m/>
    <m/>
    <m/>
    <m/>
    <n v="0"/>
    <m/>
    <n v="2"/>
    <m/>
    <n v="2"/>
    <n v="1"/>
    <n v="4"/>
    <m/>
    <n v="5"/>
    <n v="2"/>
    <n v="1"/>
    <m/>
    <m/>
    <n v="3"/>
    <m/>
    <m/>
    <m/>
    <m/>
    <m/>
    <m/>
    <m/>
    <n v="0"/>
    <m/>
    <m/>
    <s v="20140817 QBerger"/>
    <s v="20140817 HReider"/>
    <s v="FW_Scan_20140817.pdf"/>
    <n v="0"/>
    <n v="0"/>
    <n v="0"/>
    <n v="0"/>
    <n v="0"/>
    <n v="0"/>
    <n v="0"/>
    <n v="0"/>
    <n v="0"/>
    <n v="0"/>
    <n v="0"/>
    <n v="2"/>
    <n v="0"/>
    <n v="1"/>
    <n v="4"/>
    <n v="0"/>
    <n v="2"/>
    <n v="1"/>
    <n v="0"/>
    <n v="0"/>
  </r>
  <r>
    <x v="72"/>
    <x v="2"/>
    <s v="jbu,jk"/>
    <d v="1899-12-30T08:11:00"/>
    <d v="1899-12-30T13:44:00"/>
    <n v="33"/>
    <n v="10"/>
    <m/>
    <m/>
    <n v="332.99999999999994"/>
    <m/>
    <m/>
    <m/>
    <n v="0"/>
    <m/>
    <m/>
    <m/>
    <n v="0"/>
    <m/>
    <m/>
    <m/>
    <m/>
    <n v="0"/>
    <m/>
    <m/>
    <m/>
    <n v="0"/>
    <m/>
    <n v="4"/>
    <m/>
    <n v="4"/>
    <m/>
    <m/>
    <m/>
    <m/>
    <n v="0"/>
    <m/>
    <m/>
    <m/>
    <m/>
    <m/>
    <m/>
    <m/>
    <n v="0"/>
    <s v="pumped out front port pontoon, cleaned lead net"/>
    <m/>
    <s v="20140817 JBures"/>
    <s v="20140817 HReider"/>
    <s v="FW_Scan_20140817.pdf"/>
    <n v="0"/>
    <n v="0"/>
    <n v="0"/>
    <n v="0"/>
    <n v="0"/>
    <n v="0"/>
    <n v="0"/>
    <n v="0"/>
    <n v="0"/>
    <n v="0"/>
    <n v="0"/>
    <n v="0"/>
    <n v="0"/>
    <n v="0"/>
    <n v="4"/>
    <n v="0"/>
    <n v="0"/>
    <n v="0"/>
    <n v="0"/>
    <n v="0"/>
  </r>
  <r>
    <x v="72"/>
    <x v="2"/>
    <s v="qb,csj"/>
    <d v="1899-12-30T13:44:00"/>
    <d v="1899-12-30T20:12:00"/>
    <n v="34"/>
    <n v="11"/>
    <m/>
    <m/>
    <n v="388.00000000000006"/>
    <m/>
    <m/>
    <m/>
    <n v="0"/>
    <m/>
    <m/>
    <m/>
    <n v="0"/>
    <m/>
    <m/>
    <m/>
    <m/>
    <n v="0"/>
    <m/>
    <n v="1"/>
    <m/>
    <n v="1"/>
    <n v="1"/>
    <n v="3"/>
    <m/>
    <n v="4"/>
    <m/>
    <n v="1"/>
    <m/>
    <m/>
    <n v="1"/>
    <m/>
    <m/>
    <m/>
    <m/>
    <m/>
    <m/>
    <m/>
    <n v="0"/>
    <m/>
    <m/>
    <s v="20140817 CSejkora"/>
    <s v="20140817 HReider"/>
    <s v="FW_Scan_20140817.pdf"/>
    <n v="0"/>
    <n v="0"/>
    <n v="0"/>
    <n v="0"/>
    <n v="0"/>
    <n v="0"/>
    <n v="0"/>
    <n v="0"/>
    <n v="0"/>
    <n v="0"/>
    <n v="0"/>
    <n v="1"/>
    <n v="0"/>
    <n v="1"/>
    <n v="3"/>
    <n v="0"/>
    <n v="0"/>
    <n v="1"/>
    <n v="0"/>
    <n v="0"/>
  </r>
  <r>
    <x v="72"/>
    <x v="1"/>
    <s v="qb,csj"/>
    <d v="1899-12-30T08:10:00"/>
    <d v="1899-12-30T10:46:00"/>
    <n v="56"/>
    <n v="10"/>
    <m/>
    <m/>
    <n v="156.00000000000009"/>
    <m/>
    <m/>
    <m/>
    <n v="0"/>
    <m/>
    <m/>
    <m/>
    <n v="0"/>
    <m/>
    <m/>
    <m/>
    <m/>
    <n v="0"/>
    <n v="1"/>
    <n v="2"/>
    <m/>
    <n v="3"/>
    <n v="1"/>
    <m/>
    <m/>
    <n v="1"/>
    <m/>
    <m/>
    <m/>
    <m/>
    <n v="0"/>
    <m/>
    <m/>
    <m/>
    <m/>
    <m/>
    <m/>
    <m/>
    <n v="0"/>
    <m/>
    <m/>
    <s v="20140817 QBerger"/>
    <s v="20140817 HReider"/>
    <s v="FW_Scan_20140817.pdf"/>
    <n v="0"/>
    <n v="0"/>
    <n v="0"/>
    <n v="0"/>
    <n v="0"/>
    <n v="0"/>
    <n v="0"/>
    <n v="0"/>
    <n v="0"/>
    <n v="0"/>
    <n v="1"/>
    <n v="2"/>
    <n v="0"/>
    <n v="1"/>
    <n v="0"/>
    <n v="0"/>
    <n v="0"/>
    <n v="0"/>
    <n v="0"/>
    <n v="0"/>
  </r>
  <r>
    <x v="72"/>
    <x v="1"/>
    <s v="la,ks"/>
    <d v="1899-12-30T10:46:00"/>
    <d v="1899-12-30T16:50:00"/>
    <n v="41"/>
    <n v="10"/>
    <m/>
    <m/>
    <n v="363.99999999999989"/>
    <m/>
    <m/>
    <m/>
    <n v="0"/>
    <m/>
    <m/>
    <m/>
    <n v="0"/>
    <n v="1"/>
    <m/>
    <m/>
    <m/>
    <n v="1"/>
    <m/>
    <m/>
    <m/>
    <n v="0"/>
    <m/>
    <n v="1"/>
    <m/>
    <n v="1"/>
    <n v="4"/>
    <m/>
    <m/>
    <m/>
    <n v="4"/>
    <m/>
    <m/>
    <m/>
    <m/>
    <m/>
    <m/>
    <m/>
    <n v="0"/>
    <m/>
    <s v="88 mm Coho smolt, photos taken"/>
    <s v="20140817 LAckein"/>
    <s v="20140817 HReider"/>
    <s v="FW_Scan_20140817.pdf"/>
    <n v="0"/>
    <n v="0"/>
    <n v="0"/>
    <n v="0"/>
    <n v="0"/>
    <n v="0"/>
    <n v="1"/>
    <n v="0"/>
    <n v="0"/>
    <n v="0"/>
    <n v="0"/>
    <n v="0"/>
    <n v="0"/>
    <n v="0"/>
    <n v="1"/>
    <n v="0"/>
    <n v="4"/>
    <n v="0"/>
    <n v="0"/>
    <n v="0"/>
  </r>
  <r>
    <x v="72"/>
    <x v="1"/>
    <s v="jbu,jk"/>
    <d v="1899-12-30T16:50:00"/>
    <d v="1899-12-30T20:10:00"/>
    <n v="41"/>
    <n v="10"/>
    <m/>
    <m/>
    <n v="200.00000000000009"/>
    <m/>
    <m/>
    <m/>
    <n v="0"/>
    <m/>
    <m/>
    <m/>
    <n v="0"/>
    <m/>
    <m/>
    <m/>
    <m/>
    <n v="0"/>
    <m/>
    <n v="3"/>
    <m/>
    <n v="3"/>
    <m/>
    <n v="3"/>
    <m/>
    <n v="3"/>
    <m/>
    <m/>
    <m/>
    <m/>
    <n v="0"/>
    <m/>
    <m/>
    <m/>
    <m/>
    <m/>
    <m/>
    <m/>
    <n v="0"/>
    <s v="fixed FW net basket"/>
    <s v="two no tag pink spawned out"/>
    <s v="20140817 JKunzler"/>
    <s v="20140817 HReider"/>
    <s v="FW_Scan_20140817.pdf"/>
    <n v="0"/>
    <n v="0"/>
    <n v="0"/>
    <n v="0"/>
    <n v="0"/>
    <n v="0"/>
    <n v="0"/>
    <n v="0"/>
    <n v="0"/>
    <n v="0"/>
    <n v="0"/>
    <n v="3"/>
    <n v="0"/>
    <n v="0"/>
    <n v="3"/>
    <n v="0"/>
    <n v="0"/>
    <n v="0"/>
    <n v="0"/>
    <n v="0"/>
  </r>
  <r>
    <x v="73"/>
    <x v="0"/>
    <s v="jbu,qb"/>
    <d v="1899-12-30T08:09:00"/>
    <d v="1899-12-30T14:15:00"/>
    <n v="45"/>
    <n v="9"/>
    <m/>
    <n v="104"/>
    <n v="366"/>
    <m/>
    <m/>
    <n v="1"/>
    <n v="1"/>
    <m/>
    <m/>
    <m/>
    <n v="0"/>
    <n v="1"/>
    <m/>
    <m/>
    <m/>
    <n v="1"/>
    <m/>
    <n v="1"/>
    <m/>
    <n v="1"/>
    <n v="1"/>
    <n v="3"/>
    <m/>
    <n v="4"/>
    <n v="2"/>
    <m/>
    <m/>
    <m/>
    <n v="2"/>
    <m/>
    <m/>
    <m/>
    <m/>
    <m/>
    <m/>
    <m/>
    <n v="0"/>
    <s v="At 12:30 moved wheel in 3-5 ft"/>
    <m/>
    <s v="20140818 QBerger"/>
    <s v="20140819 LAckein"/>
    <s v="FW_Scan_20140818.pdf"/>
    <n v="0"/>
    <n v="0"/>
    <n v="1"/>
    <n v="0"/>
    <n v="0"/>
    <n v="0"/>
    <n v="1"/>
    <n v="0"/>
    <n v="0"/>
    <n v="0"/>
    <n v="0"/>
    <n v="1"/>
    <n v="0"/>
    <n v="1"/>
    <n v="3"/>
    <n v="0"/>
    <n v="2"/>
    <n v="0"/>
    <n v="0"/>
    <n v="0"/>
  </r>
  <r>
    <x v="73"/>
    <x v="0"/>
    <s v="jk,csj"/>
    <d v="1899-12-30T14:15:00"/>
    <d v="1899-12-30T20:16:00"/>
    <n v="46"/>
    <n v="9"/>
    <m/>
    <m/>
    <n v="361"/>
    <m/>
    <m/>
    <m/>
    <n v="0"/>
    <m/>
    <n v="1"/>
    <m/>
    <n v="1"/>
    <m/>
    <m/>
    <m/>
    <m/>
    <n v="0"/>
    <m/>
    <n v="8"/>
    <m/>
    <n v="8"/>
    <m/>
    <n v="7"/>
    <m/>
    <n v="7"/>
    <n v="4"/>
    <n v="2"/>
    <m/>
    <m/>
    <n v="6"/>
    <m/>
    <m/>
    <m/>
    <m/>
    <m/>
    <m/>
    <m/>
    <n v="0"/>
    <m/>
    <m/>
    <s v="20140818 JKunzler"/>
    <s v="20140819 LAckein"/>
    <s v="FW_Scan_20140818.pdf"/>
    <n v="0"/>
    <n v="0"/>
    <n v="0"/>
    <n v="0"/>
    <n v="1"/>
    <n v="0"/>
    <n v="0"/>
    <n v="0"/>
    <n v="0"/>
    <n v="0"/>
    <n v="0"/>
    <n v="8"/>
    <n v="0"/>
    <n v="0"/>
    <n v="7"/>
    <n v="0"/>
    <n v="4"/>
    <n v="2"/>
    <n v="0"/>
    <n v="0"/>
  </r>
  <r>
    <x v="73"/>
    <x v="2"/>
    <s v="qb,jbu"/>
    <d v="1899-12-30T08:01:00"/>
    <d v="1899-12-30T13:45:00"/>
    <n v="34"/>
    <n v="9"/>
    <m/>
    <m/>
    <n v="343.99999999999989"/>
    <m/>
    <m/>
    <m/>
    <n v="0"/>
    <m/>
    <m/>
    <m/>
    <n v="0"/>
    <m/>
    <m/>
    <m/>
    <m/>
    <n v="0"/>
    <m/>
    <m/>
    <m/>
    <n v="0"/>
    <m/>
    <m/>
    <m/>
    <n v="0"/>
    <m/>
    <m/>
    <m/>
    <m/>
    <n v="0"/>
    <m/>
    <m/>
    <m/>
    <m/>
    <m/>
    <m/>
    <m/>
    <n v="0"/>
    <s v="Moved FW in 1.5-2 ft"/>
    <s v="No Fish"/>
    <s v="20140818 QBerger"/>
    <s v="20140819 LAckein"/>
    <s v="FW_Scan_20140818.pdf"/>
    <n v="0"/>
    <n v="0"/>
    <n v="0"/>
    <n v="0"/>
    <n v="0"/>
    <n v="0"/>
    <n v="0"/>
    <n v="0"/>
    <n v="0"/>
    <n v="0"/>
    <n v="0"/>
    <n v="0"/>
    <n v="0"/>
    <n v="0"/>
    <n v="0"/>
    <n v="0"/>
    <n v="0"/>
    <n v="0"/>
    <n v="0"/>
    <n v="0"/>
  </r>
  <r>
    <x v="73"/>
    <x v="2"/>
    <s v="jk,csj"/>
    <d v="1899-12-30T13:45:00"/>
    <d v="1899-12-30T20:01:00"/>
    <n v="30"/>
    <n v="10"/>
    <m/>
    <m/>
    <n v="375.99999999999994"/>
    <m/>
    <m/>
    <m/>
    <n v="0"/>
    <m/>
    <m/>
    <m/>
    <n v="0"/>
    <m/>
    <m/>
    <m/>
    <m/>
    <n v="0"/>
    <m/>
    <n v="1"/>
    <m/>
    <n v="1"/>
    <n v="1"/>
    <n v="4"/>
    <m/>
    <n v="5"/>
    <n v="2"/>
    <m/>
    <m/>
    <m/>
    <n v="2"/>
    <m/>
    <m/>
    <m/>
    <m/>
    <m/>
    <m/>
    <m/>
    <n v="0"/>
    <m/>
    <m/>
    <s v="20140818 JKunzler"/>
    <s v="20140819 LAckein"/>
    <s v="FW_Scan_20140818.pdf"/>
    <n v="0"/>
    <n v="0"/>
    <n v="0"/>
    <n v="0"/>
    <n v="0"/>
    <n v="0"/>
    <n v="0"/>
    <n v="0"/>
    <n v="0"/>
    <n v="0"/>
    <n v="0"/>
    <n v="1"/>
    <n v="0"/>
    <n v="1"/>
    <n v="4"/>
    <n v="0"/>
    <n v="2"/>
    <n v="0"/>
    <n v="0"/>
    <n v="0"/>
  </r>
  <r>
    <x v="73"/>
    <x v="1"/>
    <s v="jk,csj"/>
    <d v="1899-12-30T08:10:00"/>
    <d v="1899-12-30T11:00:00"/>
    <n v="42"/>
    <n v="9"/>
    <m/>
    <m/>
    <n v="170.00000000000003"/>
    <m/>
    <m/>
    <m/>
    <n v="0"/>
    <m/>
    <m/>
    <m/>
    <n v="0"/>
    <m/>
    <m/>
    <m/>
    <m/>
    <n v="0"/>
    <n v="2"/>
    <m/>
    <m/>
    <n v="2"/>
    <n v="2"/>
    <m/>
    <m/>
    <n v="2"/>
    <n v="1"/>
    <n v="1"/>
    <m/>
    <m/>
    <n v="2"/>
    <m/>
    <m/>
    <m/>
    <m/>
    <m/>
    <m/>
    <m/>
    <n v="0"/>
    <m/>
    <m/>
    <s v="20140818 CSejkora"/>
    <s v="20140819 LAckein"/>
    <s v="FW_Scan_20140818.pdf"/>
    <n v="0"/>
    <n v="0"/>
    <n v="0"/>
    <n v="0"/>
    <n v="0"/>
    <n v="0"/>
    <n v="0"/>
    <n v="0"/>
    <n v="0"/>
    <n v="0"/>
    <n v="2"/>
    <n v="0"/>
    <n v="0"/>
    <n v="2"/>
    <n v="0"/>
    <n v="0"/>
    <n v="1"/>
    <n v="1"/>
    <n v="0"/>
    <n v="0"/>
  </r>
  <r>
    <x v="73"/>
    <x v="1"/>
    <s v="hr,la"/>
    <d v="1899-12-30T11:00:00"/>
    <d v="1899-12-30T17:27:00"/>
    <n v="39"/>
    <n v="9"/>
    <m/>
    <m/>
    <n v="386.99999999999994"/>
    <m/>
    <m/>
    <m/>
    <n v="0"/>
    <m/>
    <m/>
    <m/>
    <n v="0"/>
    <m/>
    <m/>
    <m/>
    <m/>
    <n v="0"/>
    <n v="3"/>
    <n v="4"/>
    <m/>
    <n v="7"/>
    <m/>
    <n v="3"/>
    <n v="1"/>
    <n v="4"/>
    <m/>
    <m/>
    <m/>
    <m/>
    <n v="0"/>
    <m/>
    <m/>
    <m/>
    <m/>
    <m/>
    <m/>
    <m/>
    <n v="0"/>
    <m/>
    <m/>
    <s v="20140818 LAckein"/>
    <s v="20140819 LAckein"/>
    <s v="FW_Scan_20140818.pdf"/>
    <n v="0"/>
    <n v="0"/>
    <n v="0"/>
    <n v="0"/>
    <n v="0"/>
    <n v="0"/>
    <n v="0"/>
    <n v="0"/>
    <n v="0"/>
    <n v="0"/>
    <n v="3"/>
    <n v="4"/>
    <n v="0"/>
    <n v="0"/>
    <n v="3"/>
    <n v="1"/>
    <n v="0"/>
    <n v="0"/>
    <n v="0"/>
    <n v="0"/>
  </r>
  <r>
    <x v="73"/>
    <x v="1"/>
    <s v="jk,csj,jbu,hr,la"/>
    <d v="1899-12-30T17:27:00"/>
    <d v="1899-12-30T20:16:00"/>
    <n v="39"/>
    <n v="9"/>
    <m/>
    <m/>
    <n v="169.00000000000003"/>
    <m/>
    <m/>
    <m/>
    <n v="0"/>
    <m/>
    <m/>
    <m/>
    <n v="0"/>
    <m/>
    <m/>
    <m/>
    <m/>
    <n v="0"/>
    <m/>
    <n v="3"/>
    <m/>
    <n v="3"/>
    <m/>
    <n v="1"/>
    <m/>
    <n v="1"/>
    <n v="1"/>
    <m/>
    <m/>
    <m/>
    <n v="1"/>
    <m/>
    <n v="1"/>
    <m/>
    <m/>
    <m/>
    <m/>
    <m/>
    <n v="1"/>
    <m/>
    <m/>
    <s v="20140818 HReider"/>
    <s v="20140819 LAckein"/>
    <s v="FW_Scan_20140818.pdf"/>
    <n v="0"/>
    <n v="0"/>
    <n v="0"/>
    <n v="0"/>
    <n v="0"/>
    <n v="0"/>
    <n v="0"/>
    <n v="0"/>
    <n v="0"/>
    <n v="0"/>
    <n v="0"/>
    <n v="3"/>
    <n v="0"/>
    <n v="0"/>
    <n v="1"/>
    <n v="0"/>
    <n v="1"/>
    <n v="0"/>
    <n v="0"/>
    <n v="0"/>
  </r>
  <r>
    <x v="74"/>
    <x v="0"/>
    <s v="ks,hr"/>
    <d v="1899-12-30T08:21:00"/>
    <d v="1899-12-30T10:57:00"/>
    <n v="46"/>
    <n v="9"/>
    <m/>
    <m/>
    <n v="156"/>
    <m/>
    <m/>
    <m/>
    <n v="0"/>
    <m/>
    <m/>
    <m/>
    <n v="0"/>
    <m/>
    <m/>
    <m/>
    <m/>
    <n v="0"/>
    <m/>
    <n v="1"/>
    <m/>
    <n v="1"/>
    <n v="2"/>
    <n v="3"/>
    <m/>
    <n v="5"/>
    <n v="2"/>
    <m/>
    <m/>
    <m/>
    <n v="2"/>
    <m/>
    <m/>
    <m/>
    <m/>
    <m/>
    <m/>
    <m/>
    <n v="0"/>
    <s v="greased winches and wheel"/>
    <m/>
    <s v="20140819 KShippen"/>
    <s v="20140820 HReider"/>
    <s v="FW_Scan_20140819.pdf"/>
    <n v="0"/>
    <n v="0"/>
    <n v="0"/>
    <n v="0"/>
    <n v="0"/>
    <n v="0"/>
    <n v="0"/>
    <n v="0"/>
    <n v="0"/>
    <n v="0"/>
    <n v="0"/>
    <n v="1"/>
    <n v="0"/>
    <n v="2"/>
    <n v="3"/>
    <n v="0"/>
    <n v="2"/>
    <n v="0"/>
    <n v="0"/>
    <n v="0"/>
  </r>
  <r>
    <x v="74"/>
    <x v="0"/>
    <s v="la,jbu,csj"/>
    <d v="1899-12-30T10:57:00"/>
    <d v="1899-12-30T13:15:00"/>
    <n v="47"/>
    <n v="10"/>
    <m/>
    <m/>
    <n v="138.00000000000006"/>
    <m/>
    <m/>
    <m/>
    <n v="0"/>
    <m/>
    <m/>
    <m/>
    <n v="0"/>
    <n v="1"/>
    <m/>
    <m/>
    <m/>
    <n v="1"/>
    <m/>
    <n v="3"/>
    <m/>
    <n v="3"/>
    <m/>
    <n v="5"/>
    <m/>
    <n v="5"/>
    <n v="1"/>
    <m/>
    <m/>
    <m/>
    <n v="1"/>
    <m/>
    <m/>
    <m/>
    <m/>
    <m/>
    <m/>
    <m/>
    <n v="0"/>
    <m/>
    <m/>
    <s v="20140819 LAckein"/>
    <s v="20140820 HReider"/>
    <s v="FW_Scan_20140819.pdf"/>
    <n v="0"/>
    <n v="0"/>
    <n v="0"/>
    <n v="0"/>
    <n v="0"/>
    <n v="0"/>
    <n v="1"/>
    <n v="0"/>
    <n v="0"/>
    <n v="0"/>
    <n v="0"/>
    <n v="3"/>
    <n v="0"/>
    <n v="0"/>
    <n v="5"/>
    <n v="0"/>
    <n v="1"/>
    <n v="0"/>
    <n v="0"/>
    <n v="0"/>
  </r>
  <r>
    <x v="74"/>
    <x v="0"/>
    <s v="ks,la,hr"/>
    <d v="1899-12-30T13:15:00"/>
    <d v="1899-12-30T16:55:00"/>
    <n v="48"/>
    <n v="10"/>
    <m/>
    <m/>
    <n v="220.00000000000003"/>
    <m/>
    <m/>
    <m/>
    <n v="0"/>
    <m/>
    <n v="1"/>
    <m/>
    <n v="1"/>
    <m/>
    <m/>
    <m/>
    <m/>
    <n v="0"/>
    <m/>
    <n v="6"/>
    <m/>
    <n v="6"/>
    <m/>
    <n v="4"/>
    <n v="1"/>
    <n v="5"/>
    <n v="2"/>
    <n v="1"/>
    <m/>
    <m/>
    <n v="3"/>
    <m/>
    <m/>
    <m/>
    <m/>
    <m/>
    <m/>
    <m/>
    <n v="0"/>
    <m/>
    <m/>
    <s v="20140819 LAckein"/>
    <s v="20140820 HReider"/>
    <s v="FW_Scan_20140819.pdf"/>
    <n v="0"/>
    <n v="0"/>
    <n v="0"/>
    <n v="0"/>
    <n v="1"/>
    <n v="0"/>
    <n v="0"/>
    <n v="0"/>
    <n v="0"/>
    <n v="0"/>
    <n v="0"/>
    <n v="6"/>
    <n v="0"/>
    <n v="0"/>
    <n v="4"/>
    <n v="1"/>
    <n v="2"/>
    <n v="1"/>
    <n v="0"/>
    <n v="0"/>
  </r>
  <r>
    <x v="74"/>
    <x v="0"/>
    <s v="jbu,csj"/>
    <d v="1899-12-30T16:55:00"/>
    <d v="1899-12-30T20:11:00"/>
    <n v="50"/>
    <n v="11"/>
    <m/>
    <m/>
    <n v="195.99999999999994"/>
    <m/>
    <m/>
    <m/>
    <n v="0"/>
    <m/>
    <m/>
    <m/>
    <n v="0"/>
    <m/>
    <m/>
    <m/>
    <m/>
    <n v="0"/>
    <m/>
    <n v="1"/>
    <m/>
    <n v="1"/>
    <m/>
    <n v="16"/>
    <m/>
    <n v="16"/>
    <m/>
    <n v="1"/>
    <m/>
    <m/>
    <n v="1"/>
    <m/>
    <m/>
    <n v="1"/>
    <m/>
    <m/>
    <m/>
    <m/>
    <n v="1"/>
    <m/>
    <m/>
    <s v="20140819 JBures"/>
    <s v="20140820 HReider"/>
    <s v="FW_Scan_20140819.pdf"/>
    <n v="0"/>
    <n v="0"/>
    <n v="0"/>
    <n v="0"/>
    <n v="0"/>
    <n v="0"/>
    <n v="0"/>
    <n v="0"/>
    <n v="0"/>
    <n v="0"/>
    <n v="0"/>
    <n v="1"/>
    <n v="0"/>
    <n v="0"/>
    <n v="16"/>
    <n v="0"/>
    <n v="0"/>
    <n v="1"/>
    <n v="0"/>
    <n v="0"/>
  </r>
  <r>
    <x v="74"/>
    <x v="2"/>
    <s v="ks,hr"/>
    <d v="1899-12-30T08:11:00"/>
    <d v="1899-12-30T10:37:00"/>
    <n v="31"/>
    <n v="10"/>
    <m/>
    <m/>
    <n v="146.00000000000003"/>
    <m/>
    <m/>
    <m/>
    <n v="0"/>
    <m/>
    <m/>
    <m/>
    <n v="0"/>
    <m/>
    <m/>
    <m/>
    <m/>
    <n v="0"/>
    <m/>
    <m/>
    <m/>
    <n v="0"/>
    <m/>
    <n v="1"/>
    <m/>
    <n v="1"/>
    <m/>
    <m/>
    <m/>
    <m/>
    <n v="0"/>
    <m/>
    <m/>
    <m/>
    <m/>
    <m/>
    <m/>
    <m/>
    <n v="0"/>
    <m/>
    <m/>
    <s v="20140819 HReider"/>
    <s v="20140820 HReider"/>
    <s v="FW_Scan_20140819.pdf"/>
    <n v="0"/>
    <n v="0"/>
    <n v="0"/>
    <n v="0"/>
    <n v="0"/>
    <n v="0"/>
    <n v="0"/>
    <n v="0"/>
    <n v="0"/>
    <n v="0"/>
    <n v="0"/>
    <n v="0"/>
    <n v="0"/>
    <n v="0"/>
    <n v="1"/>
    <n v="0"/>
    <n v="0"/>
    <n v="0"/>
    <n v="0"/>
    <n v="0"/>
  </r>
  <r>
    <x v="74"/>
    <x v="2"/>
    <s v="la,jbu,csj"/>
    <d v="1899-12-30T10:37:00"/>
    <d v="1899-12-30T13:40:00"/>
    <n v="32"/>
    <n v="10"/>
    <m/>
    <m/>
    <n v="182.99999999999991"/>
    <m/>
    <m/>
    <m/>
    <n v="0"/>
    <m/>
    <m/>
    <m/>
    <n v="0"/>
    <m/>
    <m/>
    <m/>
    <m/>
    <n v="0"/>
    <m/>
    <m/>
    <m/>
    <n v="0"/>
    <m/>
    <n v="1"/>
    <m/>
    <n v="1"/>
    <m/>
    <m/>
    <m/>
    <m/>
    <n v="0"/>
    <m/>
    <m/>
    <m/>
    <m/>
    <m/>
    <m/>
    <m/>
    <n v="0"/>
    <m/>
    <m/>
    <s v="20140819 LAckein"/>
    <s v="20140820 HReider"/>
    <s v="FW_Scan_20140819.pdf"/>
    <n v="0"/>
    <n v="0"/>
    <n v="0"/>
    <n v="0"/>
    <n v="0"/>
    <n v="0"/>
    <n v="0"/>
    <n v="0"/>
    <n v="0"/>
    <n v="0"/>
    <n v="0"/>
    <n v="0"/>
    <n v="0"/>
    <n v="0"/>
    <n v="1"/>
    <n v="0"/>
    <n v="0"/>
    <n v="0"/>
    <n v="0"/>
    <n v="0"/>
  </r>
  <r>
    <x v="74"/>
    <x v="2"/>
    <s v="la,hr,ks"/>
    <d v="1899-12-30T13:40:00"/>
    <d v="1899-12-30T16:45:00"/>
    <n v="33"/>
    <n v="11"/>
    <m/>
    <m/>
    <n v="184.99999999999997"/>
    <m/>
    <m/>
    <m/>
    <n v="0"/>
    <m/>
    <m/>
    <m/>
    <n v="0"/>
    <m/>
    <m/>
    <m/>
    <m/>
    <n v="0"/>
    <m/>
    <m/>
    <m/>
    <n v="0"/>
    <m/>
    <n v="9"/>
    <m/>
    <n v="9"/>
    <m/>
    <m/>
    <m/>
    <m/>
    <n v="0"/>
    <m/>
    <m/>
    <m/>
    <m/>
    <m/>
    <m/>
    <m/>
    <n v="0"/>
    <m/>
    <m/>
    <s v="20140819 LAckein"/>
    <s v="20140820 HReider"/>
    <s v="FW_Scan_20140819.pdf"/>
    <n v="0"/>
    <n v="0"/>
    <n v="0"/>
    <n v="0"/>
    <n v="0"/>
    <n v="0"/>
    <n v="0"/>
    <n v="0"/>
    <n v="0"/>
    <n v="0"/>
    <n v="0"/>
    <n v="0"/>
    <n v="0"/>
    <n v="0"/>
    <n v="9"/>
    <n v="0"/>
    <n v="0"/>
    <n v="0"/>
    <n v="0"/>
    <n v="0"/>
  </r>
  <r>
    <x v="74"/>
    <x v="2"/>
    <s v="jbu,csj"/>
    <d v="1899-12-30T16:45:00"/>
    <d v="1899-12-30T20:11:00"/>
    <n v="34"/>
    <n v="11"/>
    <m/>
    <m/>
    <n v="206.00000000000006"/>
    <m/>
    <m/>
    <m/>
    <n v="0"/>
    <m/>
    <m/>
    <m/>
    <n v="0"/>
    <n v="1"/>
    <m/>
    <m/>
    <m/>
    <n v="1"/>
    <m/>
    <m/>
    <m/>
    <n v="0"/>
    <m/>
    <n v="5"/>
    <m/>
    <n v="5"/>
    <m/>
    <m/>
    <m/>
    <m/>
    <n v="0"/>
    <m/>
    <m/>
    <m/>
    <m/>
    <m/>
    <m/>
    <m/>
    <n v="0"/>
    <m/>
    <m/>
    <s v="20140819 JBures"/>
    <s v="20140820 HReider"/>
    <s v="FW_Scan_20140819.pdf"/>
    <n v="0"/>
    <n v="0"/>
    <n v="0"/>
    <n v="0"/>
    <n v="0"/>
    <n v="0"/>
    <n v="1"/>
    <n v="0"/>
    <n v="0"/>
    <n v="0"/>
    <n v="0"/>
    <n v="0"/>
    <n v="0"/>
    <n v="0"/>
    <n v="5"/>
    <n v="0"/>
    <n v="0"/>
    <n v="0"/>
    <n v="0"/>
    <n v="0"/>
  </r>
  <r>
    <x v="74"/>
    <x v="1"/>
    <s v="csj,jbu,la"/>
    <d v="1899-12-30T08:10:00"/>
    <d v="1899-12-30T13:58:00"/>
    <n v="39"/>
    <n v="9"/>
    <m/>
    <m/>
    <n v="348.00000000000017"/>
    <m/>
    <m/>
    <m/>
    <n v="0"/>
    <m/>
    <m/>
    <m/>
    <n v="0"/>
    <m/>
    <m/>
    <m/>
    <m/>
    <n v="0"/>
    <m/>
    <n v="2"/>
    <m/>
    <n v="2"/>
    <n v="1"/>
    <n v="7"/>
    <m/>
    <n v="8"/>
    <n v="5"/>
    <m/>
    <m/>
    <m/>
    <n v="5"/>
    <m/>
    <m/>
    <m/>
    <m/>
    <m/>
    <m/>
    <m/>
    <n v="0"/>
    <m/>
    <m/>
    <s v="20140819 LAckein"/>
    <s v="20140820 HReider"/>
    <s v="FW_Scan_20140819.pdf"/>
    <n v="0"/>
    <n v="0"/>
    <n v="0"/>
    <n v="0"/>
    <n v="0"/>
    <n v="0"/>
    <n v="0"/>
    <n v="0"/>
    <n v="0"/>
    <n v="0"/>
    <n v="0"/>
    <n v="2"/>
    <n v="0"/>
    <n v="1"/>
    <n v="7"/>
    <n v="0"/>
    <n v="5"/>
    <n v="0"/>
    <n v="0"/>
    <n v="0"/>
  </r>
  <r>
    <x v="74"/>
    <x v="1"/>
    <s v="hr,ks,la"/>
    <d v="1899-12-30T13:58:00"/>
    <d v="1899-12-30T20:10:00"/>
    <n v="40"/>
    <n v="11"/>
    <m/>
    <m/>
    <n v="371.99999999999994"/>
    <m/>
    <m/>
    <m/>
    <n v="0"/>
    <m/>
    <n v="1"/>
    <m/>
    <n v="1"/>
    <m/>
    <m/>
    <m/>
    <m/>
    <n v="0"/>
    <m/>
    <n v="6"/>
    <m/>
    <n v="6"/>
    <m/>
    <n v="6"/>
    <m/>
    <n v="6"/>
    <m/>
    <n v="3"/>
    <m/>
    <m/>
    <n v="3"/>
    <m/>
    <m/>
    <m/>
    <m/>
    <m/>
    <m/>
    <m/>
    <n v="0"/>
    <m/>
    <m/>
    <s v="20140819 HReider"/>
    <s v="20140820 HReider"/>
    <s v="FW_Scan_20140819.pdf"/>
    <n v="0"/>
    <n v="0"/>
    <n v="0"/>
    <n v="0"/>
    <n v="1"/>
    <n v="0"/>
    <n v="0"/>
    <n v="0"/>
    <n v="0"/>
    <n v="0"/>
    <n v="0"/>
    <n v="6"/>
    <n v="0"/>
    <n v="0"/>
    <n v="6"/>
    <n v="0"/>
    <n v="0"/>
    <n v="3"/>
    <n v="0"/>
    <n v="0"/>
  </r>
  <r>
    <x v="75"/>
    <x v="0"/>
    <s v="jbu,jk"/>
    <d v="1899-12-30T08:10:00"/>
    <d v="1899-12-30T11:08:00"/>
    <n v="51"/>
    <n v="9"/>
    <m/>
    <n v="60.4"/>
    <n v="178"/>
    <m/>
    <m/>
    <m/>
    <n v="0"/>
    <m/>
    <m/>
    <m/>
    <n v="0"/>
    <n v="1"/>
    <m/>
    <m/>
    <m/>
    <n v="1"/>
    <m/>
    <n v="1"/>
    <m/>
    <n v="1"/>
    <n v="1"/>
    <n v="7"/>
    <m/>
    <n v="8"/>
    <n v="2"/>
    <m/>
    <m/>
    <m/>
    <n v="2"/>
    <m/>
    <m/>
    <m/>
    <m/>
    <m/>
    <m/>
    <m/>
    <n v="0"/>
    <m/>
    <m/>
    <s v="20140820 JBures"/>
    <s v="20140821 HReider"/>
    <s v="FW_Scan_20140820.pdf"/>
    <n v="0"/>
    <n v="0"/>
    <n v="0"/>
    <n v="0"/>
    <n v="0"/>
    <n v="0"/>
    <n v="1"/>
    <n v="0"/>
    <n v="0"/>
    <n v="0"/>
    <n v="0"/>
    <n v="1"/>
    <n v="0"/>
    <n v="1"/>
    <n v="7"/>
    <n v="0"/>
    <n v="2"/>
    <n v="0"/>
    <n v="0"/>
    <n v="0"/>
  </r>
  <r>
    <x v="75"/>
    <x v="0"/>
    <s v="la,hr,csj"/>
    <d v="1899-12-30T11:08:00"/>
    <d v="1899-12-30T13:39:00"/>
    <n v="50"/>
    <n v="10"/>
    <m/>
    <m/>
    <n v="151.00000000000003"/>
    <m/>
    <m/>
    <m/>
    <n v="0"/>
    <m/>
    <m/>
    <m/>
    <n v="0"/>
    <n v="1"/>
    <m/>
    <m/>
    <m/>
    <n v="1"/>
    <m/>
    <n v="1"/>
    <m/>
    <n v="1"/>
    <n v="1"/>
    <n v="6"/>
    <m/>
    <n v="7"/>
    <m/>
    <m/>
    <m/>
    <m/>
    <n v="0"/>
    <m/>
    <m/>
    <m/>
    <m/>
    <m/>
    <m/>
    <m/>
    <n v="0"/>
    <m/>
    <m/>
    <s v="20140820 LAckein"/>
    <s v="20140821 HReider"/>
    <s v="FW_Scan_20140820.pdf"/>
    <n v="0"/>
    <n v="0"/>
    <n v="0"/>
    <n v="0"/>
    <n v="0"/>
    <n v="0"/>
    <n v="1"/>
    <n v="0"/>
    <n v="0"/>
    <n v="0"/>
    <n v="0"/>
    <n v="1"/>
    <n v="0"/>
    <n v="1"/>
    <n v="6"/>
    <n v="0"/>
    <n v="0"/>
    <n v="0"/>
    <n v="0"/>
    <n v="0"/>
  </r>
  <r>
    <x v="75"/>
    <x v="0"/>
    <s v="la,jk,jbu"/>
    <d v="1899-12-30T13:39:00"/>
    <d v="1899-12-30T16:38:00"/>
    <n v="52"/>
    <n v="10"/>
    <m/>
    <m/>
    <n v="179"/>
    <m/>
    <m/>
    <m/>
    <n v="0"/>
    <m/>
    <m/>
    <m/>
    <n v="0"/>
    <m/>
    <m/>
    <m/>
    <m/>
    <n v="0"/>
    <m/>
    <n v="2"/>
    <m/>
    <n v="2"/>
    <m/>
    <n v="4"/>
    <m/>
    <n v="4"/>
    <n v="2"/>
    <m/>
    <m/>
    <m/>
    <n v="2"/>
    <m/>
    <m/>
    <m/>
    <m/>
    <m/>
    <m/>
    <m/>
    <n v="0"/>
    <m/>
    <m/>
    <s v="20140820 JBures"/>
    <s v="20140821 HReider"/>
    <s v="FW_Scan_20140820.pdf"/>
    <n v="0"/>
    <n v="0"/>
    <n v="0"/>
    <n v="0"/>
    <n v="0"/>
    <n v="0"/>
    <n v="0"/>
    <n v="0"/>
    <n v="0"/>
    <n v="0"/>
    <n v="0"/>
    <n v="2"/>
    <n v="0"/>
    <n v="0"/>
    <n v="4"/>
    <n v="0"/>
    <n v="2"/>
    <n v="0"/>
    <n v="0"/>
    <n v="0"/>
  </r>
  <r>
    <x v="75"/>
    <x v="0"/>
    <s v="ks,csj"/>
    <d v="1899-12-30T16:38:00"/>
    <d v="1899-12-30T20:19:00"/>
    <n v="53"/>
    <n v="11"/>
    <m/>
    <m/>
    <n v="221"/>
    <m/>
    <m/>
    <m/>
    <n v="0"/>
    <m/>
    <m/>
    <m/>
    <n v="0"/>
    <m/>
    <m/>
    <m/>
    <m/>
    <n v="0"/>
    <m/>
    <n v="1"/>
    <m/>
    <n v="1"/>
    <m/>
    <n v="9"/>
    <m/>
    <n v="9"/>
    <m/>
    <n v="6"/>
    <m/>
    <m/>
    <n v="6"/>
    <m/>
    <m/>
    <m/>
    <m/>
    <m/>
    <m/>
    <m/>
    <n v="0"/>
    <m/>
    <m/>
    <s v="20140820 KShippen"/>
    <s v="20140821 HReider"/>
    <s v="FW_Scan_20140820.pdf"/>
    <n v="0"/>
    <n v="0"/>
    <n v="0"/>
    <n v="0"/>
    <n v="0"/>
    <n v="0"/>
    <n v="0"/>
    <n v="0"/>
    <n v="0"/>
    <n v="0"/>
    <n v="0"/>
    <n v="1"/>
    <n v="0"/>
    <n v="0"/>
    <n v="9"/>
    <n v="0"/>
    <n v="0"/>
    <n v="6"/>
    <n v="0"/>
    <n v="0"/>
  </r>
  <r>
    <x v="75"/>
    <x v="2"/>
    <s v="jbu,jk"/>
    <d v="1899-12-30T08:02:00"/>
    <d v="1899-12-30T10:58:00"/>
    <n v="34"/>
    <n v="10"/>
    <m/>
    <m/>
    <n v="176"/>
    <m/>
    <m/>
    <m/>
    <n v="0"/>
    <m/>
    <m/>
    <m/>
    <n v="0"/>
    <m/>
    <m/>
    <m/>
    <m/>
    <n v="0"/>
    <m/>
    <m/>
    <m/>
    <n v="0"/>
    <m/>
    <n v="5"/>
    <m/>
    <n v="5"/>
    <m/>
    <m/>
    <m/>
    <m/>
    <n v="0"/>
    <m/>
    <m/>
    <m/>
    <m/>
    <m/>
    <m/>
    <m/>
    <n v="0"/>
    <m/>
    <s v="one coho smolt caught"/>
    <s v="20140820 JKunzler"/>
    <s v="20140821 HReider"/>
    <s v="FW_Scan_20140820.pdf"/>
    <n v="0"/>
    <n v="0"/>
    <n v="0"/>
    <n v="0"/>
    <n v="0"/>
    <n v="0"/>
    <n v="0"/>
    <n v="0"/>
    <n v="0"/>
    <n v="0"/>
    <n v="0"/>
    <n v="0"/>
    <n v="0"/>
    <n v="0"/>
    <n v="5"/>
    <n v="0"/>
    <n v="0"/>
    <n v="0"/>
    <n v="0"/>
    <n v="0"/>
  </r>
  <r>
    <x v="75"/>
    <x v="2"/>
    <s v="la,hr,csj"/>
    <d v="1899-12-30T10:58:00"/>
    <d v="1899-12-30T13:35:00"/>
    <n v="34"/>
    <n v="10"/>
    <m/>
    <m/>
    <n v="157"/>
    <m/>
    <m/>
    <m/>
    <n v="0"/>
    <m/>
    <m/>
    <m/>
    <n v="0"/>
    <m/>
    <m/>
    <m/>
    <m/>
    <n v="0"/>
    <m/>
    <m/>
    <m/>
    <n v="0"/>
    <m/>
    <n v="2"/>
    <m/>
    <n v="2"/>
    <m/>
    <m/>
    <m/>
    <m/>
    <n v="0"/>
    <m/>
    <m/>
    <m/>
    <m/>
    <m/>
    <m/>
    <m/>
    <n v="0"/>
    <m/>
    <m/>
    <s v="20140820 HReider"/>
    <s v="20140821 HReider"/>
    <s v="FW_Scan_20140820.pdf"/>
    <n v="0"/>
    <n v="0"/>
    <n v="0"/>
    <n v="0"/>
    <n v="0"/>
    <n v="0"/>
    <n v="0"/>
    <n v="0"/>
    <n v="0"/>
    <n v="0"/>
    <n v="0"/>
    <n v="0"/>
    <n v="0"/>
    <n v="0"/>
    <n v="2"/>
    <n v="0"/>
    <n v="0"/>
    <n v="0"/>
    <n v="0"/>
    <n v="0"/>
  </r>
  <r>
    <x v="75"/>
    <x v="2"/>
    <s v="jbu,la,jk"/>
    <d v="1899-12-30T13:35:00"/>
    <d v="1899-12-30T16:26:00"/>
    <n v="35"/>
    <n v="11"/>
    <m/>
    <m/>
    <n v="171.00000000000003"/>
    <m/>
    <m/>
    <m/>
    <n v="0"/>
    <m/>
    <m/>
    <m/>
    <n v="0"/>
    <m/>
    <m/>
    <m/>
    <m/>
    <n v="0"/>
    <m/>
    <n v="2"/>
    <m/>
    <n v="2"/>
    <m/>
    <n v="12"/>
    <m/>
    <n v="12"/>
    <m/>
    <m/>
    <m/>
    <m/>
    <n v="0"/>
    <m/>
    <m/>
    <m/>
    <m/>
    <m/>
    <m/>
    <m/>
    <n v="0"/>
    <m/>
    <m/>
    <s v="20140820 KShippen"/>
    <s v="20140821 HReider"/>
    <s v="FW_Scan_20140820.pdf"/>
    <n v="0"/>
    <n v="0"/>
    <n v="0"/>
    <n v="0"/>
    <n v="0"/>
    <n v="0"/>
    <n v="0"/>
    <n v="0"/>
    <n v="0"/>
    <n v="0"/>
    <n v="0"/>
    <n v="2"/>
    <n v="0"/>
    <n v="0"/>
    <n v="12"/>
    <n v="0"/>
    <n v="0"/>
    <n v="0"/>
    <n v="0"/>
    <n v="0"/>
  </r>
  <r>
    <x v="75"/>
    <x v="2"/>
    <s v="ks,csj"/>
    <d v="1899-12-30T16:26:00"/>
    <d v="1899-12-30T20:07:00"/>
    <n v="37"/>
    <n v="11"/>
    <m/>
    <m/>
    <n v="221"/>
    <m/>
    <m/>
    <m/>
    <n v="0"/>
    <m/>
    <m/>
    <m/>
    <n v="0"/>
    <n v="2"/>
    <m/>
    <m/>
    <n v="1"/>
    <n v="3"/>
    <m/>
    <m/>
    <m/>
    <n v="0"/>
    <m/>
    <n v="20"/>
    <m/>
    <n v="20"/>
    <m/>
    <n v="2"/>
    <m/>
    <m/>
    <n v="2"/>
    <m/>
    <m/>
    <m/>
    <m/>
    <m/>
    <m/>
    <m/>
    <n v="0"/>
    <m/>
    <m/>
    <s v="20140820 KShippen"/>
    <s v="20140821 HReider"/>
    <s v="FW_Scan_20140820.pdf"/>
    <n v="0"/>
    <n v="0"/>
    <n v="0"/>
    <n v="0"/>
    <n v="0"/>
    <n v="0"/>
    <n v="2"/>
    <n v="0"/>
    <n v="0"/>
    <n v="1"/>
    <n v="0"/>
    <n v="0"/>
    <n v="0"/>
    <n v="0"/>
    <n v="20"/>
    <n v="0"/>
    <n v="0"/>
    <n v="2"/>
    <n v="0"/>
    <n v="0"/>
  </r>
  <r>
    <x v="75"/>
    <x v="1"/>
    <s v="hr,csj,la"/>
    <d v="1899-12-30T08:10:00"/>
    <d v="1899-12-30T13:55:00"/>
    <n v="40"/>
    <n v="10"/>
    <m/>
    <m/>
    <n v="345"/>
    <m/>
    <m/>
    <m/>
    <n v="0"/>
    <m/>
    <m/>
    <m/>
    <n v="0"/>
    <m/>
    <m/>
    <m/>
    <m/>
    <n v="0"/>
    <m/>
    <n v="2"/>
    <m/>
    <n v="2"/>
    <n v="1"/>
    <n v="2"/>
    <m/>
    <n v="3"/>
    <n v="4"/>
    <m/>
    <m/>
    <m/>
    <n v="4"/>
    <m/>
    <m/>
    <m/>
    <m/>
    <m/>
    <m/>
    <m/>
    <n v="0"/>
    <m/>
    <m/>
    <s v="20140820 LAckein"/>
    <s v="20140821 HReider"/>
    <s v="FW_Scan_20140820.pdf"/>
    <n v="0"/>
    <n v="0"/>
    <n v="0"/>
    <n v="0"/>
    <n v="0"/>
    <n v="0"/>
    <n v="0"/>
    <n v="0"/>
    <n v="0"/>
    <n v="0"/>
    <n v="0"/>
    <n v="2"/>
    <n v="0"/>
    <n v="1"/>
    <n v="2"/>
    <n v="0"/>
    <n v="4"/>
    <n v="0"/>
    <n v="0"/>
    <n v="0"/>
  </r>
  <r>
    <x v="75"/>
    <x v="1"/>
    <s v="jbu,la,jk"/>
    <d v="1899-12-30T13:55:00"/>
    <d v="1899-12-30T20:10:00"/>
    <n v="43"/>
    <n v="11"/>
    <m/>
    <m/>
    <n v="375.00000000000011"/>
    <m/>
    <m/>
    <m/>
    <n v="0"/>
    <m/>
    <m/>
    <m/>
    <n v="0"/>
    <m/>
    <m/>
    <m/>
    <m/>
    <n v="0"/>
    <m/>
    <n v="1"/>
    <m/>
    <n v="1"/>
    <m/>
    <n v="4"/>
    <m/>
    <n v="4"/>
    <n v="2"/>
    <n v="6"/>
    <m/>
    <m/>
    <n v="8"/>
    <n v="1"/>
    <m/>
    <n v="1"/>
    <m/>
    <m/>
    <m/>
    <m/>
    <n v="2"/>
    <m/>
    <m/>
    <s v="20140820 JBures"/>
    <s v="20140821 HReider"/>
    <s v="FW_Scan_20140820.pdf"/>
    <n v="0"/>
    <n v="0"/>
    <n v="0"/>
    <n v="0"/>
    <n v="0"/>
    <n v="0"/>
    <n v="0"/>
    <n v="0"/>
    <n v="0"/>
    <n v="0"/>
    <n v="0"/>
    <n v="1"/>
    <n v="0"/>
    <n v="0"/>
    <n v="4"/>
    <n v="0"/>
    <n v="2"/>
    <n v="6"/>
    <n v="0"/>
    <n v="0"/>
  </r>
  <r>
    <x v="76"/>
    <x v="0"/>
    <s v="csj,jk"/>
    <d v="1899-12-30T08:16:00"/>
    <d v="1899-12-30T10:56:00"/>
    <n v="56"/>
    <n v="10"/>
    <m/>
    <m/>
    <n v="159.99999999999991"/>
    <m/>
    <m/>
    <m/>
    <n v="0"/>
    <m/>
    <m/>
    <m/>
    <n v="0"/>
    <m/>
    <m/>
    <m/>
    <m/>
    <n v="0"/>
    <m/>
    <n v="2"/>
    <m/>
    <n v="2"/>
    <m/>
    <n v="5"/>
    <m/>
    <n v="5"/>
    <n v="3"/>
    <m/>
    <m/>
    <m/>
    <n v="3"/>
    <m/>
    <m/>
    <m/>
    <m/>
    <m/>
    <m/>
    <m/>
    <n v="0"/>
    <m/>
    <m/>
    <s v="20140821 JKunzler"/>
    <s v="20140822 AStephens"/>
    <s v="FW_Scan_20140821.pdf"/>
    <n v="0"/>
    <n v="0"/>
    <n v="0"/>
    <n v="0"/>
    <n v="0"/>
    <n v="0"/>
    <n v="0"/>
    <n v="0"/>
    <n v="0"/>
    <n v="0"/>
    <n v="0"/>
    <n v="2"/>
    <n v="0"/>
    <n v="0"/>
    <n v="5"/>
    <n v="0"/>
    <n v="3"/>
    <n v="0"/>
    <n v="0"/>
    <n v="0"/>
  </r>
  <r>
    <x v="76"/>
    <x v="0"/>
    <s v="jbu,la,ks"/>
    <d v="1899-12-30T10:56:00"/>
    <d v="1899-12-30T13:58:00"/>
    <n v="54"/>
    <n v="11"/>
    <m/>
    <m/>
    <n v="182.00000000000009"/>
    <m/>
    <m/>
    <m/>
    <n v="0"/>
    <m/>
    <m/>
    <m/>
    <n v="0"/>
    <m/>
    <m/>
    <m/>
    <m/>
    <n v="0"/>
    <m/>
    <n v="2"/>
    <m/>
    <n v="2"/>
    <m/>
    <n v="10"/>
    <m/>
    <n v="10"/>
    <n v="1"/>
    <m/>
    <m/>
    <m/>
    <n v="1"/>
    <m/>
    <m/>
    <m/>
    <m/>
    <m/>
    <m/>
    <m/>
    <n v="0"/>
    <m/>
    <m/>
    <s v="20140821 JBures"/>
    <s v="20140822 AStephens"/>
    <s v="FW_Scan_20140821.pdf"/>
    <n v="0"/>
    <n v="0"/>
    <n v="0"/>
    <n v="0"/>
    <n v="0"/>
    <n v="0"/>
    <n v="0"/>
    <n v="0"/>
    <n v="0"/>
    <n v="0"/>
    <n v="0"/>
    <n v="2"/>
    <n v="0"/>
    <n v="0"/>
    <n v="10"/>
    <n v="0"/>
    <n v="1"/>
    <n v="0"/>
    <n v="0"/>
    <n v="0"/>
  </r>
  <r>
    <x v="76"/>
    <x v="0"/>
    <s v="la,jk,csj"/>
    <d v="1899-12-30T13:58:00"/>
    <d v="1899-12-30T16:39:00"/>
    <n v="55"/>
    <n v="12"/>
    <m/>
    <m/>
    <n v="160.99999999999991"/>
    <m/>
    <m/>
    <m/>
    <n v="0"/>
    <m/>
    <m/>
    <m/>
    <n v="0"/>
    <m/>
    <m/>
    <m/>
    <m/>
    <n v="0"/>
    <m/>
    <m/>
    <m/>
    <n v="0"/>
    <m/>
    <n v="14"/>
    <m/>
    <n v="14"/>
    <n v="1"/>
    <m/>
    <m/>
    <m/>
    <n v="1"/>
    <m/>
    <m/>
    <m/>
    <m/>
    <m/>
    <m/>
    <m/>
    <n v="0"/>
    <m/>
    <m/>
    <s v="20140821 LAckein"/>
    <s v="20140822 AStephens"/>
    <s v="FW_Scan_20140821.pdf"/>
    <n v="0"/>
    <n v="0"/>
    <n v="0"/>
    <n v="0"/>
    <n v="0"/>
    <n v="0"/>
    <n v="0"/>
    <n v="0"/>
    <n v="0"/>
    <n v="0"/>
    <n v="0"/>
    <n v="0"/>
    <n v="0"/>
    <n v="0"/>
    <n v="14"/>
    <n v="0"/>
    <n v="1"/>
    <n v="0"/>
    <n v="0"/>
    <n v="0"/>
  </r>
  <r>
    <x v="76"/>
    <x v="0"/>
    <s v="jbu,ks"/>
    <d v="1899-12-30T16:39:00"/>
    <d v="1899-12-30T20:16:00"/>
    <n v="55"/>
    <n v="13"/>
    <m/>
    <m/>
    <n v="217.00000000000003"/>
    <m/>
    <m/>
    <m/>
    <n v="0"/>
    <m/>
    <m/>
    <m/>
    <n v="0"/>
    <m/>
    <m/>
    <m/>
    <m/>
    <n v="0"/>
    <m/>
    <n v="1"/>
    <m/>
    <n v="1"/>
    <m/>
    <n v="8"/>
    <m/>
    <n v="8"/>
    <m/>
    <n v="2"/>
    <m/>
    <m/>
    <n v="2"/>
    <m/>
    <m/>
    <m/>
    <m/>
    <m/>
    <m/>
    <m/>
    <n v="0"/>
    <m/>
    <m/>
    <s v="20140821 KShippen"/>
    <s v="20140822 AStephens"/>
    <s v="FW_Scan_20140821.pdf"/>
    <n v="0"/>
    <n v="0"/>
    <n v="0"/>
    <n v="0"/>
    <n v="0"/>
    <n v="0"/>
    <n v="0"/>
    <n v="0"/>
    <n v="0"/>
    <n v="0"/>
    <n v="0"/>
    <n v="1"/>
    <n v="0"/>
    <n v="0"/>
    <n v="8"/>
    <n v="0"/>
    <n v="0"/>
    <n v="2"/>
    <n v="0"/>
    <n v="0"/>
  </r>
  <r>
    <x v="76"/>
    <x v="2"/>
    <s v="csj,jk"/>
    <d v="1899-12-30T08:08:00"/>
    <d v="1899-12-30T10:46:00"/>
    <n v="37"/>
    <n v="11"/>
    <m/>
    <m/>
    <n v="158.00000000000009"/>
    <m/>
    <m/>
    <m/>
    <n v="0"/>
    <m/>
    <m/>
    <m/>
    <n v="0"/>
    <m/>
    <m/>
    <m/>
    <m/>
    <n v="0"/>
    <m/>
    <m/>
    <m/>
    <n v="0"/>
    <n v="1"/>
    <n v="7"/>
    <m/>
    <n v="8"/>
    <m/>
    <m/>
    <m/>
    <m/>
    <n v="0"/>
    <m/>
    <m/>
    <m/>
    <m/>
    <m/>
    <m/>
    <m/>
    <n v="0"/>
    <s v="replaced bolts on 2 baskets @ 0800"/>
    <m/>
    <s v="20140821 JKunzler"/>
    <s v="20140822 AStephens"/>
    <s v="FW_Scan_20140821.pdf"/>
    <n v="0"/>
    <n v="0"/>
    <n v="0"/>
    <n v="0"/>
    <n v="0"/>
    <n v="0"/>
    <n v="0"/>
    <n v="0"/>
    <n v="0"/>
    <n v="0"/>
    <n v="0"/>
    <n v="0"/>
    <n v="0"/>
    <n v="1"/>
    <n v="7"/>
    <n v="0"/>
    <n v="0"/>
    <n v="0"/>
    <n v="0"/>
    <n v="0"/>
  </r>
  <r>
    <x v="76"/>
    <x v="2"/>
    <s v="la,jbu,ks"/>
    <d v="1899-12-30T10:46:00"/>
    <d v="1899-12-30T13:39:00"/>
    <n v="35"/>
    <n v="11"/>
    <m/>
    <m/>
    <n v="172.99999999999994"/>
    <m/>
    <m/>
    <m/>
    <n v="0"/>
    <m/>
    <m/>
    <m/>
    <n v="0"/>
    <n v="1"/>
    <m/>
    <m/>
    <m/>
    <n v="1"/>
    <m/>
    <m/>
    <m/>
    <n v="0"/>
    <m/>
    <n v="4"/>
    <m/>
    <n v="4"/>
    <m/>
    <m/>
    <m/>
    <m/>
    <n v="0"/>
    <m/>
    <m/>
    <m/>
    <m/>
    <m/>
    <m/>
    <m/>
    <n v="0"/>
    <s v="moved FW out about 1 ft @ 1300, starboard live tank was on a rock"/>
    <m/>
    <s v="20140821 LAckein"/>
    <s v="20140822 AStephens"/>
    <s v="FW_Scan_20140821.pdf"/>
    <n v="0"/>
    <n v="0"/>
    <n v="0"/>
    <n v="0"/>
    <n v="0"/>
    <n v="0"/>
    <n v="1"/>
    <n v="0"/>
    <n v="0"/>
    <n v="0"/>
    <n v="0"/>
    <n v="0"/>
    <n v="0"/>
    <n v="0"/>
    <n v="4"/>
    <n v="0"/>
    <n v="0"/>
    <n v="0"/>
    <n v="0"/>
    <n v="0"/>
  </r>
  <r>
    <x v="76"/>
    <x v="2"/>
    <s v="la,csj,jk"/>
    <d v="1899-12-30T13:39:00"/>
    <d v="1899-12-30T16:30:00"/>
    <n v="36"/>
    <n v="12"/>
    <m/>
    <m/>
    <n v="171.00000000000003"/>
    <m/>
    <m/>
    <m/>
    <n v="0"/>
    <m/>
    <m/>
    <m/>
    <n v="0"/>
    <m/>
    <m/>
    <m/>
    <m/>
    <n v="0"/>
    <m/>
    <m/>
    <m/>
    <n v="0"/>
    <m/>
    <n v="6"/>
    <m/>
    <n v="6"/>
    <m/>
    <m/>
    <m/>
    <m/>
    <n v="0"/>
    <m/>
    <m/>
    <m/>
    <m/>
    <m/>
    <m/>
    <m/>
    <n v="0"/>
    <m/>
    <m/>
    <s v="20140821 CSejkora"/>
    <s v="20140822 AStephens"/>
    <s v="FW_Scan_20140821.pdf"/>
    <n v="0"/>
    <n v="0"/>
    <n v="0"/>
    <n v="0"/>
    <n v="0"/>
    <n v="0"/>
    <n v="0"/>
    <n v="0"/>
    <n v="0"/>
    <n v="0"/>
    <n v="0"/>
    <n v="0"/>
    <n v="0"/>
    <n v="0"/>
    <n v="6"/>
    <n v="0"/>
    <n v="0"/>
    <n v="0"/>
    <n v="0"/>
    <n v="0"/>
  </r>
  <r>
    <x v="76"/>
    <x v="2"/>
    <s v="ks,jbu"/>
    <d v="1899-12-30T16:30:00"/>
    <d v="1899-12-30T20:08:00"/>
    <n v="34"/>
    <n v="13"/>
    <m/>
    <m/>
    <n v="218.00000000000003"/>
    <m/>
    <m/>
    <m/>
    <n v="0"/>
    <m/>
    <m/>
    <m/>
    <n v="0"/>
    <m/>
    <m/>
    <m/>
    <m/>
    <n v="0"/>
    <m/>
    <m/>
    <m/>
    <n v="0"/>
    <m/>
    <n v="4"/>
    <m/>
    <n v="4"/>
    <m/>
    <m/>
    <m/>
    <m/>
    <n v="0"/>
    <m/>
    <m/>
    <m/>
    <m/>
    <m/>
    <m/>
    <m/>
    <n v="0"/>
    <m/>
    <m/>
    <s v="20140821 JBures"/>
    <s v="20140822 AStephens"/>
    <s v="FW_Scan_20140821.pdf"/>
    <n v="0"/>
    <n v="0"/>
    <n v="0"/>
    <n v="0"/>
    <n v="0"/>
    <n v="0"/>
    <n v="0"/>
    <n v="0"/>
    <n v="0"/>
    <n v="0"/>
    <n v="0"/>
    <n v="0"/>
    <n v="0"/>
    <n v="0"/>
    <n v="4"/>
    <n v="0"/>
    <n v="0"/>
    <n v="0"/>
    <n v="0"/>
    <n v="0"/>
  </r>
  <r>
    <x v="76"/>
    <x v="1"/>
    <s v="jbu,ks,la"/>
    <d v="1899-12-30T08:06:00"/>
    <d v="1899-12-30T14:14:00"/>
    <n v="44"/>
    <n v="11"/>
    <m/>
    <m/>
    <n v="368.00000000000006"/>
    <m/>
    <m/>
    <m/>
    <n v="0"/>
    <m/>
    <m/>
    <m/>
    <n v="0"/>
    <m/>
    <m/>
    <m/>
    <m/>
    <n v="0"/>
    <m/>
    <n v="1"/>
    <m/>
    <n v="1"/>
    <n v="1"/>
    <n v="9"/>
    <m/>
    <n v="10"/>
    <n v="4"/>
    <n v="1"/>
    <m/>
    <m/>
    <n v="5"/>
    <m/>
    <m/>
    <m/>
    <n v="1"/>
    <m/>
    <m/>
    <m/>
    <n v="1"/>
    <m/>
    <m/>
    <s v="20140821 JBures"/>
    <s v="20140822 AStephens"/>
    <s v="FW_Scan_20140821.pdf"/>
    <n v="0"/>
    <n v="0"/>
    <n v="0"/>
    <n v="0"/>
    <n v="0"/>
    <n v="0"/>
    <n v="0"/>
    <n v="0"/>
    <n v="0"/>
    <n v="0"/>
    <n v="0"/>
    <n v="1"/>
    <n v="0"/>
    <n v="1"/>
    <n v="9"/>
    <n v="0"/>
    <n v="4"/>
    <n v="1"/>
    <n v="0"/>
    <n v="0"/>
  </r>
  <r>
    <x v="76"/>
    <x v="1"/>
    <s v="la,csj,jk"/>
    <d v="1899-12-30T14:14:00"/>
    <d v="1899-12-30T20:06:00"/>
    <n v="42"/>
    <n v="12"/>
    <m/>
    <m/>
    <n v="352"/>
    <m/>
    <m/>
    <m/>
    <n v="0"/>
    <m/>
    <m/>
    <m/>
    <n v="0"/>
    <n v="1"/>
    <m/>
    <m/>
    <m/>
    <n v="1"/>
    <m/>
    <n v="2"/>
    <m/>
    <n v="2"/>
    <m/>
    <n v="12"/>
    <m/>
    <n v="12"/>
    <m/>
    <n v="8"/>
    <m/>
    <m/>
    <n v="8"/>
    <m/>
    <m/>
    <m/>
    <m/>
    <m/>
    <m/>
    <m/>
    <n v="0"/>
    <m/>
    <m/>
    <s v="20140821 JKunzler"/>
    <s v="20140822 AStephens"/>
    <s v="FW_Scan_20140821.pdf"/>
    <n v="0"/>
    <n v="0"/>
    <n v="0"/>
    <n v="0"/>
    <n v="0"/>
    <n v="0"/>
    <n v="1"/>
    <n v="0"/>
    <n v="0"/>
    <n v="0"/>
    <n v="0"/>
    <n v="2"/>
    <n v="0"/>
    <n v="0"/>
    <n v="12"/>
    <n v="0"/>
    <n v="0"/>
    <n v="8"/>
    <n v="0"/>
    <n v="0"/>
  </r>
  <r>
    <x v="77"/>
    <x v="0"/>
    <s v="ks,jk"/>
    <d v="1899-12-30T08:15:00"/>
    <d v="1899-12-30T10:56:00"/>
    <n v="62"/>
    <n v="10"/>
    <m/>
    <m/>
    <n v="161"/>
    <m/>
    <m/>
    <m/>
    <n v="0"/>
    <m/>
    <m/>
    <m/>
    <n v="0"/>
    <m/>
    <m/>
    <m/>
    <m/>
    <n v="0"/>
    <m/>
    <n v="1"/>
    <m/>
    <n v="1"/>
    <n v="1"/>
    <n v="4"/>
    <m/>
    <n v="5"/>
    <n v="3"/>
    <m/>
    <m/>
    <m/>
    <n v="3"/>
    <m/>
    <m/>
    <m/>
    <m/>
    <m/>
    <m/>
    <m/>
    <n v="0"/>
    <m/>
    <m/>
    <s v="20140822 KShippen"/>
    <s v="20140823 KShippen"/>
    <s v="FW_Scan_20140822.pdf"/>
    <n v="0"/>
    <n v="0"/>
    <n v="0"/>
    <n v="0"/>
    <n v="0"/>
    <n v="0"/>
    <n v="0"/>
    <n v="0"/>
    <n v="0"/>
    <n v="0"/>
    <n v="0"/>
    <n v="1"/>
    <n v="0"/>
    <n v="1"/>
    <n v="4"/>
    <n v="0"/>
    <n v="3"/>
    <n v="0"/>
    <n v="0"/>
    <n v="0"/>
  </r>
  <r>
    <x v="77"/>
    <x v="0"/>
    <s v="hr,la,csj"/>
    <d v="1899-12-30T10:56:00"/>
    <d v="1899-12-30T13:29:00"/>
    <n v="59"/>
    <n v="10"/>
    <m/>
    <n v="63"/>
    <n v="153.00000000000003"/>
    <m/>
    <m/>
    <m/>
    <n v="0"/>
    <m/>
    <m/>
    <m/>
    <n v="0"/>
    <n v="1"/>
    <m/>
    <m/>
    <m/>
    <n v="1"/>
    <m/>
    <m/>
    <m/>
    <n v="0"/>
    <m/>
    <n v="1"/>
    <m/>
    <n v="1"/>
    <n v="1"/>
    <m/>
    <m/>
    <m/>
    <n v="1"/>
    <m/>
    <m/>
    <m/>
    <m/>
    <m/>
    <m/>
    <m/>
    <n v="0"/>
    <s v="moved FW out ~1 ft @ 13:20, cleaned lead net"/>
    <m/>
    <s v="20140822 LAckein"/>
    <s v="20140823 KShippen"/>
    <s v="FW_Scan_20140822.pdf"/>
    <n v="0"/>
    <n v="0"/>
    <n v="0"/>
    <n v="0"/>
    <n v="0"/>
    <n v="0"/>
    <n v="1"/>
    <n v="0"/>
    <n v="0"/>
    <n v="0"/>
    <n v="0"/>
    <n v="0"/>
    <n v="0"/>
    <n v="0"/>
    <n v="1"/>
    <n v="0"/>
    <n v="1"/>
    <n v="0"/>
    <n v="0"/>
    <n v="0"/>
  </r>
  <r>
    <x v="77"/>
    <x v="0"/>
    <s v="ks, jk"/>
    <d v="1899-12-30T13:29:00"/>
    <d v="1899-12-30T17:00:00"/>
    <n v="53"/>
    <n v="11"/>
    <m/>
    <m/>
    <n v="211.00000000000006"/>
    <m/>
    <m/>
    <m/>
    <n v="0"/>
    <m/>
    <m/>
    <m/>
    <n v="0"/>
    <m/>
    <m/>
    <m/>
    <m/>
    <n v="0"/>
    <m/>
    <n v="2"/>
    <m/>
    <n v="2"/>
    <m/>
    <n v="4"/>
    <m/>
    <n v="4"/>
    <m/>
    <n v="7"/>
    <m/>
    <m/>
    <n v="7"/>
    <m/>
    <m/>
    <m/>
    <m/>
    <m/>
    <m/>
    <m/>
    <n v="0"/>
    <m/>
    <m/>
    <s v="20140822 KShippen"/>
    <s v="20140823 KShippen"/>
    <s v="FW_Scan_20140822.pdf"/>
    <n v="0"/>
    <n v="0"/>
    <n v="0"/>
    <n v="0"/>
    <n v="0"/>
    <n v="0"/>
    <n v="0"/>
    <n v="0"/>
    <n v="0"/>
    <n v="0"/>
    <n v="0"/>
    <n v="2"/>
    <n v="0"/>
    <n v="0"/>
    <n v="4"/>
    <n v="0"/>
    <n v="0"/>
    <n v="7"/>
    <n v="0"/>
    <n v="0"/>
  </r>
  <r>
    <x v="77"/>
    <x v="0"/>
    <s v="csw,lg"/>
    <d v="1899-12-30T17:00:00"/>
    <d v="1899-12-30T20:26:00"/>
    <n v="57"/>
    <n v="13"/>
    <m/>
    <m/>
    <n v="205.99999999999991"/>
    <m/>
    <m/>
    <m/>
    <n v="0"/>
    <m/>
    <m/>
    <m/>
    <n v="0"/>
    <m/>
    <m/>
    <m/>
    <m/>
    <n v="0"/>
    <m/>
    <n v="3"/>
    <m/>
    <n v="3"/>
    <m/>
    <n v="12"/>
    <m/>
    <n v="12"/>
    <m/>
    <n v="2"/>
    <m/>
    <m/>
    <n v="2"/>
    <n v="1"/>
    <m/>
    <m/>
    <m/>
    <m/>
    <m/>
    <m/>
    <n v="1"/>
    <m/>
    <m/>
    <s v="20140822 CSewright"/>
    <s v="20140823 KShippen"/>
    <s v="FW_Scan_20140822.pdf"/>
    <n v="0"/>
    <n v="0"/>
    <n v="0"/>
    <n v="0"/>
    <n v="0"/>
    <n v="0"/>
    <n v="0"/>
    <n v="0"/>
    <n v="0"/>
    <n v="0"/>
    <n v="0"/>
    <n v="3"/>
    <n v="0"/>
    <n v="0"/>
    <n v="12"/>
    <n v="0"/>
    <n v="0"/>
    <n v="2"/>
    <n v="0"/>
    <n v="0"/>
  </r>
  <r>
    <x v="77"/>
    <x v="2"/>
    <s v="ks,jk"/>
    <d v="1899-12-30T08:09:00"/>
    <d v="1899-12-30T10:49:00"/>
    <n v="38"/>
    <n v="11"/>
    <m/>
    <m/>
    <n v="160"/>
    <m/>
    <m/>
    <m/>
    <n v="0"/>
    <m/>
    <m/>
    <m/>
    <n v="0"/>
    <m/>
    <m/>
    <m/>
    <m/>
    <n v="0"/>
    <m/>
    <m/>
    <m/>
    <n v="0"/>
    <m/>
    <n v="2"/>
    <m/>
    <n v="2"/>
    <m/>
    <m/>
    <m/>
    <m/>
    <n v="0"/>
    <m/>
    <m/>
    <m/>
    <m/>
    <m/>
    <m/>
    <m/>
    <n v="0"/>
    <m/>
    <m/>
    <s v="20140822 JKunzler"/>
    <s v="20140823 KShippen"/>
    <s v="FW_Scan_20140822.pdf"/>
    <n v="0"/>
    <n v="0"/>
    <n v="0"/>
    <n v="0"/>
    <n v="0"/>
    <n v="0"/>
    <n v="0"/>
    <n v="0"/>
    <n v="0"/>
    <n v="0"/>
    <n v="0"/>
    <n v="0"/>
    <n v="0"/>
    <n v="0"/>
    <n v="2"/>
    <n v="0"/>
    <n v="0"/>
    <n v="0"/>
    <n v="0"/>
    <n v="0"/>
  </r>
  <r>
    <x v="77"/>
    <x v="2"/>
    <s v="la,hr,csj"/>
    <d v="1899-12-30T10:49:00"/>
    <d v="1899-12-30T13:15:00"/>
    <n v="37"/>
    <n v="11"/>
    <m/>
    <m/>
    <n v="146.00000000000003"/>
    <m/>
    <m/>
    <m/>
    <n v="0"/>
    <m/>
    <m/>
    <m/>
    <n v="0"/>
    <m/>
    <m/>
    <m/>
    <m/>
    <n v="0"/>
    <m/>
    <m/>
    <m/>
    <n v="0"/>
    <m/>
    <n v="1"/>
    <m/>
    <n v="1"/>
    <m/>
    <m/>
    <m/>
    <m/>
    <n v="0"/>
    <m/>
    <m/>
    <m/>
    <m/>
    <m/>
    <m/>
    <m/>
    <n v="0"/>
    <m/>
    <m/>
    <s v="20140822 LAckein"/>
    <s v="20140823 KShippen"/>
    <s v="FW_Scan_20140822.pdf"/>
    <n v="0"/>
    <n v="0"/>
    <n v="0"/>
    <n v="0"/>
    <n v="0"/>
    <n v="0"/>
    <n v="0"/>
    <n v="0"/>
    <n v="0"/>
    <n v="0"/>
    <n v="0"/>
    <n v="0"/>
    <n v="0"/>
    <n v="0"/>
    <n v="1"/>
    <n v="0"/>
    <n v="0"/>
    <n v="0"/>
    <n v="0"/>
    <n v="0"/>
  </r>
  <r>
    <x v="77"/>
    <x v="2"/>
    <s v="ks,jk"/>
    <d v="1899-12-30T13:15:00"/>
    <d v="1899-12-30T16:17:00"/>
    <n v="36"/>
    <n v="12"/>
    <m/>
    <m/>
    <n v="182"/>
    <m/>
    <m/>
    <m/>
    <n v="0"/>
    <m/>
    <m/>
    <m/>
    <n v="0"/>
    <n v="1"/>
    <m/>
    <m/>
    <m/>
    <n v="1"/>
    <m/>
    <n v="1"/>
    <m/>
    <n v="1"/>
    <m/>
    <n v="4"/>
    <m/>
    <n v="4"/>
    <m/>
    <n v="2"/>
    <m/>
    <m/>
    <n v="2"/>
    <m/>
    <m/>
    <m/>
    <m/>
    <m/>
    <m/>
    <m/>
    <n v="0"/>
    <m/>
    <m/>
    <s v="20140822 KShippen"/>
    <s v="20140823 KShippen"/>
    <s v="FW_Scan_20140822.pdf"/>
    <n v="0"/>
    <n v="0"/>
    <n v="0"/>
    <n v="0"/>
    <n v="0"/>
    <n v="0"/>
    <n v="1"/>
    <n v="0"/>
    <n v="0"/>
    <n v="0"/>
    <n v="0"/>
    <n v="1"/>
    <n v="0"/>
    <n v="0"/>
    <n v="4"/>
    <n v="0"/>
    <n v="0"/>
    <n v="2"/>
    <n v="0"/>
    <n v="0"/>
  </r>
  <r>
    <x v="77"/>
    <x v="2"/>
    <s v="csw,lg"/>
    <d v="1899-12-30T16:17:00"/>
    <d v="1899-12-30T20:09:00"/>
    <n v="37"/>
    <n v="13"/>
    <m/>
    <m/>
    <n v="231.99999999999983"/>
    <m/>
    <m/>
    <m/>
    <n v="0"/>
    <m/>
    <m/>
    <m/>
    <n v="0"/>
    <m/>
    <m/>
    <m/>
    <m/>
    <n v="0"/>
    <m/>
    <m/>
    <m/>
    <n v="0"/>
    <m/>
    <n v="6"/>
    <m/>
    <n v="6"/>
    <m/>
    <n v="1"/>
    <m/>
    <m/>
    <n v="1"/>
    <m/>
    <m/>
    <m/>
    <m/>
    <m/>
    <m/>
    <m/>
    <n v="0"/>
    <m/>
    <m/>
    <s v="20140822 CSewright"/>
    <s v="20140823 KShippen"/>
    <s v="FW_Scan_20140822.pdf"/>
    <n v="0"/>
    <n v="0"/>
    <n v="0"/>
    <n v="0"/>
    <n v="0"/>
    <n v="0"/>
    <n v="0"/>
    <n v="0"/>
    <n v="0"/>
    <n v="0"/>
    <n v="0"/>
    <n v="0"/>
    <n v="0"/>
    <n v="0"/>
    <n v="6"/>
    <n v="0"/>
    <n v="0"/>
    <n v="1"/>
    <n v="0"/>
    <n v="0"/>
  </r>
  <r>
    <x v="77"/>
    <x v="1"/>
    <s v="hr,csj,la"/>
    <d v="1899-12-30T08:10:00"/>
    <d v="1899-12-30T13:44:00"/>
    <n v="51"/>
    <n v="10"/>
    <m/>
    <m/>
    <n v="334"/>
    <m/>
    <m/>
    <m/>
    <n v="0"/>
    <m/>
    <m/>
    <m/>
    <n v="0"/>
    <n v="1"/>
    <m/>
    <m/>
    <m/>
    <n v="1"/>
    <m/>
    <n v="2"/>
    <m/>
    <n v="2"/>
    <n v="1"/>
    <n v="8"/>
    <m/>
    <n v="9"/>
    <n v="5"/>
    <n v="1"/>
    <m/>
    <m/>
    <n v="6"/>
    <n v="1"/>
    <m/>
    <n v="2"/>
    <m/>
    <m/>
    <m/>
    <m/>
    <n v="3"/>
    <m/>
    <s v="one coho escaped trough"/>
    <s v="20140822 LAckein"/>
    <s v="20140823 KShippen"/>
    <s v="FW_Scan_20140822.pdf"/>
    <n v="0"/>
    <n v="0"/>
    <n v="0"/>
    <n v="0"/>
    <n v="0"/>
    <n v="0"/>
    <n v="1"/>
    <n v="0"/>
    <n v="0"/>
    <n v="0"/>
    <n v="0"/>
    <n v="2"/>
    <n v="0"/>
    <n v="1"/>
    <n v="8"/>
    <n v="0"/>
    <n v="5"/>
    <n v="1"/>
    <n v="0"/>
    <n v="0"/>
  </r>
  <r>
    <x v="77"/>
    <x v="1"/>
    <s v="ks,jk"/>
    <d v="1899-12-30T13:44:00"/>
    <d v="1899-12-30T20:11:00"/>
    <n v="43"/>
    <n v="11"/>
    <m/>
    <m/>
    <n v="387.00000000000006"/>
    <m/>
    <m/>
    <m/>
    <n v="0"/>
    <m/>
    <m/>
    <m/>
    <n v="0"/>
    <n v="1"/>
    <m/>
    <m/>
    <m/>
    <n v="1"/>
    <m/>
    <n v="3"/>
    <m/>
    <n v="3"/>
    <m/>
    <n v="10"/>
    <m/>
    <n v="10"/>
    <m/>
    <n v="8"/>
    <m/>
    <m/>
    <n v="8"/>
    <m/>
    <m/>
    <n v="1"/>
    <m/>
    <m/>
    <m/>
    <m/>
    <n v="1"/>
    <m/>
    <m/>
    <s v="20140822 JKunzler"/>
    <s v="20140823 KShippen"/>
    <s v="FW_Scan_20140822.pdf"/>
    <n v="0"/>
    <n v="0"/>
    <n v="0"/>
    <n v="0"/>
    <n v="0"/>
    <n v="0"/>
    <n v="1"/>
    <n v="0"/>
    <n v="0"/>
    <n v="0"/>
    <n v="0"/>
    <n v="3"/>
    <n v="0"/>
    <n v="0"/>
    <n v="10"/>
    <n v="0"/>
    <n v="0"/>
    <n v="8"/>
    <n v="0"/>
    <n v="0"/>
  </r>
  <r>
    <x v="78"/>
    <x v="0"/>
    <s v="csw,lg"/>
    <d v="1899-12-30T08:14:00"/>
    <d v="1899-12-30T11:00:00"/>
    <n v="62"/>
    <n v="11.5"/>
    <m/>
    <m/>
    <n v="166.00000000000006"/>
    <m/>
    <m/>
    <m/>
    <n v="0"/>
    <m/>
    <m/>
    <m/>
    <n v="0"/>
    <m/>
    <m/>
    <m/>
    <m/>
    <n v="0"/>
    <m/>
    <n v="1"/>
    <m/>
    <n v="1"/>
    <n v="1"/>
    <n v="4"/>
    <m/>
    <n v="5"/>
    <m/>
    <m/>
    <m/>
    <m/>
    <n v="0"/>
    <m/>
    <m/>
    <m/>
    <m/>
    <m/>
    <m/>
    <m/>
    <n v="0"/>
    <m/>
    <m/>
    <s v="20140823 CSewright"/>
    <s v="20140824 KShippen"/>
    <s v="FW_Scan_20140823.pdf"/>
    <n v="0"/>
    <n v="0"/>
    <n v="0"/>
    <n v="0"/>
    <n v="0"/>
    <n v="0"/>
    <n v="0"/>
    <n v="0"/>
    <n v="0"/>
    <n v="0"/>
    <n v="0"/>
    <n v="1"/>
    <n v="0"/>
    <n v="1"/>
    <n v="4"/>
    <n v="0"/>
    <n v="0"/>
    <n v="0"/>
    <n v="0"/>
    <n v="0"/>
  </r>
  <r>
    <x v="78"/>
    <x v="0"/>
    <s v="as,ks"/>
    <d v="1899-12-30T11:00:00"/>
    <d v="1899-12-30T16:57:00"/>
    <n v="63"/>
    <n v="15"/>
    <m/>
    <m/>
    <n v="356.99999999999994"/>
    <m/>
    <m/>
    <m/>
    <n v="0"/>
    <m/>
    <m/>
    <m/>
    <n v="0"/>
    <m/>
    <m/>
    <m/>
    <m/>
    <n v="0"/>
    <m/>
    <m/>
    <m/>
    <n v="0"/>
    <m/>
    <n v="12"/>
    <m/>
    <n v="12"/>
    <n v="1"/>
    <m/>
    <m/>
    <m/>
    <n v="1"/>
    <m/>
    <m/>
    <m/>
    <m/>
    <m/>
    <m/>
    <m/>
    <n v="0"/>
    <m/>
    <m/>
    <s v="20140823 AStephens"/>
    <s v="20140824 KShippen"/>
    <s v="FW_Scan_20140823.pdf"/>
    <n v="0"/>
    <n v="0"/>
    <n v="0"/>
    <n v="0"/>
    <n v="0"/>
    <n v="0"/>
    <n v="0"/>
    <n v="0"/>
    <n v="0"/>
    <n v="0"/>
    <n v="0"/>
    <n v="0"/>
    <n v="0"/>
    <n v="0"/>
    <n v="12"/>
    <n v="0"/>
    <n v="1"/>
    <n v="0"/>
    <n v="0"/>
    <n v="0"/>
  </r>
  <r>
    <x v="78"/>
    <x v="0"/>
    <s v="jk,nc"/>
    <d v="1899-12-30T16:57:00"/>
    <d v="1899-12-30T20:23:00"/>
    <n v="62"/>
    <n v="12"/>
    <m/>
    <m/>
    <n v="206.00000000000006"/>
    <m/>
    <m/>
    <m/>
    <n v="0"/>
    <m/>
    <m/>
    <m/>
    <n v="0"/>
    <m/>
    <m/>
    <m/>
    <m/>
    <n v="0"/>
    <m/>
    <m/>
    <m/>
    <n v="0"/>
    <m/>
    <n v="5"/>
    <m/>
    <n v="5"/>
    <n v="1"/>
    <m/>
    <m/>
    <m/>
    <n v="1"/>
    <m/>
    <m/>
    <m/>
    <m/>
    <m/>
    <m/>
    <m/>
    <n v="0"/>
    <m/>
    <m/>
    <s v="20140823 JKunzler"/>
    <s v="20140824 KShippen"/>
    <s v="FW_Scan_20140823.pdf"/>
    <n v="0"/>
    <n v="0"/>
    <n v="0"/>
    <n v="0"/>
    <n v="0"/>
    <n v="0"/>
    <n v="0"/>
    <n v="0"/>
    <n v="0"/>
    <n v="0"/>
    <n v="0"/>
    <n v="0"/>
    <n v="0"/>
    <n v="0"/>
    <n v="5"/>
    <n v="0"/>
    <n v="1"/>
    <n v="0"/>
    <n v="0"/>
    <n v="0"/>
  </r>
  <r>
    <x v="78"/>
    <x v="2"/>
    <s v="csw,lg"/>
    <d v="1899-12-30T08:08:00"/>
    <d v="1899-12-30T11:00:00"/>
    <n v="38"/>
    <n v="12"/>
    <m/>
    <m/>
    <n v="172.00000000000003"/>
    <m/>
    <m/>
    <m/>
    <n v="0"/>
    <m/>
    <m/>
    <m/>
    <n v="0"/>
    <m/>
    <m/>
    <m/>
    <m/>
    <n v="0"/>
    <m/>
    <m/>
    <m/>
    <n v="0"/>
    <m/>
    <n v="4"/>
    <m/>
    <n v="4"/>
    <m/>
    <m/>
    <m/>
    <m/>
    <n v="0"/>
    <m/>
    <m/>
    <m/>
    <m/>
    <m/>
    <m/>
    <m/>
    <n v="0"/>
    <m/>
    <m/>
    <s v="20140823 CSewright"/>
    <s v="20140824 KShippen"/>
    <s v="FW_Scan_20140823.pdf"/>
    <n v="0"/>
    <n v="0"/>
    <n v="0"/>
    <n v="0"/>
    <n v="0"/>
    <n v="0"/>
    <n v="0"/>
    <n v="0"/>
    <n v="0"/>
    <n v="0"/>
    <n v="0"/>
    <n v="0"/>
    <n v="0"/>
    <n v="0"/>
    <n v="4"/>
    <n v="0"/>
    <n v="0"/>
    <n v="0"/>
    <n v="0"/>
    <n v="0"/>
  </r>
  <r>
    <x v="78"/>
    <x v="2"/>
    <s v="as,ks"/>
    <d v="1899-12-30T11:00:00"/>
    <d v="1899-12-30T16:42:00"/>
    <n v="35"/>
    <n v="12"/>
    <m/>
    <m/>
    <n v="341.99999999999994"/>
    <m/>
    <m/>
    <m/>
    <n v="0"/>
    <m/>
    <m/>
    <m/>
    <n v="0"/>
    <m/>
    <m/>
    <m/>
    <m/>
    <n v="0"/>
    <m/>
    <m/>
    <m/>
    <n v="0"/>
    <m/>
    <n v="2"/>
    <m/>
    <n v="2"/>
    <m/>
    <m/>
    <m/>
    <m/>
    <n v="0"/>
    <m/>
    <m/>
    <m/>
    <m/>
    <m/>
    <m/>
    <m/>
    <n v="0"/>
    <s v="pumped out P pontoon 12:24-12:45.  Moved FW out ~2ft, live tank was on rock."/>
    <m/>
    <s v="20140823 KShippen"/>
    <s v="20140824 KShippen"/>
    <s v="FW_Scan_20140823.pdf"/>
    <n v="0"/>
    <n v="0"/>
    <n v="0"/>
    <n v="0"/>
    <n v="0"/>
    <n v="0"/>
    <n v="0"/>
    <n v="0"/>
    <n v="0"/>
    <n v="0"/>
    <n v="0"/>
    <n v="0"/>
    <n v="0"/>
    <n v="0"/>
    <n v="2"/>
    <n v="0"/>
    <n v="0"/>
    <n v="0"/>
    <n v="0"/>
    <n v="0"/>
  </r>
  <r>
    <x v="78"/>
    <x v="2"/>
    <s v="nc,jk"/>
    <d v="1899-12-30T16:42:00"/>
    <d v="1899-12-30T20:14:00"/>
    <n v="37"/>
    <n v="12"/>
    <m/>
    <m/>
    <n v="212.00000000000006"/>
    <m/>
    <m/>
    <m/>
    <n v="0"/>
    <m/>
    <m/>
    <m/>
    <n v="0"/>
    <m/>
    <m/>
    <m/>
    <m/>
    <n v="0"/>
    <m/>
    <m/>
    <m/>
    <n v="0"/>
    <m/>
    <m/>
    <m/>
    <n v="0"/>
    <m/>
    <m/>
    <m/>
    <m/>
    <n v="0"/>
    <m/>
    <m/>
    <m/>
    <m/>
    <m/>
    <m/>
    <m/>
    <n v="0"/>
    <m/>
    <s v="No Fish"/>
    <s v="20140823 JKunzler"/>
    <s v="20140824 KShippen"/>
    <s v="FW_Scan_20140823.pdf"/>
    <n v="0"/>
    <n v="0"/>
    <n v="0"/>
    <n v="0"/>
    <n v="0"/>
    <n v="0"/>
    <n v="0"/>
    <n v="0"/>
    <n v="0"/>
    <n v="0"/>
    <n v="0"/>
    <n v="0"/>
    <n v="0"/>
    <n v="0"/>
    <n v="0"/>
    <n v="0"/>
    <n v="0"/>
    <n v="0"/>
    <n v="0"/>
    <n v="0"/>
  </r>
  <r>
    <x v="78"/>
    <x v="1"/>
    <s v="jk,nc"/>
    <d v="1899-12-30T08:12:00"/>
    <d v="1899-12-30T14:06:00"/>
    <n v="46"/>
    <n v="11"/>
    <m/>
    <m/>
    <n v="354.00000000000011"/>
    <m/>
    <m/>
    <m/>
    <n v="0"/>
    <m/>
    <m/>
    <m/>
    <n v="0"/>
    <m/>
    <m/>
    <m/>
    <m/>
    <n v="0"/>
    <m/>
    <n v="2"/>
    <m/>
    <n v="2"/>
    <n v="1"/>
    <n v="7"/>
    <m/>
    <n v="8"/>
    <n v="3"/>
    <n v="2"/>
    <m/>
    <m/>
    <n v="5"/>
    <m/>
    <m/>
    <n v="2"/>
    <m/>
    <m/>
    <m/>
    <m/>
    <n v="2"/>
    <m/>
    <m/>
    <s v="20140823 JKunzler"/>
    <s v="20140824 KShippen"/>
    <s v="FW_Scan_20140823.pdf"/>
    <n v="0"/>
    <n v="0"/>
    <n v="0"/>
    <n v="0"/>
    <n v="0"/>
    <n v="0"/>
    <n v="0"/>
    <n v="0"/>
    <n v="0"/>
    <n v="0"/>
    <n v="0"/>
    <n v="2"/>
    <n v="0"/>
    <n v="1"/>
    <n v="7"/>
    <n v="0"/>
    <n v="3"/>
    <n v="2"/>
    <n v="0"/>
    <n v="0"/>
  </r>
  <r>
    <x v="78"/>
    <x v="1"/>
    <s v="csw,lg"/>
    <d v="1899-12-30T14:06:00"/>
    <d v="1899-12-30T20:12:00"/>
    <n v="47"/>
    <n v="13"/>
    <m/>
    <m/>
    <n v="359"/>
    <m/>
    <m/>
    <m/>
    <n v="0"/>
    <m/>
    <m/>
    <m/>
    <n v="0"/>
    <n v="1"/>
    <m/>
    <m/>
    <m/>
    <n v="1"/>
    <m/>
    <n v="2"/>
    <m/>
    <n v="2"/>
    <m/>
    <n v="5"/>
    <m/>
    <n v="5"/>
    <n v="4"/>
    <n v="8"/>
    <m/>
    <m/>
    <n v="12"/>
    <m/>
    <m/>
    <m/>
    <m/>
    <m/>
    <m/>
    <m/>
    <n v="0"/>
    <s v="missing bolt replaced on basket, fishwheel stopped 15:01-15:08"/>
    <m/>
    <s v="20140823 CSewright"/>
    <s v="20140824 KShippen"/>
    <s v="FW_Scan_20140823.pdf"/>
    <n v="0"/>
    <n v="0"/>
    <n v="0"/>
    <n v="0"/>
    <n v="0"/>
    <n v="0"/>
    <n v="1"/>
    <n v="0"/>
    <n v="0"/>
    <n v="0"/>
    <n v="0"/>
    <n v="2"/>
    <n v="0"/>
    <n v="0"/>
    <n v="5"/>
    <n v="0"/>
    <n v="4"/>
    <n v="8"/>
    <n v="0"/>
    <n v="0"/>
  </r>
  <r>
    <x v="79"/>
    <x v="0"/>
    <s v="csw,lg"/>
    <d v="1899-12-30T08:16:00"/>
    <d v="1899-12-30T11:08:00"/>
    <n v="65"/>
    <n v="11.5"/>
    <m/>
    <m/>
    <n v="171.99999999999986"/>
    <m/>
    <m/>
    <m/>
    <n v="0"/>
    <m/>
    <m/>
    <m/>
    <n v="0"/>
    <m/>
    <m/>
    <m/>
    <m/>
    <n v="0"/>
    <m/>
    <m/>
    <m/>
    <n v="0"/>
    <m/>
    <n v="7"/>
    <m/>
    <n v="7"/>
    <m/>
    <m/>
    <m/>
    <m/>
    <n v="0"/>
    <m/>
    <m/>
    <m/>
    <m/>
    <m/>
    <m/>
    <m/>
    <n v="0"/>
    <m/>
    <m/>
    <s v="20140824 CSewright"/>
    <s v="20140825CSewright"/>
    <s v="FW_Scan_20140824.pdf"/>
    <n v="0"/>
    <n v="0"/>
    <n v="0"/>
    <n v="0"/>
    <n v="0"/>
    <n v="0"/>
    <n v="0"/>
    <n v="0"/>
    <n v="0"/>
    <n v="0"/>
    <n v="0"/>
    <n v="0"/>
    <n v="0"/>
    <n v="0"/>
    <n v="7"/>
    <n v="0"/>
    <n v="0"/>
    <n v="0"/>
    <n v="0"/>
    <n v="0"/>
  </r>
  <r>
    <x v="79"/>
    <x v="0"/>
    <s v="as,ks"/>
    <d v="1899-12-30T11:08:00"/>
    <d v="1899-12-30T16:58:00"/>
    <n v="58"/>
    <n v="12"/>
    <m/>
    <n v="86.3"/>
    <n v="349.99999999999994"/>
    <m/>
    <m/>
    <m/>
    <n v="0"/>
    <m/>
    <m/>
    <m/>
    <n v="0"/>
    <m/>
    <m/>
    <m/>
    <m/>
    <n v="0"/>
    <m/>
    <m/>
    <m/>
    <n v="0"/>
    <m/>
    <n v="4"/>
    <m/>
    <n v="4"/>
    <n v="2"/>
    <m/>
    <m/>
    <m/>
    <n v="2"/>
    <m/>
    <m/>
    <m/>
    <m/>
    <m/>
    <m/>
    <m/>
    <n v="0"/>
    <s v="cleared lead net, patched hole in net."/>
    <m/>
    <s v="20140824 AStephens"/>
    <s v="20140825CSewright"/>
    <s v="FW_Scan_20140824.pdf"/>
    <n v="0"/>
    <n v="0"/>
    <n v="0"/>
    <n v="0"/>
    <n v="0"/>
    <n v="0"/>
    <n v="0"/>
    <n v="0"/>
    <n v="0"/>
    <n v="0"/>
    <n v="0"/>
    <n v="0"/>
    <n v="0"/>
    <n v="0"/>
    <n v="4"/>
    <n v="0"/>
    <n v="2"/>
    <n v="0"/>
    <n v="0"/>
    <n v="0"/>
  </r>
  <r>
    <x v="79"/>
    <x v="0"/>
    <s v="nc,jk"/>
    <d v="1899-12-30T16:58:00"/>
    <d v="1899-12-30T20:31:00"/>
    <n v="64"/>
    <n v="11"/>
    <m/>
    <m/>
    <n v="213.00000000000006"/>
    <m/>
    <m/>
    <m/>
    <n v="0"/>
    <m/>
    <m/>
    <m/>
    <n v="0"/>
    <m/>
    <m/>
    <m/>
    <m/>
    <n v="0"/>
    <m/>
    <n v="1"/>
    <m/>
    <n v="1"/>
    <m/>
    <n v="2"/>
    <m/>
    <n v="2"/>
    <m/>
    <m/>
    <m/>
    <m/>
    <n v="0"/>
    <n v="1"/>
    <m/>
    <m/>
    <m/>
    <m/>
    <m/>
    <m/>
    <n v="1"/>
    <m/>
    <m/>
    <s v="20140824 JKunzler"/>
    <s v="20140825CSewright"/>
    <s v="FW_Scan_20140824.pdf"/>
    <n v="0"/>
    <n v="0"/>
    <n v="0"/>
    <n v="0"/>
    <n v="0"/>
    <n v="0"/>
    <n v="0"/>
    <n v="0"/>
    <n v="0"/>
    <n v="0"/>
    <n v="0"/>
    <n v="1"/>
    <n v="0"/>
    <n v="0"/>
    <n v="2"/>
    <n v="0"/>
    <n v="0"/>
    <n v="0"/>
    <n v="0"/>
    <n v="0"/>
  </r>
  <r>
    <x v="79"/>
    <x v="2"/>
    <s v="csw,lg"/>
    <d v="1899-12-30T08:09:00"/>
    <d v="1899-12-30T10:55:00"/>
    <n v="38"/>
    <n v="12"/>
    <m/>
    <m/>
    <n v="165.99999999999997"/>
    <m/>
    <m/>
    <m/>
    <n v="0"/>
    <m/>
    <m/>
    <m/>
    <n v="0"/>
    <m/>
    <m/>
    <m/>
    <m/>
    <n v="0"/>
    <m/>
    <m/>
    <m/>
    <n v="0"/>
    <n v="1"/>
    <m/>
    <m/>
    <n v="1"/>
    <m/>
    <m/>
    <m/>
    <m/>
    <n v="0"/>
    <m/>
    <m/>
    <m/>
    <m/>
    <m/>
    <m/>
    <m/>
    <n v="0"/>
    <m/>
    <m/>
    <s v="20140824 CSewright"/>
    <s v="20140825CSewright"/>
    <s v="FW_Scan_20140824.pdf"/>
    <n v="0"/>
    <n v="0"/>
    <n v="0"/>
    <n v="0"/>
    <n v="0"/>
    <n v="0"/>
    <n v="0"/>
    <n v="0"/>
    <n v="0"/>
    <n v="0"/>
    <n v="0"/>
    <n v="0"/>
    <n v="0"/>
    <n v="1"/>
    <n v="0"/>
    <n v="0"/>
    <n v="0"/>
    <n v="0"/>
    <n v="0"/>
    <n v="0"/>
  </r>
  <r>
    <x v="79"/>
    <x v="2"/>
    <s v="as,ks"/>
    <d v="1899-12-30T10:55:00"/>
    <d v="1899-12-30T16:43:00"/>
    <n v="38"/>
    <n v="12"/>
    <m/>
    <m/>
    <n v="347.99999999999994"/>
    <m/>
    <m/>
    <m/>
    <n v="0"/>
    <m/>
    <m/>
    <m/>
    <n v="0"/>
    <m/>
    <m/>
    <m/>
    <m/>
    <n v="0"/>
    <m/>
    <m/>
    <m/>
    <n v="0"/>
    <m/>
    <n v="9"/>
    <m/>
    <n v="9"/>
    <n v="1"/>
    <m/>
    <m/>
    <m/>
    <n v="1"/>
    <m/>
    <m/>
    <m/>
    <m/>
    <m/>
    <m/>
    <m/>
    <n v="0"/>
    <m/>
    <m/>
    <s v="20140824 AStephens"/>
    <s v="20140825CSewright"/>
    <s v="FW_Scan_20140824.pdf"/>
    <n v="0"/>
    <n v="0"/>
    <n v="0"/>
    <n v="0"/>
    <n v="0"/>
    <n v="0"/>
    <n v="0"/>
    <n v="0"/>
    <n v="0"/>
    <n v="0"/>
    <n v="0"/>
    <n v="0"/>
    <n v="0"/>
    <n v="0"/>
    <n v="9"/>
    <n v="0"/>
    <n v="1"/>
    <n v="0"/>
    <n v="0"/>
    <n v="0"/>
  </r>
  <r>
    <x v="79"/>
    <x v="2"/>
    <s v="nc,jk"/>
    <d v="1899-12-30T16:43:00"/>
    <d v="1899-12-30T20:15:00"/>
    <n v="36"/>
    <n v="11"/>
    <m/>
    <m/>
    <n v="212.00000000000006"/>
    <m/>
    <m/>
    <m/>
    <n v="0"/>
    <m/>
    <m/>
    <m/>
    <n v="0"/>
    <n v="1"/>
    <m/>
    <m/>
    <m/>
    <n v="1"/>
    <m/>
    <m/>
    <m/>
    <n v="0"/>
    <m/>
    <n v="18"/>
    <m/>
    <n v="18"/>
    <n v="1"/>
    <m/>
    <m/>
    <m/>
    <n v="1"/>
    <m/>
    <m/>
    <m/>
    <m/>
    <m/>
    <m/>
    <m/>
    <n v="0"/>
    <m/>
    <m/>
    <s v="20140824 JKunzler"/>
    <s v="20140825CSewright"/>
    <s v="FW_Scan_20140824.pdf"/>
    <n v="0"/>
    <n v="0"/>
    <n v="0"/>
    <n v="0"/>
    <n v="0"/>
    <n v="0"/>
    <n v="1"/>
    <n v="0"/>
    <n v="0"/>
    <n v="0"/>
    <n v="0"/>
    <n v="0"/>
    <n v="0"/>
    <n v="0"/>
    <n v="18"/>
    <n v="0"/>
    <n v="1"/>
    <n v="0"/>
    <n v="0"/>
    <n v="0"/>
  </r>
  <r>
    <x v="79"/>
    <x v="1"/>
    <s v="nc,jk"/>
    <d v="1899-12-30T08:12:00"/>
    <d v="1899-12-30T14:03:00"/>
    <n v="48"/>
    <n v="10"/>
    <m/>
    <m/>
    <n v="351.00000000000011"/>
    <m/>
    <n v="1"/>
    <m/>
    <n v="1"/>
    <m/>
    <m/>
    <m/>
    <n v="0"/>
    <m/>
    <m/>
    <m/>
    <m/>
    <n v="0"/>
    <m/>
    <m/>
    <m/>
    <n v="0"/>
    <n v="1"/>
    <n v="4"/>
    <m/>
    <n v="5"/>
    <n v="4"/>
    <n v="3"/>
    <m/>
    <m/>
    <n v="7"/>
    <m/>
    <m/>
    <m/>
    <m/>
    <m/>
    <m/>
    <m/>
    <n v="0"/>
    <m/>
    <m/>
    <s v="20140824 JKunzler"/>
    <s v="20140825CSewright"/>
    <s v="FW_Scan_20140824.pdf"/>
    <n v="0"/>
    <n v="1"/>
    <n v="0"/>
    <n v="0"/>
    <n v="0"/>
    <n v="0"/>
    <n v="0"/>
    <n v="0"/>
    <n v="0"/>
    <n v="0"/>
    <n v="0"/>
    <n v="0"/>
    <n v="0"/>
    <n v="1"/>
    <n v="4"/>
    <n v="0"/>
    <n v="4"/>
    <n v="3"/>
    <n v="0"/>
    <n v="0"/>
  </r>
  <r>
    <x v="79"/>
    <x v="1"/>
    <s v="csw,lg"/>
    <d v="1899-12-30T14:03:00"/>
    <d v="1899-12-30T20:23:00"/>
    <n v="50"/>
    <n v="11"/>
    <m/>
    <m/>
    <n v="379.99999999999994"/>
    <m/>
    <m/>
    <m/>
    <n v="0"/>
    <m/>
    <m/>
    <m/>
    <n v="0"/>
    <n v="1"/>
    <m/>
    <m/>
    <m/>
    <n v="1"/>
    <m/>
    <m/>
    <m/>
    <n v="0"/>
    <m/>
    <n v="5"/>
    <m/>
    <n v="5"/>
    <m/>
    <n v="7"/>
    <n v="1"/>
    <m/>
    <n v="8"/>
    <m/>
    <m/>
    <m/>
    <m/>
    <m/>
    <m/>
    <m/>
    <n v="0"/>
    <m/>
    <m/>
    <s v="20140824 LGasek"/>
    <s v="20140825CSewright"/>
    <s v="FW_Scan_20140824.pdf"/>
    <n v="0"/>
    <n v="0"/>
    <n v="0"/>
    <n v="0"/>
    <n v="0"/>
    <n v="0"/>
    <n v="1"/>
    <n v="0"/>
    <n v="0"/>
    <n v="0"/>
    <n v="0"/>
    <n v="0"/>
    <n v="0"/>
    <n v="0"/>
    <n v="5"/>
    <n v="0"/>
    <n v="0"/>
    <n v="7"/>
    <n v="1"/>
    <n v="0"/>
  </r>
  <r>
    <x v="80"/>
    <x v="0"/>
    <s v="lg,nc"/>
    <d v="1899-12-30T08:24:00"/>
    <d v="1899-12-30T14:03:00"/>
    <n v="63"/>
    <n v="12"/>
    <m/>
    <m/>
    <n v="339"/>
    <m/>
    <m/>
    <m/>
    <n v="0"/>
    <m/>
    <m/>
    <m/>
    <n v="0"/>
    <m/>
    <m/>
    <m/>
    <m/>
    <n v="0"/>
    <m/>
    <m/>
    <m/>
    <n v="0"/>
    <m/>
    <n v="3"/>
    <m/>
    <n v="3"/>
    <m/>
    <m/>
    <m/>
    <m/>
    <n v="0"/>
    <m/>
    <m/>
    <m/>
    <m/>
    <m/>
    <m/>
    <m/>
    <n v="0"/>
    <m/>
    <m/>
    <s v="20140825 NCollin"/>
    <s v="20140826CSewright"/>
    <s v="FW_Scan_20140825.pdf"/>
    <n v="0"/>
    <n v="0"/>
    <n v="0"/>
    <n v="0"/>
    <n v="0"/>
    <n v="0"/>
    <n v="0"/>
    <n v="0"/>
    <n v="0"/>
    <n v="0"/>
    <n v="0"/>
    <n v="0"/>
    <n v="0"/>
    <n v="0"/>
    <n v="3"/>
    <n v="0"/>
    <n v="0"/>
    <n v="0"/>
    <n v="0"/>
    <n v="0"/>
  </r>
  <r>
    <x v="80"/>
    <x v="0"/>
    <s v="ks,jk"/>
    <d v="1899-12-30T14:03:00"/>
    <d v="1899-12-30T20:28:00"/>
    <n v="62"/>
    <n v="11"/>
    <m/>
    <m/>
    <n v="384.99999999999989"/>
    <m/>
    <m/>
    <m/>
    <n v="0"/>
    <m/>
    <m/>
    <m/>
    <n v="0"/>
    <m/>
    <m/>
    <m/>
    <m/>
    <n v="0"/>
    <m/>
    <m/>
    <m/>
    <n v="0"/>
    <m/>
    <n v="7"/>
    <m/>
    <n v="7"/>
    <m/>
    <n v="6"/>
    <m/>
    <m/>
    <n v="6"/>
    <m/>
    <m/>
    <m/>
    <m/>
    <m/>
    <m/>
    <m/>
    <n v="0"/>
    <m/>
    <m/>
    <s v="20140825 JKunzler"/>
    <s v="20140826CSewright"/>
    <s v="FW_Scan_20140825.pdf"/>
    <n v="0"/>
    <n v="0"/>
    <n v="0"/>
    <n v="0"/>
    <n v="0"/>
    <n v="0"/>
    <n v="0"/>
    <n v="0"/>
    <n v="0"/>
    <n v="0"/>
    <n v="0"/>
    <n v="0"/>
    <n v="0"/>
    <n v="0"/>
    <n v="7"/>
    <n v="0"/>
    <n v="0"/>
    <n v="6"/>
    <n v="0"/>
    <n v="0"/>
  </r>
  <r>
    <x v="80"/>
    <x v="2"/>
    <s v="nc,lg"/>
    <d v="1899-12-30T08:15:00"/>
    <d v="1899-12-30T13:55:00"/>
    <n v="39"/>
    <n v="11.5"/>
    <m/>
    <m/>
    <n v="339.99999999999989"/>
    <m/>
    <m/>
    <m/>
    <n v="0"/>
    <m/>
    <m/>
    <m/>
    <n v="0"/>
    <m/>
    <m/>
    <m/>
    <m/>
    <n v="0"/>
    <m/>
    <m/>
    <m/>
    <n v="0"/>
    <m/>
    <n v="20"/>
    <m/>
    <n v="20"/>
    <n v="2"/>
    <n v="1"/>
    <m/>
    <m/>
    <n v="3"/>
    <m/>
    <m/>
    <m/>
    <m/>
    <m/>
    <m/>
    <m/>
    <n v="0"/>
    <m/>
    <m/>
    <s v="20140825 LGasek"/>
    <s v="20140826CSewright"/>
    <s v="FW_Scan_20140825.pdf"/>
    <n v="0"/>
    <n v="0"/>
    <n v="0"/>
    <n v="0"/>
    <n v="0"/>
    <n v="0"/>
    <n v="0"/>
    <n v="0"/>
    <n v="0"/>
    <n v="0"/>
    <n v="0"/>
    <n v="0"/>
    <n v="0"/>
    <n v="0"/>
    <n v="20"/>
    <n v="0"/>
    <n v="2"/>
    <n v="1"/>
    <n v="0"/>
    <n v="0"/>
  </r>
  <r>
    <x v="80"/>
    <x v="2"/>
    <s v="ks,jk"/>
    <d v="1899-12-30T13:55:00"/>
    <d v="1899-12-30T20:19:00"/>
    <n v="42"/>
    <n v="11"/>
    <m/>
    <m/>
    <n v="384.00000000000006"/>
    <m/>
    <m/>
    <m/>
    <n v="0"/>
    <m/>
    <m/>
    <m/>
    <n v="0"/>
    <m/>
    <n v="1"/>
    <m/>
    <m/>
    <n v="1"/>
    <m/>
    <m/>
    <m/>
    <n v="0"/>
    <m/>
    <n v="13"/>
    <m/>
    <n v="13"/>
    <n v="1"/>
    <n v="1"/>
    <m/>
    <m/>
    <n v="2"/>
    <m/>
    <m/>
    <m/>
    <m/>
    <m/>
    <m/>
    <m/>
    <n v="0"/>
    <m/>
    <m/>
    <s v="20140825 JKunzler"/>
    <s v="20140826CSewright"/>
    <s v="FW_Scan_20140825.pdf"/>
    <n v="0"/>
    <n v="0"/>
    <n v="0"/>
    <n v="0"/>
    <n v="0"/>
    <n v="0"/>
    <n v="0"/>
    <n v="1"/>
    <n v="0"/>
    <n v="0"/>
    <n v="0"/>
    <n v="0"/>
    <n v="0"/>
    <n v="0"/>
    <n v="13"/>
    <n v="0"/>
    <n v="1"/>
    <n v="1"/>
    <n v="0"/>
    <n v="0"/>
  </r>
  <r>
    <x v="80"/>
    <x v="1"/>
    <s v="ks,jk"/>
    <d v="1899-12-30T08:20:00"/>
    <d v="1899-12-30T10:47:00"/>
    <n v="48"/>
    <n v="10"/>
    <m/>
    <m/>
    <n v="146.99999999999994"/>
    <m/>
    <m/>
    <m/>
    <n v="0"/>
    <m/>
    <m/>
    <m/>
    <n v="0"/>
    <m/>
    <m/>
    <m/>
    <m/>
    <n v="0"/>
    <m/>
    <m/>
    <m/>
    <n v="0"/>
    <m/>
    <n v="3"/>
    <m/>
    <n v="3"/>
    <n v="1"/>
    <m/>
    <m/>
    <m/>
    <n v="1"/>
    <m/>
    <m/>
    <m/>
    <m/>
    <m/>
    <m/>
    <m/>
    <n v="0"/>
    <m/>
    <m/>
    <s v="20140825 JKunzler"/>
    <s v="20140826CSewright"/>
    <s v="FW_Scan_20140825.pdf"/>
    <n v="0"/>
    <n v="0"/>
    <n v="0"/>
    <n v="0"/>
    <n v="0"/>
    <n v="0"/>
    <n v="0"/>
    <n v="0"/>
    <n v="0"/>
    <n v="0"/>
    <n v="0"/>
    <n v="0"/>
    <n v="0"/>
    <n v="0"/>
    <n v="3"/>
    <n v="0"/>
    <n v="1"/>
    <n v="0"/>
    <n v="0"/>
    <n v="0"/>
  </r>
  <r>
    <x v="80"/>
    <x v="1"/>
    <s v="csw,as"/>
    <d v="1899-12-30T10:47:00"/>
    <d v="1899-12-30T16:51:00"/>
    <n v="48"/>
    <n v="12"/>
    <m/>
    <m/>
    <n v="364.00000000000011"/>
    <m/>
    <m/>
    <m/>
    <n v="0"/>
    <m/>
    <m/>
    <m/>
    <n v="0"/>
    <m/>
    <m/>
    <m/>
    <m/>
    <n v="0"/>
    <m/>
    <m/>
    <m/>
    <n v="0"/>
    <m/>
    <n v="2"/>
    <m/>
    <n v="2"/>
    <n v="3"/>
    <n v="2"/>
    <m/>
    <m/>
    <n v="5"/>
    <m/>
    <m/>
    <m/>
    <m/>
    <m/>
    <m/>
    <m/>
    <n v="0"/>
    <m/>
    <m/>
    <s v="20140825 CSewright"/>
    <s v="20140826CSewright"/>
    <s v="FW_Scan_20140825.pdf"/>
    <n v="0"/>
    <n v="0"/>
    <n v="0"/>
    <n v="0"/>
    <n v="0"/>
    <n v="0"/>
    <n v="0"/>
    <n v="0"/>
    <n v="0"/>
    <n v="0"/>
    <n v="0"/>
    <n v="0"/>
    <n v="0"/>
    <n v="0"/>
    <n v="2"/>
    <n v="0"/>
    <n v="3"/>
    <n v="2"/>
    <n v="0"/>
    <n v="0"/>
  </r>
  <r>
    <x v="80"/>
    <x v="1"/>
    <s v="nc,lg"/>
    <d v="1899-12-30T16:51:00"/>
    <d v="1899-12-30T20:20:00"/>
    <n v="47"/>
    <n v="11"/>
    <m/>
    <m/>
    <n v="208.99999999999989"/>
    <m/>
    <m/>
    <m/>
    <n v="0"/>
    <m/>
    <m/>
    <m/>
    <n v="0"/>
    <n v="1"/>
    <m/>
    <m/>
    <m/>
    <n v="1"/>
    <m/>
    <m/>
    <m/>
    <n v="0"/>
    <m/>
    <m/>
    <m/>
    <n v="0"/>
    <m/>
    <n v="3"/>
    <m/>
    <m/>
    <n v="3"/>
    <m/>
    <m/>
    <m/>
    <n v="1"/>
    <m/>
    <m/>
    <m/>
    <n v="1"/>
    <m/>
    <m/>
    <s v="20140825 NCollin"/>
    <s v="20140826CSewright"/>
    <s v="FW_Scan_20140825.pdf"/>
    <n v="0"/>
    <n v="0"/>
    <n v="0"/>
    <n v="0"/>
    <n v="0"/>
    <n v="0"/>
    <n v="1"/>
    <n v="0"/>
    <n v="0"/>
    <n v="0"/>
    <n v="0"/>
    <n v="0"/>
    <n v="0"/>
    <n v="0"/>
    <n v="0"/>
    <n v="0"/>
    <n v="0"/>
    <n v="3"/>
    <n v="0"/>
    <n v="0"/>
  </r>
  <r>
    <x v="81"/>
    <x v="0"/>
    <s v="nc,lg"/>
    <d v="1899-12-30T08:14:00"/>
    <d v="1899-12-30T14:14:00"/>
    <n v="58"/>
    <n v="10"/>
    <m/>
    <n v="84.2"/>
    <n v="360.00000000000011"/>
    <m/>
    <m/>
    <m/>
    <n v="0"/>
    <m/>
    <m/>
    <m/>
    <n v="0"/>
    <m/>
    <m/>
    <m/>
    <m/>
    <n v="0"/>
    <m/>
    <m/>
    <m/>
    <n v="0"/>
    <m/>
    <n v="2"/>
    <m/>
    <n v="2"/>
    <n v="1"/>
    <m/>
    <m/>
    <m/>
    <n v="1"/>
    <m/>
    <m/>
    <m/>
    <m/>
    <m/>
    <m/>
    <m/>
    <n v="0"/>
    <m/>
    <m/>
    <s v="20140826 LGasek"/>
    <s v="20140827CSewright"/>
    <s v="FW_Scan_20140826.pdf"/>
    <n v="0"/>
    <n v="0"/>
    <n v="0"/>
    <n v="0"/>
    <n v="0"/>
    <n v="0"/>
    <n v="0"/>
    <n v="0"/>
    <n v="0"/>
    <n v="0"/>
    <n v="0"/>
    <n v="0"/>
    <n v="0"/>
    <n v="0"/>
    <n v="2"/>
    <n v="0"/>
    <n v="1"/>
    <n v="0"/>
    <n v="0"/>
    <n v="0"/>
  </r>
  <r>
    <x v="81"/>
    <x v="0"/>
    <s v="ks,jk"/>
    <d v="1899-12-30T14:14:00"/>
    <d v="1899-12-30T20:14:00"/>
    <n v="59"/>
    <n v="10"/>
    <m/>
    <m/>
    <n v="360"/>
    <m/>
    <m/>
    <m/>
    <n v="0"/>
    <m/>
    <m/>
    <m/>
    <n v="0"/>
    <m/>
    <m/>
    <m/>
    <n v="1"/>
    <n v="1"/>
    <m/>
    <m/>
    <m/>
    <n v="0"/>
    <m/>
    <n v="2"/>
    <m/>
    <n v="2"/>
    <n v="1"/>
    <m/>
    <m/>
    <m/>
    <n v="1"/>
    <m/>
    <m/>
    <m/>
    <m/>
    <m/>
    <m/>
    <m/>
    <n v="0"/>
    <m/>
    <m/>
    <s v="20140826 JKunzler"/>
    <s v="20140827CSewright"/>
    <s v="FW_Scan_20140826.pdf"/>
    <n v="0"/>
    <n v="0"/>
    <n v="0"/>
    <n v="0"/>
    <n v="0"/>
    <n v="0"/>
    <n v="0"/>
    <n v="0"/>
    <n v="0"/>
    <n v="1"/>
    <n v="0"/>
    <n v="0"/>
    <n v="0"/>
    <n v="0"/>
    <n v="2"/>
    <n v="0"/>
    <n v="1"/>
    <n v="0"/>
    <n v="0"/>
    <n v="0"/>
  </r>
  <r>
    <x v="81"/>
    <x v="2"/>
    <s v="lg,nc"/>
    <d v="1899-12-30T08:07:00"/>
    <d v="1899-12-30T14:04:00"/>
    <n v="37"/>
    <n v="9"/>
    <m/>
    <m/>
    <n v="357"/>
    <m/>
    <m/>
    <m/>
    <n v="0"/>
    <m/>
    <m/>
    <m/>
    <n v="0"/>
    <m/>
    <m/>
    <m/>
    <m/>
    <n v="0"/>
    <m/>
    <n v="1"/>
    <m/>
    <n v="1"/>
    <n v="1"/>
    <n v="5"/>
    <m/>
    <n v="6"/>
    <m/>
    <m/>
    <m/>
    <m/>
    <n v="0"/>
    <m/>
    <m/>
    <m/>
    <m/>
    <m/>
    <m/>
    <m/>
    <n v="0"/>
    <m/>
    <m/>
    <s v="20140826 NCollin"/>
    <s v="20140827CSewright"/>
    <s v="FW_Scan_20140826.pdf"/>
    <n v="0"/>
    <n v="0"/>
    <n v="0"/>
    <n v="0"/>
    <n v="0"/>
    <n v="0"/>
    <n v="0"/>
    <n v="0"/>
    <n v="0"/>
    <n v="0"/>
    <n v="0"/>
    <n v="1"/>
    <n v="0"/>
    <n v="1"/>
    <n v="5"/>
    <n v="0"/>
    <n v="0"/>
    <n v="0"/>
    <n v="0"/>
    <n v="0"/>
  </r>
  <r>
    <x v="81"/>
    <x v="2"/>
    <s v="jk,ks"/>
    <d v="1899-12-30T14:04:00"/>
    <d v="1899-12-30T20:07:00"/>
    <n v="37"/>
    <n v="10"/>
    <m/>
    <m/>
    <n v="363"/>
    <m/>
    <m/>
    <m/>
    <n v="0"/>
    <m/>
    <m/>
    <m/>
    <n v="0"/>
    <m/>
    <m/>
    <m/>
    <m/>
    <n v="0"/>
    <m/>
    <m/>
    <m/>
    <n v="0"/>
    <m/>
    <n v="9"/>
    <m/>
    <n v="9"/>
    <m/>
    <m/>
    <m/>
    <m/>
    <n v="0"/>
    <m/>
    <m/>
    <m/>
    <m/>
    <m/>
    <m/>
    <m/>
    <n v="0"/>
    <m/>
    <m/>
    <s v="20140826 JKunzler"/>
    <s v="20140827CSewright"/>
    <s v="FW_Scan_20140826.pdf"/>
    <n v="0"/>
    <n v="0"/>
    <n v="0"/>
    <n v="0"/>
    <n v="0"/>
    <n v="0"/>
    <n v="0"/>
    <n v="0"/>
    <n v="0"/>
    <n v="0"/>
    <n v="0"/>
    <n v="0"/>
    <n v="0"/>
    <n v="0"/>
    <n v="9"/>
    <n v="0"/>
    <n v="0"/>
    <n v="0"/>
    <n v="0"/>
    <n v="0"/>
  </r>
  <r>
    <x v="81"/>
    <x v="1"/>
    <s v="ks,jk"/>
    <d v="1899-12-30T08:09:00"/>
    <d v="1899-12-30T10:53:00"/>
    <n v="44"/>
    <n v="9"/>
    <m/>
    <m/>
    <n v="163.99999999999997"/>
    <m/>
    <m/>
    <m/>
    <n v="0"/>
    <m/>
    <m/>
    <m/>
    <n v="0"/>
    <m/>
    <m/>
    <m/>
    <m/>
    <n v="0"/>
    <m/>
    <m/>
    <m/>
    <n v="0"/>
    <m/>
    <m/>
    <m/>
    <n v="0"/>
    <n v="1"/>
    <n v="1"/>
    <m/>
    <m/>
    <n v="2"/>
    <m/>
    <m/>
    <m/>
    <m/>
    <m/>
    <m/>
    <m/>
    <n v="0"/>
    <m/>
    <m/>
    <s v="20140826 JKunzler"/>
    <s v="20140827CSewright"/>
    <s v="FW_Scan_20140826.pdf"/>
    <n v="0"/>
    <n v="0"/>
    <n v="0"/>
    <n v="0"/>
    <n v="0"/>
    <n v="0"/>
    <n v="0"/>
    <n v="0"/>
    <n v="0"/>
    <n v="0"/>
    <n v="0"/>
    <n v="0"/>
    <n v="0"/>
    <n v="0"/>
    <n v="0"/>
    <n v="0"/>
    <n v="1"/>
    <n v="1"/>
    <n v="0"/>
    <n v="0"/>
  </r>
  <r>
    <x v="81"/>
    <x v="1"/>
    <s v="csw,as"/>
    <d v="1899-12-30T10:53:00"/>
    <d v="1899-12-30T16:53:00"/>
    <n v="46"/>
    <n v="11.5"/>
    <m/>
    <m/>
    <n v="359.99999999999989"/>
    <m/>
    <m/>
    <m/>
    <n v="0"/>
    <m/>
    <m/>
    <m/>
    <n v="0"/>
    <m/>
    <m/>
    <m/>
    <m/>
    <n v="0"/>
    <m/>
    <m/>
    <m/>
    <n v="0"/>
    <n v="1"/>
    <n v="1"/>
    <m/>
    <n v="2"/>
    <n v="3"/>
    <n v="2"/>
    <m/>
    <m/>
    <n v="5"/>
    <m/>
    <m/>
    <m/>
    <m/>
    <m/>
    <m/>
    <m/>
    <n v="0"/>
    <m/>
    <m/>
    <s v="20140826 AStephens"/>
    <s v="20140827CSewright"/>
    <s v="FW_Scan_20140826.pdf"/>
    <n v="0"/>
    <n v="0"/>
    <n v="0"/>
    <n v="0"/>
    <n v="0"/>
    <n v="0"/>
    <n v="0"/>
    <n v="0"/>
    <n v="0"/>
    <n v="0"/>
    <n v="0"/>
    <n v="0"/>
    <n v="0"/>
    <n v="1"/>
    <n v="1"/>
    <n v="0"/>
    <n v="3"/>
    <n v="2"/>
    <n v="0"/>
    <n v="0"/>
  </r>
  <r>
    <x v="81"/>
    <x v="1"/>
    <s v="nc,lg"/>
    <d v="1899-12-30T16:53:00"/>
    <d v="1899-12-30T20:08:00"/>
    <n v="46"/>
    <n v="10"/>
    <m/>
    <m/>
    <n v="195.00000000000011"/>
    <m/>
    <m/>
    <m/>
    <n v="0"/>
    <m/>
    <m/>
    <m/>
    <n v="0"/>
    <m/>
    <m/>
    <m/>
    <m/>
    <n v="0"/>
    <m/>
    <m/>
    <m/>
    <n v="0"/>
    <m/>
    <n v="2"/>
    <m/>
    <n v="2"/>
    <n v="3"/>
    <m/>
    <m/>
    <m/>
    <n v="3"/>
    <m/>
    <m/>
    <m/>
    <m/>
    <m/>
    <m/>
    <m/>
    <n v="0"/>
    <m/>
    <m/>
    <s v="20140826 LGasek"/>
    <s v="20140827CSewright"/>
    <s v="FW_Scan_20140826.pdf"/>
    <n v="0"/>
    <n v="0"/>
    <n v="0"/>
    <n v="0"/>
    <n v="0"/>
    <n v="0"/>
    <n v="0"/>
    <n v="0"/>
    <n v="0"/>
    <n v="0"/>
    <n v="0"/>
    <n v="0"/>
    <n v="0"/>
    <n v="0"/>
    <n v="2"/>
    <n v="0"/>
    <n v="3"/>
    <n v="0"/>
    <n v="0"/>
    <n v="0"/>
  </r>
  <r>
    <x v="82"/>
    <x v="0"/>
    <s v="ks,lg"/>
    <d v="1899-12-30T08:17:00"/>
    <d v="1899-12-30T10:41:00"/>
    <n v="56"/>
    <n v="10"/>
    <m/>
    <m/>
    <n v="144.00000000000006"/>
    <m/>
    <m/>
    <m/>
    <n v="0"/>
    <m/>
    <m/>
    <m/>
    <n v="0"/>
    <m/>
    <m/>
    <m/>
    <m/>
    <n v="0"/>
    <m/>
    <m/>
    <m/>
    <n v="0"/>
    <m/>
    <m/>
    <m/>
    <n v="0"/>
    <m/>
    <m/>
    <m/>
    <m/>
    <n v="0"/>
    <m/>
    <m/>
    <m/>
    <m/>
    <m/>
    <m/>
    <m/>
    <n v="0"/>
    <m/>
    <s v="no Fish"/>
    <s v="20140827 KShippen"/>
    <s v="20140828 KShippen"/>
    <s v="FW_Scan_20140827.pdf"/>
    <n v="0"/>
    <n v="0"/>
    <n v="0"/>
    <n v="0"/>
    <n v="0"/>
    <n v="0"/>
    <n v="0"/>
    <n v="0"/>
    <n v="0"/>
    <n v="0"/>
    <n v="0"/>
    <n v="0"/>
    <n v="0"/>
    <n v="0"/>
    <n v="0"/>
    <n v="0"/>
    <n v="0"/>
    <n v="0"/>
    <n v="0"/>
    <n v="0"/>
  </r>
  <r>
    <x v="82"/>
    <x v="0"/>
    <s v="as,jk"/>
    <d v="1899-12-30T10:41:00"/>
    <d v="1899-12-30T17:33:00"/>
    <n v="52"/>
    <n v="10"/>
    <m/>
    <m/>
    <n v="412"/>
    <m/>
    <m/>
    <m/>
    <n v="0"/>
    <m/>
    <m/>
    <m/>
    <n v="0"/>
    <m/>
    <m/>
    <m/>
    <n v="1"/>
    <n v="1"/>
    <m/>
    <m/>
    <m/>
    <n v="0"/>
    <m/>
    <n v="3"/>
    <m/>
    <n v="3"/>
    <n v="1"/>
    <m/>
    <m/>
    <m/>
    <n v="1"/>
    <m/>
    <m/>
    <m/>
    <m/>
    <m/>
    <m/>
    <m/>
    <n v="0"/>
    <m/>
    <m/>
    <s v="20140827 AStephens"/>
    <s v="20140828 KShippen"/>
    <s v="FW_Scan_20140827.pdf"/>
    <n v="0"/>
    <n v="0"/>
    <n v="0"/>
    <n v="0"/>
    <n v="0"/>
    <n v="0"/>
    <n v="0"/>
    <n v="0"/>
    <n v="0"/>
    <n v="1"/>
    <n v="0"/>
    <n v="0"/>
    <n v="0"/>
    <n v="0"/>
    <n v="3"/>
    <n v="0"/>
    <n v="1"/>
    <n v="0"/>
    <n v="0"/>
    <n v="0"/>
  </r>
  <r>
    <x v="82"/>
    <x v="0"/>
    <s v="csw,nc"/>
    <d v="1899-12-30T17:33:00"/>
    <d v="1899-12-30T20:21:00"/>
    <n v="51"/>
    <n v="9.5"/>
    <m/>
    <m/>
    <n v="168.00000000000006"/>
    <m/>
    <m/>
    <m/>
    <n v="0"/>
    <m/>
    <m/>
    <m/>
    <n v="0"/>
    <m/>
    <m/>
    <m/>
    <m/>
    <n v="0"/>
    <m/>
    <m/>
    <m/>
    <n v="0"/>
    <m/>
    <m/>
    <m/>
    <n v="0"/>
    <m/>
    <m/>
    <m/>
    <m/>
    <n v="0"/>
    <m/>
    <m/>
    <m/>
    <m/>
    <m/>
    <m/>
    <m/>
    <n v="0"/>
    <m/>
    <m/>
    <s v="20140827 NCollin"/>
    <s v="20140828 KShippen"/>
    <s v="FW_Scan_20140827.pdf"/>
    <n v="0"/>
    <n v="0"/>
    <n v="0"/>
    <n v="0"/>
    <n v="0"/>
    <n v="0"/>
    <n v="0"/>
    <n v="0"/>
    <n v="0"/>
    <n v="0"/>
    <n v="0"/>
    <n v="0"/>
    <n v="0"/>
    <n v="0"/>
    <n v="0"/>
    <n v="0"/>
    <n v="0"/>
    <n v="0"/>
    <n v="0"/>
    <n v="0"/>
  </r>
  <r>
    <x v="82"/>
    <x v="2"/>
    <s v="ks,lg"/>
    <d v="1899-12-30T08:09:00"/>
    <d v="1899-12-30T10:36:00"/>
    <n v="35"/>
    <n v="9.5"/>
    <m/>
    <m/>
    <n v="146.99999999999994"/>
    <m/>
    <m/>
    <m/>
    <n v="0"/>
    <m/>
    <m/>
    <m/>
    <n v="0"/>
    <m/>
    <m/>
    <m/>
    <m/>
    <n v="0"/>
    <m/>
    <m/>
    <m/>
    <n v="0"/>
    <m/>
    <m/>
    <m/>
    <n v="0"/>
    <m/>
    <m/>
    <m/>
    <m/>
    <n v="0"/>
    <m/>
    <m/>
    <m/>
    <m/>
    <m/>
    <m/>
    <m/>
    <n v="0"/>
    <m/>
    <s v="No Fish"/>
    <s v="20140827 KShippen"/>
    <s v="20140828 KShippen"/>
    <s v="FW_Scan_20140827.pdf"/>
    <n v="0"/>
    <n v="0"/>
    <n v="0"/>
    <n v="0"/>
    <n v="0"/>
    <n v="0"/>
    <n v="0"/>
    <n v="0"/>
    <n v="0"/>
    <n v="0"/>
    <n v="0"/>
    <n v="0"/>
    <n v="0"/>
    <n v="0"/>
    <n v="0"/>
    <n v="0"/>
    <n v="0"/>
    <n v="0"/>
    <n v="0"/>
    <n v="0"/>
  </r>
  <r>
    <x v="82"/>
    <x v="2"/>
    <s v="jk,as"/>
    <d v="1899-12-30T10:36:00"/>
    <d v="1899-12-30T17:12:00"/>
    <n v="37"/>
    <n v="10"/>
    <m/>
    <m/>
    <n v="396.00000000000006"/>
    <m/>
    <m/>
    <m/>
    <n v="0"/>
    <m/>
    <m/>
    <m/>
    <n v="0"/>
    <m/>
    <m/>
    <m/>
    <m/>
    <n v="0"/>
    <m/>
    <m/>
    <m/>
    <n v="0"/>
    <m/>
    <n v="3"/>
    <m/>
    <n v="3"/>
    <m/>
    <m/>
    <m/>
    <m/>
    <n v="0"/>
    <m/>
    <m/>
    <m/>
    <m/>
    <m/>
    <m/>
    <m/>
    <n v="0"/>
    <s v="pumped out pontoon @16:47-17:10"/>
    <m/>
    <s v="20140827 JKunzler"/>
    <s v="20140828 KShippen"/>
    <s v="FW_Scan_20140827.pdf"/>
    <n v="0"/>
    <n v="0"/>
    <n v="0"/>
    <n v="0"/>
    <n v="0"/>
    <n v="0"/>
    <n v="0"/>
    <n v="0"/>
    <n v="0"/>
    <n v="0"/>
    <n v="0"/>
    <n v="0"/>
    <n v="0"/>
    <n v="0"/>
    <n v="3"/>
    <n v="0"/>
    <n v="0"/>
    <n v="0"/>
    <n v="0"/>
    <n v="0"/>
  </r>
  <r>
    <x v="82"/>
    <x v="2"/>
    <s v="nc,csw"/>
    <d v="1899-12-30T17:12:00"/>
    <d v="1899-12-30T20:11:00"/>
    <n v="34"/>
    <n v="9.5"/>
    <m/>
    <m/>
    <n v="179"/>
    <m/>
    <m/>
    <m/>
    <n v="0"/>
    <m/>
    <m/>
    <m/>
    <n v="0"/>
    <m/>
    <m/>
    <m/>
    <m/>
    <n v="0"/>
    <m/>
    <m/>
    <m/>
    <n v="0"/>
    <m/>
    <n v="1"/>
    <m/>
    <n v="1"/>
    <m/>
    <m/>
    <m/>
    <m/>
    <n v="0"/>
    <m/>
    <m/>
    <m/>
    <m/>
    <m/>
    <m/>
    <m/>
    <n v="0"/>
    <m/>
    <m/>
    <s v="20140827 NCollin"/>
    <s v="20140828 KShippen"/>
    <s v="FW_Scan_20140827.pdf"/>
    <n v="0"/>
    <n v="0"/>
    <n v="0"/>
    <n v="0"/>
    <n v="0"/>
    <n v="0"/>
    <n v="0"/>
    <n v="0"/>
    <n v="0"/>
    <n v="0"/>
    <n v="0"/>
    <n v="0"/>
    <n v="0"/>
    <n v="0"/>
    <n v="1"/>
    <n v="0"/>
    <n v="0"/>
    <n v="0"/>
    <n v="0"/>
    <n v="0"/>
  </r>
  <r>
    <x v="82"/>
    <x v="1"/>
    <s v="csw,nc"/>
    <d v="1899-12-30T08:16:00"/>
    <d v="1899-12-30T14:13:00"/>
    <n v="46"/>
    <n v="10.5"/>
    <m/>
    <m/>
    <n v="356.99999999999994"/>
    <m/>
    <m/>
    <m/>
    <n v="0"/>
    <m/>
    <m/>
    <m/>
    <n v="0"/>
    <m/>
    <m/>
    <m/>
    <m/>
    <n v="0"/>
    <m/>
    <m/>
    <m/>
    <n v="0"/>
    <m/>
    <m/>
    <m/>
    <n v="0"/>
    <n v="1"/>
    <m/>
    <m/>
    <m/>
    <n v="1"/>
    <m/>
    <m/>
    <m/>
    <m/>
    <m/>
    <m/>
    <m/>
    <n v="0"/>
    <m/>
    <m/>
    <s v="20140827 CSewright"/>
    <s v="20140828 KShippen"/>
    <s v="FW_Scan_20140827.pdf"/>
    <n v="0"/>
    <n v="0"/>
    <n v="0"/>
    <n v="0"/>
    <n v="0"/>
    <n v="0"/>
    <n v="0"/>
    <n v="0"/>
    <n v="0"/>
    <n v="0"/>
    <n v="0"/>
    <n v="0"/>
    <n v="0"/>
    <n v="0"/>
    <n v="0"/>
    <n v="0"/>
    <n v="1"/>
    <n v="0"/>
    <n v="0"/>
    <n v="0"/>
  </r>
  <r>
    <x v="82"/>
    <x v="1"/>
    <s v="ks,lg"/>
    <d v="1899-12-30T14:13:00"/>
    <d v="1899-12-30T20:19:00"/>
    <n v="46"/>
    <n v="10"/>
    <m/>
    <m/>
    <n v="366"/>
    <m/>
    <m/>
    <m/>
    <n v="0"/>
    <m/>
    <m/>
    <m/>
    <n v="0"/>
    <m/>
    <m/>
    <m/>
    <m/>
    <n v="0"/>
    <m/>
    <m/>
    <m/>
    <n v="0"/>
    <m/>
    <m/>
    <m/>
    <n v="0"/>
    <n v="2"/>
    <m/>
    <m/>
    <m/>
    <n v="2"/>
    <m/>
    <m/>
    <m/>
    <m/>
    <m/>
    <m/>
    <m/>
    <n v="0"/>
    <m/>
    <m/>
    <s v="20140827 LGasek"/>
    <s v="20140828 KShippen"/>
    <s v="FW_Scan_20140827.pdf"/>
    <n v="0"/>
    <n v="0"/>
    <n v="0"/>
    <n v="0"/>
    <n v="0"/>
    <n v="0"/>
    <n v="0"/>
    <n v="0"/>
    <n v="0"/>
    <n v="0"/>
    <n v="0"/>
    <n v="0"/>
    <n v="0"/>
    <n v="0"/>
    <n v="0"/>
    <n v="0"/>
    <n v="2"/>
    <n v="0"/>
    <n v="0"/>
    <n v="0"/>
  </r>
  <r>
    <x v="83"/>
    <x v="0"/>
    <s v="ks,lg"/>
    <d v="1899-12-30T08:25:00"/>
    <d v="1899-12-30T10:33:00"/>
    <n v="49"/>
    <n v="10"/>
    <m/>
    <m/>
    <n v="128.00000000000011"/>
    <m/>
    <m/>
    <m/>
    <n v="0"/>
    <m/>
    <m/>
    <m/>
    <n v="0"/>
    <m/>
    <m/>
    <m/>
    <m/>
    <n v="0"/>
    <m/>
    <m/>
    <m/>
    <n v="0"/>
    <m/>
    <m/>
    <m/>
    <n v="0"/>
    <m/>
    <m/>
    <m/>
    <m/>
    <n v="0"/>
    <m/>
    <m/>
    <m/>
    <m/>
    <m/>
    <m/>
    <m/>
    <n v="0"/>
    <m/>
    <s v="No Fish"/>
    <s v="20140828 KShippen"/>
    <s v="20140830CSewright"/>
    <s v="FW_Scan_20140828.pdf"/>
    <n v="0"/>
    <n v="0"/>
    <n v="0"/>
    <n v="0"/>
    <n v="0"/>
    <n v="0"/>
    <n v="0"/>
    <n v="0"/>
    <n v="0"/>
    <n v="0"/>
    <n v="0"/>
    <n v="0"/>
    <n v="0"/>
    <n v="0"/>
    <n v="0"/>
    <n v="0"/>
    <n v="0"/>
    <n v="0"/>
    <n v="0"/>
    <n v="0"/>
  </r>
  <r>
    <x v="83"/>
    <x v="0"/>
    <s v="as,jk"/>
    <d v="1899-12-30T10:33:00"/>
    <d v="1899-12-30T18:17:00"/>
    <n v="52"/>
    <n v="9.5"/>
    <m/>
    <m/>
    <n v="464.00000000000006"/>
    <m/>
    <m/>
    <m/>
    <n v="0"/>
    <m/>
    <m/>
    <m/>
    <n v="0"/>
    <m/>
    <m/>
    <m/>
    <m/>
    <n v="0"/>
    <m/>
    <m/>
    <m/>
    <n v="0"/>
    <m/>
    <m/>
    <m/>
    <n v="0"/>
    <m/>
    <m/>
    <m/>
    <m/>
    <n v="0"/>
    <m/>
    <m/>
    <m/>
    <m/>
    <m/>
    <m/>
    <m/>
    <n v="0"/>
    <m/>
    <s v="No Fish"/>
    <s v="20140828 AStephens"/>
    <s v="20140830CSewright"/>
    <s v="FW_Scan_20140828.pdf"/>
    <n v="0"/>
    <n v="0"/>
    <n v="0"/>
    <n v="0"/>
    <n v="0"/>
    <n v="0"/>
    <n v="0"/>
    <n v="0"/>
    <n v="0"/>
    <n v="0"/>
    <n v="0"/>
    <n v="0"/>
    <n v="0"/>
    <n v="0"/>
    <n v="0"/>
    <n v="0"/>
    <n v="0"/>
    <n v="0"/>
    <n v="0"/>
    <n v="0"/>
  </r>
  <r>
    <x v="83"/>
    <x v="0"/>
    <s v="ks,lg"/>
    <d v="1899-12-30T18:17:00"/>
    <d v="1899-12-30T20:31:00"/>
    <n v="51"/>
    <n v="10"/>
    <m/>
    <m/>
    <n v="133.99999999999983"/>
    <m/>
    <m/>
    <m/>
    <n v="0"/>
    <m/>
    <m/>
    <m/>
    <n v="0"/>
    <m/>
    <m/>
    <m/>
    <m/>
    <n v="0"/>
    <m/>
    <m/>
    <m/>
    <n v="0"/>
    <m/>
    <n v="1"/>
    <m/>
    <n v="1"/>
    <m/>
    <m/>
    <m/>
    <m/>
    <n v="0"/>
    <m/>
    <m/>
    <m/>
    <m/>
    <m/>
    <m/>
    <m/>
    <n v="0"/>
    <m/>
    <m/>
    <s v="20140828 KShippen"/>
    <s v="20140830CSewright"/>
    <s v="FW_Scan_20140828.pdf"/>
    <n v="0"/>
    <n v="0"/>
    <n v="0"/>
    <n v="0"/>
    <n v="0"/>
    <n v="0"/>
    <n v="0"/>
    <n v="0"/>
    <n v="0"/>
    <n v="0"/>
    <n v="0"/>
    <n v="0"/>
    <n v="0"/>
    <n v="0"/>
    <n v="1"/>
    <n v="0"/>
    <n v="0"/>
    <n v="0"/>
    <n v="0"/>
    <n v="0"/>
  </r>
  <r>
    <x v="83"/>
    <x v="2"/>
    <s v="ks,lg"/>
    <d v="1899-12-30T08:15:00"/>
    <d v="1899-12-30T10:36:00"/>
    <n v="33"/>
    <n v="10"/>
    <m/>
    <m/>
    <n v="140.99999999999997"/>
    <m/>
    <m/>
    <m/>
    <n v="0"/>
    <m/>
    <m/>
    <m/>
    <n v="0"/>
    <m/>
    <m/>
    <m/>
    <m/>
    <n v="0"/>
    <m/>
    <m/>
    <m/>
    <n v="0"/>
    <m/>
    <m/>
    <m/>
    <n v="0"/>
    <m/>
    <m/>
    <m/>
    <m/>
    <n v="0"/>
    <m/>
    <m/>
    <m/>
    <m/>
    <m/>
    <m/>
    <m/>
    <n v="0"/>
    <m/>
    <s v="No Fish"/>
    <s v="20140828 KShippen"/>
    <s v="20140830CSewright"/>
    <s v="FW_Scan_20140828.pdf"/>
    <n v="0"/>
    <n v="0"/>
    <n v="0"/>
    <n v="0"/>
    <n v="0"/>
    <n v="0"/>
    <n v="0"/>
    <n v="0"/>
    <n v="0"/>
    <n v="0"/>
    <n v="0"/>
    <n v="0"/>
    <n v="0"/>
    <n v="0"/>
    <n v="0"/>
    <n v="0"/>
    <n v="0"/>
    <n v="0"/>
    <n v="0"/>
    <n v="0"/>
  </r>
  <r>
    <x v="83"/>
    <x v="2"/>
    <s v="as,jk,ks"/>
    <d v="1899-12-30T10:36:00"/>
    <d v="1899-12-30T18:00:00"/>
    <n v="33"/>
    <n v="10.5"/>
    <m/>
    <m/>
    <n v="444"/>
    <m/>
    <m/>
    <m/>
    <n v="0"/>
    <m/>
    <m/>
    <m/>
    <n v="0"/>
    <m/>
    <m/>
    <m/>
    <m/>
    <n v="0"/>
    <m/>
    <m/>
    <m/>
    <n v="0"/>
    <m/>
    <n v="1"/>
    <m/>
    <n v="1"/>
    <m/>
    <m/>
    <m/>
    <m/>
    <n v="0"/>
    <m/>
    <m/>
    <m/>
    <m/>
    <m/>
    <m/>
    <m/>
    <n v="0"/>
    <m/>
    <m/>
    <s v="20140828 KShippen"/>
    <s v="20140830CSewright"/>
    <s v="FW_Scan_20140828.pdf"/>
    <n v="0"/>
    <n v="0"/>
    <n v="0"/>
    <n v="0"/>
    <n v="0"/>
    <n v="0"/>
    <n v="0"/>
    <n v="0"/>
    <n v="0"/>
    <n v="0"/>
    <n v="0"/>
    <n v="0"/>
    <n v="0"/>
    <n v="0"/>
    <n v="1"/>
    <n v="0"/>
    <n v="0"/>
    <n v="0"/>
    <n v="0"/>
    <n v="0"/>
  </r>
  <r>
    <x v="83"/>
    <x v="2"/>
    <s v="ks,lg"/>
    <d v="1899-12-30T18:00:00"/>
    <d v="1899-12-30T20:15:00"/>
    <n v="33"/>
    <n v="10"/>
    <m/>
    <m/>
    <n v="135"/>
    <m/>
    <m/>
    <m/>
    <n v="0"/>
    <m/>
    <m/>
    <m/>
    <n v="0"/>
    <m/>
    <m/>
    <m/>
    <m/>
    <n v="0"/>
    <m/>
    <m/>
    <m/>
    <n v="0"/>
    <m/>
    <n v="1"/>
    <m/>
    <n v="1"/>
    <m/>
    <m/>
    <m/>
    <m/>
    <n v="0"/>
    <m/>
    <m/>
    <m/>
    <m/>
    <m/>
    <m/>
    <m/>
    <n v="0"/>
    <m/>
    <m/>
    <s v="20140828 KShippen"/>
    <s v="20140830CSewright"/>
    <s v="FW_Scan_20140828.pdf"/>
    <n v="0"/>
    <n v="0"/>
    <n v="0"/>
    <n v="0"/>
    <n v="0"/>
    <n v="0"/>
    <n v="0"/>
    <n v="0"/>
    <n v="0"/>
    <n v="0"/>
    <n v="0"/>
    <n v="0"/>
    <n v="0"/>
    <n v="0"/>
    <n v="1"/>
    <n v="0"/>
    <n v="0"/>
    <n v="0"/>
    <n v="0"/>
    <n v="0"/>
  </r>
  <r>
    <x v="83"/>
    <x v="1"/>
    <s v="csw,nc"/>
    <d v="1899-12-30T08:15:00"/>
    <d v="1899-12-30T14:17:00"/>
    <n v="43"/>
    <n v="9.5"/>
    <m/>
    <m/>
    <n v="362"/>
    <m/>
    <m/>
    <m/>
    <n v="0"/>
    <m/>
    <m/>
    <m/>
    <n v="0"/>
    <m/>
    <m/>
    <m/>
    <m/>
    <n v="0"/>
    <m/>
    <m/>
    <m/>
    <n v="0"/>
    <m/>
    <m/>
    <m/>
    <n v="0"/>
    <n v="1"/>
    <n v="1"/>
    <m/>
    <m/>
    <n v="2"/>
    <m/>
    <m/>
    <m/>
    <m/>
    <m/>
    <m/>
    <m/>
    <n v="0"/>
    <m/>
    <m/>
    <s v="20140828 CSewright"/>
    <s v="20140830CSewright"/>
    <s v="FW_Scan_20140828.pdf"/>
    <n v="0"/>
    <n v="0"/>
    <n v="0"/>
    <n v="0"/>
    <n v="0"/>
    <n v="0"/>
    <n v="0"/>
    <n v="0"/>
    <n v="0"/>
    <n v="0"/>
    <n v="0"/>
    <n v="0"/>
    <n v="0"/>
    <n v="0"/>
    <n v="0"/>
    <n v="0"/>
    <n v="1"/>
    <n v="1"/>
    <n v="0"/>
    <n v="0"/>
  </r>
  <r>
    <x v="83"/>
    <x v="1"/>
    <s v="ks.lg"/>
    <d v="1899-12-30T14:18:00"/>
    <d v="1899-12-30T20:19:00"/>
    <n v="43"/>
    <n v="9.5"/>
    <m/>
    <m/>
    <n v="361"/>
    <m/>
    <m/>
    <m/>
    <n v="0"/>
    <m/>
    <m/>
    <m/>
    <n v="0"/>
    <m/>
    <m/>
    <m/>
    <m/>
    <n v="0"/>
    <m/>
    <m/>
    <m/>
    <n v="0"/>
    <m/>
    <m/>
    <m/>
    <n v="0"/>
    <n v="1"/>
    <n v="1"/>
    <m/>
    <m/>
    <n v="2"/>
    <m/>
    <m/>
    <m/>
    <m/>
    <m/>
    <m/>
    <m/>
    <n v="0"/>
    <m/>
    <m/>
    <s v="20140828 KShippen"/>
    <s v="20140830CSewright"/>
    <s v="FW_Scan_20140828.pdf"/>
    <n v="0"/>
    <n v="0"/>
    <n v="0"/>
    <n v="0"/>
    <n v="0"/>
    <n v="0"/>
    <n v="0"/>
    <n v="0"/>
    <n v="0"/>
    <n v="0"/>
    <n v="0"/>
    <n v="0"/>
    <n v="0"/>
    <n v="0"/>
    <n v="0"/>
    <n v="0"/>
    <n v="1"/>
    <n v="1"/>
    <n v="0"/>
    <n v="0"/>
  </r>
  <r>
    <x v="84"/>
    <x v="0"/>
    <s v="as,lg,ks,csw"/>
    <d v="1899-12-30T10:34:00"/>
    <d v="1899-12-30T15:24:00"/>
    <n v="56"/>
    <n v="10"/>
    <m/>
    <n v="66.099999999999994"/>
    <n v="290.00000000000011"/>
    <m/>
    <m/>
    <m/>
    <n v="0"/>
    <m/>
    <m/>
    <m/>
    <n v="0"/>
    <m/>
    <m/>
    <m/>
    <m/>
    <n v="0"/>
    <m/>
    <m/>
    <m/>
    <n v="0"/>
    <m/>
    <n v="1"/>
    <m/>
    <n v="1"/>
    <m/>
    <m/>
    <m/>
    <m/>
    <n v="0"/>
    <m/>
    <m/>
    <m/>
    <m/>
    <m/>
    <m/>
    <m/>
    <n v="0"/>
    <s v="moved fishwheel in ~3 ft prior to shift"/>
    <m/>
    <s v="20140829 CSewright"/>
    <s v="20140830CSewright"/>
    <s v="FW_Scan_20140829.pdf"/>
    <n v="0"/>
    <n v="0"/>
    <n v="0"/>
    <n v="0"/>
    <n v="0"/>
    <n v="0"/>
    <n v="0"/>
    <n v="0"/>
    <n v="0"/>
    <n v="0"/>
    <n v="0"/>
    <n v="0"/>
    <n v="0"/>
    <n v="0"/>
    <n v="1"/>
    <n v="0"/>
    <n v="0"/>
    <n v="0"/>
    <n v="0"/>
    <n v="0"/>
  </r>
  <r>
    <x v="84"/>
    <x v="0"/>
    <s v="csw,jk,nc,jb,qb"/>
    <d v="1899-12-30T15:24:00"/>
    <d v="1899-12-30T21:04:00"/>
    <n v="56"/>
    <n v="9"/>
    <m/>
    <m/>
    <n v="339.99999999999989"/>
    <m/>
    <m/>
    <m/>
    <n v="0"/>
    <m/>
    <m/>
    <m/>
    <n v="0"/>
    <m/>
    <m/>
    <m/>
    <m/>
    <n v="0"/>
    <n v="1"/>
    <m/>
    <m/>
    <n v="1"/>
    <m/>
    <n v="2"/>
    <m/>
    <n v="2"/>
    <n v="1"/>
    <m/>
    <m/>
    <m/>
    <n v="1"/>
    <m/>
    <m/>
    <m/>
    <m/>
    <m/>
    <m/>
    <m/>
    <n v="0"/>
    <m/>
    <m/>
    <s v="20140829 QBerger"/>
    <s v="20140830CSewright"/>
    <s v="FW_Scan_20140829.pdf"/>
    <n v="0"/>
    <n v="0"/>
    <n v="0"/>
    <n v="0"/>
    <n v="0"/>
    <n v="0"/>
    <n v="0"/>
    <n v="0"/>
    <n v="0"/>
    <n v="0"/>
    <n v="1"/>
    <n v="0"/>
    <n v="0"/>
    <n v="0"/>
    <n v="2"/>
    <n v="0"/>
    <n v="1"/>
    <n v="0"/>
    <n v="0"/>
    <n v="0"/>
  </r>
  <r>
    <x v="84"/>
    <x v="2"/>
    <s v="as,ks,lg"/>
    <d v="1899-12-30T10:10:00"/>
    <d v="1899-12-30T15:14:00"/>
    <n v="33"/>
    <n v="9.5"/>
    <m/>
    <m/>
    <n v="304"/>
    <m/>
    <m/>
    <m/>
    <n v="0"/>
    <m/>
    <m/>
    <m/>
    <n v="0"/>
    <m/>
    <m/>
    <m/>
    <m/>
    <n v="0"/>
    <m/>
    <m/>
    <m/>
    <n v="0"/>
    <m/>
    <m/>
    <m/>
    <n v="0"/>
    <m/>
    <m/>
    <m/>
    <m/>
    <n v="0"/>
    <m/>
    <m/>
    <m/>
    <m/>
    <m/>
    <m/>
    <m/>
    <n v="0"/>
    <s v="Moved Fwin ~1 ft prior to shift"/>
    <m/>
    <s v="20140829 CSewright"/>
    <s v="20140830CSewright"/>
    <s v="FW_Scan_20140829.pdf"/>
    <n v="0"/>
    <n v="0"/>
    <n v="0"/>
    <n v="0"/>
    <n v="0"/>
    <n v="0"/>
    <n v="0"/>
    <n v="0"/>
    <n v="0"/>
    <n v="0"/>
    <n v="0"/>
    <n v="0"/>
    <n v="0"/>
    <n v="0"/>
    <n v="0"/>
    <n v="0"/>
    <n v="0"/>
    <n v="0"/>
    <n v="0"/>
    <n v="0"/>
  </r>
  <r>
    <x v="84"/>
    <x v="2"/>
    <s v="qb,jbe,jk,nc,csw"/>
    <d v="1899-12-30T15:14:00"/>
    <d v="1899-12-30T20:43:00"/>
    <n v="32"/>
    <n v="9"/>
    <m/>
    <m/>
    <n v="328.99999999999994"/>
    <m/>
    <m/>
    <m/>
    <n v="0"/>
    <m/>
    <m/>
    <m/>
    <n v="0"/>
    <m/>
    <m/>
    <m/>
    <m/>
    <n v="0"/>
    <m/>
    <m/>
    <m/>
    <n v="0"/>
    <m/>
    <n v="4"/>
    <m/>
    <n v="4"/>
    <m/>
    <m/>
    <m/>
    <m/>
    <n v="0"/>
    <m/>
    <m/>
    <m/>
    <m/>
    <m/>
    <m/>
    <m/>
    <n v="0"/>
    <m/>
    <m/>
    <s v="20140829 JBerry"/>
    <s v="20140830CSewright"/>
    <s v="FW_Scan_20140829.pdf"/>
    <n v="0"/>
    <n v="0"/>
    <n v="0"/>
    <n v="0"/>
    <n v="0"/>
    <n v="0"/>
    <n v="0"/>
    <n v="0"/>
    <n v="0"/>
    <n v="0"/>
    <n v="0"/>
    <n v="0"/>
    <n v="0"/>
    <n v="0"/>
    <n v="4"/>
    <n v="0"/>
    <n v="0"/>
    <n v="0"/>
    <n v="0"/>
    <n v="0"/>
  </r>
  <r>
    <x v="84"/>
    <x v="1"/>
    <s v="csw,nc"/>
    <d v="1899-12-30T08:04:00"/>
    <d v="1899-12-30T15:39:00"/>
    <n v="39"/>
    <n v="9.5"/>
    <m/>
    <m/>
    <n v="455.00000000000006"/>
    <m/>
    <m/>
    <m/>
    <n v="0"/>
    <m/>
    <m/>
    <m/>
    <n v="0"/>
    <m/>
    <m/>
    <m/>
    <m/>
    <n v="0"/>
    <m/>
    <m/>
    <m/>
    <n v="0"/>
    <m/>
    <n v="2"/>
    <m/>
    <n v="2"/>
    <m/>
    <m/>
    <m/>
    <m/>
    <n v="0"/>
    <m/>
    <m/>
    <m/>
    <m/>
    <m/>
    <m/>
    <m/>
    <n v="0"/>
    <m/>
    <m/>
    <s v="20140829 CSewright"/>
    <s v="20140830CSewright"/>
    <s v="FW_Scan_20140829.pdf"/>
    <n v="0"/>
    <n v="0"/>
    <n v="0"/>
    <n v="0"/>
    <n v="0"/>
    <n v="0"/>
    <n v="0"/>
    <n v="0"/>
    <n v="0"/>
    <n v="0"/>
    <n v="0"/>
    <n v="0"/>
    <n v="0"/>
    <n v="0"/>
    <n v="2"/>
    <n v="0"/>
    <n v="0"/>
    <n v="0"/>
    <n v="0"/>
    <n v="0"/>
  </r>
  <r>
    <x v="84"/>
    <x v="1"/>
    <s v="csw,nc,jk"/>
    <d v="1899-12-30T15:39:00"/>
    <d v="1899-12-30T19:52:00"/>
    <n v="39"/>
    <n v="9"/>
    <m/>
    <m/>
    <n v="253.00000000000006"/>
    <m/>
    <m/>
    <m/>
    <n v="0"/>
    <m/>
    <m/>
    <m/>
    <n v="0"/>
    <m/>
    <m/>
    <m/>
    <n v="1"/>
    <n v="1"/>
    <m/>
    <m/>
    <m/>
    <n v="0"/>
    <m/>
    <n v="1"/>
    <m/>
    <n v="1"/>
    <n v="1"/>
    <m/>
    <m/>
    <m/>
    <n v="1"/>
    <m/>
    <m/>
    <m/>
    <m/>
    <m/>
    <m/>
    <m/>
    <n v="0"/>
    <m/>
    <m/>
    <s v="20140829 CSewright"/>
    <s v="20140830CSewright"/>
    <s v="FW_Scan_20140829.pdf"/>
    <n v="0"/>
    <n v="0"/>
    <n v="0"/>
    <n v="0"/>
    <n v="0"/>
    <n v="0"/>
    <n v="0"/>
    <n v="0"/>
    <n v="0"/>
    <n v="1"/>
    <n v="0"/>
    <n v="0"/>
    <n v="0"/>
    <n v="0"/>
    <n v="1"/>
    <n v="0"/>
    <n v="1"/>
    <n v="0"/>
    <n v="0"/>
    <n v="0"/>
  </r>
  <r>
    <x v="84"/>
    <x v="1"/>
    <s v="qb, jbe"/>
    <d v="1899-12-30T19:52:00"/>
    <d v="1899-12-30T20:15:00"/>
    <n v="38"/>
    <n v="9"/>
    <m/>
    <m/>
    <n v="22.999999999999918"/>
    <m/>
    <m/>
    <m/>
    <n v="0"/>
    <m/>
    <m/>
    <m/>
    <n v="0"/>
    <m/>
    <m/>
    <m/>
    <m/>
    <n v="0"/>
    <m/>
    <m/>
    <m/>
    <n v="0"/>
    <m/>
    <m/>
    <m/>
    <n v="0"/>
    <n v="2"/>
    <m/>
    <m/>
    <m/>
    <n v="2"/>
    <n v="1"/>
    <m/>
    <m/>
    <m/>
    <m/>
    <m/>
    <m/>
    <n v="1"/>
    <s v="large hole in portside of basket.  Needs to be mended."/>
    <m/>
    <s v="20140829 QBerger"/>
    <s v="20140830CSewright"/>
    <s v="FW_Scan_20140829.pdf"/>
    <n v="0"/>
    <n v="0"/>
    <n v="0"/>
    <n v="0"/>
    <n v="0"/>
    <n v="0"/>
    <n v="0"/>
    <n v="0"/>
    <n v="0"/>
    <n v="0"/>
    <n v="0"/>
    <n v="0"/>
    <n v="0"/>
    <n v="0"/>
    <n v="0"/>
    <n v="0"/>
    <n v="2"/>
    <n v="0"/>
    <n v="0"/>
    <n v="0"/>
  </r>
  <r>
    <x v="85"/>
    <x v="0"/>
    <s v="qb,lg, csw,nc"/>
    <d v="1899-12-30T10:22:00"/>
    <d v="1899-12-30T20:18:00"/>
    <n v="54"/>
    <n v="8"/>
    <m/>
    <m/>
    <n v="596"/>
    <m/>
    <m/>
    <m/>
    <n v="0"/>
    <m/>
    <m/>
    <m/>
    <n v="0"/>
    <n v="1"/>
    <m/>
    <m/>
    <m/>
    <n v="1"/>
    <m/>
    <n v="1"/>
    <m/>
    <n v="1"/>
    <m/>
    <n v="4"/>
    <m/>
    <n v="4"/>
    <n v="2"/>
    <m/>
    <n v="1"/>
    <m/>
    <n v="3"/>
    <m/>
    <m/>
    <m/>
    <m/>
    <m/>
    <m/>
    <m/>
    <n v="0"/>
    <m/>
    <m/>
    <s v="20140830 QBerger"/>
    <s v="20140831 LGasek"/>
    <s v="FW_Scan_20140830.pdf"/>
    <n v="0"/>
    <n v="0"/>
    <n v="0"/>
    <n v="0"/>
    <n v="0"/>
    <n v="0"/>
    <n v="1"/>
    <n v="0"/>
    <n v="0"/>
    <n v="0"/>
    <n v="0"/>
    <n v="1"/>
    <n v="0"/>
    <n v="0"/>
    <n v="4"/>
    <n v="0"/>
    <n v="2"/>
    <n v="0"/>
    <n v="1"/>
    <n v="0"/>
  </r>
  <r>
    <x v="85"/>
    <x v="2"/>
    <s v="qb,lg, csw,nc"/>
    <d v="1899-12-30T10:10:00"/>
    <d v="1899-12-30T20:00:00"/>
    <n v="34"/>
    <n v="8"/>
    <m/>
    <m/>
    <n v="590"/>
    <m/>
    <m/>
    <m/>
    <n v="0"/>
    <m/>
    <m/>
    <m/>
    <n v="0"/>
    <m/>
    <m/>
    <m/>
    <m/>
    <n v="0"/>
    <m/>
    <m/>
    <m/>
    <n v="0"/>
    <m/>
    <n v="2"/>
    <m/>
    <n v="2"/>
    <n v="1"/>
    <m/>
    <m/>
    <m/>
    <n v="1"/>
    <m/>
    <m/>
    <m/>
    <m/>
    <m/>
    <m/>
    <m/>
    <n v="0"/>
    <s v="emptied pontoon from 19:30-20:00"/>
    <m/>
    <s v="20140830 LGasek"/>
    <s v="20140831 LGasek"/>
    <s v="FW_Scan_20140830.pdf"/>
    <n v="0"/>
    <n v="0"/>
    <n v="0"/>
    <n v="0"/>
    <n v="0"/>
    <n v="0"/>
    <n v="0"/>
    <n v="0"/>
    <n v="0"/>
    <n v="0"/>
    <n v="0"/>
    <n v="0"/>
    <n v="0"/>
    <n v="0"/>
    <n v="2"/>
    <n v="0"/>
    <n v="1"/>
    <n v="0"/>
    <n v="0"/>
    <n v="0"/>
  </r>
  <r>
    <x v="85"/>
    <x v="1"/>
    <s v="qb,lg "/>
    <d v="1899-12-30T10:48:00"/>
    <d v="1899-12-30T20:45:00"/>
    <n v="39"/>
    <n v="8.5"/>
    <m/>
    <m/>
    <n v="597.00000000000011"/>
    <m/>
    <m/>
    <m/>
    <n v="0"/>
    <m/>
    <m/>
    <m/>
    <n v="0"/>
    <m/>
    <m/>
    <m/>
    <m/>
    <n v="0"/>
    <m/>
    <m/>
    <m/>
    <n v="0"/>
    <m/>
    <n v="2"/>
    <m/>
    <n v="2"/>
    <n v="1"/>
    <m/>
    <m/>
    <m/>
    <n v="1"/>
    <m/>
    <m/>
    <m/>
    <m/>
    <m/>
    <m/>
    <m/>
    <n v="0"/>
    <s v="mended holes in baskets priort to starting wheel"/>
    <m/>
    <s v="20140830 LGasek"/>
    <s v="20140831 LGasek"/>
    <s v="FW_Scan_20140830.pdf"/>
    <n v="0"/>
    <n v="0"/>
    <n v="0"/>
    <n v="0"/>
    <n v="0"/>
    <n v="0"/>
    <n v="0"/>
    <n v="0"/>
    <n v="0"/>
    <n v="0"/>
    <n v="0"/>
    <n v="0"/>
    <n v="0"/>
    <n v="0"/>
    <n v="2"/>
    <n v="0"/>
    <n v="1"/>
    <n v="0"/>
    <n v="0"/>
    <n v="0"/>
  </r>
  <r>
    <x v="86"/>
    <x v="0"/>
    <s v="csw,nc,lg,qb"/>
    <d v="1899-12-30T10:00:00"/>
    <d v="1899-12-30T14:37:00"/>
    <n v="55"/>
    <n v="8"/>
    <m/>
    <n v="59.6"/>
    <n v="277"/>
    <m/>
    <m/>
    <m/>
    <n v="0"/>
    <m/>
    <m/>
    <m/>
    <n v="0"/>
    <m/>
    <m/>
    <m/>
    <n v="1"/>
    <n v="1"/>
    <m/>
    <m/>
    <m/>
    <n v="0"/>
    <m/>
    <m/>
    <m/>
    <n v="0"/>
    <m/>
    <m/>
    <m/>
    <m/>
    <n v="0"/>
    <m/>
    <m/>
    <m/>
    <m/>
    <m/>
    <m/>
    <m/>
    <n v="0"/>
    <m/>
    <m/>
    <s v="20140831 LGasek"/>
    <s v="20140901 LGasek"/>
    <s v="FW_Scan_20140831.pdf"/>
    <n v="0"/>
    <n v="0"/>
    <n v="0"/>
    <n v="0"/>
    <n v="0"/>
    <n v="0"/>
    <n v="0"/>
    <n v="0"/>
    <n v="0"/>
    <n v="1"/>
    <n v="0"/>
    <n v="0"/>
    <n v="0"/>
    <n v="0"/>
    <n v="0"/>
    <n v="0"/>
    <n v="0"/>
    <n v="0"/>
    <n v="0"/>
    <n v="0"/>
  </r>
  <r>
    <x v="86"/>
    <x v="0"/>
    <s v="qb,lg,as"/>
    <d v="1899-12-30T14:37:00"/>
    <d v="1899-12-30T17:00:00"/>
    <n v="56"/>
    <n v="9"/>
    <m/>
    <m/>
    <n v="142.99999999999997"/>
    <m/>
    <m/>
    <m/>
    <n v="0"/>
    <m/>
    <m/>
    <m/>
    <n v="0"/>
    <m/>
    <m/>
    <m/>
    <m/>
    <n v="0"/>
    <m/>
    <m/>
    <m/>
    <n v="0"/>
    <m/>
    <n v="4"/>
    <m/>
    <n v="4"/>
    <m/>
    <n v="1"/>
    <m/>
    <n v="1"/>
    <n v="2"/>
    <m/>
    <m/>
    <m/>
    <m/>
    <m/>
    <m/>
    <m/>
    <n v="0"/>
    <m/>
    <m/>
    <s v="20140831 AStephens"/>
    <s v="20140901 LGasek"/>
    <s v="FW_Scan_20140831.pdf"/>
    <n v="0"/>
    <n v="0"/>
    <n v="0"/>
    <n v="0"/>
    <n v="0"/>
    <n v="0"/>
    <n v="0"/>
    <n v="0"/>
    <n v="0"/>
    <n v="0"/>
    <n v="0"/>
    <n v="0"/>
    <n v="0"/>
    <n v="0"/>
    <n v="4"/>
    <n v="0"/>
    <n v="0"/>
    <n v="1"/>
    <n v="0"/>
    <n v="1"/>
  </r>
  <r>
    <x v="86"/>
    <x v="0"/>
    <s v="lg,qb"/>
    <d v="1899-12-30T17:00:00"/>
    <d v="1899-12-30T19:22:00"/>
    <n v="58"/>
    <n v="9"/>
    <m/>
    <m/>
    <n v="141.99999999999997"/>
    <m/>
    <m/>
    <m/>
    <n v="0"/>
    <m/>
    <m/>
    <m/>
    <n v="0"/>
    <m/>
    <m/>
    <m/>
    <m/>
    <n v="0"/>
    <m/>
    <m/>
    <m/>
    <n v="0"/>
    <m/>
    <n v="1"/>
    <m/>
    <n v="1"/>
    <m/>
    <m/>
    <m/>
    <m/>
    <n v="0"/>
    <n v="1"/>
    <m/>
    <m/>
    <m/>
    <m/>
    <m/>
    <m/>
    <n v="1"/>
    <m/>
    <m/>
    <s v="20140831 LGasek"/>
    <s v="20140901 LGasek"/>
    <s v="FW_Scan_20140831.pdf"/>
    <n v="0"/>
    <n v="0"/>
    <n v="0"/>
    <n v="0"/>
    <n v="0"/>
    <n v="0"/>
    <n v="0"/>
    <n v="0"/>
    <n v="0"/>
    <n v="0"/>
    <n v="0"/>
    <n v="0"/>
    <n v="0"/>
    <n v="0"/>
    <n v="1"/>
    <n v="0"/>
    <n v="0"/>
    <n v="0"/>
    <n v="0"/>
    <n v="0"/>
  </r>
  <r>
    <x v="86"/>
    <x v="2"/>
    <s v="nc,csw,lg,qb"/>
    <d v="1899-12-30T09:48:00"/>
    <d v="1899-12-30T14:00:00"/>
    <n v="32"/>
    <n v="7"/>
    <m/>
    <m/>
    <n v="251.99999999999994"/>
    <m/>
    <m/>
    <m/>
    <n v="0"/>
    <m/>
    <m/>
    <m/>
    <n v="0"/>
    <m/>
    <m/>
    <m/>
    <m/>
    <n v="0"/>
    <m/>
    <m/>
    <m/>
    <n v="0"/>
    <m/>
    <n v="1"/>
    <m/>
    <n v="1"/>
    <m/>
    <m/>
    <m/>
    <m/>
    <n v="0"/>
    <m/>
    <m/>
    <m/>
    <m/>
    <m/>
    <m/>
    <m/>
    <n v="0"/>
    <m/>
    <m/>
    <s v="20140831 LGasek"/>
    <s v="20140901 LGasek"/>
    <s v="FW_Scan_20140831.pdf"/>
    <n v="0"/>
    <n v="0"/>
    <n v="0"/>
    <n v="0"/>
    <n v="0"/>
    <n v="0"/>
    <n v="0"/>
    <n v="0"/>
    <n v="0"/>
    <n v="0"/>
    <n v="0"/>
    <n v="0"/>
    <n v="0"/>
    <n v="0"/>
    <n v="1"/>
    <n v="0"/>
    <n v="0"/>
    <n v="0"/>
    <n v="0"/>
    <n v="0"/>
  </r>
  <r>
    <x v="86"/>
    <x v="2"/>
    <s v="qb,lg,as"/>
    <d v="1899-12-30T14:00:00"/>
    <d v="1899-12-30T16:45:00"/>
    <n v="35"/>
    <n v="8"/>
    <m/>
    <m/>
    <n v="164.99999999999989"/>
    <m/>
    <m/>
    <m/>
    <n v="0"/>
    <m/>
    <m/>
    <m/>
    <n v="0"/>
    <m/>
    <m/>
    <m/>
    <m/>
    <n v="0"/>
    <m/>
    <m/>
    <m/>
    <n v="0"/>
    <m/>
    <n v="4"/>
    <m/>
    <n v="4"/>
    <m/>
    <m/>
    <m/>
    <m/>
    <n v="0"/>
    <m/>
    <m/>
    <m/>
    <m/>
    <m/>
    <m/>
    <m/>
    <n v="0"/>
    <m/>
    <m/>
    <s v="20140831 LGasek"/>
    <s v="20140901 LGasek"/>
    <s v="FW_Scan_20140831.pdf"/>
    <n v="0"/>
    <n v="0"/>
    <n v="0"/>
    <n v="0"/>
    <n v="0"/>
    <n v="0"/>
    <n v="0"/>
    <n v="0"/>
    <n v="0"/>
    <n v="0"/>
    <n v="0"/>
    <n v="0"/>
    <n v="0"/>
    <n v="0"/>
    <n v="4"/>
    <n v="0"/>
    <n v="0"/>
    <n v="0"/>
    <n v="0"/>
    <n v="0"/>
  </r>
  <r>
    <x v="86"/>
    <x v="2"/>
    <s v="lg,qb"/>
    <d v="1899-12-30T16:45:00"/>
    <d v="1899-12-30T19:04:00"/>
    <n v="36"/>
    <n v="9"/>
    <m/>
    <m/>
    <n v="139"/>
    <m/>
    <m/>
    <m/>
    <n v="0"/>
    <m/>
    <m/>
    <m/>
    <n v="0"/>
    <m/>
    <m/>
    <m/>
    <m/>
    <n v="0"/>
    <m/>
    <m/>
    <m/>
    <n v="0"/>
    <m/>
    <n v="2"/>
    <m/>
    <n v="2"/>
    <m/>
    <n v="1"/>
    <m/>
    <m/>
    <n v="1"/>
    <m/>
    <m/>
    <m/>
    <m/>
    <m/>
    <m/>
    <m/>
    <n v="0"/>
    <m/>
    <m/>
    <s v="20140831 LGasek"/>
    <s v="20140901 LGasek"/>
    <s v="FW_Scan_20140831.pdf"/>
    <n v="0"/>
    <n v="0"/>
    <n v="0"/>
    <n v="0"/>
    <n v="0"/>
    <n v="0"/>
    <n v="0"/>
    <n v="0"/>
    <n v="0"/>
    <n v="0"/>
    <n v="0"/>
    <n v="0"/>
    <n v="0"/>
    <n v="0"/>
    <n v="2"/>
    <n v="0"/>
    <n v="0"/>
    <n v="1"/>
    <n v="0"/>
    <n v="0"/>
  </r>
  <r>
    <x v="86"/>
    <x v="1"/>
    <s v="qb,lg"/>
    <d v="1899-12-30T09:54:00"/>
    <d v="1899-12-30T14:30:00"/>
    <n v="40"/>
    <n v="7"/>
    <m/>
    <m/>
    <n v="275.99999999999989"/>
    <m/>
    <m/>
    <m/>
    <n v="0"/>
    <m/>
    <m/>
    <m/>
    <n v="0"/>
    <m/>
    <m/>
    <m/>
    <m/>
    <n v="0"/>
    <m/>
    <m/>
    <m/>
    <n v="0"/>
    <m/>
    <m/>
    <m/>
    <n v="0"/>
    <m/>
    <m/>
    <m/>
    <m/>
    <n v="0"/>
    <m/>
    <m/>
    <n v="1"/>
    <m/>
    <m/>
    <m/>
    <m/>
    <n v="1"/>
    <m/>
    <m/>
    <s v="20140831 LGasek"/>
    <s v="20140901 LGasek"/>
    <s v="FW_Scan_20140831.pdf"/>
    <n v="0"/>
    <n v="0"/>
    <n v="0"/>
    <n v="0"/>
    <n v="0"/>
    <n v="0"/>
    <n v="0"/>
    <n v="0"/>
    <n v="0"/>
    <n v="0"/>
    <n v="0"/>
    <n v="0"/>
    <n v="0"/>
    <n v="0"/>
    <n v="0"/>
    <n v="0"/>
    <n v="0"/>
    <n v="0"/>
    <n v="0"/>
    <n v="0"/>
  </r>
  <r>
    <x v="86"/>
    <x v="1"/>
    <s v="qb,lg,as"/>
    <d v="1899-12-30T14:30:00"/>
    <d v="1899-12-30T17:30:00"/>
    <n v="42"/>
    <n v="8"/>
    <m/>
    <m/>
    <n v="180"/>
    <m/>
    <m/>
    <m/>
    <n v="0"/>
    <m/>
    <m/>
    <m/>
    <n v="0"/>
    <m/>
    <m/>
    <m/>
    <m/>
    <n v="0"/>
    <m/>
    <m/>
    <m/>
    <n v="0"/>
    <m/>
    <n v="1"/>
    <m/>
    <n v="1"/>
    <n v="2"/>
    <m/>
    <m/>
    <m/>
    <n v="2"/>
    <m/>
    <m/>
    <m/>
    <m/>
    <m/>
    <m/>
    <m/>
    <n v="0"/>
    <m/>
    <s v="CM not tagged.  Mort post spawn."/>
    <s v="20140831 LGasek"/>
    <s v="20140901 LGasek"/>
    <s v="FW_Scan_20140831.pdf"/>
    <n v="0"/>
    <n v="0"/>
    <n v="0"/>
    <n v="0"/>
    <n v="0"/>
    <n v="0"/>
    <n v="0"/>
    <n v="0"/>
    <n v="0"/>
    <n v="0"/>
    <n v="0"/>
    <n v="0"/>
    <n v="0"/>
    <n v="0"/>
    <n v="1"/>
    <n v="0"/>
    <n v="2"/>
    <n v="0"/>
    <n v="0"/>
    <n v="0"/>
  </r>
  <r>
    <x v="86"/>
    <x v="1"/>
    <s v="lg,qb"/>
    <d v="1899-12-30T17:30:00"/>
    <d v="1899-12-30T19:40:00"/>
    <n v="43"/>
    <n v="9"/>
    <m/>
    <m/>
    <n v="130.00000000000017"/>
    <m/>
    <m/>
    <m/>
    <n v="0"/>
    <m/>
    <m/>
    <m/>
    <n v="0"/>
    <m/>
    <m/>
    <m/>
    <m/>
    <n v="0"/>
    <m/>
    <m/>
    <m/>
    <n v="0"/>
    <m/>
    <m/>
    <m/>
    <n v="0"/>
    <m/>
    <m/>
    <m/>
    <m/>
    <n v="0"/>
    <m/>
    <m/>
    <m/>
    <m/>
    <m/>
    <m/>
    <m/>
    <n v="0"/>
    <m/>
    <s v="no Fish"/>
    <s v="20140831 LGasek"/>
    <s v="20140901 LGasek"/>
    <s v="FW_Scan_20140831.pdf"/>
    <n v="0"/>
    <n v="0"/>
    <n v="0"/>
    <n v="0"/>
    <n v="0"/>
    <n v="0"/>
    <n v="0"/>
    <n v="0"/>
    <n v="0"/>
    <n v="0"/>
    <n v="0"/>
    <n v="0"/>
    <n v="0"/>
    <n v="0"/>
    <n v="0"/>
    <n v="0"/>
    <n v="0"/>
    <n v="0"/>
    <n v="0"/>
    <n v="0"/>
  </r>
  <r>
    <x v="87"/>
    <x v="0"/>
    <s v="qb,lg,csw,nc"/>
    <d v="1899-12-30T10:14:00"/>
    <d v="1899-12-30T14:00:00"/>
    <n v="67"/>
    <n v="7"/>
    <m/>
    <m/>
    <n v="226.00000000000009"/>
    <m/>
    <m/>
    <m/>
    <n v="0"/>
    <m/>
    <m/>
    <m/>
    <n v="0"/>
    <m/>
    <m/>
    <m/>
    <m/>
    <n v="0"/>
    <m/>
    <m/>
    <m/>
    <n v="0"/>
    <m/>
    <n v="1"/>
    <m/>
    <n v="1"/>
    <n v="1"/>
    <m/>
    <m/>
    <m/>
    <n v="1"/>
    <m/>
    <m/>
    <m/>
    <m/>
    <m/>
    <m/>
    <m/>
    <n v="0"/>
    <s v="moved FW out from shore ~4ft @12:00."/>
    <m/>
    <s v="20140901 LGasek"/>
    <s v="20140902 LGasek"/>
    <s v="FW_Scan_20140901.pdf"/>
    <n v="0"/>
    <n v="0"/>
    <n v="0"/>
    <n v="0"/>
    <n v="0"/>
    <n v="0"/>
    <n v="0"/>
    <n v="0"/>
    <n v="0"/>
    <n v="0"/>
    <n v="0"/>
    <n v="0"/>
    <n v="0"/>
    <n v="0"/>
    <n v="1"/>
    <n v="0"/>
    <n v="1"/>
    <n v="0"/>
    <n v="0"/>
    <n v="0"/>
  </r>
  <r>
    <x v="87"/>
    <x v="0"/>
    <s v="lg,qb,as"/>
    <d v="1899-12-30T14:00:00"/>
    <d v="1899-12-30T17:58:00"/>
    <n v="52"/>
    <n v="8"/>
    <m/>
    <m/>
    <n v="237.9999999999998"/>
    <m/>
    <m/>
    <m/>
    <n v="0"/>
    <m/>
    <m/>
    <m/>
    <n v="0"/>
    <m/>
    <m/>
    <m/>
    <m/>
    <n v="0"/>
    <m/>
    <m/>
    <m/>
    <n v="0"/>
    <m/>
    <m/>
    <m/>
    <n v="0"/>
    <m/>
    <m/>
    <m/>
    <m/>
    <n v="0"/>
    <m/>
    <m/>
    <m/>
    <m/>
    <m/>
    <m/>
    <m/>
    <n v="0"/>
    <s v="moved FW in 2 feet @ 18:40"/>
    <s v="no Fish"/>
    <s v="20140901 QBerger"/>
    <s v="20140902 LGasek"/>
    <s v="FW_Scan_20140901.pdf"/>
    <n v="0"/>
    <n v="0"/>
    <n v="0"/>
    <n v="0"/>
    <n v="0"/>
    <n v="0"/>
    <n v="0"/>
    <n v="0"/>
    <n v="0"/>
    <n v="0"/>
    <n v="0"/>
    <n v="0"/>
    <n v="0"/>
    <n v="0"/>
    <n v="0"/>
    <n v="0"/>
    <n v="0"/>
    <n v="0"/>
    <n v="0"/>
    <n v="0"/>
  </r>
  <r>
    <x v="87"/>
    <x v="0"/>
    <s v="lg,qb"/>
    <d v="1899-12-30T17:58:00"/>
    <d v="1899-12-30T19:57:00"/>
    <n v="51"/>
    <n v="8"/>
    <m/>
    <m/>
    <n v="119.00000000000006"/>
    <m/>
    <m/>
    <m/>
    <n v="0"/>
    <m/>
    <m/>
    <m/>
    <n v="0"/>
    <m/>
    <m/>
    <m/>
    <m/>
    <n v="0"/>
    <m/>
    <m/>
    <m/>
    <n v="0"/>
    <m/>
    <m/>
    <m/>
    <n v="0"/>
    <m/>
    <m/>
    <m/>
    <m/>
    <n v="0"/>
    <m/>
    <m/>
    <m/>
    <m/>
    <m/>
    <m/>
    <m/>
    <n v="0"/>
    <m/>
    <s v="no Fish"/>
    <s v="20140901 QBerger"/>
    <s v="20140902 LGasek"/>
    <s v="FW_Scan_20140901.pdf"/>
    <n v="0"/>
    <n v="0"/>
    <n v="0"/>
    <n v="0"/>
    <n v="0"/>
    <n v="0"/>
    <n v="0"/>
    <n v="0"/>
    <n v="0"/>
    <n v="0"/>
    <n v="0"/>
    <n v="0"/>
    <n v="0"/>
    <n v="0"/>
    <n v="0"/>
    <n v="0"/>
    <n v="0"/>
    <n v="0"/>
    <n v="0"/>
    <n v="0"/>
  </r>
  <r>
    <x v="87"/>
    <x v="2"/>
    <s v="nc,qb,csw,nc"/>
    <d v="1899-12-30T10:04:00"/>
    <d v="1899-12-30T14:04:00"/>
    <n v="36"/>
    <n v="7"/>
    <m/>
    <m/>
    <n v="240"/>
    <m/>
    <m/>
    <m/>
    <n v="0"/>
    <m/>
    <m/>
    <m/>
    <n v="0"/>
    <n v="1"/>
    <m/>
    <m/>
    <m/>
    <n v="1"/>
    <m/>
    <m/>
    <m/>
    <n v="0"/>
    <m/>
    <n v="2"/>
    <m/>
    <n v="2"/>
    <m/>
    <m/>
    <m/>
    <m/>
    <n v="0"/>
    <m/>
    <m/>
    <m/>
    <m/>
    <m/>
    <m/>
    <m/>
    <n v="0"/>
    <s v="FW moved out from shore 3 ft @ 11:30"/>
    <m/>
    <s v="20140901 QBerger"/>
    <s v="20140902 LGasek"/>
    <s v="FW_Scan_20140901.pdf"/>
    <n v="0"/>
    <n v="0"/>
    <n v="0"/>
    <n v="0"/>
    <n v="0"/>
    <n v="0"/>
    <n v="1"/>
    <n v="0"/>
    <n v="0"/>
    <n v="0"/>
    <n v="0"/>
    <n v="0"/>
    <n v="0"/>
    <n v="0"/>
    <n v="2"/>
    <n v="0"/>
    <n v="0"/>
    <n v="0"/>
    <n v="0"/>
    <n v="0"/>
  </r>
  <r>
    <x v="87"/>
    <x v="2"/>
    <s v="as, lg,qb"/>
    <d v="1899-12-30T14:04:00"/>
    <d v="1899-12-30T17:47:00"/>
    <n v="38"/>
    <n v="8"/>
    <m/>
    <m/>
    <n v="223"/>
    <m/>
    <m/>
    <m/>
    <n v="0"/>
    <m/>
    <m/>
    <m/>
    <n v="0"/>
    <m/>
    <m/>
    <m/>
    <m/>
    <n v="0"/>
    <m/>
    <m/>
    <m/>
    <n v="0"/>
    <m/>
    <n v="1"/>
    <m/>
    <n v="1"/>
    <m/>
    <m/>
    <m/>
    <m/>
    <n v="0"/>
    <m/>
    <m/>
    <m/>
    <m/>
    <m/>
    <m/>
    <m/>
    <n v="0"/>
    <m/>
    <m/>
    <s v="20140901 AStephens"/>
    <s v="20140902 LGasek"/>
    <s v="FW_Scan_20140901.pdf"/>
    <n v="0"/>
    <n v="0"/>
    <n v="0"/>
    <n v="0"/>
    <n v="0"/>
    <n v="0"/>
    <n v="0"/>
    <n v="0"/>
    <n v="0"/>
    <n v="0"/>
    <n v="0"/>
    <n v="0"/>
    <n v="0"/>
    <n v="0"/>
    <n v="1"/>
    <n v="0"/>
    <n v="0"/>
    <n v="0"/>
    <n v="0"/>
    <n v="0"/>
  </r>
  <r>
    <x v="87"/>
    <x v="2"/>
    <s v="lg,qb"/>
    <d v="1899-12-30T17:47:00"/>
    <d v="1899-12-30T19:06:00"/>
    <n v="36"/>
    <n v="8"/>
    <m/>
    <m/>
    <n v="79.000000000000043"/>
    <m/>
    <m/>
    <m/>
    <n v="0"/>
    <m/>
    <m/>
    <m/>
    <n v="0"/>
    <m/>
    <m/>
    <m/>
    <m/>
    <n v="0"/>
    <m/>
    <m/>
    <m/>
    <n v="0"/>
    <m/>
    <m/>
    <m/>
    <n v="0"/>
    <m/>
    <m/>
    <m/>
    <m/>
    <n v="0"/>
    <m/>
    <m/>
    <m/>
    <m/>
    <m/>
    <m/>
    <m/>
    <n v="0"/>
    <m/>
    <s v="no Fish"/>
    <s v="20140901 QBerger"/>
    <s v="20140902 LGasek"/>
    <s v="FW_Scan_20140901.pdf"/>
    <n v="0"/>
    <n v="0"/>
    <n v="0"/>
    <n v="0"/>
    <n v="0"/>
    <n v="0"/>
    <n v="0"/>
    <n v="0"/>
    <n v="0"/>
    <n v="0"/>
    <n v="0"/>
    <n v="0"/>
    <n v="0"/>
    <n v="0"/>
    <n v="0"/>
    <n v="0"/>
    <n v="0"/>
    <n v="0"/>
    <n v="0"/>
    <n v="0"/>
  </r>
  <r>
    <x v="87"/>
    <x v="1"/>
    <s v="lg,qb"/>
    <d v="1899-12-30T10:06:00"/>
    <d v="1899-12-30T14:00:00"/>
    <n v="45"/>
    <n v="7"/>
    <m/>
    <m/>
    <n v="234.00000000000006"/>
    <m/>
    <m/>
    <m/>
    <n v="0"/>
    <m/>
    <m/>
    <m/>
    <n v="0"/>
    <m/>
    <m/>
    <m/>
    <m/>
    <n v="0"/>
    <m/>
    <m/>
    <m/>
    <n v="0"/>
    <m/>
    <m/>
    <m/>
    <n v="0"/>
    <m/>
    <m/>
    <m/>
    <m/>
    <n v="0"/>
    <m/>
    <m/>
    <m/>
    <m/>
    <m/>
    <m/>
    <m/>
    <n v="0"/>
    <m/>
    <s v="no Fish"/>
    <s v="20140901 LGasek"/>
    <s v="20140902 LGasek"/>
    <s v="FW_Scan_20140901.pdf"/>
    <n v="0"/>
    <n v="0"/>
    <n v="0"/>
    <n v="0"/>
    <n v="0"/>
    <n v="0"/>
    <n v="0"/>
    <n v="0"/>
    <n v="0"/>
    <n v="0"/>
    <n v="0"/>
    <n v="0"/>
    <n v="0"/>
    <n v="0"/>
    <n v="0"/>
    <n v="0"/>
    <n v="0"/>
    <n v="0"/>
    <n v="0"/>
    <n v="0"/>
  </r>
  <r>
    <x v="87"/>
    <x v="1"/>
    <s v="qb,lg,as"/>
    <d v="1899-12-30T14:00:00"/>
    <d v="1899-12-30T18:11:00"/>
    <n v="43"/>
    <n v="7"/>
    <m/>
    <m/>
    <n v="250.99999999999991"/>
    <m/>
    <m/>
    <m/>
    <n v="0"/>
    <m/>
    <m/>
    <m/>
    <n v="0"/>
    <m/>
    <m/>
    <m/>
    <m/>
    <n v="0"/>
    <m/>
    <m/>
    <m/>
    <n v="0"/>
    <m/>
    <m/>
    <m/>
    <n v="0"/>
    <m/>
    <m/>
    <m/>
    <m/>
    <n v="0"/>
    <m/>
    <m/>
    <m/>
    <m/>
    <m/>
    <m/>
    <m/>
    <n v="0"/>
    <m/>
    <s v="no Fish"/>
    <s v="20140901 AStephens"/>
    <s v="20140902 LGasek"/>
    <s v="FW_Scan_20140901.pdf"/>
    <n v="0"/>
    <n v="0"/>
    <n v="0"/>
    <n v="0"/>
    <n v="0"/>
    <n v="0"/>
    <n v="0"/>
    <n v="0"/>
    <n v="0"/>
    <n v="0"/>
    <n v="0"/>
    <n v="0"/>
    <n v="0"/>
    <n v="0"/>
    <n v="0"/>
    <n v="0"/>
    <n v="0"/>
    <n v="0"/>
    <n v="0"/>
    <n v="0"/>
  </r>
  <r>
    <x v="87"/>
    <x v="1"/>
    <s v="lg,qb"/>
    <d v="1899-12-30T18:11:00"/>
    <d v="1899-12-30T19:40:00"/>
    <n v="44"/>
    <n v="7"/>
    <m/>
    <m/>
    <n v="89.000000000000171"/>
    <m/>
    <m/>
    <m/>
    <n v="0"/>
    <m/>
    <m/>
    <m/>
    <n v="0"/>
    <m/>
    <m/>
    <m/>
    <m/>
    <n v="0"/>
    <m/>
    <m/>
    <m/>
    <n v="0"/>
    <m/>
    <m/>
    <m/>
    <n v="0"/>
    <n v="1"/>
    <n v="1"/>
    <m/>
    <m/>
    <n v="2"/>
    <m/>
    <m/>
    <m/>
    <m/>
    <m/>
    <m/>
    <m/>
    <n v="0"/>
    <m/>
    <m/>
    <s v="20140901 QBerger"/>
    <s v="20140902 LGasek"/>
    <s v="FW_Scan_20140901.pdf"/>
    <n v="0"/>
    <n v="0"/>
    <n v="0"/>
    <n v="0"/>
    <n v="0"/>
    <n v="0"/>
    <n v="0"/>
    <n v="0"/>
    <n v="0"/>
    <n v="0"/>
    <n v="0"/>
    <n v="0"/>
    <n v="0"/>
    <n v="0"/>
    <n v="0"/>
    <n v="0"/>
    <n v="1"/>
    <n v="1"/>
    <n v="0"/>
    <n v="0"/>
  </r>
  <r>
    <x v="88"/>
    <x v="0"/>
    <s v="csw,qb,nc,lg"/>
    <d v="1899-12-30T10:14:00"/>
    <d v="1899-12-30T17:30:00"/>
    <n v="59"/>
    <n v="7"/>
    <m/>
    <n v="29.5"/>
    <n v="435.99999999999994"/>
    <m/>
    <m/>
    <m/>
    <n v="0"/>
    <m/>
    <m/>
    <m/>
    <n v="0"/>
    <m/>
    <m/>
    <m/>
    <m/>
    <n v="0"/>
    <m/>
    <m/>
    <m/>
    <n v="0"/>
    <m/>
    <m/>
    <m/>
    <n v="0"/>
    <m/>
    <m/>
    <m/>
    <m/>
    <n v="0"/>
    <m/>
    <m/>
    <m/>
    <m/>
    <m/>
    <m/>
    <m/>
    <n v="0"/>
    <m/>
    <s v="no Fish"/>
    <s v="20140902 CSewright"/>
    <s v="20140903 LGasek"/>
    <s v="FW_Scan_20140902.pdf"/>
    <n v="0"/>
    <n v="0"/>
    <n v="0"/>
    <n v="0"/>
    <n v="0"/>
    <n v="0"/>
    <n v="0"/>
    <n v="0"/>
    <n v="0"/>
    <n v="0"/>
    <n v="0"/>
    <n v="0"/>
    <n v="0"/>
    <n v="0"/>
    <n v="0"/>
    <n v="0"/>
    <n v="0"/>
    <n v="0"/>
    <n v="0"/>
    <n v="0"/>
  </r>
  <r>
    <x v="88"/>
    <x v="0"/>
    <s v="csw,qb"/>
    <d v="1899-12-30T17:30:00"/>
    <d v="1899-12-30T20:20:00"/>
    <n v="53"/>
    <n v="8"/>
    <m/>
    <m/>
    <n v="170.00000000000003"/>
    <m/>
    <m/>
    <m/>
    <n v="0"/>
    <m/>
    <m/>
    <m/>
    <n v="0"/>
    <m/>
    <m/>
    <m/>
    <m/>
    <n v="0"/>
    <m/>
    <m/>
    <m/>
    <n v="0"/>
    <m/>
    <m/>
    <m/>
    <n v="0"/>
    <m/>
    <m/>
    <m/>
    <m/>
    <n v="0"/>
    <m/>
    <m/>
    <m/>
    <m/>
    <m/>
    <m/>
    <m/>
    <n v="0"/>
    <m/>
    <s v="no Fish"/>
    <s v="20140902 CSewright"/>
    <s v="20140903 LGasek"/>
    <s v="FW_Scan_20140902.pdf"/>
    <n v="0"/>
    <n v="0"/>
    <n v="0"/>
    <n v="0"/>
    <n v="0"/>
    <n v="0"/>
    <n v="0"/>
    <n v="0"/>
    <n v="0"/>
    <n v="0"/>
    <n v="0"/>
    <n v="0"/>
    <n v="0"/>
    <n v="0"/>
    <n v="0"/>
    <n v="0"/>
    <n v="0"/>
    <n v="0"/>
    <n v="0"/>
    <n v="0"/>
  </r>
  <r>
    <x v="88"/>
    <x v="2"/>
    <s v="qb, csw,lg,nc"/>
    <d v="1899-12-30T10:04:00"/>
    <d v="1899-12-30T17:14:00"/>
    <n v="38"/>
    <n v="7"/>
    <m/>
    <m/>
    <n v="429.99999999999994"/>
    <m/>
    <m/>
    <m/>
    <n v="0"/>
    <m/>
    <m/>
    <m/>
    <n v="0"/>
    <m/>
    <m/>
    <m/>
    <m/>
    <n v="0"/>
    <m/>
    <m/>
    <m/>
    <n v="0"/>
    <m/>
    <n v="2"/>
    <m/>
    <n v="2"/>
    <m/>
    <m/>
    <m/>
    <m/>
    <n v="0"/>
    <m/>
    <m/>
    <m/>
    <m/>
    <m/>
    <m/>
    <m/>
    <n v="0"/>
    <m/>
    <m/>
    <s v="20140902 CSewright"/>
    <s v="20140903 LGasek"/>
    <s v="FW_Scan_20140902.pdf"/>
    <n v="0"/>
    <n v="0"/>
    <n v="0"/>
    <n v="0"/>
    <n v="0"/>
    <n v="0"/>
    <n v="0"/>
    <n v="0"/>
    <n v="0"/>
    <n v="0"/>
    <n v="0"/>
    <n v="0"/>
    <n v="0"/>
    <n v="0"/>
    <n v="2"/>
    <n v="0"/>
    <n v="0"/>
    <n v="0"/>
    <n v="0"/>
    <n v="0"/>
  </r>
  <r>
    <x v="88"/>
    <x v="2"/>
    <s v="csw,qb"/>
    <d v="1899-12-30T17:14:00"/>
    <d v="1899-12-30T20:07:00"/>
    <n v="35"/>
    <n v="8"/>
    <m/>
    <m/>
    <n v="173.00000000000003"/>
    <m/>
    <m/>
    <m/>
    <n v="0"/>
    <m/>
    <m/>
    <m/>
    <n v="0"/>
    <m/>
    <m/>
    <m/>
    <m/>
    <n v="0"/>
    <m/>
    <m/>
    <m/>
    <n v="0"/>
    <m/>
    <n v="1"/>
    <m/>
    <n v="1"/>
    <m/>
    <m/>
    <m/>
    <m/>
    <n v="0"/>
    <m/>
    <m/>
    <m/>
    <m/>
    <m/>
    <m/>
    <m/>
    <n v="0"/>
    <m/>
    <m/>
    <s v="20140902 CSewright"/>
    <s v="20140903 LGasek"/>
    <s v="FW_Scan_20140902.pdf"/>
    <n v="0"/>
    <n v="0"/>
    <n v="0"/>
    <n v="0"/>
    <n v="0"/>
    <n v="0"/>
    <n v="0"/>
    <n v="0"/>
    <n v="0"/>
    <n v="0"/>
    <n v="0"/>
    <n v="0"/>
    <n v="0"/>
    <n v="0"/>
    <n v="1"/>
    <n v="0"/>
    <n v="0"/>
    <n v="0"/>
    <n v="0"/>
    <n v="0"/>
  </r>
  <r>
    <x v="88"/>
    <x v="1"/>
    <s v="qb,csw"/>
    <d v="1899-12-30T10:06:00"/>
    <d v="1899-12-30T17:01:00"/>
    <n v="46"/>
    <n v="8"/>
    <m/>
    <m/>
    <n v="414.99999999999989"/>
    <m/>
    <m/>
    <m/>
    <n v="0"/>
    <m/>
    <m/>
    <m/>
    <n v="0"/>
    <m/>
    <m/>
    <m/>
    <m/>
    <n v="0"/>
    <m/>
    <m/>
    <m/>
    <n v="0"/>
    <m/>
    <n v="1"/>
    <m/>
    <n v="1"/>
    <m/>
    <m/>
    <m/>
    <m/>
    <n v="0"/>
    <m/>
    <m/>
    <m/>
    <m/>
    <m/>
    <m/>
    <m/>
    <n v="0"/>
    <s v="moved front spar pole out 2 ft.  Cleaned lead net"/>
    <m/>
    <s v="20140902 CSewright"/>
    <s v="20140903 LGasek"/>
    <s v="FW_Scan_20140902.pdf"/>
    <n v="0"/>
    <n v="0"/>
    <n v="0"/>
    <n v="0"/>
    <n v="0"/>
    <n v="0"/>
    <n v="0"/>
    <n v="0"/>
    <n v="0"/>
    <n v="0"/>
    <n v="0"/>
    <n v="0"/>
    <n v="0"/>
    <n v="0"/>
    <n v="1"/>
    <n v="0"/>
    <n v="0"/>
    <n v="0"/>
    <n v="0"/>
    <n v="0"/>
  </r>
  <r>
    <x v="88"/>
    <x v="1"/>
    <s v="csw,qb"/>
    <d v="1899-12-30T17:01:00"/>
    <d v="1899-12-30T19:54:00"/>
    <n v="41"/>
    <n v="8"/>
    <m/>
    <m/>
    <n v="173.00000000000003"/>
    <m/>
    <m/>
    <m/>
    <n v="0"/>
    <m/>
    <m/>
    <m/>
    <n v="0"/>
    <m/>
    <m/>
    <m/>
    <m/>
    <n v="0"/>
    <m/>
    <m/>
    <m/>
    <n v="0"/>
    <m/>
    <m/>
    <m/>
    <n v="0"/>
    <m/>
    <m/>
    <m/>
    <m/>
    <n v="0"/>
    <m/>
    <m/>
    <m/>
    <m/>
    <m/>
    <m/>
    <m/>
    <n v="0"/>
    <m/>
    <s v="no Fish"/>
    <s v="20140902 CSewright"/>
    <s v="20140903 LGasek"/>
    <s v="FW_Scan_20140902.pdf"/>
    <n v="0"/>
    <n v="0"/>
    <n v="0"/>
    <n v="0"/>
    <n v="0"/>
    <n v="0"/>
    <n v="0"/>
    <n v="0"/>
    <n v="0"/>
    <n v="0"/>
    <n v="0"/>
    <n v="0"/>
    <n v="0"/>
    <n v="0"/>
    <n v="0"/>
    <n v="0"/>
    <n v="0"/>
    <n v="0"/>
    <n v="0"/>
    <n v="0"/>
  </r>
  <r>
    <x v="89"/>
    <x v="0"/>
    <s v="qb, csw,lg,nc"/>
    <d v="1899-12-30T10:17:00"/>
    <d v="1899-12-30T14:27:00"/>
    <n v="39"/>
    <n v="6.5"/>
    <m/>
    <m/>
    <n v="249.99999999999997"/>
    <m/>
    <m/>
    <m/>
    <n v="0"/>
    <m/>
    <m/>
    <m/>
    <n v="0"/>
    <m/>
    <m/>
    <m/>
    <m/>
    <n v="0"/>
    <m/>
    <m/>
    <m/>
    <n v="0"/>
    <m/>
    <m/>
    <m/>
    <n v="0"/>
    <m/>
    <m/>
    <m/>
    <m/>
    <n v="0"/>
    <m/>
    <m/>
    <m/>
    <m/>
    <m/>
    <m/>
    <m/>
    <n v="0"/>
    <s v="moved wheel in about 3 feet @ 12:30"/>
    <s v="no Fish"/>
    <s v="20140903 CSewright"/>
    <s v="20140904 LGasek"/>
    <s v="FW_Scan_20140903.pdf"/>
    <n v="0"/>
    <n v="0"/>
    <n v="0"/>
    <n v="0"/>
    <n v="0"/>
    <n v="0"/>
    <n v="0"/>
    <n v="0"/>
    <n v="0"/>
    <n v="0"/>
    <n v="0"/>
    <n v="0"/>
    <n v="0"/>
    <n v="0"/>
    <n v="0"/>
    <n v="0"/>
    <n v="0"/>
    <n v="0"/>
    <n v="0"/>
    <n v="0"/>
  </r>
  <r>
    <x v="89"/>
    <x v="0"/>
    <s v="csw,nc"/>
    <d v="1899-12-30T14:27:00"/>
    <d v="1899-12-30T20:28:00"/>
    <n v="49"/>
    <n v="7"/>
    <m/>
    <m/>
    <n v="361"/>
    <m/>
    <m/>
    <m/>
    <n v="0"/>
    <m/>
    <m/>
    <m/>
    <n v="0"/>
    <m/>
    <m/>
    <m/>
    <m/>
    <n v="0"/>
    <m/>
    <m/>
    <m/>
    <n v="0"/>
    <m/>
    <m/>
    <m/>
    <n v="0"/>
    <n v="1"/>
    <m/>
    <m/>
    <m/>
    <n v="1"/>
    <m/>
    <m/>
    <m/>
    <m/>
    <m/>
    <m/>
    <m/>
    <n v="0"/>
    <m/>
    <m/>
    <s v="20140903 CSewright"/>
    <s v="20140904 LGasek"/>
    <s v="FW_Scan_20140903.pdf"/>
    <n v="0"/>
    <n v="0"/>
    <n v="0"/>
    <n v="0"/>
    <n v="0"/>
    <n v="0"/>
    <n v="0"/>
    <n v="0"/>
    <n v="0"/>
    <n v="0"/>
    <n v="0"/>
    <n v="0"/>
    <n v="0"/>
    <n v="0"/>
    <n v="0"/>
    <n v="0"/>
    <n v="1"/>
    <n v="0"/>
    <n v="0"/>
    <n v="0"/>
  </r>
  <r>
    <x v="89"/>
    <x v="2"/>
    <s v="qb, csw,lg,nc"/>
    <d v="1899-12-30T10:08:00"/>
    <d v="1899-12-30T14:17:00"/>
    <n v="30"/>
    <n v="6"/>
    <m/>
    <m/>
    <n v="249.00000000000003"/>
    <m/>
    <m/>
    <m/>
    <n v="0"/>
    <m/>
    <m/>
    <m/>
    <n v="0"/>
    <m/>
    <m/>
    <m/>
    <m/>
    <n v="0"/>
    <m/>
    <m/>
    <m/>
    <n v="0"/>
    <m/>
    <m/>
    <m/>
    <n v="0"/>
    <m/>
    <m/>
    <m/>
    <m/>
    <n v="0"/>
    <m/>
    <m/>
    <m/>
    <m/>
    <m/>
    <m/>
    <m/>
    <n v="0"/>
    <s v="moved wheel in 2 feet @ 12:50"/>
    <s v="No Fish"/>
    <s v="20140903 NCollin"/>
    <s v="20140904 LGasek"/>
    <s v="FW_Scan_20140903.pdf"/>
    <n v="0"/>
    <n v="0"/>
    <n v="0"/>
    <n v="0"/>
    <n v="0"/>
    <n v="0"/>
    <n v="0"/>
    <n v="0"/>
    <n v="0"/>
    <n v="0"/>
    <n v="0"/>
    <n v="0"/>
    <n v="0"/>
    <n v="0"/>
    <n v="0"/>
    <n v="0"/>
    <n v="0"/>
    <n v="0"/>
    <n v="0"/>
    <n v="0"/>
  </r>
  <r>
    <x v="89"/>
    <x v="2"/>
    <s v="csw,nc"/>
    <d v="1899-12-30T14:17:00"/>
    <d v="1899-12-30T20:36:00"/>
    <n v="33"/>
    <n v="8"/>
    <m/>
    <m/>
    <n v="379.00000000000011"/>
    <m/>
    <m/>
    <m/>
    <n v="0"/>
    <m/>
    <m/>
    <m/>
    <n v="0"/>
    <n v="1"/>
    <m/>
    <m/>
    <m/>
    <n v="1"/>
    <m/>
    <m/>
    <m/>
    <n v="0"/>
    <m/>
    <m/>
    <m/>
    <n v="0"/>
    <m/>
    <m/>
    <m/>
    <m/>
    <n v="0"/>
    <m/>
    <m/>
    <m/>
    <m/>
    <m/>
    <m/>
    <m/>
    <n v="0"/>
    <m/>
    <m/>
    <s v="20140903 NCollin"/>
    <s v="20140904 LGasek"/>
    <s v="FW_Scan_20140903.pdf"/>
    <n v="0"/>
    <n v="0"/>
    <n v="0"/>
    <n v="0"/>
    <n v="0"/>
    <n v="0"/>
    <n v="1"/>
    <n v="0"/>
    <n v="0"/>
    <n v="0"/>
    <n v="0"/>
    <n v="0"/>
    <n v="0"/>
    <n v="0"/>
    <n v="0"/>
    <n v="0"/>
    <n v="0"/>
    <n v="0"/>
    <n v="0"/>
    <n v="0"/>
  </r>
  <r>
    <x v="89"/>
    <x v="1"/>
    <s v="csw,nc"/>
    <d v="1899-12-30T10:17:00"/>
    <d v="1899-12-30T14:57:00"/>
    <n v="34"/>
    <n v="8"/>
    <m/>
    <m/>
    <n v="280.00000000000006"/>
    <m/>
    <m/>
    <m/>
    <n v="0"/>
    <m/>
    <m/>
    <m/>
    <n v="0"/>
    <m/>
    <m/>
    <m/>
    <m/>
    <n v="0"/>
    <m/>
    <m/>
    <m/>
    <n v="0"/>
    <m/>
    <m/>
    <m/>
    <n v="0"/>
    <m/>
    <m/>
    <m/>
    <m/>
    <n v="0"/>
    <m/>
    <m/>
    <m/>
    <m/>
    <m/>
    <m/>
    <m/>
    <n v="0"/>
    <m/>
    <s v="No Fish"/>
    <s v="20140903 CSewright"/>
    <s v="20140904 LGasek"/>
    <s v="FW_Scan_20140903.pdf"/>
    <n v="0"/>
    <n v="0"/>
    <n v="0"/>
    <n v="0"/>
    <n v="0"/>
    <n v="0"/>
    <n v="0"/>
    <n v="0"/>
    <n v="0"/>
    <n v="0"/>
    <n v="0"/>
    <n v="0"/>
    <n v="0"/>
    <n v="0"/>
    <n v="0"/>
    <n v="0"/>
    <n v="0"/>
    <n v="0"/>
    <n v="0"/>
    <n v="0"/>
  </r>
  <r>
    <x v="89"/>
    <x v="1"/>
    <s v="csw,nc"/>
    <d v="1899-12-30T14:57:00"/>
    <d v="1899-12-30T20:50:00"/>
    <n v="35"/>
    <n v="8"/>
    <m/>
    <m/>
    <n v="352.99999999999989"/>
    <m/>
    <m/>
    <m/>
    <n v="0"/>
    <m/>
    <m/>
    <m/>
    <n v="0"/>
    <m/>
    <m/>
    <m/>
    <m/>
    <n v="0"/>
    <m/>
    <m/>
    <m/>
    <n v="0"/>
    <m/>
    <m/>
    <m/>
    <n v="0"/>
    <n v="1"/>
    <m/>
    <m/>
    <m/>
    <n v="1"/>
    <n v="1"/>
    <m/>
    <m/>
    <m/>
    <m/>
    <m/>
    <m/>
    <n v="1"/>
    <m/>
    <m/>
    <s v="20140903 NCollin"/>
    <s v="20140904 LGasek"/>
    <s v="FW_Scan_20140903.pdf"/>
    <n v="0"/>
    <n v="0"/>
    <n v="0"/>
    <n v="0"/>
    <n v="0"/>
    <n v="0"/>
    <n v="0"/>
    <n v="0"/>
    <n v="0"/>
    <n v="0"/>
    <n v="0"/>
    <n v="0"/>
    <n v="0"/>
    <n v="0"/>
    <n v="0"/>
    <n v="0"/>
    <n v="1"/>
    <n v="0"/>
    <n v="0"/>
    <n v="0"/>
  </r>
  <r>
    <x v="90"/>
    <x v="0"/>
    <s v="qb, csw,lg,nc"/>
    <d v="1899-12-30T10:16:00"/>
    <d v="1899-12-30T12:40:00"/>
    <n v="56"/>
    <n v="7"/>
    <m/>
    <n v="25.8"/>
    <n v="143.99999999999997"/>
    <m/>
    <m/>
    <m/>
    <n v="0"/>
    <m/>
    <m/>
    <m/>
    <n v="0"/>
    <m/>
    <m/>
    <m/>
    <m/>
    <n v="0"/>
    <m/>
    <m/>
    <m/>
    <n v="0"/>
    <m/>
    <m/>
    <m/>
    <n v="0"/>
    <m/>
    <m/>
    <m/>
    <m/>
    <n v="0"/>
    <m/>
    <m/>
    <m/>
    <m/>
    <m/>
    <m/>
    <m/>
    <n v="0"/>
    <m/>
    <s v="No Fish"/>
    <s v="20140904 NCollin"/>
    <s v="20140905 LGasek"/>
    <s v="FW_Scan_20140904.pdf"/>
    <n v="0"/>
    <n v="0"/>
    <n v="0"/>
    <n v="0"/>
    <n v="0"/>
    <n v="0"/>
    <n v="0"/>
    <n v="0"/>
    <n v="0"/>
    <n v="0"/>
    <n v="0"/>
    <n v="0"/>
    <n v="0"/>
    <n v="0"/>
    <n v="0"/>
    <n v="0"/>
    <n v="0"/>
    <n v="0"/>
    <n v="0"/>
    <n v="0"/>
  </r>
  <r>
    <x v="90"/>
    <x v="0"/>
    <s v="as,csw,nc"/>
    <d v="1899-12-30T12:40:00"/>
    <d v="1899-12-30T19:25:00"/>
    <n v="55"/>
    <n v="8"/>
    <m/>
    <m/>
    <n v="405"/>
    <m/>
    <m/>
    <m/>
    <n v="0"/>
    <m/>
    <m/>
    <m/>
    <n v="0"/>
    <m/>
    <m/>
    <m/>
    <m/>
    <n v="0"/>
    <m/>
    <m/>
    <m/>
    <n v="0"/>
    <m/>
    <m/>
    <m/>
    <n v="0"/>
    <m/>
    <m/>
    <m/>
    <m/>
    <n v="0"/>
    <m/>
    <m/>
    <m/>
    <m/>
    <m/>
    <m/>
    <m/>
    <n v="0"/>
    <m/>
    <s v="No Fish"/>
    <s v="20140904 NCollin"/>
    <s v="20140905 LGasek"/>
    <s v="FW_Scan_20140904.pdf"/>
    <n v="0"/>
    <n v="0"/>
    <n v="0"/>
    <n v="0"/>
    <n v="0"/>
    <n v="0"/>
    <n v="0"/>
    <n v="0"/>
    <n v="0"/>
    <n v="0"/>
    <n v="0"/>
    <n v="0"/>
    <n v="0"/>
    <n v="0"/>
    <n v="0"/>
    <n v="0"/>
    <n v="0"/>
    <n v="0"/>
    <n v="0"/>
    <n v="0"/>
  </r>
  <r>
    <x v="90"/>
    <x v="2"/>
    <s v="qb, csw,lg,nc"/>
    <d v="1899-12-30T10:06:00"/>
    <d v="1899-12-30T12:35:00"/>
    <n v="33"/>
    <n v="6"/>
    <m/>
    <m/>
    <n v="149.00000000000003"/>
    <m/>
    <m/>
    <m/>
    <n v="0"/>
    <m/>
    <m/>
    <m/>
    <n v="0"/>
    <m/>
    <m/>
    <m/>
    <m/>
    <n v="0"/>
    <m/>
    <m/>
    <m/>
    <n v="0"/>
    <m/>
    <m/>
    <m/>
    <n v="0"/>
    <m/>
    <m/>
    <m/>
    <m/>
    <n v="0"/>
    <m/>
    <m/>
    <m/>
    <m/>
    <m/>
    <m/>
    <m/>
    <n v="0"/>
    <m/>
    <s v="No Fish"/>
    <s v="20140904 CSewright"/>
    <s v="20140905 LGasek"/>
    <s v="FW_Scan_20140904.pdf"/>
    <n v="0"/>
    <n v="0"/>
    <n v="0"/>
    <n v="0"/>
    <n v="0"/>
    <n v="0"/>
    <n v="0"/>
    <n v="0"/>
    <n v="0"/>
    <n v="0"/>
    <n v="0"/>
    <n v="0"/>
    <n v="0"/>
    <n v="0"/>
    <n v="0"/>
    <n v="0"/>
    <n v="0"/>
    <n v="0"/>
    <n v="0"/>
    <n v="0"/>
  </r>
  <r>
    <x v="90"/>
    <x v="2"/>
    <s v="nc,csw,as"/>
    <d v="1899-12-30T12:35:00"/>
    <d v="1899-12-30T19:35:00"/>
    <n v="34"/>
    <n v="7"/>
    <m/>
    <m/>
    <n v="419.99999999999994"/>
    <m/>
    <m/>
    <m/>
    <n v="0"/>
    <m/>
    <m/>
    <m/>
    <n v="0"/>
    <m/>
    <m/>
    <m/>
    <m/>
    <n v="0"/>
    <m/>
    <m/>
    <m/>
    <n v="0"/>
    <m/>
    <m/>
    <m/>
    <n v="0"/>
    <m/>
    <m/>
    <m/>
    <m/>
    <n v="0"/>
    <m/>
    <m/>
    <m/>
    <m/>
    <m/>
    <m/>
    <m/>
    <n v="0"/>
    <m/>
    <s v="No Fish"/>
    <s v="20140904 CSewright"/>
    <s v="20140905 LGasek"/>
    <s v="FW_Scan_20140904.pdf"/>
    <n v="0"/>
    <n v="0"/>
    <n v="0"/>
    <n v="0"/>
    <n v="0"/>
    <n v="0"/>
    <n v="0"/>
    <n v="0"/>
    <n v="0"/>
    <n v="0"/>
    <n v="0"/>
    <n v="0"/>
    <n v="0"/>
    <n v="0"/>
    <n v="0"/>
    <n v="0"/>
    <n v="0"/>
    <n v="0"/>
    <n v="0"/>
    <n v="0"/>
  </r>
  <r>
    <x v="90"/>
    <x v="1"/>
    <s v="csw,nc"/>
    <d v="1899-12-30T10:14:00"/>
    <d v="1899-12-30T15:45:00"/>
    <n v="38"/>
    <n v="6.5"/>
    <m/>
    <m/>
    <n v="331.00000000000006"/>
    <m/>
    <m/>
    <m/>
    <n v="0"/>
    <m/>
    <m/>
    <m/>
    <n v="0"/>
    <m/>
    <m/>
    <m/>
    <m/>
    <n v="0"/>
    <m/>
    <m/>
    <m/>
    <n v="0"/>
    <m/>
    <m/>
    <m/>
    <n v="0"/>
    <m/>
    <m/>
    <m/>
    <m/>
    <n v="0"/>
    <m/>
    <m/>
    <m/>
    <m/>
    <m/>
    <m/>
    <m/>
    <n v="0"/>
    <m/>
    <s v="No Fish"/>
    <s v="20140904 CSewright"/>
    <s v="20140905 LGasek"/>
    <s v="FW_Scan_20140904.pdf"/>
    <n v="0"/>
    <n v="0"/>
    <n v="0"/>
    <n v="0"/>
    <n v="0"/>
    <n v="0"/>
    <n v="0"/>
    <n v="0"/>
    <n v="0"/>
    <n v="0"/>
    <n v="0"/>
    <n v="0"/>
    <n v="0"/>
    <n v="0"/>
    <n v="0"/>
    <n v="0"/>
    <n v="0"/>
    <n v="0"/>
    <n v="0"/>
    <n v="0"/>
  </r>
  <r>
    <x v="90"/>
    <x v="1"/>
    <s v="as,nc,csw"/>
    <d v="1899-12-30T15:45:00"/>
    <d v="1899-12-30T19:52:00"/>
    <n v="39"/>
    <n v="7"/>
    <m/>
    <m/>
    <n v="247.00000000000009"/>
    <m/>
    <m/>
    <m/>
    <n v="0"/>
    <m/>
    <m/>
    <m/>
    <n v="0"/>
    <m/>
    <m/>
    <m/>
    <m/>
    <n v="0"/>
    <m/>
    <m/>
    <m/>
    <n v="0"/>
    <m/>
    <m/>
    <m/>
    <n v="0"/>
    <m/>
    <m/>
    <m/>
    <m/>
    <n v="0"/>
    <m/>
    <m/>
    <m/>
    <m/>
    <m/>
    <m/>
    <m/>
    <n v="0"/>
    <m/>
    <s v="No Fish"/>
    <s v="20140904 CSewright"/>
    <s v="20140905 LGasek"/>
    <s v="FW_Scan_20140904.pdf"/>
    <n v="0"/>
    <n v="0"/>
    <n v="0"/>
    <n v="0"/>
    <n v="0"/>
    <n v="0"/>
    <n v="0"/>
    <n v="0"/>
    <n v="0"/>
    <n v="0"/>
    <n v="0"/>
    <n v="0"/>
    <n v="0"/>
    <n v="0"/>
    <n v="0"/>
    <n v="0"/>
    <n v="0"/>
    <n v="0"/>
    <n v="0"/>
    <n v="0"/>
  </r>
  <r>
    <x v="91"/>
    <x v="0"/>
    <s v="lg,qb"/>
    <d v="1899-12-30T10:23:00"/>
    <d v="1899-12-30T18:08:00"/>
    <n v="64"/>
    <n v="7"/>
    <m/>
    <m/>
    <n v="465"/>
    <m/>
    <m/>
    <m/>
    <n v="0"/>
    <m/>
    <m/>
    <m/>
    <n v="0"/>
    <m/>
    <m/>
    <m/>
    <m/>
    <n v="0"/>
    <m/>
    <m/>
    <m/>
    <n v="0"/>
    <m/>
    <m/>
    <m/>
    <n v="0"/>
    <m/>
    <m/>
    <m/>
    <m/>
    <n v="0"/>
    <m/>
    <m/>
    <m/>
    <m/>
    <m/>
    <m/>
    <m/>
    <n v="0"/>
    <m/>
    <s v="No Fish"/>
    <s v="20140905 CSewright"/>
    <s v="20140906 KShippen"/>
    <s v="FW_Scan_20140905.pdf"/>
    <n v="0"/>
    <n v="0"/>
    <n v="0"/>
    <n v="0"/>
    <n v="0"/>
    <n v="0"/>
    <n v="0"/>
    <n v="0"/>
    <n v="0"/>
    <n v="0"/>
    <n v="0"/>
    <n v="0"/>
    <n v="0"/>
    <n v="0"/>
    <n v="0"/>
    <n v="0"/>
    <n v="0"/>
    <n v="0"/>
    <n v="0"/>
    <n v="0"/>
  </r>
  <r>
    <x v="91"/>
    <x v="0"/>
    <s v="csw,qb"/>
    <d v="1899-12-30T18:08:00"/>
    <d v="1899-12-30T20:17:00"/>
    <n v="62"/>
    <n v="8"/>
    <m/>
    <m/>
    <n v="129.00000000000017"/>
    <m/>
    <m/>
    <m/>
    <n v="0"/>
    <m/>
    <m/>
    <m/>
    <n v="0"/>
    <m/>
    <m/>
    <m/>
    <m/>
    <n v="0"/>
    <m/>
    <m/>
    <m/>
    <n v="0"/>
    <m/>
    <m/>
    <m/>
    <n v="0"/>
    <m/>
    <m/>
    <m/>
    <m/>
    <n v="0"/>
    <m/>
    <m/>
    <m/>
    <m/>
    <m/>
    <m/>
    <m/>
    <n v="0"/>
    <m/>
    <s v="No Fish"/>
    <s v="20140905 CSewright"/>
    <s v="20140906 KShippen"/>
    <s v="FW_Scan_20140905.pdf"/>
    <n v="0"/>
    <n v="0"/>
    <n v="0"/>
    <n v="0"/>
    <n v="0"/>
    <n v="0"/>
    <n v="0"/>
    <n v="0"/>
    <n v="0"/>
    <n v="0"/>
    <n v="0"/>
    <n v="0"/>
    <n v="0"/>
    <n v="0"/>
    <n v="0"/>
    <n v="0"/>
    <n v="0"/>
    <n v="0"/>
    <n v="0"/>
    <n v="0"/>
  </r>
  <r>
    <x v="91"/>
    <x v="2"/>
    <s v="lg,qb"/>
    <d v="1899-12-30T10:13:00"/>
    <d v="1899-12-30T17:29:00"/>
    <n v="37"/>
    <n v="7"/>
    <m/>
    <m/>
    <n v="436.00000000000017"/>
    <m/>
    <m/>
    <m/>
    <n v="0"/>
    <m/>
    <m/>
    <m/>
    <n v="0"/>
    <m/>
    <m/>
    <m/>
    <m/>
    <n v="0"/>
    <m/>
    <m/>
    <m/>
    <n v="0"/>
    <m/>
    <m/>
    <m/>
    <n v="0"/>
    <m/>
    <m/>
    <m/>
    <m/>
    <n v="0"/>
    <m/>
    <m/>
    <m/>
    <m/>
    <m/>
    <m/>
    <m/>
    <n v="0"/>
    <m/>
    <s v="No Fish"/>
    <s v="20140905 CSewright"/>
    <s v="20140906 KShippen"/>
    <s v="FW_Scan_20140905.pdf"/>
    <n v="0"/>
    <n v="0"/>
    <n v="0"/>
    <n v="0"/>
    <n v="0"/>
    <n v="0"/>
    <n v="0"/>
    <n v="0"/>
    <n v="0"/>
    <n v="0"/>
    <n v="0"/>
    <n v="0"/>
    <n v="0"/>
    <n v="0"/>
    <n v="0"/>
    <n v="0"/>
    <n v="0"/>
    <n v="0"/>
    <n v="0"/>
    <n v="0"/>
  </r>
  <r>
    <x v="91"/>
    <x v="2"/>
    <s v="csw,qb"/>
    <d v="1899-12-30T17:29:00"/>
    <d v="1899-12-30T20:09:00"/>
    <n v="37"/>
    <n v="8"/>
    <m/>
    <m/>
    <n v="159.99999999999974"/>
    <m/>
    <m/>
    <m/>
    <n v="0"/>
    <m/>
    <m/>
    <m/>
    <n v="0"/>
    <m/>
    <m/>
    <m/>
    <m/>
    <n v="0"/>
    <m/>
    <m/>
    <m/>
    <n v="0"/>
    <m/>
    <m/>
    <m/>
    <n v="0"/>
    <m/>
    <m/>
    <m/>
    <m/>
    <n v="0"/>
    <m/>
    <m/>
    <m/>
    <m/>
    <m/>
    <m/>
    <m/>
    <n v="0"/>
    <m/>
    <s v="No Fish"/>
    <s v="20140905 CSewright"/>
    <s v="20140906 KShippen"/>
    <s v="FW_Scan_20140905.pdf"/>
    <n v="0"/>
    <n v="0"/>
    <n v="0"/>
    <n v="0"/>
    <n v="0"/>
    <n v="0"/>
    <n v="0"/>
    <n v="0"/>
    <n v="0"/>
    <n v="0"/>
    <n v="0"/>
    <n v="0"/>
    <n v="0"/>
    <n v="0"/>
    <n v="0"/>
    <n v="0"/>
    <n v="0"/>
    <n v="0"/>
    <n v="0"/>
    <n v="0"/>
  </r>
  <r>
    <x v="91"/>
    <x v="1"/>
    <s v="nc,csw"/>
    <d v="1899-12-30T10:24:00"/>
    <d v="1899-12-30T18:19:00"/>
    <n v="40"/>
    <n v="7.5"/>
    <m/>
    <m/>
    <n v="474.99999999999989"/>
    <m/>
    <m/>
    <m/>
    <n v="0"/>
    <m/>
    <m/>
    <m/>
    <n v="0"/>
    <m/>
    <m/>
    <m/>
    <m/>
    <n v="0"/>
    <m/>
    <m/>
    <m/>
    <n v="0"/>
    <m/>
    <m/>
    <m/>
    <n v="0"/>
    <m/>
    <m/>
    <m/>
    <m/>
    <n v="0"/>
    <m/>
    <m/>
    <m/>
    <m/>
    <m/>
    <m/>
    <m/>
    <n v="0"/>
    <m/>
    <s v="No Fish"/>
    <s v="20140905 CSewright"/>
    <s v="20140906 KShippen"/>
    <s v="FW_Scan_20140905.pdf"/>
    <n v="0"/>
    <n v="0"/>
    <n v="0"/>
    <n v="0"/>
    <n v="0"/>
    <n v="0"/>
    <n v="0"/>
    <n v="0"/>
    <n v="0"/>
    <n v="0"/>
    <n v="0"/>
    <n v="0"/>
    <n v="0"/>
    <n v="0"/>
    <n v="0"/>
    <n v="0"/>
    <n v="0"/>
    <n v="0"/>
    <n v="0"/>
    <n v="0"/>
  </r>
  <r>
    <x v="91"/>
    <x v="1"/>
    <s v="csw,qb"/>
    <d v="1899-12-30T18:19:00"/>
    <d v="1899-12-30T20:30:00"/>
    <n v="39"/>
    <n v="8"/>
    <m/>
    <m/>
    <n v="131"/>
    <m/>
    <m/>
    <m/>
    <n v="0"/>
    <m/>
    <m/>
    <m/>
    <n v="0"/>
    <m/>
    <m/>
    <m/>
    <m/>
    <n v="0"/>
    <m/>
    <m/>
    <m/>
    <n v="0"/>
    <m/>
    <n v="1"/>
    <m/>
    <n v="1"/>
    <m/>
    <m/>
    <m/>
    <m/>
    <n v="0"/>
    <m/>
    <m/>
    <m/>
    <m/>
    <m/>
    <m/>
    <m/>
    <n v="0"/>
    <m/>
    <s v="1 Coho smolt/fry (believed to be coho, 8 cm FL)"/>
    <s v="20140905 CSewright"/>
    <s v="20140906 KShippen"/>
    <s v="FW_Scan_20140905.pdf"/>
    <n v="0"/>
    <n v="0"/>
    <n v="0"/>
    <n v="0"/>
    <n v="0"/>
    <n v="0"/>
    <n v="0"/>
    <n v="0"/>
    <n v="0"/>
    <n v="0"/>
    <n v="0"/>
    <n v="0"/>
    <n v="0"/>
    <n v="0"/>
    <n v="1"/>
    <n v="0"/>
    <n v="0"/>
    <n v="0"/>
    <n v="0"/>
    <n v="0"/>
  </r>
  <r>
    <x v="92"/>
    <x v="0"/>
    <s v="la,ks"/>
    <d v="1899-12-30T10:29:00"/>
    <d v="1899-12-30T16:49:00"/>
    <n v="59"/>
    <n v="7"/>
    <m/>
    <m/>
    <n v="380.00000000000006"/>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2"/>
    <x v="0"/>
    <s v="csw,qb"/>
    <d v="1899-12-30T16:49:00"/>
    <d v="1899-12-30T20:11:00"/>
    <n v="58"/>
    <n v="9"/>
    <m/>
    <m/>
    <n v="202.00000000000009"/>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2"/>
    <x v="2"/>
    <s v="la,ks"/>
    <d v="1899-12-30T10:20:00"/>
    <d v="1899-12-30T16:38:00"/>
    <n v="33"/>
    <n v="6"/>
    <m/>
    <m/>
    <n v="377.99999999999994"/>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2"/>
    <x v="2"/>
    <s v="csw,qb"/>
    <d v="1899-12-30T16:38:00"/>
    <d v="1899-12-30T20:22:00"/>
    <n v="33"/>
    <n v="9"/>
    <m/>
    <m/>
    <n v="224"/>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2"/>
    <x v="1"/>
    <s v="csw,qb"/>
    <d v="1899-12-30T10:14:00"/>
    <d v="1899-12-30T16:59:00"/>
    <n v="39"/>
    <n v="6.5"/>
    <m/>
    <m/>
    <n v="405.00000000000011"/>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2"/>
    <x v="1"/>
    <s v="csw,qb"/>
    <d v="1899-12-30T16:59:00"/>
    <d v="1899-12-30T20:00:00"/>
    <n v="40"/>
    <n v="9"/>
    <m/>
    <m/>
    <n v="181"/>
    <m/>
    <m/>
    <m/>
    <n v="0"/>
    <m/>
    <m/>
    <m/>
    <n v="0"/>
    <m/>
    <m/>
    <m/>
    <m/>
    <n v="0"/>
    <m/>
    <m/>
    <m/>
    <n v="0"/>
    <m/>
    <m/>
    <m/>
    <n v="0"/>
    <m/>
    <m/>
    <m/>
    <m/>
    <n v="0"/>
    <m/>
    <m/>
    <m/>
    <m/>
    <m/>
    <m/>
    <m/>
    <n v="0"/>
    <m/>
    <s v="No Fish"/>
    <s v="20140906 CSewright"/>
    <s v="20140907 CZiolkowski"/>
    <s v="FW_Scan_20140906.pdf"/>
    <n v="0"/>
    <n v="0"/>
    <n v="0"/>
    <n v="0"/>
    <n v="0"/>
    <n v="0"/>
    <n v="0"/>
    <n v="0"/>
    <n v="0"/>
    <n v="0"/>
    <n v="0"/>
    <n v="0"/>
    <n v="0"/>
    <n v="0"/>
    <n v="0"/>
    <n v="0"/>
    <n v="0"/>
    <n v="0"/>
    <n v="0"/>
    <n v="0"/>
  </r>
  <r>
    <x v="93"/>
    <x v="0"/>
    <s v="csw,qb"/>
    <d v="1899-12-30T08:11:00"/>
    <d v="1899-12-30T12:24:00"/>
    <n v="60"/>
    <n v="6.5"/>
    <m/>
    <m/>
    <n v="253.00000000000006"/>
    <m/>
    <m/>
    <m/>
    <n v="0"/>
    <m/>
    <m/>
    <m/>
    <n v="0"/>
    <m/>
    <m/>
    <m/>
    <m/>
    <n v="0"/>
    <m/>
    <m/>
    <m/>
    <n v="0"/>
    <m/>
    <m/>
    <m/>
    <n v="0"/>
    <m/>
    <m/>
    <m/>
    <m/>
    <n v="0"/>
    <m/>
    <m/>
    <m/>
    <m/>
    <m/>
    <m/>
    <m/>
    <n v="0"/>
    <m/>
    <s v="No Fish"/>
    <s v="20140907 CSewright"/>
    <s v="20140907 CZiolkowski"/>
    <s v="FW_Scan_20140907.pdf"/>
    <n v="0"/>
    <n v="0"/>
    <n v="0"/>
    <n v="0"/>
    <n v="0"/>
    <n v="0"/>
    <n v="0"/>
    <n v="0"/>
    <n v="0"/>
    <n v="0"/>
    <n v="0"/>
    <n v="0"/>
    <n v="0"/>
    <n v="0"/>
    <n v="0"/>
    <n v="0"/>
    <n v="0"/>
    <n v="0"/>
    <n v="0"/>
    <n v="0"/>
  </r>
  <r>
    <x v="93"/>
    <x v="0"/>
    <s v="csw,qb"/>
    <d v="1899-12-30T12:24:00"/>
    <d v="1899-12-30T17:31:00"/>
    <n v="60"/>
    <n v="8"/>
    <m/>
    <n v="21.2"/>
    <n v="306.99999999999989"/>
    <m/>
    <m/>
    <m/>
    <n v="0"/>
    <m/>
    <m/>
    <m/>
    <n v="0"/>
    <m/>
    <m/>
    <m/>
    <m/>
    <n v="0"/>
    <m/>
    <m/>
    <m/>
    <n v="0"/>
    <m/>
    <m/>
    <m/>
    <n v="0"/>
    <m/>
    <m/>
    <m/>
    <m/>
    <n v="0"/>
    <m/>
    <m/>
    <m/>
    <m/>
    <m/>
    <m/>
    <m/>
    <n v="0"/>
    <m/>
    <s v="No Fish"/>
    <s v="20140907 LAckein"/>
    <s v="20140907 CZiolkowski"/>
    <s v="FW_Scan_20140907.pdf"/>
    <n v="0"/>
    <n v="0"/>
    <n v="0"/>
    <n v="0"/>
    <n v="0"/>
    <n v="0"/>
    <n v="0"/>
    <n v="0"/>
    <n v="0"/>
    <n v="0"/>
    <n v="0"/>
    <n v="0"/>
    <n v="0"/>
    <n v="0"/>
    <n v="0"/>
    <n v="0"/>
    <n v="0"/>
    <n v="0"/>
    <n v="0"/>
    <n v="0"/>
  </r>
  <r>
    <x v="93"/>
    <x v="2"/>
    <s v="csw,qb"/>
    <d v="1899-12-30T08:21:00"/>
    <d v="1899-12-30T12:14:00"/>
    <n v="35"/>
    <n v="6.5"/>
    <m/>
    <m/>
    <n v="232.99999999999997"/>
    <m/>
    <m/>
    <m/>
    <n v="0"/>
    <m/>
    <m/>
    <m/>
    <n v="0"/>
    <m/>
    <m/>
    <m/>
    <m/>
    <n v="0"/>
    <m/>
    <m/>
    <m/>
    <n v="0"/>
    <m/>
    <m/>
    <m/>
    <n v="0"/>
    <m/>
    <m/>
    <m/>
    <m/>
    <n v="0"/>
    <m/>
    <m/>
    <m/>
    <m/>
    <m/>
    <m/>
    <m/>
    <n v="0"/>
    <m/>
    <s v="No Fish"/>
    <s v="20140907 CSewright"/>
    <s v="20140907 CZiolkowski"/>
    <s v="FW_Scan_20140907.pdf"/>
    <n v="0"/>
    <n v="0"/>
    <n v="0"/>
    <n v="0"/>
    <n v="0"/>
    <n v="0"/>
    <n v="0"/>
    <n v="0"/>
    <n v="0"/>
    <n v="0"/>
    <n v="0"/>
    <n v="0"/>
    <n v="0"/>
    <n v="0"/>
    <n v="0"/>
    <n v="0"/>
    <n v="0"/>
    <n v="0"/>
    <n v="0"/>
    <n v="0"/>
  </r>
  <r>
    <x v="93"/>
    <x v="2"/>
    <s v="csw,qb"/>
    <d v="1899-12-30T12:14:00"/>
    <d v="1899-12-30T17:30:00"/>
    <n v="33"/>
    <n v="7"/>
    <m/>
    <m/>
    <n v="316"/>
    <m/>
    <m/>
    <m/>
    <n v="0"/>
    <m/>
    <m/>
    <m/>
    <n v="0"/>
    <m/>
    <m/>
    <m/>
    <m/>
    <n v="0"/>
    <m/>
    <m/>
    <m/>
    <n v="0"/>
    <m/>
    <m/>
    <m/>
    <n v="0"/>
    <m/>
    <m/>
    <m/>
    <m/>
    <n v="0"/>
    <m/>
    <m/>
    <m/>
    <m/>
    <m/>
    <m/>
    <m/>
    <n v="0"/>
    <m/>
    <s v="No Fish"/>
    <s v="20140907 LAckein"/>
    <s v="20140907 CZiolkowski"/>
    <s v="FW_Scan_20140907.pdf"/>
    <n v="0"/>
    <n v="0"/>
    <n v="0"/>
    <n v="0"/>
    <n v="0"/>
    <n v="0"/>
    <n v="0"/>
    <n v="0"/>
    <n v="0"/>
    <n v="0"/>
    <n v="0"/>
    <n v="0"/>
    <n v="0"/>
    <n v="0"/>
    <n v="0"/>
    <n v="0"/>
    <n v="0"/>
    <n v="0"/>
    <n v="0"/>
    <n v="0"/>
  </r>
  <r>
    <x v="93"/>
    <x v="1"/>
    <s v="csw,qb"/>
    <d v="1899-12-30T08:34:00"/>
    <d v="1899-12-30T12:39:00"/>
    <n v="39"/>
    <n v="6"/>
    <m/>
    <m/>
    <n v="245.00000000000003"/>
    <m/>
    <m/>
    <m/>
    <n v="0"/>
    <m/>
    <m/>
    <m/>
    <n v="0"/>
    <m/>
    <m/>
    <m/>
    <m/>
    <n v="0"/>
    <m/>
    <m/>
    <m/>
    <n v="0"/>
    <m/>
    <m/>
    <m/>
    <n v="0"/>
    <m/>
    <m/>
    <m/>
    <m/>
    <n v="0"/>
    <m/>
    <m/>
    <m/>
    <m/>
    <m/>
    <m/>
    <m/>
    <n v="0"/>
    <m/>
    <s v="No Fish"/>
    <s v="20140907 CSewright"/>
    <s v="20140907 CZiolkowski"/>
    <s v="FW_Scan_20140907.pdf"/>
    <n v="0"/>
    <n v="0"/>
    <n v="0"/>
    <n v="0"/>
    <n v="0"/>
    <n v="0"/>
    <n v="0"/>
    <n v="0"/>
    <n v="0"/>
    <n v="0"/>
    <n v="0"/>
    <n v="0"/>
    <n v="0"/>
    <n v="0"/>
    <n v="0"/>
    <n v="0"/>
    <n v="0"/>
    <n v="0"/>
    <n v="0"/>
    <n v="0"/>
  </r>
  <r>
    <x v="93"/>
    <x v="1"/>
    <s v="csw,qb"/>
    <d v="1899-12-30T12:39:00"/>
    <d v="1899-12-30T17:32:00"/>
    <n v="39"/>
    <n v="8"/>
    <m/>
    <m/>
    <n v="293.00000000000006"/>
    <m/>
    <m/>
    <m/>
    <n v="0"/>
    <m/>
    <m/>
    <m/>
    <n v="0"/>
    <m/>
    <m/>
    <m/>
    <m/>
    <n v="0"/>
    <m/>
    <m/>
    <m/>
    <n v="0"/>
    <m/>
    <m/>
    <m/>
    <n v="0"/>
    <m/>
    <m/>
    <m/>
    <m/>
    <n v="0"/>
    <m/>
    <m/>
    <m/>
    <m/>
    <m/>
    <m/>
    <m/>
    <n v="0"/>
    <m/>
    <s v="No Fish"/>
    <s v="20140907 LAckein"/>
    <s v="20140907 CZiolkowski"/>
    <s v="FW_Scan_20140907.pdf"/>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n v="0"/>
    <m/>
    <m/>
    <m/>
    <n v="0"/>
    <m/>
    <m/>
    <m/>
    <n v="0"/>
    <m/>
    <m/>
    <m/>
    <m/>
    <n v="0"/>
    <m/>
    <m/>
    <m/>
    <n v="0"/>
    <m/>
    <m/>
    <m/>
    <n v="0"/>
    <m/>
    <m/>
    <m/>
    <m/>
    <n v="0"/>
    <m/>
    <m/>
    <m/>
    <m/>
    <m/>
    <m/>
    <m/>
    <n v="0"/>
    <m/>
    <m/>
    <m/>
    <m/>
    <m/>
    <n v="0"/>
    <n v="0"/>
    <n v="0"/>
    <n v="0"/>
    <n v="0"/>
    <n v="0"/>
    <n v="0"/>
    <n v="0"/>
    <n v="0"/>
    <n v="0"/>
    <n v="0"/>
    <n v="0"/>
    <n v="0"/>
    <n v="0"/>
    <n v="0"/>
    <n v="0"/>
    <n v="0"/>
    <n v="0"/>
    <n v="0"/>
    <n v="0"/>
  </r>
  <r>
    <x v="94"/>
    <x v="3"/>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4999">
  <r>
    <n v="1"/>
    <x v="0"/>
    <n v="1"/>
    <x v="0"/>
    <x v="0"/>
    <x v="0"/>
    <m/>
    <m/>
    <m/>
    <n v="26"/>
    <s v="U"/>
    <m/>
    <m/>
    <s v="19:14"/>
    <s v="NC"/>
    <s v="(entered on Catch Summary form)"/>
    <s v="20140607 NCollin"/>
    <s v="20140610 LAckein"/>
    <s v="x"/>
    <s v="x"/>
    <s v="na"/>
    <s v="FWL"/>
    <s v="na"/>
    <s v="na"/>
    <s v="na"/>
    <s v="na"/>
    <s v="na"/>
    <s v="na"/>
    <s v="na"/>
    <s v="na"/>
  </r>
  <r>
    <n v="2"/>
    <x v="1"/>
    <n v="3"/>
    <x v="1"/>
    <x v="0"/>
    <x v="1"/>
    <n v="45"/>
    <s v="1 K"/>
    <n v="75"/>
    <m/>
    <s v="F"/>
    <m/>
    <d v="1899-12-30T01:29:00"/>
    <s v="15:07"/>
    <s v="SB"/>
    <m/>
    <s v="20140611 AStephens"/>
    <s v="20140615 AStephens"/>
    <s v="x"/>
    <n v="151.72499999999999"/>
    <s v="na"/>
    <s v="FWL"/>
    <s v="na"/>
    <s v="na"/>
    <s v="F1845"/>
    <s v="na"/>
    <s v="na"/>
    <s v="na"/>
    <s v="na"/>
    <s v="na"/>
  </r>
  <r>
    <n v="3"/>
    <x v="1"/>
    <n v="3"/>
    <x v="0"/>
    <x v="0"/>
    <x v="0"/>
    <m/>
    <m/>
    <m/>
    <n v="37"/>
    <s v="U"/>
    <m/>
    <d v="1899-12-30T00:30:00"/>
    <s v="17:55"/>
    <s v="LA"/>
    <m/>
    <s v="20140611 AStephens"/>
    <s v="20140615 AStephens"/>
    <s v="x"/>
    <s v="x"/>
    <s v="na"/>
    <s v="FWL"/>
    <s v="na"/>
    <s v="na"/>
    <s v="na"/>
    <s v="na"/>
    <s v="na"/>
    <s v="na"/>
    <s v="na"/>
    <s v="na"/>
  </r>
  <r>
    <n v="4"/>
    <x v="1"/>
    <n v="3"/>
    <x v="1"/>
    <x v="0"/>
    <x v="2"/>
    <n v="42"/>
    <s v="2 K"/>
    <n v="90"/>
    <m/>
    <s v="F"/>
    <m/>
    <d v="1899-12-30T01:14:00"/>
    <s v="20:55"/>
    <s v="AS"/>
    <m/>
    <s v="20140611 AStephens"/>
    <s v="20140615 AStephens"/>
    <s v="x"/>
    <n v="151.684"/>
    <s v="na"/>
    <s v="FWL"/>
    <s v="na"/>
    <s v="na"/>
    <s v="F1845"/>
    <s v="na"/>
    <s v="na"/>
    <s v="na"/>
    <s v="na"/>
    <s v="na"/>
  </r>
  <r>
    <n v="5"/>
    <x v="1"/>
    <n v="3"/>
    <x v="0"/>
    <x v="0"/>
    <x v="0"/>
    <m/>
    <m/>
    <m/>
    <n v="26"/>
    <s v="U"/>
    <m/>
    <d v="1899-12-30T00:15:00"/>
    <s v="20:57"/>
    <s v="AS"/>
    <m/>
    <s v="20140611 AStephens"/>
    <s v="20140615 AStephens"/>
    <s v="x"/>
    <s v="x"/>
    <s v="na"/>
    <s v="FWL"/>
    <s v="na"/>
    <s v="na"/>
    <s v="na"/>
    <s v="na"/>
    <s v="na"/>
    <s v="na"/>
    <s v="na"/>
    <s v="na"/>
  </r>
  <r>
    <n v="6"/>
    <x v="1"/>
    <n v="3"/>
    <x v="2"/>
    <x v="0"/>
    <x v="0"/>
    <m/>
    <s v="Bulk HW"/>
    <m/>
    <n v="26"/>
    <s v="U"/>
    <m/>
    <d v="1899-12-30T00:37:00"/>
    <s v="23:25"/>
    <s v="AS"/>
    <s v="Took genetic sample"/>
    <s v="20140611 AStephens"/>
    <s v="20140615 AStephens"/>
    <s v="x"/>
    <s v="x"/>
    <s v="na"/>
    <s v="FWL"/>
    <s v="na"/>
    <s v="na"/>
    <s v="na"/>
    <s v="na"/>
    <s v="na"/>
    <s v="na"/>
    <s v="na"/>
    <s v="na"/>
  </r>
  <r>
    <n v="7"/>
    <x v="2"/>
    <n v="2"/>
    <x v="1"/>
    <x v="0"/>
    <x v="2"/>
    <n v="10"/>
    <s v="3 K"/>
    <n v="57"/>
    <m/>
    <s v="U"/>
    <m/>
    <d v="1899-12-30T13:50:00"/>
    <s v="15:32"/>
    <s v="SJ"/>
    <m/>
    <s v="20140612 NCollin"/>
    <s v="20140615 AStephens"/>
    <s v="x"/>
    <n v="151.684"/>
    <s v="na"/>
    <s v="FWL"/>
    <s v="na"/>
    <s v="na"/>
    <s v="F1845"/>
    <s v="na"/>
    <s v="na"/>
    <s v="na"/>
    <s v="na"/>
    <s v="na"/>
  </r>
  <r>
    <n v="8"/>
    <x v="2"/>
    <n v="2"/>
    <x v="1"/>
    <x v="0"/>
    <x v="2"/>
    <n v="35"/>
    <s v="4 K"/>
    <n v="63"/>
    <m/>
    <s v="U"/>
    <m/>
    <d v="1899-12-30T14:20:00"/>
    <s v="23:35"/>
    <s v="JG"/>
    <s v="Fresh looking (code sleuthed 6/13 to 35 by RTyler)"/>
    <s v="20140612 NCollin"/>
    <s v="20140615 AStephens"/>
    <s v="x"/>
    <n v="151.684"/>
    <s v="na"/>
    <s v="FWL"/>
    <s v="na"/>
    <s v="na"/>
    <s v="F1845"/>
    <s v="na"/>
    <s v="na"/>
    <s v="na"/>
    <s v="na"/>
    <s v="na"/>
  </r>
  <r>
    <n v="9"/>
    <x v="2"/>
    <n v="3"/>
    <x v="3"/>
    <x v="0"/>
    <x v="0"/>
    <m/>
    <m/>
    <m/>
    <n v="29"/>
    <s v="U"/>
    <m/>
    <d v="1899-12-30T00:51:00"/>
    <s v="18:55"/>
    <s v="JK"/>
    <m/>
    <s v="20140612 JKunzler"/>
    <s v="20140615 AStephens"/>
    <s v="x"/>
    <s v="x"/>
    <s v="na"/>
    <s v="FWL"/>
    <s v="na"/>
    <s v="na"/>
    <s v="na"/>
    <s v="na"/>
    <s v="na"/>
    <s v="na"/>
    <s v="na"/>
    <s v="na"/>
  </r>
  <r>
    <n v="10"/>
    <x v="3"/>
    <n v="1"/>
    <x v="1"/>
    <x v="0"/>
    <x v="2"/>
    <n v="68"/>
    <s v="9 K"/>
    <n v="82"/>
    <m/>
    <s v="U"/>
    <m/>
    <d v="1899-12-30T03:34:00"/>
    <s v="20:48"/>
    <s v="SJ"/>
    <s v="Took several attempts to get radio tag in.  Good release"/>
    <s v="20140613 SJohnson"/>
    <s v="20140615 AStephens"/>
    <s v="x"/>
    <n v="151.684"/>
    <s v="na"/>
    <s v="FWL"/>
    <s v="na"/>
    <s v="na"/>
    <s v="F1845"/>
    <s v="na"/>
    <s v="na"/>
    <s v="na"/>
    <s v="na"/>
    <s v="na"/>
  </r>
  <r>
    <n v="11"/>
    <x v="3"/>
    <n v="2"/>
    <x v="1"/>
    <x v="0"/>
    <x v="2"/>
    <n v="84"/>
    <s v="5 K"/>
    <n v="56"/>
    <m/>
    <s v="U"/>
    <m/>
    <d v="1899-12-30T01:23:00"/>
    <s v="10:40"/>
    <s v="JK"/>
    <m/>
    <s v="20140613 SJohnson"/>
    <s v="20140615 AStephens"/>
    <s v="x"/>
    <n v="151.684"/>
    <s v="na"/>
    <s v="FWL"/>
    <s v="na"/>
    <s v="na"/>
    <s v="F1845"/>
    <s v="na"/>
    <s v="na"/>
    <s v="na"/>
    <s v="na"/>
    <s v="na"/>
  </r>
  <r>
    <n v="12"/>
    <x v="3"/>
    <n v="2"/>
    <x v="4"/>
    <x v="1"/>
    <x v="3"/>
    <n v="91"/>
    <s v="6 K"/>
    <n v="40"/>
    <m/>
    <s v="U"/>
    <m/>
    <d v="1899-12-30T02:01:00"/>
    <s v="16:02"/>
    <s v="LA"/>
    <m/>
    <s v="20140613 SJohnson"/>
    <s v="20140615 AStephens"/>
    <s v="x"/>
    <n v="151.917"/>
    <s v="na"/>
    <s v="FWL"/>
    <s v="na"/>
    <s v="na"/>
    <s v="F1835"/>
    <s v="na"/>
    <s v="na"/>
    <s v="na"/>
    <s v="na"/>
    <s v="na"/>
  </r>
  <r>
    <n v="13"/>
    <x v="3"/>
    <n v="2"/>
    <x v="1"/>
    <x v="0"/>
    <x v="2"/>
    <n v="13"/>
    <s v="7 K"/>
    <n v="77"/>
    <m/>
    <s v="F"/>
    <m/>
    <d v="1899-12-30T00:52:00"/>
    <s v="16:10"/>
    <s v="LA"/>
    <m/>
    <s v="20140613 SJohnson"/>
    <s v="20140615 AStephens"/>
    <s v="x"/>
    <n v="151.684"/>
    <s v="na"/>
    <s v="FWL"/>
    <s v="na"/>
    <s v="na"/>
    <s v="F1845"/>
    <s v="na"/>
    <s v="na"/>
    <s v="na"/>
    <s v="na"/>
    <s v="na"/>
  </r>
  <r>
    <n v="14"/>
    <x v="3"/>
    <n v="2"/>
    <x v="1"/>
    <x v="0"/>
    <x v="1"/>
    <n v="58"/>
    <s v="8 K"/>
    <n v="87"/>
    <m/>
    <s v="U"/>
    <m/>
    <d v="1899-12-30T01:34:00"/>
    <s v="20:21"/>
    <s v="AS"/>
    <m/>
    <s v="20140613 SJohnson"/>
    <s v="20140615 AStephens"/>
    <s v="x"/>
    <n v="151.72499999999999"/>
    <s v="na"/>
    <s v="FWL"/>
    <s v="na"/>
    <s v="na"/>
    <s v="F1845"/>
    <s v="na"/>
    <s v="na"/>
    <s v="na"/>
    <s v="na"/>
    <s v="na"/>
  </r>
  <r>
    <n v="15"/>
    <x v="3"/>
    <n v="3"/>
    <x v="0"/>
    <x v="0"/>
    <x v="0"/>
    <m/>
    <m/>
    <m/>
    <n v="24"/>
    <s v="U"/>
    <m/>
    <d v="1899-12-30T00:45:00"/>
    <s v="10:27"/>
    <s v="SJ"/>
    <m/>
    <s v="20140614 SJohnson"/>
    <s v="20140615 AStephens"/>
    <s v="x"/>
    <s v="x"/>
    <s v="na"/>
    <s v="FWL"/>
    <s v="na"/>
    <s v="na"/>
    <s v="na"/>
    <s v="na"/>
    <s v="na"/>
    <s v="na"/>
    <s v="na"/>
    <s v="na"/>
  </r>
  <r>
    <n v="16"/>
    <x v="3"/>
    <n v="3"/>
    <x v="1"/>
    <x v="0"/>
    <x v="2"/>
    <n v="17"/>
    <s v="10 K"/>
    <n v="65"/>
    <m/>
    <s v="U"/>
    <m/>
    <d v="1899-12-30T02:18:00"/>
    <s v="14:14"/>
    <s v="SJ"/>
    <s v="small lamprey mark that healed on caudal peduncal"/>
    <s v="20140614 SJohnson"/>
    <s v="20140615 AStephens"/>
    <s v="x"/>
    <n v="151.684"/>
    <s v="na"/>
    <s v="FWL"/>
    <s v="na"/>
    <s v="na"/>
    <s v="F1845"/>
    <s v="na"/>
    <s v="na"/>
    <s v="na"/>
    <s v="na"/>
    <s v="na"/>
  </r>
  <r>
    <n v="17"/>
    <x v="4"/>
    <n v="1"/>
    <x v="1"/>
    <x v="0"/>
    <x v="1"/>
    <n v="57"/>
    <s v="18 K"/>
    <n v="70"/>
    <m/>
    <s v="U"/>
    <m/>
    <d v="1899-12-30T01:57:00"/>
    <s v="13:02 "/>
    <s v="JB"/>
    <m/>
    <s v="20140614 Astephens"/>
    <s v="20140615 DRobichaud"/>
    <s v="x"/>
    <n v="151.72499999999999"/>
    <s v="na"/>
    <s v="FWL"/>
    <s v="na"/>
    <s v="na"/>
    <s v="F1845"/>
    <s v="na"/>
    <s v="na"/>
    <s v="na"/>
    <s v="na"/>
    <s v="na"/>
  </r>
  <r>
    <n v="18"/>
    <x v="4"/>
    <n v="1"/>
    <x v="0"/>
    <x v="0"/>
    <x v="0"/>
    <m/>
    <m/>
    <m/>
    <m/>
    <s v="U"/>
    <m/>
    <m/>
    <s v="13:05"/>
    <s v="JB"/>
    <s v="jumped out of trough into water"/>
    <s v="20140614 Astephens"/>
    <s v="20140615 DRobichaud"/>
    <s v="x"/>
    <s v="x"/>
    <s v="na"/>
    <s v="FWL"/>
    <s v="na"/>
    <s v="na"/>
    <s v="na"/>
    <s v="na"/>
    <s v="na"/>
    <s v="na"/>
    <s v="na"/>
    <s v="na"/>
  </r>
  <r>
    <n v="19"/>
    <x v="4"/>
    <n v="1"/>
    <x v="5"/>
    <x v="0"/>
    <x v="0"/>
    <m/>
    <m/>
    <m/>
    <n v="34"/>
    <s v="U"/>
    <d v="1899-12-30T13:23:00"/>
    <d v="1899-12-30T00:20:00"/>
    <s v="13:31"/>
    <s v="AS"/>
    <m/>
    <s v="20140614 Astephens"/>
    <s v="20140615 DRobichaud"/>
    <d v="1899-12-30T00:07:40"/>
    <s v="x"/>
    <s v="na"/>
    <s v="FWL"/>
    <s v="na"/>
    <s v="na"/>
    <s v="na"/>
    <s v="na"/>
    <s v="na"/>
    <s v="na"/>
    <s v="na"/>
    <s v="na"/>
  </r>
  <r>
    <n v="20"/>
    <x v="4"/>
    <n v="1"/>
    <x v="1"/>
    <x v="0"/>
    <x v="0"/>
    <m/>
    <m/>
    <m/>
    <m/>
    <s v="U"/>
    <m/>
    <m/>
    <m/>
    <s v="JB"/>
    <s v="jumped out of trough. escaped into water"/>
    <s v="20140615 JBerry"/>
    <s v="20140615 DRobichaud"/>
    <s v="x"/>
    <s v="x"/>
    <s v="na"/>
    <s v="FWL"/>
    <s v="na"/>
    <s v="na"/>
    <s v="na"/>
    <s v="na"/>
    <s v="na"/>
    <s v="na"/>
    <s v="na"/>
    <s v="na"/>
  </r>
  <r>
    <n v="21"/>
    <x v="4"/>
    <n v="2"/>
    <x v="1"/>
    <x v="0"/>
    <x v="2"/>
    <n v="80"/>
    <s v="17 K"/>
    <n v="76"/>
    <m/>
    <s v="U"/>
    <m/>
    <d v="1899-12-30T02:29:00"/>
    <s v="12:31"/>
    <s v="JG"/>
    <m/>
    <s v="20140614 JGraham"/>
    <s v="20140615 DRobichaud"/>
    <s v="x"/>
    <n v="151.684"/>
    <s v="na"/>
    <s v="FWL"/>
    <s v="na"/>
    <s v="na"/>
    <s v="F1845"/>
    <s v="na"/>
    <s v="na"/>
    <s v="na"/>
    <s v="na"/>
    <s v="na"/>
  </r>
  <r>
    <n v="22"/>
    <x v="4"/>
    <n v="2"/>
    <x v="1"/>
    <x v="0"/>
    <x v="1"/>
    <n v="54"/>
    <s v="19 K"/>
    <n v="80"/>
    <m/>
    <s v="U"/>
    <m/>
    <d v="1899-12-30T01:18:00"/>
    <s v="14:25"/>
    <s v="AS"/>
    <m/>
    <s v="20140614 Astephens"/>
    <s v="20140615 DRobichaud"/>
    <s v="x"/>
    <n v="151.72499999999999"/>
    <s v="na"/>
    <s v="FWL"/>
    <s v="na"/>
    <s v="na"/>
    <s v="F1845"/>
    <s v="na"/>
    <s v="na"/>
    <s v="na"/>
    <s v="na"/>
    <s v="na"/>
  </r>
  <r>
    <n v="23"/>
    <x v="4"/>
    <n v="2"/>
    <x v="1"/>
    <x v="0"/>
    <x v="2"/>
    <n v="83"/>
    <s v="20 K"/>
    <n v="63"/>
    <m/>
    <s v="U"/>
    <m/>
    <d v="1899-12-30T01:31:00"/>
    <s v="16:11"/>
    <s v="JK"/>
    <m/>
    <s v="20140614 JKunzler"/>
    <s v="20140615 DRobichaud"/>
    <s v="x"/>
    <n v="151.684"/>
    <s v="na"/>
    <s v="FWL"/>
    <s v="na"/>
    <s v="na"/>
    <s v="F1845"/>
    <s v="na"/>
    <s v="na"/>
    <s v="na"/>
    <s v="na"/>
    <s v="na"/>
  </r>
  <r>
    <n v="24"/>
    <x v="4"/>
    <n v="2"/>
    <x v="1"/>
    <x v="0"/>
    <x v="1"/>
    <n v="35"/>
    <s v="21 K"/>
    <n v="93"/>
    <m/>
    <s v="U"/>
    <m/>
    <d v="1899-12-30T01:29:00"/>
    <s v="18:31"/>
    <s v="AS"/>
    <m/>
    <s v="20140614 JBerry"/>
    <s v="20140615 DRobichaud"/>
    <s v="x"/>
    <n v="151.72499999999999"/>
    <s v="na"/>
    <s v="FWL"/>
    <s v="na"/>
    <s v="na"/>
    <s v="F1845"/>
    <s v="na"/>
    <s v="na"/>
    <s v="na"/>
    <s v="na"/>
    <s v="na"/>
  </r>
  <r>
    <n v="25"/>
    <x v="4"/>
    <n v="2"/>
    <x v="1"/>
    <x v="0"/>
    <x v="1"/>
    <n v="41"/>
    <s v="22 K"/>
    <n v="91"/>
    <m/>
    <s v="F"/>
    <m/>
    <d v="1899-12-30T01:00:00"/>
    <s v="20:52"/>
    <s v="SB"/>
    <m/>
    <s v="20140614 SBurril"/>
    <s v="20140615 DRobichaud"/>
    <s v="x"/>
    <n v="151.72499999999999"/>
    <s v="na"/>
    <s v="FWL"/>
    <s v="na"/>
    <s v="na"/>
    <s v="F1845"/>
    <s v="na"/>
    <s v="na"/>
    <s v="na"/>
    <s v="na"/>
    <s v="na"/>
  </r>
  <r>
    <n v="26"/>
    <x v="4"/>
    <n v="2"/>
    <x v="1"/>
    <x v="0"/>
    <x v="1"/>
    <n v="68"/>
    <s v="23 K"/>
    <n v="51"/>
    <m/>
    <s v="U"/>
    <m/>
    <d v="1899-12-30T02:41:00"/>
    <s v="20:59"/>
    <s v="SB"/>
    <s v="had small tag and had to switch to lrg tag while in trough"/>
    <s v="20140614 SBurril"/>
    <s v="20140615 DRobichaud"/>
    <s v="x"/>
    <n v="151.72499999999999"/>
    <s v="na"/>
    <s v="FWL"/>
    <s v="na"/>
    <s v="na"/>
    <s v="F1845"/>
    <s v="na"/>
    <s v="na"/>
    <s v="na"/>
    <s v="na"/>
    <s v="na"/>
  </r>
  <r>
    <n v="27"/>
    <x v="4"/>
    <n v="3"/>
    <x v="1"/>
    <x v="0"/>
    <x v="2"/>
    <n v="54"/>
    <s v="11 K"/>
    <n v="78"/>
    <m/>
    <s v="U"/>
    <m/>
    <d v="1899-12-30T01:40:00"/>
    <s v="14:55"/>
    <s v="JG"/>
    <m/>
    <s v="20140614 Astephens"/>
    <s v="20140615 DRobichaud"/>
    <s v="x"/>
    <n v="151.684"/>
    <s v="na"/>
    <s v="FWL"/>
    <s v="na"/>
    <s v="na"/>
    <s v="F1845"/>
    <s v="na"/>
    <s v="na"/>
    <s v="na"/>
    <s v="na"/>
    <s v="na"/>
  </r>
  <r>
    <n v="28"/>
    <x v="4"/>
    <n v="3"/>
    <x v="1"/>
    <x v="0"/>
    <x v="1"/>
    <n v="53"/>
    <s v="12 K"/>
    <n v="57"/>
    <m/>
    <s v="U"/>
    <m/>
    <d v="1899-12-30T01:37:00"/>
    <s v="15:01"/>
    <s v="AS"/>
    <s v="tag seemed big for the fish"/>
    <s v="20140614 Astephens"/>
    <s v="20140615 DRobichaud"/>
    <s v="x"/>
    <n v="151.72499999999999"/>
    <s v="na"/>
    <s v="FWL"/>
    <s v="na"/>
    <s v="na"/>
    <s v="F1845"/>
    <s v="na"/>
    <s v="na"/>
    <s v="na"/>
    <s v="na"/>
    <s v="na"/>
  </r>
  <r>
    <n v="29"/>
    <x v="4"/>
    <n v="3"/>
    <x v="1"/>
    <x v="0"/>
    <x v="2"/>
    <n v="36"/>
    <s v="13 K"/>
    <n v="79"/>
    <m/>
    <s v="F"/>
    <m/>
    <d v="1899-12-30T01:10:00"/>
    <s v="20:22"/>
    <s v="SB"/>
    <m/>
    <s v="20140614 SBurril"/>
    <s v="20140615 DRobichaud"/>
    <s v="x"/>
    <n v="151.684"/>
    <s v="na"/>
    <s v="FWL"/>
    <s v="na"/>
    <s v="na"/>
    <s v="F1845"/>
    <s v="na"/>
    <s v="na"/>
    <s v="na"/>
    <s v="na"/>
    <s v="na"/>
  </r>
  <r>
    <n v="30"/>
    <x v="5"/>
    <n v="1"/>
    <x v="0"/>
    <x v="0"/>
    <x v="0"/>
    <m/>
    <m/>
    <m/>
    <n v="27"/>
    <s v="U"/>
    <m/>
    <d v="1899-12-30T01:00:00"/>
    <s v="18:24"/>
    <s v="JK"/>
    <s v="pretty fish!"/>
    <s v="20140616 AStephens"/>
    <s v="20140616 DRobichaud"/>
    <s v="x"/>
    <s v="x"/>
    <s v="na"/>
    <s v="FWL"/>
    <s v="na"/>
    <s v="na"/>
    <s v="na"/>
    <s v="na"/>
    <s v="na"/>
    <s v="na"/>
    <s v="na"/>
    <s v="na"/>
  </r>
  <r>
    <n v="31"/>
    <x v="5"/>
    <n v="1"/>
    <x v="1"/>
    <x v="0"/>
    <x v="1"/>
    <n v="60"/>
    <s v="26 K"/>
    <n v="54"/>
    <m/>
    <s v="U"/>
    <m/>
    <d v="1899-12-30T03:15:00"/>
    <s v="21:57"/>
    <s v="EG"/>
    <m/>
    <s v="20140616 AStephens"/>
    <s v="20140616 DRobichaud"/>
    <s v="x"/>
    <n v="151.72499999999999"/>
    <s v="na"/>
    <s v="FWL"/>
    <s v="na"/>
    <s v="na"/>
    <s v="F1845"/>
    <s v="na"/>
    <s v="na"/>
    <s v="na"/>
    <s v="na"/>
    <s v="na"/>
  </r>
  <r>
    <n v="32"/>
    <x v="5"/>
    <n v="2"/>
    <x v="1"/>
    <x v="0"/>
    <x v="2"/>
    <n v="92"/>
    <s v="24 K"/>
    <n v="81"/>
    <m/>
    <s v="F"/>
    <m/>
    <d v="1899-12-30T01:51:00"/>
    <s v="17:55"/>
    <s v="JK"/>
    <m/>
    <s v="20140615 DRobichaud"/>
    <s v="20140616 DRobichaud"/>
    <s v="x"/>
    <n v="151.684"/>
    <s v="na"/>
    <s v="FWL"/>
    <s v="na"/>
    <s v="na"/>
    <s v="F1845"/>
    <s v="na"/>
    <s v="na"/>
    <s v="na"/>
    <s v="na"/>
    <s v="na"/>
  </r>
  <r>
    <n v="33"/>
    <x v="5"/>
    <n v="2"/>
    <x v="1"/>
    <x v="0"/>
    <x v="2"/>
    <n v="90"/>
    <s v="25 K"/>
    <n v="63"/>
    <m/>
    <s v="U"/>
    <m/>
    <d v="1899-12-30T03:01:00"/>
    <s v="21:33"/>
    <s v="KBM"/>
    <m/>
    <s v="20140615 DRobichaud"/>
    <s v="20140616 DRobichaud"/>
    <s v="x"/>
    <n v="151.684"/>
    <s v="na"/>
    <s v="FWL"/>
    <s v="na"/>
    <s v="na"/>
    <s v="F1845"/>
    <s v="na"/>
    <s v="na"/>
    <s v="na"/>
    <s v="na"/>
    <s v="na"/>
  </r>
  <r>
    <n v="34"/>
    <x v="6"/>
    <n v="1"/>
    <x v="1"/>
    <x v="0"/>
    <x v="2"/>
    <n v="31"/>
    <s v="27 K"/>
    <n v="56"/>
    <m/>
    <s v="U"/>
    <m/>
    <d v="1899-12-30T01:47:00"/>
    <s v="15:35"/>
    <s v="EG"/>
    <m/>
    <s v="20140617 AStephens"/>
    <s v="20140617 DRobichaud"/>
    <s v="x"/>
    <n v="151.684"/>
    <s v="na"/>
    <s v="FWL"/>
    <s v="na"/>
    <s v="na"/>
    <s v="F1845"/>
    <s v="na"/>
    <s v="na"/>
    <s v="na"/>
    <s v="na"/>
    <s v="na"/>
  </r>
  <r>
    <n v="35"/>
    <x v="6"/>
    <n v="1"/>
    <x v="1"/>
    <x v="0"/>
    <x v="2"/>
    <n v="33"/>
    <s v="28 K"/>
    <n v="98"/>
    <m/>
    <s v="U"/>
    <m/>
    <d v="1899-12-30T03:07:00"/>
    <s v="17:24"/>
    <s v="JK"/>
    <s v="redirected tag 3 times"/>
    <s v="20140617 AStephens"/>
    <s v="20140617 DRobichaud"/>
    <s v="x"/>
    <n v="151.684"/>
    <s v="na"/>
    <s v="FWL"/>
    <s v="na"/>
    <s v="na"/>
    <s v="F1845"/>
    <s v="na"/>
    <s v="na"/>
    <s v="na"/>
    <s v="na"/>
    <s v="na"/>
  </r>
  <r>
    <n v="36"/>
    <x v="6"/>
    <n v="1"/>
    <x v="1"/>
    <x v="0"/>
    <x v="1"/>
    <n v="23"/>
    <s v="36 K"/>
    <n v="64"/>
    <m/>
    <s v="U"/>
    <m/>
    <d v="1899-12-30T01:42:00"/>
    <s v="22:45"/>
    <s v="EG"/>
    <s v="fish dance "/>
    <s v="20140617 AStephens"/>
    <s v="20140617 DRobichaud"/>
    <s v="x"/>
    <n v="151.72499999999999"/>
    <s v="na"/>
    <s v="FWL"/>
    <s v="na"/>
    <s v="na"/>
    <s v="F1845"/>
    <s v="na"/>
    <s v="na"/>
    <s v="na"/>
    <s v="na"/>
    <s v="na"/>
  </r>
  <r>
    <n v="37"/>
    <x v="7"/>
    <n v="1"/>
    <x v="1"/>
    <x v="0"/>
    <x v="1"/>
    <n v="76"/>
    <s v="37 K"/>
    <n v="58"/>
    <m/>
    <s v="U"/>
    <m/>
    <d v="1899-12-30T01:32:00"/>
    <s v="00:36"/>
    <s v="JG"/>
    <m/>
    <s v="20140617 AStephens"/>
    <s v="20140617 DRobichaud"/>
    <s v="x"/>
    <n v="151.72499999999999"/>
    <s v="na"/>
    <s v="FWL"/>
    <s v="na"/>
    <s v="na"/>
    <s v="F1845"/>
    <s v="na"/>
    <s v="na"/>
    <s v="na"/>
    <s v="na"/>
    <s v="na"/>
  </r>
  <r>
    <n v="38"/>
    <x v="7"/>
    <n v="1"/>
    <x v="1"/>
    <x v="0"/>
    <x v="2"/>
    <n v="67"/>
    <s v="38 K"/>
    <n v="59"/>
    <m/>
    <s v="U"/>
    <m/>
    <d v="1899-12-30T01:49:00"/>
    <s v="00:43"/>
    <s v="KBM"/>
    <m/>
    <s v="20140617 AStephens"/>
    <s v="20140617 DRobichaud"/>
    <s v="x"/>
    <n v="151.684"/>
    <s v="na"/>
    <s v="FWL"/>
    <s v="na"/>
    <s v="na"/>
    <s v="F1845"/>
    <s v="na"/>
    <s v="na"/>
    <s v="na"/>
    <s v="na"/>
    <s v="na"/>
  </r>
  <r>
    <n v="39"/>
    <x v="7"/>
    <n v="1"/>
    <x v="1"/>
    <x v="0"/>
    <x v="2"/>
    <n v="20"/>
    <s v="39 K"/>
    <n v="62"/>
    <m/>
    <s v="U"/>
    <m/>
    <d v="1899-12-30T02:16:00"/>
    <s v="00:51"/>
    <s v="KBM"/>
    <m/>
    <s v="20140617 AStephens"/>
    <s v="20140617 DRobichaud"/>
    <s v="x"/>
    <n v="151.684"/>
    <s v="na"/>
    <s v="FWL"/>
    <s v="na"/>
    <s v="na"/>
    <s v="F1845"/>
    <s v="na"/>
    <s v="na"/>
    <s v="na"/>
    <s v="na"/>
    <s v="na"/>
  </r>
  <r>
    <n v="40"/>
    <x v="6"/>
    <n v="2"/>
    <x v="1"/>
    <x v="0"/>
    <x v="1"/>
    <n v="64"/>
    <s v="35 K"/>
    <n v="68"/>
    <m/>
    <s v="U"/>
    <m/>
    <d v="1899-12-30T02:05:00"/>
    <s v="19:15"/>
    <s v="JK"/>
    <m/>
    <s v="20140617 AStephens"/>
    <s v="20140617 DRobichaud"/>
    <s v="x"/>
    <n v="151.72499999999999"/>
    <s v="na"/>
    <s v="FWL"/>
    <s v="na"/>
    <s v="na"/>
    <s v="F1845"/>
    <s v="na"/>
    <s v="na"/>
    <s v="na"/>
    <s v="na"/>
    <s v="na"/>
  </r>
  <r>
    <n v="41"/>
    <x v="7"/>
    <n v="1"/>
    <x v="1"/>
    <x v="0"/>
    <x v="1"/>
    <n v="82"/>
    <s v="40 K"/>
    <n v="72"/>
    <m/>
    <s v="U"/>
    <d v="1899-12-30T08:07:00"/>
    <s v="1:18"/>
    <s v="08:18"/>
    <s v="AS"/>
    <s v="channel sleuthed to 725 (RT 6/18)"/>
    <s v="20140618 AStephens"/>
    <s v="20140618 DRobichaud"/>
    <d v="1899-12-30T00:09:42"/>
    <n v="151.72499999999999"/>
    <s v="na"/>
    <s v="FWL"/>
    <s v="na"/>
    <s v="na"/>
    <s v="F1845"/>
    <s v="na"/>
    <s v="na"/>
    <s v="na"/>
    <s v="na"/>
    <s v="na"/>
  </r>
  <r>
    <n v="42"/>
    <x v="7"/>
    <n v="1"/>
    <x v="1"/>
    <x v="0"/>
    <x v="1"/>
    <n v="51"/>
    <s v="41 K"/>
    <n v="60"/>
    <m/>
    <s v="U"/>
    <m/>
    <s v="2:15"/>
    <s v="11:19"/>
    <s v="DR"/>
    <m/>
    <s v="20140618 AStephens"/>
    <s v="20140618 DRobichaud"/>
    <s v="x"/>
    <n v="151.72499999999999"/>
    <s v="na"/>
    <s v="FWL"/>
    <s v="na"/>
    <s v="na"/>
    <s v="F1845"/>
    <s v="na"/>
    <s v="na"/>
    <s v="na"/>
    <s v="na"/>
    <s v="na"/>
  </r>
  <r>
    <n v="43"/>
    <x v="7"/>
    <n v="1"/>
    <x v="1"/>
    <x v="0"/>
    <x v="2"/>
    <n v="89"/>
    <s v="42 K"/>
    <n v="59"/>
    <m/>
    <s v="U"/>
    <m/>
    <s v="1:16"/>
    <s v="11:24"/>
    <s v="DR"/>
    <m/>
    <s v="20140618 AStephens"/>
    <s v="20140618 DRobichaud"/>
    <s v="x"/>
    <n v="151.684"/>
    <s v="na"/>
    <s v="FWL"/>
    <s v="na"/>
    <s v="na"/>
    <s v="F1845"/>
    <s v="na"/>
    <s v="na"/>
    <s v="na"/>
    <s v="na"/>
    <s v="na"/>
  </r>
  <r>
    <n v="44"/>
    <x v="7"/>
    <n v="1"/>
    <x v="1"/>
    <x v="0"/>
    <x v="1"/>
    <n v="63"/>
    <s v="43 K"/>
    <n v="53"/>
    <m/>
    <s v="U"/>
    <m/>
    <s v="1:36"/>
    <s v="15:13"/>
    <s v="JB"/>
    <m/>
    <s v="20140618 AStephens"/>
    <s v="20140618 DRobichaud"/>
    <s v="x"/>
    <n v="151.72499999999999"/>
    <s v="na"/>
    <s v="FWL"/>
    <s v="na"/>
    <s v="na"/>
    <s v="F1845"/>
    <s v="na"/>
    <s v="na"/>
    <s v="na"/>
    <s v="na"/>
    <s v="na"/>
  </r>
  <r>
    <n v="45"/>
    <x v="7"/>
    <n v="1"/>
    <x v="1"/>
    <x v="0"/>
    <x v="1"/>
    <n v="84"/>
    <s v="44 K"/>
    <n v="52"/>
    <m/>
    <s v="U"/>
    <m/>
    <s v="1:13"/>
    <s v="15:17"/>
    <s v="JB"/>
    <m/>
    <s v="20140618 AStephens"/>
    <s v="20140618 DRobichaud"/>
    <s v="x"/>
    <n v="151.72499999999999"/>
    <s v="na"/>
    <s v="FWL"/>
    <s v="na"/>
    <s v="na"/>
    <s v="F1845"/>
    <s v="na"/>
    <s v="na"/>
    <s v="na"/>
    <s v="na"/>
    <s v="na"/>
  </r>
  <r>
    <n v="46"/>
    <x v="7"/>
    <n v="1"/>
    <x v="1"/>
    <x v="0"/>
    <x v="1"/>
    <n v="18"/>
    <s v="16 K"/>
    <n v="68"/>
    <m/>
    <s v="U"/>
    <m/>
    <s v="1:25"/>
    <s v="15:22"/>
    <s v="KMB"/>
    <m/>
    <s v="20140618 AStephens"/>
    <s v="20140618 DRobichaud"/>
    <s v="x"/>
    <n v="151.72499999999999"/>
    <s v="na"/>
    <s v="FWL"/>
    <s v="na"/>
    <s v="na"/>
    <s v="F1845"/>
    <s v="na"/>
    <s v="na"/>
    <s v="na"/>
    <s v="na"/>
    <s v="na"/>
  </r>
  <r>
    <n v="47"/>
    <x v="7"/>
    <n v="1"/>
    <x v="1"/>
    <x v="0"/>
    <x v="1"/>
    <n v="92"/>
    <s v="45 K"/>
    <n v="62"/>
    <m/>
    <s v="U"/>
    <m/>
    <s v="1:16"/>
    <s v="17:26"/>
    <s v="EG"/>
    <m/>
    <s v="20140618 AStephens"/>
    <s v="20140618 DRobichaud"/>
    <s v="x"/>
    <n v="151.72499999999999"/>
    <s v="na"/>
    <s v="FWL"/>
    <s v="na"/>
    <s v="na"/>
    <s v="F1845"/>
    <s v="na"/>
    <s v="na"/>
    <s v="na"/>
    <s v="na"/>
    <s v="na"/>
  </r>
  <r>
    <n v="48"/>
    <x v="7"/>
    <n v="1"/>
    <x v="1"/>
    <x v="0"/>
    <x v="1"/>
    <n v="6"/>
    <s v="46 K"/>
    <n v="77"/>
    <m/>
    <s v="U"/>
    <m/>
    <s v="1:56"/>
    <s v="17:31"/>
    <s v="EG"/>
    <m/>
    <s v="20140618 AStephens"/>
    <s v="20140618 DRobichaud"/>
    <s v="x"/>
    <n v="151.72499999999999"/>
    <s v="na"/>
    <s v="FWL"/>
    <s v="na"/>
    <s v="na"/>
    <s v="F1845"/>
    <s v="na"/>
    <s v="na"/>
    <s v="na"/>
    <s v="na"/>
    <s v="na"/>
  </r>
  <r>
    <n v="49"/>
    <x v="7"/>
    <n v="1"/>
    <x v="1"/>
    <x v="0"/>
    <x v="2"/>
    <n v="25"/>
    <s v="48 K"/>
    <n v="55"/>
    <m/>
    <s v="U"/>
    <m/>
    <s v="1:16"/>
    <s v="19:31"/>
    <s v="AS "/>
    <s v="caught between 17:32 and 18:00"/>
    <s v="20140618 AStephens"/>
    <s v="20140618 DRobichaud"/>
    <s v="x"/>
    <n v="151.684"/>
    <s v="na"/>
    <s v="FWL"/>
    <s v="na"/>
    <s v="na"/>
    <s v="F1845"/>
    <s v="na"/>
    <s v="na"/>
    <s v="na"/>
    <s v="na"/>
    <s v="na"/>
  </r>
  <r>
    <n v="50"/>
    <x v="7"/>
    <n v="1"/>
    <x v="1"/>
    <x v="0"/>
    <x v="1"/>
    <n v="36"/>
    <s v="49 K"/>
    <n v="78"/>
    <m/>
    <s v="U"/>
    <d v="1899-12-30T19:37:00"/>
    <s v="1:38"/>
    <s v="19:44"/>
    <s v="DR"/>
    <m/>
    <s v="20140618 AStephens"/>
    <s v="20140618 DRobichaud"/>
    <d v="1899-12-30T00:05:22"/>
    <n v="151.72499999999999"/>
    <s v="na"/>
    <s v="FWL"/>
    <s v="na"/>
    <s v="na"/>
    <s v="F1845"/>
    <s v="na"/>
    <s v="na"/>
    <s v="na"/>
    <s v="na"/>
    <s v="na"/>
  </r>
  <r>
    <n v="51"/>
    <x v="7"/>
    <n v="1"/>
    <x v="1"/>
    <x v="0"/>
    <x v="1"/>
    <n v="22"/>
    <s v="50 K"/>
    <n v="68"/>
    <m/>
    <s v="U"/>
    <m/>
    <s v="1:38"/>
    <s v="23:26"/>
    <s v="JG"/>
    <m/>
    <s v="20140618 AStephens"/>
    <s v="20140618 DRobichaud"/>
    <s v="x"/>
    <n v="151.72499999999999"/>
    <s v="na"/>
    <s v="FWL"/>
    <s v="na"/>
    <s v="na"/>
    <s v="F1845"/>
    <s v="na"/>
    <s v="na"/>
    <s v="na"/>
    <s v="na"/>
    <s v="na"/>
  </r>
  <r>
    <n v="52"/>
    <x v="7"/>
    <n v="1"/>
    <x v="1"/>
    <x v="0"/>
    <x v="1"/>
    <n v="46"/>
    <s v="51 K"/>
    <n v="84"/>
    <m/>
    <s v="U"/>
    <m/>
    <s v="1:48"/>
    <s v="23:30"/>
    <s v="JG"/>
    <m/>
    <s v="20140618 AStephens"/>
    <s v="20140618 DRobichaud"/>
    <s v="x"/>
    <n v="151.72499999999999"/>
    <s v="na"/>
    <s v="FWL"/>
    <s v="na"/>
    <s v="na"/>
    <s v="F1845"/>
    <s v="na"/>
    <s v="na"/>
    <s v="na"/>
    <s v="na"/>
    <s v="na"/>
  </r>
  <r>
    <n v="53"/>
    <x v="7"/>
    <n v="1"/>
    <x v="1"/>
    <x v="0"/>
    <x v="1"/>
    <n v="0"/>
    <s v="52 K"/>
    <n v="56"/>
    <m/>
    <s v="U"/>
    <m/>
    <s v="1:23"/>
    <s v="23:35"/>
    <s v="KBM"/>
    <m/>
    <s v="20140618 AStephens"/>
    <s v="20140618 DRobichaud"/>
    <s v="x"/>
    <n v="151.72499999999999"/>
    <s v="na"/>
    <s v="FWL"/>
    <s v="na"/>
    <s v="na"/>
    <s v="F1845"/>
    <s v="na"/>
    <s v="na"/>
    <s v="na"/>
    <s v="na"/>
    <s v="na"/>
  </r>
  <r>
    <n v="54"/>
    <x v="7"/>
    <n v="2"/>
    <x v="1"/>
    <x v="0"/>
    <x v="2"/>
    <n v="28"/>
    <s v="47 K"/>
    <n v="52"/>
    <m/>
    <s v="U"/>
    <m/>
    <d v="1899-12-30T01:44:00"/>
    <s v="18:19"/>
    <s v="DR"/>
    <s v="coppery!"/>
    <s v="20140618 AStephens"/>
    <s v="20140618 DRobichaud"/>
    <s v="x"/>
    <n v="151.684"/>
    <s v="na"/>
    <s v="FWL"/>
    <s v="na"/>
    <s v="na"/>
    <s v="F1845"/>
    <s v="na"/>
    <s v="na"/>
    <s v="na"/>
    <s v="na"/>
    <s v="na"/>
  </r>
  <r>
    <n v="55"/>
    <x v="7"/>
    <n v="3"/>
    <x v="1"/>
    <x v="0"/>
    <x v="2"/>
    <n v="64"/>
    <s v="14 K"/>
    <n v="60"/>
    <m/>
    <s v="U"/>
    <m/>
    <d v="1899-12-30T02:06:00"/>
    <s v="12:23"/>
    <s v="EG"/>
    <m/>
    <s v="20140618 AStephens"/>
    <s v="20140618 DRobichaud"/>
    <s v="x"/>
    <n v="151.684"/>
    <s v="na"/>
    <s v="FWL"/>
    <s v="na"/>
    <s v="na"/>
    <s v="F1845"/>
    <s v="na"/>
    <s v="na"/>
    <s v="na"/>
    <s v="na"/>
    <s v="na"/>
  </r>
  <r>
    <n v="56"/>
    <x v="8"/>
    <n v="1"/>
    <x v="1"/>
    <x v="0"/>
    <x v="2"/>
    <n v="49"/>
    <s v="53 K"/>
    <n v="57"/>
    <m/>
    <s v="U"/>
    <d v="1899-12-30T05:45:00"/>
    <d v="1899-12-30T01:25:00"/>
    <s v="05:53"/>
    <s v="EG"/>
    <m/>
    <s v="20140618 AStephens"/>
    <s v="20140619 DRobichaud"/>
    <d v="1899-12-30T00:06:35"/>
    <n v="151.684"/>
    <s v="na"/>
    <s v="FWL"/>
    <s v="na"/>
    <s v="na"/>
    <s v="F1845"/>
    <s v="na"/>
    <s v="na"/>
    <s v="na"/>
    <s v="na"/>
    <s v="na"/>
  </r>
  <r>
    <n v="57"/>
    <x v="8"/>
    <n v="1"/>
    <x v="1"/>
    <x v="0"/>
    <x v="1"/>
    <n v="8"/>
    <s v="54 K"/>
    <n v="87"/>
    <m/>
    <s v="U"/>
    <m/>
    <d v="1899-12-30T01:48:00"/>
    <s v="09:12"/>
    <s v="AS"/>
    <m/>
    <s v="20140618 AStephens"/>
    <s v="20140619 DRobichaud"/>
    <s v="x"/>
    <n v="151.72499999999999"/>
    <s v="na"/>
    <s v="FWL"/>
    <s v="na"/>
    <s v="na"/>
    <s v="F1845"/>
    <s v="na"/>
    <s v="na"/>
    <s v="na"/>
    <s v="na"/>
    <s v="na"/>
  </r>
  <r>
    <n v="58"/>
    <x v="8"/>
    <n v="1"/>
    <x v="1"/>
    <x v="0"/>
    <x v="2"/>
    <n v="29"/>
    <s v="55 K"/>
    <n v="61"/>
    <m/>
    <s v="U"/>
    <m/>
    <d v="1899-12-30T01:35:00"/>
    <s v="10:51"/>
    <s v="JK"/>
    <m/>
    <s v="20140618 AStephens"/>
    <s v="20140619 DRobichaud"/>
    <s v="x"/>
    <n v="151.684"/>
    <s v="na"/>
    <s v="FWL"/>
    <s v="na"/>
    <s v="na"/>
    <s v="F1845"/>
    <s v="na"/>
    <s v="na"/>
    <s v="na"/>
    <s v="na"/>
    <s v="na"/>
  </r>
  <r>
    <n v="59"/>
    <x v="8"/>
    <n v="1"/>
    <x v="1"/>
    <x v="0"/>
    <x v="1"/>
    <n v="31"/>
    <s v="58 K"/>
    <n v="66"/>
    <m/>
    <s v="U"/>
    <m/>
    <d v="1899-12-30T01:33:00"/>
    <s v="12:09"/>
    <s v="JK"/>
    <m/>
    <s v="20140618 AStephens"/>
    <s v="20140619 DRobichaud"/>
    <s v="x"/>
    <n v="151.72499999999999"/>
    <s v="na"/>
    <s v="FWL"/>
    <s v="na"/>
    <s v="na"/>
    <s v="F1845"/>
    <s v="na"/>
    <s v="na"/>
    <s v="na"/>
    <s v="na"/>
    <s v="na"/>
  </r>
  <r>
    <n v="60"/>
    <x v="8"/>
    <n v="1"/>
    <x v="1"/>
    <x v="0"/>
    <x v="2"/>
    <n v="40"/>
    <s v="59 K"/>
    <n v="69"/>
    <m/>
    <s v="U"/>
    <d v="1899-12-30T12:07:00"/>
    <d v="1899-12-30T02:22:00"/>
    <s v="12:16"/>
    <s v="JK"/>
    <m/>
    <s v="20140618 AStephens"/>
    <s v="20140619 DRobichaud"/>
    <d v="1899-12-30T00:06:38"/>
    <n v="151.684"/>
    <s v="na"/>
    <s v="FWL"/>
    <s v="na"/>
    <s v="na"/>
    <s v="F1845"/>
    <s v="na"/>
    <s v="na"/>
    <s v="na"/>
    <s v="na"/>
    <s v="na"/>
  </r>
  <r>
    <n v="61"/>
    <x v="8"/>
    <n v="1"/>
    <x v="1"/>
    <x v="0"/>
    <x v="2"/>
    <n v="76"/>
    <s v="60 K"/>
    <n v="95"/>
    <m/>
    <s v="U"/>
    <d v="1899-12-30T13:15:00"/>
    <d v="1899-12-30T01:24:00"/>
    <s v="13:28"/>
    <s v="RT"/>
    <m/>
    <s v="20140618 AStephens"/>
    <s v="20140619 DRobichaud"/>
    <d v="1899-12-30T00:11:36"/>
    <n v="151.684"/>
    <s v="na"/>
    <s v="FWL"/>
    <s v="na"/>
    <s v="na"/>
    <s v="F1845"/>
    <s v="na"/>
    <s v="na"/>
    <s v="na"/>
    <s v="na"/>
    <s v="na"/>
  </r>
  <r>
    <n v="62"/>
    <x v="8"/>
    <n v="1"/>
    <x v="1"/>
    <x v="0"/>
    <x v="2"/>
    <n v="78"/>
    <s v="69 K"/>
    <n v="60"/>
    <m/>
    <s v="U"/>
    <d v="1899-12-30T15:42:00"/>
    <d v="1899-12-30T00:53:00"/>
    <s v="15:47"/>
    <s v="RT"/>
    <m/>
    <s v="20140618 AStephens"/>
    <s v="20140619 DRobichaud"/>
    <d v="1899-12-30T00:04:07"/>
    <n v="151.684"/>
    <s v="na"/>
    <s v="FWL"/>
    <s v="na"/>
    <s v="na"/>
    <s v="F1845"/>
    <s v="na"/>
    <s v="na"/>
    <s v="na"/>
    <s v="na"/>
    <s v="na"/>
  </r>
  <r>
    <n v="63"/>
    <x v="8"/>
    <n v="1"/>
    <x v="1"/>
    <x v="0"/>
    <x v="1"/>
    <n v="86"/>
    <s v="70 K"/>
    <n v="53"/>
    <m/>
    <s v="U"/>
    <d v="1899-12-30T15:57:00"/>
    <d v="1899-12-30T01:13:00"/>
    <s v="16:04"/>
    <s v="JG"/>
    <m/>
    <s v="20140618 AStephens"/>
    <s v="20140619 DRobichaud"/>
    <d v="1899-12-30T00:05:47"/>
    <n v="151.72499999999999"/>
    <s v="na"/>
    <s v="FWL"/>
    <s v="na"/>
    <s v="na"/>
    <s v="F1845"/>
    <s v="na"/>
    <s v="na"/>
    <s v="na"/>
    <s v="na"/>
    <s v="na"/>
  </r>
  <r>
    <n v="64"/>
    <x v="8"/>
    <n v="1"/>
    <x v="1"/>
    <x v="0"/>
    <x v="2"/>
    <n v="45"/>
    <s v="61 K"/>
    <n v="61"/>
    <m/>
    <s v="U"/>
    <m/>
    <d v="1899-12-30T00:59:00"/>
    <s v="16:36"/>
    <s v="RT"/>
    <m/>
    <s v="20140618 AStephens"/>
    <s v="20140619 DRobichaud"/>
    <s v="x"/>
    <n v="151.684"/>
    <s v="na"/>
    <s v="FWL"/>
    <s v="na"/>
    <s v="na"/>
    <s v="F1845"/>
    <s v="na"/>
    <s v="na"/>
    <s v="na"/>
    <s v="na"/>
    <s v="na"/>
  </r>
  <r>
    <n v="65"/>
    <x v="8"/>
    <n v="1"/>
    <x v="4"/>
    <x v="1"/>
    <x v="0"/>
    <m/>
    <m/>
    <n v="34"/>
    <m/>
    <s v="U"/>
    <m/>
    <d v="1899-12-30T00:40:00"/>
    <s v="17:45"/>
    <s v="DR"/>
    <s v="too small to tag"/>
    <s v="20140618 AStephens"/>
    <s v="20140619 DRobichaud"/>
    <s v="x"/>
    <s v="x"/>
    <s v="na"/>
    <s v="FWL"/>
    <s v="na"/>
    <s v="na"/>
    <s v="na"/>
    <s v="na"/>
    <s v="na"/>
    <s v="na"/>
    <s v="na"/>
    <s v="na"/>
  </r>
  <r>
    <n v="66"/>
    <x v="8"/>
    <n v="1"/>
    <x v="1"/>
    <x v="0"/>
    <x v="3"/>
    <n v="16"/>
    <s v="62 K"/>
    <n v="50"/>
    <m/>
    <s v="U"/>
    <m/>
    <d v="1899-12-30T02:35:00"/>
    <s v="17:52"/>
    <s v="JK"/>
    <s v="bigger tag wouldn't fit tag with smaller one"/>
    <s v="20140618 AStephens"/>
    <s v="20140619 DRobichaud"/>
    <s v="x"/>
    <n v="151.917"/>
    <s v="na"/>
    <s v="FWL"/>
    <s v="na"/>
    <s v="na"/>
    <s v="F1835"/>
    <s v="na"/>
    <s v="na"/>
    <s v="na"/>
    <s v="na"/>
    <s v="na"/>
  </r>
  <r>
    <n v="67"/>
    <x v="8"/>
    <n v="1"/>
    <x v="1"/>
    <x v="0"/>
    <x v="2"/>
    <n v="82"/>
    <s v="63 K"/>
    <n v="88"/>
    <m/>
    <s v="U"/>
    <d v="1899-12-30T18:58:00"/>
    <d v="1899-12-30T03:00:00"/>
    <s v="19:06"/>
    <s v="DR"/>
    <s v="several attempts to seat tag"/>
    <s v="20140618 AStephens"/>
    <s v="20140619 DRobichaud"/>
    <d v="1899-12-30T00:05:00"/>
    <n v="151.684"/>
    <s v="na"/>
    <s v="FWL"/>
    <s v="na"/>
    <s v="na"/>
    <s v="F1845"/>
    <s v="na"/>
    <s v="na"/>
    <s v="na"/>
    <s v="na"/>
    <s v="na"/>
  </r>
  <r>
    <n v="68"/>
    <x v="8"/>
    <n v="1"/>
    <x v="1"/>
    <x v="0"/>
    <x v="2"/>
    <n v="73"/>
    <s v="64 K"/>
    <n v="105"/>
    <m/>
    <s v="U"/>
    <d v="1899-12-30T19:34:00"/>
    <d v="1899-12-30T02:14:00"/>
    <s v="19:43"/>
    <s v="DR"/>
    <m/>
    <s v="20140618 AStephens"/>
    <s v="20140619 DRobichaud"/>
    <d v="1899-12-30T00:06:46"/>
    <n v="151.684"/>
    <s v="na"/>
    <s v="FWL"/>
    <s v="na"/>
    <s v="na"/>
    <s v="F1845"/>
    <s v="na"/>
    <s v="na"/>
    <s v="na"/>
    <s v="na"/>
    <s v="na"/>
  </r>
  <r>
    <n v="69"/>
    <x v="8"/>
    <n v="1"/>
    <x v="1"/>
    <x v="0"/>
    <x v="1"/>
    <n v="71"/>
    <s v="65 K"/>
    <n v="66"/>
    <m/>
    <s v="U"/>
    <m/>
    <d v="1899-12-30T00:57:00"/>
    <s v="21:01"/>
    <s v="JG"/>
    <m/>
    <s v="20140618 AStephens"/>
    <s v="20140619 DRobichaud"/>
    <s v="x"/>
    <n v="151.72499999999999"/>
    <s v="na"/>
    <s v="FWL"/>
    <s v="na"/>
    <s v="na"/>
    <s v="F1845"/>
    <s v="na"/>
    <s v="na"/>
    <s v="na"/>
    <s v="na"/>
    <s v="na"/>
  </r>
  <r>
    <n v="70"/>
    <x v="8"/>
    <n v="1"/>
    <x v="4"/>
    <x v="1"/>
    <x v="0"/>
    <m/>
    <m/>
    <n v="38"/>
    <m/>
    <s v="U"/>
    <m/>
    <d v="1899-12-30T01:05:00"/>
    <s v="23:03"/>
    <s v="JG"/>
    <s v="too small to tag - wouldn't go in"/>
    <s v="20140618 AStephens"/>
    <s v="20140619 DRobichaud"/>
    <s v="x"/>
    <s v="x"/>
    <s v="na"/>
    <s v="FWL"/>
    <s v="na"/>
    <s v="na"/>
    <s v="na"/>
    <s v="na"/>
    <s v="na"/>
    <s v="na"/>
    <s v="na"/>
    <s v="na"/>
  </r>
  <r>
    <n v="71"/>
    <x v="8"/>
    <n v="2"/>
    <x v="4"/>
    <x v="1"/>
    <x v="0"/>
    <m/>
    <m/>
    <n v="28"/>
    <m/>
    <s v="U"/>
    <m/>
    <d v="1899-12-30T00:38:00"/>
    <s v="8:53"/>
    <s v="AS"/>
    <s v="very small jack, too small for tag, wound near tail"/>
    <s v="20140618 AStephens"/>
    <s v="20140619 DRobichaud"/>
    <s v="x"/>
    <s v="x"/>
    <s v="na"/>
    <s v="FWL"/>
    <s v="na"/>
    <s v="na"/>
    <s v="na"/>
    <s v="na"/>
    <s v="na"/>
    <s v="na"/>
    <s v="na"/>
    <s v="na"/>
  </r>
  <r>
    <n v="72"/>
    <x v="8"/>
    <n v="2"/>
    <x v="1"/>
    <x v="0"/>
    <x v="2"/>
    <n v="62"/>
    <s v="56 K"/>
    <n v="79"/>
    <m/>
    <s v="U"/>
    <m/>
    <d v="1899-12-30T02:12:00"/>
    <s v="11:11"/>
    <s v="JK"/>
    <m/>
    <s v="20140618 AStephens"/>
    <s v="20140619 DRobichaud"/>
    <s v="x"/>
    <n v="151.684"/>
    <s v="na"/>
    <s v="FWL"/>
    <s v="na"/>
    <s v="na"/>
    <s v="F1845"/>
    <s v="na"/>
    <s v="na"/>
    <s v="na"/>
    <s v="na"/>
    <s v="na"/>
  </r>
  <r>
    <n v="73"/>
    <x v="8"/>
    <n v="2"/>
    <x v="1"/>
    <x v="0"/>
    <x v="2"/>
    <n v="2"/>
    <s v="57 K"/>
    <n v="87"/>
    <m/>
    <s v="U"/>
    <m/>
    <d v="1899-12-30T02:33:00"/>
    <s v="11:18"/>
    <s v="JK"/>
    <m/>
    <s v="20140618 AStephens"/>
    <s v="20140619 DRobichaud"/>
    <s v="x"/>
    <n v="151.684"/>
    <s v="na"/>
    <s v="FWL"/>
    <s v="na"/>
    <s v="na"/>
    <s v="F1845"/>
    <s v="na"/>
    <s v="na"/>
    <s v="na"/>
    <s v="na"/>
    <s v="na"/>
  </r>
  <r>
    <n v="74"/>
    <x v="8"/>
    <n v="2"/>
    <x v="1"/>
    <x v="0"/>
    <x v="2"/>
    <n v="34"/>
    <s v="68 K"/>
    <n v="65"/>
    <m/>
    <s v="U"/>
    <m/>
    <d v="1899-12-30T01:05:00"/>
    <s v="14:26"/>
    <s v="RT"/>
    <m/>
    <s v="20140618 RTyler"/>
    <s v="20140619 DRobichaud"/>
    <s v="x"/>
    <n v="151.684"/>
    <s v="na"/>
    <s v="FWL"/>
    <s v="na"/>
    <s v="na"/>
    <s v="F1845"/>
    <s v="na"/>
    <s v="na"/>
    <s v="na"/>
    <s v="na"/>
    <s v="na"/>
  </r>
  <r>
    <n v="75"/>
    <x v="8"/>
    <n v="3"/>
    <x v="1"/>
    <x v="0"/>
    <x v="2"/>
    <n v="87"/>
    <s v="15 K"/>
    <n v="73"/>
    <m/>
    <s v="U"/>
    <d v="1899-12-30T19:10:00"/>
    <d v="1899-12-30T01:28:00"/>
    <s v="19:18"/>
    <s v="RT"/>
    <m/>
    <s v="20140618 JGraham"/>
    <s v="20140619 DRobichaud"/>
    <d v="1899-12-30T00:06:32"/>
    <n v="151.684"/>
    <s v="na"/>
    <s v="FWL"/>
    <s v="na"/>
    <s v="na"/>
    <s v="F1845"/>
    <s v="na"/>
    <s v="na"/>
    <s v="na"/>
    <s v="na"/>
    <s v="na"/>
  </r>
  <r>
    <n v="76"/>
    <x v="8"/>
    <n v="3"/>
    <x v="0"/>
    <x v="2"/>
    <x v="0"/>
    <m/>
    <m/>
    <m/>
    <m/>
    <s v="U"/>
    <m/>
    <d v="1899-12-30T01:02:00"/>
    <s v="21:37"/>
    <s v="RT"/>
    <m/>
    <s v="20140618 JGraham"/>
    <s v="20140619 DRobichaud"/>
    <s v="x"/>
    <s v="x"/>
    <s v="na"/>
    <s v="FWL"/>
    <s v="na"/>
    <s v="na"/>
    <s v="na"/>
    <s v="na"/>
    <s v="na"/>
    <s v="na"/>
    <s v="na"/>
    <s v="na"/>
  </r>
  <r>
    <n v="77"/>
    <x v="8"/>
    <n v="3"/>
    <x v="1"/>
    <x v="0"/>
    <x v="1"/>
    <n v="4"/>
    <s v="29 K"/>
    <n v="55"/>
    <m/>
    <s v="U"/>
    <m/>
    <d v="1899-12-30T01:00:00"/>
    <s v="21:44"/>
    <s v="RT"/>
    <m/>
    <s v="20140618 JGraham"/>
    <s v="20140619 DRobichaud"/>
    <s v="x"/>
    <n v="151.72499999999999"/>
    <s v="na"/>
    <s v="FWL"/>
    <s v="na"/>
    <s v="na"/>
    <s v="F1845"/>
    <s v="na"/>
    <s v="na"/>
    <s v="na"/>
    <s v="na"/>
    <s v="na"/>
  </r>
  <r>
    <n v="78"/>
    <x v="8"/>
    <n v="3"/>
    <x v="4"/>
    <x v="1"/>
    <x v="0"/>
    <m/>
    <m/>
    <n v="33"/>
    <m/>
    <s v="U"/>
    <m/>
    <d v="1899-12-30T01:30:00"/>
    <s v="21:44"/>
    <s v="RT"/>
    <s v="scooped with above fish and processed same time"/>
    <s v="20140618 JGraham"/>
    <s v="20140619 DRobichaud"/>
    <s v="x"/>
    <s v="x"/>
    <s v="na"/>
    <s v="FWL"/>
    <s v="na"/>
    <s v="na"/>
    <s v="na"/>
    <s v="na"/>
    <s v="na"/>
    <s v="na"/>
    <s v="na"/>
    <s v="na"/>
  </r>
  <r>
    <n v="79"/>
    <x v="8"/>
    <n v="3"/>
    <x v="4"/>
    <x v="1"/>
    <x v="0"/>
    <m/>
    <m/>
    <n v="38"/>
    <m/>
    <s v="U"/>
    <d v="1899-12-30T21:56:00"/>
    <d v="1899-12-30T01:02:00"/>
    <s v="21:59"/>
    <s v="RT"/>
    <s v="too small to tag"/>
    <s v="20140618 JGraham"/>
    <s v="20140619 DRobichaud"/>
    <d v="1899-12-30T00:01:58"/>
    <s v="x"/>
    <s v="na"/>
    <s v="FWL"/>
    <s v="na"/>
    <s v="na"/>
    <s v="na"/>
    <s v="na"/>
    <s v="na"/>
    <s v="na"/>
    <s v="na"/>
    <s v="na"/>
  </r>
  <r>
    <n v="80"/>
    <x v="9"/>
    <n v="1"/>
    <x v="1"/>
    <x v="0"/>
    <x v="2"/>
    <n v="69"/>
    <s v="66 K"/>
    <n v="92"/>
    <m/>
    <s v="U"/>
    <m/>
    <d v="1899-12-30T01:48:00"/>
    <s v="12:27"/>
    <s v="JK"/>
    <m/>
    <s v="20140619 JKunzler"/>
    <s v="20140621 DRobichaud"/>
    <s v="x"/>
    <n v="151.684"/>
    <s v="na"/>
    <s v="FWL"/>
    <s v="na"/>
    <s v="na"/>
    <s v="F1845"/>
    <s v="na"/>
    <s v="na"/>
    <s v="na"/>
    <s v="na"/>
    <s v="na"/>
  </r>
  <r>
    <n v="81"/>
    <x v="9"/>
    <n v="2"/>
    <x v="0"/>
    <x v="2"/>
    <x v="0"/>
    <m/>
    <m/>
    <m/>
    <n v="18"/>
    <s v="U"/>
    <m/>
    <m/>
    <s v="21:38"/>
    <s v="KBM"/>
    <m/>
    <s v="20140619 JGraham"/>
    <s v="20140621 DRobichaud"/>
    <s v="x"/>
    <s v="x"/>
    <s v="na"/>
    <s v="FWL"/>
    <s v="na"/>
    <s v="na"/>
    <s v="na"/>
    <s v="na"/>
    <s v="na"/>
    <s v="na"/>
    <s v="na"/>
    <s v="na"/>
  </r>
  <r>
    <n v="82"/>
    <x v="9"/>
    <n v="3"/>
    <x v="4"/>
    <x v="1"/>
    <x v="0"/>
    <m/>
    <m/>
    <n v="36"/>
    <m/>
    <s v="U"/>
    <m/>
    <d v="1899-12-30T00:23:00"/>
    <s v="08:54"/>
    <s v="AS"/>
    <s v="very small fish, no tag"/>
    <s v="20140619 EGora"/>
    <s v="20140621 DRobichaud"/>
    <s v="x"/>
    <s v="x"/>
    <s v="na"/>
    <s v="FWL"/>
    <s v="na"/>
    <s v="na"/>
    <s v="na"/>
    <s v="na"/>
    <s v="na"/>
    <s v="na"/>
    <s v="na"/>
    <s v="na"/>
  </r>
  <r>
    <n v="83"/>
    <x v="9"/>
    <n v="3"/>
    <x v="1"/>
    <x v="0"/>
    <x v="1"/>
    <n v="98"/>
    <s v="30 K"/>
    <n v="66"/>
    <m/>
    <s v="U"/>
    <m/>
    <d v="1899-12-30T01:17:00"/>
    <s v="09:05"/>
    <s v="EG"/>
    <m/>
    <s v="20140619 EGora"/>
    <s v="20140621 DRobichaud"/>
    <s v="x"/>
    <n v="151.72499999999999"/>
    <s v="na"/>
    <s v="FWL"/>
    <s v="na"/>
    <s v="na"/>
    <s v="F1845"/>
    <s v="na"/>
    <s v="na"/>
    <s v="na"/>
    <s v="na"/>
    <s v="na"/>
  </r>
  <r>
    <n v="84"/>
    <x v="9"/>
    <n v="3"/>
    <x v="4"/>
    <x v="1"/>
    <x v="0"/>
    <m/>
    <m/>
    <n v="36"/>
    <m/>
    <s v="U"/>
    <m/>
    <d v="1899-12-30T00:51:00"/>
    <s v="11:09"/>
    <s v="JK"/>
    <s v="too small to tag"/>
    <s v="20140619 DRobichaud"/>
    <s v="20140621 DRobichaud"/>
    <s v="x"/>
    <s v="x"/>
    <s v="na"/>
    <s v="FWL"/>
    <s v="na"/>
    <s v="na"/>
    <s v="na"/>
    <s v="na"/>
    <s v="na"/>
    <s v="na"/>
    <s v="na"/>
    <s v="na"/>
  </r>
  <r>
    <n v="85"/>
    <x v="9"/>
    <n v="3"/>
    <x v="4"/>
    <x v="1"/>
    <x v="0"/>
    <m/>
    <m/>
    <n v="39"/>
    <m/>
    <s v="U"/>
    <m/>
    <d v="1899-12-30T00:34:00"/>
    <s v="11:12"/>
    <s v="JK"/>
    <s v="too small to tag"/>
    <s v="20140619 DRobichaud"/>
    <s v="20140621 DRobichaud"/>
    <s v="x"/>
    <s v="x"/>
    <s v="na"/>
    <s v="FWL"/>
    <s v="na"/>
    <s v="na"/>
    <s v="na"/>
    <s v="na"/>
    <s v="na"/>
    <s v="na"/>
    <s v="na"/>
    <s v="na"/>
  </r>
  <r>
    <n v="86"/>
    <x v="9"/>
    <n v="3"/>
    <x v="1"/>
    <x v="0"/>
    <x v="1"/>
    <n v="37"/>
    <s v="31 K"/>
    <n v="60"/>
    <m/>
    <s v="U"/>
    <m/>
    <d v="1899-12-30T01:32:00"/>
    <s v="12:47"/>
    <s v="DR"/>
    <m/>
    <s v="20140619 DRobichaud"/>
    <s v="20140621 DRobichaud"/>
    <s v="x"/>
    <n v="151.72499999999999"/>
    <s v="na"/>
    <s v="FWL"/>
    <s v="na"/>
    <s v="na"/>
    <s v="F1845"/>
    <s v="na"/>
    <s v="na"/>
    <s v="na"/>
    <s v="na"/>
    <s v="na"/>
  </r>
  <r>
    <n v="87"/>
    <x v="9"/>
    <n v="3"/>
    <x v="1"/>
    <x v="0"/>
    <x v="2"/>
    <n v="93"/>
    <s v="32 K"/>
    <n v="67"/>
    <m/>
    <s v="U"/>
    <m/>
    <d v="1899-12-30T01:32:00"/>
    <s v="12:54"/>
    <s v="DR"/>
    <m/>
    <s v="20140619 DRobichaud"/>
    <s v="20140621 DRobichaud"/>
    <s v="x"/>
    <n v="151.684"/>
    <s v="na"/>
    <s v="FWL"/>
    <s v="na"/>
    <s v="na"/>
    <s v="F1845"/>
    <s v="na"/>
    <s v="na"/>
    <s v="na"/>
    <s v="na"/>
    <s v="na"/>
  </r>
  <r>
    <n v="88"/>
    <x v="9"/>
    <n v="3"/>
    <x v="6"/>
    <x v="2"/>
    <x v="0"/>
    <m/>
    <s v="Bulk DV"/>
    <m/>
    <n v="31"/>
    <s v="U"/>
    <m/>
    <d v="1899-12-30T00:30:00"/>
    <s v="13:00"/>
    <s v="JK"/>
    <m/>
    <s v="20140619 DRobichaud"/>
    <s v="20140621 DRobichaud"/>
    <s v="x"/>
    <s v="x"/>
    <s v="na"/>
    <s v="FWL"/>
    <s v="na"/>
    <s v="na"/>
    <s v="na"/>
    <s v="na"/>
    <s v="na"/>
    <s v="na"/>
    <s v="na"/>
    <s v="na"/>
  </r>
  <r>
    <n v="89"/>
    <x v="9"/>
    <n v="3"/>
    <x v="4"/>
    <x v="1"/>
    <x v="0"/>
    <m/>
    <m/>
    <n v="35"/>
    <m/>
    <s v="U"/>
    <m/>
    <d v="1899-12-30T00:30:00"/>
    <s v="13:02"/>
    <s v="DR"/>
    <s v="too small to tag"/>
    <s v="20140619 DRobichaud"/>
    <s v="20140621 DRobichaud"/>
    <s v="x"/>
    <s v="x"/>
    <s v="na"/>
    <s v="FWL"/>
    <s v="na"/>
    <s v="na"/>
    <s v="na"/>
    <s v="na"/>
    <s v="na"/>
    <s v="na"/>
    <s v="na"/>
    <s v="na"/>
  </r>
  <r>
    <n v="90"/>
    <x v="9"/>
    <n v="3"/>
    <x v="1"/>
    <x v="0"/>
    <x v="1"/>
    <n v="73"/>
    <s v="78 K"/>
    <n v="79"/>
    <m/>
    <s v="U"/>
    <m/>
    <d v="1899-12-30T00:54:00"/>
    <s v="16:07"/>
    <s v="JG"/>
    <m/>
    <s v="20140619 KMatthews"/>
    <s v="20140621 DRobichaud"/>
    <s v="x"/>
    <n v="151.72499999999999"/>
    <s v="na"/>
    <s v="FWL"/>
    <s v="na"/>
    <s v="na"/>
    <s v="F1845"/>
    <s v="na"/>
    <s v="na"/>
    <s v="na"/>
    <s v="na"/>
    <s v="na"/>
  </r>
  <r>
    <n v="91"/>
    <x v="9"/>
    <n v="3"/>
    <x v="1"/>
    <x v="0"/>
    <x v="1"/>
    <n v="72"/>
    <s v="79 K"/>
    <n v="92"/>
    <m/>
    <s v="U"/>
    <m/>
    <d v="1899-12-30T03:20:00"/>
    <s v="16:13"/>
    <s v="KBM"/>
    <s v="redirected tag, fish fell on deck during release"/>
    <s v="20140619 KMatthews"/>
    <s v="20140621 DRobichaud"/>
    <s v="x"/>
    <n v="151.72499999999999"/>
    <s v="na"/>
    <s v="FWL"/>
    <s v="na"/>
    <s v="na"/>
    <s v="F1845"/>
    <s v="na"/>
    <s v="na"/>
    <s v="na"/>
    <s v="na"/>
    <s v="na"/>
  </r>
  <r>
    <n v="92"/>
    <x v="9"/>
    <n v="3"/>
    <x v="4"/>
    <x v="1"/>
    <x v="0"/>
    <m/>
    <m/>
    <n v="33"/>
    <m/>
    <s v="U"/>
    <m/>
    <d v="1899-12-30T00:50:00"/>
    <s v="16:23"/>
    <s v="KBM"/>
    <s v="too small to tag"/>
    <s v="20140619 KMatthews"/>
    <s v="20140621 DRobichaud"/>
    <s v="x"/>
    <s v="x"/>
    <s v="na"/>
    <s v="FWL"/>
    <s v="na"/>
    <s v="na"/>
    <s v="na"/>
    <s v="na"/>
    <s v="na"/>
    <s v="na"/>
    <s v="na"/>
    <s v="na"/>
  </r>
  <r>
    <n v="93"/>
    <x v="9"/>
    <n v="3"/>
    <x v="4"/>
    <x v="1"/>
    <x v="0"/>
    <m/>
    <m/>
    <n v="36"/>
    <m/>
    <s v="U"/>
    <m/>
    <d v="1899-12-30T00:30:00"/>
    <s v="17:40"/>
    <s v="DR"/>
    <s v="too small to tag"/>
    <s v="20140619 KMatthews"/>
    <s v="20140621 DRobichaud"/>
    <s v="x"/>
    <s v="x"/>
    <s v="na"/>
    <s v="FWL"/>
    <s v="na"/>
    <s v="na"/>
    <s v="na"/>
    <s v="na"/>
    <s v="na"/>
    <s v="na"/>
    <s v="na"/>
    <s v="na"/>
  </r>
  <r>
    <n v="94"/>
    <x v="9"/>
    <n v="3"/>
    <x v="4"/>
    <x v="1"/>
    <x v="0"/>
    <m/>
    <m/>
    <n v="35"/>
    <m/>
    <s v="U"/>
    <m/>
    <d v="1899-12-30T00:25:00"/>
    <s v="19:45"/>
    <s v="DR"/>
    <s v="too small to tag"/>
    <s v="20140619 KMatthews"/>
    <s v="20140621 DRobichaud"/>
    <s v="x"/>
    <s v="x"/>
    <s v="na"/>
    <s v="FWL"/>
    <s v="na"/>
    <s v="na"/>
    <s v="na"/>
    <s v="na"/>
    <s v="na"/>
    <s v="na"/>
    <s v="na"/>
    <s v="na"/>
  </r>
  <r>
    <n v="95"/>
    <x v="9"/>
    <n v="3"/>
    <x v="1"/>
    <x v="0"/>
    <x v="2"/>
    <n v="16"/>
    <s v="80 K"/>
    <n v="63"/>
    <m/>
    <s v="U"/>
    <m/>
    <d v="1899-12-30T02:04:00"/>
    <s v="19:52"/>
    <s v="JK"/>
    <s v="2 tries for tag insertion"/>
    <s v="20140619 DRobichaud"/>
    <s v="20140621 DRobichaud"/>
    <s v="x"/>
    <n v="151.684"/>
    <s v="na"/>
    <s v="FWL"/>
    <s v="na"/>
    <s v="na"/>
    <s v="F1845"/>
    <s v="na"/>
    <s v="na"/>
    <s v="na"/>
    <s v="na"/>
    <s v="na"/>
  </r>
  <r>
    <n v="96"/>
    <x v="9"/>
    <n v="3"/>
    <x v="1"/>
    <x v="0"/>
    <x v="2"/>
    <n v="47"/>
    <s v="81 K"/>
    <n v="61"/>
    <m/>
    <s v="U"/>
    <m/>
    <d v="1899-12-30T01:34:00"/>
    <s v="22:25"/>
    <s v="JG"/>
    <m/>
    <s v="20140619 JGraham"/>
    <s v="20140621 DRobichaud"/>
    <s v="x"/>
    <n v="151.684"/>
    <s v="na"/>
    <s v="FWL"/>
    <s v="na"/>
    <s v="na"/>
    <s v="F1845"/>
    <s v="na"/>
    <s v="na"/>
    <s v="na"/>
    <s v="na"/>
    <s v="na"/>
  </r>
  <r>
    <n v="97"/>
    <x v="10"/>
    <n v="1"/>
    <x v="1"/>
    <x v="0"/>
    <x v="1"/>
    <n v="12"/>
    <s v="33 K"/>
    <n v="68"/>
    <m/>
    <s v="U"/>
    <m/>
    <d v="1899-12-30T01:30:00"/>
    <s v="8:32"/>
    <s v="EG"/>
    <m/>
    <s v="20140620 AStephens"/>
    <s v="20140621 DRobichaud"/>
    <s v="x"/>
    <n v="151.72499999999999"/>
    <s v="na"/>
    <s v="FWL"/>
    <s v="na"/>
    <s v="na"/>
    <s v="F1845"/>
    <s v="na"/>
    <s v="na"/>
    <s v="na"/>
    <s v="na"/>
    <s v="na"/>
  </r>
  <r>
    <n v="98"/>
    <x v="10"/>
    <n v="1"/>
    <x v="4"/>
    <x v="1"/>
    <x v="3"/>
    <n v="40"/>
    <s v="34 K"/>
    <n v="48"/>
    <m/>
    <s v="U"/>
    <m/>
    <d v="1899-12-30T01:17:00"/>
    <s v="8:36"/>
    <s v="AS"/>
    <m/>
    <s v="20140620 AStephens"/>
    <s v="20140621 DRobichaud"/>
    <s v="x"/>
    <n v="151.917"/>
    <s v="na"/>
    <s v="FWL"/>
    <s v="na"/>
    <s v="na"/>
    <s v="F1835"/>
    <s v="na"/>
    <s v="na"/>
    <s v="na"/>
    <s v="na"/>
    <s v="na"/>
  </r>
  <r>
    <n v="99"/>
    <x v="10"/>
    <n v="1"/>
    <x v="1"/>
    <x v="0"/>
    <x v="1"/>
    <n v="74"/>
    <s v="72 K"/>
    <n v="88"/>
    <m/>
    <s v="U"/>
    <d v="1899-12-30T16:49:00"/>
    <d v="1899-12-30T01:09:00"/>
    <s v="16:54"/>
    <s v="EG"/>
    <m/>
    <s v="20140620 AStephens"/>
    <s v="20140621 DRobichaud"/>
    <d v="1899-12-30T00:03:51"/>
    <n v="151.72499999999999"/>
    <s v="na"/>
    <s v="FWL"/>
    <s v="na"/>
    <s v="na"/>
    <s v="F1845"/>
    <s v="na"/>
    <s v="na"/>
    <s v="na"/>
    <s v="na"/>
    <s v="na"/>
  </r>
  <r>
    <n v="100"/>
    <x v="10"/>
    <n v="1"/>
    <x v="1"/>
    <x v="0"/>
    <x v="1"/>
    <n v="17"/>
    <s v="71 K"/>
    <n v="69"/>
    <m/>
    <s v="U"/>
    <m/>
    <d v="1899-12-30T01:27:00"/>
    <s v="16:56"/>
    <s v="JG"/>
    <m/>
    <s v="20140620 EGora"/>
    <s v="20140621 DRobichaud"/>
    <s v="x"/>
    <n v="151.72499999999999"/>
    <s v="na"/>
    <s v="FWL"/>
    <s v="na"/>
    <s v="na"/>
    <s v="F1845"/>
    <s v="na"/>
    <s v="na"/>
    <s v="na"/>
    <s v="na"/>
    <s v="na"/>
  </r>
  <r>
    <n v="101"/>
    <x v="10"/>
    <n v="1"/>
    <x v="1"/>
    <x v="0"/>
    <x v="0"/>
    <m/>
    <s v="73 K"/>
    <n v="90"/>
    <m/>
    <s v="U"/>
    <m/>
    <d v="1899-12-30T02:45:00"/>
    <s v="17:05"/>
    <s v="KBM"/>
    <s v="tried tagging 3x, tagged popped out on release, released fish"/>
    <s v="20140620 EGora"/>
    <s v="20140621 DRobichaud"/>
    <s v="x"/>
    <s v="x"/>
    <s v="na"/>
    <s v="FWL"/>
    <s v="na"/>
    <s v="na"/>
    <s v="na"/>
    <s v="na"/>
    <s v="na"/>
    <s v="na"/>
    <s v="na"/>
    <s v="na"/>
  </r>
  <r>
    <n v="102"/>
    <x v="10"/>
    <n v="1"/>
    <x v="1"/>
    <x v="0"/>
    <x v="2"/>
    <n v="30"/>
    <s v="74 K"/>
    <n v="63"/>
    <m/>
    <s v="U"/>
    <m/>
    <d v="1899-12-30T01:58:00"/>
    <s v="17:09"/>
    <s v="KBM"/>
    <s v="channel and code not recorded."/>
    <s v="20140620 EGora"/>
    <s v="20140621 DRobichaud"/>
    <s v="x"/>
    <n v="151.684"/>
    <s v="na"/>
    <s v="FWL"/>
    <s v="na"/>
    <s v="na"/>
    <s v="F1845"/>
    <s v="na"/>
    <s v="na"/>
    <s v="na"/>
    <s v="na"/>
    <s v="na"/>
  </r>
  <r>
    <n v="103"/>
    <x v="10"/>
    <n v="1"/>
    <x v="1"/>
    <x v="0"/>
    <x v="1"/>
    <n v="67"/>
    <s v="76 K"/>
    <n v="81"/>
    <m/>
    <s v="U"/>
    <d v="1899-12-30T18:34:00"/>
    <d v="1899-12-30T03:23:00"/>
    <s v="18:46"/>
    <s v="JB"/>
    <m/>
    <s v="20140620 DRobichaud"/>
    <s v="20140621 DRobichaud"/>
    <d v="1899-12-30T00:08:37"/>
    <n v="151.72499999999999"/>
    <s v="na"/>
    <s v="FWL"/>
    <s v="na"/>
    <s v="na"/>
    <s v="F1845"/>
    <s v="na"/>
    <s v="na"/>
    <s v="na"/>
    <s v="na"/>
    <s v="na"/>
  </r>
  <r>
    <n v="104"/>
    <x v="10"/>
    <n v="1"/>
    <x v="1"/>
    <x v="0"/>
    <x v="2"/>
    <n v="99"/>
    <s v="77 K"/>
    <n v="56"/>
    <m/>
    <s v="U"/>
    <m/>
    <d v="1899-12-30T02:20:00"/>
    <s v="18:51"/>
    <s v="JB"/>
    <s v="sore on side"/>
    <s v="20140620 DRobichaud"/>
    <s v="20140621 DRobichaud"/>
    <s v="x"/>
    <n v="151.684"/>
    <s v="na"/>
    <s v="FWL"/>
    <s v="na"/>
    <s v="na"/>
    <s v="F1845"/>
    <s v="na"/>
    <s v="na"/>
    <s v="na"/>
    <s v="na"/>
    <s v="na"/>
  </r>
  <r>
    <n v="105"/>
    <x v="10"/>
    <n v="1"/>
    <x v="4"/>
    <x v="1"/>
    <x v="0"/>
    <m/>
    <m/>
    <n v="33"/>
    <m/>
    <s v="U"/>
    <m/>
    <d v="1899-12-30T00:46:00"/>
    <s v="20:54"/>
    <s v="KBM"/>
    <s v="too small for tag"/>
    <s v="20140620 JGraham"/>
    <s v="20140621 DRobichaud"/>
    <s v="x"/>
    <s v="x"/>
    <s v="na"/>
    <s v="FWL"/>
    <s v="na"/>
    <s v="na"/>
    <s v="na"/>
    <s v="na"/>
    <s v="na"/>
    <s v="na"/>
    <s v="na"/>
    <s v="na"/>
  </r>
  <r>
    <n v="106"/>
    <x v="10"/>
    <n v="1"/>
    <x v="1"/>
    <x v="0"/>
    <x v="2"/>
    <n v="59"/>
    <s v="94 K"/>
    <n v="67"/>
    <m/>
    <s v="U"/>
    <m/>
    <d v="1899-12-30T01:54:00"/>
    <s v="23:13"/>
    <s v="JG"/>
    <m/>
    <s v="20140620 JGraham"/>
    <s v="20140621 DRobichaud"/>
    <s v="x"/>
    <n v="151.684"/>
    <s v="na"/>
    <s v="FWL"/>
    <s v="na"/>
    <s v="na"/>
    <s v="F1845"/>
    <s v="na"/>
    <s v="na"/>
    <s v="na"/>
    <s v="na"/>
    <s v="na"/>
  </r>
  <r>
    <n v="107"/>
    <x v="10"/>
    <n v="2"/>
    <x v="1"/>
    <x v="0"/>
    <x v="2"/>
    <n v="4"/>
    <s v="67 K"/>
    <n v="64"/>
    <m/>
    <s v="U"/>
    <m/>
    <d v="1899-12-30T01:20:00"/>
    <s v="10:20"/>
    <s v="JK"/>
    <m/>
    <s v="20140620 JKunzler"/>
    <s v="20140621 DRobichaud"/>
    <s v="x"/>
    <n v="151.684"/>
    <s v="na"/>
    <s v="FWL"/>
    <s v="na"/>
    <s v="na"/>
    <s v="F1845"/>
    <s v="na"/>
    <s v="na"/>
    <s v="na"/>
    <s v="na"/>
    <s v="na"/>
  </r>
  <r>
    <n v="108"/>
    <x v="10"/>
    <n v="2"/>
    <x v="1"/>
    <x v="0"/>
    <x v="1"/>
    <n v="89"/>
    <s v="75 K"/>
    <n v="99"/>
    <m/>
    <s v="U"/>
    <m/>
    <d v="1899-12-30T02:16:00"/>
    <s v="18:24"/>
    <s v="DR"/>
    <m/>
    <s v="20140620 DRobichaud"/>
    <s v="20140621 DRobichaud"/>
    <s v="x"/>
    <n v="151.72499999999999"/>
    <s v="na"/>
    <s v="FWL"/>
    <s v="na"/>
    <s v="na"/>
    <s v="F1845"/>
    <s v="na"/>
    <s v="na"/>
    <s v="na"/>
    <s v="na"/>
    <s v="na"/>
  </r>
  <r>
    <n v="109"/>
    <x v="10"/>
    <n v="3"/>
    <x v="1"/>
    <x v="0"/>
    <x v="2"/>
    <n v="85"/>
    <s v="82 K"/>
    <n v="64"/>
    <m/>
    <s v="U"/>
    <m/>
    <d v="1899-12-30T01:22:00"/>
    <s v="7:49"/>
    <s v="AS"/>
    <m/>
    <s v="20140620 AStephens"/>
    <s v="20140621 DRobichaud"/>
    <s v="x"/>
    <n v="151.684"/>
    <s v="na"/>
    <s v="FWL"/>
    <s v="na"/>
    <s v="na"/>
    <s v="F1845"/>
    <s v="na"/>
    <s v="na"/>
    <s v="na"/>
    <s v="na"/>
    <s v="na"/>
  </r>
  <r>
    <n v="110"/>
    <x v="10"/>
    <n v="3"/>
    <x v="1"/>
    <x v="0"/>
    <x v="2"/>
    <n v="22"/>
    <s v="83 K"/>
    <n v="64"/>
    <m/>
    <s v="U"/>
    <m/>
    <d v="1899-12-30T01:29:00"/>
    <s v="10:56"/>
    <s v="JK"/>
    <m/>
    <s v="20140620 JKunzler"/>
    <s v="20140621 DRobichaud"/>
    <s v="x"/>
    <n v="151.684"/>
    <s v="na"/>
    <s v="FWL"/>
    <s v="na"/>
    <s v="na"/>
    <s v="F1845"/>
    <s v="na"/>
    <s v="na"/>
    <s v="na"/>
    <s v="na"/>
    <s v="na"/>
  </r>
  <r>
    <n v="111"/>
    <x v="10"/>
    <n v="3"/>
    <x v="1"/>
    <x v="0"/>
    <x v="1"/>
    <n v="7"/>
    <s v="84 K"/>
    <n v="97"/>
    <m/>
    <s v="U"/>
    <m/>
    <d v="1899-12-30T02:20:00"/>
    <s v="11:00"/>
    <s v="DR"/>
    <m/>
    <s v="20140620 JKunzler"/>
    <s v="20140621 DRobichaud"/>
    <s v="x"/>
    <n v="151.72499999999999"/>
    <s v="na"/>
    <s v="FWL"/>
    <s v="na"/>
    <s v="na"/>
    <s v="F1845"/>
    <s v="na"/>
    <s v="na"/>
    <s v="na"/>
    <s v="na"/>
    <s v="na"/>
  </r>
  <r>
    <n v="112"/>
    <x v="10"/>
    <n v="3"/>
    <x v="4"/>
    <x v="1"/>
    <x v="0"/>
    <m/>
    <m/>
    <n v="37"/>
    <m/>
    <s v="U"/>
    <m/>
    <d v="1899-12-30T01:00:00"/>
    <s v="11:04"/>
    <s v="WC"/>
    <m/>
    <s v="20140620 JKunzler"/>
    <s v="20140621 DRobichaud"/>
    <s v="x"/>
    <s v="x"/>
    <s v="na"/>
    <s v="FWL"/>
    <s v="na"/>
    <s v="na"/>
    <s v="na"/>
    <s v="na"/>
    <s v="na"/>
    <s v="na"/>
    <s v="na"/>
    <s v="na"/>
  </r>
  <r>
    <n v="113"/>
    <x v="10"/>
    <n v="3"/>
    <x v="1"/>
    <x v="0"/>
    <x v="1"/>
    <n v="62"/>
    <s v="85 K"/>
    <n v="74"/>
    <m/>
    <s v="U"/>
    <m/>
    <d v="1899-12-30T01:48:00"/>
    <s v="13:21"/>
    <s v="DR"/>
    <m/>
    <s v="20140620 JKunzler"/>
    <s v="20140621 DRobichaud"/>
    <s v="x"/>
    <n v="151.72499999999999"/>
    <s v="na"/>
    <s v="FWL"/>
    <s v="na"/>
    <s v="na"/>
    <s v="F1845"/>
    <s v="na"/>
    <s v="na"/>
    <s v="na"/>
    <s v="na"/>
    <s v="na"/>
  </r>
  <r>
    <n v="114"/>
    <x v="10"/>
    <n v="3"/>
    <x v="4"/>
    <x v="1"/>
    <x v="0"/>
    <m/>
    <m/>
    <n v="31"/>
    <m/>
    <s v="U"/>
    <d v="1899-12-30T14:06:00"/>
    <d v="1899-12-30T00:27:00"/>
    <s v="14:07"/>
    <s v="EG"/>
    <s v="too small to tag"/>
    <s v="20140620 JKunzler"/>
    <s v="20140621 DRobichaud"/>
    <d v="1899-12-30T00:00:33"/>
    <s v="x"/>
    <s v="na"/>
    <s v="FWL"/>
    <s v="na"/>
    <s v="na"/>
    <s v="na"/>
    <s v="na"/>
    <s v="na"/>
    <s v="na"/>
    <s v="na"/>
    <s v="na"/>
  </r>
  <r>
    <n v="115"/>
    <x v="10"/>
    <n v="3"/>
    <x v="1"/>
    <x v="0"/>
    <x v="2"/>
    <n v="39"/>
    <s v="86 K"/>
    <n v="63"/>
    <m/>
    <s v="U"/>
    <d v="1899-12-30T17:50:00"/>
    <d v="1899-12-30T03:18:00"/>
    <s v="17:59"/>
    <s v="JB"/>
    <s v="3x to seat tag"/>
    <s v="20140620 DRobichaud"/>
    <s v="20140621 DRobichaud"/>
    <d v="1899-12-30T00:05:42"/>
    <n v="151.684"/>
    <s v="na"/>
    <s v="FWL"/>
    <s v="na"/>
    <s v="na"/>
    <s v="F1845"/>
    <s v="na"/>
    <s v="na"/>
    <s v="na"/>
    <s v="na"/>
    <s v="na"/>
  </r>
  <r>
    <n v="116"/>
    <x v="10"/>
    <n v="3"/>
    <x v="4"/>
    <x v="1"/>
    <x v="0"/>
    <m/>
    <m/>
    <n v="35"/>
    <m/>
    <s v="U"/>
    <m/>
    <d v="1899-12-30T01:20:00"/>
    <s v="19:13"/>
    <s v="WC"/>
    <s v="too small to tag"/>
    <s v="20140620 DRobichaud"/>
    <s v="20140621 DRobichaud"/>
    <s v="x"/>
    <s v="x"/>
    <s v="na"/>
    <s v="FWL"/>
    <s v="na"/>
    <s v="na"/>
    <s v="na"/>
    <s v="na"/>
    <s v="na"/>
    <s v="na"/>
    <s v="na"/>
    <s v="na"/>
  </r>
  <r>
    <n v="117"/>
    <x v="10"/>
    <n v="3"/>
    <x v="3"/>
    <x v="2"/>
    <x v="0"/>
    <m/>
    <m/>
    <m/>
    <n v="28"/>
    <s v="U"/>
    <m/>
    <d v="1899-12-30T01:10:00"/>
    <s v="19:13"/>
    <s v="WC"/>
    <m/>
    <s v="20140620 DRobichaud"/>
    <s v="20140621 DRobichaud"/>
    <s v="x"/>
    <s v="x"/>
    <s v="na"/>
    <s v="FWL"/>
    <s v="na"/>
    <s v="na"/>
    <s v="na"/>
    <s v="na"/>
    <s v="na"/>
    <s v="na"/>
    <s v="na"/>
    <s v="na"/>
  </r>
  <r>
    <n v="118"/>
    <x v="10"/>
    <n v="3"/>
    <x v="1"/>
    <x v="0"/>
    <x v="2"/>
    <n v="72"/>
    <s v="87 K"/>
    <n v="56"/>
    <m/>
    <s v="U"/>
    <m/>
    <d v="1899-12-30T01:48:00"/>
    <s v="21:15"/>
    <s v="KBM"/>
    <m/>
    <s v="20140620 KMatthews"/>
    <s v="20140621 DRobichaud"/>
    <s v="x"/>
    <n v="151.684"/>
    <s v="na"/>
    <s v="FWL"/>
    <s v="na"/>
    <s v="na"/>
    <s v="F1845"/>
    <s v="na"/>
    <s v="na"/>
    <s v="na"/>
    <s v="na"/>
    <s v="na"/>
  </r>
  <r>
    <n v="119"/>
    <x v="10"/>
    <n v="3"/>
    <x v="1"/>
    <x v="0"/>
    <x v="1"/>
    <n v="25"/>
    <s v="88 K"/>
    <n v="63"/>
    <m/>
    <s v="U"/>
    <m/>
    <d v="1899-12-30T01:32:00"/>
    <s v="21:21"/>
    <s v="JG"/>
    <m/>
    <s v="20140620 KMatthews"/>
    <s v="20140621 DRobichaud"/>
    <s v="x"/>
    <n v="151.72499999999999"/>
    <s v="na"/>
    <s v="FWL"/>
    <s v="na"/>
    <s v="na"/>
    <s v="F1845"/>
    <s v="na"/>
    <s v="na"/>
    <s v="na"/>
    <s v="na"/>
    <s v="na"/>
  </r>
  <r>
    <n v="120"/>
    <x v="10"/>
    <n v="3"/>
    <x v="2"/>
    <x v="2"/>
    <x v="0"/>
    <m/>
    <m/>
    <m/>
    <n v="41"/>
    <s v="U"/>
    <m/>
    <d v="1899-12-30T00:30:00"/>
    <s v="22:32"/>
    <s v="KBM"/>
    <s v="no genetic sample taken"/>
    <s v="20140620 KMatthews"/>
    <s v="20140621 DRobichaud"/>
    <s v="x"/>
    <s v="x"/>
    <s v="na"/>
    <s v="FWL"/>
    <s v="na"/>
    <s v="na"/>
    <s v="na"/>
    <s v="na"/>
    <s v="na"/>
    <s v="na"/>
    <s v="na"/>
    <s v="na"/>
  </r>
  <r>
    <n v="121"/>
    <x v="11"/>
    <n v="1"/>
    <x v="4"/>
    <x v="1"/>
    <x v="3"/>
    <n v="74"/>
    <s v="95 K"/>
    <n v="45"/>
    <m/>
    <s v="U"/>
    <m/>
    <d v="1899-12-30T01:29:00"/>
    <d v="1899-12-30T07:12:00"/>
    <s v="LA"/>
    <m/>
    <s v="20140621 EGore"/>
    <s v="20140622 DRobichaud"/>
    <s v="x"/>
    <n v="151.917"/>
    <s v="na"/>
    <s v="FWL"/>
    <s v="na"/>
    <s v="na"/>
    <s v="F1835"/>
    <s v="na"/>
    <s v="na"/>
    <s v="na"/>
    <s v="na"/>
    <s v="na"/>
  </r>
  <r>
    <n v="122"/>
    <x v="11"/>
    <n v="1"/>
    <x v="4"/>
    <x v="1"/>
    <x v="0"/>
    <m/>
    <m/>
    <n v="30"/>
    <m/>
    <s v="U"/>
    <m/>
    <d v="1899-12-30T00:20:00"/>
    <d v="1899-12-30T07:16:00"/>
    <s v="EG"/>
    <s v="too small to tag"/>
    <s v="20140621 EGore"/>
    <s v="20140622 DRobichaud"/>
    <s v="x"/>
    <s v="x"/>
    <s v="na"/>
    <s v="FWL"/>
    <s v="na"/>
    <s v="na"/>
    <s v="na"/>
    <s v="na"/>
    <s v="na"/>
    <s v="na"/>
    <s v="na"/>
    <s v="na"/>
  </r>
  <r>
    <n v="123"/>
    <x v="11"/>
    <n v="1"/>
    <x v="4"/>
    <x v="1"/>
    <x v="3"/>
    <n v="53"/>
    <s v="96 K"/>
    <n v="43"/>
    <m/>
    <s v="U"/>
    <m/>
    <d v="1899-12-30T01:20:00"/>
    <d v="1899-12-30T07:19:00"/>
    <s v="LA"/>
    <m/>
    <s v="20140621 EGore"/>
    <s v="20140622 DRobichaud"/>
    <s v="x"/>
    <n v="151.917"/>
    <s v="na"/>
    <s v="FWL"/>
    <s v="na"/>
    <s v="na"/>
    <s v="F1835"/>
    <s v="na"/>
    <s v="na"/>
    <s v="na"/>
    <s v="na"/>
    <s v="na"/>
  </r>
  <r>
    <n v="124"/>
    <x v="11"/>
    <n v="1"/>
    <x v="1"/>
    <x v="0"/>
    <x v="1"/>
    <n v="87"/>
    <s v="97 K"/>
    <n v="69"/>
    <m/>
    <s v="U"/>
    <d v="1899-12-30T06:57:00"/>
    <d v="1899-12-30T01:07:00"/>
    <d v="1899-12-30T07:21:00"/>
    <s v="EG"/>
    <m/>
    <s v="20140621 EGore"/>
    <s v="20140622 DRobichaud"/>
    <d v="1899-12-30T00:22:53"/>
    <n v="151.72499999999999"/>
    <s v="na"/>
    <s v="FWL"/>
    <s v="na"/>
    <s v="na"/>
    <s v="F1845"/>
    <s v="na"/>
    <s v="na"/>
    <s v="na"/>
    <s v="na"/>
    <s v="na"/>
  </r>
  <r>
    <n v="125"/>
    <x v="11"/>
    <n v="1"/>
    <x v="6"/>
    <x v="2"/>
    <x v="0"/>
    <m/>
    <s v="Bulk DV"/>
    <m/>
    <n v="20"/>
    <s v="U"/>
    <m/>
    <d v="1899-12-30T01:20:00"/>
    <d v="1899-12-30T07:37:00"/>
    <s v="LA"/>
    <m/>
    <s v="20140621 EGore"/>
    <s v="20140622 DRobichaud"/>
    <s v="x"/>
    <s v="x"/>
    <s v="na"/>
    <s v="FWL"/>
    <s v="na"/>
    <s v="na"/>
    <s v="na"/>
    <s v="na"/>
    <s v="na"/>
    <s v="na"/>
    <s v="na"/>
    <s v="na"/>
  </r>
  <r>
    <n v="126"/>
    <x v="11"/>
    <n v="1"/>
    <x v="4"/>
    <x v="1"/>
    <x v="0"/>
    <m/>
    <m/>
    <n v="34"/>
    <m/>
    <s v="U"/>
    <m/>
    <d v="1899-12-30T00:23:00"/>
    <d v="1899-12-30T09:15:00"/>
    <s v="EG"/>
    <s v="too small to tag"/>
    <s v="20140621 EGore"/>
    <s v="20140622 DRobichaud"/>
    <s v="x"/>
    <s v="x"/>
    <s v="na"/>
    <s v="FWL"/>
    <s v="na"/>
    <s v="na"/>
    <s v="na"/>
    <s v="na"/>
    <s v="na"/>
    <s v="na"/>
    <s v="na"/>
    <s v="na"/>
  </r>
  <r>
    <n v="127"/>
    <x v="11"/>
    <n v="1"/>
    <x v="4"/>
    <x v="1"/>
    <x v="0"/>
    <m/>
    <m/>
    <n v="32"/>
    <m/>
    <s v="U"/>
    <m/>
    <d v="1899-12-30T00:36:00"/>
    <d v="1899-12-30T09:18:00"/>
    <s v="LA"/>
    <s v="too small to tag"/>
    <s v="20140621 EGore"/>
    <s v="20140622 DRobichaud"/>
    <s v="x"/>
    <s v="x"/>
    <s v="na"/>
    <s v="FWL"/>
    <s v="na"/>
    <s v="na"/>
    <s v="na"/>
    <s v="na"/>
    <s v="na"/>
    <s v="na"/>
    <s v="na"/>
    <s v="na"/>
  </r>
  <r>
    <n v="128"/>
    <x v="11"/>
    <n v="1"/>
    <x v="4"/>
    <x v="1"/>
    <x v="0"/>
    <m/>
    <m/>
    <n v="35.5"/>
    <m/>
    <s v="U"/>
    <d v="1899-12-30T10:38:00"/>
    <d v="1899-12-30T00:55:00"/>
    <d v="1899-12-30T10:42:00"/>
    <s v="JB"/>
    <s v="too small to tag"/>
    <s v="20140621 JBerry"/>
    <s v="20140622 DRobichaud"/>
    <d v="1899-12-30T00:03:05"/>
    <s v="x"/>
    <s v="na"/>
    <s v="FWL"/>
    <s v="na"/>
    <s v="na"/>
    <s v="na"/>
    <s v="na"/>
    <s v="na"/>
    <s v="na"/>
    <s v="na"/>
    <s v="na"/>
  </r>
  <r>
    <n v="129"/>
    <x v="11"/>
    <n v="1"/>
    <x v="1"/>
    <x v="0"/>
    <x v="2"/>
    <n v="24"/>
    <s v="98 K"/>
    <n v="55"/>
    <m/>
    <s v="U"/>
    <d v="1899-12-30T11:16:00"/>
    <d v="1899-12-30T02:02:00"/>
    <d v="1899-12-30T11:23:00"/>
    <s v="JB"/>
    <m/>
    <s v="20140621 JBerry"/>
    <s v="20140622 DRobichaud"/>
    <d v="1899-12-30T00:04:58"/>
    <n v="151.684"/>
    <s v="na"/>
    <s v="FWL"/>
    <s v="na"/>
    <s v="na"/>
    <s v="F1845"/>
    <s v="na"/>
    <s v="na"/>
    <s v="na"/>
    <s v="na"/>
    <s v="na"/>
  </r>
  <r>
    <n v="130"/>
    <x v="11"/>
    <n v="1"/>
    <x v="4"/>
    <x v="1"/>
    <x v="0"/>
    <m/>
    <m/>
    <n v="36"/>
    <m/>
    <s v="U"/>
    <d v="1899-12-30T12:58:00"/>
    <d v="1899-12-30T01:00:00"/>
    <d v="1899-12-30T13:02:00"/>
    <s v="JB"/>
    <s v="too small to tag"/>
    <s v="20140621 JBerry"/>
    <s v="20140622 DRobichaud"/>
    <d v="1899-12-30T00:03:00"/>
    <s v="x"/>
    <s v="na"/>
    <s v="FWL"/>
    <s v="na"/>
    <s v="na"/>
    <s v="na"/>
    <s v="na"/>
    <s v="na"/>
    <s v="na"/>
    <s v="na"/>
    <s v="na"/>
  </r>
  <r>
    <n v="131"/>
    <x v="11"/>
    <n v="1"/>
    <x v="4"/>
    <x v="1"/>
    <x v="0"/>
    <m/>
    <m/>
    <n v="31"/>
    <m/>
    <s v="U"/>
    <d v="1899-12-30T13:53:00"/>
    <d v="1899-12-30T00:35:00"/>
    <d v="1899-12-30T13:57:00"/>
    <s v="JB"/>
    <s v="too small to tag"/>
    <s v="20140621 JBerry"/>
    <s v="20140622 DRobichaud"/>
    <d v="1899-12-30T00:03:25"/>
    <s v="x"/>
    <s v="na"/>
    <s v="FWL"/>
    <s v="na"/>
    <s v="na"/>
    <s v="na"/>
    <s v="na"/>
    <s v="na"/>
    <s v="na"/>
    <s v="na"/>
    <s v="na"/>
  </r>
  <r>
    <n v="132"/>
    <x v="11"/>
    <n v="1"/>
    <x v="1"/>
    <x v="0"/>
    <x v="1"/>
    <n v="2"/>
    <s v="99 K"/>
    <n v="76"/>
    <m/>
    <s v="U"/>
    <m/>
    <d v="1899-12-30T01:21:00"/>
    <d v="1899-12-30T15:46:00"/>
    <s v="DR"/>
    <m/>
    <s v="20140621 EGore"/>
    <s v="20140622 DRobichaud"/>
    <s v="x"/>
    <n v="151.72499999999999"/>
    <s v="na"/>
    <s v="FWL"/>
    <s v="na"/>
    <s v="na"/>
    <s v="F1845"/>
    <s v="na"/>
    <s v="na"/>
    <s v="na"/>
    <s v="na"/>
    <s v="na"/>
  </r>
  <r>
    <n v="133"/>
    <x v="11"/>
    <n v="1"/>
    <x v="4"/>
    <x v="1"/>
    <x v="0"/>
    <m/>
    <m/>
    <n v="33"/>
    <m/>
    <s v="U"/>
    <m/>
    <d v="1899-12-30T00:25:00"/>
    <d v="1899-12-30T15:48:00"/>
    <s v="DR"/>
    <s v="too small to tag"/>
    <s v="20140621 EGore"/>
    <s v="20140622 DRobichaud"/>
    <s v="x"/>
    <s v="x"/>
    <s v="na"/>
    <s v="FWL"/>
    <s v="na"/>
    <s v="na"/>
    <s v="na"/>
    <s v="na"/>
    <s v="na"/>
    <s v="na"/>
    <s v="na"/>
    <s v="na"/>
  </r>
  <r>
    <n v="134"/>
    <x v="11"/>
    <n v="1"/>
    <x v="1"/>
    <x v="0"/>
    <x v="1"/>
    <n v="21"/>
    <s v="100 K"/>
    <n v="98"/>
    <m/>
    <s v="U"/>
    <d v="1899-12-30T15:46:00"/>
    <d v="1899-12-30T02:17:00"/>
    <d v="1899-12-30T15:54:00"/>
    <s v="DR"/>
    <m/>
    <s v="20140621 EGore"/>
    <s v="20140622 DRobichaud"/>
    <d v="1899-12-30T00:05:43"/>
    <n v="151.72499999999999"/>
    <s v="na"/>
    <s v="FWL"/>
    <s v="na"/>
    <s v="na"/>
    <s v="F1845"/>
    <s v="na"/>
    <s v="na"/>
    <s v="na"/>
    <s v="na"/>
    <s v="na"/>
  </r>
  <r>
    <n v="135"/>
    <x v="11"/>
    <n v="1"/>
    <x v="1"/>
    <x v="0"/>
    <x v="2"/>
    <n v="50"/>
    <s v="103 K"/>
    <n v="59"/>
    <m/>
    <s v="U"/>
    <d v="1899-12-30T15:44:00"/>
    <d v="1899-12-30T01:16:00"/>
    <d v="1899-12-30T15:57:00"/>
    <s v="EG"/>
    <m/>
    <s v="20140621 EGore"/>
    <s v="20140622 DRobichaud"/>
    <d v="1899-12-30T00:11:44"/>
    <n v="151.684"/>
    <s v="na"/>
    <s v="FWL"/>
    <s v="na"/>
    <s v="na"/>
    <s v="F1845"/>
    <s v="na"/>
    <s v="na"/>
    <s v="na"/>
    <s v="na"/>
    <s v="na"/>
  </r>
  <r>
    <n v="136"/>
    <x v="11"/>
    <n v="1"/>
    <x v="1"/>
    <x v="0"/>
    <x v="0"/>
    <m/>
    <m/>
    <m/>
    <m/>
    <s v="U"/>
    <d v="1899-12-30T16:46:00"/>
    <m/>
    <d v="1899-12-30T16:57:00"/>
    <s v="LA"/>
    <s v="fish hit deck, released without tag"/>
    <s v="20140621 EGore"/>
    <s v="20140622 DRobichaud"/>
    <d v="1899-12-30T00:11:00"/>
    <s v="x"/>
    <s v="na"/>
    <s v="FWL"/>
    <s v="na"/>
    <s v="na"/>
    <s v="na"/>
    <s v="na"/>
    <s v="na"/>
    <s v="na"/>
    <s v="na"/>
    <s v="na"/>
  </r>
  <r>
    <n v="137"/>
    <x v="11"/>
    <n v="1"/>
    <x v="1"/>
    <x v="0"/>
    <x v="2"/>
    <n v="27"/>
    <s v="104 K"/>
    <n v="82"/>
    <m/>
    <s v="U"/>
    <m/>
    <d v="1899-12-30T01:30:00"/>
    <d v="1899-12-30T18:50:00"/>
    <s v="LA"/>
    <m/>
    <s v="20140621 EGore"/>
    <s v="20140622 DRobichaud"/>
    <s v="x"/>
    <n v="151.684"/>
    <s v="na"/>
    <s v="FWL"/>
    <s v="na"/>
    <s v="na"/>
    <s v="F1845"/>
    <s v="na"/>
    <s v="na"/>
    <s v="na"/>
    <s v="na"/>
    <s v="na"/>
  </r>
  <r>
    <n v="138"/>
    <x v="11"/>
    <n v="1"/>
    <x v="1"/>
    <x v="0"/>
    <x v="2"/>
    <n v="70"/>
    <s v="105 K"/>
    <n v="85"/>
    <m/>
    <s v="U"/>
    <m/>
    <d v="1899-12-30T01:28:00"/>
    <d v="1899-12-30T19:37:00"/>
    <s v="JG"/>
    <m/>
    <s v="20140621 JBerry"/>
    <s v="20140622 DRobichaud"/>
    <s v="x"/>
    <n v="151.684"/>
    <s v="na"/>
    <s v="FWL"/>
    <s v="na"/>
    <s v="na"/>
    <s v="F1845"/>
    <s v="na"/>
    <s v="na"/>
    <s v="na"/>
    <s v="na"/>
    <s v="na"/>
  </r>
  <r>
    <n v="139"/>
    <x v="11"/>
    <n v="1"/>
    <x v="1"/>
    <x v="0"/>
    <x v="1"/>
    <n v="95"/>
    <s v="106 K"/>
    <n v="61"/>
    <m/>
    <s v="U"/>
    <m/>
    <d v="1899-12-30T01:09:00"/>
    <d v="1899-12-30T20:31:00"/>
    <s v="JB"/>
    <m/>
    <s v="20140621 JBerry"/>
    <s v="20140622 DRobichaud"/>
    <s v="x"/>
    <n v="151.72499999999999"/>
    <s v="na"/>
    <s v="FWL"/>
    <s v="na"/>
    <s v="na"/>
    <s v="F1845"/>
    <s v="na"/>
    <s v="na"/>
    <s v="na"/>
    <s v="na"/>
    <s v="na"/>
  </r>
  <r>
    <n v="140"/>
    <x v="11"/>
    <n v="1"/>
    <x v="4"/>
    <x v="1"/>
    <x v="0"/>
    <m/>
    <m/>
    <n v="34"/>
    <m/>
    <s v="U"/>
    <m/>
    <d v="1899-12-30T00:28:00"/>
    <d v="1899-12-30T21:05:00"/>
    <s v="JG"/>
    <s v="too small to tag"/>
    <s v="20140621 JBerry"/>
    <s v="20140622 DRobichaud"/>
    <s v="x"/>
    <s v="x"/>
    <s v="na"/>
    <s v="FWL"/>
    <s v="na"/>
    <s v="na"/>
    <s v="na"/>
    <s v="na"/>
    <s v="na"/>
    <s v="na"/>
    <s v="na"/>
    <s v="na"/>
  </r>
  <r>
    <n v="141"/>
    <x v="11"/>
    <n v="1"/>
    <x v="4"/>
    <x v="1"/>
    <x v="0"/>
    <m/>
    <m/>
    <n v="36"/>
    <m/>
    <s v="U"/>
    <d v="1899-12-30T22:39:00"/>
    <d v="1899-12-30T00:34:00"/>
    <d v="1899-12-30T22:40:00"/>
    <s v="JG"/>
    <s v="too small to tag"/>
    <s v="20140621 JBerry"/>
    <s v="20140622 DRobichaud"/>
    <d v="1899-12-30T00:00:26"/>
    <s v="x"/>
    <s v="na"/>
    <s v="FWL"/>
    <s v="na"/>
    <s v="na"/>
    <s v="na"/>
    <s v="na"/>
    <s v="na"/>
    <s v="na"/>
    <s v="na"/>
    <s v="na"/>
  </r>
  <r>
    <n v="142"/>
    <x v="11"/>
    <n v="3"/>
    <x v="1"/>
    <x v="0"/>
    <x v="2"/>
    <n v="66"/>
    <s v="89 K"/>
    <n v="98"/>
    <m/>
    <s v="U"/>
    <d v="1899-12-30T06:38:00"/>
    <d v="1899-12-30T02:09:00"/>
    <d v="1899-12-30T06:53:00"/>
    <s v="DR"/>
    <m/>
    <s v="20140621 DRobichaud"/>
    <s v="20140622 DRobichaud"/>
    <d v="1899-12-30T00:12:51"/>
    <n v="151.684"/>
    <s v="na"/>
    <s v="FWL"/>
    <s v="na"/>
    <s v="na"/>
    <s v="F1845"/>
    <s v="na"/>
    <s v="na"/>
    <s v="na"/>
    <s v="na"/>
    <s v="na"/>
  </r>
  <r>
    <n v="143"/>
    <x v="11"/>
    <n v="3"/>
    <x v="1"/>
    <x v="0"/>
    <x v="1"/>
    <n v="91"/>
    <s v="90 K"/>
    <n v="64"/>
    <m/>
    <s v="U"/>
    <d v="1899-12-30T06:37:00"/>
    <d v="1899-12-30T01:43:00"/>
    <d v="1899-12-30T06:57:00"/>
    <s v="DR"/>
    <m/>
    <s v="20140621 DRobichaud"/>
    <s v="20140622 DRobichaud"/>
    <d v="1899-12-30T00:18:17"/>
    <n v="151.72499999999999"/>
    <s v="na"/>
    <s v="FWL"/>
    <s v="na"/>
    <s v="na"/>
    <s v="F1845"/>
    <s v="na"/>
    <s v="na"/>
    <s v="na"/>
    <s v="na"/>
    <s v="na"/>
  </r>
  <r>
    <n v="144"/>
    <x v="11"/>
    <n v="3"/>
    <x v="3"/>
    <x v="2"/>
    <x v="0"/>
    <m/>
    <m/>
    <m/>
    <n v="33"/>
    <s v="U"/>
    <d v="1899-12-30T07:50:00"/>
    <d v="1899-12-30T00:56:00"/>
    <d v="1899-12-30T07:52:00"/>
    <s v="DR"/>
    <m/>
    <s v="20140621 DRobichaud"/>
    <s v="20140622 DRobichaud"/>
    <d v="1899-12-30T00:01:04"/>
    <s v="x"/>
    <s v="na"/>
    <s v="FWL"/>
    <s v="na"/>
    <s v="na"/>
    <s v="na"/>
    <s v="na"/>
    <s v="na"/>
    <s v="na"/>
    <s v="na"/>
    <s v="na"/>
  </r>
  <r>
    <n v="145"/>
    <x v="11"/>
    <n v="3"/>
    <x v="1"/>
    <x v="0"/>
    <x v="1"/>
    <n v="39"/>
    <s v="91 K"/>
    <n v="52"/>
    <m/>
    <s v="U"/>
    <d v="1899-12-30T08:17:00"/>
    <d v="1899-12-30T01:52:00"/>
    <d v="1899-12-30T08:26:00"/>
    <s v="BK"/>
    <m/>
    <s v="20140621 DRobichaud"/>
    <s v="20140622 DRobichaud"/>
    <d v="1899-12-30T00:07:08"/>
    <n v="151.72499999999999"/>
    <s v="na"/>
    <s v="FWL"/>
    <s v="na"/>
    <s v="na"/>
    <s v="F1845"/>
    <s v="na"/>
    <s v="na"/>
    <s v="na"/>
    <s v="na"/>
    <s v="na"/>
  </r>
  <r>
    <n v="146"/>
    <x v="11"/>
    <n v="3"/>
    <x v="3"/>
    <x v="2"/>
    <x v="0"/>
    <m/>
    <m/>
    <m/>
    <n v="23"/>
    <s v="U"/>
    <d v="1899-12-30T07:50:00"/>
    <d v="1899-12-30T00:30:00"/>
    <d v="1899-12-30T09:50:00"/>
    <s v="DR"/>
    <m/>
    <s v="20140621 DRobichaud"/>
    <s v="20140622 DRobichaud"/>
    <d v="1899-12-30T01:59:30"/>
    <s v="x"/>
    <s v="na"/>
    <s v="FWL"/>
    <s v="na"/>
    <s v="na"/>
    <s v="na"/>
    <s v="na"/>
    <s v="na"/>
    <s v="na"/>
    <s v="na"/>
    <s v="na"/>
  </r>
  <r>
    <n v="147"/>
    <x v="11"/>
    <n v="3"/>
    <x v="4"/>
    <x v="1"/>
    <x v="0"/>
    <m/>
    <m/>
    <n v="34"/>
    <m/>
    <s v="U"/>
    <m/>
    <d v="1899-12-30T00:30:00"/>
    <d v="1899-12-30T10:25:00"/>
    <s v="JG"/>
    <s v="too small to tag"/>
    <s v="20140621 KBMatthews"/>
    <s v="20140622 DRobichaud"/>
    <s v="x"/>
    <s v="x"/>
    <s v="na"/>
    <s v="FWL"/>
    <s v="na"/>
    <s v="na"/>
    <s v="na"/>
    <s v="na"/>
    <s v="na"/>
    <s v="na"/>
    <s v="na"/>
    <s v="na"/>
  </r>
  <r>
    <n v="148"/>
    <x v="11"/>
    <n v="3"/>
    <x v="1"/>
    <x v="0"/>
    <x v="2"/>
    <n v="37"/>
    <s v="92 K"/>
    <n v="68"/>
    <m/>
    <s v="U"/>
    <m/>
    <d v="1899-12-30T02:10:00"/>
    <d v="1899-12-30T10:32:00"/>
    <s v="KBM"/>
    <m/>
    <s v="20140621 KBMatthews"/>
    <s v="20140622 DRobichaud"/>
    <s v="x"/>
    <n v="151.684"/>
    <s v="na"/>
    <s v="FWL"/>
    <s v="na"/>
    <s v="na"/>
    <s v="F1845"/>
    <s v="na"/>
    <s v="na"/>
    <s v="na"/>
    <s v="na"/>
    <s v="na"/>
  </r>
  <r>
    <n v="149"/>
    <x v="11"/>
    <n v="3"/>
    <x v="4"/>
    <x v="1"/>
    <x v="0"/>
    <m/>
    <m/>
    <n v="34"/>
    <m/>
    <s v="U"/>
    <m/>
    <d v="1899-12-30T00:51:00"/>
    <d v="1899-12-30T13:09:00"/>
    <s v="JG"/>
    <s v="too small to tag"/>
    <s v="20140621 KBMatthews"/>
    <s v="20140622 DRobichaud"/>
    <s v="x"/>
    <s v="x"/>
    <s v="na"/>
    <s v="FWL"/>
    <s v="na"/>
    <s v="na"/>
    <s v="na"/>
    <s v="na"/>
    <s v="na"/>
    <s v="na"/>
    <s v="na"/>
    <s v="na"/>
  </r>
  <r>
    <n v="150"/>
    <x v="11"/>
    <n v="3"/>
    <x v="1"/>
    <x v="0"/>
    <x v="1"/>
    <n v="79"/>
    <s v="93 K"/>
    <n v="68"/>
    <m/>
    <s v="U"/>
    <d v="1899-12-30T13:21:00"/>
    <d v="1899-12-30T01:30:00"/>
    <d v="1899-12-30T13:29:00"/>
    <s v="JG"/>
    <m/>
    <s v="20140621 KBMatthews"/>
    <s v="20140622 DRobichaud"/>
    <d v="1899-12-30T00:06:30"/>
    <n v="151.72499999999999"/>
    <s v="na"/>
    <s v="FWL"/>
    <s v="na"/>
    <s v="na"/>
    <s v="F1845"/>
    <s v="na"/>
    <s v="na"/>
    <s v="na"/>
    <s v="na"/>
    <s v="na"/>
  </r>
  <r>
    <n v="151"/>
    <x v="11"/>
    <n v="3"/>
    <x v="1"/>
    <x v="0"/>
    <x v="1"/>
    <n v="20"/>
    <s v="101 K"/>
    <n v="79"/>
    <m/>
    <s v="U"/>
    <m/>
    <d v="1899-12-30T01:30:00"/>
    <d v="1899-12-30T15:12:00"/>
    <s v="DR"/>
    <s v="nose injury"/>
    <s v="20140621 EGore"/>
    <s v="20140622 DRobichaud"/>
    <s v="x"/>
    <n v="151.72499999999999"/>
    <s v="na"/>
    <s v="FWL"/>
    <s v="na"/>
    <s v="na"/>
    <s v="F1845"/>
    <s v="na"/>
    <s v="na"/>
    <s v="na"/>
    <s v="na"/>
    <s v="na"/>
  </r>
  <r>
    <n v="152"/>
    <x v="11"/>
    <n v="3"/>
    <x v="1"/>
    <x v="0"/>
    <x v="1"/>
    <n v="5"/>
    <s v="102 K"/>
    <n v="74"/>
    <m/>
    <s v="U"/>
    <m/>
    <d v="1899-12-30T01:41:00"/>
    <d v="1899-12-30T15:15:00"/>
    <s v="DR"/>
    <m/>
    <s v="20140621 EGore"/>
    <s v="20140622 DRobichaud"/>
    <s v="x"/>
    <n v="151.72499999999999"/>
    <s v="na"/>
    <s v="FWL"/>
    <s v="na"/>
    <s v="na"/>
    <s v="F1845"/>
    <s v="na"/>
    <s v="na"/>
    <s v="na"/>
    <s v="na"/>
    <s v="na"/>
  </r>
  <r>
    <n v="153"/>
    <x v="11"/>
    <n v="3"/>
    <x v="1"/>
    <x v="0"/>
    <x v="1"/>
    <n v="9"/>
    <s v="110 K"/>
    <n v="60"/>
    <m/>
    <s v="U"/>
    <m/>
    <d v="1899-12-30T01:59:00"/>
    <d v="1899-12-30T15:19:00"/>
    <s v="DR"/>
    <m/>
    <s v="20140621 EGore"/>
    <s v="20140622 DRobichaud"/>
    <s v="x"/>
    <n v="151.72499999999999"/>
    <s v="na"/>
    <s v="FWL"/>
    <s v="na"/>
    <s v="na"/>
    <s v="F1845"/>
    <s v="na"/>
    <s v="na"/>
    <s v="na"/>
    <s v="na"/>
    <s v="na"/>
  </r>
  <r>
    <n v="154"/>
    <x v="11"/>
    <n v="3"/>
    <x v="1"/>
    <x v="0"/>
    <x v="1"/>
    <n v="47"/>
    <s v="111 K"/>
    <n v="56"/>
    <m/>
    <s v="U"/>
    <m/>
    <d v="1899-12-30T01:45:00"/>
    <d v="1899-12-30T15:23:00"/>
    <s v="DR"/>
    <s v="took 2 attempts to seat tag"/>
    <s v="20140621 EGore"/>
    <s v="20140622 DRobichaud"/>
    <s v="x"/>
    <n v="151.72499999999999"/>
    <s v="na"/>
    <s v="FWL"/>
    <s v="na"/>
    <s v="na"/>
    <s v="F1845"/>
    <s v="na"/>
    <s v="na"/>
    <s v="na"/>
    <s v="na"/>
    <s v="na"/>
  </r>
  <r>
    <n v="155"/>
    <x v="11"/>
    <n v="3"/>
    <x v="1"/>
    <x v="0"/>
    <x v="2"/>
    <n v="8"/>
    <s v="112 K"/>
    <n v="76"/>
    <m/>
    <s v="U"/>
    <m/>
    <d v="1899-12-30T01:15:00"/>
    <d v="1899-12-30T16:19:00"/>
    <s v="DR"/>
    <m/>
    <s v="20140621 EGore"/>
    <s v="20140622 DRobichaud"/>
    <s v="x"/>
    <n v="151.684"/>
    <s v="na"/>
    <s v="FWL"/>
    <s v="na"/>
    <s v="na"/>
    <s v="F1845"/>
    <s v="na"/>
    <s v="na"/>
    <s v="na"/>
    <s v="na"/>
    <s v="na"/>
  </r>
  <r>
    <n v="156"/>
    <x v="11"/>
    <n v="3"/>
    <x v="1"/>
    <x v="0"/>
    <x v="0"/>
    <m/>
    <m/>
    <n v="103"/>
    <m/>
    <s v="U"/>
    <m/>
    <d v="1899-12-30T02:25:00"/>
    <d v="1899-12-30T17:22:00"/>
    <s v="EG"/>
    <s v="fish spit tag prior to release"/>
    <s v="20140621 EGore"/>
    <s v="20140622 DRobichaud"/>
    <s v="x"/>
    <s v="x"/>
    <s v="na"/>
    <s v="FWL"/>
    <s v="na"/>
    <s v="na"/>
    <s v="na"/>
    <s v="na"/>
    <s v="na"/>
    <s v="na"/>
    <s v="na"/>
    <s v="na"/>
  </r>
  <r>
    <n v="157"/>
    <x v="11"/>
    <n v="3"/>
    <x v="1"/>
    <x v="0"/>
    <x v="2"/>
    <n v="91"/>
    <s v="113 K"/>
    <n v="96"/>
    <m/>
    <s v="U"/>
    <m/>
    <d v="1899-12-30T04:00:00"/>
    <d v="1899-12-30T19:46:00"/>
    <s v="WC"/>
    <m/>
    <s v="20140621 KBMatthews"/>
    <s v="20140622 DRobichaud"/>
    <s v="x"/>
    <n v="151.684"/>
    <s v="na"/>
    <s v="FWL"/>
    <s v="na"/>
    <s v="na"/>
    <s v="F1845"/>
    <s v="na"/>
    <s v="na"/>
    <s v="na"/>
    <s v="na"/>
    <s v="na"/>
  </r>
  <r>
    <n v="158"/>
    <x v="11"/>
    <n v="3"/>
    <x v="4"/>
    <x v="1"/>
    <x v="0"/>
    <m/>
    <m/>
    <n v="32"/>
    <m/>
    <s v="U"/>
    <m/>
    <d v="1899-12-30T00:35:00"/>
    <d v="1899-12-30T19:39:00"/>
    <s v="WC"/>
    <s v="too small to tag"/>
    <s v="20140621 KBMatthews"/>
    <s v="20140622 DRobichaud"/>
    <s v="x"/>
    <s v="x"/>
    <s v="na"/>
    <s v="FWL"/>
    <s v="na"/>
    <s v="na"/>
    <s v="na"/>
    <s v="na"/>
    <s v="na"/>
    <s v="na"/>
    <s v="na"/>
    <s v="na"/>
  </r>
  <r>
    <n v="159"/>
    <x v="11"/>
    <n v="3"/>
    <x v="4"/>
    <x v="1"/>
    <x v="0"/>
    <m/>
    <m/>
    <n v="29"/>
    <m/>
    <s v="U"/>
    <m/>
    <d v="1899-12-30T00:29:00"/>
    <d v="1899-12-30T19:50:00"/>
    <s v="WC"/>
    <s v="too small to tag"/>
    <s v="20140621 KBMatthews"/>
    <s v="20140622 DRobichaud"/>
    <s v="x"/>
    <s v="x"/>
    <s v="na"/>
    <s v="FWL"/>
    <s v="na"/>
    <s v="na"/>
    <s v="na"/>
    <s v="na"/>
    <s v="na"/>
    <s v="na"/>
    <s v="na"/>
    <s v="na"/>
  </r>
  <r>
    <n v="160"/>
    <x v="11"/>
    <n v="3"/>
    <x v="1"/>
    <x v="0"/>
    <x v="1"/>
    <n v="43"/>
    <s v="114 K"/>
    <n v="67"/>
    <m/>
    <s v="U"/>
    <m/>
    <d v="1899-12-30T01:53:00"/>
    <d v="1899-12-30T20:01:00"/>
    <s v="KBM"/>
    <m/>
    <s v="20140621 KBMatthews"/>
    <s v="20140622 DRobichaud"/>
    <s v="x"/>
    <n v="151.72499999999999"/>
    <s v="na"/>
    <s v="FWL"/>
    <s v="na"/>
    <s v="na"/>
    <s v="F1845"/>
    <s v="na"/>
    <s v="na"/>
    <s v="na"/>
    <s v="na"/>
    <s v="na"/>
  </r>
  <r>
    <n v="161"/>
    <x v="11"/>
    <n v="3"/>
    <x v="1"/>
    <x v="0"/>
    <x v="1"/>
    <n v="27"/>
    <s v="115 K"/>
    <n v="51"/>
    <m/>
    <s v="U"/>
    <d v="1899-12-30T20:42:00"/>
    <d v="1899-12-30T02:00:00"/>
    <d v="1899-12-30T20:54:00"/>
    <s v="WC"/>
    <m/>
    <s v="20140621 KBMatthews"/>
    <s v="20140622 DRobichaud"/>
    <d v="1899-12-30T00:10:00"/>
    <n v="151.72499999999999"/>
    <s v="na"/>
    <s v="FWL"/>
    <s v="na"/>
    <s v="na"/>
    <s v="F1845"/>
    <s v="na"/>
    <s v="na"/>
    <s v="na"/>
    <s v="na"/>
    <s v="na"/>
  </r>
  <r>
    <n v="162"/>
    <x v="11"/>
    <n v="3"/>
    <x v="3"/>
    <x v="2"/>
    <x v="0"/>
    <m/>
    <m/>
    <m/>
    <n v="36"/>
    <s v="U"/>
    <m/>
    <d v="1899-12-30T00:45:00"/>
    <d v="1899-12-30T21:08:00"/>
    <s v="KBM"/>
    <m/>
    <s v="20140621 KBMatthews"/>
    <s v="20140622 DRobichaud"/>
    <s v="x"/>
    <s v="x"/>
    <s v="na"/>
    <s v="FWL"/>
    <s v="na"/>
    <s v="na"/>
    <s v="na"/>
    <s v="na"/>
    <s v="na"/>
    <s v="na"/>
    <s v="na"/>
    <s v="na"/>
  </r>
  <r>
    <n v="163"/>
    <x v="11"/>
    <n v="3"/>
    <x v="4"/>
    <x v="1"/>
    <x v="0"/>
    <m/>
    <m/>
    <n v="33"/>
    <m/>
    <s v="U"/>
    <m/>
    <d v="1899-12-30T00:32:00"/>
    <d v="1899-12-30T21:09:00"/>
    <s v="KBM"/>
    <s v="too small to tag"/>
    <s v="20140621 KBMatthews"/>
    <s v="20140622 DRobichaud"/>
    <s v="x"/>
    <s v="x"/>
    <s v="na"/>
    <s v="FWL"/>
    <s v="na"/>
    <s v="na"/>
    <s v="na"/>
    <s v="na"/>
    <s v="na"/>
    <s v="na"/>
    <s v="na"/>
    <s v="na"/>
  </r>
  <r>
    <n v="164"/>
    <x v="11"/>
    <n v="3"/>
    <x v="4"/>
    <x v="1"/>
    <x v="0"/>
    <m/>
    <m/>
    <n v="34"/>
    <m/>
    <s v="U"/>
    <m/>
    <d v="1899-12-30T00:45:00"/>
    <d v="1899-12-30T23:12:00"/>
    <s v="KBM"/>
    <s v="too small to tag"/>
    <s v="20140621 KBMatthews"/>
    <s v="20140622 DRobichaud"/>
    <s v="x"/>
    <s v="x"/>
    <s v="na"/>
    <s v="FWL"/>
    <s v="na"/>
    <s v="na"/>
    <s v="na"/>
    <s v="na"/>
    <s v="na"/>
    <s v="na"/>
    <s v="na"/>
    <s v="na"/>
  </r>
  <r>
    <n v="165"/>
    <x v="12"/>
    <n v="1"/>
    <x v="1"/>
    <x v="0"/>
    <x v="1"/>
    <n v="83"/>
    <s v="107 K"/>
    <n v="86"/>
    <m/>
    <s v="U"/>
    <m/>
    <d v="1899-12-30T01:50:00"/>
    <d v="1899-12-30T14:30:00"/>
    <s v="WC"/>
    <s v="code not recorded, sleuthed to 83"/>
    <s v="20140622 WChallenger"/>
    <s v="20140623 DRobichaud"/>
    <s v="x"/>
    <n v="151.72499999999999"/>
    <s v="na"/>
    <s v="FWL"/>
    <s v="na"/>
    <s v="na"/>
    <s v="F1845"/>
    <s v="na"/>
    <s v="na"/>
    <s v="na"/>
    <s v="na"/>
    <s v="na"/>
  </r>
  <r>
    <n v="166"/>
    <x v="12"/>
    <n v="1"/>
    <x v="1"/>
    <x v="0"/>
    <x v="2"/>
    <n v="6"/>
    <s v="109 K"/>
    <n v="63"/>
    <m/>
    <s v="U"/>
    <m/>
    <d v="1899-12-30T01:06:00"/>
    <d v="1899-12-30T18:57:00"/>
    <s v="DR"/>
    <m/>
    <s v="20140622 DRobichaud"/>
    <s v="20140623 DRobichaud"/>
    <s v="x"/>
    <n v="151.684"/>
    <s v="na"/>
    <s v="FWL"/>
    <s v="na"/>
    <s v="na"/>
    <s v="F1845"/>
    <s v="na"/>
    <s v="na"/>
    <s v="na"/>
    <s v="na"/>
    <s v="na"/>
  </r>
  <r>
    <n v="167"/>
    <x v="12"/>
    <n v="1"/>
    <x v="4"/>
    <x v="1"/>
    <x v="0"/>
    <m/>
    <m/>
    <n v="35"/>
    <m/>
    <s v="U"/>
    <m/>
    <d v="1899-12-30T00:26:00"/>
    <d v="1899-12-30T19:44:00"/>
    <s v="KBM"/>
    <s v="too small to tag"/>
    <s v="20140622 KBMatthews"/>
    <s v="20140623 DRobichaud"/>
    <s v="x"/>
    <s v="x"/>
    <s v="na"/>
    <s v="FWL"/>
    <s v="na"/>
    <s v="na"/>
    <s v="na"/>
    <s v="na"/>
    <s v="na"/>
    <s v="na"/>
    <s v="na"/>
    <s v="na"/>
  </r>
  <r>
    <n v="168"/>
    <x v="12"/>
    <n v="1"/>
    <x v="1"/>
    <x v="0"/>
    <x v="2"/>
    <n v="11"/>
    <s v="121 K"/>
    <n v="88"/>
    <m/>
    <s v="U"/>
    <d v="1899-12-30T20:54:00"/>
    <d v="1899-12-30T01:48:00"/>
    <d v="1899-12-30T21:07:00"/>
    <s v="KBM"/>
    <m/>
    <s v="20140622 KBMatthews"/>
    <s v="20140623 DRobichaud"/>
    <d v="1899-12-30T00:11:12"/>
    <n v="151.684"/>
    <s v="na"/>
    <s v="FWL"/>
    <s v="na"/>
    <s v="na"/>
    <s v="F1845"/>
    <s v="na"/>
    <s v="na"/>
    <s v="na"/>
    <s v="na"/>
    <s v="na"/>
  </r>
  <r>
    <n v="169"/>
    <x v="12"/>
    <n v="2"/>
    <x v="1"/>
    <x v="0"/>
    <x v="2"/>
    <n v="23"/>
    <s v="108 K"/>
    <n v="87"/>
    <m/>
    <s v="U"/>
    <m/>
    <d v="1899-12-30T01:28:00"/>
    <s v="15:30"/>
    <s v="DR"/>
    <m/>
    <s v="20140622 DRobichaud"/>
    <s v="20140623 DRobichaud"/>
    <s v="x"/>
    <n v="151.684"/>
    <s v="na"/>
    <s v="FWL"/>
    <s v="na"/>
    <s v="na"/>
    <s v="F1845"/>
    <s v="na"/>
    <s v="na"/>
    <s v="na"/>
    <s v="na"/>
    <s v="na"/>
  </r>
  <r>
    <n v="170"/>
    <x v="12"/>
    <n v="3"/>
    <x v="4"/>
    <x v="1"/>
    <x v="0"/>
    <m/>
    <m/>
    <n v="37"/>
    <m/>
    <s v="U"/>
    <m/>
    <d v="1899-12-30T00:46:00"/>
    <d v="1899-12-30T07:25:00"/>
    <s v="LA"/>
    <s v="too small to tag"/>
    <s v="20140622 EGore"/>
    <s v="20140623 DRobichaud"/>
    <s v="x"/>
    <s v="x"/>
    <s v="na"/>
    <s v="FWL"/>
    <s v="na"/>
    <s v="na"/>
    <s v="na"/>
    <s v="na"/>
    <s v="na"/>
    <s v="na"/>
    <s v="na"/>
    <s v="na"/>
  </r>
  <r>
    <n v="171"/>
    <x v="12"/>
    <n v="3"/>
    <x v="1"/>
    <x v="0"/>
    <x v="2"/>
    <n v="7"/>
    <s v="116 K"/>
    <n v="61"/>
    <m/>
    <s v="U"/>
    <m/>
    <d v="1899-12-30T01:13:00"/>
    <d v="1899-12-30T07:39:00"/>
    <s v="LA"/>
    <m/>
    <s v="20140622 EGore"/>
    <s v="20140623 DRobichaud"/>
    <s v="x"/>
    <n v="151.684"/>
    <s v="na"/>
    <s v="FWL"/>
    <s v="na"/>
    <s v="na"/>
    <s v="F1845"/>
    <s v="na"/>
    <s v="na"/>
    <s v="na"/>
    <s v="na"/>
    <s v="na"/>
  </r>
  <r>
    <n v="172"/>
    <x v="12"/>
    <n v="3"/>
    <x v="1"/>
    <x v="0"/>
    <x v="2"/>
    <n v="32"/>
    <s v="117 K"/>
    <n v="84"/>
    <m/>
    <s v="U"/>
    <d v="1899-12-30T09:00:00"/>
    <d v="1899-12-30T01:28:00"/>
    <d v="1899-12-30T09:08:00"/>
    <s v="EG"/>
    <m/>
    <s v="20140622 EGore"/>
    <s v="20140623 DRobichaud"/>
    <d v="1899-12-30T00:06:32"/>
    <n v="151.684"/>
    <s v="na"/>
    <s v="FWL"/>
    <s v="na"/>
    <s v="na"/>
    <s v="F1845"/>
    <s v="na"/>
    <s v="na"/>
    <s v="na"/>
    <s v="na"/>
    <s v="na"/>
  </r>
  <r>
    <n v="173"/>
    <x v="12"/>
    <n v="3"/>
    <x v="1"/>
    <x v="0"/>
    <x v="1"/>
    <n v="15"/>
    <s v="118 K"/>
    <n v="101"/>
    <m/>
    <s v="U"/>
    <d v="1899-12-30T09:00:00"/>
    <d v="1899-12-30T01:45:00"/>
    <d v="1899-12-30T09:14:00"/>
    <s v="EG"/>
    <m/>
    <s v="20140622 EGore"/>
    <s v="20140623 DRobichaud"/>
    <d v="1899-12-30T00:12:15"/>
    <n v="151.72499999999999"/>
    <s v="na"/>
    <s v="FWL"/>
    <s v="na"/>
    <s v="na"/>
    <s v="F1845"/>
    <s v="na"/>
    <s v="na"/>
    <s v="na"/>
    <s v="na"/>
    <s v="na"/>
  </r>
  <r>
    <n v="174"/>
    <x v="12"/>
    <n v="3"/>
    <x v="4"/>
    <x v="1"/>
    <x v="0"/>
    <m/>
    <m/>
    <n v="32"/>
    <m/>
    <s v="U"/>
    <m/>
    <d v="1899-12-30T00:32:00"/>
    <d v="1899-12-30T09:11:00"/>
    <s v="EG"/>
    <s v="too small to tag"/>
    <s v="20140622 EGore"/>
    <s v="20140623 DRobichaud"/>
    <s v="x"/>
    <s v="x"/>
    <s v="na"/>
    <s v="FWL"/>
    <s v="na"/>
    <s v="na"/>
    <s v="na"/>
    <s v="na"/>
    <s v="na"/>
    <s v="na"/>
    <s v="na"/>
    <s v="na"/>
  </r>
  <r>
    <n v="175"/>
    <x v="12"/>
    <n v="3"/>
    <x v="1"/>
    <x v="0"/>
    <x v="2"/>
    <n v="88"/>
    <s v="119 K"/>
    <n v="76"/>
    <m/>
    <s v="U"/>
    <m/>
    <d v="1899-12-30T01:45:00"/>
    <d v="1899-12-30T10:47:00"/>
    <s v="JG"/>
    <m/>
    <s v="20140622 JGraham"/>
    <s v="20140623 DRobichaud"/>
    <s v="x"/>
    <n v="151.684"/>
    <s v="na"/>
    <s v="FWL"/>
    <s v="na"/>
    <s v="na"/>
    <s v="F1845"/>
    <s v="na"/>
    <s v="na"/>
    <s v="na"/>
    <s v="na"/>
    <s v="na"/>
  </r>
  <r>
    <n v="176"/>
    <x v="12"/>
    <n v="3"/>
    <x v="4"/>
    <x v="1"/>
    <x v="0"/>
    <m/>
    <m/>
    <n v="39"/>
    <m/>
    <s v="U"/>
    <d v="1899-12-30T13:45:00"/>
    <d v="1899-12-30T00:47:00"/>
    <d v="1899-12-30T13:50:00"/>
    <s v="JG"/>
    <s v="too small to tag"/>
    <s v="20140622 JGraham"/>
    <s v="20140623 DRobichaud"/>
    <d v="1899-12-30T00:04:13"/>
    <s v="x"/>
    <s v="na"/>
    <s v="FWL"/>
    <s v="na"/>
    <s v="na"/>
    <s v="na"/>
    <s v="na"/>
    <s v="na"/>
    <s v="na"/>
    <s v="na"/>
    <s v="na"/>
  </r>
  <r>
    <n v="177"/>
    <x v="12"/>
    <n v="3"/>
    <x v="1"/>
    <x v="0"/>
    <x v="2"/>
    <n v="71"/>
    <s v="120 K"/>
    <n v="64"/>
    <m/>
    <s v="U"/>
    <m/>
    <d v="1899-12-30T01:30:00"/>
    <d v="1899-12-30T15:09:00"/>
    <s v="DR"/>
    <m/>
    <s v="20140622 DRobichaud"/>
    <s v="20140623 DRobichaud"/>
    <s v="x"/>
    <n v="151.684"/>
    <s v="na"/>
    <s v="FWL"/>
    <s v="na"/>
    <s v="na"/>
    <s v="F1845"/>
    <s v="na"/>
    <s v="na"/>
    <s v="na"/>
    <s v="na"/>
    <s v="na"/>
  </r>
  <r>
    <n v="178"/>
    <x v="12"/>
    <n v="3"/>
    <x v="1"/>
    <x v="0"/>
    <x v="1"/>
    <n v="48"/>
    <s v="125 K"/>
    <n v="77"/>
    <m/>
    <s v="U"/>
    <m/>
    <d v="1899-12-30T01:20:00"/>
    <d v="1899-12-30T15:13:00"/>
    <s v="BK"/>
    <m/>
    <s v="20140622 DRobichaud"/>
    <s v="20140623 DRobichaud"/>
    <s v="x"/>
    <n v="151.72499999999999"/>
    <s v="na"/>
    <s v="FWL"/>
    <s v="na"/>
    <s v="na"/>
    <s v="F1845"/>
    <s v="na"/>
    <s v="na"/>
    <s v="na"/>
    <s v="na"/>
    <s v="na"/>
  </r>
  <r>
    <n v="179"/>
    <x v="12"/>
    <n v="3"/>
    <x v="4"/>
    <x v="1"/>
    <x v="0"/>
    <m/>
    <m/>
    <n v="33"/>
    <m/>
    <s v="U"/>
    <m/>
    <d v="1899-12-30T00:30:00"/>
    <d v="1899-12-30T15:14:00"/>
    <s v="DR"/>
    <m/>
    <s v="20140622 DRobichaud"/>
    <s v="20140623 DRobichaud"/>
    <s v="x"/>
    <s v="x"/>
    <s v="na"/>
    <s v="FWL"/>
    <s v="na"/>
    <s v="na"/>
    <s v="na"/>
    <s v="na"/>
    <s v="na"/>
    <s v="na"/>
    <s v="na"/>
    <s v="na"/>
  </r>
  <r>
    <n v="180"/>
    <x v="12"/>
    <n v="3"/>
    <x v="1"/>
    <x v="0"/>
    <x v="1"/>
    <n v="88"/>
    <s v="126 K"/>
    <n v="57"/>
    <m/>
    <s v="U"/>
    <d v="1899-12-30T17:04:00"/>
    <d v="1899-12-30T01:25:00"/>
    <d v="1899-12-30T17:09:00"/>
    <s v="BK"/>
    <m/>
    <s v="20140622 DRobichaud"/>
    <s v="20140623 DRobichaud"/>
    <d v="1899-12-30T00:03:35"/>
    <n v="151.72499999999999"/>
    <s v="na"/>
    <s v="FWL"/>
    <s v="na"/>
    <s v="na"/>
    <s v="F1845"/>
    <s v="na"/>
    <s v="na"/>
    <s v="na"/>
    <s v="na"/>
    <s v="na"/>
  </r>
  <r>
    <n v="181"/>
    <x v="12"/>
    <n v="3"/>
    <x v="1"/>
    <x v="0"/>
    <x v="1"/>
    <n v="93"/>
    <s v="127 K"/>
    <n v="89"/>
    <m/>
    <s v="U"/>
    <d v="1899-12-30T17:33:00"/>
    <d v="1899-12-30T02:25:00"/>
    <d v="1899-12-30T17:40:00"/>
    <s v="BK"/>
    <m/>
    <s v="20140622 DRobichaud"/>
    <s v="20140623 DRobichaud"/>
    <d v="1899-12-30T00:04:35"/>
    <n v="151.72499999999999"/>
    <s v="na"/>
    <s v="FWL"/>
    <s v="na"/>
    <s v="na"/>
    <s v="F1845"/>
    <s v="na"/>
    <s v="na"/>
    <s v="na"/>
    <s v="na"/>
    <s v="na"/>
  </r>
  <r>
    <n v="182"/>
    <x v="12"/>
    <n v="3"/>
    <x v="1"/>
    <x v="0"/>
    <x v="1"/>
    <n v="55"/>
    <s v="128 K"/>
    <n v="74"/>
    <m/>
    <s v="U"/>
    <m/>
    <d v="1899-12-30T01:23:00"/>
    <d v="1899-12-30T18:50:00"/>
    <s v="DR"/>
    <m/>
    <s v="20140622 DRobichaud"/>
    <s v="20140623 DRobichaud"/>
    <s v="x"/>
    <n v="151.72499999999999"/>
    <s v="na"/>
    <s v="FWL"/>
    <s v="na"/>
    <s v="na"/>
    <s v="F1845"/>
    <s v="na"/>
    <s v="na"/>
    <s v="na"/>
    <s v="na"/>
    <s v="na"/>
  </r>
  <r>
    <n v="183"/>
    <x v="12"/>
    <n v="3"/>
    <x v="0"/>
    <x v="2"/>
    <x v="0"/>
    <m/>
    <m/>
    <m/>
    <n v="41"/>
    <s v="U"/>
    <m/>
    <d v="1899-12-30T00:15:00"/>
    <d v="1899-12-30T18:47:00"/>
    <s v="DR"/>
    <m/>
    <s v="20140622 DRobichaud"/>
    <s v="20140623 DRobichaud"/>
    <s v="x"/>
    <s v="x"/>
    <s v="na"/>
    <s v="FWL"/>
    <s v="na"/>
    <s v="na"/>
    <s v="na"/>
    <s v="na"/>
    <s v="na"/>
    <s v="na"/>
    <s v="na"/>
    <s v="na"/>
  </r>
  <r>
    <n v="184"/>
    <x v="12"/>
    <n v="3"/>
    <x v="4"/>
    <x v="1"/>
    <x v="0"/>
    <m/>
    <m/>
    <n v="34"/>
    <m/>
    <s v="U"/>
    <m/>
    <d v="1899-12-30T00:45:00"/>
    <d v="1899-12-30T18:52:00"/>
    <s v="DR"/>
    <s v="too small to tag"/>
    <s v="20140622 DRobichaud"/>
    <s v="20140623 DRobichaud"/>
    <s v="x"/>
    <s v="x"/>
    <s v="na"/>
    <s v="FWL"/>
    <s v="na"/>
    <s v="na"/>
    <s v="na"/>
    <s v="na"/>
    <s v="na"/>
    <s v="na"/>
    <s v="na"/>
    <s v="na"/>
  </r>
  <r>
    <n v="185"/>
    <x v="12"/>
    <n v="3"/>
    <x v="6"/>
    <x v="2"/>
    <x v="0"/>
    <m/>
    <s v="Bulk DV"/>
    <m/>
    <n v="43"/>
    <s v="U"/>
    <m/>
    <d v="1899-12-30T00:46:00"/>
    <d v="1899-12-30T20:10:00"/>
    <s v="KBM"/>
    <m/>
    <s v="20140622 JBerry"/>
    <s v="20140623 DRobichaud"/>
    <s v="x"/>
    <s v="x"/>
    <s v="na"/>
    <s v="FWL"/>
    <s v="na"/>
    <s v="na"/>
    <s v="na"/>
    <s v="na"/>
    <s v="na"/>
    <s v="na"/>
    <s v="na"/>
    <s v="na"/>
  </r>
  <r>
    <n v="186"/>
    <x v="12"/>
    <n v="3"/>
    <x v="1"/>
    <x v="0"/>
    <x v="1"/>
    <n v="99"/>
    <s v="134 K"/>
    <n v="65"/>
    <m/>
    <s v="U"/>
    <m/>
    <d v="1899-12-30T01:15:00"/>
    <d v="1899-12-30T20:20:00"/>
    <s v="JB"/>
    <m/>
    <s v="20140622 JBerry"/>
    <s v="20140623 DRobichaud"/>
    <s v="x"/>
    <n v="151.72499999999999"/>
    <s v="na"/>
    <s v="FWL"/>
    <s v="na"/>
    <s v="na"/>
    <s v="F1845"/>
    <s v="na"/>
    <s v="na"/>
    <s v="na"/>
    <s v="na"/>
    <s v="na"/>
  </r>
  <r>
    <n v="187"/>
    <x v="12"/>
    <n v="3"/>
    <x v="4"/>
    <x v="1"/>
    <x v="0"/>
    <m/>
    <m/>
    <n v="33"/>
    <m/>
    <s v="U"/>
    <m/>
    <d v="1899-12-30T00:19:00"/>
    <d v="1899-12-30T20:15:00"/>
    <s v="JB"/>
    <s v="too small to tag"/>
    <s v="20140622 JBerry"/>
    <s v="20140623 DRobichaud"/>
    <s v="x"/>
    <s v="x"/>
    <s v="na"/>
    <s v="FWL"/>
    <s v="na"/>
    <s v="na"/>
    <s v="na"/>
    <s v="na"/>
    <s v="na"/>
    <s v="na"/>
    <s v="na"/>
    <s v="na"/>
  </r>
  <r>
    <n v="188"/>
    <x v="12"/>
    <n v="3"/>
    <x v="3"/>
    <x v="2"/>
    <x v="0"/>
    <m/>
    <m/>
    <m/>
    <n v="26"/>
    <s v="U"/>
    <m/>
    <d v="1899-12-30T00:32:00"/>
    <d v="1899-12-30T20:22:00"/>
    <s v="JB"/>
    <m/>
    <s v="20140622 JBerry"/>
    <s v="20140623 DRobichaud"/>
    <s v="x"/>
    <s v="x"/>
    <s v="na"/>
    <s v="FWL"/>
    <s v="na"/>
    <s v="na"/>
    <s v="na"/>
    <s v="na"/>
    <s v="na"/>
    <s v="na"/>
    <s v="na"/>
    <s v="na"/>
  </r>
  <r>
    <n v="189"/>
    <x v="12"/>
    <n v="3"/>
    <x v="1"/>
    <x v="0"/>
    <x v="1"/>
    <n v="52"/>
    <s v="135 K"/>
    <n v="56"/>
    <m/>
    <s v="U"/>
    <m/>
    <d v="1899-12-30T01:33:00"/>
    <d v="1899-12-30T22:31:00"/>
    <s v="JB"/>
    <m/>
    <s v="20140622 JBerry"/>
    <s v="20140623 DRobichaud"/>
    <s v="x"/>
    <n v="151.72499999999999"/>
    <s v="na"/>
    <s v="FWL"/>
    <s v="na"/>
    <s v="na"/>
    <s v="F1845"/>
    <s v="na"/>
    <s v="na"/>
    <s v="na"/>
    <s v="na"/>
    <s v="na"/>
  </r>
  <r>
    <n v="190"/>
    <x v="12"/>
    <n v="3"/>
    <x v="1"/>
    <x v="0"/>
    <x v="0"/>
    <m/>
    <m/>
    <n v="93"/>
    <m/>
    <s v="U"/>
    <m/>
    <d v="1899-12-30T01:13:00"/>
    <d v="1899-12-30T22:37:00"/>
    <s v="KBM"/>
    <s v="open wound - not tagged"/>
    <s v="20140622 JBerry"/>
    <s v="20140623 DRobichaud"/>
    <s v="x"/>
    <s v="x"/>
    <s v="na"/>
    <s v="FWL"/>
    <s v="na"/>
    <s v="na"/>
    <s v="na"/>
    <s v="na"/>
    <s v="na"/>
    <s v="na"/>
    <s v="na"/>
    <s v="na"/>
  </r>
  <r>
    <n v="191"/>
    <x v="12"/>
    <n v="3"/>
    <x v="4"/>
    <x v="1"/>
    <x v="3"/>
    <n v="45"/>
    <s v="136 K"/>
    <n v="47"/>
    <m/>
    <s v="U"/>
    <m/>
    <d v="1899-12-30T01:13:00"/>
    <d v="1899-12-30T23:18:00"/>
    <s v="JB"/>
    <m/>
    <s v="20140622 JBerry"/>
    <s v="20140623 DRobichaud"/>
    <s v="x"/>
    <n v="151.917"/>
    <s v="na"/>
    <s v="FWL"/>
    <s v="na"/>
    <s v="na"/>
    <s v="F1835"/>
    <s v="na"/>
    <s v="na"/>
    <s v="na"/>
    <s v="na"/>
    <s v="na"/>
  </r>
  <r>
    <n v="192"/>
    <x v="13"/>
    <n v="1"/>
    <x v="1"/>
    <x v="0"/>
    <x v="1"/>
    <n v="16"/>
    <s v="122 K"/>
    <n v="71"/>
    <m/>
    <s v="U"/>
    <d v="1899-12-30T06:27:00"/>
    <d v="1899-12-30T01:12:00"/>
    <d v="1899-12-30T06:33:00"/>
    <s v="KS"/>
    <m/>
    <s v="20140623 BKalb"/>
    <s v="20140624 DRobichaud"/>
    <d v="1899-12-30T00:04:48"/>
    <n v="151.72499999999999"/>
    <s v="na"/>
    <s v="FWL"/>
    <s v="na"/>
    <s v="na"/>
    <s v="F1845"/>
    <s v="na"/>
    <s v="na"/>
    <s v="na"/>
    <s v="na"/>
    <s v="na"/>
  </r>
  <r>
    <n v="193"/>
    <x v="13"/>
    <n v="1"/>
    <x v="4"/>
    <x v="1"/>
    <x v="0"/>
    <m/>
    <m/>
    <n v="34"/>
    <m/>
    <s v="M"/>
    <m/>
    <d v="1899-12-30T00:20:00"/>
    <d v="1899-12-30T07:50:00"/>
    <s v="KS"/>
    <m/>
    <s v="20140623 BKalb"/>
    <s v="20140624 DRobichaud"/>
    <s v="x"/>
    <s v="x"/>
    <s v="na"/>
    <s v="FWL"/>
    <s v="na"/>
    <s v="na"/>
    <s v="na"/>
    <s v="na"/>
    <s v="na"/>
    <s v="na"/>
    <s v="na"/>
    <s v="na"/>
  </r>
  <r>
    <n v="194"/>
    <x v="13"/>
    <n v="1"/>
    <x v="1"/>
    <x v="0"/>
    <x v="1"/>
    <n v="66"/>
    <s v="124 K"/>
    <n v="88"/>
    <m/>
    <s v="F"/>
    <m/>
    <d v="1899-12-30T01:15:00"/>
    <d v="1899-12-30T10:30:00"/>
    <s v="JBU"/>
    <m/>
    <s v="20140623 KBMatthews"/>
    <s v="20140624 DRobichaud"/>
    <s v="x"/>
    <n v="151.72499999999999"/>
    <s v="na"/>
    <s v="FWL"/>
    <s v="na"/>
    <s v="na"/>
    <s v="F1845"/>
    <s v="na"/>
    <s v="na"/>
    <s v="na"/>
    <s v="na"/>
    <s v="na"/>
  </r>
  <r>
    <n v="195"/>
    <x v="13"/>
    <n v="1"/>
    <x v="1"/>
    <x v="0"/>
    <x v="2"/>
    <n v="98"/>
    <s v="130 K"/>
    <n v="65"/>
    <m/>
    <s v="F"/>
    <m/>
    <d v="1899-12-30T01:23:00"/>
    <d v="1899-12-30T13:10:00"/>
    <s v="KBM"/>
    <m/>
    <s v="20140623 KBMatthews"/>
    <s v="20140624 DRobichaud"/>
    <s v="x"/>
    <n v="151.684"/>
    <s v="na"/>
    <s v="FWL"/>
    <s v="na"/>
    <s v="na"/>
    <s v="F1845"/>
    <s v="na"/>
    <s v="na"/>
    <s v="na"/>
    <s v="na"/>
    <s v="na"/>
  </r>
  <r>
    <n v="196"/>
    <x v="13"/>
    <n v="1"/>
    <x v="1"/>
    <x v="0"/>
    <x v="0"/>
    <m/>
    <m/>
    <n v="60"/>
    <m/>
    <s v="U"/>
    <m/>
    <m/>
    <m/>
    <s v="KS"/>
    <s v="not tagged"/>
    <s v="20140623 KShippen"/>
    <s v="20140624 DRobichaud"/>
    <s v="x"/>
    <s v="x"/>
    <s v="na"/>
    <s v="FWL"/>
    <s v="na"/>
    <s v="na"/>
    <s v="na"/>
    <s v="na"/>
    <s v="na"/>
    <s v="na"/>
    <s v="na"/>
    <s v="na"/>
  </r>
  <r>
    <n v="197"/>
    <x v="13"/>
    <n v="1"/>
    <x v="4"/>
    <x v="1"/>
    <x v="0"/>
    <m/>
    <m/>
    <n v="37"/>
    <m/>
    <s v="M"/>
    <m/>
    <d v="1899-12-30T00:40:00"/>
    <d v="1899-12-30T18:51:00"/>
    <s v="CS"/>
    <m/>
    <s v="20140623 KShippen"/>
    <s v="20140624 DRobichaud"/>
    <s v="x"/>
    <s v="x"/>
    <s v="na"/>
    <s v="FWL"/>
    <s v="na"/>
    <s v="na"/>
    <s v="na"/>
    <s v="na"/>
    <s v="na"/>
    <s v="na"/>
    <s v="na"/>
    <s v="na"/>
  </r>
  <r>
    <n v="198"/>
    <x v="13"/>
    <n v="1"/>
    <x v="1"/>
    <x v="0"/>
    <x v="1"/>
    <n v="1"/>
    <s v="145 K"/>
    <n v="78"/>
    <m/>
    <s v="U"/>
    <m/>
    <d v="1899-12-30T01:32:00"/>
    <d v="1899-12-30T21:06:00"/>
    <s v="JB"/>
    <m/>
    <s v="20140623 JBerry"/>
    <s v="20140624 DRobichaud"/>
    <s v="x"/>
    <n v="151.72499999999999"/>
    <s v="na"/>
    <s v="FWL"/>
    <s v="na"/>
    <s v="na"/>
    <s v="F1845"/>
    <s v="na"/>
    <s v="na"/>
    <s v="na"/>
    <s v="na"/>
    <s v="na"/>
  </r>
  <r>
    <n v="199"/>
    <x v="13"/>
    <n v="1"/>
    <x v="1"/>
    <x v="0"/>
    <x v="2"/>
    <n v="3"/>
    <s v="146 K"/>
    <n v="64"/>
    <m/>
    <s v="U"/>
    <m/>
    <d v="1899-12-30T01:46:00"/>
    <d v="1899-12-30T22:36:00"/>
    <s v="KBM"/>
    <m/>
    <s v="20140623 JBerry"/>
    <s v="20140624 DRobichaud"/>
    <s v="x"/>
    <n v="151.684"/>
    <s v="na"/>
    <s v="FWL"/>
    <s v="na"/>
    <s v="na"/>
    <s v="F1845"/>
    <s v="na"/>
    <s v="na"/>
    <s v="na"/>
    <s v="na"/>
    <s v="na"/>
  </r>
  <r>
    <n v="200"/>
    <x v="13"/>
    <n v="2"/>
    <x v="1"/>
    <x v="0"/>
    <x v="1"/>
    <n v="42"/>
    <s v="123 K"/>
    <n v="79"/>
    <m/>
    <s v="U"/>
    <m/>
    <d v="1899-12-30T01:12:00"/>
    <d v="1899-12-30T09:21:00"/>
    <s v="BK"/>
    <m/>
    <s v="20140623 BKalb"/>
    <s v="20140624 DRobichaud"/>
    <s v="x"/>
    <n v="151.72499999999999"/>
    <s v="na"/>
    <s v="FWL"/>
    <s v="na"/>
    <s v="na"/>
    <s v="F1845"/>
    <s v="na"/>
    <s v="na"/>
    <s v="na"/>
    <s v="na"/>
    <s v="na"/>
  </r>
  <r>
    <n v="201"/>
    <x v="13"/>
    <n v="2"/>
    <x v="1"/>
    <x v="0"/>
    <x v="2"/>
    <n v="44"/>
    <s v="129 K"/>
    <n v="83"/>
    <m/>
    <s v="U"/>
    <m/>
    <d v="1899-12-30T01:57:00"/>
    <d v="1899-12-30T17:51:00"/>
    <s v="KS"/>
    <m/>
    <s v="20140623 CSejkora"/>
    <s v="20140624 DRobichaud"/>
    <s v="x"/>
    <n v="151.684"/>
    <s v="na"/>
    <s v="FWL"/>
    <s v="na"/>
    <s v="na"/>
    <s v="F1845"/>
    <s v="na"/>
    <s v="na"/>
    <s v="na"/>
    <s v="na"/>
    <s v="na"/>
  </r>
  <r>
    <n v="202"/>
    <x v="13"/>
    <n v="2"/>
    <x v="1"/>
    <x v="0"/>
    <x v="2"/>
    <n v="55"/>
    <s v="131 K"/>
    <n v="63"/>
    <m/>
    <s v="M"/>
    <m/>
    <d v="1899-12-30T01:50:00"/>
    <d v="1899-12-30T18:00:00"/>
    <s v="CS"/>
    <m/>
    <s v="20140623 CSejkora"/>
    <s v="20140624 DRobichaud"/>
    <s v="x"/>
    <n v="151.684"/>
    <s v="na"/>
    <s v="FWL"/>
    <s v="na"/>
    <s v="na"/>
    <s v="F1845"/>
    <s v="na"/>
    <s v="na"/>
    <s v="na"/>
    <s v="na"/>
    <s v="na"/>
  </r>
  <r>
    <n v="203"/>
    <x v="13"/>
    <n v="2"/>
    <x v="1"/>
    <x v="0"/>
    <x v="2"/>
    <n v="56"/>
    <s v="132 K"/>
    <n v="62"/>
    <m/>
    <s v="U"/>
    <d v="1899-12-30T18:00:00"/>
    <d v="1899-12-30T01:40:00"/>
    <d v="1899-12-30T18:05:00"/>
    <s v="CS"/>
    <m/>
    <s v="20140623 CSejkora"/>
    <s v="20140624 DRobichaud"/>
    <d v="1899-12-30T00:03:20"/>
    <n v="151.684"/>
    <s v="na"/>
    <s v="FWL"/>
    <s v="na"/>
    <s v="na"/>
    <s v="F1845"/>
    <s v="na"/>
    <s v="na"/>
    <s v="na"/>
    <s v="na"/>
    <s v="na"/>
  </r>
  <r>
    <n v="204"/>
    <x v="13"/>
    <n v="2"/>
    <x v="1"/>
    <x v="0"/>
    <x v="1"/>
    <n v="14"/>
    <s v="133 K"/>
    <n v="63"/>
    <m/>
    <s v="U"/>
    <m/>
    <d v="1899-12-30T01:15:00"/>
    <d v="1899-12-30T19:21:00"/>
    <s v="KBM"/>
    <m/>
    <s v="20140623 JBerry"/>
    <s v="20140624 DRobichaud"/>
    <s v="x"/>
    <n v="151.72499999999999"/>
    <s v="na"/>
    <s v="FWL"/>
    <s v="na"/>
    <s v="na"/>
    <s v="F1845"/>
    <s v="na"/>
    <s v="na"/>
    <s v="na"/>
    <s v="na"/>
    <s v="na"/>
  </r>
  <r>
    <n v="205"/>
    <x v="13"/>
    <n v="2"/>
    <x v="1"/>
    <x v="0"/>
    <x v="0"/>
    <m/>
    <m/>
    <n v="82"/>
    <m/>
    <s v="U"/>
    <m/>
    <d v="1899-12-30T00:49:00"/>
    <d v="1899-12-30T19:23:00"/>
    <s v="KBM"/>
    <s v="not tagged, open wound above anal fin"/>
    <s v="20140623 JBerry"/>
    <s v="20140624 DRobichaud"/>
    <s v="x"/>
    <s v="x"/>
    <s v="na"/>
    <s v="FWL"/>
    <s v="na"/>
    <s v="na"/>
    <s v="na"/>
    <s v="na"/>
    <s v="na"/>
    <s v="na"/>
    <s v="na"/>
    <s v="na"/>
  </r>
  <r>
    <n v="206"/>
    <x v="13"/>
    <n v="3"/>
    <x v="0"/>
    <x v="2"/>
    <x v="0"/>
    <m/>
    <m/>
    <m/>
    <n v="35"/>
    <s v="U"/>
    <m/>
    <d v="1899-12-30T00:43:00"/>
    <d v="1899-12-30T10:42:00"/>
    <s v="WC"/>
    <m/>
    <s v="20140623 JBerry"/>
    <s v="20140624 DRobichaud"/>
    <s v="x"/>
    <s v="x"/>
    <s v="na"/>
    <s v="FWL"/>
    <s v="na"/>
    <s v="na"/>
    <s v="na"/>
    <s v="na"/>
    <s v="na"/>
    <s v="na"/>
    <s v="na"/>
    <s v="na"/>
  </r>
  <r>
    <n v="207"/>
    <x v="13"/>
    <n v="3"/>
    <x v="3"/>
    <x v="2"/>
    <x v="0"/>
    <m/>
    <m/>
    <m/>
    <n v="29"/>
    <s v="U"/>
    <m/>
    <d v="1899-12-30T00:27:00"/>
    <d v="1899-12-30T10:44:00"/>
    <s v="JB"/>
    <m/>
    <s v="20140623 JBerry"/>
    <s v="20140624 DRobichaud"/>
    <s v="x"/>
    <s v="x"/>
    <s v="na"/>
    <s v="FWL"/>
    <s v="na"/>
    <s v="na"/>
    <s v="na"/>
    <s v="na"/>
    <s v="na"/>
    <s v="na"/>
    <s v="na"/>
    <s v="na"/>
  </r>
  <r>
    <n v="208"/>
    <x v="13"/>
    <n v="3"/>
    <x v="1"/>
    <x v="0"/>
    <x v="2"/>
    <n v="43"/>
    <s v="137 K"/>
    <n v="53"/>
    <m/>
    <s v="U"/>
    <d v="1899-12-30T18:46:00"/>
    <d v="1899-12-30T01:28:00"/>
    <d v="1899-12-30T18:51:00"/>
    <s v="DR"/>
    <m/>
    <s v="20140623 DRobichaud"/>
    <s v="20140624 DRobichaud"/>
    <d v="1899-12-30T00:03:32"/>
    <n v="151.684"/>
    <s v="na"/>
    <s v="FWL"/>
    <s v="na"/>
    <s v="na"/>
    <s v="F1845"/>
    <s v="na"/>
    <s v="na"/>
    <s v="na"/>
    <s v="na"/>
    <s v="na"/>
  </r>
  <r>
    <n v="209"/>
    <x v="13"/>
    <n v="3"/>
    <x v="1"/>
    <x v="0"/>
    <x v="2"/>
    <n v="48"/>
    <s v="138 K"/>
    <n v="84.5"/>
    <m/>
    <s v="F"/>
    <d v="1899-12-30T21:10:00"/>
    <d v="1899-12-30T01:56:00"/>
    <d v="1899-12-30T21:21:00"/>
    <s v="WC"/>
    <s v="smooth as silk"/>
    <s v="20140623 JBuris"/>
    <s v="20140624 DRobichaud"/>
    <d v="1899-12-30T00:09:04"/>
    <n v="151.684"/>
    <s v="na"/>
    <s v="FWL"/>
    <s v="na"/>
    <s v="na"/>
    <s v="F1845"/>
    <s v="na"/>
    <s v="na"/>
    <s v="na"/>
    <s v="na"/>
    <s v="na"/>
  </r>
  <r>
    <n v="210"/>
    <x v="13"/>
    <n v="3"/>
    <x v="1"/>
    <x v="0"/>
    <x v="2"/>
    <n v="63"/>
    <s v="139 K"/>
    <n v="71.5"/>
    <m/>
    <s v="M"/>
    <d v="1899-12-30T22:48:00"/>
    <d v="1899-12-30T02:53:00"/>
    <d v="1899-12-30T22:52:00"/>
    <s v="WC"/>
    <m/>
    <s v="20140623 JBuris"/>
    <s v="20140624 DRobichaud"/>
    <d v="1899-12-30T00:01:07"/>
    <n v="151.684"/>
    <s v="na"/>
    <s v="FWL"/>
    <s v="na"/>
    <s v="na"/>
    <s v="F1845"/>
    <s v="na"/>
    <s v="na"/>
    <s v="na"/>
    <s v="na"/>
    <s v="na"/>
  </r>
  <r>
    <n v="211"/>
    <x v="14"/>
    <n v="1"/>
    <x v="1"/>
    <x v="0"/>
    <x v="2"/>
    <n v="60"/>
    <s v="147 K"/>
    <n v="62"/>
    <m/>
    <s v="U"/>
    <d v="1899-12-30T07:46:00"/>
    <d v="1899-12-30T01:22:00"/>
    <d v="1899-12-30T08:00:00"/>
    <s v="LA"/>
    <m/>
    <s v="20140624 BKalb"/>
    <s v="20140625 DRobichaud"/>
    <d v="1899-12-30T00:12:38"/>
    <n v="151.684"/>
    <s v="na"/>
    <s v="FWL"/>
    <s v="na"/>
    <s v="na"/>
    <s v="F1845"/>
    <s v="na"/>
    <s v="na"/>
    <s v="na"/>
    <s v="na"/>
    <s v="na"/>
  </r>
  <r>
    <n v="212"/>
    <x v="14"/>
    <n v="1"/>
    <x v="1"/>
    <x v="0"/>
    <x v="0"/>
    <m/>
    <m/>
    <n v="59"/>
    <m/>
    <s v="U"/>
    <m/>
    <d v="1899-12-30T00:45:00"/>
    <d v="1899-12-30T10:34:00"/>
    <s v="JB"/>
    <s v="fish escaped prior to tag insertion"/>
    <s v="20140624 KBMatthews"/>
    <s v="20140625 DRobichaud"/>
    <s v="x"/>
    <s v="x"/>
    <s v="na"/>
    <s v="FWL"/>
    <s v="na"/>
    <s v="na"/>
    <s v="na"/>
    <s v="na"/>
    <s v="na"/>
    <s v="na"/>
    <s v="na"/>
    <s v="na"/>
  </r>
  <r>
    <n v="213"/>
    <x v="14"/>
    <n v="1"/>
    <x v="1"/>
    <x v="0"/>
    <x v="1"/>
    <n v="34"/>
    <s v="148 K"/>
    <n v="88"/>
    <m/>
    <s v="U"/>
    <m/>
    <d v="1899-12-30T01:31:00"/>
    <d v="1899-12-30T11:57:00"/>
    <s v="JB"/>
    <m/>
    <s v="20140624 KBMatthews"/>
    <s v="20140625 DRobichaud"/>
    <s v="x"/>
    <n v="151.72499999999999"/>
    <s v="na"/>
    <s v="FWL"/>
    <s v="na"/>
    <s v="na"/>
    <s v="F1845"/>
    <s v="na"/>
    <s v="na"/>
    <s v="na"/>
    <s v="na"/>
    <s v="na"/>
  </r>
  <r>
    <n v="214"/>
    <x v="14"/>
    <n v="1"/>
    <x v="1"/>
    <x v="0"/>
    <x v="1"/>
    <n v="11"/>
    <s v="150 K"/>
    <n v="68"/>
    <m/>
    <s v="U"/>
    <m/>
    <d v="1899-12-30T01:23:00"/>
    <d v="1899-12-30T15:17:00"/>
    <s v="BK"/>
    <m/>
    <s v="20140624 DRobichaud"/>
    <s v="20140625 DRobichaud"/>
    <s v="x"/>
    <n v="151.72499999999999"/>
    <s v="na"/>
    <s v="FWL"/>
    <s v="na"/>
    <s v="na"/>
    <s v="F1845"/>
    <s v="na"/>
    <s v="na"/>
    <s v="na"/>
    <s v="na"/>
    <s v="na"/>
  </r>
  <r>
    <n v="215"/>
    <x v="14"/>
    <n v="1"/>
    <x v="1"/>
    <x v="0"/>
    <x v="2"/>
    <n v="86"/>
    <s v="149 K"/>
    <n v="63"/>
    <m/>
    <s v="U"/>
    <m/>
    <d v="1899-12-30T01:25:00"/>
    <d v="1899-12-30T16:53:00"/>
    <s v="BK"/>
    <m/>
    <s v="20140624 DRobichaud"/>
    <s v="20140625 DRobichaud"/>
    <s v="x"/>
    <n v="151.684"/>
    <s v="na"/>
    <s v="FWL"/>
    <s v="na"/>
    <s v="na"/>
    <s v="F1845"/>
    <s v="na"/>
    <s v="na"/>
    <s v="na"/>
    <s v="na"/>
    <s v="na"/>
  </r>
  <r>
    <n v="216"/>
    <x v="14"/>
    <n v="1"/>
    <x v="1"/>
    <x v="0"/>
    <x v="1"/>
    <n v="81"/>
    <s v="151 K"/>
    <n v="83"/>
    <m/>
    <s v="U"/>
    <m/>
    <d v="1899-12-30T01:16:00"/>
    <d v="1899-12-30T16:57:00"/>
    <s v="DR"/>
    <m/>
    <s v="20140624 DRobichaud"/>
    <s v="20140625 DRobichaud"/>
    <s v="x"/>
    <n v="151.72499999999999"/>
    <s v="na"/>
    <s v="FWL"/>
    <s v="na"/>
    <s v="na"/>
    <s v="F1845"/>
    <s v="na"/>
    <s v="na"/>
    <s v="na"/>
    <s v="na"/>
    <s v="na"/>
  </r>
  <r>
    <n v="217"/>
    <x v="14"/>
    <n v="1"/>
    <x v="1"/>
    <x v="0"/>
    <x v="2"/>
    <n v="97"/>
    <s v="153 K"/>
    <n v="86.5"/>
    <m/>
    <s v="U"/>
    <d v="1899-12-30T19:43:00"/>
    <d v="1899-12-30T01:44:00"/>
    <d v="1899-12-30T19:49:00"/>
    <s v="WC"/>
    <m/>
    <s v="20140624 JBerry"/>
    <s v="20140625 DRobichaud"/>
    <d v="1899-12-30T00:04:16"/>
    <n v="151.684"/>
    <s v="na"/>
    <s v="FWL"/>
    <s v="na"/>
    <s v="na"/>
    <s v="F1845"/>
    <s v="na"/>
    <s v="na"/>
    <s v="na"/>
    <s v="na"/>
    <s v="na"/>
  </r>
  <r>
    <n v="218"/>
    <x v="14"/>
    <n v="1"/>
    <x v="1"/>
    <x v="0"/>
    <x v="2"/>
    <n v="38"/>
    <s v="154 K"/>
    <n v="81"/>
    <m/>
    <s v="U"/>
    <d v="1899-12-30T20:34:00"/>
    <d v="1899-12-30T01:46:00"/>
    <d v="1899-12-30T20:40:00"/>
    <s v="JB"/>
    <m/>
    <s v="20140624 JBerry"/>
    <s v="20140625 DRobichaud"/>
    <d v="1899-12-30T00:04:14"/>
    <n v="151.684"/>
    <s v="na"/>
    <s v="FWL"/>
    <s v="na"/>
    <s v="na"/>
    <s v="F1845"/>
    <s v="na"/>
    <s v="na"/>
    <s v="na"/>
    <s v="na"/>
    <s v="na"/>
  </r>
  <r>
    <n v="219"/>
    <x v="14"/>
    <n v="1"/>
    <x v="1"/>
    <x v="0"/>
    <x v="1"/>
    <n v="96"/>
    <s v="168 K"/>
    <n v="72"/>
    <m/>
    <s v="U"/>
    <m/>
    <d v="1899-12-30T01:20:00"/>
    <d v="1899-12-30T21:53:00"/>
    <s v="JB"/>
    <m/>
    <s v="20140624 JBerry"/>
    <s v="20140625 DRobichaud"/>
    <s v="x"/>
    <n v="151.72499999999999"/>
    <s v="na"/>
    <s v="FWL"/>
    <s v="na"/>
    <s v="na"/>
    <s v="F1845"/>
    <s v="na"/>
    <s v="na"/>
    <s v="na"/>
    <s v="na"/>
    <s v="na"/>
  </r>
  <r>
    <n v="220"/>
    <x v="14"/>
    <n v="1"/>
    <x v="1"/>
    <x v="0"/>
    <x v="1"/>
    <n v="75"/>
    <s v="169 K"/>
    <n v="95"/>
    <m/>
    <s v="U"/>
    <m/>
    <d v="1899-12-30T01:48:00"/>
    <d v="1899-12-30T22:14:00"/>
    <s v="WC"/>
    <s v="great condition"/>
    <s v="20140624 JBerry"/>
    <s v="20140625 DRobichaud"/>
    <s v="x"/>
    <n v="151.72499999999999"/>
    <s v="na"/>
    <s v="FWL"/>
    <s v="na"/>
    <s v="na"/>
    <s v="F1845"/>
    <s v="na"/>
    <s v="na"/>
    <s v="na"/>
    <s v="na"/>
    <s v="na"/>
  </r>
  <r>
    <n v="221"/>
    <x v="14"/>
    <n v="1"/>
    <x v="1"/>
    <x v="0"/>
    <x v="1"/>
    <n v="97"/>
    <s v="170 K"/>
    <n v="92"/>
    <m/>
    <s v="U"/>
    <m/>
    <d v="1899-12-30T01:45:00"/>
    <d v="1899-12-30T22:23:00"/>
    <s v="JB"/>
    <m/>
    <s v="20140624 JBerry"/>
    <s v="20140625 DRobichaud"/>
    <s v="x"/>
    <n v="151.72499999999999"/>
    <s v="na"/>
    <s v="FWL"/>
    <s v="na"/>
    <s v="na"/>
    <s v="F1845"/>
    <s v="na"/>
    <s v="na"/>
    <s v="na"/>
    <s v="na"/>
    <s v="na"/>
  </r>
  <r>
    <n v="222"/>
    <x v="14"/>
    <n v="2"/>
    <x v="1"/>
    <x v="0"/>
    <x v="2"/>
    <n v="96"/>
    <s v="152 K"/>
    <n v="75"/>
    <m/>
    <s v="U"/>
    <m/>
    <d v="1899-12-30T01:20:00"/>
    <d v="1899-12-30T18:58:00"/>
    <s v="DR"/>
    <m/>
    <s v="20140624 DRobichaud"/>
    <s v="20140625 DRobichaud"/>
    <s v="x"/>
    <n v="151.684"/>
    <s v="na"/>
    <s v="FWL"/>
    <s v="na"/>
    <s v="na"/>
    <s v="F1845"/>
    <s v="na"/>
    <s v="na"/>
    <s v="na"/>
    <s v="na"/>
    <s v="na"/>
  </r>
  <r>
    <n v="223"/>
    <x v="14"/>
    <n v="2"/>
    <x v="1"/>
    <x v="0"/>
    <x v="1"/>
    <n v="61"/>
    <s v="155 K"/>
    <n v="56"/>
    <m/>
    <s v="U"/>
    <m/>
    <d v="1899-12-30T01:31:00"/>
    <d v="1899-12-30T21:13:00"/>
    <s v="WC"/>
    <m/>
    <s v="20140624 JBerry"/>
    <s v="20140625 DRobichaud"/>
    <s v="x"/>
    <n v="151.72499999999999"/>
    <s v="na"/>
    <s v="FWL"/>
    <s v="na"/>
    <s v="na"/>
    <s v="F1845"/>
    <s v="na"/>
    <s v="na"/>
    <s v="na"/>
    <s v="na"/>
    <s v="na"/>
  </r>
  <r>
    <n v="224"/>
    <x v="14"/>
    <n v="2"/>
    <x v="1"/>
    <x v="0"/>
    <x v="2"/>
    <n v="5"/>
    <s v="166 K"/>
    <n v="61"/>
    <m/>
    <s v="U"/>
    <m/>
    <d v="1899-12-30T01:42:00"/>
    <d v="1899-12-30T21:19:00"/>
    <s v="JB"/>
    <m/>
    <s v="20140624 JBerry"/>
    <s v="20140625 DRobichaud"/>
    <s v="x"/>
    <n v="151.684"/>
    <s v="na"/>
    <s v="FWL"/>
    <s v="na"/>
    <s v="na"/>
    <s v="F1845"/>
    <s v="na"/>
    <s v="na"/>
    <s v="na"/>
    <s v="na"/>
    <s v="na"/>
  </r>
  <r>
    <n v="225"/>
    <x v="14"/>
    <n v="2"/>
    <x v="1"/>
    <x v="0"/>
    <x v="2"/>
    <n v="19"/>
    <s v="167 K"/>
    <n v="82"/>
    <m/>
    <s v="U"/>
    <m/>
    <d v="1899-12-30T02:27:00"/>
    <d v="1899-12-30T21:26:00"/>
    <s v="WC"/>
    <s v="didn't swim off strongly"/>
    <s v="20140624 JBerry"/>
    <s v="20140625 DRobichaud"/>
    <s v="x"/>
    <n v="151.684"/>
    <s v="na"/>
    <s v="FWL"/>
    <s v="na"/>
    <s v="na"/>
    <s v="F1845"/>
    <s v="na"/>
    <s v="na"/>
    <s v="na"/>
    <s v="na"/>
    <s v="na"/>
  </r>
  <r>
    <n v="226"/>
    <x v="14"/>
    <n v="3"/>
    <x v="1"/>
    <x v="0"/>
    <x v="0"/>
    <m/>
    <m/>
    <n v="76"/>
    <m/>
    <s v="U"/>
    <d v="1899-12-30T14:08:00"/>
    <d v="1899-12-30T01:13:00"/>
    <d v="1899-12-30T14:17:00"/>
    <s v="JB"/>
    <s v="not tagged, small wounds along side"/>
    <s v="20140624 JBuris"/>
    <s v="20140625 DRobichaud"/>
    <d v="1899-12-30T00:07:47"/>
    <s v="x"/>
    <s v="na"/>
    <s v="FWL"/>
    <s v="na"/>
    <s v="na"/>
    <s v="na"/>
    <s v="na"/>
    <s v="na"/>
    <s v="na"/>
    <s v="na"/>
    <s v="na"/>
  </r>
  <r>
    <n v="227"/>
    <x v="14"/>
    <n v="3"/>
    <x v="1"/>
    <x v="0"/>
    <x v="3"/>
    <n v="50"/>
    <s v="140 K"/>
    <n v="50"/>
    <m/>
    <s v="U"/>
    <m/>
    <d v="1899-12-30T01:17:00"/>
    <d v="1899-12-30T14:24:00"/>
    <s v="JB"/>
    <m/>
    <s v="20140624 JBuris"/>
    <s v="20140625 DRobichaud"/>
    <s v="x"/>
    <n v="151.917"/>
    <s v="na"/>
    <s v="FWL"/>
    <s v="na"/>
    <s v="na"/>
    <s v="F1835"/>
    <s v="na"/>
    <s v="na"/>
    <s v="na"/>
    <s v="na"/>
    <s v="na"/>
  </r>
  <r>
    <n v="228"/>
    <x v="14"/>
    <n v="3"/>
    <x v="1"/>
    <x v="0"/>
    <x v="2"/>
    <n v="75"/>
    <s v="141 K"/>
    <n v="59"/>
    <m/>
    <s v="U"/>
    <m/>
    <d v="1899-12-30T01:35:00"/>
    <d v="1899-12-30T15:37:00"/>
    <s v="BK"/>
    <m/>
    <s v="20140624 BKalb"/>
    <s v="20140625 DRobichaud"/>
    <s v="x"/>
    <n v="151.684"/>
    <s v="na"/>
    <s v="FWL"/>
    <s v="na"/>
    <s v="na"/>
    <s v="F1845"/>
    <s v="na"/>
    <s v="na"/>
    <s v="na"/>
    <s v="na"/>
    <s v="na"/>
  </r>
  <r>
    <n v="229"/>
    <x v="14"/>
    <n v="3"/>
    <x v="1"/>
    <x v="0"/>
    <x v="2"/>
    <n v="77"/>
    <s v="142 K"/>
    <n v="66"/>
    <m/>
    <s v="U"/>
    <d v="1899-12-30T16:31:00"/>
    <d v="1899-12-30T01:32:00"/>
    <d v="1899-12-30T16:38:00"/>
    <s v="BK"/>
    <m/>
    <s v="20140624 BKalb"/>
    <s v="20140625 DRobichaud"/>
    <d v="1899-12-30T00:05:28"/>
    <n v="151.684"/>
    <s v="na"/>
    <s v="FWL"/>
    <s v="na"/>
    <s v="na"/>
    <s v="F1845"/>
    <s v="na"/>
    <s v="na"/>
    <s v="na"/>
    <s v="na"/>
    <s v="na"/>
  </r>
  <r>
    <n v="230"/>
    <x v="14"/>
    <n v="3"/>
    <x v="1"/>
    <x v="0"/>
    <x v="2"/>
    <n v="0"/>
    <s v="143 K"/>
    <n v="73"/>
    <m/>
    <s v="M"/>
    <m/>
    <d v="1899-12-30T01:16:00"/>
    <d v="1899-12-30T19:23:00"/>
    <s v="JB"/>
    <m/>
    <s v="20140624 KBMatthews"/>
    <s v="20140625 DRobichaud"/>
    <s v="x"/>
    <n v="151.684"/>
    <s v="na"/>
    <s v="FWL"/>
    <s v="na"/>
    <s v="na"/>
    <s v="F1845"/>
    <s v="na"/>
    <s v="na"/>
    <s v="na"/>
    <s v="na"/>
    <s v="na"/>
  </r>
  <r>
    <n v="231"/>
    <x v="14"/>
    <n v="3"/>
    <x v="4"/>
    <x v="1"/>
    <x v="0"/>
    <m/>
    <m/>
    <n v="32"/>
    <m/>
    <s v="U"/>
    <d v="1899-12-30T19:27:00"/>
    <d v="1899-12-30T00:19:00"/>
    <d v="1899-12-30T19:31:00"/>
    <s v="JB"/>
    <m/>
    <s v="20140624 KBMatthews"/>
    <s v="20140625 DRobichaud"/>
    <d v="1899-12-30T00:03:41"/>
    <s v="x"/>
    <s v="na"/>
    <s v="FWL"/>
    <s v="na"/>
    <s v="na"/>
    <s v="na"/>
    <s v="na"/>
    <s v="na"/>
    <s v="na"/>
    <s v="na"/>
    <s v="na"/>
  </r>
  <r>
    <n v="232"/>
    <x v="14"/>
    <n v="3"/>
    <x v="1"/>
    <x v="0"/>
    <x v="1"/>
    <n v="3"/>
    <s v="144 K"/>
    <n v="77"/>
    <m/>
    <s v="F"/>
    <d v="1899-12-30T21:13:00"/>
    <d v="1899-12-30T01:06:00"/>
    <d v="1899-12-30T21:17:00"/>
    <s v="KBM"/>
    <m/>
    <s v="20140624 KBMatthews"/>
    <s v="20140625 DRobichaud"/>
    <d v="1899-12-30T00:02:54"/>
    <n v="151.72499999999999"/>
    <s v="na"/>
    <s v="FWL"/>
    <s v="na"/>
    <s v="na"/>
    <s v="F1845"/>
    <s v="na"/>
    <s v="na"/>
    <s v="na"/>
    <s v="na"/>
    <s v="na"/>
  </r>
  <r>
    <n v="233"/>
    <x v="14"/>
    <n v="3"/>
    <x v="1"/>
    <x v="0"/>
    <x v="2"/>
    <n v="52"/>
    <s v="156 K"/>
    <n v="73"/>
    <m/>
    <s v="M"/>
    <d v="1899-12-30T22:46:00"/>
    <d v="1899-12-30T00:57:00"/>
    <d v="1899-12-30T22:52:00"/>
    <s v="JB"/>
    <m/>
    <s v="20140624 KBMatthews"/>
    <s v="20140625 DRobichaud"/>
    <d v="1899-12-30T00:05:03"/>
    <n v="151.684"/>
    <s v="na"/>
    <s v="FWL"/>
    <s v="na"/>
    <s v="na"/>
    <s v="F1845"/>
    <s v="na"/>
    <s v="na"/>
    <s v="na"/>
    <s v="na"/>
    <s v="na"/>
  </r>
  <r>
    <n v="234"/>
    <x v="15"/>
    <n v="1"/>
    <x v="1"/>
    <x v="0"/>
    <x v="1"/>
    <n v="49"/>
    <s v="171 K"/>
    <n v="55"/>
    <m/>
    <s v="M"/>
    <m/>
    <d v="1899-12-30T01:07:00"/>
    <d v="1899-12-30T06:18:00"/>
    <s v="BK"/>
    <m/>
    <s v="20140625 KShippen"/>
    <s v="20140626 DRobichaud"/>
    <s v="x"/>
    <n v="151.72499999999999"/>
    <s v="na"/>
    <s v="FWL"/>
    <s v="na"/>
    <s v="na"/>
    <s v="F1845"/>
    <s v="na"/>
    <s v="na"/>
    <s v="na"/>
    <s v="na"/>
    <s v="na"/>
  </r>
  <r>
    <n v="235"/>
    <x v="15"/>
    <n v="1"/>
    <x v="1"/>
    <x v="0"/>
    <x v="2"/>
    <n v="81"/>
    <s v="172 K"/>
    <n v="57"/>
    <m/>
    <s v="U"/>
    <d v="1899-12-30T06:31:00"/>
    <d v="1899-12-30T01:06:00"/>
    <d v="1899-12-30T06:39:00"/>
    <s v="KS"/>
    <m/>
    <s v="20140625 KShippen"/>
    <s v="20140626 DRobichaud"/>
    <d v="1899-12-30T00:06:54"/>
    <n v="151.684"/>
    <s v="na"/>
    <s v="FWL"/>
    <s v="na"/>
    <s v="na"/>
    <s v="F1845"/>
    <s v="na"/>
    <s v="na"/>
    <s v="na"/>
    <s v="na"/>
    <s v="na"/>
  </r>
  <r>
    <n v="236"/>
    <x v="15"/>
    <n v="1"/>
    <x v="3"/>
    <x v="2"/>
    <x v="0"/>
    <m/>
    <m/>
    <m/>
    <n v="27"/>
    <s v="U"/>
    <m/>
    <d v="1899-12-30T00:15:00"/>
    <d v="1899-12-30T09:34:00"/>
    <s v="KS"/>
    <m/>
    <s v="20140625 KShippen"/>
    <s v="20140626 DRobichaud"/>
    <s v="x"/>
    <s v="x"/>
    <s v="na"/>
    <s v="FWL"/>
    <s v="na"/>
    <s v="na"/>
    <s v="na"/>
    <s v="na"/>
    <s v="na"/>
    <s v="na"/>
    <s v="na"/>
    <s v="na"/>
  </r>
  <r>
    <n v="237"/>
    <x v="15"/>
    <n v="1"/>
    <x v="1"/>
    <x v="0"/>
    <x v="2"/>
    <n v="53"/>
    <s v="174 K"/>
    <n v="93"/>
    <m/>
    <s v="M"/>
    <m/>
    <d v="1899-12-30T02:06:00"/>
    <d v="1899-12-30T12:16:00"/>
    <s v="JB"/>
    <m/>
    <s v="20140625 KBMatthews"/>
    <s v="20140626 DRobichaud"/>
    <s v="x"/>
    <n v="151.684"/>
    <s v="na"/>
    <s v="FWL"/>
    <s v="na"/>
    <s v="na"/>
    <s v="F1845"/>
    <s v="na"/>
    <s v="na"/>
    <s v="na"/>
    <s v="na"/>
    <s v="na"/>
  </r>
  <r>
    <n v="238"/>
    <x v="15"/>
    <n v="1"/>
    <x v="1"/>
    <x v="0"/>
    <x v="1"/>
    <n v="38"/>
    <s v="173 K"/>
    <n v="57"/>
    <m/>
    <s v="U"/>
    <m/>
    <d v="1899-12-30T01:15:00"/>
    <d v="1899-12-30T12:07:00"/>
    <s v="KBM"/>
    <m/>
    <s v="20140625 KBMatthews"/>
    <s v="20140626 DRobichaud"/>
    <s v="x"/>
    <n v="151.72499999999999"/>
    <s v="na"/>
    <s v="FWL"/>
    <s v="na"/>
    <s v="na"/>
    <s v="F1845"/>
    <s v="na"/>
    <s v="na"/>
    <s v="na"/>
    <s v="na"/>
    <s v="na"/>
  </r>
  <r>
    <n v="239"/>
    <x v="15"/>
    <n v="1"/>
    <x v="1"/>
    <x v="0"/>
    <x v="1"/>
    <n v="33"/>
    <s v="175 K"/>
    <n v="87"/>
    <m/>
    <s v="F"/>
    <m/>
    <d v="1899-12-30T01:57:00"/>
    <d v="1899-12-30T15:13:00"/>
    <s v="KS"/>
    <m/>
    <s v="20140625 KShippen"/>
    <s v="20140626 DRobichaud"/>
    <s v="x"/>
    <n v="151.72499999999999"/>
    <s v="na"/>
    <s v="FWL"/>
    <s v="na"/>
    <s v="na"/>
    <s v="F1845"/>
    <s v="na"/>
    <s v="na"/>
    <s v="na"/>
    <s v="na"/>
    <s v="na"/>
  </r>
  <r>
    <n v="240"/>
    <x v="15"/>
    <n v="1"/>
    <x v="1"/>
    <x v="0"/>
    <x v="0"/>
    <m/>
    <m/>
    <m/>
    <m/>
    <s v="U"/>
    <m/>
    <d v="1899-12-30T02:30:00"/>
    <d v="1899-12-30T15:21:00"/>
    <s v="CSj"/>
    <s v="fish would not retain tag"/>
    <s v="20140625 KShippen"/>
    <s v="20140626 DRobichaud"/>
    <s v="x"/>
    <s v="x"/>
    <s v="na"/>
    <s v="FWL"/>
    <s v="na"/>
    <s v="na"/>
    <s v="na"/>
    <s v="na"/>
    <s v="na"/>
    <s v="na"/>
    <s v="na"/>
    <s v="na"/>
  </r>
  <r>
    <n v="241"/>
    <x v="15"/>
    <n v="1"/>
    <x v="1"/>
    <x v="0"/>
    <x v="1"/>
    <n v="70"/>
    <s v="177 K"/>
    <n v="64"/>
    <m/>
    <s v="U"/>
    <d v="1899-12-30T15:44:00"/>
    <d v="1899-12-30T01:17:00"/>
    <d v="1899-12-30T15:49:00"/>
    <s v="CSj"/>
    <m/>
    <s v="20140625 KShippen"/>
    <s v="20140626 DRobichaud"/>
    <d v="1899-12-30T00:03:43"/>
    <n v="151.72499999999999"/>
    <s v="na"/>
    <s v="FWL"/>
    <s v="na"/>
    <s v="na"/>
    <s v="F1845"/>
    <s v="na"/>
    <s v="na"/>
    <s v="na"/>
    <s v="na"/>
    <s v="na"/>
  </r>
  <r>
    <n v="242"/>
    <x v="15"/>
    <n v="1"/>
    <x v="1"/>
    <x v="0"/>
    <x v="1"/>
    <n v="78"/>
    <s v="179 K"/>
    <n v="68"/>
    <m/>
    <s v="U"/>
    <m/>
    <d v="1899-12-30T01:25:00"/>
    <d v="1899-12-30T19:39:00"/>
    <s v="KBM"/>
    <m/>
    <s v="20140625 KBMatthews"/>
    <s v="20140626 DRobichaud"/>
    <s v="x"/>
    <n v="151.72499999999999"/>
    <s v="na"/>
    <s v="FWL"/>
    <s v="na"/>
    <s v="na"/>
    <s v="F1845"/>
    <s v="na"/>
    <s v="na"/>
    <s v="na"/>
    <s v="na"/>
    <s v="na"/>
  </r>
  <r>
    <n v="243"/>
    <x v="15"/>
    <n v="2"/>
    <x v="1"/>
    <x v="0"/>
    <x v="2"/>
    <n v="94"/>
    <s v="176 K"/>
    <n v="80"/>
    <m/>
    <s v="U"/>
    <m/>
    <d v="1899-12-30T01:30:00"/>
    <s v="13:39"/>
    <s v="KBM"/>
    <m/>
    <s v="20140625 KBMatthews"/>
    <s v="20140626 DRobichaud"/>
    <s v="x"/>
    <n v="151.684"/>
    <s v="na"/>
    <s v="FWL"/>
    <s v="na"/>
    <s v="na"/>
    <s v="F1845"/>
    <s v="na"/>
    <s v="na"/>
    <s v="na"/>
    <s v="na"/>
    <s v="na"/>
  </r>
  <r>
    <n v="244"/>
    <x v="15"/>
    <n v="2"/>
    <x v="1"/>
    <x v="0"/>
    <x v="2"/>
    <n v="46"/>
    <s v="178 K"/>
    <n v="84"/>
    <m/>
    <s v="U"/>
    <m/>
    <d v="1899-12-30T01:48:00"/>
    <s v="17:18"/>
    <s v="KS"/>
    <m/>
    <s v="20140625 KShippen"/>
    <s v="20140626 DRobichaud"/>
    <s v="x"/>
    <n v="151.684"/>
    <s v="na"/>
    <s v="FWL"/>
    <s v="na"/>
    <s v="na"/>
    <s v="F1845"/>
    <s v="na"/>
    <s v="na"/>
    <s v="na"/>
    <s v="na"/>
    <s v="na"/>
  </r>
  <r>
    <n v="245"/>
    <x v="15"/>
    <n v="2"/>
    <x v="1"/>
    <x v="0"/>
    <x v="1"/>
    <n v="24"/>
    <s v="181 K"/>
    <n v="92"/>
    <m/>
    <s v="U"/>
    <m/>
    <d v="1899-12-30T02:28:00"/>
    <s v="22:15"/>
    <s v="WC"/>
    <m/>
    <s v="20140625 KBMatthews"/>
    <s v="20140626 DRobichaud"/>
    <s v="x"/>
    <n v="151.72499999999999"/>
    <s v="na"/>
    <s v="FWL"/>
    <s v="na"/>
    <s v="na"/>
    <s v="F1845"/>
    <s v="na"/>
    <s v="na"/>
    <s v="na"/>
    <s v="na"/>
    <s v="na"/>
  </r>
  <r>
    <n v="246"/>
    <x v="15"/>
    <n v="3"/>
    <x v="1"/>
    <x v="0"/>
    <x v="1"/>
    <n v="10"/>
    <s v="157 K"/>
    <n v="87"/>
    <m/>
    <s v="U"/>
    <d v="1899-12-30T07:57:00"/>
    <d v="1899-12-30T01:40:00"/>
    <d v="1899-12-30T08:02:00"/>
    <s v="LA"/>
    <m/>
    <s v="20140625 LAckein"/>
    <s v="20140626 DRobichaud"/>
    <d v="1899-12-30T00:03:20"/>
    <n v="151.72499999999999"/>
    <s v="na"/>
    <s v="FWL"/>
    <s v="na"/>
    <s v="na"/>
    <s v="F1845"/>
    <s v="na"/>
    <s v="na"/>
    <s v="na"/>
    <s v="na"/>
    <s v="na"/>
  </r>
  <r>
    <n v="247"/>
    <x v="15"/>
    <n v="3"/>
    <x v="1"/>
    <x v="0"/>
    <x v="2"/>
    <n v="18"/>
    <s v="158 K"/>
    <n v="82"/>
    <m/>
    <s v="U"/>
    <d v="1899-12-30T08:58:00"/>
    <d v="1899-12-30T01:34:00"/>
    <d v="1899-12-30T09:03:00"/>
    <s v="LA"/>
    <m/>
    <s v="20140625 LAckein"/>
    <s v="20140626 DRobichaud"/>
    <d v="1899-12-30T00:03:26"/>
    <n v="151.684"/>
    <s v="na"/>
    <s v="FWL"/>
    <s v="na"/>
    <s v="na"/>
    <s v="F1845"/>
    <s v="na"/>
    <s v="na"/>
    <s v="na"/>
    <s v="na"/>
    <s v="na"/>
  </r>
  <r>
    <n v="248"/>
    <x v="15"/>
    <n v="3"/>
    <x v="0"/>
    <x v="2"/>
    <x v="0"/>
    <m/>
    <m/>
    <m/>
    <n v="22"/>
    <s v="U"/>
    <m/>
    <d v="1899-12-30T00:25:00"/>
    <d v="1899-12-30T12:25:00"/>
    <s v="JB"/>
    <m/>
    <s v="20140625 JBerry"/>
    <s v="20140626 DRobichaud"/>
    <s v="x"/>
    <s v="x"/>
    <s v="na"/>
    <s v="FWL"/>
    <s v="na"/>
    <s v="na"/>
    <s v="na"/>
    <s v="na"/>
    <s v="na"/>
    <s v="na"/>
    <s v="na"/>
    <s v="na"/>
  </r>
  <r>
    <n v="249"/>
    <x v="15"/>
    <n v="3"/>
    <x v="1"/>
    <x v="0"/>
    <x v="2"/>
    <n v="74"/>
    <s v="159 K"/>
    <n v="78"/>
    <m/>
    <s v="U"/>
    <m/>
    <d v="1899-12-30T01:41:00"/>
    <d v="1899-12-30T13:21:00"/>
    <s v="JB"/>
    <m/>
    <s v="20140625 JBerry"/>
    <s v="20140626 DRobichaud"/>
    <s v="x"/>
    <n v="151.684"/>
    <s v="na"/>
    <s v="FWL"/>
    <s v="na"/>
    <s v="na"/>
    <s v="F1845"/>
    <s v="na"/>
    <s v="na"/>
    <s v="na"/>
    <s v="na"/>
    <s v="na"/>
  </r>
  <r>
    <n v="250"/>
    <x v="15"/>
    <n v="3"/>
    <x v="1"/>
    <x v="0"/>
    <x v="2"/>
    <n v="65"/>
    <s v="160 K"/>
    <n v="65"/>
    <m/>
    <s v="U"/>
    <d v="1899-12-30T15:13:00"/>
    <d v="1899-12-30T01:18:00"/>
    <d v="1899-12-30T15:18:00"/>
    <s v="BK"/>
    <m/>
    <s v="20140625 BKalb"/>
    <s v="20140626 DRobichaud"/>
    <d v="1899-12-30T00:03:42"/>
    <n v="151.684"/>
    <s v="na"/>
    <s v="FWL"/>
    <s v="na"/>
    <s v="na"/>
    <s v="F1845"/>
    <s v="na"/>
    <s v="na"/>
    <s v="na"/>
    <s v="na"/>
    <s v="na"/>
  </r>
  <r>
    <n v="251"/>
    <x v="15"/>
    <n v="3"/>
    <x v="1"/>
    <x v="0"/>
    <x v="2"/>
    <n v="79"/>
    <s v="180 K"/>
    <n v="81"/>
    <m/>
    <s v="U"/>
    <d v="1899-12-30T16:44:00"/>
    <d v="1899-12-30T01:55:00"/>
    <d v="1899-12-30T16:50:00"/>
    <s v="LA"/>
    <m/>
    <s v="20140625 BKalb"/>
    <s v="20140626 DRobichaud"/>
    <d v="1899-12-30T00:04:05"/>
    <n v="151.684"/>
    <s v="na"/>
    <s v="FWL"/>
    <s v="na"/>
    <s v="na"/>
    <s v="F1845"/>
    <s v="na"/>
    <s v="na"/>
    <s v="na"/>
    <s v="na"/>
    <s v="na"/>
  </r>
  <r>
    <n v="252"/>
    <x v="15"/>
    <n v="3"/>
    <x v="1"/>
    <x v="0"/>
    <x v="1"/>
    <n v="44"/>
    <s v="182 K"/>
    <n v="85"/>
    <m/>
    <s v="U"/>
    <d v="1899-12-30T17:49:00"/>
    <d v="1899-12-30T02:52:00"/>
    <d v="1899-12-30T17:57:00"/>
    <s v="BK"/>
    <m/>
    <s v="20140625 BKalb"/>
    <s v="20140626 DRobichaud"/>
    <d v="1899-12-30T00:05:08"/>
    <n v="151.72499999999999"/>
    <s v="na"/>
    <s v="FWL"/>
    <s v="na"/>
    <s v="na"/>
    <s v="F1845"/>
    <s v="na"/>
    <s v="na"/>
    <s v="na"/>
    <s v="na"/>
    <s v="na"/>
  </r>
  <r>
    <n v="253"/>
    <x v="15"/>
    <n v="3"/>
    <x v="1"/>
    <x v="0"/>
    <x v="1"/>
    <n v="69"/>
    <s v="183 K"/>
    <n v="61"/>
    <m/>
    <s v="U"/>
    <d v="1899-12-30T18:30:00"/>
    <d v="1899-12-30T01:13:00"/>
    <d v="1899-12-30T18:36:00"/>
    <s v="LA"/>
    <m/>
    <s v="20140625 BKalb"/>
    <s v="20140626 DRobichaud"/>
    <d v="1899-12-30T00:04:47"/>
    <n v="151.72499999999999"/>
    <s v="na"/>
    <s v="FWL"/>
    <s v="na"/>
    <s v="na"/>
    <s v="F1845"/>
    <s v="na"/>
    <s v="na"/>
    <s v="na"/>
    <s v="na"/>
    <s v="na"/>
  </r>
  <r>
    <n v="254"/>
    <x v="15"/>
    <n v="3"/>
    <x v="4"/>
    <x v="1"/>
    <x v="0"/>
    <m/>
    <m/>
    <n v="37"/>
    <m/>
    <s v="U"/>
    <m/>
    <d v="1899-12-30T00:25:00"/>
    <d v="1899-12-30T18:38:00"/>
    <s v="BK"/>
    <s v="too small to tag"/>
    <s v="20140625 BKalb"/>
    <s v="20140626 DRobichaud"/>
    <s v="x"/>
    <s v="x"/>
    <s v="na"/>
    <s v="FWL"/>
    <s v="na"/>
    <s v="na"/>
    <s v="na"/>
    <s v="na"/>
    <s v="na"/>
    <s v="na"/>
    <s v="na"/>
    <s v="na"/>
  </r>
  <r>
    <n v="255"/>
    <x v="15"/>
    <n v="3"/>
    <x v="1"/>
    <x v="0"/>
    <x v="1"/>
    <n v="56"/>
    <s v="184 K"/>
    <n v="65"/>
    <m/>
    <s v="M"/>
    <d v="1899-12-30T21:00:00"/>
    <d v="1899-12-30T00:48:00"/>
    <d v="1899-12-30T21:04:00"/>
    <s v="JBU"/>
    <m/>
    <s v="20140625 JBuris"/>
    <s v="20140626 DRobichaud"/>
    <d v="1899-12-30T00:03:12"/>
    <n v="151.72499999999999"/>
    <s v="na"/>
    <s v="FWL"/>
    <s v="na"/>
    <s v="na"/>
    <s v="F1845"/>
    <s v="na"/>
    <s v="na"/>
    <s v="na"/>
    <s v="na"/>
    <s v="na"/>
  </r>
  <r>
    <n v="256"/>
    <x v="16"/>
    <n v="1"/>
    <x v="1"/>
    <x v="0"/>
    <x v="1"/>
    <n v="19"/>
    <s v="187 K"/>
    <n v="56"/>
    <m/>
    <s v="U"/>
    <m/>
    <d v="1899-12-30T01:20:00"/>
    <s v="09:17"/>
    <s v="LA"/>
    <m/>
    <s v="20140628 LAckein"/>
    <s v="20140629 DRobichaud"/>
    <s v="x"/>
    <n v="151.72499999999999"/>
    <s v="na"/>
    <s v="FWL"/>
    <s v="na"/>
    <s v="na"/>
    <s v="F1845"/>
    <s v="na"/>
    <s v="na"/>
    <s v="na"/>
    <s v="na"/>
    <s v="na"/>
  </r>
  <r>
    <n v="257"/>
    <x v="16"/>
    <n v="1"/>
    <x v="1"/>
    <x v="0"/>
    <x v="1"/>
    <n v="59"/>
    <s v="188 K"/>
    <n v="53"/>
    <m/>
    <s v="U"/>
    <d v="1899-12-30T11:04:00"/>
    <d v="1899-12-30T01:12:00"/>
    <s v="11:13"/>
    <s v="AS"/>
    <m/>
    <s v="20140628 AStephens"/>
    <s v="20140629 DRobichaud"/>
    <d v="1899-12-30T00:07:48"/>
    <n v="151.72499999999999"/>
    <s v="na"/>
    <s v="FWL"/>
    <s v="na"/>
    <s v="na"/>
    <s v="F1845"/>
    <s v="na"/>
    <s v="na"/>
    <s v="na"/>
    <s v="na"/>
    <s v="na"/>
  </r>
  <r>
    <n v="258"/>
    <x v="16"/>
    <n v="1"/>
    <x v="1"/>
    <x v="0"/>
    <x v="1"/>
    <n v="30"/>
    <s v="189 K"/>
    <n v="65"/>
    <m/>
    <s v="U"/>
    <m/>
    <d v="1899-12-30T01:30:00"/>
    <s v="11:20"/>
    <s v="QB"/>
    <m/>
    <s v="20140628 AStephens"/>
    <s v="20140629 DRobichaud"/>
    <s v="x"/>
    <n v="151.72499999999999"/>
    <s v="na"/>
    <s v="FWL"/>
    <s v="na"/>
    <s v="na"/>
    <s v="F1845"/>
    <s v="na"/>
    <s v="na"/>
    <s v="na"/>
    <s v="na"/>
    <s v="na"/>
  </r>
  <r>
    <n v="259"/>
    <x v="16"/>
    <n v="1"/>
    <x v="4"/>
    <x v="1"/>
    <x v="0"/>
    <m/>
    <m/>
    <n v="27"/>
    <m/>
    <s v="U"/>
    <m/>
    <d v="1899-12-30T00:15:00"/>
    <s v="11:52"/>
    <s v="AS"/>
    <s v="too small to tag"/>
    <s v="20140628 AStephens"/>
    <s v="20140629 DRobichaud"/>
    <s v="x"/>
    <s v="x"/>
    <s v="na"/>
    <s v="FWL"/>
    <s v="na"/>
    <s v="na"/>
    <s v="na"/>
    <s v="na"/>
    <s v="na"/>
    <s v="na"/>
    <s v="na"/>
    <s v="na"/>
  </r>
  <r>
    <n v="260"/>
    <x v="16"/>
    <n v="1"/>
    <x v="4"/>
    <x v="1"/>
    <x v="0"/>
    <m/>
    <m/>
    <n v="38"/>
    <m/>
    <s v="U"/>
    <m/>
    <d v="1899-12-30T00:35:00"/>
    <s v="12:58"/>
    <s v="WC"/>
    <s v="too small to tag"/>
    <s v="20140628 WChallenger"/>
    <s v="20140629 DRobichaud"/>
    <s v="x"/>
    <s v="x"/>
    <s v="na"/>
    <s v="FWL"/>
    <s v="na"/>
    <s v="na"/>
    <s v="na"/>
    <s v="na"/>
    <s v="na"/>
    <s v="na"/>
    <s v="na"/>
    <s v="na"/>
  </r>
  <r>
    <n v="261"/>
    <x v="16"/>
    <n v="1"/>
    <x v="1"/>
    <x v="0"/>
    <x v="2"/>
    <n v="14"/>
    <s v="190 K"/>
    <n v="78"/>
    <m/>
    <s v="U"/>
    <m/>
    <d v="1899-12-30T01:35:00"/>
    <s v="15:05"/>
    <s v="JG"/>
    <m/>
    <s v="20140628 JGraham"/>
    <s v="20140629 DRobichaud"/>
    <s v="x"/>
    <n v="151.684"/>
    <s v="na"/>
    <s v="FWL"/>
    <s v="na"/>
    <s v="na"/>
    <s v="F1845"/>
    <s v="na"/>
    <s v="na"/>
    <s v="na"/>
    <s v="na"/>
    <s v="na"/>
  </r>
  <r>
    <n v="262"/>
    <x v="16"/>
    <n v="1"/>
    <x v="4"/>
    <x v="1"/>
    <x v="0"/>
    <m/>
    <m/>
    <n v="33"/>
    <m/>
    <s v="U"/>
    <m/>
    <d v="1899-12-30T00:26:00"/>
    <s v="17:04"/>
    <s v="JK"/>
    <s v="too small to tag"/>
    <s v="20140628 JKunzler"/>
    <s v="20140629 DRobichaud"/>
    <s v="x"/>
    <s v="x"/>
    <s v="na"/>
    <s v="FWL"/>
    <s v="na"/>
    <s v="na"/>
    <s v="na"/>
    <s v="na"/>
    <s v="na"/>
    <s v="na"/>
    <s v="na"/>
    <s v="na"/>
  </r>
  <r>
    <n v="263"/>
    <x v="16"/>
    <n v="1"/>
    <x v="4"/>
    <x v="1"/>
    <x v="0"/>
    <m/>
    <m/>
    <n v="32"/>
    <m/>
    <s v="U"/>
    <m/>
    <d v="1899-12-30T00:32:00"/>
    <s v="17:07"/>
    <s v="JK"/>
    <s v="too small to tag"/>
    <s v="20140628 JKunzler"/>
    <s v="20140629 DRobichaud"/>
    <s v="x"/>
    <s v="x"/>
    <s v="na"/>
    <s v="FWL"/>
    <s v="na"/>
    <s v="na"/>
    <s v="na"/>
    <s v="na"/>
    <s v="na"/>
    <s v="na"/>
    <s v="na"/>
    <s v="na"/>
  </r>
  <r>
    <n v="264"/>
    <x v="16"/>
    <n v="1"/>
    <x v="1"/>
    <x v="0"/>
    <x v="2"/>
    <n v="9"/>
    <s v="198 K"/>
    <n v="78"/>
    <m/>
    <s v="U"/>
    <d v="1899-12-30T17:05:00"/>
    <d v="1899-12-30T01:40:00"/>
    <s v="17:14"/>
    <s v="JK"/>
    <m/>
    <s v="20140628 JKunzler"/>
    <s v="20140629 DRobichaud"/>
    <d v="1899-12-30T00:07:20"/>
    <n v="151.684"/>
    <s v="na"/>
    <s v="FWL"/>
    <s v="na"/>
    <s v="na"/>
    <s v="F1845"/>
    <s v="na"/>
    <s v="na"/>
    <s v="na"/>
    <s v="na"/>
    <s v="na"/>
  </r>
  <r>
    <n v="265"/>
    <x v="16"/>
    <n v="1"/>
    <x v="0"/>
    <x v="2"/>
    <x v="0"/>
    <m/>
    <m/>
    <m/>
    <n v="27"/>
    <s v="U"/>
    <m/>
    <d v="1899-12-30T00:36:00"/>
    <s v="18:36"/>
    <s v="JK"/>
    <m/>
    <s v="20140628 JKunzler"/>
    <s v="20140629 DRobichaud"/>
    <s v="x"/>
    <s v="x"/>
    <s v="na"/>
    <s v="FWL"/>
    <s v="na"/>
    <s v="na"/>
    <s v="na"/>
    <s v="na"/>
    <s v="na"/>
    <s v="na"/>
    <s v="na"/>
    <s v="na"/>
  </r>
  <r>
    <n v="266"/>
    <x v="16"/>
    <n v="1"/>
    <x v="4"/>
    <x v="1"/>
    <x v="0"/>
    <m/>
    <m/>
    <n v="35"/>
    <m/>
    <s v="U"/>
    <m/>
    <d v="1899-12-30T00:35:00"/>
    <s v="18:40"/>
    <s v="JK"/>
    <s v="too small to tag"/>
    <s v="20140628 JKunzler"/>
    <s v="20140629 DRobichaud"/>
    <s v="x"/>
    <s v="x"/>
    <s v="na"/>
    <s v="FWL"/>
    <s v="na"/>
    <s v="na"/>
    <s v="na"/>
    <s v="na"/>
    <s v="na"/>
    <s v="na"/>
    <s v="na"/>
    <s v="na"/>
  </r>
  <r>
    <n v="267"/>
    <x v="16"/>
    <n v="1"/>
    <x v="1"/>
    <x v="0"/>
    <x v="2"/>
    <n v="1"/>
    <s v="199 K"/>
    <n v="79"/>
    <m/>
    <s v="U"/>
    <d v="1899-12-30T18:55:00"/>
    <d v="1899-12-30T02:18:00"/>
    <s v="19:01"/>
    <s v="CSj"/>
    <m/>
    <s v="20140628 CSejkora"/>
    <s v="20140629 DRobichaud"/>
    <d v="1899-12-30T00:03:42"/>
    <n v="151.684"/>
    <s v="na"/>
    <s v="FWL"/>
    <s v="na"/>
    <s v="na"/>
    <s v="F1845"/>
    <s v="na"/>
    <s v="na"/>
    <s v="na"/>
    <s v="na"/>
    <s v="na"/>
  </r>
  <r>
    <n v="268"/>
    <x v="16"/>
    <n v="1"/>
    <x v="1"/>
    <x v="0"/>
    <x v="1"/>
    <n v="50"/>
    <s v="200 K"/>
    <n v="51"/>
    <m/>
    <s v="U"/>
    <m/>
    <d v="1899-12-30T01:36:00"/>
    <s v="21:07"/>
    <s v="WC"/>
    <m/>
    <s v="20140628 WChallenger"/>
    <s v="20140629 DRobichaud"/>
    <s v="x"/>
    <n v="151.72499999999999"/>
    <s v="na"/>
    <s v="FWL"/>
    <s v="na"/>
    <s v="na"/>
    <s v="F1845"/>
    <s v="na"/>
    <s v="na"/>
    <s v="na"/>
    <s v="na"/>
    <s v="na"/>
  </r>
  <r>
    <n v="269"/>
    <x v="16"/>
    <n v="2"/>
    <x v="0"/>
    <x v="2"/>
    <x v="0"/>
    <m/>
    <m/>
    <m/>
    <n v="25"/>
    <s v="U"/>
    <m/>
    <d v="1899-12-30T00:21:00"/>
    <s v="22:29"/>
    <s v="QB"/>
    <m/>
    <s v="20140628 Qberger"/>
    <s v="20140629 DRobichaud"/>
    <s v="x"/>
    <s v="x"/>
    <s v="na"/>
    <s v="FWL"/>
    <s v="na"/>
    <s v="na"/>
    <s v="na"/>
    <s v="na"/>
    <s v="na"/>
    <s v="na"/>
    <s v="na"/>
    <s v="na"/>
  </r>
  <r>
    <n v="270"/>
    <x v="17"/>
    <n v="1"/>
    <x v="1"/>
    <x v="0"/>
    <x v="2"/>
    <n v="12"/>
    <s v="201 K"/>
    <n v="84"/>
    <m/>
    <s v="U"/>
    <m/>
    <d v="1899-12-30T01:26:00"/>
    <d v="1899-12-30T05:48:00"/>
    <s v="JG"/>
    <m/>
    <s v="20140629 JGraham"/>
    <s v="20140630 DRobichaud"/>
    <s v="x"/>
    <n v="151.684"/>
    <s v="na"/>
    <s v="FWL"/>
    <s v="na"/>
    <s v="na"/>
    <s v="F1845"/>
    <s v="na"/>
    <s v="na"/>
    <s v="na"/>
    <s v="na"/>
    <s v="na"/>
  </r>
  <r>
    <n v="271"/>
    <x v="17"/>
    <n v="1"/>
    <x v="4"/>
    <x v="1"/>
    <x v="0"/>
    <m/>
    <m/>
    <n v="38"/>
    <n v="40"/>
    <s v="U"/>
    <m/>
    <d v="1899-12-30T01:03:00"/>
    <d v="1899-12-30T05:53:00"/>
    <s v="JG"/>
    <s v="too small to tag"/>
    <s v="20140629 JGraham"/>
    <s v="20140630 DRobichaud"/>
    <s v="x"/>
    <s v="x"/>
    <s v="na"/>
    <s v="FWL"/>
    <s v="na"/>
    <s v="na"/>
    <s v="na"/>
    <s v="na"/>
    <s v="na"/>
    <s v="na"/>
    <s v="na"/>
    <s v="na"/>
  </r>
  <r>
    <n v="272"/>
    <x v="17"/>
    <n v="1"/>
    <x v="7"/>
    <x v="0"/>
    <x v="0"/>
    <m/>
    <m/>
    <n v="46"/>
    <m/>
    <s v="U"/>
    <m/>
    <d v="1899-12-30T00:50:00"/>
    <d v="1899-12-30T05:51:00"/>
    <s v="JG"/>
    <s v="no SO tag on fishwheel, fish released."/>
    <s v="20140629 JGraham"/>
    <s v="20140630 DRobichaud"/>
    <s v="x"/>
    <s v="x"/>
    <s v="na"/>
    <s v="FWL"/>
    <s v="na"/>
    <s v="na"/>
    <s v="na"/>
    <s v="na"/>
    <s v="na"/>
    <s v="na"/>
    <s v="na"/>
    <s v="na"/>
  </r>
  <r>
    <n v="273"/>
    <x v="17"/>
    <n v="1"/>
    <x v="4"/>
    <x v="1"/>
    <x v="3"/>
    <n v="26"/>
    <s v="202 K"/>
    <n v="47"/>
    <m/>
    <s v="U"/>
    <m/>
    <d v="1899-12-30T01:42:00"/>
    <d v="1899-12-30T06:04:00"/>
    <s v="CSj"/>
    <m/>
    <s v="20140629 JGraham"/>
    <s v="20140630 DRobichaud"/>
    <s v="x"/>
    <n v="151.917"/>
    <s v="na"/>
    <s v="FWL"/>
    <s v="na"/>
    <s v="na"/>
    <s v="F1835"/>
    <s v="na"/>
    <s v="na"/>
    <s v="na"/>
    <s v="na"/>
    <s v="na"/>
  </r>
  <r>
    <n v="274"/>
    <x v="17"/>
    <n v="1"/>
    <x v="1"/>
    <x v="0"/>
    <x v="2"/>
    <n v="51"/>
    <s v="203 K"/>
    <n v="86"/>
    <m/>
    <s v="U"/>
    <m/>
    <d v="1899-12-30T01:23:00"/>
    <d v="1899-12-30T06:06:00"/>
    <s v="CSj"/>
    <m/>
    <s v="20140629 JGraham"/>
    <s v="20140630 DRobichaud"/>
    <s v="x"/>
    <n v="151.684"/>
    <s v="na"/>
    <s v="FWL"/>
    <s v="na"/>
    <s v="na"/>
    <s v="F1845"/>
    <s v="na"/>
    <s v="na"/>
    <s v="na"/>
    <s v="na"/>
    <s v="na"/>
  </r>
  <r>
    <n v="275"/>
    <x v="17"/>
    <n v="1"/>
    <x v="1"/>
    <x v="0"/>
    <x v="1"/>
    <n v="40"/>
    <s v="204 K"/>
    <n v="71"/>
    <m/>
    <s v="U"/>
    <d v="1899-12-30T08:00:00"/>
    <d v="1899-12-30T01:25:00"/>
    <d v="1899-12-30T08:08:00"/>
    <s v="JG"/>
    <m/>
    <s v="20140629 JGraham"/>
    <s v="20140630 DRobichaud"/>
    <d v="1899-12-30T00:06:35"/>
    <n v="151.72499999999999"/>
    <s v="na"/>
    <s v="FWL"/>
    <s v="na"/>
    <s v="na"/>
    <s v="F1845"/>
    <s v="na"/>
    <s v="na"/>
    <s v="na"/>
    <s v="na"/>
    <s v="na"/>
  </r>
  <r>
    <n v="276"/>
    <x v="17"/>
    <n v="1"/>
    <x v="1"/>
    <x v="0"/>
    <x v="2"/>
    <n v="57"/>
    <s v="205 K"/>
    <n v="88"/>
    <m/>
    <s v="U"/>
    <d v="1899-12-30T09:32:00"/>
    <d v="1899-12-30T01:18:00"/>
    <d v="1899-12-30T09:37:00"/>
    <s v="CSj"/>
    <s v="probably recaptured 3 minutes later"/>
    <s v="20140629 JGraham"/>
    <s v="20140630 DRobichaud"/>
    <d v="1899-12-30T00:03:42"/>
    <n v="151.684"/>
    <s v="na"/>
    <s v="FWL"/>
    <s v="na"/>
    <s v="na"/>
    <s v="F1845"/>
    <s v="na"/>
    <s v="na"/>
    <s v="na"/>
    <s v="na"/>
    <s v="na"/>
  </r>
  <r>
    <n v="277"/>
    <x v="17"/>
    <n v="1"/>
    <x v="1"/>
    <x v="0"/>
    <x v="1"/>
    <n v="77"/>
    <s v="206 K"/>
    <n v="66"/>
    <m/>
    <s v="U"/>
    <m/>
    <d v="1899-12-30T01:28:00"/>
    <d v="1899-12-30T09:45:00"/>
    <s v="CSj"/>
    <m/>
    <s v="20140629 JGraham"/>
    <s v="20140630 DRobichaud"/>
    <s v="x"/>
    <n v="151.72499999999999"/>
    <s v="na"/>
    <s v="FWL"/>
    <s v="na"/>
    <s v="na"/>
    <s v="F1845"/>
    <s v="na"/>
    <s v="na"/>
    <s v="na"/>
    <s v="na"/>
    <s v="na"/>
  </r>
  <r>
    <n v="278"/>
    <x v="17"/>
    <n v="1"/>
    <x v="1"/>
    <x v="0"/>
    <x v="1"/>
    <n v="29"/>
    <s v="207 K"/>
    <n v="51"/>
    <m/>
    <s v="U"/>
    <m/>
    <d v="1899-12-30T02:00:00"/>
    <d v="1899-12-30T09:55:00"/>
    <s v="JG"/>
    <m/>
    <s v="20140629 JGraham"/>
    <s v="20140630 DRobichaud"/>
    <s v="x"/>
    <n v="151.72499999999999"/>
    <s v="na"/>
    <s v="FWL"/>
    <s v="na"/>
    <s v="na"/>
    <s v="F1845"/>
    <s v="na"/>
    <s v="na"/>
    <s v="na"/>
    <s v="na"/>
    <s v="na"/>
  </r>
  <r>
    <n v="279"/>
    <x v="17"/>
    <n v="1"/>
    <x v="1"/>
    <x v="0"/>
    <x v="1"/>
    <n v="65"/>
    <s v="208 K"/>
    <n v="65"/>
    <m/>
    <s v="U"/>
    <m/>
    <d v="1899-12-30T01:35:00"/>
    <d v="1899-12-30T10:00:00"/>
    <s v="JG"/>
    <m/>
    <s v="20140629 JGraham"/>
    <s v="20140630 DRobichaud"/>
    <s v="x"/>
    <n v="151.72499999999999"/>
    <s v="na"/>
    <s v="FWL"/>
    <s v="na"/>
    <s v="na"/>
    <s v="F1845"/>
    <s v="na"/>
    <s v="na"/>
    <s v="na"/>
    <s v="na"/>
    <s v="na"/>
  </r>
  <r>
    <n v="280"/>
    <x v="17"/>
    <n v="1"/>
    <x v="4"/>
    <x v="1"/>
    <x v="0"/>
    <m/>
    <m/>
    <n v="34"/>
    <m/>
    <s v="U"/>
    <m/>
    <d v="1899-12-30T00:44:00"/>
    <d v="1899-12-30T11:12:00"/>
    <s v="BK"/>
    <s v="too small to tag"/>
    <s v="20140629 WChallenger"/>
    <s v="20140630 DRobichaud"/>
    <s v="x"/>
    <s v="x"/>
    <s v="na"/>
    <s v="FWL"/>
    <s v="na"/>
    <s v="na"/>
    <s v="na"/>
    <s v="na"/>
    <s v="na"/>
    <s v="na"/>
    <s v="na"/>
    <s v="na"/>
  </r>
  <r>
    <n v="281"/>
    <x v="17"/>
    <n v="1"/>
    <x v="4"/>
    <x v="1"/>
    <x v="0"/>
    <m/>
    <m/>
    <n v="35"/>
    <m/>
    <s v="U"/>
    <m/>
    <d v="1899-12-30T00:39:00"/>
    <d v="1899-12-30T11:37:00"/>
    <s v="WC"/>
    <s v="too small to tag"/>
    <s v="20140629 WChallenger"/>
    <s v="20140630 DRobichaud"/>
    <s v="x"/>
    <s v="x"/>
    <s v="na"/>
    <s v="FWL"/>
    <s v="na"/>
    <s v="na"/>
    <s v="na"/>
    <s v="na"/>
    <s v="na"/>
    <s v="na"/>
    <s v="na"/>
    <s v="na"/>
  </r>
  <r>
    <n v="282"/>
    <x v="17"/>
    <n v="1"/>
    <x v="4"/>
    <x v="1"/>
    <x v="0"/>
    <m/>
    <m/>
    <n v="34"/>
    <m/>
    <s v="U"/>
    <d v="1899-12-30T11:38:00"/>
    <d v="1899-12-30T00:37:00"/>
    <d v="1899-12-30T11:39:00"/>
    <s v="BK"/>
    <s v="too small to tag"/>
    <s v="20140629 WChallenger"/>
    <s v="20140630 DRobichaud"/>
    <d v="1899-12-30T00:00:23"/>
    <s v="x"/>
    <s v="na"/>
    <s v="FWL"/>
    <s v="na"/>
    <s v="na"/>
    <s v="na"/>
    <s v="na"/>
    <s v="na"/>
    <s v="na"/>
    <s v="na"/>
    <s v="na"/>
  </r>
  <r>
    <n v="283"/>
    <x v="17"/>
    <n v="1"/>
    <x v="1"/>
    <x v="0"/>
    <x v="1"/>
    <n v="28"/>
    <s v="209 K"/>
    <n v="69"/>
    <m/>
    <s v="U"/>
    <m/>
    <d v="1899-12-30T01:24:00"/>
    <d v="1899-12-30T13:08:00"/>
    <s v="BK"/>
    <m/>
    <s v="20140629 WChallenger"/>
    <s v="20140630 DRobichaud"/>
    <s v="x"/>
    <n v="151.72499999999999"/>
    <s v="na"/>
    <s v="FWL"/>
    <s v="na"/>
    <s v="na"/>
    <s v="F1845"/>
    <s v="na"/>
    <s v="na"/>
    <s v="na"/>
    <s v="na"/>
    <s v="na"/>
  </r>
  <r>
    <n v="284"/>
    <x v="17"/>
    <n v="1"/>
    <x v="1"/>
    <x v="0"/>
    <x v="2"/>
    <n v="41"/>
    <s v="210 K"/>
    <n v="63"/>
    <m/>
    <s v="U"/>
    <m/>
    <d v="1899-12-30T01:28:00"/>
    <d v="1899-12-30T13:16:00"/>
    <s v="WC"/>
    <m/>
    <s v="20140629 WChallenger"/>
    <s v="20140630 DRobichaud"/>
    <s v="x"/>
    <n v="151.684"/>
    <s v="na"/>
    <s v="FWL"/>
    <s v="na"/>
    <s v="na"/>
    <s v="F1845"/>
    <s v="na"/>
    <s v="na"/>
    <s v="na"/>
    <s v="na"/>
    <s v="na"/>
  </r>
  <r>
    <n v="285"/>
    <x v="17"/>
    <n v="1"/>
    <x v="1"/>
    <x v="0"/>
    <x v="4"/>
    <n v="90"/>
    <s v="211 K"/>
    <n v="62"/>
    <m/>
    <s v="U"/>
    <d v="1899-12-30T13:23:00"/>
    <d v="1899-12-30T01:27:00"/>
    <d v="1899-12-30T13:28:00"/>
    <s v="BK"/>
    <m/>
    <s v="20140629 WChallenger"/>
    <s v="20140630 DRobichaud"/>
    <d v="1899-12-30T00:03:33"/>
    <n v="151.78399999999999"/>
    <s v="na"/>
    <s v="FWL"/>
    <s v="na"/>
    <s v="na"/>
    <s v="F1845"/>
    <s v="na"/>
    <s v="na"/>
    <s v="na"/>
    <s v="na"/>
    <s v="na"/>
  </r>
  <r>
    <n v="286"/>
    <x v="17"/>
    <n v="1"/>
    <x v="1"/>
    <x v="0"/>
    <x v="5"/>
    <n v="94"/>
    <s v="212 K"/>
    <n v="56"/>
    <m/>
    <s v="U"/>
    <m/>
    <d v="1899-12-30T01:31:00"/>
    <d v="1899-12-30T13:38:00"/>
    <s v="WC"/>
    <m/>
    <s v="20140629 WChallenger"/>
    <s v="20140630 DRobichaud"/>
    <s v="x"/>
    <n v="151.755"/>
    <s v="na"/>
    <s v="FWL"/>
    <s v="na"/>
    <s v="na"/>
    <s v="F1845"/>
    <s v="na"/>
    <s v="na"/>
    <s v="na"/>
    <s v="na"/>
    <s v="na"/>
  </r>
  <r>
    <n v="287"/>
    <x v="17"/>
    <n v="1"/>
    <x v="1"/>
    <x v="0"/>
    <x v="5"/>
    <n v="37"/>
    <s v="213 K"/>
    <n v="53"/>
    <m/>
    <s v="U"/>
    <m/>
    <d v="1899-12-30T01:25:00"/>
    <d v="1899-12-30T14:18:00"/>
    <s v="BK"/>
    <m/>
    <s v="20140629 WChallenger"/>
    <s v="20140630 DRobichaud"/>
    <s v="x"/>
    <n v="151.755"/>
    <s v="na"/>
    <s v="FWL"/>
    <s v="na"/>
    <s v="na"/>
    <s v="F1845"/>
    <s v="na"/>
    <s v="na"/>
    <s v="na"/>
    <s v="na"/>
    <s v="na"/>
  </r>
  <r>
    <n v="288"/>
    <x v="17"/>
    <n v="1"/>
    <x v="1"/>
    <x v="0"/>
    <x v="4"/>
    <n v="83"/>
    <s v="214 K"/>
    <n v="59"/>
    <m/>
    <s v="U"/>
    <d v="1899-12-30T14:25:00"/>
    <d v="1899-12-30T01:56:00"/>
    <d v="1899-12-30T14:30:00"/>
    <s v="WC"/>
    <s v="wouldn't take tag at first"/>
    <s v="20140629 WChallenger"/>
    <s v="20140630 DRobichaud"/>
    <d v="1899-12-30T00:03:04"/>
    <n v="151.78399999999999"/>
    <s v="na"/>
    <s v="FWL"/>
    <s v="na"/>
    <s v="na"/>
    <s v="F1845"/>
    <s v="na"/>
    <s v="na"/>
    <s v="na"/>
    <s v="na"/>
    <s v="na"/>
  </r>
  <r>
    <n v="289"/>
    <x v="17"/>
    <n v="1"/>
    <x v="1"/>
    <x v="0"/>
    <x v="4"/>
    <n v="33"/>
    <s v="215 K"/>
    <n v="63"/>
    <m/>
    <s v="U"/>
    <m/>
    <d v="1899-12-30T01:42:00"/>
    <d v="1899-12-30T16:05:00"/>
    <s v="LA"/>
    <m/>
    <s v="20140629 LAckein"/>
    <s v="20140630 DRobichaud"/>
    <s v="x"/>
    <n v="151.78399999999999"/>
    <s v="na"/>
    <s v="FWL"/>
    <s v="na"/>
    <s v="na"/>
    <s v="F1845"/>
    <s v="na"/>
    <s v="na"/>
    <s v="na"/>
    <s v="na"/>
    <s v="na"/>
  </r>
  <r>
    <n v="290"/>
    <x v="17"/>
    <n v="1"/>
    <x v="1"/>
    <x v="0"/>
    <x v="4"/>
    <n v="39"/>
    <s v="216 K"/>
    <n v="51"/>
    <m/>
    <s v="U"/>
    <m/>
    <d v="1899-12-30T01:26:00"/>
    <d v="1899-12-30T16:10:00"/>
    <s v="LA"/>
    <m/>
    <s v="20140629 LAckein"/>
    <s v="20140630 DRobichaud"/>
    <s v="x"/>
    <n v="151.78399999999999"/>
    <s v="na"/>
    <s v="FWL"/>
    <s v="na"/>
    <s v="na"/>
    <s v="F1845"/>
    <s v="na"/>
    <s v="na"/>
    <s v="na"/>
    <s v="na"/>
    <s v="na"/>
  </r>
  <r>
    <n v="291"/>
    <x v="17"/>
    <n v="1"/>
    <x v="1"/>
    <x v="0"/>
    <x v="5"/>
    <n v="40"/>
    <s v="217 K"/>
    <n v="64"/>
    <m/>
    <s v="U"/>
    <m/>
    <d v="1899-12-30T01:11:00"/>
    <d v="1899-12-30T16:18:00"/>
    <s v="JG"/>
    <m/>
    <s v="20140629 LAckein"/>
    <s v="20140630 DRobichaud"/>
    <s v="x"/>
    <n v="151.755"/>
    <s v="na"/>
    <s v="FWL"/>
    <s v="na"/>
    <s v="na"/>
    <s v="F1845"/>
    <s v="na"/>
    <s v="na"/>
    <s v="na"/>
    <s v="na"/>
    <s v="na"/>
  </r>
  <r>
    <n v="292"/>
    <x v="17"/>
    <n v="1"/>
    <x v="1"/>
    <x v="0"/>
    <x v="4"/>
    <n v="5"/>
    <s v="218 K"/>
    <n v="90"/>
    <m/>
    <s v="U"/>
    <m/>
    <d v="1899-12-30T01:33:00"/>
    <d v="1899-12-30T16:22:00"/>
    <s v="JG"/>
    <m/>
    <s v="20140629 LAckein"/>
    <s v="20140630 DRobichaud"/>
    <s v="x"/>
    <n v="151.78399999999999"/>
    <s v="na"/>
    <s v="FWL"/>
    <s v="na"/>
    <s v="na"/>
    <s v="F1845"/>
    <s v="na"/>
    <s v="na"/>
    <s v="na"/>
    <s v="na"/>
    <s v="na"/>
  </r>
  <r>
    <n v="293"/>
    <x v="17"/>
    <n v="1"/>
    <x v="4"/>
    <x v="1"/>
    <x v="3"/>
    <n v="66"/>
    <s v="219 K"/>
    <n v="49"/>
    <m/>
    <s v="U"/>
    <d v="1899-12-30T16:20:00"/>
    <d v="1899-12-30T01:09:00"/>
    <d v="1899-12-30T16:28:00"/>
    <s v="LA"/>
    <m/>
    <s v="20140629 LAckein"/>
    <s v="20140630 DRobichaud"/>
    <d v="1899-12-30T00:06:51"/>
    <n v="151.917"/>
    <s v="na"/>
    <s v="FWL"/>
    <s v="na"/>
    <s v="na"/>
    <s v="F1835"/>
    <s v="na"/>
    <s v="na"/>
    <s v="na"/>
    <s v="na"/>
    <s v="na"/>
  </r>
  <r>
    <n v="294"/>
    <x v="17"/>
    <n v="1"/>
    <x v="1"/>
    <x v="0"/>
    <x v="4"/>
    <n v="58"/>
    <s v="220 K"/>
    <n v="84"/>
    <m/>
    <s v="U"/>
    <m/>
    <d v="1899-12-30T01:49:00"/>
    <d v="1899-12-30T18:18:00"/>
    <s v="LA"/>
    <m/>
    <s v="20140629 LAckein"/>
    <s v="20140630 DRobichaud"/>
    <s v="x"/>
    <n v="151.78399999999999"/>
    <s v="na"/>
    <s v="FWL"/>
    <s v="na"/>
    <s v="na"/>
    <s v="F1845"/>
    <s v="na"/>
    <s v="na"/>
    <s v="na"/>
    <s v="na"/>
    <s v="na"/>
  </r>
  <r>
    <n v="295"/>
    <x v="17"/>
    <n v="1"/>
    <x v="1"/>
    <x v="0"/>
    <x v="4"/>
    <n v="71"/>
    <s v="221 K"/>
    <n v="82"/>
    <m/>
    <s v="U"/>
    <m/>
    <d v="1899-12-30T01:17:00"/>
    <d v="1899-12-30T18:24:00"/>
    <s v="JG"/>
    <m/>
    <s v="20140629 LAckein"/>
    <s v="20140630 DRobichaud"/>
    <s v="x"/>
    <n v="151.78399999999999"/>
    <s v="na"/>
    <s v="FWL"/>
    <s v="na"/>
    <s v="na"/>
    <s v="F1845"/>
    <s v="na"/>
    <s v="na"/>
    <s v="na"/>
    <s v="na"/>
    <s v="na"/>
  </r>
  <r>
    <n v="296"/>
    <x v="17"/>
    <n v="1"/>
    <x v="4"/>
    <x v="1"/>
    <x v="0"/>
    <m/>
    <m/>
    <n v="31"/>
    <m/>
    <s v="U"/>
    <m/>
    <d v="1899-12-30T00:35:00"/>
    <d v="1899-12-30T20:34:00"/>
    <s v="AS"/>
    <s v="too small to tag"/>
    <s v="20140629 WChallenger"/>
    <s v="20140630 DRobichaud"/>
    <s v="x"/>
    <s v="x"/>
    <s v="na"/>
    <s v="FWL"/>
    <s v="na"/>
    <s v="na"/>
    <s v="na"/>
    <s v="na"/>
    <s v="na"/>
    <s v="na"/>
    <s v="na"/>
    <s v="na"/>
  </r>
  <r>
    <n v="297"/>
    <x v="17"/>
    <n v="1"/>
    <x v="1"/>
    <x v="0"/>
    <x v="5"/>
    <n v="54"/>
    <s v="222 K"/>
    <n v="81"/>
    <m/>
    <s v="U"/>
    <d v="1899-12-30T20:34:00"/>
    <d v="1899-12-30T01:16:00"/>
    <d v="1899-12-30T20:44:00"/>
    <s v="AS"/>
    <m/>
    <s v="20140629 WChallenger"/>
    <s v="20140630 DRobichaud"/>
    <d v="1899-12-30T00:08:44"/>
    <n v="151.755"/>
    <s v="na"/>
    <s v="FWL"/>
    <s v="na"/>
    <s v="na"/>
    <s v="F1845"/>
    <s v="na"/>
    <s v="na"/>
    <s v="na"/>
    <s v="na"/>
    <s v="na"/>
  </r>
  <r>
    <n v="298"/>
    <x v="17"/>
    <n v="1"/>
    <x v="1"/>
    <x v="0"/>
    <x v="4"/>
    <n v="32"/>
    <s v="223 K"/>
    <n v="101"/>
    <m/>
    <s v="U"/>
    <d v="1899-12-30T21:39:00"/>
    <d v="1899-12-30T01:47:00"/>
    <d v="1899-12-30T21:52:00"/>
    <s v="AS"/>
    <s v="dropped on release"/>
    <s v="20140629 WChallenger"/>
    <s v="20140630 DRobichaud"/>
    <d v="1899-12-30T00:11:13"/>
    <n v="151.78399999999999"/>
    <s v="na"/>
    <s v="FWL"/>
    <s v="na"/>
    <s v="na"/>
    <s v="F1845"/>
    <s v="na"/>
    <s v="na"/>
    <s v="na"/>
    <s v="na"/>
    <s v="na"/>
  </r>
  <r>
    <n v="299"/>
    <x v="17"/>
    <n v="1"/>
    <x v="1"/>
    <x v="0"/>
    <x v="5"/>
    <n v="18"/>
    <s v="224 K"/>
    <n v="72"/>
    <m/>
    <s v="U"/>
    <d v="1899-12-30T22:36:00"/>
    <d v="1899-12-30T01:28:00"/>
    <d v="1899-12-30T22:39:00"/>
    <s v="WC"/>
    <m/>
    <s v="20140629 WChallenger"/>
    <s v="20140630 DRobichaud"/>
    <d v="1899-12-30T00:01:32"/>
    <n v="151.755"/>
    <s v="na"/>
    <s v="FWL"/>
    <s v="na"/>
    <s v="na"/>
    <s v="F1845"/>
    <s v="na"/>
    <s v="na"/>
    <s v="na"/>
    <s v="na"/>
    <s v="na"/>
  </r>
  <r>
    <n v="300"/>
    <x v="17"/>
    <n v="1"/>
    <x v="1"/>
    <x v="0"/>
    <x v="4"/>
    <n v="10"/>
    <s v="225 K"/>
    <n v="66"/>
    <m/>
    <s v="U"/>
    <m/>
    <d v="1899-12-30T01:26:00"/>
    <d v="1899-12-30T23:28:00"/>
    <s v="WC"/>
    <m/>
    <s v="20140629 WChallenger"/>
    <s v="20140630 DRobichaud"/>
    <s v="x"/>
    <n v="151.78399999999999"/>
    <s v="na"/>
    <s v="FWL"/>
    <s v="na"/>
    <s v="na"/>
    <s v="F1845"/>
    <s v="na"/>
    <s v="na"/>
    <s v="na"/>
    <s v="na"/>
    <s v="na"/>
  </r>
  <r>
    <n v="301"/>
    <x v="17"/>
    <n v="3"/>
    <x v="4"/>
    <x v="1"/>
    <x v="0"/>
    <m/>
    <m/>
    <n v="34"/>
    <m/>
    <s v="U"/>
    <d v="1899-12-30T12:08:00"/>
    <d v="1899-12-30T00:30:00"/>
    <d v="1899-12-30T12:10:00"/>
    <s v="DR"/>
    <s v="too small to tag"/>
    <s v="20140629 DRobichaud"/>
    <s v="20140630 DRobichaud"/>
    <d v="1899-12-30T00:01:30"/>
    <s v="x"/>
    <s v="na"/>
    <s v="FWL"/>
    <s v="na"/>
    <s v="na"/>
    <s v="na"/>
    <s v="na"/>
    <s v="na"/>
    <s v="na"/>
    <s v="na"/>
    <s v="na"/>
  </r>
  <r>
    <n v="302"/>
    <x v="17"/>
    <n v="3"/>
    <x v="1"/>
    <x v="0"/>
    <x v="1"/>
    <n v="26"/>
    <s v="185 K"/>
    <n v="56"/>
    <m/>
    <s v="U"/>
    <d v="1899-12-30T13:21:00"/>
    <d v="1899-12-30T02:01:00"/>
    <d v="1899-12-30T13:28:00"/>
    <s v="DR"/>
    <m/>
    <s v="20140629 DRobichaud"/>
    <s v="20140630 DRobichaud"/>
    <d v="1899-12-30T00:04:59"/>
    <n v="151.72499999999999"/>
    <s v="na"/>
    <s v="FWL"/>
    <s v="na"/>
    <s v="na"/>
    <s v="F1845"/>
    <s v="na"/>
    <s v="na"/>
    <s v="na"/>
    <s v="na"/>
    <s v="na"/>
  </r>
  <r>
    <n v="303"/>
    <x v="17"/>
    <n v="3"/>
    <x v="1"/>
    <x v="0"/>
    <x v="1"/>
    <n v="80"/>
    <s v="186 K"/>
    <n v="67"/>
    <m/>
    <s v="U"/>
    <d v="1899-12-30T14:14:00"/>
    <d v="1899-12-30T01:30:00"/>
    <d v="1899-12-30T14:20:00"/>
    <s v="QB"/>
    <m/>
    <s v="20140629 DRobichaud"/>
    <s v="20140630 DRobichaud"/>
    <d v="1899-12-30T00:04:30"/>
    <n v="151.72499999999999"/>
    <s v="na"/>
    <s v="FWL"/>
    <s v="na"/>
    <s v="na"/>
    <s v="F1845"/>
    <s v="na"/>
    <s v="na"/>
    <s v="na"/>
    <s v="na"/>
    <s v="na"/>
  </r>
  <r>
    <n v="304"/>
    <x v="17"/>
    <n v="3"/>
    <x v="1"/>
    <x v="0"/>
    <x v="1"/>
    <n v="90"/>
    <s v="191 K"/>
    <n v="76"/>
    <m/>
    <s v="U"/>
    <d v="1899-12-30T18:43:00"/>
    <d v="1899-12-30T01:34:00"/>
    <d v="1899-12-30T18:48:00"/>
    <s v="CSj"/>
    <m/>
    <s v="20140629 JKunzler"/>
    <s v="20140630 DRobichaud"/>
    <d v="1899-12-30T00:03:26"/>
    <n v="151.72499999999999"/>
    <s v="na"/>
    <s v="FWL"/>
    <s v="na"/>
    <s v="na"/>
    <s v="F1845"/>
    <s v="na"/>
    <s v="na"/>
    <s v="na"/>
    <s v="na"/>
    <s v="na"/>
  </r>
  <r>
    <n v="305"/>
    <x v="18"/>
    <n v="1"/>
    <x v="1"/>
    <x v="0"/>
    <x v="5"/>
    <n v="63"/>
    <s v="226 K"/>
    <n v="72"/>
    <m/>
    <s v="U"/>
    <m/>
    <d v="1899-12-30T01:35:00"/>
    <s v="05:47"/>
    <s v="JK"/>
    <s v="s"/>
    <s v="20140630 JKunzler"/>
    <s v="20140701 DRobichaud"/>
    <s v="x"/>
    <n v="151.755"/>
    <s v="na"/>
    <s v="FWL"/>
    <s v="na"/>
    <s v="na"/>
    <s v="F1845"/>
    <s v="na"/>
    <s v="na"/>
    <s v="na"/>
    <s v="na"/>
    <s v="na"/>
  </r>
  <r>
    <n v="306"/>
    <x v="18"/>
    <n v="1"/>
    <x v="1"/>
    <x v="0"/>
    <x v="4"/>
    <n v="13"/>
    <s v="227 K"/>
    <n v="87"/>
    <m/>
    <s v="U"/>
    <m/>
    <d v="1899-12-30T02:15:00"/>
    <s v="05:52"/>
    <s v="JK"/>
    <s v="s"/>
    <s v="20140630 JKunzler"/>
    <s v="20140701 DRobichaud"/>
    <s v="x"/>
    <n v="151.78399999999999"/>
    <s v="na"/>
    <s v="FWL"/>
    <s v="na"/>
    <s v="na"/>
    <s v="F1845"/>
    <s v="na"/>
    <s v="na"/>
    <s v="na"/>
    <s v="na"/>
    <s v="na"/>
  </r>
  <r>
    <n v="307"/>
    <x v="18"/>
    <n v="1"/>
    <x v="4"/>
    <x v="1"/>
    <x v="0"/>
    <m/>
    <m/>
    <n v="36"/>
    <m/>
    <s v="U"/>
    <m/>
    <d v="1899-12-30T00:45:00"/>
    <s v="05:53"/>
    <s v="CSj"/>
    <s v="s  too small to tag"/>
    <s v="20140630 JKunzler"/>
    <s v="20140701 DRobichaud"/>
    <s v="x"/>
    <s v="x"/>
    <s v="na"/>
    <s v="FWL"/>
    <s v="na"/>
    <s v="na"/>
    <s v="na"/>
    <s v="na"/>
    <s v="na"/>
    <s v="na"/>
    <s v="na"/>
    <s v="na"/>
  </r>
  <r>
    <n v="308"/>
    <x v="18"/>
    <n v="1"/>
    <x v="1"/>
    <x v="0"/>
    <x v="4"/>
    <n v="34"/>
    <s v="228 K"/>
    <n v="61"/>
    <m/>
    <s v="U"/>
    <m/>
    <d v="1899-12-30T01:06:00"/>
    <s v="05:55"/>
    <s v="JK"/>
    <s v="s"/>
    <s v="20140630 JKunzler"/>
    <s v="20140701 DRobichaud"/>
    <s v="x"/>
    <n v="151.78399999999999"/>
    <s v="na"/>
    <s v="FWL"/>
    <s v="na"/>
    <s v="na"/>
    <s v="F1845"/>
    <s v="na"/>
    <s v="na"/>
    <s v="na"/>
    <s v="na"/>
    <s v="na"/>
  </r>
  <r>
    <n v="309"/>
    <x v="18"/>
    <n v="1"/>
    <x v="1"/>
    <x v="0"/>
    <x v="5"/>
    <n v="62"/>
    <s v="229 K"/>
    <n v="78"/>
    <m/>
    <s v="U"/>
    <m/>
    <d v="1899-12-30T01:08:00"/>
    <s v="05:57"/>
    <s v="JK"/>
    <s v="s"/>
    <s v="20140630 JKunzler"/>
    <s v="20140701 DRobichaud"/>
    <s v="x"/>
    <n v="151.755"/>
    <s v="na"/>
    <s v="FWL"/>
    <s v="na"/>
    <s v="na"/>
    <s v="F1845"/>
    <s v="na"/>
    <s v="na"/>
    <s v="na"/>
    <s v="na"/>
    <s v="na"/>
  </r>
  <r>
    <n v="310"/>
    <x v="18"/>
    <n v="1"/>
    <x v="4"/>
    <x v="1"/>
    <x v="3"/>
    <n v="60"/>
    <s v="230 K"/>
    <n v="45"/>
    <m/>
    <s v="U"/>
    <m/>
    <d v="1899-12-30T01:24:00"/>
    <s v="05:59"/>
    <s v="JK"/>
    <s v="s"/>
    <s v="20140630 JKunzler"/>
    <s v="20140701 DRobichaud"/>
    <s v="x"/>
    <n v="151.917"/>
    <s v="na"/>
    <s v="FWL"/>
    <s v="na"/>
    <s v="na"/>
    <s v="F1835"/>
    <s v="na"/>
    <s v="na"/>
    <s v="na"/>
    <s v="na"/>
    <s v="na"/>
  </r>
  <r>
    <n v="311"/>
    <x v="18"/>
    <n v="1"/>
    <x v="1"/>
    <x v="0"/>
    <x v="0"/>
    <m/>
    <m/>
    <n v="83"/>
    <m/>
    <s v="U"/>
    <m/>
    <d v="1899-12-30T02:05:00"/>
    <s v="06:03"/>
    <s v="JK"/>
    <s v="p no tag, bleeding from gills"/>
    <s v="20140630 JKunzler"/>
    <s v="20140701 DRobichaud"/>
    <s v="x"/>
    <s v="x"/>
    <s v="na"/>
    <s v="FWL"/>
    <s v="na"/>
    <s v="na"/>
    <s v="na"/>
    <s v="na"/>
    <s v="na"/>
    <s v="na"/>
    <s v="na"/>
    <s v="na"/>
  </r>
  <r>
    <n v="312"/>
    <x v="18"/>
    <n v="1"/>
    <x v="1"/>
    <x v="0"/>
    <x v="4"/>
    <n v="54"/>
    <s v="231 K"/>
    <n v="82"/>
    <m/>
    <s v="U"/>
    <m/>
    <d v="1899-12-30T02:53:00"/>
    <s v="06:06"/>
    <s v="CSj"/>
    <s v="p "/>
    <s v="20140630 JKunzler"/>
    <s v="20140701 DRobichaud"/>
    <s v="x"/>
    <n v="151.78399999999999"/>
    <s v="na"/>
    <s v="FWL"/>
    <s v="na"/>
    <s v="na"/>
    <s v="F1845"/>
    <s v="na"/>
    <s v="na"/>
    <s v="na"/>
    <s v="na"/>
    <s v="na"/>
  </r>
  <r>
    <n v="313"/>
    <x v="18"/>
    <n v="1"/>
    <x v="1"/>
    <x v="0"/>
    <x v="2"/>
    <n v="21"/>
    <s v="232 K"/>
    <n v="82"/>
    <m/>
    <s v="U"/>
    <m/>
    <d v="1899-12-30T01:20:00"/>
    <s v="06:09"/>
    <s v="CSj"/>
    <s v="p small wound on back"/>
    <s v="20140630 JKunzler"/>
    <s v="20140701 DRobichaud"/>
    <s v="x"/>
    <n v="151.684"/>
    <s v="na"/>
    <s v="FWL"/>
    <s v="na"/>
    <s v="na"/>
    <s v="F1845"/>
    <s v="na"/>
    <s v="na"/>
    <s v="na"/>
    <s v="na"/>
    <s v="na"/>
  </r>
  <r>
    <n v="314"/>
    <x v="18"/>
    <n v="1"/>
    <x v="1"/>
    <x v="0"/>
    <x v="5"/>
    <n v="46"/>
    <s v="233 K"/>
    <n v="64"/>
    <m/>
    <s v="U"/>
    <m/>
    <d v="1899-12-30T01:14:00"/>
    <s v="06:10"/>
    <s v="CSj"/>
    <s v="p"/>
    <s v="20140630 JKunzler"/>
    <s v="20140701 DRobichaud"/>
    <s v="x"/>
    <n v="151.755"/>
    <s v="na"/>
    <s v="FWL"/>
    <s v="na"/>
    <s v="na"/>
    <s v="F1845"/>
    <s v="na"/>
    <s v="na"/>
    <s v="na"/>
    <s v="na"/>
    <s v="na"/>
  </r>
  <r>
    <n v="315"/>
    <x v="18"/>
    <n v="1"/>
    <x v="1"/>
    <x v="0"/>
    <x v="2"/>
    <n v="26"/>
    <s v="234 K"/>
    <n v="57"/>
    <m/>
    <s v="U"/>
    <m/>
    <d v="1899-12-30T01:13:00"/>
    <s v="06:13"/>
    <s v="CSj"/>
    <s v="p end of overnight fish"/>
    <s v="20140630 JKunzler"/>
    <s v="20140701 DRobichaud"/>
    <s v="x"/>
    <n v="151.684"/>
    <s v="na"/>
    <s v="FWL"/>
    <s v="na"/>
    <s v="na"/>
    <s v="F1845"/>
    <s v="na"/>
    <s v="na"/>
    <s v="na"/>
    <s v="na"/>
    <s v="na"/>
  </r>
  <r>
    <n v="316"/>
    <x v="18"/>
    <n v="1"/>
    <x v="1"/>
    <x v="0"/>
    <x v="1"/>
    <n v="94"/>
    <s v="235 K"/>
    <n v="60"/>
    <m/>
    <s v="U"/>
    <d v="1899-12-30T06:00:00"/>
    <d v="1899-12-30T01:21:00"/>
    <s v="06:18"/>
    <s v="CSj"/>
    <m/>
    <s v="20140630 JKunzler"/>
    <s v="20140701 DRobichaud"/>
    <d v="1899-12-30T00:16:39"/>
    <n v="151.72499999999999"/>
    <s v="na"/>
    <s v="FWL"/>
    <s v="na"/>
    <s v="na"/>
    <s v="F1845"/>
    <s v="na"/>
    <s v="na"/>
    <s v="na"/>
    <s v="na"/>
    <s v="na"/>
  </r>
  <r>
    <n v="317"/>
    <x v="18"/>
    <n v="1"/>
    <x v="6"/>
    <x v="2"/>
    <x v="0"/>
    <m/>
    <s v="Bulk DV"/>
    <m/>
    <n v="25"/>
    <s v="U"/>
    <m/>
    <d v="1899-12-30T00:52:00"/>
    <s v="06:20"/>
    <s v="LA"/>
    <s v="p end of overnight fish. Genetics taken.  LA thinks it was 25 cm"/>
    <s v="20140630 JKunzler"/>
    <s v="20140701 DRobichaud"/>
    <s v="x"/>
    <s v="x"/>
    <s v="na"/>
    <s v="FWL"/>
    <s v="na"/>
    <s v="na"/>
    <s v="na"/>
    <s v="na"/>
    <s v="na"/>
    <s v="na"/>
    <s v="na"/>
    <s v="na"/>
  </r>
  <r>
    <n v="318"/>
    <x v="18"/>
    <n v="1"/>
    <x v="4"/>
    <x v="1"/>
    <x v="0"/>
    <m/>
    <m/>
    <n v="35"/>
    <m/>
    <s v="U"/>
    <m/>
    <d v="1899-12-30T00:48:00"/>
    <s v="06:58"/>
    <s v="CSj"/>
    <s v="too small to tag"/>
    <s v="20140630 JKunzler"/>
    <s v="20140701 DRobichaud"/>
    <s v="x"/>
    <s v="x"/>
    <s v="na"/>
    <s v="FWL"/>
    <s v="na"/>
    <s v="na"/>
    <s v="na"/>
    <s v="na"/>
    <s v="na"/>
    <s v="na"/>
    <s v="na"/>
    <s v="na"/>
  </r>
  <r>
    <n v="319"/>
    <x v="18"/>
    <n v="1"/>
    <x v="1"/>
    <x v="0"/>
    <x v="4"/>
    <n v="93"/>
    <s v="236 K"/>
    <n v="63"/>
    <m/>
    <s v="U"/>
    <d v="1899-12-30T07:19:00"/>
    <d v="1899-12-30T01:45:00"/>
    <s v="07:26"/>
    <s v="CSj"/>
    <m/>
    <s v="20140630 JKunzler"/>
    <s v="20140701 DRobichaud"/>
    <d v="1899-12-30T00:05:15"/>
    <n v="151.78399999999999"/>
    <s v="na"/>
    <s v="FWL"/>
    <s v="na"/>
    <s v="na"/>
    <s v="F1845"/>
    <s v="na"/>
    <s v="na"/>
    <s v="na"/>
    <s v="na"/>
    <s v="na"/>
  </r>
  <r>
    <n v="320"/>
    <x v="18"/>
    <n v="1"/>
    <x v="1"/>
    <x v="0"/>
    <x v="4"/>
    <n v="2"/>
    <s v="237 K"/>
    <n v="92"/>
    <m/>
    <s v="U"/>
    <d v="1899-12-30T07:28:00"/>
    <d v="1899-12-30T01:13:00"/>
    <s v="07:32"/>
    <s v="CSj"/>
    <m/>
    <s v="20140630 JKunzler"/>
    <s v="20140701 DRobichaud"/>
    <d v="1899-12-30T00:02:47"/>
    <n v="151.78399999999999"/>
    <s v="na"/>
    <s v="FWL"/>
    <s v="na"/>
    <s v="na"/>
    <s v="F1845"/>
    <s v="na"/>
    <s v="na"/>
    <s v="na"/>
    <s v="na"/>
    <s v="na"/>
  </r>
  <r>
    <n v="321"/>
    <x v="18"/>
    <n v="1"/>
    <x v="4"/>
    <x v="1"/>
    <x v="0"/>
    <m/>
    <m/>
    <n v="36"/>
    <m/>
    <s v="U"/>
    <m/>
    <d v="1899-12-30T00:31:00"/>
    <s v="08:20"/>
    <s v="CSj"/>
    <s v="too small to tag"/>
    <s v="20140630 JKunzler"/>
    <s v="20140701 DRobichaud"/>
    <s v="x"/>
    <s v="x"/>
    <s v="na"/>
    <s v="FWL"/>
    <s v="na"/>
    <s v="na"/>
    <s v="na"/>
    <s v="na"/>
    <s v="na"/>
    <s v="na"/>
    <s v="na"/>
    <s v="na"/>
  </r>
  <r>
    <n v="322"/>
    <x v="18"/>
    <n v="1"/>
    <x v="1"/>
    <x v="0"/>
    <x v="5"/>
    <n v="27"/>
    <s v="238 K"/>
    <n v="58"/>
    <m/>
    <s v="U"/>
    <m/>
    <d v="1899-12-30T01:24:00"/>
    <s v="09:37"/>
    <s v="CSj"/>
    <m/>
    <s v="20140630 JKunzler"/>
    <s v="20140701 DRobichaud"/>
    <s v="x"/>
    <n v="151.755"/>
    <s v="na"/>
    <s v="FWL"/>
    <s v="na"/>
    <s v="na"/>
    <s v="F1845"/>
    <s v="na"/>
    <s v="na"/>
    <s v="na"/>
    <s v="na"/>
    <s v="na"/>
  </r>
  <r>
    <n v="323"/>
    <x v="18"/>
    <n v="1"/>
    <x v="1"/>
    <x v="0"/>
    <x v="4"/>
    <n v="95"/>
    <s v="239 K"/>
    <n v="64"/>
    <m/>
    <s v="U"/>
    <m/>
    <d v="1899-12-30T01:04:00"/>
    <s v="10:28"/>
    <s v="BK"/>
    <m/>
    <s v="20140630 AStephens"/>
    <s v="20140701 DRobichaud"/>
    <s v="x"/>
    <n v="151.78399999999999"/>
    <s v="na"/>
    <s v="FWL"/>
    <s v="na"/>
    <s v="na"/>
    <s v="F1845"/>
    <s v="na"/>
    <s v="na"/>
    <s v="na"/>
    <s v="na"/>
    <s v="na"/>
  </r>
  <r>
    <n v="324"/>
    <x v="18"/>
    <n v="1"/>
    <x v="1"/>
    <x v="0"/>
    <x v="4"/>
    <n v="55"/>
    <s v="240 K"/>
    <n v="69"/>
    <m/>
    <s v="U"/>
    <d v="1899-12-30T10:28:00"/>
    <d v="1899-12-30T01:11:00"/>
    <s v="10:34"/>
    <s v="AS"/>
    <m/>
    <s v="20140630 AStephens"/>
    <s v="20140701 DRobichaud"/>
    <d v="1899-12-30T00:04:49"/>
    <n v="151.78399999999999"/>
    <s v="na"/>
    <s v="FWL"/>
    <s v="na"/>
    <s v="na"/>
    <s v="F1845"/>
    <s v="na"/>
    <s v="na"/>
    <s v="na"/>
    <s v="na"/>
    <s v="na"/>
  </r>
  <r>
    <n v="325"/>
    <x v="18"/>
    <n v="1"/>
    <x v="1"/>
    <x v="0"/>
    <x v="5"/>
    <n v="20"/>
    <s v="241 K"/>
    <n v="60"/>
    <m/>
    <s v="U"/>
    <d v="1899-12-30T11:15:00"/>
    <d v="1899-12-30T01:03:00"/>
    <s v="11:19"/>
    <s v="BK"/>
    <m/>
    <s v="20140630 BKalb"/>
    <s v="20140701 DRobichaud"/>
    <d v="1899-12-30T00:02:57"/>
    <n v="151.755"/>
    <s v="na"/>
    <s v="FWL"/>
    <s v="na"/>
    <s v="na"/>
    <s v="F1845"/>
    <s v="na"/>
    <s v="na"/>
    <s v="na"/>
    <s v="na"/>
    <s v="na"/>
  </r>
  <r>
    <n v="326"/>
    <x v="18"/>
    <n v="1"/>
    <x v="1"/>
    <x v="0"/>
    <x v="5"/>
    <n v="84"/>
    <s v="242 K"/>
    <n v="79"/>
    <m/>
    <s v="U"/>
    <m/>
    <d v="1899-12-30T01:03:00"/>
    <s v="12:10 "/>
    <s v="AS"/>
    <m/>
    <s v="20140630 BKalb"/>
    <s v="20140701 DRobichaud"/>
    <s v="x"/>
    <n v="151.755"/>
    <s v="na"/>
    <s v="FWL"/>
    <s v="na"/>
    <s v="na"/>
    <s v="F1845"/>
    <s v="na"/>
    <s v="na"/>
    <s v="na"/>
    <s v="na"/>
    <s v="na"/>
  </r>
  <r>
    <n v="327"/>
    <x v="18"/>
    <n v="1"/>
    <x v="1"/>
    <x v="0"/>
    <x v="2"/>
    <n v="61"/>
    <s v="243 K"/>
    <n v="86"/>
    <m/>
    <s v="U"/>
    <m/>
    <d v="1899-12-30T01:18:00"/>
    <s v="12:14"/>
    <s v="BK"/>
    <s v="Fatty!"/>
    <s v="20140630 BKalb"/>
    <s v="20140701 DRobichaud"/>
    <s v="x"/>
    <n v="151.684"/>
    <s v="na"/>
    <s v="FWL"/>
    <s v="na"/>
    <s v="na"/>
    <s v="F1845"/>
    <s v="na"/>
    <s v="na"/>
    <s v="na"/>
    <s v="na"/>
    <s v="na"/>
  </r>
  <r>
    <n v="328"/>
    <x v="18"/>
    <n v="1"/>
    <x v="1"/>
    <x v="0"/>
    <x v="5"/>
    <n v="19"/>
    <s v="244 K"/>
    <n v="80"/>
    <m/>
    <s v="U"/>
    <m/>
    <d v="1899-12-30T00:55:00"/>
    <s v="12:50"/>
    <s v="AS"/>
    <m/>
    <s v="20140630 BKalb"/>
    <s v="20140701 DRobichaud"/>
    <s v="x"/>
    <n v="151.755"/>
    <s v="na"/>
    <s v="FWL"/>
    <s v="na"/>
    <s v="na"/>
    <s v="F1845"/>
    <s v="na"/>
    <s v="na"/>
    <s v="na"/>
    <s v="na"/>
    <s v="na"/>
  </r>
  <r>
    <n v="329"/>
    <x v="18"/>
    <n v="1"/>
    <x v="1"/>
    <x v="0"/>
    <x v="5"/>
    <n v="86"/>
    <s v="245 K"/>
    <n v="52"/>
    <m/>
    <s v="U"/>
    <m/>
    <d v="1899-12-30T01:10:00"/>
    <s v="13:02"/>
    <s v="AS"/>
    <m/>
    <s v="20140630 BKalb"/>
    <s v="20140701 DRobichaud"/>
    <s v="x"/>
    <n v="151.755"/>
    <s v="na"/>
    <s v="FWL"/>
    <s v="na"/>
    <s v="na"/>
    <s v="F1845"/>
    <s v="na"/>
    <s v="na"/>
    <s v="na"/>
    <s v="na"/>
    <s v="na"/>
  </r>
  <r>
    <n v="330"/>
    <x v="18"/>
    <n v="1"/>
    <x v="7"/>
    <x v="0"/>
    <x v="6"/>
    <n v="34"/>
    <s v="1 S"/>
    <n v="56"/>
    <m/>
    <s v="U"/>
    <d v="1899-12-30T12:45:00"/>
    <d v="1899-12-30T01:30:00"/>
    <s v="12:57"/>
    <s v="BK"/>
    <s v="dropped on release"/>
    <s v="20140630 BKalb"/>
    <s v="20140701 DRobichaud"/>
    <d v="1899-12-30T00:10:30"/>
    <n v="151.57300000000001"/>
    <s v="na"/>
    <s v="FWL"/>
    <s v="na"/>
    <s v="na"/>
    <s v="F1840"/>
    <s v="na"/>
    <s v="na"/>
    <s v="na"/>
    <s v="na"/>
    <s v="na"/>
  </r>
  <r>
    <n v="331"/>
    <x v="18"/>
    <n v="1"/>
    <x v="1"/>
    <x v="0"/>
    <x v="4"/>
    <n v="51"/>
    <s v="246 K"/>
    <n v="91"/>
    <m/>
    <s v="U"/>
    <d v="1899-12-30T13:20:00"/>
    <d v="1899-12-30T01:26:00"/>
    <s v="13:21"/>
    <s v="BK"/>
    <m/>
    <s v="20140630 BKalb"/>
    <s v="20140701 DRobichaud"/>
    <d v="1899-12-30T00:00:00"/>
    <n v="151.78399999999999"/>
    <s v="na"/>
    <s v="FWL"/>
    <s v="na"/>
    <s v="na"/>
    <s v="F1845"/>
    <s v="na"/>
    <s v="na"/>
    <s v="na"/>
    <s v="na"/>
    <s v="na"/>
  </r>
  <r>
    <n v="332"/>
    <x v="18"/>
    <n v="1"/>
    <x v="0"/>
    <x v="2"/>
    <x v="0"/>
    <m/>
    <m/>
    <m/>
    <n v="28"/>
    <s v="U"/>
    <m/>
    <d v="1899-12-30T00:25:00"/>
    <s v="13:42"/>
    <s v="BK"/>
    <m/>
    <s v="20140630 BKalb"/>
    <s v="20140701 DRobichaud"/>
    <s v="x"/>
    <s v="x"/>
    <s v="na"/>
    <s v="FWL"/>
    <s v="na"/>
    <s v="na"/>
    <s v="na"/>
    <s v="na"/>
    <s v="na"/>
    <s v="na"/>
    <s v="na"/>
    <s v="na"/>
  </r>
  <r>
    <n v="333"/>
    <x v="18"/>
    <n v="1"/>
    <x v="1"/>
    <x v="0"/>
    <x v="5"/>
    <n v="52"/>
    <s v="247 K"/>
    <n v="63"/>
    <m/>
    <s v="U"/>
    <d v="1899-12-30T13:52:00"/>
    <d v="1899-12-30T01:07:00"/>
    <s v="13:56"/>
    <s v="AS"/>
    <m/>
    <s v="20140630 BKalb"/>
    <s v="20140701 DRobichaud"/>
    <d v="1899-12-30T00:02:53"/>
    <n v="151.755"/>
    <s v="na"/>
    <s v="FWL"/>
    <s v="na"/>
    <s v="na"/>
    <s v="F1845"/>
    <s v="na"/>
    <s v="na"/>
    <s v="na"/>
    <s v="na"/>
    <s v="na"/>
  </r>
  <r>
    <n v="334"/>
    <x v="18"/>
    <n v="1"/>
    <x v="1"/>
    <x v="0"/>
    <x v="4"/>
    <n v="42"/>
    <s v="248 K"/>
    <n v="84"/>
    <m/>
    <s v="U"/>
    <d v="1899-12-30T13:54:00"/>
    <d v="1899-12-30T01:29:00"/>
    <s v="14:01"/>
    <s v="BK"/>
    <m/>
    <s v="20140630 BKalb"/>
    <s v="20140701 DRobichaud"/>
    <d v="1899-12-30T00:05:31"/>
    <n v="151.78399999999999"/>
    <s v="na"/>
    <s v="FWL"/>
    <s v="na"/>
    <s v="na"/>
    <s v="F1845"/>
    <s v="na"/>
    <s v="na"/>
    <s v="na"/>
    <s v="na"/>
    <s v="na"/>
  </r>
  <r>
    <n v="335"/>
    <x v="18"/>
    <n v="1"/>
    <x v="1"/>
    <x v="0"/>
    <x v="4"/>
    <n v="98"/>
    <s v="249 K"/>
    <n v="63"/>
    <m/>
    <s v="U"/>
    <m/>
    <d v="1899-12-30T01:39:00"/>
    <s v="15:08"/>
    <s v="DJ"/>
    <m/>
    <s v="20140630 LAckein"/>
    <s v="20140701 DRobichaud"/>
    <s v="x"/>
    <n v="151.78399999999999"/>
    <s v="na"/>
    <s v="FWL"/>
    <s v="na"/>
    <s v="na"/>
    <s v="F1845"/>
    <s v="na"/>
    <s v="na"/>
    <s v="na"/>
    <s v="na"/>
    <s v="na"/>
  </r>
  <r>
    <n v="336"/>
    <x v="18"/>
    <n v="1"/>
    <x v="4"/>
    <x v="1"/>
    <x v="3"/>
    <n v="80"/>
    <s v="260 K"/>
    <n v="48"/>
    <m/>
    <s v="U"/>
    <m/>
    <d v="1899-12-30T01:19:00"/>
    <s v="15:14"/>
    <s v="LA"/>
    <m/>
    <s v="20140630 LAckein"/>
    <s v="20140701 DRobichaud"/>
    <s v="x"/>
    <n v="151.917"/>
    <s v="na"/>
    <s v="FWL"/>
    <s v="na"/>
    <s v="na"/>
    <s v="F1835"/>
    <s v="na"/>
    <s v="na"/>
    <s v="na"/>
    <s v="na"/>
    <s v="na"/>
  </r>
  <r>
    <n v="337"/>
    <x v="18"/>
    <n v="1"/>
    <x v="1"/>
    <x v="0"/>
    <x v="5"/>
    <n v="73"/>
    <s v="261 K"/>
    <n v="55"/>
    <m/>
    <s v="U"/>
    <m/>
    <d v="1899-12-30T01:31:00"/>
    <s v="16:10"/>
    <s v="LA"/>
    <m/>
    <s v="20140630 LAckein"/>
    <s v="20140701 DRobichaud"/>
    <s v="x"/>
    <n v="151.755"/>
    <s v="na"/>
    <s v="FWL"/>
    <s v="na"/>
    <s v="na"/>
    <s v="F1845"/>
    <s v="na"/>
    <s v="na"/>
    <s v="na"/>
    <s v="na"/>
    <s v="na"/>
  </r>
  <r>
    <n v="338"/>
    <x v="18"/>
    <n v="1"/>
    <x v="1"/>
    <x v="0"/>
    <x v="0"/>
    <m/>
    <m/>
    <n v="83"/>
    <m/>
    <s v="U"/>
    <m/>
    <d v="1899-12-30T02:25:00"/>
    <s v="16:26"/>
    <s v="DJ"/>
    <s v="wouldn't hold tag, no tag"/>
    <s v="20140630 LAckein"/>
    <s v="20140701 DRobichaud"/>
    <s v="x"/>
    <s v="x"/>
    <s v="na"/>
    <s v="FWL"/>
    <s v="na"/>
    <s v="na"/>
    <s v="na"/>
    <s v="na"/>
    <s v="na"/>
    <s v="na"/>
    <s v="na"/>
    <s v="na"/>
  </r>
  <r>
    <n v="339"/>
    <x v="18"/>
    <n v="1"/>
    <x v="1"/>
    <x v="0"/>
    <x v="5"/>
    <n v="96"/>
    <s v="262 K"/>
    <n v="78"/>
    <m/>
    <s v="U"/>
    <m/>
    <d v="1899-12-30T01:13:00"/>
    <s v="16:30"/>
    <s v="DJ"/>
    <m/>
    <s v="20140630 LAckein"/>
    <s v="20140701 DRobichaud"/>
    <s v="x"/>
    <n v="151.755"/>
    <s v="na"/>
    <s v="FWL"/>
    <s v="na"/>
    <s v="na"/>
    <s v="F1845"/>
    <s v="na"/>
    <s v="na"/>
    <s v="na"/>
    <s v="na"/>
    <s v="na"/>
  </r>
  <r>
    <n v="340"/>
    <x v="18"/>
    <n v="1"/>
    <x v="1"/>
    <x v="0"/>
    <x v="4"/>
    <n v="9"/>
    <s v="263 K"/>
    <n v="84"/>
    <m/>
    <s v="U"/>
    <d v="1899-12-30T16:54:00"/>
    <d v="1899-12-30T01:24:00"/>
    <s v="17:01"/>
    <s v="JG"/>
    <m/>
    <s v="20140630 LAckein"/>
    <s v="20140701 DRobichaud"/>
    <d v="1899-12-30T00:05:36"/>
    <n v="151.78399999999999"/>
    <s v="na"/>
    <s v="FWL"/>
    <s v="na"/>
    <s v="na"/>
    <s v="F1845"/>
    <s v="na"/>
    <s v="na"/>
    <s v="na"/>
    <s v="na"/>
    <s v="na"/>
  </r>
  <r>
    <n v="341"/>
    <x v="18"/>
    <n v="1"/>
    <x v="1"/>
    <x v="0"/>
    <x v="5"/>
    <n v="43"/>
    <s v="264 K"/>
    <n v="64"/>
    <m/>
    <s v="U"/>
    <m/>
    <d v="1899-12-30T01:07:00"/>
    <s v="17:50"/>
    <s v="LA"/>
    <m/>
    <s v="20140630 LAckein"/>
    <s v="20140701 DRobichaud"/>
    <s v="x"/>
    <n v="151.755"/>
    <s v="na"/>
    <s v="FWL"/>
    <s v="na"/>
    <s v="na"/>
    <s v="F1845"/>
    <s v="na"/>
    <s v="na"/>
    <s v="na"/>
    <s v="na"/>
    <s v="na"/>
  </r>
  <r>
    <n v="342"/>
    <x v="18"/>
    <n v="1"/>
    <x v="1"/>
    <x v="0"/>
    <x v="5"/>
    <n v="91"/>
    <s v="265 K"/>
    <n v="68"/>
    <m/>
    <s v="U"/>
    <m/>
    <d v="1899-12-30T01:14:00"/>
    <s v="17:59"/>
    <s v="JG"/>
    <m/>
    <s v="20140630 LAckein"/>
    <s v="20140701 DRobichaud"/>
    <s v="x"/>
    <n v="151.755"/>
    <s v="na"/>
    <s v="FWL"/>
    <s v="na"/>
    <s v="na"/>
    <s v="F1845"/>
    <s v="na"/>
    <s v="na"/>
    <s v="na"/>
    <s v="na"/>
    <s v="na"/>
  </r>
  <r>
    <n v="343"/>
    <x v="18"/>
    <n v="1"/>
    <x v="1"/>
    <x v="0"/>
    <x v="5"/>
    <n v="38"/>
    <s v="266 K"/>
    <n v="91"/>
    <m/>
    <s v="U"/>
    <m/>
    <d v="1899-12-30T01:57:00"/>
    <s v="18:03 "/>
    <s v="DJ"/>
    <m/>
    <s v="20140630 LAckein"/>
    <s v="20140701 DRobichaud"/>
    <s v="x"/>
    <n v="151.755"/>
    <s v="na"/>
    <s v="FWL"/>
    <s v="na"/>
    <s v="na"/>
    <s v="F1845"/>
    <s v="na"/>
    <s v="na"/>
    <s v="na"/>
    <s v="na"/>
    <s v="na"/>
  </r>
  <r>
    <n v="344"/>
    <x v="18"/>
    <n v="1"/>
    <x v="1"/>
    <x v="0"/>
    <x v="4"/>
    <n v="26"/>
    <s v="267 K"/>
    <n v="60"/>
    <m/>
    <s v="U"/>
    <m/>
    <d v="1899-12-30T01:49:00"/>
    <s v="18:55"/>
    <s v="JG"/>
    <m/>
    <s v="20140630 LAckein"/>
    <s v="20140701 DRobichaud"/>
    <s v="x"/>
    <n v="151.78399999999999"/>
    <s v="na"/>
    <s v="FWL"/>
    <s v="na"/>
    <s v="na"/>
    <s v="F1845"/>
    <s v="na"/>
    <s v="na"/>
    <s v="na"/>
    <s v="na"/>
    <s v="na"/>
  </r>
  <r>
    <n v="345"/>
    <x v="18"/>
    <n v="1"/>
    <x v="1"/>
    <x v="0"/>
    <x v="4"/>
    <n v="52"/>
    <s v="268 K"/>
    <n v="56"/>
    <m/>
    <s v="U"/>
    <m/>
    <d v="1899-12-30T02:06:00"/>
    <s v="19:35"/>
    <s v="WC"/>
    <s v="took 2 tries, 1st didn't take"/>
    <s v="20140630 DRobichaud"/>
    <s v="20140701 DRobichaud"/>
    <s v="x"/>
    <n v="151.78399999999999"/>
    <s v="na"/>
    <s v="FWL"/>
    <s v="na"/>
    <s v="na"/>
    <s v="F1845"/>
    <s v="na"/>
    <s v="na"/>
    <s v="na"/>
    <s v="na"/>
    <s v="na"/>
  </r>
  <r>
    <n v="346"/>
    <x v="18"/>
    <n v="1"/>
    <x v="1"/>
    <x v="0"/>
    <x v="5"/>
    <n v="71"/>
    <s v="269 K"/>
    <n v="56"/>
    <m/>
    <s v="U"/>
    <m/>
    <d v="1899-12-30T01:38:00"/>
    <s v="20:24"/>
    <s v="WC"/>
    <m/>
    <s v="20140630 DRobichaud"/>
    <s v="20140701 DRobichaud"/>
    <s v="x"/>
    <n v="151.755"/>
    <s v="na"/>
    <s v="FWL"/>
    <s v="na"/>
    <s v="na"/>
    <s v="F1845"/>
    <s v="na"/>
    <s v="na"/>
    <s v="na"/>
    <s v="na"/>
    <s v="na"/>
  </r>
  <r>
    <n v="347"/>
    <x v="18"/>
    <n v="1"/>
    <x v="1"/>
    <x v="0"/>
    <x v="4"/>
    <n v="57"/>
    <s v="270 K"/>
    <n v="63"/>
    <m/>
    <s v="U"/>
    <d v="1899-12-30T21:00:00"/>
    <d v="1899-12-30T01:31:00"/>
    <s v="21:06"/>
    <s v="WC"/>
    <m/>
    <s v="20140630 DRobichaud"/>
    <s v="20140701 DRobichaud"/>
    <d v="1899-12-30T00:04:29"/>
    <n v="151.78399999999999"/>
    <s v="na"/>
    <s v="FWL"/>
    <s v="na"/>
    <s v="na"/>
    <s v="F1845"/>
    <s v="na"/>
    <s v="na"/>
    <s v="na"/>
    <s v="na"/>
    <s v="na"/>
  </r>
  <r>
    <n v="348"/>
    <x v="18"/>
    <n v="1"/>
    <x v="1"/>
    <x v="0"/>
    <x v="0"/>
    <m/>
    <m/>
    <n v="73"/>
    <m/>
    <s v="U"/>
    <d v="1899-12-30T21:23:00"/>
    <d v="1899-12-30T01:40:00"/>
    <s v="21:28"/>
    <s v="DR"/>
    <s v="fish dropped. Tag removed."/>
    <s v="20140630 DRobichaud"/>
    <s v="20140701 DRobichaud"/>
    <d v="1899-12-30T00:03:20"/>
    <s v="x"/>
    <s v="na"/>
    <s v="FWL"/>
    <s v="na"/>
    <s v="na"/>
    <s v="na"/>
    <s v="na"/>
    <s v="na"/>
    <s v="na"/>
    <s v="na"/>
    <s v="na"/>
  </r>
  <r>
    <n v="349"/>
    <x v="18"/>
    <n v="1"/>
    <x v="1"/>
    <x v="0"/>
    <x v="5"/>
    <n v="11"/>
    <s v="271 K"/>
    <n v="69"/>
    <m/>
    <s v="U"/>
    <d v="1899-12-30T21:39:00"/>
    <d v="1899-12-30T01:25:00"/>
    <s v="21:51"/>
    <s v="DR"/>
    <s v="many scoops"/>
    <s v="20140630 DRobichaud"/>
    <s v="20140701 DRobichaud"/>
    <d v="1899-12-30T00:10:35"/>
    <n v="151.755"/>
    <s v="na"/>
    <s v="FWL"/>
    <s v="na"/>
    <s v="na"/>
    <s v="F1845"/>
    <s v="na"/>
    <s v="na"/>
    <s v="na"/>
    <s v="na"/>
    <s v="na"/>
  </r>
  <r>
    <n v="350"/>
    <x v="18"/>
    <n v="1"/>
    <x v="1"/>
    <x v="0"/>
    <x v="1"/>
    <n v="13"/>
    <s v="161 K"/>
    <n v="57"/>
    <m/>
    <s v="U"/>
    <m/>
    <d v="1899-12-30T01:28:00"/>
    <s v="23:15"/>
    <s v="DR"/>
    <m/>
    <s v="20140630 DRobichaud"/>
    <s v="20140701 DRobichaud"/>
    <s v="x"/>
    <n v="151.72499999999999"/>
    <s v="na"/>
    <s v="FWL"/>
    <s v="na"/>
    <s v="na"/>
    <s v="F1845"/>
    <s v="na"/>
    <s v="na"/>
    <s v="na"/>
    <s v="na"/>
    <s v="na"/>
  </r>
  <r>
    <n v="351"/>
    <x v="18"/>
    <n v="3"/>
    <x v="1"/>
    <x v="0"/>
    <x v="5"/>
    <n v="85"/>
    <s v="192 K"/>
    <n v="63"/>
    <m/>
    <s v="U"/>
    <m/>
    <d v="1899-12-30T01:06:00"/>
    <s v="06:37"/>
    <s v="LA"/>
    <s v="s"/>
    <s v="20140630 JGraham"/>
    <s v="20140701 DRobichaud"/>
    <s v="x"/>
    <n v="151.755"/>
    <s v="na"/>
    <s v="FWL"/>
    <s v="na"/>
    <s v="na"/>
    <s v="F1845"/>
    <s v="na"/>
    <s v="na"/>
    <s v="na"/>
    <s v="na"/>
    <s v="na"/>
  </r>
  <r>
    <n v="352"/>
    <x v="18"/>
    <n v="3"/>
    <x v="1"/>
    <x v="0"/>
    <x v="5"/>
    <n v="88"/>
    <s v="193 K"/>
    <n v="60"/>
    <m/>
    <s v="U"/>
    <m/>
    <d v="1899-12-30T01:10:00"/>
    <s v="06:40"/>
    <s v="LA"/>
    <s v="s"/>
    <s v="20140630 JGraham"/>
    <s v="20140701 DRobichaud"/>
    <s v="x"/>
    <n v="151.755"/>
    <s v="na"/>
    <s v="FWL"/>
    <s v="na"/>
    <s v="na"/>
    <s v="F1845"/>
    <s v="na"/>
    <s v="na"/>
    <s v="na"/>
    <s v="na"/>
    <s v="na"/>
  </r>
  <r>
    <n v="353"/>
    <x v="18"/>
    <n v="3"/>
    <x v="1"/>
    <x v="0"/>
    <x v="5"/>
    <n v="97"/>
    <s v="194 K"/>
    <n v="51"/>
    <m/>
    <s v="U"/>
    <m/>
    <d v="1899-12-30T01:09:00"/>
    <s v="06:42"/>
    <s v="LA"/>
    <s v="p minor tail wound. End night fish"/>
    <s v="20140630 JGraham"/>
    <s v="20140701 DRobichaud"/>
    <s v="x"/>
    <n v="151.755"/>
    <s v="na"/>
    <s v="FWL"/>
    <s v="na"/>
    <s v="na"/>
    <s v="F1845"/>
    <s v="na"/>
    <s v="na"/>
    <s v="na"/>
    <s v="na"/>
    <s v="na"/>
  </r>
  <r>
    <n v="354"/>
    <x v="18"/>
    <n v="3"/>
    <x v="4"/>
    <x v="1"/>
    <x v="3"/>
    <n v="10"/>
    <s v="195 K"/>
    <n v="40"/>
    <m/>
    <s v="U"/>
    <m/>
    <d v="1899-12-30T02:10:00"/>
    <s v="9:47"/>
    <s v="LA"/>
    <s v="code recorded as 40, sleuthed to 10"/>
    <s v="20140630 JGraham"/>
    <s v="20140701 DRobichaud"/>
    <s v="x"/>
    <n v="151.917"/>
    <s v="na"/>
    <s v="FWL"/>
    <s v="na"/>
    <s v="na"/>
    <s v="F1835"/>
    <s v="na"/>
    <s v="na"/>
    <s v="na"/>
    <s v="na"/>
    <s v="na"/>
  </r>
  <r>
    <n v="355"/>
    <x v="18"/>
    <n v="3"/>
    <x v="1"/>
    <x v="0"/>
    <x v="4"/>
    <n v="20"/>
    <s v="196 K"/>
    <n v="60"/>
    <m/>
    <s v="U"/>
    <d v="1899-12-30T17:34:00"/>
    <d v="1899-12-30T01:47:00"/>
    <s v="17:44"/>
    <s v="CSj"/>
    <m/>
    <s v="20140630 CSejkora"/>
    <s v="20140701 DRobichaud"/>
    <d v="1899-12-30T00:08:13"/>
    <n v="151.78399999999999"/>
    <s v="na"/>
    <s v="FWL"/>
    <s v="na"/>
    <s v="na"/>
    <s v="F1845"/>
    <s v="na"/>
    <s v="na"/>
    <s v="na"/>
    <s v="na"/>
    <s v="na"/>
  </r>
  <r>
    <n v="356"/>
    <x v="18"/>
    <n v="3"/>
    <x v="4"/>
    <x v="1"/>
    <x v="0"/>
    <m/>
    <m/>
    <n v="35"/>
    <m/>
    <s v="U"/>
    <m/>
    <d v="1899-12-30T00:35:00"/>
    <s v="17:46"/>
    <s v="JK"/>
    <s v="too small to tag"/>
    <s v="20140630 CSejkora"/>
    <s v="20140701 DRobichaud"/>
    <s v="x"/>
    <s v="x"/>
    <s v="na"/>
    <s v="FWL"/>
    <s v="na"/>
    <s v="na"/>
    <s v="na"/>
    <s v="na"/>
    <s v="na"/>
    <s v="na"/>
    <s v="na"/>
    <s v="na"/>
  </r>
  <r>
    <n v="357"/>
    <x v="18"/>
    <n v="3"/>
    <x v="4"/>
    <x v="1"/>
    <x v="0"/>
    <m/>
    <m/>
    <n v="36"/>
    <m/>
    <s v="U"/>
    <m/>
    <d v="1899-12-30T00:29:00"/>
    <s v="17:51"/>
    <s v="JK"/>
    <s v="too small to tag"/>
    <s v="20140630 CSejkora"/>
    <s v="20140701 DRobichaud"/>
    <s v="x"/>
    <s v="x"/>
    <s v="na"/>
    <s v="FWL"/>
    <s v="na"/>
    <s v="na"/>
    <s v="na"/>
    <s v="na"/>
    <s v="na"/>
    <s v="na"/>
    <s v="na"/>
    <s v="na"/>
  </r>
  <r>
    <n v="358"/>
    <x v="18"/>
    <n v="3"/>
    <x v="1"/>
    <x v="0"/>
    <x v="1"/>
    <n v="85"/>
    <s v="197 K"/>
    <n v="87"/>
    <m/>
    <s v="U"/>
    <d v="1899-12-30T18:12:00"/>
    <d v="1899-12-30T01:58:00"/>
    <s v="18:19"/>
    <s v="JK"/>
    <m/>
    <s v="20140630 CSejkora"/>
    <s v="20140701 DRobichaud"/>
    <d v="1899-12-30T00:05:02"/>
    <n v="151.72499999999999"/>
    <s v="na"/>
    <s v="FWL"/>
    <s v="na"/>
    <s v="na"/>
    <s v="F1845"/>
    <s v="na"/>
    <s v="na"/>
    <s v="na"/>
    <s v="na"/>
    <s v="na"/>
  </r>
  <r>
    <n v="359"/>
    <x v="18"/>
    <n v="3"/>
    <x v="1"/>
    <x v="0"/>
    <x v="5"/>
    <n v="59"/>
    <s v="250 K"/>
    <n v="59"/>
    <m/>
    <s v="U"/>
    <d v="1899-12-30T18:26:00"/>
    <d v="1899-12-30T01:02:00"/>
    <s v="18:31"/>
    <s v="JK"/>
    <m/>
    <s v="20140630 CSejkora"/>
    <s v="20140701 DRobichaud"/>
    <d v="1899-12-30T00:03:58"/>
    <n v="151.755"/>
    <s v="na"/>
    <s v="FWL"/>
    <s v="na"/>
    <s v="na"/>
    <s v="F1845"/>
    <s v="na"/>
    <s v="na"/>
    <s v="na"/>
    <s v="na"/>
    <s v="na"/>
  </r>
  <r>
    <n v="360"/>
    <x v="18"/>
    <n v="3"/>
    <x v="1"/>
    <x v="0"/>
    <x v="4"/>
    <n v="74"/>
    <s v="251 K"/>
    <n v="87"/>
    <m/>
    <s v="F"/>
    <m/>
    <d v="1899-12-30T01:28:00"/>
    <s v="19:41"/>
    <s v="BK"/>
    <m/>
    <s v="20140630 QBerger"/>
    <s v="20140701 DRobichaud"/>
    <s v="x"/>
    <n v="151.78399999999999"/>
    <s v="na"/>
    <s v="FWL"/>
    <s v="na"/>
    <s v="na"/>
    <s v="F1845"/>
    <s v="na"/>
    <s v="na"/>
    <s v="na"/>
    <s v="na"/>
    <s v="na"/>
  </r>
  <r>
    <n v="361"/>
    <x v="18"/>
    <n v="3"/>
    <x v="1"/>
    <x v="0"/>
    <x v="4"/>
    <n v="40"/>
    <s v="252 K"/>
    <n v="87"/>
    <m/>
    <s v="U"/>
    <d v="1899-12-30T20:42:00"/>
    <d v="1899-12-30T01:19:00"/>
    <s v="20:48"/>
    <s v="QB"/>
    <m/>
    <s v="20140630 QBerger"/>
    <s v="20140701 DRobichaud"/>
    <d v="1899-12-30T00:04:41"/>
    <n v="151.78399999999999"/>
    <s v="na"/>
    <s v="FWL"/>
    <s v="na"/>
    <s v="na"/>
    <s v="F1845"/>
    <s v="na"/>
    <s v="na"/>
    <s v="na"/>
    <s v="na"/>
    <s v="na"/>
  </r>
  <r>
    <n v="362"/>
    <x v="18"/>
    <n v="3"/>
    <x v="4"/>
    <x v="1"/>
    <x v="0"/>
    <m/>
    <m/>
    <n v="36"/>
    <m/>
    <s v="U"/>
    <m/>
    <d v="1899-12-30T00:27:00"/>
    <s v="19:46"/>
    <s v="QB"/>
    <s v="too small to tag"/>
    <s v="20140630 QBerger"/>
    <s v="20140701 DRobichaud"/>
    <s v="x"/>
    <s v="x"/>
    <s v="na"/>
    <s v="FWL"/>
    <s v="na"/>
    <s v="na"/>
    <s v="na"/>
    <s v="na"/>
    <s v="na"/>
    <s v="na"/>
    <s v="na"/>
    <s v="na"/>
  </r>
  <r>
    <n v="363"/>
    <x v="18"/>
    <n v="3"/>
    <x v="1"/>
    <x v="0"/>
    <x v="0"/>
    <m/>
    <m/>
    <n v="83"/>
    <m/>
    <s v="U"/>
    <m/>
    <d v="1899-12-30T00:59:00"/>
    <s v="19:48"/>
    <s v="QB"/>
    <s v="fresh wounds on operculum and gills. No tag."/>
    <s v="20140630 QBerger"/>
    <s v="20140701 DRobichaud"/>
    <s v="x"/>
    <s v="x"/>
    <s v="na"/>
    <s v="FWL"/>
    <s v="na"/>
    <s v="na"/>
    <s v="na"/>
    <s v="na"/>
    <s v="na"/>
    <s v="na"/>
    <s v="na"/>
    <s v="na"/>
  </r>
  <r>
    <n v="364"/>
    <x v="18"/>
    <n v="3"/>
    <x v="1"/>
    <x v="0"/>
    <x v="4"/>
    <n v="3"/>
    <s v="253 K"/>
    <n v="52"/>
    <m/>
    <s v="U"/>
    <d v="1899-12-30T21:12:00"/>
    <d v="1899-12-30T01:35:00"/>
    <s v="21:21"/>
    <s v="BK"/>
    <m/>
    <s v="20140630 QBerger"/>
    <s v="20140701 DRobichaud"/>
    <d v="1899-12-30T00:07:25"/>
    <n v="151.78399999999999"/>
    <s v="na"/>
    <s v="FWL"/>
    <s v="na"/>
    <s v="na"/>
    <s v="F1845"/>
    <s v="na"/>
    <s v="na"/>
    <s v="na"/>
    <s v="na"/>
    <s v="na"/>
  </r>
  <r>
    <n v="365"/>
    <x v="18"/>
    <n v="3"/>
    <x v="1"/>
    <x v="0"/>
    <x v="5"/>
    <n v="49"/>
    <s v="254 K"/>
    <n v="87"/>
    <m/>
    <s v="U"/>
    <d v="1899-12-30T21:43:00"/>
    <d v="1899-12-30T01:25:00"/>
    <s v="21:52"/>
    <s v="QB"/>
    <m/>
    <s v="20140630 QBerger"/>
    <s v="20140701 DRobichaud"/>
    <d v="1899-12-30T00:07:35"/>
    <n v="151.755"/>
    <s v="na"/>
    <s v="FWL"/>
    <s v="na"/>
    <s v="na"/>
    <s v="F1845"/>
    <s v="na"/>
    <s v="na"/>
    <s v="na"/>
    <s v="na"/>
    <s v="na"/>
  </r>
  <r>
    <n v="366"/>
    <x v="18"/>
    <n v="3"/>
    <x v="4"/>
    <x v="1"/>
    <x v="0"/>
    <m/>
    <m/>
    <n v="34"/>
    <m/>
    <s v="U"/>
    <m/>
    <d v="1899-12-30T00:21:00"/>
    <s v="22:58 "/>
    <s v="QB"/>
    <s v="too small to tag"/>
    <s v="20140630 QBerger"/>
    <s v="20140701 DRobichaud"/>
    <s v="x"/>
    <s v="x"/>
    <s v="na"/>
    <s v="FWL"/>
    <s v="na"/>
    <s v="na"/>
    <s v="na"/>
    <s v="na"/>
    <s v="na"/>
    <s v="na"/>
    <s v="na"/>
    <s v="na"/>
  </r>
  <r>
    <n v="367"/>
    <x v="19"/>
    <n v="1"/>
    <x v="1"/>
    <x v="0"/>
    <x v="4"/>
    <n v="19"/>
    <s v="162 K"/>
    <n v="97"/>
    <m/>
    <s v="U"/>
    <m/>
    <d v="1899-12-30T02:17:00"/>
    <d v="1899-12-30T05:42:00"/>
    <s v="LA"/>
    <s v="p"/>
    <s v="20140701 LAckein"/>
    <s v="20140702 AStephens"/>
    <s v="x"/>
    <n v="151.78399999999999"/>
    <s v="na"/>
    <s v="FWL"/>
    <s v="na"/>
    <s v="na"/>
    <s v="F1845"/>
    <s v="na"/>
    <s v="na"/>
    <s v="na"/>
    <s v="na"/>
    <s v="na"/>
  </r>
  <r>
    <n v="368"/>
    <x v="19"/>
    <n v="1"/>
    <x v="1"/>
    <x v="0"/>
    <x v="4"/>
    <n v="79"/>
    <s v="163 K"/>
    <n v="72"/>
    <m/>
    <s v="U"/>
    <m/>
    <d v="1899-12-30T01:32:00"/>
    <d v="1899-12-30T05:45:00"/>
    <s v="LA"/>
    <s v="p"/>
    <s v="20140701 LAckein"/>
    <s v="20140702 AStephens"/>
    <s v="x"/>
    <n v="151.78399999999999"/>
    <s v="na"/>
    <s v="FWL"/>
    <s v="na"/>
    <s v="na"/>
    <s v="F1845"/>
    <s v="na"/>
    <s v="na"/>
    <s v="na"/>
    <s v="na"/>
    <s v="na"/>
  </r>
  <r>
    <n v="369"/>
    <x v="19"/>
    <n v="1"/>
    <x v="1"/>
    <x v="0"/>
    <x v="4"/>
    <n v="59"/>
    <s v="164 K"/>
    <n v="59"/>
    <m/>
    <s v="U"/>
    <m/>
    <d v="1899-12-30T01:18:00"/>
    <d v="1899-12-30T05:48:00"/>
    <s v="LA"/>
    <s v="p"/>
    <s v="20140701 LAckein"/>
    <s v="20140702 AStephens"/>
    <s v="x"/>
    <n v="151.78399999999999"/>
    <s v="na"/>
    <s v="FWL"/>
    <s v="na"/>
    <s v="na"/>
    <s v="F1845"/>
    <s v="na"/>
    <s v="na"/>
    <s v="na"/>
    <s v="na"/>
    <s v="na"/>
  </r>
  <r>
    <n v="370"/>
    <x v="19"/>
    <n v="1"/>
    <x v="1"/>
    <x v="0"/>
    <x v="2"/>
    <n v="95"/>
    <s v="165 K"/>
    <n v="64"/>
    <m/>
    <s v="U"/>
    <m/>
    <d v="1899-12-30T01:02:00"/>
    <d v="1899-12-30T05:54:00"/>
    <s v="JG"/>
    <s v="p"/>
    <s v="20140701 LAckein"/>
    <s v="20140702 AStephens"/>
    <s v="x"/>
    <n v="151.684"/>
    <s v="na"/>
    <s v="FWL"/>
    <s v="na"/>
    <s v="na"/>
    <s v="F1845"/>
    <s v="na"/>
    <s v="na"/>
    <s v="na"/>
    <s v="na"/>
    <s v="na"/>
  </r>
  <r>
    <n v="371"/>
    <x v="19"/>
    <n v="1"/>
    <x v="1"/>
    <x v="0"/>
    <x v="5"/>
    <n v="83"/>
    <s v="272 K"/>
    <n v="63"/>
    <m/>
    <s v="U"/>
    <m/>
    <d v="1899-12-30T01:12:00"/>
    <d v="1899-12-30T05:56:00"/>
    <s v="JG"/>
    <s v="p"/>
    <s v="20140701 LAckein"/>
    <s v="20140702 AStephens"/>
    <s v="x"/>
    <n v="151.755"/>
    <s v="na"/>
    <s v="FWL"/>
    <s v="na"/>
    <s v="na"/>
    <s v="F1845"/>
    <s v="na"/>
    <s v="na"/>
    <s v="na"/>
    <s v="na"/>
    <s v="na"/>
  </r>
  <r>
    <n v="372"/>
    <x v="19"/>
    <n v="1"/>
    <x v="1"/>
    <x v="0"/>
    <x v="2"/>
    <n v="15"/>
    <s v="273 K"/>
    <n v="84"/>
    <m/>
    <s v="U"/>
    <m/>
    <d v="1899-12-30T01:08:00"/>
    <d v="1899-12-30T06:00:00"/>
    <s v="JG"/>
    <s v="p"/>
    <s v="20140701 LAckein"/>
    <s v="20140702 AStephens"/>
    <s v="x"/>
    <n v="151.684"/>
    <s v="na"/>
    <s v="FWL"/>
    <s v="na"/>
    <s v="na"/>
    <s v="F1845"/>
    <s v="na"/>
    <s v="na"/>
    <s v="na"/>
    <s v="na"/>
    <s v="na"/>
  </r>
  <r>
    <n v="373"/>
    <x v="19"/>
    <n v="1"/>
    <x v="1"/>
    <x v="0"/>
    <x v="2"/>
    <n v="58"/>
    <s v="274 K"/>
    <n v="61"/>
    <m/>
    <s v="U"/>
    <m/>
    <d v="1899-12-30T01:08:00"/>
    <d v="1899-12-30T06:03:00"/>
    <s v="DJ"/>
    <s v="s"/>
    <s v="20140701 LAckein"/>
    <s v="20140702 AStephens"/>
    <s v="x"/>
    <n v="151.684"/>
    <s v="na"/>
    <s v="FWL"/>
    <s v="na"/>
    <s v="na"/>
    <s v="F1845"/>
    <s v="na"/>
    <s v="na"/>
    <s v="na"/>
    <s v="na"/>
    <s v="na"/>
  </r>
  <r>
    <n v="374"/>
    <x v="19"/>
    <n v="1"/>
    <x v="1"/>
    <x v="0"/>
    <x v="5"/>
    <n v="77"/>
    <s v="275 K"/>
    <n v="82"/>
    <m/>
    <s v="U"/>
    <m/>
    <d v="1899-12-30T01:25:00"/>
    <d v="1899-12-30T06:08:00"/>
    <s v="DJ"/>
    <s v="s"/>
    <s v="20140701 LAckein"/>
    <s v="20140702 AStephens"/>
    <s v="x"/>
    <n v="151.755"/>
    <s v="na"/>
    <s v="FWL"/>
    <s v="na"/>
    <s v="na"/>
    <s v="F1845"/>
    <s v="na"/>
    <s v="na"/>
    <s v="na"/>
    <s v="na"/>
    <s v="na"/>
  </r>
  <r>
    <n v="375"/>
    <x v="19"/>
    <n v="1"/>
    <x v="1"/>
    <x v="0"/>
    <x v="5"/>
    <n v="76"/>
    <s v="276 K"/>
    <n v="51"/>
    <m/>
    <s v="U"/>
    <m/>
    <d v="1899-12-30T01:06:00"/>
    <d v="1899-12-30T06:10:00"/>
    <s v="JK"/>
    <s v="s   medium wound on side, tissue only"/>
    <s v="20140701 LAckein"/>
    <s v="20140702 AStephens"/>
    <s v="x"/>
    <n v="151.755"/>
    <s v="na"/>
    <s v="FWL"/>
    <s v="na"/>
    <s v="na"/>
    <s v="F1845"/>
    <s v="na"/>
    <s v="na"/>
    <s v="na"/>
    <s v="na"/>
    <s v="na"/>
  </r>
  <r>
    <n v="376"/>
    <x v="19"/>
    <n v="1"/>
    <x v="1"/>
    <x v="0"/>
    <x v="5"/>
    <n v="69"/>
    <s v="277 K"/>
    <n v="79"/>
    <m/>
    <s v="U"/>
    <m/>
    <d v="1899-12-30T01:03:00"/>
    <d v="1899-12-30T06:13:00"/>
    <s v="JK"/>
    <s v="s"/>
    <s v="20140701 LAckein"/>
    <s v="20140702 AStephens"/>
    <s v="x"/>
    <n v="151.755"/>
    <s v="na"/>
    <s v="FWL"/>
    <s v="na"/>
    <s v="na"/>
    <s v="F1845"/>
    <s v="na"/>
    <s v="na"/>
    <s v="na"/>
    <s v="na"/>
    <s v="na"/>
  </r>
  <r>
    <n v="377"/>
    <x v="19"/>
    <n v="1"/>
    <x v="4"/>
    <x v="1"/>
    <x v="3"/>
    <n v="69"/>
    <s v="278 K"/>
    <n v="42"/>
    <m/>
    <s v="U"/>
    <m/>
    <d v="1899-12-30T01:00:00"/>
    <d v="1899-12-30T06:15:00"/>
    <s v="CSj"/>
    <s v="s"/>
    <s v="20140701 LAckein"/>
    <s v="20140702 AStephens"/>
    <s v="x"/>
    <n v="151.917"/>
    <s v="na"/>
    <s v="FWL"/>
    <s v="na"/>
    <s v="na"/>
    <s v="F1835"/>
    <s v="na"/>
    <s v="na"/>
    <s v="na"/>
    <s v="na"/>
    <s v="na"/>
  </r>
  <r>
    <n v="378"/>
    <x v="19"/>
    <n v="1"/>
    <x v="1"/>
    <x v="0"/>
    <x v="5"/>
    <n v="89"/>
    <s v="279 K"/>
    <n v="59"/>
    <m/>
    <s v="U"/>
    <m/>
    <d v="1899-12-30T00:57:00"/>
    <d v="1899-12-30T06:17:00"/>
    <s v="CSj"/>
    <s v="s"/>
    <s v="20140701 LAckein"/>
    <s v="20140702 AStephens"/>
    <s v="x"/>
    <n v="151.755"/>
    <s v="na"/>
    <s v="FWL"/>
    <s v="na"/>
    <s v="na"/>
    <s v="F1845"/>
    <s v="na"/>
    <s v="na"/>
    <s v="na"/>
    <s v="na"/>
    <s v="na"/>
  </r>
  <r>
    <n v="379"/>
    <x v="19"/>
    <n v="1"/>
    <x v="5"/>
    <x v="2"/>
    <x v="0"/>
    <m/>
    <m/>
    <m/>
    <n v="34"/>
    <s v="U"/>
    <m/>
    <d v="1899-12-30T00:19:00"/>
    <d v="1899-12-30T06:19:00"/>
    <s v="CSj"/>
    <s v="s"/>
    <s v="20140701 LAckein"/>
    <s v="20140702 AStephens"/>
    <s v="x"/>
    <s v="x"/>
    <s v="na"/>
    <s v="FWL"/>
    <s v="na"/>
    <s v="na"/>
    <s v="na"/>
    <s v="na"/>
    <s v="na"/>
    <s v="na"/>
    <s v="na"/>
    <s v="na"/>
  </r>
  <r>
    <n v="380"/>
    <x v="19"/>
    <n v="1"/>
    <x v="1"/>
    <x v="0"/>
    <x v="5"/>
    <n v="75"/>
    <s v="280 K"/>
    <n v="53"/>
    <m/>
    <s v="U"/>
    <d v="1899-12-30T08:56:00"/>
    <d v="1899-12-30T01:20:00"/>
    <d v="1899-12-30T09:05:00"/>
    <s v="DJ"/>
    <m/>
    <s v="20140701 LAckein"/>
    <s v="20140702 AStephens"/>
    <d v="1899-12-30T00:07:40"/>
    <n v="151.755"/>
    <s v="na"/>
    <s v="FWL"/>
    <s v="na"/>
    <s v="na"/>
    <s v="F1845"/>
    <s v="na"/>
    <s v="na"/>
    <s v="na"/>
    <s v="na"/>
    <s v="na"/>
  </r>
  <r>
    <n v="381"/>
    <x v="19"/>
    <n v="1"/>
    <x v="1"/>
    <x v="0"/>
    <x v="5"/>
    <n v="50"/>
    <s v="287 K"/>
    <n v="78"/>
    <m/>
    <s v="U"/>
    <d v="1899-12-30T09:22:00"/>
    <d v="1899-12-30T01:13:00"/>
    <d v="1899-12-30T09:27:00"/>
    <s v="JG"/>
    <m/>
    <s v="20140701 LAckein"/>
    <s v="20140702 AStephens"/>
    <d v="1899-12-30T00:03:47"/>
    <n v="151.755"/>
    <s v="na"/>
    <s v="FWL"/>
    <s v="na"/>
    <s v="na"/>
    <s v="F1845"/>
    <s v="na"/>
    <s v="na"/>
    <s v="na"/>
    <s v="na"/>
    <s v="na"/>
  </r>
  <r>
    <n v="382"/>
    <x v="19"/>
    <n v="1"/>
    <x v="4"/>
    <x v="1"/>
    <x v="0"/>
    <m/>
    <m/>
    <n v="35"/>
    <m/>
    <s v="U"/>
    <d v="1899-12-30T09:14:00"/>
    <d v="1899-12-30T00:32:00"/>
    <d v="1899-12-30T09:29:00"/>
    <s v="JG"/>
    <m/>
    <s v="20140701 LAckein"/>
    <s v="20140702 AStephens"/>
    <d v="1899-12-30T00:14:28"/>
    <s v="x"/>
    <s v="na"/>
    <s v="FWL"/>
    <s v="na"/>
    <s v="na"/>
    <s v="na"/>
    <s v="na"/>
    <s v="na"/>
    <s v="na"/>
    <s v="na"/>
    <s v="na"/>
  </r>
  <r>
    <n v="383"/>
    <x v="19"/>
    <n v="1"/>
    <x v="1"/>
    <x v="0"/>
    <x v="4"/>
    <n v="1"/>
    <s v="288 K"/>
    <n v="60"/>
    <m/>
    <s v="U"/>
    <d v="1899-12-30T09:53:00"/>
    <d v="1899-12-30T00:58:00"/>
    <d v="1899-12-30T09:59:00"/>
    <s v="LA"/>
    <m/>
    <s v="20140701 LAckein"/>
    <s v="20140702 AStephens"/>
    <d v="1899-12-30T00:05:02"/>
    <n v="151.78399999999999"/>
    <s v="na"/>
    <s v="FWL"/>
    <s v="na"/>
    <s v="na"/>
    <s v="F1845"/>
    <s v="na"/>
    <s v="na"/>
    <s v="na"/>
    <s v="na"/>
    <s v="na"/>
  </r>
  <r>
    <n v="384"/>
    <x v="19"/>
    <n v="1"/>
    <x v="1"/>
    <x v="0"/>
    <x v="4"/>
    <n v="14"/>
    <s v="289 K"/>
    <n v="71"/>
    <m/>
    <s v="U"/>
    <m/>
    <d v="1899-12-30T01:25:00"/>
    <d v="1899-12-30T10:54:00"/>
    <s v="BK"/>
    <m/>
    <s v="20140701 DRobichaud"/>
    <s v="20140702 AStephens"/>
    <s v="x"/>
    <n v="151.78399999999999"/>
    <s v="na"/>
    <s v="FWL"/>
    <s v="na"/>
    <s v="na"/>
    <s v="F1845"/>
    <s v="na"/>
    <s v="na"/>
    <s v="na"/>
    <s v="na"/>
    <s v="na"/>
  </r>
  <r>
    <n v="385"/>
    <x v="19"/>
    <n v="1"/>
    <x v="1"/>
    <x v="0"/>
    <x v="5"/>
    <n v="82"/>
    <s v="290 K"/>
    <n v="58"/>
    <m/>
    <s v="U"/>
    <m/>
    <d v="1899-12-30T00:59:00"/>
    <d v="1899-12-30T10:57:00"/>
    <s v="BK"/>
    <m/>
    <s v="20140701 DRobichaud"/>
    <s v="20140702 AStephens"/>
    <s v="x"/>
    <n v="151.755"/>
    <s v="na"/>
    <s v="FWL"/>
    <s v="na"/>
    <s v="na"/>
    <s v="F1845"/>
    <s v="na"/>
    <s v="na"/>
    <s v="na"/>
    <s v="na"/>
    <s v="na"/>
  </r>
  <r>
    <n v="386"/>
    <x v="19"/>
    <n v="1"/>
    <x v="1"/>
    <x v="0"/>
    <x v="0"/>
    <m/>
    <m/>
    <n v="50"/>
    <m/>
    <s v="U"/>
    <m/>
    <d v="1899-12-30T00:53:00"/>
    <d v="1899-12-30T10:59:00"/>
    <s v="DR"/>
    <s v="dropped, released untagged"/>
    <s v="20140701 DRobichaud"/>
    <s v="20140702 AStephens"/>
    <s v="x"/>
    <s v="x"/>
    <s v="na"/>
    <s v="FWL"/>
    <s v="na"/>
    <s v="na"/>
    <s v="na"/>
    <s v="na"/>
    <s v="na"/>
    <s v="na"/>
    <s v="na"/>
    <s v="na"/>
  </r>
  <r>
    <n v="387"/>
    <x v="19"/>
    <n v="1"/>
    <x v="5"/>
    <x v="2"/>
    <x v="0"/>
    <m/>
    <m/>
    <m/>
    <n v="18"/>
    <s v="U"/>
    <m/>
    <d v="1899-12-30T00:15:00"/>
    <d v="1899-12-30T11:00:00"/>
    <s v="DR"/>
    <s v="cute!"/>
    <s v="20140701 DRobichaud"/>
    <s v="20140702 AStephens"/>
    <s v="x"/>
    <s v="x"/>
    <s v="na"/>
    <s v="FWL"/>
    <s v="na"/>
    <s v="na"/>
    <s v="na"/>
    <s v="na"/>
    <s v="na"/>
    <s v="na"/>
    <s v="na"/>
    <s v="na"/>
  </r>
  <r>
    <n v="388"/>
    <x v="19"/>
    <n v="1"/>
    <x v="1"/>
    <x v="0"/>
    <x v="4"/>
    <n v="67"/>
    <s v="291 K"/>
    <n v="55"/>
    <m/>
    <s v="U"/>
    <m/>
    <d v="1899-12-30T01:13:00"/>
    <d v="1899-12-30T12:17:00"/>
    <s v="DR"/>
    <m/>
    <s v="20140701 DRobichaud"/>
    <s v="20140702 AStephens"/>
    <s v="x"/>
    <n v="151.78399999999999"/>
    <s v="na"/>
    <s v="FWL"/>
    <s v="na"/>
    <s v="na"/>
    <s v="F1845"/>
    <s v="na"/>
    <s v="na"/>
    <s v="na"/>
    <s v="na"/>
    <s v="na"/>
  </r>
  <r>
    <n v="389"/>
    <x v="19"/>
    <n v="1"/>
    <x v="1"/>
    <x v="0"/>
    <x v="4"/>
    <n v="91"/>
    <s v="292 K"/>
    <n v="83"/>
    <m/>
    <s v="U"/>
    <d v="1899-12-30T13:03:00"/>
    <d v="1899-12-30T01:20:00"/>
    <d v="1899-12-30T13:07:00"/>
    <s v="BK"/>
    <m/>
    <s v="20140701 DRobichaud"/>
    <s v="20140702 AStephens"/>
    <d v="1899-12-30T00:02:40"/>
    <n v="151.78399999999999"/>
    <s v="na"/>
    <s v="FWL"/>
    <s v="na"/>
    <s v="na"/>
    <s v="F1845"/>
    <s v="na"/>
    <s v="na"/>
    <s v="na"/>
    <s v="na"/>
    <s v="na"/>
  </r>
  <r>
    <n v="390"/>
    <x v="19"/>
    <n v="1"/>
    <x v="1"/>
    <x v="0"/>
    <x v="4"/>
    <n v="80"/>
    <s v="293 K"/>
    <n v="80"/>
    <m/>
    <s v="U"/>
    <d v="1899-12-30T14:04:00"/>
    <d v="1899-12-30T01:21:00"/>
    <d v="1899-12-30T14:09:00"/>
    <s v="DR"/>
    <m/>
    <s v="20140701 DRobichaud"/>
    <s v="20140702 AStephens"/>
    <d v="1899-12-30T00:03:39"/>
    <n v="151.78399999999999"/>
    <s v="na"/>
    <s v="FWL"/>
    <s v="na"/>
    <s v="na"/>
    <s v="F1845"/>
    <s v="na"/>
    <s v="na"/>
    <s v="na"/>
    <s v="na"/>
    <s v="na"/>
  </r>
  <r>
    <n v="391"/>
    <x v="19"/>
    <n v="1"/>
    <x v="1"/>
    <x v="0"/>
    <x v="4"/>
    <n v="63"/>
    <s v="294 K"/>
    <n v="60"/>
    <m/>
    <s v="U"/>
    <m/>
    <d v="1899-12-30T01:07:00"/>
    <d v="1899-12-30T14:13:00"/>
    <s v="BK"/>
    <m/>
    <s v="20140701 DRobichaud"/>
    <s v="20140702 AStephens"/>
    <s v="x"/>
    <n v="151.78399999999999"/>
    <s v="na"/>
    <s v="FWL"/>
    <s v="na"/>
    <s v="na"/>
    <s v="F1845"/>
    <s v="na"/>
    <s v="na"/>
    <s v="na"/>
    <s v="na"/>
    <s v="na"/>
  </r>
  <r>
    <n v="392"/>
    <x v="19"/>
    <n v="1"/>
    <x v="8"/>
    <x v="2"/>
    <x v="0"/>
    <m/>
    <m/>
    <m/>
    <n v="22"/>
    <s v="U"/>
    <m/>
    <d v="1899-12-30T00:40:00"/>
    <d v="1899-12-30T15:18:00"/>
    <s v="CSj"/>
    <m/>
    <s v="20140701 JGraham"/>
    <s v="20140702 AStephens"/>
    <s v="x"/>
    <s v="x"/>
    <s v="na"/>
    <s v="FWL"/>
    <s v="na"/>
    <s v="na"/>
    <s v="na"/>
    <s v="na"/>
    <s v="na"/>
    <s v="na"/>
    <s v="na"/>
    <s v="na"/>
  </r>
  <r>
    <n v="393"/>
    <x v="19"/>
    <n v="1"/>
    <x v="1"/>
    <x v="0"/>
    <x v="4"/>
    <n v="66"/>
    <s v="295 K"/>
    <n v="87"/>
    <m/>
    <s v="U"/>
    <m/>
    <d v="1899-12-30T01:09:00"/>
    <d v="1899-12-30T18:57:00"/>
    <s v="JG"/>
    <m/>
    <s v="20140701 JGraham"/>
    <s v="20140702 AStephens"/>
    <s v="x"/>
    <n v="151.78399999999999"/>
    <s v="na"/>
    <s v="FWL"/>
    <s v="na"/>
    <s v="na"/>
    <s v="F1845"/>
    <s v="na"/>
    <s v="na"/>
    <s v="na"/>
    <s v="na"/>
    <s v="na"/>
  </r>
  <r>
    <n v="394"/>
    <x v="19"/>
    <n v="1"/>
    <x v="1"/>
    <x v="0"/>
    <x v="5"/>
    <n v="14"/>
    <s v="296 K"/>
    <n v="59"/>
    <m/>
    <s v="U"/>
    <m/>
    <d v="1899-12-30T01:05:00"/>
    <d v="1899-12-30T19:00:00"/>
    <s v="JG"/>
    <m/>
    <s v="20140701 JGraham"/>
    <s v="20140702 AStephens"/>
    <s v="x"/>
    <n v="151.755"/>
    <s v="na"/>
    <s v="FWL"/>
    <s v="na"/>
    <s v="na"/>
    <s v="F1845"/>
    <s v="na"/>
    <s v="na"/>
    <s v="na"/>
    <s v="na"/>
    <s v="na"/>
  </r>
  <r>
    <n v="395"/>
    <x v="19"/>
    <n v="1"/>
    <x v="1"/>
    <x v="0"/>
    <x v="5"/>
    <n v="34"/>
    <s v="297 K"/>
    <n v="50"/>
    <m/>
    <s v="U"/>
    <m/>
    <d v="1899-12-30T01:22:00"/>
    <d v="1899-12-30T19:04:00"/>
    <s v="JG"/>
    <m/>
    <s v="20140701 JGraham"/>
    <s v="20140702 AStephens"/>
    <s v="x"/>
    <n v="151.755"/>
    <s v="na"/>
    <s v="FWL"/>
    <s v="na"/>
    <s v="na"/>
    <s v="F1845"/>
    <s v="na"/>
    <s v="na"/>
    <s v="na"/>
    <s v="na"/>
    <s v="na"/>
  </r>
  <r>
    <n v="396"/>
    <x v="19"/>
    <n v="1"/>
    <x v="1"/>
    <x v="0"/>
    <x v="4"/>
    <n v="50"/>
    <s v="298 K"/>
    <n v="61"/>
    <m/>
    <s v="U"/>
    <d v="1899-12-30T19:54:00"/>
    <d v="1899-12-30T00:59:00"/>
    <d v="1899-12-30T19:56:00"/>
    <s v="AS"/>
    <m/>
    <s v="20140701 JGraham"/>
    <s v="20140702 AStephens"/>
    <d v="1899-12-30T00:01:01"/>
    <n v="151.78399999999999"/>
    <s v="na"/>
    <s v="FWL"/>
    <s v="na"/>
    <s v="na"/>
    <s v="F1845"/>
    <s v="na"/>
    <s v="na"/>
    <s v="na"/>
    <s v="na"/>
    <s v="na"/>
  </r>
  <r>
    <n v="397"/>
    <x v="19"/>
    <n v="1"/>
    <x v="1"/>
    <x v="0"/>
    <x v="5"/>
    <n v="4"/>
    <s v="299 K"/>
    <n v="87"/>
    <m/>
    <s v="U"/>
    <d v="1899-12-30T19:54:00"/>
    <d v="1899-12-30T01:25:00"/>
    <d v="1899-12-30T20:03:00"/>
    <s v="AS"/>
    <s v="many scoops, fiesty!"/>
    <s v="20140701 WChallenger"/>
    <s v="20140702 AStephens"/>
    <d v="1899-12-30T00:07:35"/>
    <n v="151.755"/>
    <s v="na"/>
    <s v="FWL"/>
    <s v="na"/>
    <s v="na"/>
    <s v="F1845"/>
    <s v="na"/>
    <s v="na"/>
    <s v="na"/>
    <s v="na"/>
    <s v="na"/>
  </r>
  <r>
    <n v="398"/>
    <x v="19"/>
    <n v="1"/>
    <x v="0"/>
    <x v="2"/>
    <x v="0"/>
    <m/>
    <m/>
    <m/>
    <m/>
    <s v="U"/>
    <m/>
    <m/>
    <d v="1899-12-30T21:14:00"/>
    <s v="AS"/>
    <s v="fell through net, &lt; 20 cm"/>
    <s v="20140701 WChallenger"/>
    <s v="20140702 AStephens"/>
    <s v="x"/>
    <s v="x"/>
    <s v="na"/>
    <s v="FWL"/>
    <s v="na"/>
    <s v="na"/>
    <s v="na"/>
    <s v="na"/>
    <s v="na"/>
    <s v="na"/>
    <s v="na"/>
    <s v="na"/>
  </r>
  <r>
    <n v="399"/>
    <x v="19"/>
    <n v="1"/>
    <x v="1"/>
    <x v="0"/>
    <x v="0"/>
    <m/>
    <m/>
    <m/>
    <m/>
    <s v="U"/>
    <d v="1899-12-30T22:54:00"/>
    <m/>
    <d v="1899-12-30T22:55:00"/>
    <s v="AS"/>
    <s v="slipped off of trough into water"/>
    <s v="20140701 WChallenger"/>
    <s v="20140702 AStephens"/>
    <d v="1899-12-30T00:01:00"/>
    <s v="x"/>
    <s v="na"/>
    <s v="FWL"/>
    <s v="na"/>
    <s v="na"/>
    <s v="na"/>
    <s v="na"/>
    <s v="na"/>
    <s v="na"/>
    <s v="na"/>
    <s v="na"/>
  </r>
  <r>
    <n v="400"/>
    <x v="19"/>
    <n v="1"/>
    <x v="1"/>
    <x v="0"/>
    <x v="5"/>
    <n v="90"/>
    <s v="307 K"/>
    <m/>
    <m/>
    <s v="U"/>
    <d v="1899-12-30T23:26:00"/>
    <d v="1899-12-30T01:40:00"/>
    <d v="1899-12-30T23:28:00"/>
    <s v="WC"/>
    <m/>
    <s v="20140701 WChallenger"/>
    <s v="20140702 AStephens"/>
    <d v="1899-12-30T00:00:20"/>
    <n v="151.755"/>
    <s v="na"/>
    <s v="FWL"/>
    <s v="na"/>
    <s v="na"/>
    <s v="F1845"/>
    <s v="na"/>
    <s v="na"/>
    <s v="na"/>
    <s v="na"/>
    <s v="na"/>
  </r>
  <r>
    <n v="401"/>
    <x v="19"/>
    <n v="2"/>
    <x v="4"/>
    <x v="1"/>
    <x v="0"/>
    <m/>
    <m/>
    <n v="34"/>
    <m/>
    <s v="U"/>
    <m/>
    <d v="1899-12-30T00:30:00"/>
    <s v="22:12"/>
    <s v="AS"/>
    <m/>
    <s v="20140701 AStephens"/>
    <s v="20140702 AStephens"/>
    <s v="x"/>
    <s v="x"/>
    <s v="na"/>
    <s v="FWL"/>
    <s v="na"/>
    <s v="na"/>
    <s v="na"/>
    <s v="na"/>
    <s v="na"/>
    <s v="na"/>
    <s v="na"/>
    <s v="na"/>
  </r>
  <r>
    <n v="402"/>
    <x v="19"/>
    <n v="2"/>
    <x v="1"/>
    <x v="0"/>
    <x v="4"/>
    <n v="88"/>
    <s v="300 K"/>
    <n v="80"/>
    <m/>
    <s v="U"/>
    <m/>
    <d v="1899-12-30T02:10:00"/>
    <s v="22:15"/>
    <s v="AS"/>
    <s v="trough on deck - hard to tag, fish slid into water"/>
    <s v="20140701 AStephens"/>
    <s v="20140702 AStephens"/>
    <s v="x"/>
    <n v="151.78399999999999"/>
    <s v="na"/>
    <s v="FWL"/>
    <s v="na"/>
    <s v="na"/>
    <s v="F1845"/>
    <s v="na"/>
    <s v="na"/>
    <s v="na"/>
    <s v="na"/>
    <s v="na"/>
  </r>
  <r>
    <n v="403"/>
    <x v="19"/>
    <n v="3"/>
    <x v="1"/>
    <x v="0"/>
    <x v="4"/>
    <n v="48"/>
    <s v="255 K"/>
    <n v="65"/>
    <m/>
    <s v="U"/>
    <m/>
    <d v="1899-12-30T01:12:00"/>
    <d v="1899-12-30T06:36:00"/>
    <s v="JK"/>
    <m/>
    <s v="20140701 JKunzler"/>
    <s v="20140702 AStephens"/>
    <s v="x"/>
    <n v="151.78399999999999"/>
    <s v="na"/>
    <s v="FWL"/>
    <s v="na"/>
    <s v="na"/>
    <s v="F1845"/>
    <s v="na"/>
    <s v="na"/>
    <s v="na"/>
    <s v="na"/>
    <s v="na"/>
  </r>
  <r>
    <n v="404"/>
    <x v="19"/>
    <n v="3"/>
    <x v="1"/>
    <x v="0"/>
    <x v="5"/>
    <n v="67"/>
    <s v="256 K"/>
    <n v="84"/>
    <m/>
    <s v="U"/>
    <m/>
    <d v="1899-12-30T01:38:00"/>
    <d v="1899-12-30T06:40:00"/>
    <s v="JK"/>
    <m/>
    <s v="20140701 JKunzler"/>
    <s v="20140702 AStephens"/>
    <s v="x"/>
    <n v="151.755"/>
    <s v="na"/>
    <s v="FWL"/>
    <s v="na"/>
    <s v="na"/>
    <s v="F1845"/>
    <s v="na"/>
    <s v="na"/>
    <s v="na"/>
    <s v="na"/>
    <s v="na"/>
  </r>
  <r>
    <n v="405"/>
    <x v="19"/>
    <n v="3"/>
    <x v="2"/>
    <x v="2"/>
    <x v="0"/>
    <m/>
    <s v="Bulk HW"/>
    <m/>
    <n v="18"/>
    <s v="U"/>
    <m/>
    <d v="1899-12-30T01:00:00"/>
    <d v="1899-12-30T06:46:00"/>
    <s v="JK"/>
    <m/>
    <s v="20140701 JKunzler"/>
    <s v="20140702 AStephens"/>
    <s v="x"/>
    <s v="x"/>
    <s v="na"/>
    <s v="FWL"/>
    <s v="na"/>
    <s v="na"/>
    <s v="na"/>
    <s v="na"/>
    <s v="na"/>
    <s v="na"/>
    <s v="na"/>
    <s v="na"/>
  </r>
  <r>
    <n v="406"/>
    <x v="19"/>
    <n v="3"/>
    <x v="1"/>
    <x v="0"/>
    <x v="4"/>
    <n v="0"/>
    <s v="257 K"/>
    <n v="56"/>
    <m/>
    <s v="U"/>
    <m/>
    <d v="1899-12-30T01:34:00"/>
    <d v="1899-12-30T06:52:00"/>
    <s v="JK"/>
    <m/>
    <s v="20140701 JKunzler"/>
    <s v="20140702 AStephens"/>
    <s v="x"/>
    <n v="151.78399999999999"/>
    <s v="na"/>
    <s v="FWL"/>
    <s v="na"/>
    <s v="na"/>
    <s v="F1845"/>
    <s v="na"/>
    <s v="na"/>
    <s v="na"/>
    <s v="na"/>
    <s v="na"/>
  </r>
  <r>
    <n v="407"/>
    <x v="19"/>
    <n v="3"/>
    <x v="1"/>
    <x v="0"/>
    <x v="5"/>
    <n v="24"/>
    <s v="258 K"/>
    <n v="84"/>
    <m/>
    <s v="U"/>
    <m/>
    <d v="1899-12-30T01:55:00"/>
    <d v="1899-12-30T06:57:00"/>
    <s v="JK"/>
    <m/>
    <s v="20140701 JKunzler"/>
    <s v="20140702 AStephens"/>
    <s v="x"/>
    <n v="151.755"/>
    <s v="na"/>
    <s v="FWL"/>
    <s v="na"/>
    <s v="na"/>
    <s v="F1845"/>
    <s v="na"/>
    <s v="na"/>
    <s v="na"/>
    <s v="na"/>
    <s v="na"/>
  </r>
  <r>
    <n v="408"/>
    <x v="19"/>
    <n v="3"/>
    <x v="1"/>
    <x v="0"/>
    <x v="0"/>
    <m/>
    <m/>
    <n v="74"/>
    <m/>
    <s v="U"/>
    <m/>
    <m/>
    <d v="1899-12-30T07:02:00"/>
    <s v="JK"/>
    <s v="fish jumped out of trough, no tag"/>
    <s v="20140701 JKunzler"/>
    <s v="20140702 AStephens"/>
    <s v="x"/>
    <s v="x"/>
    <s v="na"/>
    <s v="FWL"/>
    <s v="na"/>
    <s v="na"/>
    <s v="na"/>
    <s v="na"/>
    <s v="na"/>
    <s v="na"/>
    <s v="na"/>
    <s v="na"/>
  </r>
  <r>
    <n v="409"/>
    <x v="19"/>
    <n v="3"/>
    <x v="4"/>
    <x v="1"/>
    <x v="3"/>
    <n v="93"/>
    <s v="259 K"/>
    <n v="45"/>
    <m/>
    <s v="U"/>
    <m/>
    <d v="1899-12-30T01:30:00"/>
    <d v="1899-12-30T07:10:00"/>
    <s v="CSj"/>
    <m/>
    <s v="20140701 JKunzler"/>
    <s v="20140702 AStephens"/>
    <s v="x"/>
    <n v="151.917"/>
    <s v="na"/>
    <s v="FWL"/>
    <s v="na"/>
    <s v="na"/>
    <s v="F1835"/>
    <s v="na"/>
    <s v="na"/>
    <s v="na"/>
    <s v="na"/>
    <s v="na"/>
  </r>
  <r>
    <n v="410"/>
    <x v="19"/>
    <n v="3"/>
    <x v="2"/>
    <x v="2"/>
    <x v="0"/>
    <m/>
    <s v="Bulk HW"/>
    <m/>
    <n v="35"/>
    <s v="U"/>
    <m/>
    <d v="1899-12-30T00:40:00"/>
    <d v="1899-12-30T07:14:00"/>
    <s v="CSj"/>
    <m/>
    <s v="20140701 JKunzler"/>
    <s v="20140702 AStephens"/>
    <s v="x"/>
    <s v="x"/>
    <s v="na"/>
    <s v="FWL"/>
    <s v="na"/>
    <s v="na"/>
    <s v="na"/>
    <s v="na"/>
    <s v="na"/>
    <s v="na"/>
    <s v="na"/>
    <s v="na"/>
  </r>
  <r>
    <n v="411"/>
    <x v="19"/>
    <n v="3"/>
    <x v="1"/>
    <x v="0"/>
    <x v="4"/>
    <n v="81"/>
    <s v="281 K"/>
    <n v="76"/>
    <m/>
    <s v="U"/>
    <m/>
    <d v="1899-12-30T01:26:00"/>
    <d v="1899-12-30T07:50:00"/>
    <s v="JK"/>
    <m/>
    <s v="20140701 JKunzler"/>
    <s v="20140702 AStephens"/>
    <s v="x"/>
    <n v="151.78399999999999"/>
    <s v="na"/>
    <s v="FWL"/>
    <s v="na"/>
    <s v="na"/>
    <s v="F1845"/>
    <s v="na"/>
    <s v="na"/>
    <s v="na"/>
    <s v="na"/>
    <s v="na"/>
  </r>
  <r>
    <n v="412"/>
    <x v="19"/>
    <n v="3"/>
    <x v="1"/>
    <x v="0"/>
    <x v="4"/>
    <n v="60"/>
    <s v="282 K"/>
    <n v="62"/>
    <m/>
    <s v="U"/>
    <d v="1899-12-30T08:32:00"/>
    <d v="1899-12-30T01:18:00"/>
    <d v="1899-12-30T08:46:00"/>
    <s v="JK"/>
    <m/>
    <s v="20140701 JKunzler"/>
    <s v="20140702 AStephens"/>
    <d v="1899-12-30T00:12:42"/>
    <n v="151.78399999999999"/>
    <s v="na"/>
    <s v="FWL"/>
    <s v="na"/>
    <s v="na"/>
    <s v="F1845"/>
    <s v="na"/>
    <s v="na"/>
    <s v="na"/>
    <s v="na"/>
    <s v="na"/>
  </r>
  <r>
    <n v="413"/>
    <x v="19"/>
    <n v="3"/>
    <x v="1"/>
    <x v="0"/>
    <x v="5"/>
    <n v="60"/>
    <s v="283 K"/>
    <n v="51"/>
    <m/>
    <s v="U"/>
    <d v="1899-12-30T09:30:00"/>
    <d v="1899-12-30T01:25:00"/>
    <d v="1899-12-30T09:42:00"/>
    <s v="CSj"/>
    <m/>
    <s v="20140701 JKunzler"/>
    <s v="20140702 AStephens"/>
    <d v="1899-12-30T00:10:35"/>
    <n v="151.755"/>
    <s v="na"/>
    <s v="FWL"/>
    <s v="na"/>
    <s v="na"/>
    <s v="F1845"/>
    <s v="na"/>
    <s v="na"/>
    <s v="na"/>
    <s v="na"/>
    <s v="na"/>
  </r>
  <r>
    <n v="414"/>
    <x v="19"/>
    <n v="3"/>
    <x v="4"/>
    <x v="1"/>
    <x v="0"/>
    <m/>
    <m/>
    <n v="35"/>
    <m/>
    <s v="U"/>
    <m/>
    <d v="1899-12-30T00:38:00"/>
    <d v="1899-12-30T10:35:00"/>
    <s v="WC"/>
    <s v="too small to tag"/>
    <s v="20140701 QBerger"/>
    <s v="20140702 AStephens"/>
    <s v="x"/>
    <s v="x"/>
    <s v="na"/>
    <s v="FWL"/>
    <s v="na"/>
    <s v="na"/>
    <s v="na"/>
    <s v="na"/>
    <s v="na"/>
    <s v="na"/>
    <s v="na"/>
    <s v="na"/>
  </r>
  <r>
    <n v="415"/>
    <x v="19"/>
    <n v="3"/>
    <x v="4"/>
    <x v="1"/>
    <x v="0"/>
    <m/>
    <m/>
    <n v="35"/>
    <m/>
    <s v="U"/>
    <d v="1899-12-30T10:45:00"/>
    <d v="1899-12-30T00:35:00"/>
    <d v="1899-12-30T10:46:00"/>
    <s v="WC"/>
    <s v="too small to tag, possible recap of previous fish"/>
    <s v="20140701 QBerger"/>
    <s v="20140702 AStephens"/>
    <d v="1899-12-30T00:00:25"/>
    <s v="x"/>
    <s v="na"/>
    <s v="FWL"/>
    <s v="na"/>
    <s v="na"/>
    <s v="na"/>
    <s v="na"/>
    <s v="na"/>
    <s v="na"/>
    <s v="na"/>
    <s v="na"/>
  </r>
  <r>
    <n v="416"/>
    <x v="19"/>
    <n v="3"/>
    <x v="4"/>
    <x v="1"/>
    <x v="0"/>
    <m/>
    <m/>
    <n v="33"/>
    <m/>
    <s v="U"/>
    <d v="1899-12-30T11:09:00"/>
    <d v="1899-12-30T00:28:00"/>
    <d v="1899-12-30T11:10:00"/>
    <s v="WC"/>
    <s v="too small to tag"/>
    <s v="20140701 QBerger"/>
    <s v="20140702 AStephens"/>
    <d v="1899-12-30T00:00:32"/>
    <s v="x"/>
    <s v="na"/>
    <s v="FWL"/>
    <s v="na"/>
    <s v="na"/>
    <s v="na"/>
    <s v="na"/>
    <s v="na"/>
    <s v="na"/>
    <s v="na"/>
    <s v="na"/>
  </r>
  <r>
    <n v="417"/>
    <x v="19"/>
    <n v="3"/>
    <x v="4"/>
    <x v="1"/>
    <x v="3"/>
    <n v="13"/>
    <s v="284 K"/>
    <n v="49"/>
    <m/>
    <s v="U"/>
    <d v="1899-12-30T11:46:00"/>
    <d v="1899-12-30T01:43:00"/>
    <d v="1899-12-30T12:07:00"/>
    <s v="WC"/>
    <m/>
    <s v="20140701 QBerger"/>
    <s v="20140702 AStephens"/>
    <d v="1899-12-30T00:19:17"/>
    <n v="151.917"/>
    <s v="na"/>
    <s v="FWL"/>
    <s v="na"/>
    <s v="na"/>
    <s v="F1835"/>
    <s v="na"/>
    <s v="na"/>
    <s v="na"/>
    <s v="na"/>
    <s v="na"/>
  </r>
  <r>
    <n v="418"/>
    <x v="19"/>
    <n v="3"/>
    <x v="1"/>
    <x v="0"/>
    <x v="5"/>
    <n v="25"/>
    <s v="285 K"/>
    <n v="99"/>
    <m/>
    <s v="U"/>
    <d v="1899-12-30T12:33:00"/>
    <d v="1899-12-30T01:58:00"/>
    <d v="1899-12-30T12:45:00"/>
    <s v="QB"/>
    <m/>
    <s v="20140701 QBerger"/>
    <s v="20140702 AStephens"/>
    <d v="1899-12-30T00:10:02"/>
    <n v="151.755"/>
    <s v="na"/>
    <s v="FWL"/>
    <s v="na"/>
    <s v="na"/>
    <s v="F1845"/>
    <s v="na"/>
    <s v="na"/>
    <s v="na"/>
    <s v="na"/>
    <s v="na"/>
  </r>
  <r>
    <n v="419"/>
    <x v="19"/>
    <n v="3"/>
    <x v="1"/>
    <x v="0"/>
    <x v="5"/>
    <n v="15"/>
    <s v="286 K"/>
    <n v="63"/>
    <m/>
    <s v="U"/>
    <d v="1899-12-30T13:10:00"/>
    <d v="1899-12-30T01:41:00"/>
    <d v="1899-12-30T13:19:00"/>
    <s v="WC"/>
    <s v="THIS FISH WAS PREVIOUSLY TAGGED AS ID = 333 (WC notice Ax was previously clipped, later found 333's tag in the live tank)"/>
    <s v="20140701 QBerger"/>
    <s v="20140702 AStephens"/>
    <d v="1899-12-30T00:07:19"/>
    <n v="151.755"/>
    <s v="na"/>
    <s v="FWL"/>
    <s v="na"/>
    <s v="na"/>
    <s v="F1845"/>
    <s v="na"/>
    <s v="na"/>
    <s v="na"/>
    <s v="na"/>
    <s v="na"/>
  </r>
  <r>
    <n v="420"/>
    <x v="19"/>
    <n v="3"/>
    <x v="1"/>
    <x v="0"/>
    <x v="5"/>
    <n v="65"/>
    <s v="301 K"/>
    <n v="77"/>
    <m/>
    <s v="U"/>
    <d v="1899-12-30T14:17:00"/>
    <d v="1899-12-30T01:20:00"/>
    <d v="1899-12-30T14:23:00"/>
    <s v="QB"/>
    <m/>
    <s v="20140701 QBerger"/>
    <s v="20140702 AStephens"/>
    <d v="1899-12-30T00:04:40"/>
    <n v="151.755"/>
    <s v="na"/>
    <s v="FWL"/>
    <s v="na"/>
    <s v="na"/>
    <s v="F1845"/>
    <s v="na"/>
    <s v="na"/>
    <s v="na"/>
    <s v="na"/>
    <s v="na"/>
  </r>
  <r>
    <n v="421"/>
    <x v="19"/>
    <n v="3"/>
    <x v="1"/>
    <x v="0"/>
    <x v="5"/>
    <n v="79"/>
    <s v="302 K"/>
    <n v="59"/>
    <m/>
    <s v="U"/>
    <d v="1899-12-30T15:20:00"/>
    <d v="1899-12-30T01:40:00"/>
    <d v="1899-12-30T15:26:00"/>
    <s v="LA"/>
    <m/>
    <s v="20140701 JKunzler"/>
    <s v="20140702 AStephens"/>
    <d v="1899-12-30T00:04:20"/>
    <n v="151.755"/>
    <s v="na"/>
    <s v="FWL"/>
    <s v="na"/>
    <s v="na"/>
    <s v="F1845"/>
    <s v="na"/>
    <s v="na"/>
    <s v="na"/>
    <s v="na"/>
    <s v="na"/>
  </r>
  <r>
    <n v="422"/>
    <x v="19"/>
    <n v="3"/>
    <x v="4"/>
    <x v="1"/>
    <x v="0"/>
    <m/>
    <m/>
    <n v="35"/>
    <m/>
    <s v="U"/>
    <m/>
    <d v="1899-12-30T00:38:00"/>
    <d v="1899-12-30T15:24:00"/>
    <s v="LA"/>
    <s v="too small to tag"/>
    <s v="20140701 JKunzler"/>
    <s v="20140702 AStephens"/>
    <s v="x"/>
    <s v="x"/>
    <s v="na"/>
    <s v="FWL"/>
    <s v="na"/>
    <s v="na"/>
    <s v="na"/>
    <s v="na"/>
    <s v="na"/>
    <s v="na"/>
    <s v="na"/>
    <s v="na"/>
  </r>
  <r>
    <n v="423"/>
    <x v="19"/>
    <n v="3"/>
    <x v="3"/>
    <x v="2"/>
    <x v="0"/>
    <m/>
    <m/>
    <m/>
    <n v="26"/>
    <s v="U"/>
    <m/>
    <d v="1899-12-30T01:00:00"/>
    <d v="1899-12-30T15:29:00"/>
    <s v="LA"/>
    <m/>
    <s v="20140701 JKunzler"/>
    <s v="20140702 AStephens"/>
    <s v="x"/>
    <s v="x"/>
    <s v="na"/>
    <s v="FWL"/>
    <s v="na"/>
    <s v="na"/>
    <s v="na"/>
    <s v="na"/>
    <s v="na"/>
    <s v="na"/>
    <s v="na"/>
    <s v="na"/>
  </r>
  <r>
    <n v="424"/>
    <x v="19"/>
    <n v="3"/>
    <x v="1"/>
    <x v="0"/>
    <x v="4"/>
    <n v="85"/>
    <s v="303 K"/>
    <n v="69"/>
    <m/>
    <s v="U"/>
    <m/>
    <d v="1899-12-30T01:08:00"/>
    <d v="1899-12-30T16:17:00"/>
    <s v="JK"/>
    <m/>
    <s v="20140701 JKunzler"/>
    <s v="20140702 AStephens"/>
    <s v="x"/>
    <n v="151.78399999999999"/>
    <s v="na"/>
    <s v="FWL"/>
    <s v="na"/>
    <s v="na"/>
    <s v="F1845"/>
    <s v="na"/>
    <s v="na"/>
    <s v="na"/>
    <s v="na"/>
    <s v="na"/>
  </r>
  <r>
    <n v="425"/>
    <x v="19"/>
    <n v="3"/>
    <x v="1"/>
    <x v="0"/>
    <x v="4"/>
    <n v="6"/>
    <s v="304 K"/>
    <n v="57"/>
    <m/>
    <s v="U"/>
    <m/>
    <d v="1899-12-30T01:06:00"/>
    <d v="1899-12-30T16:19:00"/>
    <s v="DJ"/>
    <m/>
    <s v="20140701 JKunzler"/>
    <s v="20140702 AStephens"/>
    <s v="x"/>
    <n v="151.78399999999999"/>
    <s v="na"/>
    <s v="FWL"/>
    <s v="na"/>
    <s v="na"/>
    <s v="F1845"/>
    <s v="na"/>
    <s v="na"/>
    <s v="na"/>
    <s v="na"/>
    <s v="na"/>
  </r>
  <r>
    <n v="426"/>
    <x v="19"/>
    <n v="3"/>
    <x v="1"/>
    <x v="0"/>
    <x v="4"/>
    <n v="77"/>
    <s v="305 K"/>
    <n v="64"/>
    <m/>
    <s v="U"/>
    <d v="1899-12-30T17:28:00"/>
    <d v="1899-12-30T00:58:00"/>
    <d v="1899-12-30T17:34:00"/>
    <s v="LA"/>
    <m/>
    <s v="20140701 JKunzler"/>
    <s v="20140702 AStephens"/>
    <d v="1899-12-30T00:05:02"/>
    <n v="151.78399999999999"/>
    <s v="na"/>
    <s v="FWL"/>
    <s v="na"/>
    <s v="na"/>
    <s v="F1845"/>
    <s v="na"/>
    <s v="na"/>
    <s v="na"/>
    <s v="na"/>
    <s v="na"/>
  </r>
  <r>
    <n v="427"/>
    <x v="19"/>
    <n v="3"/>
    <x v="4"/>
    <x v="1"/>
    <x v="0"/>
    <m/>
    <m/>
    <n v="31"/>
    <m/>
    <s v="U"/>
    <m/>
    <d v="1899-12-30T00:36:00"/>
    <d v="1899-12-30T17:37:00"/>
    <s v="LA"/>
    <s v="too small to tag"/>
    <s v="20140701 JKunzler"/>
    <s v="20140702 AStephens"/>
    <s v="x"/>
    <s v="x"/>
    <s v="na"/>
    <s v="FWL"/>
    <s v="na"/>
    <s v="na"/>
    <s v="na"/>
    <s v="na"/>
    <s v="na"/>
    <s v="na"/>
    <s v="na"/>
    <s v="na"/>
  </r>
  <r>
    <n v="428"/>
    <x v="19"/>
    <n v="3"/>
    <x v="1"/>
    <x v="0"/>
    <x v="5"/>
    <n v="7"/>
    <s v="306 K"/>
    <n v="60"/>
    <m/>
    <s v="U"/>
    <m/>
    <d v="1899-12-30T01:10:00"/>
    <d v="1899-12-30T17:42:00"/>
    <s v="DJ"/>
    <m/>
    <s v="20140701 JKunzler"/>
    <s v="20140702 AStephens"/>
    <s v="x"/>
    <n v="151.755"/>
    <s v="na"/>
    <s v="FWL"/>
    <s v="na"/>
    <s v="na"/>
    <s v="F1845"/>
    <s v="na"/>
    <s v="na"/>
    <s v="na"/>
    <s v="na"/>
    <s v="na"/>
  </r>
  <r>
    <n v="429"/>
    <x v="19"/>
    <n v="3"/>
    <x v="1"/>
    <x v="0"/>
    <x v="0"/>
    <m/>
    <m/>
    <m/>
    <m/>
    <s v="U"/>
    <d v="1899-12-30T18:15:00"/>
    <d v="1899-12-30T00:36:00"/>
    <d v="1899-12-30T18:19:00"/>
    <s v="JK"/>
    <s v="hit the deck, released with no info"/>
    <s v="20140701 JKunzler"/>
    <s v="20140702 AStephens"/>
    <d v="1899-12-30T00:03:24"/>
    <s v="x"/>
    <s v="na"/>
    <s v="FWL"/>
    <s v="na"/>
    <s v="na"/>
    <s v="na"/>
    <s v="na"/>
    <s v="na"/>
    <s v="na"/>
    <s v="na"/>
    <s v="na"/>
  </r>
  <r>
    <n v="430"/>
    <x v="19"/>
    <n v="3"/>
    <x v="1"/>
    <x v="0"/>
    <x v="4"/>
    <n v="97"/>
    <s v="314 K"/>
    <n v="79"/>
    <m/>
    <s v="U"/>
    <m/>
    <d v="1899-12-30T01:13:00"/>
    <d v="1899-12-30T19:45:00"/>
    <s v="BK"/>
    <m/>
    <s v="20140701 QBerger"/>
    <s v="20140702 AStephens"/>
    <s v="x"/>
    <n v="151.78399999999999"/>
    <s v="na"/>
    <s v="FWL"/>
    <s v="na"/>
    <s v="na"/>
    <s v="F1845"/>
    <s v="na"/>
    <s v="na"/>
    <s v="na"/>
    <s v="na"/>
    <s v="na"/>
  </r>
  <r>
    <n v="431"/>
    <x v="19"/>
    <n v="3"/>
    <x v="1"/>
    <x v="0"/>
    <x v="4"/>
    <n v="87"/>
    <s v="315 K"/>
    <n v="55"/>
    <m/>
    <s v="U"/>
    <m/>
    <d v="1899-12-30T01:23:00"/>
    <d v="1899-12-30T19:48:00"/>
    <s v="BK"/>
    <m/>
    <s v="20140701 QBerger"/>
    <s v="20140702 AStephens"/>
    <s v="x"/>
    <n v="151.78399999999999"/>
    <s v="na"/>
    <s v="FWL"/>
    <s v="na"/>
    <s v="na"/>
    <s v="F1845"/>
    <s v="na"/>
    <s v="na"/>
    <s v="na"/>
    <s v="na"/>
    <s v="na"/>
  </r>
  <r>
    <n v="432"/>
    <x v="19"/>
    <n v="3"/>
    <x v="1"/>
    <x v="0"/>
    <x v="4"/>
    <n v="96"/>
    <s v="316 K"/>
    <n v="63"/>
    <m/>
    <s v="U"/>
    <m/>
    <d v="1899-12-30T01:19:00"/>
    <d v="1899-12-30T19:54:00"/>
    <s v="QB"/>
    <s v="code illegible, but sleuthed to 96"/>
    <s v="20140701 QBerger"/>
    <s v="20140702 AStephens"/>
    <s v="x"/>
    <n v="151.78399999999999"/>
    <s v="na"/>
    <s v="FWL"/>
    <s v="na"/>
    <s v="na"/>
    <s v="F1845"/>
    <s v="na"/>
    <s v="na"/>
    <s v="na"/>
    <s v="na"/>
    <s v="na"/>
  </r>
  <r>
    <n v="433"/>
    <x v="19"/>
    <n v="3"/>
    <x v="1"/>
    <x v="0"/>
    <x v="5"/>
    <n v="21"/>
    <s v="317 K"/>
    <n v="67"/>
    <m/>
    <s v="U"/>
    <m/>
    <d v="1899-12-30T01:17:00"/>
    <d v="1899-12-30T20:01:00"/>
    <s v="QB"/>
    <m/>
    <s v="20140701 QBerger"/>
    <s v="20140702 AStephens"/>
    <s v="x"/>
    <n v="151.755"/>
    <s v="na"/>
    <s v="FWL"/>
    <s v="na"/>
    <s v="na"/>
    <s v="F1845"/>
    <s v="na"/>
    <s v="na"/>
    <s v="na"/>
    <s v="na"/>
    <s v="na"/>
  </r>
  <r>
    <n v="434"/>
    <x v="19"/>
    <n v="3"/>
    <x v="0"/>
    <x v="2"/>
    <x v="0"/>
    <m/>
    <m/>
    <m/>
    <n v="28"/>
    <s v="U"/>
    <m/>
    <d v="1899-12-30T00:37:00"/>
    <d v="1899-12-30T21:03:00"/>
    <s v="QB"/>
    <m/>
    <s v="20140701 QBerger"/>
    <s v="20140702 AStephens"/>
    <s v="x"/>
    <s v="x"/>
    <s v="na"/>
    <s v="FWL"/>
    <s v="na"/>
    <s v="na"/>
    <s v="na"/>
    <s v="na"/>
    <s v="na"/>
    <s v="na"/>
    <s v="na"/>
    <s v="na"/>
  </r>
  <r>
    <n v="435"/>
    <x v="19"/>
    <n v="3"/>
    <x v="2"/>
    <x v="2"/>
    <x v="0"/>
    <m/>
    <s v="Bulk HW"/>
    <m/>
    <n v="20"/>
    <s v="U"/>
    <m/>
    <d v="1899-12-30T01:20:00"/>
    <d v="1899-12-30T21:05:00"/>
    <s v="QB"/>
    <m/>
    <s v="20140701 QBerger"/>
    <s v="20140702 AStephens"/>
    <s v="x"/>
    <s v="x"/>
    <s v="na"/>
    <s v="FWL"/>
    <s v="na"/>
    <s v="na"/>
    <s v="na"/>
    <s v="na"/>
    <s v="na"/>
    <s v="na"/>
    <s v="na"/>
    <s v="na"/>
  </r>
  <r>
    <n v="436"/>
    <x v="19"/>
    <n v="3"/>
    <x v="1"/>
    <x v="0"/>
    <x v="4"/>
    <n v="49"/>
    <s v="318 K"/>
    <n v="61"/>
    <m/>
    <s v="U"/>
    <m/>
    <d v="1899-12-30T01:19:00"/>
    <d v="1899-12-30T21:10:00"/>
    <s v="BK"/>
    <m/>
    <s v="20140701 QBerger"/>
    <s v="20140702 AStephens"/>
    <s v="x"/>
    <n v="151.78399999999999"/>
    <s v="na"/>
    <s v="FWL"/>
    <s v="na"/>
    <s v="na"/>
    <s v="F1845"/>
    <s v="na"/>
    <s v="na"/>
    <s v="na"/>
    <s v="na"/>
    <s v="na"/>
  </r>
  <r>
    <n v="437"/>
    <x v="19"/>
    <n v="3"/>
    <x v="1"/>
    <x v="0"/>
    <x v="4"/>
    <n v="82"/>
    <s v="319 K"/>
    <n v="63"/>
    <m/>
    <s v="U"/>
    <m/>
    <d v="1899-12-30T02:34:00"/>
    <d v="1899-12-30T22:20:00"/>
    <s v="BK"/>
    <m/>
    <s v="20140701 QBerger"/>
    <s v="20140702 AStephens"/>
    <s v="x"/>
    <n v="151.78399999999999"/>
    <s v="na"/>
    <s v="FWL"/>
    <s v="na"/>
    <s v="na"/>
    <s v="F1845"/>
    <s v="na"/>
    <s v="na"/>
    <s v="na"/>
    <s v="na"/>
    <s v="na"/>
  </r>
  <r>
    <n v="438"/>
    <x v="19"/>
    <n v="3"/>
    <x v="1"/>
    <x v="0"/>
    <x v="5"/>
    <n v="64"/>
    <s v="320 K"/>
    <n v="64"/>
    <m/>
    <s v="U"/>
    <m/>
    <d v="1899-12-30T01:09:00"/>
    <d v="1899-12-30T22:26:00"/>
    <s v="QB"/>
    <m/>
    <s v="20140701 QBerger"/>
    <s v="20140702 AStephens"/>
    <s v="x"/>
    <n v="151.755"/>
    <s v="na"/>
    <s v="FWL"/>
    <s v="na"/>
    <s v="na"/>
    <s v="F1845"/>
    <s v="na"/>
    <s v="na"/>
    <s v="na"/>
    <s v="na"/>
    <s v="na"/>
  </r>
  <r>
    <n v="439"/>
    <x v="19"/>
    <n v="3"/>
    <x v="1"/>
    <x v="0"/>
    <x v="4"/>
    <n v="46"/>
    <s v="321 K"/>
    <n v="68"/>
    <m/>
    <s v="U"/>
    <m/>
    <d v="1899-12-30T01:08:00"/>
    <d v="1899-12-30T22:56:00"/>
    <s v="BK"/>
    <m/>
    <s v="20140701 QBerger"/>
    <s v="20140702 AStephens"/>
    <s v="x"/>
    <n v="151.78399999999999"/>
    <s v="na"/>
    <s v="FWL"/>
    <s v="na"/>
    <s v="na"/>
    <s v="F1845"/>
    <s v="na"/>
    <s v="na"/>
    <s v="na"/>
    <s v="na"/>
    <s v="na"/>
  </r>
  <r>
    <n v="440"/>
    <x v="19"/>
    <n v="3"/>
    <x v="4"/>
    <x v="1"/>
    <x v="0"/>
    <m/>
    <m/>
    <n v="36"/>
    <m/>
    <s v="U"/>
    <m/>
    <d v="1899-12-30T00:40:00"/>
    <d v="1899-12-30T22:15:00"/>
    <s v="BK"/>
    <s v="too small to tag"/>
    <s v="20140701 QBerger"/>
    <s v="20140702 AStephens"/>
    <s v="x"/>
    <s v="x"/>
    <s v="na"/>
    <s v="FWL"/>
    <s v="na"/>
    <s v="na"/>
    <s v="na"/>
    <s v="na"/>
    <s v="na"/>
    <s v="na"/>
    <s v="na"/>
    <s v="na"/>
  </r>
  <r>
    <n v="441"/>
    <x v="19"/>
    <n v="3"/>
    <x v="4"/>
    <x v="1"/>
    <x v="0"/>
    <m/>
    <m/>
    <n v="32"/>
    <m/>
    <s v="U"/>
    <m/>
    <d v="1899-12-30T00:28:00"/>
    <d v="1899-12-30T22:17:00"/>
    <s v="BK"/>
    <s v="too small to tag"/>
    <s v="20140701 QBerger"/>
    <s v="20140702 AStephens"/>
    <s v="x"/>
    <s v="x"/>
    <s v="na"/>
    <s v="FWL"/>
    <s v="na"/>
    <s v="na"/>
    <s v="na"/>
    <s v="na"/>
    <s v="na"/>
    <s v="na"/>
    <s v="na"/>
    <s v="na"/>
  </r>
  <r>
    <n v="442"/>
    <x v="19"/>
    <n v="3"/>
    <x v="1"/>
    <x v="0"/>
    <x v="4"/>
    <n v="35"/>
    <s v="313 K"/>
    <n v="63"/>
    <m/>
    <s v="U"/>
    <d v="1899-12-30T22:12:00"/>
    <d v="1899-12-30T01:10:00"/>
    <s v="23:28"/>
    <s v="QB"/>
    <m/>
    <s v="20140701 QBerger"/>
    <s v="20140702 AStephens"/>
    <d v="1899-12-30T01:14:50"/>
    <n v="151.78399999999999"/>
    <s v="na"/>
    <s v="FWL"/>
    <s v="na"/>
    <s v="na"/>
    <s v="F1845"/>
    <s v="na"/>
    <s v="na"/>
    <s v="na"/>
    <s v="na"/>
    <s v="na"/>
  </r>
  <r>
    <n v="443"/>
    <x v="20"/>
    <n v="1"/>
    <x v="4"/>
    <x v="1"/>
    <x v="3"/>
    <n v="75"/>
    <s v="308 K"/>
    <n v="48"/>
    <m/>
    <s v="U"/>
    <m/>
    <d v="1899-12-30T01:04:00"/>
    <s v="5:40"/>
    <s v="CSj"/>
    <s v="s  "/>
    <s v="20140702 CSejkora"/>
    <s v="20140705 DRobichaud"/>
    <s v="x"/>
    <n v="151.917"/>
    <s v="na"/>
    <s v="FWL"/>
    <s v="na"/>
    <s v="na"/>
    <s v="F1835"/>
    <s v="na"/>
    <s v="na"/>
    <s v="na"/>
    <s v="na"/>
    <s v="na"/>
  </r>
  <r>
    <n v="444"/>
    <x v="20"/>
    <n v="1"/>
    <x v="1"/>
    <x v="0"/>
    <x v="4"/>
    <n v="56"/>
    <s v="309 K"/>
    <n v="61"/>
    <m/>
    <s v="U"/>
    <m/>
    <d v="1899-12-30T01:17:00"/>
    <s v="5:44"/>
    <s v="CSj"/>
    <s v="p"/>
    <s v="20140702 CSejkora"/>
    <s v="20140705 DRobichaud"/>
    <s v="x"/>
    <n v="151.78399999999999"/>
    <s v="na"/>
    <s v="FWL"/>
    <s v="na"/>
    <s v="na"/>
    <s v="F1845"/>
    <s v="na"/>
    <s v="na"/>
    <s v="na"/>
    <s v="na"/>
    <s v="na"/>
  </r>
  <r>
    <n v="445"/>
    <x v="20"/>
    <n v="1"/>
    <x v="4"/>
    <x v="1"/>
    <x v="0"/>
    <m/>
    <m/>
    <n v="41"/>
    <m/>
    <s v="U"/>
    <m/>
    <d v="1899-12-30T00:40:00"/>
    <s v="5:47"/>
    <s v="JG"/>
    <s v="p too small to tag"/>
    <s v="20140702 JGraham"/>
    <s v="20140705 DRobichaud"/>
    <s v="x"/>
    <s v="x"/>
    <s v="na"/>
    <s v="FWL"/>
    <s v="na"/>
    <s v="na"/>
    <s v="na"/>
    <s v="na"/>
    <s v="na"/>
    <s v="na"/>
    <s v="na"/>
    <s v="na"/>
  </r>
  <r>
    <n v="446"/>
    <x v="20"/>
    <n v="1"/>
    <x v="1"/>
    <x v="0"/>
    <x v="5"/>
    <n v="17"/>
    <s v="312 K"/>
    <n v="81"/>
    <m/>
    <s v="U"/>
    <m/>
    <d v="1899-12-30T01:08:00"/>
    <s v="11:17"/>
    <s v="AS"/>
    <m/>
    <s v="20140702 AStephens"/>
    <s v="20140705 DRobichaud"/>
    <s v="x"/>
    <n v="151.755"/>
    <s v="na"/>
    <s v="FWL"/>
    <s v="na"/>
    <s v="na"/>
    <s v="F1845"/>
    <s v="na"/>
    <s v="na"/>
    <s v="na"/>
    <s v="na"/>
    <s v="na"/>
  </r>
  <r>
    <n v="447"/>
    <x v="20"/>
    <n v="1"/>
    <x v="4"/>
    <x v="1"/>
    <x v="0"/>
    <m/>
    <m/>
    <n v="34"/>
    <m/>
    <s v="U"/>
    <m/>
    <d v="1899-12-30T00:30:00"/>
    <s v="11:14"/>
    <s v="AS"/>
    <s v="too small to tag"/>
    <s v="20140702 AStephens"/>
    <s v="20140705 DRobichaud"/>
    <s v="x"/>
    <s v="x"/>
    <s v="na"/>
    <s v="FWL"/>
    <s v="na"/>
    <s v="na"/>
    <s v="na"/>
    <s v="na"/>
    <s v="na"/>
    <s v="na"/>
    <s v="na"/>
    <s v="na"/>
  </r>
  <r>
    <n v="448"/>
    <x v="20"/>
    <n v="1"/>
    <x v="4"/>
    <x v="1"/>
    <x v="0"/>
    <m/>
    <m/>
    <n v="33"/>
    <m/>
    <s v="U"/>
    <m/>
    <d v="1899-12-30T00:19:00"/>
    <s v="13:44"/>
    <s v="AS"/>
    <s v="too small to tag"/>
    <s v="20140702 AStephens"/>
    <s v="20140705 DRobichaud"/>
    <s v="x"/>
    <s v="x"/>
    <s v="na"/>
    <s v="FWL"/>
    <s v="na"/>
    <s v="na"/>
    <s v="na"/>
    <s v="na"/>
    <s v="na"/>
    <s v="na"/>
    <s v="na"/>
    <s v="na"/>
  </r>
  <r>
    <n v="449"/>
    <x v="20"/>
    <n v="1"/>
    <x v="1"/>
    <x v="0"/>
    <x v="5"/>
    <n v="13"/>
    <s v="332 K"/>
    <n v="54"/>
    <m/>
    <s v="U"/>
    <d v="1899-12-30T15:12:00"/>
    <d v="1899-12-30T00:56:00"/>
    <s v="15:41"/>
    <s v="DJ"/>
    <m/>
    <s v="20140702 DJohnson"/>
    <s v="20140705 DRobichaud"/>
    <d v="1899-12-30T00:28:04"/>
    <n v="151.755"/>
    <s v="na"/>
    <s v="FWL"/>
    <s v="na"/>
    <s v="na"/>
    <s v="F1845"/>
    <s v="na"/>
    <s v="na"/>
    <s v="na"/>
    <s v="na"/>
    <s v="na"/>
  </r>
  <r>
    <n v="450"/>
    <x v="20"/>
    <n v="1"/>
    <x v="4"/>
    <x v="1"/>
    <x v="3"/>
    <n v="94"/>
    <s v="334 K"/>
    <n v="40"/>
    <m/>
    <s v="U"/>
    <m/>
    <d v="1899-12-30T01:02:00"/>
    <s v="19:07"/>
    <s v="CSj"/>
    <m/>
    <s v="20140702 DJohnson"/>
    <s v="20140705 DRobichaud"/>
    <s v="x"/>
    <n v="151.917"/>
    <s v="na"/>
    <s v="FWL"/>
    <s v="na"/>
    <s v="na"/>
    <s v="F1835"/>
    <s v="na"/>
    <s v="na"/>
    <s v="na"/>
    <s v="na"/>
    <s v="na"/>
  </r>
  <r>
    <n v="451"/>
    <x v="20"/>
    <n v="1"/>
    <x v="4"/>
    <x v="1"/>
    <x v="0"/>
    <m/>
    <m/>
    <n v="37"/>
    <m/>
    <s v="U"/>
    <m/>
    <d v="1899-12-30T00:48:00"/>
    <s v="19:08"/>
    <s v="CSj"/>
    <s v="too small to tag"/>
    <s v="20140702 DJohnson"/>
    <s v="20140705 DRobichaud"/>
    <s v="x"/>
    <s v="x"/>
    <s v="na"/>
    <s v="FWL"/>
    <s v="na"/>
    <s v="na"/>
    <s v="na"/>
    <s v="na"/>
    <s v="na"/>
    <s v="na"/>
    <s v="na"/>
    <s v="na"/>
  </r>
  <r>
    <n v="452"/>
    <x v="20"/>
    <n v="1"/>
    <x v="9"/>
    <x v="2"/>
    <x v="0"/>
    <m/>
    <m/>
    <m/>
    <n v="36"/>
    <s v="U"/>
    <m/>
    <d v="1899-12-30T00:35:00"/>
    <s v="19:32"/>
    <s v="BK"/>
    <m/>
    <s v="20140702 WChallenger"/>
    <s v="20140705 DRobichaud"/>
    <s v="x"/>
    <s v="x"/>
    <s v="na"/>
    <s v="FWL"/>
    <s v="na"/>
    <s v="na"/>
    <s v="na"/>
    <s v="na"/>
    <s v="na"/>
    <s v="na"/>
    <s v="na"/>
    <s v="na"/>
  </r>
  <r>
    <n v="453"/>
    <x v="20"/>
    <n v="1"/>
    <x v="4"/>
    <x v="1"/>
    <x v="0"/>
    <m/>
    <m/>
    <n v="33"/>
    <m/>
    <s v="U"/>
    <m/>
    <d v="1899-12-30T00:28:00"/>
    <s v="21:16"/>
    <s v="BK"/>
    <s v="too small to tag"/>
    <s v="20140702 WChallenger"/>
    <s v="20140705 DRobichaud"/>
    <s v="x"/>
    <s v="x"/>
    <s v="na"/>
    <s v="FWL"/>
    <s v="na"/>
    <s v="na"/>
    <s v="na"/>
    <s v="na"/>
    <s v="na"/>
    <s v="na"/>
    <s v="na"/>
    <s v="na"/>
  </r>
  <r>
    <n v="454"/>
    <x v="20"/>
    <n v="1"/>
    <x v="0"/>
    <x v="2"/>
    <x v="0"/>
    <m/>
    <m/>
    <m/>
    <n v="21"/>
    <s v="U"/>
    <m/>
    <d v="1899-12-30T00:23:00"/>
    <s v="21:33"/>
    <s v="BK"/>
    <m/>
    <s v="20140702 WChallenger"/>
    <s v="20140705 DRobichaud"/>
    <s v="x"/>
    <s v="x"/>
    <s v="na"/>
    <s v="FWL"/>
    <s v="na"/>
    <s v="na"/>
    <s v="na"/>
    <s v="na"/>
    <s v="na"/>
    <s v="na"/>
    <s v="na"/>
    <s v="na"/>
  </r>
  <r>
    <n v="455"/>
    <x v="20"/>
    <n v="1"/>
    <x v="1"/>
    <x v="0"/>
    <x v="4"/>
    <n v="18"/>
    <s v="337 K"/>
    <n v="74"/>
    <m/>
    <s v="U"/>
    <d v="1899-12-30T10:28:00"/>
    <d v="1899-12-30T01:37:00"/>
    <s v="22:32"/>
    <s v="WC"/>
    <s v="tag took on second attempt"/>
    <s v="20140702 WChallenger"/>
    <s v="20140705 DRobichaud"/>
    <d v="1899-12-30T12:02:23"/>
    <n v="151.78399999999999"/>
    <s v="na"/>
    <s v="FWL"/>
    <s v="na"/>
    <s v="na"/>
    <s v="F1845"/>
    <s v="na"/>
    <s v="na"/>
    <s v="na"/>
    <s v="na"/>
    <s v="na"/>
  </r>
  <r>
    <n v="456"/>
    <x v="20"/>
    <n v="1"/>
    <x v="4"/>
    <x v="1"/>
    <x v="0"/>
    <m/>
    <m/>
    <n v="37"/>
    <m/>
    <s v="U"/>
    <m/>
    <d v="1899-12-30T00:29:00"/>
    <s v="22:33"/>
    <s v="WC"/>
    <s v="too small to tag"/>
    <s v="20140702 WChallenger"/>
    <s v="20140705 DRobichaud"/>
    <s v="x"/>
    <s v="x"/>
    <s v="na"/>
    <s v="FWL"/>
    <s v="na"/>
    <s v="na"/>
    <s v="na"/>
    <s v="na"/>
    <s v="na"/>
    <s v="na"/>
    <s v="na"/>
    <s v="na"/>
  </r>
  <r>
    <n v="457"/>
    <x v="20"/>
    <n v="1"/>
    <x v="4"/>
    <x v="1"/>
    <x v="0"/>
    <m/>
    <m/>
    <n v="29.5"/>
    <m/>
    <s v="U"/>
    <m/>
    <d v="1899-12-30T00:20:00"/>
    <s v="23:23"/>
    <s v="BK"/>
    <s v="very small jack"/>
    <s v="20140702 WChallenger"/>
    <s v="20140705 DRobichaud"/>
    <s v="x"/>
    <s v="x"/>
    <s v="na"/>
    <s v="FWL"/>
    <s v="na"/>
    <s v="na"/>
    <s v="na"/>
    <s v="na"/>
    <s v="na"/>
    <s v="na"/>
    <s v="na"/>
    <s v="na"/>
  </r>
  <r>
    <n v="458"/>
    <x v="20"/>
    <n v="2"/>
    <x v="1"/>
    <x v="0"/>
    <x v="4"/>
    <n v="75"/>
    <s v="310 K"/>
    <n v="80"/>
    <m/>
    <s v="U"/>
    <m/>
    <d v="1899-12-30T01:23:00"/>
    <s v="6:08"/>
    <s v="JG"/>
    <m/>
    <s v="20140702 CSejkora"/>
    <s v="20140705 DRobichaud"/>
    <s v="x"/>
    <n v="151.78399999999999"/>
    <s v="na"/>
    <s v="FWL"/>
    <s v="na"/>
    <s v="na"/>
    <s v="F1845"/>
    <s v="na"/>
    <s v="na"/>
    <s v="na"/>
    <s v="na"/>
    <s v="na"/>
  </r>
  <r>
    <n v="459"/>
    <x v="20"/>
    <n v="2"/>
    <x v="1"/>
    <x v="0"/>
    <x v="4"/>
    <n v="25"/>
    <s v="311 K"/>
    <n v="84"/>
    <m/>
    <s v="U"/>
    <m/>
    <d v="1899-12-30T01:42:00"/>
    <s v="6:15"/>
    <s v="JG"/>
    <s v="Large Chinook"/>
    <s v="20140702 CSejkora"/>
    <s v="20140705 DRobichaud"/>
    <s v="x"/>
    <n v="151.78399999999999"/>
    <s v="na"/>
    <s v="FWL"/>
    <s v="na"/>
    <s v="na"/>
    <s v="F1845"/>
    <s v="na"/>
    <s v="na"/>
    <s v="na"/>
    <s v="na"/>
    <s v="na"/>
  </r>
  <r>
    <n v="460"/>
    <x v="20"/>
    <n v="2"/>
    <x v="4"/>
    <x v="1"/>
    <x v="0"/>
    <m/>
    <m/>
    <n v="36"/>
    <m/>
    <s v="U"/>
    <m/>
    <d v="1899-12-30T00:35:00"/>
    <s v="6:18"/>
    <s v="CSj"/>
    <s v="too small to tag"/>
    <s v="20140702 CSejkora"/>
    <s v="20140705 DRobichaud"/>
    <s v="x"/>
    <s v="x"/>
    <s v="na"/>
    <s v="FWL"/>
    <s v="na"/>
    <s v="na"/>
    <s v="na"/>
    <s v="na"/>
    <s v="na"/>
    <s v="na"/>
    <s v="na"/>
    <s v="na"/>
  </r>
  <r>
    <n v="461"/>
    <x v="20"/>
    <n v="2"/>
    <x v="0"/>
    <x v="2"/>
    <x v="0"/>
    <m/>
    <m/>
    <m/>
    <n v="33"/>
    <s v="U"/>
    <m/>
    <d v="1899-12-30T00:20:00"/>
    <s v="8:27"/>
    <s v="JG"/>
    <m/>
    <s v="20140702 CSejkora"/>
    <s v="20140705 DRobichaud"/>
    <s v="x"/>
    <s v="x"/>
    <s v="na"/>
    <s v="FWL"/>
    <s v="na"/>
    <s v="na"/>
    <s v="na"/>
    <s v="na"/>
    <s v="na"/>
    <s v="na"/>
    <s v="na"/>
    <s v="na"/>
  </r>
  <r>
    <n v="462"/>
    <x v="20"/>
    <n v="2"/>
    <x v="3"/>
    <x v="2"/>
    <x v="0"/>
    <m/>
    <m/>
    <m/>
    <n v="33"/>
    <s v="U"/>
    <m/>
    <d v="1899-12-30T00:35:00"/>
    <s v="10:37"/>
    <s v="AS"/>
    <m/>
    <s v="20140702 AStephens"/>
    <s v="20140705 DRobichaud"/>
    <s v="x"/>
    <s v="x"/>
    <s v="na"/>
    <s v="FWL"/>
    <s v="na"/>
    <s v="na"/>
    <s v="na"/>
    <s v="na"/>
    <s v="na"/>
    <s v="na"/>
    <s v="na"/>
    <s v="na"/>
  </r>
  <r>
    <n v="463"/>
    <x v="20"/>
    <n v="2"/>
    <x v="1"/>
    <x v="0"/>
    <x v="4"/>
    <n v="28"/>
    <s v="333 K"/>
    <n v="61"/>
    <m/>
    <s v="U"/>
    <m/>
    <d v="1899-12-30T01:15:00"/>
    <s v="16:17"/>
    <s v="DJ"/>
    <m/>
    <s v="20140702 JGraham"/>
    <s v="20140705 DRobichaud"/>
    <s v="x"/>
    <n v="151.78399999999999"/>
    <s v="na"/>
    <s v="FWL"/>
    <s v="na"/>
    <s v="na"/>
    <s v="F1845"/>
    <s v="na"/>
    <s v="na"/>
    <s v="na"/>
    <s v="na"/>
    <s v="na"/>
  </r>
  <r>
    <n v="464"/>
    <x v="20"/>
    <n v="2"/>
    <x v="4"/>
    <x v="1"/>
    <x v="0"/>
    <m/>
    <m/>
    <m/>
    <n v="35"/>
    <s v="U"/>
    <m/>
    <d v="1899-12-30T00:30:00"/>
    <s v="18:47"/>
    <s v="CSj"/>
    <s v="too small to tag"/>
    <s v="20140702 JGraham"/>
    <s v="20140705 DRobichaud"/>
    <s v="x"/>
    <s v="x"/>
    <s v="na"/>
    <s v="FWL"/>
    <s v="na"/>
    <s v="na"/>
    <s v="na"/>
    <s v="na"/>
    <s v="na"/>
    <s v="na"/>
    <s v="na"/>
    <s v="na"/>
  </r>
  <r>
    <n v="465"/>
    <x v="20"/>
    <n v="3"/>
    <x v="1"/>
    <x v="0"/>
    <x v="5"/>
    <n v="72"/>
    <s v="322 K"/>
    <n v="59"/>
    <m/>
    <s v="U"/>
    <m/>
    <d v="1899-12-30T01:16:00"/>
    <s v="05:59"/>
    <s v="LA"/>
    <s v="P"/>
    <s v="20140702 LAckein"/>
    <s v="20140705 DRobichaud"/>
    <s v="x"/>
    <n v="151.755"/>
    <s v="na"/>
    <s v="FWL"/>
    <s v="na"/>
    <s v="na"/>
    <s v="F1845"/>
    <s v="na"/>
    <s v="na"/>
    <s v="na"/>
    <s v="na"/>
    <s v="na"/>
  </r>
  <r>
    <n v="466"/>
    <x v="20"/>
    <n v="3"/>
    <x v="1"/>
    <x v="0"/>
    <x v="5"/>
    <n v="58"/>
    <s v="323 K"/>
    <n v="50"/>
    <m/>
    <s v="U"/>
    <m/>
    <d v="1899-12-30T01:18:00"/>
    <s v="06:04"/>
    <s v="LA"/>
    <s v="P"/>
    <s v="20140702 LAckein"/>
    <s v="20140705 DRobichaud"/>
    <s v="x"/>
    <n v="151.755"/>
    <s v="na"/>
    <s v="FWL"/>
    <s v="na"/>
    <s v="na"/>
    <s v="F1845"/>
    <s v="na"/>
    <s v="na"/>
    <s v="na"/>
    <s v="na"/>
    <s v="na"/>
  </r>
  <r>
    <n v="467"/>
    <x v="20"/>
    <n v="3"/>
    <x v="1"/>
    <x v="0"/>
    <x v="4"/>
    <n v="36"/>
    <s v="324 K"/>
    <n v="59"/>
    <m/>
    <s v="U"/>
    <m/>
    <d v="1899-12-30T01:13:00"/>
    <s v="06:07"/>
    <s v="JK"/>
    <s v="S  "/>
    <s v="20140702 LAckein"/>
    <s v="20140705 DRobichaud"/>
    <s v="x"/>
    <n v="151.78399999999999"/>
    <s v="na"/>
    <s v="FWL"/>
    <s v="na"/>
    <s v="na"/>
    <s v="F1845"/>
    <s v="na"/>
    <s v="na"/>
    <s v="na"/>
    <s v="na"/>
    <s v="na"/>
  </r>
  <r>
    <n v="468"/>
    <x v="20"/>
    <n v="3"/>
    <x v="1"/>
    <x v="0"/>
    <x v="4"/>
    <n v="24"/>
    <s v="325 K"/>
    <n v="55"/>
    <m/>
    <s v="U"/>
    <m/>
    <d v="1899-12-30T01:02:00"/>
    <s v="06:10"/>
    <s v="JK"/>
    <s v="S  "/>
    <s v="20140702 LAckein"/>
    <s v="20140705 DRobichaud"/>
    <s v="x"/>
    <n v="151.78399999999999"/>
    <s v="na"/>
    <s v="FWL"/>
    <s v="na"/>
    <s v="na"/>
    <s v="F1845"/>
    <s v="na"/>
    <s v="na"/>
    <s v="na"/>
    <s v="na"/>
    <s v="na"/>
  </r>
  <r>
    <n v="469"/>
    <x v="20"/>
    <n v="3"/>
    <x v="1"/>
    <x v="0"/>
    <x v="5"/>
    <n v="6"/>
    <s v="326 K"/>
    <n v="94"/>
    <m/>
    <s v="U"/>
    <m/>
    <d v="1899-12-30T02:47:00"/>
    <s v="06:15"/>
    <s v="LA"/>
    <s v="S  "/>
    <s v="20140702 LAckein"/>
    <s v="20140705 DRobichaud"/>
    <s v="x"/>
    <n v="151.755"/>
    <s v="na"/>
    <s v="FWL"/>
    <s v="na"/>
    <s v="na"/>
    <s v="F1845"/>
    <s v="na"/>
    <s v="na"/>
    <s v="na"/>
    <s v="na"/>
    <s v="na"/>
  </r>
  <r>
    <n v="470"/>
    <x v="20"/>
    <n v="3"/>
    <x v="1"/>
    <x v="0"/>
    <x v="4"/>
    <n v="68"/>
    <s v="327 K"/>
    <n v="62"/>
    <m/>
    <s v="U"/>
    <m/>
    <d v="1899-12-30T01:02:00"/>
    <s v="6:18"/>
    <s v="DJ"/>
    <s v="S  end night fish"/>
    <s v="20140702 LAckein"/>
    <s v="20140705 DRobichaud"/>
    <s v="x"/>
    <n v="151.78399999999999"/>
    <s v="na"/>
    <s v="FWL"/>
    <s v="na"/>
    <s v="na"/>
    <s v="F1845"/>
    <s v="na"/>
    <s v="na"/>
    <s v="na"/>
    <s v="na"/>
    <s v="na"/>
  </r>
  <r>
    <n v="471"/>
    <x v="20"/>
    <n v="3"/>
    <x v="4"/>
    <x v="1"/>
    <x v="0"/>
    <m/>
    <m/>
    <n v="31"/>
    <m/>
    <s v="U"/>
    <m/>
    <d v="1899-12-30T00:31:00"/>
    <s v="07:06"/>
    <s v="LA"/>
    <s v="too small to tag"/>
    <s v="20140702 LAckein"/>
    <s v="20140705 DRobichaud"/>
    <s v="x"/>
    <s v="x"/>
    <s v="na"/>
    <s v="FWL"/>
    <s v="na"/>
    <s v="na"/>
    <s v="na"/>
    <s v="na"/>
    <s v="na"/>
    <s v="na"/>
    <s v="na"/>
    <s v="na"/>
  </r>
  <r>
    <n v="472"/>
    <x v="20"/>
    <n v="3"/>
    <x v="6"/>
    <x v="2"/>
    <x v="0"/>
    <m/>
    <m/>
    <m/>
    <m/>
    <s v="U"/>
    <m/>
    <m/>
    <s v="07:07"/>
    <s v="LA"/>
    <s v="slipped through net, released"/>
    <s v="20140702 LAckein"/>
    <s v="20140705 DRobichaud"/>
    <s v="x"/>
    <s v="x"/>
    <s v="na"/>
    <s v="FWL"/>
    <s v="na"/>
    <s v="na"/>
    <s v="na"/>
    <s v="na"/>
    <s v="na"/>
    <s v="na"/>
    <s v="na"/>
    <s v="na"/>
  </r>
  <r>
    <n v="473"/>
    <x v="20"/>
    <n v="3"/>
    <x v="4"/>
    <x v="1"/>
    <x v="0"/>
    <m/>
    <m/>
    <n v="36"/>
    <m/>
    <s v="U"/>
    <m/>
    <d v="1899-12-30T00:24:00"/>
    <s v="08:05"/>
    <s v="LA"/>
    <s v="too small for tag"/>
    <s v="20140702 LAckein"/>
    <s v="20140705 DRobichaud"/>
    <s v="x"/>
    <s v="x"/>
    <s v="na"/>
    <s v="FWL"/>
    <s v="na"/>
    <s v="na"/>
    <s v="na"/>
    <s v="na"/>
    <s v="na"/>
    <s v="na"/>
    <s v="na"/>
    <s v="na"/>
  </r>
  <r>
    <n v="474"/>
    <x v="20"/>
    <n v="3"/>
    <x v="4"/>
    <x v="1"/>
    <x v="0"/>
    <m/>
    <m/>
    <n v="32"/>
    <m/>
    <s v="U"/>
    <m/>
    <d v="1899-12-30T00:29:00"/>
    <s v="8:07"/>
    <s v="LA"/>
    <s v="too small for tag"/>
    <s v="20140702 LAckein"/>
    <s v="20140705 DRobichaud"/>
    <s v="x"/>
    <s v="x"/>
    <s v="na"/>
    <s v="FWL"/>
    <s v="na"/>
    <s v="na"/>
    <s v="na"/>
    <s v="na"/>
    <s v="na"/>
    <s v="na"/>
    <s v="na"/>
    <s v="na"/>
  </r>
  <r>
    <n v="475"/>
    <x v="20"/>
    <n v="3"/>
    <x v="1"/>
    <x v="0"/>
    <x v="5"/>
    <n v="87"/>
    <s v="328 K"/>
    <n v="67"/>
    <m/>
    <s v="U"/>
    <m/>
    <d v="1899-12-30T01:05:00"/>
    <s v="09:41"/>
    <s v="DJ"/>
    <m/>
    <s v="20140702 LAckein"/>
    <s v="20140705 DRobichaud"/>
    <s v="x"/>
    <n v="151.755"/>
    <s v="na"/>
    <s v="FWL"/>
    <s v="na"/>
    <s v="na"/>
    <s v="F1845"/>
    <s v="na"/>
    <s v="na"/>
    <s v="na"/>
    <s v="na"/>
    <s v="na"/>
  </r>
  <r>
    <n v="476"/>
    <x v="20"/>
    <n v="3"/>
    <x v="1"/>
    <x v="0"/>
    <x v="5"/>
    <n v="36"/>
    <s v="329 K"/>
    <n v="81"/>
    <m/>
    <s v="F"/>
    <m/>
    <d v="1899-12-30T01:15:00"/>
    <s v="12:46"/>
    <s v="BK"/>
    <m/>
    <s v="20140702 QBerger"/>
    <s v="20140705 DRobichaud"/>
    <s v="x"/>
    <n v="151.755"/>
    <s v="na"/>
    <s v="FWL"/>
    <s v="na"/>
    <s v="na"/>
    <s v="F1845"/>
    <s v="na"/>
    <s v="na"/>
    <s v="na"/>
    <s v="na"/>
    <s v="na"/>
  </r>
  <r>
    <n v="477"/>
    <x v="20"/>
    <n v="3"/>
    <x v="1"/>
    <x v="0"/>
    <x v="5"/>
    <n v="0"/>
    <s v="330 K"/>
    <n v="85"/>
    <m/>
    <s v="U"/>
    <m/>
    <d v="1899-12-30T01:24:00"/>
    <s v="12:52"/>
    <s v="QB"/>
    <m/>
    <s v="20140702 QBerger"/>
    <s v="20140705 DRobichaud"/>
    <s v="x"/>
    <n v="151.755"/>
    <s v="na"/>
    <s v="FWL"/>
    <s v="na"/>
    <s v="na"/>
    <s v="F1845"/>
    <s v="na"/>
    <s v="na"/>
    <s v="na"/>
    <s v="na"/>
    <s v="na"/>
  </r>
  <r>
    <n v="478"/>
    <x v="20"/>
    <n v="3"/>
    <x v="3"/>
    <x v="2"/>
    <x v="0"/>
    <m/>
    <m/>
    <m/>
    <n v="31"/>
    <s v="U"/>
    <m/>
    <d v="1899-12-30T00:47:00"/>
    <s v="13:37"/>
    <s v="BK"/>
    <m/>
    <s v="20140702 QBerger"/>
    <s v="20140705 DRobichaud"/>
    <s v="x"/>
    <s v="x"/>
    <s v="na"/>
    <s v="FWL"/>
    <s v="na"/>
    <s v="na"/>
    <s v="na"/>
    <s v="na"/>
    <s v="na"/>
    <s v="na"/>
    <s v="na"/>
    <s v="na"/>
  </r>
  <r>
    <n v="479"/>
    <x v="20"/>
    <n v="3"/>
    <x v="1"/>
    <x v="0"/>
    <x v="5"/>
    <n v="93"/>
    <s v="331 K"/>
    <n v="64"/>
    <m/>
    <s v="U"/>
    <m/>
    <d v="1899-12-30T01:15:00"/>
    <s v="13:42"/>
    <s v="BK"/>
    <m/>
    <s v="20140702 QBerger"/>
    <s v="20140705 DRobichaud"/>
    <s v="x"/>
    <n v="151.755"/>
    <s v="na"/>
    <s v="FWL"/>
    <s v="na"/>
    <s v="na"/>
    <s v="F1845"/>
    <s v="na"/>
    <s v="na"/>
    <s v="na"/>
    <s v="na"/>
    <s v="na"/>
  </r>
  <r>
    <n v="480"/>
    <x v="20"/>
    <n v="3"/>
    <x v="1"/>
    <x v="0"/>
    <x v="4"/>
    <n v="8"/>
    <s v="342 K"/>
    <n v="61"/>
    <m/>
    <s v="U"/>
    <m/>
    <d v="1899-12-30T01:17:00"/>
    <s v="14:23"/>
    <s v="QB"/>
    <m/>
    <s v="20140702 QBerger"/>
    <s v="20140705 DRobichaud"/>
    <s v="x"/>
    <n v="151.78399999999999"/>
    <s v="na"/>
    <s v="FWL"/>
    <s v="na"/>
    <s v="na"/>
    <s v="F1845"/>
    <s v="na"/>
    <s v="na"/>
    <s v="na"/>
    <s v="na"/>
    <s v="na"/>
  </r>
  <r>
    <n v="481"/>
    <x v="20"/>
    <n v="3"/>
    <x v="1"/>
    <x v="0"/>
    <x v="5"/>
    <n v="3"/>
    <s v="343 K"/>
    <n v="61"/>
    <m/>
    <s v="U"/>
    <m/>
    <d v="1899-12-30T01:14:00"/>
    <s v="16:05"/>
    <s v="LA"/>
    <m/>
    <s v="20140702 DRobichaud"/>
    <s v="20140705 DRobichaud"/>
    <s v="x"/>
    <n v="151.755"/>
    <s v="na"/>
    <s v="FWL"/>
    <s v="na"/>
    <s v="na"/>
    <s v="F1845"/>
    <s v="na"/>
    <s v="na"/>
    <s v="na"/>
    <s v="na"/>
    <s v="na"/>
  </r>
  <r>
    <n v="482"/>
    <x v="20"/>
    <n v="3"/>
    <x v="1"/>
    <x v="0"/>
    <x v="5"/>
    <n v="74"/>
    <s v="344 K"/>
    <n v="58"/>
    <m/>
    <s v="U"/>
    <m/>
    <d v="1899-12-30T01:39:00"/>
    <s v="16:13"/>
    <s v="JK"/>
    <s v="silver"/>
    <s v="20140702 DRobichaud"/>
    <s v="20140705 DRobichaud"/>
    <s v="x"/>
    <n v="151.755"/>
    <s v="na"/>
    <s v="FWL"/>
    <s v="na"/>
    <s v="na"/>
    <s v="F1845"/>
    <s v="na"/>
    <s v="na"/>
    <s v="na"/>
    <s v="na"/>
    <s v="na"/>
  </r>
  <r>
    <n v="483"/>
    <x v="20"/>
    <n v="3"/>
    <x v="1"/>
    <x v="0"/>
    <x v="4"/>
    <n v="29"/>
    <s v="346 K"/>
    <n v="79"/>
    <m/>
    <s v="U"/>
    <d v="1899-12-30T18:19:00"/>
    <d v="1899-12-30T01:46:00"/>
    <s v="18:32"/>
    <s v="LA"/>
    <s v="snaggle teeth"/>
    <s v="20140702 DRobichaud"/>
    <s v="20140705 DRobichaud"/>
    <d v="1899-12-30T00:11:14"/>
    <n v="151.78399999999999"/>
    <s v="na"/>
    <s v="FWL"/>
    <s v="na"/>
    <s v="na"/>
    <s v="F1845"/>
    <s v="na"/>
    <s v="na"/>
    <s v="na"/>
    <s v="na"/>
    <s v="na"/>
  </r>
  <r>
    <n v="484"/>
    <x v="20"/>
    <n v="3"/>
    <x v="1"/>
    <x v="0"/>
    <x v="4"/>
    <n v="37"/>
    <s v="345 K"/>
    <n v="54"/>
    <m/>
    <s v="U"/>
    <d v="1899-12-30T18:21:00"/>
    <d v="1899-12-30T01:07:00"/>
    <s v="18:26"/>
    <s v="JK"/>
    <s v="silvery"/>
    <s v="20140702 DRobichaud"/>
    <s v="20140705 DRobichaud"/>
    <d v="1899-12-30T00:03:53"/>
    <n v="151.78399999999999"/>
    <s v="na"/>
    <s v="FWL"/>
    <s v="na"/>
    <s v="na"/>
    <s v="F1845"/>
    <s v="na"/>
    <s v="na"/>
    <s v="na"/>
    <s v="na"/>
    <s v="na"/>
  </r>
  <r>
    <n v="485"/>
    <x v="20"/>
    <n v="3"/>
    <x v="0"/>
    <x v="2"/>
    <x v="0"/>
    <m/>
    <m/>
    <m/>
    <n v="21"/>
    <s v="U"/>
    <d v="1899-12-30T18:34:00"/>
    <d v="1899-12-30T01:03:00"/>
    <s v="18:35"/>
    <s v="DR"/>
    <m/>
    <s v="20140702 DRobichaud"/>
    <s v="20140705 DRobichaud"/>
    <d v="1899-12-30T00:00:00"/>
    <s v="x"/>
    <s v="na"/>
    <s v="FWL"/>
    <s v="na"/>
    <s v="na"/>
    <s v="na"/>
    <s v="na"/>
    <s v="na"/>
    <s v="na"/>
    <s v="na"/>
    <s v="na"/>
  </r>
  <r>
    <n v="486"/>
    <x v="20"/>
    <n v="3"/>
    <x v="4"/>
    <x v="1"/>
    <x v="0"/>
    <m/>
    <m/>
    <n v="29"/>
    <m/>
    <s v="U"/>
    <d v="1899-12-30T18:50:00"/>
    <d v="1899-12-30T00:32:00"/>
    <s v="18:53"/>
    <s v="JK"/>
    <s v="too small to tag"/>
    <s v="20140702 DRobichaud"/>
    <s v="20140705 DRobichaud"/>
    <d v="1899-12-30T00:02:28"/>
    <s v="x"/>
    <s v="na"/>
    <s v="FWL"/>
    <s v="na"/>
    <s v="na"/>
    <s v="na"/>
    <s v="na"/>
    <s v="na"/>
    <s v="na"/>
    <s v="na"/>
    <s v="na"/>
  </r>
  <r>
    <n v="487"/>
    <x v="20"/>
    <n v="3"/>
    <x v="4"/>
    <x v="1"/>
    <x v="3"/>
    <n v="88"/>
    <s v="347 K"/>
    <n v="47"/>
    <m/>
    <s v="U"/>
    <m/>
    <d v="1899-12-30T01:22:00"/>
    <s v="19:31"/>
    <s v="DR"/>
    <m/>
    <s v="20140702 DRobichaud"/>
    <s v="20140705 DRobichaud"/>
    <s v="x"/>
    <n v="151.917"/>
    <s v="na"/>
    <s v="FWL"/>
    <s v="na"/>
    <s v="na"/>
    <s v="F1835"/>
    <s v="na"/>
    <s v="na"/>
    <s v="na"/>
    <s v="na"/>
    <s v="na"/>
  </r>
  <r>
    <n v="488"/>
    <x v="20"/>
    <n v="3"/>
    <x v="1"/>
    <x v="0"/>
    <x v="4"/>
    <n v="47"/>
    <s v="348 K"/>
    <n v="62"/>
    <m/>
    <s v="U"/>
    <d v="1899-12-30T20:02:00"/>
    <d v="1899-12-30T01:22:00"/>
    <s v="20:06"/>
    <s v="QB"/>
    <m/>
    <s v="20140702 DRobichaud"/>
    <s v="20140705 DRobichaud"/>
    <d v="1899-12-30T00:02:38"/>
    <n v="151.78399999999999"/>
    <s v="na"/>
    <s v="FWL"/>
    <s v="na"/>
    <s v="na"/>
    <s v="F1845"/>
    <s v="na"/>
    <s v="na"/>
    <s v="na"/>
    <s v="na"/>
    <s v="na"/>
  </r>
  <r>
    <n v="489"/>
    <x v="21"/>
    <n v="1"/>
    <x v="1"/>
    <x v="0"/>
    <x v="4"/>
    <n v="23"/>
    <s v="335 K"/>
    <n v="55"/>
    <m/>
    <s v="U"/>
    <m/>
    <d v="1899-12-30T01:07:00"/>
    <s v="7:10"/>
    <s v="JG"/>
    <m/>
    <s v="20140703 JGraham"/>
    <s v="20140705 DRobichaud"/>
    <s v="x"/>
    <n v="151.78399999999999"/>
    <s v="na"/>
    <s v="FWL"/>
    <s v="na"/>
    <s v="na"/>
    <s v="F1845"/>
    <s v="na"/>
    <s v="na"/>
    <s v="na"/>
    <s v="na"/>
    <s v="na"/>
  </r>
  <r>
    <n v="490"/>
    <x v="21"/>
    <n v="1"/>
    <x v="4"/>
    <x v="1"/>
    <x v="0"/>
    <m/>
    <m/>
    <n v="34"/>
    <m/>
    <s v="U"/>
    <m/>
    <d v="1899-12-30T00:28:00"/>
    <s v="11:23"/>
    <s v="WC"/>
    <s v="too small to tag"/>
    <s v="20140703 QBerger "/>
    <s v="20140705 DRobichaud"/>
    <s v="x"/>
    <s v="x"/>
    <s v="na"/>
    <s v="FWL"/>
    <s v="na"/>
    <s v="na"/>
    <s v="na"/>
    <s v="na"/>
    <s v="na"/>
    <s v="na"/>
    <s v="na"/>
    <s v="na"/>
  </r>
  <r>
    <n v="491"/>
    <x v="21"/>
    <n v="1"/>
    <x v="4"/>
    <x v="1"/>
    <x v="0"/>
    <m/>
    <m/>
    <n v="34"/>
    <m/>
    <s v="U"/>
    <m/>
    <d v="1899-12-30T00:25:00"/>
    <s v="13:01"/>
    <s v="QB"/>
    <s v="too small to tag"/>
    <s v="20140703 QBerger "/>
    <s v="20140705 DRobichaud"/>
    <s v="x"/>
    <s v="x"/>
    <s v="na"/>
    <s v="FWL"/>
    <s v="na"/>
    <s v="na"/>
    <s v="na"/>
    <s v="na"/>
    <s v="na"/>
    <s v="na"/>
    <s v="na"/>
    <s v="na"/>
  </r>
  <r>
    <n v="492"/>
    <x v="21"/>
    <n v="1"/>
    <x v="3"/>
    <x v="2"/>
    <x v="0"/>
    <m/>
    <m/>
    <m/>
    <n v="22"/>
    <s v="U"/>
    <m/>
    <d v="1899-12-30T00:31:00"/>
    <s v="13:02"/>
    <s v="QB"/>
    <m/>
    <s v="20140703 QBerger "/>
    <s v="20140705 DRobichaud"/>
    <s v="x"/>
    <s v="x"/>
    <s v="na"/>
    <s v="FWL"/>
    <s v="na"/>
    <s v="na"/>
    <s v="na"/>
    <s v="na"/>
    <s v="na"/>
    <s v="na"/>
    <s v="na"/>
    <s v="na"/>
  </r>
  <r>
    <n v="493"/>
    <x v="21"/>
    <n v="1"/>
    <x v="4"/>
    <x v="1"/>
    <x v="0"/>
    <m/>
    <m/>
    <n v="34"/>
    <m/>
    <s v="U"/>
    <m/>
    <d v="1899-12-30T00:29:00"/>
    <s v="13:03"/>
    <s v="QB"/>
    <s v="too small to tag"/>
    <s v="20140703 QBerger "/>
    <s v="20140705 DRobichaud"/>
    <s v="x"/>
    <s v="x"/>
    <s v="na"/>
    <s v="FWL"/>
    <s v="na"/>
    <s v="na"/>
    <s v="na"/>
    <s v="na"/>
    <s v="na"/>
    <s v="na"/>
    <s v="na"/>
    <s v="na"/>
  </r>
  <r>
    <n v="494"/>
    <x v="21"/>
    <n v="1"/>
    <x v="1"/>
    <x v="0"/>
    <x v="4"/>
    <n v="92"/>
    <s v="338 K"/>
    <n v="82"/>
    <m/>
    <s v="U"/>
    <m/>
    <d v="1899-12-30T01:47:00"/>
    <s v="16:57"/>
    <s v="LA"/>
    <m/>
    <s v="20140703 EGora"/>
    <s v="20140705 DRobichaud"/>
    <s v="x"/>
    <n v="151.78399999999999"/>
    <s v="na"/>
    <s v="FWL"/>
    <s v="na"/>
    <s v="na"/>
    <s v="F1845"/>
    <s v="na"/>
    <s v="na"/>
    <s v="na"/>
    <s v="na"/>
    <s v="na"/>
  </r>
  <r>
    <n v="495"/>
    <x v="21"/>
    <n v="1"/>
    <x v="1"/>
    <x v="0"/>
    <x v="4"/>
    <n v="31"/>
    <s v="339 K"/>
    <n v="77"/>
    <m/>
    <s v="U"/>
    <m/>
    <d v="1899-12-30T01:19:00"/>
    <s v="17:39"/>
    <s v="JG"/>
    <m/>
    <s v="20140703 EGora"/>
    <s v="20140705 DRobichaud"/>
    <s v="x"/>
    <n v="151.78399999999999"/>
    <s v="na"/>
    <s v="FWL"/>
    <s v="na"/>
    <s v="na"/>
    <s v="F1845"/>
    <s v="na"/>
    <s v="na"/>
    <s v="na"/>
    <s v="na"/>
    <s v="na"/>
  </r>
  <r>
    <n v="496"/>
    <x v="21"/>
    <n v="1"/>
    <x v="4"/>
    <x v="1"/>
    <x v="0"/>
    <m/>
    <m/>
    <n v="37"/>
    <m/>
    <s v="U"/>
    <m/>
    <d v="1899-12-30T00:26:00"/>
    <s v="21:27"/>
    <s v="JK"/>
    <s v="too small to tag"/>
    <s v="20140703 JKunzler"/>
    <s v="20140705 DRobichaud"/>
    <s v="x"/>
    <s v="x"/>
    <s v="na"/>
    <s v="FWL"/>
    <s v="na"/>
    <s v="na"/>
    <s v="na"/>
    <s v="na"/>
    <s v="na"/>
    <s v="na"/>
    <s v="na"/>
    <s v="na"/>
  </r>
  <r>
    <n v="497"/>
    <x v="21"/>
    <n v="1"/>
    <x v="7"/>
    <x v="0"/>
    <x v="6"/>
    <n v="99"/>
    <s v="2 S"/>
    <n v="42"/>
    <m/>
    <s v="U"/>
    <m/>
    <d v="1899-12-30T01:14:00"/>
    <s v="21:25"/>
    <s v="AS"/>
    <m/>
    <s v="20140703 JKunzler"/>
    <s v="20140705 DRobichaud"/>
    <s v="x"/>
    <n v="151.57300000000001"/>
    <s v="na"/>
    <s v="FWL"/>
    <s v="na"/>
    <s v="na"/>
    <s v="F1840"/>
    <s v="na"/>
    <s v="na"/>
    <s v="na"/>
    <s v="na"/>
    <s v="na"/>
  </r>
  <r>
    <n v="498"/>
    <x v="21"/>
    <n v="2"/>
    <x v="1"/>
    <x v="0"/>
    <x v="4"/>
    <n v="38"/>
    <s v="336 K"/>
    <n v="65"/>
    <m/>
    <s v="U"/>
    <m/>
    <d v="1899-12-30T01:24:00"/>
    <s v="11:08"/>
    <s v="WC"/>
    <m/>
    <s v="20140703 QBerger "/>
    <s v="20140705 DRobichaud"/>
    <s v="x"/>
    <n v="151.78399999999999"/>
    <s v="na"/>
    <s v="FWL"/>
    <s v="na"/>
    <s v="na"/>
    <s v="F1845"/>
    <s v="na"/>
    <s v="na"/>
    <s v="na"/>
    <s v="na"/>
    <s v="na"/>
  </r>
  <r>
    <n v="499"/>
    <x v="21"/>
    <n v="2"/>
    <x v="9"/>
    <x v="2"/>
    <x v="0"/>
    <m/>
    <m/>
    <m/>
    <n v="22"/>
    <s v="U"/>
    <m/>
    <d v="1899-12-30T00:27:00"/>
    <s v="14:11"/>
    <s v="BK"/>
    <s v="arctic grayling"/>
    <s v="20140703 QBerger "/>
    <s v="20140705 DRobichaud"/>
    <s v="x"/>
    <s v="x"/>
    <s v="na"/>
    <s v="FWL"/>
    <s v="na"/>
    <s v="na"/>
    <s v="na"/>
    <s v="na"/>
    <s v="na"/>
    <s v="na"/>
    <s v="na"/>
    <s v="na"/>
  </r>
  <r>
    <n v="500"/>
    <x v="21"/>
    <n v="2"/>
    <x v="4"/>
    <x v="1"/>
    <x v="0"/>
    <m/>
    <m/>
    <n v="31"/>
    <m/>
    <s v="U"/>
    <m/>
    <d v="1899-12-30T00:24:00"/>
    <s v="14:13"/>
    <s v="BK"/>
    <s v="too small to tag"/>
    <s v="20140703 QBerger "/>
    <s v="20140705 DRobichaud"/>
    <s v="x"/>
    <s v="x"/>
    <s v="na"/>
    <s v="FWL"/>
    <s v="na"/>
    <s v="na"/>
    <s v="na"/>
    <s v="na"/>
    <s v="na"/>
    <s v="na"/>
    <s v="na"/>
    <s v="na"/>
  </r>
  <r>
    <n v="501"/>
    <x v="21"/>
    <n v="2"/>
    <x v="4"/>
    <x v="1"/>
    <x v="0"/>
    <m/>
    <m/>
    <n v="37"/>
    <m/>
    <s v="U"/>
    <d v="1899-12-30T14:12:00"/>
    <d v="1899-12-30T00:21:00"/>
    <s v="14:14"/>
    <s v="BK"/>
    <s v="too small to tag"/>
    <s v="20140703 QBerger "/>
    <s v="20140705 DRobichaud"/>
    <d v="1899-12-30T00:01:39"/>
    <s v="x"/>
    <s v="na"/>
    <s v="FWL"/>
    <s v="na"/>
    <s v="na"/>
    <s v="na"/>
    <s v="na"/>
    <s v="na"/>
    <s v="na"/>
    <s v="na"/>
    <s v="na"/>
  </r>
  <r>
    <n v="502"/>
    <x v="21"/>
    <n v="2"/>
    <x v="1"/>
    <x v="0"/>
    <x v="4"/>
    <n v="94"/>
    <s v="340 K"/>
    <n v="82"/>
    <m/>
    <s v="U"/>
    <m/>
    <d v="1899-12-30T01:23:00"/>
    <s v="23:49"/>
    <s v="AS"/>
    <s v="wheel was only fishing half way down and still caught a fish."/>
    <s v="20140703 AStephens"/>
    <s v="20140705 DRobichaud"/>
    <s v="x"/>
    <n v="151.78399999999999"/>
    <s v="na"/>
    <s v="FWL"/>
    <s v="na"/>
    <s v="na"/>
    <s v="F1845"/>
    <s v="na"/>
    <s v="na"/>
    <s v="na"/>
    <s v="na"/>
    <s v="na"/>
  </r>
  <r>
    <n v="503"/>
    <x v="21"/>
    <n v="3"/>
    <x v="1"/>
    <x v="0"/>
    <x v="4"/>
    <n v="21"/>
    <s v="349 K"/>
    <n v="98"/>
    <m/>
    <s v="U"/>
    <m/>
    <d v="1899-12-30T01:58:00"/>
    <s v="07:45"/>
    <s v="LA"/>
    <m/>
    <s v="20140703 LAckein"/>
    <s v="20140705 DRobichaud"/>
    <s v="x"/>
    <n v="151.78399999999999"/>
    <s v="na"/>
    <s v="FWL"/>
    <s v="na"/>
    <s v="na"/>
    <s v="F1845"/>
    <s v="na"/>
    <s v="na"/>
    <s v="na"/>
    <s v="na"/>
    <s v="na"/>
  </r>
  <r>
    <n v="504"/>
    <x v="21"/>
    <n v="3"/>
    <x v="1"/>
    <x v="0"/>
    <x v="4"/>
    <n v="89"/>
    <s v="350 K"/>
    <n v="92"/>
    <m/>
    <s v="U"/>
    <m/>
    <d v="1899-12-30T02:25:00"/>
    <s v="07:51"/>
    <s v="DJ"/>
    <m/>
    <s v="20140703 LAckein"/>
    <s v="20140705 DRobichaud"/>
    <s v="x"/>
    <n v="151.78399999999999"/>
    <s v="na"/>
    <s v="FWL"/>
    <s v="na"/>
    <s v="na"/>
    <s v="F1845"/>
    <s v="na"/>
    <s v="na"/>
    <s v="na"/>
    <s v="na"/>
    <s v="na"/>
  </r>
  <r>
    <n v="505"/>
    <x v="21"/>
    <n v="3"/>
    <x v="1"/>
    <x v="0"/>
    <x v="0"/>
    <m/>
    <m/>
    <n v="65"/>
    <m/>
    <s v="U"/>
    <d v="1899-12-30T07:51:00"/>
    <d v="1899-12-30T01:20:00"/>
    <s v="7:57"/>
    <s v="LA"/>
    <s v="hit the deck, released. No tag."/>
    <s v="20140703 LAckein"/>
    <s v="20140705 DRobichaud"/>
    <d v="1899-12-30T00:04:40"/>
    <s v="x"/>
    <s v="na"/>
    <s v="FWL"/>
    <s v="na"/>
    <s v="na"/>
    <s v="na"/>
    <s v="na"/>
    <s v="na"/>
    <s v="na"/>
    <s v="na"/>
    <s v="na"/>
  </r>
  <r>
    <n v="506"/>
    <x v="21"/>
    <n v="3"/>
    <x v="1"/>
    <x v="0"/>
    <x v="5"/>
    <n v="57"/>
    <s v="351 K"/>
    <n v="58"/>
    <m/>
    <s v="U"/>
    <m/>
    <d v="1899-12-30T01:07:00"/>
    <s v="13:33"/>
    <s v="JK"/>
    <m/>
    <s v="20140703 JKunzler"/>
    <s v="20140705 DRobichaud"/>
    <s v="x"/>
    <n v="151.755"/>
    <s v="na"/>
    <s v="FWL"/>
    <s v="na"/>
    <s v="na"/>
    <s v="F1845"/>
    <s v="na"/>
    <s v="na"/>
    <s v="na"/>
    <s v="na"/>
    <s v="na"/>
  </r>
  <r>
    <n v="507"/>
    <x v="21"/>
    <n v="3"/>
    <x v="1"/>
    <x v="0"/>
    <x v="5"/>
    <n v="44"/>
    <s v="352 K"/>
    <n v="56"/>
    <m/>
    <s v="U"/>
    <d v="1899-12-30T13:34:00"/>
    <d v="1899-12-30T01:31:00"/>
    <s v="13:39"/>
    <s v="JK"/>
    <m/>
    <s v="20140703 JKunzler"/>
    <s v="20140705 DRobichaud"/>
    <d v="1899-12-30T00:03:29"/>
    <n v="151.755"/>
    <s v="na"/>
    <s v="FWL"/>
    <s v="na"/>
    <s v="na"/>
    <s v="F1845"/>
    <s v="na"/>
    <s v="na"/>
    <s v="na"/>
    <s v="na"/>
    <s v="na"/>
  </r>
  <r>
    <n v="508"/>
    <x v="21"/>
    <n v="3"/>
    <x v="1"/>
    <x v="0"/>
    <x v="4"/>
    <n v="86"/>
    <s v="353 K"/>
    <n v="54"/>
    <m/>
    <s v="U"/>
    <m/>
    <d v="1899-12-30T01:30:00"/>
    <s v="16:15"/>
    <s v="DJ"/>
    <m/>
    <s v="20140703 CSejkora"/>
    <s v="20140705 DRobichaud"/>
    <s v="x"/>
    <n v="151.78399999999999"/>
    <s v="na"/>
    <s v="FWL"/>
    <s v="na"/>
    <s v="na"/>
    <s v="F1845"/>
    <s v="na"/>
    <s v="na"/>
    <s v="na"/>
    <s v="na"/>
    <s v="na"/>
  </r>
  <r>
    <n v="509"/>
    <x v="21"/>
    <n v="3"/>
    <x v="1"/>
    <x v="0"/>
    <x v="4"/>
    <n v="70"/>
    <s v="354 K"/>
    <n v="60"/>
    <m/>
    <s v="U"/>
    <m/>
    <d v="1899-12-30T01:06:00"/>
    <s v="16:20"/>
    <s v="DJ"/>
    <m/>
    <s v="20140703 CSejkora"/>
    <s v="20140705 DRobichaud"/>
    <s v="x"/>
    <n v="151.78399999999999"/>
    <s v="na"/>
    <s v="FWL"/>
    <s v="na"/>
    <s v="na"/>
    <s v="F1845"/>
    <s v="na"/>
    <s v="na"/>
    <s v="na"/>
    <s v="na"/>
    <s v="na"/>
  </r>
  <r>
    <n v="510"/>
    <x v="21"/>
    <n v="3"/>
    <x v="1"/>
    <x v="0"/>
    <x v="5"/>
    <n v="35"/>
    <s v="355 K"/>
    <n v="74"/>
    <m/>
    <s v="U"/>
    <m/>
    <d v="1899-12-30T01:11:00"/>
    <s v="19:24"/>
    <s v="BK"/>
    <m/>
    <s v="20140703 BKalb"/>
    <s v="20140705 DRobichaud"/>
    <s v="x"/>
    <n v="151.755"/>
    <s v="na"/>
    <s v="FWL"/>
    <s v="na"/>
    <s v="na"/>
    <s v="F1845"/>
    <s v="na"/>
    <s v="na"/>
    <s v="na"/>
    <s v="na"/>
    <s v="na"/>
  </r>
  <r>
    <n v="511"/>
    <x v="21"/>
    <n v="3"/>
    <x v="1"/>
    <x v="0"/>
    <x v="5"/>
    <n v="8"/>
    <s v="356 K"/>
    <n v="84"/>
    <m/>
    <s v="M"/>
    <d v="1899-12-30T19:51:00"/>
    <d v="1899-12-30T01:11:00"/>
    <s v="19:59"/>
    <s v="QB"/>
    <m/>
    <s v="20140703 BKalb"/>
    <s v="20140705 DRobichaud"/>
    <d v="1899-12-30T00:06:49"/>
    <n v="151.755"/>
    <s v="na"/>
    <s v="FWL"/>
    <s v="na"/>
    <s v="na"/>
    <s v="F1845"/>
    <s v="na"/>
    <s v="na"/>
    <s v="na"/>
    <s v="na"/>
    <s v="na"/>
  </r>
  <r>
    <n v="512"/>
    <x v="21"/>
    <n v="3"/>
    <x v="1"/>
    <x v="0"/>
    <x v="5"/>
    <n v="52"/>
    <s v="357 K"/>
    <n v="69"/>
    <m/>
    <s v="U"/>
    <d v="1899-12-30T20:36:00"/>
    <d v="1899-12-30T01:27:00"/>
    <s v="20:41"/>
    <s v="BK"/>
    <m/>
    <s v="20140703 BKalb"/>
    <s v="20140705 DRobichaud"/>
    <d v="1899-12-30T00:03:33"/>
    <n v="151.755"/>
    <s v="na"/>
    <s v="FWL"/>
    <s v="na"/>
    <s v="na"/>
    <s v="F1845"/>
    <s v="na"/>
    <s v="na"/>
    <s v="na"/>
    <s v="na"/>
    <s v="na"/>
  </r>
  <r>
    <n v="513"/>
    <x v="21"/>
    <n v="3"/>
    <x v="4"/>
    <x v="1"/>
    <x v="0"/>
    <m/>
    <m/>
    <n v="29"/>
    <m/>
    <s v="M"/>
    <m/>
    <d v="1899-12-30T00:29:00"/>
    <s v="21:18"/>
    <s v="BK"/>
    <s v="too small to tag"/>
    <s v="20140703 BKalb"/>
    <s v="20140705 DRobichaud"/>
    <s v="x"/>
    <s v="x"/>
    <s v="na"/>
    <s v="FWL"/>
    <s v="na"/>
    <s v="na"/>
    <s v="na"/>
    <s v="na"/>
    <s v="na"/>
    <s v="na"/>
    <s v="na"/>
    <s v="na"/>
  </r>
  <r>
    <n v="514"/>
    <x v="22"/>
    <n v="1"/>
    <x v="4"/>
    <x v="1"/>
    <x v="3"/>
    <n v="34"/>
    <s v="341 K"/>
    <n v="48"/>
    <m/>
    <s v="U"/>
    <m/>
    <d v="1899-12-30T01:33:00"/>
    <s v="06:27"/>
    <s v="LA"/>
    <m/>
    <s v="20140704 LAckein"/>
    <s v="20140707LFerreira"/>
    <s v="x"/>
    <n v="151.917"/>
    <s v="na"/>
    <s v="FWL"/>
    <s v="na"/>
    <s v="na"/>
    <s v="F1835"/>
    <s v="na"/>
    <s v="na"/>
    <s v="na"/>
    <s v="na"/>
    <s v="na"/>
  </r>
  <r>
    <n v="515"/>
    <x v="22"/>
    <n v="1"/>
    <x v="4"/>
    <x v="1"/>
    <x v="3"/>
    <n v="72"/>
    <s v="363 K"/>
    <n v="47"/>
    <m/>
    <s v="U"/>
    <m/>
    <d v="1899-12-30T01:39:00"/>
    <s v="14:59"/>
    <s v="LA"/>
    <m/>
    <s v="20140704 JBerry"/>
    <s v="20140707LFerreira"/>
    <s v="x"/>
    <n v="151.917"/>
    <s v="na"/>
    <s v="FWL"/>
    <s v="na"/>
    <s v="na"/>
    <s v="F1835"/>
    <s v="na"/>
    <s v="na"/>
    <s v="na"/>
    <s v="na"/>
    <s v="na"/>
  </r>
  <r>
    <n v="516"/>
    <x v="22"/>
    <n v="1"/>
    <x v="1"/>
    <x v="0"/>
    <x v="4"/>
    <n v="84"/>
    <s v="364 K"/>
    <n v="87"/>
    <m/>
    <s v="U"/>
    <m/>
    <d v="1899-12-30T03:09:00"/>
    <s v="15:09"/>
    <s v="LA"/>
    <m/>
    <s v="20140704 JBerry"/>
    <s v="20140707LFerreira"/>
    <s v="x"/>
    <n v="151.78399999999999"/>
    <s v="na"/>
    <s v="FWL"/>
    <s v="na"/>
    <s v="na"/>
    <s v="F1845"/>
    <s v="na"/>
    <s v="na"/>
    <s v="na"/>
    <s v="na"/>
    <s v="na"/>
  </r>
  <r>
    <n v="517"/>
    <x v="22"/>
    <n v="1"/>
    <x v="4"/>
    <x v="1"/>
    <x v="0"/>
    <m/>
    <m/>
    <m/>
    <m/>
    <s v="U"/>
    <m/>
    <d v="1899-12-30T00:20:00"/>
    <s v="15:03"/>
    <s v="LA"/>
    <s v="escaped trough, approx 35 cm, no bio-too small"/>
    <s v="20140704 JBerry"/>
    <s v="20140707LFerreira"/>
    <s v="x"/>
    <s v="x"/>
    <s v="na"/>
    <s v="FWL"/>
    <s v="na"/>
    <s v="na"/>
    <s v="na"/>
    <s v="na"/>
    <s v="na"/>
    <s v="na"/>
    <s v="na"/>
    <s v="na"/>
  </r>
  <r>
    <n v="518"/>
    <x v="22"/>
    <n v="1"/>
    <x v="1"/>
    <x v="0"/>
    <x v="5"/>
    <n v="2"/>
    <s v="365 K"/>
    <n v="57"/>
    <m/>
    <s v="U"/>
    <m/>
    <d v="1899-12-30T01:10:00"/>
    <s v="17:07"/>
    <s v="JB"/>
    <m/>
    <s v="20140704 JBerry"/>
    <s v="20140707LFerreira"/>
    <s v="x"/>
    <n v="151.755"/>
    <s v="na"/>
    <s v="FWL"/>
    <s v="na"/>
    <s v="na"/>
    <s v="F1845"/>
    <s v="na"/>
    <s v="na"/>
    <s v="na"/>
    <s v="na"/>
    <s v="na"/>
  </r>
  <r>
    <n v="519"/>
    <x v="22"/>
    <n v="1"/>
    <x v="1"/>
    <x v="0"/>
    <x v="5"/>
    <n v="51"/>
    <s v="366 K"/>
    <n v="64"/>
    <m/>
    <s v="U"/>
    <m/>
    <d v="1899-12-30T01:30:00"/>
    <s v="17:13"/>
    <s v="HR"/>
    <m/>
    <s v="20140704 JBerry"/>
    <s v="20140707LFerreira"/>
    <s v="x"/>
    <n v="151.755"/>
    <s v="na"/>
    <s v="FWL"/>
    <s v="na"/>
    <s v="na"/>
    <s v="F1845"/>
    <s v="na"/>
    <s v="na"/>
    <s v="na"/>
    <s v="na"/>
    <s v="na"/>
  </r>
  <r>
    <n v="520"/>
    <x v="22"/>
    <n v="1"/>
    <x v="1"/>
    <x v="0"/>
    <x v="5"/>
    <n v="1"/>
    <s v="367 K"/>
    <n v="81"/>
    <m/>
    <s v="U"/>
    <d v="1899-12-30T18:03:00"/>
    <d v="1899-12-30T01:46:00"/>
    <s v="18:08"/>
    <s v="HR"/>
    <m/>
    <s v="20140704 JBerry"/>
    <s v="20140707LFerreira"/>
    <d v="1899-12-30T00:03:14"/>
    <n v="151.755"/>
    <s v="na"/>
    <s v="FWL"/>
    <s v="na"/>
    <s v="na"/>
    <s v="F1845"/>
    <s v="na"/>
    <s v="na"/>
    <s v="na"/>
    <s v="na"/>
    <s v="na"/>
  </r>
  <r>
    <n v="521"/>
    <x v="22"/>
    <n v="1"/>
    <x v="1"/>
    <x v="0"/>
    <x v="4"/>
    <n v="76"/>
    <s v="368 K"/>
    <n v="92"/>
    <m/>
    <s v="U"/>
    <m/>
    <d v="1899-12-30T01:17:00"/>
    <s v="19:38"/>
    <s v="EG"/>
    <m/>
    <s v="20140704 EGora"/>
    <s v="20140707LFerreira"/>
    <s v="x"/>
    <n v="151.78399999999999"/>
    <s v="na"/>
    <s v="FWL"/>
    <s v="na"/>
    <s v="na"/>
    <s v="F1845"/>
    <s v="na"/>
    <s v="na"/>
    <s v="na"/>
    <s v="na"/>
    <s v="na"/>
  </r>
  <r>
    <n v="522"/>
    <x v="22"/>
    <n v="1"/>
    <x v="1"/>
    <x v="0"/>
    <x v="5"/>
    <n v="42"/>
    <s v="369 K"/>
    <n v="78"/>
    <m/>
    <s v="U"/>
    <m/>
    <d v="1899-12-30T00:47:00"/>
    <s v="20:51"/>
    <s v="AS"/>
    <m/>
    <s v="20140704 EGora"/>
    <s v="20140707LFerreira"/>
    <s v="x"/>
    <n v="151.755"/>
    <s v="na"/>
    <s v="FWL"/>
    <s v="na"/>
    <s v="na"/>
    <s v="F1845"/>
    <s v="na"/>
    <s v="na"/>
    <s v="na"/>
    <s v="na"/>
    <s v="na"/>
  </r>
  <r>
    <n v="523"/>
    <x v="22"/>
    <n v="1"/>
    <x v="1"/>
    <x v="0"/>
    <x v="4"/>
    <n v="45"/>
    <s v="377 K"/>
    <n v="95"/>
    <m/>
    <s v="U"/>
    <m/>
    <d v="1899-12-30T03:15:00"/>
    <s v="22:11"/>
    <s v="AS"/>
    <s v="training fish-inserted 3 times (first two LF, last AS)"/>
    <s v="20140704 EGora"/>
    <s v="20140707LFerreira"/>
    <s v="x"/>
    <n v="151.78399999999999"/>
    <s v="na"/>
    <s v="FWL"/>
    <s v="na"/>
    <s v="na"/>
    <s v="F1845"/>
    <s v="na"/>
    <s v="na"/>
    <s v="na"/>
    <s v="na"/>
    <s v="na"/>
  </r>
  <r>
    <n v="524"/>
    <x v="22"/>
    <n v="1"/>
    <x v="1"/>
    <x v="0"/>
    <x v="5"/>
    <n v="95"/>
    <s v="378 K"/>
    <n v="93"/>
    <m/>
    <s v="U"/>
    <m/>
    <d v="1899-12-30T01:06:00"/>
    <s v="22:33"/>
    <s v="EG"/>
    <m/>
    <s v="20140704 EGora"/>
    <s v="20140707LFerreira"/>
    <s v="x"/>
    <n v="151.755"/>
    <s v="na"/>
    <s v="FWL"/>
    <s v="na"/>
    <s v="na"/>
    <s v="F1845"/>
    <s v="na"/>
    <s v="na"/>
    <s v="na"/>
    <s v="na"/>
    <s v="na"/>
  </r>
  <r>
    <n v="525"/>
    <x v="22"/>
    <n v="1"/>
    <x v="1"/>
    <x v="0"/>
    <x v="5"/>
    <n v="70"/>
    <s v="379 K"/>
    <n v="60"/>
    <m/>
    <s v="U"/>
    <m/>
    <d v="1899-12-30T01:44:00"/>
    <s v="23:37"/>
    <s v="EG"/>
    <m/>
    <s v="20140704 EGora"/>
    <s v="20140707LFerreira"/>
    <s v="x"/>
    <n v="151.755"/>
    <s v="na"/>
    <s v="FWL"/>
    <s v="na"/>
    <s v="na"/>
    <s v="F1845"/>
    <s v="na"/>
    <s v="na"/>
    <s v="na"/>
    <s v="na"/>
    <s v="na"/>
  </r>
  <r>
    <n v="526"/>
    <x v="22"/>
    <n v="1"/>
    <x v="1"/>
    <x v="0"/>
    <x v="5"/>
    <n v="29"/>
    <s v="380 K"/>
    <n v="88"/>
    <m/>
    <s v="U"/>
    <m/>
    <d v="1899-12-30T01:11:00"/>
    <s v="23:44"/>
    <s v="AS"/>
    <m/>
    <s v="20140704 EGora"/>
    <s v="20140707LFerreira"/>
    <s v="x"/>
    <n v="151.755"/>
    <s v="na"/>
    <s v="FWL"/>
    <s v="na"/>
    <s v="na"/>
    <s v="F1845"/>
    <s v="na"/>
    <s v="na"/>
    <s v="na"/>
    <s v="na"/>
    <s v="na"/>
  </r>
  <r>
    <n v="527"/>
    <x v="22"/>
    <n v="2"/>
    <x v="1"/>
    <x v="0"/>
    <x v="4"/>
    <n v="69"/>
    <s v="370 K"/>
    <n v="83"/>
    <m/>
    <s v="U"/>
    <d v="1899-12-30T20:35:00"/>
    <d v="1899-12-30T03:00:00"/>
    <s v="21:09"/>
    <s v="LF/EG"/>
    <s v="LF training fish; took 3xs to tag.  Third successful "/>
    <s v="20140704 EGora"/>
    <s v="20140707LFerreira"/>
    <d v="1899-12-30T00:31:00"/>
    <n v="151.78399999999999"/>
    <s v="na"/>
    <s v="FWL"/>
    <s v="na"/>
    <s v="na"/>
    <s v="F1845"/>
    <s v="na"/>
    <s v="na"/>
    <s v="na"/>
    <s v="na"/>
    <s v="na"/>
  </r>
  <r>
    <n v="528"/>
    <x v="22"/>
    <n v="2"/>
    <x v="0"/>
    <x v="2"/>
    <x v="0"/>
    <m/>
    <m/>
    <m/>
    <n v="23"/>
    <s v="U"/>
    <m/>
    <d v="1899-12-30T00:45:00"/>
    <s v="22:37"/>
    <s v="LF/AS"/>
    <m/>
    <s v="20140704 EGora"/>
    <s v="20140707LFerreira"/>
    <s v="x"/>
    <s v="x"/>
    <s v="na"/>
    <s v="FWL"/>
    <s v="na"/>
    <s v="na"/>
    <s v="na"/>
    <s v="na"/>
    <s v="na"/>
    <s v="na"/>
    <s v="na"/>
    <s v="na"/>
  </r>
  <r>
    <n v="529"/>
    <x v="22"/>
    <n v="3"/>
    <x v="1"/>
    <x v="0"/>
    <x v="4"/>
    <n v="99"/>
    <s v="358 K"/>
    <n v="87"/>
    <m/>
    <s v="U"/>
    <m/>
    <d v="1899-12-30T02:10:00"/>
    <s v="05:54"/>
    <s v="DJ"/>
    <m/>
    <s v="20140704 DJohnson"/>
    <s v="20140707LFerreira"/>
    <s v="x"/>
    <n v="151.78399999999999"/>
    <s v="na"/>
    <s v="FWL"/>
    <s v="na"/>
    <s v="na"/>
    <s v="F1845"/>
    <s v="na"/>
    <s v="na"/>
    <s v="na"/>
    <s v="na"/>
    <s v="na"/>
  </r>
  <r>
    <n v="530"/>
    <x v="22"/>
    <n v="3"/>
    <x v="1"/>
    <x v="0"/>
    <x v="5"/>
    <n v="55"/>
    <s v="359 K"/>
    <n v="76"/>
    <m/>
    <s v="U"/>
    <d v="1899-12-30T07:53:00"/>
    <d v="1899-12-30T01:37:00"/>
    <s v="08:02"/>
    <s v="JG"/>
    <m/>
    <s v="20140704 DJohnson"/>
    <s v="20140707LFerreira"/>
    <d v="1899-12-30T00:07:23"/>
    <n v="151.755"/>
    <s v="na"/>
    <s v="FWL"/>
    <s v="na"/>
    <s v="na"/>
    <s v="F1845"/>
    <s v="na"/>
    <s v="na"/>
    <s v="na"/>
    <s v="na"/>
    <s v="na"/>
  </r>
  <r>
    <n v="531"/>
    <x v="22"/>
    <n v="3"/>
    <x v="4"/>
    <x v="1"/>
    <x v="0"/>
    <m/>
    <m/>
    <n v="36"/>
    <m/>
    <s v="U"/>
    <m/>
    <d v="1899-12-30T00:28:00"/>
    <s v="10:37"/>
    <s v="BK"/>
    <m/>
    <s v="20140704 JKunzler"/>
    <s v="20140707LFerreira"/>
    <s v="x"/>
    <s v="x"/>
    <s v="na"/>
    <s v="FWL"/>
    <s v="na"/>
    <s v="na"/>
    <s v="na"/>
    <s v="na"/>
    <s v="na"/>
    <s v="na"/>
    <s v="na"/>
    <s v="na"/>
  </r>
  <r>
    <n v="532"/>
    <x v="22"/>
    <n v="3"/>
    <x v="6"/>
    <x v="2"/>
    <x v="0"/>
    <m/>
    <s v="Bulk DV"/>
    <m/>
    <n v="43"/>
    <s v="U"/>
    <m/>
    <d v="1899-12-30T01:04:00"/>
    <s v="10:52"/>
    <s v="BK"/>
    <m/>
    <s v="20140704 JKunzler"/>
    <s v="20140707LFerreira"/>
    <s v="x"/>
    <s v="x"/>
    <s v="na"/>
    <s v="FWL"/>
    <s v="na"/>
    <s v="na"/>
    <s v="na"/>
    <s v="na"/>
    <s v="na"/>
    <s v="na"/>
    <s v="na"/>
    <s v="na"/>
  </r>
  <r>
    <n v="533"/>
    <x v="22"/>
    <n v="3"/>
    <x v="4"/>
    <x v="1"/>
    <x v="0"/>
    <m/>
    <m/>
    <n v="35"/>
    <m/>
    <s v="U"/>
    <m/>
    <d v="1899-12-30T00:38:00"/>
    <s v="11:39"/>
    <s v="BK"/>
    <m/>
    <s v="20140704 JKunzler"/>
    <s v="20140707LFerreira"/>
    <s v="x"/>
    <s v="x"/>
    <s v="na"/>
    <s v="FWL"/>
    <s v="na"/>
    <s v="na"/>
    <s v="na"/>
    <s v="na"/>
    <s v="na"/>
    <s v="na"/>
    <s v="na"/>
    <s v="na"/>
  </r>
  <r>
    <n v="534"/>
    <x v="22"/>
    <n v="3"/>
    <x v="4"/>
    <x v="1"/>
    <x v="0"/>
    <m/>
    <m/>
    <m/>
    <m/>
    <s v="U"/>
    <m/>
    <d v="1899-12-30T00:45:00"/>
    <s v="11:38"/>
    <s v="BK"/>
    <s v="hit deck, no length, too small to tag"/>
    <s v="20140704 JKunzler"/>
    <s v="20140707LFerreira"/>
    <s v="x"/>
    <s v="x"/>
    <s v="na"/>
    <s v="FWL"/>
    <s v="na"/>
    <s v="na"/>
    <s v="na"/>
    <s v="na"/>
    <s v="na"/>
    <s v="na"/>
    <s v="na"/>
    <s v="na"/>
  </r>
  <r>
    <n v="535"/>
    <x v="22"/>
    <n v="3"/>
    <x v="1"/>
    <x v="0"/>
    <x v="5"/>
    <n v="98"/>
    <s v="360 K"/>
    <n v="67"/>
    <m/>
    <s v="U"/>
    <d v="1899-12-30T12:06:00"/>
    <d v="1899-12-30T01:26:00"/>
    <s v="12:11"/>
    <s v="JK"/>
    <m/>
    <s v="20140704 JKunzler"/>
    <s v="20140707LFerreira"/>
    <d v="1899-12-30T00:03:34"/>
    <n v="151.755"/>
    <s v="na"/>
    <s v="FWL"/>
    <s v="na"/>
    <s v="na"/>
    <s v="F1845"/>
    <s v="na"/>
    <s v="na"/>
    <s v="na"/>
    <s v="na"/>
    <s v="na"/>
  </r>
  <r>
    <n v="536"/>
    <x v="22"/>
    <n v="3"/>
    <x v="4"/>
    <x v="1"/>
    <x v="0"/>
    <m/>
    <m/>
    <n v="33"/>
    <m/>
    <s v="U"/>
    <m/>
    <d v="1899-12-30T00:30:00"/>
    <s v="12:14"/>
    <s v="BK"/>
    <s v="too small to tag"/>
    <s v="20140704 JKunzler"/>
    <s v="20140707LFerreira"/>
    <s v="x"/>
    <s v="x"/>
    <s v="na"/>
    <s v="FWL"/>
    <s v="na"/>
    <s v="na"/>
    <s v="na"/>
    <s v="na"/>
    <s v="na"/>
    <s v="na"/>
    <s v="na"/>
    <s v="na"/>
  </r>
  <r>
    <n v="537"/>
    <x v="22"/>
    <n v="3"/>
    <x v="1"/>
    <x v="0"/>
    <x v="4"/>
    <n v="62"/>
    <s v="361 K"/>
    <n v="80"/>
    <m/>
    <s v="M"/>
    <d v="1899-12-30T13:39:00"/>
    <d v="1899-12-30T01:19:00"/>
    <s v="13:44"/>
    <s v="BK"/>
    <s v="open lamprey wound on side"/>
    <s v="20140704 JKunzler"/>
    <s v="20140707LFerreira"/>
    <d v="1899-12-30T00:03:41"/>
    <n v="151.78399999999999"/>
    <s v="na"/>
    <s v="FWL"/>
    <s v="na"/>
    <s v="na"/>
    <s v="F1845"/>
    <s v="na"/>
    <s v="na"/>
    <s v="na"/>
    <s v="na"/>
    <s v="na"/>
  </r>
  <r>
    <n v="538"/>
    <x v="22"/>
    <n v="3"/>
    <x v="4"/>
    <x v="1"/>
    <x v="0"/>
    <m/>
    <m/>
    <n v="32"/>
    <m/>
    <s v="U"/>
    <m/>
    <d v="1899-12-30T00:30:00"/>
    <s v="14:19"/>
    <s v="JK"/>
    <s v="too small to tag"/>
    <s v="20140704 JKunzler"/>
    <s v="20140707LFerreira"/>
    <s v="x"/>
    <s v="x"/>
    <s v="na"/>
    <s v="FWL"/>
    <s v="na"/>
    <s v="na"/>
    <s v="na"/>
    <s v="na"/>
    <s v="na"/>
    <s v="na"/>
    <s v="na"/>
    <s v="na"/>
  </r>
  <r>
    <n v="539"/>
    <x v="22"/>
    <n v="3"/>
    <x v="1"/>
    <x v="0"/>
    <x v="5"/>
    <n v="81"/>
    <s v="362 K"/>
    <n v="63"/>
    <m/>
    <s v="U"/>
    <d v="1899-12-30T16:28:00"/>
    <d v="1899-12-30T01:28:00"/>
    <s v="16:35"/>
    <s v="DJ"/>
    <m/>
    <s v="20140704 DJohnson"/>
    <s v="20140707LFerreira"/>
    <d v="1899-12-30T00:05:32"/>
    <n v="151.755"/>
    <s v="na"/>
    <s v="FWL"/>
    <s v="na"/>
    <s v="na"/>
    <s v="F1845"/>
    <s v="na"/>
    <s v="na"/>
    <s v="na"/>
    <s v="na"/>
    <s v="na"/>
  </r>
  <r>
    <n v="540"/>
    <x v="22"/>
    <n v="3"/>
    <x v="1"/>
    <x v="0"/>
    <x v="5"/>
    <n v="28"/>
    <s v="371 K"/>
    <n v="79"/>
    <m/>
    <s v="U"/>
    <d v="1899-12-30T18:00:00"/>
    <d v="1899-12-30T01:43:00"/>
    <s v="18:06"/>
    <s v="DJ"/>
    <m/>
    <s v="20140704 DJohnson"/>
    <s v="20140707LFerreira"/>
    <d v="1899-12-30T00:04:17"/>
    <n v="151.755"/>
    <s v="na"/>
    <s v="FWL"/>
    <s v="na"/>
    <s v="na"/>
    <s v="F1845"/>
    <s v="na"/>
    <s v="na"/>
    <s v="na"/>
    <s v="na"/>
    <s v="na"/>
  </r>
  <r>
    <n v="541"/>
    <x v="22"/>
    <n v="3"/>
    <x v="1"/>
    <x v="0"/>
    <x v="5"/>
    <n v="9"/>
    <s v="372 K"/>
    <n v="52"/>
    <m/>
    <s v="U"/>
    <m/>
    <d v="1899-12-30T01:25:00"/>
    <s v="18:12"/>
    <s v="DJ"/>
    <m/>
    <s v="20140704 DJohnson"/>
    <s v="20140707LFerreira"/>
    <s v="x"/>
    <n v="151.755"/>
    <s v="na"/>
    <s v="FWL"/>
    <s v="na"/>
    <s v="na"/>
    <s v="F1845"/>
    <s v="na"/>
    <s v="na"/>
    <s v="na"/>
    <s v="na"/>
    <s v="na"/>
  </r>
  <r>
    <n v="542"/>
    <x v="22"/>
    <n v="3"/>
    <x v="3"/>
    <x v="2"/>
    <x v="0"/>
    <m/>
    <m/>
    <m/>
    <n v="35"/>
    <s v="U"/>
    <m/>
    <d v="1899-12-30T00:45:00"/>
    <s v="18:15"/>
    <s v="DJ"/>
    <m/>
    <s v="20140704 DJohnson"/>
    <s v="20140707LFerreira"/>
    <s v="x"/>
    <s v="x"/>
    <s v="na"/>
    <s v="FWL"/>
    <s v="na"/>
    <s v="na"/>
    <s v="na"/>
    <s v="na"/>
    <s v="na"/>
    <s v="na"/>
    <s v="na"/>
    <s v="na"/>
  </r>
  <r>
    <n v="543"/>
    <x v="22"/>
    <n v="3"/>
    <x v="1"/>
    <x v="0"/>
    <x v="0"/>
    <m/>
    <m/>
    <n v="63"/>
    <m/>
    <s v="U"/>
    <d v="1899-12-30T18:25:00"/>
    <d v="1899-12-30T01:42:00"/>
    <s v="18:35"/>
    <s v="DJ"/>
    <s v="wouldn't take tag.  Released without"/>
    <s v="20140704 DJohnson"/>
    <s v="20140707LFerreira"/>
    <d v="1899-12-30T00:08:18"/>
    <s v="x"/>
    <s v="na"/>
    <s v="FWL"/>
    <s v="na"/>
    <s v="na"/>
    <s v="na"/>
    <s v="na"/>
    <s v="na"/>
    <s v="na"/>
    <s v="na"/>
    <s v="na"/>
  </r>
  <r>
    <n v="544"/>
    <x v="22"/>
    <n v="3"/>
    <x v="3"/>
    <x v="2"/>
    <x v="0"/>
    <m/>
    <m/>
    <m/>
    <n v="29"/>
    <s v="U"/>
    <m/>
    <d v="1899-12-30T00:31:00"/>
    <s v="18:32"/>
    <s v="JG"/>
    <m/>
    <s v="20140704 DJohnson"/>
    <s v="20140707LFerreira"/>
    <s v="x"/>
    <s v="x"/>
    <s v="na"/>
    <s v="FWL"/>
    <s v="na"/>
    <s v="na"/>
    <s v="na"/>
    <s v="na"/>
    <s v="na"/>
    <s v="na"/>
    <s v="na"/>
    <s v="na"/>
  </r>
  <r>
    <n v="545"/>
    <x v="22"/>
    <n v="3"/>
    <x v="1"/>
    <x v="0"/>
    <x v="5"/>
    <n v="23"/>
    <s v="373 K"/>
    <n v="78"/>
    <m/>
    <s v="U"/>
    <d v="1899-12-30T19:34:00"/>
    <d v="1899-12-30T01:11:00"/>
    <s v="19:43"/>
    <s v="JK"/>
    <m/>
    <s v="20140704 JKunzler"/>
    <s v="20140707LFerreira"/>
    <d v="1899-12-30T00:07:49"/>
    <n v="151.755"/>
    <s v="na"/>
    <s v="FWL"/>
    <s v="na"/>
    <s v="na"/>
    <s v="F1845"/>
    <s v="na"/>
    <s v="na"/>
    <s v="na"/>
    <s v="na"/>
    <s v="na"/>
  </r>
  <r>
    <n v="546"/>
    <x v="22"/>
    <n v="3"/>
    <x v="0"/>
    <x v="2"/>
    <x v="0"/>
    <m/>
    <m/>
    <m/>
    <n v="31"/>
    <s v="U"/>
    <m/>
    <d v="1899-12-30T00:32:00"/>
    <s v="19:46"/>
    <s v="JK"/>
    <m/>
    <s v="20140704 JKunzler"/>
    <s v="20140707LFerreira"/>
    <s v="x"/>
    <s v="x"/>
    <s v="na"/>
    <s v="FWL"/>
    <s v="na"/>
    <s v="na"/>
    <s v="na"/>
    <s v="na"/>
    <s v="na"/>
    <s v="na"/>
    <s v="na"/>
    <s v="na"/>
  </r>
  <r>
    <n v="547"/>
    <x v="22"/>
    <n v="3"/>
    <x v="1"/>
    <x v="0"/>
    <x v="4"/>
    <n v="30"/>
    <s v="374 K"/>
    <n v="86"/>
    <m/>
    <s v="U"/>
    <m/>
    <d v="1899-12-30T01:37:00"/>
    <s v="19:51"/>
    <s v="JK"/>
    <m/>
    <s v="20140704 JKunzler"/>
    <s v="20140707LFerreira"/>
    <s v="x"/>
    <n v="151.78399999999999"/>
    <s v="na"/>
    <s v="FWL"/>
    <s v="na"/>
    <s v="na"/>
    <s v="F1845"/>
    <s v="na"/>
    <s v="na"/>
    <s v="na"/>
    <s v="na"/>
    <s v="na"/>
  </r>
  <r>
    <n v="548"/>
    <x v="22"/>
    <n v="3"/>
    <x v="1"/>
    <x v="0"/>
    <x v="4"/>
    <n v="12"/>
    <s v="375 K"/>
    <n v="64"/>
    <m/>
    <s v="U"/>
    <m/>
    <d v="1899-12-30T01:28:00"/>
    <s v="19:59"/>
    <s v="QB"/>
    <m/>
    <s v="20140704 JKunzler"/>
    <s v="20140707LFerreira"/>
    <s v="x"/>
    <n v="151.78399999999999"/>
    <s v="na"/>
    <s v="FWL"/>
    <s v="na"/>
    <s v="na"/>
    <s v="F1845"/>
    <s v="na"/>
    <s v="na"/>
    <s v="na"/>
    <s v="na"/>
    <s v="na"/>
  </r>
  <r>
    <n v="549"/>
    <x v="22"/>
    <n v="3"/>
    <x v="1"/>
    <x v="0"/>
    <x v="4"/>
    <n v="73"/>
    <s v="376 K"/>
    <n v="83"/>
    <m/>
    <s v="U"/>
    <m/>
    <d v="1899-12-30T01:25:00"/>
    <s v="21:08"/>
    <s v="JK"/>
    <s v="vial 376"/>
    <s v="20140704 JKunzler"/>
    <s v="20140707LFerreira"/>
    <s v="x"/>
    <n v="151.78399999999999"/>
    <s v="na"/>
    <s v="FWL"/>
    <s v="na"/>
    <s v="na"/>
    <s v="F1845"/>
    <s v="na"/>
    <s v="na"/>
    <s v="na"/>
    <s v="na"/>
    <s v="na"/>
  </r>
  <r>
    <n v="550"/>
    <x v="22"/>
    <n v="3"/>
    <x v="1"/>
    <x v="0"/>
    <x v="4"/>
    <n v="15"/>
    <s v="383 K"/>
    <n v="74"/>
    <m/>
    <s v="U"/>
    <m/>
    <d v="1899-12-30T01:48:00"/>
    <s v="21:14"/>
    <s v="QB"/>
    <m/>
    <s v="20140704 JKunzler"/>
    <s v="20140707LFerreira"/>
    <s v="x"/>
    <n v="151.78399999999999"/>
    <s v="na"/>
    <s v="FWL"/>
    <s v="na"/>
    <s v="na"/>
    <s v="F1845"/>
    <s v="na"/>
    <s v="na"/>
    <s v="na"/>
    <s v="na"/>
    <s v="na"/>
  </r>
  <r>
    <n v="551"/>
    <x v="22"/>
    <n v="3"/>
    <x v="1"/>
    <x v="0"/>
    <x v="4"/>
    <n v="67"/>
    <s v="384 K"/>
    <n v="64"/>
    <m/>
    <s v="U"/>
    <m/>
    <d v="1899-12-30T01:21:00"/>
    <s v="21:17"/>
    <s v="JK"/>
    <m/>
    <s v="20140704 JKunzler"/>
    <s v="20140707LFerreira"/>
    <s v="x"/>
    <n v="151.78399999999999"/>
    <s v="na"/>
    <s v="FWL"/>
    <s v="na"/>
    <s v="na"/>
    <s v="F1845"/>
    <s v="na"/>
    <s v="na"/>
    <s v="na"/>
    <s v="na"/>
    <s v="na"/>
  </r>
  <r>
    <n v="552"/>
    <x v="22"/>
    <n v="3"/>
    <x v="1"/>
    <x v="0"/>
    <x v="5"/>
    <n v="41"/>
    <s v="381 K"/>
    <n v="65"/>
    <m/>
    <s v="U"/>
    <m/>
    <d v="1899-12-30T01:34:00"/>
    <s v="21:58"/>
    <s v="JK"/>
    <s v="jumped out of trough, still tagged"/>
    <s v="20140704 JKunzler"/>
    <s v="20140707LFerreira"/>
    <s v="x"/>
    <n v="151.755"/>
    <s v="na"/>
    <s v="FWL"/>
    <s v="na"/>
    <s v="na"/>
    <s v="F1845"/>
    <s v="na"/>
    <s v="na"/>
    <s v="na"/>
    <s v="na"/>
    <s v="na"/>
  </r>
  <r>
    <n v="553"/>
    <x v="22"/>
    <n v="3"/>
    <x v="1"/>
    <x v="0"/>
    <x v="4"/>
    <n v="27"/>
    <s v="382 K"/>
    <n v="78"/>
    <m/>
    <s v="U"/>
    <d v="1899-12-30T22:27:00"/>
    <d v="1899-12-30T01:37:00"/>
    <s v="22:34"/>
    <s v="QB"/>
    <m/>
    <s v="20140704 JKunzler"/>
    <s v="20140707LFerreira"/>
    <d v="1899-12-30T00:05:23"/>
    <n v="151.78399999999999"/>
    <s v="na"/>
    <s v="FWL"/>
    <s v="na"/>
    <s v="na"/>
    <s v="F1845"/>
    <s v="na"/>
    <s v="na"/>
    <s v="na"/>
    <s v="na"/>
    <s v="na"/>
  </r>
  <r>
    <n v="554"/>
    <x v="22"/>
    <n v="3"/>
    <x v="1"/>
    <x v="0"/>
    <x v="4"/>
    <n v="72"/>
    <s v="385 K"/>
    <n v="63"/>
    <m/>
    <s v="U"/>
    <d v="1899-12-30T22:34:00"/>
    <d v="1899-12-30T01:15:00"/>
    <s v="22:39"/>
    <s v="JK"/>
    <m/>
    <s v="20140704 JKunzler"/>
    <s v="20140707LFerreira"/>
    <d v="1899-12-30T00:03:45"/>
    <n v="151.78399999999999"/>
    <s v="na"/>
    <s v="FWL"/>
    <s v="na"/>
    <s v="na"/>
    <s v="F1845"/>
    <s v="na"/>
    <s v="na"/>
    <s v="na"/>
    <s v="na"/>
    <s v="na"/>
  </r>
  <r>
    <n v="555"/>
    <x v="22"/>
    <n v="3"/>
    <x v="3"/>
    <x v="2"/>
    <x v="0"/>
    <m/>
    <m/>
    <m/>
    <n v="24"/>
    <s v="U"/>
    <m/>
    <d v="1899-12-30T00:24:00"/>
    <s v="22:41"/>
    <s v="JK"/>
    <m/>
    <s v="20140704 JKunzler"/>
    <s v="20140707LFerreira"/>
    <s v="x"/>
    <s v="x"/>
    <s v="na"/>
    <s v="FWL"/>
    <s v="na"/>
    <s v="na"/>
    <s v="na"/>
    <s v="na"/>
    <s v="na"/>
    <s v="na"/>
    <s v="na"/>
    <s v="na"/>
  </r>
  <r>
    <n v="556"/>
    <x v="22"/>
    <n v="3"/>
    <x v="1"/>
    <x v="0"/>
    <x v="5"/>
    <n v="39"/>
    <s v="386 K"/>
    <n v="83"/>
    <m/>
    <s v="U"/>
    <d v="1899-12-30T23:22:00"/>
    <d v="1899-12-30T01:15:00"/>
    <s v="23:27"/>
    <s v="JK"/>
    <m/>
    <s v="20140704 JKunzler"/>
    <s v="20140707LFerreira"/>
    <d v="1899-12-30T00:03:45"/>
    <n v="151.755"/>
    <s v="na"/>
    <s v="FWL"/>
    <s v="na"/>
    <s v="na"/>
    <s v="F1845"/>
    <s v="na"/>
    <s v="na"/>
    <s v="na"/>
    <s v="na"/>
    <s v="na"/>
  </r>
  <r>
    <n v="557"/>
    <x v="23"/>
    <n v="1"/>
    <x v="1"/>
    <x v="0"/>
    <x v="4"/>
    <n v="4"/>
    <s v="397 K"/>
    <n v="67"/>
    <m/>
    <s v="U"/>
    <m/>
    <d v="1899-12-30T01:10:00"/>
    <s v="05:30"/>
    <s v="JB"/>
    <m/>
    <s v="20140705 HReider"/>
    <s v="20140707LFerreira"/>
    <s v="x"/>
    <n v="151.78399999999999"/>
    <s v="na"/>
    <s v="FWL"/>
    <s v="na"/>
    <s v="na"/>
    <s v="F1845"/>
    <s v="na"/>
    <s v="na"/>
    <s v="na"/>
    <s v="na"/>
    <s v="na"/>
  </r>
  <r>
    <n v="558"/>
    <x v="23"/>
    <n v="1"/>
    <x v="1"/>
    <x v="0"/>
    <x v="5"/>
    <n v="33"/>
    <s v="398 K"/>
    <n v="73"/>
    <m/>
    <s v="U"/>
    <m/>
    <d v="1899-12-30T03:10:00"/>
    <s v="05:36"/>
    <s v="HR"/>
    <s v="2 attempts to seat tag"/>
    <s v="20140705 HReider"/>
    <s v="20140707LFerreira"/>
    <s v="x"/>
    <n v="151.755"/>
    <s v="na"/>
    <s v="FWL"/>
    <s v="na"/>
    <s v="na"/>
    <s v="F1845"/>
    <s v="na"/>
    <s v="na"/>
    <s v="na"/>
    <s v="na"/>
    <s v="na"/>
  </r>
  <r>
    <n v="559"/>
    <x v="23"/>
    <n v="1"/>
    <x v="4"/>
    <x v="1"/>
    <x v="0"/>
    <m/>
    <m/>
    <n v="32"/>
    <m/>
    <s v="U"/>
    <m/>
    <d v="1899-12-30T00:37:00"/>
    <s v="05:40"/>
    <s v="HR"/>
    <s v="too small to tag"/>
    <s v="20140705 HReider"/>
    <s v="20140707LFerreira"/>
    <s v="x"/>
    <s v="x"/>
    <s v="na"/>
    <s v="FWL"/>
    <s v="na"/>
    <s v="na"/>
    <s v="na"/>
    <s v="na"/>
    <s v="na"/>
    <s v="na"/>
    <s v="na"/>
    <s v="na"/>
  </r>
  <r>
    <n v="560"/>
    <x v="23"/>
    <n v="1"/>
    <x v="1"/>
    <x v="0"/>
    <x v="5"/>
    <n v="26"/>
    <s v="399 K"/>
    <n v="78"/>
    <m/>
    <s v="M"/>
    <d v="1899-12-30T06:37:00"/>
    <d v="1899-12-30T01:24:00"/>
    <s v="06:47"/>
    <s v="JB"/>
    <m/>
    <s v="20140705 HReider"/>
    <s v="20140707LFerreira"/>
    <d v="1899-12-30T00:08:36"/>
    <n v="151.755"/>
    <s v="na"/>
    <s v="FWL"/>
    <s v="na"/>
    <s v="na"/>
    <s v="F1845"/>
    <s v="na"/>
    <s v="na"/>
    <s v="na"/>
    <s v="na"/>
    <s v="na"/>
  </r>
  <r>
    <n v="561"/>
    <x v="23"/>
    <n v="1"/>
    <x v="4"/>
    <x v="1"/>
    <x v="0"/>
    <m/>
    <m/>
    <n v="34"/>
    <m/>
    <s v="U"/>
    <m/>
    <d v="1899-12-30T00:43:00"/>
    <s v="08:17"/>
    <s v="JB"/>
    <s v="too small to tag"/>
    <s v="20140705 HReider"/>
    <s v="20140707LFerreira"/>
    <s v="x"/>
    <s v="x"/>
    <s v="na"/>
    <s v="FWL"/>
    <s v="na"/>
    <s v="na"/>
    <s v="na"/>
    <s v="na"/>
    <s v="na"/>
    <s v="na"/>
    <s v="na"/>
    <s v="na"/>
  </r>
  <r>
    <n v="562"/>
    <x v="23"/>
    <n v="1"/>
    <x v="1"/>
    <x v="0"/>
    <x v="4"/>
    <n v="22"/>
    <s v="405 K"/>
    <n v="79"/>
    <m/>
    <s v="U"/>
    <m/>
    <d v="1899-12-30T01:44:00"/>
    <s v="12:20"/>
    <s v="LF"/>
    <m/>
    <s v="20140705 LFerreira"/>
    <s v="20140707LFerreira"/>
    <s v="x"/>
    <n v="151.78399999999999"/>
    <s v="na"/>
    <s v="FWL"/>
    <s v="na"/>
    <s v="na"/>
    <s v="F1845"/>
    <s v="na"/>
    <s v="na"/>
    <s v="na"/>
    <s v="na"/>
    <s v="na"/>
  </r>
  <r>
    <n v="563"/>
    <x v="23"/>
    <n v="1"/>
    <x v="1"/>
    <x v="0"/>
    <x v="4"/>
    <n v="43"/>
    <s v="406 K"/>
    <n v="95"/>
    <m/>
    <s v="U"/>
    <m/>
    <d v="1899-12-30T01:38:00"/>
    <s v="12:26"/>
    <s v="LF"/>
    <m/>
    <s v="20140705 LFerreira"/>
    <s v="20140707LFerreira"/>
    <s v="x"/>
    <n v="151.78399999999999"/>
    <s v="na"/>
    <s v="FWL"/>
    <s v="na"/>
    <s v="na"/>
    <s v="F1845"/>
    <s v="na"/>
    <s v="na"/>
    <s v="na"/>
    <s v="na"/>
    <s v="na"/>
  </r>
  <r>
    <n v="564"/>
    <x v="23"/>
    <n v="1"/>
    <x v="1"/>
    <x v="0"/>
    <x v="4"/>
    <n v="65"/>
    <s v="407 K"/>
    <n v="85"/>
    <m/>
    <s v="U"/>
    <m/>
    <d v="1899-12-30T02:41:00"/>
    <s v="14:23"/>
    <s v="LF"/>
    <s v="vial 407 K"/>
    <s v="20140705 LFerreira"/>
    <s v="20140707LFerreira"/>
    <s v="x"/>
    <n v="151.78399999999999"/>
    <s v="na"/>
    <s v="FWL"/>
    <s v="na"/>
    <s v="na"/>
    <s v="F1845"/>
    <s v="na"/>
    <s v="na"/>
    <s v="na"/>
    <s v="na"/>
    <s v="na"/>
  </r>
  <r>
    <n v="565"/>
    <x v="23"/>
    <n v="1"/>
    <x v="1"/>
    <x v="0"/>
    <x v="5"/>
    <n v="45"/>
    <s v="410 K"/>
    <n v="61"/>
    <m/>
    <s v="U"/>
    <m/>
    <d v="1899-12-30T01:41:00"/>
    <s v="14:28"/>
    <s v="LF "/>
    <s v="vial 410. tail hit deck on release"/>
    <s v="20140705 LFerreira"/>
    <s v="20140707LFerreira"/>
    <s v="x"/>
    <n v="151.755"/>
    <s v="na"/>
    <s v="FWL"/>
    <s v="na"/>
    <s v="na"/>
    <s v="F1845"/>
    <s v="na"/>
    <s v="na"/>
    <s v="na"/>
    <s v="na"/>
    <s v="na"/>
  </r>
  <r>
    <n v="566"/>
    <x v="23"/>
    <n v="1"/>
    <x v="1"/>
    <x v="0"/>
    <x v="5"/>
    <n v="68"/>
    <s v="413 K"/>
    <n v="67"/>
    <m/>
    <s v="U"/>
    <d v="1899-12-30T16:23:00"/>
    <d v="1899-12-30T01:16:00"/>
    <s v="16:30"/>
    <s v="HR"/>
    <s v="Net cut tail when transferred into trough"/>
    <s v="20140705 HReider"/>
    <s v="20140707LFerreira"/>
    <d v="1899-12-30T00:05:44"/>
    <n v="151.755"/>
    <s v="na"/>
    <s v="FWL"/>
    <s v="na"/>
    <s v="na"/>
    <s v="F1845"/>
    <s v="na"/>
    <s v="na"/>
    <s v="na"/>
    <s v="na"/>
    <s v="na"/>
  </r>
  <r>
    <n v="567"/>
    <x v="23"/>
    <n v="1"/>
    <x v="1"/>
    <x v="0"/>
    <x v="0"/>
    <m/>
    <m/>
    <n v="64"/>
    <m/>
    <s v="U"/>
    <d v="1899-12-30T17:06:00"/>
    <d v="1899-12-30T00:25:00"/>
    <s v="17:11"/>
    <s v="JB"/>
    <s v="jumped out of trough into river.  Not tagged"/>
    <s v="20140705 HReider"/>
    <s v="20140707LFerreira"/>
    <d v="1899-12-30T00:04:35"/>
    <s v="x"/>
    <s v="na"/>
    <s v="FWL"/>
    <s v="na"/>
    <s v="na"/>
    <s v="na"/>
    <s v="na"/>
    <s v="na"/>
    <s v="na"/>
    <s v="na"/>
    <s v="na"/>
  </r>
  <r>
    <n v="568"/>
    <x v="23"/>
    <n v="1"/>
    <x v="10"/>
    <x v="0"/>
    <x v="7"/>
    <n v="92"/>
    <s v="1 CM"/>
    <n v="57"/>
    <m/>
    <s v="U"/>
    <d v="1899-12-30T17:55:00"/>
    <d v="1899-12-30T01:16:00"/>
    <s v="18:14"/>
    <s v="JB"/>
    <s v="1st Chum!"/>
    <s v="20140705 HReider"/>
    <s v="20140707LFerreira"/>
    <d v="1899-12-30T00:17:44"/>
    <n v="151.56399999999999"/>
    <s v="na"/>
    <s v="FWL"/>
    <s v="na"/>
    <s v="na"/>
    <s v="F1840"/>
    <s v="na"/>
    <s v="na"/>
    <s v="na"/>
    <s v="na"/>
    <s v="na"/>
  </r>
  <r>
    <n v="569"/>
    <x v="23"/>
    <n v="1"/>
    <x v="1"/>
    <x v="0"/>
    <x v="5"/>
    <n v="66"/>
    <s v="415 K"/>
    <n v="58"/>
    <m/>
    <s v="U"/>
    <m/>
    <d v="1899-12-30T00:56:00"/>
    <s v="20:20"/>
    <s v="JK"/>
    <m/>
    <s v="20140705 JKunzler"/>
    <s v="20140707LFerreira"/>
    <s v="x"/>
    <n v="151.755"/>
    <s v="na"/>
    <s v="FWL"/>
    <s v="na"/>
    <s v="na"/>
    <s v="F1845"/>
    <s v="na"/>
    <s v="na"/>
    <s v="na"/>
    <s v="na"/>
    <s v="na"/>
  </r>
  <r>
    <n v="570"/>
    <x v="23"/>
    <n v="1"/>
    <x v="4"/>
    <x v="1"/>
    <x v="3"/>
    <n v="7"/>
    <m/>
    <n v="45"/>
    <m/>
    <s v="U"/>
    <m/>
    <d v="1899-12-30T01:07:00"/>
    <s v="21:26"/>
    <s v="JK"/>
    <s v="jumped after tagged;no genetics"/>
    <s v="20140705 JKunzler"/>
    <s v="20140707LFerreira"/>
    <s v="x"/>
    <n v="151.917"/>
    <s v="na"/>
    <s v="FWL"/>
    <s v="na"/>
    <s v="na"/>
    <s v="F1835"/>
    <s v="na"/>
    <s v="na"/>
    <s v="na"/>
    <s v="na"/>
    <s v="na"/>
  </r>
  <r>
    <n v="571"/>
    <x v="23"/>
    <n v="1"/>
    <x v="4"/>
    <x v="1"/>
    <x v="0"/>
    <m/>
    <m/>
    <n v="35"/>
    <m/>
    <s v="U"/>
    <m/>
    <d v="1899-12-30T00:29:00"/>
    <s v="21:27"/>
    <s v="JK"/>
    <s v="too small to tag"/>
    <s v="20140705 JKunzler"/>
    <s v="20140707LFerreira"/>
    <s v="x"/>
    <s v="x"/>
    <s v="na"/>
    <s v="FWL"/>
    <s v="na"/>
    <s v="na"/>
    <s v="na"/>
    <s v="na"/>
    <s v="na"/>
    <s v="na"/>
    <s v="na"/>
    <s v="na"/>
  </r>
  <r>
    <n v="572"/>
    <x v="23"/>
    <n v="1"/>
    <x v="3"/>
    <x v="2"/>
    <x v="0"/>
    <m/>
    <m/>
    <m/>
    <n v="24"/>
    <s v="U"/>
    <m/>
    <d v="1899-12-30T00:24:00"/>
    <s v="21:28"/>
    <s v="JK"/>
    <s v="FL 24"/>
    <s v="20140705 JKunzler"/>
    <s v="20140707LFerreira"/>
    <s v="x"/>
    <s v="x"/>
    <s v="na"/>
    <s v="FWL"/>
    <s v="na"/>
    <s v="na"/>
    <s v="na"/>
    <s v="na"/>
    <s v="na"/>
    <s v="na"/>
    <s v="na"/>
    <s v="na"/>
  </r>
  <r>
    <n v="573"/>
    <x v="23"/>
    <n v="1"/>
    <x v="3"/>
    <x v="2"/>
    <x v="0"/>
    <m/>
    <m/>
    <m/>
    <n v="20"/>
    <s v="U"/>
    <m/>
    <d v="1899-12-30T00:20:00"/>
    <s v="23:28"/>
    <s v="JK"/>
    <m/>
    <s v="20140705 JKunzler"/>
    <s v="20140707LFerreira"/>
    <s v="x"/>
    <s v="x"/>
    <s v="na"/>
    <s v="FWL"/>
    <s v="na"/>
    <s v="na"/>
    <s v="na"/>
    <s v="na"/>
    <s v="na"/>
    <s v="na"/>
    <s v="na"/>
    <s v="na"/>
  </r>
  <r>
    <n v="574"/>
    <x v="23"/>
    <n v="1"/>
    <x v="4"/>
    <x v="1"/>
    <x v="3"/>
    <n v="17"/>
    <s v="422 K"/>
    <n v="41"/>
    <m/>
    <s v="U"/>
    <m/>
    <d v="1899-12-30T01:31:00"/>
    <s v="23:33"/>
    <s v="QB"/>
    <m/>
    <s v="20140705 JKunzler"/>
    <s v="20140707LFerreira"/>
    <s v="x"/>
    <n v="151.917"/>
    <s v="na"/>
    <s v="FWL"/>
    <s v="na"/>
    <s v="na"/>
    <s v="F1835"/>
    <s v="na"/>
    <s v="na"/>
    <s v="na"/>
    <s v="na"/>
    <s v="na"/>
  </r>
  <r>
    <n v="575"/>
    <x v="23"/>
    <n v="1"/>
    <x v="3"/>
    <x v="2"/>
    <x v="0"/>
    <m/>
    <m/>
    <m/>
    <n v="20"/>
    <s v="U"/>
    <m/>
    <d v="1899-12-30T00:23:00"/>
    <s v="23:35"/>
    <s v="JK"/>
    <m/>
    <s v="20140705 JKunzler"/>
    <s v="20140707LFerreira"/>
    <s v="x"/>
    <s v="x"/>
    <s v="na"/>
    <s v="FWL"/>
    <s v="na"/>
    <s v="na"/>
    <s v="na"/>
    <s v="na"/>
    <s v="na"/>
    <s v="na"/>
    <s v="na"/>
    <s v="na"/>
  </r>
  <r>
    <n v="576"/>
    <x v="23"/>
    <n v="1"/>
    <x v="9"/>
    <x v="2"/>
    <x v="0"/>
    <m/>
    <m/>
    <m/>
    <n v="25"/>
    <s v="U"/>
    <m/>
    <d v="1899-12-30T00:29:00"/>
    <s v="23:37"/>
    <s v="JK"/>
    <s v="wounds on side tail"/>
    <s v="20140705 JKunzler"/>
    <s v="20140707LFerreira"/>
    <s v="x"/>
    <s v="x"/>
    <s v="na"/>
    <s v="FWL"/>
    <s v="na"/>
    <s v="na"/>
    <s v="na"/>
    <s v="na"/>
    <s v="na"/>
    <s v="na"/>
    <s v="na"/>
    <s v="na"/>
  </r>
  <r>
    <n v="577"/>
    <x v="23"/>
    <n v="2"/>
    <x v="3"/>
    <x v="2"/>
    <x v="0"/>
    <m/>
    <m/>
    <m/>
    <n v="30"/>
    <s v="U"/>
    <m/>
    <m/>
    <m/>
    <s v="JB"/>
    <s v="fish found dead in net upon return to fishwheel"/>
    <s v="20140705 JBerry"/>
    <s v="20140707LFerreira"/>
    <s v="x"/>
    <s v="x"/>
    <s v="na"/>
    <s v="FWL"/>
    <s v="na"/>
    <s v="na"/>
    <s v="na"/>
    <s v="na"/>
    <s v="na"/>
    <s v="na"/>
    <s v="na"/>
    <s v="na"/>
  </r>
  <r>
    <n v="578"/>
    <x v="23"/>
    <n v="2"/>
    <x v="1"/>
    <x v="0"/>
    <x v="5"/>
    <n v="5"/>
    <s v="400 K"/>
    <n v="67"/>
    <m/>
    <s v="U"/>
    <m/>
    <d v="1899-12-30T01:46:00"/>
    <s v="9:32"/>
    <s v="HR"/>
    <m/>
    <s v="20140705 JBerry"/>
    <s v="20140707LFerreira"/>
    <s v="x"/>
    <n v="151.755"/>
    <s v="na"/>
    <s v="FWL"/>
    <s v="na"/>
    <s v="na"/>
    <s v="F1845"/>
    <s v="na"/>
    <s v="na"/>
    <s v="na"/>
    <s v="na"/>
    <s v="na"/>
  </r>
  <r>
    <n v="579"/>
    <x v="23"/>
    <n v="2"/>
    <x v="4"/>
    <x v="1"/>
    <x v="0"/>
    <m/>
    <m/>
    <n v="31"/>
    <m/>
    <s v="U"/>
    <m/>
    <d v="1899-12-30T00:30:00"/>
    <s v="9:36"/>
    <s v="JB"/>
    <s v="too small to tag"/>
    <s v="20140705 JBerry"/>
    <s v="20140707LFerreira"/>
    <s v="x"/>
    <s v="x"/>
    <s v="na"/>
    <s v="FWL"/>
    <s v="na"/>
    <s v="na"/>
    <s v="na"/>
    <s v="na"/>
    <s v="na"/>
    <s v="na"/>
    <s v="na"/>
    <s v="na"/>
  </r>
  <r>
    <n v="580"/>
    <x v="23"/>
    <n v="2"/>
    <x v="1"/>
    <x v="0"/>
    <x v="5"/>
    <n v="10"/>
    <s v="401 K"/>
    <n v="78"/>
    <m/>
    <s v="U"/>
    <m/>
    <d v="1899-12-30T01:20:00"/>
    <s v="9:39"/>
    <s v="JB"/>
    <m/>
    <s v="20140705 JBerry"/>
    <s v="20140707LFerreira"/>
    <s v="x"/>
    <n v="151.755"/>
    <s v="na"/>
    <s v="FWL"/>
    <s v="na"/>
    <s v="na"/>
    <s v="F1845"/>
    <s v="na"/>
    <s v="na"/>
    <s v="na"/>
    <s v="na"/>
    <s v="na"/>
  </r>
  <r>
    <n v="581"/>
    <x v="23"/>
    <n v="2"/>
    <x v="1"/>
    <x v="0"/>
    <x v="4"/>
    <n v="7"/>
    <s v="402 K"/>
    <n v="57"/>
    <m/>
    <s v="U"/>
    <m/>
    <d v="1899-12-30T01:58:00"/>
    <s v="9:49"/>
    <s v="HR"/>
    <m/>
    <s v="20140705 JBerry"/>
    <s v="20140707LFerreira"/>
    <s v="x"/>
    <n v="151.78399999999999"/>
    <s v="na"/>
    <s v="FWL"/>
    <s v="na"/>
    <s v="na"/>
    <s v="F1845"/>
    <s v="na"/>
    <s v="na"/>
    <s v="na"/>
    <s v="na"/>
    <s v="na"/>
  </r>
  <r>
    <n v="582"/>
    <x v="23"/>
    <n v="2"/>
    <x v="1"/>
    <x v="0"/>
    <x v="4"/>
    <n v="16"/>
    <s v="403 K"/>
    <n v="65"/>
    <m/>
    <s v="U"/>
    <m/>
    <d v="1899-12-30T01:20:00"/>
    <s v="11:10"/>
    <s v="LF"/>
    <m/>
    <s v="20140705 LFerreira"/>
    <s v="20140707LFerreira"/>
    <s v="x"/>
    <n v="151.78399999999999"/>
    <s v="na"/>
    <s v="FWL"/>
    <s v="na"/>
    <s v="na"/>
    <s v="F1845"/>
    <s v="na"/>
    <s v="na"/>
    <s v="na"/>
    <s v="na"/>
    <s v="na"/>
  </r>
  <r>
    <n v="583"/>
    <x v="23"/>
    <n v="2"/>
    <x v="1"/>
    <x v="0"/>
    <x v="5"/>
    <n v="22"/>
    <s v="404 K"/>
    <n v="82"/>
    <m/>
    <s v="U"/>
    <m/>
    <d v="1899-12-30T01:56:00"/>
    <s v="11:16"/>
    <s v="LF"/>
    <m/>
    <s v="20140705 LFerreira"/>
    <s v="20140707LFerreira"/>
    <s v="x"/>
    <n v="151.755"/>
    <s v="na"/>
    <s v="FWL"/>
    <s v="na"/>
    <s v="na"/>
    <s v="F1845"/>
    <s v="na"/>
    <s v="na"/>
    <s v="na"/>
    <s v="na"/>
    <s v="na"/>
  </r>
  <r>
    <n v="584"/>
    <x v="23"/>
    <n v="2"/>
    <x v="1"/>
    <x v="0"/>
    <x v="5"/>
    <n v="31"/>
    <s v="408 K"/>
    <n v="97"/>
    <m/>
    <s v="U"/>
    <m/>
    <d v="1899-12-30T01:58:00"/>
    <s v="13:25"/>
    <s v="LF"/>
    <m/>
    <s v="20140705 LFerreira"/>
    <s v="20140707LFerreira"/>
    <s v="x"/>
    <n v="151.755"/>
    <s v="na"/>
    <s v="FWL"/>
    <s v="na"/>
    <s v="na"/>
    <s v="F1845"/>
    <s v="na"/>
    <s v="na"/>
    <s v="na"/>
    <s v="na"/>
    <s v="na"/>
  </r>
  <r>
    <n v="585"/>
    <x v="23"/>
    <n v="2"/>
    <x v="4"/>
    <x v="1"/>
    <x v="0"/>
    <m/>
    <m/>
    <n v="35"/>
    <m/>
    <s v="U"/>
    <m/>
    <d v="1899-12-30T00:36:00"/>
    <s v="13:23"/>
    <s v="LF"/>
    <m/>
    <s v="20140705 LFerreira"/>
    <s v="20140707LFerreira"/>
    <s v="x"/>
    <s v="x"/>
    <s v="na"/>
    <s v="FWL"/>
    <s v="na"/>
    <s v="na"/>
    <s v="na"/>
    <s v="na"/>
    <s v="na"/>
    <s v="na"/>
    <s v="na"/>
    <s v="na"/>
  </r>
  <r>
    <n v="586"/>
    <x v="23"/>
    <n v="2"/>
    <x v="4"/>
    <x v="1"/>
    <x v="3"/>
    <n v="5"/>
    <s v="409 K"/>
    <n v="48"/>
    <m/>
    <s v="U"/>
    <d v="1899-12-30T13:29:00"/>
    <d v="1899-12-30T02:03:00"/>
    <s v="13:34"/>
    <s v="LF"/>
    <m/>
    <s v="20140705 LFerreira"/>
    <s v="20140707LFerreira"/>
    <d v="1899-12-30T00:02:57"/>
    <n v="151.917"/>
    <s v="na"/>
    <s v="FWL"/>
    <s v="na"/>
    <s v="na"/>
    <s v="F1835"/>
    <s v="na"/>
    <s v="na"/>
    <s v="na"/>
    <s v="na"/>
    <s v="na"/>
  </r>
  <r>
    <n v="587"/>
    <x v="23"/>
    <n v="2"/>
    <x v="1"/>
    <x v="0"/>
    <x v="4"/>
    <n v="64"/>
    <s v="411 K"/>
    <n v="98"/>
    <m/>
    <s v="U"/>
    <m/>
    <d v="1899-12-30T02:36:00"/>
    <s v="14:58"/>
    <s v="HR"/>
    <s v="hit the deck upon release"/>
    <s v="20140705 HReider"/>
    <s v="20140707LFerreira"/>
    <s v="x"/>
    <n v="151.78399999999999"/>
    <s v="na"/>
    <s v="FWL"/>
    <s v="na"/>
    <s v="na"/>
    <s v="F1845"/>
    <s v="na"/>
    <s v="na"/>
    <s v="na"/>
    <s v="na"/>
    <s v="na"/>
  </r>
  <r>
    <n v="588"/>
    <x v="23"/>
    <n v="2"/>
    <x v="1"/>
    <x v="0"/>
    <x v="5"/>
    <n v="99"/>
    <s v="412 K"/>
    <n v="93"/>
    <m/>
    <s v="U"/>
    <m/>
    <d v="1899-12-30T01:43:00"/>
    <s v="15:04"/>
    <s v="JB"/>
    <m/>
    <s v="20140705 HReider"/>
    <s v="20140707LFerreira"/>
    <s v="x"/>
    <n v="151.755"/>
    <s v="na"/>
    <s v="FWL"/>
    <s v="na"/>
    <s v="na"/>
    <s v="F1845"/>
    <s v="na"/>
    <s v="na"/>
    <s v="na"/>
    <s v="na"/>
    <s v="na"/>
  </r>
  <r>
    <n v="589"/>
    <x v="23"/>
    <n v="2"/>
    <x v="1"/>
    <x v="0"/>
    <x v="4"/>
    <n v="53"/>
    <s v="414 K"/>
    <n v="58"/>
    <m/>
    <s v="U"/>
    <m/>
    <d v="1899-12-30T01:38:00"/>
    <s v="18:28"/>
    <s v="HR"/>
    <m/>
    <s v="20140705 HReider"/>
    <s v="20140707LFerreira"/>
    <s v="x"/>
    <n v="151.78399999999999"/>
    <s v="na"/>
    <s v="FWL"/>
    <s v="na"/>
    <s v="na"/>
    <s v="F1845"/>
    <s v="na"/>
    <s v="na"/>
    <s v="na"/>
    <s v="na"/>
    <s v="na"/>
  </r>
  <r>
    <n v="590"/>
    <x v="23"/>
    <n v="2"/>
    <x v="1"/>
    <x v="0"/>
    <x v="8"/>
    <n v="31"/>
    <s v="416 K"/>
    <n v="84"/>
    <m/>
    <s v="U"/>
    <m/>
    <d v="1899-12-30T01:32:00"/>
    <s v="22:08"/>
    <s v="JK"/>
    <m/>
    <s v="20140705 JKunzler"/>
    <s v="20140707LFerreira"/>
    <s v="x"/>
    <n v="151.364"/>
    <s v="na"/>
    <s v="FWL"/>
    <s v="na"/>
    <s v="na"/>
    <s v="F1845"/>
    <s v="na"/>
    <s v="na"/>
    <s v="na"/>
    <s v="na"/>
    <s v="na"/>
  </r>
  <r>
    <n v="591"/>
    <x v="23"/>
    <n v="2"/>
    <x v="1"/>
    <x v="0"/>
    <x v="9"/>
    <n v="96"/>
    <s v="417 K"/>
    <n v="53"/>
    <m/>
    <s v="U"/>
    <m/>
    <d v="1899-12-30T01:43:00"/>
    <s v="22:13"/>
    <s v="QB"/>
    <m/>
    <s v="20140705 JKunzler"/>
    <s v="20140707LFerreira"/>
    <s v="x"/>
    <n v="151.875"/>
    <s v="na"/>
    <s v="FWL"/>
    <s v="na"/>
    <s v="na"/>
    <s v="F1845"/>
    <s v="na"/>
    <s v="na"/>
    <s v="na"/>
    <s v="na"/>
    <s v="na"/>
  </r>
  <r>
    <n v="592"/>
    <x v="23"/>
    <n v="2"/>
    <x v="5"/>
    <x v="2"/>
    <x v="0"/>
    <m/>
    <m/>
    <m/>
    <n v="35"/>
    <s v="U"/>
    <m/>
    <d v="1899-12-30T00:27:00"/>
    <s v="22:17"/>
    <s v="JK"/>
    <m/>
    <s v="20140705 JKunzler"/>
    <s v="20140707LFerreira"/>
    <s v="x"/>
    <s v="x"/>
    <s v="na"/>
    <s v="FWL"/>
    <s v="na"/>
    <s v="na"/>
    <s v="na"/>
    <s v="na"/>
    <s v="na"/>
    <s v="na"/>
    <s v="na"/>
    <s v="na"/>
  </r>
  <r>
    <n v="593"/>
    <x v="23"/>
    <n v="3"/>
    <x v="1"/>
    <x v="0"/>
    <x v="5"/>
    <n v="92"/>
    <s v="387 K"/>
    <n v="95"/>
    <m/>
    <s v="U"/>
    <m/>
    <d v="1899-12-30T02:05:00"/>
    <s v="05:57"/>
    <s v="JG"/>
    <s v="P"/>
    <s v="20140705 JGraham"/>
    <s v="20140707LFerreira"/>
    <s v="x"/>
    <n v="151.755"/>
    <s v="na"/>
    <s v="FWL"/>
    <s v="na"/>
    <s v="na"/>
    <s v="F1845"/>
    <s v="na"/>
    <s v="na"/>
    <s v="na"/>
    <s v="na"/>
    <s v="na"/>
  </r>
  <r>
    <n v="594"/>
    <x v="23"/>
    <n v="3"/>
    <x v="1"/>
    <x v="0"/>
    <x v="5"/>
    <n v="56"/>
    <s v="388 K"/>
    <n v="62"/>
    <m/>
    <s v="U"/>
    <m/>
    <d v="1899-12-30T01:32:00"/>
    <s v="06:02"/>
    <s v="JG"/>
    <s v="P"/>
    <s v="20140705 JGraham"/>
    <s v="20140707LFerreira"/>
    <s v="x"/>
    <n v="151.755"/>
    <s v="na"/>
    <s v="FWL"/>
    <s v="na"/>
    <s v="na"/>
    <s v="F1845"/>
    <s v="na"/>
    <s v="na"/>
    <s v="na"/>
    <s v="na"/>
    <s v="na"/>
  </r>
  <r>
    <n v="595"/>
    <x v="23"/>
    <n v="3"/>
    <x v="1"/>
    <x v="0"/>
    <x v="5"/>
    <n v="80"/>
    <s v="389 K"/>
    <n v="62"/>
    <m/>
    <s v="U"/>
    <m/>
    <d v="1899-12-30T00:59:00"/>
    <s v="06:05"/>
    <s v="JG"/>
    <s v="P"/>
    <s v="20140705 JGraham"/>
    <s v="20140707LFerreira"/>
    <s v="x"/>
    <n v="151.755"/>
    <s v="na"/>
    <s v="FWL"/>
    <s v="na"/>
    <s v="na"/>
    <s v="F1845"/>
    <s v="na"/>
    <s v="na"/>
    <s v="na"/>
    <s v="na"/>
    <s v="na"/>
  </r>
  <r>
    <n v="596"/>
    <x v="23"/>
    <n v="3"/>
    <x v="4"/>
    <x v="1"/>
    <x v="0"/>
    <m/>
    <m/>
    <n v="34"/>
    <m/>
    <s v="U"/>
    <m/>
    <d v="1899-12-30T00:40:00"/>
    <s v="06:09"/>
    <s v="DJ"/>
    <s v="S too small to tag"/>
    <s v="20140705 JGraham"/>
    <s v="20140707LFerreira"/>
    <s v="x"/>
    <s v="x"/>
    <s v="na"/>
    <s v="FWL"/>
    <s v="na"/>
    <s v="na"/>
    <s v="na"/>
    <s v="na"/>
    <s v="na"/>
    <s v="na"/>
    <s v="na"/>
    <s v="na"/>
  </r>
  <r>
    <n v="597"/>
    <x v="23"/>
    <n v="3"/>
    <x v="4"/>
    <x v="1"/>
    <x v="0"/>
    <m/>
    <m/>
    <n v="35"/>
    <m/>
    <s v="U"/>
    <m/>
    <d v="1899-12-30T00:35:00"/>
    <s v="06:11"/>
    <s v="DJ"/>
    <s v="S too small to tag"/>
    <s v="20140705 JGraham"/>
    <s v="20140707LFerreira"/>
    <s v="x"/>
    <s v="x"/>
    <s v="na"/>
    <s v="FWL"/>
    <s v="na"/>
    <s v="na"/>
    <s v="na"/>
    <s v="na"/>
    <s v="na"/>
    <s v="na"/>
    <s v="na"/>
    <s v="na"/>
  </r>
  <r>
    <n v="598"/>
    <x v="23"/>
    <n v="3"/>
    <x v="3"/>
    <x v="2"/>
    <x v="0"/>
    <m/>
    <m/>
    <n v="23"/>
    <m/>
    <s v="U"/>
    <m/>
    <d v="1899-12-30T00:27:00"/>
    <s v="06:13"/>
    <s v="DJ"/>
    <s v="S "/>
    <s v="20140705 JGraham"/>
    <s v="20140707LFerreira"/>
    <s v="x"/>
    <s v="x"/>
    <s v="na"/>
    <s v="FWL"/>
    <s v="na"/>
    <s v="na"/>
    <s v="na"/>
    <s v="na"/>
    <s v="na"/>
    <s v="na"/>
    <s v="na"/>
    <s v="na"/>
  </r>
  <r>
    <n v="599"/>
    <x v="23"/>
    <n v="3"/>
    <x v="1"/>
    <x v="0"/>
    <x v="4"/>
    <n v="17"/>
    <m/>
    <n v="104"/>
    <m/>
    <s v="U"/>
    <d v="1899-12-30T07:10:00"/>
    <d v="1899-12-30T01:42:00"/>
    <s v="07:23"/>
    <s v="DJ"/>
    <s v="escaped with straw, tag probably held, no genetics"/>
    <s v="20140705 JGraham"/>
    <s v="20140707LFerreira"/>
    <d v="1899-12-30T00:11:18"/>
    <n v="151.78399999999999"/>
    <s v="na"/>
    <s v="FWL"/>
    <s v="na"/>
    <s v="na"/>
    <s v="F1845"/>
    <s v="na"/>
    <s v="na"/>
    <s v="na"/>
    <s v="na"/>
    <s v="na"/>
  </r>
  <r>
    <n v="600"/>
    <x v="23"/>
    <n v="3"/>
    <x v="3"/>
    <x v="2"/>
    <x v="0"/>
    <m/>
    <m/>
    <m/>
    <n v="33"/>
    <s v="U"/>
    <m/>
    <d v="1899-12-30T00:30:00"/>
    <s v="08:50"/>
    <s v="JG"/>
    <m/>
    <s v="20140705 JGraham"/>
    <s v="20140707LFerreira"/>
    <s v="x"/>
    <s v="x"/>
    <s v="na"/>
    <s v="FWL"/>
    <s v="na"/>
    <s v="na"/>
    <s v="na"/>
    <s v="na"/>
    <s v="na"/>
    <s v="na"/>
    <s v="na"/>
    <s v="na"/>
  </r>
  <r>
    <n v="601"/>
    <x v="23"/>
    <n v="3"/>
    <x v="1"/>
    <x v="0"/>
    <x v="4"/>
    <n v="44"/>
    <s v="390 K"/>
    <n v="54"/>
    <m/>
    <s v="U"/>
    <d v="1899-12-30T11:00:00"/>
    <d v="1899-12-30T01:22:00"/>
    <s v="11:14"/>
    <s v="JK"/>
    <m/>
    <s v="20140705 JKunzler"/>
    <s v="20140707LFerreira"/>
    <d v="1899-12-30T00:12:38"/>
    <n v="151.78399999999999"/>
    <s v="na"/>
    <s v="FWL"/>
    <s v="na"/>
    <s v="na"/>
    <s v="F1845"/>
    <s v="na"/>
    <s v="na"/>
    <s v="na"/>
    <s v="na"/>
    <s v="na"/>
  </r>
  <r>
    <n v="602"/>
    <x v="23"/>
    <n v="3"/>
    <x v="1"/>
    <x v="0"/>
    <x v="4"/>
    <n v="61"/>
    <s v="391 K"/>
    <n v="80"/>
    <m/>
    <s v="U"/>
    <m/>
    <d v="1899-12-30T01:32:00"/>
    <s v="13:03"/>
    <s v="JK"/>
    <m/>
    <s v="20140705 JKunzler"/>
    <s v="20140707LFerreira"/>
    <s v="x"/>
    <n v="151.78399999999999"/>
    <s v="na"/>
    <s v="FWL"/>
    <s v="na"/>
    <s v="na"/>
    <s v="F1845"/>
    <s v="na"/>
    <s v="na"/>
    <s v="na"/>
    <s v="na"/>
    <s v="na"/>
  </r>
  <r>
    <n v="603"/>
    <x v="23"/>
    <n v="3"/>
    <x v="1"/>
    <x v="0"/>
    <x v="5"/>
    <n v="53"/>
    <s v="392 K"/>
    <n v="94"/>
    <m/>
    <s v="U"/>
    <m/>
    <d v="1899-12-30T01:45:00"/>
    <s v="13:43"/>
    <s v="EG"/>
    <m/>
    <s v="20140705 JKunzler"/>
    <s v="20140707LFerreira"/>
    <s v="x"/>
    <n v="151.755"/>
    <s v="na"/>
    <s v="FWL"/>
    <s v="na"/>
    <s v="na"/>
    <s v="F1845"/>
    <s v="na"/>
    <s v="na"/>
    <s v="na"/>
    <s v="na"/>
    <s v="na"/>
  </r>
  <r>
    <n v="604"/>
    <x v="23"/>
    <n v="3"/>
    <x v="1"/>
    <x v="0"/>
    <x v="5"/>
    <n v="16"/>
    <s v="393 K"/>
    <n v="81"/>
    <m/>
    <s v="U"/>
    <m/>
    <d v="1899-12-30T02:02:00"/>
    <s v="13:47"/>
    <s v="EG"/>
    <m/>
    <s v="20140705 JKunzler"/>
    <s v="20140707LFerreira"/>
    <s v="x"/>
    <n v="151.755"/>
    <s v="na"/>
    <s v="FWL"/>
    <s v="na"/>
    <s v="na"/>
    <s v="F1845"/>
    <s v="na"/>
    <s v="na"/>
    <s v="na"/>
    <s v="na"/>
    <s v="na"/>
  </r>
  <r>
    <n v="605"/>
    <x v="23"/>
    <n v="3"/>
    <x v="1"/>
    <x v="0"/>
    <x v="5"/>
    <n v="47"/>
    <s v="394 K"/>
    <n v="94"/>
    <m/>
    <s v="U"/>
    <m/>
    <d v="1899-12-30T02:10:00"/>
    <s v="15:04"/>
    <s v="DJ"/>
    <m/>
    <s v="20140705 JGraham"/>
    <s v="20140707LFerreira"/>
    <s v="x"/>
    <n v="151.755"/>
    <s v="na"/>
    <s v="FWL"/>
    <s v="na"/>
    <s v="na"/>
    <s v="F1845"/>
    <s v="na"/>
    <s v="na"/>
    <s v="na"/>
    <s v="na"/>
    <s v="na"/>
  </r>
  <r>
    <n v="606"/>
    <x v="23"/>
    <n v="3"/>
    <x v="1"/>
    <x v="0"/>
    <x v="4"/>
    <n v="41"/>
    <s v="395 K"/>
    <n v="86"/>
    <m/>
    <s v="U"/>
    <m/>
    <d v="1899-12-30T01:20:00"/>
    <s v="15:10"/>
    <s v="DJ"/>
    <m/>
    <s v="20140705 JGraham"/>
    <s v="20140707LFerreira"/>
    <s v="x"/>
    <n v="151.78399999999999"/>
    <s v="na"/>
    <s v="FWL"/>
    <s v="na"/>
    <s v="na"/>
    <s v="F1845"/>
    <s v="na"/>
    <s v="na"/>
    <s v="na"/>
    <s v="na"/>
    <s v="na"/>
  </r>
  <r>
    <n v="607"/>
    <x v="23"/>
    <n v="3"/>
    <x v="1"/>
    <x v="0"/>
    <x v="5"/>
    <n v="61"/>
    <s v="396 K"/>
    <n v="51"/>
    <m/>
    <s v="U"/>
    <m/>
    <d v="1899-12-30T01:06:00"/>
    <s v="16:16"/>
    <s v="JG"/>
    <m/>
    <s v="20140705 JGraham"/>
    <s v="20140707LFerreira"/>
    <s v="x"/>
    <n v="151.755"/>
    <s v="na"/>
    <s v="FWL"/>
    <s v="na"/>
    <s v="na"/>
    <s v="F1845"/>
    <s v="na"/>
    <s v="na"/>
    <s v="na"/>
    <s v="na"/>
    <s v="na"/>
  </r>
  <r>
    <n v="608"/>
    <x v="23"/>
    <n v="3"/>
    <x v="1"/>
    <x v="0"/>
    <x v="4"/>
    <n v="78"/>
    <s v="418 K"/>
    <n v="51"/>
    <m/>
    <s v="U"/>
    <m/>
    <d v="1899-12-30T01:30:00"/>
    <s v="16:44"/>
    <s v="JG"/>
    <m/>
    <s v="20140705 JGraham"/>
    <s v="20140707LFerreira"/>
    <s v="x"/>
    <n v="151.78399999999999"/>
    <s v="na"/>
    <s v="FWL"/>
    <s v="na"/>
    <s v="na"/>
    <s v="F1845"/>
    <s v="na"/>
    <s v="na"/>
    <s v="na"/>
    <s v="na"/>
    <s v="na"/>
  </r>
  <r>
    <n v="609"/>
    <x v="23"/>
    <n v="3"/>
    <x v="1"/>
    <x v="0"/>
    <x v="5"/>
    <n v="30"/>
    <s v="419 K"/>
    <n v="56"/>
    <m/>
    <s v="U"/>
    <m/>
    <d v="1899-12-30T00:58:00"/>
    <s v="16:48"/>
    <s v="JG"/>
    <s v="marks around body at back of head"/>
    <s v="20140705 JGraham"/>
    <s v="20140707LFerreira"/>
    <s v="x"/>
    <n v="151.755"/>
    <s v="na"/>
    <s v="FWL"/>
    <s v="na"/>
    <s v="na"/>
    <s v="F1845"/>
    <s v="na"/>
    <s v="na"/>
    <s v="na"/>
    <s v="na"/>
    <s v="na"/>
  </r>
  <r>
    <n v="610"/>
    <x v="23"/>
    <n v="3"/>
    <x v="1"/>
    <x v="0"/>
    <x v="5"/>
    <n v="12"/>
    <s v="420 K"/>
    <n v="83"/>
    <m/>
    <s v="U"/>
    <d v="1899-12-30T17:35:00"/>
    <d v="1899-12-30T01:19:00"/>
    <s v="17:50"/>
    <s v="JG"/>
    <s v="capture time 17:35"/>
    <s v="20140705 JGraham"/>
    <s v="20140707LFerreira"/>
    <d v="1899-12-30T00:13:41"/>
    <n v="151.755"/>
    <s v="na"/>
    <s v="FWL"/>
    <s v="na"/>
    <s v="na"/>
    <s v="F1845"/>
    <s v="na"/>
    <s v="na"/>
    <s v="na"/>
    <s v="na"/>
    <s v="na"/>
  </r>
  <r>
    <n v="611"/>
    <x v="23"/>
    <n v="3"/>
    <x v="1"/>
    <x v="0"/>
    <x v="5"/>
    <n v="32"/>
    <s v="421 K"/>
    <n v="91"/>
    <m/>
    <s v="U"/>
    <d v="1899-12-30T18:14:00"/>
    <d v="1899-12-30T01:26:00"/>
    <s v="18:19"/>
    <s v="DJ"/>
    <s v="shallow wound on side"/>
    <s v="20140705 JGraham"/>
    <s v="20140707LFerreira"/>
    <d v="1899-12-30T00:03:34"/>
    <n v="151.755"/>
    <s v="na"/>
    <s v="FWL"/>
    <s v="na"/>
    <s v="na"/>
    <s v="F1845"/>
    <s v="na"/>
    <s v="na"/>
    <s v="na"/>
    <s v="na"/>
    <s v="na"/>
  </r>
  <r>
    <n v="612"/>
    <x v="23"/>
    <n v="3"/>
    <x v="3"/>
    <x v="2"/>
    <x v="0"/>
    <m/>
    <m/>
    <m/>
    <n v="17"/>
    <s v="U"/>
    <d v="1899-12-30T18:42:00"/>
    <d v="1899-12-30T00:20:00"/>
    <s v="18:46"/>
    <s v="JG"/>
    <m/>
    <s v="20140705 JGraham"/>
    <s v="20140707LFerreira"/>
    <d v="1899-12-30T00:03:40"/>
    <s v="x"/>
    <s v="na"/>
    <s v="FWL"/>
    <s v="na"/>
    <s v="na"/>
    <s v="na"/>
    <s v="na"/>
    <s v="na"/>
    <s v="na"/>
    <s v="na"/>
    <s v="na"/>
  </r>
  <r>
    <n v="613"/>
    <x v="23"/>
    <n v="3"/>
    <x v="3"/>
    <x v="2"/>
    <x v="0"/>
    <m/>
    <m/>
    <m/>
    <n v="26"/>
    <s v="U"/>
    <m/>
    <d v="1899-12-30T00:30:00"/>
    <s v="18:47"/>
    <s v="DJ"/>
    <m/>
    <s v="20140705 JGraham"/>
    <s v="20140707LFerreira"/>
    <s v="x"/>
    <s v="x"/>
    <s v="na"/>
    <s v="FWL"/>
    <s v="na"/>
    <s v="na"/>
    <s v="na"/>
    <s v="na"/>
    <s v="na"/>
    <s v="na"/>
    <s v="na"/>
    <s v="na"/>
  </r>
  <r>
    <n v="614"/>
    <x v="23"/>
    <n v="3"/>
    <x v="1"/>
    <x v="0"/>
    <x v="0"/>
    <m/>
    <m/>
    <n v="96"/>
    <m/>
    <s v="U"/>
    <m/>
    <d v="1899-12-30T01:36:00"/>
    <s v="19:27"/>
    <s v="LF"/>
    <s v="fish got away, not tagged"/>
    <s v="20140705 EGora"/>
    <s v="20140707LFerreira"/>
    <s v="x"/>
    <s v="x"/>
    <s v="na"/>
    <s v="FWL"/>
    <s v="na"/>
    <s v="na"/>
    <s v="na"/>
    <s v="na"/>
    <s v="na"/>
    <s v="na"/>
    <s v="na"/>
    <s v="na"/>
  </r>
  <r>
    <n v="615"/>
    <x v="23"/>
    <n v="3"/>
    <x v="3"/>
    <x v="2"/>
    <x v="0"/>
    <m/>
    <m/>
    <m/>
    <n v="21"/>
    <s v="U"/>
    <d v="1899-12-30T20:20:00"/>
    <d v="1899-12-30T00:47:00"/>
    <s v="20:31"/>
    <s v="AS"/>
    <m/>
    <s v="20140705 EGora"/>
    <s v="20140707LFerreira"/>
    <d v="1899-12-30T00:10:13"/>
    <s v="x"/>
    <s v="na"/>
    <s v="FWL"/>
    <s v="na"/>
    <s v="na"/>
    <s v="na"/>
    <s v="na"/>
    <s v="na"/>
    <s v="na"/>
    <s v="na"/>
    <s v="na"/>
  </r>
  <r>
    <n v="616"/>
    <x v="23"/>
    <n v="3"/>
    <x v="1"/>
    <x v="0"/>
    <x v="8"/>
    <n v="6"/>
    <s v="431 K"/>
    <n v="87"/>
    <m/>
    <s v="U"/>
    <d v="1899-12-30T21:18:00"/>
    <d v="1899-12-30T01:32:00"/>
    <s v="21:22"/>
    <s v="AS"/>
    <m/>
    <s v="20140705 EGora"/>
    <s v="20140707LFerreira"/>
    <d v="1899-12-30T00:02:28"/>
    <n v="151.364"/>
    <s v="na"/>
    <s v="FWL"/>
    <s v="na"/>
    <s v="na"/>
    <s v="F1845"/>
    <s v="na"/>
    <s v="na"/>
    <s v="na"/>
    <s v="na"/>
    <s v="na"/>
  </r>
  <r>
    <n v="617"/>
    <x v="23"/>
    <n v="3"/>
    <x v="4"/>
    <x v="1"/>
    <x v="0"/>
    <m/>
    <m/>
    <n v="30"/>
    <m/>
    <s v="U"/>
    <d v="1899-12-30T22:34:00"/>
    <d v="1899-12-30T00:58:00"/>
    <s v="22:35"/>
    <s v="EG"/>
    <m/>
    <s v="20140705 EGora"/>
    <s v="20140707LFerreira"/>
    <d v="1899-12-30T00:00:02"/>
    <s v="x"/>
    <s v="na"/>
    <s v="FWL"/>
    <s v="na"/>
    <s v="na"/>
    <s v="na"/>
    <s v="na"/>
    <s v="na"/>
    <s v="na"/>
    <s v="na"/>
    <s v="na"/>
  </r>
  <r>
    <n v="618"/>
    <x v="23"/>
    <n v="3"/>
    <x v="6"/>
    <x v="2"/>
    <x v="0"/>
    <m/>
    <s v="Bulk DV"/>
    <n v="26"/>
    <m/>
    <s v="U"/>
    <d v="1899-12-30T23:09:00"/>
    <d v="1899-12-30T01:18:00"/>
    <s v="23:13"/>
    <s v="LF"/>
    <m/>
    <s v="20140705 EGora"/>
    <s v="20140707LFerreira"/>
    <d v="1899-12-30T00:02:42"/>
    <s v="x"/>
    <s v="na"/>
    <s v="FWL"/>
    <s v="na"/>
    <s v="na"/>
    <s v="na"/>
    <s v="na"/>
    <s v="na"/>
    <s v="na"/>
    <s v="na"/>
    <s v="na"/>
  </r>
  <r>
    <n v="619"/>
    <x v="24"/>
    <n v="1"/>
    <x v="1"/>
    <x v="0"/>
    <x v="9"/>
    <n v="10"/>
    <s v="423 K"/>
    <n v="96"/>
    <m/>
    <s v="U"/>
    <m/>
    <d v="1899-12-30T01:05:00"/>
    <s v="05:54"/>
    <s v="DJ"/>
    <s v="S"/>
    <s v="20140706 DJohnson"/>
    <s v="20140707LFerreira"/>
    <s v="x"/>
    <n v="151.875"/>
    <s v="na"/>
    <s v="FWL"/>
    <s v="na"/>
    <s v="na"/>
    <s v="F1845"/>
    <s v="na"/>
    <s v="na"/>
    <s v="na"/>
    <s v="na"/>
    <s v="na"/>
  </r>
  <r>
    <n v="620"/>
    <x v="24"/>
    <n v="1"/>
    <x v="4"/>
    <x v="1"/>
    <x v="0"/>
    <m/>
    <m/>
    <n v="33"/>
    <m/>
    <s v="U"/>
    <m/>
    <d v="1899-12-30T00:25:00"/>
    <s v="05:52"/>
    <s v="DJ"/>
    <s v="S too small to tag"/>
    <s v="20140706 DJohnson"/>
    <s v="20140707LFerreira"/>
    <s v="x"/>
    <s v="x"/>
    <s v="na"/>
    <s v="FWL"/>
    <s v="na"/>
    <s v="na"/>
    <s v="na"/>
    <s v="na"/>
    <s v="na"/>
    <s v="na"/>
    <s v="na"/>
    <s v="na"/>
  </r>
  <r>
    <n v="621"/>
    <x v="24"/>
    <n v="1"/>
    <x v="1"/>
    <x v="0"/>
    <x v="9"/>
    <n v="89"/>
    <s v="424 K"/>
    <n v="87"/>
    <m/>
    <s v="U"/>
    <m/>
    <d v="1899-12-30T01:06:00"/>
    <s v="06:05"/>
    <s v="JB"/>
    <s v="S"/>
    <s v="20140706 DJohnson"/>
    <s v="20140707LFerreira"/>
    <s v="x"/>
    <n v="151.875"/>
    <s v="na"/>
    <s v="FWL"/>
    <s v="na"/>
    <s v="na"/>
    <s v="F1845"/>
    <s v="na"/>
    <s v="na"/>
    <s v="na"/>
    <s v="na"/>
    <s v="na"/>
  </r>
  <r>
    <n v="622"/>
    <x v="24"/>
    <n v="1"/>
    <x v="4"/>
    <x v="1"/>
    <x v="0"/>
    <m/>
    <m/>
    <n v="33"/>
    <m/>
    <s v="U"/>
    <m/>
    <d v="1899-12-30T00:18:00"/>
    <s v="06:01"/>
    <s v="JB"/>
    <s v="S too small to tag"/>
    <s v="20140706 DJohnson"/>
    <s v="20140707LFerreira"/>
    <s v="x"/>
    <s v="x"/>
    <s v="na"/>
    <s v="FWL"/>
    <s v="na"/>
    <s v="na"/>
    <s v="na"/>
    <s v="na"/>
    <s v="na"/>
    <s v="na"/>
    <s v="na"/>
    <s v="na"/>
  </r>
  <r>
    <n v="623"/>
    <x v="24"/>
    <n v="1"/>
    <x v="7"/>
    <x v="0"/>
    <x v="6"/>
    <n v="94"/>
    <s v="3 S"/>
    <n v="47"/>
    <m/>
    <s v="U"/>
    <m/>
    <d v="1899-12-30T01:14:00"/>
    <s v="06:10"/>
    <s v="DJ"/>
    <s v="S"/>
    <s v="20140706 DJohnson"/>
    <s v="20140707LFerreira"/>
    <s v="x"/>
    <n v="151.57300000000001"/>
    <s v="na"/>
    <s v="FWL"/>
    <s v="na"/>
    <s v="na"/>
    <s v="F1840"/>
    <s v="na"/>
    <s v="na"/>
    <s v="na"/>
    <s v="na"/>
    <s v="na"/>
  </r>
  <r>
    <n v="624"/>
    <x v="24"/>
    <n v="1"/>
    <x v="1"/>
    <x v="0"/>
    <x v="8"/>
    <n v="49"/>
    <s v="425 K"/>
    <n v="62"/>
    <m/>
    <s v="U"/>
    <m/>
    <d v="1899-12-30T01:09:00"/>
    <s v="06:17"/>
    <s v="JB"/>
    <s v="S"/>
    <s v="20140706 DJohnson"/>
    <s v="20140707LFerreira"/>
    <s v="x"/>
    <n v="151.364"/>
    <s v="na"/>
    <s v="FWL"/>
    <s v="na"/>
    <s v="na"/>
    <s v="F1845"/>
    <s v="na"/>
    <s v="na"/>
    <s v="na"/>
    <s v="na"/>
    <s v="na"/>
  </r>
  <r>
    <n v="625"/>
    <x v="24"/>
    <n v="1"/>
    <x v="4"/>
    <x v="1"/>
    <x v="0"/>
    <m/>
    <m/>
    <n v="31"/>
    <m/>
    <s v="U"/>
    <m/>
    <d v="1899-12-30T00:16:00"/>
    <s v="06:20"/>
    <s v="DJ"/>
    <s v="S too small to tag"/>
    <s v="20140706 DJohnson"/>
    <s v="20140707LFerreira"/>
    <s v="x"/>
    <s v="x"/>
    <s v="na"/>
    <s v="FWL"/>
    <s v="na"/>
    <s v="na"/>
    <s v="na"/>
    <s v="na"/>
    <s v="na"/>
    <s v="na"/>
    <s v="na"/>
    <s v="na"/>
  </r>
  <r>
    <n v="626"/>
    <x v="24"/>
    <n v="1"/>
    <x v="5"/>
    <x v="2"/>
    <x v="0"/>
    <m/>
    <m/>
    <m/>
    <n v="29"/>
    <s v="U"/>
    <m/>
    <d v="1899-12-30T00:12:00"/>
    <s v="06:21"/>
    <s v="DJ"/>
    <s v="S"/>
    <s v="20140706 DJohnson"/>
    <s v="20140707LFerreira"/>
    <s v="x"/>
    <s v="x"/>
    <s v="na"/>
    <s v="FWL"/>
    <s v="na"/>
    <s v="na"/>
    <s v="na"/>
    <s v="na"/>
    <s v="na"/>
    <s v="na"/>
    <s v="na"/>
    <s v="na"/>
  </r>
  <r>
    <n v="627"/>
    <x v="24"/>
    <n v="1"/>
    <x v="4"/>
    <x v="1"/>
    <x v="0"/>
    <m/>
    <m/>
    <n v="31"/>
    <m/>
    <s v="U"/>
    <m/>
    <d v="1899-12-30T00:20:00"/>
    <s v="06:23"/>
    <s v="DJ"/>
    <s v="S too small to tag"/>
    <s v="20140706 DJohnson"/>
    <s v="20140707LFerreira"/>
    <s v="x"/>
    <s v="x"/>
    <s v="na"/>
    <s v="FWL"/>
    <s v="na"/>
    <s v="na"/>
    <s v="na"/>
    <s v="na"/>
    <s v="na"/>
    <s v="na"/>
    <s v="na"/>
    <s v="na"/>
  </r>
  <r>
    <n v="628"/>
    <x v="24"/>
    <n v="1"/>
    <x v="4"/>
    <x v="1"/>
    <x v="0"/>
    <m/>
    <m/>
    <m/>
    <m/>
    <s v="U"/>
    <m/>
    <d v="1899-12-30T00:35:00"/>
    <s v="06:28"/>
    <s v="DJ"/>
    <s v="P Hit the deck, released. Too small to tag"/>
    <s v="20140706 DJohnson"/>
    <s v="20140707LFerreira"/>
    <s v="x"/>
    <s v="x"/>
    <s v="na"/>
    <s v="FWL"/>
    <s v="na"/>
    <s v="na"/>
    <s v="na"/>
    <s v="na"/>
    <s v="na"/>
    <s v="na"/>
    <s v="na"/>
    <s v="na"/>
  </r>
  <r>
    <n v="629"/>
    <x v="24"/>
    <n v="1"/>
    <x v="0"/>
    <x v="2"/>
    <x v="0"/>
    <m/>
    <m/>
    <m/>
    <n v="18"/>
    <s v="U"/>
    <m/>
    <d v="1899-12-30T00:50:00"/>
    <s v="06:30"/>
    <s v="DJ"/>
    <s v="P"/>
    <s v="20140706 DJohnson"/>
    <s v="20140707LFerreira"/>
    <s v="x"/>
    <s v="x"/>
    <s v="na"/>
    <s v="FWL"/>
    <s v="na"/>
    <s v="na"/>
    <s v="na"/>
    <s v="na"/>
    <s v="na"/>
    <s v="na"/>
    <s v="na"/>
    <s v="na"/>
  </r>
  <r>
    <n v="630"/>
    <x v="24"/>
    <n v="1"/>
    <x v="1"/>
    <x v="0"/>
    <x v="5"/>
    <n v="48"/>
    <s v="426 K"/>
    <n v="63"/>
    <m/>
    <s v="U"/>
    <m/>
    <d v="1899-12-30T01:02:00"/>
    <s v="06:32"/>
    <s v="DJ"/>
    <s v="P end overnight fish"/>
    <s v="20140706 DJohnson"/>
    <s v="20140707LFerreira"/>
    <s v="x"/>
    <n v="151.755"/>
    <s v="na"/>
    <s v="FWL"/>
    <s v="na"/>
    <s v="na"/>
    <s v="F1845"/>
    <s v="na"/>
    <s v="na"/>
    <s v="na"/>
    <s v="na"/>
    <s v="na"/>
  </r>
  <r>
    <n v="631"/>
    <x v="24"/>
    <n v="1"/>
    <x v="1"/>
    <x v="0"/>
    <x v="8"/>
    <n v="36"/>
    <s v="429 K"/>
    <n v="79"/>
    <m/>
    <s v="U"/>
    <m/>
    <d v="1899-12-30T01:15:00"/>
    <s v="07:23"/>
    <s v="JB"/>
    <m/>
    <s v="20140706 DJohnson"/>
    <s v="20140707LFerreira"/>
    <s v="x"/>
    <n v="151.364"/>
    <s v="na"/>
    <s v="FWL"/>
    <s v="na"/>
    <s v="na"/>
    <s v="F1845"/>
    <s v="na"/>
    <s v="na"/>
    <s v="na"/>
    <s v="na"/>
    <s v="na"/>
  </r>
  <r>
    <n v="632"/>
    <x v="24"/>
    <n v="1"/>
    <x v="1"/>
    <x v="0"/>
    <x v="9"/>
    <n v="80"/>
    <s v="439 K"/>
    <n v="100"/>
    <m/>
    <s v="U"/>
    <m/>
    <d v="1899-12-30T01:10:00"/>
    <s v="09:32"/>
    <s v="JB"/>
    <m/>
    <s v="20140706 DJohnson"/>
    <s v="20140707LFerreira"/>
    <s v="x"/>
    <n v="151.875"/>
    <s v="na"/>
    <s v="FWL"/>
    <s v="na"/>
    <s v="na"/>
    <s v="F1845"/>
    <s v="na"/>
    <s v="na"/>
    <s v="na"/>
    <s v="na"/>
    <s v="na"/>
  </r>
  <r>
    <n v="633"/>
    <x v="24"/>
    <n v="1"/>
    <x v="1"/>
    <x v="0"/>
    <x v="8"/>
    <n v="1"/>
    <s v="440 K"/>
    <n v="95"/>
    <m/>
    <s v="U"/>
    <m/>
    <d v="1899-12-30T01:59:00"/>
    <s v="11:34"/>
    <s v="LF"/>
    <s v="hit the deck;checked tag still good"/>
    <s v="20140706 JKunzler"/>
    <s v="20140707LFerreira"/>
    <s v="x"/>
    <n v="151.364"/>
    <s v="na"/>
    <s v="FWL"/>
    <s v="na"/>
    <s v="na"/>
    <s v="F1845"/>
    <s v="na"/>
    <s v="na"/>
    <s v="na"/>
    <s v="na"/>
    <s v="na"/>
  </r>
  <r>
    <n v="634"/>
    <x v="24"/>
    <n v="1"/>
    <x v="1"/>
    <x v="0"/>
    <x v="8"/>
    <n v="29"/>
    <s v="444 K"/>
    <n v="70"/>
    <m/>
    <s v="U"/>
    <m/>
    <d v="1899-12-30T01:30:00"/>
    <s v="11:47"/>
    <s v="LF"/>
    <m/>
    <s v="20140706 JKunzler"/>
    <s v="20140707LFerreira"/>
    <s v="x"/>
    <n v="151.364"/>
    <s v="na"/>
    <s v="FWL"/>
    <s v="na"/>
    <s v="na"/>
    <s v="F1845"/>
    <s v="na"/>
    <s v="na"/>
    <s v="na"/>
    <s v="na"/>
    <s v="na"/>
  </r>
  <r>
    <n v="635"/>
    <x v="24"/>
    <n v="1"/>
    <x v="4"/>
    <x v="1"/>
    <x v="0"/>
    <m/>
    <m/>
    <n v="33"/>
    <m/>
    <s v="U"/>
    <m/>
    <d v="1899-12-30T00:33:00"/>
    <s v="11:45"/>
    <s v="QB"/>
    <m/>
    <s v="20140706 JKunzler"/>
    <s v="20140707LFerreira"/>
    <s v="x"/>
    <s v="x"/>
    <s v="na"/>
    <s v="FWL"/>
    <s v="na"/>
    <s v="na"/>
    <s v="na"/>
    <s v="na"/>
    <s v="na"/>
    <s v="na"/>
    <s v="na"/>
    <s v="na"/>
  </r>
  <r>
    <n v="636"/>
    <x v="24"/>
    <n v="1"/>
    <x v="1"/>
    <x v="0"/>
    <x v="9"/>
    <n v="81"/>
    <s v="445 K"/>
    <n v="62"/>
    <m/>
    <s v="U"/>
    <m/>
    <d v="1899-12-30T01:11:00"/>
    <s v="11:58"/>
    <s v="LF"/>
    <m/>
    <s v="20140706 JKunzler"/>
    <s v="20140707LFerreira"/>
    <s v="x"/>
    <n v="151.875"/>
    <s v="na"/>
    <s v="FWL"/>
    <s v="na"/>
    <s v="na"/>
    <s v="F1845"/>
    <s v="na"/>
    <s v="na"/>
    <s v="na"/>
    <s v="na"/>
    <s v="na"/>
  </r>
  <r>
    <n v="637"/>
    <x v="24"/>
    <n v="1"/>
    <x v="4"/>
    <x v="1"/>
    <x v="0"/>
    <m/>
    <m/>
    <n v="37"/>
    <m/>
    <s v="U"/>
    <m/>
    <d v="1899-12-30T00:31:00"/>
    <s v="12:04"/>
    <s v="QB"/>
    <s v="too small to tag"/>
    <s v="20140706 JKunzler"/>
    <s v="20140707LFerreira"/>
    <s v="x"/>
    <s v="x"/>
    <s v="na"/>
    <s v="FWL"/>
    <s v="na"/>
    <s v="na"/>
    <s v="na"/>
    <s v="na"/>
    <s v="na"/>
    <s v="na"/>
    <s v="na"/>
    <s v="na"/>
  </r>
  <r>
    <n v="638"/>
    <x v="24"/>
    <n v="1"/>
    <x v="4"/>
    <x v="1"/>
    <x v="0"/>
    <m/>
    <m/>
    <n v="33"/>
    <m/>
    <s v="U"/>
    <m/>
    <d v="1899-12-30T00:24:00"/>
    <s v="12:06"/>
    <s v="QB"/>
    <s v="too small to tag"/>
    <s v="20140706 JKunzler"/>
    <s v="20140707LFerreira"/>
    <s v="x"/>
    <s v="x"/>
    <s v="na"/>
    <s v="FWL"/>
    <s v="na"/>
    <s v="na"/>
    <s v="na"/>
    <s v="na"/>
    <s v="na"/>
    <s v="na"/>
    <s v="na"/>
    <s v="na"/>
  </r>
  <r>
    <n v="639"/>
    <x v="24"/>
    <n v="1"/>
    <x v="1"/>
    <x v="0"/>
    <x v="9"/>
    <n v="66"/>
    <s v="447 K"/>
    <n v="60"/>
    <m/>
    <s v="U"/>
    <m/>
    <d v="1899-12-30T01:27:00"/>
    <s v="14:08"/>
    <s v="LF"/>
    <s v="release time 14:08"/>
    <s v="20140706 LFerreira"/>
    <s v="20140707LFerreira"/>
    <s v="x"/>
    <n v="151.875"/>
    <s v="na"/>
    <s v="FWL"/>
    <s v="na"/>
    <s v="na"/>
    <s v="F1845"/>
    <s v="na"/>
    <s v="na"/>
    <s v="na"/>
    <s v="na"/>
    <s v="na"/>
  </r>
  <r>
    <n v="640"/>
    <x v="24"/>
    <n v="1"/>
    <x v="1"/>
    <x v="0"/>
    <x v="8"/>
    <n v="14"/>
    <s v="448 K"/>
    <n v="78"/>
    <m/>
    <s v="U"/>
    <m/>
    <d v="1899-12-30T01:50:00"/>
    <s v="14:12"/>
    <s v="HR"/>
    <s v="left eye injury-fresh blood"/>
    <s v="20140706 LFerreira"/>
    <s v="20140707LFerreira"/>
    <s v="x"/>
    <n v="151.364"/>
    <s v="na"/>
    <s v="FWL"/>
    <s v="na"/>
    <s v="na"/>
    <s v="F1845"/>
    <s v="na"/>
    <s v="na"/>
    <s v="na"/>
    <s v="na"/>
    <s v="na"/>
  </r>
  <r>
    <n v="641"/>
    <x v="24"/>
    <n v="1"/>
    <x v="1"/>
    <x v="0"/>
    <x v="9"/>
    <n v="8"/>
    <s v="449 K"/>
    <n v="89"/>
    <m/>
    <s v="U"/>
    <m/>
    <d v="1899-12-30T01:36:00"/>
    <s v="14:24"/>
    <s v="HR"/>
    <m/>
    <s v="20140706 LFerreira"/>
    <s v="20140707LFerreira"/>
    <s v="x"/>
    <n v="151.875"/>
    <s v="na"/>
    <s v="FWL"/>
    <s v="na"/>
    <s v="na"/>
    <s v="F1845"/>
    <s v="na"/>
    <s v="na"/>
    <s v="na"/>
    <s v="na"/>
    <s v="na"/>
  </r>
  <r>
    <n v="642"/>
    <x v="24"/>
    <n v="1"/>
    <x v="1"/>
    <x v="0"/>
    <x v="8"/>
    <n v="47"/>
    <s v="461 K"/>
    <n v="74"/>
    <m/>
    <s v="U"/>
    <m/>
    <d v="1899-12-30T01:05:00"/>
    <s v="14:59"/>
    <s v="JB"/>
    <m/>
    <s v="20140706 HReider"/>
    <s v="20140707LFerreira"/>
    <s v="x"/>
    <n v="151.364"/>
    <s v="na"/>
    <s v="FWL"/>
    <s v="na"/>
    <s v="na"/>
    <s v="F1845"/>
    <s v="na"/>
    <s v="na"/>
    <s v="na"/>
    <s v="na"/>
    <s v="na"/>
  </r>
  <r>
    <n v="643"/>
    <x v="24"/>
    <n v="1"/>
    <x v="0"/>
    <x v="2"/>
    <x v="0"/>
    <m/>
    <m/>
    <m/>
    <n v="26"/>
    <s v="U"/>
    <m/>
    <d v="1899-12-30T00:27:00"/>
    <s v="15:36"/>
    <s v="JB"/>
    <m/>
    <s v="20140706 HReider"/>
    <s v="20140707LFerreira"/>
    <s v="x"/>
    <s v="x"/>
    <s v="na"/>
    <s v="FWL"/>
    <s v="na"/>
    <s v="na"/>
    <s v="na"/>
    <s v="na"/>
    <s v="na"/>
    <s v="na"/>
    <s v="na"/>
    <s v="na"/>
  </r>
  <r>
    <n v="644"/>
    <x v="24"/>
    <n v="1"/>
    <x v="1"/>
    <x v="0"/>
    <x v="9"/>
    <n v="94"/>
    <s v="462 K"/>
    <n v="69"/>
    <m/>
    <s v="U"/>
    <m/>
    <d v="1899-12-30T01:06:00"/>
    <s v="18:36"/>
    <s v="HR"/>
    <m/>
    <s v="20140706 HReider"/>
    <s v="20140707LFerreira"/>
    <s v="x"/>
    <n v="151.875"/>
    <s v="na"/>
    <s v="FWL"/>
    <s v="na"/>
    <s v="na"/>
    <s v="F1845"/>
    <s v="na"/>
    <s v="na"/>
    <s v="na"/>
    <s v="na"/>
    <s v="na"/>
  </r>
  <r>
    <n v="645"/>
    <x v="24"/>
    <n v="2"/>
    <x v="1"/>
    <x v="0"/>
    <x v="4"/>
    <n v="11"/>
    <s v="427 K"/>
    <n v="78"/>
    <m/>
    <s v="U"/>
    <m/>
    <d v="1899-12-30T01:21:00"/>
    <s v="06:47"/>
    <s v="JB"/>
    <s v="S"/>
    <s v="20140706 JBerry"/>
    <s v="20140707LFerreira"/>
    <s v="x"/>
    <n v="151.78399999999999"/>
    <s v="na"/>
    <s v="FWL"/>
    <s v="na"/>
    <s v="na"/>
    <s v="F1845"/>
    <s v="na"/>
    <s v="na"/>
    <s v="na"/>
    <s v="na"/>
    <s v="na"/>
  </r>
  <r>
    <n v="646"/>
    <x v="24"/>
    <n v="2"/>
    <x v="1"/>
    <x v="0"/>
    <x v="5"/>
    <n v="78"/>
    <s v="428 K"/>
    <n v="63"/>
    <m/>
    <s v="U"/>
    <m/>
    <d v="1899-12-30T00:56:00"/>
    <s v="07:02"/>
    <s v="JB"/>
    <s v="P"/>
    <s v="20140706 JBerry"/>
    <s v="20140707LFerreira"/>
    <s v="x"/>
    <n v="151.755"/>
    <s v="na"/>
    <s v="FWL"/>
    <s v="na"/>
    <s v="na"/>
    <s v="F1845"/>
    <s v="na"/>
    <s v="na"/>
    <s v="na"/>
    <s v="na"/>
    <s v="na"/>
  </r>
  <r>
    <n v="647"/>
    <x v="24"/>
    <n v="2"/>
    <x v="7"/>
    <x v="0"/>
    <x v="10"/>
    <n v="83"/>
    <s v="10 S"/>
    <n v="60"/>
    <m/>
    <s v="U"/>
    <m/>
    <d v="1899-12-30T01:24:00"/>
    <s v="06:56"/>
    <s v="DJ"/>
    <s v="damaged caudal fin"/>
    <s v="20140706 JBerry"/>
    <s v="20140707LFerreira"/>
    <s v="x"/>
    <n v="151.58600000000001"/>
    <s v="na"/>
    <s v="FWL"/>
    <s v="na"/>
    <s v="na"/>
    <s v="F1840"/>
    <s v="na"/>
    <s v="na"/>
    <s v="na"/>
    <s v="na"/>
    <s v="na"/>
  </r>
  <r>
    <n v="648"/>
    <x v="24"/>
    <n v="2"/>
    <x v="1"/>
    <x v="0"/>
    <x v="9"/>
    <n v="51"/>
    <s v="430 K"/>
    <n v="87"/>
    <m/>
    <s v="U"/>
    <d v="1899-12-30T08:36:00"/>
    <d v="1899-12-30T01:33:00"/>
    <s v="08:43"/>
    <s v="DJ"/>
    <m/>
    <s v="20140706 JBerry"/>
    <s v="20140707LFerreira"/>
    <d v="1899-12-30T00:05:27"/>
    <n v="151.875"/>
    <s v="na"/>
    <s v="FWL"/>
    <s v="na"/>
    <s v="na"/>
    <s v="F1845"/>
    <s v="na"/>
    <s v="na"/>
    <s v="na"/>
    <s v="na"/>
    <s v="na"/>
  </r>
  <r>
    <n v="649"/>
    <x v="24"/>
    <n v="2"/>
    <x v="1"/>
    <x v="0"/>
    <x v="9"/>
    <n v="65"/>
    <s v="446 K"/>
    <n v="91"/>
    <m/>
    <s v="U"/>
    <m/>
    <d v="1899-12-30T02:36:00"/>
    <s v="13:44"/>
    <s v="HR"/>
    <s v="big gouge on nose, bloody, fresh injury"/>
    <s v="20140706 LFerreira"/>
    <s v="20140707LFerreira"/>
    <s v="x"/>
    <n v="151.875"/>
    <s v="na"/>
    <s v="FWL"/>
    <s v="na"/>
    <s v="na"/>
    <s v="F1845"/>
    <s v="na"/>
    <s v="na"/>
    <s v="na"/>
    <s v="na"/>
    <s v="na"/>
  </r>
  <r>
    <n v="650"/>
    <x v="24"/>
    <n v="2"/>
    <x v="1"/>
    <x v="0"/>
    <x v="8"/>
    <n v="24"/>
    <s v="463 K"/>
    <n v="87"/>
    <m/>
    <s v="U"/>
    <m/>
    <d v="1899-12-30T02:10:00"/>
    <s v="22:56"/>
    <s v="EG"/>
    <m/>
    <s v="20140706 EGora"/>
    <s v="20140707LFerreira"/>
    <s v="x"/>
    <n v="151.364"/>
    <s v="na"/>
    <s v="FWL"/>
    <s v="na"/>
    <s v="na"/>
    <s v="F1845"/>
    <s v="na"/>
    <s v="na"/>
    <s v="na"/>
    <s v="na"/>
    <s v="na"/>
  </r>
  <r>
    <n v="651"/>
    <x v="24"/>
    <n v="3"/>
    <x v="1"/>
    <x v="0"/>
    <x v="9"/>
    <n v="60"/>
    <s v="432 K"/>
    <n v="83"/>
    <m/>
    <s v="U"/>
    <m/>
    <d v="1899-12-30T01:40:00"/>
    <s v="06:09"/>
    <s v="HR"/>
    <s v="P gash on rt side of head"/>
    <s v="20140706 JGraham"/>
    <s v="20140708LFerreira"/>
    <s v="x"/>
    <n v="151.875"/>
    <s v="na"/>
    <s v="FWL"/>
    <s v="na"/>
    <s v="na"/>
    <s v="F1845"/>
    <s v="na"/>
    <s v="na"/>
    <s v="na"/>
    <s v="na"/>
    <s v="na"/>
  </r>
  <r>
    <n v="652"/>
    <x v="24"/>
    <n v="3"/>
    <x v="1"/>
    <x v="0"/>
    <x v="9"/>
    <n v="5"/>
    <s v="433 K"/>
    <n v="62"/>
    <m/>
    <s v="U"/>
    <m/>
    <d v="1899-12-30T01:38:00"/>
    <s v="06:14"/>
    <s v="JG"/>
    <s v="P"/>
    <s v="20140706 JGraham"/>
    <s v="20140708LFerreira"/>
    <s v="x"/>
    <n v="151.875"/>
    <s v="na"/>
    <s v="FWL"/>
    <s v="na"/>
    <s v="na"/>
    <s v="F1845"/>
    <s v="na"/>
    <s v="na"/>
    <s v="na"/>
    <s v="na"/>
    <s v="na"/>
  </r>
  <r>
    <n v="653"/>
    <x v="24"/>
    <n v="3"/>
    <x v="1"/>
    <x v="0"/>
    <x v="9"/>
    <n v="79"/>
    <s v="434 K"/>
    <n v="90"/>
    <m/>
    <s v="U"/>
    <m/>
    <d v="1899-12-30T01:54:00"/>
    <s v="06:21"/>
    <s v="HR"/>
    <s v="S- hit deck on release,"/>
    <s v="20140706 JGraham"/>
    <s v="20140708LFerreira"/>
    <s v="x"/>
    <n v="151.875"/>
    <s v="na"/>
    <s v="FWL"/>
    <s v="na"/>
    <s v="na"/>
    <s v="F1845"/>
    <s v="na"/>
    <s v="na"/>
    <s v="na"/>
    <s v="na"/>
    <s v="na"/>
  </r>
  <r>
    <n v="654"/>
    <x v="24"/>
    <n v="3"/>
    <x v="1"/>
    <x v="0"/>
    <x v="9"/>
    <n v="45"/>
    <s v="435 K"/>
    <n v="89"/>
    <m/>
    <s v="U"/>
    <m/>
    <d v="1899-12-30T02:00:00"/>
    <s v="06:32"/>
    <s v="HR"/>
    <s v="S"/>
    <s v="20140706 JGraham"/>
    <s v="20140708LFerreira"/>
    <s v="x"/>
    <n v="151.875"/>
    <s v="na"/>
    <s v="FWL"/>
    <s v="na"/>
    <s v="na"/>
    <s v="F1845"/>
    <s v="na"/>
    <s v="na"/>
    <s v="na"/>
    <s v="na"/>
    <s v="na"/>
  </r>
  <r>
    <n v="655"/>
    <x v="24"/>
    <n v="3"/>
    <x v="0"/>
    <x v="2"/>
    <x v="0"/>
    <m/>
    <m/>
    <m/>
    <n v="42"/>
    <s v="U"/>
    <m/>
    <d v="1899-12-30T00:30:00"/>
    <s v="06:18"/>
    <s v="HR"/>
    <s v="S"/>
    <s v="20140706 JGraham"/>
    <s v="20140708LFerreira"/>
    <s v="x"/>
    <s v="x"/>
    <s v="na"/>
    <s v="FWL"/>
    <s v="na"/>
    <s v="na"/>
    <s v="na"/>
    <s v="na"/>
    <s v="na"/>
    <s v="na"/>
    <s v="na"/>
    <s v="na"/>
  </r>
  <r>
    <n v="656"/>
    <x v="24"/>
    <n v="3"/>
    <x v="3"/>
    <x v="2"/>
    <x v="0"/>
    <m/>
    <m/>
    <m/>
    <n v="29"/>
    <s v="U"/>
    <m/>
    <d v="1899-12-30T00:30:00"/>
    <s v="06:33"/>
    <s v="HR"/>
    <s v="S"/>
    <s v="20140706 JGraham"/>
    <s v="20140708LFerreira"/>
    <s v="x"/>
    <s v="x"/>
    <s v="na"/>
    <s v="FWL"/>
    <s v="na"/>
    <s v="na"/>
    <s v="na"/>
    <s v="na"/>
    <s v="na"/>
    <s v="na"/>
    <s v="na"/>
    <s v="na"/>
  </r>
  <r>
    <n v="657"/>
    <x v="24"/>
    <n v="3"/>
    <x v="1"/>
    <x v="0"/>
    <x v="9"/>
    <n v="21"/>
    <s v="436 K"/>
    <n v="52"/>
    <m/>
    <s v="U"/>
    <m/>
    <d v="1899-12-30T01:45:00"/>
    <s v="07:29"/>
    <s v="JG"/>
    <s v="S forgot capture code.  RT sleuthed 21"/>
    <s v="20140706 JGraham"/>
    <s v="20140708LFerreira"/>
    <s v="x"/>
    <n v="151.875"/>
    <s v="na"/>
    <s v="FWL"/>
    <s v="na"/>
    <s v="na"/>
    <s v="F1845"/>
    <s v="na"/>
    <s v="na"/>
    <s v="na"/>
    <s v="na"/>
    <s v="na"/>
  </r>
  <r>
    <n v="658"/>
    <x v="24"/>
    <n v="3"/>
    <x v="4"/>
    <x v="1"/>
    <x v="0"/>
    <m/>
    <m/>
    <m/>
    <n v="31"/>
    <s v="U"/>
    <m/>
    <d v="1899-12-30T00:30:00"/>
    <s v="07:37"/>
    <s v="HR"/>
    <s v="too small to tag"/>
    <s v="20140706 JGraham"/>
    <s v="20140708LFerreira"/>
    <s v="x"/>
    <s v="x"/>
    <s v="na"/>
    <s v="FWL"/>
    <s v="na"/>
    <s v="na"/>
    <s v="na"/>
    <s v="na"/>
    <s v="na"/>
    <s v="na"/>
    <s v="na"/>
    <s v="na"/>
  </r>
  <r>
    <n v="659"/>
    <x v="24"/>
    <n v="3"/>
    <x v="3"/>
    <x v="2"/>
    <x v="0"/>
    <m/>
    <m/>
    <m/>
    <n v="23"/>
    <s v="U"/>
    <m/>
    <d v="1899-12-30T00:45:00"/>
    <s v="07:35"/>
    <s v="HR"/>
    <m/>
    <s v="20140706 JGraham"/>
    <s v="20140708LFerreira"/>
    <s v="x"/>
    <s v="x"/>
    <s v="na"/>
    <s v="FWL"/>
    <s v="na"/>
    <s v="na"/>
    <s v="na"/>
    <s v="na"/>
    <s v="na"/>
    <s v="na"/>
    <s v="na"/>
    <s v="na"/>
  </r>
  <r>
    <n v="660"/>
    <x v="24"/>
    <n v="3"/>
    <x v="3"/>
    <x v="2"/>
    <x v="0"/>
    <m/>
    <m/>
    <m/>
    <n v="24"/>
    <s v="U"/>
    <m/>
    <d v="1899-12-30T00:28:00"/>
    <s v="08:54"/>
    <s v="HR"/>
    <m/>
    <s v="20140706 JGraham"/>
    <s v="20140708LFerreira"/>
    <s v="x"/>
    <s v="x"/>
    <s v="na"/>
    <s v="FWL"/>
    <s v="na"/>
    <s v="na"/>
    <s v="na"/>
    <s v="na"/>
    <s v="na"/>
    <s v="na"/>
    <s v="na"/>
    <s v="na"/>
  </r>
  <r>
    <n v="661"/>
    <x v="24"/>
    <n v="3"/>
    <x v="3"/>
    <x v="2"/>
    <x v="0"/>
    <m/>
    <m/>
    <m/>
    <m/>
    <s v="U"/>
    <m/>
    <m/>
    <s v="08:52"/>
    <s v="HR"/>
    <s v="slipped through holes in net. Small"/>
    <s v="20140706 JGraham"/>
    <s v="20140708LFerreira"/>
    <s v="x"/>
    <s v="x"/>
    <s v="na"/>
    <s v="FWL"/>
    <s v="na"/>
    <s v="na"/>
    <s v="na"/>
    <s v="na"/>
    <s v="na"/>
    <s v="na"/>
    <s v="na"/>
    <s v="na"/>
  </r>
  <r>
    <n v="662"/>
    <x v="24"/>
    <n v="3"/>
    <x v="3"/>
    <x v="2"/>
    <x v="0"/>
    <m/>
    <m/>
    <m/>
    <n v="20"/>
    <s v="U"/>
    <m/>
    <d v="1899-12-30T00:28:00"/>
    <s v="08:56"/>
    <s v="HR"/>
    <m/>
    <s v="20140706 JGraham"/>
    <s v="20140708LFerreira"/>
    <s v="x"/>
    <s v="x"/>
    <s v="na"/>
    <s v="FWL"/>
    <s v="na"/>
    <s v="na"/>
    <s v="na"/>
    <s v="na"/>
    <s v="na"/>
    <s v="na"/>
    <s v="na"/>
    <s v="na"/>
  </r>
  <r>
    <n v="663"/>
    <x v="24"/>
    <n v="3"/>
    <x v="1"/>
    <x v="0"/>
    <x v="9"/>
    <n v="53"/>
    <s v="437 K"/>
    <n v="82"/>
    <m/>
    <s v="U"/>
    <d v="1899-12-30T09:34:00"/>
    <d v="1899-12-30T01:57:00"/>
    <s v="09:41"/>
    <s v="HR"/>
    <m/>
    <s v="20140706 JGraham"/>
    <s v="20140708LFerreira"/>
    <d v="1899-12-30T00:05:03"/>
    <n v="151.875"/>
    <s v="na"/>
    <s v="FWL"/>
    <s v="na"/>
    <s v="na"/>
    <s v="F1845"/>
    <s v="na"/>
    <s v="na"/>
    <s v="na"/>
    <s v="na"/>
    <s v="na"/>
  </r>
  <r>
    <n v="664"/>
    <x v="24"/>
    <n v="3"/>
    <x v="4"/>
    <x v="1"/>
    <x v="0"/>
    <m/>
    <m/>
    <n v="31"/>
    <m/>
    <s v="U"/>
    <m/>
    <d v="1899-12-30T00:45:00"/>
    <s v="10:37"/>
    <s v="EG"/>
    <s v="too small to tag"/>
    <s v="20140706 EGora"/>
    <s v="20140708LFerreira"/>
    <s v="x"/>
    <s v="x"/>
    <s v="na"/>
    <s v="FWL"/>
    <s v="na"/>
    <s v="na"/>
    <s v="na"/>
    <s v="na"/>
    <s v="na"/>
    <s v="na"/>
    <s v="na"/>
    <s v="na"/>
  </r>
  <r>
    <n v="665"/>
    <x v="24"/>
    <n v="3"/>
    <x v="1"/>
    <x v="0"/>
    <x v="8"/>
    <n v="45"/>
    <s v="438 K"/>
    <n v="73"/>
    <m/>
    <s v="U"/>
    <d v="1899-12-30T12:00:00"/>
    <d v="1899-12-30T01:29:00"/>
    <s v="12:15"/>
    <s v="JK"/>
    <m/>
    <s v="20140706 EGora"/>
    <s v="20140708LFerreira"/>
    <d v="1899-12-30T00:13:31"/>
    <n v="151.364"/>
    <s v="na"/>
    <s v="FWL"/>
    <s v="na"/>
    <s v="na"/>
    <s v="F1845"/>
    <s v="na"/>
    <s v="na"/>
    <s v="na"/>
    <s v="na"/>
    <s v="na"/>
  </r>
  <r>
    <n v="666"/>
    <x v="24"/>
    <n v="3"/>
    <x v="4"/>
    <x v="1"/>
    <x v="0"/>
    <m/>
    <m/>
    <n v="35"/>
    <m/>
    <s v="U"/>
    <m/>
    <d v="1899-12-30T00:45:00"/>
    <s v="12:21"/>
    <s v="EG"/>
    <s v="too small to tag"/>
    <s v="20140706 EGora"/>
    <s v="20140708LFerreira"/>
    <s v="x"/>
    <s v="x"/>
    <s v="na"/>
    <s v="FWL"/>
    <s v="na"/>
    <s v="na"/>
    <s v="na"/>
    <s v="na"/>
    <s v="na"/>
    <s v="na"/>
    <s v="na"/>
    <s v="na"/>
  </r>
  <r>
    <n v="667"/>
    <x v="24"/>
    <n v="3"/>
    <x v="1"/>
    <x v="0"/>
    <x v="8"/>
    <n v="34"/>
    <s v="441 K"/>
    <n v="55"/>
    <m/>
    <s v="U"/>
    <d v="1899-12-30T13:11:00"/>
    <d v="1899-12-30T01:36:00"/>
    <s v="13:19"/>
    <s v="EG"/>
    <m/>
    <s v="20140706 EGora"/>
    <s v="20140708LFerreira"/>
    <d v="1899-12-30T00:06:24"/>
    <n v="151.364"/>
    <s v="na"/>
    <s v="FWL"/>
    <s v="na"/>
    <s v="na"/>
    <s v="F1845"/>
    <s v="na"/>
    <s v="na"/>
    <s v="na"/>
    <s v="na"/>
    <s v="na"/>
  </r>
  <r>
    <n v="668"/>
    <x v="24"/>
    <n v="3"/>
    <x v="1"/>
    <x v="0"/>
    <x v="8"/>
    <n v="27"/>
    <s v="442 K"/>
    <n v="80"/>
    <m/>
    <s v="U"/>
    <m/>
    <d v="1899-12-30T01:57:00"/>
    <s v="13:24"/>
    <s v="EG"/>
    <m/>
    <s v="20140706 EGora"/>
    <s v="20140708LFerreira"/>
    <s v="x"/>
    <n v="151.364"/>
    <s v="na"/>
    <s v="FWL"/>
    <s v="na"/>
    <s v="na"/>
    <s v="F1845"/>
    <s v="na"/>
    <s v="na"/>
    <s v="na"/>
    <s v="na"/>
    <s v="na"/>
  </r>
  <r>
    <n v="669"/>
    <x v="24"/>
    <n v="3"/>
    <x v="1"/>
    <x v="0"/>
    <x v="8"/>
    <n v="8"/>
    <s v="443 K"/>
    <n v="69"/>
    <m/>
    <s v="U"/>
    <d v="1899-12-30T13:57:00"/>
    <d v="1899-12-30T01:21:00"/>
    <s v="14:01"/>
    <s v="JK"/>
    <m/>
    <s v="20140706 EGora"/>
    <s v="20140708LFerreira"/>
    <d v="1899-12-30T00:02:39"/>
    <n v="151.364"/>
    <s v="na"/>
    <s v="FWL"/>
    <s v="na"/>
    <s v="na"/>
    <s v="F1845"/>
    <s v="na"/>
    <s v="na"/>
    <s v="na"/>
    <s v="na"/>
    <s v="na"/>
  </r>
  <r>
    <n v="670"/>
    <x v="24"/>
    <n v="3"/>
    <x v="4"/>
    <x v="1"/>
    <x v="0"/>
    <m/>
    <m/>
    <n v="32"/>
    <m/>
    <s v="U"/>
    <m/>
    <d v="1899-12-30T00:51:00"/>
    <s v="14:07"/>
    <s v="JK"/>
    <s v="too small to tag"/>
    <s v="20140706 EGora"/>
    <s v="20140708LFerreira"/>
    <s v="x"/>
    <s v="x"/>
    <s v="na"/>
    <s v="FWL"/>
    <s v="na"/>
    <s v="na"/>
    <s v="na"/>
    <s v="na"/>
    <s v="na"/>
    <s v="na"/>
    <s v="na"/>
    <s v="na"/>
  </r>
  <r>
    <n v="671"/>
    <x v="24"/>
    <n v="3"/>
    <x v="4"/>
    <x v="1"/>
    <x v="0"/>
    <m/>
    <m/>
    <n v="35"/>
    <m/>
    <s v="U"/>
    <m/>
    <d v="1899-12-30T00:20:00"/>
    <s v="14:53"/>
    <s v="DJ"/>
    <s v="not taggable"/>
    <s v="20140706 JGraham"/>
    <s v="20140708LFerreira"/>
    <s v="x"/>
    <s v="x"/>
    <s v="na"/>
    <s v="FWL"/>
    <s v="na"/>
    <s v="na"/>
    <s v="na"/>
    <s v="na"/>
    <s v="na"/>
    <s v="na"/>
    <s v="na"/>
    <s v="na"/>
  </r>
  <r>
    <n v="672"/>
    <x v="24"/>
    <n v="3"/>
    <x v="0"/>
    <x v="2"/>
    <x v="0"/>
    <m/>
    <m/>
    <m/>
    <n v="49"/>
    <s v="U"/>
    <m/>
    <d v="1899-12-30T00:25:00"/>
    <s v="16:36"/>
    <s v="DJ"/>
    <m/>
    <s v="20140706 JGraham"/>
    <s v="20140708LFerreira"/>
    <s v="x"/>
    <s v="x"/>
    <s v="na"/>
    <s v="FWL"/>
    <s v="na"/>
    <s v="na"/>
    <s v="na"/>
    <s v="na"/>
    <s v="na"/>
    <s v="na"/>
    <s v="na"/>
    <s v="na"/>
  </r>
  <r>
    <n v="673"/>
    <x v="24"/>
    <n v="3"/>
    <x v="1"/>
    <x v="0"/>
    <x v="9"/>
    <n v="82"/>
    <s v="455 K"/>
    <n v="82"/>
    <m/>
    <s v="U"/>
    <d v="1899-12-30T18:30:00"/>
    <d v="1899-12-30T01:16:00"/>
    <s v="18:36"/>
    <s v="JG"/>
    <s v="gash on side"/>
    <s v="20140706 JGraham"/>
    <s v="20140708LFerreira"/>
    <d v="1899-12-30T00:04:44"/>
    <n v="151.875"/>
    <s v="na"/>
    <s v="FWL"/>
    <s v="na"/>
    <s v="na"/>
    <s v="F1845"/>
    <s v="na"/>
    <s v="na"/>
    <s v="na"/>
    <s v="na"/>
    <s v="na"/>
  </r>
  <r>
    <n v="674"/>
    <x v="24"/>
    <n v="3"/>
    <x v="4"/>
    <x v="1"/>
    <x v="3"/>
    <n v="22"/>
    <s v="456 K"/>
    <n v="39"/>
    <m/>
    <s v="U"/>
    <m/>
    <d v="1899-12-30T01:00:00"/>
    <s v="18:40"/>
    <s v="JG"/>
    <m/>
    <s v="20140706 JGraham"/>
    <s v="20140708LFerreira"/>
    <s v="x"/>
    <n v="151.917"/>
    <s v="na"/>
    <s v="FWL"/>
    <s v="na"/>
    <s v="na"/>
    <s v="F1835"/>
    <s v="na"/>
    <s v="na"/>
    <s v="na"/>
    <s v="na"/>
    <s v="na"/>
  </r>
  <r>
    <n v="675"/>
    <x v="24"/>
    <n v="3"/>
    <x v="3"/>
    <x v="2"/>
    <x v="0"/>
    <m/>
    <m/>
    <m/>
    <n v="22"/>
    <s v="U"/>
    <m/>
    <d v="1899-12-30T00:30:00"/>
    <s v="18:42"/>
    <s v="JG"/>
    <m/>
    <s v="20140706 JGraham"/>
    <s v="20140708LFerreira"/>
    <s v="x"/>
    <s v="x"/>
    <s v="na"/>
    <s v="FWL"/>
    <s v="na"/>
    <s v="na"/>
    <s v="na"/>
    <s v="na"/>
    <s v="na"/>
    <s v="na"/>
    <s v="na"/>
    <s v="na"/>
  </r>
  <r>
    <n v="676"/>
    <x v="24"/>
    <n v="3"/>
    <x v="4"/>
    <x v="1"/>
    <x v="0"/>
    <m/>
    <m/>
    <n v="32"/>
    <m/>
    <s v="U"/>
    <m/>
    <d v="1899-12-30T00:31:00"/>
    <s v="20:16"/>
    <s v="RT"/>
    <s v="too small to tag"/>
    <s v="20140706 LFerreira"/>
    <s v="20140708LFerreira"/>
    <s v="x"/>
    <s v="x"/>
    <s v="na"/>
    <s v="FWL"/>
    <s v="na"/>
    <s v="na"/>
    <s v="na"/>
    <s v="na"/>
    <s v="na"/>
    <s v="na"/>
    <s v="na"/>
    <s v="na"/>
  </r>
  <r>
    <n v="677"/>
    <x v="24"/>
    <n v="3"/>
    <x v="1"/>
    <x v="0"/>
    <x v="9"/>
    <n v="69"/>
    <s v="457 K"/>
    <n v="64"/>
    <m/>
    <s v="U"/>
    <d v="1899-12-30T20:39:00"/>
    <d v="1899-12-30T01:00:00"/>
    <s v="20:44 "/>
    <s v="RT"/>
    <m/>
    <s v="20140706 LFerreira"/>
    <s v="20140708LFerreira"/>
    <d v="1899-12-30T00:04:00"/>
    <n v="151.875"/>
    <s v="na"/>
    <s v="FWL"/>
    <s v="na"/>
    <s v="na"/>
    <s v="F1845"/>
    <s v="na"/>
    <s v="na"/>
    <s v="na"/>
    <s v="na"/>
    <s v="na"/>
  </r>
  <r>
    <n v="678"/>
    <x v="24"/>
    <n v="3"/>
    <x v="4"/>
    <x v="1"/>
    <x v="0"/>
    <m/>
    <m/>
    <n v="49"/>
    <m/>
    <s v="U"/>
    <d v="1899-12-30T21:38:00"/>
    <d v="1899-12-30T00:49:00"/>
    <s v="21:40"/>
    <s v="RT"/>
    <s v="Large wound on caudal peduncle. No tag due to injury"/>
    <s v="20140706 LFerreira"/>
    <s v="20140708LFerreira"/>
    <d v="1899-12-30T00:01:11"/>
    <s v="x"/>
    <s v="na"/>
    <s v="FWL"/>
    <s v="na"/>
    <s v="na"/>
    <s v="na"/>
    <s v="na"/>
    <s v="na"/>
    <s v="na"/>
    <s v="na"/>
    <s v="na"/>
  </r>
  <r>
    <n v="679"/>
    <x v="24"/>
    <n v="3"/>
    <x v="4"/>
    <x v="1"/>
    <x v="0"/>
    <m/>
    <m/>
    <n v="31"/>
    <m/>
    <s v="U"/>
    <m/>
    <m/>
    <s v="21:59"/>
    <s v="RT"/>
    <s v="no capture time. Too small to tag"/>
    <s v="20140706 LFerreira"/>
    <s v="20140708LFerreira"/>
    <s v="x"/>
    <s v="x"/>
    <s v="na"/>
    <s v="FWL"/>
    <s v="na"/>
    <s v="na"/>
    <s v="na"/>
    <s v="na"/>
    <s v="na"/>
    <s v="na"/>
    <s v="na"/>
    <s v="na"/>
  </r>
  <r>
    <n v="680"/>
    <x v="24"/>
    <n v="3"/>
    <x v="4"/>
    <x v="1"/>
    <x v="3"/>
    <n v="64"/>
    <s v="458 K"/>
    <n v="45"/>
    <m/>
    <s v="U"/>
    <d v="1899-12-30T21:57:00"/>
    <d v="1899-12-30T01:27:00"/>
    <s v="22:04 "/>
    <s v="LF"/>
    <m/>
    <s v="20140706 LFerreira"/>
    <s v="20140708LFerreira"/>
    <d v="1899-12-30T00:05:33"/>
    <n v="151.917"/>
    <s v="na"/>
    <s v="FWL"/>
    <s v="na"/>
    <s v="na"/>
    <s v="F1835"/>
    <s v="na"/>
    <s v="na"/>
    <s v="na"/>
    <s v="na"/>
    <s v="na"/>
  </r>
  <r>
    <n v="681"/>
    <x v="25"/>
    <n v="1"/>
    <x v="1"/>
    <x v="0"/>
    <x v="9"/>
    <n v="73"/>
    <s v="464 K"/>
    <n v="76"/>
    <m/>
    <s v="U"/>
    <m/>
    <d v="1899-12-30T01:24:00"/>
    <s v="06:01"/>
    <s v="HR"/>
    <s v="S"/>
    <s v="20140707 HReider"/>
    <s v="20140708LFerreira"/>
    <s v="x"/>
    <n v="151.875"/>
    <s v="na"/>
    <s v="FWL"/>
    <s v="na"/>
    <s v="na"/>
    <s v="F1845"/>
    <s v="na"/>
    <s v="na"/>
    <s v="na"/>
    <s v="na"/>
    <s v="na"/>
  </r>
  <r>
    <n v="682"/>
    <x v="25"/>
    <n v="1"/>
    <x v="1"/>
    <x v="0"/>
    <x v="8"/>
    <n v="22"/>
    <s v="465 K"/>
    <n v="81"/>
    <m/>
    <s v="U"/>
    <m/>
    <d v="1899-12-30T01:30:00"/>
    <s v="06:04"/>
    <s v="HR"/>
    <s v="S"/>
    <s v="20140707 HReider"/>
    <s v="20140708LFerreira"/>
    <s v="x"/>
    <n v="151.364"/>
    <s v="na"/>
    <s v="FWL"/>
    <s v="na"/>
    <s v="na"/>
    <s v="F1845"/>
    <s v="na"/>
    <s v="na"/>
    <s v="na"/>
    <s v="na"/>
    <s v="na"/>
  </r>
  <r>
    <n v="683"/>
    <x v="25"/>
    <n v="1"/>
    <x v="5"/>
    <x v="2"/>
    <x v="0"/>
    <m/>
    <m/>
    <m/>
    <n v="29"/>
    <s v="U"/>
    <m/>
    <d v="1899-12-30T00:20:00"/>
    <s v="06:05"/>
    <s v="HR"/>
    <s v="S"/>
    <s v="20140707 HReider"/>
    <s v="20140708LFerreira"/>
    <s v="x"/>
    <s v="x"/>
    <s v="na"/>
    <s v="FWL"/>
    <s v="na"/>
    <s v="na"/>
    <s v="na"/>
    <s v="na"/>
    <s v="na"/>
    <s v="na"/>
    <s v="na"/>
    <s v="na"/>
  </r>
  <r>
    <n v="684"/>
    <x v="25"/>
    <n v="1"/>
    <x v="1"/>
    <x v="0"/>
    <x v="9"/>
    <n v="76"/>
    <s v="466 K"/>
    <n v="50"/>
    <m/>
    <s v="U"/>
    <m/>
    <d v="1899-12-30T01:11:00"/>
    <s v="06:09"/>
    <s v="DJ"/>
    <s v="P right eye missing."/>
    <s v="20140707 HReider"/>
    <s v="20140708LFerreira"/>
    <s v="x"/>
    <n v="151.875"/>
    <s v="na"/>
    <s v="FWL"/>
    <s v="na"/>
    <s v="na"/>
    <s v="F1845"/>
    <s v="na"/>
    <s v="na"/>
    <s v="na"/>
    <s v="na"/>
    <s v="na"/>
  </r>
  <r>
    <n v="685"/>
    <x v="25"/>
    <n v="1"/>
    <x v="1"/>
    <x v="0"/>
    <x v="8"/>
    <n v="46"/>
    <s v="450 K"/>
    <n v="50"/>
    <m/>
    <s v="U"/>
    <m/>
    <d v="1899-12-30T01:14:00"/>
    <s v="06:13"/>
    <s v="DJ"/>
    <s v="P"/>
    <s v="20140707 HReider"/>
    <s v="20140708LFerreira"/>
    <s v="x"/>
    <n v="151.364"/>
    <s v="na"/>
    <s v="FWL"/>
    <s v="na"/>
    <s v="na"/>
    <s v="F1845"/>
    <s v="na"/>
    <s v="na"/>
    <s v="na"/>
    <s v="na"/>
    <s v="na"/>
  </r>
  <r>
    <n v="686"/>
    <x v="25"/>
    <n v="1"/>
    <x v="1"/>
    <x v="0"/>
    <x v="9"/>
    <n v="9"/>
    <s v="451 K"/>
    <n v="62"/>
    <m/>
    <s v="U"/>
    <m/>
    <d v="1899-12-30T01:08:00"/>
    <s v="06:16"/>
    <s v="DJ"/>
    <s v="P caudal fin damage"/>
    <s v="20140707 HReider"/>
    <s v="20140708LFerreira"/>
    <s v="x"/>
    <n v="151.875"/>
    <s v="na"/>
    <s v="FWL"/>
    <s v="na"/>
    <s v="na"/>
    <s v="F1845"/>
    <s v="na"/>
    <s v="na"/>
    <s v="na"/>
    <s v="na"/>
    <s v="na"/>
  </r>
  <r>
    <n v="687"/>
    <x v="25"/>
    <n v="1"/>
    <x v="5"/>
    <x v="2"/>
    <x v="0"/>
    <m/>
    <m/>
    <m/>
    <n v="38"/>
    <s v="U"/>
    <m/>
    <d v="1899-12-30T00:30:00"/>
    <s v="10:19"/>
    <s v="CSj"/>
    <m/>
    <s v="20140707 CSejkora"/>
    <s v="20140708LFerreira"/>
    <s v="x"/>
    <s v="x"/>
    <s v="na"/>
    <s v="FWL"/>
    <s v="na"/>
    <s v="na"/>
    <s v="na"/>
    <s v="na"/>
    <s v="na"/>
    <s v="na"/>
    <s v="na"/>
    <s v="na"/>
  </r>
  <r>
    <n v="688"/>
    <x v="25"/>
    <n v="1"/>
    <x v="1"/>
    <x v="0"/>
    <x v="8"/>
    <n v="35"/>
    <s v="476 K"/>
    <n v="98"/>
    <m/>
    <s v="U"/>
    <m/>
    <d v="1899-12-30T01:40:00"/>
    <s v="22:34"/>
    <s v="CSj"/>
    <s v="healthy! CSj tagged CN"/>
    <s v="20140707JKunzler"/>
    <s v="20140708LFerreira"/>
    <s v="x"/>
    <n v="151.364"/>
    <s v="na"/>
    <s v="FWL"/>
    <s v="na"/>
    <s v="na"/>
    <s v="F1845"/>
    <s v="na"/>
    <s v="na"/>
    <s v="na"/>
    <s v="na"/>
    <s v="na"/>
  </r>
  <r>
    <n v="689"/>
    <x v="25"/>
    <n v="1"/>
    <x v="1"/>
    <x v="0"/>
    <x v="9"/>
    <n v="86"/>
    <s v="477 K"/>
    <n v="78"/>
    <m/>
    <s v="U"/>
    <m/>
    <d v="1899-12-30T01:06:00"/>
    <s v="23:50"/>
    <s v="CSj"/>
    <s v="vial #477 tag not written down 875-86?"/>
    <s v="20140707JKunzler"/>
    <s v="20140708LFerreira"/>
    <s v="x"/>
    <n v="151.875"/>
    <s v="na"/>
    <s v="FWL"/>
    <s v="na"/>
    <s v="na"/>
    <s v="F1845"/>
    <s v="na"/>
    <s v="na"/>
    <s v="na"/>
    <s v="na"/>
    <s v="na"/>
  </r>
  <r>
    <n v="690"/>
    <x v="25"/>
    <n v="2"/>
    <x v="1"/>
    <x v="0"/>
    <x v="9"/>
    <n v="58"/>
    <s v="452 K"/>
    <n v="52"/>
    <m/>
    <s v="U"/>
    <m/>
    <d v="1899-12-30T01:30:00"/>
    <s v="06:32"/>
    <s v="HR"/>
    <s v="S Big gash in belly, tissue only"/>
    <s v="20140707 HReider"/>
    <s v="20140708LFerreira"/>
    <s v="x"/>
    <n v="151.875"/>
    <s v="na"/>
    <s v="FWL"/>
    <s v="na"/>
    <s v="na"/>
    <s v="F1845"/>
    <s v="na"/>
    <s v="na"/>
    <s v="na"/>
    <s v="na"/>
    <s v="na"/>
  </r>
  <r>
    <n v="691"/>
    <x v="25"/>
    <n v="2"/>
    <x v="1"/>
    <x v="0"/>
    <x v="8"/>
    <n v="3"/>
    <s v="453 K"/>
    <n v="62"/>
    <m/>
    <s v="U"/>
    <m/>
    <d v="1899-12-30T01:32:00"/>
    <s v="06:57"/>
    <s v="DJ"/>
    <s v="P"/>
    <s v="20140707 HReider"/>
    <s v="20140708LFerreira"/>
    <s v="x"/>
    <n v="151.364"/>
    <s v="na"/>
    <s v="FWL"/>
    <s v="na"/>
    <s v="na"/>
    <s v="F1845"/>
    <s v="na"/>
    <s v="na"/>
    <s v="na"/>
    <s v="na"/>
    <s v="na"/>
  </r>
  <r>
    <n v="692"/>
    <x v="25"/>
    <n v="2"/>
    <x v="5"/>
    <x v="2"/>
    <x v="0"/>
    <m/>
    <m/>
    <m/>
    <n v="33"/>
    <s v="U"/>
    <m/>
    <d v="1899-12-30T00:26:00"/>
    <s v="06:59"/>
    <s v="DJ"/>
    <s v="S"/>
    <s v="20140707 HReider"/>
    <s v="20140708LFerreira"/>
    <s v="x"/>
    <s v="x"/>
    <s v="na"/>
    <s v="FWL"/>
    <s v="na"/>
    <s v="na"/>
    <s v="na"/>
    <s v="na"/>
    <s v="na"/>
    <s v="na"/>
    <s v="na"/>
    <s v="na"/>
  </r>
  <r>
    <n v="693"/>
    <x v="25"/>
    <n v="2"/>
    <x v="1"/>
    <x v="0"/>
    <x v="8"/>
    <n v="2"/>
    <s v="454 K"/>
    <n v="70"/>
    <m/>
    <s v="U"/>
    <m/>
    <d v="1899-12-30T01:24:00"/>
    <s v="11:56"/>
    <s v="EG"/>
    <m/>
    <s v="20140707 CSejkora"/>
    <s v="20140708LFerreira"/>
    <s v="x"/>
    <n v="151.364"/>
    <s v="na"/>
    <s v="FWL"/>
    <s v="na"/>
    <s v="na"/>
    <s v="F1845"/>
    <s v="na"/>
    <s v="na"/>
    <s v="na"/>
    <s v="na"/>
    <s v="na"/>
  </r>
  <r>
    <n v="694"/>
    <x v="25"/>
    <n v="2"/>
    <x v="1"/>
    <x v="0"/>
    <x v="8"/>
    <n v="16"/>
    <s v="474 K"/>
    <n v="73"/>
    <m/>
    <s v="U"/>
    <d v="1899-12-30T12:53:00"/>
    <d v="1899-12-30T01:07:00"/>
    <s v="12:58"/>
    <s v="EG"/>
    <m/>
    <s v="20140707 CSejkora"/>
    <s v="20140708LFerreira"/>
    <d v="1899-12-30T00:03:53"/>
    <n v="151.364"/>
    <s v="na"/>
    <s v="FWL"/>
    <s v="na"/>
    <s v="na"/>
    <s v="F1845"/>
    <s v="na"/>
    <s v="na"/>
    <s v="na"/>
    <s v="na"/>
    <s v="na"/>
  </r>
  <r>
    <n v="695"/>
    <x v="25"/>
    <n v="2"/>
    <x v="1"/>
    <x v="0"/>
    <x v="8"/>
    <n v="12"/>
    <s v="475 K"/>
    <n v="87"/>
    <m/>
    <s v="U"/>
    <m/>
    <d v="1899-12-30T01:30:00"/>
    <s v="20:12"/>
    <s v="CSj"/>
    <m/>
    <s v="20140707 CSejkora"/>
    <s v="20140708LFerreira"/>
    <s v="x"/>
    <n v="151.364"/>
    <s v="na"/>
    <s v="FWL"/>
    <s v="na"/>
    <s v="na"/>
    <s v="F1845"/>
    <s v="na"/>
    <s v="na"/>
    <s v="na"/>
    <s v="na"/>
    <s v="na"/>
  </r>
  <r>
    <n v="696"/>
    <x v="25"/>
    <n v="2"/>
    <x v="7"/>
    <x v="0"/>
    <x v="6"/>
    <n v="0"/>
    <s v="9 S"/>
    <n v="42"/>
    <m/>
    <s v="U"/>
    <m/>
    <d v="1899-12-30T01:47:00"/>
    <s v="23:26"/>
    <s v="JK"/>
    <m/>
    <s v="20140707 CSejkora"/>
    <s v="20140708LFerreira"/>
    <s v="x"/>
    <n v="151.57300000000001"/>
    <s v="na"/>
    <s v="FWL"/>
    <s v="na"/>
    <s v="na"/>
    <s v="F1840"/>
    <s v="na"/>
    <s v="na"/>
    <s v="na"/>
    <s v="na"/>
    <s v="na"/>
  </r>
  <r>
    <n v="697"/>
    <x v="25"/>
    <n v="3"/>
    <x v="1"/>
    <x v="0"/>
    <x v="9"/>
    <n v="91"/>
    <s v="459 K"/>
    <n v="66"/>
    <m/>
    <s v="M"/>
    <m/>
    <d v="1899-12-30T01:10:00"/>
    <s v="06:00"/>
    <s v="JG"/>
    <s v="S"/>
    <s v="20140707 JBerry"/>
    <s v="20140708LFerreira"/>
    <s v="x"/>
    <n v="151.875"/>
    <s v="na"/>
    <s v="FWL"/>
    <s v="na"/>
    <s v="na"/>
    <s v="F1845"/>
    <s v="na"/>
    <s v="na"/>
    <s v="na"/>
    <s v="na"/>
    <s v="na"/>
  </r>
  <r>
    <n v="698"/>
    <x v="25"/>
    <n v="3"/>
    <x v="1"/>
    <x v="0"/>
    <x v="9"/>
    <n v="71"/>
    <s v="460 K"/>
    <n v="78"/>
    <m/>
    <s v="U"/>
    <m/>
    <d v="1899-12-30T01:10:00"/>
    <s v="06:05"/>
    <s v="JB"/>
    <s v="S"/>
    <s v="20140707 JBerry"/>
    <s v="20140708LFerreira"/>
    <s v="x"/>
    <n v="151.875"/>
    <s v="na"/>
    <s v="FWL"/>
    <s v="na"/>
    <s v="na"/>
    <s v="F1845"/>
    <s v="na"/>
    <s v="na"/>
    <s v="na"/>
    <s v="na"/>
    <s v="na"/>
  </r>
  <r>
    <n v="699"/>
    <x v="25"/>
    <n v="3"/>
    <x v="4"/>
    <x v="1"/>
    <x v="0"/>
    <m/>
    <m/>
    <n v="35"/>
    <m/>
    <s v="U"/>
    <m/>
    <d v="1899-12-30T00:17:00"/>
    <s v="06:08"/>
    <s v="JG"/>
    <s v="S too small to tag"/>
    <s v="20140707 JBerry"/>
    <s v="20140708LFerreira"/>
    <s v="x"/>
    <s v="x"/>
    <s v="na"/>
    <s v="FWL"/>
    <s v="na"/>
    <s v="na"/>
    <s v="na"/>
    <s v="na"/>
    <s v="na"/>
    <s v="na"/>
    <s v="na"/>
    <s v="na"/>
  </r>
  <r>
    <n v="700"/>
    <x v="25"/>
    <n v="3"/>
    <x v="1"/>
    <x v="0"/>
    <x v="9"/>
    <n v="16"/>
    <s v="467 K"/>
    <n v="63"/>
    <m/>
    <s v="M"/>
    <m/>
    <d v="1899-12-30T01:17:00"/>
    <s v="06:11"/>
    <s v="JG"/>
    <s v="S Large gash wounds along side"/>
    <s v="20140707 JBerry"/>
    <s v="20140708LFerreira"/>
    <s v="x"/>
    <n v="151.875"/>
    <s v="na"/>
    <s v="FWL"/>
    <s v="na"/>
    <s v="na"/>
    <s v="F1845"/>
    <s v="na"/>
    <s v="na"/>
    <s v="na"/>
    <s v="na"/>
    <s v="na"/>
  </r>
  <r>
    <n v="701"/>
    <x v="25"/>
    <n v="3"/>
    <x v="4"/>
    <x v="1"/>
    <x v="0"/>
    <m/>
    <m/>
    <n v="32"/>
    <m/>
    <s v="U"/>
    <m/>
    <d v="1899-12-30T00:24:00"/>
    <s v="06:15"/>
    <s v="JB"/>
    <s v="p too small to tag"/>
    <s v="20140707 JBerry"/>
    <s v="20140708LFerreira"/>
    <s v="x"/>
    <s v="x"/>
    <s v="na"/>
    <s v="FWL"/>
    <s v="na"/>
    <s v="na"/>
    <s v="na"/>
    <s v="na"/>
    <s v="na"/>
    <s v="na"/>
    <s v="na"/>
    <s v="na"/>
  </r>
  <r>
    <n v="702"/>
    <x v="25"/>
    <n v="3"/>
    <x v="1"/>
    <x v="0"/>
    <x v="0"/>
    <m/>
    <m/>
    <m/>
    <m/>
    <s v="U"/>
    <d v="1899-12-30T07:23:00"/>
    <m/>
    <s v="07:27"/>
    <s v="JB"/>
    <s v="hit the deck.  Released w/out tag"/>
    <s v="20140707 JBerry"/>
    <s v="20140708LFerreira"/>
    <d v="1899-12-30T00:04:00"/>
    <s v="x"/>
    <s v="na"/>
    <s v="FWL"/>
    <s v="na"/>
    <s v="na"/>
    <s v="na"/>
    <s v="na"/>
    <s v="na"/>
    <s v="na"/>
    <s v="na"/>
    <s v="na"/>
  </r>
  <r>
    <n v="703"/>
    <x v="25"/>
    <n v="3"/>
    <x v="1"/>
    <x v="0"/>
    <x v="8"/>
    <n v="0"/>
    <s v="468 K"/>
    <n v="67"/>
    <m/>
    <s v="U"/>
    <d v="1899-12-30T08:17:00"/>
    <d v="1899-12-30T01:19:00"/>
    <s v="08:20"/>
    <s v="JG"/>
    <m/>
    <s v="20140707 JBerry"/>
    <s v="20140708LFerreira"/>
    <d v="1899-12-30T00:01:41"/>
    <n v="151.364"/>
    <s v="na"/>
    <s v="FWL"/>
    <s v="na"/>
    <s v="na"/>
    <s v="F1845"/>
    <s v="na"/>
    <s v="na"/>
    <s v="na"/>
    <s v="na"/>
    <s v="na"/>
  </r>
  <r>
    <n v="704"/>
    <x v="25"/>
    <n v="3"/>
    <x v="1"/>
    <x v="0"/>
    <x v="8"/>
    <n v="41"/>
    <s v="469 K"/>
    <n v="57"/>
    <m/>
    <s v="U"/>
    <d v="1899-12-30T09:02:00"/>
    <d v="1899-12-30T01:15:00"/>
    <s v="09:07"/>
    <s v="JB"/>
    <m/>
    <s v="20140707 JBerry"/>
    <s v="20140708LFerreira"/>
    <d v="1899-12-30T00:03:45"/>
    <n v="151.364"/>
    <s v="na"/>
    <s v="FWL"/>
    <s v="na"/>
    <s v="na"/>
    <s v="F1845"/>
    <s v="na"/>
    <s v="na"/>
    <s v="na"/>
    <s v="na"/>
    <s v="na"/>
  </r>
  <r>
    <n v="705"/>
    <x v="25"/>
    <n v="3"/>
    <x v="1"/>
    <x v="0"/>
    <x v="9"/>
    <n v="37"/>
    <s v="470 K"/>
    <n v="72"/>
    <m/>
    <s v="U"/>
    <d v="1899-12-30T11:36:00"/>
    <d v="1899-12-30T02:11:00"/>
    <s v="11:49"/>
    <s v="LF"/>
    <m/>
    <s v="20140707 JKunzler"/>
    <s v="20140708LFerreira"/>
    <d v="1899-12-30T00:10:49"/>
    <n v="151.875"/>
    <s v="na"/>
    <s v="FWL"/>
    <s v="na"/>
    <s v="na"/>
    <s v="F1845"/>
    <s v="na"/>
    <s v="na"/>
    <s v="na"/>
    <s v="na"/>
    <s v="na"/>
  </r>
  <r>
    <n v="706"/>
    <x v="25"/>
    <n v="3"/>
    <x v="4"/>
    <x v="1"/>
    <x v="0"/>
    <m/>
    <m/>
    <n v="33"/>
    <m/>
    <s v="U"/>
    <m/>
    <d v="1899-12-30T00:49:00"/>
    <s v="11:44"/>
    <s v="LF"/>
    <s v="too small to tag,old injuries/scratches on side"/>
    <s v="20140707 JKunzler"/>
    <s v="20140708LFerreira"/>
    <s v="x"/>
    <s v="x"/>
    <s v="na"/>
    <s v="FWL"/>
    <s v="na"/>
    <s v="na"/>
    <s v="na"/>
    <s v="na"/>
    <s v="na"/>
    <s v="na"/>
    <s v="na"/>
    <s v="na"/>
  </r>
  <r>
    <n v="707"/>
    <x v="25"/>
    <n v="3"/>
    <x v="4"/>
    <x v="1"/>
    <x v="0"/>
    <m/>
    <m/>
    <n v="39"/>
    <m/>
    <s v="U"/>
    <m/>
    <d v="1899-12-30T00:36:00"/>
    <s v="11:46"/>
    <s v="LF"/>
    <s v="too small to tag"/>
    <s v="20140707 JKunzler"/>
    <s v="20140708LFerreira"/>
    <s v="x"/>
    <s v="x"/>
    <s v="na"/>
    <s v="FWL"/>
    <s v="na"/>
    <s v="na"/>
    <s v="na"/>
    <s v="na"/>
    <s v="na"/>
    <s v="na"/>
    <s v="na"/>
    <s v="na"/>
  </r>
  <r>
    <n v="708"/>
    <x v="25"/>
    <n v="3"/>
    <x v="1"/>
    <x v="0"/>
    <x v="8"/>
    <n v="44"/>
    <s v="471 K"/>
    <n v="84"/>
    <m/>
    <s v="U"/>
    <d v="1899-12-30T12:10:00"/>
    <d v="1899-12-30T02:19:00"/>
    <s v="12:19"/>
    <s v="JK"/>
    <s v="capture tiime 12:10, gently hit deck"/>
    <s v="20140707 JKunzler"/>
    <s v="20140708LFerreira"/>
    <d v="1899-12-30T00:06:41"/>
    <n v="151.364"/>
    <s v="na"/>
    <s v="FWL"/>
    <s v="na"/>
    <s v="na"/>
    <s v="F1845"/>
    <s v="na"/>
    <s v="na"/>
    <s v="na"/>
    <s v="na"/>
    <s v="na"/>
  </r>
  <r>
    <n v="709"/>
    <x v="25"/>
    <n v="3"/>
    <x v="1"/>
    <x v="0"/>
    <x v="9"/>
    <n v="75"/>
    <s v="472 K"/>
    <n v="55"/>
    <m/>
    <s v="U"/>
    <m/>
    <d v="1899-12-30T01:31:00"/>
    <s v="13:32"/>
    <s v="LF"/>
    <m/>
    <s v="20140707 JKunzler"/>
    <s v="20140708LFerreira"/>
    <s v="x"/>
    <n v="151.875"/>
    <s v="na"/>
    <s v="FWL"/>
    <s v="na"/>
    <s v="na"/>
    <s v="F1845"/>
    <s v="na"/>
    <s v="na"/>
    <s v="na"/>
    <s v="na"/>
    <s v="na"/>
  </r>
  <r>
    <n v="710"/>
    <x v="25"/>
    <n v="3"/>
    <x v="4"/>
    <x v="1"/>
    <x v="0"/>
    <m/>
    <m/>
    <n v="30"/>
    <m/>
    <s v="U"/>
    <m/>
    <d v="1899-12-30T00:48:00"/>
    <s v="13:36"/>
    <s v="LF"/>
    <s v="old wounds on side"/>
    <s v="20140707 JKunzler"/>
    <s v="20140708LFerreira"/>
    <s v="x"/>
    <s v="x"/>
    <s v="na"/>
    <s v="FWL"/>
    <s v="na"/>
    <s v="na"/>
    <s v="na"/>
    <s v="na"/>
    <s v="na"/>
    <s v="na"/>
    <s v="na"/>
    <s v="na"/>
  </r>
  <r>
    <n v="711"/>
    <x v="25"/>
    <n v="3"/>
    <x v="1"/>
    <x v="0"/>
    <x v="9"/>
    <n v="92"/>
    <s v="479 K"/>
    <n v="59"/>
    <m/>
    <s v="U"/>
    <m/>
    <d v="1899-12-30T00:54:00"/>
    <s v="15:32"/>
    <s v="DJ"/>
    <m/>
    <s v="20140707 JBerry"/>
    <s v="20140708LFerreira"/>
    <s v="x"/>
    <n v="151.875"/>
    <s v="na"/>
    <s v="FWL"/>
    <s v="na"/>
    <s v="na"/>
    <s v="F1845"/>
    <s v="na"/>
    <s v="na"/>
    <s v="na"/>
    <s v="na"/>
    <s v="na"/>
  </r>
  <r>
    <n v="712"/>
    <x v="25"/>
    <n v="3"/>
    <x v="1"/>
    <x v="0"/>
    <x v="9"/>
    <n v="64"/>
    <s v="480 K"/>
    <n v="91"/>
    <m/>
    <s v="U"/>
    <d v="1899-12-30T19:14:00"/>
    <d v="1899-12-30T02:12:00"/>
    <s v="19:26"/>
    <s v="LF"/>
    <m/>
    <s v="20140707 LFerreira"/>
    <s v="20140708LFerreira"/>
    <d v="1899-12-30T00:09:48"/>
    <n v="151.875"/>
    <s v="na"/>
    <s v="FWL"/>
    <s v="na"/>
    <s v="na"/>
    <s v="F1845"/>
    <s v="na"/>
    <s v="na"/>
    <s v="na"/>
    <s v="na"/>
    <s v="na"/>
  </r>
  <r>
    <n v="713"/>
    <x v="25"/>
    <n v="3"/>
    <x v="1"/>
    <x v="0"/>
    <x v="9"/>
    <n v="0"/>
    <s v="481 K"/>
    <n v="54"/>
    <m/>
    <s v="U"/>
    <d v="1899-12-30T19:47:00"/>
    <d v="1899-12-30T01:27:00"/>
    <s v="19:54"/>
    <s v="EG"/>
    <m/>
    <s v="20140707 LFerreira"/>
    <s v="20140708LFerreira"/>
    <d v="1899-12-30T00:05:33"/>
    <n v="151.875"/>
    <s v="na"/>
    <s v="FWL"/>
    <s v="na"/>
    <s v="na"/>
    <s v="F1845"/>
    <s v="na"/>
    <s v="na"/>
    <s v="na"/>
    <s v="na"/>
    <s v="na"/>
  </r>
  <r>
    <n v="714"/>
    <x v="25"/>
    <n v="3"/>
    <x v="1"/>
    <x v="0"/>
    <x v="9"/>
    <n v="33"/>
    <s v="482 K"/>
    <n v="61"/>
    <m/>
    <s v="U"/>
    <d v="1899-12-30T19:48:00"/>
    <d v="1899-12-30T01:44:00"/>
    <s v="20:01"/>
    <s v="LF"/>
    <m/>
    <s v="20140707 LFerreira"/>
    <s v="20140708LFerreira"/>
    <d v="1899-12-30T00:11:16"/>
    <n v="151.875"/>
    <s v="na"/>
    <s v="FWL"/>
    <s v="na"/>
    <s v="na"/>
    <s v="F1845"/>
    <s v="na"/>
    <s v="na"/>
    <s v="na"/>
    <s v="na"/>
    <s v="na"/>
  </r>
  <r>
    <n v="715"/>
    <x v="25"/>
    <n v="3"/>
    <x v="1"/>
    <x v="0"/>
    <x v="8"/>
    <n v="5"/>
    <s v="483 K"/>
    <n v="84"/>
    <m/>
    <s v="U"/>
    <m/>
    <d v="1899-12-30T01:40:00"/>
    <s v="22:23"/>
    <s v="LF"/>
    <m/>
    <s v="20140707 LFerreira"/>
    <s v="20140708LFerreira"/>
    <s v="x"/>
    <n v="151.364"/>
    <s v="na"/>
    <s v="FWL"/>
    <s v="na"/>
    <s v="na"/>
    <s v="F1845"/>
    <s v="na"/>
    <s v="na"/>
    <s v="na"/>
    <s v="na"/>
    <s v="na"/>
  </r>
  <r>
    <n v="716"/>
    <x v="26"/>
    <n v="1"/>
    <x v="1"/>
    <x v="0"/>
    <x v="9"/>
    <n v="52"/>
    <s v="486 K"/>
    <n v="95"/>
    <m/>
    <s v="U"/>
    <m/>
    <d v="1899-12-30T01:42:00"/>
    <s v="18:51"/>
    <s v="HR"/>
    <s v="part of the tail fin missing"/>
    <s v="20140708 HReider"/>
    <s v="20140710LFerreira"/>
    <s v="x"/>
    <n v="151.875"/>
    <s v="na"/>
    <s v="FWL"/>
    <s v="na"/>
    <s v="na"/>
    <s v="F1845"/>
    <s v="na"/>
    <s v="na"/>
    <s v="na"/>
    <s v="na"/>
    <s v="na"/>
  </r>
  <r>
    <n v="717"/>
    <x v="26"/>
    <n v="1"/>
    <x v="1"/>
    <x v="0"/>
    <x v="9"/>
    <n v="25"/>
    <s v="487 K"/>
    <n v="57"/>
    <m/>
    <s v="U"/>
    <d v="1899-12-30T20:17:00"/>
    <d v="1899-12-30T01:06:00"/>
    <s v="20:22"/>
    <s v="CSj"/>
    <m/>
    <s v="20140708 CSejkora"/>
    <s v="20140710LFerreira"/>
    <d v="1899-12-30T00:03:54"/>
    <n v="151.875"/>
    <s v="na"/>
    <s v="FWL"/>
    <s v="na"/>
    <s v="na"/>
    <s v="F1845"/>
    <s v="na"/>
    <s v="na"/>
    <s v="na"/>
    <s v="na"/>
    <s v="na"/>
  </r>
  <r>
    <n v="718"/>
    <x v="26"/>
    <n v="2"/>
    <x v="3"/>
    <x v="2"/>
    <x v="0"/>
    <m/>
    <m/>
    <m/>
    <n v="28"/>
    <s v="U"/>
    <m/>
    <d v="1899-12-30T00:28:00"/>
    <s v="14:14"/>
    <s v="LF"/>
    <m/>
    <s v="20140708 LFerreira"/>
    <s v="20140710LFerreira"/>
    <s v="x"/>
    <s v="x"/>
    <s v="na"/>
    <s v="FWL"/>
    <s v="na"/>
    <s v="na"/>
    <s v="na"/>
    <s v="na"/>
    <s v="na"/>
    <s v="na"/>
    <s v="na"/>
    <s v="na"/>
  </r>
  <r>
    <n v="719"/>
    <x v="26"/>
    <n v="2"/>
    <x v="1"/>
    <x v="0"/>
    <x v="9"/>
    <n v="17"/>
    <s v="473 K"/>
    <n v="53"/>
    <m/>
    <s v="U"/>
    <m/>
    <d v="1899-12-30T01:20:00"/>
    <s v="17:05"/>
    <s v="HR"/>
    <m/>
    <s v="20140708 EGora"/>
    <s v="20140710LFerreira"/>
    <s v="x"/>
    <n v="151.875"/>
    <s v="na"/>
    <s v="FWL"/>
    <s v="na"/>
    <s v="na"/>
    <s v="F1845"/>
    <s v="na"/>
    <s v="na"/>
    <s v="na"/>
    <s v="na"/>
    <s v="na"/>
  </r>
  <r>
    <n v="720"/>
    <x v="26"/>
    <n v="2"/>
    <x v="1"/>
    <x v="0"/>
    <x v="8"/>
    <n v="15"/>
    <s v="478 K"/>
    <n v="64"/>
    <m/>
    <s v="U"/>
    <d v="1899-12-30T18:29:00"/>
    <d v="1899-12-30T01:19:00"/>
    <s v="18:37"/>
    <s v="DJ"/>
    <s v="split in tail"/>
    <s v="20140708 EGora"/>
    <s v="20140710LFerreira"/>
    <d v="1899-12-30T00:06:41"/>
    <n v="151.364"/>
    <s v="na"/>
    <s v="FWL"/>
    <s v="na"/>
    <s v="na"/>
    <s v="F1845"/>
    <s v="na"/>
    <s v="na"/>
    <s v="na"/>
    <s v="na"/>
    <s v="na"/>
  </r>
  <r>
    <n v="721"/>
    <x v="26"/>
    <n v="2"/>
    <x v="1"/>
    <x v="0"/>
    <x v="9"/>
    <n v="44"/>
    <s v="488 K"/>
    <n v="93"/>
    <m/>
    <s v="U"/>
    <m/>
    <d v="1899-12-30T02:16:00"/>
    <s v="21:47"/>
    <s v="EG"/>
    <m/>
    <s v="20140708 CSejkora"/>
    <s v="20140710LFerreira"/>
    <s v="x"/>
    <n v="151.875"/>
    <s v="na"/>
    <s v="FWL"/>
    <s v="na"/>
    <s v="na"/>
    <s v="F1845"/>
    <s v="na"/>
    <s v="na"/>
    <s v="na"/>
    <s v="na"/>
    <s v="na"/>
  </r>
  <r>
    <n v="722"/>
    <x v="26"/>
    <n v="3"/>
    <x v="1"/>
    <x v="0"/>
    <x v="8"/>
    <n v="18"/>
    <s v="484 K"/>
    <n v="81"/>
    <m/>
    <s v="U"/>
    <d v="1899-12-30T08:51:00"/>
    <d v="1899-12-30T01:09:00"/>
    <s v="08:56"/>
    <s v="JB"/>
    <m/>
    <s v="20140708 HReider"/>
    <s v="20140710LFerreira"/>
    <d v="1899-12-30T00:03:51"/>
    <n v="151.364"/>
    <s v="na"/>
    <s v="FWL"/>
    <s v="na"/>
    <s v="na"/>
    <s v="F1845"/>
    <s v="na"/>
    <s v="na"/>
    <s v="na"/>
    <s v="na"/>
    <s v="na"/>
  </r>
  <r>
    <n v="723"/>
    <x v="26"/>
    <n v="3"/>
    <x v="1"/>
    <x v="0"/>
    <x v="9"/>
    <n v="40"/>
    <s v="485 K"/>
    <n v="82"/>
    <m/>
    <s v="U"/>
    <m/>
    <d v="1899-12-30T01:39:00"/>
    <s v="13:00"/>
    <s v="JK"/>
    <s v="1:39 process duration"/>
    <s v="20140708 EGora"/>
    <s v="20140710LFerreira"/>
    <s v="x"/>
    <n v="151.875"/>
    <s v="na"/>
    <s v="FWL"/>
    <s v="na"/>
    <s v="na"/>
    <s v="F1845"/>
    <s v="na"/>
    <s v="na"/>
    <s v="na"/>
    <s v="na"/>
    <s v="na"/>
  </r>
  <r>
    <n v="724"/>
    <x v="26"/>
    <n v="3"/>
    <x v="1"/>
    <x v="0"/>
    <x v="8"/>
    <n v="75"/>
    <s v="492 K"/>
    <n v="55"/>
    <m/>
    <s v="U"/>
    <d v="1899-12-30T15:26:00"/>
    <d v="1899-12-30T01:00:00"/>
    <s v="15:32"/>
    <s v="JB"/>
    <m/>
    <s v="20140708 JGraham"/>
    <s v="20140710LFerreira"/>
    <d v="1899-12-30T00:05:00"/>
    <n v="151.364"/>
    <s v="na"/>
    <s v="FWL"/>
    <s v="na"/>
    <s v="na"/>
    <s v="F1845"/>
    <s v="na"/>
    <s v="na"/>
    <s v="na"/>
    <s v="na"/>
    <s v="na"/>
  </r>
  <r>
    <n v="725"/>
    <x v="26"/>
    <n v="3"/>
    <x v="0"/>
    <x v="2"/>
    <x v="0"/>
    <m/>
    <m/>
    <m/>
    <n v="21"/>
    <s v="U"/>
    <m/>
    <d v="1899-12-30T00:35:00"/>
    <s v="18:42"/>
    <s v="JG"/>
    <m/>
    <s v="20140708 JGraham"/>
    <s v="20140710LFerreira"/>
    <s v="x"/>
    <s v="x"/>
    <s v="na"/>
    <s v="FWL"/>
    <s v="na"/>
    <s v="na"/>
    <s v="na"/>
    <s v="na"/>
    <s v="na"/>
    <s v="na"/>
    <s v="na"/>
    <s v="na"/>
  </r>
  <r>
    <n v="726"/>
    <x v="26"/>
    <n v="3"/>
    <x v="1"/>
    <x v="0"/>
    <x v="9"/>
    <n v="6"/>
    <s v="493 K"/>
    <n v="82"/>
    <m/>
    <s v="U"/>
    <d v="1899-12-30T20:43:00"/>
    <d v="1899-12-30T01:49:00"/>
    <s v="20:47"/>
    <s v="JK"/>
    <m/>
    <s v="20140708 LFerreira"/>
    <s v="20140710LFerreira"/>
    <d v="1899-12-30T00:02:11"/>
    <n v="151.875"/>
    <s v="na"/>
    <s v="FWL"/>
    <s v="na"/>
    <s v="na"/>
    <s v="F1845"/>
    <s v="na"/>
    <s v="na"/>
    <s v="na"/>
    <s v="na"/>
    <s v="na"/>
  </r>
  <r>
    <n v="727"/>
    <x v="26"/>
    <n v="3"/>
    <x v="1"/>
    <x v="0"/>
    <x v="8"/>
    <n v="26"/>
    <s v="494 K"/>
    <n v="83"/>
    <m/>
    <s v="F"/>
    <d v="1899-12-30T21:26:00"/>
    <d v="1899-12-30T02:23:00"/>
    <s v="21:34"/>
    <s v="LF"/>
    <m/>
    <s v="20140708 LFerreira"/>
    <s v="20140710LFerreira"/>
    <d v="1899-12-30T00:05:37"/>
    <n v="151.364"/>
    <s v="na"/>
    <s v="FWL"/>
    <s v="na"/>
    <s v="na"/>
    <s v="F1845"/>
    <s v="na"/>
    <s v="na"/>
    <s v="na"/>
    <s v="na"/>
    <s v="na"/>
  </r>
  <r>
    <n v="728"/>
    <x v="27"/>
    <n v="1"/>
    <x v="1"/>
    <x v="0"/>
    <x v="8"/>
    <n v="32"/>
    <s v="489 K"/>
    <n v="96"/>
    <m/>
    <s v="U"/>
    <m/>
    <d v="1899-12-30T02:21:00"/>
    <s v="05:49"/>
    <s v="DJ"/>
    <s v="P"/>
    <s v="20140709 JGraham"/>
    <s v="20140710LFerreira"/>
    <s v="x"/>
    <n v="151.364"/>
    <s v="na"/>
    <s v="FWL"/>
    <s v="na"/>
    <s v="na"/>
    <s v="F1845"/>
    <s v="na"/>
    <s v="na"/>
    <s v="na"/>
    <s v="na"/>
    <s v="na"/>
  </r>
  <r>
    <n v="729"/>
    <x v="27"/>
    <n v="1"/>
    <x v="2"/>
    <x v="2"/>
    <x v="0"/>
    <m/>
    <m/>
    <m/>
    <n v="23"/>
    <s v="U"/>
    <m/>
    <d v="1899-12-30T01:06:00"/>
    <s v="05:55"/>
    <s v="JG"/>
    <m/>
    <s v="20140709 JGraham"/>
    <s v="20140710LFerreira"/>
    <s v="x"/>
    <s v="x"/>
    <s v="na"/>
    <s v="FWL"/>
    <s v="na"/>
    <s v="na"/>
    <s v="na"/>
    <s v="na"/>
    <s v="na"/>
    <s v="na"/>
    <s v="na"/>
    <s v="na"/>
  </r>
  <r>
    <n v="730"/>
    <x v="27"/>
    <n v="1"/>
    <x v="1"/>
    <x v="0"/>
    <x v="9"/>
    <n v="15"/>
    <s v="491 K"/>
    <n v="89"/>
    <m/>
    <s v="U"/>
    <m/>
    <d v="1899-12-30T01:25:00"/>
    <s v="07:14"/>
    <s v="DJ"/>
    <m/>
    <s v="20140709 JGraham"/>
    <s v="20140710LFerreira"/>
    <s v="x"/>
    <n v="151.875"/>
    <s v="na"/>
    <s v="FWL"/>
    <s v="na"/>
    <s v="na"/>
    <s v="F1845"/>
    <s v="na"/>
    <s v="na"/>
    <s v="na"/>
    <s v="na"/>
    <s v="na"/>
  </r>
  <r>
    <n v="731"/>
    <x v="27"/>
    <n v="1"/>
    <x v="1"/>
    <x v="0"/>
    <x v="9"/>
    <n v="56"/>
    <s v="501 K"/>
    <n v="73"/>
    <m/>
    <s v="U"/>
    <m/>
    <d v="1899-12-30T01:11:00"/>
    <s v="07:17"/>
    <s v="JG"/>
    <m/>
    <s v="20140709 JGraham"/>
    <s v="20140710LFerreira"/>
    <s v="x"/>
    <n v="151.875"/>
    <s v="na"/>
    <s v="FWL"/>
    <s v="na"/>
    <s v="na"/>
    <s v="F1845"/>
    <s v="na"/>
    <s v="na"/>
    <s v="na"/>
    <s v="na"/>
    <s v="na"/>
  </r>
  <r>
    <n v="732"/>
    <x v="27"/>
    <n v="1"/>
    <x v="1"/>
    <x v="0"/>
    <x v="9"/>
    <n v="12"/>
    <s v="506 K"/>
    <n v="90"/>
    <m/>
    <s v="U"/>
    <m/>
    <d v="1899-12-30T02:30:00"/>
    <s v="08:02"/>
    <s v="DJ"/>
    <m/>
    <s v="20140709 JGraham"/>
    <s v="20140710LFerreira"/>
    <s v="x"/>
    <n v="151.875"/>
    <s v="na"/>
    <s v="FWL"/>
    <s v="na"/>
    <s v="na"/>
    <s v="F1845"/>
    <s v="na"/>
    <s v="na"/>
    <s v="na"/>
    <s v="na"/>
    <s v="na"/>
  </r>
  <r>
    <n v="733"/>
    <x v="27"/>
    <n v="1"/>
    <x v="1"/>
    <x v="0"/>
    <x v="9"/>
    <n v="30"/>
    <s v="508 K"/>
    <n v="78"/>
    <m/>
    <s v="U"/>
    <m/>
    <d v="1899-12-30T01:15:00"/>
    <s v="14:19"/>
    <s v="CSj"/>
    <m/>
    <s v="20140709 LFerreira "/>
    <s v="20140710LFerreira"/>
    <s v="x"/>
    <n v="151.875"/>
    <s v="na"/>
    <s v="FWL"/>
    <s v="na"/>
    <s v="na"/>
    <s v="F1845"/>
    <s v="na"/>
    <s v="na"/>
    <s v="na"/>
    <s v="na"/>
    <s v="na"/>
  </r>
  <r>
    <n v="734"/>
    <x v="27"/>
    <n v="1"/>
    <x v="1"/>
    <x v="0"/>
    <x v="8"/>
    <n v="38"/>
    <s v="509 K"/>
    <n v="96"/>
    <m/>
    <s v="U"/>
    <m/>
    <d v="1899-12-30T01:30:00"/>
    <s v="16:26"/>
    <s v="HR"/>
    <m/>
    <s v="20140709 DJohnson"/>
    <s v="20140710LFerreira"/>
    <s v="x"/>
    <n v="151.364"/>
    <s v="na"/>
    <s v="FWL"/>
    <s v="na"/>
    <s v="na"/>
    <s v="F1845"/>
    <s v="na"/>
    <s v="na"/>
    <s v="na"/>
    <s v="na"/>
    <s v="na"/>
  </r>
  <r>
    <n v="735"/>
    <x v="27"/>
    <n v="1"/>
    <x v="1"/>
    <x v="0"/>
    <x v="8"/>
    <n v="42"/>
    <s v="510 K"/>
    <n v="54"/>
    <m/>
    <s v="U"/>
    <m/>
    <d v="1899-12-30T00:56:00"/>
    <s v="16:30"/>
    <s v="DJ"/>
    <m/>
    <s v="20140709 DJohnson"/>
    <s v="20140710LFerreira"/>
    <s v="x"/>
    <n v="151.364"/>
    <s v="na"/>
    <s v="FWL"/>
    <s v="na"/>
    <s v="na"/>
    <s v="F1845"/>
    <s v="na"/>
    <s v="na"/>
    <s v="na"/>
    <s v="na"/>
    <s v="na"/>
  </r>
  <r>
    <n v="736"/>
    <x v="27"/>
    <n v="1"/>
    <x v="1"/>
    <x v="0"/>
    <x v="9"/>
    <n v="90"/>
    <s v="511 K"/>
    <n v="56"/>
    <m/>
    <s v="U"/>
    <m/>
    <d v="1899-12-30T00:58:00"/>
    <s v="18:26"/>
    <s v="HR"/>
    <m/>
    <s v="20140709 DJohnson"/>
    <s v="20140710LFerreira"/>
    <s v="x"/>
    <n v="151.875"/>
    <s v="na"/>
    <s v="FWL"/>
    <s v="na"/>
    <s v="na"/>
    <s v="F1845"/>
    <s v="na"/>
    <s v="na"/>
    <s v="na"/>
    <s v="na"/>
    <s v="na"/>
  </r>
  <r>
    <n v="737"/>
    <x v="27"/>
    <n v="1"/>
    <x v="4"/>
    <x v="1"/>
    <x v="0"/>
    <m/>
    <m/>
    <n v="39"/>
    <m/>
    <s v="U"/>
    <m/>
    <d v="1899-12-30T00:53:00"/>
    <s v="20:15"/>
    <s v="EG"/>
    <s v="too small to tag"/>
    <s v="20140709 CSejkora"/>
    <s v="20140710LFerreira"/>
    <s v="x"/>
    <s v="x"/>
    <s v="na"/>
    <s v="FWL"/>
    <s v="na"/>
    <s v="na"/>
    <s v="na"/>
    <s v="na"/>
    <s v="na"/>
    <s v="na"/>
    <s v="na"/>
    <s v="na"/>
  </r>
  <r>
    <n v="738"/>
    <x v="27"/>
    <n v="1"/>
    <x v="1"/>
    <x v="0"/>
    <x v="9"/>
    <n v="7"/>
    <s v="512 K"/>
    <n v="64"/>
    <m/>
    <s v="U"/>
    <m/>
    <d v="1899-12-30T00:57:00"/>
    <s v="22:05"/>
    <s v="EG"/>
    <m/>
    <s v="20140709 CSejkora"/>
    <s v="20140710LFerreira"/>
    <s v="x"/>
    <n v="151.875"/>
    <s v="na"/>
    <s v="FWL"/>
    <s v="na"/>
    <s v="na"/>
    <s v="F1845"/>
    <s v="na"/>
    <s v="na"/>
    <s v="na"/>
    <s v="na"/>
    <s v="na"/>
  </r>
  <r>
    <n v="739"/>
    <x v="27"/>
    <n v="2"/>
    <x v="1"/>
    <x v="0"/>
    <x v="9"/>
    <n v="23"/>
    <s v="490 K"/>
    <n v="54"/>
    <m/>
    <s v="U"/>
    <m/>
    <d v="1899-12-30T00:58:00"/>
    <s v="06:09"/>
    <s v="JG"/>
    <s v="S"/>
    <s v="20140709 JGraham"/>
    <s v="20140710LFerreira"/>
    <s v="x"/>
    <n v="151.875"/>
    <s v="na"/>
    <s v="FWL"/>
    <s v="na"/>
    <s v="na"/>
    <s v="F1845"/>
    <s v="na"/>
    <s v="na"/>
    <s v="na"/>
    <s v="na"/>
    <s v="na"/>
  </r>
  <r>
    <n v="740"/>
    <x v="27"/>
    <n v="2"/>
    <x v="4"/>
    <x v="1"/>
    <x v="0"/>
    <m/>
    <m/>
    <n v="31"/>
    <m/>
    <s v="U"/>
    <m/>
    <d v="1899-12-30T00:35:00"/>
    <s v="08:14"/>
    <s v="DJ"/>
    <m/>
    <s v="20140709 JGraham"/>
    <s v="20140710LFerreira"/>
    <s v="x"/>
    <s v="x"/>
    <s v="na"/>
    <s v="FWL"/>
    <s v="na"/>
    <s v="na"/>
    <s v="na"/>
    <s v="na"/>
    <s v="na"/>
    <s v="na"/>
    <s v="na"/>
    <s v="na"/>
  </r>
  <r>
    <n v="741"/>
    <x v="27"/>
    <n v="2"/>
    <x v="1"/>
    <x v="0"/>
    <x v="8"/>
    <n v="9"/>
    <s v="507 K"/>
    <n v="85"/>
    <m/>
    <s v="U"/>
    <m/>
    <d v="1899-12-30T01:58:00"/>
    <s v="13:13"/>
    <s v="CSj"/>
    <m/>
    <s v="20140709 CSejkora"/>
    <s v="20140710LFerreira"/>
    <s v="x"/>
    <n v="151.364"/>
    <s v="na"/>
    <s v="FWL"/>
    <s v="na"/>
    <s v="na"/>
    <s v="F1845"/>
    <s v="na"/>
    <s v="na"/>
    <s v="na"/>
    <s v="na"/>
    <s v="na"/>
  </r>
  <r>
    <n v="742"/>
    <x v="27"/>
    <n v="3"/>
    <x v="1"/>
    <x v="0"/>
    <x v="9"/>
    <n v="70"/>
    <s v="502 K"/>
    <n v="85"/>
    <m/>
    <s v="U"/>
    <m/>
    <d v="1899-12-30T01:15:00"/>
    <s v="07:22"/>
    <s v="HR"/>
    <m/>
    <s v="20140709 JBerry"/>
    <s v="20140710LFerreira"/>
    <s v="x"/>
    <n v="151.875"/>
    <s v="na"/>
    <s v="FWL"/>
    <s v="na"/>
    <s v="na"/>
    <s v="F1845"/>
    <s v="na"/>
    <s v="na"/>
    <s v="na"/>
    <s v="na"/>
    <s v="na"/>
  </r>
  <r>
    <n v="743"/>
    <x v="27"/>
    <n v="3"/>
    <x v="1"/>
    <x v="0"/>
    <x v="8"/>
    <n v="28"/>
    <s v="503 K"/>
    <n v="87"/>
    <m/>
    <s v="U"/>
    <d v="1899-12-30T08:16:00"/>
    <d v="1899-12-30T01:26:00"/>
    <s v="08:21"/>
    <s v="JB"/>
    <m/>
    <s v="20140709 JBerry"/>
    <s v="20140710LFerreira"/>
    <d v="1899-12-30T00:03:34"/>
    <n v="151.364"/>
    <s v="na"/>
    <s v="FWL"/>
    <s v="na"/>
    <s v="na"/>
    <s v="F1845"/>
    <s v="na"/>
    <s v="na"/>
    <s v="na"/>
    <s v="na"/>
    <s v="na"/>
  </r>
  <r>
    <n v="744"/>
    <x v="27"/>
    <n v="3"/>
    <x v="1"/>
    <x v="0"/>
    <x v="9"/>
    <n v="72"/>
    <s v="504 K"/>
    <n v="57"/>
    <m/>
    <s v="U"/>
    <m/>
    <d v="1899-12-30T01:39:00"/>
    <s v="10:45"/>
    <s v="EG"/>
    <m/>
    <s v="20140709 EGora"/>
    <s v="20140710LFerreira"/>
    <s v="x"/>
    <n v="151.875"/>
    <s v="na"/>
    <s v="FWL"/>
    <s v="na"/>
    <s v="na"/>
    <s v="F1845"/>
    <s v="na"/>
    <s v="na"/>
    <s v="na"/>
    <s v="na"/>
    <s v="na"/>
  </r>
  <r>
    <n v="745"/>
    <x v="27"/>
    <n v="3"/>
    <x v="1"/>
    <x v="0"/>
    <x v="9"/>
    <n v="74"/>
    <s v="505 K"/>
    <n v="62"/>
    <m/>
    <s v="U"/>
    <m/>
    <d v="1899-12-30T01:45:00"/>
    <s v="12:40"/>
    <s v="JK"/>
    <m/>
    <s v="20140709 EGora"/>
    <s v="20140710LFerreira"/>
    <s v="x"/>
    <n v="151.875"/>
    <s v="na"/>
    <s v="FWL"/>
    <s v="na"/>
    <s v="na"/>
    <s v="F1845"/>
    <s v="na"/>
    <s v="na"/>
    <s v="na"/>
    <s v="na"/>
    <s v="na"/>
  </r>
  <r>
    <n v="746"/>
    <x v="27"/>
    <n v="3"/>
    <x v="1"/>
    <x v="0"/>
    <x v="9"/>
    <n v="99"/>
    <s v="495 K"/>
    <n v="98"/>
    <m/>
    <s v="U"/>
    <m/>
    <d v="1899-12-30T02:08:00"/>
    <s v="12:45"/>
    <s v="CSj"/>
    <s v="gently hit deck"/>
    <s v="20140709 EGora"/>
    <s v="20140710LFerreira"/>
    <s v="x"/>
    <n v="151.875"/>
    <s v="na"/>
    <s v="FWL"/>
    <s v="na"/>
    <s v="na"/>
    <s v="F1845"/>
    <s v="na"/>
    <s v="na"/>
    <s v="na"/>
    <s v="na"/>
    <s v="na"/>
  </r>
  <r>
    <n v="747"/>
    <x v="27"/>
    <n v="3"/>
    <x v="1"/>
    <x v="0"/>
    <x v="9"/>
    <n v="43"/>
    <s v="496 K"/>
    <n v="87"/>
    <m/>
    <s v="U"/>
    <m/>
    <d v="1899-12-30T01:45:00"/>
    <s v="14:21"/>
    <s v="JK"/>
    <m/>
    <s v="20140709 EGora"/>
    <s v="20140710LFerreira"/>
    <s v="x"/>
    <n v="151.875"/>
    <s v="na"/>
    <s v="FWL"/>
    <s v="na"/>
    <s v="na"/>
    <s v="F1845"/>
    <s v="na"/>
    <s v="na"/>
    <s v="na"/>
    <s v="na"/>
    <s v="na"/>
  </r>
  <r>
    <n v="748"/>
    <x v="27"/>
    <n v="3"/>
    <x v="4"/>
    <x v="1"/>
    <x v="0"/>
    <m/>
    <m/>
    <n v="38"/>
    <m/>
    <s v="U"/>
    <m/>
    <d v="1899-12-30T00:24:00"/>
    <s v="14:54"/>
    <s v="JG"/>
    <s v="too small to tag"/>
    <s v="20140709 JBerry"/>
    <s v="20140710LFerreira"/>
    <s v="x"/>
    <s v="x"/>
    <s v="na"/>
    <s v="FWL"/>
    <s v="na"/>
    <s v="na"/>
    <s v="na"/>
    <s v="na"/>
    <s v="na"/>
    <s v="na"/>
    <s v="na"/>
    <s v="na"/>
  </r>
  <r>
    <n v="749"/>
    <x v="27"/>
    <n v="3"/>
    <x v="1"/>
    <x v="0"/>
    <x v="9"/>
    <n v="11"/>
    <s v="497 K"/>
    <n v="66"/>
    <m/>
    <s v="U"/>
    <d v="1899-12-30T17:05:00"/>
    <d v="1899-12-30T01:16:00"/>
    <s v="17:10"/>
    <s v="JG"/>
    <m/>
    <s v="20140709 JBerry"/>
    <s v="20140710LFerreira"/>
    <d v="1899-12-30T00:03:44"/>
    <n v="151.875"/>
    <s v="na"/>
    <s v="FWL"/>
    <s v="na"/>
    <s v="na"/>
    <s v="F1845"/>
    <s v="na"/>
    <s v="na"/>
    <s v="na"/>
    <s v="na"/>
    <s v="na"/>
  </r>
  <r>
    <n v="750"/>
    <x v="27"/>
    <n v="3"/>
    <x v="0"/>
    <x v="2"/>
    <x v="0"/>
    <m/>
    <m/>
    <m/>
    <n v="37"/>
    <s v="U"/>
    <m/>
    <d v="1899-12-30T00:32:00"/>
    <s v="18:19"/>
    <s v="JB"/>
    <m/>
    <s v="20140709 JBerry"/>
    <s v="20140710LFerreira"/>
    <s v="x"/>
    <s v="x"/>
    <s v="na"/>
    <s v="FWL"/>
    <s v="na"/>
    <s v="na"/>
    <s v="na"/>
    <s v="na"/>
    <s v="na"/>
    <s v="na"/>
    <s v="na"/>
    <s v="na"/>
  </r>
  <r>
    <n v="751"/>
    <x v="27"/>
    <n v="3"/>
    <x v="1"/>
    <x v="0"/>
    <x v="0"/>
    <m/>
    <m/>
    <m/>
    <m/>
    <s v="U"/>
    <d v="1899-12-30T19:54:00"/>
    <m/>
    <m/>
    <s v="JK"/>
    <s v="jumped out of trough - No tag"/>
    <s v="20140709 LFerreira "/>
    <s v="20140710LFerreira"/>
    <s v="x"/>
    <s v="x"/>
    <s v="na"/>
    <s v="FWL"/>
    <s v="na"/>
    <s v="na"/>
    <s v="na"/>
    <s v="na"/>
    <s v="na"/>
    <s v="na"/>
    <s v="na"/>
    <s v="na"/>
  </r>
  <r>
    <n v="752"/>
    <x v="27"/>
    <n v="3"/>
    <x v="3"/>
    <x v="2"/>
    <x v="0"/>
    <m/>
    <m/>
    <m/>
    <n v="25"/>
    <s v="U"/>
    <m/>
    <d v="1899-12-30T00:47:00"/>
    <s v="20:48"/>
    <s v="JK"/>
    <m/>
    <s v="20140709 LFerreira "/>
    <s v="20140710LFerreira"/>
    <s v="x"/>
    <s v="x"/>
    <s v="na"/>
    <s v="FWL"/>
    <s v="na"/>
    <s v="na"/>
    <s v="na"/>
    <s v="na"/>
    <s v="na"/>
    <s v="na"/>
    <s v="na"/>
    <s v="na"/>
  </r>
  <r>
    <n v="753"/>
    <x v="27"/>
    <n v="3"/>
    <x v="3"/>
    <x v="2"/>
    <x v="0"/>
    <m/>
    <m/>
    <m/>
    <m/>
    <s v="U"/>
    <m/>
    <d v="1899-12-30T00:20:00"/>
    <s v="20:46"/>
    <s v="JK"/>
    <s v="got out through net holes and jumped in water before we could measure"/>
    <s v="20140709 LFerreira "/>
    <s v="20140710LFerreira"/>
    <s v="x"/>
    <s v="x"/>
    <s v="na"/>
    <s v="FWL"/>
    <s v="na"/>
    <s v="na"/>
    <s v="na"/>
    <s v="na"/>
    <s v="na"/>
    <s v="na"/>
    <s v="na"/>
    <s v="na"/>
  </r>
  <r>
    <n v="754"/>
    <x v="27"/>
    <n v="3"/>
    <x v="5"/>
    <x v="2"/>
    <x v="0"/>
    <m/>
    <m/>
    <m/>
    <n v="34"/>
    <s v="U"/>
    <m/>
    <d v="1899-12-30T00:28:00"/>
    <s v="21:50"/>
    <s v="JK"/>
    <m/>
    <s v="20140709 LFerreira "/>
    <s v="20140710LFerreira"/>
    <s v="x"/>
    <s v="x"/>
    <s v="na"/>
    <s v="FWL"/>
    <s v="na"/>
    <s v="na"/>
    <s v="na"/>
    <s v="na"/>
    <s v="na"/>
    <s v="na"/>
    <s v="na"/>
    <s v="na"/>
  </r>
  <r>
    <n v="755"/>
    <x v="27"/>
    <n v="3"/>
    <x v="1"/>
    <x v="0"/>
    <x v="9"/>
    <n v="42"/>
    <s v="498 K"/>
    <n v="86"/>
    <m/>
    <s v="U"/>
    <d v="1899-12-30T22:20:00"/>
    <d v="1899-12-30T02:09:00"/>
    <s v="22:26"/>
    <s v="JK"/>
    <s v="release time 22:26"/>
    <s v="20140709 LFerreira "/>
    <s v="20140710LFerreira"/>
    <d v="1899-12-30T00:03:51"/>
    <n v="151.875"/>
    <s v="na"/>
    <s v="FWL"/>
    <s v="na"/>
    <s v="na"/>
    <s v="F1845"/>
    <s v="na"/>
    <s v="na"/>
    <s v="na"/>
    <s v="na"/>
    <s v="na"/>
  </r>
  <r>
    <n v="756"/>
    <x v="27"/>
    <n v="3"/>
    <x v="1"/>
    <x v="0"/>
    <x v="0"/>
    <m/>
    <m/>
    <m/>
    <m/>
    <s v="U"/>
    <d v="1899-12-30T23:05:00"/>
    <m/>
    <m/>
    <s v="JK"/>
    <s v="jumped out of trough into water"/>
    <s v="20140709 LFerreira "/>
    <s v="20140710LFerreira"/>
    <s v="x"/>
    <s v="x"/>
    <s v="na"/>
    <s v="FWL"/>
    <s v="na"/>
    <s v="na"/>
    <s v="na"/>
    <s v="na"/>
    <s v="na"/>
    <s v="na"/>
    <s v="na"/>
    <s v="na"/>
  </r>
  <r>
    <n v="757"/>
    <x v="28"/>
    <n v="1"/>
    <x v="1"/>
    <x v="0"/>
    <x v="9"/>
    <n v="41"/>
    <s v="513 K"/>
    <n v="73"/>
    <m/>
    <s v="U"/>
    <m/>
    <d v="1899-12-30T00:53:00"/>
    <s v="05:51"/>
    <s v="JB"/>
    <s v="P"/>
    <s v="20140710 JBerry"/>
    <s v="20140711 DRobichaud"/>
    <s v="x"/>
    <n v="151.875"/>
    <s v="na"/>
    <s v="FWL"/>
    <s v="na"/>
    <s v="na"/>
    <s v="F1845"/>
    <s v="na"/>
    <s v="na"/>
    <s v="na"/>
    <s v="na"/>
    <s v="na"/>
  </r>
  <r>
    <n v="758"/>
    <x v="28"/>
    <n v="1"/>
    <x v="1"/>
    <x v="0"/>
    <x v="9"/>
    <n v="54"/>
    <s v="514 K"/>
    <n v="65"/>
    <m/>
    <s v="U"/>
    <m/>
    <d v="1899-12-30T01:20:00"/>
    <s v="05:54"/>
    <s v="DJ"/>
    <s v="S"/>
    <s v="20140710 JBerry"/>
    <s v="20140711 DRobichaud"/>
    <s v="x"/>
    <n v="151.875"/>
    <s v="na"/>
    <s v="FWL"/>
    <s v="na"/>
    <s v="na"/>
    <s v="F1845"/>
    <s v="na"/>
    <s v="na"/>
    <s v="na"/>
    <s v="na"/>
    <s v="na"/>
  </r>
  <r>
    <n v="759"/>
    <x v="28"/>
    <n v="1"/>
    <x v="4"/>
    <x v="1"/>
    <x v="0"/>
    <m/>
    <m/>
    <n v="30"/>
    <m/>
    <s v="U"/>
    <m/>
    <d v="1899-12-30T00:20:00"/>
    <s v="05:55"/>
    <s v="DJ"/>
    <s v="S too small to tag"/>
    <s v="20140710 JBerry"/>
    <s v="20140711 DRobichaud"/>
    <s v="x"/>
    <s v="x"/>
    <s v="na"/>
    <s v="FWL"/>
    <s v="na"/>
    <s v="na"/>
    <s v="na"/>
    <s v="na"/>
    <s v="na"/>
    <s v="na"/>
    <s v="na"/>
    <s v="na"/>
  </r>
  <r>
    <n v="760"/>
    <x v="28"/>
    <n v="1"/>
    <x v="3"/>
    <x v="2"/>
    <x v="0"/>
    <m/>
    <m/>
    <m/>
    <n v="26"/>
    <s v="U"/>
    <m/>
    <d v="1899-12-30T00:40:00"/>
    <s v="05:57"/>
    <s v="DJ"/>
    <s v="S"/>
    <s v="20140710 JBerry"/>
    <s v="20140711 DRobichaud"/>
    <s v="x"/>
    <s v="x"/>
    <s v="na"/>
    <s v="FWL"/>
    <s v="na"/>
    <s v="na"/>
    <s v="na"/>
    <s v="na"/>
    <s v="na"/>
    <s v="na"/>
    <s v="na"/>
    <s v="na"/>
  </r>
  <r>
    <n v="761"/>
    <x v="28"/>
    <n v="1"/>
    <x v="1"/>
    <x v="0"/>
    <x v="9"/>
    <n v="4"/>
    <s v="523 K"/>
    <n v="108"/>
    <m/>
    <s v="M"/>
    <d v="1899-12-30T07:34:00"/>
    <d v="1899-12-30T01:46:00"/>
    <s v="07:40"/>
    <s v="DJ"/>
    <m/>
    <s v="20140710 JBerry"/>
    <s v="20140711 DRobichaud"/>
    <d v="1899-12-30T00:04:14"/>
    <n v="151.875"/>
    <s v="na"/>
    <s v="FWL"/>
    <s v="na"/>
    <s v="na"/>
    <s v="F1845"/>
    <s v="na"/>
    <s v="na"/>
    <s v="na"/>
    <s v="na"/>
    <s v="na"/>
  </r>
  <r>
    <n v="762"/>
    <x v="28"/>
    <n v="1"/>
    <x v="1"/>
    <x v="0"/>
    <x v="9"/>
    <n v="78"/>
    <s v="524 K"/>
    <n v="52"/>
    <m/>
    <s v="U"/>
    <m/>
    <d v="1899-12-30T01:14:00"/>
    <s v="08:11"/>
    <s v="JB"/>
    <m/>
    <s v="20140710 JBerry"/>
    <s v="20140711 DRobichaud"/>
    <s v="x"/>
    <n v="151.875"/>
    <s v="na"/>
    <s v="FWL"/>
    <s v="na"/>
    <s v="na"/>
    <s v="F1845"/>
    <s v="na"/>
    <s v="na"/>
    <s v="na"/>
    <s v="na"/>
    <s v="na"/>
  </r>
  <r>
    <n v="763"/>
    <x v="28"/>
    <n v="2"/>
    <x v="1"/>
    <x v="0"/>
    <x v="9"/>
    <n v="28"/>
    <s v="515 K"/>
    <n v="57"/>
    <m/>
    <s v="U"/>
    <m/>
    <d v="1899-12-30T01:02:00"/>
    <s v="06:09"/>
    <s v="JB"/>
    <s v="S"/>
    <s v="20140710 DJohnson"/>
    <s v="20140711 DRobichaud"/>
    <s v="x"/>
    <n v="151.875"/>
    <s v="na"/>
    <s v="FWL"/>
    <s v="na"/>
    <s v="na"/>
    <s v="F1845"/>
    <s v="na"/>
    <s v="na"/>
    <s v="na"/>
    <s v="na"/>
    <s v="na"/>
  </r>
  <r>
    <n v="764"/>
    <x v="28"/>
    <n v="2"/>
    <x v="1"/>
    <x v="0"/>
    <x v="8"/>
    <n v="4"/>
    <s v="525 K"/>
    <n v="63"/>
    <m/>
    <s v="U"/>
    <m/>
    <d v="1899-12-30T01:21:00"/>
    <s v="13:07"/>
    <s v="CSj"/>
    <m/>
    <s v="20140710 CSejkora"/>
    <s v="20140711 DRobichaud"/>
    <s v="x"/>
    <n v="151.364"/>
    <s v="na"/>
    <s v="FWL"/>
    <s v="na"/>
    <s v="na"/>
    <s v="F1845"/>
    <s v="na"/>
    <s v="na"/>
    <s v="na"/>
    <s v="na"/>
    <s v="na"/>
  </r>
  <r>
    <n v="765"/>
    <x v="28"/>
    <n v="2"/>
    <x v="7"/>
    <x v="0"/>
    <x v="10"/>
    <n v="61"/>
    <s v="12 S"/>
    <n v="44"/>
    <m/>
    <s v="U"/>
    <m/>
    <d v="1899-12-30T01:58:00"/>
    <s v="20:46"/>
    <s v="LF"/>
    <m/>
    <s v="20140710 LFerreira"/>
    <s v="20140711 DRobichaud"/>
    <s v="x"/>
    <n v="151.58600000000001"/>
    <s v="na"/>
    <s v="FWL"/>
    <s v="na"/>
    <s v="na"/>
    <s v="F1840"/>
    <s v="na"/>
    <s v="na"/>
    <s v="na"/>
    <s v="na"/>
    <s v="na"/>
  </r>
  <r>
    <n v="766"/>
    <x v="28"/>
    <n v="2"/>
    <x v="4"/>
    <x v="1"/>
    <x v="0"/>
    <m/>
    <m/>
    <n v="35"/>
    <m/>
    <s v="U"/>
    <m/>
    <d v="1899-12-30T00:36:00"/>
    <s v="20:36"/>
    <s v="CSj"/>
    <s v="too small to tag"/>
    <s v="20140710 LFerreira"/>
    <s v="20140711 DRobichaud"/>
    <s v="x"/>
    <s v="x"/>
    <s v="na"/>
    <s v="FWL"/>
    <s v="na"/>
    <s v="na"/>
    <s v="na"/>
    <s v="na"/>
    <s v="na"/>
    <s v="na"/>
    <s v="na"/>
    <s v="na"/>
  </r>
  <r>
    <n v="767"/>
    <x v="28"/>
    <n v="3"/>
    <x v="1"/>
    <x v="0"/>
    <x v="9"/>
    <n v="77"/>
    <s v="499 K"/>
    <n v="85"/>
    <m/>
    <s v="U"/>
    <m/>
    <d v="1899-12-30T01:30:00"/>
    <s v="06:06"/>
    <s v="JG"/>
    <s v="S"/>
    <s v="20140710 HReider"/>
    <s v="20140711 DRobichaud"/>
    <s v="x"/>
    <n v="151.875"/>
    <s v="na"/>
    <s v="FWL"/>
    <s v="na"/>
    <s v="na"/>
    <s v="F1845"/>
    <s v="na"/>
    <s v="na"/>
    <s v="na"/>
    <s v="na"/>
    <s v="na"/>
  </r>
  <r>
    <n v="768"/>
    <x v="28"/>
    <n v="3"/>
    <x v="1"/>
    <x v="0"/>
    <x v="9"/>
    <n v="3"/>
    <s v="500 K"/>
    <n v="55"/>
    <m/>
    <s v="U"/>
    <m/>
    <d v="1899-12-30T01:45:00"/>
    <s v="06:11"/>
    <s v="HR"/>
    <s v="S"/>
    <s v="20140710 HReider"/>
    <s v="20140711 DRobichaud"/>
    <s v="x"/>
    <n v="151.875"/>
    <s v="na"/>
    <s v="FWL"/>
    <s v="na"/>
    <s v="na"/>
    <s v="F1845"/>
    <s v="na"/>
    <s v="na"/>
    <s v="na"/>
    <s v="na"/>
    <s v="na"/>
  </r>
  <r>
    <n v="769"/>
    <x v="28"/>
    <n v="3"/>
    <x v="1"/>
    <x v="0"/>
    <x v="8"/>
    <n v="25"/>
    <s v="516 K"/>
    <n v="64"/>
    <m/>
    <s v="U"/>
    <m/>
    <d v="1899-12-30T01:09:00"/>
    <s v="06:21"/>
    <s v="HR"/>
    <s v="S"/>
    <s v="20140710 HReider"/>
    <s v="20140711 DRobichaud"/>
    <s v="x"/>
    <n v="151.364"/>
    <s v="na"/>
    <s v="FWL"/>
    <s v="na"/>
    <s v="na"/>
    <s v="F1845"/>
    <s v="na"/>
    <s v="na"/>
    <s v="na"/>
    <s v="na"/>
    <s v="na"/>
  </r>
  <r>
    <n v="770"/>
    <x v="28"/>
    <n v="3"/>
    <x v="1"/>
    <x v="0"/>
    <x v="8"/>
    <n v="33"/>
    <s v="517 K"/>
    <n v="71"/>
    <m/>
    <s v="U"/>
    <m/>
    <d v="1899-12-30T01:11:00"/>
    <s v="06:24"/>
    <s v="JG"/>
    <s v="P"/>
    <s v="20140710 HReider"/>
    <s v="20140711 DRobichaud"/>
    <s v="x"/>
    <n v="151.364"/>
    <s v="na"/>
    <s v="FWL"/>
    <s v="na"/>
    <s v="na"/>
    <s v="F1845"/>
    <s v="na"/>
    <s v="na"/>
    <s v="na"/>
    <s v="na"/>
    <s v="na"/>
  </r>
  <r>
    <n v="771"/>
    <x v="28"/>
    <n v="3"/>
    <x v="1"/>
    <x v="0"/>
    <x v="9"/>
    <n v="18"/>
    <s v="518 K"/>
    <n v="83"/>
    <m/>
    <s v="U"/>
    <m/>
    <d v="1899-12-30T02:02:00"/>
    <s v="07:44"/>
    <s v="JG"/>
    <s v="P"/>
    <s v="20140710 HReider"/>
    <s v="20140711 DRobichaud"/>
    <s v="x"/>
    <n v="151.875"/>
    <s v="na"/>
    <s v="FWL"/>
    <s v="na"/>
    <s v="na"/>
    <s v="F1845"/>
    <s v="na"/>
    <s v="na"/>
    <s v="na"/>
    <s v="na"/>
    <s v="na"/>
  </r>
  <r>
    <n v="772"/>
    <x v="28"/>
    <n v="3"/>
    <x v="1"/>
    <x v="0"/>
    <x v="8"/>
    <n v="13"/>
    <s v="519 K"/>
    <n v="63"/>
    <m/>
    <s v="U"/>
    <m/>
    <d v="1899-12-30T01:30:00"/>
    <s v="07:48"/>
    <s v="HR"/>
    <s v="P"/>
    <s v="20140710 HReider"/>
    <s v="20140711 DRobichaud"/>
    <s v="x"/>
    <n v="151.364"/>
    <s v="na"/>
    <s v="FWL"/>
    <s v="na"/>
    <s v="na"/>
    <s v="F1845"/>
    <s v="na"/>
    <s v="na"/>
    <s v="na"/>
    <s v="na"/>
    <s v="na"/>
  </r>
  <r>
    <n v="773"/>
    <x v="28"/>
    <n v="3"/>
    <x v="4"/>
    <x v="1"/>
    <x v="0"/>
    <m/>
    <m/>
    <n v="35"/>
    <m/>
    <s v="U"/>
    <m/>
    <d v="1899-12-30T00:30:00"/>
    <s v="07:41"/>
    <s v="JG"/>
    <s v="S not sure if in morning tank.  Had receiver problems and ran back to camp"/>
    <s v="20140710 HReider"/>
    <s v="20140711 DRobichaud"/>
    <s v="x"/>
    <s v="x"/>
    <s v="na"/>
    <s v="FWL"/>
    <s v="na"/>
    <s v="na"/>
    <s v="na"/>
    <s v="na"/>
    <s v="na"/>
    <s v="na"/>
    <s v="na"/>
    <s v="na"/>
  </r>
  <r>
    <n v="774"/>
    <x v="28"/>
    <n v="3"/>
    <x v="9"/>
    <x v="2"/>
    <x v="0"/>
    <m/>
    <m/>
    <m/>
    <n v="26"/>
    <s v="U"/>
    <m/>
    <d v="1899-12-30T00:30:00"/>
    <s v="07:51"/>
    <s v="HR"/>
    <s v="S not sure if from morning tank"/>
    <s v="20140710 HReider"/>
    <s v="20140711 DRobichaud"/>
    <s v="x"/>
    <s v="x"/>
    <s v="na"/>
    <s v="FWL"/>
    <s v="na"/>
    <s v="na"/>
    <s v="na"/>
    <s v="na"/>
    <s v="na"/>
    <s v="na"/>
    <s v="na"/>
    <s v="na"/>
  </r>
  <r>
    <n v="775"/>
    <x v="28"/>
    <n v="3"/>
    <x v="1"/>
    <x v="0"/>
    <x v="0"/>
    <m/>
    <m/>
    <m/>
    <m/>
    <s v="U"/>
    <m/>
    <d v="1899-12-30T00:20:00"/>
    <s v="06:08"/>
    <m/>
    <s v="S got out of trough, did not hit deck"/>
    <s v="20140710 HReider"/>
    <s v="20140711 DRobichaud"/>
    <s v="x"/>
    <s v="x"/>
    <s v="na"/>
    <s v="FWL"/>
    <s v="na"/>
    <s v="na"/>
    <s v="na"/>
    <s v="na"/>
    <s v="na"/>
    <s v="na"/>
    <s v="na"/>
    <s v="na"/>
  </r>
  <r>
    <n v="776"/>
    <x v="28"/>
    <n v="3"/>
    <x v="1"/>
    <x v="0"/>
    <x v="9"/>
    <n v="26"/>
    <s v="520 K"/>
    <n v="86"/>
    <m/>
    <s v="U"/>
    <m/>
    <d v="1899-12-30T01:50:00"/>
    <s v="11:01"/>
    <s v="EG"/>
    <m/>
    <s v="20140710 EGora"/>
    <s v="20140711 DRobichaud"/>
    <s v="x"/>
    <n v="151.875"/>
    <s v="na"/>
    <s v="FWL"/>
    <s v="na"/>
    <s v="na"/>
    <s v="F1845"/>
    <s v="na"/>
    <s v="na"/>
    <s v="na"/>
    <s v="na"/>
    <s v="na"/>
  </r>
  <r>
    <n v="777"/>
    <x v="28"/>
    <n v="3"/>
    <x v="4"/>
    <x v="1"/>
    <x v="0"/>
    <m/>
    <m/>
    <n v="38"/>
    <m/>
    <s v="U"/>
    <m/>
    <d v="1899-12-30T00:50:00"/>
    <s v="13:55"/>
    <s v="LF"/>
    <s v="too small to tag"/>
    <s v="20140710 EGora"/>
    <s v="20140711 DRobichaud"/>
    <s v="x"/>
    <s v="x"/>
    <s v="na"/>
    <s v="FWL"/>
    <s v="na"/>
    <s v="na"/>
    <s v="na"/>
    <s v="na"/>
    <s v="na"/>
    <s v="na"/>
    <s v="na"/>
    <s v="na"/>
  </r>
  <r>
    <n v="778"/>
    <x v="28"/>
    <n v="3"/>
    <x v="9"/>
    <x v="2"/>
    <x v="0"/>
    <m/>
    <m/>
    <m/>
    <n v="19"/>
    <s v="U"/>
    <m/>
    <d v="1899-12-30T00:20:00"/>
    <s v="13:57"/>
    <s v="LF"/>
    <m/>
    <s v="20140710 EGora"/>
    <s v="20140711 DRobichaud"/>
    <s v="x"/>
    <s v="x"/>
    <s v="na"/>
    <s v="FWL"/>
    <s v="na"/>
    <s v="na"/>
    <s v="na"/>
    <s v="na"/>
    <s v="na"/>
    <s v="na"/>
    <s v="na"/>
    <s v="na"/>
  </r>
  <r>
    <n v="779"/>
    <x v="28"/>
    <n v="3"/>
    <x v="4"/>
    <x v="1"/>
    <x v="0"/>
    <m/>
    <m/>
    <n v="30"/>
    <m/>
    <s v="U"/>
    <m/>
    <d v="1899-12-30T00:25:00"/>
    <s v="14:46"/>
    <s v="JB"/>
    <s v="too small to tag"/>
    <s v="20140710 JGraham"/>
    <s v="20140711 DRobichaud"/>
    <s v="x"/>
    <s v="x"/>
    <s v="na"/>
    <s v="FWL"/>
    <s v="na"/>
    <s v="na"/>
    <s v="na"/>
    <s v="na"/>
    <s v="na"/>
    <s v="na"/>
    <s v="na"/>
    <s v="na"/>
  </r>
  <r>
    <n v="780"/>
    <x v="28"/>
    <n v="3"/>
    <x v="1"/>
    <x v="0"/>
    <x v="9"/>
    <n v="62"/>
    <s v="521 K"/>
    <n v="63"/>
    <m/>
    <s v="U"/>
    <d v="1899-12-30T15:44:00"/>
    <d v="1899-12-30T00:59:00"/>
    <s v="15:48"/>
    <s v="JG"/>
    <m/>
    <s v="20140710 JGraham"/>
    <s v="20140711 DRobichaud"/>
    <d v="1899-12-30T00:03:01"/>
    <n v="151.875"/>
    <s v="na"/>
    <s v="FWL"/>
    <s v="na"/>
    <s v="na"/>
    <s v="F1845"/>
    <s v="na"/>
    <s v="na"/>
    <s v="na"/>
    <s v="na"/>
    <s v="na"/>
  </r>
  <r>
    <n v="781"/>
    <x v="28"/>
    <n v="3"/>
    <x v="9"/>
    <x v="2"/>
    <x v="0"/>
    <m/>
    <m/>
    <m/>
    <n v="19"/>
    <s v="U"/>
    <m/>
    <d v="1899-12-30T00:40:00"/>
    <s v="18:37"/>
    <s v="JG"/>
    <m/>
    <s v="20140710 JGraham"/>
    <s v="20140711 DRobichaud"/>
    <s v="x"/>
    <s v="x"/>
    <s v="na"/>
    <s v="FWL"/>
    <s v="na"/>
    <s v="na"/>
    <s v="na"/>
    <s v="na"/>
    <s v="na"/>
    <s v="na"/>
    <s v="na"/>
    <s v="na"/>
  </r>
  <r>
    <n v="782"/>
    <x v="28"/>
    <n v="3"/>
    <x v="1"/>
    <x v="0"/>
    <x v="0"/>
    <m/>
    <m/>
    <m/>
    <m/>
    <s v="U"/>
    <m/>
    <m/>
    <m/>
    <s v="JK"/>
    <s v="fish flew out of trough and hit water safely. No tag"/>
    <s v="20140710 EGora"/>
    <s v="20140711 DRobichaud"/>
    <s v="x"/>
    <s v="x"/>
    <s v="na"/>
    <s v="FWL"/>
    <s v="na"/>
    <s v="na"/>
    <s v="na"/>
    <s v="na"/>
    <s v="na"/>
    <s v="na"/>
    <s v="na"/>
    <s v="na"/>
  </r>
  <r>
    <n v="783"/>
    <x v="29"/>
    <n v="1"/>
    <x v="4"/>
    <x v="1"/>
    <x v="3"/>
    <n v="57"/>
    <s v="528 K"/>
    <n v="49"/>
    <m/>
    <s v="U"/>
    <m/>
    <d v="1899-12-30T00:59:00"/>
    <s v="08:21"/>
    <s v="JB"/>
    <m/>
    <s v="20140711 EGora"/>
    <s v="20140712LFerreira"/>
    <s v="x"/>
    <n v="151.917"/>
    <s v="na"/>
    <s v="FWL"/>
    <s v="na"/>
    <s v="na"/>
    <s v="F1835"/>
    <s v="na"/>
    <s v="na"/>
    <s v="na"/>
    <s v="na"/>
    <s v="na"/>
  </r>
  <r>
    <n v="784"/>
    <x v="29"/>
    <n v="2"/>
    <x v="1"/>
    <x v="0"/>
    <x v="9"/>
    <n v="67"/>
    <s v="526 K"/>
    <n v="55"/>
    <m/>
    <s v="U"/>
    <m/>
    <d v="1899-12-30T00:56:00"/>
    <s v="06:03"/>
    <s v="JB"/>
    <s v="P"/>
    <s v="20140711 EGora"/>
    <s v="20140712LFerreira"/>
    <s v="x"/>
    <n v="151.875"/>
    <s v="na"/>
    <s v="FWL"/>
    <s v="na"/>
    <s v="na"/>
    <s v="F1845"/>
    <s v="na"/>
    <s v="na"/>
    <s v="na"/>
    <s v="na"/>
    <s v="na"/>
  </r>
  <r>
    <n v="785"/>
    <x v="29"/>
    <n v="2"/>
    <x v="7"/>
    <x v="0"/>
    <x v="6"/>
    <n v="33"/>
    <s v="13 S"/>
    <n v="48"/>
    <m/>
    <s v="U"/>
    <m/>
    <d v="1899-12-30T01:02:00"/>
    <s v="06:00"/>
    <s v="DJ"/>
    <s v="P"/>
    <s v="20140711 EGora"/>
    <s v="20140712LFerreira"/>
    <s v="x"/>
    <n v="151.57300000000001"/>
    <s v="na"/>
    <s v="FWL"/>
    <s v="na"/>
    <s v="na"/>
    <s v="F1840"/>
    <s v="na"/>
    <s v="na"/>
    <s v="na"/>
    <s v="na"/>
    <s v="na"/>
  </r>
  <r>
    <n v="786"/>
    <x v="29"/>
    <n v="2"/>
    <x v="1"/>
    <x v="0"/>
    <x v="9"/>
    <n v="47"/>
    <s v="527 K"/>
    <n v="57"/>
    <m/>
    <s v="U"/>
    <m/>
    <d v="1899-12-30T00:53:00"/>
    <s v="06:06"/>
    <s v="DJ"/>
    <s v="P"/>
    <s v="20140711 EGora"/>
    <s v="20140712LFerreira"/>
    <s v="x"/>
    <n v="151.875"/>
    <s v="na"/>
    <s v="FWL"/>
    <s v="na"/>
    <s v="na"/>
    <s v="F1845"/>
    <s v="na"/>
    <s v="na"/>
    <s v="na"/>
    <s v="na"/>
    <s v="na"/>
  </r>
  <r>
    <n v="787"/>
    <x v="29"/>
    <n v="2"/>
    <x v="1"/>
    <x v="0"/>
    <x v="8"/>
    <n v="11"/>
    <s v="529 K"/>
    <n v="78"/>
    <m/>
    <s v="U"/>
    <m/>
    <d v="1899-12-30T01:10:00"/>
    <s v="08:38"/>
    <s v="DJ"/>
    <m/>
    <s v="20140711 EGora"/>
    <s v="20140712LFerreira"/>
    <s v="x"/>
    <n v="151.364"/>
    <s v="na"/>
    <s v="FWL"/>
    <s v="na"/>
    <s v="na"/>
    <s v="F1845"/>
    <s v="na"/>
    <s v="na"/>
    <s v="na"/>
    <s v="na"/>
    <s v="na"/>
  </r>
  <r>
    <n v="788"/>
    <x v="29"/>
    <n v="3"/>
    <x v="1"/>
    <x v="0"/>
    <x v="9"/>
    <n v="20"/>
    <s v="522 K"/>
    <n v="53"/>
    <m/>
    <s v="U"/>
    <m/>
    <d v="1899-12-30T01:16:00"/>
    <s v="05:56"/>
    <s v="JG"/>
    <s v="S"/>
    <s v="20140711 LFerreira"/>
    <s v="20140712LFerreira"/>
    <s v="x"/>
    <n v="151.875"/>
    <s v="na"/>
    <s v="FWL"/>
    <s v="na"/>
    <s v="na"/>
    <s v="F1845"/>
    <s v="na"/>
    <s v="na"/>
    <s v="na"/>
    <s v="na"/>
    <s v="na"/>
  </r>
  <r>
    <n v="789"/>
    <x v="29"/>
    <n v="3"/>
    <x v="1"/>
    <x v="0"/>
    <x v="9"/>
    <n v="83"/>
    <s v="530 K"/>
    <n v="94"/>
    <m/>
    <s v="U"/>
    <m/>
    <d v="1899-12-30T01:42:00"/>
    <s v="06:03"/>
    <s v="HR"/>
    <s v="P"/>
    <s v="20140711 LFerreira"/>
    <s v="20140712LFerreira"/>
    <s v="x"/>
    <n v="151.875"/>
    <s v="na"/>
    <s v="FWL"/>
    <s v="na"/>
    <s v="na"/>
    <s v="F1845"/>
    <s v="na"/>
    <s v="na"/>
    <s v="na"/>
    <s v="na"/>
    <s v="na"/>
  </r>
  <r>
    <n v="790"/>
    <x v="29"/>
    <n v="3"/>
    <x v="1"/>
    <x v="0"/>
    <x v="9"/>
    <n v="85"/>
    <s v="531 K"/>
    <n v="80"/>
    <m/>
    <s v="U"/>
    <m/>
    <d v="1899-12-30T01:36:00"/>
    <s v="06:07"/>
    <s v="JG"/>
    <s v="P"/>
    <s v="20140711 LFerreira"/>
    <s v="20140712LFerreira"/>
    <s v="x"/>
    <n v="151.875"/>
    <s v="na"/>
    <s v="FWL"/>
    <s v="na"/>
    <s v="na"/>
    <s v="F1845"/>
    <s v="na"/>
    <s v="na"/>
    <s v="na"/>
    <s v="na"/>
    <s v="na"/>
  </r>
  <r>
    <n v="791"/>
    <x v="29"/>
    <n v="3"/>
    <x v="1"/>
    <x v="0"/>
    <x v="9"/>
    <n v="27"/>
    <s v="532 K"/>
    <n v="63"/>
    <m/>
    <s v="U"/>
    <d v="1899-12-30T08:22:00"/>
    <d v="1899-12-30T01:20:00"/>
    <s v="08:29"/>
    <s v="HR"/>
    <m/>
    <s v="20140711 LFerreira"/>
    <s v="20140712LFerreira"/>
    <d v="1899-12-30T00:05:40"/>
    <n v="151.875"/>
    <s v="na"/>
    <s v="FWL"/>
    <s v="na"/>
    <s v="na"/>
    <s v="F1845"/>
    <s v="na"/>
    <s v="na"/>
    <s v="na"/>
    <s v="na"/>
    <s v="na"/>
  </r>
  <r>
    <n v="792"/>
    <x v="29"/>
    <n v="3"/>
    <x v="9"/>
    <x v="2"/>
    <x v="0"/>
    <m/>
    <m/>
    <m/>
    <m/>
    <s v="U"/>
    <m/>
    <d v="1899-12-30T00:20:00"/>
    <s v="09:38"/>
    <s v="HR"/>
    <s v="slipped out of hand, took approximate measurement of 15 cm"/>
    <s v="20140711 LFerreira"/>
    <s v="20140712LFerreira"/>
    <s v="x"/>
    <s v="x"/>
    <s v="na"/>
    <s v="FWL"/>
    <s v="na"/>
    <s v="na"/>
    <s v="na"/>
    <s v="na"/>
    <s v="na"/>
    <s v="na"/>
    <s v="na"/>
    <s v="na"/>
  </r>
  <r>
    <n v="793"/>
    <x v="29"/>
    <n v="3"/>
    <x v="1"/>
    <x v="0"/>
    <x v="9"/>
    <n v="35"/>
    <s v="533 K"/>
    <n v="64"/>
    <m/>
    <s v="U"/>
    <m/>
    <d v="1899-12-30T01:49:00"/>
    <s v="11:00"/>
    <s v="EG"/>
    <m/>
    <s v="20140711 LFerreira"/>
    <s v="20140712LFerreira"/>
    <s v="x"/>
    <n v="151.875"/>
    <s v="na"/>
    <s v="FWL"/>
    <s v="na"/>
    <s v="na"/>
    <s v="F1845"/>
    <s v="na"/>
    <s v="na"/>
    <s v="na"/>
    <s v="na"/>
    <s v="na"/>
  </r>
  <r>
    <n v="794"/>
    <x v="29"/>
    <n v="3"/>
    <x v="4"/>
    <x v="1"/>
    <x v="0"/>
    <m/>
    <m/>
    <n v="32"/>
    <m/>
    <s v="U"/>
    <m/>
    <d v="1899-12-30T00:30:00"/>
    <s v="11:01"/>
    <s v="EG"/>
    <s v="too small to tag"/>
    <s v="20140711 LFerreira"/>
    <s v="20140712LFerreira"/>
    <s v="x"/>
    <s v="x"/>
    <s v="na"/>
    <s v="FWL"/>
    <s v="na"/>
    <s v="na"/>
    <s v="na"/>
    <s v="na"/>
    <s v="na"/>
    <s v="na"/>
    <s v="na"/>
    <s v="na"/>
  </r>
  <r>
    <n v="795"/>
    <x v="29"/>
    <n v="3"/>
    <x v="1"/>
    <x v="0"/>
    <x v="9"/>
    <n v="61"/>
    <s v="534 K"/>
    <n v="54"/>
    <m/>
    <s v="U"/>
    <m/>
    <d v="1899-12-30T00:55:00"/>
    <s v="12:20"/>
    <s v="CSj"/>
    <m/>
    <s v="20140711 LFerreira"/>
    <s v="20140712LFerreira"/>
    <s v="x"/>
    <n v="151.875"/>
    <s v="na"/>
    <s v="FWL"/>
    <s v="na"/>
    <s v="na"/>
    <s v="F1845"/>
    <s v="na"/>
    <s v="na"/>
    <s v="na"/>
    <s v="na"/>
    <s v="na"/>
  </r>
  <r>
    <n v="796"/>
    <x v="29"/>
    <n v="3"/>
    <x v="11"/>
    <x v="2"/>
    <x v="0"/>
    <m/>
    <m/>
    <m/>
    <n v="15"/>
    <s v="U"/>
    <m/>
    <d v="1899-12-30T00:30:00"/>
    <s v="12:14"/>
    <s v="LF"/>
    <s v="Burbot"/>
    <s v="20140711 LFerreira"/>
    <s v="20140712LFerreira"/>
    <s v="x"/>
    <s v="x"/>
    <s v="na"/>
    <s v="FWL"/>
    <s v="na"/>
    <s v="na"/>
    <s v="na"/>
    <s v="na"/>
    <s v="na"/>
    <s v="na"/>
    <s v="na"/>
    <s v="na"/>
  </r>
  <r>
    <n v="797"/>
    <x v="29"/>
    <n v="3"/>
    <x v="1"/>
    <x v="0"/>
    <x v="8"/>
    <n v="43"/>
    <s v="535 K"/>
    <n v="55"/>
    <m/>
    <s v="U"/>
    <m/>
    <d v="1899-12-30T01:11:00"/>
    <s v="12:26"/>
    <s v="CSj"/>
    <m/>
    <s v="20140711 LFerreira"/>
    <s v="20140712LFerreira"/>
    <s v="x"/>
    <n v="151.364"/>
    <s v="na"/>
    <s v="FWL"/>
    <s v="na"/>
    <s v="na"/>
    <s v="F1845"/>
    <s v="na"/>
    <s v="na"/>
    <s v="na"/>
    <s v="na"/>
    <s v="na"/>
  </r>
  <r>
    <n v="798"/>
    <x v="29"/>
    <n v="3"/>
    <x v="1"/>
    <x v="0"/>
    <x v="9"/>
    <n v="22"/>
    <s v="536 K"/>
    <n v="103"/>
    <m/>
    <s v="U"/>
    <d v="1899-12-30T11:49:00"/>
    <d v="1899-12-30T03:08:00"/>
    <s v="12:32"/>
    <s v="EG"/>
    <m/>
    <s v="20140711 LFerreira"/>
    <s v="20140712LFerreira"/>
    <d v="1899-12-30T00:39:52"/>
    <n v="151.875"/>
    <s v="na"/>
    <s v="FWL"/>
    <s v="na"/>
    <s v="na"/>
    <s v="F1845"/>
    <s v="na"/>
    <s v="na"/>
    <s v="na"/>
    <s v="na"/>
    <s v="na"/>
  </r>
  <r>
    <n v="799"/>
    <x v="29"/>
    <n v="3"/>
    <x v="1"/>
    <x v="0"/>
    <x v="9"/>
    <n v="38"/>
    <s v="545 K"/>
    <n v="53"/>
    <m/>
    <s v="U"/>
    <m/>
    <d v="1899-12-30T00:59:00"/>
    <s v="16:19"/>
    <s v="JG"/>
    <m/>
    <s v="20140711 LFerreira"/>
    <s v="20140712LFerreira"/>
    <s v="x"/>
    <n v="151.875"/>
    <s v="na"/>
    <s v="FWL"/>
    <s v="na"/>
    <s v="na"/>
    <s v="F1845"/>
    <s v="na"/>
    <s v="na"/>
    <s v="na"/>
    <s v="na"/>
    <s v="na"/>
  </r>
  <r>
    <n v="800"/>
    <x v="29"/>
    <n v="3"/>
    <x v="1"/>
    <x v="0"/>
    <x v="9"/>
    <n v="19"/>
    <s v="546 K"/>
    <n v="78"/>
    <m/>
    <s v="U"/>
    <m/>
    <d v="1899-12-30T01:30:00"/>
    <s v="19:42"/>
    <s v="SC"/>
    <m/>
    <s v="20140711 LFerreira"/>
    <s v="20140712LFerreira"/>
    <s v="x"/>
    <n v="151.875"/>
    <s v="na"/>
    <s v="FWL"/>
    <s v="na"/>
    <s v="na"/>
    <s v="F1845"/>
    <s v="na"/>
    <s v="na"/>
    <s v="na"/>
    <s v="na"/>
    <s v="na"/>
  </r>
  <r>
    <n v="801"/>
    <x v="30"/>
    <n v="1"/>
    <x v="1"/>
    <x v="0"/>
    <x v="9"/>
    <n v="57"/>
    <s v="537 K"/>
    <n v="66"/>
    <m/>
    <s v="U"/>
    <m/>
    <d v="1899-12-30T01:18:00"/>
    <s v="06:02"/>
    <s v="QB"/>
    <s v="P"/>
    <s v="20140712 JKunzler"/>
    <s v="20140713LFerreira"/>
    <s v="x"/>
    <n v="151.875"/>
    <s v="na"/>
    <s v="FWL"/>
    <s v="na"/>
    <s v="na"/>
    <s v="F1845"/>
    <s v="na"/>
    <s v="na"/>
    <s v="na"/>
    <s v="na"/>
    <s v="na"/>
  </r>
  <r>
    <n v="802"/>
    <x v="30"/>
    <n v="1"/>
    <x v="4"/>
    <x v="1"/>
    <x v="0"/>
    <m/>
    <m/>
    <n v="34"/>
    <m/>
    <s v="U"/>
    <m/>
    <d v="1899-12-30T00:46:00"/>
    <s v="14:27"/>
    <s v="JK"/>
    <m/>
    <s v="20140712 JKunzler"/>
    <s v="20140713LFerreira"/>
    <s v="x"/>
    <s v="x"/>
    <s v="na"/>
    <s v="FWL"/>
    <s v="na"/>
    <s v="na"/>
    <s v="na"/>
    <s v="na"/>
    <s v="na"/>
    <s v="na"/>
    <s v="na"/>
    <s v="na"/>
  </r>
  <r>
    <n v="803"/>
    <x v="30"/>
    <n v="1"/>
    <x v="7"/>
    <x v="0"/>
    <x v="6"/>
    <n v="69"/>
    <s v="11 S"/>
    <n v="43"/>
    <m/>
    <s v="U"/>
    <m/>
    <d v="1899-12-30T01:18:00"/>
    <s v="14:55"/>
    <s v="DJ"/>
    <m/>
    <s v="20140712 JKunzler"/>
    <s v="20140713LFerreira"/>
    <s v="x"/>
    <n v="151.57300000000001"/>
    <s v="na"/>
    <s v="FWL"/>
    <s v="na"/>
    <s v="na"/>
    <s v="F1840"/>
    <s v="na"/>
    <s v="na"/>
    <s v="na"/>
    <s v="na"/>
    <s v="na"/>
  </r>
  <r>
    <n v="804"/>
    <x v="30"/>
    <n v="2"/>
    <x v="4"/>
    <x v="1"/>
    <x v="0"/>
    <m/>
    <m/>
    <n v="33"/>
    <m/>
    <s v="U"/>
    <m/>
    <d v="1899-12-30T00:27:00"/>
    <s v="06:13"/>
    <s v="QB"/>
    <s v="S, too small to tag"/>
    <s v="20140712 JKunzler"/>
    <s v="20140713LFerreira"/>
    <s v="x"/>
    <s v="x"/>
    <s v="na"/>
    <s v="FWL"/>
    <s v="na"/>
    <s v="na"/>
    <s v="na"/>
    <s v="na"/>
    <s v="na"/>
    <s v="na"/>
    <s v="na"/>
    <s v="na"/>
  </r>
  <r>
    <n v="805"/>
    <x v="30"/>
    <n v="2"/>
    <x v="4"/>
    <x v="1"/>
    <x v="0"/>
    <m/>
    <m/>
    <n v="39"/>
    <m/>
    <s v="U"/>
    <m/>
    <d v="1899-12-30T00:29:00"/>
    <s v="14:19"/>
    <s v="JK"/>
    <s v="too small to tag"/>
    <s v="20140712 JKunzler"/>
    <s v="20140713LFerreira"/>
    <s v="x"/>
    <s v="x"/>
    <s v="na"/>
    <s v="FWL"/>
    <s v="na"/>
    <s v="na"/>
    <s v="na"/>
    <s v="na"/>
    <s v="na"/>
    <s v="na"/>
    <s v="na"/>
    <s v="na"/>
  </r>
  <r>
    <n v="806"/>
    <x v="30"/>
    <n v="3"/>
    <x v="1"/>
    <x v="0"/>
    <x v="9"/>
    <n v="55"/>
    <s v="547 K"/>
    <n v="76"/>
    <m/>
    <s v="U"/>
    <m/>
    <d v="1899-12-30T01:08:00"/>
    <s v="06:20"/>
    <s v="JG"/>
    <s v="S"/>
    <s v="20140712 LFerreira"/>
    <s v="20140713LFerreira"/>
    <s v="x"/>
    <n v="151.875"/>
    <s v="na"/>
    <s v="FWL"/>
    <s v="na"/>
    <s v="na"/>
    <s v="F1845"/>
    <s v="na"/>
    <s v="na"/>
    <s v="na"/>
    <s v="na"/>
    <s v="na"/>
  </r>
  <r>
    <n v="807"/>
    <x v="30"/>
    <n v="3"/>
    <x v="1"/>
    <x v="0"/>
    <x v="9"/>
    <n v="87"/>
    <s v="548 K"/>
    <n v="82"/>
    <m/>
    <s v="U"/>
    <m/>
    <d v="1899-12-30T01:14:00"/>
    <s v="06:24"/>
    <s v="JB"/>
    <s v="S"/>
    <s v="20140712 LFerreira"/>
    <s v="20140713LFerreira"/>
    <s v="x"/>
    <n v="151.875"/>
    <s v="na"/>
    <s v="FWL"/>
    <s v="na"/>
    <s v="na"/>
    <s v="F1845"/>
    <s v="na"/>
    <s v="na"/>
    <s v="na"/>
    <s v="na"/>
    <s v="na"/>
  </r>
  <r>
    <n v="808"/>
    <x v="30"/>
    <n v="3"/>
    <x v="4"/>
    <x v="1"/>
    <x v="0"/>
    <m/>
    <m/>
    <n v="32"/>
    <m/>
    <s v="U"/>
    <m/>
    <d v="1899-12-30T00:20:00"/>
    <s v="06:28"/>
    <s v="JG"/>
    <s v="P, too small to tag"/>
    <s v="20140712 LFerreira"/>
    <s v="20140713LFerreira"/>
    <s v="x"/>
    <s v="x"/>
    <s v="na"/>
    <s v="FWL"/>
    <s v="na"/>
    <s v="na"/>
    <s v="na"/>
    <s v="na"/>
    <s v="na"/>
    <s v="na"/>
    <s v="na"/>
    <s v="na"/>
  </r>
  <r>
    <n v="809"/>
    <x v="30"/>
    <n v="3"/>
    <x v="1"/>
    <x v="0"/>
    <x v="9"/>
    <n v="34"/>
    <s v="549 K"/>
    <n v="81"/>
    <m/>
    <s v="U"/>
    <d v="1899-12-30T07:21:00"/>
    <d v="1899-12-30T01:27:00"/>
    <s v="07:24"/>
    <s v="JG"/>
    <s v="missing portion of tail"/>
    <s v="20140712 LFerreira"/>
    <s v="20140713LFerreira"/>
    <d v="1899-12-30T00:01:33"/>
    <n v="151.875"/>
    <s v="na"/>
    <s v="FWL"/>
    <s v="na"/>
    <s v="na"/>
    <s v="F1845"/>
    <s v="na"/>
    <s v="na"/>
    <s v="na"/>
    <s v="na"/>
    <s v="na"/>
  </r>
  <r>
    <n v="810"/>
    <x v="30"/>
    <n v="3"/>
    <x v="1"/>
    <x v="0"/>
    <x v="9"/>
    <n v="24"/>
    <s v="550 K"/>
    <n v="74"/>
    <m/>
    <s v="U"/>
    <d v="1899-12-30T09:12:00"/>
    <d v="1899-12-30T00:56:00"/>
    <s v="09:20"/>
    <s v="JB"/>
    <m/>
    <s v="20140712 LFerreira"/>
    <s v="20140713LFerreira"/>
    <d v="1899-12-30T00:07:04"/>
    <n v="151.875"/>
    <s v="na"/>
    <s v="FWL"/>
    <s v="na"/>
    <s v="na"/>
    <s v="F1845"/>
    <s v="na"/>
    <s v="na"/>
    <s v="na"/>
    <s v="na"/>
    <s v="na"/>
  </r>
  <r>
    <n v="811"/>
    <x v="30"/>
    <n v="3"/>
    <x v="10"/>
    <x v="0"/>
    <x v="7"/>
    <n v="63"/>
    <s v="5 CM"/>
    <n v="57"/>
    <m/>
    <s v="U"/>
    <m/>
    <d v="1899-12-30T01:25:00"/>
    <s v="09:22"/>
    <s v="JG"/>
    <m/>
    <s v="20140712 LFerreira"/>
    <s v="20140713LFerreira"/>
    <s v="x"/>
    <n v="151.56399999999999"/>
    <s v="na"/>
    <s v="FWL"/>
    <s v="na"/>
    <s v="na"/>
    <s v="F1840"/>
    <s v="na"/>
    <s v="na"/>
    <s v="na"/>
    <s v="na"/>
    <s v="na"/>
  </r>
  <r>
    <n v="812"/>
    <x v="30"/>
    <n v="3"/>
    <x v="1"/>
    <x v="0"/>
    <x v="9"/>
    <n v="1"/>
    <s v="551 K"/>
    <n v="50"/>
    <m/>
    <s v="U"/>
    <m/>
    <d v="1899-12-30T01:14:00"/>
    <s v="11:17"/>
    <s v="CSj"/>
    <m/>
    <s v="20140712 LFerreira"/>
    <s v="20140713LFerreira"/>
    <s v="x"/>
    <n v="151.875"/>
    <s v="na"/>
    <s v="FWL"/>
    <s v="na"/>
    <s v="na"/>
    <s v="F1845"/>
    <s v="na"/>
    <s v="na"/>
    <s v="na"/>
    <s v="na"/>
    <s v="na"/>
  </r>
  <r>
    <n v="813"/>
    <x v="30"/>
    <n v="3"/>
    <x v="4"/>
    <x v="1"/>
    <x v="0"/>
    <m/>
    <m/>
    <n v="35"/>
    <m/>
    <s v="U"/>
    <d v="1899-12-30T12:18:00"/>
    <d v="1899-12-30T00:28:00"/>
    <s v="12:28"/>
    <s v="LF"/>
    <m/>
    <s v="20140712 LFerreira"/>
    <s v="20140713LFerreira"/>
    <d v="1899-12-30T00:09:32"/>
    <s v="x"/>
    <s v="na"/>
    <s v="FWL"/>
    <s v="na"/>
    <s v="na"/>
    <s v="na"/>
    <s v="na"/>
    <s v="na"/>
    <s v="na"/>
    <s v="na"/>
    <s v="na"/>
  </r>
  <r>
    <n v="814"/>
    <x v="30"/>
    <n v="3"/>
    <x v="1"/>
    <x v="0"/>
    <x v="8"/>
    <n v="20"/>
    <s v="552 K"/>
    <n v="53"/>
    <m/>
    <s v="U"/>
    <m/>
    <d v="1899-12-30T01:15:00"/>
    <s v="12:33"/>
    <s v="LF"/>
    <m/>
    <s v="20140712 LFerreira"/>
    <s v="20140713LFerreira"/>
    <s v="x"/>
    <n v="151.364"/>
    <s v="na"/>
    <s v="FWL"/>
    <s v="na"/>
    <s v="na"/>
    <s v="F1845"/>
    <s v="na"/>
    <s v="na"/>
    <s v="na"/>
    <s v="na"/>
    <s v="na"/>
  </r>
  <r>
    <n v="815"/>
    <x v="30"/>
    <n v="3"/>
    <x v="9"/>
    <x v="2"/>
    <x v="0"/>
    <m/>
    <m/>
    <m/>
    <n v="24"/>
    <s v="U"/>
    <m/>
    <m/>
    <s v="12:35"/>
    <s v="LF"/>
    <s v="Found dead under slide/landing pad"/>
    <s v="20140712 LFerreira"/>
    <s v="20140713LFerreira"/>
    <s v="x"/>
    <s v="x"/>
    <s v="na"/>
    <s v="FWL"/>
    <s v="na"/>
    <s v="na"/>
    <s v="na"/>
    <s v="na"/>
    <s v="na"/>
    <s v="na"/>
    <s v="na"/>
    <s v="na"/>
  </r>
  <r>
    <n v="816"/>
    <x v="31"/>
    <n v="1"/>
    <x v="1"/>
    <x v="0"/>
    <x v="9"/>
    <n v="13"/>
    <s v="540 K"/>
    <n v="50"/>
    <m/>
    <s v="U"/>
    <m/>
    <d v="1899-12-30T01:11:00"/>
    <s v="16:30"/>
    <s v="JG"/>
    <m/>
    <s v="20140713 JKunzler"/>
    <s v="20140714LFerreira"/>
    <s v="x"/>
    <n v="151.875"/>
    <s v="na"/>
    <s v="FWL"/>
    <s v="na"/>
    <s v="na"/>
    <s v="F1845"/>
    <s v="na"/>
    <s v="na"/>
    <s v="na"/>
    <s v="na"/>
    <s v="na"/>
  </r>
  <r>
    <n v="817"/>
    <x v="31"/>
    <n v="1"/>
    <x v="4"/>
    <x v="1"/>
    <x v="0"/>
    <m/>
    <m/>
    <n v="28"/>
    <m/>
    <s v="U"/>
    <m/>
    <d v="1899-12-30T00:30:00"/>
    <s v="16:32"/>
    <s v="JB"/>
    <s v="too small to tag"/>
    <s v="20140713 JKunzler"/>
    <s v="20140714LFerreira"/>
    <s v="x"/>
    <s v="x"/>
    <s v="na"/>
    <s v="FWL"/>
    <s v="na"/>
    <s v="na"/>
    <s v="na"/>
    <s v="na"/>
    <s v="na"/>
    <s v="na"/>
    <s v="na"/>
    <s v="na"/>
  </r>
  <r>
    <n v="818"/>
    <x v="31"/>
    <n v="2"/>
    <x v="1"/>
    <x v="0"/>
    <x v="9"/>
    <n v="48"/>
    <s v="538 K"/>
    <n v="64"/>
    <m/>
    <s v="U"/>
    <m/>
    <d v="1899-12-30T01:37:00"/>
    <s v="06:11"/>
    <s v="JB"/>
    <s v="P"/>
    <s v="20140713 JKunzler"/>
    <s v="20140714LFerreira"/>
    <s v="x"/>
    <n v="151.875"/>
    <s v="na"/>
    <s v="FWL"/>
    <s v="na"/>
    <s v="na"/>
    <s v="F1845"/>
    <s v="na"/>
    <s v="na"/>
    <s v="na"/>
    <s v="na"/>
    <s v="na"/>
  </r>
  <r>
    <n v="819"/>
    <x v="31"/>
    <n v="2"/>
    <x v="4"/>
    <x v="1"/>
    <x v="0"/>
    <m/>
    <m/>
    <n v="34"/>
    <m/>
    <s v="U"/>
    <m/>
    <d v="1899-12-30T00:40:00"/>
    <s v="14:09"/>
    <s v="LF"/>
    <s v="too small, no tag. Looked healthy"/>
    <s v="20140713 JKunzler"/>
    <s v="20140714LFerreira"/>
    <s v="x"/>
    <s v="x"/>
    <s v="na"/>
    <s v="FWL"/>
    <s v="na"/>
    <s v="na"/>
    <s v="na"/>
    <s v="na"/>
    <s v="na"/>
    <s v="na"/>
    <s v="na"/>
    <s v="na"/>
  </r>
  <r>
    <n v="820"/>
    <x v="31"/>
    <n v="2"/>
    <x v="1"/>
    <x v="0"/>
    <x v="9"/>
    <n v="39"/>
    <s v="539 K"/>
    <n v="95"/>
    <m/>
    <s v="U"/>
    <d v="1899-12-30T16:00:00"/>
    <d v="1899-12-30T01:21:00"/>
    <s v="16:07"/>
    <s v="JB"/>
    <m/>
    <s v="20140713 JKunzler"/>
    <s v="20140714LFerreira"/>
    <d v="1899-12-30T00:05:39"/>
    <n v="151.875"/>
    <s v="na"/>
    <s v="FWL"/>
    <s v="na"/>
    <s v="na"/>
    <s v="F1845"/>
    <s v="na"/>
    <s v="na"/>
    <s v="na"/>
    <s v="na"/>
    <s v="na"/>
  </r>
  <r>
    <n v="821"/>
    <x v="31"/>
    <n v="3"/>
    <x v="1"/>
    <x v="0"/>
    <x v="9"/>
    <n v="93"/>
    <s v="553 K"/>
    <n v="83"/>
    <m/>
    <s v="U"/>
    <m/>
    <d v="1899-12-30T01:19:00"/>
    <s v="06:44"/>
    <s v="JG"/>
    <s v="S"/>
    <s v="20140713 LFerreira"/>
    <s v="20140714LFerreira"/>
    <s v="x"/>
    <n v="151.875"/>
    <s v="na"/>
    <s v="FWL"/>
    <s v="na"/>
    <s v="na"/>
    <s v="F1845"/>
    <s v="na"/>
    <s v="na"/>
    <s v="na"/>
    <s v="na"/>
    <s v="na"/>
  </r>
  <r>
    <n v="822"/>
    <x v="31"/>
    <n v="3"/>
    <x v="1"/>
    <x v="0"/>
    <x v="9"/>
    <n v="2"/>
    <s v="554 K"/>
    <n v="87"/>
    <m/>
    <s v="U"/>
    <m/>
    <d v="1899-12-30T01:21:00"/>
    <s v="06:48"/>
    <s v="DJ"/>
    <s v="S"/>
    <s v="20140713 LFerreira"/>
    <s v="20140714LFerreira"/>
    <s v="x"/>
    <n v="151.875"/>
    <s v="na"/>
    <s v="FWL"/>
    <s v="na"/>
    <s v="na"/>
    <s v="F1845"/>
    <s v="na"/>
    <s v="na"/>
    <s v="na"/>
    <s v="na"/>
    <s v="na"/>
  </r>
  <r>
    <n v="823"/>
    <x v="31"/>
    <n v="3"/>
    <x v="1"/>
    <x v="0"/>
    <x v="9"/>
    <n v="95"/>
    <s v="555 K"/>
    <n v="79"/>
    <m/>
    <s v="U"/>
    <m/>
    <d v="1899-12-30T01:19:00"/>
    <s v="06:52"/>
    <s v="JG"/>
    <s v="S"/>
    <s v="20140713 LFerreira"/>
    <s v="20140714LFerreira"/>
    <s v="x"/>
    <n v="151.875"/>
    <s v="na"/>
    <s v="FWL"/>
    <s v="na"/>
    <s v="na"/>
    <s v="F1845"/>
    <s v="na"/>
    <s v="na"/>
    <s v="na"/>
    <s v="na"/>
    <s v="na"/>
  </r>
  <r>
    <n v="824"/>
    <x v="31"/>
    <n v="3"/>
    <x v="1"/>
    <x v="0"/>
    <x v="9"/>
    <n v="97"/>
    <s v="556 K"/>
    <n v="80"/>
    <m/>
    <s v="U"/>
    <m/>
    <d v="1899-12-30T01:30:00"/>
    <s v="07:00"/>
    <s v="DJ"/>
    <s v="S"/>
    <s v="20140713 LFerreira"/>
    <s v="20140714LFerreira"/>
    <s v="x"/>
    <n v="151.875"/>
    <s v="na"/>
    <s v="FWL"/>
    <s v="na"/>
    <s v="na"/>
    <s v="F1845"/>
    <s v="na"/>
    <s v="na"/>
    <s v="na"/>
    <s v="na"/>
    <s v="na"/>
  </r>
  <r>
    <n v="825"/>
    <x v="31"/>
    <n v="3"/>
    <x v="4"/>
    <x v="1"/>
    <x v="0"/>
    <m/>
    <m/>
    <n v="40"/>
    <m/>
    <s v="U"/>
    <m/>
    <d v="1899-12-30T00:40:00"/>
    <s v="06:56"/>
    <s v="DJ"/>
    <s v="S, too small"/>
    <s v="20140713 LFerreira"/>
    <s v="20140714LFerreira"/>
    <s v="x"/>
    <s v="x"/>
    <s v="na"/>
    <s v="FWL"/>
    <s v="na"/>
    <s v="na"/>
    <s v="na"/>
    <s v="na"/>
    <s v="na"/>
    <s v="na"/>
    <s v="na"/>
    <s v="na"/>
  </r>
  <r>
    <n v="826"/>
    <x v="31"/>
    <n v="3"/>
    <x v="9"/>
    <x v="2"/>
    <x v="0"/>
    <m/>
    <m/>
    <m/>
    <n v="28"/>
    <s v="U"/>
    <m/>
    <d v="1899-12-30T00:20:00"/>
    <s v="06:58"/>
    <s v="DJ"/>
    <s v="S"/>
    <s v="20140713 LFerreira"/>
    <s v="20140714LFerreira"/>
    <s v="x"/>
    <s v="x"/>
    <s v="na"/>
    <s v="FWL"/>
    <s v="na"/>
    <s v="na"/>
    <s v="na"/>
    <s v="na"/>
    <s v="na"/>
    <s v="na"/>
    <s v="na"/>
    <s v="na"/>
  </r>
  <r>
    <n v="827"/>
    <x v="31"/>
    <n v="3"/>
    <x v="1"/>
    <x v="0"/>
    <x v="8"/>
    <n v="37"/>
    <s v="557 K"/>
    <n v="81"/>
    <m/>
    <s v="U"/>
    <m/>
    <d v="1899-12-30T01:09:00"/>
    <s v="07:05"/>
    <s v="JG"/>
    <s v="P"/>
    <s v="20140713 LFerreira"/>
    <s v="20140714LFerreira"/>
    <s v="x"/>
    <n v="151.364"/>
    <s v="na"/>
    <s v="FWL"/>
    <s v="na"/>
    <s v="na"/>
    <s v="F1845"/>
    <s v="na"/>
    <s v="na"/>
    <s v="na"/>
    <s v="na"/>
    <s v="na"/>
  </r>
  <r>
    <n v="828"/>
    <x v="31"/>
    <n v="3"/>
    <x v="1"/>
    <x v="0"/>
    <x v="8"/>
    <n v="7"/>
    <s v="558 K"/>
    <n v="55"/>
    <m/>
    <s v="U"/>
    <m/>
    <d v="1899-12-30T00:56:00"/>
    <s v="09:48"/>
    <s v="DJ"/>
    <m/>
    <s v="20140713 LFerreira"/>
    <s v="20140714LFerreira"/>
    <s v="x"/>
    <n v="151.364"/>
    <s v="na"/>
    <s v="FWL"/>
    <s v="na"/>
    <s v="na"/>
    <s v="F1845"/>
    <s v="na"/>
    <s v="na"/>
    <s v="na"/>
    <s v="na"/>
    <s v="na"/>
  </r>
  <r>
    <n v="829"/>
    <x v="31"/>
    <n v="3"/>
    <x v="1"/>
    <x v="0"/>
    <x v="9"/>
    <n v="31"/>
    <s v="559 K"/>
    <n v="93"/>
    <m/>
    <s v="U"/>
    <m/>
    <d v="1899-12-30T01:23:00"/>
    <s v="12:50"/>
    <s v="JK"/>
    <s v="Release time 12:50"/>
    <s v="20140713 LFerreira"/>
    <s v="20140714LFerreira"/>
    <s v="x"/>
    <n v="151.875"/>
    <s v="na"/>
    <s v="FWL"/>
    <s v="na"/>
    <s v="na"/>
    <s v="F1845"/>
    <s v="na"/>
    <s v="na"/>
    <s v="na"/>
    <s v="na"/>
    <s v="na"/>
  </r>
  <r>
    <n v="830"/>
    <x v="31"/>
    <n v="3"/>
    <x v="5"/>
    <x v="3"/>
    <x v="0"/>
    <m/>
    <m/>
    <m/>
    <n v="34"/>
    <s v="U"/>
    <m/>
    <d v="1899-12-30T00:27:00"/>
    <s v="15:11"/>
    <s v="QB"/>
    <m/>
    <s v="20140713 LFerreira"/>
    <s v="20140714LFerreira"/>
    <s v="x"/>
    <s v="x"/>
    <s v="na"/>
    <s v="FWL"/>
    <s v="na"/>
    <s v="na"/>
    <s v="na"/>
    <s v="na"/>
    <s v="na"/>
    <s v="na"/>
    <s v="na"/>
    <s v="na"/>
  </r>
  <r>
    <n v="831"/>
    <x v="31"/>
    <n v="3"/>
    <x v="1"/>
    <x v="0"/>
    <x v="8"/>
    <n v="17"/>
    <s v="560 K"/>
    <n v="92"/>
    <m/>
    <s v="U"/>
    <d v="1899-12-30T22:02:00"/>
    <d v="1899-12-30T02:28:00"/>
    <s v="22:10"/>
    <s v="CSj"/>
    <s v="Hit deck. Jumped out of trough and swam away with applicator in his mouth"/>
    <s v="20140713 LFerreira"/>
    <s v="20140714LFerreira"/>
    <d v="1899-12-30T00:05:32"/>
    <n v="151.364"/>
    <s v="na"/>
    <s v="FWL"/>
    <s v="na"/>
    <s v="na"/>
    <s v="F1845"/>
    <s v="na"/>
    <s v="na"/>
    <s v="na"/>
    <s v="na"/>
    <s v="na"/>
  </r>
  <r>
    <n v="832"/>
    <x v="32"/>
    <n v="1"/>
    <x v="1"/>
    <x v="0"/>
    <x v="0"/>
    <m/>
    <m/>
    <n v="63"/>
    <m/>
    <s v="U"/>
    <m/>
    <d v="1899-12-30T00:25:00"/>
    <s v="06:21"/>
    <s v="DJ"/>
    <s v="S, Large eye/gill wound, too wounded to tag"/>
    <s v="20140714 JKunzler"/>
    <s v="20140715LFerreira"/>
    <s v="x"/>
    <s v="x"/>
    <s v="na"/>
    <s v="FWL"/>
    <s v="na"/>
    <s v="na"/>
    <s v="na"/>
    <s v="na"/>
    <s v="na"/>
    <s v="na"/>
    <s v="na"/>
    <s v="na"/>
  </r>
  <r>
    <n v="833"/>
    <x v="32"/>
    <n v="1"/>
    <x v="4"/>
    <x v="1"/>
    <x v="0"/>
    <m/>
    <m/>
    <n v="39"/>
    <m/>
    <s v="U"/>
    <m/>
    <d v="1899-12-30T00:21:00"/>
    <s v="06:19"/>
    <s v="DJ"/>
    <s v="S, too small"/>
    <s v="20140714 JKunzler"/>
    <s v="20140715LFerreira"/>
    <s v="x"/>
    <s v="x"/>
    <s v="na"/>
    <s v="FWL"/>
    <s v="na"/>
    <s v="na"/>
    <s v="na"/>
    <s v="na"/>
    <s v="na"/>
    <s v="na"/>
    <s v="na"/>
    <s v="na"/>
  </r>
  <r>
    <n v="834"/>
    <x v="32"/>
    <n v="1"/>
    <x v="4"/>
    <x v="1"/>
    <x v="0"/>
    <m/>
    <m/>
    <n v="29"/>
    <m/>
    <s v="U"/>
    <m/>
    <d v="1899-12-30T00:20:00"/>
    <s v="09:51"/>
    <s v="DJ"/>
    <s v="too small"/>
    <s v="20140714 JKunzler"/>
    <s v="20140715LFerreira"/>
    <s v="x"/>
    <s v="x"/>
    <s v="na"/>
    <s v="FWL"/>
    <s v="na"/>
    <s v="na"/>
    <s v="na"/>
    <s v="na"/>
    <s v="na"/>
    <s v="na"/>
    <s v="na"/>
    <s v="na"/>
  </r>
  <r>
    <n v="835"/>
    <x v="32"/>
    <n v="1"/>
    <x v="0"/>
    <x v="2"/>
    <x v="0"/>
    <m/>
    <m/>
    <m/>
    <n v="36"/>
    <s v="U"/>
    <m/>
    <d v="1899-12-30T00:50:00"/>
    <s v="11:40"/>
    <s v="LF"/>
    <s v="hit deck"/>
    <s v="20140714 JKunzler"/>
    <s v="20140715LFerreira"/>
    <s v="x"/>
    <s v="x"/>
    <s v="na"/>
    <s v="FWL"/>
    <s v="na"/>
    <s v="na"/>
    <s v="na"/>
    <s v="na"/>
    <s v="na"/>
    <s v="na"/>
    <s v="na"/>
    <s v="na"/>
  </r>
  <r>
    <n v="836"/>
    <x v="32"/>
    <n v="1"/>
    <x v="1"/>
    <x v="0"/>
    <x v="9"/>
    <n v="36"/>
    <s v="541 K"/>
    <n v="92"/>
    <m/>
    <s v="U"/>
    <d v="1899-12-30T18:09:00"/>
    <d v="1899-12-30T01:34:00"/>
    <s v="18:19"/>
    <s v="QB"/>
    <m/>
    <s v="20140714 JKunzler"/>
    <s v="20140715LFerreira"/>
    <d v="1899-12-30T00:08:26"/>
    <n v="151.875"/>
    <s v="na"/>
    <s v="FWL"/>
    <s v="na"/>
    <s v="na"/>
    <s v="F1845"/>
    <s v="na"/>
    <s v="na"/>
    <s v="na"/>
    <s v="na"/>
    <s v="na"/>
  </r>
  <r>
    <n v="837"/>
    <x v="32"/>
    <n v="2"/>
    <x v="7"/>
    <x v="0"/>
    <x v="6"/>
    <n v="32"/>
    <s v="14 S"/>
    <n v="47"/>
    <m/>
    <s v="U"/>
    <m/>
    <d v="1899-12-30T01:22:00"/>
    <s v="16:19"/>
    <s v="JG"/>
    <m/>
    <s v="20140714 LFerreira"/>
    <s v="20140715LFerreira"/>
    <s v="x"/>
    <n v="151.57300000000001"/>
    <s v="na"/>
    <s v="FWL"/>
    <s v="na"/>
    <s v="na"/>
    <s v="F1840"/>
    <s v="na"/>
    <s v="na"/>
    <s v="na"/>
    <s v="na"/>
    <s v="na"/>
  </r>
  <r>
    <n v="838"/>
    <x v="32"/>
    <n v="2"/>
    <x v="1"/>
    <x v="0"/>
    <x v="8"/>
    <n v="23"/>
    <s v="542 K"/>
    <n v="79"/>
    <m/>
    <s v="U"/>
    <d v="1899-12-30T21:18:00"/>
    <d v="1899-12-30T01:33:00"/>
    <s v="21:27"/>
    <s v="LF"/>
    <m/>
    <s v="20140714 LFerreira"/>
    <s v="20140715LFerreira"/>
    <d v="1899-12-30T00:07:27"/>
    <n v="151.364"/>
    <s v="na"/>
    <s v="FWL"/>
    <s v="na"/>
    <s v="na"/>
    <s v="F1845"/>
    <s v="na"/>
    <s v="na"/>
    <s v="na"/>
    <s v="na"/>
    <s v="na"/>
  </r>
  <r>
    <n v="839"/>
    <x v="32"/>
    <n v="2"/>
    <x v="1"/>
    <x v="0"/>
    <x v="8"/>
    <n v="19"/>
    <s v="543 K"/>
    <n v="83"/>
    <m/>
    <s v="U"/>
    <m/>
    <d v="1899-12-30T01:28:00"/>
    <s v="23:20"/>
    <s v="LF"/>
    <m/>
    <s v="20140714 LFerreira"/>
    <s v="20140715LFerreira"/>
    <s v="x"/>
    <n v="151.364"/>
    <s v="na"/>
    <s v="FWL"/>
    <s v="na"/>
    <s v="na"/>
    <s v="F1845"/>
    <s v="na"/>
    <s v="na"/>
    <s v="na"/>
    <s v="na"/>
    <s v="na"/>
  </r>
  <r>
    <n v="840"/>
    <x v="32"/>
    <n v="3"/>
    <x v="10"/>
    <x v="0"/>
    <x v="7"/>
    <n v="66"/>
    <s v="6 CM"/>
    <n v="57"/>
    <m/>
    <s v="U"/>
    <m/>
    <d v="1899-12-30T01:37:00"/>
    <s v="06:06"/>
    <s v="JB"/>
    <s v="S"/>
    <s v="20140714 CSejkora"/>
    <s v="20140715LFerreira"/>
    <s v="x"/>
    <n v="151.56399999999999"/>
    <s v="na"/>
    <s v="FWL"/>
    <s v="na"/>
    <s v="na"/>
    <s v="F1840"/>
    <s v="na"/>
    <s v="na"/>
    <s v="na"/>
    <s v="na"/>
    <s v="na"/>
  </r>
  <r>
    <n v="841"/>
    <x v="32"/>
    <n v="3"/>
    <x v="11"/>
    <x v="2"/>
    <x v="0"/>
    <m/>
    <m/>
    <m/>
    <n v="15"/>
    <s v="U"/>
    <m/>
    <d v="1899-12-30T00:25:00"/>
    <s v="07:20"/>
    <s v="JB"/>
    <m/>
    <s v="20140714 CSejkora"/>
    <s v="20140715LFerreira"/>
    <s v="x"/>
    <s v="x"/>
    <s v="na"/>
    <s v="FWL"/>
    <s v="na"/>
    <s v="na"/>
    <s v="na"/>
    <s v="na"/>
    <s v="na"/>
    <s v="na"/>
    <s v="na"/>
    <s v="na"/>
  </r>
  <r>
    <n v="842"/>
    <x v="32"/>
    <n v="3"/>
    <x v="3"/>
    <x v="2"/>
    <x v="0"/>
    <m/>
    <m/>
    <m/>
    <n v="23"/>
    <s v="U"/>
    <m/>
    <d v="1899-12-30T00:20:00"/>
    <s v="11:26"/>
    <s v="JK"/>
    <s v="mort rw, found in dipnet on deck"/>
    <s v="20140714 CSejkora"/>
    <s v="20140715LFerreira"/>
    <s v="x"/>
    <s v="x"/>
    <s v="na"/>
    <s v="FWL"/>
    <s v="na"/>
    <s v="na"/>
    <s v="na"/>
    <s v="na"/>
    <s v="na"/>
    <s v="na"/>
    <s v="na"/>
    <s v="na"/>
  </r>
  <r>
    <n v="843"/>
    <x v="32"/>
    <n v="3"/>
    <x v="0"/>
    <x v="2"/>
    <x v="0"/>
    <m/>
    <m/>
    <m/>
    <n v="21"/>
    <s v="U"/>
    <m/>
    <d v="1899-12-30T00:21:00"/>
    <s v="14:25"/>
    <s v="JK"/>
    <m/>
    <s v="20140714 CSejkora"/>
    <s v="20140715LFerreira"/>
    <s v="x"/>
    <s v="x"/>
    <s v="na"/>
    <s v="FWL"/>
    <s v="na"/>
    <s v="na"/>
    <s v="na"/>
    <s v="na"/>
    <s v="na"/>
    <s v="na"/>
    <s v="na"/>
    <s v="na"/>
  </r>
  <r>
    <n v="844"/>
    <x v="32"/>
    <n v="3"/>
    <x v="1"/>
    <x v="0"/>
    <x v="9"/>
    <n v="32"/>
    <s v="561 K"/>
    <n v="80"/>
    <m/>
    <s v="U"/>
    <m/>
    <d v="1899-12-30T01:10:00"/>
    <s v="18:30"/>
    <s v="DJ"/>
    <m/>
    <s v="20140714 CSejkora"/>
    <s v="20140715LFerreira"/>
    <s v="x"/>
    <n v="151.875"/>
    <s v="na"/>
    <s v="FWL"/>
    <s v="na"/>
    <s v="na"/>
    <s v="F1845"/>
    <s v="na"/>
    <s v="na"/>
    <s v="na"/>
    <s v="na"/>
    <s v="na"/>
  </r>
  <r>
    <n v="845"/>
    <x v="32"/>
    <n v="3"/>
    <x v="1"/>
    <x v="0"/>
    <x v="9"/>
    <n v="98"/>
    <s v="562 K"/>
    <n v="53"/>
    <m/>
    <s v="U"/>
    <m/>
    <d v="1899-12-30T00:39:00"/>
    <s v="18:33"/>
    <s v="JB"/>
    <m/>
    <s v="20140714 CSejkora"/>
    <s v="20140715LFerreira"/>
    <s v="x"/>
    <n v="151.875"/>
    <s v="na"/>
    <s v="FWL"/>
    <s v="na"/>
    <s v="na"/>
    <s v="F1845"/>
    <s v="na"/>
    <s v="na"/>
    <s v="na"/>
    <s v="na"/>
    <s v="na"/>
  </r>
  <r>
    <n v="846"/>
    <x v="32"/>
    <n v="3"/>
    <x v="1"/>
    <x v="0"/>
    <x v="0"/>
    <m/>
    <m/>
    <n v="87"/>
    <m/>
    <s v="U"/>
    <d v="1899-12-30T19:27:00"/>
    <d v="1899-12-30T01:12:00"/>
    <s v="19:40"/>
    <s v="NC"/>
    <s v="fish from line 9 on tag &amp; biosample sheet; biosample, no tag; release time is approximate"/>
    <s v="20140714 CSejkora"/>
    <s v="20140715LFerreira"/>
    <d v="1899-12-30T00:11:48"/>
    <s v="x"/>
    <s v="na"/>
    <s v="FWL"/>
    <s v="na"/>
    <s v="na"/>
    <s v="na"/>
    <s v="na"/>
    <s v="na"/>
    <s v="na"/>
    <s v="na"/>
    <s v="na"/>
  </r>
  <r>
    <n v="847"/>
    <x v="33"/>
    <n v="1"/>
    <x v="1"/>
    <x v="0"/>
    <x v="9"/>
    <n v="49"/>
    <s v="544 K"/>
    <n v="83"/>
    <m/>
    <s v="M"/>
    <m/>
    <d v="1899-12-30T01:12:00"/>
    <s v="05:51"/>
    <s v="JG"/>
    <s v="P"/>
    <s v="20140715 CSejkora"/>
    <s v="20140716LFerreira"/>
    <s v="x"/>
    <n v="151.875"/>
    <s v="na"/>
    <s v="FWL"/>
    <s v="na"/>
    <s v="na"/>
    <s v="F1845"/>
    <s v="na"/>
    <s v="na"/>
    <s v="na"/>
    <s v="na"/>
    <s v="na"/>
  </r>
  <r>
    <n v="848"/>
    <x v="33"/>
    <n v="1"/>
    <x v="1"/>
    <x v="0"/>
    <x v="9"/>
    <n v="84"/>
    <s v="569 K"/>
    <n v="86"/>
    <m/>
    <s v="U"/>
    <m/>
    <d v="1899-12-30T01:00:00"/>
    <s v="22:27"/>
    <s v="CSj"/>
    <m/>
    <s v="20140715 CSejkora"/>
    <s v="20140716LFerreira"/>
    <s v="x"/>
    <n v="151.875"/>
    <s v="na"/>
    <s v="FWL"/>
    <s v="na"/>
    <s v="na"/>
    <s v="F1845"/>
    <s v="na"/>
    <s v="na"/>
    <s v="na"/>
    <s v="na"/>
    <s v="na"/>
  </r>
  <r>
    <n v="849"/>
    <x v="33"/>
    <n v="2"/>
    <x v="7"/>
    <x v="0"/>
    <x v="10"/>
    <n v="65"/>
    <s v="15 S"/>
    <n v="48"/>
    <m/>
    <s v="U"/>
    <m/>
    <d v="1899-12-30T02:43:00"/>
    <s v="07:21"/>
    <s v="JB"/>
    <m/>
    <s v="20140715 CSejkora"/>
    <s v="20140716LFerreira"/>
    <s v="x"/>
    <n v="151.58600000000001"/>
    <s v="na"/>
    <s v="FWL"/>
    <s v="na"/>
    <s v="na"/>
    <s v="F1840"/>
    <s v="na"/>
    <s v="na"/>
    <s v="na"/>
    <s v="na"/>
    <s v="na"/>
  </r>
  <r>
    <n v="850"/>
    <x v="33"/>
    <n v="2"/>
    <x v="7"/>
    <x v="0"/>
    <x v="10"/>
    <n v="67"/>
    <s v="16 S"/>
    <n v="52"/>
    <m/>
    <s v="U"/>
    <m/>
    <d v="1899-12-30T01:50:00"/>
    <s v="11:39"/>
    <s v="NC"/>
    <m/>
    <s v="20140715 CSejkora"/>
    <s v="20140716LFerreira"/>
    <s v="x"/>
    <n v="151.58600000000001"/>
    <s v="na"/>
    <s v="FWL"/>
    <s v="na"/>
    <s v="na"/>
    <s v="F1840"/>
    <s v="na"/>
    <s v="na"/>
    <s v="na"/>
    <s v="na"/>
    <s v="na"/>
  </r>
  <r>
    <n v="851"/>
    <x v="33"/>
    <n v="2"/>
    <x v="1"/>
    <x v="0"/>
    <x v="0"/>
    <m/>
    <m/>
    <n v="62"/>
    <m/>
    <s v="U"/>
    <d v="1899-12-30T13:20:00"/>
    <d v="1899-12-30T00:30:00"/>
    <s v="13:26"/>
    <s v="CSj"/>
    <s v="jump out of trough; color was reddish purple"/>
    <s v="20140715 CSejkora"/>
    <s v="20140716LFerreira"/>
    <d v="1899-12-30T00:05:30"/>
    <s v="x"/>
    <s v="na"/>
    <s v="FWL"/>
    <s v="na"/>
    <s v="na"/>
    <s v="na"/>
    <s v="na"/>
    <s v="na"/>
    <s v="na"/>
    <s v="na"/>
    <s v="na"/>
  </r>
  <r>
    <n v="852"/>
    <x v="33"/>
    <n v="2"/>
    <x v="7"/>
    <x v="0"/>
    <x v="6"/>
    <n v="7"/>
    <s v="17 S"/>
    <n v="54"/>
    <m/>
    <s v="U"/>
    <m/>
    <d v="1899-12-30T01:20:00"/>
    <s v="18:33"/>
    <s v="DJ"/>
    <m/>
    <s v="20140715 CSejkora"/>
    <s v="20140716LFerreira"/>
    <s v="x"/>
    <n v="151.57300000000001"/>
    <s v="na"/>
    <s v="FWL"/>
    <s v="na"/>
    <s v="na"/>
    <s v="F1840"/>
    <s v="na"/>
    <s v="na"/>
    <s v="na"/>
    <s v="na"/>
    <s v="na"/>
  </r>
  <r>
    <n v="853"/>
    <x v="33"/>
    <n v="2"/>
    <x v="7"/>
    <x v="0"/>
    <x v="6"/>
    <n v="21"/>
    <s v="18 S"/>
    <n v="41"/>
    <m/>
    <s v="U"/>
    <m/>
    <d v="1899-12-30T00:59:00"/>
    <s v="18:35"/>
    <s v="JG"/>
    <m/>
    <s v="20140715 CSejkora"/>
    <s v="20140716LFerreira"/>
    <s v="x"/>
    <n v="151.57300000000001"/>
    <s v="na"/>
    <s v="FWL"/>
    <s v="na"/>
    <s v="na"/>
    <s v="F1840"/>
    <s v="na"/>
    <s v="na"/>
    <s v="na"/>
    <s v="na"/>
    <s v="na"/>
  </r>
  <r>
    <n v="854"/>
    <x v="33"/>
    <n v="2"/>
    <x v="7"/>
    <x v="0"/>
    <x v="6"/>
    <n v="64"/>
    <s v="19 S"/>
    <n v="58"/>
    <m/>
    <s v="U"/>
    <m/>
    <d v="1899-12-30T01:37:00"/>
    <s v="21:58"/>
    <s v="JK"/>
    <s v="lively! Healthy, red body/green head"/>
    <s v="20140715 CSejkora"/>
    <s v="20140716LFerreira"/>
    <s v="x"/>
    <n v="151.57300000000001"/>
    <s v="na"/>
    <s v="FWL"/>
    <s v="na"/>
    <s v="na"/>
    <s v="F1840"/>
    <s v="na"/>
    <s v="na"/>
    <s v="na"/>
    <s v="na"/>
    <s v="na"/>
  </r>
  <r>
    <n v="855"/>
    <x v="33"/>
    <n v="3"/>
    <x v="1"/>
    <x v="0"/>
    <x v="9"/>
    <n v="68"/>
    <s v="563 K"/>
    <n v="85"/>
    <m/>
    <s v="U"/>
    <m/>
    <d v="1899-12-30T01:20:00"/>
    <s v="05:53"/>
    <s v="DJ"/>
    <s v="S"/>
    <s v="20140715 NCollin"/>
    <s v="20140716LFerreira"/>
    <s v="x"/>
    <n v="151.875"/>
    <s v="na"/>
    <s v="FWL"/>
    <s v="na"/>
    <s v="na"/>
    <s v="F1845"/>
    <s v="na"/>
    <s v="na"/>
    <s v="na"/>
    <s v="na"/>
    <s v="na"/>
  </r>
  <r>
    <n v="856"/>
    <x v="33"/>
    <n v="3"/>
    <x v="4"/>
    <x v="1"/>
    <x v="0"/>
    <m/>
    <m/>
    <n v="35"/>
    <m/>
    <s v="U"/>
    <m/>
    <d v="1899-12-30T00:19:00"/>
    <s v="05:50"/>
    <s v="DJ"/>
    <s v="S, too small to tag"/>
    <s v="20140715 NCollin"/>
    <s v="20140716LFerreira"/>
    <s v="x"/>
    <s v="x"/>
    <s v="na"/>
    <s v="FWL"/>
    <s v="na"/>
    <s v="na"/>
    <s v="na"/>
    <s v="na"/>
    <s v="na"/>
    <s v="na"/>
    <s v="na"/>
    <s v="na"/>
  </r>
  <r>
    <n v="857"/>
    <x v="33"/>
    <n v="3"/>
    <x v="1"/>
    <x v="0"/>
    <x v="8"/>
    <n v="39"/>
    <s v="564 K"/>
    <n v="85"/>
    <m/>
    <s v="M"/>
    <m/>
    <d v="1899-12-30T01:42:00"/>
    <s v="06:04"/>
    <s v="QB"/>
    <s v="S"/>
    <s v="20140715 NCollin"/>
    <s v="20140716LFerreira"/>
    <s v="x"/>
    <n v="151.364"/>
    <s v="na"/>
    <s v="FWL"/>
    <s v="na"/>
    <s v="na"/>
    <s v="F1845"/>
    <s v="na"/>
    <s v="na"/>
    <s v="na"/>
    <s v="na"/>
    <s v="na"/>
  </r>
  <r>
    <n v="858"/>
    <x v="33"/>
    <n v="3"/>
    <x v="4"/>
    <x v="1"/>
    <x v="3"/>
    <n v="51"/>
    <s v="565 K"/>
    <n v="47"/>
    <m/>
    <s v="U"/>
    <m/>
    <d v="1899-12-30T01:06:00"/>
    <s v="06:07"/>
    <s v="DJ"/>
    <s v="S"/>
    <s v="20140715 NCollin"/>
    <s v="20140716LFerreira"/>
    <s v="x"/>
    <n v="151.917"/>
    <s v="na"/>
    <s v="FWL"/>
    <s v="na"/>
    <s v="na"/>
    <s v="F1835"/>
    <s v="na"/>
    <s v="na"/>
    <s v="na"/>
    <s v="na"/>
    <s v="na"/>
  </r>
  <r>
    <n v="859"/>
    <x v="33"/>
    <n v="3"/>
    <x v="4"/>
    <x v="1"/>
    <x v="0"/>
    <m/>
    <m/>
    <n v="36"/>
    <m/>
    <s v="U"/>
    <m/>
    <d v="1899-12-30T00:21:00"/>
    <s v="06:13"/>
    <s v="QB"/>
    <s v="P, too small to tag"/>
    <s v="20140715 NCollin"/>
    <s v="20140716LFerreira"/>
    <s v="x"/>
    <s v="x"/>
    <s v="na"/>
    <s v="FWL"/>
    <s v="na"/>
    <s v="na"/>
    <s v="na"/>
    <s v="na"/>
    <s v="na"/>
    <s v="na"/>
    <s v="na"/>
    <s v="na"/>
  </r>
  <r>
    <n v="860"/>
    <x v="33"/>
    <n v="3"/>
    <x v="7"/>
    <x v="0"/>
    <x v="6"/>
    <n v="73"/>
    <s v="4 S"/>
    <n v="42"/>
    <m/>
    <s v="U"/>
    <m/>
    <d v="1899-12-30T01:39:00"/>
    <s v="06:16"/>
    <s v="QB"/>
    <s v="P"/>
    <s v="20140715 NCollin"/>
    <s v="20140716LFerreira"/>
    <s v="x"/>
    <n v="151.57300000000001"/>
    <s v="na"/>
    <s v="FWL"/>
    <s v="na"/>
    <s v="na"/>
    <s v="F1840"/>
    <s v="na"/>
    <s v="na"/>
    <s v="na"/>
    <s v="na"/>
    <s v="na"/>
  </r>
  <r>
    <n v="861"/>
    <x v="33"/>
    <n v="3"/>
    <x v="1"/>
    <x v="0"/>
    <x v="9"/>
    <n v="63"/>
    <s v="567 K"/>
    <n v="83"/>
    <m/>
    <s v="U"/>
    <d v="1899-12-30T09:37:00"/>
    <d v="1899-12-30T01:22:00"/>
    <s v="09:43"/>
    <s v="DJ"/>
    <m/>
    <s v="20140715 NCollin"/>
    <s v="20140716LFerreira"/>
    <d v="1899-12-30T00:04:38"/>
    <n v="151.875"/>
    <s v="na"/>
    <s v="FWL"/>
    <s v="na"/>
    <s v="na"/>
    <s v="F1845"/>
    <s v="na"/>
    <s v="na"/>
    <s v="na"/>
    <s v="na"/>
    <s v="na"/>
  </r>
  <r>
    <n v="862"/>
    <x v="33"/>
    <n v="3"/>
    <x v="9"/>
    <x v="2"/>
    <x v="0"/>
    <m/>
    <m/>
    <m/>
    <n v="14"/>
    <s v="U"/>
    <m/>
    <d v="1899-12-30T00:30:00"/>
    <s v="09:45"/>
    <s v="DJ"/>
    <m/>
    <s v="20140715 NCollin"/>
    <s v="20140716LFerreira"/>
    <s v="x"/>
    <s v="x"/>
    <s v="na"/>
    <s v="FWL"/>
    <s v="na"/>
    <s v="na"/>
    <s v="na"/>
    <s v="na"/>
    <s v="na"/>
    <s v="na"/>
    <s v="na"/>
    <s v="na"/>
  </r>
  <r>
    <n v="863"/>
    <x v="33"/>
    <n v="3"/>
    <x v="1"/>
    <x v="0"/>
    <x v="0"/>
    <m/>
    <m/>
    <n v="76"/>
    <m/>
    <s v="U"/>
    <m/>
    <d v="1899-12-30T01:39:00"/>
    <s v="13:14"/>
    <s v="LF"/>
    <s v="released CN with no tag; 5 cm wide, deep open wounds, both sides, lethargic, red"/>
    <s v="20140715 NCollin"/>
    <s v="20140716LFerreira"/>
    <s v="x"/>
    <s v="x"/>
    <s v="na"/>
    <s v="FWL"/>
    <s v="na"/>
    <s v="na"/>
    <s v="na"/>
    <s v="na"/>
    <s v="na"/>
    <s v="na"/>
    <s v="na"/>
    <s v="na"/>
  </r>
  <r>
    <n v="864"/>
    <x v="33"/>
    <n v="3"/>
    <x v="1"/>
    <x v="0"/>
    <x v="8"/>
    <n v="30"/>
    <s v="566 K"/>
    <n v="81"/>
    <m/>
    <s v="U"/>
    <d v="1899-12-30T13:43:00"/>
    <d v="1899-12-30T01:21:00"/>
    <s v="13:49"/>
    <s v="LF"/>
    <s v="really full, beautiful fish! Red belly"/>
    <s v="20140715 NCollin"/>
    <s v="20140716LFerreira"/>
    <d v="1899-12-30T00:04:39"/>
    <n v="151.364"/>
    <s v="na"/>
    <s v="FWL"/>
    <s v="na"/>
    <s v="na"/>
    <s v="F1845"/>
    <s v="na"/>
    <s v="na"/>
    <s v="na"/>
    <s v="na"/>
    <s v="na"/>
  </r>
  <r>
    <n v="865"/>
    <x v="33"/>
    <n v="3"/>
    <x v="2"/>
    <x v="2"/>
    <x v="0"/>
    <m/>
    <s v="Bulk HW"/>
    <m/>
    <n v="29"/>
    <s v="U"/>
    <m/>
    <d v="1899-12-30T00:56:00"/>
    <s v="14:23"/>
    <s v="LF"/>
    <s v="genetics taken"/>
    <s v="20140715 NCollin"/>
    <s v="20140716LFerreira"/>
    <s v="x"/>
    <s v="x"/>
    <s v="na"/>
    <s v="FWL"/>
    <s v="na"/>
    <s v="na"/>
    <s v="na"/>
    <s v="na"/>
    <s v="na"/>
    <s v="na"/>
    <s v="na"/>
    <s v="na"/>
  </r>
  <r>
    <n v="866"/>
    <x v="33"/>
    <n v="3"/>
    <x v="1"/>
    <x v="0"/>
    <x v="8"/>
    <n v="21"/>
    <s v="568 K"/>
    <n v="82"/>
    <m/>
    <s v="M"/>
    <d v="1899-12-30T17:17:00"/>
    <d v="1899-12-30T01:31:00"/>
    <s v="17:23"/>
    <s v="QB"/>
    <s v="darker male but still quite lively!"/>
    <s v="20140715 NCollin"/>
    <s v="20140716LFerreira"/>
    <d v="1899-12-30T00:04:29"/>
    <n v="151.364"/>
    <s v="na"/>
    <s v="FWL"/>
    <s v="na"/>
    <s v="na"/>
    <s v="F1845"/>
    <s v="na"/>
    <s v="na"/>
    <s v="na"/>
    <s v="na"/>
    <s v="na"/>
  </r>
  <r>
    <n v="867"/>
    <x v="33"/>
    <n v="3"/>
    <x v="7"/>
    <x v="1"/>
    <x v="0"/>
    <m/>
    <m/>
    <n v="34"/>
    <m/>
    <s v="U"/>
    <d v="1899-12-30T17:32:00"/>
    <d v="1899-12-30T00:25:00"/>
    <s v="17:34"/>
    <s v="QB"/>
    <s v="too small to tag"/>
    <s v="20140715 NCollin"/>
    <s v="20140716LFerreira"/>
    <d v="1899-12-30T00:01:35"/>
    <s v="x"/>
    <s v="na"/>
    <s v="FWL"/>
    <s v="na"/>
    <s v="na"/>
    <s v="na"/>
    <s v="na"/>
    <s v="na"/>
    <s v="na"/>
    <s v="na"/>
    <s v="na"/>
  </r>
  <r>
    <n v="868"/>
    <x v="33"/>
    <n v="3"/>
    <x v="1"/>
    <x v="0"/>
    <x v="9"/>
    <n v="29"/>
    <s v="575 K"/>
    <n v="94"/>
    <m/>
    <s v="M"/>
    <d v="1899-12-30T18:28:00"/>
    <d v="1899-12-30T01:40:00"/>
    <s v="18:35"/>
    <s v="JB"/>
    <m/>
    <s v="20140715 NCollin"/>
    <s v="20140716LFerreira"/>
    <d v="1899-12-30T00:05:20"/>
    <n v="151.875"/>
    <s v="na"/>
    <s v="FWL"/>
    <s v="na"/>
    <s v="na"/>
    <s v="F1845"/>
    <s v="na"/>
    <s v="na"/>
    <s v="na"/>
    <s v="na"/>
    <s v="na"/>
  </r>
  <r>
    <n v="869"/>
    <x v="33"/>
    <n v="3"/>
    <x v="10"/>
    <x v="0"/>
    <x v="11"/>
    <n v="76"/>
    <s v="7 CM"/>
    <n v="56"/>
    <m/>
    <s v="U"/>
    <d v="1899-12-30T18:28:00"/>
    <d v="1899-12-30T00:56:00"/>
    <s v="18:43"/>
    <s v="JB"/>
    <m/>
    <s v="20140715 NCollin"/>
    <s v="20140716LFerreira"/>
    <d v="1899-12-30T00:14:04"/>
    <n v="151.53399999999999"/>
    <s v="na"/>
    <s v="FWL"/>
    <s v="na"/>
    <s v="na"/>
    <s v="F1840"/>
    <s v="na"/>
    <s v="na"/>
    <s v="na"/>
    <s v="na"/>
    <s v="na"/>
  </r>
  <r>
    <n v="870"/>
    <x v="33"/>
    <n v="3"/>
    <x v="1"/>
    <x v="0"/>
    <x v="3"/>
    <n v="56"/>
    <s v="576 K"/>
    <n v="86"/>
    <m/>
    <s v="U"/>
    <d v="1899-12-30T19:55:00"/>
    <d v="1899-12-30T01:26:00"/>
    <s v="20:02"/>
    <s v="NC"/>
    <s v="Dull red and grayish, good condition; jack tag, no more large tags"/>
    <s v="20140715 NCollin"/>
    <s v="20140716LFerreira"/>
    <d v="1899-12-30T00:05:34"/>
    <n v="151.917"/>
    <s v="na"/>
    <s v="FWL"/>
    <s v="na"/>
    <s v="na"/>
    <s v="F1835"/>
    <s v="na"/>
    <s v="na"/>
    <s v="na"/>
    <s v="na"/>
    <s v="na"/>
  </r>
  <r>
    <n v="871"/>
    <x v="33"/>
    <n v="3"/>
    <x v="9"/>
    <x v="2"/>
    <x v="0"/>
    <m/>
    <m/>
    <m/>
    <n v="15"/>
    <s v="U"/>
    <m/>
    <m/>
    <m/>
    <s v="LF"/>
    <s v="Found dead under slide"/>
    <s v="20140715 NCollin"/>
    <s v="20140716LFerreira"/>
    <s v="x"/>
    <s v="x"/>
    <s v="na"/>
    <s v="FWL"/>
    <s v="na"/>
    <s v="na"/>
    <s v="na"/>
    <s v="na"/>
    <s v="na"/>
    <s v="na"/>
    <s v="na"/>
    <s v="na"/>
  </r>
  <r>
    <n v="872"/>
    <x v="34"/>
    <n v="1"/>
    <x v="1"/>
    <x v="0"/>
    <x v="9"/>
    <n v="88"/>
    <s v="570 K"/>
    <n v="78"/>
    <m/>
    <s v="U"/>
    <m/>
    <d v="1899-12-30T01:21:00"/>
    <s v="05:58"/>
    <s v="DJ"/>
    <s v="S"/>
    <s v="20140716 JKunzler"/>
    <s v="20140717LFerreira"/>
    <s v="x"/>
    <n v="151.875"/>
    <s v="na"/>
    <s v="FWL"/>
    <s v="na"/>
    <s v="na"/>
    <s v="F1845"/>
    <s v="na"/>
    <s v="na"/>
    <s v="na"/>
    <s v="na"/>
    <s v="na"/>
  </r>
  <r>
    <n v="873"/>
    <x v="34"/>
    <n v="1"/>
    <x v="1"/>
    <x v="0"/>
    <x v="9"/>
    <n v="46"/>
    <s v="571 K"/>
    <n v="63"/>
    <m/>
    <s v="U"/>
    <d v="1899-12-30T06:12:00"/>
    <d v="1899-12-30T00:38:00"/>
    <s v="06:17"/>
    <s v="JB"/>
    <m/>
    <s v="20140716 JKunzler"/>
    <s v="20140717LFerreira"/>
    <d v="1899-12-30T00:04:22"/>
    <n v="151.875"/>
    <s v="na"/>
    <s v="FWL"/>
    <s v="na"/>
    <s v="na"/>
    <s v="F1845"/>
    <s v="na"/>
    <s v="na"/>
    <s v="na"/>
    <s v="na"/>
    <s v="na"/>
  </r>
  <r>
    <n v="874"/>
    <x v="34"/>
    <n v="1"/>
    <x v="4"/>
    <x v="1"/>
    <x v="3"/>
    <n v="83"/>
    <s v="572 K"/>
    <n v="41"/>
    <m/>
    <s v="U"/>
    <m/>
    <d v="1899-12-30T01:17:00"/>
    <s v="14:32"/>
    <s v="LF"/>
    <m/>
    <s v="20140716 JKunzler"/>
    <s v="20140717LFerreira"/>
    <s v="x"/>
    <n v="151.917"/>
    <s v="na"/>
    <s v="FWL"/>
    <s v="na"/>
    <s v="na"/>
    <s v="F1835"/>
    <s v="na"/>
    <s v="na"/>
    <s v="na"/>
    <s v="na"/>
    <s v="na"/>
  </r>
  <r>
    <n v="875"/>
    <x v="34"/>
    <n v="1"/>
    <x v="0"/>
    <x v="2"/>
    <x v="0"/>
    <m/>
    <m/>
    <m/>
    <n v="24"/>
    <s v="U"/>
    <m/>
    <d v="1899-12-30T00:35:00"/>
    <s v="17:21"/>
    <s v="JG"/>
    <m/>
    <s v="20140716 JKunzler"/>
    <s v="20140717LFerreira"/>
    <s v="x"/>
    <s v="x"/>
    <s v="na"/>
    <s v="FWL"/>
    <s v="na"/>
    <s v="na"/>
    <s v="na"/>
    <s v="na"/>
    <s v="na"/>
    <s v="na"/>
    <s v="na"/>
    <s v="na"/>
  </r>
  <r>
    <n v="876"/>
    <x v="34"/>
    <n v="2"/>
    <x v="4"/>
    <x v="1"/>
    <x v="0"/>
    <m/>
    <m/>
    <n v="33"/>
    <m/>
    <s v="U"/>
    <m/>
    <d v="1899-12-30T00:20:00"/>
    <s v="05:40"/>
    <s v="JB"/>
    <s v="S too small to tag"/>
    <s v="20140716 CSejkora"/>
    <s v="20140717LFerreira"/>
    <s v="x"/>
    <s v="x"/>
    <s v="na"/>
    <s v="FWL"/>
    <s v="na"/>
    <s v="na"/>
    <s v="na"/>
    <s v="na"/>
    <s v="na"/>
    <s v="na"/>
    <s v="na"/>
    <s v="na"/>
  </r>
  <r>
    <n v="877"/>
    <x v="34"/>
    <n v="2"/>
    <x v="7"/>
    <x v="0"/>
    <x v="10"/>
    <n v="41"/>
    <s v="20 S"/>
    <n v="55"/>
    <m/>
    <s v="U"/>
    <m/>
    <d v="1899-12-30T01:29:00"/>
    <s v="05:46"/>
    <s v="JB"/>
    <s v="S"/>
    <s v="20140716 CSejkora"/>
    <s v="20140717LFerreira"/>
    <s v="x"/>
    <n v="151.58600000000001"/>
    <s v="na"/>
    <s v="FWL"/>
    <s v="na"/>
    <s v="na"/>
    <s v="F1840"/>
    <s v="na"/>
    <s v="na"/>
    <s v="na"/>
    <s v="na"/>
    <s v="na"/>
  </r>
  <r>
    <n v="878"/>
    <x v="34"/>
    <n v="2"/>
    <x v="10"/>
    <x v="0"/>
    <x v="7"/>
    <n v="41"/>
    <s v="2 CM"/>
    <n v="65"/>
    <m/>
    <s v="U"/>
    <m/>
    <d v="1899-12-30T01:17:00"/>
    <s v="11:19"/>
    <s v="LF"/>
    <s v="color looks good"/>
    <s v="20140716 CSejkora"/>
    <s v="20140717LFerreira"/>
    <s v="x"/>
    <n v="151.56399999999999"/>
    <s v="na"/>
    <s v="FWL"/>
    <s v="na"/>
    <s v="na"/>
    <s v="F1840"/>
    <s v="na"/>
    <s v="na"/>
    <s v="na"/>
    <s v="na"/>
    <s v="na"/>
  </r>
  <r>
    <n v="879"/>
    <x v="34"/>
    <n v="2"/>
    <x v="5"/>
    <x v="2"/>
    <x v="0"/>
    <m/>
    <m/>
    <m/>
    <n v="26"/>
    <s v="U"/>
    <m/>
    <d v="1899-12-30T00:15:00"/>
    <s v="18:36"/>
    <s v="JB"/>
    <m/>
    <s v="20140716 CSejkora"/>
    <s v="20140717LFerreira"/>
    <s v="x"/>
    <s v="x"/>
    <s v="na"/>
    <s v="FWL"/>
    <s v="na"/>
    <s v="na"/>
    <s v="na"/>
    <s v="na"/>
    <s v="na"/>
    <s v="na"/>
    <s v="na"/>
    <s v="na"/>
  </r>
  <r>
    <n v="880"/>
    <x v="34"/>
    <n v="3"/>
    <x v="1"/>
    <x v="0"/>
    <x v="3"/>
    <n v="59"/>
    <s v="577 K"/>
    <n v="98"/>
    <m/>
    <s v="U"/>
    <m/>
    <d v="1899-12-30T03:07:00"/>
    <s v="06:02"/>
    <s v="QB"/>
    <s v="Very hard to put jack tag in and wouldn't stay.  Tag ok on fourth attempt (Starboard)"/>
    <s v="20140716 LFerreira"/>
    <s v="20140717LFerreira"/>
    <s v="x"/>
    <n v="151.917"/>
    <s v="na"/>
    <s v="FWL"/>
    <s v="na"/>
    <s v="na"/>
    <s v="F1835"/>
    <s v="na"/>
    <s v="na"/>
    <s v="na"/>
    <s v="na"/>
    <s v="na"/>
  </r>
  <r>
    <n v="881"/>
    <x v="34"/>
    <n v="3"/>
    <x v="4"/>
    <x v="1"/>
    <x v="0"/>
    <m/>
    <m/>
    <n v="37"/>
    <m/>
    <s v="U"/>
    <m/>
    <d v="1899-12-30T00:27:00"/>
    <s v="12:10"/>
    <s v="CSj"/>
    <s v="too small to tag"/>
    <s v="20140716 LFerreira"/>
    <s v="20140717LFerreira"/>
    <s v="x"/>
    <s v="x"/>
    <s v="na"/>
    <s v="FWL"/>
    <s v="na"/>
    <s v="na"/>
    <s v="na"/>
    <s v="na"/>
    <s v="na"/>
    <s v="na"/>
    <s v="na"/>
    <s v="na"/>
  </r>
  <r>
    <n v="882"/>
    <x v="34"/>
    <n v="3"/>
    <x v="1"/>
    <x v="0"/>
    <x v="3"/>
    <n v="49"/>
    <s v="578 K"/>
    <n v="51"/>
    <m/>
    <s v="U"/>
    <m/>
    <d v="1899-12-30T01:10:00"/>
    <s v="14:18"/>
    <s v="CSj"/>
    <m/>
    <s v="20140716 LFerreira"/>
    <s v="20140717LFerreira"/>
    <s v="x"/>
    <n v="151.917"/>
    <s v="na"/>
    <s v="FWL"/>
    <s v="na"/>
    <s v="na"/>
    <s v="F1835"/>
    <s v="na"/>
    <s v="na"/>
    <s v="na"/>
    <s v="na"/>
    <s v="na"/>
  </r>
  <r>
    <n v="883"/>
    <x v="34"/>
    <n v="3"/>
    <x v="0"/>
    <x v="2"/>
    <x v="0"/>
    <m/>
    <m/>
    <m/>
    <n v="26"/>
    <s v="U"/>
    <m/>
    <d v="1899-12-30T00:14:00"/>
    <s v="16:31"/>
    <s v="DJ"/>
    <m/>
    <s v="20140716 LFerreira"/>
    <s v="20140717LFerreira"/>
    <s v="x"/>
    <s v="x"/>
    <s v="na"/>
    <s v="FWL"/>
    <s v="na"/>
    <s v="na"/>
    <s v="na"/>
    <s v="na"/>
    <s v="na"/>
    <s v="na"/>
    <s v="na"/>
    <s v="na"/>
  </r>
  <r>
    <n v="884"/>
    <x v="34"/>
    <n v="3"/>
    <x v="1"/>
    <x v="0"/>
    <x v="3"/>
    <n v="63"/>
    <s v="579 K"/>
    <n v="83"/>
    <m/>
    <s v="U"/>
    <d v="1899-12-30T23:14:00"/>
    <d v="1899-12-30T02:56:00"/>
    <s v="23:29"/>
    <s v="NC"/>
    <s v="3 tries to apply tag (jack tag)"/>
    <s v="20140716 LFerreira"/>
    <s v="20140717LFerreira"/>
    <d v="1899-12-30T00:12:04"/>
    <n v="151.917"/>
    <s v="na"/>
    <s v="FWL"/>
    <s v="na"/>
    <s v="na"/>
    <s v="F1835"/>
    <s v="na"/>
    <s v="na"/>
    <s v="na"/>
    <s v="na"/>
    <s v="na"/>
  </r>
  <r>
    <n v="885"/>
    <x v="35"/>
    <n v="1"/>
    <x v="1"/>
    <x v="0"/>
    <x v="9"/>
    <n v="14"/>
    <s v="573 K"/>
    <n v="63"/>
    <m/>
    <s v="U"/>
    <m/>
    <d v="1899-12-30T01:00:00"/>
    <s v="05:55"/>
    <s v="DJ"/>
    <s v="(S), Pretty dark, seemed healthy"/>
    <s v="20140717 JKunzler"/>
    <s v="20140718 DRobichaud"/>
    <s v="x"/>
    <n v="151.875"/>
    <s v="na"/>
    <s v="FWL"/>
    <s v="na"/>
    <s v="na"/>
    <s v="F1845"/>
    <s v="na"/>
    <s v="na"/>
    <s v="na"/>
    <s v="na"/>
    <s v="na"/>
  </r>
  <r>
    <n v="886"/>
    <x v="35"/>
    <n v="1"/>
    <x v="1"/>
    <x v="0"/>
    <x v="9"/>
    <n v="59"/>
    <s v="574 K"/>
    <n v="80"/>
    <m/>
    <s v="U"/>
    <m/>
    <d v="1899-12-30T01:17:00"/>
    <s v="09:47"/>
    <s v="QB"/>
    <s v="good color and vigor!"/>
    <s v="20140717 JKunzler"/>
    <s v="20140718 DRobichaud"/>
    <s v="x"/>
    <n v="151.875"/>
    <s v="na"/>
    <s v="FWL"/>
    <s v="na"/>
    <s v="na"/>
    <s v="F1845"/>
    <s v="na"/>
    <s v="na"/>
    <s v="na"/>
    <s v="na"/>
    <s v="na"/>
  </r>
  <r>
    <n v="887"/>
    <x v="35"/>
    <n v="1"/>
    <x v="7"/>
    <x v="0"/>
    <x v="6"/>
    <n v="29"/>
    <s v="21 S"/>
    <n v="55"/>
    <m/>
    <s v="U"/>
    <m/>
    <d v="1899-12-30T01:23:00"/>
    <s v="09:44"/>
    <s v="QB"/>
    <m/>
    <s v="20140717 JKunzler"/>
    <s v="20140718 DRobichaud"/>
    <s v="x"/>
    <n v="151.57300000000001"/>
    <s v="na"/>
    <s v="FWL"/>
    <s v="na"/>
    <s v="na"/>
    <s v="F1840"/>
    <s v="na"/>
    <s v="na"/>
    <s v="na"/>
    <s v="na"/>
    <s v="na"/>
  </r>
  <r>
    <n v="888"/>
    <x v="35"/>
    <n v="1"/>
    <x v="7"/>
    <x v="0"/>
    <x v="8"/>
    <n v="40"/>
    <s v="22 S"/>
    <n v="56"/>
    <m/>
    <s v="U"/>
    <m/>
    <d v="1899-12-30T01:16:00"/>
    <s v="16:12"/>
    <s v="DJ"/>
    <s v="really red"/>
    <s v="20140717 JKunzler"/>
    <s v="20140718 DRobichaud"/>
    <s v="x"/>
    <n v="151.364"/>
    <s v="na"/>
    <s v="FWL"/>
    <s v="na"/>
    <s v="na"/>
    <s v="F1845"/>
    <s v="na"/>
    <s v="na"/>
    <s v="na"/>
    <s v="na"/>
    <s v="na"/>
  </r>
  <r>
    <n v="889"/>
    <x v="35"/>
    <n v="1"/>
    <x v="4"/>
    <x v="1"/>
    <x v="0"/>
    <m/>
    <m/>
    <n v="31"/>
    <m/>
    <s v="U"/>
    <m/>
    <d v="1899-12-30T00:15:00"/>
    <s v="18:25"/>
    <s v="DJ"/>
    <s v="too small to tag"/>
    <s v="20140717 JKunzler"/>
    <s v="20140718 DRobichaud"/>
    <s v="x"/>
    <s v="x"/>
    <s v="na"/>
    <s v="FWL"/>
    <s v="na"/>
    <s v="na"/>
    <s v="na"/>
    <s v="na"/>
    <s v="na"/>
    <s v="na"/>
    <s v="na"/>
    <s v="na"/>
  </r>
  <r>
    <n v="890"/>
    <x v="35"/>
    <n v="1"/>
    <x v="5"/>
    <x v="2"/>
    <x v="0"/>
    <m/>
    <m/>
    <m/>
    <n v="14"/>
    <s v="U"/>
    <m/>
    <d v="1899-12-30T00:18:00"/>
    <s v="20:38"/>
    <s v="JK"/>
    <m/>
    <s v="20140717 JKunzler"/>
    <s v="20140718 DRobichaud"/>
    <s v="x"/>
    <s v="x"/>
    <s v="na"/>
    <s v="FWL"/>
    <s v="na"/>
    <s v="na"/>
    <s v="na"/>
    <s v="na"/>
    <s v="na"/>
    <s v="na"/>
    <s v="na"/>
    <s v="na"/>
  </r>
  <r>
    <n v="891"/>
    <x v="35"/>
    <n v="2"/>
    <x v="10"/>
    <x v="0"/>
    <x v="7"/>
    <n v="49"/>
    <s v="3 CM"/>
    <n v="67"/>
    <m/>
    <s v="U"/>
    <m/>
    <d v="1899-12-30T01:02:00"/>
    <s v="13:14"/>
    <s v="CSj"/>
    <s v="hit deck"/>
    <s v="20140717 NCollin"/>
    <s v="20140718 DRobichaud"/>
    <s v="x"/>
    <n v="151.56399999999999"/>
    <s v="na"/>
    <s v="FWL"/>
    <s v="na"/>
    <s v="na"/>
    <s v="F1840"/>
    <s v="na"/>
    <s v="na"/>
    <s v="na"/>
    <s v="na"/>
    <s v="na"/>
  </r>
  <r>
    <n v="892"/>
    <x v="35"/>
    <n v="2"/>
    <x v="4"/>
    <x v="1"/>
    <x v="0"/>
    <m/>
    <m/>
    <n v="37"/>
    <m/>
    <s v="U"/>
    <m/>
    <d v="1899-12-30T00:30:00"/>
    <s v="14:08"/>
    <s v="CSj"/>
    <s v="too small to tag"/>
    <s v="20140717 NCollin"/>
    <s v="20140718 DRobichaud"/>
    <s v="x"/>
    <s v="x"/>
    <s v="na"/>
    <s v="FWL"/>
    <s v="na"/>
    <s v="na"/>
    <s v="na"/>
    <s v="na"/>
    <s v="na"/>
    <s v="na"/>
    <s v="na"/>
    <s v="na"/>
  </r>
  <r>
    <n v="893"/>
    <x v="35"/>
    <n v="2"/>
    <x v="4"/>
    <x v="1"/>
    <x v="0"/>
    <m/>
    <m/>
    <n v="39"/>
    <m/>
    <s v="U"/>
    <m/>
    <d v="1899-12-30T00:31:00"/>
    <s v="18:37"/>
    <s v="JB"/>
    <s v="too small to tag"/>
    <s v="20140717 NCollin"/>
    <s v="20140718 DRobichaud"/>
    <s v="x"/>
    <s v="x"/>
    <s v="na"/>
    <s v="FWL"/>
    <s v="na"/>
    <s v="na"/>
    <s v="na"/>
    <s v="na"/>
    <s v="na"/>
    <s v="na"/>
    <s v="na"/>
    <s v="na"/>
  </r>
  <r>
    <n v="894"/>
    <x v="35"/>
    <n v="2"/>
    <x v="3"/>
    <x v="2"/>
    <x v="0"/>
    <m/>
    <m/>
    <m/>
    <n v="30"/>
    <s v="U"/>
    <m/>
    <d v="1899-12-30T00:20:00"/>
    <s v="20:29"/>
    <s v="JK"/>
    <m/>
    <s v="20140717 NCollin"/>
    <s v="20140718 DRobichaud"/>
    <s v="x"/>
    <s v="x"/>
    <s v="na"/>
    <s v="FWL"/>
    <s v="na"/>
    <s v="na"/>
    <s v="na"/>
    <s v="na"/>
    <s v="na"/>
    <s v="na"/>
    <s v="na"/>
    <s v="na"/>
  </r>
  <r>
    <n v="895"/>
    <x v="35"/>
    <n v="2"/>
    <x v="7"/>
    <x v="0"/>
    <x v="10"/>
    <n v="32"/>
    <s v="23 S"/>
    <n v="53"/>
    <m/>
    <s v="U"/>
    <m/>
    <d v="1899-12-30T02:14:00"/>
    <s v="21:40"/>
    <s v="NC"/>
    <s v="nice color"/>
    <s v="20140717 NCollin"/>
    <s v="20140718 DRobichaud"/>
    <s v="x"/>
    <n v="151.58600000000001"/>
    <s v="na"/>
    <s v="FWL"/>
    <s v="na"/>
    <s v="na"/>
    <s v="F1840"/>
    <s v="na"/>
    <s v="na"/>
    <s v="na"/>
    <s v="na"/>
    <s v="na"/>
  </r>
  <r>
    <n v="896"/>
    <x v="35"/>
    <n v="3"/>
    <x v="1"/>
    <x v="0"/>
    <x v="3"/>
    <n v="62"/>
    <s v="580 K"/>
    <n v="75"/>
    <m/>
    <s v="U"/>
    <m/>
    <d v="1899-12-30T01:08:00"/>
    <s v="0:5:49"/>
    <s v="JG"/>
    <s v="P"/>
    <s v="20140717 LFerreira"/>
    <s v="20140718 DRobichaud"/>
    <s v="x"/>
    <n v="151.917"/>
    <s v="na"/>
    <s v="FWL"/>
    <s v="na"/>
    <s v="na"/>
    <s v="F1835"/>
    <s v="na"/>
    <s v="na"/>
    <s v="na"/>
    <s v="na"/>
    <s v="na"/>
  </r>
  <r>
    <n v="897"/>
    <x v="35"/>
    <n v="3"/>
    <x v="4"/>
    <x v="1"/>
    <x v="0"/>
    <m/>
    <m/>
    <n v="32"/>
    <m/>
    <s v="U"/>
    <m/>
    <d v="1899-12-30T00:22:00"/>
    <s v="0:5:46"/>
    <s v="JG"/>
    <s v="P, too small to tag"/>
    <s v="20140717 LFerreira"/>
    <s v="20140718 DRobichaud"/>
    <s v="x"/>
    <s v="x"/>
    <s v="na"/>
    <s v="FWL"/>
    <s v="na"/>
    <s v="na"/>
    <s v="na"/>
    <s v="na"/>
    <s v="na"/>
    <s v="na"/>
    <s v="na"/>
    <s v="na"/>
  </r>
  <r>
    <n v="898"/>
    <x v="35"/>
    <n v="3"/>
    <x v="0"/>
    <x v="2"/>
    <x v="0"/>
    <m/>
    <m/>
    <m/>
    <n v="32"/>
    <s v="U"/>
    <m/>
    <d v="1899-12-30T00:25:00"/>
    <s v="05:51"/>
    <s v="JG"/>
    <s v="P"/>
    <s v="20140717 LFerreira"/>
    <s v="20140718 DRobichaud"/>
    <s v="x"/>
    <s v="x"/>
    <s v="na"/>
    <s v="FWL"/>
    <s v="na"/>
    <s v="na"/>
    <s v="na"/>
    <s v="na"/>
    <s v="na"/>
    <s v="na"/>
    <s v="na"/>
    <s v="na"/>
  </r>
  <r>
    <n v="899"/>
    <x v="35"/>
    <n v="3"/>
    <x v="4"/>
    <x v="1"/>
    <x v="0"/>
    <m/>
    <m/>
    <n v="31"/>
    <m/>
    <s v="U"/>
    <m/>
    <d v="1899-12-30T00:26:00"/>
    <s v="05:52"/>
    <s v="JG"/>
    <s v="S, too small to tag"/>
    <s v="20140717 LFerreira"/>
    <s v="20140718 DRobichaud"/>
    <s v="x"/>
    <s v="x"/>
    <s v="na"/>
    <s v="FWL"/>
    <s v="na"/>
    <s v="na"/>
    <s v="na"/>
    <s v="na"/>
    <s v="na"/>
    <s v="na"/>
    <s v="na"/>
    <s v="na"/>
  </r>
  <r>
    <n v="900"/>
    <x v="35"/>
    <n v="3"/>
    <x v="1"/>
    <x v="0"/>
    <x v="3"/>
    <n v="28"/>
    <s v="581 K"/>
    <n v="65"/>
    <m/>
    <s v="U"/>
    <d v="1899-12-30T07:19:00"/>
    <d v="1899-12-30T01:15:00"/>
    <s v="07:24"/>
    <s v="JB"/>
    <m/>
    <s v="20140717 LFerreira"/>
    <s v="20140718 DRobichaud"/>
    <d v="1899-12-30T00:03:45"/>
    <n v="151.917"/>
    <s v="na"/>
    <s v="FWL"/>
    <s v="na"/>
    <s v="na"/>
    <s v="F1835"/>
    <s v="na"/>
    <s v="na"/>
    <s v="na"/>
    <s v="na"/>
    <s v="na"/>
  </r>
  <r>
    <n v="901"/>
    <x v="35"/>
    <n v="3"/>
    <x v="1"/>
    <x v="0"/>
    <x v="3"/>
    <n v="46"/>
    <s v="582 K"/>
    <n v="91"/>
    <m/>
    <s v="F"/>
    <d v="1899-12-30T08:35:00"/>
    <d v="1899-12-30T01:46:00"/>
    <s v="08:42"/>
    <s v="JG"/>
    <m/>
    <s v="20140717 LFerreira"/>
    <s v="20140718 DRobichaud"/>
    <d v="1899-12-30T00:05:14"/>
    <n v="151.917"/>
    <s v="na"/>
    <s v="FWL"/>
    <s v="na"/>
    <s v="na"/>
    <s v="F1835"/>
    <s v="na"/>
    <s v="na"/>
    <s v="na"/>
    <s v="na"/>
    <s v="na"/>
  </r>
  <r>
    <n v="902"/>
    <x v="35"/>
    <n v="3"/>
    <x v="3"/>
    <x v="2"/>
    <x v="0"/>
    <m/>
    <m/>
    <m/>
    <n v="13"/>
    <s v="U"/>
    <m/>
    <d v="1899-12-30T00:30:00"/>
    <s v="14:55"/>
    <s v="QB"/>
    <m/>
    <s v="20140717 LFerreira"/>
    <s v="20140718 DRobichaud"/>
    <s v="x"/>
    <s v="x"/>
    <s v="na"/>
    <s v="FWL"/>
    <s v="na"/>
    <s v="na"/>
    <s v="na"/>
    <s v="na"/>
    <s v="na"/>
    <s v="na"/>
    <s v="na"/>
    <s v="na"/>
  </r>
  <r>
    <n v="903"/>
    <x v="35"/>
    <n v="3"/>
    <x v="1"/>
    <x v="0"/>
    <x v="3"/>
    <n v="90"/>
    <s v="587 K"/>
    <n v="78"/>
    <m/>
    <s v="U"/>
    <m/>
    <d v="1899-12-30T01:24:00"/>
    <s v="15:04"/>
    <s v="JG"/>
    <m/>
    <s v="20140717 LFerreira"/>
    <s v="20140718 DRobichaud"/>
    <s v="x"/>
    <n v="151.917"/>
    <s v="na"/>
    <s v="FWL"/>
    <s v="na"/>
    <s v="na"/>
    <s v="F1835"/>
    <s v="na"/>
    <s v="na"/>
    <s v="na"/>
    <s v="na"/>
    <s v="na"/>
  </r>
  <r>
    <n v="904"/>
    <x v="35"/>
    <n v="3"/>
    <x v="3"/>
    <x v="2"/>
    <x v="0"/>
    <m/>
    <m/>
    <m/>
    <n v="21"/>
    <s v="U"/>
    <m/>
    <d v="1899-12-30T00:24:00"/>
    <s v="17:12"/>
    <s v="QB"/>
    <m/>
    <s v="20140717 LFerreira"/>
    <s v="20140718 DRobichaud"/>
    <s v="x"/>
    <s v="x"/>
    <s v="na"/>
    <s v="FWL"/>
    <s v="na"/>
    <s v="na"/>
    <s v="na"/>
    <s v="na"/>
    <s v="na"/>
    <s v="na"/>
    <s v="na"/>
    <s v="na"/>
  </r>
  <r>
    <n v="905"/>
    <x v="35"/>
    <n v="3"/>
    <x v="3"/>
    <x v="2"/>
    <x v="0"/>
    <m/>
    <m/>
    <m/>
    <n v="33"/>
    <s v="U"/>
    <m/>
    <d v="1899-12-30T00:31:00"/>
    <s v="17:14"/>
    <s v="QB"/>
    <m/>
    <s v="20140717 LFerreira"/>
    <s v="20140718 DRobichaud"/>
    <s v="x"/>
    <s v="x"/>
    <s v="na"/>
    <s v="FWL"/>
    <s v="na"/>
    <s v="na"/>
    <s v="na"/>
    <s v="na"/>
    <s v="na"/>
    <s v="na"/>
    <s v="na"/>
    <s v="na"/>
  </r>
  <r>
    <n v="906"/>
    <x v="35"/>
    <n v="3"/>
    <x v="9"/>
    <x v="2"/>
    <x v="0"/>
    <m/>
    <m/>
    <m/>
    <n v="16"/>
    <s v="U"/>
    <m/>
    <d v="1899-12-30T00:25:00"/>
    <s v="17:47"/>
    <s v="QB"/>
    <m/>
    <s v="20140717 LFerreira"/>
    <s v="20140718 DRobichaud"/>
    <s v="x"/>
    <s v="x"/>
    <s v="na"/>
    <s v="FWL"/>
    <s v="na"/>
    <s v="na"/>
    <s v="na"/>
    <s v="na"/>
    <s v="na"/>
    <s v="na"/>
    <s v="na"/>
    <s v="na"/>
  </r>
  <r>
    <n v="907"/>
    <x v="35"/>
    <n v="3"/>
    <x v="3"/>
    <x v="2"/>
    <x v="0"/>
    <m/>
    <m/>
    <m/>
    <n v="24"/>
    <s v="U"/>
    <m/>
    <d v="1899-12-30T00:28:00"/>
    <s v="18:37"/>
    <s v="QB"/>
    <m/>
    <s v="20140717 LFerreira"/>
    <s v="20140718 DRobichaud"/>
    <s v="x"/>
    <s v="x"/>
    <s v="na"/>
    <s v="FWL"/>
    <s v="na"/>
    <s v="na"/>
    <s v="na"/>
    <s v="na"/>
    <s v="na"/>
    <s v="na"/>
    <s v="na"/>
    <s v="na"/>
  </r>
  <r>
    <n v="908"/>
    <x v="35"/>
    <n v="3"/>
    <x v="10"/>
    <x v="0"/>
    <x v="11"/>
    <n v="75"/>
    <s v="8 CM"/>
    <n v="69"/>
    <m/>
    <s v="U"/>
    <d v="1899-12-30T19:36:00"/>
    <d v="1899-12-30T01:15:00"/>
    <s v="19:42"/>
    <s v="CSj"/>
    <s v="3 shallow lesions on bottom, 2-3 cm in diameter"/>
    <s v="20140717 LFerreira"/>
    <s v="20140718 DRobichaud"/>
    <d v="1899-12-30T00:04:45"/>
    <n v="151.53399999999999"/>
    <s v="na"/>
    <s v="FWL"/>
    <s v="na"/>
    <s v="na"/>
    <s v="F1840"/>
    <s v="na"/>
    <s v="na"/>
    <s v="na"/>
    <s v="na"/>
    <s v="na"/>
  </r>
  <r>
    <n v="909"/>
    <x v="35"/>
    <n v="3"/>
    <x v="0"/>
    <x v="2"/>
    <x v="0"/>
    <m/>
    <m/>
    <m/>
    <n v="20"/>
    <s v="U"/>
    <m/>
    <d v="1899-12-30T01:00:00"/>
    <s v="19:45"/>
    <s v="CSj"/>
    <m/>
    <s v="20140717 LFerreira"/>
    <s v="20140718 DRobichaud"/>
    <s v="x"/>
    <s v="x"/>
    <s v="na"/>
    <s v="FWL"/>
    <s v="na"/>
    <s v="na"/>
    <s v="na"/>
    <s v="na"/>
    <s v="na"/>
    <s v="na"/>
    <s v="na"/>
    <s v="na"/>
  </r>
  <r>
    <n v="910"/>
    <x v="35"/>
    <n v="3"/>
    <x v="9"/>
    <x v="2"/>
    <x v="0"/>
    <m/>
    <m/>
    <m/>
    <n v="21"/>
    <s v="U"/>
    <m/>
    <d v="1899-12-30T00:23:00"/>
    <s v="19:47"/>
    <s v="CSj"/>
    <m/>
    <s v="20140717 LFerreira"/>
    <s v="20140718 DRobichaud"/>
    <s v="x"/>
    <s v="x"/>
    <s v="na"/>
    <s v="FWL"/>
    <s v="na"/>
    <s v="na"/>
    <s v="na"/>
    <s v="na"/>
    <s v="na"/>
    <s v="na"/>
    <s v="na"/>
    <s v="na"/>
  </r>
  <r>
    <n v="911"/>
    <x v="35"/>
    <n v="3"/>
    <x v="4"/>
    <x v="1"/>
    <x v="0"/>
    <m/>
    <m/>
    <n v="33"/>
    <m/>
    <s v="U"/>
    <d v="1899-12-30T20:41:00"/>
    <d v="1899-12-30T00:25:00"/>
    <s v="20:43"/>
    <s v="CSj"/>
    <s v="too small to tag"/>
    <s v="20140717 LFerreira"/>
    <s v="20140718 DRobichaud"/>
    <d v="1899-12-30T00:01:35"/>
    <s v="x"/>
    <s v="na"/>
    <s v="FWL"/>
    <s v="na"/>
    <s v="na"/>
    <s v="na"/>
    <s v="na"/>
    <s v="na"/>
    <s v="na"/>
    <s v="na"/>
    <s v="na"/>
  </r>
  <r>
    <n v="912"/>
    <x v="35"/>
    <n v="3"/>
    <x v="10"/>
    <x v="0"/>
    <x v="0"/>
    <m/>
    <m/>
    <n v="63"/>
    <m/>
    <s v="U"/>
    <m/>
    <d v="1899-12-30T00:47:00"/>
    <s v="21:40"/>
    <s v="CSj"/>
    <m/>
    <s v="20140717 LFerreira"/>
    <s v="20140718 DRobichaud"/>
    <s v="x"/>
    <s v="x"/>
    <s v="na"/>
    <s v="FWL"/>
    <s v="na"/>
    <s v="na"/>
    <s v="na"/>
    <s v="na"/>
    <s v="na"/>
    <s v="na"/>
    <s v="na"/>
    <s v="na"/>
  </r>
  <r>
    <n v="913"/>
    <x v="35"/>
    <n v="3"/>
    <x v="4"/>
    <x v="1"/>
    <x v="0"/>
    <m/>
    <m/>
    <n v="35"/>
    <m/>
    <s v="U"/>
    <m/>
    <d v="1899-12-30T00:45:00"/>
    <s v="21:42"/>
    <s v="CSj"/>
    <s v="too small to tag"/>
    <s v="20140717 LFerreira"/>
    <s v="20140718 DRobichaud"/>
    <s v="x"/>
    <s v="x"/>
    <s v="na"/>
    <s v="FWL"/>
    <s v="na"/>
    <s v="na"/>
    <s v="na"/>
    <s v="na"/>
    <s v="na"/>
    <s v="na"/>
    <s v="na"/>
    <s v="na"/>
  </r>
  <r>
    <n v="914"/>
    <x v="35"/>
    <n v="3"/>
    <x v="12"/>
    <x v="0"/>
    <x v="12"/>
    <n v="10"/>
    <s v="4 P"/>
    <n v="43"/>
    <m/>
    <s v="U"/>
    <d v="1899-12-30T21:47:00"/>
    <d v="1899-12-30T01:19:00"/>
    <s v="22:19"/>
    <s v="LF"/>
    <m/>
    <s v="20140717 LFerreira"/>
    <s v="20140718 DRobichaud"/>
    <d v="1899-12-30T00:30:41"/>
    <n v="151.596"/>
    <s v="na"/>
    <s v="FWL"/>
    <s v="na"/>
    <s v="na"/>
    <s v="F1835"/>
    <s v="na"/>
    <s v="na"/>
    <s v="na"/>
    <s v="na"/>
    <s v="na"/>
  </r>
  <r>
    <n v="915"/>
    <x v="35"/>
    <n v="3"/>
    <x v="0"/>
    <x v="2"/>
    <x v="0"/>
    <m/>
    <m/>
    <m/>
    <n v="28"/>
    <s v="U"/>
    <m/>
    <d v="1899-12-30T00:27:00"/>
    <s v="22:20"/>
    <s v="CSj"/>
    <m/>
    <s v="20140717 LFerreira"/>
    <s v="20140718 DRobichaud"/>
    <s v="x"/>
    <s v="x"/>
    <s v="na"/>
    <s v="FWL"/>
    <s v="na"/>
    <s v="na"/>
    <s v="na"/>
    <s v="na"/>
    <s v="na"/>
    <s v="na"/>
    <s v="na"/>
    <s v="na"/>
  </r>
  <r>
    <n v="916"/>
    <x v="36"/>
    <n v="1"/>
    <x v="1"/>
    <x v="0"/>
    <x v="3"/>
    <n v="30"/>
    <s v="583 K"/>
    <n v="91"/>
    <m/>
    <s v="M"/>
    <m/>
    <d v="1899-12-30T01:05:00"/>
    <s v="20:49"/>
    <s v="HR"/>
    <s v="antenna fully in mouth"/>
    <s v="20140718 HReider"/>
    <s v="20140719 LAckein"/>
    <s v="x"/>
    <n v="151.917"/>
    <s v="na"/>
    <s v="FWL"/>
    <s v="na"/>
    <s v="na"/>
    <s v="F1835"/>
    <s v="na"/>
    <s v="na"/>
    <s v="na"/>
    <s v="na"/>
    <s v="na"/>
  </r>
  <r>
    <n v="917"/>
    <x v="36"/>
    <n v="2"/>
    <x v="7"/>
    <x v="0"/>
    <x v="10"/>
    <n v="5"/>
    <s v="24 S"/>
    <n v="44"/>
    <m/>
    <s v="U"/>
    <m/>
    <d v="1899-12-30T01:10:00"/>
    <s v="05:51"/>
    <s v="JG"/>
    <s v="S recaptured a couple mins after release"/>
    <s v="20140718 HReider"/>
    <s v="20140719 LAckein"/>
    <s v="x"/>
    <n v="151.58600000000001"/>
    <s v="na"/>
    <s v="FWL"/>
    <s v="na"/>
    <s v="na"/>
    <s v="F1840"/>
    <s v="na"/>
    <s v="na"/>
    <s v="na"/>
    <s v="na"/>
    <s v="na"/>
  </r>
  <r>
    <n v="918"/>
    <x v="36"/>
    <n v="2"/>
    <x v="7"/>
    <x v="0"/>
    <x v="10"/>
    <n v="10"/>
    <s v="25 S"/>
    <n v="48"/>
    <m/>
    <s v="U"/>
    <m/>
    <d v="1899-12-30T01:13:00"/>
    <s v="05:56"/>
    <s v="JG"/>
    <s v="S"/>
    <s v="20140718 HReider"/>
    <s v="20140719 LAckein"/>
    <s v="x"/>
    <n v="151.58600000000001"/>
    <s v="na"/>
    <s v="FWL"/>
    <s v="na"/>
    <s v="na"/>
    <s v="F1840"/>
    <s v="na"/>
    <s v="na"/>
    <s v="na"/>
    <s v="na"/>
    <s v="na"/>
  </r>
  <r>
    <n v="919"/>
    <x v="36"/>
    <n v="2"/>
    <x v="7"/>
    <x v="0"/>
    <x v="6"/>
    <n v="43"/>
    <s v="26 S"/>
    <n v="57"/>
    <m/>
    <s v="U"/>
    <m/>
    <d v="1899-12-30T01:21:00"/>
    <s v="06:00"/>
    <s v="JG"/>
    <s v="S"/>
    <s v="20140718 HReider"/>
    <s v="20140719 LAckein"/>
    <s v="x"/>
    <n v="151.57300000000001"/>
    <s v="na"/>
    <s v="FWL"/>
    <s v="na"/>
    <s v="na"/>
    <s v="F1840"/>
    <s v="na"/>
    <s v="na"/>
    <s v="na"/>
    <s v="na"/>
    <s v="na"/>
  </r>
  <r>
    <n v="920"/>
    <x v="36"/>
    <n v="2"/>
    <x v="3"/>
    <x v="2"/>
    <x v="0"/>
    <m/>
    <m/>
    <m/>
    <n v="26"/>
    <s v="U"/>
    <m/>
    <d v="1899-12-30T00:40:00"/>
    <s v="20:31"/>
    <s v="HR"/>
    <m/>
    <s v="20140718 HReider"/>
    <s v="20140719 LAckein"/>
    <s v="x"/>
    <s v="x"/>
    <s v="na"/>
    <s v="FWL"/>
    <s v="na"/>
    <s v="na"/>
    <s v="na"/>
    <s v="na"/>
    <s v="na"/>
    <s v="na"/>
    <s v="na"/>
    <s v="na"/>
  </r>
  <r>
    <n v="921"/>
    <x v="36"/>
    <n v="3"/>
    <x v="1"/>
    <x v="0"/>
    <x v="3"/>
    <n v="20"/>
    <s v="588 K"/>
    <n v="84"/>
    <m/>
    <s v="U"/>
    <m/>
    <d v="1899-12-30T02:29:00"/>
    <s v="05:56"/>
    <s v="QB"/>
    <s v="Starboard, good color and lively"/>
    <s v="20140718 DJohnson"/>
    <s v="20140719 LAckein"/>
    <s v="x"/>
    <n v="151.917"/>
    <s v="na"/>
    <s v="FWL"/>
    <s v="na"/>
    <s v="na"/>
    <s v="F1835"/>
    <s v="na"/>
    <s v="na"/>
    <s v="na"/>
    <s v="na"/>
    <s v="na"/>
  </r>
  <r>
    <n v="922"/>
    <x v="36"/>
    <n v="3"/>
    <x v="1"/>
    <x v="0"/>
    <x v="3"/>
    <n v="25"/>
    <s v="589 K"/>
    <n v="55"/>
    <m/>
    <s v="U"/>
    <m/>
    <d v="1899-12-30T01:00:00"/>
    <s v="06:00"/>
    <s v="DJ"/>
    <s v="S, still silvery and lively"/>
    <s v="20140718 DJohnson"/>
    <s v="20140719 LAckein"/>
    <s v="x"/>
    <n v="151.917"/>
    <s v="na"/>
    <s v="FWL"/>
    <s v="na"/>
    <s v="na"/>
    <s v="F1835"/>
    <s v="na"/>
    <s v="na"/>
    <s v="na"/>
    <s v="na"/>
    <s v="na"/>
  </r>
  <r>
    <n v="923"/>
    <x v="36"/>
    <n v="3"/>
    <x v="1"/>
    <x v="0"/>
    <x v="12"/>
    <n v="22"/>
    <s v="590 K"/>
    <n v="51"/>
    <m/>
    <s v="U"/>
    <d v="1899-12-30T06:40:00"/>
    <d v="1899-12-30T00:57:00"/>
    <s v="07:21"/>
    <s v="QB"/>
    <s v="Accidently put PK tag in CN-Chn 596 code 22"/>
    <s v="20140718 DJohnson"/>
    <s v="20140719 LAckein"/>
    <d v="1899-12-30T00:40:03"/>
    <n v="151.596"/>
    <s v="na"/>
    <s v="FWL"/>
    <s v="na"/>
    <s v="na"/>
    <s v="F1835"/>
    <s v="na"/>
    <s v="na"/>
    <s v="na"/>
    <s v="na"/>
    <s v="na"/>
  </r>
  <r>
    <n v="924"/>
    <x v="36"/>
    <n v="3"/>
    <x v="12"/>
    <x v="0"/>
    <x v="12"/>
    <n v="19"/>
    <s v="5 P"/>
    <n v="44"/>
    <m/>
    <s v="U"/>
    <d v="1899-12-30T06:29:00"/>
    <d v="1899-12-30T01:10:00"/>
    <s v="07:25"/>
    <s v="QB"/>
    <m/>
    <s v="20140718 DJohnson"/>
    <s v="20140719 LAckein"/>
    <d v="1899-12-30T00:54:50"/>
    <n v="151.596"/>
    <s v="na"/>
    <s v="FWL"/>
    <s v="na"/>
    <s v="na"/>
    <s v="F1835"/>
    <s v="na"/>
    <s v="na"/>
    <s v="na"/>
    <s v="na"/>
    <s v="na"/>
  </r>
  <r>
    <n v="925"/>
    <x v="36"/>
    <n v="3"/>
    <x v="2"/>
    <x v="2"/>
    <x v="0"/>
    <m/>
    <s v="Bulk HW"/>
    <m/>
    <n v="33"/>
    <s v="U"/>
    <m/>
    <d v="1899-12-30T00:45:00"/>
    <s v="07:28"/>
    <s v="DJ"/>
    <s v="got genetics"/>
    <s v="20140718 DJohnson"/>
    <s v="20140719 LAckein"/>
    <s v="x"/>
    <s v="x"/>
    <s v="na"/>
    <s v="FWL"/>
    <s v="na"/>
    <s v="na"/>
    <s v="na"/>
    <s v="na"/>
    <s v="na"/>
    <s v="na"/>
    <s v="na"/>
    <s v="na"/>
  </r>
  <r>
    <n v="926"/>
    <x v="36"/>
    <n v="3"/>
    <x v="4"/>
    <x v="1"/>
    <x v="0"/>
    <m/>
    <m/>
    <n v="38"/>
    <m/>
    <s v="U"/>
    <m/>
    <d v="1899-12-30T00:15:00"/>
    <s v="09:42"/>
    <s v="DJ"/>
    <s v="too small to tag"/>
    <s v="20140718 DJohnson"/>
    <s v="20140719 LAckein"/>
    <s v="x"/>
    <s v="x"/>
    <s v="na"/>
    <s v="FWL"/>
    <s v="na"/>
    <s v="na"/>
    <s v="na"/>
    <s v="na"/>
    <s v="na"/>
    <s v="na"/>
    <s v="na"/>
    <s v="na"/>
  </r>
  <r>
    <n v="927"/>
    <x v="36"/>
    <n v="3"/>
    <x v="4"/>
    <x v="1"/>
    <x v="3"/>
    <n v="37"/>
    <s v="591 K"/>
    <n v="41"/>
    <m/>
    <s v="U"/>
    <m/>
    <d v="1899-12-30T00:57:00"/>
    <s v="10:58"/>
    <s v="JK"/>
    <s v="great color, lively, cnj"/>
    <s v="20140718 JKunzler"/>
    <s v="20140719 LAckein"/>
    <s v="x"/>
    <n v="151.917"/>
    <s v="na"/>
    <s v="FWL"/>
    <s v="na"/>
    <s v="na"/>
    <s v="F1835"/>
    <s v="na"/>
    <s v="na"/>
    <s v="na"/>
    <s v="na"/>
    <s v="na"/>
  </r>
  <r>
    <n v="928"/>
    <x v="36"/>
    <n v="3"/>
    <x v="1"/>
    <x v="0"/>
    <x v="3"/>
    <n v="0"/>
    <s v="592 K"/>
    <n v="87"/>
    <m/>
    <s v="F"/>
    <m/>
    <d v="1899-12-30T01:09:00"/>
    <s v="12:49"/>
    <s v="NC"/>
    <s v="Great color, female"/>
    <s v="20140718 JKunzler"/>
    <s v="20140719 LAckein"/>
    <s v="x"/>
    <n v="151.917"/>
    <s v="na"/>
    <s v="FWL"/>
    <s v="na"/>
    <s v="na"/>
    <s v="F1835"/>
    <s v="na"/>
    <s v="na"/>
    <s v="na"/>
    <s v="na"/>
    <s v="na"/>
  </r>
  <r>
    <n v="929"/>
    <x v="36"/>
    <n v="3"/>
    <x v="4"/>
    <x v="1"/>
    <x v="0"/>
    <m/>
    <m/>
    <n v="32"/>
    <m/>
    <s v="U"/>
    <m/>
    <d v="1899-12-30T00:30:00"/>
    <s v="12:40"/>
    <s v="JK"/>
    <s v="too small to tag"/>
    <s v="20140718 JKunzler"/>
    <s v="20140719 LAckein"/>
    <s v="x"/>
    <s v="x"/>
    <s v="na"/>
    <s v="FWL"/>
    <s v="na"/>
    <s v="na"/>
    <s v="na"/>
    <s v="na"/>
    <s v="na"/>
    <s v="na"/>
    <s v="na"/>
    <s v="na"/>
  </r>
  <r>
    <n v="930"/>
    <x v="36"/>
    <n v="3"/>
    <x v="3"/>
    <x v="2"/>
    <x v="0"/>
    <m/>
    <m/>
    <m/>
    <n v="31"/>
    <s v="U"/>
    <m/>
    <d v="1899-12-30T00:18:00"/>
    <s v="12:51"/>
    <s v="JK"/>
    <m/>
    <s v="20140718 JKunzler"/>
    <s v="20140719 LAckein"/>
    <s v="x"/>
    <s v="x"/>
    <s v="na"/>
    <s v="FWL"/>
    <s v="na"/>
    <s v="na"/>
    <s v="na"/>
    <s v="na"/>
    <s v="na"/>
    <s v="na"/>
    <s v="na"/>
    <s v="na"/>
  </r>
  <r>
    <n v="931"/>
    <x v="36"/>
    <n v="3"/>
    <x v="9"/>
    <x v="2"/>
    <x v="0"/>
    <m/>
    <m/>
    <m/>
    <n v="16"/>
    <s v="U"/>
    <m/>
    <d v="1899-12-30T00:29:00"/>
    <s v="13:00"/>
    <s v="NC"/>
    <m/>
    <s v="20140718 JKunzler"/>
    <s v="20140719 LAckein"/>
    <s v="x"/>
    <s v="x"/>
    <s v="na"/>
    <s v="FWL"/>
    <s v="na"/>
    <s v="na"/>
    <s v="na"/>
    <s v="na"/>
    <s v="na"/>
    <s v="na"/>
    <s v="na"/>
    <s v="na"/>
  </r>
  <r>
    <n v="932"/>
    <x v="36"/>
    <n v="3"/>
    <x v="0"/>
    <x v="2"/>
    <x v="0"/>
    <m/>
    <m/>
    <m/>
    <n v="20"/>
    <s v="U"/>
    <m/>
    <d v="1899-12-30T00:44:00"/>
    <s v="14:08"/>
    <s v="NC"/>
    <m/>
    <s v="20140718 JKunzler"/>
    <s v="20140719 LAckein"/>
    <s v="x"/>
    <s v="x"/>
    <s v="na"/>
    <s v="FWL"/>
    <s v="na"/>
    <s v="na"/>
    <s v="na"/>
    <s v="na"/>
    <s v="na"/>
    <s v="na"/>
    <s v="na"/>
    <s v="na"/>
  </r>
  <r>
    <n v="933"/>
    <x v="36"/>
    <n v="3"/>
    <x v="3"/>
    <x v="2"/>
    <x v="0"/>
    <m/>
    <m/>
    <m/>
    <n v="21"/>
    <s v="U"/>
    <m/>
    <d v="1899-12-30T00:20:00"/>
    <s v="14:10"/>
    <s v="JK"/>
    <m/>
    <s v="20140718 JKunzler"/>
    <s v="20140719 LAckein"/>
    <s v="x"/>
    <s v="x"/>
    <s v="na"/>
    <s v="FWL"/>
    <s v="na"/>
    <s v="na"/>
    <s v="na"/>
    <s v="na"/>
    <s v="na"/>
    <s v="na"/>
    <s v="na"/>
    <s v="na"/>
  </r>
  <r>
    <n v="934"/>
    <x v="36"/>
    <n v="3"/>
    <x v="1"/>
    <x v="0"/>
    <x v="3"/>
    <n v="67"/>
    <s v="593 K"/>
    <n v="64"/>
    <m/>
    <s v="U"/>
    <d v="1899-12-30T14:25:00"/>
    <d v="1899-12-30T00:51:00"/>
    <s v="14:29"/>
    <s v="JK"/>
    <m/>
    <s v="20140718 JKunzler"/>
    <s v="20140719 LAckein"/>
    <d v="1899-12-30T00:03:09"/>
    <n v="151.917"/>
    <s v="na"/>
    <s v="FWL"/>
    <s v="na"/>
    <s v="na"/>
    <s v="F1835"/>
    <s v="na"/>
    <s v="na"/>
    <s v="na"/>
    <s v="na"/>
    <s v="na"/>
  </r>
  <r>
    <n v="935"/>
    <x v="36"/>
    <n v="3"/>
    <x v="4"/>
    <x v="1"/>
    <x v="0"/>
    <m/>
    <m/>
    <m/>
    <m/>
    <s v="U"/>
    <m/>
    <d v="1899-12-30T00:07:00"/>
    <s v="15:05"/>
    <s v="JB"/>
    <s v="hit deck; no tag"/>
    <s v="20140718 DJohnson"/>
    <s v="20140719 LAckein"/>
    <s v="x"/>
    <s v="x"/>
    <s v="na"/>
    <s v="FWL"/>
    <s v="na"/>
    <s v="na"/>
    <s v="na"/>
    <s v="na"/>
    <s v="na"/>
    <s v="na"/>
    <s v="na"/>
    <s v="na"/>
  </r>
  <r>
    <n v="936"/>
    <x v="36"/>
    <n v="3"/>
    <x v="0"/>
    <x v="2"/>
    <x v="0"/>
    <m/>
    <m/>
    <m/>
    <n v="30"/>
    <s v="U"/>
    <m/>
    <d v="1899-12-30T00:12:00"/>
    <s v="16:17"/>
    <s v="DJ"/>
    <m/>
    <s v="20140718 DJohnson"/>
    <s v="20140719 LAckein"/>
    <s v="x"/>
    <s v="x"/>
    <s v="na"/>
    <s v="FWL"/>
    <s v="na"/>
    <s v="na"/>
    <s v="na"/>
    <s v="na"/>
    <s v="na"/>
    <s v="na"/>
    <s v="na"/>
    <s v="na"/>
  </r>
  <r>
    <n v="937"/>
    <x v="36"/>
    <n v="3"/>
    <x v="3"/>
    <x v="2"/>
    <x v="0"/>
    <m/>
    <m/>
    <m/>
    <n v="34"/>
    <s v="U"/>
    <m/>
    <d v="1899-12-30T00:33:00"/>
    <s v="16:15"/>
    <s v="DJ"/>
    <m/>
    <s v="20140718 DJohnson"/>
    <s v="20140719 LAckein"/>
    <s v="x"/>
    <s v="x"/>
    <s v="na"/>
    <s v="FWL"/>
    <s v="na"/>
    <s v="na"/>
    <s v="na"/>
    <s v="na"/>
    <s v="na"/>
    <s v="na"/>
    <s v="na"/>
    <s v="na"/>
  </r>
  <r>
    <n v="938"/>
    <x v="36"/>
    <n v="3"/>
    <x v="1"/>
    <x v="0"/>
    <x v="3"/>
    <n v="21"/>
    <s v="594 K"/>
    <n v="56"/>
    <m/>
    <s v="U"/>
    <m/>
    <d v="1899-12-30T00:40:00"/>
    <s v="18:07"/>
    <s v="DJ"/>
    <s v="fairly red, still lively"/>
    <s v="20140718 DJohnson"/>
    <s v="20140719 LAckein"/>
    <s v="x"/>
    <n v="151.917"/>
    <s v="na"/>
    <s v="FWL"/>
    <s v="na"/>
    <s v="na"/>
    <s v="F1835"/>
    <s v="na"/>
    <s v="na"/>
    <s v="na"/>
    <s v="na"/>
    <s v="na"/>
  </r>
  <r>
    <n v="939"/>
    <x v="36"/>
    <n v="3"/>
    <x v="3"/>
    <x v="2"/>
    <x v="0"/>
    <m/>
    <m/>
    <m/>
    <n v="24"/>
    <s v="U"/>
    <m/>
    <d v="1899-12-30T00:47:00"/>
    <s v="19:19"/>
    <s v="LA"/>
    <m/>
    <s v="20140718 EGora"/>
    <s v="20140719 LAckein"/>
    <s v="x"/>
    <s v="x"/>
    <s v="na"/>
    <s v="FWL"/>
    <s v="na"/>
    <s v="na"/>
    <s v="na"/>
    <s v="na"/>
    <s v="na"/>
    <s v="na"/>
    <s v="na"/>
    <s v="na"/>
  </r>
  <r>
    <n v="940"/>
    <x v="36"/>
    <n v="3"/>
    <x v="7"/>
    <x v="0"/>
    <x v="6"/>
    <n v="5"/>
    <s v="31 S"/>
    <n v="56"/>
    <m/>
    <s v="U"/>
    <d v="1899-12-30T20:31:00"/>
    <d v="1899-12-30T01:10:00"/>
    <s v="20:44"/>
    <s v="LA"/>
    <s v="light green head, silvery, lively"/>
    <s v="20140718 EGora"/>
    <s v="20140719 LAckein"/>
    <d v="1899-12-30T00:11:50"/>
    <n v="151.57300000000001"/>
    <s v="na"/>
    <s v="FWL"/>
    <s v="na"/>
    <s v="na"/>
    <s v="F1840"/>
    <s v="na"/>
    <s v="na"/>
    <s v="na"/>
    <s v="na"/>
    <s v="na"/>
  </r>
  <r>
    <n v="941"/>
    <x v="36"/>
    <n v="3"/>
    <x v="1"/>
    <x v="0"/>
    <x v="3"/>
    <n v="71"/>
    <s v="599 K"/>
    <n v="55"/>
    <m/>
    <s v="U"/>
    <d v="1899-12-30T20:33:00"/>
    <d v="1899-12-30T01:14:00"/>
    <s v="20:41"/>
    <s v="EG"/>
    <s v="seemed healthy, previously healed tail wound, pink"/>
    <s v="20140718 EGora"/>
    <s v="20140719 LAckein"/>
    <d v="1899-12-30T00:06:46"/>
    <n v="151.917"/>
    <s v="na"/>
    <s v="FWL"/>
    <s v="na"/>
    <s v="na"/>
    <s v="F1835"/>
    <s v="na"/>
    <s v="na"/>
    <s v="na"/>
    <s v="na"/>
    <s v="na"/>
  </r>
  <r>
    <n v="942"/>
    <x v="36"/>
    <n v="3"/>
    <x v="4"/>
    <x v="1"/>
    <x v="0"/>
    <m/>
    <m/>
    <n v="35"/>
    <m/>
    <s v="U"/>
    <d v="1899-12-30T21:18:00"/>
    <d v="1899-12-30T00:25:00"/>
    <s v="21:19"/>
    <s v="EG"/>
    <s v="too small to tag"/>
    <s v="20140718 EGora"/>
    <s v="20140719 LAckein"/>
    <d v="1899-12-30T00:00:35"/>
    <s v="x"/>
    <s v="na"/>
    <s v="FWL"/>
    <s v="na"/>
    <s v="na"/>
    <s v="na"/>
    <s v="na"/>
    <s v="na"/>
    <s v="na"/>
    <s v="na"/>
    <s v="na"/>
  </r>
  <r>
    <n v="943"/>
    <x v="36"/>
    <n v="3"/>
    <x v="0"/>
    <x v="2"/>
    <x v="0"/>
    <m/>
    <m/>
    <m/>
    <n v="28"/>
    <s v="U"/>
    <m/>
    <d v="1899-12-30T00:34:00"/>
    <s v="22:31"/>
    <s v="LA"/>
    <m/>
    <s v="20140718 EGora"/>
    <s v="20140719 LAckein"/>
    <s v="x"/>
    <s v="x"/>
    <s v="na"/>
    <s v="FWL"/>
    <s v="na"/>
    <s v="na"/>
    <s v="na"/>
    <s v="na"/>
    <s v="na"/>
    <s v="na"/>
    <s v="na"/>
    <s v="na"/>
  </r>
  <r>
    <n v="944"/>
    <x v="36"/>
    <n v="3"/>
    <x v="3"/>
    <x v="2"/>
    <x v="0"/>
    <m/>
    <m/>
    <m/>
    <n v="23"/>
    <s v="U"/>
    <m/>
    <d v="1899-12-30T00:30:00"/>
    <s v="23:07"/>
    <s v="LA"/>
    <m/>
    <s v="20140718 EGora"/>
    <s v="20140719 LAckein"/>
    <s v="x"/>
    <s v="x"/>
    <s v="na"/>
    <s v="FWL"/>
    <s v="na"/>
    <s v="na"/>
    <s v="na"/>
    <s v="na"/>
    <s v="na"/>
    <s v="na"/>
    <s v="na"/>
    <s v="na"/>
  </r>
  <r>
    <n v="945"/>
    <x v="36"/>
    <n v="3"/>
    <x v="3"/>
    <x v="2"/>
    <x v="0"/>
    <m/>
    <m/>
    <m/>
    <n v="23"/>
    <s v="U"/>
    <d v="1899-12-30T23:09:00"/>
    <d v="1899-12-30T00:45:00"/>
    <s v="23:10"/>
    <s v="LA"/>
    <s v="likely same fish as line above"/>
    <s v="20140718 EGora"/>
    <s v="20140719 LAckein"/>
    <d v="1899-12-30T00:00:15"/>
    <s v="x"/>
    <s v="na"/>
    <s v="FWL"/>
    <s v="na"/>
    <s v="na"/>
    <s v="na"/>
    <s v="na"/>
    <s v="na"/>
    <s v="na"/>
    <s v="na"/>
    <s v="na"/>
  </r>
  <r>
    <n v="946"/>
    <x v="37"/>
    <n v="1"/>
    <x v="10"/>
    <x v="0"/>
    <x v="11"/>
    <n v="8"/>
    <m/>
    <n v="54"/>
    <m/>
    <s v="U"/>
    <d v="1899-12-30T12:25:00"/>
    <d v="1899-12-30T00:44:00"/>
    <d v="1899-12-30T12:31:00"/>
    <s v="EG"/>
    <s v="tagged but no MEF/genetics.  Fish jumped out and hit deck before water."/>
    <s v="20140719 NCollin"/>
    <s v="20140720 LAckein"/>
    <d v="1899-12-30T00:05:16"/>
    <n v="151.53399999999999"/>
    <s v="na"/>
    <s v="FWL"/>
    <s v="na"/>
    <s v="na"/>
    <s v="F1840"/>
    <s v="na"/>
    <s v="na"/>
    <s v="na"/>
    <s v="na"/>
    <s v="na"/>
  </r>
  <r>
    <n v="947"/>
    <x v="37"/>
    <n v="1"/>
    <x v="7"/>
    <x v="0"/>
    <x v="10"/>
    <n v="52"/>
    <s v="27 S"/>
    <n v="48"/>
    <m/>
    <s v="U"/>
    <m/>
    <d v="1899-12-30T01:14:00"/>
    <s v="16:08"/>
    <s v="JB"/>
    <m/>
    <s v="20140719 JBerry"/>
    <s v="20140720 LAckein"/>
    <s v="x"/>
    <n v="151.58600000000001"/>
    <s v="na"/>
    <s v="FWL"/>
    <s v="na"/>
    <s v="na"/>
    <s v="F1840"/>
    <s v="na"/>
    <s v="na"/>
    <s v="na"/>
    <s v="na"/>
    <s v="na"/>
  </r>
  <r>
    <n v="948"/>
    <x v="37"/>
    <n v="1"/>
    <x v="1"/>
    <x v="0"/>
    <x v="8"/>
    <n v="48"/>
    <s v="584 K"/>
    <n v="86"/>
    <m/>
    <s v="F"/>
    <m/>
    <d v="1899-12-30T02:21:00"/>
    <s v="16:15"/>
    <s v="JI"/>
    <m/>
    <s v="20140719 JBerry"/>
    <s v="20140720 LAckein"/>
    <s v="x"/>
    <n v="151.364"/>
    <s v="na"/>
    <s v="FWL"/>
    <s v="na"/>
    <s v="na"/>
    <s v="F1845"/>
    <s v="na"/>
    <s v="na"/>
    <s v="na"/>
    <s v="na"/>
    <s v="na"/>
  </r>
  <r>
    <n v="949"/>
    <x v="37"/>
    <n v="2"/>
    <x v="10"/>
    <x v="0"/>
    <x v="0"/>
    <m/>
    <m/>
    <n v="58"/>
    <m/>
    <m/>
    <m/>
    <d v="1899-12-30T00:35:00"/>
    <s v="19:55"/>
    <s v="JI"/>
    <s v="no tag, already hit chum limit for the day"/>
    <s v="20140719 JImrie"/>
    <s v="20140720 LAckein"/>
    <s v="x"/>
    <s v="x"/>
    <s v="na"/>
    <s v="FWL"/>
    <s v="na"/>
    <s v="na"/>
    <s v="na"/>
    <s v="na"/>
    <s v="na"/>
    <s v="na"/>
    <s v="na"/>
    <s v="na"/>
  </r>
  <r>
    <n v="950"/>
    <x v="37"/>
    <n v="3"/>
    <x v="3"/>
    <x v="2"/>
    <x v="0"/>
    <m/>
    <m/>
    <m/>
    <n v="27"/>
    <s v="U"/>
    <m/>
    <d v="1899-12-30T00:20:00"/>
    <s v="08:57"/>
    <s v="JB"/>
    <m/>
    <s v="20140719 JBerry"/>
    <s v="20140720 LAckein"/>
    <s v="x"/>
    <s v="x"/>
    <s v="na"/>
    <s v="FWL"/>
    <s v="na"/>
    <s v="na"/>
    <s v="na"/>
    <s v="na"/>
    <s v="na"/>
    <s v="na"/>
    <s v="na"/>
    <s v="na"/>
  </r>
  <r>
    <n v="951"/>
    <x v="37"/>
    <n v="3"/>
    <x v="3"/>
    <x v="2"/>
    <x v="0"/>
    <m/>
    <m/>
    <m/>
    <n v="22"/>
    <s v="U"/>
    <m/>
    <d v="1899-12-30T00:18:00"/>
    <s v="09:57"/>
    <s v="DJ"/>
    <m/>
    <s v="20140719 JBerry"/>
    <s v="20140720 LAckein"/>
    <s v="x"/>
    <s v="x"/>
    <s v="na"/>
    <s v="FWL"/>
    <s v="na"/>
    <s v="na"/>
    <s v="na"/>
    <s v="na"/>
    <s v="na"/>
    <s v="na"/>
    <s v="na"/>
    <s v="na"/>
  </r>
  <r>
    <n v="952"/>
    <x v="37"/>
    <n v="3"/>
    <x v="4"/>
    <x v="1"/>
    <x v="3"/>
    <n v="78"/>
    <s v="600 K"/>
    <n v="48"/>
    <m/>
    <s v="U"/>
    <m/>
    <d v="1899-12-30T01:11:00"/>
    <s v="12:12"/>
    <s v="HR"/>
    <s v="very blushed;moderately dark, lively"/>
    <s v="20140719 HReider"/>
    <s v="20140720 LAckein"/>
    <s v="x"/>
    <n v="151.917"/>
    <s v="na"/>
    <s v="FWL"/>
    <s v="na"/>
    <s v="na"/>
    <s v="F1835"/>
    <s v="na"/>
    <s v="na"/>
    <s v="na"/>
    <s v="na"/>
    <s v="na"/>
  </r>
  <r>
    <n v="953"/>
    <x v="37"/>
    <n v="3"/>
    <x v="7"/>
    <x v="0"/>
    <x v="10"/>
    <n v="87"/>
    <s v="5 S"/>
    <n v="46"/>
    <m/>
    <s v="U"/>
    <m/>
    <d v="1899-12-30T01:55:00"/>
    <s v="14:07"/>
    <s v="LA"/>
    <s v="silver, head barely green"/>
    <s v="20140719 HReider"/>
    <s v="20140720 LAckein"/>
    <s v="x"/>
    <n v="151.58600000000001"/>
    <s v="na"/>
    <s v="FWL"/>
    <s v="na"/>
    <s v="na"/>
    <s v="F1840"/>
    <s v="na"/>
    <s v="na"/>
    <s v="na"/>
    <s v="na"/>
    <s v="na"/>
  </r>
  <r>
    <n v="954"/>
    <x v="37"/>
    <n v="3"/>
    <x v="10"/>
    <x v="0"/>
    <x v="0"/>
    <m/>
    <m/>
    <n v="67"/>
    <m/>
    <s v="U"/>
    <m/>
    <d v="1899-12-30T00:34:00"/>
    <s v="14:09"/>
    <s v="HR"/>
    <s v="no tag, already hit chum limit for the day"/>
    <s v="20140719 HReider"/>
    <s v="20140720 LAckein"/>
    <s v="x"/>
    <s v="x"/>
    <s v="na"/>
    <s v="FWL"/>
    <s v="na"/>
    <s v="na"/>
    <s v="na"/>
    <s v="na"/>
    <s v="na"/>
    <s v="na"/>
    <s v="na"/>
    <s v="na"/>
  </r>
  <r>
    <n v="955"/>
    <x v="37"/>
    <n v="3"/>
    <x v="7"/>
    <x v="0"/>
    <x v="6"/>
    <n v="71"/>
    <s v="6 S"/>
    <n v="49"/>
    <m/>
    <s v="U"/>
    <d v="1899-12-30T14:09:00"/>
    <d v="1899-12-30T01:21:00"/>
    <s v="14:15"/>
    <s v="HR"/>
    <m/>
    <s v="20140719 HReider"/>
    <s v="20140720 LAckein"/>
    <d v="1899-12-30T00:04:39"/>
    <n v="151.57300000000001"/>
    <s v="na"/>
    <s v="FWL"/>
    <s v="na"/>
    <s v="na"/>
    <s v="F1840"/>
    <s v="na"/>
    <s v="na"/>
    <s v="na"/>
    <s v="na"/>
    <s v="na"/>
  </r>
  <r>
    <n v="956"/>
    <x v="37"/>
    <n v="3"/>
    <x v="1"/>
    <x v="0"/>
    <x v="3"/>
    <n v="27"/>
    <s v="644 K"/>
    <n v="65"/>
    <m/>
    <s v="M"/>
    <d v="1899-12-30T14:52:00"/>
    <d v="1899-12-30T02:08:00"/>
    <s v="14:58"/>
    <s v="LA"/>
    <s v="sex-M"/>
    <s v="20140719 HReider"/>
    <s v="20140720 LAckein"/>
    <d v="1899-12-30T00:03:52"/>
    <n v="151.917"/>
    <s v="na"/>
    <s v="FWL"/>
    <s v="na"/>
    <s v="na"/>
    <s v="F1835"/>
    <s v="na"/>
    <s v="na"/>
    <s v="na"/>
    <s v="na"/>
    <s v="na"/>
  </r>
  <r>
    <n v="957"/>
    <x v="37"/>
    <n v="3"/>
    <x v="12"/>
    <x v="0"/>
    <x v="12"/>
    <n v="79"/>
    <s v="6 P"/>
    <n v="45"/>
    <m/>
    <s v="F"/>
    <d v="1899-12-30T15:37:00"/>
    <d v="1899-12-30T01:25:00"/>
    <s v="16:16"/>
    <s v="HR"/>
    <m/>
    <s v="20140719 HReider"/>
    <s v="20140720 LAckein"/>
    <d v="1899-12-30T00:37:35"/>
    <n v="151.596"/>
    <s v="na"/>
    <s v="FWL"/>
    <s v="na"/>
    <s v="na"/>
    <s v="F1835"/>
    <s v="na"/>
    <s v="na"/>
    <s v="na"/>
    <s v="na"/>
    <s v="na"/>
  </r>
  <r>
    <n v="958"/>
    <x v="37"/>
    <n v="3"/>
    <x v="1"/>
    <x v="0"/>
    <x v="3"/>
    <n v="19"/>
    <s v="645 K"/>
    <n v="69"/>
    <m/>
    <s v="M"/>
    <m/>
    <d v="1899-12-30T01:28:00"/>
    <s v="16:12"/>
    <s v="HR"/>
    <s v="darkly spotted,moderately red,good vigor"/>
    <s v="20140719 HReider"/>
    <s v="20140720 LAckein"/>
    <s v="x"/>
    <n v="151.917"/>
    <s v="na"/>
    <s v="FWL"/>
    <s v="na"/>
    <s v="na"/>
    <s v="F1835"/>
    <s v="na"/>
    <s v="na"/>
    <s v="na"/>
    <s v="na"/>
    <s v="na"/>
  </r>
  <r>
    <n v="959"/>
    <x v="37"/>
    <n v="3"/>
    <x v="0"/>
    <x v="2"/>
    <x v="0"/>
    <m/>
    <m/>
    <m/>
    <n v="37"/>
    <s v="U"/>
    <m/>
    <d v="1899-12-30T00:27:00"/>
    <s v="17:35"/>
    <s v="EG"/>
    <m/>
    <s v="20140719 EGora"/>
    <s v="20140720 LAckein"/>
    <s v="x"/>
    <s v="x"/>
    <s v="na"/>
    <s v="FWL"/>
    <s v="na"/>
    <s v="na"/>
    <s v="na"/>
    <s v="na"/>
    <s v="na"/>
    <s v="na"/>
    <s v="na"/>
    <s v="na"/>
  </r>
  <r>
    <n v="960"/>
    <x v="37"/>
    <n v="3"/>
    <x v="10"/>
    <x v="0"/>
    <x v="0"/>
    <m/>
    <m/>
    <n v="63"/>
    <m/>
    <s v="U"/>
    <d v="1899-12-30T17:54:00"/>
    <d v="1899-12-30T00:47:00"/>
    <s v="17:56"/>
    <s v="EG"/>
    <s v="no tag, already hit chum limit for the day"/>
    <s v="20140719 EGora"/>
    <s v="20140720 LAckein"/>
    <d v="1899-12-30T00:01:13"/>
    <s v="x"/>
    <s v="na"/>
    <s v="FWL"/>
    <s v="na"/>
    <s v="na"/>
    <s v="na"/>
    <s v="na"/>
    <s v="na"/>
    <s v="na"/>
    <s v="na"/>
    <s v="na"/>
  </r>
  <r>
    <n v="961"/>
    <x v="37"/>
    <n v="3"/>
    <x v="7"/>
    <x v="0"/>
    <x v="10"/>
    <n v="16"/>
    <m/>
    <n v="57"/>
    <m/>
    <s v="U"/>
    <m/>
    <d v="1899-12-30T01:14:00"/>
    <s v="18:34"/>
    <s v="NC"/>
    <s v="no genetics taken"/>
    <s v="20140719 EGora"/>
    <s v="20140720 LAckein"/>
    <s v="x"/>
    <n v="151.58600000000001"/>
    <s v="na"/>
    <s v="FWL"/>
    <s v="na"/>
    <s v="na"/>
    <s v="F1840"/>
    <s v="na"/>
    <s v="na"/>
    <s v="na"/>
    <s v="na"/>
    <s v="na"/>
  </r>
  <r>
    <n v="962"/>
    <x v="37"/>
    <n v="3"/>
    <x v="3"/>
    <x v="2"/>
    <x v="0"/>
    <m/>
    <m/>
    <m/>
    <n v="21"/>
    <s v="U"/>
    <d v="1899-12-30T18:46:00"/>
    <d v="1899-12-30T00:10:00"/>
    <s v="18:52"/>
    <s v="NC"/>
    <m/>
    <s v="20140719 EGora"/>
    <s v="20140720 LAckein"/>
    <d v="1899-12-30T00:05:50"/>
    <s v="x"/>
    <s v="na"/>
    <s v="FWL"/>
    <s v="na"/>
    <s v="na"/>
    <s v="na"/>
    <s v="na"/>
    <s v="na"/>
    <s v="na"/>
    <s v="na"/>
    <s v="na"/>
  </r>
  <r>
    <n v="963"/>
    <x v="37"/>
    <n v="3"/>
    <x v="1"/>
    <x v="0"/>
    <x v="3"/>
    <n v="29"/>
    <s v="646 K"/>
    <n v="50"/>
    <m/>
    <s v="M"/>
    <m/>
    <d v="1899-12-30T01:23:00"/>
    <s v="19:54"/>
    <s v="EG"/>
    <s v="Healthy, pink, starting spawning in the trough"/>
    <s v="20140719 EGora"/>
    <s v="20140720 LAckein"/>
    <s v="x"/>
    <n v="151.917"/>
    <s v="na"/>
    <s v="FWL"/>
    <s v="na"/>
    <s v="na"/>
    <s v="F1835"/>
    <s v="na"/>
    <s v="na"/>
    <s v="na"/>
    <s v="na"/>
    <s v="na"/>
  </r>
  <r>
    <n v="964"/>
    <x v="38"/>
    <n v="1"/>
    <x v="1"/>
    <x v="0"/>
    <x v="3"/>
    <n v="98"/>
    <s v="585 K"/>
    <n v="82"/>
    <m/>
    <s v="U"/>
    <d v="1899-12-30T15:37:00"/>
    <d v="1899-12-30T01:53:00"/>
    <s v="15:47"/>
    <s v="EG"/>
    <s v="pink color, healthy, some previously healed scrapes"/>
    <s v="20140720 EGora"/>
    <s v="20140721 LAckein"/>
    <d v="1899-12-30T00:08:07"/>
    <n v="151.917"/>
    <s v="na"/>
    <s v="FWL"/>
    <s v="na"/>
    <s v="na"/>
    <s v="F1835"/>
    <s v="na"/>
    <s v="na"/>
    <s v="na"/>
    <s v="na"/>
    <s v="na"/>
  </r>
  <r>
    <n v="965"/>
    <x v="38"/>
    <n v="1"/>
    <x v="10"/>
    <x v="0"/>
    <x v="0"/>
    <m/>
    <m/>
    <n v="63"/>
    <m/>
    <s v="U"/>
    <m/>
    <d v="1899-12-30T00:30:00"/>
    <s v="19:52"/>
    <s v="EG"/>
    <s v="no tag, met tag limit for the day"/>
    <s v="20140720 EGora"/>
    <s v="20140721 LAckein"/>
    <s v="x"/>
    <s v="x"/>
    <s v="na"/>
    <s v="FWL"/>
    <s v="na"/>
    <s v="na"/>
    <s v="na"/>
    <s v="na"/>
    <s v="na"/>
    <s v="na"/>
    <s v="na"/>
    <s v="na"/>
  </r>
  <r>
    <n v="966"/>
    <x v="38"/>
    <n v="1"/>
    <x v="12"/>
    <x v="0"/>
    <x v="0"/>
    <m/>
    <m/>
    <n v="51"/>
    <m/>
    <s v="M"/>
    <m/>
    <d v="1899-12-30T00:34:00"/>
    <s v="19:57"/>
    <s v="NC"/>
    <s v="no tag, met tag limit for the day"/>
    <s v="20140720 EGora"/>
    <s v="20140721 LAckein"/>
    <s v="x"/>
    <s v="x"/>
    <s v="na"/>
    <s v="FWL"/>
    <s v="na"/>
    <s v="na"/>
    <s v="na"/>
    <s v="na"/>
    <s v="na"/>
    <s v="na"/>
    <s v="na"/>
    <s v="na"/>
  </r>
  <r>
    <n v="967"/>
    <x v="38"/>
    <n v="2"/>
    <x v="7"/>
    <x v="0"/>
    <x v="6"/>
    <n v="8"/>
    <s v="36 S"/>
    <n v="44"/>
    <m/>
    <s v="U"/>
    <m/>
    <d v="1899-12-30T01:16:00"/>
    <s v="17:58"/>
    <s v="NC"/>
    <m/>
    <s v="20140720 NCollin"/>
    <s v="20140721 LAckein"/>
    <s v="x"/>
    <n v="151.57300000000001"/>
    <s v="na"/>
    <s v="FWL"/>
    <s v="na"/>
    <s v="na"/>
    <s v="F1840"/>
    <s v="na"/>
    <s v="na"/>
    <s v="na"/>
    <s v="na"/>
    <s v="na"/>
  </r>
  <r>
    <n v="968"/>
    <x v="38"/>
    <n v="2"/>
    <x v="7"/>
    <x v="0"/>
    <x v="10"/>
    <n v="93"/>
    <s v="28 S"/>
    <n v="51"/>
    <m/>
    <s v="U"/>
    <m/>
    <d v="1899-12-30T01:01:00"/>
    <s v="18:03"/>
    <s v="NC"/>
    <m/>
    <s v="20140720 NCollin"/>
    <s v="20140721 LAckein"/>
    <s v="x"/>
    <n v="151.58600000000001"/>
    <s v="na"/>
    <s v="FWL"/>
    <s v="na"/>
    <s v="na"/>
    <s v="F1840"/>
    <s v="na"/>
    <s v="na"/>
    <s v="na"/>
    <s v="na"/>
    <s v="na"/>
  </r>
  <r>
    <n v="969"/>
    <x v="38"/>
    <n v="2"/>
    <x v="10"/>
    <x v="0"/>
    <x v="7"/>
    <n v="44"/>
    <s v="4 CM"/>
    <n v="63"/>
    <m/>
    <s v="U"/>
    <m/>
    <d v="1899-12-30T01:04:00"/>
    <s v="18:07"/>
    <s v="NC"/>
    <m/>
    <s v="20140720 NCollin"/>
    <s v="20140721 LAckein"/>
    <s v="x"/>
    <n v="151.56399999999999"/>
    <s v="na"/>
    <s v="FWL"/>
    <s v="na"/>
    <s v="na"/>
    <s v="F1840"/>
    <s v="na"/>
    <s v="na"/>
    <s v="na"/>
    <s v="na"/>
    <s v="na"/>
  </r>
  <r>
    <n v="970"/>
    <x v="38"/>
    <n v="3"/>
    <x v="10"/>
    <x v="0"/>
    <x v="7"/>
    <n v="51"/>
    <s v="9 CM"/>
    <n v="61"/>
    <m/>
    <s v="U"/>
    <d v="1899-12-30T09:46:00"/>
    <d v="1899-12-30T01:02:00"/>
    <s v="09:53"/>
    <s v="NC"/>
    <s v="nice looking"/>
    <s v="20140720 EGora"/>
    <s v="20140721 LAckein"/>
    <d v="1899-12-30T00:05:58"/>
    <n v="151.56399999999999"/>
    <s v="na"/>
    <s v="FWL"/>
    <s v="na"/>
    <s v="na"/>
    <s v="F1840"/>
    <s v="na"/>
    <s v="na"/>
    <s v="na"/>
    <s v="na"/>
    <s v="na"/>
  </r>
  <r>
    <n v="971"/>
    <x v="38"/>
    <n v="3"/>
    <x v="12"/>
    <x v="0"/>
    <x v="12"/>
    <n v="40"/>
    <s v="7 P"/>
    <n v="43"/>
    <m/>
    <s v="F"/>
    <m/>
    <d v="1899-12-30T01:50:00"/>
    <s v="12:42"/>
    <s v="JI"/>
    <m/>
    <s v="20140720 LAckein"/>
    <s v="20140721 LAckein"/>
    <s v="x"/>
    <n v="151.596"/>
    <s v="na"/>
    <s v="FWL"/>
    <s v="na"/>
    <s v="na"/>
    <s v="F1835"/>
    <s v="na"/>
    <s v="na"/>
    <s v="na"/>
    <s v="na"/>
    <s v="na"/>
  </r>
  <r>
    <n v="972"/>
    <x v="38"/>
    <n v="3"/>
    <x v="12"/>
    <x v="0"/>
    <x v="0"/>
    <m/>
    <m/>
    <n v="41"/>
    <m/>
    <s v="F"/>
    <m/>
    <d v="1899-12-30T00:32:00"/>
    <s v="12:45"/>
    <s v="HR"/>
    <m/>
    <s v="20140720 LAckein"/>
    <s v="20140721 LAckein"/>
    <s v="x"/>
    <s v="x"/>
    <s v="na"/>
    <s v="FWL"/>
    <s v="na"/>
    <s v="na"/>
    <s v="na"/>
    <s v="na"/>
    <s v="na"/>
    <s v="na"/>
    <s v="na"/>
    <s v="na"/>
  </r>
  <r>
    <n v="973"/>
    <x v="38"/>
    <n v="3"/>
    <x v="1"/>
    <x v="0"/>
    <x v="3"/>
    <n v="61"/>
    <s v="650 K"/>
    <n v="69"/>
    <m/>
    <s v="U"/>
    <m/>
    <d v="1899-12-30T02:13:00"/>
    <s v="13:20"/>
    <s v="LA"/>
    <s v="dark red side, dark head and collar"/>
    <s v="20140720 LAckein"/>
    <s v="20140721 LAckein"/>
    <s v="x"/>
    <n v="151.917"/>
    <s v="na"/>
    <s v="FWL"/>
    <s v="na"/>
    <s v="na"/>
    <s v="F1835"/>
    <s v="na"/>
    <s v="na"/>
    <s v="na"/>
    <s v="na"/>
    <s v="na"/>
  </r>
  <r>
    <n v="974"/>
    <x v="38"/>
    <n v="3"/>
    <x v="1"/>
    <x v="0"/>
    <x v="3"/>
    <n v="11"/>
    <s v="647 K"/>
    <n v="65"/>
    <m/>
    <s v="U"/>
    <m/>
    <d v="1899-12-30T02:11:00"/>
    <s v="13:27"/>
    <s v="JI"/>
    <s v="lightly blushed, pink and silver"/>
    <s v="20140720 LAckein"/>
    <s v="20140721 LAckein"/>
    <s v="x"/>
    <n v="151.917"/>
    <s v="na"/>
    <s v="FWL"/>
    <s v="na"/>
    <s v="na"/>
    <s v="F1835"/>
    <s v="na"/>
    <s v="na"/>
    <s v="na"/>
    <s v="na"/>
    <s v="na"/>
  </r>
  <r>
    <n v="975"/>
    <x v="38"/>
    <n v="3"/>
    <x v="12"/>
    <x v="0"/>
    <x v="0"/>
    <m/>
    <m/>
    <n v="45"/>
    <m/>
    <s v="M"/>
    <m/>
    <d v="1899-12-30T00:23:00"/>
    <s v="14:35"/>
    <s v="JI"/>
    <s v="tiny belly wound"/>
    <s v="20140720 LAckein"/>
    <s v="20140721 LAckein"/>
    <s v="x"/>
    <s v="x"/>
    <s v="na"/>
    <s v="FWL"/>
    <s v="na"/>
    <s v="na"/>
    <s v="na"/>
    <s v="na"/>
    <s v="na"/>
    <s v="na"/>
    <s v="na"/>
    <s v="na"/>
  </r>
  <r>
    <n v="976"/>
    <x v="38"/>
    <n v="3"/>
    <x v="12"/>
    <x v="0"/>
    <x v="0"/>
    <m/>
    <m/>
    <m/>
    <m/>
    <s v="M"/>
    <m/>
    <d v="1899-12-30T00:25:00"/>
    <s v="14:37"/>
    <s v="LA"/>
    <s v="Escaped trough.  Hit deck, no MEF"/>
    <s v="20140720 LAckein"/>
    <s v="20140721 LAckein"/>
    <s v="x"/>
    <s v="x"/>
    <s v="na"/>
    <s v="FWL"/>
    <s v="na"/>
    <s v="na"/>
    <s v="na"/>
    <s v="na"/>
    <s v="na"/>
    <s v="na"/>
    <s v="na"/>
    <s v="na"/>
  </r>
  <r>
    <n v="977"/>
    <x v="38"/>
    <n v="3"/>
    <x v="1"/>
    <x v="0"/>
    <x v="3"/>
    <n v="41"/>
    <s v="601 K"/>
    <n v="98"/>
    <m/>
    <s v="F"/>
    <d v="1899-12-30T16:20:00"/>
    <d v="1899-12-30T01:49:00"/>
    <s v="16:39"/>
    <s v="HR"/>
    <s v="very dark black and red coloring, pre-spawn, eggs present"/>
    <s v="20140720 LAckein"/>
    <s v="20140721 LAckein"/>
    <d v="1899-12-30T00:17:11"/>
    <n v="151.917"/>
    <s v="na"/>
    <s v="FWL"/>
    <s v="na"/>
    <s v="na"/>
    <s v="F1835"/>
    <s v="na"/>
    <s v="na"/>
    <s v="na"/>
    <s v="na"/>
    <s v="na"/>
  </r>
  <r>
    <n v="978"/>
    <x v="38"/>
    <n v="3"/>
    <x v="12"/>
    <x v="0"/>
    <x v="0"/>
    <m/>
    <m/>
    <n v="46"/>
    <m/>
    <s v="F"/>
    <m/>
    <d v="1899-12-30T00:46:00"/>
    <s v="17:28"/>
    <s v="DJ"/>
    <s v="red and green stripe, kind of confusing, took picture"/>
    <s v="20140720 DJohnson"/>
    <s v="20140721 LAckein"/>
    <s v="x"/>
    <s v="x"/>
    <s v="na"/>
    <s v="FWL"/>
    <s v="na"/>
    <s v="na"/>
    <s v="na"/>
    <s v="na"/>
    <s v="na"/>
    <s v="na"/>
    <s v="na"/>
    <s v="na"/>
  </r>
  <r>
    <n v="979"/>
    <x v="38"/>
    <n v="3"/>
    <x v="12"/>
    <x v="0"/>
    <x v="0"/>
    <m/>
    <m/>
    <n v="45"/>
    <m/>
    <s v="M"/>
    <m/>
    <d v="1899-12-30T00:20:00"/>
    <s v="17:49"/>
    <s v="DJ"/>
    <m/>
    <s v="20140720 DJohnson"/>
    <s v="20140721 LAckein"/>
    <s v="x"/>
    <s v="x"/>
    <s v="na"/>
    <s v="FWL"/>
    <s v="na"/>
    <s v="na"/>
    <s v="na"/>
    <s v="na"/>
    <s v="na"/>
    <s v="na"/>
    <s v="na"/>
    <s v="na"/>
  </r>
  <r>
    <n v="980"/>
    <x v="38"/>
    <n v="3"/>
    <x v="12"/>
    <x v="0"/>
    <x v="0"/>
    <m/>
    <m/>
    <n v="41"/>
    <m/>
    <s v="F"/>
    <d v="1899-12-30T17:51:00"/>
    <d v="1899-12-30T00:22:00"/>
    <s v="17:57"/>
    <s v="JB"/>
    <m/>
    <s v="20140720 DJohnson"/>
    <s v="20140721 LAckein"/>
    <d v="1899-12-30T00:05:38"/>
    <s v="x"/>
    <s v="na"/>
    <s v="FWL"/>
    <s v="na"/>
    <s v="na"/>
    <s v="na"/>
    <s v="na"/>
    <s v="na"/>
    <s v="na"/>
    <s v="na"/>
    <s v="na"/>
  </r>
  <r>
    <n v="981"/>
    <x v="38"/>
    <n v="3"/>
    <x v="1"/>
    <x v="0"/>
    <x v="3"/>
    <n v="95"/>
    <s v="602 K"/>
    <n v="56"/>
    <m/>
    <s v="M"/>
    <d v="1899-12-30T17:46:00"/>
    <d v="1899-12-30T00:42:00"/>
    <s v="17:55"/>
    <s v="JB"/>
    <m/>
    <s v="20140720 DJohnson"/>
    <s v="20140721 LAckein"/>
    <d v="1899-12-30T00:08:18"/>
    <n v="151.917"/>
    <s v="na"/>
    <s v="FWL"/>
    <s v="na"/>
    <s v="na"/>
    <s v="F1835"/>
    <s v="na"/>
    <s v="na"/>
    <s v="na"/>
    <s v="na"/>
    <s v="na"/>
  </r>
  <r>
    <n v="982"/>
    <x v="38"/>
    <n v="3"/>
    <x v="7"/>
    <x v="0"/>
    <x v="0"/>
    <m/>
    <m/>
    <m/>
    <m/>
    <s v="U"/>
    <m/>
    <d v="1899-12-30T00:18:00"/>
    <s v="19:04"/>
    <s v="DJ"/>
    <s v="hit the deck, released"/>
    <s v="20140720 DJohnson"/>
    <s v="20140721 LAckein"/>
    <s v="x"/>
    <s v="x"/>
    <s v="na"/>
    <s v="FWL"/>
    <s v="na"/>
    <s v="na"/>
    <s v="na"/>
    <s v="na"/>
    <s v="na"/>
    <s v="na"/>
    <s v="na"/>
    <s v="na"/>
  </r>
  <r>
    <n v="983"/>
    <x v="38"/>
    <n v="3"/>
    <x v="1"/>
    <x v="0"/>
    <x v="3"/>
    <n v="76"/>
    <s v="604 K"/>
    <n v="76"/>
    <m/>
    <s v="U"/>
    <d v="1899-12-30T19:34:00"/>
    <d v="1899-12-30T01:39:00"/>
    <s v="19:40 "/>
    <s v="JB"/>
    <m/>
    <s v="20140720 DJohnson"/>
    <s v="20140721 LAckein"/>
    <d v="1899-12-30T00:04:21"/>
    <n v="151.917"/>
    <s v="na"/>
    <s v="FWL"/>
    <s v="na"/>
    <s v="na"/>
    <s v="F1835"/>
    <s v="na"/>
    <s v="na"/>
    <s v="na"/>
    <s v="na"/>
    <s v="na"/>
  </r>
  <r>
    <n v="984"/>
    <x v="38"/>
    <n v="3"/>
    <x v="12"/>
    <x v="0"/>
    <x v="0"/>
    <m/>
    <m/>
    <n v="43"/>
    <m/>
    <s v="F"/>
    <m/>
    <d v="1899-12-30T00:22:00"/>
    <s v="19:38"/>
    <s v="JB"/>
    <m/>
    <s v="20140720 DJohnson"/>
    <s v="20140721 LAckein"/>
    <s v="x"/>
    <s v="x"/>
    <s v="na"/>
    <s v="FWL"/>
    <s v="na"/>
    <s v="na"/>
    <s v="na"/>
    <s v="na"/>
    <s v="na"/>
    <s v="na"/>
    <s v="na"/>
    <s v="na"/>
  </r>
  <r>
    <n v="985"/>
    <x v="38"/>
    <n v="3"/>
    <x v="4"/>
    <x v="1"/>
    <x v="0"/>
    <m/>
    <m/>
    <n v="34"/>
    <m/>
    <s v="U"/>
    <m/>
    <d v="1899-12-30T00:20:00"/>
    <s v="19:42"/>
    <s v="JB"/>
    <s v="too small to tag"/>
    <s v="20140720 DJohnson"/>
    <s v="20140721 LAckein"/>
    <s v="x"/>
    <s v="x"/>
    <s v="na"/>
    <s v="FWL"/>
    <s v="na"/>
    <s v="na"/>
    <s v="na"/>
    <s v="na"/>
    <s v="na"/>
    <s v="na"/>
    <s v="na"/>
    <s v="na"/>
  </r>
  <r>
    <n v="986"/>
    <x v="39"/>
    <n v="1"/>
    <x v="4"/>
    <x v="1"/>
    <x v="0"/>
    <m/>
    <m/>
    <n v="34"/>
    <m/>
    <s v="U"/>
    <m/>
    <d v="1899-12-30T00:25:00"/>
    <s v="09:38"/>
    <s v="EG"/>
    <s v="too small to tag"/>
    <s v="20140721 EGora"/>
    <s v="20140722 LAckein"/>
    <s v="x"/>
    <s v="x"/>
    <s v="na"/>
    <s v="FWL"/>
    <s v="na"/>
    <s v="na"/>
    <s v="na"/>
    <s v="na"/>
    <s v="na"/>
    <s v="na"/>
    <s v="na"/>
    <s v="na"/>
  </r>
  <r>
    <n v="987"/>
    <x v="39"/>
    <n v="1"/>
    <x v="12"/>
    <x v="0"/>
    <x v="12"/>
    <n v="45"/>
    <s v="1 P"/>
    <n v="44"/>
    <m/>
    <s v="F"/>
    <m/>
    <d v="1899-12-30T00:56:00"/>
    <s v="10:41"/>
    <s v="DJ"/>
    <m/>
    <s v="20140721 EGora"/>
    <s v="20140722 LAckein"/>
    <s v="x"/>
    <n v="151.596"/>
    <s v="na"/>
    <s v="FWL"/>
    <s v="na"/>
    <s v="na"/>
    <s v="F1835"/>
    <s v="na"/>
    <s v="na"/>
    <s v="na"/>
    <s v="na"/>
    <s v="na"/>
  </r>
  <r>
    <n v="988"/>
    <x v="39"/>
    <n v="1"/>
    <x v="4"/>
    <x v="1"/>
    <x v="3"/>
    <n v="38"/>
    <s v="586 K"/>
    <n v="40"/>
    <m/>
    <s v="U"/>
    <m/>
    <d v="1899-12-30T01:10:00"/>
    <s v="17:24"/>
    <s v="JB"/>
    <m/>
    <s v="20140721 JBerry"/>
    <s v="20140722 LAckein"/>
    <s v="x"/>
    <n v="151.917"/>
    <s v="na"/>
    <s v="FWL"/>
    <s v="na"/>
    <s v="na"/>
    <s v="F1835"/>
    <s v="na"/>
    <s v="na"/>
    <s v="na"/>
    <s v="na"/>
    <s v="na"/>
  </r>
  <r>
    <n v="989"/>
    <x v="39"/>
    <n v="1"/>
    <x v="12"/>
    <x v="0"/>
    <x v="0"/>
    <m/>
    <m/>
    <n v="46"/>
    <m/>
    <s v="M"/>
    <m/>
    <d v="1899-12-30T00:30:00"/>
    <s v="19:55"/>
    <s v="NC"/>
    <m/>
    <s v="20140721 JBerry"/>
    <s v="20140722 LAckein"/>
    <s v="x"/>
    <s v="x"/>
    <s v="na"/>
    <s v="FWL"/>
    <s v="na"/>
    <s v="na"/>
    <s v="na"/>
    <s v="na"/>
    <s v="na"/>
    <s v="na"/>
    <s v="na"/>
    <s v="na"/>
  </r>
  <r>
    <n v="990"/>
    <x v="39"/>
    <n v="1"/>
    <x v="12"/>
    <x v="0"/>
    <x v="0"/>
    <m/>
    <m/>
    <n v="44"/>
    <m/>
    <s v="M"/>
    <m/>
    <d v="1899-12-30T00:25:00"/>
    <s v="19:56"/>
    <s v="NC"/>
    <m/>
    <s v="20140721 JBerry"/>
    <s v="20140722 LAckein"/>
    <s v="x"/>
    <s v="x"/>
    <s v="na"/>
    <s v="FWL"/>
    <s v="na"/>
    <s v="na"/>
    <s v="na"/>
    <s v="na"/>
    <s v="na"/>
    <s v="na"/>
    <s v="na"/>
    <s v="na"/>
  </r>
  <r>
    <n v="991"/>
    <x v="39"/>
    <n v="2"/>
    <x v="10"/>
    <x v="0"/>
    <x v="11"/>
    <n v="95"/>
    <s v="10 CM"/>
    <n v="65"/>
    <m/>
    <s v="U"/>
    <d v="1899-12-30T15:00:00"/>
    <d v="1899-12-30T01:06:00"/>
    <s v="15:08"/>
    <s v="NC"/>
    <m/>
    <s v="20140721 NCollin"/>
    <s v="20140722 LAckein"/>
    <d v="1899-12-30T00:06:54"/>
    <n v="151.53399999999999"/>
    <s v="na"/>
    <s v="FWL"/>
    <s v="na"/>
    <s v="na"/>
    <s v="F1840"/>
    <s v="na"/>
    <s v="na"/>
    <s v="na"/>
    <s v="na"/>
    <s v="na"/>
  </r>
  <r>
    <n v="992"/>
    <x v="39"/>
    <n v="3"/>
    <x v="1"/>
    <x v="0"/>
    <x v="3"/>
    <n v="47"/>
    <s v="603 K"/>
    <n v="87"/>
    <m/>
    <s v="M"/>
    <d v="1899-12-30T08:17:00"/>
    <d v="1899-12-30T02:28:00"/>
    <s v="8:25"/>
    <s v="NC"/>
    <m/>
    <s v="20140721 NCollin"/>
    <s v="20140722 LAckein"/>
    <d v="1899-12-30T00:05:32"/>
    <n v="151.917"/>
    <s v="na"/>
    <s v="FWL"/>
    <s v="na"/>
    <s v="na"/>
    <s v="F1835"/>
    <s v="na"/>
    <s v="na"/>
    <s v="na"/>
    <s v="na"/>
    <s v="na"/>
  </r>
  <r>
    <n v="993"/>
    <x v="39"/>
    <n v="3"/>
    <x v="12"/>
    <x v="0"/>
    <x v="13"/>
    <n v="74"/>
    <s v="8 P"/>
    <n v="45"/>
    <m/>
    <s v="M"/>
    <d v="1899-12-30T09:43:00"/>
    <d v="1899-12-30T00:39:00"/>
    <s v="09:50"/>
    <s v="JB"/>
    <m/>
    <s v="20140721 NCollin"/>
    <s v="20140722 LAckein"/>
    <d v="1899-12-30T00:06:21"/>
    <n v="151.51499999999999"/>
    <s v="na"/>
    <s v="FWL"/>
    <s v="na"/>
    <s v="na"/>
    <s v="F1835"/>
    <s v="na"/>
    <s v="na"/>
    <s v="na"/>
    <s v="na"/>
    <s v="na"/>
  </r>
  <r>
    <n v="994"/>
    <x v="39"/>
    <n v="3"/>
    <x v="12"/>
    <x v="0"/>
    <x v="0"/>
    <m/>
    <m/>
    <n v="47"/>
    <m/>
    <s v="M"/>
    <d v="1899-12-30T10:43:00"/>
    <d v="1899-12-30T00:24:00"/>
    <s v="10:46"/>
    <s v="JB"/>
    <m/>
    <s v="20140721 NCollin"/>
    <s v="20140722 LAckein"/>
    <d v="1899-12-30T00:02:36"/>
    <s v="x"/>
    <s v="na"/>
    <s v="FWL"/>
    <s v="na"/>
    <s v="na"/>
    <s v="na"/>
    <s v="na"/>
    <s v="na"/>
    <s v="na"/>
    <s v="na"/>
    <s v="na"/>
  </r>
  <r>
    <n v="995"/>
    <x v="39"/>
    <n v="3"/>
    <x v="1"/>
    <x v="0"/>
    <x v="3"/>
    <n v="31"/>
    <s v="638 K"/>
    <n v="52"/>
    <m/>
    <s v="M"/>
    <m/>
    <d v="1899-12-30T02:19:00"/>
    <s v="12:08"/>
    <s v="JI"/>
    <m/>
    <s v="20140721 LAckein"/>
    <s v="20140722 LAckein"/>
    <s v="x"/>
    <n v="151.917"/>
    <s v="na"/>
    <s v="FWL"/>
    <s v="na"/>
    <s v="na"/>
    <s v="F1835"/>
    <s v="na"/>
    <s v="na"/>
    <s v="na"/>
    <s v="na"/>
    <s v="na"/>
  </r>
  <r>
    <n v="996"/>
    <x v="39"/>
    <n v="3"/>
    <x v="4"/>
    <x v="1"/>
    <x v="0"/>
    <m/>
    <m/>
    <n v="32"/>
    <m/>
    <s v="U"/>
    <m/>
    <d v="1899-12-30T00:37:00"/>
    <s v="13:14"/>
    <s v="HR"/>
    <s v="too small to tag"/>
    <s v="20140721 LAckein"/>
    <s v="20140722 LAckein"/>
    <s v="x"/>
    <s v="x"/>
    <s v="na"/>
    <s v="FWL"/>
    <s v="na"/>
    <s v="na"/>
    <s v="na"/>
    <s v="na"/>
    <s v="na"/>
    <s v="na"/>
    <s v="na"/>
    <s v="na"/>
  </r>
  <r>
    <n v="997"/>
    <x v="39"/>
    <n v="3"/>
    <x v="1"/>
    <x v="0"/>
    <x v="3"/>
    <n v="14"/>
    <s v="639 K"/>
    <n v="88"/>
    <m/>
    <s v="U"/>
    <d v="1899-12-30T13:51:00"/>
    <d v="1899-12-30T01:43:00"/>
    <s v="14:01"/>
    <s v="HR"/>
    <s v="previously healed dorsal caudal peduncle wound, dark red, lethargic, pre-spawn"/>
    <s v="20140721 LAckein"/>
    <s v="20140722 LAckein"/>
    <d v="1899-12-30T00:08:17"/>
    <n v="151.917"/>
    <s v="na"/>
    <s v="FWL"/>
    <s v="na"/>
    <s v="na"/>
    <s v="F1835"/>
    <s v="na"/>
    <s v="na"/>
    <s v="na"/>
    <s v="na"/>
    <s v="na"/>
  </r>
  <r>
    <n v="998"/>
    <x v="39"/>
    <n v="3"/>
    <x v="1"/>
    <x v="0"/>
    <x v="3"/>
    <n v="86"/>
    <s v="640 K"/>
    <n v="60"/>
    <m/>
    <s v="U"/>
    <d v="1899-12-30T13:56:00"/>
    <d v="1899-12-30T01:52:00"/>
    <s v="14:08"/>
    <s v="LA"/>
    <s v="two small head wounds, shallow; very lively!  Silver, light blush"/>
    <s v="20140721 LAckein"/>
    <s v="20140722 LAckein"/>
    <d v="1899-12-30T00:10:08"/>
    <n v="151.917"/>
    <s v="na"/>
    <s v="FWL"/>
    <s v="na"/>
    <s v="na"/>
    <s v="F1835"/>
    <s v="na"/>
    <s v="na"/>
    <s v="na"/>
    <s v="na"/>
    <s v="na"/>
  </r>
  <r>
    <n v="999"/>
    <x v="39"/>
    <n v="3"/>
    <x v="4"/>
    <x v="1"/>
    <x v="0"/>
    <m/>
    <m/>
    <n v="36"/>
    <m/>
    <s v="U"/>
    <m/>
    <d v="1899-12-30T00:30:00"/>
    <s v="14:03"/>
    <s v="LA"/>
    <s v="too small to tag"/>
    <s v="20140721 LAckein"/>
    <s v="20140722 LAckein"/>
    <s v="x"/>
    <s v="x"/>
    <s v="na"/>
    <s v="FWL"/>
    <s v="na"/>
    <s v="na"/>
    <s v="na"/>
    <s v="na"/>
    <s v="na"/>
    <s v="na"/>
    <s v="na"/>
    <s v="na"/>
  </r>
  <r>
    <n v="1000"/>
    <x v="39"/>
    <n v="3"/>
    <x v="12"/>
    <x v="0"/>
    <x v="0"/>
    <m/>
    <m/>
    <n v="43"/>
    <m/>
    <s v="F"/>
    <d v="1899-12-30T19:10:00"/>
    <d v="1899-12-30T00:45:00"/>
    <s v="19:13"/>
    <s v="EG"/>
    <s v="no tag; met daily tag limit"/>
    <s v="20140721 EGora"/>
    <s v="20140722 LAckein"/>
    <d v="1899-12-30T00:02:15"/>
    <s v="x"/>
    <s v="na"/>
    <s v="FWL"/>
    <s v="na"/>
    <s v="na"/>
    <s v="na"/>
    <s v="na"/>
    <s v="na"/>
    <s v="na"/>
    <s v="na"/>
    <s v="na"/>
  </r>
  <r>
    <n v="1001"/>
    <x v="39"/>
    <n v="3"/>
    <x v="0"/>
    <x v="2"/>
    <x v="0"/>
    <m/>
    <m/>
    <m/>
    <n v="18"/>
    <s v="U"/>
    <m/>
    <d v="1899-12-30T00:55:00"/>
    <s v="19:59"/>
    <s v="DJ"/>
    <m/>
    <s v="20140721 EGora"/>
    <s v="20140722 LAckein"/>
    <s v="x"/>
    <s v="x"/>
    <s v="na"/>
    <s v="FWL"/>
    <s v="na"/>
    <s v="na"/>
    <s v="na"/>
    <s v="na"/>
    <s v="na"/>
    <s v="na"/>
    <s v="na"/>
    <s v="na"/>
  </r>
  <r>
    <n v="1002"/>
    <x v="40"/>
    <n v="1"/>
    <x v="12"/>
    <x v="0"/>
    <x v="13"/>
    <n v="81"/>
    <s v="2 P"/>
    <n v="48"/>
    <m/>
    <s v="F"/>
    <m/>
    <d v="1899-12-30T00:38:00"/>
    <s v="11:00"/>
    <s v="EG"/>
    <m/>
    <s v="20140722 EGora"/>
    <s v="20140723 LAckein"/>
    <s v="x"/>
    <n v="151.51499999999999"/>
    <s v="na"/>
    <s v="FWL"/>
    <s v="na"/>
    <s v="na"/>
    <s v="F1835"/>
    <s v="na"/>
    <s v="na"/>
    <s v="na"/>
    <s v="na"/>
    <s v="na"/>
  </r>
  <r>
    <n v="1003"/>
    <x v="40"/>
    <n v="1"/>
    <x v="12"/>
    <x v="0"/>
    <x v="0"/>
    <m/>
    <m/>
    <n v="48"/>
    <m/>
    <s v="F"/>
    <m/>
    <d v="1899-12-30T00:30:00"/>
    <s v="11:02"/>
    <s v="EG"/>
    <m/>
    <s v="20140722 EGora"/>
    <s v="20140723 LAckein"/>
    <s v="x"/>
    <s v="x"/>
    <s v="na"/>
    <s v="FWL"/>
    <s v="na"/>
    <s v="na"/>
    <s v="na"/>
    <s v="na"/>
    <s v="na"/>
    <s v="na"/>
    <s v="na"/>
    <s v="na"/>
  </r>
  <r>
    <n v="1004"/>
    <x v="40"/>
    <n v="1"/>
    <x v="12"/>
    <x v="0"/>
    <x v="0"/>
    <m/>
    <m/>
    <n v="44"/>
    <m/>
    <s v="F"/>
    <m/>
    <d v="1899-12-30T00:44:00"/>
    <s v="12:33"/>
    <s v="JI"/>
    <m/>
    <s v="20140722 JImrie"/>
    <s v="20140723 LAckein"/>
    <s v="x"/>
    <s v="x"/>
    <s v="na"/>
    <s v="FWL"/>
    <s v="na"/>
    <s v="na"/>
    <s v="na"/>
    <s v="na"/>
    <s v="na"/>
    <s v="na"/>
    <s v="na"/>
    <s v="na"/>
  </r>
  <r>
    <n v="1005"/>
    <x v="40"/>
    <n v="1"/>
    <x v="5"/>
    <x v="2"/>
    <x v="0"/>
    <m/>
    <m/>
    <m/>
    <n v="30"/>
    <s v="U"/>
    <m/>
    <d v="1899-12-30T00:22:00"/>
    <s v="14:08"/>
    <s v="HR"/>
    <m/>
    <s v="20140722 JImrie"/>
    <s v="20140723 LAckein"/>
    <s v="x"/>
    <s v="x"/>
    <s v="na"/>
    <s v="FWL"/>
    <s v="na"/>
    <s v="na"/>
    <s v="na"/>
    <s v="na"/>
    <s v="na"/>
    <s v="na"/>
    <s v="na"/>
    <s v="na"/>
  </r>
  <r>
    <n v="1006"/>
    <x v="40"/>
    <n v="1"/>
    <x v="12"/>
    <x v="0"/>
    <x v="0"/>
    <m/>
    <m/>
    <n v="44"/>
    <m/>
    <s v="U"/>
    <d v="1899-12-30T14:54:00"/>
    <d v="1899-12-30T01:00:00"/>
    <s v="14:58"/>
    <s v="JI"/>
    <m/>
    <s v="20140722 JImrie"/>
    <s v="20140723 LAckein"/>
    <d v="1899-12-30T00:03:00"/>
    <s v="x"/>
    <s v="na"/>
    <s v="FWL"/>
    <s v="na"/>
    <s v="na"/>
    <s v="na"/>
    <s v="na"/>
    <s v="na"/>
    <s v="na"/>
    <s v="na"/>
    <s v="na"/>
  </r>
  <r>
    <n v="1007"/>
    <x v="40"/>
    <n v="1"/>
    <x v="12"/>
    <x v="0"/>
    <x v="0"/>
    <m/>
    <m/>
    <n v="45"/>
    <m/>
    <s v="F"/>
    <m/>
    <d v="1899-12-30T00:36:00"/>
    <s v="15:48"/>
    <s v="LA"/>
    <m/>
    <s v="20140722 JImrie"/>
    <s v="20140723 LAckein"/>
    <s v="x"/>
    <s v="x"/>
    <s v="na"/>
    <s v="FWL"/>
    <s v="na"/>
    <s v="na"/>
    <s v="na"/>
    <s v="na"/>
    <s v="na"/>
    <s v="na"/>
    <s v="na"/>
    <s v="na"/>
  </r>
  <r>
    <n v="1008"/>
    <x v="40"/>
    <n v="1"/>
    <x v="12"/>
    <x v="0"/>
    <x v="0"/>
    <m/>
    <m/>
    <n v="46"/>
    <m/>
    <s v="U"/>
    <m/>
    <d v="1899-12-30T00:28:00"/>
    <s v="15:49"/>
    <s v="HR"/>
    <m/>
    <s v="20140722 JImrie"/>
    <s v="20140723 LAckein"/>
    <s v="x"/>
    <s v="x"/>
    <s v="na"/>
    <s v="FWL"/>
    <s v="na"/>
    <s v="na"/>
    <s v="na"/>
    <s v="na"/>
    <s v="na"/>
    <s v="na"/>
    <s v="na"/>
    <s v="na"/>
  </r>
  <r>
    <n v="1009"/>
    <x v="40"/>
    <n v="1"/>
    <x v="10"/>
    <x v="0"/>
    <x v="0"/>
    <m/>
    <m/>
    <n v="63"/>
    <m/>
    <s v="U"/>
    <m/>
    <d v="1899-12-30T00:51:00"/>
    <s v="16:55"/>
    <s v="HR"/>
    <m/>
    <s v="20140722 JImrie"/>
    <s v="20140723 LAckein"/>
    <s v="x"/>
    <s v="x"/>
    <s v="na"/>
    <s v="FWL"/>
    <s v="na"/>
    <s v="na"/>
    <s v="na"/>
    <s v="na"/>
    <s v="na"/>
    <s v="na"/>
    <s v="na"/>
    <s v="na"/>
  </r>
  <r>
    <n v="1010"/>
    <x v="40"/>
    <n v="1"/>
    <x v="10"/>
    <x v="0"/>
    <x v="0"/>
    <m/>
    <m/>
    <n v="61"/>
    <m/>
    <s v="U"/>
    <m/>
    <d v="1899-12-30T00:57:00"/>
    <s v="16:57"/>
    <s v="HR"/>
    <s v="split in caudal fin"/>
    <s v="20140722 JImrie"/>
    <s v="20140723 LAckein"/>
    <s v="x"/>
    <s v="x"/>
    <s v="na"/>
    <s v="FWL"/>
    <s v="na"/>
    <s v="na"/>
    <s v="na"/>
    <s v="na"/>
    <s v="na"/>
    <s v="na"/>
    <s v="na"/>
    <s v="na"/>
  </r>
  <r>
    <n v="1011"/>
    <x v="40"/>
    <n v="1"/>
    <x v="12"/>
    <x v="0"/>
    <x v="0"/>
    <m/>
    <m/>
    <n v="45"/>
    <m/>
    <s v="F"/>
    <m/>
    <d v="1899-12-30T00:26:00"/>
    <s v="17:59"/>
    <s v="NC"/>
    <m/>
    <s v="20140722 JBerry"/>
    <s v="20140723 LAckein"/>
    <s v="x"/>
    <s v="x"/>
    <s v="na"/>
    <s v="FWL"/>
    <s v="na"/>
    <s v="na"/>
    <s v="na"/>
    <s v="na"/>
    <s v="na"/>
    <s v="na"/>
    <s v="na"/>
    <s v="na"/>
  </r>
  <r>
    <n v="1012"/>
    <x v="40"/>
    <n v="1"/>
    <x v="12"/>
    <x v="0"/>
    <x v="0"/>
    <m/>
    <m/>
    <n v="43"/>
    <m/>
    <s v="F"/>
    <d v="1899-12-30T18:06:00"/>
    <d v="1899-12-30T00:24:00"/>
    <s v="18:08"/>
    <s v="JB"/>
    <m/>
    <s v="20140722 JBerry"/>
    <s v="20140723 LAckein"/>
    <d v="1899-12-30T00:01:36"/>
    <s v="x"/>
    <s v="na"/>
    <s v="FWL"/>
    <s v="na"/>
    <s v="na"/>
    <s v="na"/>
    <s v="na"/>
    <s v="na"/>
    <s v="na"/>
    <s v="na"/>
    <s v="na"/>
  </r>
  <r>
    <n v="1013"/>
    <x v="40"/>
    <n v="1"/>
    <x v="12"/>
    <x v="0"/>
    <x v="0"/>
    <m/>
    <m/>
    <n v="45"/>
    <m/>
    <s v="M"/>
    <d v="1899-12-30T18:06:00"/>
    <d v="1899-12-30T00:22:00"/>
    <s v="18:09"/>
    <s v="JB"/>
    <m/>
    <s v="20140722 JBerry"/>
    <s v="20140723 LAckein"/>
    <d v="1899-12-30T00:02:38"/>
    <s v="x"/>
    <s v="na"/>
    <s v="FWL"/>
    <s v="na"/>
    <s v="na"/>
    <s v="na"/>
    <s v="na"/>
    <s v="na"/>
    <s v="na"/>
    <s v="na"/>
    <s v="na"/>
  </r>
  <r>
    <n v="1014"/>
    <x v="40"/>
    <n v="1"/>
    <x v="13"/>
    <x v="0"/>
    <x v="14"/>
    <n v="94"/>
    <s v="1 CO"/>
    <n v="55"/>
    <m/>
    <s v="U"/>
    <d v="1899-12-30T18:28:00"/>
    <d v="1899-12-30T01:41:00"/>
    <s v="18:41"/>
    <s v="JB"/>
    <m/>
    <s v="20140722 JBerry"/>
    <s v="20140723 LAckein"/>
    <d v="1899-12-30T00:11:19"/>
    <n v="151.32499999999999"/>
    <s v="na"/>
    <s v="FWL"/>
    <s v="na"/>
    <s v="na"/>
    <s v="F1840"/>
    <s v="na"/>
    <s v="na"/>
    <s v="na"/>
    <s v="na"/>
    <s v="na"/>
  </r>
  <r>
    <n v="1015"/>
    <x v="40"/>
    <n v="1"/>
    <x v="12"/>
    <x v="0"/>
    <x v="0"/>
    <m/>
    <m/>
    <n v="44"/>
    <m/>
    <s v="M"/>
    <m/>
    <d v="1899-12-30T00:16:00"/>
    <s v="18:44"/>
    <s v="JB"/>
    <m/>
    <s v="20140722 JBerry"/>
    <s v="20140723 LAckein"/>
    <s v="x"/>
    <s v="x"/>
    <s v="na"/>
    <s v="FWL"/>
    <s v="na"/>
    <s v="na"/>
    <s v="na"/>
    <s v="na"/>
    <s v="na"/>
    <s v="na"/>
    <s v="na"/>
    <s v="na"/>
  </r>
  <r>
    <n v="1016"/>
    <x v="40"/>
    <n v="1"/>
    <x v="4"/>
    <x v="1"/>
    <x v="0"/>
    <m/>
    <m/>
    <n v="34"/>
    <m/>
    <s v="U"/>
    <m/>
    <d v="1899-12-30T00:15:00"/>
    <s v="19:53"/>
    <s v="JB"/>
    <s v="too small to tag"/>
    <s v="20140722 JBerry"/>
    <s v="20140723 LAckein"/>
    <s v="x"/>
    <s v="x"/>
    <s v="na"/>
    <s v="FWL"/>
    <s v="na"/>
    <s v="na"/>
    <s v="na"/>
    <s v="na"/>
    <s v="na"/>
    <s v="na"/>
    <s v="na"/>
    <s v="na"/>
  </r>
  <r>
    <n v="1017"/>
    <x v="40"/>
    <n v="2"/>
    <x v="10"/>
    <x v="0"/>
    <x v="7"/>
    <n v="6"/>
    <s v="13 CM"/>
    <n v="59"/>
    <m/>
    <s v="U"/>
    <m/>
    <d v="1899-12-30T00:50:00"/>
    <s v="10:46"/>
    <s v="DJ"/>
    <m/>
    <s v="20140722 EGora"/>
    <s v="20140723 LAckein"/>
    <s v="x"/>
    <n v="151.56399999999999"/>
    <s v="na"/>
    <s v="FWL"/>
    <s v="na"/>
    <s v="na"/>
    <s v="F1840"/>
    <s v="na"/>
    <s v="na"/>
    <s v="na"/>
    <s v="na"/>
    <s v="na"/>
  </r>
  <r>
    <n v="1018"/>
    <x v="40"/>
    <n v="2"/>
    <x v="7"/>
    <x v="0"/>
    <x v="6"/>
    <n v="96"/>
    <s v="29 S"/>
    <n v="48"/>
    <m/>
    <s v="U"/>
    <m/>
    <d v="1899-12-30T02:30:00"/>
    <s v="13:01"/>
    <s v="JI"/>
    <m/>
    <s v="20140722 LAckein"/>
    <s v="20140723 LAckein"/>
    <s v="x"/>
    <n v="151.57300000000001"/>
    <s v="na"/>
    <s v="FWL"/>
    <s v="na"/>
    <s v="na"/>
    <s v="F1840"/>
    <s v="na"/>
    <s v="na"/>
    <s v="na"/>
    <s v="na"/>
    <s v="na"/>
  </r>
  <r>
    <n v="1019"/>
    <x v="40"/>
    <n v="2"/>
    <x v="10"/>
    <x v="0"/>
    <x v="11"/>
    <n v="62"/>
    <s v="12 CM"/>
    <n v="62"/>
    <m/>
    <s v="U"/>
    <d v="1899-12-30T13:10:00"/>
    <d v="1899-12-30T01:39:00"/>
    <s v="13:19"/>
    <s v="HR"/>
    <s v="beautiful coloring, extreme snaggletooth"/>
    <s v="20140722 LAckein"/>
    <s v="20140723 LAckein"/>
    <d v="1899-12-30T00:07:21"/>
    <n v="151.53399999999999"/>
    <s v="na"/>
    <s v="FWL"/>
    <s v="na"/>
    <s v="na"/>
    <s v="F1840"/>
    <s v="na"/>
    <s v="na"/>
    <s v="na"/>
    <s v="na"/>
    <s v="na"/>
  </r>
  <r>
    <n v="1020"/>
    <x v="40"/>
    <n v="2"/>
    <x v="7"/>
    <x v="0"/>
    <x v="10"/>
    <n v="59"/>
    <s v="30 S"/>
    <n v="51"/>
    <m/>
    <s v="U"/>
    <m/>
    <d v="1899-12-30T01:22:00"/>
    <s v="13:06"/>
    <s v="LA"/>
    <m/>
    <s v="20140722 LAckein"/>
    <s v="20140723 LAckein"/>
    <s v="x"/>
    <n v="151.58600000000001"/>
    <s v="na"/>
    <s v="FWL"/>
    <s v="na"/>
    <s v="na"/>
    <s v="F1840"/>
    <s v="na"/>
    <s v="na"/>
    <s v="na"/>
    <s v="na"/>
    <s v="na"/>
  </r>
  <r>
    <n v="1021"/>
    <x v="40"/>
    <n v="2"/>
    <x v="7"/>
    <x v="0"/>
    <x v="6"/>
    <n v="24"/>
    <s v="39 S"/>
    <n v="60"/>
    <m/>
    <s v="U"/>
    <d v="1899-12-30T16:39:00"/>
    <d v="1899-12-30T01:10:00"/>
    <s v="16:45"/>
    <s v="HR"/>
    <s v="nose wound, small split in caudal fin"/>
    <s v="20140722 LAckein"/>
    <s v="20140723 LAckein"/>
    <d v="1899-12-30T00:04:50"/>
    <n v="151.57300000000001"/>
    <s v="na"/>
    <s v="FWL"/>
    <s v="na"/>
    <s v="na"/>
    <s v="F1840"/>
    <s v="na"/>
    <s v="na"/>
    <s v="na"/>
    <s v="na"/>
    <s v="na"/>
  </r>
  <r>
    <n v="1022"/>
    <x v="40"/>
    <n v="2"/>
    <x v="10"/>
    <x v="0"/>
    <x v="0"/>
    <m/>
    <m/>
    <n v="58"/>
    <m/>
    <s v="U"/>
    <d v="1899-12-30T17:17:00"/>
    <d v="1899-12-30T00:30:00"/>
    <s v="17:20"/>
    <s v="JB"/>
    <m/>
    <s v="20140722 NCollin"/>
    <s v="20140723 LAckein"/>
    <d v="1899-12-30T00:02:30"/>
    <s v="x"/>
    <s v="na"/>
    <s v="FWL"/>
    <s v="na"/>
    <s v="na"/>
    <s v="na"/>
    <s v="na"/>
    <s v="na"/>
    <s v="na"/>
    <s v="na"/>
    <s v="na"/>
  </r>
  <r>
    <n v="1023"/>
    <x v="40"/>
    <n v="2"/>
    <x v="10"/>
    <x v="0"/>
    <x v="0"/>
    <m/>
    <m/>
    <n v="61"/>
    <m/>
    <s v="U"/>
    <m/>
    <d v="1899-12-30T00:15:00"/>
    <s v="17:21"/>
    <s v="JB"/>
    <m/>
    <s v="20140722 NCollin"/>
    <s v="20140723 LAckein"/>
    <s v="x"/>
    <s v="x"/>
    <s v="na"/>
    <s v="FWL"/>
    <s v="na"/>
    <s v="na"/>
    <s v="na"/>
    <s v="na"/>
    <s v="na"/>
    <s v="na"/>
    <s v="na"/>
    <s v="na"/>
  </r>
  <r>
    <n v="1024"/>
    <x v="40"/>
    <n v="2"/>
    <x v="10"/>
    <x v="0"/>
    <x v="0"/>
    <m/>
    <m/>
    <n v="58"/>
    <m/>
    <s v="U"/>
    <m/>
    <d v="1899-12-30T00:41:00"/>
    <s v="19:04"/>
    <s v="JB"/>
    <m/>
    <s v="20140722 NCollin"/>
    <s v="20140723 LAckein"/>
    <s v="x"/>
    <s v="x"/>
    <s v="na"/>
    <s v="FWL"/>
    <s v="na"/>
    <s v="na"/>
    <s v="na"/>
    <s v="na"/>
    <s v="na"/>
    <s v="na"/>
    <s v="na"/>
    <s v="na"/>
  </r>
  <r>
    <n v="1025"/>
    <x v="40"/>
    <n v="2"/>
    <x v="7"/>
    <x v="0"/>
    <x v="10"/>
    <n v="72"/>
    <s v="37 S"/>
    <n v="49"/>
    <m/>
    <s v="U"/>
    <m/>
    <d v="1899-12-30T01:05:00"/>
    <s v="19:08"/>
    <s v="NC"/>
    <m/>
    <s v="20140722 NCollin"/>
    <s v="20140723 LAckein"/>
    <s v="x"/>
    <n v="151.58600000000001"/>
    <s v="na"/>
    <s v="FWL"/>
    <s v="na"/>
    <s v="na"/>
    <s v="F1840"/>
    <s v="na"/>
    <s v="na"/>
    <s v="na"/>
    <s v="na"/>
    <s v="na"/>
  </r>
  <r>
    <n v="1026"/>
    <x v="40"/>
    <n v="2"/>
    <x v="7"/>
    <x v="0"/>
    <x v="10"/>
    <n v="53"/>
    <s v="38 S"/>
    <n v="52"/>
    <m/>
    <s v="U"/>
    <m/>
    <d v="1899-12-30T00:47:00"/>
    <s v="19:13"/>
    <s v="NC"/>
    <m/>
    <s v="20140722 NCollin"/>
    <s v="20140723 LAckein"/>
    <s v="x"/>
    <n v="151.58600000000001"/>
    <s v="na"/>
    <s v="FWL"/>
    <s v="na"/>
    <s v="na"/>
    <s v="F1840"/>
    <s v="na"/>
    <s v="na"/>
    <s v="na"/>
    <s v="na"/>
    <s v="na"/>
  </r>
  <r>
    <n v="1027"/>
    <x v="40"/>
    <n v="2"/>
    <x v="10"/>
    <x v="0"/>
    <x v="0"/>
    <m/>
    <m/>
    <n v="59"/>
    <m/>
    <s v="U"/>
    <m/>
    <d v="1899-12-30T00:30:00"/>
    <s v="19:11"/>
    <s v="JB"/>
    <m/>
    <s v="20140722 NCollin"/>
    <s v="20140723 LAckein"/>
    <s v="x"/>
    <s v="x"/>
    <s v="na"/>
    <s v="FWL"/>
    <s v="na"/>
    <s v="na"/>
    <s v="na"/>
    <s v="na"/>
    <s v="na"/>
    <s v="na"/>
    <s v="na"/>
    <s v="na"/>
  </r>
  <r>
    <n v="1028"/>
    <x v="40"/>
    <n v="2"/>
    <x v="7"/>
    <x v="0"/>
    <x v="10"/>
    <n v="20"/>
    <s v="40 S"/>
    <n v="47"/>
    <m/>
    <s v="U"/>
    <m/>
    <d v="1899-12-30T00:43:00"/>
    <s v="19:17"/>
    <s v="NC"/>
    <m/>
    <s v="20140722 NCollin"/>
    <s v="20140723 LAckein"/>
    <s v="x"/>
    <n v="151.58600000000001"/>
    <s v="na"/>
    <s v="FWL"/>
    <s v="na"/>
    <s v="na"/>
    <s v="F1840"/>
    <s v="na"/>
    <s v="na"/>
    <s v="na"/>
    <s v="na"/>
    <s v="na"/>
  </r>
  <r>
    <n v="1029"/>
    <x v="40"/>
    <n v="2"/>
    <x v="7"/>
    <x v="0"/>
    <x v="6"/>
    <n v="17"/>
    <s v="41 S"/>
    <n v="55"/>
    <m/>
    <s v="U"/>
    <m/>
    <d v="1899-12-30T00:52:00"/>
    <s v="19:20"/>
    <s v="NC"/>
    <m/>
    <s v="20140722 NCollin"/>
    <s v="20140723 LAckein"/>
    <s v="x"/>
    <n v="151.57300000000001"/>
    <s v="na"/>
    <s v="FWL"/>
    <s v="na"/>
    <s v="na"/>
    <s v="F1840"/>
    <s v="na"/>
    <s v="na"/>
    <s v="na"/>
    <s v="na"/>
    <s v="na"/>
  </r>
  <r>
    <n v="1030"/>
    <x v="40"/>
    <n v="2"/>
    <x v="7"/>
    <x v="0"/>
    <x v="6"/>
    <n v="54"/>
    <s v="42 S"/>
    <n v="56"/>
    <m/>
    <s v="U"/>
    <m/>
    <d v="1899-12-30T00:59:00"/>
    <s v="19:24"/>
    <s v="NC"/>
    <m/>
    <s v="20140722 NCollin"/>
    <s v="20140723 LAckein"/>
    <s v="x"/>
    <n v="151.57300000000001"/>
    <s v="na"/>
    <s v="FWL"/>
    <s v="na"/>
    <s v="na"/>
    <s v="F1840"/>
    <s v="na"/>
    <s v="na"/>
    <s v="na"/>
    <s v="na"/>
    <s v="na"/>
  </r>
  <r>
    <n v="1031"/>
    <x v="40"/>
    <n v="3"/>
    <x v="12"/>
    <x v="0"/>
    <x v="13"/>
    <n v="65"/>
    <s v="9 P"/>
    <n v="46"/>
    <m/>
    <s v="U"/>
    <d v="1899-12-30T09:04:00"/>
    <d v="1899-12-30T01:24:00"/>
    <s v="09:08"/>
    <s v="NC"/>
    <m/>
    <s v="20140722 NCollin"/>
    <s v="20140723 LAckein"/>
    <d v="1899-12-30T00:02:36"/>
    <n v="151.51499999999999"/>
    <s v="na"/>
    <s v="FWL"/>
    <s v="na"/>
    <s v="na"/>
    <s v="F1835"/>
    <s v="na"/>
    <s v="na"/>
    <s v="na"/>
    <s v="na"/>
    <s v="na"/>
  </r>
  <r>
    <n v="1032"/>
    <x v="40"/>
    <n v="3"/>
    <x v="12"/>
    <x v="0"/>
    <x v="13"/>
    <n v="29"/>
    <s v="10 P"/>
    <n v="42"/>
    <m/>
    <s v="F"/>
    <d v="1899-12-30T09:04:00"/>
    <d v="1899-12-30T01:12:00"/>
    <s v="09:15"/>
    <s v="NC"/>
    <m/>
    <s v="20140722 NCollin"/>
    <s v="20140723 LAckein"/>
    <d v="1899-12-30T00:09:48"/>
    <n v="151.51499999999999"/>
    <s v="na"/>
    <s v="FWL"/>
    <s v="na"/>
    <s v="na"/>
    <s v="F1835"/>
    <s v="na"/>
    <s v="na"/>
    <s v="na"/>
    <s v="na"/>
    <s v="na"/>
  </r>
  <r>
    <n v="1033"/>
    <x v="40"/>
    <n v="3"/>
    <x v="12"/>
    <x v="0"/>
    <x v="0"/>
    <m/>
    <m/>
    <n v="45"/>
    <m/>
    <s v="M"/>
    <d v="1899-12-30T09:31:00"/>
    <d v="1899-12-30T00:29:00"/>
    <s v="09:35"/>
    <s v="JB"/>
    <m/>
    <s v="20140722 NCollin"/>
    <s v="20140723 LAckein"/>
    <d v="1899-12-30T00:03:31"/>
    <s v="x"/>
    <s v="na"/>
    <s v="FWL"/>
    <s v="na"/>
    <s v="na"/>
    <s v="na"/>
    <s v="na"/>
    <s v="na"/>
    <s v="na"/>
    <s v="na"/>
    <s v="na"/>
  </r>
  <r>
    <n v="1034"/>
    <x v="40"/>
    <n v="3"/>
    <x v="1"/>
    <x v="0"/>
    <x v="0"/>
    <m/>
    <m/>
    <n v="71"/>
    <m/>
    <s v="M"/>
    <m/>
    <d v="1899-12-30T01:51:00"/>
    <s v="12:00"/>
    <s v="NC"/>
    <s v="spit tag on deck @ release"/>
    <s v="20140722 NCollin"/>
    <s v="20140723 LAckein"/>
    <s v="x"/>
    <s v="x"/>
    <s v="na"/>
    <s v="FWL"/>
    <s v="na"/>
    <s v="na"/>
    <s v="na"/>
    <s v="na"/>
    <s v="na"/>
    <s v="na"/>
    <s v="na"/>
    <s v="na"/>
  </r>
  <r>
    <n v="1035"/>
    <x v="40"/>
    <n v="3"/>
    <x v="12"/>
    <x v="0"/>
    <x v="0"/>
    <m/>
    <m/>
    <n v="46"/>
    <m/>
    <s v="F"/>
    <m/>
    <d v="1899-12-30T00:27:00"/>
    <s v="12:06"/>
    <s v="JB"/>
    <m/>
    <s v="20140722 NCollin"/>
    <s v="20140723 LAckein"/>
    <s v="x"/>
    <s v="x"/>
    <s v="na"/>
    <s v="FWL"/>
    <s v="na"/>
    <s v="na"/>
    <s v="na"/>
    <s v="na"/>
    <s v="na"/>
    <s v="na"/>
    <s v="na"/>
    <s v="na"/>
  </r>
  <r>
    <n v="1036"/>
    <x v="40"/>
    <n v="3"/>
    <x v="0"/>
    <x v="2"/>
    <x v="0"/>
    <m/>
    <m/>
    <m/>
    <n v="23"/>
    <s v="U"/>
    <d v="1899-12-30T13:42:00"/>
    <d v="1899-12-30T00:20:00"/>
    <s v="13:51"/>
    <s v="NC"/>
    <m/>
    <s v="20140722 NCollin"/>
    <s v="20140723 LAckein"/>
    <d v="1899-12-30T00:08:40"/>
    <s v="x"/>
    <s v="na"/>
    <s v="FWL"/>
    <s v="na"/>
    <s v="na"/>
    <s v="na"/>
    <s v="na"/>
    <s v="na"/>
    <s v="na"/>
    <s v="na"/>
    <s v="na"/>
  </r>
  <r>
    <n v="1037"/>
    <x v="40"/>
    <n v="3"/>
    <x v="10"/>
    <x v="0"/>
    <x v="0"/>
    <m/>
    <m/>
    <n v="54"/>
    <m/>
    <s v="U"/>
    <m/>
    <d v="1899-12-30T00:20:00"/>
    <s v="14:15"/>
    <s v="DJ"/>
    <s v="not tag, reached daily tag limit"/>
    <s v="20140722 EGora"/>
    <s v="20140723 LAckein"/>
    <s v="x"/>
    <s v="x"/>
    <s v="na"/>
    <s v="FWL"/>
    <s v="na"/>
    <s v="na"/>
    <s v="na"/>
    <s v="na"/>
    <s v="na"/>
    <s v="na"/>
    <s v="na"/>
    <s v="na"/>
  </r>
  <r>
    <n v="1038"/>
    <x v="40"/>
    <n v="3"/>
    <x v="12"/>
    <x v="0"/>
    <x v="0"/>
    <m/>
    <m/>
    <n v="46"/>
    <m/>
    <s v="M"/>
    <m/>
    <d v="1899-12-30T00:20:00"/>
    <s v="14:21"/>
    <s v="EG"/>
    <s v="not tag, reached daily tag limit"/>
    <s v="20140722 EGora"/>
    <s v="20140723 LAckein"/>
    <s v="x"/>
    <s v="x"/>
    <s v="na"/>
    <s v="FWL"/>
    <s v="na"/>
    <s v="na"/>
    <s v="na"/>
    <s v="na"/>
    <s v="na"/>
    <s v="na"/>
    <s v="na"/>
    <s v="na"/>
  </r>
  <r>
    <n v="1039"/>
    <x v="40"/>
    <n v="3"/>
    <x v="12"/>
    <x v="0"/>
    <x v="0"/>
    <m/>
    <m/>
    <n v="50"/>
    <m/>
    <s v="F"/>
    <m/>
    <d v="1899-12-30T00:10:00"/>
    <s v="15:14"/>
    <s v="EG"/>
    <m/>
    <s v="20140722 EGora"/>
    <s v="20140723 LAckein"/>
    <s v="x"/>
    <s v="x"/>
    <s v="na"/>
    <s v="FWL"/>
    <s v="na"/>
    <s v="na"/>
    <s v="na"/>
    <s v="na"/>
    <s v="na"/>
    <s v="na"/>
    <s v="na"/>
    <s v="na"/>
  </r>
  <r>
    <n v="1040"/>
    <x v="40"/>
    <n v="3"/>
    <x v="12"/>
    <x v="0"/>
    <x v="0"/>
    <m/>
    <m/>
    <n v="43"/>
    <m/>
    <s v="M"/>
    <m/>
    <d v="1899-12-30T00:15:00"/>
    <s v="17:16"/>
    <s v="EG"/>
    <m/>
    <s v="20140722 EGora"/>
    <s v="20140723 LAckein"/>
    <s v="x"/>
    <s v="x"/>
    <s v="na"/>
    <s v="FWL"/>
    <s v="na"/>
    <s v="na"/>
    <s v="na"/>
    <s v="na"/>
    <s v="na"/>
    <s v="na"/>
    <s v="na"/>
    <s v="na"/>
  </r>
  <r>
    <n v="1041"/>
    <x v="40"/>
    <n v="3"/>
    <x v="12"/>
    <x v="0"/>
    <x v="0"/>
    <m/>
    <m/>
    <n v="45"/>
    <m/>
    <s v="M"/>
    <m/>
    <d v="1899-12-30T00:15:00"/>
    <s v="17:17"/>
    <s v="DJ"/>
    <m/>
    <s v="20140722 EGora"/>
    <s v="20140723 LAckein"/>
    <s v="x"/>
    <s v="x"/>
    <s v="na"/>
    <s v="FWL"/>
    <s v="na"/>
    <s v="na"/>
    <s v="na"/>
    <s v="na"/>
    <s v="na"/>
    <s v="na"/>
    <s v="na"/>
    <s v="na"/>
  </r>
  <r>
    <n v="1042"/>
    <x v="40"/>
    <n v="3"/>
    <x v="12"/>
    <x v="0"/>
    <x v="0"/>
    <m/>
    <m/>
    <n v="44"/>
    <m/>
    <s v="M"/>
    <m/>
    <d v="1899-12-30T00:23:00"/>
    <s v="17:54"/>
    <s v="DJ"/>
    <m/>
    <s v="20140722 EGora"/>
    <s v="20140723 LAckein"/>
    <s v="x"/>
    <s v="x"/>
    <s v="na"/>
    <s v="FWL"/>
    <s v="na"/>
    <s v="na"/>
    <s v="na"/>
    <s v="na"/>
    <s v="na"/>
    <s v="na"/>
    <s v="na"/>
    <s v="na"/>
  </r>
  <r>
    <n v="1043"/>
    <x v="40"/>
    <n v="3"/>
    <x v="12"/>
    <x v="0"/>
    <x v="0"/>
    <m/>
    <m/>
    <n v="46"/>
    <m/>
    <s v="F"/>
    <m/>
    <d v="1899-12-30T00:15:00"/>
    <s v="18:59"/>
    <s v="DJ"/>
    <m/>
    <s v="20140722 EGora"/>
    <s v="20140723 LAckein"/>
    <s v="x"/>
    <s v="x"/>
    <s v="na"/>
    <s v="FWL"/>
    <s v="na"/>
    <s v="na"/>
    <s v="na"/>
    <s v="na"/>
    <s v="na"/>
    <s v="na"/>
    <s v="na"/>
    <s v="na"/>
  </r>
  <r>
    <n v="1044"/>
    <x v="40"/>
    <n v="3"/>
    <x v="3"/>
    <x v="2"/>
    <x v="0"/>
    <m/>
    <m/>
    <m/>
    <n v="19"/>
    <s v="U"/>
    <m/>
    <d v="1899-12-30T00:10:00"/>
    <s v="19:00"/>
    <s v="EG"/>
    <m/>
    <s v="20140722 EGora"/>
    <s v="20140723 LAckein"/>
    <s v="x"/>
    <s v="x"/>
    <s v="na"/>
    <s v="FWL"/>
    <s v="na"/>
    <s v="na"/>
    <s v="na"/>
    <s v="na"/>
    <s v="na"/>
    <s v="na"/>
    <s v="na"/>
    <s v="na"/>
  </r>
  <r>
    <n v="1045"/>
    <x v="40"/>
    <n v="3"/>
    <x v="10"/>
    <x v="0"/>
    <x v="0"/>
    <m/>
    <m/>
    <n v="58"/>
    <m/>
    <s v="U"/>
    <d v="1899-12-30T19:53:00"/>
    <d v="1899-12-30T00:15:00"/>
    <s v="19:55"/>
    <s v="DJ"/>
    <m/>
    <s v="20140722 EGora"/>
    <s v="20140723 LAckein"/>
    <d v="1899-12-30T00:01:45"/>
    <s v="x"/>
    <s v="na"/>
    <s v="FWL"/>
    <s v="na"/>
    <s v="na"/>
    <s v="na"/>
    <s v="na"/>
    <s v="na"/>
    <s v="na"/>
    <s v="na"/>
    <s v="na"/>
  </r>
  <r>
    <n v="1046"/>
    <x v="41"/>
    <n v="1"/>
    <x v="12"/>
    <x v="0"/>
    <x v="12"/>
    <n v="78"/>
    <s v="3 P"/>
    <n v="45"/>
    <m/>
    <s v="F"/>
    <d v="1899-12-30T08:32:00"/>
    <d v="1899-12-30T00:48:00"/>
    <s v="08:36"/>
    <s v="NC"/>
    <m/>
    <s v="20140723 DJohnson"/>
    <s v="20140724 LAckein"/>
    <d v="1899-12-30T00:03:12"/>
    <n v="151.596"/>
    <s v="na"/>
    <s v="FWL"/>
    <s v="na"/>
    <s v="na"/>
    <s v="F1835"/>
    <s v="na"/>
    <s v="na"/>
    <s v="na"/>
    <s v="na"/>
    <s v="na"/>
  </r>
  <r>
    <n v="1047"/>
    <x v="41"/>
    <n v="1"/>
    <x v="12"/>
    <x v="0"/>
    <x v="0"/>
    <m/>
    <m/>
    <n v="40"/>
    <m/>
    <s v="U"/>
    <m/>
    <d v="1899-12-30T00:27:00"/>
    <s v="09:49"/>
    <s v="NC"/>
    <m/>
    <s v="20140723 DJohnson"/>
    <s v="20140724 LAckein"/>
    <s v="x"/>
    <s v="x"/>
    <s v="na"/>
    <s v="FWL"/>
    <s v="na"/>
    <s v="na"/>
    <s v="na"/>
    <s v="na"/>
    <s v="na"/>
    <s v="na"/>
    <s v="na"/>
    <s v="na"/>
  </r>
  <r>
    <n v="1048"/>
    <x v="41"/>
    <n v="1"/>
    <x v="12"/>
    <x v="0"/>
    <x v="12"/>
    <n v="76"/>
    <s v="13 P"/>
    <n v="42"/>
    <m/>
    <s v="F"/>
    <d v="1899-12-30T10:20:00"/>
    <d v="1899-12-30T01:05:00"/>
    <s v="10:25 "/>
    <s v="NC"/>
    <m/>
    <s v="20140723 DJohnson"/>
    <s v="20140724 LAckein"/>
    <d v="1899-12-30T00:03:55"/>
    <n v="151.596"/>
    <s v="na"/>
    <s v="FWL"/>
    <s v="na"/>
    <s v="na"/>
    <s v="F1835"/>
    <s v="na"/>
    <s v="na"/>
    <s v="na"/>
    <s v="na"/>
    <s v="na"/>
  </r>
  <r>
    <n v="1049"/>
    <x v="41"/>
    <n v="1"/>
    <x v="12"/>
    <x v="0"/>
    <x v="0"/>
    <m/>
    <m/>
    <n v="42"/>
    <m/>
    <s v="F"/>
    <m/>
    <d v="1899-12-30T00:19:00"/>
    <s v="11:50"/>
    <s v="HR"/>
    <m/>
    <s v="20140723 LAckein"/>
    <s v="20140724 LAckein"/>
    <s v="x"/>
    <s v="x"/>
    <s v="na"/>
    <s v="FWL"/>
    <s v="na"/>
    <s v="na"/>
    <s v="na"/>
    <s v="na"/>
    <s v="na"/>
    <s v="na"/>
    <s v="na"/>
    <s v="na"/>
  </r>
  <r>
    <n v="1050"/>
    <x v="41"/>
    <n v="1"/>
    <x v="12"/>
    <x v="0"/>
    <x v="0"/>
    <m/>
    <m/>
    <n v="45"/>
    <m/>
    <s v="F"/>
    <m/>
    <d v="1899-12-30T00:23:00"/>
    <s v="11:51"/>
    <s v="HR"/>
    <m/>
    <s v="20140723 LAckein"/>
    <s v="20140724 LAckein"/>
    <s v="x"/>
    <s v="x"/>
    <s v="na"/>
    <s v="FWL"/>
    <s v="na"/>
    <s v="na"/>
    <s v="na"/>
    <s v="na"/>
    <s v="na"/>
    <s v="na"/>
    <s v="na"/>
    <s v="na"/>
  </r>
  <r>
    <n v="1051"/>
    <x v="41"/>
    <n v="1"/>
    <x v="10"/>
    <x v="0"/>
    <x v="7"/>
    <n v="5"/>
    <s v="15 CM"/>
    <n v="62"/>
    <m/>
    <s v="U"/>
    <m/>
    <d v="1899-12-30T01:21:00"/>
    <s v="11:59"/>
    <s v="HR"/>
    <s v="snaggletooth, slightly bleeding gums"/>
    <s v="20140723 LAckein"/>
    <s v="20140724 LAckein"/>
    <s v="x"/>
    <n v="151.56399999999999"/>
    <s v="na"/>
    <s v="FWL"/>
    <s v="na"/>
    <s v="na"/>
    <s v="F1840"/>
    <s v="na"/>
    <s v="na"/>
    <s v="na"/>
    <s v="na"/>
    <s v="na"/>
  </r>
  <r>
    <n v="1052"/>
    <x v="41"/>
    <n v="1"/>
    <x v="12"/>
    <x v="0"/>
    <x v="0"/>
    <m/>
    <m/>
    <n v="44"/>
    <m/>
    <s v="M"/>
    <m/>
    <d v="1899-12-30T00:26:00"/>
    <s v="11:52"/>
    <s v="HR"/>
    <m/>
    <s v="20140723 LAckein"/>
    <s v="20140724 LAckein"/>
    <s v="x"/>
    <s v="x"/>
    <s v="na"/>
    <s v="FWL"/>
    <s v="na"/>
    <s v="na"/>
    <s v="na"/>
    <s v="na"/>
    <s v="na"/>
    <s v="na"/>
    <s v="na"/>
    <s v="na"/>
  </r>
  <r>
    <n v="1053"/>
    <x v="41"/>
    <n v="1"/>
    <x v="7"/>
    <x v="0"/>
    <x v="6"/>
    <n v="67"/>
    <s v="43 S"/>
    <n v="46"/>
    <m/>
    <s v="U"/>
    <m/>
    <d v="1899-12-30T01:01:00"/>
    <s v="11:56"/>
    <s v="LA"/>
    <s v="very silver, green head; quite lively"/>
    <s v="20140723 LAckein"/>
    <s v="20140724 LAckein"/>
    <s v="x"/>
    <n v="151.57300000000001"/>
    <s v="na"/>
    <s v="FWL"/>
    <s v="na"/>
    <s v="na"/>
    <s v="F1840"/>
    <s v="na"/>
    <s v="na"/>
    <s v="na"/>
    <s v="na"/>
    <s v="na"/>
  </r>
  <r>
    <n v="1054"/>
    <x v="41"/>
    <n v="1"/>
    <x v="1"/>
    <x v="0"/>
    <x v="3"/>
    <n v="35"/>
    <s v="595 K"/>
    <n v="51"/>
    <m/>
    <s v="M"/>
    <m/>
    <d v="1899-12-30T01:08:00"/>
    <s v="13:16"/>
    <s v="HR"/>
    <s v="gash across on eye, seemed healed-not open"/>
    <s v="20140723 LAckein"/>
    <s v="20140724 LAckein"/>
    <s v="x"/>
    <n v="151.917"/>
    <s v="na"/>
    <s v="FWL"/>
    <s v="na"/>
    <s v="na"/>
    <s v="F1835"/>
    <s v="na"/>
    <s v="na"/>
    <s v="na"/>
    <s v="na"/>
    <s v="na"/>
  </r>
  <r>
    <n v="1055"/>
    <x v="41"/>
    <n v="1"/>
    <x v="12"/>
    <x v="0"/>
    <x v="0"/>
    <m/>
    <m/>
    <n v="43"/>
    <m/>
    <s v="F"/>
    <m/>
    <d v="1899-12-30T00:41:00"/>
    <s v="13:15"/>
    <s v="HR"/>
    <m/>
    <s v="20140723 LAckein"/>
    <s v="20140724 LAckein"/>
    <s v="x"/>
    <s v="x"/>
    <s v="na"/>
    <s v="FWL"/>
    <s v="na"/>
    <s v="na"/>
    <s v="na"/>
    <s v="na"/>
    <s v="na"/>
    <s v="na"/>
    <s v="na"/>
    <s v="na"/>
  </r>
  <r>
    <n v="1056"/>
    <x v="41"/>
    <n v="1"/>
    <x v="12"/>
    <x v="0"/>
    <x v="0"/>
    <m/>
    <m/>
    <n v="46"/>
    <m/>
    <s v="F"/>
    <m/>
    <d v="1899-12-30T00:46:00"/>
    <s v="13:19"/>
    <s v="LA"/>
    <m/>
    <s v="20140723 LAckein"/>
    <s v="20140724 LAckein"/>
    <s v="x"/>
    <s v="x"/>
    <s v="na"/>
    <s v="FWL"/>
    <s v="na"/>
    <s v="na"/>
    <s v="na"/>
    <s v="na"/>
    <s v="na"/>
    <s v="na"/>
    <s v="na"/>
    <s v="na"/>
  </r>
  <r>
    <n v="1057"/>
    <x v="41"/>
    <n v="1"/>
    <x v="7"/>
    <x v="0"/>
    <x v="6"/>
    <n v="90"/>
    <s v="44 S"/>
    <n v="56"/>
    <m/>
    <s v="U"/>
    <d v="1899-12-30T13:32:00"/>
    <d v="1899-12-30T00:55:00"/>
    <s v="13:38"/>
    <s v="LA"/>
    <m/>
    <s v="20140723 LAckein"/>
    <s v="20140724 LAckein"/>
    <d v="1899-12-30T00:05:05"/>
    <n v="151.57300000000001"/>
    <s v="na"/>
    <s v="FWL"/>
    <s v="na"/>
    <s v="na"/>
    <s v="F1840"/>
    <s v="na"/>
    <s v="na"/>
    <s v="na"/>
    <s v="na"/>
    <s v="na"/>
  </r>
  <r>
    <n v="1058"/>
    <x v="41"/>
    <n v="1"/>
    <x v="7"/>
    <x v="0"/>
    <x v="10"/>
    <n v="38"/>
    <s v="46 S"/>
    <n v="46"/>
    <m/>
    <s v="U"/>
    <d v="1899-12-30T13:42:00"/>
    <d v="1899-12-30T01:00:00"/>
    <s v="13:46"/>
    <s v="HR"/>
    <m/>
    <s v="20140723 LAckein"/>
    <s v="20140724 LAckein"/>
    <d v="1899-12-30T00:03:00"/>
    <n v="151.58600000000001"/>
    <s v="na"/>
    <s v="FWL"/>
    <s v="na"/>
    <s v="na"/>
    <s v="F1840"/>
    <s v="na"/>
    <s v="na"/>
    <s v="na"/>
    <s v="na"/>
    <s v="na"/>
  </r>
  <r>
    <n v="1059"/>
    <x v="41"/>
    <n v="1"/>
    <x v="12"/>
    <x v="0"/>
    <x v="0"/>
    <m/>
    <m/>
    <n v="46"/>
    <m/>
    <s v="U"/>
    <d v="1899-12-30T13:46:00"/>
    <d v="1899-12-30T00:41:00"/>
    <s v="13:47"/>
    <s v="HR"/>
    <m/>
    <s v="20140723 LAckein"/>
    <s v="20140724 LAckein"/>
    <d v="1899-12-30T00:00:19"/>
    <s v="x"/>
    <s v="na"/>
    <s v="FWL"/>
    <s v="na"/>
    <s v="na"/>
    <s v="na"/>
    <s v="na"/>
    <s v="na"/>
    <s v="na"/>
    <s v="na"/>
    <s v="na"/>
  </r>
  <r>
    <n v="1060"/>
    <x v="41"/>
    <n v="1"/>
    <x v="12"/>
    <x v="0"/>
    <x v="0"/>
    <m/>
    <m/>
    <n v="44"/>
    <m/>
    <s v="M"/>
    <d v="1899-12-30T13:49:00"/>
    <d v="1899-12-30T00:31:00"/>
    <s v="13:51"/>
    <s v="HR"/>
    <m/>
    <s v="20140723 LAckein"/>
    <s v="20140724 LAckein"/>
    <d v="1899-12-30T00:01:29"/>
    <s v="x"/>
    <s v="na"/>
    <s v="FWL"/>
    <s v="na"/>
    <s v="na"/>
    <s v="na"/>
    <s v="na"/>
    <s v="na"/>
    <s v="na"/>
    <s v="na"/>
    <s v="na"/>
  </r>
  <r>
    <n v="1061"/>
    <x v="41"/>
    <n v="1"/>
    <x v="12"/>
    <x v="0"/>
    <x v="0"/>
    <m/>
    <m/>
    <n v="44"/>
    <m/>
    <s v="F"/>
    <m/>
    <d v="1899-12-30T00:23:00"/>
    <s v="15:02"/>
    <s v="HR"/>
    <m/>
    <s v="20140723 LAckein"/>
    <s v="20140724 LAckein"/>
    <s v="x"/>
    <s v="x"/>
    <s v="na"/>
    <s v="FWL"/>
    <s v="na"/>
    <s v="na"/>
    <s v="na"/>
    <s v="na"/>
    <s v="na"/>
    <s v="na"/>
    <s v="na"/>
    <s v="na"/>
  </r>
  <r>
    <n v="1062"/>
    <x v="41"/>
    <n v="1"/>
    <x v="10"/>
    <x v="0"/>
    <x v="11"/>
    <n v="64"/>
    <s v="14 CM"/>
    <n v="58"/>
    <m/>
    <s v="U"/>
    <d v="1899-12-30T15:49:00"/>
    <d v="1899-12-30T01:09:00"/>
    <s v="15:55"/>
    <s v="LA"/>
    <m/>
    <s v="20140723 LAckein"/>
    <s v="20140724 LAckein"/>
    <d v="1899-12-30T00:04:51"/>
    <n v="151.53399999999999"/>
    <s v="na"/>
    <s v="FWL"/>
    <s v="na"/>
    <s v="na"/>
    <s v="F1840"/>
    <s v="na"/>
    <s v="na"/>
    <s v="na"/>
    <s v="na"/>
    <s v="na"/>
  </r>
  <r>
    <n v="1063"/>
    <x v="41"/>
    <n v="1"/>
    <x v="12"/>
    <x v="0"/>
    <x v="0"/>
    <m/>
    <m/>
    <m/>
    <m/>
    <s v="F"/>
    <m/>
    <d v="1899-12-30T00:25:00"/>
    <s v="17:23"/>
    <s v="JB"/>
    <s v="hit deck, no length "/>
    <s v="20140723 JBerry"/>
    <s v="20140724 LAckein"/>
    <s v="x"/>
    <s v="x"/>
    <s v="na"/>
    <s v="FWL"/>
    <s v="na"/>
    <s v="na"/>
    <s v="na"/>
    <s v="na"/>
    <s v="na"/>
    <s v="na"/>
    <s v="na"/>
    <s v="na"/>
  </r>
  <r>
    <n v="1064"/>
    <x v="41"/>
    <n v="1"/>
    <x v="12"/>
    <x v="0"/>
    <x v="0"/>
    <m/>
    <m/>
    <n v="41"/>
    <m/>
    <s v="F"/>
    <m/>
    <d v="1899-12-30T00:28:00"/>
    <s v="17:23"/>
    <s v="EG"/>
    <m/>
    <s v="20140723 JBerry"/>
    <s v="20140724 LAckein"/>
    <s v="x"/>
    <s v="x"/>
    <s v="na"/>
    <s v="FWL"/>
    <s v="na"/>
    <s v="na"/>
    <s v="na"/>
    <s v="na"/>
    <s v="na"/>
    <s v="na"/>
    <s v="na"/>
    <s v="na"/>
  </r>
  <r>
    <n v="1065"/>
    <x v="41"/>
    <n v="1"/>
    <x v="12"/>
    <x v="0"/>
    <x v="0"/>
    <m/>
    <m/>
    <n v="41"/>
    <m/>
    <s v="M"/>
    <m/>
    <d v="1899-12-30T00:23:00"/>
    <s v="18:31"/>
    <s v="EG"/>
    <m/>
    <s v="20140723 JBerry"/>
    <s v="20140724 LAckein"/>
    <s v="x"/>
    <s v="x"/>
    <s v="na"/>
    <s v="FWL"/>
    <s v="na"/>
    <s v="na"/>
    <s v="na"/>
    <s v="na"/>
    <s v="na"/>
    <s v="na"/>
    <s v="na"/>
    <s v="na"/>
  </r>
  <r>
    <n v="1066"/>
    <x v="41"/>
    <n v="1"/>
    <x v="12"/>
    <x v="0"/>
    <x v="0"/>
    <m/>
    <m/>
    <n v="43"/>
    <m/>
    <s v="M"/>
    <m/>
    <d v="1899-12-30T00:18:00"/>
    <s v="18:33"/>
    <s v="JB"/>
    <m/>
    <s v="20140723 JBerry"/>
    <s v="20140724 LAckein"/>
    <s v="x"/>
    <s v="x"/>
    <s v="na"/>
    <s v="FWL"/>
    <s v="na"/>
    <s v="na"/>
    <s v="na"/>
    <s v="na"/>
    <s v="na"/>
    <s v="na"/>
    <s v="na"/>
    <s v="na"/>
  </r>
  <r>
    <n v="1067"/>
    <x v="41"/>
    <n v="1"/>
    <x v="12"/>
    <x v="0"/>
    <x v="0"/>
    <m/>
    <m/>
    <n v="43"/>
    <m/>
    <s v="M"/>
    <m/>
    <d v="1899-12-30T00:19:00"/>
    <s v="18:34"/>
    <s v="EG"/>
    <m/>
    <s v="20140723 JBerry"/>
    <s v="20140724 LAckein"/>
    <s v="x"/>
    <s v="x"/>
    <s v="na"/>
    <s v="FWL"/>
    <s v="na"/>
    <s v="na"/>
    <s v="na"/>
    <s v="na"/>
    <s v="na"/>
    <s v="na"/>
    <s v="na"/>
    <s v="na"/>
  </r>
  <r>
    <n v="1068"/>
    <x v="41"/>
    <n v="1"/>
    <x v="1"/>
    <x v="0"/>
    <x v="3"/>
    <n v="92"/>
    <s v="596 K"/>
    <n v="66"/>
    <m/>
    <s v="U"/>
    <m/>
    <d v="1899-12-30T01:17:00"/>
    <s v="18:37"/>
    <s v="JB"/>
    <s v="pale coloring, very lively"/>
    <s v="20140723 JBerry"/>
    <s v="20140724 LAckein"/>
    <s v="x"/>
    <n v="151.917"/>
    <s v="na"/>
    <s v="FWL"/>
    <s v="na"/>
    <s v="na"/>
    <s v="F1835"/>
    <s v="na"/>
    <s v="na"/>
    <s v="na"/>
    <s v="na"/>
    <s v="na"/>
  </r>
  <r>
    <n v="1069"/>
    <x v="41"/>
    <n v="2"/>
    <x v="12"/>
    <x v="0"/>
    <x v="13"/>
    <n v="23"/>
    <s v="11 P"/>
    <n v="43"/>
    <m/>
    <s v="F"/>
    <m/>
    <d v="1899-12-30T00:51:00"/>
    <s v="09:17"/>
    <s v="DJ"/>
    <m/>
    <s v="20140723 NCollin"/>
    <s v="20140724 LAckein"/>
    <s v="x"/>
    <n v="151.51499999999999"/>
    <s v="na"/>
    <s v="FWL"/>
    <s v="na"/>
    <s v="na"/>
    <s v="F1835"/>
    <s v="na"/>
    <s v="na"/>
    <s v="na"/>
    <s v="na"/>
    <s v="na"/>
  </r>
  <r>
    <n v="1070"/>
    <x v="41"/>
    <n v="2"/>
    <x v="7"/>
    <x v="0"/>
    <x v="6"/>
    <n v="44"/>
    <s v="47 S"/>
    <n v="52"/>
    <m/>
    <s v="U"/>
    <m/>
    <d v="1899-12-30T00:54:00"/>
    <s v="09:23"/>
    <s v="DJ"/>
    <m/>
    <s v="20140723 NCollin"/>
    <s v="20140724 LAckein"/>
    <s v="x"/>
    <n v="151.57300000000001"/>
    <s v="na"/>
    <s v="FWL"/>
    <s v="na"/>
    <s v="na"/>
    <s v="F1840"/>
    <s v="na"/>
    <s v="na"/>
    <s v="na"/>
    <s v="na"/>
    <s v="na"/>
  </r>
  <r>
    <n v="1071"/>
    <x v="41"/>
    <n v="2"/>
    <x v="7"/>
    <x v="0"/>
    <x v="6"/>
    <n v="15"/>
    <s v="45 S"/>
    <n v="55"/>
    <m/>
    <s v="U"/>
    <m/>
    <d v="1899-12-30T00:55:00"/>
    <s v="09:26"/>
    <s v="DJ"/>
    <m/>
    <s v="20140723 NCollin"/>
    <s v="20140724 LAckein"/>
    <s v="x"/>
    <n v="151.57300000000001"/>
    <s v="na"/>
    <s v="FWL"/>
    <s v="na"/>
    <s v="na"/>
    <s v="F1840"/>
    <s v="na"/>
    <s v="na"/>
    <s v="na"/>
    <s v="na"/>
    <s v="na"/>
  </r>
  <r>
    <n v="1072"/>
    <x v="41"/>
    <n v="2"/>
    <x v="12"/>
    <x v="0"/>
    <x v="0"/>
    <m/>
    <m/>
    <n v="43"/>
    <m/>
    <s v="F"/>
    <m/>
    <d v="1899-12-30T00:32:00"/>
    <s v="09:31"/>
    <s v="DJ"/>
    <m/>
    <s v="20140723 NCollin"/>
    <s v="20140724 LAckein"/>
    <s v="x"/>
    <s v="x"/>
    <s v="na"/>
    <s v="FWL"/>
    <s v="na"/>
    <s v="na"/>
    <s v="na"/>
    <s v="na"/>
    <s v="na"/>
    <s v="na"/>
    <s v="na"/>
    <s v="na"/>
  </r>
  <r>
    <n v="1073"/>
    <x v="41"/>
    <n v="2"/>
    <x v="10"/>
    <x v="0"/>
    <x v="11"/>
    <n v="43"/>
    <s v="20 CM"/>
    <n v="62"/>
    <m/>
    <s v="U"/>
    <m/>
    <d v="1899-12-30T01:08:00"/>
    <s v="17:09"/>
    <s v="EG"/>
    <s v="small wound on caudal fin"/>
    <s v="20140723 EGora"/>
    <s v="20140724 LAckein"/>
    <s v="x"/>
    <n v="151.53399999999999"/>
    <s v="na"/>
    <s v="FWL"/>
    <s v="na"/>
    <s v="na"/>
    <s v="F1840"/>
    <s v="na"/>
    <s v="na"/>
    <s v="na"/>
    <s v="na"/>
    <s v="na"/>
  </r>
  <r>
    <n v="1074"/>
    <x v="41"/>
    <n v="3"/>
    <x v="12"/>
    <x v="0"/>
    <x v="13"/>
    <n v="75"/>
    <s v="15 P"/>
    <n v="44"/>
    <m/>
    <s v="M"/>
    <d v="1899-12-30T08:25:00"/>
    <d v="1899-12-30T00:45:00"/>
    <s v="08:30"/>
    <s v="JB"/>
    <m/>
    <s v="20140723 EGora"/>
    <s v="20140724 LAckein"/>
    <d v="1899-12-30T00:04:15"/>
    <n v="151.51499999999999"/>
    <s v="na"/>
    <s v="FWL"/>
    <s v="na"/>
    <s v="na"/>
    <s v="F1835"/>
    <s v="na"/>
    <s v="na"/>
    <s v="na"/>
    <s v="na"/>
    <s v="na"/>
  </r>
  <r>
    <n v="1075"/>
    <x v="41"/>
    <n v="3"/>
    <x v="12"/>
    <x v="0"/>
    <x v="13"/>
    <n v="19"/>
    <s v="16 P"/>
    <n v="46"/>
    <m/>
    <s v="M"/>
    <d v="1899-12-30T08:39:00"/>
    <d v="1899-12-30T00:59:00"/>
    <s v="08:43"/>
    <s v="JB"/>
    <m/>
    <s v="20140723 EGora"/>
    <s v="20140724 LAckein"/>
    <d v="1899-12-30T00:03:01"/>
    <n v="151.51499999999999"/>
    <s v="na"/>
    <s v="FWL"/>
    <s v="na"/>
    <s v="na"/>
    <s v="F1835"/>
    <s v="na"/>
    <s v="na"/>
    <s v="na"/>
    <s v="na"/>
    <s v="na"/>
  </r>
  <r>
    <n v="1076"/>
    <x v="41"/>
    <n v="3"/>
    <x v="12"/>
    <x v="0"/>
    <x v="0"/>
    <m/>
    <m/>
    <n v="45"/>
    <m/>
    <s v="F"/>
    <m/>
    <d v="1899-12-30T00:22:00"/>
    <s v="08:44"/>
    <s v="EG"/>
    <s v="reached tag limit"/>
    <s v="20140723 EGora"/>
    <s v="20140724 LAckein"/>
    <s v="x"/>
    <s v="x"/>
    <s v="na"/>
    <s v="FWL"/>
    <s v="na"/>
    <s v="na"/>
    <s v="na"/>
    <s v="na"/>
    <s v="na"/>
    <s v="na"/>
    <s v="na"/>
    <s v="na"/>
  </r>
  <r>
    <n v="1077"/>
    <x v="41"/>
    <n v="3"/>
    <x v="0"/>
    <x v="2"/>
    <x v="0"/>
    <m/>
    <m/>
    <m/>
    <n v="31"/>
    <s v="U"/>
    <m/>
    <d v="1899-12-30T00:35:00"/>
    <s v="09:31"/>
    <s v="JB"/>
    <m/>
    <s v="20140723 EGora"/>
    <s v="20140724 LAckein"/>
    <s v="x"/>
    <s v="x"/>
    <s v="na"/>
    <s v="FWL"/>
    <s v="na"/>
    <s v="na"/>
    <s v="na"/>
    <s v="na"/>
    <s v="na"/>
    <s v="na"/>
    <s v="na"/>
    <s v="na"/>
  </r>
  <r>
    <n v="1078"/>
    <x v="41"/>
    <n v="3"/>
    <x v="12"/>
    <x v="0"/>
    <x v="0"/>
    <m/>
    <m/>
    <n v="42"/>
    <m/>
    <s v="M"/>
    <m/>
    <d v="1899-12-30T00:22:00"/>
    <s v="09:35"/>
    <s v="EG"/>
    <s v="reached wheel taglimit-no tag"/>
    <s v="20140723 EGora"/>
    <s v="20140724 LAckein"/>
    <s v="x"/>
    <s v="x"/>
    <s v="na"/>
    <s v="FWL"/>
    <s v="na"/>
    <s v="na"/>
    <s v="na"/>
    <s v="na"/>
    <s v="na"/>
    <s v="na"/>
    <s v="na"/>
    <s v="na"/>
  </r>
  <r>
    <n v="1079"/>
    <x v="41"/>
    <n v="3"/>
    <x v="7"/>
    <x v="0"/>
    <x v="6"/>
    <n v="39"/>
    <s v="32 S"/>
    <n v="55"/>
    <m/>
    <s v="U"/>
    <m/>
    <d v="1899-12-30T00:57:00"/>
    <s v="09:41"/>
    <s v="EG"/>
    <m/>
    <s v="20140723 EGora"/>
    <s v="20140724 LAckein"/>
    <s v="x"/>
    <n v="151.57300000000001"/>
    <s v="na"/>
    <s v="FWL"/>
    <s v="na"/>
    <s v="na"/>
    <s v="F1840"/>
    <s v="na"/>
    <s v="na"/>
    <s v="na"/>
    <s v="na"/>
    <s v="na"/>
  </r>
  <r>
    <n v="1080"/>
    <x v="41"/>
    <n v="3"/>
    <x v="12"/>
    <x v="0"/>
    <x v="0"/>
    <m/>
    <m/>
    <n v="45"/>
    <m/>
    <s v="F"/>
    <d v="1899-12-30T09:41:00"/>
    <d v="1899-12-30T00:15:00"/>
    <s v="09:42"/>
    <s v="JB"/>
    <m/>
    <s v="20140723 EGora"/>
    <s v="20140724 LAckein"/>
    <d v="1899-12-30T00:00:45"/>
    <s v="x"/>
    <s v="na"/>
    <s v="FWL"/>
    <s v="na"/>
    <s v="na"/>
    <s v="na"/>
    <s v="na"/>
    <s v="na"/>
    <s v="na"/>
    <s v="na"/>
    <s v="na"/>
  </r>
  <r>
    <n v="1081"/>
    <x v="41"/>
    <n v="3"/>
    <x v="3"/>
    <x v="2"/>
    <x v="0"/>
    <m/>
    <m/>
    <m/>
    <n v="16"/>
    <s v="U"/>
    <m/>
    <d v="1899-12-30T00:25:00"/>
    <s v="10:05"/>
    <s v="JB"/>
    <m/>
    <s v="20140723 EGora"/>
    <s v="20140724 LAckein"/>
    <s v="x"/>
    <s v="x"/>
    <s v="na"/>
    <s v="FWL"/>
    <s v="na"/>
    <s v="na"/>
    <s v="na"/>
    <s v="na"/>
    <s v="na"/>
    <s v="na"/>
    <s v="na"/>
    <s v="na"/>
  </r>
  <r>
    <n v="1082"/>
    <x v="41"/>
    <n v="3"/>
    <x v="12"/>
    <x v="0"/>
    <x v="0"/>
    <m/>
    <m/>
    <n v="45"/>
    <m/>
    <s v="F"/>
    <d v="1899-12-30T10:18:00"/>
    <d v="1899-12-30T00:14:00"/>
    <s v="10:20"/>
    <s v="JB"/>
    <m/>
    <s v="20140723 EGora"/>
    <s v="20140724 LAckein"/>
    <d v="1899-12-30T00:01:46"/>
    <s v="x"/>
    <s v="na"/>
    <s v="FWL"/>
    <s v="na"/>
    <s v="na"/>
    <s v="na"/>
    <s v="na"/>
    <s v="na"/>
    <s v="na"/>
    <s v="na"/>
    <s v="na"/>
  </r>
  <r>
    <n v="1083"/>
    <x v="41"/>
    <n v="3"/>
    <x v="12"/>
    <x v="0"/>
    <x v="0"/>
    <m/>
    <m/>
    <n v="46"/>
    <m/>
    <s v="F"/>
    <d v="1899-12-30T10:18:00"/>
    <d v="1899-12-30T00:14:00"/>
    <s v="10:20"/>
    <s v="EG"/>
    <m/>
    <s v="20140723 EGora"/>
    <s v="20140724 LAckein"/>
    <d v="1899-12-30T00:01:46"/>
    <s v="x"/>
    <s v="na"/>
    <s v="FWL"/>
    <s v="na"/>
    <s v="na"/>
    <s v="na"/>
    <s v="na"/>
    <s v="na"/>
    <s v="na"/>
    <s v="na"/>
    <s v="na"/>
  </r>
  <r>
    <n v="1084"/>
    <x v="41"/>
    <n v="3"/>
    <x v="12"/>
    <x v="0"/>
    <x v="0"/>
    <m/>
    <m/>
    <n v="43"/>
    <m/>
    <s v="F"/>
    <m/>
    <d v="1899-12-30T00:19:00"/>
    <s v="11:52"/>
    <s v="JB"/>
    <m/>
    <s v="20140723 EGora"/>
    <s v="20140724 LAckein"/>
    <s v="x"/>
    <s v="x"/>
    <s v="na"/>
    <s v="FWL"/>
    <s v="na"/>
    <s v="na"/>
    <s v="na"/>
    <s v="na"/>
    <s v="na"/>
    <s v="na"/>
    <s v="na"/>
    <s v="na"/>
  </r>
  <r>
    <n v="1085"/>
    <x v="41"/>
    <n v="3"/>
    <x v="12"/>
    <x v="0"/>
    <x v="0"/>
    <m/>
    <m/>
    <n v="44"/>
    <m/>
    <s v="F"/>
    <m/>
    <d v="1899-12-30T00:15:00"/>
    <s v="11:53"/>
    <s v="EG"/>
    <m/>
    <s v="20140723 EGora"/>
    <s v="20140724 LAckein"/>
    <s v="x"/>
    <s v="x"/>
    <s v="na"/>
    <s v="FWL"/>
    <s v="na"/>
    <s v="na"/>
    <s v="na"/>
    <s v="na"/>
    <s v="na"/>
    <s v="na"/>
    <s v="na"/>
    <s v="na"/>
  </r>
  <r>
    <n v="1086"/>
    <x v="41"/>
    <n v="3"/>
    <x v="7"/>
    <x v="0"/>
    <x v="6"/>
    <n v="63"/>
    <s v="33 S"/>
    <n v="49"/>
    <m/>
    <s v="U"/>
    <m/>
    <d v="1899-12-30T01:04:00"/>
    <s v="12:04"/>
    <s v="EG"/>
    <m/>
    <s v="20140723 EGora"/>
    <s v="20140724 LAckein"/>
    <s v="x"/>
    <n v="151.57300000000001"/>
    <s v="na"/>
    <s v="FWL"/>
    <s v="na"/>
    <s v="na"/>
    <s v="F1840"/>
    <s v="na"/>
    <s v="na"/>
    <s v="na"/>
    <s v="na"/>
    <s v="na"/>
  </r>
  <r>
    <n v="1087"/>
    <x v="41"/>
    <n v="3"/>
    <x v="12"/>
    <x v="0"/>
    <x v="0"/>
    <m/>
    <m/>
    <n v="43"/>
    <m/>
    <s v="F"/>
    <m/>
    <d v="1899-12-30T00:18:00"/>
    <s v="11:57"/>
    <s v="EG"/>
    <m/>
    <s v="20140723 EGora"/>
    <s v="20140724 LAckein"/>
    <s v="x"/>
    <s v="x"/>
    <s v="na"/>
    <s v="FWL"/>
    <s v="na"/>
    <s v="na"/>
    <s v="na"/>
    <s v="na"/>
    <s v="na"/>
    <s v="na"/>
    <s v="na"/>
    <s v="na"/>
  </r>
  <r>
    <n v="1088"/>
    <x v="41"/>
    <n v="3"/>
    <x v="1"/>
    <x v="0"/>
    <x v="3"/>
    <n v="58"/>
    <s v="605 K"/>
    <n v="65"/>
    <m/>
    <s v="U"/>
    <d v="1899-12-30T12:48:00"/>
    <d v="1899-12-30T01:25:00"/>
    <s v="12:53"/>
    <s v="JB"/>
    <m/>
    <s v="20140723 EGora"/>
    <s v="20140724 LAckein"/>
    <d v="1899-12-30T00:03:35"/>
    <n v="151.917"/>
    <s v="na"/>
    <s v="FWL"/>
    <s v="na"/>
    <s v="na"/>
    <s v="F1835"/>
    <s v="na"/>
    <s v="na"/>
    <s v="na"/>
    <s v="na"/>
    <s v="na"/>
  </r>
  <r>
    <n v="1089"/>
    <x v="41"/>
    <n v="3"/>
    <x v="7"/>
    <x v="0"/>
    <x v="10"/>
    <n v="57"/>
    <s v="8 S"/>
    <n v="52"/>
    <m/>
    <s v="U"/>
    <d v="1899-12-30T13:17:00"/>
    <d v="1899-12-30T00:52:00"/>
    <s v="13:22"/>
    <s v="JB"/>
    <m/>
    <s v="20140723 EGora"/>
    <s v="20140724 LAckein"/>
    <d v="1899-12-30T00:04:08"/>
    <n v="151.58600000000001"/>
    <s v="na"/>
    <s v="FWL"/>
    <s v="na"/>
    <s v="na"/>
    <s v="F1840"/>
    <s v="na"/>
    <s v="na"/>
    <s v="na"/>
    <s v="na"/>
    <s v="na"/>
  </r>
  <r>
    <n v="1090"/>
    <x v="41"/>
    <n v="3"/>
    <x v="10"/>
    <x v="0"/>
    <x v="7"/>
    <n v="35"/>
    <s v="11 CM"/>
    <n v="57"/>
    <m/>
    <s v="U"/>
    <m/>
    <d v="1899-12-30T00:58:00"/>
    <s v="14:23"/>
    <s v="NC"/>
    <s v="tag not coded due to receiver malfunction"/>
    <s v="2014723 NCollin"/>
    <s v="20140724 LAckein"/>
    <s v="x"/>
    <n v="151.56399999999999"/>
    <s v="na"/>
    <s v="FWL"/>
    <s v="na"/>
    <s v="na"/>
    <s v="F1840"/>
    <s v="na"/>
    <s v="na"/>
    <s v="na"/>
    <s v="na"/>
    <s v="na"/>
  </r>
  <r>
    <n v="1091"/>
    <x v="41"/>
    <n v="3"/>
    <x v="10"/>
    <x v="0"/>
    <x v="11"/>
    <n v="32"/>
    <s v="16 CM"/>
    <n v="57"/>
    <m/>
    <s v="U"/>
    <m/>
    <d v="1899-12-30T00:56:00"/>
    <s v="14:26 "/>
    <s v="NC"/>
    <s v="tag not coded due to receiver malfunction"/>
    <s v="2014723 NCollin"/>
    <s v="20140724 LAckein"/>
    <s v="x"/>
    <n v="151.53399999999999"/>
    <s v="na"/>
    <s v="FWL"/>
    <s v="na"/>
    <s v="na"/>
    <s v="F1840"/>
    <s v="na"/>
    <s v="na"/>
    <s v="na"/>
    <s v="na"/>
    <s v="na"/>
  </r>
  <r>
    <n v="1092"/>
    <x v="41"/>
    <n v="3"/>
    <x v="12"/>
    <x v="0"/>
    <x v="0"/>
    <m/>
    <m/>
    <n v="45"/>
    <m/>
    <s v="U"/>
    <m/>
    <d v="1899-12-30T00:25:00"/>
    <s v="14:28"/>
    <s v="DJ"/>
    <m/>
    <s v="2014723 NCollin"/>
    <s v="20140724 LAckein"/>
    <s v="x"/>
    <s v="x"/>
    <s v="na"/>
    <s v="FWL"/>
    <s v="na"/>
    <s v="na"/>
    <s v="na"/>
    <s v="na"/>
    <s v="na"/>
    <s v="na"/>
    <s v="na"/>
    <s v="na"/>
  </r>
  <r>
    <n v="1093"/>
    <x v="41"/>
    <n v="3"/>
    <x v="10"/>
    <x v="0"/>
    <x v="0"/>
    <m/>
    <m/>
    <n v="67"/>
    <m/>
    <s v="U"/>
    <m/>
    <d v="1899-12-30T00:26:00"/>
    <s v="14:30"/>
    <s v="DJ"/>
    <m/>
    <s v="2014723 NCollin"/>
    <s v="20140724 LAckein"/>
    <s v="x"/>
    <s v="x"/>
    <s v="na"/>
    <s v="FWL"/>
    <s v="na"/>
    <s v="na"/>
    <s v="na"/>
    <s v="na"/>
    <s v="na"/>
    <s v="na"/>
    <s v="na"/>
    <s v="na"/>
  </r>
  <r>
    <n v="1094"/>
    <x v="41"/>
    <n v="3"/>
    <x v="12"/>
    <x v="0"/>
    <x v="0"/>
    <m/>
    <m/>
    <n v="41"/>
    <m/>
    <s v="U"/>
    <d v="1899-12-30T14:42:00"/>
    <d v="1899-12-30T00:21:00"/>
    <s v="14:44"/>
    <s v="DJ"/>
    <m/>
    <s v="2014723 NCollin"/>
    <s v="20140724 LAckein"/>
    <d v="1899-12-30T00:01:39"/>
    <s v="x"/>
    <s v="na"/>
    <s v="FWL"/>
    <s v="na"/>
    <s v="na"/>
    <s v="na"/>
    <s v="na"/>
    <s v="na"/>
    <s v="na"/>
    <s v="na"/>
    <s v="na"/>
  </r>
  <r>
    <n v="1095"/>
    <x v="41"/>
    <n v="3"/>
    <x v="7"/>
    <x v="0"/>
    <x v="6"/>
    <n v="12"/>
    <s v="7 S"/>
    <n v="46"/>
    <m/>
    <s v="U"/>
    <d v="1899-12-30T15:31:00"/>
    <d v="1899-12-30T00:48:00"/>
    <s v="15:34"/>
    <s v="NC"/>
    <s v="tag not coded due to receiver malfunction"/>
    <s v="2014723 NCollin"/>
    <s v="20140724 LAckein"/>
    <d v="1899-12-30T00:02:12"/>
    <n v="151.57300000000001"/>
    <s v="na"/>
    <s v="FWL"/>
    <s v="na"/>
    <s v="na"/>
    <s v="F1840"/>
    <s v="na"/>
    <s v="na"/>
    <s v="na"/>
    <s v="na"/>
    <s v="na"/>
  </r>
  <r>
    <n v="1096"/>
    <x v="41"/>
    <n v="3"/>
    <x v="7"/>
    <x v="0"/>
    <x v="6"/>
    <n v="46"/>
    <s v="51 S"/>
    <n v="53"/>
    <m/>
    <s v="U"/>
    <m/>
    <d v="1899-12-30T00:47:00"/>
    <s v="15:38"/>
    <s v="NC"/>
    <s v="tag not coded due to receiver malfunction"/>
    <s v="2014723 NCollin"/>
    <s v="20140724 LAckein"/>
    <s v="x"/>
    <n v="151.57300000000001"/>
    <s v="na"/>
    <s v="FWL"/>
    <s v="na"/>
    <s v="na"/>
    <s v="F1840"/>
    <s v="na"/>
    <s v="na"/>
    <s v="na"/>
    <s v="na"/>
    <s v="na"/>
  </r>
  <r>
    <n v="1097"/>
    <x v="41"/>
    <n v="3"/>
    <x v="12"/>
    <x v="0"/>
    <x v="0"/>
    <m/>
    <m/>
    <n v="46"/>
    <m/>
    <s v="U"/>
    <m/>
    <d v="1899-12-30T00:27:00"/>
    <s v="15:40"/>
    <s v="NC"/>
    <m/>
    <s v="2014723 NCollin"/>
    <s v="20140724 LAckein"/>
    <s v="x"/>
    <s v="x"/>
    <s v="na"/>
    <s v="FWL"/>
    <s v="na"/>
    <s v="na"/>
    <s v="na"/>
    <s v="na"/>
    <s v="na"/>
    <s v="na"/>
    <s v="na"/>
    <s v="na"/>
  </r>
  <r>
    <n v="1098"/>
    <x v="41"/>
    <n v="3"/>
    <x v="3"/>
    <x v="2"/>
    <x v="0"/>
    <m/>
    <m/>
    <m/>
    <n v="37"/>
    <s v="U"/>
    <m/>
    <d v="1899-12-30T00:21:00"/>
    <s v="16:15"/>
    <s v="DJ"/>
    <m/>
    <s v="2014723 NCollin"/>
    <s v="20140724 LAckein"/>
    <s v="x"/>
    <s v="x"/>
    <s v="na"/>
    <s v="FWL"/>
    <s v="na"/>
    <s v="na"/>
    <s v="na"/>
    <s v="na"/>
    <s v="na"/>
    <s v="na"/>
    <s v="na"/>
    <s v="na"/>
  </r>
  <r>
    <n v="1099"/>
    <x v="41"/>
    <n v="3"/>
    <x v="12"/>
    <x v="0"/>
    <x v="0"/>
    <m/>
    <m/>
    <n v="48"/>
    <m/>
    <s v="U"/>
    <d v="1899-12-30T16:13:00"/>
    <d v="1899-12-30T00:20:00"/>
    <s v="16:16"/>
    <s v="DJ"/>
    <m/>
    <s v="2014723 NCollin"/>
    <s v="20140724 LAckein"/>
    <d v="1899-12-30T00:02:40"/>
    <s v="x"/>
    <s v="na"/>
    <s v="FWL"/>
    <s v="na"/>
    <s v="na"/>
    <s v="na"/>
    <s v="na"/>
    <s v="na"/>
    <s v="na"/>
    <s v="na"/>
    <s v="na"/>
  </r>
  <r>
    <n v="1100"/>
    <x v="41"/>
    <n v="3"/>
    <x v="12"/>
    <x v="0"/>
    <x v="0"/>
    <m/>
    <m/>
    <n v="49"/>
    <m/>
    <s v="U"/>
    <m/>
    <d v="1899-12-30T00:35:00"/>
    <s v="17:08"/>
    <s v="DJ"/>
    <m/>
    <s v="2014723 NCollin"/>
    <s v="20140724 LAckein"/>
    <s v="x"/>
    <s v="x"/>
    <s v="na"/>
    <s v="FWL"/>
    <s v="na"/>
    <s v="na"/>
    <s v="na"/>
    <s v="na"/>
    <s v="na"/>
    <s v="na"/>
    <s v="na"/>
    <s v="na"/>
  </r>
  <r>
    <n v="1101"/>
    <x v="41"/>
    <n v="3"/>
    <x v="12"/>
    <x v="0"/>
    <x v="0"/>
    <m/>
    <m/>
    <n v="46"/>
    <m/>
    <s v="U"/>
    <m/>
    <d v="1899-12-30T00:24:00"/>
    <s v="17:09"/>
    <s v="NC"/>
    <m/>
    <s v="2014723 NCollin"/>
    <s v="20140724 LAckein"/>
    <s v="x"/>
    <s v="x"/>
    <s v="na"/>
    <s v="FWL"/>
    <s v="na"/>
    <s v="na"/>
    <s v="na"/>
    <s v="na"/>
    <s v="na"/>
    <s v="na"/>
    <s v="na"/>
    <s v="na"/>
  </r>
  <r>
    <n v="1102"/>
    <x v="41"/>
    <n v="3"/>
    <x v="12"/>
    <x v="0"/>
    <x v="0"/>
    <m/>
    <m/>
    <n v="46"/>
    <m/>
    <s v="U"/>
    <m/>
    <d v="1899-12-30T00:23:00"/>
    <s v="17:10"/>
    <s v="DJ"/>
    <m/>
    <s v="2014723 NCollin"/>
    <s v="20140724 LAckein"/>
    <s v="x"/>
    <s v="x"/>
    <s v="na"/>
    <s v="FWL"/>
    <s v="na"/>
    <s v="na"/>
    <s v="na"/>
    <s v="na"/>
    <s v="na"/>
    <s v="na"/>
    <s v="na"/>
    <s v="na"/>
  </r>
  <r>
    <n v="1103"/>
    <x v="41"/>
    <n v="3"/>
    <x v="12"/>
    <x v="0"/>
    <x v="0"/>
    <m/>
    <m/>
    <n v="46"/>
    <m/>
    <s v="U"/>
    <m/>
    <d v="1899-12-30T00:20:00"/>
    <s v="18:12"/>
    <s v="DJ"/>
    <m/>
    <s v="2014723 NCollin"/>
    <s v="20140724 LAckein"/>
    <s v="x"/>
    <s v="x"/>
    <s v="na"/>
    <s v="FWL"/>
    <s v="na"/>
    <s v="na"/>
    <s v="na"/>
    <s v="na"/>
    <s v="na"/>
    <s v="na"/>
    <s v="na"/>
    <s v="na"/>
  </r>
  <r>
    <n v="1104"/>
    <x v="41"/>
    <n v="3"/>
    <x v="3"/>
    <x v="2"/>
    <x v="0"/>
    <m/>
    <m/>
    <m/>
    <n v="28"/>
    <s v="U"/>
    <m/>
    <d v="1899-12-30T00:28:00"/>
    <s v="18:13"/>
    <s v="NC"/>
    <m/>
    <s v="2014723 NCollin"/>
    <s v="20140724 LAckein"/>
    <s v="x"/>
    <s v="x"/>
    <s v="na"/>
    <s v="FWL"/>
    <s v="na"/>
    <s v="na"/>
    <s v="na"/>
    <s v="na"/>
    <s v="na"/>
    <s v="na"/>
    <s v="na"/>
    <s v="na"/>
  </r>
  <r>
    <n v="1105"/>
    <x v="41"/>
    <n v="3"/>
    <x v="10"/>
    <x v="0"/>
    <x v="0"/>
    <m/>
    <m/>
    <n v="62"/>
    <m/>
    <s v="U"/>
    <d v="1899-12-30T18:14:00"/>
    <d v="1899-12-30T00:27:00"/>
    <s v="18:16"/>
    <s v="DJ"/>
    <m/>
    <s v="2014723 NCollin"/>
    <s v="20140724 LAckein"/>
    <d v="1899-12-30T00:01:33"/>
    <s v="x"/>
    <s v="na"/>
    <s v="FWL"/>
    <s v="na"/>
    <s v="na"/>
    <s v="na"/>
    <s v="na"/>
    <s v="na"/>
    <s v="na"/>
    <s v="na"/>
    <s v="na"/>
  </r>
  <r>
    <n v="1106"/>
    <x v="41"/>
    <n v="3"/>
    <x v="12"/>
    <x v="0"/>
    <x v="0"/>
    <m/>
    <m/>
    <n v="46"/>
    <m/>
    <s v="M"/>
    <d v="1899-12-30T18:29:00"/>
    <d v="1899-12-30T00:29:00"/>
    <s v="18:31"/>
    <s v="NC"/>
    <m/>
    <s v="2014723 NCollin"/>
    <s v="20140724 LAckein"/>
    <d v="1899-12-30T00:01:31"/>
    <s v="x"/>
    <s v="na"/>
    <s v="FWL"/>
    <s v="na"/>
    <s v="na"/>
    <s v="na"/>
    <s v="na"/>
    <s v="na"/>
    <s v="na"/>
    <s v="na"/>
    <s v="na"/>
  </r>
  <r>
    <n v="1107"/>
    <x v="41"/>
    <n v="3"/>
    <x v="12"/>
    <x v="0"/>
    <x v="0"/>
    <m/>
    <m/>
    <n v="56"/>
    <m/>
    <s v="U"/>
    <m/>
    <d v="1899-12-30T00:30:00"/>
    <s v="19:12"/>
    <s v="NC"/>
    <m/>
    <s v="2014723 NCollin"/>
    <s v="20140724 LAckein"/>
    <s v="x"/>
    <s v="x"/>
    <s v="na"/>
    <s v="FWL"/>
    <s v="na"/>
    <s v="na"/>
    <s v="na"/>
    <s v="na"/>
    <s v="na"/>
    <s v="na"/>
    <s v="na"/>
    <s v="na"/>
  </r>
  <r>
    <n v="1108"/>
    <x v="41"/>
    <n v="3"/>
    <x v="7"/>
    <x v="0"/>
    <x v="6"/>
    <n v="85"/>
    <s v="34 S"/>
    <n v="54"/>
    <m/>
    <s v="U"/>
    <m/>
    <d v="1899-12-30T00:47:00"/>
    <s v="19:15"/>
    <s v="NC"/>
    <s v="tag not coded due to receiver malfunction"/>
    <s v="2014723 NCollin"/>
    <s v="20140724 LAckein"/>
    <s v="x"/>
    <n v="151.57300000000001"/>
    <s v="na"/>
    <s v="FWL"/>
    <s v="na"/>
    <s v="na"/>
    <s v="F1840"/>
    <s v="na"/>
    <s v="na"/>
    <s v="na"/>
    <s v="na"/>
    <s v="na"/>
  </r>
  <r>
    <n v="1109"/>
    <x v="41"/>
    <n v="3"/>
    <x v="10"/>
    <x v="0"/>
    <x v="0"/>
    <m/>
    <m/>
    <n v="61"/>
    <m/>
    <s v="U"/>
    <m/>
    <d v="1899-12-30T00:22:00"/>
    <s v="19:17"/>
    <s v="NC"/>
    <m/>
    <s v="2014723 NCollin"/>
    <s v="20140724 LAckein"/>
    <s v="x"/>
    <s v="x"/>
    <s v="na"/>
    <s v="FWL"/>
    <s v="na"/>
    <s v="na"/>
    <s v="na"/>
    <s v="na"/>
    <s v="na"/>
    <s v="na"/>
    <s v="na"/>
    <s v="na"/>
  </r>
  <r>
    <n v="1110"/>
    <x v="42"/>
    <n v="1"/>
    <x v="12"/>
    <x v="0"/>
    <x v="12"/>
    <n v="63"/>
    <s v="14 P"/>
    <n v="43"/>
    <m/>
    <s v="F"/>
    <m/>
    <d v="1899-12-30T01:00:00"/>
    <s v="08:53"/>
    <s v="NC"/>
    <m/>
    <s v="20140724 NCollin"/>
    <s v="20140725 LAckein"/>
    <s v="x"/>
    <n v="151.596"/>
    <s v="na"/>
    <s v="FWL"/>
    <s v="na"/>
    <s v="na"/>
    <s v="F1835"/>
    <s v="na"/>
    <s v="na"/>
    <s v="na"/>
    <s v="na"/>
    <s v="na"/>
  </r>
  <r>
    <n v="1111"/>
    <x v="42"/>
    <n v="1"/>
    <x v="1"/>
    <x v="0"/>
    <x v="3"/>
    <n v="4"/>
    <s v="597 K"/>
    <n v="60"/>
    <m/>
    <s v="U"/>
    <m/>
    <d v="1899-12-30T01:07:00"/>
    <s v="08:57"/>
    <s v="NC"/>
    <m/>
    <s v="20140724 NCollin"/>
    <s v="20140725 LAckein"/>
    <s v="x"/>
    <n v="151.917"/>
    <s v="na"/>
    <s v="FWL"/>
    <s v="na"/>
    <s v="na"/>
    <s v="F1835"/>
    <s v="na"/>
    <s v="na"/>
    <s v="na"/>
    <s v="na"/>
    <s v="na"/>
  </r>
  <r>
    <n v="1112"/>
    <x v="42"/>
    <n v="1"/>
    <x v="12"/>
    <x v="0"/>
    <x v="12"/>
    <n v="55"/>
    <s v="12 P"/>
    <n v="47"/>
    <m/>
    <s v="M"/>
    <m/>
    <d v="1899-12-30T00:40:00"/>
    <s v="09:02"/>
    <s v="NC"/>
    <m/>
    <s v="20140724 NCollin"/>
    <s v="20140725 LAckein"/>
    <s v="x"/>
    <n v="151.596"/>
    <s v="na"/>
    <s v="FWL"/>
    <s v="na"/>
    <s v="na"/>
    <s v="F1835"/>
    <s v="na"/>
    <s v="na"/>
    <s v="na"/>
    <s v="na"/>
    <s v="na"/>
  </r>
  <r>
    <n v="1113"/>
    <x v="42"/>
    <n v="1"/>
    <x v="12"/>
    <x v="0"/>
    <x v="12"/>
    <n v="57"/>
    <s v="24 P"/>
    <n v="47"/>
    <m/>
    <s v="F"/>
    <m/>
    <d v="1899-12-30T00:42:00"/>
    <s v="09:15"/>
    <s v="DJ"/>
    <m/>
    <s v="20140724 NCollin"/>
    <s v="20140725 LAckein"/>
    <s v="x"/>
    <n v="151.596"/>
    <s v="na"/>
    <s v="FWL"/>
    <s v="na"/>
    <s v="na"/>
    <s v="F1835"/>
    <s v="na"/>
    <s v="na"/>
    <s v="na"/>
    <s v="na"/>
    <s v="na"/>
  </r>
  <r>
    <n v="1114"/>
    <x v="42"/>
    <n v="1"/>
    <x v="12"/>
    <x v="0"/>
    <x v="0"/>
    <m/>
    <m/>
    <n v="43"/>
    <m/>
    <s v="U"/>
    <m/>
    <d v="1899-12-30T00:25:00"/>
    <s v="09:17"/>
    <s v="DJ"/>
    <m/>
    <s v="20140724 NCollin"/>
    <s v="20140725 LAckein"/>
    <s v="x"/>
    <s v="x"/>
    <s v="na"/>
    <s v="FWL"/>
    <s v="na"/>
    <s v="na"/>
    <s v="na"/>
    <s v="na"/>
    <s v="na"/>
    <s v="na"/>
    <s v="na"/>
    <s v="na"/>
  </r>
  <r>
    <n v="1115"/>
    <x v="42"/>
    <n v="1"/>
    <x v="12"/>
    <x v="0"/>
    <x v="0"/>
    <m/>
    <m/>
    <n v="43"/>
    <m/>
    <s v="U"/>
    <m/>
    <d v="1899-12-30T00:20:00"/>
    <s v="09:19"/>
    <s v="DJ"/>
    <m/>
    <s v="20140724 NCollin"/>
    <s v="20140725 LAckein"/>
    <s v="x"/>
    <s v="x"/>
    <s v="na"/>
    <s v="FWL"/>
    <s v="na"/>
    <s v="na"/>
    <s v="na"/>
    <s v="na"/>
    <s v="na"/>
    <s v="na"/>
    <s v="na"/>
    <s v="na"/>
  </r>
  <r>
    <n v="1116"/>
    <x v="42"/>
    <n v="1"/>
    <x v="12"/>
    <x v="0"/>
    <x v="0"/>
    <m/>
    <m/>
    <n v="40"/>
    <m/>
    <s v="U"/>
    <m/>
    <d v="1899-12-30T00:17:00"/>
    <s v="09:20"/>
    <s v="DJ"/>
    <m/>
    <s v="20140724 NCollin"/>
    <s v="20140725 LAckein"/>
    <s v="x"/>
    <s v="x"/>
    <s v="na"/>
    <s v="FWL"/>
    <s v="na"/>
    <s v="na"/>
    <s v="na"/>
    <s v="na"/>
    <s v="na"/>
    <s v="na"/>
    <s v="na"/>
    <s v="na"/>
  </r>
  <r>
    <n v="1117"/>
    <x v="42"/>
    <n v="1"/>
    <x v="12"/>
    <x v="0"/>
    <x v="0"/>
    <m/>
    <m/>
    <n v="45"/>
    <m/>
    <s v="U"/>
    <m/>
    <d v="1899-12-30T00:16:00"/>
    <s v="09:21"/>
    <s v="DJ"/>
    <m/>
    <s v="20140724 NCollin"/>
    <s v="20140725 LAckein"/>
    <s v="x"/>
    <s v="x"/>
    <s v="na"/>
    <s v="FWL"/>
    <s v="na"/>
    <s v="na"/>
    <s v="na"/>
    <s v="na"/>
    <s v="na"/>
    <s v="na"/>
    <s v="na"/>
    <s v="na"/>
  </r>
  <r>
    <n v="1118"/>
    <x v="42"/>
    <n v="1"/>
    <x v="12"/>
    <x v="0"/>
    <x v="0"/>
    <m/>
    <m/>
    <n v="41"/>
    <m/>
    <s v="U"/>
    <m/>
    <d v="1899-12-30T00:14:00"/>
    <s v="09:22"/>
    <s v="DJ"/>
    <m/>
    <s v="20140724 NCollin"/>
    <s v="20140725 LAckein"/>
    <s v="x"/>
    <s v="x"/>
    <s v="na"/>
    <s v="FWL"/>
    <s v="na"/>
    <s v="na"/>
    <s v="na"/>
    <s v="na"/>
    <s v="na"/>
    <s v="na"/>
    <s v="na"/>
    <s v="na"/>
  </r>
  <r>
    <n v="1119"/>
    <x v="42"/>
    <n v="1"/>
    <x v="12"/>
    <x v="0"/>
    <x v="0"/>
    <m/>
    <m/>
    <n v="44"/>
    <m/>
    <s v="U"/>
    <m/>
    <d v="1899-12-30T00:18:00"/>
    <s v="09:23"/>
    <s v="DJ"/>
    <m/>
    <s v="20140724 NCollin"/>
    <s v="20140725 LAckein"/>
    <s v="x"/>
    <s v="x"/>
    <s v="na"/>
    <s v="FWL"/>
    <s v="na"/>
    <s v="na"/>
    <s v="na"/>
    <s v="na"/>
    <s v="na"/>
    <s v="na"/>
    <s v="na"/>
    <s v="na"/>
  </r>
  <r>
    <n v="1120"/>
    <x v="42"/>
    <n v="1"/>
    <x v="12"/>
    <x v="0"/>
    <x v="0"/>
    <m/>
    <m/>
    <n v="49"/>
    <m/>
    <s v="U"/>
    <m/>
    <d v="1899-12-30T00:24:00"/>
    <s v="09:43"/>
    <s v="NC"/>
    <m/>
    <s v="20140724 NCollin"/>
    <s v="20140725 LAckein"/>
    <s v="x"/>
    <s v="x"/>
    <s v="na"/>
    <s v="FWL"/>
    <s v="na"/>
    <s v="na"/>
    <s v="na"/>
    <s v="na"/>
    <s v="na"/>
    <s v="na"/>
    <s v="na"/>
    <s v="na"/>
  </r>
  <r>
    <n v="1121"/>
    <x v="42"/>
    <n v="1"/>
    <x v="12"/>
    <x v="0"/>
    <x v="0"/>
    <m/>
    <m/>
    <n v="40"/>
    <m/>
    <s v="U"/>
    <m/>
    <d v="1899-12-30T00:25:00"/>
    <s v="09:44"/>
    <s v="NC"/>
    <m/>
    <s v="20140724 NCollin"/>
    <s v="20140725 LAckein"/>
    <s v="x"/>
    <s v="x"/>
    <s v="na"/>
    <s v="FWL"/>
    <s v="na"/>
    <s v="na"/>
    <s v="na"/>
    <s v="na"/>
    <s v="na"/>
    <s v="na"/>
    <s v="na"/>
    <s v="na"/>
  </r>
  <r>
    <n v="1122"/>
    <x v="42"/>
    <n v="1"/>
    <x v="7"/>
    <x v="0"/>
    <x v="10"/>
    <n v="7"/>
    <s v="48 S"/>
    <n v="48"/>
    <m/>
    <s v="U"/>
    <m/>
    <d v="1899-12-30T01:02:00"/>
    <s v="09:48"/>
    <s v="DJ"/>
    <m/>
    <s v="20140724 NCollin"/>
    <s v="20140725 LAckein"/>
    <s v="x"/>
    <n v="151.58600000000001"/>
    <s v="na"/>
    <s v="FWL"/>
    <s v="na"/>
    <s v="na"/>
    <s v="F1840"/>
    <s v="na"/>
    <s v="na"/>
    <s v="na"/>
    <s v="na"/>
    <s v="na"/>
  </r>
  <r>
    <n v="1123"/>
    <x v="42"/>
    <n v="1"/>
    <x v="12"/>
    <x v="0"/>
    <x v="0"/>
    <m/>
    <m/>
    <n v="46"/>
    <m/>
    <s v="U"/>
    <m/>
    <d v="1899-12-30T00:16:00"/>
    <s v="10:37"/>
    <s v="DJ"/>
    <m/>
    <s v="20140724 NCollin"/>
    <s v="20140725 LAckein"/>
    <s v="x"/>
    <s v="x"/>
    <s v="na"/>
    <s v="FWL"/>
    <s v="na"/>
    <s v="na"/>
    <s v="na"/>
    <s v="na"/>
    <s v="na"/>
    <s v="na"/>
    <s v="na"/>
    <s v="na"/>
  </r>
  <r>
    <n v="1124"/>
    <x v="42"/>
    <n v="1"/>
    <x v="12"/>
    <x v="0"/>
    <x v="0"/>
    <m/>
    <m/>
    <n v="45"/>
    <m/>
    <s v="M"/>
    <m/>
    <d v="1899-12-30T00:26:00"/>
    <s v="10:39"/>
    <s v="DJ"/>
    <m/>
    <s v="20140724 NCollin"/>
    <s v="20140725 LAckein"/>
    <s v="x"/>
    <s v="x"/>
    <s v="na"/>
    <s v="FWL"/>
    <s v="na"/>
    <s v="na"/>
    <s v="na"/>
    <s v="na"/>
    <s v="na"/>
    <s v="na"/>
    <s v="na"/>
    <s v="na"/>
  </r>
  <r>
    <n v="1125"/>
    <x v="42"/>
    <n v="1"/>
    <x v="12"/>
    <x v="0"/>
    <x v="0"/>
    <m/>
    <m/>
    <n v="47"/>
    <m/>
    <s v="F"/>
    <m/>
    <d v="1899-12-30T00:23:00"/>
    <s v="11:50"/>
    <s v="NC"/>
    <m/>
    <s v="20140724 NCollin"/>
    <s v="20140725 LAckein"/>
    <s v="x"/>
    <s v="x"/>
    <s v="na"/>
    <s v="FWL"/>
    <s v="na"/>
    <s v="na"/>
    <s v="na"/>
    <s v="na"/>
    <s v="na"/>
    <s v="na"/>
    <s v="na"/>
    <s v="na"/>
  </r>
  <r>
    <n v="1126"/>
    <x v="42"/>
    <n v="1"/>
    <x v="12"/>
    <x v="0"/>
    <x v="0"/>
    <m/>
    <m/>
    <n v="44"/>
    <m/>
    <s v="F"/>
    <m/>
    <d v="1899-12-30T00:23:00"/>
    <s v="11:51"/>
    <s v="NC"/>
    <m/>
    <s v="20140724 NCollin"/>
    <s v="20140725 LAckein"/>
    <s v="x"/>
    <s v="x"/>
    <s v="na"/>
    <s v="FWL"/>
    <s v="na"/>
    <s v="na"/>
    <s v="na"/>
    <s v="na"/>
    <s v="na"/>
    <s v="na"/>
    <s v="na"/>
    <s v="na"/>
  </r>
  <r>
    <n v="1127"/>
    <x v="42"/>
    <n v="1"/>
    <x v="12"/>
    <x v="0"/>
    <x v="0"/>
    <m/>
    <m/>
    <n v="46"/>
    <m/>
    <s v="F"/>
    <m/>
    <d v="1899-12-30T00:19:00"/>
    <s v="11:52"/>
    <s v="NC"/>
    <m/>
    <s v="20140724 NCollin"/>
    <s v="20140725 LAckein"/>
    <s v="x"/>
    <s v="x"/>
    <s v="na"/>
    <s v="FWL"/>
    <s v="na"/>
    <s v="na"/>
    <s v="na"/>
    <s v="na"/>
    <s v="na"/>
    <s v="na"/>
    <s v="na"/>
    <s v="na"/>
  </r>
  <r>
    <n v="1128"/>
    <x v="42"/>
    <n v="1"/>
    <x v="10"/>
    <x v="0"/>
    <x v="7"/>
    <n v="14"/>
    <s v="22 CM"/>
    <n v="56"/>
    <m/>
    <s v="U"/>
    <m/>
    <d v="1899-12-30T00:56:00"/>
    <s v="17:14"/>
    <s v="EG"/>
    <m/>
    <s v="20140724 EGora"/>
    <s v="20140725 LAckein"/>
    <s v="x"/>
    <n v="151.56399999999999"/>
    <s v="na"/>
    <s v="FWL"/>
    <s v="na"/>
    <s v="na"/>
    <s v="F1840"/>
    <s v="na"/>
    <s v="na"/>
    <s v="na"/>
    <s v="na"/>
    <s v="na"/>
  </r>
  <r>
    <n v="1129"/>
    <x v="42"/>
    <n v="1"/>
    <x v="10"/>
    <x v="0"/>
    <x v="0"/>
    <m/>
    <m/>
    <n v="59"/>
    <m/>
    <s v="U"/>
    <d v="1899-12-30T17:46:00"/>
    <d v="1899-12-30T00:55:00"/>
    <s v="18:00"/>
    <s v="EG"/>
    <s v="no tag, reached daily limit, hit deck after measurement"/>
    <s v="20140724 EGora"/>
    <s v="20140725 LAckein"/>
    <d v="1899-12-30T00:13:05"/>
    <s v="x"/>
    <s v="na"/>
    <s v="FWL"/>
    <s v="na"/>
    <s v="na"/>
    <s v="na"/>
    <s v="na"/>
    <s v="na"/>
    <s v="na"/>
    <s v="na"/>
    <s v="na"/>
  </r>
  <r>
    <n v="1130"/>
    <x v="42"/>
    <n v="1"/>
    <x v="10"/>
    <x v="0"/>
    <x v="0"/>
    <m/>
    <m/>
    <n v="60"/>
    <m/>
    <s v="U"/>
    <d v="1899-12-30T17:57:00"/>
    <d v="1899-12-30T00:58:00"/>
    <s v="18:02"/>
    <s v="EG"/>
    <m/>
    <s v="20140724 EGora"/>
    <s v="20140725 LAckein"/>
    <d v="1899-12-30T00:04:02"/>
    <s v="x"/>
    <s v="na"/>
    <s v="FWL"/>
    <s v="na"/>
    <s v="na"/>
    <s v="na"/>
    <s v="na"/>
    <s v="na"/>
    <s v="na"/>
    <s v="na"/>
    <s v="na"/>
  </r>
  <r>
    <n v="1131"/>
    <x v="42"/>
    <n v="1"/>
    <x v="7"/>
    <x v="0"/>
    <x v="6"/>
    <n v="19"/>
    <s v="50 S"/>
    <n v="58"/>
    <m/>
    <s v="U"/>
    <m/>
    <d v="1899-12-30T01:01:00"/>
    <s v="19:58"/>
    <s v="JB"/>
    <m/>
    <s v="20140724 EGora"/>
    <s v="20140725 LAckein"/>
    <s v="x"/>
    <n v="151.57300000000001"/>
    <s v="na"/>
    <s v="FWL"/>
    <s v="na"/>
    <s v="na"/>
    <s v="F1840"/>
    <s v="na"/>
    <s v="na"/>
    <s v="na"/>
    <s v="na"/>
    <s v="na"/>
  </r>
  <r>
    <n v="1132"/>
    <x v="42"/>
    <n v="2"/>
    <x v="10"/>
    <x v="0"/>
    <x v="7"/>
    <n v="20"/>
    <s v="21 CM"/>
    <n v="65"/>
    <m/>
    <s v="U"/>
    <m/>
    <d v="1899-12-30T01:15:00"/>
    <s v="13:00"/>
    <s v="DJ"/>
    <m/>
    <s v="20140724 DJohnson"/>
    <s v="20140725 LAckein"/>
    <s v="x"/>
    <n v="151.56399999999999"/>
    <s v="na"/>
    <s v="FWL"/>
    <s v="na"/>
    <s v="na"/>
    <s v="F1840"/>
    <s v="na"/>
    <s v="na"/>
    <s v="na"/>
    <s v="na"/>
    <s v="na"/>
  </r>
  <r>
    <n v="1133"/>
    <x v="42"/>
    <n v="2"/>
    <x v="10"/>
    <x v="0"/>
    <x v="0"/>
    <m/>
    <m/>
    <n v="57"/>
    <m/>
    <s v="U"/>
    <m/>
    <d v="1899-12-30T00:22:00"/>
    <s v="18:32"/>
    <s v="JB"/>
    <m/>
    <s v="20140724 JBerry"/>
    <s v="20140725 LAckein"/>
    <s v="x"/>
    <s v="x"/>
    <s v="na"/>
    <s v="FWL"/>
    <s v="na"/>
    <s v="na"/>
    <s v="na"/>
    <s v="na"/>
    <s v="na"/>
    <s v="na"/>
    <s v="na"/>
    <s v="na"/>
  </r>
  <r>
    <n v="1134"/>
    <x v="42"/>
    <n v="2"/>
    <x v="7"/>
    <x v="0"/>
    <x v="6"/>
    <n v="87"/>
    <s v="49 S"/>
    <n v="47"/>
    <m/>
    <s v="U"/>
    <m/>
    <d v="1899-12-30T01:03:00"/>
    <s v="18:38"/>
    <s v="EG"/>
    <m/>
    <s v="20140724 JBerry"/>
    <s v="20140725 LAckein"/>
    <s v="x"/>
    <n v="151.57300000000001"/>
    <s v="na"/>
    <s v="FWL"/>
    <s v="na"/>
    <s v="na"/>
    <s v="F1840"/>
    <s v="na"/>
    <s v="na"/>
    <s v="na"/>
    <s v="na"/>
    <s v="na"/>
  </r>
  <r>
    <n v="1135"/>
    <x v="42"/>
    <n v="2"/>
    <x v="10"/>
    <x v="0"/>
    <x v="0"/>
    <m/>
    <m/>
    <n v="57"/>
    <m/>
    <s v="U"/>
    <m/>
    <d v="1899-12-30T00:50:00"/>
    <s v="18:40"/>
    <s v="EG"/>
    <m/>
    <s v="20140724 JBerry"/>
    <s v="20140725 LAckein"/>
    <s v="x"/>
    <s v="x"/>
    <s v="na"/>
    <s v="FWL"/>
    <s v="na"/>
    <s v="na"/>
    <s v="na"/>
    <s v="na"/>
    <s v="na"/>
    <s v="na"/>
    <s v="na"/>
    <s v="na"/>
  </r>
  <r>
    <n v="1136"/>
    <x v="42"/>
    <n v="3"/>
    <x v="12"/>
    <x v="0"/>
    <x v="0"/>
    <m/>
    <m/>
    <m/>
    <m/>
    <s v="U"/>
    <d v="1899-12-30T07:55:00"/>
    <d v="1899-12-30T00:21:00"/>
    <s v="08:01"/>
    <s v="JB"/>
    <s v="Fish jumped out of trough-hit deck into water"/>
    <s v="20140724 JBerry"/>
    <s v="20140725 LAckein"/>
    <d v="1899-12-30T00:05:39"/>
    <s v="x"/>
    <s v="na"/>
    <s v="FWL"/>
    <s v="na"/>
    <s v="na"/>
    <s v="na"/>
    <s v="na"/>
    <s v="na"/>
    <s v="na"/>
    <s v="na"/>
    <s v="na"/>
  </r>
  <r>
    <n v="1137"/>
    <x v="42"/>
    <n v="3"/>
    <x v="12"/>
    <x v="0"/>
    <x v="13"/>
    <n v="94"/>
    <s v="17 P"/>
    <n v="47"/>
    <m/>
    <s v="F"/>
    <d v="1899-12-30T08:25:00"/>
    <d v="1899-12-30T01:10:00"/>
    <s v="08:26"/>
    <s v="EG"/>
    <m/>
    <s v="20140724 JBerry"/>
    <s v="20140725 LAckein"/>
    <d v="1899-12-30T00:00:00"/>
    <n v="151.51499999999999"/>
    <s v="na"/>
    <s v="FWL"/>
    <s v="na"/>
    <s v="na"/>
    <s v="F1835"/>
    <s v="na"/>
    <s v="na"/>
    <s v="na"/>
    <s v="na"/>
    <s v="na"/>
  </r>
  <r>
    <n v="1138"/>
    <x v="42"/>
    <n v="3"/>
    <x v="12"/>
    <x v="0"/>
    <x v="12"/>
    <n v="61"/>
    <s v="18 P"/>
    <n v="42"/>
    <m/>
    <s v="F"/>
    <m/>
    <d v="1899-12-30T01:00:00"/>
    <s v="08:32"/>
    <s v="EG"/>
    <m/>
    <s v="20140724 JBerry"/>
    <s v="20140725 LAckein"/>
    <s v="x"/>
    <n v="151.596"/>
    <s v="na"/>
    <s v="FWL"/>
    <s v="na"/>
    <s v="na"/>
    <s v="F1835"/>
    <s v="na"/>
    <s v="na"/>
    <s v="na"/>
    <s v="na"/>
    <s v="na"/>
  </r>
  <r>
    <n v="1139"/>
    <x v="42"/>
    <n v="3"/>
    <x v="12"/>
    <x v="0"/>
    <x v="0"/>
    <m/>
    <m/>
    <m/>
    <m/>
    <s v="U"/>
    <m/>
    <m/>
    <m/>
    <m/>
    <s v="no tag, reached wheel tag limit.  Two pinks caught in net one jumped out on platform.  Put in water."/>
    <s v="20140724 JBerry"/>
    <s v="20140725 LAckein"/>
    <s v="x"/>
    <s v="x"/>
    <s v="na"/>
    <s v="FWL"/>
    <s v="na"/>
    <s v="na"/>
    <s v="na"/>
    <s v="na"/>
    <s v="na"/>
    <s v="na"/>
    <s v="na"/>
    <s v="na"/>
  </r>
  <r>
    <n v="1140"/>
    <x v="42"/>
    <n v="3"/>
    <x v="12"/>
    <x v="0"/>
    <x v="0"/>
    <m/>
    <m/>
    <n v="41"/>
    <m/>
    <s v="M"/>
    <m/>
    <d v="1899-12-30T00:40:00"/>
    <s v="08:36"/>
    <s v="EG"/>
    <m/>
    <s v="20140724 JBerry"/>
    <s v="20140725 LAckein"/>
    <s v="x"/>
    <s v="x"/>
    <s v="na"/>
    <s v="FWL"/>
    <s v="na"/>
    <s v="na"/>
    <s v="na"/>
    <s v="na"/>
    <s v="na"/>
    <s v="na"/>
    <s v="na"/>
    <s v="na"/>
  </r>
  <r>
    <n v="1141"/>
    <x v="42"/>
    <n v="3"/>
    <x v="10"/>
    <x v="0"/>
    <x v="11"/>
    <n v="28"/>
    <s v="18 CM"/>
    <n v="61"/>
    <m/>
    <s v="U"/>
    <d v="1899-12-30T08:29:00"/>
    <d v="1899-12-30T01:08:00"/>
    <s v="08:38"/>
    <s v="JB"/>
    <m/>
    <s v="20140724 JBerry"/>
    <s v="20140725 LAckein"/>
    <d v="1899-12-30T00:07:52"/>
    <n v="151.53399999999999"/>
    <s v="na"/>
    <s v="FWL"/>
    <s v="na"/>
    <s v="na"/>
    <s v="F1840"/>
    <s v="na"/>
    <s v="na"/>
    <s v="na"/>
    <s v="na"/>
    <s v="na"/>
  </r>
  <r>
    <n v="1142"/>
    <x v="42"/>
    <n v="3"/>
    <x v="12"/>
    <x v="0"/>
    <x v="0"/>
    <m/>
    <m/>
    <n v="42"/>
    <m/>
    <s v="M"/>
    <m/>
    <d v="1899-12-30T00:28:00"/>
    <s v="08:41"/>
    <s v="JB"/>
    <m/>
    <s v="20140724 JBerry"/>
    <s v="20140725 LAckein"/>
    <s v="x"/>
    <s v="x"/>
    <s v="na"/>
    <s v="FWL"/>
    <s v="na"/>
    <s v="na"/>
    <s v="na"/>
    <s v="na"/>
    <s v="na"/>
    <s v="na"/>
    <s v="na"/>
    <s v="na"/>
  </r>
  <r>
    <n v="1143"/>
    <x v="42"/>
    <n v="3"/>
    <x v="10"/>
    <x v="0"/>
    <x v="7"/>
    <n v="86"/>
    <s v="17 CM"/>
    <n v="57"/>
    <m/>
    <s v="U"/>
    <m/>
    <d v="1899-12-30T01:06:00"/>
    <s v="08:45"/>
    <s v="JB"/>
    <m/>
    <s v="20140724 JBerry"/>
    <s v="20140725 LAckein"/>
    <s v="x"/>
    <n v="151.56399999999999"/>
    <s v="na"/>
    <s v="FWL"/>
    <s v="na"/>
    <s v="na"/>
    <s v="F1840"/>
    <s v="na"/>
    <s v="na"/>
    <s v="na"/>
    <s v="na"/>
    <s v="na"/>
  </r>
  <r>
    <n v="1144"/>
    <x v="42"/>
    <n v="3"/>
    <x v="12"/>
    <x v="0"/>
    <x v="0"/>
    <m/>
    <m/>
    <n v="47"/>
    <m/>
    <s v="F"/>
    <m/>
    <d v="1899-12-30T00:28:00"/>
    <s v="09:03"/>
    <s v="JB"/>
    <s v="another pink went in a few seconds later"/>
    <s v="20140724 JBerry"/>
    <s v="20140725 LAckein"/>
    <s v="x"/>
    <s v="x"/>
    <s v="na"/>
    <s v="FWL"/>
    <s v="na"/>
    <s v="na"/>
    <s v="na"/>
    <s v="na"/>
    <s v="na"/>
    <s v="na"/>
    <s v="na"/>
    <s v="na"/>
  </r>
  <r>
    <n v="1145"/>
    <x v="42"/>
    <n v="3"/>
    <x v="12"/>
    <x v="0"/>
    <x v="0"/>
    <m/>
    <m/>
    <n v="45"/>
    <m/>
    <s v="F"/>
    <m/>
    <d v="1899-12-30T00:27:00"/>
    <s v="09:04"/>
    <s v="JB"/>
    <m/>
    <s v="20140724 JBerry"/>
    <s v="20140725 LAckein"/>
    <s v="x"/>
    <s v="x"/>
    <s v="na"/>
    <s v="FWL"/>
    <s v="na"/>
    <s v="na"/>
    <s v="na"/>
    <s v="na"/>
    <s v="na"/>
    <s v="na"/>
    <s v="na"/>
    <s v="na"/>
  </r>
  <r>
    <n v="1146"/>
    <x v="42"/>
    <n v="3"/>
    <x v="12"/>
    <x v="0"/>
    <x v="0"/>
    <m/>
    <m/>
    <n v="44"/>
    <m/>
    <s v="F"/>
    <m/>
    <d v="1899-12-30T00:25:00"/>
    <s v="09:35"/>
    <s v="EG"/>
    <m/>
    <s v="20140724 JBerry"/>
    <s v="20140725 LAckein"/>
    <s v="x"/>
    <s v="x"/>
    <s v="na"/>
    <s v="FWL"/>
    <s v="na"/>
    <s v="na"/>
    <s v="na"/>
    <s v="na"/>
    <s v="na"/>
    <s v="na"/>
    <s v="na"/>
    <s v="na"/>
  </r>
  <r>
    <n v="1147"/>
    <x v="42"/>
    <n v="3"/>
    <x v="12"/>
    <x v="0"/>
    <x v="0"/>
    <m/>
    <m/>
    <n v="45"/>
    <m/>
    <s v="F"/>
    <m/>
    <d v="1899-12-30T00:30:00"/>
    <s v="09:36"/>
    <s v="JB"/>
    <m/>
    <s v="20140724 JBerry"/>
    <s v="20140725 LAckein"/>
    <s v="x"/>
    <s v="x"/>
    <s v="na"/>
    <s v="FWL"/>
    <s v="na"/>
    <s v="na"/>
    <s v="na"/>
    <s v="na"/>
    <s v="na"/>
    <s v="na"/>
    <s v="na"/>
    <s v="na"/>
  </r>
  <r>
    <n v="1148"/>
    <x v="42"/>
    <n v="3"/>
    <x v="12"/>
    <x v="0"/>
    <x v="0"/>
    <m/>
    <m/>
    <n v="44"/>
    <m/>
    <s v="F"/>
    <m/>
    <d v="1899-12-30T00:26:00"/>
    <s v="09:41"/>
    <s v="EG"/>
    <m/>
    <s v="20140724 JBerry"/>
    <s v="20140725 LAckein"/>
    <s v="x"/>
    <s v="x"/>
    <s v="na"/>
    <s v="FWL"/>
    <s v="na"/>
    <s v="na"/>
    <s v="na"/>
    <s v="na"/>
    <s v="na"/>
    <s v="na"/>
    <s v="na"/>
    <s v="na"/>
  </r>
  <r>
    <n v="1149"/>
    <x v="42"/>
    <n v="3"/>
    <x v="4"/>
    <x v="1"/>
    <x v="3"/>
    <n v="24"/>
    <s v="606 K"/>
    <n v="47"/>
    <m/>
    <s v="U"/>
    <m/>
    <d v="1899-12-30T00:45:00"/>
    <s v="09:43"/>
    <s v="JB"/>
    <m/>
    <s v="20140724 JBerry"/>
    <s v="20140725 LAckein"/>
    <s v="x"/>
    <n v="151.917"/>
    <s v="na"/>
    <s v="FWL"/>
    <s v="na"/>
    <s v="na"/>
    <s v="F1835"/>
    <s v="na"/>
    <s v="na"/>
    <s v="na"/>
    <s v="na"/>
    <s v="na"/>
  </r>
  <r>
    <n v="1150"/>
    <x v="42"/>
    <n v="3"/>
    <x v="12"/>
    <x v="0"/>
    <x v="0"/>
    <m/>
    <m/>
    <n v="46"/>
    <m/>
    <s v="F"/>
    <m/>
    <d v="1899-12-30T00:26:00"/>
    <s v="09:44"/>
    <s v="EG"/>
    <m/>
    <s v="20140724 JBerry"/>
    <s v="20140725 LAckein"/>
    <s v="x"/>
    <s v="x"/>
    <s v="na"/>
    <s v="FWL"/>
    <s v="na"/>
    <s v="na"/>
    <s v="na"/>
    <s v="na"/>
    <s v="na"/>
    <s v="na"/>
    <s v="na"/>
    <s v="na"/>
  </r>
  <r>
    <n v="1151"/>
    <x v="42"/>
    <n v="3"/>
    <x v="12"/>
    <x v="0"/>
    <x v="0"/>
    <m/>
    <m/>
    <n v="44"/>
    <m/>
    <s v="F"/>
    <d v="1899-12-30T10:13:00"/>
    <d v="1899-12-30T00:35:00"/>
    <s v="10:16"/>
    <s v="EG"/>
    <m/>
    <s v="20140724 JBerry"/>
    <s v="20140725 LAckein"/>
    <d v="1899-12-30T00:02:25"/>
    <s v="x"/>
    <s v="na"/>
    <s v="FWL"/>
    <s v="na"/>
    <s v="na"/>
    <s v="na"/>
    <s v="na"/>
    <s v="na"/>
    <s v="na"/>
    <s v="na"/>
    <s v="na"/>
  </r>
  <r>
    <n v="1152"/>
    <x v="42"/>
    <n v="3"/>
    <x v="12"/>
    <x v="0"/>
    <x v="0"/>
    <m/>
    <m/>
    <n v="44"/>
    <m/>
    <s v="F"/>
    <m/>
    <d v="1899-12-30T00:28:00"/>
    <s v="10:36"/>
    <s v="JB"/>
    <m/>
    <s v="20140724 JBerry"/>
    <s v="20140725 LAckein"/>
    <s v="x"/>
    <s v="x"/>
    <s v="na"/>
    <s v="FWL"/>
    <s v="na"/>
    <s v="na"/>
    <s v="na"/>
    <s v="na"/>
    <s v="na"/>
    <s v="na"/>
    <s v="na"/>
    <s v="na"/>
  </r>
  <r>
    <n v="1153"/>
    <x v="42"/>
    <n v="3"/>
    <x v="12"/>
    <x v="0"/>
    <x v="0"/>
    <m/>
    <m/>
    <n v="47"/>
    <m/>
    <s v="F"/>
    <m/>
    <d v="1899-12-30T00:28:00"/>
    <s v="12:12"/>
    <s v="HR"/>
    <m/>
    <s v="20104724 LAckein"/>
    <s v="20140725 LAckein"/>
    <s v="x"/>
    <s v="x"/>
    <s v="na"/>
    <s v="FWL"/>
    <s v="na"/>
    <s v="na"/>
    <s v="na"/>
    <s v="na"/>
    <s v="na"/>
    <s v="na"/>
    <s v="na"/>
    <s v="na"/>
  </r>
  <r>
    <n v="1154"/>
    <x v="42"/>
    <n v="3"/>
    <x v="12"/>
    <x v="0"/>
    <x v="0"/>
    <m/>
    <m/>
    <n v="44"/>
    <m/>
    <s v="M"/>
    <m/>
    <d v="1899-12-30T00:30:00"/>
    <s v="12:18"/>
    <s v="HR"/>
    <m/>
    <s v="20104724 LAckein"/>
    <s v="20140725 LAckein"/>
    <s v="x"/>
    <s v="x"/>
    <s v="na"/>
    <s v="FWL"/>
    <s v="na"/>
    <s v="na"/>
    <s v="na"/>
    <s v="na"/>
    <s v="na"/>
    <s v="na"/>
    <s v="na"/>
    <s v="na"/>
  </r>
  <r>
    <n v="1155"/>
    <x v="42"/>
    <n v="3"/>
    <x v="10"/>
    <x v="0"/>
    <x v="11"/>
    <n v="72"/>
    <s v="19 CM"/>
    <n v="65"/>
    <m/>
    <s v="U"/>
    <m/>
    <d v="1899-12-30T01:04:00"/>
    <s v="12:20"/>
    <s v="HR"/>
    <m/>
    <s v="20104724 LAckein"/>
    <s v="20140725 LAckein"/>
    <s v="x"/>
    <n v="151.53399999999999"/>
    <s v="na"/>
    <s v="FWL"/>
    <s v="na"/>
    <s v="na"/>
    <s v="F1840"/>
    <s v="na"/>
    <s v="na"/>
    <s v="na"/>
    <s v="na"/>
    <s v="na"/>
  </r>
  <r>
    <n v="1156"/>
    <x v="42"/>
    <n v="3"/>
    <x v="10"/>
    <x v="0"/>
    <x v="11"/>
    <n v="4"/>
    <s v="25 CM"/>
    <n v="62"/>
    <m/>
    <s v="U"/>
    <m/>
    <d v="1899-12-30T01:09:00"/>
    <s v="12:28"/>
    <s v="LA"/>
    <m/>
    <s v="20104724 LAckein"/>
    <s v="20140725 LAckein"/>
    <s v="x"/>
    <n v="151.53399999999999"/>
    <s v="na"/>
    <s v="FWL"/>
    <s v="na"/>
    <s v="na"/>
    <s v="F1840"/>
    <s v="na"/>
    <s v="na"/>
    <s v="na"/>
    <s v="na"/>
    <s v="na"/>
  </r>
  <r>
    <n v="1157"/>
    <x v="42"/>
    <n v="3"/>
    <x v="0"/>
    <x v="2"/>
    <x v="0"/>
    <m/>
    <m/>
    <m/>
    <n v="17"/>
    <s v="U"/>
    <m/>
    <d v="1899-12-30T00:24:00"/>
    <s v="12:30"/>
    <s v="HR"/>
    <m/>
    <s v="20104724 LAckein"/>
    <s v="20140725 LAckein"/>
    <s v="x"/>
    <s v="x"/>
    <s v="na"/>
    <s v="FWL"/>
    <s v="na"/>
    <s v="na"/>
    <s v="na"/>
    <s v="na"/>
    <s v="na"/>
    <s v="na"/>
    <s v="na"/>
    <s v="na"/>
  </r>
  <r>
    <n v="1158"/>
    <x v="42"/>
    <n v="3"/>
    <x v="7"/>
    <x v="0"/>
    <x v="10"/>
    <n v="1"/>
    <s v="58 S"/>
    <n v="56"/>
    <m/>
    <s v="U"/>
    <m/>
    <d v="1899-12-30T00:57:00"/>
    <s v="13:18"/>
    <s v="LA"/>
    <m/>
    <s v="20104724 LAckein"/>
    <s v="20140725 LAckein"/>
    <s v="x"/>
    <n v="151.58600000000001"/>
    <s v="na"/>
    <s v="FWL"/>
    <s v="na"/>
    <s v="na"/>
    <s v="F1840"/>
    <s v="na"/>
    <s v="na"/>
    <s v="na"/>
    <s v="na"/>
    <s v="na"/>
  </r>
  <r>
    <n v="1159"/>
    <x v="42"/>
    <n v="3"/>
    <x v="10"/>
    <x v="0"/>
    <x v="0"/>
    <m/>
    <m/>
    <n v="61"/>
    <m/>
    <s v="U"/>
    <m/>
    <d v="1899-12-30T00:24:00"/>
    <s v="17:22"/>
    <s v="NC"/>
    <m/>
    <s v="20140724 DJohnson"/>
    <s v="20140725 LAckein"/>
    <s v="x"/>
    <s v="x"/>
    <s v="na"/>
    <s v="FWL"/>
    <s v="na"/>
    <s v="na"/>
    <s v="na"/>
    <s v="na"/>
    <s v="na"/>
    <s v="na"/>
    <s v="na"/>
    <s v="na"/>
  </r>
  <r>
    <n v="1160"/>
    <x v="42"/>
    <n v="3"/>
    <x v="10"/>
    <x v="0"/>
    <x v="0"/>
    <m/>
    <m/>
    <n v="59"/>
    <m/>
    <s v="U"/>
    <m/>
    <d v="1899-12-30T00:24:00"/>
    <s v="17:23"/>
    <s v="NC"/>
    <m/>
    <s v="20140724 DJohnson"/>
    <s v="20140725 LAckein"/>
    <s v="x"/>
    <s v="x"/>
    <s v="na"/>
    <s v="FWL"/>
    <s v="na"/>
    <s v="na"/>
    <s v="na"/>
    <s v="na"/>
    <s v="na"/>
    <s v="na"/>
    <s v="na"/>
    <s v="na"/>
  </r>
  <r>
    <n v="1161"/>
    <x v="42"/>
    <n v="3"/>
    <x v="0"/>
    <x v="2"/>
    <x v="0"/>
    <m/>
    <m/>
    <m/>
    <n v="53"/>
    <s v="U"/>
    <m/>
    <d v="1899-12-30T00:46:00"/>
    <s v="18:15"/>
    <s v="DJ"/>
    <m/>
    <s v="20140724 DJohnson"/>
    <s v="20140725 LAckein"/>
    <s v="x"/>
    <s v="x"/>
    <s v="na"/>
    <s v="FWL"/>
    <s v="na"/>
    <s v="na"/>
    <s v="na"/>
    <s v="na"/>
    <s v="na"/>
    <s v="na"/>
    <s v="na"/>
    <s v="na"/>
  </r>
  <r>
    <n v="1162"/>
    <x v="42"/>
    <n v="3"/>
    <x v="4"/>
    <x v="1"/>
    <x v="3"/>
    <n v="33"/>
    <s v="607 K"/>
    <n v="49"/>
    <m/>
    <s v="U"/>
    <m/>
    <d v="1899-12-30T00:51:00"/>
    <s v="18:45"/>
    <s v="DJ"/>
    <m/>
    <s v="20140724 DJohnson"/>
    <s v="20140725 LAckein"/>
    <s v="x"/>
    <n v="151.917"/>
    <s v="na"/>
    <s v="FWL"/>
    <s v="na"/>
    <s v="na"/>
    <s v="F1835"/>
    <s v="na"/>
    <s v="na"/>
    <s v="na"/>
    <s v="na"/>
    <s v="na"/>
  </r>
  <r>
    <n v="1163"/>
    <x v="42"/>
    <n v="3"/>
    <x v="10"/>
    <x v="0"/>
    <x v="0"/>
    <m/>
    <m/>
    <n v="61"/>
    <m/>
    <s v="U"/>
    <m/>
    <d v="1899-12-30T00:32:00"/>
    <s v="18:48"/>
    <s v="DJ"/>
    <m/>
    <s v="20140724 DJohnson"/>
    <s v="20140725 LAckein"/>
    <s v="x"/>
    <s v="x"/>
    <s v="na"/>
    <s v="FWL"/>
    <s v="na"/>
    <s v="na"/>
    <s v="na"/>
    <s v="na"/>
    <s v="na"/>
    <s v="na"/>
    <s v="na"/>
    <s v="na"/>
  </r>
  <r>
    <n v="1164"/>
    <x v="42"/>
    <n v="3"/>
    <x v="7"/>
    <x v="0"/>
    <x v="10"/>
    <n v="99"/>
    <s v="35 S"/>
    <n v="48"/>
    <m/>
    <s v="U"/>
    <m/>
    <d v="1899-12-30T02:00:00"/>
    <s v="19:28"/>
    <s v="NC"/>
    <s v="vial 59 went overboard"/>
    <s v="20140724 DJohnson"/>
    <s v="20140725 LAckein"/>
    <s v="x"/>
    <n v="151.58600000000001"/>
    <s v="na"/>
    <s v="FWL"/>
    <s v="na"/>
    <s v="na"/>
    <s v="F1840"/>
    <s v="na"/>
    <s v="na"/>
    <s v="na"/>
    <s v="na"/>
    <s v="na"/>
  </r>
  <r>
    <n v="1165"/>
    <x v="42"/>
    <n v="3"/>
    <x v="10"/>
    <x v="0"/>
    <x v="0"/>
    <m/>
    <m/>
    <n v="66"/>
    <m/>
    <s v="U"/>
    <m/>
    <d v="1899-12-30T00:22:00"/>
    <s v="19:31"/>
    <s v="NC"/>
    <m/>
    <s v="20140724 DJohnson"/>
    <s v="20140725 LAckein"/>
    <s v="x"/>
    <s v="x"/>
    <s v="na"/>
    <s v="FWL"/>
    <s v="na"/>
    <s v="na"/>
    <s v="na"/>
    <s v="na"/>
    <s v="na"/>
    <s v="na"/>
    <s v="na"/>
    <s v="na"/>
  </r>
  <r>
    <n v="1166"/>
    <x v="42"/>
    <n v="3"/>
    <x v="10"/>
    <x v="0"/>
    <x v="0"/>
    <m/>
    <m/>
    <n v="63"/>
    <m/>
    <s v="U"/>
    <m/>
    <d v="1899-12-30T00:21:00"/>
    <s v="19:33"/>
    <s v="NC"/>
    <m/>
    <s v="20140724 DJohnson"/>
    <s v="20140725 LAckein"/>
    <s v="x"/>
    <s v="x"/>
    <s v="na"/>
    <s v="FWL"/>
    <s v="na"/>
    <s v="na"/>
    <s v="na"/>
    <s v="na"/>
    <s v="na"/>
    <s v="na"/>
    <s v="na"/>
    <s v="na"/>
  </r>
  <r>
    <n v="1167"/>
    <x v="43"/>
    <n v="1"/>
    <x v="12"/>
    <x v="0"/>
    <x v="12"/>
    <n v="72"/>
    <s v="25 P"/>
    <n v="42"/>
    <m/>
    <s v="U"/>
    <m/>
    <d v="1899-12-30T01:27:00"/>
    <s v="08:33"/>
    <s v="DJ"/>
    <m/>
    <s v="20140725 JBerry"/>
    <s v="20140726 LAckein"/>
    <s v="x"/>
    <n v="151.596"/>
    <s v="na"/>
    <s v="FWL"/>
    <s v="na"/>
    <s v="na"/>
    <s v="F1835"/>
    <s v="na"/>
    <s v="na"/>
    <s v="na"/>
    <s v="na"/>
    <s v="na"/>
  </r>
  <r>
    <n v="1168"/>
    <x v="43"/>
    <n v="1"/>
    <x v="12"/>
    <x v="0"/>
    <x v="13"/>
    <n v="92"/>
    <s v="27 P"/>
    <n v="42"/>
    <m/>
    <s v="U"/>
    <m/>
    <d v="1899-12-30T01:07:00"/>
    <s v="08:35"/>
    <s v="DJ"/>
    <m/>
    <s v="20140725 JBerry"/>
    <s v="20140726 LAckein"/>
    <s v="x"/>
    <n v="151.51499999999999"/>
    <s v="na"/>
    <s v="FWL"/>
    <s v="na"/>
    <s v="na"/>
    <s v="F1835"/>
    <s v="na"/>
    <s v="na"/>
    <s v="na"/>
    <s v="na"/>
    <s v="na"/>
  </r>
  <r>
    <n v="1169"/>
    <x v="43"/>
    <n v="1"/>
    <x v="12"/>
    <x v="0"/>
    <x v="0"/>
    <m/>
    <m/>
    <n v="46"/>
    <m/>
    <s v="F"/>
    <m/>
    <d v="1899-12-30T00:13:00"/>
    <s v="08:37"/>
    <s v="JB"/>
    <m/>
    <s v="20140725 JBerry"/>
    <s v="20140726 LAckein"/>
    <s v="x"/>
    <s v="x"/>
    <s v="na"/>
    <s v="FWL"/>
    <s v="na"/>
    <s v="na"/>
    <s v="na"/>
    <s v="na"/>
    <s v="na"/>
    <s v="na"/>
    <s v="na"/>
    <s v="na"/>
  </r>
  <r>
    <n v="1170"/>
    <x v="43"/>
    <n v="1"/>
    <x v="12"/>
    <x v="0"/>
    <x v="0"/>
    <m/>
    <m/>
    <n v="42"/>
    <m/>
    <s v="M"/>
    <m/>
    <d v="1899-12-30T00:24:00"/>
    <s v="08:37"/>
    <s v="JB"/>
    <m/>
    <s v="20140725 JBerry"/>
    <s v="20140726 LAckein"/>
    <s v="x"/>
    <s v="x"/>
    <s v="na"/>
    <s v="FWL"/>
    <s v="na"/>
    <s v="na"/>
    <s v="na"/>
    <s v="na"/>
    <s v="na"/>
    <s v="na"/>
    <s v="na"/>
    <s v="na"/>
  </r>
  <r>
    <n v="1171"/>
    <x v="43"/>
    <n v="1"/>
    <x v="12"/>
    <x v="0"/>
    <x v="0"/>
    <m/>
    <m/>
    <n v="42"/>
    <m/>
    <s v="F"/>
    <m/>
    <d v="1899-12-30T00:18:00"/>
    <s v="08:38"/>
    <s v="DJ"/>
    <m/>
    <s v="20140725 JBerry"/>
    <s v="20140726 LAckein"/>
    <s v="x"/>
    <s v="x"/>
    <s v="na"/>
    <s v="FWL"/>
    <s v="na"/>
    <s v="na"/>
    <s v="na"/>
    <s v="na"/>
    <s v="na"/>
    <s v="na"/>
    <s v="na"/>
    <s v="na"/>
  </r>
  <r>
    <n v="1172"/>
    <x v="43"/>
    <n v="1"/>
    <x v="12"/>
    <x v="0"/>
    <x v="0"/>
    <m/>
    <m/>
    <n v="45"/>
    <m/>
    <s v="M"/>
    <m/>
    <d v="1899-12-30T00:28:00"/>
    <s v="08:57"/>
    <s v="JB"/>
    <m/>
    <s v="20140725 JBerry"/>
    <s v="20140726 LAckein"/>
    <s v="x"/>
    <s v="x"/>
    <s v="na"/>
    <s v="FWL"/>
    <s v="na"/>
    <s v="na"/>
    <s v="na"/>
    <s v="na"/>
    <s v="na"/>
    <s v="na"/>
    <s v="na"/>
    <s v="na"/>
  </r>
  <r>
    <n v="1173"/>
    <x v="43"/>
    <n v="1"/>
    <x v="12"/>
    <x v="0"/>
    <x v="0"/>
    <m/>
    <m/>
    <n v="47"/>
    <m/>
    <s v="M"/>
    <m/>
    <d v="1899-12-30T00:22:00"/>
    <s v="09:51"/>
    <s v="DJ"/>
    <m/>
    <s v="20140725 JBerry"/>
    <s v="20140726 LAckein"/>
    <s v="x"/>
    <s v="x"/>
    <s v="na"/>
    <s v="FWL"/>
    <s v="na"/>
    <s v="na"/>
    <s v="na"/>
    <s v="na"/>
    <s v="na"/>
    <s v="na"/>
    <s v="na"/>
    <s v="na"/>
  </r>
  <r>
    <n v="1174"/>
    <x v="43"/>
    <n v="1"/>
    <x v="12"/>
    <x v="0"/>
    <x v="0"/>
    <m/>
    <m/>
    <n v="44"/>
    <m/>
    <s v="F"/>
    <m/>
    <d v="1899-12-30T00:20:00"/>
    <s v="09:52"/>
    <s v="DJ"/>
    <m/>
    <s v="20140725 JBerry"/>
    <s v="20140726 LAckein"/>
    <s v="x"/>
    <s v="x"/>
    <s v="na"/>
    <s v="FWL"/>
    <s v="na"/>
    <s v="na"/>
    <s v="na"/>
    <s v="na"/>
    <s v="na"/>
    <s v="na"/>
    <s v="na"/>
    <s v="na"/>
  </r>
  <r>
    <n v="1175"/>
    <x v="43"/>
    <n v="1"/>
    <x v="12"/>
    <x v="0"/>
    <x v="0"/>
    <m/>
    <m/>
    <n v="40"/>
    <m/>
    <s v="F"/>
    <m/>
    <d v="1899-12-30T00:18:00"/>
    <s v="09:53"/>
    <s v="DJ"/>
    <m/>
    <s v="20140725 JBerry"/>
    <s v="20140726 LAckein"/>
    <s v="x"/>
    <s v="x"/>
    <s v="na"/>
    <s v="FWL"/>
    <s v="na"/>
    <s v="na"/>
    <s v="na"/>
    <s v="na"/>
    <s v="na"/>
    <s v="na"/>
    <s v="na"/>
    <s v="na"/>
  </r>
  <r>
    <n v="1176"/>
    <x v="43"/>
    <n v="1"/>
    <x v="12"/>
    <x v="0"/>
    <x v="0"/>
    <m/>
    <m/>
    <n v="43"/>
    <m/>
    <s v="F"/>
    <m/>
    <d v="1899-12-30T00:19:00"/>
    <s v="09:54"/>
    <s v="DJ"/>
    <m/>
    <s v="20140725 JBerry"/>
    <s v="20140726 LAckein"/>
    <s v="x"/>
    <s v="x"/>
    <s v="na"/>
    <s v="FWL"/>
    <s v="na"/>
    <s v="na"/>
    <s v="na"/>
    <s v="na"/>
    <s v="na"/>
    <s v="na"/>
    <s v="na"/>
    <s v="na"/>
  </r>
  <r>
    <n v="1177"/>
    <x v="43"/>
    <n v="1"/>
    <x v="12"/>
    <x v="0"/>
    <x v="0"/>
    <m/>
    <m/>
    <n v="46"/>
    <m/>
    <s v="F"/>
    <m/>
    <d v="1899-12-30T00:14:00"/>
    <s v="09:55"/>
    <s v="DJ"/>
    <m/>
    <s v="20140725 JBerry"/>
    <s v="20140726 LAckein"/>
    <s v="x"/>
    <s v="x"/>
    <s v="na"/>
    <s v="FWL"/>
    <s v="na"/>
    <s v="na"/>
    <s v="na"/>
    <s v="na"/>
    <s v="na"/>
    <s v="na"/>
    <s v="na"/>
    <s v="na"/>
  </r>
  <r>
    <n v="1178"/>
    <x v="43"/>
    <n v="1"/>
    <x v="12"/>
    <x v="0"/>
    <x v="0"/>
    <m/>
    <m/>
    <n v="45"/>
    <m/>
    <s v="M"/>
    <m/>
    <d v="1899-12-30T00:14:00"/>
    <s v="09:55"/>
    <s v="DJ"/>
    <m/>
    <s v="20140725 JBerry"/>
    <s v="20140726 LAckein"/>
    <s v="x"/>
    <s v="x"/>
    <s v="na"/>
    <s v="FWL"/>
    <s v="na"/>
    <s v="na"/>
    <s v="na"/>
    <s v="na"/>
    <s v="na"/>
    <s v="na"/>
    <s v="na"/>
    <s v="na"/>
  </r>
  <r>
    <n v="1179"/>
    <x v="43"/>
    <n v="1"/>
    <x v="12"/>
    <x v="0"/>
    <x v="0"/>
    <m/>
    <m/>
    <n v="44"/>
    <m/>
    <s v="F"/>
    <m/>
    <d v="1899-12-30T00:16:00"/>
    <s v="09:56"/>
    <s v="DJ"/>
    <m/>
    <s v="20140725 JBerry"/>
    <s v="20140726 LAckein"/>
    <s v="x"/>
    <s v="x"/>
    <s v="na"/>
    <s v="FWL"/>
    <s v="na"/>
    <s v="na"/>
    <s v="na"/>
    <s v="na"/>
    <s v="na"/>
    <s v="na"/>
    <s v="na"/>
    <s v="na"/>
  </r>
  <r>
    <n v="1180"/>
    <x v="43"/>
    <n v="1"/>
    <x v="12"/>
    <x v="0"/>
    <x v="0"/>
    <m/>
    <m/>
    <n v="45"/>
    <m/>
    <s v="F"/>
    <m/>
    <d v="1899-12-30T00:17:00"/>
    <s v="09:57"/>
    <s v="DJ"/>
    <m/>
    <s v="20140725 JBerry"/>
    <s v="20140726 LAckein"/>
    <s v="x"/>
    <s v="x"/>
    <s v="na"/>
    <s v="FWL"/>
    <s v="na"/>
    <s v="na"/>
    <s v="na"/>
    <s v="na"/>
    <s v="na"/>
    <s v="na"/>
    <s v="na"/>
    <s v="na"/>
  </r>
  <r>
    <n v="1181"/>
    <x v="43"/>
    <n v="1"/>
    <x v="12"/>
    <x v="0"/>
    <x v="0"/>
    <m/>
    <m/>
    <n v="41"/>
    <m/>
    <s v="M"/>
    <m/>
    <d v="1899-12-30T00:20:00"/>
    <s v="09:58"/>
    <s v="DJ"/>
    <m/>
    <s v="20140725 JBerry"/>
    <s v="20140726 LAckein"/>
    <s v="x"/>
    <s v="x"/>
    <s v="na"/>
    <s v="FWL"/>
    <s v="na"/>
    <s v="na"/>
    <s v="na"/>
    <s v="na"/>
    <s v="na"/>
    <s v="na"/>
    <s v="na"/>
    <s v="na"/>
  </r>
  <r>
    <n v="1182"/>
    <x v="43"/>
    <n v="1"/>
    <x v="1"/>
    <x v="0"/>
    <x v="3"/>
    <n v="54"/>
    <s v="598 K"/>
    <n v="57"/>
    <m/>
    <s v="M"/>
    <m/>
    <d v="1899-12-30T00:56:00"/>
    <s v="13:37"/>
    <s v="JB"/>
    <s v="dark color, but appeared to be pre-spawn"/>
    <s v="20140725 JBerry"/>
    <s v="20140726 LAckein"/>
    <s v="x"/>
    <n v="151.917"/>
    <s v="na"/>
    <s v="FWL"/>
    <s v="na"/>
    <s v="na"/>
    <s v="F1835"/>
    <s v="na"/>
    <s v="na"/>
    <s v="na"/>
    <s v="na"/>
    <s v="na"/>
  </r>
  <r>
    <n v="1183"/>
    <x v="43"/>
    <n v="1"/>
    <x v="7"/>
    <x v="0"/>
    <x v="6"/>
    <n v="9"/>
    <s v="55 S"/>
    <n v="54"/>
    <m/>
    <s v="U"/>
    <m/>
    <d v="1899-12-30T01:26:00"/>
    <s v="19:24"/>
    <s v="NC"/>
    <m/>
    <s v="20140725 AStephens"/>
    <s v="20140726 LAckein"/>
    <s v="x"/>
    <n v="151.57300000000001"/>
    <s v="na"/>
    <s v="FWL"/>
    <s v="na"/>
    <s v="na"/>
    <s v="F1840"/>
    <s v="na"/>
    <s v="na"/>
    <s v="na"/>
    <s v="na"/>
    <s v="na"/>
  </r>
  <r>
    <n v="1184"/>
    <x v="43"/>
    <n v="1"/>
    <x v="10"/>
    <x v="0"/>
    <x v="0"/>
    <m/>
    <m/>
    <n v="62"/>
    <m/>
    <s v="M"/>
    <m/>
    <d v="1899-12-30T00:29:00"/>
    <s v="19:26"/>
    <s v="AS"/>
    <s v="kyped out"/>
    <s v="20140725 AStephens"/>
    <s v="20140726 LAckein"/>
    <s v="x"/>
    <s v="x"/>
    <s v="na"/>
    <s v="FWL"/>
    <s v="na"/>
    <s v="na"/>
    <s v="na"/>
    <s v="na"/>
    <s v="na"/>
    <s v="na"/>
    <s v="na"/>
    <s v="na"/>
  </r>
  <r>
    <n v="1185"/>
    <x v="43"/>
    <n v="2"/>
    <x v="10"/>
    <x v="0"/>
    <x v="7"/>
    <n v="30"/>
    <s v="23 CM"/>
    <n v="57"/>
    <m/>
    <s v="U"/>
    <m/>
    <d v="1899-12-30T00:48:00"/>
    <s v="09:07"/>
    <s v="JB"/>
    <m/>
    <s v="20140725 DJohnson"/>
    <s v="20140726 LAckein"/>
    <s v="x"/>
    <n v="151.56399999999999"/>
    <s v="na"/>
    <s v="FWL"/>
    <s v="na"/>
    <s v="na"/>
    <s v="F1840"/>
    <s v="na"/>
    <s v="na"/>
    <s v="na"/>
    <s v="na"/>
    <s v="na"/>
  </r>
  <r>
    <n v="1186"/>
    <x v="43"/>
    <n v="2"/>
    <x v="10"/>
    <x v="0"/>
    <x v="11"/>
    <n v="17"/>
    <s v="24 CM"/>
    <n v="64"/>
    <m/>
    <s v="U"/>
    <m/>
    <d v="1899-12-30T01:08:00"/>
    <s v="09:41"/>
    <s v="DJ"/>
    <m/>
    <s v="20140725 DJohnson"/>
    <s v="20140726 LAckein"/>
    <s v="x"/>
    <n v="151.53399999999999"/>
    <s v="na"/>
    <s v="FWL"/>
    <s v="na"/>
    <s v="na"/>
    <s v="F1840"/>
    <s v="na"/>
    <s v="na"/>
    <s v="na"/>
    <s v="na"/>
    <s v="na"/>
  </r>
  <r>
    <n v="1187"/>
    <x v="43"/>
    <n v="2"/>
    <x v="10"/>
    <x v="0"/>
    <x v="7"/>
    <n v="68"/>
    <m/>
    <n v="62"/>
    <m/>
    <s v="U"/>
    <m/>
    <d v="1899-12-30T01:21:00"/>
    <s v="17:37"/>
    <s v="JK"/>
    <s v="discarded DNA (two clips in same vial)"/>
    <s v="20140725 AStephens"/>
    <s v="20140726 LAckein"/>
    <s v="x"/>
    <n v="151.56399999999999"/>
    <s v="na"/>
    <s v="FWL"/>
    <s v="na"/>
    <s v="na"/>
    <s v="F1840"/>
    <s v="na"/>
    <s v="na"/>
    <s v="na"/>
    <s v="na"/>
    <s v="na"/>
  </r>
  <r>
    <n v="1188"/>
    <x v="43"/>
    <n v="2"/>
    <x v="10"/>
    <x v="0"/>
    <x v="11"/>
    <n v="71"/>
    <s v="27 CM"/>
    <n v="59"/>
    <m/>
    <s v="U"/>
    <d v="1899-12-30T17:40:00"/>
    <d v="1899-12-30T00:52:00"/>
    <s v="18:11"/>
    <s v="AS"/>
    <m/>
    <s v="20140725 AStephens"/>
    <s v="20140726 LAckein"/>
    <d v="1899-12-30T00:30:08"/>
    <n v="151.53399999999999"/>
    <s v="na"/>
    <s v="FWL"/>
    <s v="na"/>
    <s v="na"/>
    <s v="F1840"/>
    <s v="na"/>
    <s v="na"/>
    <s v="na"/>
    <s v="na"/>
    <s v="na"/>
  </r>
  <r>
    <n v="1189"/>
    <x v="43"/>
    <n v="2"/>
    <x v="12"/>
    <x v="0"/>
    <x v="0"/>
    <m/>
    <m/>
    <n v="44"/>
    <m/>
    <s v="U"/>
    <m/>
    <d v="1899-12-30T00:40:00"/>
    <s v="18:13"/>
    <s v="AS"/>
    <s v="banged up snout"/>
    <s v="20140725 AStephens"/>
    <s v="20140726 LAckein"/>
    <s v="x"/>
    <s v="x"/>
    <s v="na"/>
    <s v="FWL"/>
    <s v="na"/>
    <s v="na"/>
    <s v="na"/>
    <s v="na"/>
    <s v="na"/>
    <s v="na"/>
    <s v="na"/>
    <s v="na"/>
  </r>
  <r>
    <n v="1190"/>
    <x v="43"/>
    <n v="2"/>
    <x v="10"/>
    <x v="0"/>
    <x v="11"/>
    <n v="63"/>
    <s v="28 CM"/>
    <n v="59"/>
    <m/>
    <s v="U"/>
    <m/>
    <d v="1899-12-30T01:04:00"/>
    <s v="18:39"/>
    <s v="AS"/>
    <s v="banged up snout"/>
    <s v="20140725 AStephens"/>
    <s v="20140726 LAckein"/>
    <s v="x"/>
    <n v="151.53399999999999"/>
    <s v="na"/>
    <s v="FWL"/>
    <s v="na"/>
    <s v="na"/>
    <s v="F1840"/>
    <s v="na"/>
    <s v="na"/>
    <s v="na"/>
    <s v="na"/>
    <s v="na"/>
  </r>
  <r>
    <n v="1191"/>
    <x v="43"/>
    <n v="2"/>
    <x v="7"/>
    <x v="0"/>
    <x v="14"/>
    <n v="92"/>
    <s v="116 S"/>
    <n v="58"/>
    <m/>
    <s v="U"/>
    <m/>
    <d v="1899-12-30T01:28:00"/>
    <s v="20:01"/>
    <s v="AS"/>
    <s v="beautiful, chrome.  After reviewing pictures, this was a SO, not a CO.  Changed genetic vial.  AS"/>
    <s v="20140725 AStephens"/>
    <s v="20140726 LAckein"/>
    <s v="x"/>
    <n v="151.32499999999999"/>
    <s v="na"/>
    <s v="FWL"/>
    <s v="na"/>
    <s v="na"/>
    <s v="F1840"/>
    <s v="na"/>
    <s v="na"/>
    <s v="na"/>
    <s v="na"/>
    <s v="na"/>
  </r>
  <r>
    <n v="1192"/>
    <x v="43"/>
    <n v="2"/>
    <x v="12"/>
    <x v="0"/>
    <x v="0"/>
    <m/>
    <m/>
    <n v="47"/>
    <m/>
    <s v="U"/>
    <d v="1899-12-30T20:00:00"/>
    <d v="1899-12-30T00:23:00"/>
    <s v="20:03"/>
    <s v="AS"/>
    <m/>
    <s v="20140725 AStephens"/>
    <s v="20140726 LAckein"/>
    <d v="1899-12-30T00:02:37"/>
    <s v="x"/>
    <s v="na"/>
    <s v="FWL"/>
    <s v="na"/>
    <s v="na"/>
    <s v="na"/>
    <s v="na"/>
    <s v="na"/>
    <s v="na"/>
    <s v="na"/>
    <s v="na"/>
  </r>
  <r>
    <n v="1193"/>
    <x v="43"/>
    <n v="3"/>
    <x v="10"/>
    <x v="0"/>
    <x v="11"/>
    <n v="78"/>
    <s v="34 CM"/>
    <n v="57"/>
    <m/>
    <s v="U"/>
    <d v="1899-12-30T08:22:00"/>
    <d v="1899-12-30T00:50:00"/>
    <s v="08:32"/>
    <s v="NC"/>
    <m/>
    <s v="20140725 EGora"/>
    <s v="20140726 LAckein"/>
    <d v="1899-12-30T00:09:10"/>
    <n v="151.53399999999999"/>
    <s v="na"/>
    <s v="FWL"/>
    <s v="na"/>
    <s v="na"/>
    <s v="F1840"/>
    <s v="na"/>
    <s v="na"/>
    <s v="na"/>
    <s v="na"/>
    <s v="na"/>
  </r>
  <r>
    <n v="1194"/>
    <x v="43"/>
    <n v="3"/>
    <x v="12"/>
    <x v="0"/>
    <x v="12"/>
    <n v="95"/>
    <s v="19 P"/>
    <n v="46"/>
    <m/>
    <s v="M"/>
    <d v="1899-12-30T08:22:00"/>
    <d v="1899-12-30T00:49:00"/>
    <s v="08:34"/>
    <s v="NC"/>
    <m/>
    <s v="20140725 EGora"/>
    <s v="20140726 LAckein"/>
    <d v="1899-12-30T00:11:11"/>
    <n v="151.596"/>
    <s v="na"/>
    <s v="FWL"/>
    <s v="na"/>
    <s v="na"/>
    <s v="F1835"/>
    <s v="na"/>
    <s v="na"/>
    <s v="na"/>
    <s v="na"/>
    <s v="na"/>
  </r>
  <r>
    <n v="1195"/>
    <x v="43"/>
    <n v="3"/>
    <x v="12"/>
    <x v="0"/>
    <x v="12"/>
    <n v="37"/>
    <s v="20 P"/>
    <n v="50"/>
    <m/>
    <s v="M"/>
    <d v="1899-12-30T08:51:00"/>
    <d v="1899-12-30T00:52:00"/>
    <s v="08:57"/>
    <s v="NC"/>
    <m/>
    <s v="20140725 EGora"/>
    <s v="20140726 LAckein"/>
    <d v="1899-12-30T00:05:08"/>
    <n v="151.596"/>
    <s v="na"/>
    <s v="FWL"/>
    <s v="na"/>
    <s v="na"/>
    <s v="F1835"/>
    <s v="na"/>
    <s v="na"/>
    <s v="na"/>
    <s v="na"/>
    <s v="na"/>
  </r>
  <r>
    <n v="1196"/>
    <x v="43"/>
    <n v="3"/>
    <x v="12"/>
    <x v="0"/>
    <x v="12"/>
    <n v="17"/>
    <s v="22 P"/>
    <n v="44"/>
    <m/>
    <s v="M"/>
    <d v="1899-12-30T08:52:00"/>
    <d v="1899-12-30T01:03:00"/>
    <s v="09:00"/>
    <s v="NC"/>
    <m/>
    <s v="20140725 EGora"/>
    <s v="20140726 LAckein"/>
    <d v="1899-12-30T00:06:57"/>
    <n v="151.596"/>
    <s v="na"/>
    <s v="FWL"/>
    <s v="na"/>
    <s v="na"/>
    <s v="F1835"/>
    <s v="na"/>
    <s v="na"/>
    <s v="na"/>
    <s v="na"/>
    <s v="na"/>
  </r>
  <r>
    <n v="1197"/>
    <x v="43"/>
    <n v="3"/>
    <x v="12"/>
    <x v="0"/>
    <x v="0"/>
    <m/>
    <m/>
    <n v="49"/>
    <m/>
    <s v="M"/>
    <m/>
    <d v="1899-12-30T00:21:00"/>
    <s v="09:03"/>
    <s v="EG"/>
    <s v="no tag reached daily wheel limit.  Large gash on side"/>
    <s v="20140725 EGora"/>
    <s v="20140726 LAckein"/>
    <s v="x"/>
    <s v="x"/>
    <s v="na"/>
    <s v="FWL"/>
    <s v="na"/>
    <s v="na"/>
    <s v="na"/>
    <s v="na"/>
    <s v="na"/>
    <s v="na"/>
    <s v="na"/>
    <s v="na"/>
  </r>
  <r>
    <n v="1198"/>
    <x v="43"/>
    <n v="3"/>
    <x v="12"/>
    <x v="0"/>
    <x v="0"/>
    <m/>
    <m/>
    <n v="49"/>
    <m/>
    <s v="F"/>
    <m/>
    <d v="1899-12-30T00:29:00"/>
    <s v="09:05"/>
    <s v="EG"/>
    <m/>
    <s v="20140725 EGora"/>
    <s v="20140726 LAckein"/>
    <s v="x"/>
    <s v="x"/>
    <s v="na"/>
    <s v="FWL"/>
    <s v="na"/>
    <s v="na"/>
    <s v="na"/>
    <s v="na"/>
    <s v="na"/>
    <s v="na"/>
    <s v="na"/>
    <s v="na"/>
  </r>
  <r>
    <n v="1199"/>
    <x v="43"/>
    <n v="3"/>
    <x v="12"/>
    <x v="0"/>
    <x v="0"/>
    <m/>
    <m/>
    <n v="48"/>
    <m/>
    <s v="M"/>
    <m/>
    <d v="1899-12-30T00:38:00"/>
    <s v="09:07"/>
    <s v="NC"/>
    <m/>
    <s v="20140725 EGora"/>
    <s v="20140726 LAckein"/>
    <s v="x"/>
    <s v="x"/>
    <s v="na"/>
    <s v="FWL"/>
    <s v="na"/>
    <s v="na"/>
    <s v="na"/>
    <s v="na"/>
    <s v="na"/>
    <s v="na"/>
    <s v="na"/>
    <s v="na"/>
  </r>
  <r>
    <n v="1200"/>
    <x v="43"/>
    <n v="3"/>
    <x v="12"/>
    <x v="0"/>
    <x v="0"/>
    <m/>
    <m/>
    <n v="48"/>
    <m/>
    <s v="F"/>
    <m/>
    <d v="1899-12-30T00:28:00"/>
    <s v="09:08"/>
    <s v="NC"/>
    <m/>
    <s v="20140725 EGora"/>
    <s v="20140726 LAckein"/>
    <s v="x"/>
    <s v="x"/>
    <s v="na"/>
    <s v="FWL"/>
    <s v="na"/>
    <s v="na"/>
    <s v="na"/>
    <s v="na"/>
    <s v="na"/>
    <s v="na"/>
    <s v="na"/>
    <s v="na"/>
  </r>
  <r>
    <n v="1201"/>
    <x v="43"/>
    <n v="3"/>
    <x v="12"/>
    <x v="0"/>
    <x v="0"/>
    <m/>
    <m/>
    <n v="48"/>
    <m/>
    <s v="F"/>
    <d v="1899-12-30T09:09:00"/>
    <d v="1899-12-30T00:46:00"/>
    <s v="09:13"/>
    <s v="AS"/>
    <m/>
    <s v="20140725 EGora"/>
    <s v="20140726 LAckein"/>
    <d v="1899-12-30T00:03:14"/>
    <s v="x"/>
    <s v="na"/>
    <s v="FWL"/>
    <s v="na"/>
    <s v="na"/>
    <s v="na"/>
    <s v="na"/>
    <s v="na"/>
    <s v="na"/>
    <s v="na"/>
    <s v="na"/>
  </r>
  <r>
    <n v="1202"/>
    <x v="43"/>
    <n v="3"/>
    <x v="12"/>
    <x v="0"/>
    <x v="0"/>
    <m/>
    <m/>
    <n v="45"/>
    <m/>
    <s v="F"/>
    <m/>
    <d v="1899-12-30T00:22:00"/>
    <s v="09:10"/>
    <s v="NC"/>
    <m/>
    <s v="20140725 EGora"/>
    <s v="20140726 LAckein"/>
    <s v="x"/>
    <s v="x"/>
    <s v="na"/>
    <s v="FWL"/>
    <s v="na"/>
    <s v="na"/>
    <s v="na"/>
    <s v="na"/>
    <s v="na"/>
    <s v="na"/>
    <s v="na"/>
    <s v="na"/>
  </r>
  <r>
    <n v="1203"/>
    <x v="43"/>
    <n v="3"/>
    <x v="12"/>
    <x v="0"/>
    <x v="0"/>
    <m/>
    <m/>
    <n v="50"/>
    <m/>
    <s v="F"/>
    <d v="1899-12-30T09:11:00"/>
    <d v="1899-12-30T00:32:00"/>
    <s v="09:14"/>
    <s v="NC"/>
    <m/>
    <s v="20140725 EGora"/>
    <s v="20140726 LAckein"/>
    <d v="1899-12-30T00:02:28"/>
    <s v="x"/>
    <s v="na"/>
    <s v="FWL"/>
    <s v="na"/>
    <s v="na"/>
    <s v="na"/>
    <s v="na"/>
    <s v="na"/>
    <s v="na"/>
    <s v="na"/>
    <s v="na"/>
  </r>
  <r>
    <n v="1204"/>
    <x v="43"/>
    <n v="3"/>
    <x v="12"/>
    <x v="0"/>
    <x v="0"/>
    <m/>
    <m/>
    <n v="50"/>
    <m/>
    <s v="F"/>
    <d v="1899-12-30T09:26:00"/>
    <d v="1899-12-30T00:25:00"/>
    <s v="09:29"/>
    <s v="NC"/>
    <m/>
    <s v="20140725 EGora"/>
    <s v="20140726 LAckein"/>
    <d v="1899-12-30T00:02:35"/>
    <s v="x"/>
    <s v="na"/>
    <s v="FWL"/>
    <s v="na"/>
    <s v="na"/>
    <s v="na"/>
    <s v="na"/>
    <s v="na"/>
    <s v="na"/>
    <s v="na"/>
    <s v="na"/>
  </r>
  <r>
    <n v="1205"/>
    <x v="43"/>
    <n v="3"/>
    <x v="12"/>
    <x v="0"/>
    <x v="0"/>
    <m/>
    <m/>
    <n v="51"/>
    <m/>
    <s v="M"/>
    <d v="1899-12-30T09:33:00"/>
    <d v="1899-12-30T00:36:00"/>
    <s v="09:34"/>
    <s v="NC"/>
    <m/>
    <s v="20140725 EGora"/>
    <s v="20140726 LAckein"/>
    <d v="1899-12-30T00:00:24"/>
    <s v="x"/>
    <s v="na"/>
    <s v="FWL"/>
    <s v="na"/>
    <s v="na"/>
    <s v="na"/>
    <s v="na"/>
    <s v="na"/>
    <s v="na"/>
    <s v="na"/>
    <s v="na"/>
  </r>
  <r>
    <n v="1206"/>
    <x v="43"/>
    <n v="3"/>
    <x v="12"/>
    <x v="0"/>
    <x v="0"/>
    <m/>
    <m/>
    <n v="48"/>
    <m/>
    <s v="M"/>
    <d v="1899-12-30T09:35:00"/>
    <d v="1899-12-30T00:26:00"/>
    <s v="09:36"/>
    <s v="EG"/>
    <m/>
    <s v="20140725 EGora"/>
    <s v="20140726 LAckein"/>
    <d v="1899-12-30T00:00:34"/>
    <s v="x"/>
    <s v="na"/>
    <s v="FWL"/>
    <s v="na"/>
    <s v="na"/>
    <s v="na"/>
    <s v="na"/>
    <s v="na"/>
    <s v="na"/>
    <s v="na"/>
    <s v="na"/>
  </r>
  <r>
    <n v="1207"/>
    <x v="43"/>
    <n v="3"/>
    <x v="12"/>
    <x v="0"/>
    <x v="0"/>
    <m/>
    <m/>
    <n v="50"/>
    <m/>
    <s v="M"/>
    <m/>
    <d v="1899-12-30T00:23:00"/>
    <s v="10:04"/>
    <s v="EG"/>
    <m/>
    <s v="20140725 EGora"/>
    <s v="20140726 LAckein"/>
    <s v="x"/>
    <s v="x"/>
    <s v="na"/>
    <s v="FWL"/>
    <s v="na"/>
    <s v="na"/>
    <s v="na"/>
    <s v="na"/>
    <s v="na"/>
    <s v="na"/>
    <s v="na"/>
    <s v="na"/>
  </r>
  <r>
    <n v="1208"/>
    <x v="43"/>
    <n v="3"/>
    <x v="12"/>
    <x v="0"/>
    <x v="0"/>
    <m/>
    <m/>
    <n v="47"/>
    <m/>
    <s v="M"/>
    <m/>
    <d v="1899-12-30T00:27:00"/>
    <s v="10:06"/>
    <s v="EG"/>
    <m/>
    <s v="20140725 EGora"/>
    <s v="20140726 LAckein"/>
    <s v="x"/>
    <s v="x"/>
    <s v="na"/>
    <s v="FWL"/>
    <s v="na"/>
    <s v="na"/>
    <s v="na"/>
    <s v="na"/>
    <s v="na"/>
    <s v="na"/>
    <s v="na"/>
    <s v="na"/>
  </r>
  <r>
    <n v="1209"/>
    <x v="43"/>
    <n v="3"/>
    <x v="10"/>
    <x v="0"/>
    <x v="11"/>
    <n v="94"/>
    <s v="26 CM"/>
    <n v="56"/>
    <m/>
    <s v="U"/>
    <m/>
    <d v="1899-12-30T01:16:00"/>
    <s v="16:28"/>
    <s v="LA"/>
    <m/>
    <s v="20140725 LAckein"/>
    <s v="20140726 LAckein"/>
    <s v="x"/>
    <n v="151.53399999999999"/>
    <s v="na"/>
    <s v="FWL"/>
    <s v="na"/>
    <s v="na"/>
    <s v="F1840"/>
    <s v="na"/>
    <s v="na"/>
    <s v="na"/>
    <s v="na"/>
    <s v="na"/>
  </r>
  <r>
    <n v="1210"/>
    <x v="43"/>
    <n v="3"/>
    <x v="1"/>
    <x v="0"/>
    <x v="3"/>
    <n v="65"/>
    <s v="608 K"/>
    <n v="59"/>
    <m/>
    <s v="U"/>
    <d v="1899-12-30T18:30:00"/>
    <d v="1899-12-30T01:18:00"/>
    <s v="18:38"/>
    <s v="QB"/>
    <m/>
    <s v="20140725 JKunzler"/>
    <s v="20140726 LAckein"/>
    <d v="1899-12-30T00:06:42"/>
    <n v="151.917"/>
    <s v="na"/>
    <s v="FWL"/>
    <s v="na"/>
    <s v="na"/>
    <s v="F1835"/>
    <s v="na"/>
    <s v="na"/>
    <s v="na"/>
    <s v="na"/>
    <s v="na"/>
  </r>
  <r>
    <n v="1211"/>
    <x v="43"/>
    <n v="3"/>
    <x v="10"/>
    <x v="0"/>
    <x v="0"/>
    <m/>
    <m/>
    <n v="63"/>
    <m/>
    <s v="U"/>
    <d v="1899-12-30T19:04:00"/>
    <d v="1899-12-30T00:24:00"/>
    <s v="19:10"/>
    <s v="JK"/>
    <m/>
    <s v="20140725 JKunzler"/>
    <s v="20140726 Lackein"/>
    <d v="1899-12-30T00:05:36"/>
    <s v="x"/>
    <s v="na"/>
    <s v="FWL"/>
    <s v="na"/>
    <s v="na"/>
    <s v="na"/>
    <s v="na"/>
    <s v="na"/>
    <s v="na"/>
    <s v="na"/>
    <s v="na"/>
  </r>
  <r>
    <n v="1212"/>
    <x v="44"/>
    <n v="1"/>
    <x v="12"/>
    <x v="0"/>
    <x v="13"/>
    <n v="70"/>
    <s v="28 P"/>
    <n v="43"/>
    <m/>
    <s v="F"/>
    <m/>
    <d v="1899-12-30T01:08:00"/>
    <s v="08:58"/>
    <s v="QB"/>
    <m/>
    <s v="20140726 QBerger"/>
    <s v="20140727 AStephens"/>
    <s v="x"/>
    <n v="151.51499999999999"/>
    <s v="na"/>
    <s v="FWL"/>
    <s v="na"/>
    <s v="na"/>
    <s v="F1835"/>
    <s v="na"/>
    <s v="na"/>
    <s v="na"/>
    <s v="na"/>
    <s v="na"/>
  </r>
  <r>
    <n v="1213"/>
    <x v="44"/>
    <n v="1"/>
    <x v="12"/>
    <x v="0"/>
    <x v="12"/>
    <n v="70"/>
    <s v="29 P"/>
    <n v="46"/>
    <m/>
    <s v="F"/>
    <m/>
    <d v="1899-12-30T01:05:00"/>
    <s v="09:58"/>
    <s v="HR"/>
    <m/>
    <s v="20140726 QBerger"/>
    <s v="20140727 AStephens"/>
    <s v="x"/>
    <n v="151.596"/>
    <s v="na"/>
    <s v="FWL"/>
    <s v="na"/>
    <s v="na"/>
    <s v="F1835"/>
    <s v="na"/>
    <s v="na"/>
    <s v="na"/>
    <s v="na"/>
    <s v="na"/>
  </r>
  <r>
    <n v="1214"/>
    <x v="44"/>
    <n v="1"/>
    <x v="12"/>
    <x v="0"/>
    <x v="12"/>
    <n v="18"/>
    <s v="30 P"/>
    <n v="51"/>
    <m/>
    <s v="M"/>
    <d v="1899-12-30T10:25:00"/>
    <d v="1899-12-30T00:59:00"/>
    <s v="10:29"/>
    <s v="HR"/>
    <m/>
    <s v="20140726 QBerger"/>
    <s v="20140727 AStephens"/>
    <d v="1899-12-30T00:03:01"/>
    <n v="151.596"/>
    <s v="na"/>
    <s v="FWL"/>
    <s v="na"/>
    <s v="na"/>
    <s v="F1835"/>
    <s v="na"/>
    <s v="na"/>
    <s v="na"/>
    <s v="na"/>
    <s v="na"/>
  </r>
  <r>
    <n v="1215"/>
    <x v="44"/>
    <n v="1"/>
    <x v="12"/>
    <x v="0"/>
    <x v="13"/>
    <n v="8"/>
    <s v="31 P"/>
    <n v="52"/>
    <m/>
    <s v="M"/>
    <d v="1899-12-30T10:34:00"/>
    <d v="1899-12-30T01:02:00"/>
    <s v="10:38"/>
    <s v="QB"/>
    <m/>
    <s v="20140726 QBerger"/>
    <s v="20140727 AStephens"/>
    <d v="1899-12-30T00:02:58"/>
    <n v="151.51499999999999"/>
    <s v="na"/>
    <s v="FWL"/>
    <s v="na"/>
    <s v="na"/>
    <s v="F1835"/>
    <s v="na"/>
    <s v="na"/>
    <s v="na"/>
    <s v="na"/>
    <s v="na"/>
  </r>
  <r>
    <n v="1216"/>
    <x v="44"/>
    <n v="1"/>
    <x v="12"/>
    <x v="0"/>
    <x v="12"/>
    <n v="44"/>
    <s v="32 P"/>
    <n v="47"/>
    <m/>
    <s v="M"/>
    <m/>
    <d v="1899-12-30T00:56:00"/>
    <s v="12:29"/>
    <s v="LA"/>
    <m/>
    <s v="20140726 LAckein"/>
    <s v="20140727 AStephens"/>
    <s v="x"/>
    <n v="151.596"/>
    <s v="na"/>
    <s v="FWL"/>
    <s v="na"/>
    <s v="na"/>
    <s v="F1835"/>
    <s v="na"/>
    <s v="na"/>
    <s v="na"/>
    <s v="na"/>
    <s v="na"/>
  </r>
  <r>
    <n v="1217"/>
    <x v="44"/>
    <n v="1"/>
    <x v="12"/>
    <x v="0"/>
    <x v="0"/>
    <m/>
    <m/>
    <n v="43"/>
    <m/>
    <s v="F"/>
    <m/>
    <d v="1899-12-30T00:24:00"/>
    <s v="12:31"/>
    <s v="LA"/>
    <m/>
    <s v="20140726 LAckein"/>
    <s v="20140727 AStephens"/>
    <s v="x"/>
    <s v="x"/>
    <s v="na"/>
    <s v="FWL"/>
    <s v="na"/>
    <s v="na"/>
    <s v="na"/>
    <s v="na"/>
    <s v="na"/>
    <s v="na"/>
    <s v="na"/>
    <s v="na"/>
  </r>
  <r>
    <n v="1218"/>
    <x v="44"/>
    <n v="1"/>
    <x v="12"/>
    <x v="0"/>
    <x v="0"/>
    <m/>
    <m/>
    <n v="42"/>
    <m/>
    <s v="F"/>
    <m/>
    <d v="1899-12-30T00:29:00"/>
    <s v="12:33"/>
    <s v="CZ"/>
    <m/>
    <s v="20140726 LAckein"/>
    <s v="20140727 AStephens"/>
    <s v="x"/>
    <s v="x"/>
    <s v="na"/>
    <s v="FWL"/>
    <s v="na"/>
    <s v="na"/>
    <s v="na"/>
    <s v="na"/>
    <s v="na"/>
    <s v="na"/>
    <s v="na"/>
    <s v="na"/>
  </r>
  <r>
    <n v="1219"/>
    <x v="44"/>
    <n v="1"/>
    <x v="12"/>
    <x v="0"/>
    <x v="0"/>
    <m/>
    <m/>
    <n v="41"/>
    <m/>
    <s v="U"/>
    <m/>
    <d v="1899-12-30T00:29:00"/>
    <s v="12:33"/>
    <s v="CZ"/>
    <m/>
    <s v="20140726 LAckein"/>
    <s v="20140727 AStephens"/>
    <s v="x"/>
    <s v="x"/>
    <s v="na"/>
    <s v="FWL"/>
    <s v="na"/>
    <s v="na"/>
    <s v="na"/>
    <s v="na"/>
    <s v="na"/>
    <s v="na"/>
    <s v="na"/>
    <s v="na"/>
  </r>
  <r>
    <n v="1220"/>
    <x v="44"/>
    <n v="1"/>
    <x v="12"/>
    <x v="0"/>
    <x v="0"/>
    <m/>
    <m/>
    <n v="47"/>
    <m/>
    <s v="M"/>
    <m/>
    <d v="1899-12-30T00:33:00"/>
    <s v="12:34"/>
    <s v="CZ"/>
    <m/>
    <s v="20140726 LAckein"/>
    <s v="20140727 AStephens"/>
    <s v="x"/>
    <s v="x"/>
    <s v="na"/>
    <s v="FWL"/>
    <s v="na"/>
    <s v="na"/>
    <s v="na"/>
    <s v="na"/>
    <s v="na"/>
    <s v="na"/>
    <s v="na"/>
    <s v="na"/>
  </r>
  <r>
    <n v="1221"/>
    <x v="44"/>
    <n v="1"/>
    <x v="12"/>
    <x v="0"/>
    <x v="0"/>
    <m/>
    <m/>
    <n v="48"/>
    <m/>
    <s v="M"/>
    <m/>
    <d v="1899-12-30T00:23:00"/>
    <s v="12:36"/>
    <s v="CZ"/>
    <s v="Grazed deck on release"/>
    <s v="20140726 LAckein"/>
    <s v="20140727 AStephens"/>
    <s v="x"/>
    <s v="x"/>
    <s v="na"/>
    <s v="FWL"/>
    <s v="na"/>
    <s v="na"/>
    <s v="na"/>
    <s v="na"/>
    <s v="na"/>
    <s v="na"/>
    <s v="na"/>
    <s v="na"/>
  </r>
  <r>
    <n v="1222"/>
    <x v="44"/>
    <n v="1"/>
    <x v="12"/>
    <x v="0"/>
    <x v="0"/>
    <m/>
    <m/>
    <n v="44"/>
    <m/>
    <s v="M"/>
    <m/>
    <d v="1899-12-30T00:21:00"/>
    <s v="12:37"/>
    <s v="CZ"/>
    <m/>
    <s v="20140726 LAckein"/>
    <s v="20140727 AStephens"/>
    <s v="x"/>
    <s v="x"/>
    <s v="na"/>
    <s v="FWL"/>
    <s v="na"/>
    <s v="na"/>
    <s v="na"/>
    <s v="na"/>
    <s v="na"/>
    <s v="na"/>
    <s v="na"/>
    <s v="na"/>
  </r>
  <r>
    <n v="1223"/>
    <x v="44"/>
    <n v="1"/>
    <x v="12"/>
    <x v="0"/>
    <x v="0"/>
    <m/>
    <m/>
    <n v="43"/>
    <m/>
    <s v="F"/>
    <m/>
    <d v="1899-12-30T00:28:00"/>
    <s v="12:38"/>
    <s v="CZ"/>
    <m/>
    <s v="20140726 LAckein"/>
    <s v="20140727 AStephens"/>
    <s v="x"/>
    <s v="x"/>
    <s v="na"/>
    <s v="FWL"/>
    <s v="na"/>
    <s v="na"/>
    <s v="na"/>
    <s v="na"/>
    <s v="na"/>
    <s v="na"/>
    <s v="na"/>
    <s v="na"/>
  </r>
  <r>
    <n v="1224"/>
    <x v="44"/>
    <n v="1"/>
    <x v="12"/>
    <x v="0"/>
    <x v="0"/>
    <m/>
    <m/>
    <n v="50"/>
    <m/>
    <s v="F"/>
    <d v="1899-12-30T12:41:00"/>
    <d v="1899-12-30T00:33:00"/>
    <s v="12:43"/>
    <s v="CZ"/>
    <m/>
    <s v="20140726 LAckein"/>
    <s v="20140727 AStephens"/>
    <d v="1899-12-30T00:01:27"/>
    <s v="x"/>
    <s v="na"/>
    <s v="FWL"/>
    <s v="na"/>
    <s v="na"/>
    <s v="na"/>
    <s v="na"/>
    <s v="na"/>
    <s v="na"/>
    <s v="na"/>
    <s v="na"/>
  </r>
  <r>
    <n v="1225"/>
    <x v="44"/>
    <n v="1"/>
    <x v="12"/>
    <x v="0"/>
    <x v="0"/>
    <m/>
    <m/>
    <n v="45"/>
    <m/>
    <s v="M"/>
    <m/>
    <d v="1899-12-30T00:29:00"/>
    <s v="14:09"/>
    <s v="CZ"/>
    <m/>
    <s v="20140726 LAckein"/>
    <s v="20140727 AStephens"/>
    <s v="x"/>
    <s v="x"/>
    <s v="na"/>
    <s v="FWL"/>
    <s v="na"/>
    <s v="na"/>
    <s v="na"/>
    <s v="na"/>
    <s v="na"/>
    <s v="na"/>
    <s v="na"/>
    <s v="na"/>
  </r>
  <r>
    <n v="1226"/>
    <x v="44"/>
    <n v="1"/>
    <x v="12"/>
    <x v="0"/>
    <x v="0"/>
    <m/>
    <m/>
    <n v="46"/>
    <m/>
    <s v="M"/>
    <m/>
    <d v="1899-12-30T00:39:00"/>
    <s v="14:10"/>
    <s v="CZ"/>
    <m/>
    <s v="20140726 LAckein"/>
    <s v="20140727 AStephens"/>
    <s v="x"/>
    <s v="x"/>
    <s v="na"/>
    <s v="FWL"/>
    <s v="na"/>
    <s v="na"/>
    <s v="na"/>
    <s v="na"/>
    <s v="na"/>
    <s v="na"/>
    <s v="na"/>
    <s v="na"/>
  </r>
  <r>
    <n v="1227"/>
    <x v="44"/>
    <n v="1"/>
    <x v="10"/>
    <x v="0"/>
    <x v="11"/>
    <n v="9"/>
    <s v="30 CM"/>
    <n v="61"/>
    <m/>
    <s v="U"/>
    <d v="1899-12-30T15:27:00"/>
    <d v="1899-12-30T00:53:00"/>
    <s v="15:32"/>
    <s v="LA"/>
    <m/>
    <s v="20140726 LAckein"/>
    <s v="20140727 AStephens"/>
    <d v="1899-12-30T00:04:07"/>
    <n v="151.53399999999999"/>
    <s v="na"/>
    <s v="FWL"/>
    <s v="na"/>
    <s v="na"/>
    <s v="F1840"/>
    <s v="na"/>
    <s v="na"/>
    <s v="na"/>
    <s v="na"/>
    <s v="na"/>
  </r>
  <r>
    <n v="1228"/>
    <x v="44"/>
    <n v="1"/>
    <x v="10"/>
    <x v="0"/>
    <x v="11"/>
    <n v="12"/>
    <s v="38 CM"/>
    <n v="56"/>
    <m/>
    <s v="U"/>
    <m/>
    <d v="1899-12-30T00:49:00"/>
    <s v="17:08"/>
    <s v="LA"/>
    <m/>
    <s v="20140726 LAckein"/>
    <s v="20140727 AStephens"/>
    <s v="x"/>
    <n v="151.53399999999999"/>
    <s v="na"/>
    <s v="FWL"/>
    <s v="na"/>
    <s v="na"/>
    <s v="F1840"/>
    <s v="na"/>
    <s v="na"/>
    <s v="na"/>
    <s v="na"/>
    <s v="na"/>
  </r>
  <r>
    <n v="1229"/>
    <x v="44"/>
    <n v="1"/>
    <x v="10"/>
    <x v="0"/>
    <x v="7"/>
    <n v="37"/>
    <s v="39 CM"/>
    <n v="65"/>
    <m/>
    <s v="U"/>
    <m/>
    <d v="1899-12-30T01:59:00"/>
    <s v="18:01"/>
    <s v="NC"/>
    <m/>
    <s v="20140726 JKunzler"/>
    <s v="20140727 AStephens"/>
    <s v="x"/>
    <n v="151.56399999999999"/>
    <s v="na"/>
    <s v="FWL"/>
    <s v="na"/>
    <s v="na"/>
    <s v="F1840"/>
    <s v="na"/>
    <s v="na"/>
    <s v="na"/>
    <s v="na"/>
    <s v="na"/>
  </r>
  <r>
    <n v="1230"/>
    <x v="44"/>
    <n v="2"/>
    <x v="10"/>
    <x v="0"/>
    <x v="7"/>
    <n v="95"/>
    <s v="29 CM"/>
    <n v="61"/>
    <m/>
    <s v="U"/>
    <m/>
    <d v="1899-12-30T01:19:00"/>
    <s v="09:32"/>
    <s v="HR"/>
    <m/>
    <s v="20140726 HReider"/>
    <s v="20140727 AStephens"/>
    <s v="x"/>
    <n v="151.56399999999999"/>
    <s v="na"/>
    <s v="FWL"/>
    <s v="na"/>
    <s v="na"/>
    <s v="F1840"/>
    <s v="na"/>
    <s v="na"/>
    <s v="na"/>
    <s v="na"/>
    <s v="na"/>
  </r>
  <r>
    <n v="1231"/>
    <x v="44"/>
    <n v="2"/>
    <x v="3"/>
    <x v="2"/>
    <x v="0"/>
    <m/>
    <m/>
    <m/>
    <n v="33"/>
    <s v="U"/>
    <m/>
    <d v="1899-12-30T00:40:00"/>
    <s v="12:53"/>
    <s v="LA"/>
    <m/>
    <s v="20140726 CZiolkowski"/>
    <s v="20140727 AStephens"/>
    <s v="x"/>
    <s v="x"/>
    <s v="na"/>
    <s v="FWL"/>
    <s v="na"/>
    <s v="na"/>
    <s v="na"/>
    <s v="na"/>
    <s v="na"/>
    <s v="na"/>
    <s v="na"/>
    <s v="na"/>
  </r>
  <r>
    <n v="1232"/>
    <x v="44"/>
    <n v="2"/>
    <x v="3"/>
    <x v="2"/>
    <x v="0"/>
    <m/>
    <m/>
    <m/>
    <n v="34"/>
    <s v="U"/>
    <m/>
    <d v="1899-12-30T00:34:00"/>
    <s v="13:41"/>
    <s v="LA"/>
    <m/>
    <s v="20140726 CZiolkowski"/>
    <s v="20140727 AStephens"/>
    <s v="x"/>
    <s v="x"/>
    <s v="na"/>
    <s v="FWL"/>
    <s v="na"/>
    <s v="na"/>
    <s v="na"/>
    <s v="na"/>
    <s v="na"/>
    <s v="na"/>
    <s v="na"/>
    <s v="na"/>
  </r>
  <r>
    <n v="1233"/>
    <x v="44"/>
    <n v="2"/>
    <x v="7"/>
    <x v="0"/>
    <x v="6"/>
    <n v="56"/>
    <s v="56 S"/>
    <n v="58"/>
    <m/>
    <s v="U"/>
    <m/>
    <d v="1899-12-30T01:05:00"/>
    <s v="16:53"/>
    <s v="CZ"/>
    <m/>
    <s v="20140726 CZiolkowski"/>
    <s v="20140727 AStephens"/>
    <s v="x"/>
    <n v="151.57300000000001"/>
    <s v="na"/>
    <s v="FWL"/>
    <s v="na"/>
    <s v="na"/>
    <s v="F1840"/>
    <s v="na"/>
    <s v="na"/>
    <s v="na"/>
    <s v="na"/>
    <s v="na"/>
  </r>
  <r>
    <n v="1234"/>
    <x v="44"/>
    <n v="2"/>
    <x v="7"/>
    <x v="0"/>
    <x v="6"/>
    <n v="65"/>
    <s v="57 S"/>
    <n v="48"/>
    <m/>
    <s v="U"/>
    <d v="1899-12-30T16:48:00"/>
    <d v="1899-12-30T01:24:00"/>
    <s v="16:57"/>
    <s v="LA"/>
    <m/>
    <s v="20140726 CZiolkowski"/>
    <s v="20140727 AStephens"/>
    <d v="1899-12-30T00:07:36"/>
    <n v="151.57300000000001"/>
    <s v="na"/>
    <s v="FWL"/>
    <s v="na"/>
    <s v="na"/>
    <s v="F1840"/>
    <s v="na"/>
    <s v="na"/>
    <s v="na"/>
    <s v="na"/>
    <s v="na"/>
  </r>
  <r>
    <n v="1235"/>
    <x v="44"/>
    <n v="2"/>
    <x v="10"/>
    <x v="0"/>
    <x v="0"/>
    <m/>
    <m/>
    <n v="58"/>
    <m/>
    <s v="U"/>
    <d v="1899-12-30T18:58:00"/>
    <d v="1899-12-30T00:29:00"/>
    <s v="19:02"/>
    <s v="NC"/>
    <m/>
    <s v="20140726 JKunzler"/>
    <s v="20140727 AStephens"/>
    <d v="1899-12-30T00:03:31"/>
    <s v="x"/>
    <s v="na"/>
    <s v="FWL"/>
    <s v="na"/>
    <s v="na"/>
    <s v="na"/>
    <s v="na"/>
    <s v="na"/>
    <s v="na"/>
    <s v="na"/>
    <s v="na"/>
  </r>
  <r>
    <n v="1236"/>
    <x v="44"/>
    <n v="2"/>
    <x v="12"/>
    <x v="0"/>
    <x v="13"/>
    <n v="16"/>
    <s v="33 P"/>
    <n v="46"/>
    <m/>
    <s v="F"/>
    <m/>
    <d v="1899-12-30T01:33:00"/>
    <s v="19:10"/>
    <s v="JK"/>
    <m/>
    <s v="20140726 JKunzler"/>
    <s v="20140727 AStephens"/>
    <s v="x"/>
    <n v="151.51499999999999"/>
    <s v="na"/>
    <s v="FWL"/>
    <s v="na"/>
    <s v="na"/>
    <s v="F1835"/>
    <s v="na"/>
    <s v="na"/>
    <s v="na"/>
    <s v="na"/>
    <s v="na"/>
  </r>
  <r>
    <n v="1237"/>
    <x v="44"/>
    <n v="2"/>
    <x v="12"/>
    <x v="0"/>
    <x v="13"/>
    <n v="11"/>
    <s v="34 P"/>
    <n v="48"/>
    <m/>
    <s v="M"/>
    <m/>
    <d v="1899-12-30T01:03:00"/>
    <s v="19:15"/>
    <s v="JK"/>
    <m/>
    <s v="20140726 JKunzler"/>
    <s v="20140727 AStephens"/>
    <s v="x"/>
    <n v="151.51499999999999"/>
    <s v="na"/>
    <s v="FWL"/>
    <s v="na"/>
    <s v="na"/>
    <s v="F1835"/>
    <s v="na"/>
    <s v="na"/>
    <s v="na"/>
    <s v="na"/>
    <s v="na"/>
  </r>
  <r>
    <n v="1238"/>
    <x v="44"/>
    <n v="2"/>
    <x v="12"/>
    <x v="0"/>
    <x v="0"/>
    <m/>
    <m/>
    <n v="49"/>
    <m/>
    <s v="U"/>
    <m/>
    <d v="1899-12-30T00:25:00"/>
    <s v="20:08"/>
    <s v="NC"/>
    <m/>
    <s v="20140726 JKunzler"/>
    <s v="20140727 AStephens"/>
    <s v="x"/>
    <s v="x"/>
    <s v="na"/>
    <s v="FWL"/>
    <s v="na"/>
    <s v="na"/>
    <s v="na"/>
    <s v="na"/>
    <s v="na"/>
    <s v="na"/>
    <s v="na"/>
    <s v="na"/>
  </r>
  <r>
    <n v="1239"/>
    <x v="44"/>
    <n v="2"/>
    <x v="12"/>
    <x v="0"/>
    <x v="0"/>
    <m/>
    <m/>
    <n v="67"/>
    <m/>
    <s v="U"/>
    <m/>
    <d v="1899-12-30T00:24:00"/>
    <s v="20:10"/>
    <s v="NC"/>
    <m/>
    <s v="20140726 JKunzler"/>
    <s v="20140727 AStephens"/>
    <s v="x"/>
    <s v="x"/>
    <s v="na"/>
    <s v="FWL"/>
    <s v="na"/>
    <s v="na"/>
    <s v="na"/>
    <s v="na"/>
    <s v="na"/>
    <s v="na"/>
    <s v="na"/>
    <s v="na"/>
  </r>
  <r>
    <n v="1240"/>
    <x v="44"/>
    <n v="3"/>
    <x v="12"/>
    <x v="0"/>
    <x v="12"/>
    <n v="4"/>
    <s v="23 P"/>
    <n v="42"/>
    <m/>
    <s v="U"/>
    <d v="1899-12-30T08:19:00"/>
    <d v="1899-12-30T01:00:00"/>
    <s v="08:25"/>
    <s v="NC"/>
    <m/>
    <s v="20140726 NCollin"/>
    <s v="20140727 AStephens"/>
    <d v="1899-12-30T00:05:00"/>
    <n v="151.596"/>
    <s v="na"/>
    <s v="FWL"/>
    <s v="na"/>
    <s v="na"/>
    <s v="F1835"/>
    <s v="na"/>
    <s v="na"/>
    <s v="na"/>
    <s v="na"/>
    <s v="na"/>
  </r>
  <r>
    <n v="1241"/>
    <x v="44"/>
    <n v="3"/>
    <x v="12"/>
    <x v="0"/>
    <x v="12"/>
    <n v="46"/>
    <s v="21 P"/>
    <n v="48"/>
    <m/>
    <s v="U"/>
    <d v="1899-12-30T08:34:00"/>
    <d v="1899-12-30T01:18:00"/>
    <s v="08:39"/>
    <s v="NC"/>
    <m/>
    <s v="20140726 NCollin"/>
    <s v="20140727 AStephens"/>
    <d v="1899-12-30T00:03:42"/>
    <n v="151.596"/>
    <s v="na"/>
    <s v="FWL"/>
    <s v="na"/>
    <s v="na"/>
    <s v="F1835"/>
    <s v="na"/>
    <s v="na"/>
    <s v="na"/>
    <s v="na"/>
    <s v="na"/>
  </r>
  <r>
    <n v="1242"/>
    <x v="44"/>
    <n v="3"/>
    <x v="12"/>
    <x v="0"/>
    <x v="12"/>
    <n v="14"/>
    <s v="26 P"/>
    <n v="49"/>
    <m/>
    <s v="U"/>
    <m/>
    <d v="1899-12-30T00:59:00"/>
    <s v="08:44"/>
    <s v="JK"/>
    <m/>
    <s v="20140726 NCollin"/>
    <s v="20140727 AStephens"/>
    <s v="x"/>
    <n v="151.596"/>
    <s v="na"/>
    <s v="FWL"/>
    <s v="na"/>
    <s v="na"/>
    <s v="F1835"/>
    <s v="na"/>
    <s v="na"/>
    <s v="na"/>
    <s v="na"/>
    <s v="na"/>
  </r>
  <r>
    <n v="1243"/>
    <x v="44"/>
    <n v="3"/>
    <x v="12"/>
    <x v="0"/>
    <x v="0"/>
    <m/>
    <m/>
    <n v="48"/>
    <m/>
    <s v="M"/>
    <m/>
    <d v="1899-12-30T00:35:00"/>
    <s v="08:49"/>
    <s v="JK"/>
    <m/>
    <s v="20140726 NCollin"/>
    <s v="20140727 AStephens"/>
    <s v="x"/>
    <s v="x"/>
    <s v="na"/>
    <s v="FWL"/>
    <s v="na"/>
    <s v="na"/>
    <s v="na"/>
    <s v="na"/>
    <s v="na"/>
    <s v="na"/>
    <s v="na"/>
    <s v="na"/>
  </r>
  <r>
    <n v="1244"/>
    <x v="44"/>
    <n v="3"/>
    <x v="12"/>
    <x v="0"/>
    <x v="0"/>
    <m/>
    <m/>
    <n v="47"/>
    <m/>
    <s v="U"/>
    <m/>
    <d v="1899-12-30T00:33:00"/>
    <s v="08:51"/>
    <s v="JK"/>
    <m/>
    <s v="20140726 NCollin"/>
    <s v="20140727 AStephens"/>
    <s v="x"/>
    <s v="x"/>
    <s v="na"/>
    <s v="FWL"/>
    <s v="na"/>
    <s v="na"/>
    <s v="na"/>
    <s v="na"/>
    <s v="na"/>
    <s v="na"/>
    <s v="na"/>
    <s v="na"/>
  </r>
  <r>
    <n v="1245"/>
    <x v="44"/>
    <n v="3"/>
    <x v="12"/>
    <x v="0"/>
    <x v="0"/>
    <m/>
    <m/>
    <n v="43"/>
    <m/>
    <s v="U"/>
    <m/>
    <d v="1899-12-30T00:18:00"/>
    <s v="09:15"/>
    <s v="NC"/>
    <m/>
    <s v="20140726 NCollin"/>
    <s v="20140727 AStephens"/>
    <s v="x"/>
    <s v="x"/>
    <s v="na"/>
    <s v="FWL"/>
    <s v="na"/>
    <s v="na"/>
    <s v="na"/>
    <s v="na"/>
    <s v="na"/>
    <s v="na"/>
    <s v="na"/>
    <s v="na"/>
  </r>
  <r>
    <n v="1246"/>
    <x v="44"/>
    <n v="3"/>
    <x v="12"/>
    <x v="0"/>
    <x v="0"/>
    <m/>
    <m/>
    <n v="51"/>
    <m/>
    <s v="U"/>
    <m/>
    <d v="1899-12-30T00:22:00"/>
    <s v="09:16"/>
    <s v="NC"/>
    <m/>
    <s v="20140726 NCollin"/>
    <s v="20140727 AStephens"/>
    <s v="x"/>
    <s v="x"/>
    <s v="na"/>
    <s v="FWL"/>
    <s v="na"/>
    <s v="na"/>
    <s v="na"/>
    <s v="na"/>
    <s v="na"/>
    <s v="na"/>
    <s v="na"/>
    <s v="na"/>
  </r>
  <r>
    <n v="1247"/>
    <x v="44"/>
    <n v="3"/>
    <x v="12"/>
    <x v="0"/>
    <x v="0"/>
    <m/>
    <m/>
    <n v="46"/>
    <m/>
    <s v="U"/>
    <m/>
    <d v="1899-12-30T00:23:00"/>
    <s v="09:17"/>
    <s v="NC"/>
    <m/>
    <s v="20140726 NCollin"/>
    <s v="20140727 AStephens"/>
    <s v="x"/>
    <s v="x"/>
    <s v="na"/>
    <s v="FWL"/>
    <s v="na"/>
    <s v="na"/>
    <s v="na"/>
    <s v="na"/>
    <s v="na"/>
    <s v="na"/>
    <s v="na"/>
    <s v="na"/>
  </r>
  <r>
    <n v="1248"/>
    <x v="44"/>
    <n v="3"/>
    <x v="12"/>
    <x v="0"/>
    <x v="0"/>
    <m/>
    <m/>
    <n v="45"/>
    <m/>
    <s v="U"/>
    <m/>
    <d v="1899-12-30T00:20:00"/>
    <s v="09:18"/>
    <s v="NC"/>
    <m/>
    <s v="20140726 NCollin"/>
    <s v="20140727 AStephens"/>
    <s v="x"/>
    <s v="x"/>
    <s v="na"/>
    <s v="FWL"/>
    <s v="na"/>
    <s v="na"/>
    <s v="na"/>
    <s v="na"/>
    <s v="na"/>
    <s v="na"/>
    <s v="na"/>
    <s v="na"/>
  </r>
  <r>
    <n v="1249"/>
    <x v="44"/>
    <n v="3"/>
    <x v="12"/>
    <x v="0"/>
    <x v="0"/>
    <m/>
    <m/>
    <n v="50"/>
    <m/>
    <s v="U"/>
    <m/>
    <d v="1899-12-30T00:20:00"/>
    <s v="09:19"/>
    <s v="NC"/>
    <m/>
    <s v="20140726 NCollin"/>
    <s v="20140727 AStephens"/>
    <s v="x"/>
    <s v="x"/>
    <s v="na"/>
    <s v="FWL"/>
    <s v="na"/>
    <s v="na"/>
    <s v="na"/>
    <s v="na"/>
    <s v="na"/>
    <s v="na"/>
    <s v="na"/>
    <s v="na"/>
  </r>
  <r>
    <n v="1250"/>
    <x v="44"/>
    <n v="3"/>
    <x v="12"/>
    <x v="0"/>
    <x v="0"/>
    <m/>
    <m/>
    <n v="47"/>
    <m/>
    <s v="U"/>
    <m/>
    <d v="1899-12-30T00:21:00"/>
    <s v="09:20"/>
    <s v="NC"/>
    <m/>
    <s v="20140726 NCollin"/>
    <s v="20140727 AStephens"/>
    <s v="x"/>
    <s v="x"/>
    <s v="na"/>
    <s v="FWL"/>
    <s v="na"/>
    <s v="na"/>
    <s v="na"/>
    <s v="na"/>
    <s v="na"/>
    <s v="na"/>
    <s v="na"/>
    <s v="na"/>
  </r>
  <r>
    <n v="1251"/>
    <x v="44"/>
    <n v="3"/>
    <x v="12"/>
    <x v="0"/>
    <x v="0"/>
    <m/>
    <m/>
    <n v="45"/>
    <m/>
    <s v="U"/>
    <m/>
    <d v="1899-12-30T00:21:00"/>
    <s v="09:21"/>
    <s v="NC"/>
    <m/>
    <s v="20140726 NCollin"/>
    <s v="20140727 AStephens"/>
    <s v="x"/>
    <s v="x"/>
    <s v="na"/>
    <s v="FWL"/>
    <s v="na"/>
    <s v="na"/>
    <s v="na"/>
    <s v="na"/>
    <s v="na"/>
    <s v="na"/>
    <s v="na"/>
    <s v="na"/>
  </r>
  <r>
    <n v="1252"/>
    <x v="44"/>
    <n v="3"/>
    <x v="12"/>
    <x v="0"/>
    <x v="0"/>
    <m/>
    <m/>
    <n v="51"/>
    <m/>
    <s v="U"/>
    <m/>
    <d v="1899-12-30T00:23:00"/>
    <s v="09:22"/>
    <s v="NC"/>
    <m/>
    <s v="20140726 NCollin"/>
    <s v="20140727 AStephens"/>
    <s v="x"/>
    <s v="x"/>
    <s v="na"/>
    <s v="FWL"/>
    <s v="na"/>
    <s v="na"/>
    <s v="na"/>
    <s v="na"/>
    <s v="na"/>
    <s v="na"/>
    <s v="na"/>
    <s v="na"/>
  </r>
  <r>
    <n v="1253"/>
    <x v="44"/>
    <n v="3"/>
    <x v="12"/>
    <x v="0"/>
    <x v="0"/>
    <m/>
    <m/>
    <n v="47"/>
    <m/>
    <s v="U"/>
    <m/>
    <d v="1899-12-30T00:21:00"/>
    <s v="09:23"/>
    <s v="NC"/>
    <m/>
    <s v="20140726 NCollin"/>
    <s v="20140727 AStephens"/>
    <s v="x"/>
    <s v="x"/>
    <s v="na"/>
    <s v="FWL"/>
    <s v="na"/>
    <s v="na"/>
    <s v="na"/>
    <s v="na"/>
    <s v="na"/>
    <s v="na"/>
    <s v="na"/>
    <s v="na"/>
  </r>
  <r>
    <n v="1254"/>
    <x v="44"/>
    <n v="3"/>
    <x v="12"/>
    <x v="0"/>
    <x v="0"/>
    <m/>
    <m/>
    <n v="49"/>
    <m/>
    <s v="M"/>
    <d v="1899-12-30T09:23:00"/>
    <d v="1899-12-30T00:22:00"/>
    <s v="09:24"/>
    <s v="NC"/>
    <m/>
    <s v="20140726 NCollin"/>
    <s v="20140727 AStephens"/>
    <d v="1899-12-30T00:00:38"/>
    <s v="x"/>
    <s v="na"/>
    <s v="FWL"/>
    <s v="na"/>
    <s v="na"/>
    <s v="na"/>
    <s v="na"/>
    <s v="na"/>
    <s v="na"/>
    <s v="na"/>
    <s v="na"/>
  </r>
  <r>
    <n v="1255"/>
    <x v="44"/>
    <n v="3"/>
    <x v="12"/>
    <x v="0"/>
    <x v="13"/>
    <n v="2"/>
    <s v="38 P"/>
    <n v="46"/>
    <m/>
    <s v="M"/>
    <m/>
    <d v="1899-12-30T00:43:00"/>
    <s v="12:15"/>
    <s v="NC"/>
    <m/>
    <s v="20140726 NCollin"/>
    <s v="20140727 AStephens"/>
    <s v="x"/>
    <n v="151.51499999999999"/>
    <s v="na"/>
    <s v="FWL"/>
    <s v="na"/>
    <s v="na"/>
    <s v="F1835"/>
    <s v="na"/>
    <s v="na"/>
    <s v="na"/>
    <s v="na"/>
    <s v="na"/>
  </r>
  <r>
    <n v="1256"/>
    <x v="44"/>
    <n v="3"/>
    <x v="12"/>
    <x v="0"/>
    <x v="13"/>
    <n v="38"/>
    <s v="39 P"/>
    <n v="48"/>
    <m/>
    <s v="U"/>
    <m/>
    <d v="1899-12-30T00:48:00"/>
    <s v="12:19"/>
    <s v="NC"/>
    <m/>
    <s v="20140726 NCollin"/>
    <s v="20140727 AStephens"/>
    <s v="x"/>
    <n v="151.51499999999999"/>
    <s v="na"/>
    <s v="FWL"/>
    <s v="na"/>
    <s v="na"/>
    <s v="F1835"/>
    <s v="na"/>
    <s v="na"/>
    <s v="na"/>
    <s v="na"/>
    <s v="na"/>
  </r>
  <r>
    <n v="1257"/>
    <x v="44"/>
    <n v="3"/>
    <x v="10"/>
    <x v="0"/>
    <x v="11"/>
    <n v="96"/>
    <m/>
    <n v="57"/>
    <m/>
    <s v="U"/>
    <m/>
    <d v="1899-12-30T01:12:00"/>
    <s v="12:29"/>
    <s v="JK"/>
    <s v="discarded DNA (two clips in same vial)"/>
    <s v="20140726 NCollin"/>
    <s v="20140727 AStephens"/>
    <s v="x"/>
    <n v="151.53399999999999"/>
    <s v="na"/>
    <s v="FWL"/>
    <s v="na"/>
    <s v="na"/>
    <s v="F1840"/>
    <s v="na"/>
    <s v="na"/>
    <s v="na"/>
    <s v="na"/>
    <s v="na"/>
  </r>
  <r>
    <n v="1258"/>
    <x v="44"/>
    <n v="3"/>
    <x v="3"/>
    <x v="2"/>
    <x v="0"/>
    <m/>
    <m/>
    <m/>
    <n v="33"/>
    <s v="U"/>
    <m/>
    <d v="1899-12-30T00:18:00"/>
    <s v="13:33"/>
    <s v="JK"/>
    <m/>
    <s v="20140726 NCollin"/>
    <s v="20140727 AStephens"/>
    <s v="x"/>
    <s v="x"/>
    <s v="na"/>
    <s v="FWL"/>
    <s v="na"/>
    <s v="na"/>
    <s v="na"/>
    <s v="na"/>
    <s v="na"/>
    <s v="na"/>
    <s v="na"/>
    <s v="na"/>
  </r>
  <r>
    <n v="1259"/>
    <x v="44"/>
    <n v="3"/>
    <x v="7"/>
    <x v="0"/>
    <x v="14"/>
    <n v="45"/>
    <s v="117 S"/>
    <n v="57"/>
    <m/>
    <s v="U"/>
    <m/>
    <d v="1899-12-30T01:47:00"/>
    <s v="14:24"/>
    <s v="HR"/>
    <s v="dorsal fin slightly torn. Took photos. After reviewing photos, this is probably a SO.  Changed genetics over to SO vial (was 4 CO)."/>
    <s v="20140726 QBerger"/>
    <s v="20140727 AStephens"/>
    <s v="x"/>
    <n v="151.32499999999999"/>
    <s v="na"/>
    <s v="FWL"/>
    <s v="na"/>
    <s v="na"/>
    <s v="F1840"/>
    <s v="na"/>
    <s v="na"/>
    <s v="na"/>
    <s v="na"/>
    <s v="na"/>
  </r>
  <r>
    <n v="1260"/>
    <x v="44"/>
    <n v="3"/>
    <x v="7"/>
    <x v="0"/>
    <x v="10"/>
    <n v="90"/>
    <s v="52 S"/>
    <n v="48"/>
    <m/>
    <s v="U"/>
    <m/>
    <d v="1899-12-30T01:21:00"/>
    <s v="15:05"/>
    <s v="QB"/>
    <s v="took photos"/>
    <s v="20140726 QBerger"/>
    <s v="20140727 AStephens"/>
    <s v="x"/>
    <n v="151.58600000000001"/>
    <s v="na"/>
    <s v="FWL"/>
    <s v="na"/>
    <s v="na"/>
    <s v="F1840"/>
    <s v="na"/>
    <s v="na"/>
    <s v="na"/>
    <s v="na"/>
    <s v="na"/>
  </r>
  <r>
    <n v="1261"/>
    <x v="44"/>
    <n v="3"/>
    <x v="10"/>
    <x v="0"/>
    <x v="7"/>
    <n v="38"/>
    <s v="31 CM"/>
    <n v="59"/>
    <m/>
    <s v="U"/>
    <d v="1899-12-30T15:31:00"/>
    <d v="1899-12-30T01:18:00"/>
    <s v="15:38"/>
    <s v="HR"/>
    <m/>
    <s v="20140726 QBerger"/>
    <s v="20140727 AStephens"/>
    <d v="1899-12-30T00:05:42"/>
    <n v="151.56399999999999"/>
    <s v="na"/>
    <s v="FWL"/>
    <s v="na"/>
    <s v="na"/>
    <s v="F1840"/>
    <s v="na"/>
    <s v="na"/>
    <s v="na"/>
    <s v="na"/>
    <s v="na"/>
  </r>
  <r>
    <n v="1262"/>
    <x v="44"/>
    <n v="3"/>
    <x v="12"/>
    <x v="0"/>
    <x v="12"/>
    <n v="34"/>
    <s v="40 P"/>
    <n v="46"/>
    <m/>
    <s v="F"/>
    <m/>
    <d v="1899-12-30T00:53:00"/>
    <s v="17:55"/>
    <s v="HR"/>
    <m/>
    <s v="20140726 QBerger"/>
    <s v="20140727 AStephens"/>
    <s v="x"/>
    <n v="151.596"/>
    <s v="na"/>
    <s v="FWL"/>
    <s v="na"/>
    <s v="na"/>
    <s v="F1835"/>
    <s v="na"/>
    <s v="na"/>
    <s v="na"/>
    <s v="na"/>
    <s v="na"/>
  </r>
  <r>
    <n v="1263"/>
    <x v="44"/>
    <n v="3"/>
    <x v="12"/>
    <x v="0"/>
    <x v="13"/>
    <n v="64"/>
    <s v="41 P"/>
    <n v="49"/>
    <m/>
    <s v="M"/>
    <m/>
    <d v="1899-12-30T01:17:00"/>
    <s v="17:59"/>
    <s v="HR"/>
    <m/>
    <s v="20140726 QBerger"/>
    <s v="20140727 AStephens"/>
    <s v="x"/>
    <n v="151.51499999999999"/>
    <s v="na"/>
    <s v="FWL"/>
    <s v="na"/>
    <s v="na"/>
    <s v="F1835"/>
    <s v="na"/>
    <s v="na"/>
    <s v="na"/>
    <s v="na"/>
    <s v="na"/>
  </r>
  <r>
    <n v="1264"/>
    <x v="44"/>
    <n v="3"/>
    <x v="12"/>
    <x v="0"/>
    <x v="13"/>
    <n v="76"/>
    <s v="42 P"/>
    <n v="50"/>
    <m/>
    <s v="U"/>
    <m/>
    <d v="1899-12-30T01:01:00"/>
    <s v="18:02"/>
    <s v="QB"/>
    <m/>
    <s v="20140726 QBerger"/>
    <s v="20140727 AStephens"/>
    <s v="x"/>
    <n v="151.51499999999999"/>
    <s v="na"/>
    <s v="FWL"/>
    <s v="na"/>
    <s v="na"/>
    <s v="F1835"/>
    <s v="na"/>
    <s v="na"/>
    <s v="na"/>
    <s v="na"/>
    <s v="na"/>
  </r>
  <r>
    <n v="1265"/>
    <x v="45"/>
    <n v="1"/>
    <x v="12"/>
    <x v="0"/>
    <x v="12"/>
    <n v="81"/>
    <s v="35 P"/>
    <n v="48"/>
    <m/>
    <s v="U"/>
    <m/>
    <d v="1899-12-30T01:00:00"/>
    <s v="08:48"/>
    <s v="QB"/>
    <m/>
    <s v="20140727 QBerger"/>
    <s v="20140728 JImrie"/>
    <s v="x"/>
    <n v="151.596"/>
    <s v="na"/>
    <s v="FWL"/>
    <s v="na"/>
    <s v="na"/>
    <s v="F1835"/>
    <s v="na"/>
    <s v="na"/>
    <s v="na"/>
    <s v="na"/>
    <s v="na"/>
  </r>
  <r>
    <n v="1266"/>
    <x v="45"/>
    <n v="1"/>
    <x v="12"/>
    <x v="0"/>
    <x v="0"/>
    <m/>
    <m/>
    <n v="40"/>
    <m/>
    <s v="U"/>
    <m/>
    <d v="1899-12-30T00:35:00"/>
    <s v="08:51"/>
    <s v="HR"/>
    <m/>
    <s v="20140727 QBerger"/>
    <s v="20140728 JImrie"/>
    <s v="x"/>
    <s v="x"/>
    <s v="na"/>
    <s v="FWL"/>
    <s v="na"/>
    <s v="na"/>
    <s v="na"/>
    <s v="na"/>
    <s v="na"/>
    <s v="na"/>
    <s v="na"/>
    <s v="na"/>
  </r>
  <r>
    <n v="1267"/>
    <x v="45"/>
    <n v="1"/>
    <x v="12"/>
    <x v="0"/>
    <x v="13"/>
    <n v="44"/>
    <s v="36 P"/>
    <n v="48"/>
    <m/>
    <s v="U"/>
    <m/>
    <d v="1899-12-30T01:06:00"/>
    <s v="10:07"/>
    <s v="HR"/>
    <m/>
    <s v="20140727 QBerger"/>
    <s v="20140728 JImrie"/>
    <s v="x"/>
    <n v="151.51499999999999"/>
    <s v="na"/>
    <s v="FWL"/>
    <s v="na"/>
    <s v="na"/>
    <s v="F1835"/>
    <s v="na"/>
    <s v="na"/>
    <s v="na"/>
    <s v="na"/>
    <s v="na"/>
  </r>
  <r>
    <n v="1268"/>
    <x v="45"/>
    <n v="1"/>
    <x v="12"/>
    <x v="0"/>
    <x v="12"/>
    <n v="20"/>
    <s v="37 P"/>
    <n v="49"/>
    <m/>
    <s v="F"/>
    <m/>
    <d v="1899-12-30T00:52:00"/>
    <s v="10:10"/>
    <s v="QB"/>
    <m/>
    <s v="20140727 QBerger"/>
    <s v="20140728 JImrie"/>
    <s v="x"/>
    <n v="151.596"/>
    <s v="na"/>
    <s v="FWL"/>
    <s v="na"/>
    <s v="na"/>
    <s v="F1835"/>
    <s v="na"/>
    <s v="na"/>
    <s v="na"/>
    <s v="na"/>
    <s v="na"/>
  </r>
  <r>
    <n v="1269"/>
    <x v="45"/>
    <n v="1"/>
    <x v="12"/>
    <x v="0"/>
    <x v="0"/>
    <m/>
    <m/>
    <n v="46"/>
    <m/>
    <s v="F"/>
    <m/>
    <d v="1899-12-30T00:32:00"/>
    <s v="10:12"/>
    <s v="QB"/>
    <m/>
    <s v="20140727 QBerger"/>
    <s v="20140728 JImrie"/>
    <s v="x"/>
    <s v="x"/>
    <s v="na"/>
    <s v="FWL"/>
    <s v="na"/>
    <s v="na"/>
    <s v="na"/>
    <s v="na"/>
    <s v="na"/>
    <s v="na"/>
    <s v="na"/>
    <s v="na"/>
  </r>
  <r>
    <n v="1270"/>
    <x v="45"/>
    <n v="1"/>
    <x v="12"/>
    <x v="0"/>
    <x v="0"/>
    <m/>
    <m/>
    <n v="47"/>
    <m/>
    <s v="M"/>
    <m/>
    <d v="1899-12-30T00:20:00"/>
    <s v="10:13"/>
    <s v="QB"/>
    <m/>
    <s v="20140727 QBerger"/>
    <s v="20140728 JImrie"/>
    <s v="x"/>
    <s v="x"/>
    <s v="na"/>
    <s v="FWL"/>
    <s v="na"/>
    <s v="na"/>
    <s v="na"/>
    <s v="na"/>
    <s v="na"/>
    <s v="na"/>
    <s v="na"/>
    <s v="na"/>
  </r>
  <r>
    <n v="1271"/>
    <x v="45"/>
    <n v="1"/>
    <x v="12"/>
    <x v="0"/>
    <x v="0"/>
    <m/>
    <m/>
    <n v="51"/>
    <m/>
    <s v="M"/>
    <m/>
    <d v="1899-12-30T00:20:00"/>
    <s v="10:14"/>
    <s v="QB"/>
    <m/>
    <s v="20140727 QBerger"/>
    <s v="20140728 JImrie"/>
    <s v="x"/>
    <s v="x"/>
    <s v="na"/>
    <s v="FWL"/>
    <s v="na"/>
    <s v="na"/>
    <s v="na"/>
    <s v="na"/>
    <s v="na"/>
    <s v="na"/>
    <s v="na"/>
    <s v="na"/>
  </r>
  <r>
    <n v="1272"/>
    <x v="45"/>
    <n v="1"/>
    <x v="12"/>
    <x v="0"/>
    <x v="0"/>
    <m/>
    <m/>
    <n v="44"/>
    <m/>
    <s v="F"/>
    <m/>
    <d v="1899-12-30T00:31:00"/>
    <s v="10:16"/>
    <s v="QB"/>
    <m/>
    <s v="20140727 QBerger"/>
    <s v="20140728 JImrie"/>
    <s v="x"/>
    <s v="x"/>
    <s v="na"/>
    <s v="FWL"/>
    <s v="na"/>
    <s v="na"/>
    <s v="na"/>
    <s v="na"/>
    <s v="na"/>
    <s v="na"/>
    <s v="na"/>
    <s v="na"/>
  </r>
  <r>
    <n v="1273"/>
    <x v="45"/>
    <n v="1"/>
    <x v="12"/>
    <x v="0"/>
    <x v="0"/>
    <m/>
    <m/>
    <n v="46"/>
    <m/>
    <s v="M"/>
    <m/>
    <d v="1899-12-30T00:32:00"/>
    <s v="10:17"/>
    <s v="QB"/>
    <m/>
    <s v="20140727 QBerger"/>
    <s v="20140728 JImrie"/>
    <s v="x"/>
    <s v="x"/>
    <s v="na"/>
    <s v="FWL"/>
    <s v="na"/>
    <s v="na"/>
    <s v="na"/>
    <s v="na"/>
    <s v="na"/>
    <s v="na"/>
    <s v="na"/>
    <s v="na"/>
  </r>
  <r>
    <n v="1274"/>
    <x v="45"/>
    <n v="1"/>
    <x v="12"/>
    <x v="0"/>
    <x v="0"/>
    <m/>
    <m/>
    <n v="46"/>
    <m/>
    <s v="U"/>
    <m/>
    <d v="1899-12-30T00:40:00"/>
    <s v="10:59"/>
    <s v="HR"/>
    <m/>
    <s v="20140727 QBerger"/>
    <s v="20140728 JImrie"/>
    <s v="x"/>
    <s v="x"/>
    <s v="na"/>
    <s v="FWL"/>
    <s v="na"/>
    <s v="na"/>
    <s v="na"/>
    <s v="na"/>
    <s v="na"/>
    <s v="na"/>
    <s v="na"/>
    <s v="na"/>
  </r>
  <r>
    <n v="1275"/>
    <x v="45"/>
    <n v="1"/>
    <x v="12"/>
    <x v="0"/>
    <x v="0"/>
    <m/>
    <m/>
    <n v="46"/>
    <m/>
    <s v="F"/>
    <m/>
    <d v="1899-12-30T00:24:00"/>
    <s v="11:00"/>
    <s v="HR"/>
    <m/>
    <s v="20140727 QBerger"/>
    <s v="20140728 JImrie"/>
    <s v="x"/>
    <s v="x"/>
    <s v="na"/>
    <s v="FWL"/>
    <s v="na"/>
    <s v="na"/>
    <s v="na"/>
    <s v="na"/>
    <s v="na"/>
    <s v="na"/>
    <s v="na"/>
    <s v="na"/>
  </r>
  <r>
    <n v="1276"/>
    <x v="45"/>
    <n v="1"/>
    <x v="12"/>
    <x v="0"/>
    <x v="0"/>
    <m/>
    <m/>
    <n v="45"/>
    <m/>
    <s v="U"/>
    <m/>
    <d v="1899-12-30T00:55:00"/>
    <s v="11:02"/>
    <s v="HR"/>
    <m/>
    <s v="20140727 QBerger"/>
    <s v="20140728 JImrie"/>
    <s v="x"/>
    <s v="x"/>
    <s v="na"/>
    <s v="FWL"/>
    <s v="na"/>
    <s v="na"/>
    <s v="na"/>
    <s v="na"/>
    <s v="na"/>
    <s v="na"/>
    <s v="na"/>
    <s v="na"/>
  </r>
  <r>
    <n v="1277"/>
    <x v="45"/>
    <n v="1"/>
    <x v="12"/>
    <x v="0"/>
    <x v="0"/>
    <m/>
    <m/>
    <n v="47"/>
    <m/>
    <s v="M"/>
    <m/>
    <d v="1899-12-30T00:55:00"/>
    <s v="11:02"/>
    <s v="HR"/>
    <m/>
    <s v="20140727 QBerger"/>
    <s v="20140728 JImrie"/>
    <s v="x"/>
    <s v="x"/>
    <s v="na"/>
    <s v="FWL"/>
    <s v="na"/>
    <s v="na"/>
    <s v="na"/>
    <s v="na"/>
    <s v="na"/>
    <s v="na"/>
    <s v="na"/>
    <s v="na"/>
  </r>
  <r>
    <n v="1278"/>
    <x v="45"/>
    <n v="1"/>
    <x v="12"/>
    <x v="0"/>
    <x v="0"/>
    <m/>
    <m/>
    <n v="48"/>
    <m/>
    <s v="F"/>
    <m/>
    <d v="1899-12-30T00:31:00"/>
    <s v="12:53"/>
    <s v="CZ"/>
    <m/>
    <s v="20140727 LAckein"/>
    <s v="20140728 JImrie"/>
    <s v="x"/>
    <s v="x"/>
    <s v="na"/>
    <s v="FWL"/>
    <s v="na"/>
    <s v="na"/>
    <s v="na"/>
    <s v="na"/>
    <s v="na"/>
    <s v="na"/>
    <s v="na"/>
    <s v="na"/>
  </r>
  <r>
    <n v="1279"/>
    <x v="45"/>
    <n v="1"/>
    <x v="12"/>
    <x v="0"/>
    <x v="0"/>
    <m/>
    <m/>
    <n v="49"/>
    <m/>
    <s v="M"/>
    <m/>
    <d v="1899-12-30T00:30:00"/>
    <s v="12:53"/>
    <s v="CZ"/>
    <m/>
    <s v="20140727 LAckein"/>
    <s v="20140728 JImrie"/>
    <s v="x"/>
    <s v="x"/>
    <s v="na"/>
    <s v="FWL"/>
    <s v="na"/>
    <s v="na"/>
    <s v="na"/>
    <s v="na"/>
    <s v="na"/>
    <s v="na"/>
    <s v="na"/>
    <s v="na"/>
  </r>
  <r>
    <n v="1280"/>
    <x v="45"/>
    <n v="1"/>
    <x v="10"/>
    <x v="0"/>
    <x v="11"/>
    <n v="33"/>
    <s v="42 CM"/>
    <n v="59"/>
    <m/>
    <s v="U"/>
    <m/>
    <d v="1899-12-30T00:58:00"/>
    <s v="12:57"/>
    <s v="CZ"/>
    <s v="channel sleuthed to 534"/>
    <s v="20140727 LAckein"/>
    <s v="20140728 JImrie"/>
    <s v="x"/>
    <n v="151.53399999999999"/>
    <s v="na"/>
    <s v="FWL"/>
    <s v="na"/>
    <s v="na"/>
    <s v="F1840"/>
    <s v="na"/>
    <s v="na"/>
    <s v="na"/>
    <s v="na"/>
    <s v="na"/>
  </r>
  <r>
    <n v="1281"/>
    <x v="45"/>
    <n v="1"/>
    <x v="10"/>
    <x v="0"/>
    <x v="0"/>
    <m/>
    <m/>
    <n v="55"/>
    <m/>
    <s v="U"/>
    <m/>
    <d v="1899-12-30T00:23:00"/>
    <s v="15:29"/>
    <s v="CZ"/>
    <m/>
    <s v="20140727 LAckein"/>
    <s v="20140728 JImrie"/>
    <s v="x"/>
    <s v="x"/>
    <s v="na"/>
    <s v="FWL"/>
    <s v="na"/>
    <s v="na"/>
    <s v="na"/>
    <s v="na"/>
    <s v="na"/>
    <s v="na"/>
    <s v="na"/>
    <s v="na"/>
  </r>
  <r>
    <n v="1282"/>
    <x v="45"/>
    <n v="1"/>
    <x v="4"/>
    <x v="1"/>
    <x v="3"/>
    <n v="48"/>
    <m/>
    <n v="36"/>
    <m/>
    <s v="U"/>
    <m/>
    <d v="1899-12-30T03:54:00"/>
    <s v="18:20"/>
    <s v="JK"/>
    <s v="no genetics, kept submerged under water, hard to id"/>
    <s v="20140727 NCollin"/>
    <s v="20140728 JImrie"/>
    <s v="x"/>
    <n v="151.917"/>
    <s v="na"/>
    <s v="FWL"/>
    <s v="na"/>
    <s v="na"/>
    <s v="F1835"/>
    <s v="na"/>
    <s v="na"/>
    <s v="na"/>
    <s v="na"/>
    <s v="na"/>
  </r>
  <r>
    <n v="1283"/>
    <x v="45"/>
    <n v="1"/>
    <x v="10"/>
    <x v="0"/>
    <x v="0"/>
    <m/>
    <m/>
    <n v="60"/>
    <m/>
    <s v="U"/>
    <m/>
    <d v="1899-12-30T00:37:00"/>
    <s v="19:06"/>
    <s v="NC"/>
    <m/>
    <s v="20140727 NCollin"/>
    <s v="20140728 JImrie"/>
    <s v="x"/>
    <s v="x"/>
    <s v="na"/>
    <s v="FWL"/>
    <s v="na"/>
    <s v="na"/>
    <s v="na"/>
    <s v="na"/>
    <s v="na"/>
    <s v="na"/>
    <s v="na"/>
    <s v="na"/>
  </r>
  <r>
    <n v="1284"/>
    <x v="45"/>
    <n v="2"/>
    <x v="10"/>
    <x v="0"/>
    <x v="7"/>
    <n v="55"/>
    <s v="41 CM"/>
    <n v="58"/>
    <m/>
    <s v="U"/>
    <m/>
    <d v="1899-12-30T01:11:00"/>
    <s v="09:07"/>
    <s v="HR"/>
    <m/>
    <s v="20140727 HReider"/>
    <s v="20140728 JImrie"/>
    <s v="x"/>
    <n v="151.56399999999999"/>
    <s v="na"/>
    <s v="FWL"/>
    <s v="na"/>
    <s v="na"/>
    <s v="F1840"/>
    <s v="na"/>
    <s v="na"/>
    <s v="na"/>
    <s v="na"/>
    <s v="na"/>
  </r>
  <r>
    <n v="1285"/>
    <x v="45"/>
    <n v="2"/>
    <x v="10"/>
    <x v="0"/>
    <x v="11"/>
    <n v="56"/>
    <s v="40 CM"/>
    <n v="60"/>
    <m/>
    <s v="U"/>
    <m/>
    <d v="1899-12-30T01:02:00"/>
    <s v="9:10"/>
    <s v="QB"/>
    <m/>
    <s v="20140727 HReider"/>
    <s v="20140728 JImrie"/>
    <s v="x"/>
    <n v="151.53399999999999"/>
    <s v="na"/>
    <s v="FWL"/>
    <s v="na"/>
    <s v="na"/>
    <s v="F1840"/>
    <s v="na"/>
    <s v="na"/>
    <s v="na"/>
    <s v="na"/>
    <s v="na"/>
  </r>
  <r>
    <n v="1286"/>
    <x v="45"/>
    <n v="2"/>
    <x v="13"/>
    <x v="0"/>
    <x v="14"/>
    <n v="44"/>
    <s v="3 CO"/>
    <n v="58"/>
    <m/>
    <s v="U"/>
    <m/>
    <d v="1899-12-30T01:20:00"/>
    <s v="10:43"/>
    <s v="HR"/>
    <s v="gash on rt side of belly (old wound)"/>
    <s v="20140727 HReider"/>
    <s v="20140728 JImrie"/>
    <s v="x"/>
    <n v="151.32499999999999"/>
    <s v="na"/>
    <s v="FWL"/>
    <s v="na"/>
    <s v="na"/>
    <s v="F1840"/>
    <s v="na"/>
    <s v="na"/>
    <s v="na"/>
    <s v="na"/>
    <s v="na"/>
  </r>
  <r>
    <n v="1287"/>
    <x v="45"/>
    <n v="2"/>
    <x v="7"/>
    <x v="0"/>
    <x v="10"/>
    <n v="49"/>
    <s v="60 S"/>
    <n v="53"/>
    <m/>
    <s v="U"/>
    <m/>
    <d v="1899-12-30T01:12:00"/>
    <s v="10:51"/>
    <s v="QB"/>
    <s v="green head, red, lively"/>
    <s v="20140727 HReider"/>
    <s v="20140728 JImrie"/>
    <s v="x"/>
    <n v="151.58600000000001"/>
    <s v="na"/>
    <s v="FWL"/>
    <s v="na"/>
    <s v="na"/>
    <s v="F1840"/>
    <s v="na"/>
    <s v="na"/>
    <s v="na"/>
    <s v="na"/>
    <s v="na"/>
  </r>
  <r>
    <n v="1288"/>
    <x v="45"/>
    <n v="2"/>
    <x v="7"/>
    <x v="0"/>
    <x v="6"/>
    <n v="79"/>
    <s v="61 S"/>
    <n v="44"/>
    <m/>
    <s v="U"/>
    <m/>
    <d v="1899-12-30T01:45:00"/>
    <s v="12:09"/>
    <s v="LA"/>
    <m/>
    <s v="20140727 Lackein"/>
    <s v="20140728 JImrie"/>
    <s v="x"/>
    <n v="151.57300000000001"/>
    <s v="na"/>
    <s v="FWL"/>
    <s v="na"/>
    <s v="na"/>
    <s v="F1840"/>
    <s v="na"/>
    <s v="na"/>
    <s v="na"/>
    <s v="na"/>
    <s v="na"/>
  </r>
  <r>
    <n v="1289"/>
    <x v="45"/>
    <n v="2"/>
    <x v="7"/>
    <x v="0"/>
    <x v="6"/>
    <n v="41"/>
    <s v="62 S"/>
    <n v="43"/>
    <m/>
    <s v="U"/>
    <m/>
    <d v="1899-12-30T01:07:00"/>
    <s v="14:04"/>
    <s v="CZ"/>
    <m/>
    <s v="20140727 LAckein"/>
    <s v="20140728 JImrie"/>
    <s v="x"/>
    <n v="151.57300000000001"/>
    <s v="na"/>
    <s v="FWL"/>
    <s v="na"/>
    <s v="na"/>
    <s v="F1840"/>
    <s v="na"/>
    <s v="na"/>
    <s v="na"/>
    <s v="na"/>
    <s v="na"/>
  </r>
  <r>
    <n v="1290"/>
    <x v="45"/>
    <n v="2"/>
    <x v="7"/>
    <x v="0"/>
    <x v="6"/>
    <n v="60"/>
    <s v="63 S"/>
    <n v="55"/>
    <m/>
    <s v="U"/>
    <m/>
    <d v="1899-12-30T01:38:00"/>
    <s v="15:09"/>
    <s v="LA"/>
    <s v="bright sides, green head-pretty and feisty!"/>
    <s v="20140727 LAckein"/>
    <s v="20140728 JImrie"/>
    <s v="x"/>
    <n v="151.57300000000001"/>
    <s v="na"/>
    <s v="FWL"/>
    <s v="na"/>
    <s v="na"/>
    <s v="F1840"/>
    <s v="na"/>
    <s v="na"/>
    <s v="na"/>
    <s v="na"/>
    <s v="na"/>
  </r>
  <r>
    <n v="1291"/>
    <x v="45"/>
    <n v="2"/>
    <x v="12"/>
    <x v="0"/>
    <x v="12"/>
    <n v="98"/>
    <s v="51 P"/>
    <n v="46"/>
    <m/>
    <s v="M"/>
    <m/>
    <d v="1899-12-30T01:05:00"/>
    <s v="15:16"/>
    <s v="CZ"/>
    <m/>
    <s v="20140727 LAckein"/>
    <s v="20140728 JImrie"/>
    <s v="x"/>
    <n v="151.596"/>
    <s v="na"/>
    <s v="FWL"/>
    <s v="na"/>
    <s v="na"/>
    <s v="F1835"/>
    <s v="na"/>
    <s v="na"/>
    <s v="na"/>
    <s v="na"/>
    <s v="na"/>
  </r>
  <r>
    <n v="1292"/>
    <x v="45"/>
    <n v="2"/>
    <x v="7"/>
    <x v="0"/>
    <x v="6"/>
    <n v="4"/>
    <s v="70 S"/>
    <n v="45"/>
    <m/>
    <s v="U"/>
    <m/>
    <d v="1899-12-30T01:49:00"/>
    <s v="16:36"/>
    <s v="LA"/>
    <s v="pink blush, green head; very lively"/>
    <s v="20140727 LAckein"/>
    <s v="20140728 JImrie"/>
    <s v="x"/>
    <n v="151.57300000000001"/>
    <s v="na"/>
    <s v="FWL"/>
    <s v="na"/>
    <s v="na"/>
    <s v="F1840"/>
    <s v="na"/>
    <s v="na"/>
    <s v="na"/>
    <s v="na"/>
    <s v="na"/>
  </r>
  <r>
    <n v="1293"/>
    <x v="45"/>
    <n v="2"/>
    <x v="7"/>
    <x v="0"/>
    <x v="6"/>
    <n v="40"/>
    <s v="71 S"/>
    <n v="55"/>
    <m/>
    <s v="U"/>
    <m/>
    <d v="1899-12-30T01:11:00"/>
    <s v="17:49"/>
    <s v="JK"/>
    <m/>
    <s v="20140727 LAckein"/>
    <s v="20140728 JImrie"/>
    <s v="x"/>
    <n v="151.57300000000001"/>
    <s v="na"/>
    <s v="FWL"/>
    <s v="na"/>
    <s v="na"/>
    <s v="F1840"/>
    <s v="na"/>
    <s v="na"/>
    <s v="na"/>
    <s v="na"/>
    <s v="na"/>
  </r>
  <r>
    <n v="1294"/>
    <x v="45"/>
    <n v="2"/>
    <x v="10"/>
    <x v="0"/>
    <x v="0"/>
    <m/>
    <m/>
    <n v="66"/>
    <m/>
    <s v="U"/>
    <m/>
    <d v="1899-12-30T00:36:00"/>
    <s v="19:22"/>
    <s v="NC"/>
    <m/>
    <s v="20140727 JKunzler"/>
    <s v="20140728 JImrie"/>
    <s v="x"/>
    <s v="x"/>
    <s v="na"/>
    <s v="FWL"/>
    <s v="na"/>
    <s v="na"/>
    <s v="na"/>
    <s v="na"/>
    <s v="na"/>
    <s v="na"/>
    <s v="na"/>
    <s v="na"/>
  </r>
  <r>
    <n v="1295"/>
    <x v="45"/>
    <n v="2"/>
    <x v="12"/>
    <x v="0"/>
    <x v="12"/>
    <n v="80"/>
    <s v="52 P"/>
    <n v="41"/>
    <m/>
    <s v="U"/>
    <m/>
    <d v="1899-12-30T01:08:00"/>
    <s v="19:28"/>
    <s v="NC"/>
    <m/>
    <s v="20140727 JKunzler"/>
    <s v="20140728 JImrie"/>
    <s v="x"/>
    <n v="151.596"/>
    <s v="na"/>
    <s v="FWL"/>
    <s v="na"/>
    <s v="na"/>
    <s v="F1835"/>
    <s v="na"/>
    <s v="na"/>
    <s v="na"/>
    <s v="na"/>
    <s v="na"/>
  </r>
  <r>
    <n v="1296"/>
    <x v="45"/>
    <n v="3"/>
    <x v="12"/>
    <x v="0"/>
    <x v="13"/>
    <n v="39"/>
    <s v="43 P"/>
    <n v="48"/>
    <m/>
    <s v="U"/>
    <m/>
    <d v="1899-12-30T00:54:00"/>
    <s v="09:04"/>
    <s v="JK"/>
    <m/>
    <s v="20140727 NCollin"/>
    <s v="20140728 JImrie"/>
    <s v="x"/>
    <n v="151.51499999999999"/>
    <s v="na"/>
    <s v="FWL"/>
    <s v="na"/>
    <s v="na"/>
    <s v="F1835"/>
    <s v="na"/>
    <s v="na"/>
    <s v="na"/>
    <s v="na"/>
    <s v="na"/>
  </r>
  <r>
    <n v="1297"/>
    <x v="45"/>
    <n v="3"/>
    <x v="12"/>
    <x v="0"/>
    <x v="13"/>
    <n v="27"/>
    <s v="44 P"/>
    <n v="48"/>
    <m/>
    <s v="U"/>
    <m/>
    <d v="1899-12-30T00:52:00"/>
    <s v="09:11"/>
    <s v="JK"/>
    <m/>
    <s v="20140727 NCollin"/>
    <s v="20140728 JImrie"/>
    <s v="x"/>
    <n v="151.51499999999999"/>
    <s v="na"/>
    <s v="FWL"/>
    <s v="na"/>
    <s v="na"/>
    <s v="F1835"/>
    <s v="na"/>
    <s v="na"/>
    <s v="na"/>
    <s v="na"/>
    <s v="na"/>
  </r>
  <r>
    <n v="1298"/>
    <x v="45"/>
    <n v="3"/>
    <x v="12"/>
    <x v="0"/>
    <x v="12"/>
    <n v="49"/>
    <s v="45 P"/>
    <n v="47"/>
    <m/>
    <s v="M"/>
    <m/>
    <d v="1899-12-30T00:52:00"/>
    <s v="09:14 "/>
    <s v="JK"/>
    <m/>
    <s v="20140727 NCollin"/>
    <s v="20140728 JImrie"/>
    <s v="x"/>
    <n v="151.596"/>
    <s v="na"/>
    <s v="FWL"/>
    <s v="na"/>
    <s v="na"/>
    <s v="F1835"/>
    <s v="na"/>
    <s v="na"/>
    <s v="na"/>
    <s v="na"/>
    <s v="na"/>
  </r>
  <r>
    <n v="1299"/>
    <x v="45"/>
    <n v="3"/>
    <x v="12"/>
    <x v="0"/>
    <x v="12"/>
    <n v="36"/>
    <s v="46 P"/>
    <n v="47"/>
    <m/>
    <s v="F"/>
    <m/>
    <d v="1899-12-30T01:18:00"/>
    <s v="09:17"/>
    <s v="JK"/>
    <m/>
    <s v="20140727 NCollin"/>
    <s v="20140728 JImrie"/>
    <s v="x"/>
    <n v="151.596"/>
    <s v="na"/>
    <s v="FWL"/>
    <s v="na"/>
    <s v="na"/>
    <s v="F1835"/>
    <s v="na"/>
    <s v="na"/>
    <s v="na"/>
    <s v="na"/>
    <s v="na"/>
  </r>
  <r>
    <n v="1300"/>
    <x v="45"/>
    <n v="3"/>
    <x v="12"/>
    <x v="0"/>
    <x v="12"/>
    <n v="43"/>
    <s v="47 P"/>
    <n v="51"/>
    <m/>
    <s v="M"/>
    <m/>
    <d v="1899-12-30T00:49:00"/>
    <s v="09:20"/>
    <s v="JK"/>
    <m/>
    <s v="20140727 NCollin"/>
    <s v="20140728 JImrie"/>
    <s v="x"/>
    <n v="151.596"/>
    <s v="na"/>
    <s v="FWL"/>
    <s v="na"/>
    <s v="na"/>
    <s v="F1835"/>
    <s v="na"/>
    <s v="na"/>
    <s v="na"/>
    <s v="na"/>
    <s v="na"/>
  </r>
  <r>
    <n v="1301"/>
    <x v="45"/>
    <n v="3"/>
    <x v="12"/>
    <x v="0"/>
    <x v="0"/>
    <m/>
    <m/>
    <n v="45"/>
    <m/>
    <s v="U"/>
    <m/>
    <d v="1899-12-30T00:24:00"/>
    <s v="09:24"/>
    <s v="JK"/>
    <m/>
    <s v="20140727 NCollin"/>
    <s v="20140728 JImrie"/>
    <s v="x"/>
    <s v="x"/>
    <s v="na"/>
    <s v="FWL"/>
    <s v="na"/>
    <s v="na"/>
    <s v="na"/>
    <s v="na"/>
    <s v="na"/>
    <s v="na"/>
    <s v="na"/>
    <s v="na"/>
  </r>
  <r>
    <n v="1302"/>
    <x v="45"/>
    <n v="3"/>
    <x v="12"/>
    <x v="0"/>
    <x v="0"/>
    <m/>
    <m/>
    <n v="47"/>
    <m/>
    <s v="U"/>
    <m/>
    <d v="1899-12-30T00:23:00"/>
    <s v="09:28"/>
    <s v="JK"/>
    <m/>
    <s v="20140727 NCollin"/>
    <s v="20140728 JImrie"/>
    <s v="x"/>
    <s v="x"/>
    <s v="na"/>
    <s v="FWL"/>
    <s v="na"/>
    <s v="na"/>
    <s v="na"/>
    <s v="na"/>
    <s v="na"/>
    <s v="na"/>
    <s v="na"/>
    <s v="na"/>
  </r>
  <r>
    <n v="1303"/>
    <x v="45"/>
    <n v="3"/>
    <x v="7"/>
    <x v="0"/>
    <x v="6"/>
    <n v="82"/>
    <s v="53 S"/>
    <n v="59"/>
    <m/>
    <s v="U"/>
    <m/>
    <d v="1899-12-30T01:45:00"/>
    <s v="09:31"/>
    <s v="JK"/>
    <m/>
    <s v="20140727 NCollin"/>
    <s v="20140728 JImrie"/>
    <s v="x"/>
    <n v="151.57300000000001"/>
    <s v="na"/>
    <s v="FWL"/>
    <s v="na"/>
    <s v="na"/>
    <s v="F1840"/>
    <s v="na"/>
    <s v="na"/>
    <s v="na"/>
    <s v="na"/>
    <s v="na"/>
  </r>
  <r>
    <n v="1304"/>
    <x v="45"/>
    <n v="3"/>
    <x v="12"/>
    <x v="0"/>
    <x v="0"/>
    <m/>
    <m/>
    <n v="43"/>
    <m/>
    <s v="M"/>
    <m/>
    <d v="1899-12-30T00:26:00"/>
    <s v="10:21"/>
    <s v="NC"/>
    <m/>
    <s v="20140727 NCollin"/>
    <s v="20140728 JImrie"/>
    <s v="x"/>
    <s v="x"/>
    <s v="na"/>
    <s v="FWL"/>
    <s v="na"/>
    <s v="na"/>
    <s v="na"/>
    <s v="na"/>
    <s v="na"/>
    <s v="na"/>
    <s v="na"/>
    <s v="na"/>
  </r>
  <r>
    <n v="1305"/>
    <x v="45"/>
    <n v="3"/>
    <x v="12"/>
    <x v="0"/>
    <x v="0"/>
    <m/>
    <m/>
    <n v="49"/>
    <m/>
    <s v="M"/>
    <m/>
    <d v="1899-12-30T00:24:00"/>
    <s v="10:23"/>
    <s v="NC"/>
    <m/>
    <s v="20140727 NCollin"/>
    <s v="20140728 JImrie"/>
    <s v="x"/>
    <s v="x"/>
    <s v="na"/>
    <s v="FWL"/>
    <s v="na"/>
    <s v="na"/>
    <s v="na"/>
    <s v="na"/>
    <s v="na"/>
    <s v="na"/>
    <s v="na"/>
    <s v="na"/>
  </r>
  <r>
    <n v="1306"/>
    <x v="45"/>
    <n v="3"/>
    <x v="12"/>
    <x v="0"/>
    <x v="0"/>
    <m/>
    <m/>
    <n v="46"/>
    <m/>
    <s v="F"/>
    <m/>
    <d v="1899-12-30T00:32:00"/>
    <s v="10:24"/>
    <s v="NC"/>
    <m/>
    <s v="20140727 NCollin"/>
    <s v="20140728 JImrie"/>
    <s v="x"/>
    <s v="x"/>
    <s v="na"/>
    <s v="FWL"/>
    <s v="na"/>
    <s v="na"/>
    <s v="na"/>
    <s v="na"/>
    <s v="na"/>
    <s v="na"/>
    <s v="na"/>
    <s v="na"/>
  </r>
  <r>
    <n v="1307"/>
    <x v="45"/>
    <n v="3"/>
    <x v="12"/>
    <x v="0"/>
    <x v="0"/>
    <m/>
    <m/>
    <n v="48"/>
    <m/>
    <s v="M"/>
    <m/>
    <d v="1899-12-30T00:25:00"/>
    <s v="10:25"/>
    <s v="NC"/>
    <m/>
    <s v="20140727 NCollin"/>
    <s v="20140728 JImrie"/>
    <s v="x"/>
    <s v="x"/>
    <s v="na"/>
    <s v="FWL"/>
    <s v="na"/>
    <s v="na"/>
    <s v="na"/>
    <s v="na"/>
    <s v="na"/>
    <s v="na"/>
    <s v="na"/>
    <s v="na"/>
  </r>
  <r>
    <n v="1308"/>
    <x v="45"/>
    <n v="3"/>
    <x v="12"/>
    <x v="0"/>
    <x v="0"/>
    <m/>
    <m/>
    <n v="46"/>
    <m/>
    <s v="U"/>
    <m/>
    <d v="1899-12-30T00:27:00"/>
    <s v="10:27"/>
    <s v="NC"/>
    <m/>
    <s v="20140727 NCollin"/>
    <s v="20140728 JImrie"/>
    <s v="x"/>
    <s v="x"/>
    <s v="na"/>
    <s v="FWL"/>
    <s v="na"/>
    <s v="na"/>
    <s v="na"/>
    <s v="na"/>
    <s v="na"/>
    <s v="na"/>
    <s v="na"/>
    <s v="na"/>
  </r>
  <r>
    <n v="1309"/>
    <x v="45"/>
    <n v="3"/>
    <x v="12"/>
    <x v="0"/>
    <x v="0"/>
    <m/>
    <m/>
    <n v="51"/>
    <m/>
    <s v="M"/>
    <m/>
    <d v="1899-12-30T00:44:00"/>
    <s v="10:29"/>
    <s v="NC"/>
    <m/>
    <s v="20140727 NCollin"/>
    <s v="20140728 JImrie"/>
    <s v="x"/>
    <s v="x"/>
    <s v="na"/>
    <s v="FWL"/>
    <s v="na"/>
    <s v="na"/>
    <s v="na"/>
    <s v="na"/>
    <s v="na"/>
    <s v="na"/>
    <s v="na"/>
    <s v="na"/>
  </r>
  <r>
    <n v="1310"/>
    <x v="45"/>
    <n v="3"/>
    <x v="12"/>
    <x v="0"/>
    <x v="0"/>
    <m/>
    <m/>
    <n v="48"/>
    <m/>
    <s v="F"/>
    <m/>
    <d v="1899-12-30T00:40:00"/>
    <s v="10:30"/>
    <s v="NC"/>
    <m/>
    <s v="20140727 NCollin"/>
    <s v="20140728 JImrie"/>
    <s v="x"/>
    <s v="x"/>
    <s v="na"/>
    <s v="FWL"/>
    <s v="na"/>
    <s v="na"/>
    <s v="na"/>
    <s v="na"/>
    <s v="na"/>
    <s v="na"/>
    <s v="na"/>
    <s v="na"/>
  </r>
  <r>
    <n v="1311"/>
    <x v="45"/>
    <n v="3"/>
    <x v="12"/>
    <x v="0"/>
    <x v="0"/>
    <m/>
    <m/>
    <n v="46"/>
    <m/>
    <s v="F"/>
    <m/>
    <d v="1899-12-30T00:28:00"/>
    <s v="10:31"/>
    <s v="NC"/>
    <m/>
    <s v="20140727 NCollin"/>
    <s v="20140728 JImrie"/>
    <s v="x"/>
    <s v="x"/>
    <s v="na"/>
    <s v="FWL"/>
    <s v="na"/>
    <s v="na"/>
    <s v="na"/>
    <s v="na"/>
    <s v="na"/>
    <s v="na"/>
    <s v="na"/>
    <s v="na"/>
  </r>
  <r>
    <n v="1312"/>
    <x v="45"/>
    <n v="3"/>
    <x v="7"/>
    <x v="0"/>
    <x v="10"/>
    <n v="26"/>
    <s v="54 S"/>
    <n v="54"/>
    <m/>
    <s v="U"/>
    <m/>
    <d v="1899-12-30T01:06:00"/>
    <s v="13:11"/>
    <s v="NC"/>
    <m/>
    <s v="20140727 NCollin"/>
    <s v="20140728 JImrie"/>
    <s v="x"/>
    <n v="151.58600000000001"/>
    <s v="na"/>
    <s v="FWL"/>
    <s v="na"/>
    <s v="na"/>
    <s v="F1840"/>
    <s v="na"/>
    <s v="na"/>
    <s v="na"/>
    <s v="na"/>
    <s v="na"/>
  </r>
  <r>
    <n v="1313"/>
    <x v="45"/>
    <n v="3"/>
    <x v="7"/>
    <x v="0"/>
    <x v="10"/>
    <n v="63"/>
    <s v="65 S"/>
    <n v="58"/>
    <m/>
    <s v="U"/>
    <m/>
    <d v="1899-12-30T02:00:00"/>
    <s v="16:23"/>
    <s v="HR"/>
    <m/>
    <s v="20140727 QBerger"/>
    <s v="20140728 JImrie"/>
    <s v="x"/>
    <n v="151.58600000000001"/>
    <s v="na"/>
    <s v="FWL"/>
    <s v="na"/>
    <s v="na"/>
    <s v="F1840"/>
    <s v="na"/>
    <s v="na"/>
    <s v="na"/>
    <s v="na"/>
    <s v="na"/>
  </r>
  <r>
    <n v="1314"/>
    <x v="45"/>
    <n v="3"/>
    <x v="10"/>
    <x v="0"/>
    <x v="0"/>
    <m/>
    <m/>
    <n v="59"/>
    <m/>
    <s v="U"/>
    <d v="1899-12-30T18:13:00"/>
    <d v="1899-12-30T00:31:00"/>
    <s v="18:16"/>
    <s v="QB"/>
    <m/>
    <s v="20140727 QBerger"/>
    <s v="20140728 JImrie"/>
    <d v="1899-12-30T00:02:29"/>
    <s v="x"/>
    <s v="na"/>
    <s v="FWL"/>
    <s v="na"/>
    <s v="na"/>
    <s v="na"/>
    <s v="na"/>
    <s v="na"/>
    <s v="na"/>
    <s v="na"/>
    <s v="na"/>
  </r>
  <r>
    <n v="1315"/>
    <x v="45"/>
    <n v="3"/>
    <x v="10"/>
    <x v="0"/>
    <x v="0"/>
    <m/>
    <m/>
    <n v="59"/>
    <m/>
    <s v="U"/>
    <d v="1899-12-30T18:22:00"/>
    <d v="1899-12-30T00:27:00"/>
    <s v="18:26"/>
    <s v="QB"/>
    <s v="probably same fish as above!"/>
    <s v="20140727 QBerger"/>
    <s v="20140728 JImrie"/>
    <d v="1899-12-30T00:03:33"/>
    <s v="x"/>
    <s v="na"/>
    <s v="FWL"/>
    <s v="na"/>
    <s v="na"/>
    <s v="na"/>
    <s v="na"/>
    <s v="na"/>
    <s v="na"/>
    <s v="na"/>
    <s v="na"/>
  </r>
  <r>
    <n v="1316"/>
    <x v="45"/>
    <n v="3"/>
    <x v="10"/>
    <x v="0"/>
    <x v="0"/>
    <m/>
    <m/>
    <n v="59"/>
    <m/>
    <s v="U"/>
    <d v="1899-12-30T18:28:00"/>
    <d v="1899-12-30T00:32:00"/>
    <s v="18:30"/>
    <s v="HR"/>
    <s v="think its same chum"/>
    <s v="20140727 QBerger"/>
    <s v="20140728 JImrie"/>
    <d v="1899-12-30T00:01:28"/>
    <s v="x"/>
    <s v="na"/>
    <s v="FWL"/>
    <s v="na"/>
    <s v="na"/>
    <s v="na"/>
    <s v="na"/>
    <s v="na"/>
    <s v="na"/>
    <s v="na"/>
    <s v="na"/>
  </r>
  <r>
    <n v="1317"/>
    <x v="46"/>
    <n v="1"/>
    <x v="12"/>
    <x v="0"/>
    <x v="12"/>
    <n v="32"/>
    <s v="53 P"/>
    <n v="53"/>
    <m/>
    <s v="F"/>
    <m/>
    <d v="1899-12-30T00:46:00"/>
    <s v="08:32"/>
    <s v="NC"/>
    <s v="beautiful large female"/>
    <s v="20140728 LAckein"/>
    <s v="20140729 JImrie"/>
    <s v="x"/>
    <n v="151.596"/>
    <s v="na"/>
    <s v="FWL"/>
    <s v="na"/>
    <s v="na"/>
    <s v="F1835"/>
    <s v="na"/>
    <s v="na"/>
    <s v="na"/>
    <s v="na"/>
    <s v="na"/>
  </r>
  <r>
    <n v="1318"/>
    <x v="46"/>
    <n v="1"/>
    <x v="12"/>
    <x v="0"/>
    <x v="12"/>
    <n v="52"/>
    <s v="54 P"/>
    <n v="50"/>
    <m/>
    <s v="M"/>
    <m/>
    <d v="1899-12-30T00:44:00"/>
    <s v="08:35"/>
    <s v="NC"/>
    <m/>
    <s v="20140728 LAckein"/>
    <s v="20140729 JImrie"/>
    <s v="x"/>
    <n v="151.596"/>
    <s v="na"/>
    <s v="FWL"/>
    <s v="na"/>
    <s v="na"/>
    <s v="F1835"/>
    <s v="na"/>
    <s v="na"/>
    <s v="na"/>
    <s v="na"/>
    <s v="na"/>
  </r>
  <r>
    <n v="1319"/>
    <x v="46"/>
    <n v="1"/>
    <x v="12"/>
    <x v="0"/>
    <x v="13"/>
    <n v="78"/>
    <s v="60 P"/>
    <n v="50"/>
    <m/>
    <s v="M"/>
    <m/>
    <d v="1899-12-30T00:55:00"/>
    <s v="08:38"/>
    <s v="NC"/>
    <m/>
    <s v="20140728 LAckein"/>
    <s v="20140729 JImrie"/>
    <s v="x"/>
    <n v="151.51499999999999"/>
    <s v="na"/>
    <s v="FWL"/>
    <s v="na"/>
    <s v="na"/>
    <s v="F1835"/>
    <s v="na"/>
    <s v="na"/>
    <s v="na"/>
    <s v="na"/>
    <s v="na"/>
  </r>
  <r>
    <n v="1320"/>
    <x v="46"/>
    <n v="1"/>
    <x v="12"/>
    <x v="0"/>
    <x v="0"/>
    <m/>
    <m/>
    <n v="48"/>
    <m/>
    <s v="U"/>
    <m/>
    <d v="1899-12-30T00:22:00"/>
    <s v="08:43"/>
    <s v="LA"/>
    <m/>
    <s v="20140728 LAckein"/>
    <s v="20140729 JImrie"/>
    <s v="x"/>
    <s v="x"/>
    <s v="na"/>
    <s v="FWL"/>
    <s v="na"/>
    <s v="na"/>
    <s v="na"/>
    <s v="na"/>
    <s v="na"/>
    <s v="na"/>
    <s v="na"/>
    <s v="na"/>
  </r>
  <r>
    <n v="1321"/>
    <x v="46"/>
    <n v="1"/>
    <x v="12"/>
    <x v="0"/>
    <x v="0"/>
    <m/>
    <m/>
    <n v="43"/>
    <m/>
    <s v="M"/>
    <m/>
    <d v="1899-12-30T00:23:00"/>
    <s v="08:44"/>
    <s v="LA"/>
    <m/>
    <s v="20140728 LAckein"/>
    <s v="20140729 JImrie"/>
    <s v="x"/>
    <s v="x"/>
    <s v="na"/>
    <s v="FWL"/>
    <s v="na"/>
    <s v="na"/>
    <s v="na"/>
    <s v="na"/>
    <s v="na"/>
    <s v="na"/>
    <s v="na"/>
    <s v="na"/>
  </r>
  <r>
    <n v="1322"/>
    <x v="46"/>
    <n v="1"/>
    <x v="7"/>
    <x v="0"/>
    <x v="10"/>
    <n v="81"/>
    <s v="72 S"/>
    <n v="52"/>
    <m/>
    <s v="U"/>
    <m/>
    <d v="1899-12-30T01:14:00"/>
    <s v="08:46"/>
    <s v="LA"/>
    <m/>
    <s v="20140728 LAckein"/>
    <s v="20140729 JImrie"/>
    <s v="x"/>
    <n v="151.58600000000001"/>
    <s v="na"/>
    <s v="FWL"/>
    <s v="na"/>
    <s v="na"/>
    <s v="F1840"/>
    <s v="na"/>
    <s v="na"/>
    <s v="na"/>
    <s v="na"/>
    <s v="na"/>
  </r>
  <r>
    <n v="1323"/>
    <x v="46"/>
    <n v="1"/>
    <x v="12"/>
    <x v="0"/>
    <x v="0"/>
    <m/>
    <m/>
    <n v="42"/>
    <m/>
    <s v="M"/>
    <m/>
    <d v="1899-12-30T00:23:00"/>
    <s v="08:48"/>
    <s v="LA"/>
    <m/>
    <s v="20140728 LAckein"/>
    <s v="20140729 JImrie"/>
    <s v="x"/>
    <s v="x"/>
    <s v="na"/>
    <s v="FWL"/>
    <s v="na"/>
    <s v="na"/>
    <s v="na"/>
    <s v="na"/>
    <s v="na"/>
    <s v="na"/>
    <s v="na"/>
    <s v="na"/>
  </r>
  <r>
    <n v="1324"/>
    <x v="46"/>
    <n v="1"/>
    <x v="12"/>
    <x v="0"/>
    <x v="0"/>
    <m/>
    <m/>
    <n v="41"/>
    <m/>
    <s v="M"/>
    <d v="1899-12-30T08:49:00"/>
    <d v="1899-12-30T00:19:00"/>
    <s v="08:50"/>
    <s v="LA"/>
    <m/>
    <s v="20140728 LAckein"/>
    <s v="20140729 JImrie"/>
    <d v="1899-12-30T00:00:41"/>
    <s v="x"/>
    <s v="na"/>
    <s v="FWL"/>
    <s v="na"/>
    <s v="na"/>
    <s v="na"/>
    <s v="na"/>
    <s v="na"/>
    <s v="na"/>
    <s v="na"/>
    <s v="na"/>
  </r>
  <r>
    <n v="1325"/>
    <x v="46"/>
    <n v="1"/>
    <x v="12"/>
    <x v="0"/>
    <x v="0"/>
    <m/>
    <m/>
    <n v="50"/>
    <m/>
    <s v="M"/>
    <m/>
    <d v="1899-12-30T00:20:00"/>
    <s v="09:07"/>
    <s v="NC"/>
    <m/>
    <s v="20140728 LAckein"/>
    <s v="20140729 JImrie"/>
    <s v="x"/>
    <s v="x"/>
    <s v="na"/>
    <s v="FWL"/>
    <s v="na"/>
    <s v="na"/>
    <s v="na"/>
    <s v="na"/>
    <s v="na"/>
    <s v="na"/>
    <s v="na"/>
    <s v="na"/>
  </r>
  <r>
    <n v="1326"/>
    <x v="46"/>
    <n v="1"/>
    <x v="12"/>
    <x v="0"/>
    <x v="0"/>
    <m/>
    <m/>
    <n v="43"/>
    <m/>
    <s v="U"/>
    <m/>
    <d v="1899-12-30T00:26:00"/>
    <s v="09:08"/>
    <s v="NC"/>
    <m/>
    <s v="20140728 LAckein"/>
    <s v="20140729 JImrie"/>
    <s v="x"/>
    <s v="x"/>
    <s v="na"/>
    <s v="FWL"/>
    <s v="na"/>
    <s v="na"/>
    <s v="na"/>
    <s v="na"/>
    <s v="na"/>
    <s v="na"/>
    <s v="na"/>
    <s v="na"/>
  </r>
  <r>
    <n v="1327"/>
    <x v="46"/>
    <n v="1"/>
    <x v="12"/>
    <x v="0"/>
    <x v="0"/>
    <m/>
    <m/>
    <n v="48"/>
    <m/>
    <s v="F"/>
    <m/>
    <d v="1899-12-30T00:26:00"/>
    <s v="09:09"/>
    <s v="NC"/>
    <m/>
    <s v="20140728 LAckein"/>
    <s v="20140729 JImrie"/>
    <s v="x"/>
    <s v="x"/>
    <s v="na"/>
    <s v="FWL"/>
    <s v="na"/>
    <s v="na"/>
    <s v="na"/>
    <s v="na"/>
    <s v="na"/>
    <s v="na"/>
    <s v="na"/>
    <s v="na"/>
  </r>
  <r>
    <n v="1328"/>
    <x v="46"/>
    <n v="1"/>
    <x v="12"/>
    <x v="0"/>
    <x v="0"/>
    <m/>
    <m/>
    <n v="41"/>
    <m/>
    <s v="M"/>
    <m/>
    <d v="1899-12-30T00:20:00"/>
    <s v="09:09"/>
    <s v="NC"/>
    <m/>
    <s v="20140728 LAckein"/>
    <s v="20140729 JImrie"/>
    <s v="x"/>
    <s v="x"/>
    <s v="na"/>
    <s v="FWL"/>
    <s v="na"/>
    <s v="na"/>
    <s v="na"/>
    <s v="na"/>
    <s v="na"/>
    <s v="na"/>
    <s v="na"/>
    <s v="na"/>
  </r>
  <r>
    <n v="1329"/>
    <x v="46"/>
    <n v="1"/>
    <x v="12"/>
    <x v="0"/>
    <x v="0"/>
    <m/>
    <m/>
    <n v="49"/>
    <m/>
    <s v="F"/>
    <m/>
    <d v="1899-12-30T00:20:00"/>
    <s v="09:11"/>
    <s v="NC"/>
    <m/>
    <s v="20140728 LAckein"/>
    <s v="20140729 JImrie"/>
    <s v="x"/>
    <s v="x"/>
    <s v="na"/>
    <s v="FWL"/>
    <s v="na"/>
    <s v="na"/>
    <s v="na"/>
    <s v="na"/>
    <s v="na"/>
    <s v="na"/>
    <s v="na"/>
    <s v="na"/>
  </r>
  <r>
    <n v="1330"/>
    <x v="46"/>
    <n v="1"/>
    <x v="12"/>
    <x v="0"/>
    <x v="0"/>
    <m/>
    <m/>
    <n v="44"/>
    <m/>
    <s v="F"/>
    <d v="1899-12-30T08:59:00"/>
    <d v="1899-12-30T00:21:00"/>
    <s v="09:12"/>
    <s v="NC"/>
    <m/>
    <s v="20140728 LAckein"/>
    <s v="20140729 JImrie"/>
    <d v="1899-12-30T00:12:39"/>
    <s v="x"/>
    <s v="na"/>
    <s v="FWL"/>
    <s v="na"/>
    <s v="na"/>
    <s v="na"/>
    <s v="na"/>
    <s v="na"/>
    <s v="na"/>
    <s v="na"/>
    <s v="na"/>
  </r>
  <r>
    <n v="1331"/>
    <x v="46"/>
    <n v="1"/>
    <x v="12"/>
    <x v="0"/>
    <x v="0"/>
    <m/>
    <m/>
    <n v="44"/>
    <m/>
    <s v="M"/>
    <m/>
    <d v="1899-12-30T00:18:00"/>
    <s v="10:43"/>
    <s v="LA"/>
    <m/>
    <s v="20140728 LAckein"/>
    <s v="20140729 JImrie"/>
    <s v="x"/>
    <s v="x"/>
    <s v="na"/>
    <s v="FWL"/>
    <s v="na"/>
    <s v="na"/>
    <s v="na"/>
    <s v="na"/>
    <s v="na"/>
    <s v="na"/>
    <s v="na"/>
    <s v="na"/>
  </r>
  <r>
    <n v="1332"/>
    <x v="46"/>
    <n v="1"/>
    <x v="12"/>
    <x v="0"/>
    <x v="0"/>
    <m/>
    <m/>
    <n v="42"/>
    <m/>
    <s v="F"/>
    <m/>
    <d v="1899-12-30T00:21:00"/>
    <s v="10:44"/>
    <s v="LA"/>
    <m/>
    <s v="20140728 LAckein"/>
    <s v="20140729 JImrie"/>
    <s v="x"/>
    <s v="x"/>
    <s v="na"/>
    <s v="FWL"/>
    <s v="na"/>
    <s v="na"/>
    <s v="na"/>
    <s v="na"/>
    <s v="na"/>
    <s v="na"/>
    <s v="na"/>
    <s v="na"/>
  </r>
  <r>
    <n v="1333"/>
    <x v="46"/>
    <n v="1"/>
    <x v="10"/>
    <x v="0"/>
    <x v="7"/>
    <n v="60"/>
    <s v="44 CM"/>
    <n v="67"/>
    <m/>
    <s v="U"/>
    <m/>
    <d v="1899-12-30T01:58:00"/>
    <s v="10:54"/>
    <s v="LA"/>
    <m/>
    <s v="20140728 LAckein"/>
    <s v="20140729 JImrie"/>
    <s v="x"/>
    <n v="151.56399999999999"/>
    <s v="na"/>
    <s v="FWL"/>
    <s v="na"/>
    <s v="na"/>
    <s v="F1840"/>
    <s v="na"/>
    <s v="na"/>
    <s v="na"/>
    <s v="na"/>
    <s v="na"/>
  </r>
  <r>
    <n v="1334"/>
    <x v="46"/>
    <n v="1"/>
    <x v="10"/>
    <x v="0"/>
    <x v="11"/>
    <n v="23"/>
    <s v="45 CM"/>
    <n v="61"/>
    <m/>
    <s v="U"/>
    <m/>
    <d v="1899-12-30T01:15:00"/>
    <s v="13:30"/>
    <s v="LA"/>
    <m/>
    <s v="20140728 LAckein"/>
    <s v="20140729 JImrie"/>
    <s v="x"/>
    <n v="151.53399999999999"/>
    <s v="na"/>
    <s v="FWL"/>
    <s v="na"/>
    <s v="na"/>
    <s v="F1840"/>
    <s v="na"/>
    <s v="na"/>
    <s v="na"/>
    <s v="na"/>
    <s v="na"/>
  </r>
  <r>
    <n v="1335"/>
    <x v="46"/>
    <n v="1"/>
    <x v="10"/>
    <x v="0"/>
    <x v="0"/>
    <m/>
    <m/>
    <n v="61"/>
    <m/>
    <s v="U"/>
    <m/>
    <d v="1899-12-30T00:23:00"/>
    <s v="13:53"/>
    <s v="NC"/>
    <m/>
    <s v="20140728 LAckein"/>
    <s v="20140729 JImrie"/>
    <s v="x"/>
    <s v="x"/>
    <s v="na"/>
    <s v="FWL"/>
    <s v="na"/>
    <s v="na"/>
    <s v="na"/>
    <s v="na"/>
    <s v="na"/>
    <s v="na"/>
    <s v="na"/>
    <s v="na"/>
  </r>
  <r>
    <n v="1336"/>
    <x v="46"/>
    <n v="1"/>
    <x v="10"/>
    <x v="0"/>
    <x v="0"/>
    <m/>
    <m/>
    <n v="66"/>
    <m/>
    <s v="U"/>
    <m/>
    <d v="1899-12-30T00:31:00"/>
    <s v="15:05"/>
    <s v="QB"/>
    <m/>
    <s v="20140728 JKunzler"/>
    <s v="20140729 JImrie"/>
    <s v="x"/>
    <s v="x"/>
    <s v="na"/>
    <s v="FWL"/>
    <s v="na"/>
    <s v="na"/>
    <s v="na"/>
    <s v="na"/>
    <s v="na"/>
    <s v="na"/>
    <s v="na"/>
    <s v="na"/>
  </r>
  <r>
    <n v="1337"/>
    <x v="46"/>
    <n v="1"/>
    <x v="7"/>
    <x v="0"/>
    <x v="6"/>
    <n v="42"/>
    <s v="80 S"/>
    <n v="55"/>
    <m/>
    <s v="U"/>
    <m/>
    <d v="1899-12-30T01:11:00"/>
    <s v="15:58"/>
    <s v="QB"/>
    <s v="green head, silver body, fiesty"/>
    <s v="20140728 JKunzler"/>
    <s v="20140729 JImrie"/>
    <s v="x"/>
    <n v="151.57300000000001"/>
    <s v="na"/>
    <s v="FWL"/>
    <s v="na"/>
    <s v="na"/>
    <s v="F1840"/>
    <s v="na"/>
    <s v="na"/>
    <s v="na"/>
    <s v="na"/>
    <s v="na"/>
  </r>
  <r>
    <n v="1338"/>
    <x v="46"/>
    <n v="1"/>
    <x v="1"/>
    <x v="0"/>
    <x v="3"/>
    <n v="9"/>
    <m/>
    <n v="91"/>
    <m/>
    <s v="M"/>
    <d v="1899-12-30T16:18:00"/>
    <d v="1899-12-30T01:15:00"/>
    <s v="16:25"/>
    <s v="QB"/>
    <s v="green back, dark red; tag in jumped out of trough before ap. FIESTY"/>
    <s v="20140728 JKunzler"/>
    <s v="20140729 JImrie"/>
    <d v="1899-12-30T00:05:45"/>
    <n v="151.917"/>
    <s v="na"/>
    <s v="FWL"/>
    <s v="na"/>
    <s v="na"/>
    <s v="F1835"/>
    <s v="na"/>
    <s v="na"/>
    <s v="na"/>
    <s v="na"/>
    <s v="na"/>
  </r>
  <r>
    <n v="1339"/>
    <x v="46"/>
    <n v="1"/>
    <x v="7"/>
    <x v="0"/>
    <x v="10"/>
    <n v="2"/>
    <s v="75 S"/>
    <n v="48"/>
    <m/>
    <s v="U"/>
    <m/>
    <d v="1899-12-30T01:12:00"/>
    <s v="18:02"/>
    <s v="QB"/>
    <m/>
    <s v="20140728 JKunzler"/>
    <s v="20140729 JImrie"/>
    <s v="x"/>
    <n v="151.58600000000001"/>
    <s v="na"/>
    <s v="FWL"/>
    <s v="na"/>
    <s v="na"/>
    <s v="F1840"/>
    <s v="na"/>
    <s v="na"/>
    <s v="na"/>
    <s v="na"/>
    <s v="na"/>
  </r>
  <r>
    <n v="1340"/>
    <x v="46"/>
    <n v="1"/>
    <x v="10"/>
    <x v="0"/>
    <x v="0"/>
    <m/>
    <m/>
    <n v="60"/>
    <m/>
    <s v="U"/>
    <m/>
    <d v="1899-12-30T00:21:00"/>
    <s v="18:55"/>
    <s v="JK"/>
    <m/>
    <s v="20140728 JKunzler"/>
    <s v="20140729 JImrie"/>
    <s v="x"/>
    <s v="x"/>
    <s v="na"/>
    <s v="FWL"/>
    <s v="na"/>
    <s v="na"/>
    <s v="na"/>
    <s v="na"/>
    <s v="na"/>
    <s v="na"/>
    <s v="na"/>
    <s v="na"/>
  </r>
  <r>
    <n v="1341"/>
    <x v="46"/>
    <n v="2"/>
    <x v="12"/>
    <x v="0"/>
    <x v="13"/>
    <n v="43"/>
    <s v="55 P"/>
    <n v="44"/>
    <m/>
    <s v="M"/>
    <d v="1899-12-30T08:05:00"/>
    <d v="1899-12-30T01:33:00"/>
    <s v="09:26"/>
    <s v="LA"/>
    <m/>
    <s v="20140728 LAckein"/>
    <s v="20140729 JImrie"/>
    <d v="1899-12-30T01:19:27"/>
    <n v="151.51499999999999"/>
    <s v="na"/>
    <s v="FWL"/>
    <s v="na"/>
    <s v="na"/>
    <s v="F1835"/>
    <s v="na"/>
    <s v="na"/>
    <s v="na"/>
    <s v="na"/>
    <s v="na"/>
  </r>
  <r>
    <n v="1342"/>
    <x v="46"/>
    <n v="2"/>
    <x v="10"/>
    <x v="0"/>
    <x v="11"/>
    <n v="97"/>
    <s v="43 CM"/>
    <n v="63"/>
    <m/>
    <s v="U"/>
    <d v="1899-12-30T09:32:00"/>
    <d v="1899-12-30T01:19:00"/>
    <s v="09:38"/>
    <s v="NC"/>
    <m/>
    <s v="20140728 LAckein"/>
    <s v="20140729 JImrie"/>
    <d v="1899-12-30T00:04:41"/>
    <n v="151.53399999999999"/>
    <s v="na"/>
    <s v="FWL"/>
    <s v="na"/>
    <s v="na"/>
    <s v="F1840"/>
    <s v="na"/>
    <s v="na"/>
    <s v="na"/>
    <s v="na"/>
    <s v="na"/>
  </r>
  <r>
    <n v="1343"/>
    <x v="46"/>
    <n v="2"/>
    <x v="12"/>
    <x v="0"/>
    <x v="13"/>
    <n v="4"/>
    <s v="56 P"/>
    <n v="44"/>
    <m/>
    <s v="F"/>
    <m/>
    <d v="1899-12-30T01:05:00"/>
    <s v="10:31"/>
    <s v="LA"/>
    <m/>
    <s v="20140728 LAckein"/>
    <s v="20140729 JImrie"/>
    <s v="x"/>
    <n v="151.51499999999999"/>
    <s v="na"/>
    <s v="FWL"/>
    <s v="na"/>
    <s v="na"/>
    <s v="F1835"/>
    <s v="na"/>
    <s v="na"/>
    <s v="na"/>
    <s v="na"/>
    <s v="na"/>
  </r>
  <r>
    <n v="1344"/>
    <x v="46"/>
    <n v="2"/>
    <x v="12"/>
    <x v="0"/>
    <x v="0"/>
    <m/>
    <m/>
    <n v="46"/>
    <m/>
    <s v="F"/>
    <m/>
    <d v="1899-12-30T00:28:00"/>
    <s v="10:34"/>
    <s v="LA"/>
    <m/>
    <s v="20140728 LAckein"/>
    <s v="20140729 JImrie"/>
    <s v="x"/>
    <s v="x"/>
    <s v="na"/>
    <s v="FWL"/>
    <s v="na"/>
    <s v="na"/>
    <s v="na"/>
    <s v="na"/>
    <s v="na"/>
    <s v="na"/>
    <s v="na"/>
    <s v="na"/>
  </r>
  <r>
    <n v="1345"/>
    <x v="46"/>
    <n v="2"/>
    <x v="7"/>
    <x v="0"/>
    <x v="10"/>
    <n v="82"/>
    <s v="73 S"/>
    <n v="52"/>
    <m/>
    <s v="U"/>
    <m/>
    <d v="1899-12-30T01:00:00"/>
    <s v="13:18"/>
    <s v="NC"/>
    <m/>
    <s v="20140728 LAckein"/>
    <s v="20140729 JImrie"/>
    <s v="x"/>
    <n v="151.58600000000001"/>
    <s v="na"/>
    <s v="FWL"/>
    <s v="na"/>
    <s v="na"/>
    <s v="F1840"/>
    <s v="na"/>
    <s v="na"/>
    <s v="na"/>
    <s v="na"/>
    <s v="na"/>
  </r>
  <r>
    <n v="1346"/>
    <x v="46"/>
    <n v="2"/>
    <x v="7"/>
    <x v="0"/>
    <x v="10"/>
    <n v="88"/>
    <s v="81 S"/>
    <n v="45"/>
    <m/>
    <s v="U"/>
    <m/>
    <d v="1899-12-30T01:00:00"/>
    <s v="15:01"/>
    <s v="JK"/>
    <m/>
    <s v="20140728 JKunzler"/>
    <s v="20140729 JImrie"/>
    <s v="x"/>
    <n v="151.58600000000001"/>
    <s v="na"/>
    <s v="FWL"/>
    <s v="na"/>
    <s v="na"/>
    <s v="F1840"/>
    <s v="na"/>
    <s v="na"/>
    <s v="na"/>
    <s v="na"/>
    <s v="na"/>
  </r>
  <r>
    <n v="1347"/>
    <x v="46"/>
    <n v="2"/>
    <x v="7"/>
    <x v="0"/>
    <x v="10"/>
    <n v="86"/>
    <s v="74 S"/>
    <n v="59"/>
    <m/>
    <s v="M"/>
    <m/>
    <d v="1899-12-30T02:12:00"/>
    <s v="15:08"/>
    <s v="JK"/>
    <s v="Beautiful and lively"/>
    <s v="20140728 JKunzler"/>
    <s v="20140729 JImrie"/>
    <s v="x"/>
    <n v="151.58600000000001"/>
    <s v="na"/>
    <s v="FWL"/>
    <s v="na"/>
    <s v="na"/>
    <s v="F1840"/>
    <s v="na"/>
    <s v="na"/>
    <s v="na"/>
    <s v="na"/>
    <s v="na"/>
  </r>
  <r>
    <n v="1348"/>
    <x v="46"/>
    <n v="2"/>
    <x v="12"/>
    <x v="0"/>
    <x v="0"/>
    <m/>
    <m/>
    <n v="45"/>
    <m/>
    <s v="F"/>
    <d v="1899-12-30T15:07:00"/>
    <d v="1899-12-30T00:29:00"/>
    <s v="15:12"/>
    <s v="JK"/>
    <m/>
    <s v="20140728 JKunzler"/>
    <s v="20140729 JImrie"/>
    <d v="1899-12-30T00:04:31"/>
    <s v="x"/>
    <s v="na"/>
    <s v="FWL"/>
    <s v="na"/>
    <s v="na"/>
    <s v="na"/>
    <s v="na"/>
    <s v="na"/>
    <s v="na"/>
    <s v="na"/>
    <s v="na"/>
  </r>
  <r>
    <n v="1349"/>
    <x v="46"/>
    <n v="2"/>
    <x v="10"/>
    <x v="0"/>
    <x v="0"/>
    <m/>
    <m/>
    <n v="58"/>
    <m/>
    <s v="U"/>
    <m/>
    <d v="1899-12-30T00:28:00"/>
    <s v="19:49"/>
    <s v="JK"/>
    <m/>
    <s v="20140728 JKunzler"/>
    <s v="20140729 JImrie"/>
    <s v="x"/>
    <s v="x"/>
    <s v="na"/>
    <s v="FWL"/>
    <s v="na"/>
    <s v="na"/>
    <s v="na"/>
    <s v="na"/>
    <s v="na"/>
    <s v="na"/>
    <s v="na"/>
    <s v="na"/>
  </r>
  <r>
    <n v="1350"/>
    <x v="46"/>
    <n v="2"/>
    <x v="10"/>
    <x v="0"/>
    <x v="0"/>
    <m/>
    <m/>
    <n v="63"/>
    <m/>
    <s v="U"/>
    <m/>
    <d v="1899-12-30T00:30:00"/>
    <s v="19:50"/>
    <s v="JK"/>
    <m/>
    <s v="20140728 JKunzler"/>
    <s v="20140729 JImrie"/>
    <s v="x"/>
    <s v="x"/>
    <s v="na"/>
    <s v="FWL"/>
    <s v="na"/>
    <s v="na"/>
    <s v="na"/>
    <s v="na"/>
    <s v="na"/>
    <s v="na"/>
    <s v="na"/>
    <s v="na"/>
  </r>
  <r>
    <n v="1351"/>
    <x v="46"/>
    <n v="2"/>
    <x v="7"/>
    <x v="0"/>
    <x v="6"/>
    <n v="14"/>
    <s v="76 S"/>
    <n v="46"/>
    <m/>
    <s v="U"/>
    <m/>
    <d v="1899-12-30T00:56:00"/>
    <s v="19:57"/>
    <s v="QB"/>
    <s v="lively! Tagged NO 12 before No. 11"/>
    <s v="20140728 JKunzler"/>
    <s v="20140729 JImrie"/>
    <s v="x"/>
    <n v="151.57300000000001"/>
    <s v="na"/>
    <s v="FWL"/>
    <s v="na"/>
    <s v="na"/>
    <s v="F1840"/>
    <s v="na"/>
    <s v="na"/>
    <s v="na"/>
    <s v="na"/>
    <s v="na"/>
  </r>
  <r>
    <n v="1352"/>
    <x v="46"/>
    <n v="2"/>
    <x v="10"/>
    <x v="0"/>
    <x v="0"/>
    <m/>
    <m/>
    <n v="66"/>
    <m/>
    <s v="U"/>
    <m/>
    <d v="1899-12-30T00:35:00"/>
    <s v="19:55"/>
    <s v="QB"/>
    <m/>
    <s v="20140728 JKunzler"/>
    <s v="20140729 JImrie"/>
    <s v="x"/>
    <s v="x"/>
    <s v="na"/>
    <s v="FWL"/>
    <s v="na"/>
    <s v="na"/>
    <s v="na"/>
    <s v="na"/>
    <s v="na"/>
    <s v="na"/>
    <s v="na"/>
    <s v="na"/>
  </r>
  <r>
    <n v="1353"/>
    <x v="46"/>
    <n v="2"/>
    <x v="7"/>
    <x v="0"/>
    <x v="10"/>
    <n v="44"/>
    <s v="77 S"/>
    <n v="43"/>
    <m/>
    <s v="U"/>
    <m/>
    <d v="1899-12-30T01:06:00"/>
    <s v="20:02"/>
    <s v="QB"/>
    <m/>
    <s v="20140728 JKunzler"/>
    <s v="20140729 JImrie"/>
    <s v="x"/>
    <n v="151.58600000000001"/>
    <s v="na"/>
    <s v="FWL"/>
    <s v="na"/>
    <s v="na"/>
    <s v="F1840"/>
    <s v="na"/>
    <s v="na"/>
    <s v="na"/>
    <s v="na"/>
    <s v="na"/>
  </r>
  <r>
    <n v="1354"/>
    <x v="46"/>
    <n v="3"/>
    <x v="12"/>
    <x v="0"/>
    <x v="12"/>
    <n v="8"/>
    <s v="48 P"/>
    <n v="48"/>
    <m/>
    <s v="M"/>
    <d v="1899-12-30T08:22:00"/>
    <d v="1899-12-30T01:16:00"/>
    <s v="08:49"/>
    <s v="QB"/>
    <m/>
    <s v="20140728 QBerger"/>
    <s v="20140729 JImrie"/>
    <d v="1899-12-30T00:25:44"/>
    <n v="151.596"/>
    <s v="na"/>
    <s v="FWL"/>
    <s v="na"/>
    <s v="na"/>
    <s v="F1835"/>
    <s v="na"/>
    <s v="na"/>
    <s v="na"/>
    <s v="na"/>
    <s v="na"/>
  </r>
  <r>
    <n v="1355"/>
    <x v="46"/>
    <n v="3"/>
    <x v="12"/>
    <x v="0"/>
    <x v="0"/>
    <m/>
    <m/>
    <n v="40"/>
    <m/>
    <s v="U"/>
    <m/>
    <d v="1899-12-30T00:27:00"/>
    <s v="08:38"/>
    <s v="QB"/>
    <s v="very small 40 too small to tag"/>
    <s v="20140728 QBerger"/>
    <s v="20140729 JImrie"/>
    <s v="x"/>
    <s v="x"/>
    <s v="na"/>
    <s v="FWL"/>
    <s v="na"/>
    <s v="na"/>
    <s v="na"/>
    <s v="na"/>
    <s v="na"/>
    <s v="na"/>
    <s v="na"/>
    <s v="na"/>
  </r>
  <r>
    <n v="1356"/>
    <x v="46"/>
    <n v="3"/>
    <x v="7"/>
    <x v="0"/>
    <x v="10"/>
    <n v="35"/>
    <s v="68 S"/>
    <n v="52"/>
    <m/>
    <s v="U"/>
    <m/>
    <d v="1899-12-30T01:28:00"/>
    <s v="08:45"/>
    <s v="JK"/>
    <s v="JK tagger"/>
    <s v="20140728 QBerger"/>
    <s v="20140729 JImrie"/>
    <s v="x"/>
    <n v="151.58600000000001"/>
    <s v="na"/>
    <s v="FWL"/>
    <s v="na"/>
    <s v="na"/>
    <s v="F1840"/>
    <s v="na"/>
    <s v="na"/>
    <s v="na"/>
    <s v="na"/>
    <s v="na"/>
  </r>
  <r>
    <n v="1357"/>
    <x v="46"/>
    <n v="3"/>
    <x v="12"/>
    <x v="0"/>
    <x v="13"/>
    <n v="86"/>
    <s v="49 P"/>
    <n v="47"/>
    <m/>
    <s v="F"/>
    <m/>
    <d v="1899-12-30T01:03:00"/>
    <s v="09:45"/>
    <s v="JK"/>
    <m/>
    <s v="20140728 QBerger"/>
    <s v="20140729 JImrie"/>
    <s v="x"/>
    <n v="151.51499999999999"/>
    <s v="na"/>
    <s v="FWL"/>
    <s v="na"/>
    <s v="na"/>
    <s v="F1835"/>
    <s v="na"/>
    <s v="na"/>
    <s v="na"/>
    <s v="na"/>
    <s v="na"/>
  </r>
  <r>
    <n v="1358"/>
    <x v="46"/>
    <n v="3"/>
    <x v="12"/>
    <x v="0"/>
    <x v="0"/>
    <m/>
    <m/>
    <n v="44"/>
    <m/>
    <s v="M"/>
    <m/>
    <d v="1899-12-30T00:22:00"/>
    <s v="09:44"/>
    <s v="JK"/>
    <m/>
    <s v="20140728 QBerger"/>
    <s v="20140729 JImrie"/>
    <s v="x"/>
    <s v="x"/>
    <s v="na"/>
    <s v="FWL"/>
    <s v="na"/>
    <s v="na"/>
    <s v="na"/>
    <s v="na"/>
    <s v="na"/>
    <s v="na"/>
    <s v="na"/>
    <s v="na"/>
  </r>
  <r>
    <n v="1359"/>
    <x v="46"/>
    <n v="3"/>
    <x v="12"/>
    <x v="0"/>
    <x v="13"/>
    <n v="96"/>
    <s v="50 P"/>
    <n v="46"/>
    <m/>
    <s v="M"/>
    <m/>
    <d v="1899-12-30T00:54:00"/>
    <s v="09:50"/>
    <s v="JK"/>
    <m/>
    <s v="20140728 QBerger"/>
    <s v="20140729 JImrie"/>
    <s v="x"/>
    <n v="151.51499999999999"/>
    <s v="na"/>
    <s v="FWL"/>
    <s v="na"/>
    <s v="na"/>
    <s v="F1835"/>
    <s v="na"/>
    <s v="na"/>
    <s v="na"/>
    <s v="na"/>
    <s v="na"/>
  </r>
  <r>
    <n v="1360"/>
    <x v="46"/>
    <n v="3"/>
    <x v="12"/>
    <x v="0"/>
    <x v="0"/>
    <m/>
    <m/>
    <n v="47"/>
    <m/>
    <s v="F"/>
    <m/>
    <d v="1899-12-30T00:29:00"/>
    <s v="09:52"/>
    <s v="JK"/>
    <m/>
    <s v="20140728 QBerger"/>
    <s v="20140729 JImrie"/>
    <s v="x"/>
    <s v="x"/>
    <s v="na"/>
    <s v="FWL"/>
    <s v="na"/>
    <s v="na"/>
    <s v="na"/>
    <s v="na"/>
    <s v="na"/>
    <s v="na"/>
    <s v="na"/>
    <s v="na"/>
  </r>
  <r>
    <n v="1361"/>
    <x v="46"/>
    <n v="3"/>
    <x v="7"/>
    <x v="0"/>
    <x v="6"/>
    <n v="50"/>
    <s v="67 S"/>
    <n v="50"/>
    <m/>
    <s v="U"/>
    <m/>
    <d v="1899-12-30T01:20:00"/>
    <s v="10:00"/>
    <s v="JK"/>
    <s v="green head, sliver"/>
    <s v="20140728 QBerger"/>
    <s v="20140729 JImrie"/>
    <s v="x"/>
    <n v="151.57300000000001"/>
    <s v="na"/>
    <s v="FWL"/>
    <s v="na"/>
    <s v="na"/>
    <s v="F1840"/>
    <s v="na"/>
    <s v="na"/>
    <s v="na"/>
    <s v="na"/>
    <s v="na"/>
  </r>
  <r>
    <n v="1362"/>
    <x v="46"/>
    <n v="3"/>
    <x v="12"/>
    <x v="0"/>
    <x v="0"/>
    <m/>
    <m/>
    <n v="47"/>
    <m/>
    <s v="M"/>
    <m/>
    <d v="1899-12-30T00:31:00"/>
    <s v="09:58"/>
    <s v="JK"/>
    <m/>
    <s v="20140728 QBerger"/>
    <s v="20140729 JImrie"/>
    <s v="x"/>
    <s v="x"/>
    <s v="na"/>
    <s v="FWL"/>
    <s v="na"/>
    <s v="na"/>
    <s v="na"/>
    <s v="na"/>
    <s v="na"/>
    <s v="na"/>
    <s v="na"/>
    <s v="na"/>
  </r>
  <r>
    <n v="1363"/>
    <x v="46"/>
    <n v="3"/>
    <x v="12"/>
    <x v="0"/>
    <x v="0"/>
    <m/>
    <m/>
    <n v="48"/>
    <m/>
    <s v="M"/>
    <d v="1899-12-30T09:54:00"/>
    <d v="1899-12-30T00:28:00"/>
    <s v="10:03"/>
    <s v="JK"/>
    <m/>
    <s v="20140728 QBerger"/>
    <s v="20140729 JImrie"/>
    <d v="1899-12-30T00:08:32"/>
    <s v="x"/>
    <s v="na"/>
    <s v="FWL"/>
    <s v="na"/>
    <s v="na"/>
    <s v="na"/>
    <s v="na"/>
    <s v="na"/>
    <s v="na"/>
    <s v="na"/>
    <s v="na"/>
  </r>
  <r>
    <n v="1364"/>
    <x v="46"/>
    <n v="3"/>
    <x v="12"/>
    <x v="0"/>
    <x v="0"/>
    <m/>
    <m/>
    <n v="45"/>
    <m/>
    <s v="U"/>
    <m/>
    <d v="1899-12-30T00:22:00"/>
    <s v="10:46"/>
    <s v="QB"/>
    <m/>
    <s v="20140728 QBerger"/>
    <s v="20140729 JImrie"/>
    <s v="x"/>
    <s v="x"/>
    <s v="na"/>
    <s v="FWL"/>
    <s v="na"/>
    <s v="na"/>
    <s v="na"/>
    <s v="na"/>
    <s v="na"/>
    <s v="na"/>
    <s v="na"/>
    <s v="na"/>
  </r>
  <r>
    <n v="1365"/>
    <x v="46"/>
    <n v="3"/>
    <x v="12"/>
    <x v="0"/>
    <x v="0"/>
    <m/>
    <m/>
    <n v="44"/>
    <m/>
    <s v="M"/>
    <m/>
    <d v="1899-12-30T00:27:00"/>
    <s v="10:48"/>
    <s v="QB"/>
    <m/>
    <s v="20140728 QBerger"/>
    <s v="20140729 JImrie"/>
    <s v="x"/>
    <s v="x"/>
    <s v="na"/>
    <s v="FWL"/>
    <s v="na"/>
    <s v="na"/>
    <s v="na"/>
    <s v="na"/>
    <s v="na"/>
    <s v="na"/>
    <s v="na"/>
    <s v="na"/>
  </r>
  <r>
    <n v="1366"/>
    <x v="46"/>
    <n v="3"/>
    <x v="12"/>
    <x v="0"/>
    <x v="0"/>
    <m/>
    <m/>
    <n v="48"/>
    <m/>
    <s v="F"/>
    <m/>
    <d v="1899-12-30T00:21:00"/>
    <s v="10:49"/>
    <s v="QB"/>
    <m/>
    <s v="20140728 QBerger"/>
    <s v="20140729 JImrie"/>
    <s v="x"/>
    <s v="x"/>
    <s v="na"/>
    <s v="FWL"/>
    <s v="na"/>
    <s v="na"/>
    <s v="na"/>
    <s v="na"/>
    <s v="na"/>
    <s v="na"/>
    <s v="na"/>
    <s v="na"/>
  </r>
  <r>
    <n v="1367"/>
    <x v="46"/>
    <n v="3"/>
    <x v="12"/>
    <x v="0"/>
    <x v="0"/>
    <m/>
    <m/>
    <n v="48"/>
    <m/>
    <s v="F"/>
    <m/>
    <d v="1899-12-30T00:23:00"/>
    <s v="10:50"/>
    <s v="QB"/>
    <m/>
    <s v="20140728 QBerger"/>
    <s v="20140729 JImrie"/>
    <s v="x"/>
    <s v="x"/>
    <s v="na"/>
    <s v="FWL"/>
    <s v="na"/>
    <s v="na"/>
    <s v="na"/>
    <s v="na"/>
    <s v="na"/>
    <s v="na"/>
    <s v="na"/>
    <s v="na"/>
  </r>
  <r>
    <n v="1368"/>
    <x v="46"/>
    <n v="3"/>
    <x v="12"/>
    <x v="0"/>
    <x v="0"/>
    <m/>
    <m/>
    <n v="48"/>
    <m/>
    <s v="M"/>
    <m/>
    <d v="1899-12-30T00:22:00"/>
    <s v="10:51"/>
    <s v="QB"/>
    <m/>
    <s v="20140728 QBerger"/>
    <s v="20140729 JImrie"/>
    <s v="x"/>
    <s v="x"/>
    <s v="na"/>
    <s v="FWL"/>
    <s v="na"/>
    <s v="na"/>
    <s v="na"/>
    <s v="na"/>
    <s v="na"/>
    <s v="na"/>
    <s v="na"/>
    <s v="na"/>
  </r>
  <r>
    <n v="1369"/>
    <x v="46"/>
    <n v="3"/>
    <x v="12"/>
    <x v="0"/>
    <x v="0"/>
    <m/>
    <m/>
    <n v="49"/>
    <m/>
    <s v="F"/>
    <m/>
    <d v="1899-12-30T00:20:00"/>
    <s v="10:52"/>
    <s v="QB"/>
    <m/>
    <s v="20140728 QBerger"/>
    <s v="20140729 JImrie"/>
    <s v="x"/>
    <s v="x"/>
    <s v="na"/>
    <s v="FWL"/>
    <s v="na"/>
    <s v="na"/>
    <s v="na"/>
    <s v="na"/>
    <s v="na"/>
    <s v="na"/>
    <s v="na"/>
    <s v="na"/>
  </r>
  <r>
    <n v="1370"/>
    <x v="46"/>
    <n v="3"/>
    <x v="12"/>
    <x v="0"/>
    <x v="0"/>
    <m/>
    <m/>
    <n v="45"/>
    <m/>
    <s v="M"/>
    <m/>
    <d v="1899-12-30T00:26:00"/>
    <s v="10:54"/>
    <s v="QB"/>
    <m/>
    <s v="20140728 QBerger"/>
    <s v="20140729 JImrie"/>
    <s v="x"/>
    <s v="x"/>
    <s v="na"/>
    <s v="FWL"/>
    <s v="na"/>
    <s v="na"/>
    <s v="na"/>
    <s v="na"/>
    <s v="na"/>
    <s v="na"/>
    <s v="na"/>
    <s v="na"/>
  </r>
  <r>
    <n v="1371"/>
    <x v="46"/>
    <n v="3"/>
    <x v="7"/>
    <x v="0"/>
    <x v="6"/>
    <n v="70"/>
    <s v="64 S"/>
    <n v="45"/>
    <m/>
    <s v="U"/>
    <m/>
    <d v="1899-12-30T01:36:00"/>
    <s v="13:16"/>
    <s v="JI"/>
    <m/>
    <s v="20140728 HReider"/>
    <s v="20140729 JImrie"/>
    <s v="x"/>
    <n v="151.57300000000001"/>
    <s v="na"/>
    <s v="FWL"/>
    <s v="na"/>
    <s v="na"/>
    <s v="F1840"/>
    <s v="na"/>
    <s v="na"/>
    <s v="na"/>
    <s v="na"/>
    <s v="na"/>
  </r>
  <r>
    <n v="1372"/>
    <x v="46"/>
    <n v="3"/>
    <x v="7"/>
    <x v="0"/>
    <x v="6"/>
    <n v="84"/>
    <s v="66 S"/>
    <n v="43"/>
    <m/>
    <s v="U"/>
    <m/>
    <d v="1899-12-30T01:16:00"/>
    <s v="13:24"/>
    <s v="CZ"/>
    <m/>
    <s v="20140728 HReider"/>
    <s v="20140729 JImrie"/>
    <s v="x"/>
    <n v="151.57300000000001"/>
    <s v="na"/>
    <s v="FWL"/>
    <s v="na"/>
    <s v="na"/>
    <s v="F1840"/>
    <s v="na"/>
    <s v="na"/>
    <s v="na"/>
    <s v="na"/>
    <s v="na"/>
  </r>
  <r>
    <n v="1373"/>
    <x v="46"/>
    <n v="3"/>
    <x v="7"/>
    <x v="0"/>
    <x v="10"/>
    <n v="79"/>
    <s v="69 S"/>
    <n v="45"/>
    <m/>
    <s v="U"/>
    <m/>
    <d v="1899-12-30T01:07:00"/>
    <s v="14:52"/>
    <s v="HR"/>
    <m/>
    <s v="20140728 HReider"/>
    <s v="20140729 JImrie"/>
    <s v="x"/>
    <n v="151.58600000000001"/>
    <s v="na"/>
    <s v="FWL"/>
    <s v="na"/>
    <s v="na"/>
    <s v="F1840"/>
    <s v="na"/>
    <s v="na"/>
    <s v="na"/>
    <s v="na"/>
    <s v="na"/>
  </r>
  <r>
    <n v="1374"/>
    <x v="46"/>
    <n v="3"/>
    <x v="3"/>
    <x v="2"/>
    <x v="0"/>
    <m/>
    <m/>
    <m/>
    <n v="33"/>
    <s v="U"/>
    <m/>
    <d v="1899-12-30T00:30:00"/>
    <s v="16:00"/>
    <s v="CZ"/>
    <m/>
    <s v="20140728 HReider"/>
    <s v="20140729 JImrie"/>
    <s v="x"/>
    <s v="x"/>
    <s v="na"/>
    <s v="FWL"/>
    <s v="na"/>
    <s v="na"/>
    <s v="na"/>
    <s v="na"/>
    <s v="na"/>
    <s v="na"/>
    <s v="na"/>
    <s v="na"/>
  </r>
  <r>
    <n v="1375"/>
    <x v="46"/>
    <n v="3"/>
    <x v="4"/>
    <x v="1"/>
    <x v="3"/>
    <n v="36"/>
    <s v="609 K"/>
    <n v="49"/>
    <m/>
    <s v="U"/>
    <m/>
    <d v="1899-12-30T01:59:00"/>
    <s v="19:26"/>
    <s v="LA"/>
    <m/>
    <s v="20140728 LAckein"/>
    <s v="20140729 JImrie"/>
    <s v="x"/>
    <n v="151.917"/>
    <s v="na"/>
    <s v="FWL"/>
    <s v="na"/>
    <s v="na"/>
    <s v="F1835"/>
    <s v="na"/>
    <s v="na"/>
    <s v="na"/>
    <s v="na"/>
    <s v="na"/>
  </r>
  <r>
    <n v="1376"/>
    <x v="47"/>
    <n v="1"/>
    <x v="12"/>
    <x v="0"/>
    <x v="13"/>
    <n v="72"/>
    <s v="61 P"/>
    <n v="48"/>
    <m/>
    <s v="M"/>
    <m/>
    <d v="1899-12-30T00:56:00"/>
    <s v="09:09"/>
    <s v="NC"/>
    <m/>
    <s v="20140729 NCollin"/>
    <s v="20140730 JImrie"/>
    <s v="x"/>
    <n v="151.51499999999999"/>
    <s v="na"/>
    <s v="FWL"/>
    <s v="na"/>
    <s v="na"/>
    <s v="F1835"/>
    <s v="na"/>
    <s v="na"/>
    <s v="na"/>
    <s v="na"/>
    <s v="na"/>
  </r>
  <r>
    <n v="1377"/>
    <x v="47"/>
    <n v="1"/>
    <x v="12"/>
    <x v="0"/>
    <x v="0"/>
    <m/>
    <m/>
    <n v="47"/>
    <m/>
    <s v="F"/>
    <m/>
    <d v="1899-12-30T00:27:00"/>
    <s v="09:11"/>
    <s v="NC"/>
    <m/>
    <s v="20140729 NCollin"/>
    <s v="20140730 JImrie"/>
    <s v="x"/>
    <s v="x"/>
    <s v="na"/>
    <s v="FWL"/>
    <s v="na"/>
    <s v="na"/>
    <s v="na"/>
    <s v="na"/>
    <s v="na"/>
    <s v="na"/>
    <s v="na"/>
    <s v="na"/>
  </r>
  <r>
    <n v="1378"/>
    <x v="47"/>
    <n v="1"/>
    <x v="12"/>
    <x v="0"/>
    <x v="0"/>
    <m/>
    <m/>
    <n v="46"/>
    <m/>
    <s v="F"/>
    <m/>
    <d v="1899-12-30T00:23:00"/>
    <s v="09:11"/>
    <s v="NC"/>
    <m/>
    <s v="20140729 NCollin"/>
    <s v="20140730 JImrie"/>
    <s v="x"/>
    <s v="x"/>
    <s v="na"/>
    <s v="FWL"/>
    <s v="na"/>
    <s v="na"/>
    <s v="na"/>
    <s v="na"/>
    <s v="na"/>
    <s v="na"/>
    <s v="na"/>
    <s v="na"/>
  </r>
  <r>
    <n v="1379"/>
    <x v="47"/>
    <n v="1"/>
    <x v="12"/>
    <x v="0"/>
    <x v="0"/>
    <m/>
    <m/>
    <n v="50"/>
    <m/>
    <s v="M"/>
    <m/>
    <d v="1899-12-30T00:29:00"/>
    <s v="09:12"/>
    <s v="NC"/>
    <m/>
    <s v="20140729 NCollin"/>
    <s v="20140730 JImrie"/>
    <s v="x"/>
    <s v="x"/>
    <s v="na"/>
    <s v="FWL"/>
    <s v="na"/>
    <s v="na"/>
    <s v="na"/>
    <s v="na"/>
    <s v="na"/>
    <s v="na"/>
    <s v="na"/>
    <s v="na"/>
  </r>
  <r>
    <n v="1380"/>
    <x v="47"/>
    <n v="1"/>
    <x v="12"/>
    <x v="0"/>
    <x v="0"/>
    <m/>
    <m/>
    <n v="46"/>
    <m/>
    <s v="F"/>
    <m/>
    <d v="1899-12-30T00:23:00"/>
    <s v="09:13"/>
    <s v="NC"/>
    <m/>
    <s v="20140729 NCollin"/>
    <s v="20140730 JImrie"/>
    <s v="x"/>
    <s v="x"/>
    <s v="na"/>
    <s v="FWL"/>
    <s v="na"/>
    <s v="na"/>
    <s v="na"/>
    <s v="na"/>
    <s v="na"/>
    <s v="na"/>
    <s v="na"/>
    <s v="na"/>
  </r>
  <r>
    <n v="1381"/>
    <x v="47"/>
    <n v="1"/>
    <x v="12"/>
    <x v="0"/>
    <x v="0"/>
    <m/>
    <m/>
    <n v="47"/>
    <m/>
    <s v="F"/>
    <m/>
    <d v="1899-12-30T00:28:00"/>
    <s v="09:15"/>
    <s v="NC"/>
    <m/>
    <s v="20140729 NCollin"/>
    <s v="20140730 JImrie"/>
    <s v="x"/>
    <s v="x"/>
    <s v="na"/>
    <s v="FWL"/>
    <s v="na"/>
    <s v="na"/>
    <s v="na"/>
    <s v="na"/>
    <s v="na"/>
    <s v="na"/>
    <s v="na"/>
    <s v="na"/>
  </r>
  <r>
    <n v="1382"/>
    <x v="47"/>
    <n v="1"/>
    <x v="12"/>
    <x v="0"/>
    <x v="0"/>
    <m/>
    <m/>
    <n v="48"/>
    <m/>
    <s v="M"/>
    <m/>
    <d v="1899-12-30T00:28:00"/>
    <s v="09:16"/>
    <s v="NC"/>
    <m/>
    <s v="20140729 NCollin"/>
    <s v="20140730 JImrie"/>
    <s v="x"/>
    <s v="x"/>
    <s v="na"/>
    <s v="FWL"/>
    <s v="na"/>
    <s v="na"/>
    <s v="na"/>
    <s v="na"/>
    <s v="na"/>
    <s v="na"/>
    <s v="na"/>
    <s v="na"/>
  </r>
  <r>
    <n v="1383"/>
    <x v="47"/>
    <n v="1"/>
    <x v="12"/>
    <x v="0"/>
    <x v="0"/>
    <m/>
    <m/>
    <n v="47"/>
    <m/>
    <s v="F"/>
    <m/>
    <d v="1899-12-30T00:24:00"/>
    <s v="09:18"/>
    <s v="LA"/>
    <m/>
    <s v="20140729 NCollin"/>
    <s v="20140730 JImrie"/>
    <s v="x"/>
    <s v="x"/>
    <s v="na"/>
    <s v="FWL"/>
    <s v="na"/>
    <s v="na"/>
    <s v="na"/>
    <s v="na"/>
    <s v="na"/>
    <s v="na"/>
    <s v="na"/>
    <s v="na"/>
  </r>
  <r>
    <n v="1384"/>
    <x v="47"/>
    <n v="1"/>
    <x v="12"/>
    <x v="0"/>
    <x v="0"/>
    <m/>
    <m/>
    <n v="47"/>
    <m/>
    <s v="F"/>
    <m/>
    <d v="1899-12-30T00:29:00"/>
    <s v="09:20"/>
    <s v="LA"/>
    <m/>
    <s v="20140729 NCollin"/>
    <s v="20140730 JImrie"/>
    <s v="x"/>
    <s v="x"/>
    <s v="na"/>
    <s v="FWL"/>
    <s v="na"/>
    <s v="na"/>
    <s v="na"/>
    <s v="na"/>
    <s v="na"/>
    <s v="na"/>
    <s v="na"/>
    <s v="na"/>
  </r>
  <r>
    <n v="1385"/>
    <x v="47"/>
    <n v="1"/>
    <x v="12"/>
    <x v="0"/>
    <x v="0"/>
    <m/>
    <m/>
    <n v="45"/>
    <m/>
    <s v="F"/>
    <m/>
    <d v="1899-12-30T00:21:00"/>
    <s v="09:21"/>
    <s v="LA"/>
    <m/>
    <s v="20140729 NCollin"/>
    <s v="20140730 JImrie"/>
    <s v="x"/>
    <s v="x"/>
    <s v="na"/>
    <s v="FWL"/>
    <s v="na"/>
    <s v="na"/>
    <s v="na"/>
    <s v="na"/>
    <s v="na"/>
    <s v="na"/>
    <s v="na"/>
    <s v="na"/>
  </r>
  <r>
    <n v="1386"/>
    <x v="47"/>
    <n v="1"/>
    <x v="12"/>
    <x v="0"/>
    <x v="0"/>
    <m/>
    <m/>
    <n v="47"/>
    <m/>
    <s v="F"/>
    <m/>
    <d v="1899-12-30T00:28:00"/>
    <s v="09:22"/>
    <s v="LA"/>
    <m/>
    <s v="20140729 NCollin"/>
    <s v="20140730 JImrie"/>
    <s v="x"/>
    <s v="x"/>
    <s v="na"/>
    <s v="FWL"/>
    <s v="na"/>
    <s v="na"/>
    <s v="na"/>
    <s v="na"/>
    <s v="na"/>
    <s v="na"/>
    <s v="na"/>
    <s v="na"/>
  </r>
  <r>
    <n v="1387"/>
    <x v="47"/>
    <n v="1"/>
    <x v="12"/>
    <x v="0"/>
    <x v="0"/>
    <m/>
    <m/>
    <n v="49"/>
    <m/>
    <s v="F"/>
    <m/>
    <d v="1899-12-30T00:39:00"/>
    <s v="09:23"/>
    <s v="LA"/>
    <s v="hit deck"/>
    <s v="20140729 NCollin"/>
    <s v="20140730 JImrie"/>
    <s v="x"/>
    <s v="x"/>
    <s v="na"/>
    <s v="FWL"/>
    <s v="na"/>
    <s v="na"/>
    <s v="na"/>
    <s v="na"/>
    <s v="na"/>
    <s v="na"/>
    <s v="na"/>
    <s v="na"/>
  </r>
  <r>
    <n v="1388"/>
    <x v="47"/>
    <n v="1"/>
    <x v="12"/>
    <x v="0"/>
    <x v="0"/>
    <m/>
    <m/>
    <n v="48"/>
    <m/>
    <s v="F"/>
    <m/>
    <d v="1899-12-30T00:20:00"/>
    <s v="09:24"/>
    <s v="LA"/>
    <m/>
    <s v="20140729 NCollin"/>
    <s v="20140730 JImrie"/>
    <s v="x"/>
    <s v="x"/>
    <s v="na"/>
    <s v="FWL"/>
    <s v="na"/>
    <s v="na"/>
    <s v="na"/>
    <s v="na"/>
    <s v="na"/>
    <s v="na"/>
    <s v="na"/>
    <s v="na"/>
  </r>
  <r>
    <n v="1389"/>
    <x v="47"/>
    <n v="1"/>
    <x v="12"/>
    <x v="0"/>
    <x v="0"/>
    <m/>
    <m/>
    <n v="40"/>
    <m/>
    <s v="M"/>
    <m/>
    <d v="1899-12-30T00:31:00"/>
    <s v="09:25"/>
    <s v="LA"/>
    <m/>
    <s v="20140729 NCollin"/>
    <s v="20140730 JImrie"/>
    <s v="x"/>
    <s v="x"/>
    <s v="na"/>
    <s v="FWL"/>
    <s v="na"/>
    <s v="na"/>
    <s v="na"/>
    <s v="na"/>
    <s v="na"/>
    <s v="na"/>
    <s v="na"/>
    <s v="na"/>
  </r>
  <r>
    <n v="1390"/>
    <x v="47"/>
    <n v="1"/>
    <x v="12"/>
    <x v="0"/>
    <x v="0"/>
    <m/>
    <m/>
    <n v="41"/>
    <m/>
    <s v="M"/>
    <m/>
    <d v="1899-12-30T00:37:00"/>
    <s v="09:26"/>
    <s v="LA"/>
    <m/>
    <s v="20140729 NCollin"/>
    <s v="20140730 JImrie"/>
    <s v="x"/>
    <s v="x"/>
    <s v="na"/>
    <s v="FWL"/>
    <s v="na"/>
    <s v="na"/>
    <s v="na"/>
    <s v="na"/>
    <s v="na"/>
    <s v="na"/>
    <s v="na"/>
    <s v="na"/>
  </r>
  <r>
    <n v="1391"/>
    <x v="47"/>
    <n v="1"/>
    <x v="10"/>
    <x v="0"/>
    <x v="0"/>
    <m/>
    <m/>
    <n v="62"/>
    <m/>
    <s v="U"/>
    <m/>
    <d v="1899-12-30T00:31:00"/>
    <s v="13:53"/>
    <s v="LA"/>
    <m/>
    <s v="20140729 NCollin"/>
    <s v="20140730 JImrie"/>
    <s v="x"/>
    <s v="x"/>
    <s v="na"/>
    <s v="FWL"/>
    <s v="na"/>
    <s v="na"/>
    <s v="na"/>
    <s v="na"/>
    <s v="na"/>
    <s v="na"/>
    <s v="na"/>
    <s v="na"/>
  </r>
  <r>
    <n v="1392"/>
    <x v="47"/>
    <n v="1"/>
    <x v="7"/>
    <x v="0"/>
    <x v="10"/>
    <n v="29"/>
    <s v="89 S"/>
    <n v="56"/>
    <m/>
    <s v="U"/>
    <m/>
    <d v="1899-12-30T01:14:00"/>
    <s v="15:11"/>
    <s v="QB"/>
    <s v="nice colors, lively"/>
    <s v="20140729 QBerger"/>
    <s v="20140730 JImrie"/>
    <s v="x"/>
    <n v="151.58600000000001"/>
    <s v="na"/>
    <s v="FWL"/>
    <s v="na"/>
    <s v="na"/>
    <s v="F1840"/>
    <s v="na"/>
    <s v="na"/>
    <s v="na"/>
    <s v="na"/>
    <s v="na"/>
  </r>
  <r>
    <n v="1393"/>
    <x v="47"/>
    <n v="1"/>
    <x v="10"/>
    <x v="0"/>
    <x v="0"/>
    <m/>
    <m/>
    <n v="63"/>
    <m/>
    <s v="U"/>
    <m/>
    <d v="1899-12-30T00:32:00"/>
    <s v="15:14"/>
    <s v="QB"/>
    <m/>
    <s v="20140729 QBerger"/>
    <s v="20140730 JImrie"/>
    <s v="x"/>
    <s v="x"/>
    <s v="na"/>
    <s v="FWL"/>
    <s v="na"/>
    <s v="na"/>
    <s v="na"/>
    <s v="na"/>
    <s v="na"/>
    <s v="na"/>
    <s v="na"/>
    <s v="na"/>
  </r>
  <r>
    <n v="1394"/>
    <x v="47"/>
    <n v="1"/>
    <x v="7"/>
    <x v="0"/>
    <x v="10"/>
    <n v="89"/>
    <s v="90 S"/>
    <n v="45"/>
    <m/>
    <s v="U"/>
    <m/>
    <d v="1899-12-30T01:03:00"/>
    <s v="15:17"/>
    <s v="QB"/>
    <m/>
    <s v="20140729 QBerger"/>
    <s v="20140730 JImrie"/>
    <s v="x"/>
    <n v="151.58600000000001"/>
    <s v="na"/>
    <s v="FWL"/>
    <s v="na"/>
    <s v="na"/>
    <s v="F1840"/>
    <s v="na"/>
    <s v="na"/>
    <s v="na"/>
    <s v="na"/>
    <s v="na"/>
  </r>
  <r>
    <n v="1395"/>
    <x v="47"/>
    <n v="1"/>
    <x v="10"/>
    <x v="0"/>
    <x v="0"/>
    <m/>
    <m/>
    <n v="65"/>
    <m/>
    <s v="U"/>
    <m/>
    <d v="1899-12-30T00:29:00"/>
    <s v="15:21"/>
    <s v="QB"/>
    <m/>
    <s v="20140729 QBerger"/>
    <s v="20140730 JImrie"/>
    <s v="x"/>
    <s v="x"/>
    <s v="na"/>
    <s v="FWL"/>
    <s v="na"/>
    <s v="na"/>
    <s v="na"/>
    <s v="na"/>
    <s v="na"/>
    <s v="na"/>
    <s v="na"/>
    <s v="na"/>
  </r>
  <r>
    <n v="1396"/>
    <x v="47"/>
    <n v="1"/>
    <x v="10"/>
    <x v="0"/>
    <x v="0"/>
    <m/>
    <m/>
    <n v="54"/>
    <m/>
    <s v="U"/>
    <m/>
    <d v="1899-12-30T00:25:00"/>
    <s v="15:23"/>
    <s v="QB"/>
    <m/>
    <s v="20140729 QBerger"/>
    <s v="20140730 JImrie"/>
    <s v="x"/>
    <s v="x"/>
    <s v="na"/>
    <s v="FWL"/>
    <s v="na"/>
    <s v="na"/>
    <s v="na"/>
    <s v="na"/>
    <s v="na"/>
    <s v="na"/>
    <s v="na"/>
    <s v="na"/>
  </r>
  <r>
    <n v="1397"/>
    <x v="47"/>
    <n v="1"/>
    <x v="10"/>
    <x v="0"/>
    <x v="0"/>
    <m/>
    <m/>
    <n v="56"/>
    <m/>
    <s v="U"/>
    <m/>
    <d v="1899-12-30T00:28:00"/>
    <s v="15:24"/>
    <s v="QB"/>
    <m/>
    <s v="20140729 QBerger"/>
    <s v="20140730 JImrie"/>
    <s v="x"/>
    <s v="x"/>
    <s v="na"/>
    <s v="FWL"/>
    <s v="na"/>
    <s v="na"/>
    <s v="na"/>
    <s v="na"/>
    <s v="na"/>
    <s v="na"/>
    <s v="na"/>
    <s v="na"/>
  </r>
  <r>
    <n v="1398"/>
    <x v="47"/>
    <n v="1"/>
    <x v="10"/>
    <x v="0"/>
    <x v="0"/>
    <m/>
    <m/>
    <n v="62"/>
    <m/>
    <s v="U"/>
    <m/>
    <d v="1899-12-30T00:24:00"/>
    <s v="15:26"/>
    <s v="QB"/>
    <m/>
    <s v="20140729 QBerger"/>
    <s v="20140730 JImrie"/>
    <s v="x"/>
    <s v="x"/>
    <s v="na"/>
    <s v="FWL"/>
    <s v="na"/>
    <s v="na"/>
    <s v="na"/>
    <s v="na"/>
    <s v="na"/>
    <s v="na"/>
    <s v="na"/>
    <s v="na"/>
  </r>
  <r>
    <n v="1399"/>
    <x v="47"/>
    <n v="1"/>
    <x v="10"/>
    <x v="0"/>
    <x v="0"/>
    <m/>
    <m/>
    <n v="60"/>
    <m/>
    <s v="U"/>
    <m/>
    <d v="1899-12-30T00:32:00"/>
    <s v="15:42"/>
    <s v="JK"/>
    <m/>
    <s v="20140729 QBerger"/>
    <s v="20140730 JImrie"/>
    <s v="x"/>
    <s v="x"/>
    <s v="na"/>
    <s v="FWL"/>
    <s v="na"/>
    <s v="na"/>
    <s v="na"/>
    <s v="na"/>
    <s v="na"/>
    <s v="na"/>
    <s v="na"/>
    <s v="na"/>
  </r>
  <r>
    <n v="1400"/>
    <x v="47"/>
    <n v="1"/>
    <x v="13"/>
    <x v="0"/>
    <x v="15"/>
    <n v="77"/>
    <s v="8 CO"/>
    <n v="58"/>
    <m/>
    <s v="U"/>
    <m/>
    <d v="1899-12-30T01:18:00"/>
    <s v="15:56"/>
    <s v="JK"/>
    <s v="F266."/>
    <s v="20140729 QBerger"/>
    <s v="20140730 JImrie"/>
    <s v="x"/>
    <n v="151.26599999999999"/>
    <s v="na"/>
    <s v="FWL"/>
    <s v="na"/>
    <s v="na"/>
    <s v="F1840"/>
    <s v="na"/>
    <s v="na"/>
    <s v="na"/>
    <s v="na"/>
    <s v="na"/>
  </r>
  <r>
    <n v="1401"/>
    <x v="47"/>
    <n v="1"/>
    <x v="10"/>
    <x v="0"/>
    <x v="0"/>
    <m/>
    <m/>
    <n v="59"/>
    <m/>
    <s v="U"/>
    <m/>
    <d v="1899-12-30T00:34:00"/>
    <s v="15:59"/>
    <s v="QB"/>
    <m/>
    <s v="20140729 QBerger"/>
    <s v="20140730 JImrie"/>
    <s v="x"/>
    <s v="x"/>
    <s v="na"/>
    <s v="FWL"/>
    <s v="na"/>
    <s v="na"/>
    <s v="na"/>
    <s v="na"/>
    <s v="na"/>
    <s v="na"/>
    <s v="na"/>
    <s v="na"/>
  </r>
  <r>
    <n v="1402"/>
    <x v="47"/>
    <n v="1"/>
    <x v="10"/>
    <x v="0"/>
    <x v="0"/>
    <m/>
    <m/>
    <n v="69"/>
    <m/>
    <s v="U"/>
    <m/>
    <d v="1899-12-30T00:32:00"/>
    <s v="17:38"/>
    <s v="JK"/>
    <m/>
    <s v="20140729 QBerger"/>
    <s v="20140730 JImrie"/>
    <s v="x"/>
    <s v="x"/>
    <s v="na"/>
    <s v="FWL"/>
    <s v="na"/>
    <s v="na"/>
    <s v="na"/>
    <s v="na"/>
    <s v="na"/>
    <s v="na"/>
    <s v="na"/>
    <s v="na"/>
  </r>
  <r>
    <n v="1403"/>
    <x v="47"/>
    <n v="1"/>
    <x v="10"/>
    <x v="0"/>
    <x v="0"/>
    <m/>
    <m/>
    <n v="58"/>
    <m/>
    <s v="U"/>
    <m/>
    <d v="1899-12-30T00:24:00"/>
    <s v="19:36"/>
    <s v="JK"/>
    <m/>
    <s v="20140729 QBerger"/>
    <s v="20140730 JImrie"/>
    <s v="x"/>
    <s v="x"/>
    <s v="na"/>
    <s v="FWL"/>
    <s v="na"/>
    <s v="na"/>
    <s v="na"/>
    <s v="na"/>
    <s v="na"/>
    <s v="na"/>
    <s v="na"/>
    <s v="na"/>
  </r>
  <r>
    <n v="1404"/>
    <x v="47"/>
    <n v="2"/>
    <x v="7"/>
    <x v="0"/>
    <x v="10"/>
    <n v="64"/>
    <s v="86 S"/>
    <n v="43"/>
    <m/>
    <s v="U"/>
    <m/>
    <d v="1899-12-30T01:16:00"/>
    <s v="9:41"/>
    <s v="LA"/>
    <m/>
    <s v="20140729 LAckein"/>
    <s v="20140730 JImrie"/>
    <s v="x"/>
    <n v="151.58600000000001"/>
    <s v="na"/>
    <s v="FWL"/>
    <s v="na"/>
    <s v="na"/>
    <s v="F1840"/>
    <s v="na"/>
    <s v="na"/>
    <s v="na"/>
    <s v="na"/>
    <s v="na"/>
  </r>
  <r>
    <n v="1405"/>
    <x v="47"/>
    <n v="2"/>
    <x v="10"/>
    <x v="0"/>
    <x v="11"/>
    <n v="35"/>
    <s v="33 CM"/>
    <n v="61"/>
    <m/>
    <s v="U"/>
    <m/>
    <d v="1899-12-30T01:04:00"/>
    <s v="10:37"/>
    <s v="NC"/>
    <m/>
    <s v="20140729 LAckein"/>
    <s v="20140730 JImrie"/>
    <s v="x"/>
    <n v="151.53399999999999"/>
    <s v="na"/>
    <s v="FWL"/>
    <s v="na"/>
    <s v="na"/>
    <s v="F1840"/>
    <s v="na"/>
    <s v="na"/>
    <s v="na"/>
    <s v="na"/>
    <s v="na"/>
  </r>
  <r>
    <n v="1406"/>
    <x v="47"/>
    <n v="2"/>
    <x v="12"/>
    <x v="0"/>
    <x v="13"/>
    <n v="53"/>
    <s v="62 P"/>
    <n v="47"/>
    <m/>
    <s v="M"/>
    <d v="1899-12-30T12:45:00"/>
    <d v="1899-12-30T00:53:00"/>
    <s v="13:01"/>
    <s v="LA"/>
    <m/>
    <s v="20140729 LAckein"/>
    <s v="20140730 JImrie"/>
    <d v="1899-12-30T00:15:07"/>
    <n v="151.51499999999999"/>
    <s v="na"/>
    <s v="FWL"/>
    <s v="na"/>
    <s v="na"/>
    <s v="F1835"/>
    <s v="na"/>
    <s v="na"/>
    <s v="na"/>
    <s v="na"/>
    <s v="na"/>
  </r>
  <r>
    <n v="1407"/>
    <x v="47"/>
    <n v="2"/>
    <x v="7"/>
    <x v="0"/>
    <x v="6"/>
    <n v="66"/>
    <s v="87 S"/>
    <n v="56"/>
    <m/>
    <s v="U"/>
    <m/>
    <d v="1899-12-30T00:59:00"/>
    <s v="13:09"/>
    <s v="NC"/>
    <s v="shallow 7&quot; gash running vertically right side mid-body"/>
    <s v="20140729 LAckein"/>
    <s v="20140730 JImrie"/>
    <s v="x"/>
    <n v="151.57300000000001"/>
    <s v="na"/>
    <s v="FWL"/>
    <s v="na"/>
    <s v="na"/>
    <s v="F1840"/>
    <s v="na"/>
    <s v="na"/>
    <s v="na"/>
    <s v="na"/>
    <s v="na"/>
  </r>
  <r>
    <n v="1408"/>
    <x v="47"/>
    <n v="2"/>
    <x v="10"/>
    <x v="0"/>
    <x v="0"/>
    <m/>
    <m/>
    <n v="64"/>
    <m/>
    <s v="U"/>
    <d v="1899-12-30T13:03:00"/>
    <d v="1899-12-30T00:46:00"/>
    <s v="13:07"/>
    <s v="NC"/>
    <s v="reached tag quota for day/species"/>
    <s v="20140729 LAckein"/>
    <s v="20140730 JImrie"/>
    <d v="1899-12-30T00:03:14"/>
    <s v="x"/>
    <s v="na"/>
    <s v="FWL"/>
    <s v="na"/>
    <s v="na"/>
    <s v="na"/>
    <s v="na"/>
    <s v="na"/>
    <s v="na"/>
    <s v="na"/>
    <s v="na"/>
  </r>
  <r>
    <n v="1409"/>
    <x v="47"/>
    <n v="2"/>
    <x v="7"/>
    <x v="0"/>
    <x v="10"/>
    <n v="18"/>
    <s v="88 S"/>
    <n v="47"/>
    <m/>
    <s v="U"/>
    <m/>
    <d v="1899-12-30T01:01:00"/>
    <s v="13:15"/>
    <s v="NC"/>
    <m/>
    <s v="20140729 LAckein"/>
    <s v="20140730 JImrie"/>
    <s v="x"/>
    <n v="151.58600000000001"/>
    <s v="na"/>
    <s v="FWL"/>
    <s v="na"/>
    <s v="na"/>
    <s v="F1840"/>
    <s v="na"/>
    <s v="na"/>
    <s v="na"/>
    <s v="na"/>
    <s v="na"/>
  </r>
  <r>
    <n v="1410"/>
    <x v="47"/>
    <n v="2"/>
    <x v="12"/>
    <x v="0"/>
    <x v="0"/>
    <m/>
    <m/>
    <n v="46"/>
    <m/>
    <s v="F"/>
    <m/>
    <d v="1899-12-30T00:37:00"/>
    <s v="13:18"/>
    <s v="NC"/>
    <m/>
    <s v="20140729 LAckein"/>
    <s v="20140730 JImrie"/>
    <s v="x"/>
    <s v="x"/>
    <s v="na"/>
    <s v="FWL"/>
    <s v="na"/>
    <s v="na"/>
    <s v="na"/>
    <s v="na"/>
    <s v="na"/>
    <s v="na"/>
    <s v="na"/>
    <s v="na"/>
  </r>
  <r>
    <n v="1411"/>
    <x v="47"/>
    <n v="2"/>
    <x v="0"/>
    <x v="2"/>
    <x v="0"/>
    <m/>
    <m/>
    <m/>
    <n v="30"/>
    <s v="U"/>
    <m/>
    <d v="1899-12-30T01:10:00"/>
    <s v="14:53"/>
    <s v="JK"/>
    <s v="got stuck in net, cut net."/>
    <s v="20140729 JKunzler"/>
    <s v="20140730 JImrie"/>
    <s v="x"/>
    <s v="x"/>
    <s v="na"/>
    <s v="FWL"/>
    <s v="na"/>
    <s v="na"/>
    <s v="na"/>
    <s v="na"/>
    <s v="na"/>
    <s v="na"/>
    <s v="na"/>
    <s v="na"/>
  </r>
  <r>
    <n v="1412"/>
    <x v="47"/>
    <n v="2"/>
    <x v="12"/>
    <x v="0"/>
    <x v="0"/>
    <m/>
    <m/>
    <n v="46"/>
    <m/>
    <s v="M"/>
    <d v="1899-12-30T14:29:00"/>
    <d v="1899-12-30T00:28:00"/>
    <s v="14:55"/>
    <s v="JK"/>
    <m/>
    <s v="20140729 JKunzler"/>
    <s v="20140730 JImrie"/>
    <d v="1899-12-30T00:25:32"/>
    <s v="x"/>
    <s v="na"/>
    <s v="FWL"/>
    <s v="na"/>
    <s v="na"/>
    <s v="na"/>
    <s v="na"/>
    <s v="na"/>
    <s v="na"/>
    <s v="na"/>
    <s v="na"/>
  </r>
  <r>
    <n v="1413"/>
    <x v="47"/>
    <n v="2"/>
    <x v="10"/>
    <x v="0"/>
    <x v="0"/>
    <m/>
    <m/>
    <n v="61"/>
    <m/>
    <s v="U"/>
    <m/>
    <d v="1899-12-30T00:31:00"/>
    <s v="19:10"/>
    <s v="QB"/>
    <m/>
    <s v="20140729 JKunzler"/>
    <s v="20140730 JImrie"/>
    <s v="x"/>
    <s v="x"/>
    <s v="na"/>
    <s v="FWL"/>
    <s v="na"/>
    <s v="na"/>
    <s v="na"/>
    <s v="na"/>
    <s v="na"/>
    <s v="na"/>
    <s v="na"/>
    <s v="na"/>
  </r>
  <r>
    <n v="1414"/>
    <x v="47"/>
    <n v="2"/>
    <x v="12"/>
    <x v="0"/>
    <x v="0"/>
    <m/>
    <m/>
    <n v="46"/>
    <m/>
    <s v="U"/>
    <m/>
    <d v="1899-12-30T00:32:00"/>
    <s v="19:12"/>
    <s v="JK"/>
    <m/>
    <s v="20140729 JKunzler"/>
    <s v="20140730 JImrie"/>
    <s v="x"/>
    <s v="x"/>
    <s v="na"/>
    <s v="FWL"/>
    <s v="na"/>
    <s v="na"/>
    <s v="na"/>
    <s v="na"/>
    <s v="na"/>
    <s v="na"/>
    <s v="na"/>
    <s v="na"/>
  </r>
  <r>
    <n v="1415"/>
    <x v="47"/>
    <n v="2"/>
    <x v="7"/>
    <x v="0"/>
    <x v="6"/>
    <n v="48"/>
    <s v="91 S"/>
    <n v="58"/>
    <m/>
    <s v="U"/>
    <m/>
    <d v="1899-12-30T01:00:00"/>
    <s v="20:18"/>
    <s v="JK"/>
    <m/>
    <s v="20140729 JKunzler"/>
    <s v="20140730 JImrie"/>
    <s v="x"/>
    <n v="151.57300000000001"/>
    <s v="na"/>
    <s v="FWL"/>
    <s v="na"/>
    <s v="na"/>
    <s v="F1840"/>
    <s v="na"/>
    <s v="na"/>
    <s v="na"/>
    <s v="na"/>
    <s v="na"/>
  </r>
  <r>
    <n v="1416"/>
    <x v="47"/>
    <n v="2"/>
    <x v="10"/>
    <x v="0"/>
    <x v="0"/>
    <m/>
    <m/>
    <n v="62"/>
    <m/>
    <s v="U"/>
    <m/>
    <d v="1899-12-30T00:35:00"/>
    <s v="20:20"/>
    <s v="JK"/>
    <m/>
    <s v="20140729 JKunzler"/>
    <s v="20140730 JImrie"/>
    <s v="x"/>
    <s v="x"/>
    <s v="na"/>
    <s v="FWL"/>
    <s v="na"/>
    <s v="na"/>
    <s v="na"/>
    <s v="na"/>
    <s v="na"/>
    <s v="na"/>
    <s v="na"/>
    <s v="na"/>
  </r>
  <r>
    <n v="1417"/>
    <x v="47"/>
    <n v="3"/>
    <x v="12"/>
    <x v="0"/>
    <x v="12"/>
    <n v="13"/>
    <s v="57 P"/>
    <n v="53"/>
    <m/>
    <s v="M"/>
    <m/>
    <d v="1899-12-30T01:14:00"/>
    <s v="08:40"/>
    <s v="JK"/>
    <m/>
    <s v="20140729 QBerger"/>
    <s v="20140730 JImrie"/>
    <s v="x"/>
    <n v="151.596"/>
    <s v="na"/>
    <s v="FWL"/>
    <s v="na"/>
    <s v="na"/>
    <s v="F1835"/>
    <s v="na"/>
    <s v="na"/>
    <s v="na"/>
    <s v="na"/>
    <s v="na"/>
  </r>
  <r>
    <n v="1418"/>
    <x v="47"/>
    <n v="3"/>
    <x v="12"/>
    <x v="0"/>
    <x v="12"/>
    <n v="71"/>
    <s v="58 P"/>
    <n v="47"/>
    <m/>
    <s v="F"/>
    <m/>
    <d v="1899-12-30T01:11:00"/>
    <s v="08:43"/>
    <s v="QB"/>
    <m/>
    <s v="20140729 QBerger"/>
    <s v="20140730 JImrie"/>
    <s v="x"/>
    <n v="151.596"/>
    <s v="na"/>
    <s v="FWL"/>
    <s v="na"/>
    <s v="na"/>
    <s v="F1835"/>
    <s v="na"/>
    <s v="na"/>
    <s v="na"/>
    <s v="na"/>
    <s v="na"/>
  </r>
  <r>
    <n v="1419"/>
    <x v="47"/>
    <n v="3"/>
    <x v="12"/>
    <x v="0"/>
    <x v="12"/>
    <n v="27"/>
    <s v="59 P"/>
    <n v="49"/>
    <m/>
    <s v="F"/>
    <m/>
    <d v="1899-12-30T01:02:00"/>
    <s v="08:47"/>
    <s v="QB"/>
    <m/>
    <s v="20140729 QBerger"/>
    <s v="20140730 JImrie"/>
    <s v="x"/>
    <n v="151.596"/>
    <s v="na"/>
    <s v="FWL"/>
    <s v="na"/>
    <s v="na"/>
    <s v="F1835"/>
    <s v="na"/>
    <s v="na"/>
    <s v="na"/>
    <s v="na"/>
    <s v="na"/>
  </r>
  <r>
    <n v="1420"/>
    <x v="47"/>
    <n v="3"/>
    <x v="12"/>
    <x v="0"/>
    <x v="0"/>
    <m/>
    <m/>
    <n v="50"/>
    <m/>
    <s v="F"/>
    <m/>
    <d v="1899-12-30T00:21:00"/>
    <s v="08:49"/>
    <s v="QB"/>
    <m/>
    <s v="20140729 QBerger"/>
    <s v="20140730 JImrie"/>
    <s v="x"/>
    <s v="x"/>
    <s v="na"/>
    <s v="FWL"/>
    <s v="na"/>
    <s v="na"/>
    <s v="na"/>
    <s v="na"/>
    <s v="na"/>
    <s v="na"/>
    <s v="na"/>
    <s v="na"/>
  </r>
  <r>
    <n v="1421"/>
    <x v="47"/>
    <n v="3"/>
    <x v="12"/>
    <x v="0"/>
    <x v="0"/>
    <m/>
    <m/>
    <n v="48"/>
    <m/>
    <s v="M"/>
    <m/>
    <d v="1899-12-30T00:24:00"/>
    <s v="08:50"/>
    <s v="QB"/>
    <m/>
    <s v="20140729 QBerger"/>
    <s v="20140730 JImrie"/>
    <s v="x"/>
    <s v="x"/>
    <s v="na"/>
    <s v="FWL"/>
    <s v="na"/>
    <s v="na"/>
    <s v="na"/>
    <s v="na"/>
    <s v="na"/>
    <s v="na"/>
    <s v="na"/>
    <s v="na"/>
  </r>
  <r>
    <n v="1422"/>
    <x v="47"/>
    <n v="3"/>
    <x v="12"/>
    <x v="0"/>
    <x v="0"/>
    <m/>
    <m/>
    <n v="46"/>
    <m/>
    <s v="F"/>
    <m/>
    <d v="1899-12-30T00:23:00"/>
    <s v="08:52"/>
    <s v="QB"/>
    <m/>
    <s v="20140729 QBerger"/>
    <s v="20140730 JImrie"/>
    <s v="x"/>
    <s v="x"/>
    <s v="na"/>
    <s v="FWL"/>
    <s v="na"/>
    <s v="na"/>
    <s v="na"/>
    <s v="na"/>
    <s v="na"/>
    <s v="na"/>
    <s v="na"/>
    <s v="na"/>
  </r>
  <r>
    <n v="1423"/>
    <x v="47"/>
    <n v="3"/>
    <x v="12"/>
    <x v="0"/>
    <x v="0"/>
    <m/>
    <m/>
    <n v="44"/>
    <m/>
    <s v="U"/>
    <m/>
    <d v="1899-12-30T00:18:00"/>
    <s v="08:59"/>
    <s v="QB"/>
    <m/>
    <s v="20140729 QBerger"/>
    <s v="20140730 JImrie"/>
    <s v="x"/>
    <s v="x"/>
    <s v="na"/>
    <s v="FWL"/>
    <s v="na"/>
    <s v="na"/>
    <s v="na"/>
    <s v="na"/>
    <s v="na"/>
    <s v="na"/>
    <s v="na"/>
    <s v="na"/>
  </r>
  <r>
    <n v="1424"/>
    <x v="47"/>
    <n v="3"/>
    <x v="12"/>
    <x v="0"/>
    <x v="0"/>
    <m/>
    <m/>
    <n v="50"/>
    <m/>
    <s v="U"/>
    <m/>
    <d v="1899-12-30T00:20:00"/>
    <s v="09:00"/>
    <s v="QB"/>
    <m/>
    <s v="20140729 QBerger"/>
    <s v="20140730 JImrie"/>
    <s v="x"/>
    <s v="x"/>
    <s v="na"/>
    <s v="FWL"/>
    <s v="na"/>
    <s v="na"/>
    <s v="na"/>
    <s v="na"/>
    <s v="na"/>
    <s v="na"/>
    <s v="na"/>
    <s v="na"/>
  </r>
  <r>
    <n v="1425"/>
    <x v="47"/>
    <n v="3"/>
    <x v="12"/>
    <x v="0"/>
    <x v="0"/>
    <m/>
    <m/>
    <n v="49"/>
    <m/>
    <s v="U"/>
    <m/>
    <d v="1899-12-30T00:19:00"/>
    <s v="09:01"/>
    <s v="QB"/>
    <m/>
    <s v="20140729 QBerger"/>
    <s v="20140730 JImrie"/>
    <s v="x"/>
    <s v="x"/>
    <s v="na"/>
    <s v="FWL"/>
    <s v="na"/>
    <s v="na"/>
    <s v="na"/>
    <s v="na"/>
    <s v="na"/>
    <s v="na"/>
    <s v="na"/>
    <s v="na"/>
  </r>
  <r>
    <n v="1426"/>
    <x v="47"/>
    <n v="3"/>
    <x v="12"/>
    <x v="0"/>
    <x v="0"/>
    <m/>
    <m/>
    <n v="51"/>
    <m/>
    <s v="U"/>
    <m/>
    <d v="1899-12-30T00:20:00"/>
    <s v="09:02"/>
    <s v="QB"/>
    <m/>
    <s v="20140729 QBerger"/>
    <s v="20140730 JImrie"/>
    <s v="x"/>
    <s v="x"/>
    <s v="na"/>
    <s v="FWL"/>
    <s v="na"/>
    <s v="na"/>
    <s v="na"/>
    <s v="na"/>
    <s v="na"/>
    <s v="na"/>
    <s v="na"/>
    <s v="na"/>
  </r>
  <r>
    <n v="1427"/>
    <x v="47"/>
    <n v="3"/>
    <x v="12"/>
    <x v="0"/>
    <x v="0"/>
    <m/>
    <m/>
    <n v="45"/>
    <m/>
    <s v="U"/>
    <m/>
    <d v="1899-12-30T00:31:00"/>
    <s v="09:05"/>
    <s v="QB"/>
    <m/>
    <s v="20140729 QBerger"/>
    <s v="20140730 JImrie"/>
    <s v="x"/>
    <s v="x"/>
    <s v="na"/>
    <s v="FWL"/>
    <s v="na"/>
    <s v="na"/>
    <s v="na"/>
    <s v="na"/>
    <s v="na"/>
    <s v="na"/>
    <s v="na"/>
    <s v="na"/>
  </r>
  <r>
    <n v="1428"/>
    <x v="47"/>
    <n v="3"/>
    <x v="12"/>
    <x v="0"/>
    <x v="0"/>
    <m/>
    <m/>
    <n v="48"/>
    <m/>
    <s v="M"/>
    <m/>
    <d v="1899-12-30T00:29:00"/>
    <s v="09:07"/>
    <s v="JK"/>
    <m/>
    <s v="20140729 QBerger"/>
    <s v="20140730 JImrie"/>
    <s v="x"/>
    <s v="x"/>
    <s v="na"/>
    <s v="FWL"/>
    <s v="na"/>
    <s v="na"/>
    <s v="na"/>
    <s v="na"/>
    <s v="na"/>
    <s v="na"/>
    <s v="na"/>
    <s v="na"/>
  </r>
  <r>
    <n v="1429"/>
    <x v="47"/>
    <n v="3"/>
    <x v="12"/>
    <x v="0"/>
    <x v="0"/>
    <m/>
    <m/>
    <n v="43"/>
    <m/>
    <s v="M"/>
    <m/>
    <d v="1899-12-30T00:34:00"/>
    <s v="09:09"/>
    <s v="JK"/>
    <m/>
    <s v="20140729 QBerger"/>
    <s v="20140730 JImrie"/>
    <s v="x"/>
    <s v="x"/>
    <s v="na"/>
    <s v="FWL"/>
    <s v="na"/>
    <s v="na"/>
    <s v="na"/>
    <s v="na"/>
    <s v="na"/>
    <s v="na"/>
    <s v="na"/>
    <s v="na"/>
  </r>
  <r>
    <n v="1430"/>
    <x v="47"/>
    <n v="3"/>
    <x v="12"/>
    <x v="0"/>
    <x v="0"/>
    <m/>
    <m/>
    <n v="46"/>
    <m/>
    <s v="M"/>
    <m/>
    <d v="1899-12-30T00:37:00"/>
    <s v="09:14"/>
    <s v="JK"/>
    <m/>
    <s v="20140729 QBerger"/>
    <s v="20140730 JImrie"/>
    <s v="x"/>
    <s v="x"/>
    <s v="na"/>
    <s v="FWL"/>
    <s v="na"/>
    <s v="na"/>
    <s v="na"/>
    <s v="na"/>
    <s v="na"/>
    <s v="na"/>
    <s v="na"/>
    <s v="na"/>
  </r>
  <r>
    <n v="1431"/>
    <x v="47"/>
    <n v="3"/>
    <x v="12"/>
    <x v="0"/>
    <x v="0"/>
    <m/>
    <m/>
    <n v="49"/>
    <m/>
    <s v="F"/>
    <m/>
    <d v="1899-12-30T00:25:00"/>
    <s v="09:15"/>
    <s v="JK"/>
    <m/>
    <s v="20140729 QBerger"/>
    <s v="20140730 JImrie"/>
    <s v="x"/>
    <s v="x"/>
    <s v="na"/>
    <s v="FWL"/>
    <s v="na"/>
    <s v="na"/>
    <s v="na"/>
    <s v="na"/>
    <s v="na"/>
    <s v="na"/>
    <s v="na"/>
    <s v="na"/>
  </r>
  <r>
    <n v="1432"/>
    <x v="47"/>
    <n v="3"/>
    <x v="13"/>
    <x v="0"/>
    <x v="15"/>
    <n v="27"/>
    <s v="5 CO"/>
    <n v="47"/>
    <m/>
    <s v="U"/>
    <m/>
    <d v="1899-12-30T00:59:00"/>
    <s v="09:20"/>
    <s v="JK"/>
    <s v="F266."/>
    <s v="20140729 QBerger"/>
    <s v="20140730 JImrie"/>
    <s v="x"/>
    <n v="151.26599999999999"/>
    <s v="na"/>
    <s v="FWL"/>
    <s v="na"/>
    <s v="na"/>
    <s v="F1840"/>
    <s v="na"/>
    <s v="na"/>
    <s v="na"/>
    <s v="na"/>
    <s v="na"/>
  </r>
  <r>
    <n v="1433"/>
    <x v="47"/>
    <n v="3"/>
    <x v="10"/>
    <x v="0"/>
    <x v="7"/>
    <n v="24"/>
    <s v="32 CM"/>
    <n v="52"/>
    <m/>
    <s v="U"/>
    <m/>
    <d v="1899-12-30T01:02:00"/>
    <s v="12:36"/>
    <s v="HR"/>
    <m/>
    <s v="20140729 HReider"/>
    <s v="20140730 JImrie"/>
    <s v="x"/>
    <n v="151.56399999999999"/>
    <s v="na"/>
    <s v="FWL"/>
    <s v="na"/>
    <s v="na"/>
    <s v="F1840"/>
    <s v="na"/>
    <s v="na"/>
    <s v="na"/>
    <s v="na"/>
    <s v="na"/>
  </r>
  <r>
    <n v="1434"/>
    <x v="47"/>
    <n v="3"/>
    <x v="7"/>
    <x v="0"/>
    <x v="10"/>
    <n v="15"/>
    <s v="78 S"/>
    <n v="51"/>
    <m/>
    <s v="U"/>
    <m/>
    <d v="1899-12-30T01:10:00"/>
    <s v="12:51"/>
    <s v="CZ"/>
    <m/>
    <s v="20140729 HReider"/>
    <s v="20140730 JImrie"/>
    <s v="x"/>
    <n v="151.58600000000001"/>
    <s v="na"/>
    <s v="FWL"/>
    <s v="na"/>
    <s v="na"/>
    <s v="F1840"/>
    <s v="na"/>
    <s v="na"/>
    <s v="na"/>
    <s v="na"/>
    <s v="na"/>
  </r>
  <r>
    <n v="1435"/>
    <x v="47"/>
    <n v="3"/>
    <x v="10"/>
    <x v="0"/>
    <x v="7"/>
    <n v="58"/>
    <m/>
    <n v="59"/>
    <m/>
    <s v="U"/>
    <m/>
    <d v="1899-12-30T00:50:00"/>
    <s v="12:48"/>
    <s v="HR"/>
    <s v="vial was lost overboard"/>
    <s v="20140729 HReider"/>
    <s v="20140730 JImrie"/>
    <s v="x"/>
    <n v="151.56399999999999"/>
    <s v="na"/>
    <s v="FWL"/>
    <s v="na"/>
    <s v="na"/>
    <s v="F1840"/>
    <s v="na"/>
    <s v="na"/>
    <s v="na"/>
    <s v="na"/>
    <s v="na"/>
  </r>
  <r>
    <n v="1436"/>
    <x v="47"/>
    <n v="3"/>
    <x v="13"/>
    <x v="0"/>
    <x v="14"/>
    <n v="8"/>
    <s v="6 CO"/>
    <n v="53"/>
    <m/>
    <s v="U"/>
    <m/>
    <d v="1899-12-30T00:51:00"/>
    <s v="12:59"/>
    <s v="CZ"/>
    <m/>
    <s v="20140729 HReider"/>
    <s v="20140730 JImrie"/>
    <s v="x"/>
    <n v="151.32499999999999"/>
    <s v="na"/>
    <s v="FWL"/>
    <s v="na"/>
    <s v="na"/>
    <s v="F1840"/>
    <s v="na"/>
    <s v="na"/>
    <s v="na"/>
    <s v="na"/>
    <s v="na"/>
  </r>
  <r>
    <n v="1437"/>
    <x v="47"/>
    <n v="3"/>
    <x v="10"/>
    <x v="0"/>
    <x v="0"/>
    <m/>
    <m/>
    <n v="57"/>
    <m/>
    <s v="U"/>
    <m/>
    <d v="1899-12-30T00:15:00"/>
    <s v="12:57"/>
    <s v="CZ"/>
    <m/>
    <s v="20140729 HReider"/>
    <s v="20140730 JImrie"/>
    <s v="x"/>
    <s v="x"/>
    <s v="na"/>
    <s v="FWL"/>
    <s v="na"/>
    <s v="na"/>
    <s v="na"/>
    <s v="na"/>
    <s v="na"/>
    <s v="na"/>
    <s v="na"/>
    <s v="na"/>
  </r>
  <r>
    <n v="1438"/>
    <x v="47"/>
    <n v="3"/>
    <x v="10"/>
    <x v="0"/>
    <x v="0"/>
    <m/>
    <m/>
    <n v="60"/>
    <m/>
    <s v="U"/>
    <m/>
    <d v="1899-12-30T00:18:00"/>
    <s v="13:01"/>
    <s v="CZ"/>
    <s v="left pelvic fin abscess w/ puss (old wound)"/>
    <s v="20140729 HReider"/>
    <s v="20140730 JImrie"/>
    <s v="x"/>
    <s v="x"/>
    <s v="na"/>
    <s v="FWL"/>
    <s v="na"/>
    <s v="na"/>
    <s v="na"/>
    <s v="na"/>
    <s v="na"/>
    <s v="na"/>
    <s v="na"/>
    <s v="na"/>
  </r>
  <r>
    <n v="1439"/>
    <x v="47"/>
    <n v="3"/>
    <x v="10"/>
    <x v="0"/>
    <x v="0"/>
    <m/>
    <m/>
    <n v="55"/>
    <m/>
    <s v="U"/>
    <m/>
    <d v="1899-12-30T00:21:00"/>
    <s v="15:30"/>
    <s v="HR"/>
    <m/>
    <s v="20140729 HReider"/>
    <s v="20140730 JImrie"/>
    <s v="x"/>
    <s v="x"/>
    <s v="na"/>
    <s v="FWL"/>
    <s v="na"/>
    <s v="na"/>
    <s v="na"/>
    <s v="na"/>
    <s v="na"/>
    <s v="na"/>
    <s v="na"/>
    <s v="na"/>
  </r>
  <r>
    <n v="1440"/>
    <x v="47"/>
    <n v="3"/>
    <x v="10"/>
    <x v="0"/>
    <x v="0"/>
    <m/>
    <m/>
    <n v="57"/>
    <m/>
    <s v="M"/>
    <m/>
    <d v="1899-12-30T00:19:00"/>
    <s v="16:18"/>
    <s v="HR"/>
    <m/>
    <s v="20140729 HReider"/>
    <s v="20140730 JImrie"/>
    <s v="x"/>
    <s v="x"/>
    <s v="na"/>
    <s v="FWL"/>
    <s v="na"/>
    <s v="na"/>
    <s v="na"/>
    <s v="na"/>
    <s v="na"/>
    <s v="na"/>
    <s v="na"/>
    <s v="na"/>
  </r>
  <r>
    <n v="1441"/>
    <x v="47"/>
    <n v="3"/>
    <x v="10"/>
    <x v="0"/>
    <x v="0"/>
    <m/>
    <m/>
    <n v="53"/>
    <m/>
    <s v="U"/>
    <m/>
    <d v="1899-12-30T00:23:00"/>
    <s v="16:45 "/>
    <s v="JI"/>
    <m/>
    <s v="20140729 HReider"/>
    <s v="20140730 JImrie"/>
    <s v="x"/>
    <s v="x"/>
    <s v="na"/>
    <s v="FWL"/>
    <s v="na"/>
    <s v="na"/>
    <s v="na"/>
    <s v="na"/>
    <s v="na"/>
    <s v="na"/>
    <s v="na"/>
    <s v="na"/>
  </r>
  <r>
    <n v="1442"/>
    <x v="47"/>
    <n v="3"/>
    <x v="10"/>
    <x v="0"/>
    <x v="0"/>
    <m/>
    <m/>
    <n v="55"/>
    <m/>
    <s v="U"/>
    <m/>
    <d v="1899-12-30T00:25:00"/>
    <s v="17:33"/>
    <s v="NC"/>
    <m/>
    <s v="20140729 NCollin"/>
    <s v="20140730 JImrie"/>
    <s v="x"/>
    <s v="x"/>
    <s v="na"/>
    <s v="FWL"/>
    <s v="na"/>
    <s v="na"/>
    <s v="na"/>
    <s v="na"/>
    <s v="na"/>
    <s v="na"/>
    <s v="na"/>
    <s v="na"/>
  </r>
  <r>
    <n v="1443"/>
    <x v="47"/>
    <n v="3"/>
    <x v="10"/>
    <x v="0"/>
    <x v="0"/>
    <m/>
    <m/>
    <n v="63"/>
    <m/>
    <s v="U"/>
    <m/>
    <d v="1899-12-30T00:31:00"/>
    <s v="17:56"/>
    <s v="LA"/>
    <m/>
    <s v="20140729 NCollin"/>
    <s v="20140730 JImrie"/>
    <s v="x"/>
    <s v="x"/>
    <s v="na"/>
    <s v="FWL"/>
    <s v="na"/>
    <s v="na"/>
    <s v="na"/>
    <s v="na"/>
    <s v="na"/>
    <s v="na"/>
    <s v="na"/>
    <s v="na"/>
  </r>
  <r>
    <n v="1444"/>
    <x v="47"/>
    <n v="3"/>
    <x v="7"/>
    <x v="0"/>
    <x v="10"/>
    <n v="68"/>
    <s v="79 S"/>
    <n v="52"/>
    <m/>
    <s v="U"/>
    <m/>
    <d v="1899-12-30T01:16:00"/>
    <s v="18:03"/>
    <s v="LA"/>
    <m/>
    <s v="20140729 NCollin"/>
    <s v="20140730 JImrie"/>
    <s v="x"/>
    <n v="151.58600000000001"/>
    <s v="na"/>
    <s v="FWL"/>
    <s v="na"/>
    <s v="na"/>
    <s v="F1840"/>
    <s v="na"/>
    <s v="na"/>
    <s v="na"/>
    <s v="na"/>
    <s v="na"/>
  </r>
  <r>
    <n v="1445"/>
    <x v="47"/>
    <n v="3"/>
    <x v="10"/>
    <x v="0"/>
    <x v="0"/>
    <m/>
    <m/>
    <n v="61"/>
    <m/>
    <s v="U"/>
    <m/>
    <d v="1899-12-30T00:26:00"/>
    <s v="18:14"/>
    <s v="NC"/>
    <m/>
    <s v="20140729 NCollin"/>
    <s v="20140730 JImrie"/>
    <s v="x"/>
    <s v="x"/>
    <s v="na"/>
    <s v="FWL"/>
    <s v="na"/>
    <s v="na"/>
    <s v="na"/>
    <s v="na"/>
    <s v="na"/>
    <s v="na"/>
    <s v="na"/>
    <s v="na"/>
  </r>
  <r>
    <n v="1446"/>
    <x v="47"/>
    <n v="3"/>
    <x v="13"/>
    <x v="0"/>
    <x v="14"/>
    <n v="79"/>
    <s v="11 CO"/>
    <n v="53"/>
    <m/>
    <s v="U"/>
    <m/>
    <d v="1899-12-30T01:15:00"/>
    <s v="18:58"/>
    <s v="NC"/>
    <m/>
    <s v="20140729 NCollin"/>
    <s v="20140730 JImrie"/>
    <s v="x"/>
    <n v="151.32499999999999"/>
    <s v="na"/>
    <s v="FWL"/>
    <s v="na"/>
    <s v="na"/>
    <s v="F1840"/>
    <s v="na"/>
    <s v="na"/>
    <s v="na"/>
    <s v="na"/>
    <s v="na"/>
  </r>
  <r>
    <n v="1447"/>
    <x v="48"/>
    <n v="1"/>
    <x v="12"/>
    <x v="0"/>
    <x v="12"/>
    <n v="85"/>
    <s v="63 P"/>
    <n v="45"/>
    <m/>
    <s v="M"/>
    <m/>
    <d v="1899-12-30T00:56:00"/>
    <s v="08:16"/>
    <s v="JK"/>
    <m/>
    <s v="20140730 JKunzler"/>
    <s v="20140801 LAckein"/>
    <s v="x"/>
    <n v="151.596"/>
    <s v="na"/>
    <s v="FWL"/>
    <s v="na"/>
    <s v="na"/>
    <s v="F1835"/>
    <s v="na"/>
    <s v="na"/>
    <s v="na"/>
    <s v="na"/>
    <s v="na"/>
  </r>
  <r>
    <n v="1448"/>
    <x v="48"/>
    <n v="1"/>
    <x v="12"/>
    <x v="0"/>
    <x v="13"/>
    <n v="20"/>
    <s v="64 P"/>
    <n v="48"/>
    <m/>
    <s v="M"/>
    <m/>
    <d v="1899-12-30T00:53:00"/>
    <s v="08:20"/>
    <s v="JK"/>
    <m/>
    <s v="20140730 JKunzler"/>
    <s v="20140801 LAckein"/>
    <s v="x"/>
    <n v="151.51499999999999"/>
    <s v="na"/>
    <s v="FWL"/>
    <s v="na"/>
    <s v="na"/>
    <s v="F1835"/>
    <s v="na"/>
    <s v="na"/>
    <s v="na"/>
    <s v="na"/>
    <s v="na"/>
  </r>
  <r>
    <n v="1449"/>
    <x v="48"/>
    <n v="1"/>
    <x v="12"/>
    <x v="0"/>
    <x v="13"/>
    <n v="7"/>
    <s v="65 P"/>
    <n v="43"/>
    <m/>
    <s v="F"/>
    <m/>
    <d v="1899-12-30T00:54:00"/>
    <s v="08:23"/>
    <s v="JK"/>
    <m/>
    <s v="20140730 JKunzler"/>
    <s v="20140801 LAckein"/>
    <s v="x"/>
    <n v="151.51499999999999"/>
    <s v="na"/>
    <s v="FWL"/>
    <s v="na"/>
    <s v="na"/>
    <s v="F1835"/>
    <s v="na"/>
    <s v="na"/>
    <s v="na"/>
    <s v="na"/>
    <s v="na"/>
  </r>
  <r>
    <n v="1450"/>
    <x v="48"/>
    <n v="1"/>
    <x v="12"/>
    <x v="0"/>
    <x v="0"/>
    <m/>
    <m/>
    <n v="46"/>
    <m/>
    <s v="M"/>
    <m/>
    <d v="1899-12-30T00:22:00"/>
    <s v="08:24"/>
    <s v="JK"/>
    <m/>
    <s v="20140730 JKunzler"/>
    <s v="20140801 LAckein"/>
    <s v="x"/>
    <s v="x"/>
    <s v="na"/>
    <s v="FWL"/>
    <s v="na"/>
    <s v="na"/>
    <s v="na"/>
    <s v="na"/>
    <s v="na"/>
    <s v="na"/>
    <s v="na"/>
    <s v="na"/>
  </r>
  <r>
    <n v="1451"/>
    <x v="48"/>
    <n v="1"/>
    <x v="12"/>
    <x v="0"/>
    <x v="0"/>
    <m/>
    <m/>
    <n v="46"/>
    <m/>
    <s v="F"/>
    <m/>
    <d v="1899-12-30T00:23:00"/>
    <s v="08:26"/>
    <s v="JK"/>
    <m/>
    <s v="20140730 JKunzler"/>
    <s v="20140801 LAckein"/>
    <s v="x"/>
    <s v="x"/>
    <s v="na"/>
    <s v="FWL"/>
    <s v="na"/>
    <s v="na"/>
    <s v="na"/>
    <s v="na"/>
    <s v="na"/>
    <s v="na"/>
    <s v="na"/>
    <s v="na"/>
  </r>
  <r>
    <n v="1452"/>
    <x v="48"/>
    <n v="1"/>
    <x v="12"/>
    <x v="0"/>
    <x v="0"/>
    <m/>
    <m/>
    <n v="46"/>
    <m/>
    <s v="F"/>
    <m/>
    <d v="1899-12-30T00:23:00"/>
    <s v="08:27"/>
    <s v="JK"/>
    <m/>
    <s v="20140730 JKunzler"/>
    <s v="20140801 LAckein"/>
    <s v="x"/>
    <s v="x"/>
    <s v="na"/>
    <s v="FWL"/>
    <s v="na"/>
    <s v="na"/>
    <s v="na"/>
    <s v="na"/>
    <s v="na"/>
    <s v="na"/>
    <s v="na"/>
    <s v="na"/>
  </r>
  <r>
    <n v="1453"/>
    <x v="48"/>
    <n v="1"/>
    <x v="12"/>
    <x v="0"/>
    <x v="0"/>
    <m/>
    <m/>
    <n v="47"/>
    <m/>
    <s v="F"/>
    <m/>
    <d v="1899-12-30T00:22:00"/>
    <s v="08:28"/>
    <s v="JK"/>
    <m/>
    <s v="20140730 JKunzler"/>
    <s v="20140801 LAckein"/>
    <s v="x"/>
    <s v="x"/>
    <s v="na"/>
    <s v="FWL"/>
    <s v="na"/>
    <s v="na"/>
    <s v="na"/>
    <s v="na"/>
    <s v="na"/>
    <s v="na"/>
    <s v="na"/>
    <s v="na"/>
  </r>
  <r>
    <n v="1454"/>
    <x v="48"/>
    <n v="1"/>
    <x v="12"/>
    <x v="0"/>
    <x v="0"/>
    <m/>
    <m/>
    <n v="45"/>
    <m/>
    <s v="F"/>
    <m/>
    <d v="1899-12-30T00:21:00"/>
    <s v="08:57"/>
    <s v="JK"/>
    <m/>
    <s v="20140730 JKunzler"/>
    <s v="20140801 LAckein"/>
    <s v="x"/>
    <s v="x"/>
    <s v="na"/>
    <s v="FWL"/>
    <s v="na"/>
    <s v="na"/>
    <s v="na"/>
    <s v="na"/>
    <s v="na"/>
    <s v="na"/>
    <s v="na"/>
    <s v="na"/>
  </r>
  <r>
    <n v="1455"/>
    <x v="48"/>
    <n v="1"/>
    <x v="12"/>
    <x v="0"/>
    <x v="0"/>
    <m/>
    <m/>
    <n v="46"/>
    <m/>
    <s v="M"/>
    <m/>
    <d v="1899-12-30T00:19:00"/>
    <s v="08:59"/>
    <s v="JK"/>
    <m/>
    <s v="20140730 JKunzler"/>
    <s v="20140801 LAckein"/>
    <s v="x"/>
    <s v="x"/>
    <s v="na"/>
    <s v="FWL"/>
    <s v="na"/>
    <s v="na"/>
    <s v="na"/>
    <s v="na"/>
    <s v="na"/>
    <s v="na"/>
    <s v="na"/>
    <s v="na"/>
  </r>
  <r>
    <n v="1456"/>
    <x v="48"/>
    <n v="1"/>
    <x v="12"/>
    <x v="0"/>
    <x v="0"/>
    <m/>
    <m/>
    <n v="45"/>
    <m/>
    <s v="F"/>
    <m/>
    <d v="1899-12-30T00:26:00"/>
    <s v="09:39"/>
    <s v="CZ"/>
    <m/>
    <s v="20140730 JKunzler"/>
    <s v="20140801 LAckein"/>
    <s v="x"/>
    <s v="x"/>
    <s v="na"/>
    <s v="FWL"/>
    <s v="na"/>
    <s v="na"/>
    <s v="na"/>
    <s v="na"/>
    <s v="na"/>
    <s v="na"/>
    <s v="na"/>
    <s v="na"/>
  </r>
  <r>
    <n v="1457"/>
    <x v="48"/>
    <n v="1"/>
    <x v="12"/>
    <x v="0"/>
    <x v="0"/>
    <m/>
    <m/>
    <n v="47"/>
    <m/>
    <s v="M"/>
    <m/>
    <d v="1899-12-30T00:25:00"/>
    <s v="09:41"/>
    <s v="CZ"/>
    <m/>
    <s v="20140730 JKunzler"/>
    <s v="20140801 LAckein"/>
    <s v="x"/>
    <s v="x"/>
    <s v="na"/>
    <s v="FWL"/>
    <s v="na"/>
    <s v="na"/>
    <s v="na"/>
    <s v="na"/>
    <s v="na"/>
    <s v="na"/>
    <s v="na"/>
    <s v="na"/>
  </r>
  <r>
    <n v="1458"/>
    <x v="48"/>
    <n v="1"/>
    <x v="12"/>
    <x v="0"/>
    <x v="0"/>
    <m/>
    <m/>
    <n v="46"/>
    <m/>
    <s v="F"/>
    <m/>
    <d v="1899-12-30T00:19:00"/>
    <s v="09:42"/>
    <s v="CZ"/>
    <m/>
    <s v="20140730 JKunzler"/>
    <s v="20140801 LAckein"/>
    <s v="x"/>
    <s v="x"/>
    <s v="na"/>
    <s v="FWL"/>
    <s v="na"/>
    <s v="na"/>
    <s v="na"/>
    <s v="na"/>
    <s v="na"/>
    <s v="na"/>
    <s v="na"/>
    <s v="na"/>
  </r>
  <r>
    <n v="1459"/>
    <x v="48"/>
    <n v="1"/>
    <x v="12"/>
    <x v="0"/>
    <x v="0"/>
    <m/>
    <m/>
    <n v="43"/>
    <m/>
    <s v="F"/>
    <m/>
    <d v="1899-12-30T00:16:00"/>
    <s v="09:43"/>
    <s v="CZ"/>
    <m/>
    <s v="20140730 JKunzler"/>
    <s v="20140801 LAckein"/>
    <s v="x"/>
    <s v="x"/>
    <s v="na"/>
    <s v="FWL"/>
    <s v="na"/>
    <s v="na"/>
    <s v="na"/>
    <s v="na"/>
    <s v="na"/>
    <s v="na"/>
    <s v="na"/>
    <s v="na"/>
  </r>
  <r>
    <n v="1460"/>
    <x v="48"/>
    <n v="1"/>
    <x v="12"/>
    <x v="0"/>
    <x v="0"/>
    <m/>
    <m/>
    <n v="49"/>
    <m/>
    <s v="M"/>
    <m/>
    <d v="1899-12-30T00:21:00"/>
    <s v="09:43"/>
    <s v="CZ"/>
    <m/>
    <s v="20140730 JKunzler"/>
    <s v="20140801 LAckein"/>
    <s v="x"/>
    <s v="x"/>
    <s v="na"/>
    <s v="FWL"/>
    <s v="na"/>
    <s v="na"/>
    <s v="na"/>
    <s v="na"/>
    <s v="na"/>
    <s v="na"/>
    <s v="na"/>
    <s v="na"/>
  </r>
  <r>
    <n v="1461"/>
    <x v="48"/>
    <n v="1"/>
    <x v="12"/>
    <x v="0"/>
    <x v="0"/>
    <m/>
    <m/>
    <n v="48"/>
    <m/>
    <s v="M"/>
    <m/>
    <d v="1899-12-30T00:36:00"/>
    <s v="09:45"/>
    <s v="CZ"/>
    <m/>
    <s v="20140730 JKunzler"/>
    <s v="20140801 LAckein"/>
    <s v="x"/>
    <s v="x"/>
    <s v="na"/>
    <s v="FWL"/>
    <s v="na"/>
    <s v="na"/>
    <s v="na"/>
    <s v="na"/>
    <s v="na"/>
    <s v="na"/>
    <s v="na"/>
    <s v="na"/>
  </r>
  <r>
    <n v="1462"/>
    <x v="48"/>
    <n v="1"/>
    <x v="10"/>
    <x v="0"/>
    <x v="7"/>
    <n v="16"/>
    <s v="46 CM"/>
    <n v="63"/>
    <m/>
    <s v="U"/>
    <m/>
    <d v="1899-12-30T01:04:00"/>
    <s v="10:22"/>
    <s v="JK"/>
    <m/>
    <s v="20140730 JKunzler"/>
    <s v="20140801 LAckein"/>
    <s v="x"/>
    <n v="151.56399999999999"/>
    <s v="na"/>
    <s v="FWL"/>
    <s v="na"/>
    <s v="na"/>
    <s v="F1840"/>
    <s v="na"/>
    <s v="na"/>
    <s v="na"/>
    <s v="na"/>
    <s v="na"/>
  </r>
  <r>
    <n v="1463"/>
    <x v="48"/>
    <n v="1"/>
    <x v="10"/>
    <x v="0"/>
    <x v="11"/>
    <n v="3"/>
    <s v="47 CM"/>
    <n v="64"/>
    <m/>
    <s v="U"/>
    <m/>
    <d v="1899-12-30T01:01:00"/>
    <s v="14:47"/>
    <s v="NC"/>
    <m/>
    <s v="20140730 NCollin"/>
    <s v="20140801 LAckein"/>
    <s v="x"/>
    <n v="151.53399999999999"/>
    <s v="na"/>
    <s v="FWL"/>
    <s v="na"/>
    <s v="na"/>
    <s v="F1840"/>
    <s v="na"/>
    <s v="na"/>
    <s v="na"/>
    <s v="na"/>
    <s v="na"/>
  </r>
  <r>
    <n v="1464"/>
    <x v="48"/>
    <n v="1"/>
    <x v="10"/>
    <x v="0"/>
    <x v="7"/>
    <n v="7"/>
    <s v="48 CM"/>
    <n v="58"/>
    <m/>
    <s v="U"/>
    <m/>
    <d v="1899-12-30T00:54:00"/>
    <s v="14:56"/>
    <s v="NC"/>
    <m/>
    <s v="20140730 NCollin"/>
    <s v="20140801 LAckein"/>
    <s v="x"/>
    <n v="151.56399999999999"/>
    <s v="na"/>
    <s v="FWL"/>
    <s v="na"/>
    <s v="na"/>
    <s v="F1840"/>
    <s v="na"/>
    <s v="na"/>
    <s v="na"/>
    <s v="na"/>
    <s v="na"/>
  </r>
  <r>
    <n v="1465"/>
    <x v="48"/>
    <n v="1"/>
    <x v="7"/>
    <x v="0"/>
    <x v="10"/>
    <n v="45"/>
    <s v="93 S"/>
    <n v="53"/>
    <m/>
    <s v="U"/>
    <m/>
    <d v="1899-12-30T00:51:00"/>
    <s v="15:04"/>
    <s v="NC"/>
    <m/>
    <s v="20140730 NCollin"/>
    <s v="20140801 LAckein"/>
    <s v="x"/>
    <n v="151.58600000000001"/>
    <s v="na"/>
    <s v="FWL"/>
    <s v="na"/>
    <s v="na"/>
    <s v="F1840"/>
    <s v="na"/>
    <s v="na"/>
    <s v="na"/>
    <s v="na"/>
    <s v="na"/>
  </r>
  <r>
    <n v="1466"/>
    <x v="48"/>
    <n v="1"/>
    <x v="10"/>
    <x v="0"/>
    <x v="0"/>
    <m/>
    <m/>
    <n v="67"/>
    <m/>
    <s v="U"/>
    <m/>
    <d v="1899-12-30T00:30:00"/>
    <s v="19:31"/>
    <s v="NC"/>
    <m/>
    <s v="20140730 NCollin"/>
    <s v="20140801 LAckein"/>
    <s v="x"/>
    <s v="x"/>
    <s v="na"/>
    <s v="FWL"/>
    <s v="na"/>
    <s v="na"/>
    <s v="na"/>
    <s v="na"/>
    <s v="na"/>
    <s v="na"/>
    <s v="na"/>
    <s v="na"/>
  </r>
  <r>
    <n v="1467"/>
    <x v="48"/>
    <n v="2"/>
    <x v="12"/>
    <x v="0"/>
    <x v="13"/>
    <n v="41"/>
    <s v="71 P"/>
    <n v="49"/>
    <m/>
    <s v="M"/>
    <m/>
    <d v="1899-12-30T01:06:00"/>
    <s v="09:19"/>
    <s v="JK"/>
    <m/>
    <s v="20140730 JKunzler"/>
    <s v="20140801 LAckein"/>
    <s v="x"/>
    <n v="151.51499999999999"/>
    <s v="na"/>
    <s v="FWL"/>
    <s v="na"/>
    <s v="na"/>
    <s v="F1835"/>
    <s v="na"/>
    <s v="na"/>
    <s v="na"/>
    <s v="na"/>
    <s v="na"/>
  </r>
  <r>
    <n v="1468"/>
    <x v="48"/>
    <n v="2"/>
    <x v="12"/>
    <x v="0"/>
    <x v="12"/>
    <n v="11"/>
    <s v="72 P"/>
    <n v="49"/>
    <m/>
    <s v="F"/>
    <d v="1899-12-30T09:21:00"/>
    <d v="1899-12-30T00:47:00"/>
    <s v="09:23"/>
    <s v="JK"/>
    <m/>
    <s v="20140730 JKunzler"/>
    <s v="20140801 LAckein"/>
    <d v="1899-12-30T00:01:13"/>
    <n v="151.596"/>
    <s v="na"/>
    <s v="FWL"/>
    <s v="na"/>
    <s v="na"/>
    <s v="F1835"/>
    <s v="na"/>
    <s v="na"/>
    <s v="na"/>
    <s v="na"/>
    <s v="na"/>
  </r>
  <r>
    <n v="1469"/>
    <x v="48"/>
    <n v="2"/>
    <x v="7"/>
    <x v="0"/>
    <x v="6"/>
    <n v="88"/>
    <s v="92 S"/>
    <n v="56"/>
    <m/>
    <s v="U"/>
    <m/>
    <d v="1899-12-30T00:55:00"/>
    <s v="10:35"/>
    <s v="CZ"/>
    <m/>
    <s v="20140730 JKunzler"/>
    <s v="20140801 LAckein"/>
    <s v="x"/>
    <n v="151.57300000000001"/>
    <s v="na"/>
    <s v="FWL"/>
    <s v="na"/>
    <s v="na"/>
    <s v="F1840"/>
    <s v="na"/>
    <s v="na"/>
    <s v="na"/>
    <s v="na"/>
    <s v="na"/>
  </r>
  <r>
    <n v="1470"/>
    <x v="48"/>
    <n v="2"/>
    <x v="7"/>
    <x v="0"/>
    <x v="10"/>
    <n v="12"/>
    <s v="94 S"/>
    <n v="56"/>
    <m/>
    <s v="U"/>
    <m/>
    <d v="1899-12-30T01:23:00"/>
    <s v="15:28"/>
    <s v="QB"/>
    <m/>
    <s v="20140730 NCollin"/>
    <s v="20140801 LAckein"/>
    <s v="x"/>
    <n v="151.58600000000001"/>
    <s v="na"/>
    <s v="FWL"/>
    <s v="na"/>
    <s v="na"/>
    <s v="F1840"/>
    <s v="na"/>
    <s v="na"/>
    <s v="na"/>
    <s v="na"/>
    <s v="na"/>
  </r>
  <r>
    <n v="1471"/>
    <x v="48"/>
    <n v="2"/>
    <x v="7"/>
    <x v="0"/>
    <x v="10"/>
    <n v="11"/>
    <s v="95 S"/>
    <n v="49"/>
    <m/>
    <s v="U"/>
    <m/>
    <d v="1899-12-30T00:55:00"/>
    <s v="15:30"/>
    <s v="QB"/>
    <m/>
    <s v="20140730 NCollin"/>
    <s v="20140801 LAckein"/>
    <s v="x"/>
    <n v="151.58600000000001"/>
    <s v="na"/>
    <s v="FWL"/>
    <s v="na"/>
    <s v="na"/>
    <s v="F1840"/>
    <s v="na"/>
    <s v="na"/>
    <s v="na"/>
    <s v="na"/>
    <s v="na"/>
  </r>
  <r>
    <n v="1472"/>
    <x v="48"/>
    <n v="2"/>
    <x v="10"/>
    <x v="0"/>
    <x v="0"/>
    <m/>
    <m/>
    <n v="67"/>
    <m/>
    <s v="U"/>
    <d v="1899-12-30T19:06:00"/>
    <d v="1899-12-30T00:35:00"/>
    <s v="19:21"/>
    <s v="NC"/>
    <m/>
    <s v="20140730 NCollin"/>
    <s v="20140801 LAckein"/>
    <d v="1899-12-30T00:14:25"/>
    <s v="x"/>
    <s v="na"/>
    <s v="FWL"/>
    <s v="na"/>
    <s v="na"/>
    <s v="na"/>
    <s v="na"/>
    <s v="na"/>
    <s v="na"/>
    <s v="na"/>
    <s v="na"/>
  </r>
  <r>
    <n v="1473"/>
    <x v="48"/>
    <n v="2"/>
    <x v="10"/>
    <x v="0"/>
    <x v="0"/>
    <m/>
    <m/>
    <n v="60"/>
    <m/>
    <s v="U"/>
    <m/>
    <d v="1899-12-30T00:30:00"/>
    <s v="19:56"/>
    <s v="QB"/>
    <m/>
    <s v="20140730 NCollin"/>
    <s v="20140801 LAckein"/>
    <s v="x"/>
    <s v="x"/>
    <s v="na"/>
    <s v="FWL"/>
    <s v="na"/>
    <s v="na"/>
    <s v="na"/>
    <s v="na"/>
    <s v="na"/>
    <s v="na"/>
    <s v="na"/>
    <s v="na"/>
  </r>
  <r>
    <n v="1474"/>
    <x v="48"/>
    <n v="3"/>
    <x v="12"/>
    <x v="0"/>
    <x v="13"/>
    <n v="12"/>
    <s v="75 P"/>
    <n v="49"/>
    <m/>
    <s v="M"/>
    <m/>
    <d v="1899-12-30T00:48:00"/>
    <s v="08:25"/>
    <s v="QB"/>
    <m/>
    <s v="20140730 QBerger"/>
    <s v="20140801 LAckein"/>
    <s v="x"/>
    <n v="151.51499999999999"/>
    <s v="na"/>
    <s v="FWL"/>
    <s v="na"/>
    <s v="na"/>
    <s v="F1835"/>
    <s v="na"/>
    <s v="na"/>
    <s v="na"/>
    <s v="na"/>
    <s v="na"/>
  </r>
  <r>
    <n v="1475"/>
    <x v="48"/>
    <n v="3"/>
    <x v="12"/>
    <x v="0"/>
    <x v="13"/>
    <n v="89"/>
    <s v="76 P"/>
    <n v="48"/>
    <m/>
    <s v="F"/>
    <m/>
    <d v="1899-12-30T00:56:00"/>
    <s v="08:27"/>
    <s v="QB"/>
    <m/>
    <s v="20140730 QBerger"/>
    <s v="20140801 LAckein"/>
    <s v="x"/>
    <n v="151.51499999999999"/>
    <s v="na"/>
    <s v="FWL"/>
    <s v="na"/>
    <s v="na"/>
    <s v="F1835"/>
    <s v="na"/>
    <s v="na"/>
    <s v="na"/>
    <s v="na"/>
    <s v="na"/>
  </r>
  <r>
    <n v="1476"/>
    <x v="48"/>
    <n v="3"/>
    <x v="12"/>
    <x v="0"/>
    <x v="13"/>
    <n v="59"/>
    <s v="69 P"/>
    <n v="53"/>
    <m/>
    <s v="M"/>
    <m/>
    <d v="1899-12-30T00:58:00"/>
    <s v="08:31"/>
    <s v="QB"/>
    <m/>
    <s v="20140730 QBerger"/>
    <s v="20140801 LAckein"/>
    <s v="x"/>
    <n v="151.51499999999999"/>
    <s v="na"/>
    <s v="FWL"/>
    <s v="na"/>
    <s v="na"/>
    <s v="F1835"/>
    <s v="na"/>
    <s v="na"/>
    <s v="na"/>
    <s v="na"/>
    <s v="na"/>
  </r>
  <r>
    <n v="1477"/>
    <x v="48"/>
    <n v="3"/>
    <x v="12"/>
    <x v="0"/>
    <x v="12"/>
    <n v="99"/>
    <s v="70 P"/>
    <n v="42"/>
    <m/>
    <s v="F"/>
    <m/>
    <d v="1899-12-30T01:16:00"/>
    <s v="08:36"/>
    <s v="NC"/>
    <m/>
    <s v="20140730 QBerger"/>
    <s v="20140801 LAckein"/>
    <s v="x"/>
    <n v="151.596"/>
    <s v="na"/>
    <s v="FWL"/>
    <s v="na"/>
    <s v="na"/>
    <s v="F1835"/>
    <s v="na"/>
    <s v="na"/>
    <s v="na"/>
    <s v="na"/>
    <s v="na"/>
  </r>
  <r>
    <n v="1478"/>
    <x v="48"/>
    <n v="3"/>
    <x v="12"/>
    <x v="0"/>
    <x v="12"/>
    <n v="84"/>
    <s v="66 P"/>
    <n v="47"/>
    <m/>
    <s v="F"/>
    <m/>
    <d v="1899-12-30T00:48:00"/>
    <s v="08:39"/>
    <s v="NC"/>
    <m/>
    <s v="20140730 QBerger"/>
    <s v="20140801 LAckein"/>
    <s v="x"/>
    <n v="151.596"/>
    <s v="na"/>
    <s v="FWL"/>
    <s v="na"/>
    <s v="na"/>
    <s v="F1835"/>
    <s v="na"/>
    <s v="na"/>
    <s v="na"/>
    <s v="na"/>
    <s v="na"/>
  </r>
  <r>
    <n v="1479"/>
    <x v="48"/>
    <n v="3"/>
    <x v="12"/>
    <x v="0"/>
    <x v="13"/>
    <n v="9"/>
    <s v="67 P"/>
    <n v="49"/>
    <m/>
    <s v="M"/>
    <m/>
    <d v="1899-12-30T00:53:00"/>
    <s v="08:42"/>
    <s v="NC"/>
    <m/>
    <s v="20140730 QBerger"/>
    <s v="20140801 LAckein"/>
    <s v="x"/>
    <n v="151.51499999999999"/>
    <s v="na"/>
    <s v="FWL"/>
    <s v="na"/>
    <s v="na"/>
    <s v="F1835"/>
    <s v="na"/>
    <s v="na"/>
    <s v="na"/>
    <s v="na"/>
    <s v="na"/>
  </r>
  <r>
    <n v="1480"/>
    <x v="48"/>
    <n v="3"/>
    <x v="12"/>
    <x v="0"/>
    <x v="0"/>
    <m/>
    <m/>
    <n v="41"/>
    <m/>
    <s v="M"/>
    <m/>
    <d v="1899-12-30T00:31:00"/>
    <s v="08:41"/>
    <s v="NC"/>
    <m/>
    <s v="20140730 QBerger"/>
    <s v="20140801 LAckein"/>
    <s v="x"/>
    <s v="x"/>
    <s v="na"/>
    <s v="FWL"/>
    <s v="na"/>
    <s v="na"/>
    <s v="na"/>
    <s v="na"/>
    <s v="na"/>
    <s v="na"/>
    <s v="na"/>
    <s v="na"/>
  </r>
  <r>
    <n v="1481"/>
    <x v="48"/>
    <n v="3"/>
    <x v="12"/>
    <x v="0"/>
    <x v="0"/>
    <m/>
    <m/>
    <n v="43"/>
    <m/>
    <s v="M"/>
    <m/>
    <d v="1899-12-30T00:19:00"/>
    <s v="08:45"/>
    <s v="NC"/>
    <m/>
    <s v="20140730 QBerger"/>
    <s v="20140801 LAckein"/>
    <s v="x"/>
    <s v="x"/>
    <s v="na"/>
    <s v="FWL"/>
    <s v="na"/>
    <s v="na"/>
    <s v="na"/>
    <s v="na"/>
    <s v="na"/>
    <s v="na"/>
    <s v="na"/>
    <s v="na"/>
  </r>
  <r>
    <n v="1482"/>
    <x v="48"/>
    <n v="3"/>
    <x v="12"/>
    <x v="0"/>
    <x v="0"/>
    <m/>
    <m/>
    <n v="44"/>
    <m/>
    <s v="M"/>
    <m/>
    <d v="1899-12-30T00:20:00"/>
    <s v="08:46"/>
    <s v="NC"/>
    <m/>
    <s v="20140730 QBerger"/>
    <s v="20140801 LAckein"/>
    <s v="x"/>
    <s v="x"/>
    <s v="na"/>
    <s v="FWL"/>
    <s v="na"/>
    <s v="na"/>
    <s v="na"/>
    <s v="na"/>
    <s v="na"/>
    <s v="na"/>
    <s v="na"/>
    <s v="na"/>
  </r>
  <r>
    <n v="1483"/>
    <x v="48"/>
    <n v="3"/>
    <x v="12"/>
    <x v="0"/>
    <x v="0"/>
    <m/>
    <m/>
    <n v="47"/>
    <m/>
    <s v="M"/>
    <m/>
    <d v="1899-12-30T00:23:00"/>
    <s v="08:47"/>
    <s v="NC"/>
    <m/>
    <s v="20140730 QBerger"/>
    <s v="20140801 LAckein"/>
    <s v="x"/>
    <s v="x"/>
    <s v="na"/>
    <s v="FWL"/>
    <s v="na"/>
    <s v="na"/>
    <s v="na"/>
    <s v="na"/>
    <s v="na"/>
    <s v="na"/>
    <s v="na"/>
    <s v="na"/>
  </r>
  <r>
    <n v="1484"/>
    <x v="48"/>
    <n v="3"/>
    <x v="12"/>
    <x v="0"/>
    <x v="0"/>
    <m/>
    <m/>
    <n v="47"/>
    <m/>
    <s v="M"/>
    <m/>
    <d v="1899-12-30T00:26:00"/>
    <s v="08:48"/>
    <s v="NC"/>
    <m/>
    <s v="20140730 QBerger"/>
    <s v="20140801 LAckein"/>
    <s v="x"/>
    <s v="x"/>
    <s v="na"/>
    <s v="FWL"/>
    <s v="na"/>
    <s v="na"/>
    <s v="na"/>
    <s v="na"/>
    <s v="na"/>
    <s v="na"/>
    <s v="na"/>
    <s v="na"/>
  </r>
  <r>
    <n v="1485"/>
    <x v="48"/>
    <n v="3"/>
    <x v="12"/>
    <x v="0"/>
    <x v="0"/>
    <m/>
    <m/>
    <n v="46"/>
    <m/>
    <s v="F"/>
    <m/>
    <d v="1899-12-30T00:24:00"/>
    <s v="08:49"/>
    <s v="NC"/>
    <m/>
    <s v="20140730 QBerger"/>
    <s v="20140801 LAckein"/>
    <s v="x"/>
    <s v="x"/>
    <s v="na"/>
    <s v="FWL"/>
    <s v="na"/>
    <s v="na"/>
    <s v="na"/>
    <s v="na"/>
    <s v="na"/>
    <s v="na"/>
    <s v="na"/>
    <s v="na"/>
  </r>
  <r>
    <n v="1486"/>
    <x v="48"/>
    <n v="3"/>
    <x v="12"/>
    <x v="0"/>
    <x v="0"/>
    <m/>
    <m/>
    <n v="44"/>
    <m/>
    <s v="M"/>
    <m/>
    <d v="1899-12-30T00:25:00"/>
    <s v="08:50"/>
    <s v="NC"/>
    <m/>
    <s v="20140730 QBerger"/>
    <s v="20140801 LAckein"/>
    <s v="x"/>
    <s v="x"/>
    <s v="na"/>
    <s v="FWL"/>
    <s v="na"/>
    <s v="na"/>
    <s v="na"/>
    <s v="na"/>
    <s v="na"/>
    <s v="na"/>
    <s v="na"/>
    <s v="na"/>
  </r>
  <r>
    <n v="1487"/>
    <x v="48"/>
    <n v="3"/>
    <x v="12"/>
    <x v="0"/>
    <x v="0"/>
    <m/>
    <m/>
    <n v="44"/>
    <m/>
    <s v="M"/>
    <m/>
    <d v="1899-12-30T00:25:00"/>
    <s v="08:52"/>
    <s v="NC"/>
    <m/>
    <s v="20140730 QBerger"/>
    <s v="20140801 LAckein"/>
    <s v="x"/>
    <s v="x"/>
    <s v="na"/>
    <s v="FWL"/>
    <s v="na"/>
    <s v="na"/>
    <s v="na"/>
    <s v="na"/>
    <s v="na"/>
    <s v="na"/>
    <s v="na"/>
    <s v="na"/>
  </r>
  <r>
    <n v="1488"/>
    <x v="48"/>
    <n v="3"/>
    <x v="12"/>
    <x v="0"/>
    <x v="0"/>
    <m/>
    <m/>
    <n v="48"/>
    <m/>
    <s v="M"/>
    <m/>
    <d v="1899-12-30T00:23:00"/>
    <s v="08:53"/>
    <s v="NC"/>
    <m/>
    <s v="20140730 QBerger"/>
    <s v="20140801 LAckein"/>
    <s v="x"/>
    <s v="x"/>
    <s v="na"/>
    <s v="FWL"/>
    <s v="na"/>
    <s v="na"/>
    <s v="na"/>
    <s v="na"/>
    <s v="na"/>
    <s v="na"/>
    <s v="na"/>
    <s v="na"/>
  </r>
  <r>
    <n v="1489"/>
    <x v="48"/>
    <n v="3"/>
    <x v="13"/>
    <x v="0"/>
    <x v="14"/>
    <n v="60"/>
    <s v="12 CO"/>
    <n v="52"/>
    <m/>
    <s v="U"/>
    <m/>
    <d v="1899-12-30T01:03:00"/>
    <s v="09:02"/>
    <s v="NC"/>
    <m/>
    <s v="20140730 QBerger"/>
    <s v="20140801 LAckein"/>
    <s v="x"/>
    <n v="151.32499999999999"/>
    <s v="na"/>
    <s v="FWL"/>
    <s v="na"/>
    <s v="na"/>
    <s v="F1840"/>
    <s v="na"/>
    <s v="na"/>
    <s v="na"/>
    <s v="na"/>
    <s v="na"/>
  </r>
  <r>
    <n v="1490"/>
    <x v="48"/>
    <n v="3"/>
    <x v="10"/>
    <x v="0"/>
    <x v="11"/>
    <n v="1"/>
    <s v="36 CM"/>
    <n v="65"/>
    <m/>
    <s v="U"/>
    <d v="1899-12-30T10:06:00"/>
    <d v="1899-12-30T01:07:00"/>
    <s v="10:11"/>
    <s v="QB"/>
    <m/>
    <s v="20140730 QBerger"/>
    <s v="20140801 LAckein"/>
    <d v="1899-12-30T00:03:53"/>
    <n v="151.53399999999999"/>
    <s v="na"/>
    <s v="FWL"/>
    <s v="na"/>
    <s v="na"/>
    <s v="F1840"/>
    <s v="na"/>
    <s v="na"/>
    <s v="na"/>
    <s v="na"/>
    <s v="na"/>
  </r>
  <r>
    <n v="1491"/>
    <x v="48"/>
    <n v="3"/>
    <x v="10"/>
    <x v="0"/>
    <x v="0"/>
    <m/>
    <m/>
    <n v="62"/>
    <m/>
    <s v="U"/>
    <m/>
    <d v="1899-12-30T00:29:00"/>
    <s v="12:03"/>
    <s v="HR"/>
    <m/>
    <s v="20140730 LAckein"/>
    <s v="20140801 LAckein"/>
    <s v="x"/>
    <s v="x"/>
    <s v="na"/>
    <s v="FWL"/>
    <s v="na"/>
    <s v="na"/>
    <s v="na"/>
    <s v="na"/>
    <s v="na"/>
    <s v="na"/>
    <s v="na"/>
    <s v="na"/>
  </r>
  <r>
    <n v="1492"/>
    <x v="48"/>
    <n v="3"/>
    <x v="10"/>
    <x v="0"/>
    <x v="0"/>
    <m/>
    <m/>
    <n v="58"/>
    <m/>
    <s v="U"/>
    <m/>
    <d v="1899-12-30T00:24:00"/>
    <s v="12:04"/>
    <s v="HR"/>
    <m/>
    <s v="20140730 LAckein"/>
    <s v="20140801 LAckein"/>
    <s v="x"/>
    <s v="x"/>
    <s v="na"/>
    <s v="FWL"/>
    <s v="na"/>
    <s v="na"/>
    <s v="na"/>
    <s v="na"/>
    <s v="na"/>
    <s v="na"/>
    <s v="na"/>
    <s v="na"/>
  </r>
  <r>
    <n v="1493"/>
    <x v="48"/>
    <n v="3"/>
    <x v="10"/>
    <x v="0"/>
    <x v="0"/>
    <m/>
    <m/>
    <n v="64"/>
    <m/>
    <s v="U"/>
    <m/>
    <d v="1899-12-30T00:32:00"/>
    <s v="15:57"/>
    <s v="HR"/>
    <m/>
    <s v="20140730 LAckein"/>
    <s v="20140801 LAckein"/>
    <s v="x"/>
    <s v="x"/>
    <s v="na"/>
    <s v="FWL"/>
    <s v="na"/>
    <s v="na"/>
    <s v="na"/>
    <s v="na"/>
    <s v="na"/>
    <s v="na"/>
    <s v="na"/>
    <s v="na"/>
  </r>
  <r>
    <n v="1494"/>
    <x v="48"/>
    <n v="3"/>
    <x v="13"/>
    <x v="0"/>
    <x v="15"/>
    <n v="12"/>
    <s v="13 CO"/>
    <n v="46"/>
    <m/>
    <s v="U"/>
    <m/>
    <d v="1899-12-30T00:52:00"/>
    <s v="16:51"/>
    <s v="LA"/>
    <s v="F266."/>
    <s v="20140730 LAckein"/>
    <s v="20140801 LAckein"/>
    <s v="x"/>
    <n v="151.26599999999999"/>
    <s v="na"/>
    <s v="FWL"/>
    <s v="na"/>
    <s v="na"/>
    <s v="F1840"/>
    <s v="na"/>
    <s v="na"/>
    <s v="na"/>
    <s v="na"/>
    <s v="na"/>
  </r>
  <r>
    <n v="1495"/>
    <x v="48"/>
    <n v="3"/>
    <x v="10"/>
    <x v="0"/>
    <x v="0"/>
    <m/>
    <m/>
    <n v="58"/>
    <m/>
    <s v="U"/>
    <m/>
    <d v="1899-12-30T00:37:00"/>
    <s v="16:54"/>
    <s v="LA"/>
    <m/>
    <s v="20140730 LAckein"/>
    <s v="20140801 LAckein"/>
    <s v="x"/>
    <s v="x"/>
    <s v="na"/>
    <s v="FWL"/>
    <s v="na"/>
    <s v="na"/>
    <s v="na"/>
    <s v="na"/>
    <s v="na"/>
    <s v="na"/>
    <s v="na"/>
    <s v="na"/>
  </r>
  <r>
    <n v="1496"/>
    <x v="48"/>
    <n v="3"/>
    <x v="7"/>
    <x v="0"/>
    <x v="10"/>
    <n v="4"/>
    <s v="82 S"/>
    <n v="61"/>
    <m/>
    <s v="U"/>
    <m/>
    <d v="1899-12-30T01:29:00"/>
    <s v="16:59"/>
    <s v="HR"/>
    <m/>
    <s v="20140730 LAckein"/>
    <s v="20140801 LAckein"/>
    <s v="x"/>
    <n v="151.58600000000001"/>
    <s v="na"/>
    <s v="FWL"/>
    <s v="na"/>
    <s v="na"/>
    <s v="F1840"/>
    <s v="na"/>
    <s v="na"/>
    <s v="na"/>
    <s v="na"/>
    <s v="na"/>
  </r>
  <r>
    <n v="1497"/>
    <x v="48"/>
    <n v="3"/>
    <x v="10"/>
    <x v="0"/>
    <x v="0"/>
    <m/>
    <m/>
    <n v="63"/>
    <m/>
    <s v="U"/>
    <m/>
    <d v="1899-12-30T00:24:00"/>
    <s v="18:35"/>
    <s v="CZ"/>
    <m/>
    <s v="20140730 LAckein"/>
    <s v="20140801 LAckein"/>
    <s v="x"/>
    <s v="x"/>
    <s v="na"/>
    <s v="FWL"/>
    <s v="na"/>
    <s v="na"/>
    <s v="na"/>
    <s v="na"/>
    <s v="na"/>
    <s v="na"/>
    <s v="na"/>
    <s v="na"/>
  </r>
  <r>
    <n v="1498"/>
    <x v="49"/>
    <n v="1"/>
    <x v="12"/>
    <x v="0"/>
    <x v="13"/>
    <n v="18"/>
    <s v="73 P"/>
    <n v="46"/>
    <m/>
    <s v="M"/>
    <m/>
    <d v="1899-12-30T01:03:00"/>
    <s v="09:04"/>
    <s v="NC"/>
    <m/>
    <s v="201040731 JKunzler"/>
    <s v="20140801 JImrie"/>
    <s v="x"/>
    <n v="151.51499999999999"/>
    <s v="na"/>
    <s v="FWL"/>
    <s v="na"/>
    <s v="na"/>
    <s v="F1835"/>
    <s v="na"/>
    <s v="na"/>
    <s v="na"/>
    <s v="na"/>
    <s v="na"/>
  </r>
  <r>
    <n v="1499"/>
    <x v="49"/>
    <n v="1"/>
    <x v="12"/>
    <x v="0"/>
    <x v="13"/>
    <n v="55"/>
    <s v="77 P"/>
    <n v="47"/>
    <m/>
    <s v="M"/>
    <m/>
    <d v="1899-12-30T01:00:00"/>
    <s v="09:07"/>
    <s v="NC"/>
    <m/>
    <s v="201040731 JKunzler"/>
    <s v="20140801 JImrie"/>
    <s v="x"/>
    <n v="151.51499999999999"/>
    <s v="na"/>
    <s v="FWL"/>
    <s v="na"/>
    <s v="na"/>
    <s v="F1835"/>
    <s v="na"/>
    <s v="na"/>
    <s v="na"/>
    <s v="na"/>
    <s v="na"/>
  </r>
  <r>
    <n v="1500"/>
    <x v="49"/>
    <n v="1"/>
    <x v="12"/>
    <x v="0"/>
    <x v="13"/>
    <n v="37"/>
    <s v="78 P"/>
    <n v="47"/>
    <m/>
    <s v="M"/>
    <m/>
    <d v="1899-12-30T00:57:00"/>
    <s v="09:11"/>
    <s v="NC"/>
    <m/>
    <s v="201040731 JKunzler"/>
    <s v="20140801 JImrie"/>
    <s v="x"/>
    <n v="151.51499999999999"/>
    <s v="na"/>
    <s v="FWL"/>
    <s v="na"/>
    <s v="na"/>
    <s v="F1835"/>
    <s v="na"/>
    <s v="na"/>
    <s v="na"/>
    <s v="na"/>
    <s v="na"/>
  </r>
  <r>
    <n v="1501"/>
    <x v="49"/>
    <n v="1"/>
    <x v="12"/>
    <x v="0"/>
    <x v="0"/>
    <m/>
    <m/>
    <n v="43"/>
    <m/>
    <s v="M"/>
    <m/>
    <d v="1899-12-30T00:20:00"/>
    <s v="09:13"/>
    <s v="NC"/>
    <m/>
    <s v="201040731 JKunzler"/>
    <s v="20140801 JImrie"/>
    <s v="x"/>
    <s v="x"/>
    <s v="na"/>
    <s v="FWL"/>
    <s v="na"/>
    <s v="na"/>
    <s v="na"/>
    <s v="na"/>
    <s v="na"/>
    <s v="na"/>
    <s v="na"/>
    <s v="na"/>
  </r>
  <r>
    <n v="1502"/>
    <x v="49"/>
    <n v="1"/>
    <x v="12"/>
    <x v="0"/>
    <x v="0"/>
    <m/>
    <m/>
    <n v="45"/>
    <m/>
    <s v="F"/>
    <m/>
    <d v="1899-12-30T00:23:00"/>
    <s v="09:14"/>
    <s v="NC"/>
    <m/>
    <s v="201040731 JKunzler"/>
    <s v="20140801 JImrie"/>
    <s v="x"/>
    <s v="x"/>
    <s v="na"/>
    <s v="FWL"/>
    <s v="na"/>
    <s v="na"/>
    <s v="na"/>
    <s v="na"/>
    <s v="na"/>
    <s v="na"/>
    <s v="na"/>
    <s v="na"/>
  </r>
  <r>
    <n v="1503"/>
    <x v="49"/>
    <n v="1"/>
    <x v="12"/>
    <x v="0"/>
    <x v="0"/>
    <m/>
    <m/>
    <n v="39"/>
    <m/>
    <s v="F"/>
    <m/>
    <d v="1899-12-30T00:28:00"/>
    <s v="09:15"/>
    <s v="NC"/>
    <m/>
    <s v="201040731 JKunzler"/>
    <s v="20140801 JImrie"/>
    <s v="x"/>
    <s v="x"/>
    <s v="na"/>
    <s v="FWL"/>
    <s v="na"/>
    <s v="na"/>
    <s v="na"/>
    <s v="na"/>
    <s v="na"/>
    <s v="na"/>
    <s v="na"/>
    <s v="na"/>
  </r>
  <r>
    <n v="1504"/>
    <x v="49"/>
    <n v="1"/>
    <x v="12"/>
    <x v="0"/>
    <x v="0"/>
    <m/>
    <m/>
    <n v="47"/>
    <m/>
    <s v="F"/>
    <m/>
    <d v="1899-12-30T00:52:00"/>
    <s v="09:16"/>
    <s v="NC"/>
    <m/>
    <s v="201040731 JKunzler"/>
    <s v="20140801 JImrie"/>
    <s v="x"/>
    <s v="x"/>
    <s v="na"/>
    <s v="FWL"/>
    <s v="na"/>
    <s v="na"/>
    <s v="na"/>
    <s v="na"/>
    <s v="na"/>
    <s v="na"/>
    <s v="na"/>
    <s v="na"/>
  </r>
  <r>
    <n v="1505"/>
    <x v="49"/>
    <n v="1"/>
    <x v="12"/>
    <x v="0"/>
    <x v="0"/>
    <m/>
    <m/>
    <n v="44"/>
    <m/>
    <s v="F"/>
    <m/>
    <d v="1899-12-30T00:22:00"/>
    <s v="09:17"/>
    <s v="NC"/>
    <m/>
    <s v="201040731 JKunzler"/>
    <s v="20140801 JImrie"/>
    <s v="x"/>
    <s v="x"/>
    <s v="na"/>
    <s v="FWL"/>
    <s v="na"/>
    <s v="na"/>
    <s v="na"/>
    <s v="na"/>
    <s v="na"/>
    <s v="na"/>
    <s v="na"/>
    <s v="na"/>
  </r>
  <r>
    <n v="1506"/>
    <x v="49"/>
    <n v="1"/>
    <x v="12"/>
    <x v="0"/>
    <x v="0"/>
    <m/>
    <m/>
    <n v="46"/>
    <m/>
    <s v="M"/>
    <m/>
    <d v="1899-12-30T00:24:00"/>
    <s v="09:18"/>
    <s v="NC"/>
    <m/>
    <s v="201040731 JKunzler"/>
    <s v="20140801 JImrie"/>
    <s v="x"/>
    <s v="x"/>
    <s v="na"/>
    <s v="FWL"/>
    <s v="na"/>
    <s v="na"/>
    <s v="na"/>
    <s v="na"/>
    <s v="na"/>
    <s v="na"/>
    <s v="na"/>
    <s v="na"/>
  </r>
  <r>
    <n v="1507"/>
    <x v="49"/>
    <n v="1"/>
    <x v="12"/>
    <x v="0"/>
    <x v="0"/>
    <m/>
    <m/>
    <n v="42"/>
    <m/>
    <s v="M"/>
    <m/>
    <d v="1899-12-30T00:30:00"/>
    <s v="09:18"/>
    <s v="NC"/>
    <m/>
    <s v="201040731 JKunzler"/>
    <s v="20140801 JImrie"/>
    <s v="x"/>
    <s v="x"/>
    <s v="na"/>
    <s v="FWL"/>
    <s v="na"/>
    <s v="na"/>
    <s v="na"/>
    <s v="na"/>
    <s v="na"/>
    <s v="na"/>
    <s v="na"/>
    <s v="na"/>
  </r>
  <r>
    <n v="1508"/>
    <x v="49"/>
    <n v="1"/>
    <x v="12"/>
    <x v="0"/>
    <x v="0"/>
    <m/>
    <m/>
    <n v="48"/>
    <m/>
    <s v="M"/>
    <m/>
    <d v="1899-12-30T00:31:00"/>
    <s v="09:19"/>
    <s v="NC"/>
    <m/>
    <s v="201040731 JKunzler"/>
    <s v="20140801 JImrie"/>
    <s v="x"/>
    <s v="x"/>
    <s v="na"/>
    <s v="FWL"/>
    <s v="na"/>
    <s v="na"/>
    <s v="na"/>
    <s v="na"/>
    <s v="na"/>
    <s v="na"/>
    <s v="na"/>
    <s v="na"/>
  </r>
  <r>
    <n v="1509"/>
    <x v="49"/>
    <n v="1"/>
    <x v="10"/>
    <x v="0"/>
    <x v="11"/>
    <n v="69"/>
    <s v="57 CM"/>
    <n v="63"/>
    <m/>
    <s v="U"/>
    <m/>
    <d v="1899-12-30T00:54:00"/>
    <s v="09:24"/>
    <s v="NC"/>
    <m/>
    <s v="201040731 JKunzler"/>
    <s v="20140801 JImrie"/>
    <s v="x"/>
    <n v="151.53399999999999"/>
    <s v="na"/>
    <s v="FWL"/>
    <s v="na"/>
    <s v="na"/>
    <s v="F1840"/>
    <s v="na"/>
    <s v="na"/>
    <s v="na"/>
    <s v="na"/>
    <s v="na"/>
  </r>
  <r>
    <n v="1510"/>
    <x v="49"/>
    <n v="1"/>
    <x v="12"/>
    <x v="0"/>
    <x v="0"/>
    <m/>
    <m/>
    <n v="45"/>
    <m/>
    <s v="M"/>
    <m/>
    <d v="1899-12-30T00:24:00"/>
    <s v="09:25"/>
    <s v="NC"/>
    <m/>
    <s v="201040731 JKunzler"/>
    <s v="20140801 JImrie"/>
    <s v="x"/>
    <s v="x"/>
    <s v="na"/>
    <s v="FWL"/>
    <s v="na"/>
    <s v="na"/>
    <s v="na"/>
    <s v="na"/>
    <s v="na"/>
    <s v="na"/>
    <s v="na"/>
    <s v="na"/>
  </r>
  <r>
    <n v="1511"/>
    <x v="49"/>
    <n v="1"/>
    <x v="12"/>
    <x v="0"/>
    <x v="0"/>
    <m/>
    <m/>
    <n v="48"/>
    <m/>
    <s v="M"/>
    <m/>
    <d v="1899-12-30T00:20:00"/>
    <s v="09:26"/>
    <s v="NC"/>
    <m/>
    <s v="201040731 JKunzler"/>
    <s v="20140801 JImrie"/>
    <s v="x"/>
    <s v="x"/>
    <s v="na"/>
    <s v="FWL"/>
    <s v="na"/>
    <s v="na"/>
    <s v="na"/>
    <s v="na"/>
    <s v="na"/>
    <s v="na"/>
    <s v="na"/>
    <s v="na"/>
  </r>
  <r>
    <n v="1512"/>
    <x v="49"/>
    <n v="1"/>
    <x v="12"/>
    <x v="0"/>
    <x v="0"/>
    <m/>
    <m/>
    <n v="45"/>
    <m/>
    <s v="F"/>
    <m/>
    <d v="1899-12-30T00:22:00"/>
    <s v="09:27"/>
    <s v="NC"/>
    <m/>
    <s v="201040731 JKunzler"/>
    <s v="20140801 JImrie"/>
    <s v="x"/>
    <s v="x"/>
    <s v="na"/>
    <s v="FWL"/>
    <s v="na"/>
    <s v="na"/>
    <s v="na"/>
    <s v="na"/>
    <s v="na"/>
    <s v="na"/>
    <s v="na"/>
    <s v="na"/>
  </r>
  <r>
    <n v="1513"/>
    <x v="49"/>
    <n v="1"/>
    <x v="12"/>
    <x v="0"/>
    <x v="0"/>
    <m/>
    <m/>
    <n v="47"/>
    <m/>
    <s v="F"/>
    <m/>
    <d v="1899-12-30T00:23:00"/>
    <s v="09:28"/>
    <s v="NC"/>
    <s v="healed large vertical wounds/scars on side"/>
    <s v="201040731 JKunzler"/>
    <s v="20140801 JImrie"/>
    <s v="x"/>
    <s v="x"/>
    <s v="na"/>
    <s v="FWL"/>
    <s v="na"/>
    <s v="na"/>
    <s v="na"/>
    <s v="na"/>
    <s v="na"/>
    <s v="na"/>
    <s v="na"/>
    <s v="na"/>
  </r>
  <r>
    <n v="1514"/>
    <x v="49"/>
    <n v="1"/>
    <x v="13"/>
    <x v="0"/>
    <x v="14"/>
    <n v="9"/>
    <s v="7 CO"/>
    <n v="60"/>
    <m/>
    <s v="U"/>
    <m/>
    <d v="1899-12-30T01:10:00"/>
    <s v="09:37"/>
    <s v="NC"/>
    <s v="beautiful silver colors!  Lively photo taken"/>
    <s v="201040731 JKunzler"/>
    <s v="20140801 JImrie"/>
    <s v="x"/>
    <n v="151.32499999999999"/>
    <s v="na"/>
    <s v="FWL"/>
    <s v="na"/>
    <s v="na"/>
    <s v="F1840"/>
    <s v="na"/>
    <s v="na"/>
    <s v="na"/>
    <s v="na"/>
    <s v="na"/>
  </r>
  <r>
    <n v="1515"/>
    <x v="49"/>
    <n v="1"/>
    <x v="10"/>
    <x v="0"/>
    <x v="11"/>
    <n v="20"/>
    <s v="56 CM"/>
    <n v="62"/>
    <m/>
    <s v="U"/>
    <m/>
    <d v="1899-12-30T01:21:00"/>
    <s v="10:54"/>
    <s v="NC"/>
    <m/>
    <s v="201040731 JKunzler"/>
    <s v="20140801 JImrie"/>
    <s v="x"/>
    <n v="151.53399999999999"/>
    <s v="na"/>
    <s v="FWL"/>
    <s v="na"/>
    <s v="na"/>
    <s v="F1840"/>
    <s v="na"/>
    <s v="na"/>
    <s v="na"/>
    <s v="na"/>
    <s v="na"/>
  </r>
  <r>
    <n v="1516"/>
    <x v="49"/>
    <n v="1"/>
    <x v="10"/>
    <x v="0"/>
    <x v="0"/>
    <m/>
    <m/>
    <n v="56"/>
    <m/>
    <s v="U"/>
    <m/>
    <d v="1899-12-30T00:29:00"/>
    <s v="10:57"/>
    <s v="NC"/>
    <m/>
    <s v="201040731 JKunzler"/>
    <s v="20140801 JImrie"/>
    <s v="x"/>
    <s v="x"/>
    <s v="na"/>
    <s v="FWL"/>
    <s v="na"/>
    <s v="na"/>
    <s v="na"/>
    <s v="na"/>
    <s v="na"/>
    <s v="na"/>
    <s v="na"/>
    <s v="na"/>
  </r>
  <r>
    <n v="1517"/>
    <x v="49"/>
    <n v="1"/>
    <x v="1"/>
    <x v="0"/>
    <x v="3"/>
    <n v="84"/>
    <s v="637 K"/>
    <n v="55"/>
    <m/>
    <s v="F"/>
    <d v="1899-12-30T12:17:00"/>
    <d v="1899-12-30T01:23:00"/>
    <s v="12:26"/>
    <s v="HR"/>
    <s v="cut above dorsal right side; red belly slivery grey back. Calm not lively"/>
    <s v="20140731 CZiolkowski"/>
    <s v="20140801 JImrie"/>
    <d v="1899-12-30T00:07:37"/>
    <n v="151.917"/>
    <s v="na"/>
    <s v="FWL"/>
    <s v="na"/>
    <s v="na"/>
    <s v="F1835"/>
    <s v="na"/>
    <s v="na"/>
    <s v="na"/>
    <s v="na"/>
    <s v="na"/>
  </r>
  <r>
    <n v="1518"/>
    <x v="49"/>
    <n v="1"/>
    <x v="10"/>
    <x v="0"/>
    <x v="0"/>
    <m/>
    <m/>
    <n v="59"/>
    <m/>
    <s v="U"/>
    <d v="1899-12-30T12:45:00"/>
    <d v="1899-12-30T00:43:00"/>
    <s v="12:47"/>
    <s v="HR"/>
    <m/>
    <s v="20140731 CZiolkowski"/>
    <s v="20140801 JImrie"/>
    <d v="1899-12-30T00:01:17"/>
    <s v="x"/>
    <s v="na"/>
    <s v="FWL"/>
    <s v="na"/>
    <s v="na"/>
    <s v="na"/>
    <s v="na"/>
    <s v="na"/>
    <s v="na"/>
    <s v="na"/>
    <s v="na"/>
  </r>
  <r>
    <n v="1519"/>
    <x v="49"/>
    <n v="1"/>
    <x v="10"/>
    <x v="0"/>
    <x v="0"/>
    <m/>
    <m/>
    <n v="60"/>
    <m/>
    <s v="U"/>
    <m/>
    <d v="1899-12-30T00:39:00"/>
    <s v="15:55"/>
    <s v="JI"/>
    <m/>
    <s v="20140731 CZiolkowski"/>
    <s v="20140801 JImrie"/>
    <s v="x"/>
    <s v="x"/>
    <s v="na"/>
    <s v="FWL"/>
    <s v="na"/>
    <s v="na"/>
    <s v="na"/>
    <s v="na"/>
    <s v="na"/>
    <s v="na"/>
    <s v="na"/>
    <s v="na"/>
  </r>
  <r>
    <n v="1520"/>
    <x v="49"/>
    <n v="1"/>
    <x v="10"/>
    <x v="0"/>
    <x v="0"/>
    <m/>
    <m/>
    <n v="65"/>
    <m/>
    <s v="U"/>
    <m/>
    <d v="1899-12-30T00:30:00"/>
    <s v="15:56"/>
    <s v="JI"/>
    <m/>
    <s v="20140731 CZiolkowski"/>
    <s v="20140801 JImrie"/>
    <s v="x"/>
    <s v="x"/>
    <s v="na"/>
    <s v="FWL"/>
    <s v="na"/>
    <s v="na"/>
    <s v="na"/>
    <s v="na"/>
    <s v="na"/>
    <s v="na"/>
    <s v="na"/>
    <s v="na"/>
  </r>
  <r>
    <n v="1521"/>
    <x v="49"/>
    <n v="1"/>
    <x v="10"/>
    <x v="0"/>
    <x v="0"/>
    <m/>
    <m/>
    <n v="60"/>
    <m/>
    <s v="U"/>
    <m/>
    <d v="1899-12-30T00:14:00"/>
    <s v="15:57"/>
    <s v="JI"/>
    <m/>
    <s v="20140731 CZiolkowski"/>
    <s v="20140801 JImrie"/>
    <s v="x"/>
    <s v="x"/>
    <s v="na"/>
    <s v="FWL"/>
    <s v="na"/>
    <s v="na"/>
    <s v="na"/>
    <s v="na"/>
    <s v="na"/>
    <s v="na"/>
    <s v="na"/>
    <s v="na"/>
  </r>
  <r>
    <n v="1522"/>
    <x v="49"/>
    <n v="1"/>
    <x v="10"/>
    <x v="0"/>
    <x v="0"/>
    <m/>
    <m/>
    <n v="63"/>
    <m/>
    <s v="U"/>
    <m/>
    <d v="1899-12-30T00:20:00"/>
    <s v="16:00"/>
    <s v="CZ"/>
    <m/>
    <s v="20140731 CZiolkowski"/>
    <s v="20140801 JImrie"/>
    <s v="x"/>
    <s v="x"/>
    <s v="na"/>
    <s v="FWL"/>
    <s v="na"/>
    <s v="na"/>
    <s v="na"/>
    <s v="na"/>
    <s v="na"/>
    <s v="na"/>
    <s v="na"/>
    <s v="na"/>
  </r>
  <r>
    <n v="1523"/>
    <x v="49"/>
    <n v="1"/>
    <x v="13"/>
    <x v="0"/>
    <x v="14"/>
    <n v="83"/>
    <s v="9 CO"/>
    <n v="48"/>
    <m/>
    <s v="U"/>
    <m/>
    <d v="1899-12-30T01:01:00"/>
    <s v="18:51"/>
    <s v="LA"/>
    <m/>
    <s v="20140731 LAckein"/>
    <s v="20140801 JImrie"/>
    <s v="x"/>
    <n v="151.32499999999999"/>
    <s v="na"/>
    <s v="FWL"/>
    <s v="na"/>
    <s v="na"/>
    <s v="F1840"/>
    <s v="na"/>
    <s v="na"/>
    <s v="na"/>
    <s v="na"/>
    <s v="na"/>
  </r>
  <r>
    <n v="1524"/>
    <x v="49"/>
    <n v="1"/>
    <x v="10"/>
    <x v="0"/>
    <x v="0"/>
    <m/>
    <m/>
    <n v="62"/>
    <m/>
    <s v="U"/>
    <m/>
    <d v="1899-12-30T00:30:00"/>
    <s v="19:30"/>
    <s v="QB"/>
    <m/>
    <s v="20140731 LAckein"/>
    <s v="20140801 JImrie"/>
    <s v="x"/>
    <s v="x"/>
    <s v="na"/>
    <s v="FWL"/>
    <s v="na"/>
    <s v="na"/>
    <s v="na"/>
    <s v="na"/>
    <s v="na"/>
    <s v="na"/>
    <s v="na"/>
    <s v="na"/>
  </r>
  <r>
    <n v="1525"/>
    <x v="49"/>
    <n v="1"/>
    <x v="10"/>
    <x v="0"/>
    <x v="0"/>
    <m/>
    <m/>
    <n v="66"/>
    <m/>
    <s v="U"/>
    <m/>
    <d v="1899-12-30T00:32:00"/>
    <s v="19:32"/>
    <s v="QB"/>
    <m/>
    <s v="20140731 LAckein"/>
    <s v="20140801 JImrie"/>
    <s v="x"/>
    <s v="x"/>
    <s v="na"/>
    <s v="FWL"/>
    <s v="na"/>
    <s v="na"/>
    <s v="na"/>
    <s v="na"/>
    <s v="na"/>
    <s v="na"/>
    <s v="na"/>
    <s v="na"/>
  </r>
  <r>
    <n v="1526"/>
    <x v="49"/>
    <n v="2"/>
    <x v="12"/>
    <x v="0"/>
    <x v="0"/>
    <m/>
    <m/>
    <n v="46"/>
    <m/>
    <s v="M"/>
    <m/>
    <d v="1899-12-30T00:24:00"/>
    <s v="09:54"/>
    <s v="JK"/>
    <m/>
    <s v="20140731 NCollin"/>
    <s v="20140801 JImrie"/>
    <s v="x"/>
    <s v="x"/>
    <s v="na"/>
    <s v="FWL"/>
    <s v="na"/>
    <s v="na"/>
    <s v="na"/>
    <s v="na"/>
    <s v="na"/>
    <s v="na"/>
    <s v="na"/>
    <s v="na"/>
  </r>
  <r>
    <n v="1527"/>
    <x v="49"/>
    <n v="2"/>
    <x v="7"/>
    <x v="0"/>
    <x v="6"/>
    <n v="78"/>
    <s v="97 S"/>
    <n v="55"/>
    <m/>
    <s v="U"/>
    <m/>
    <d v="1899-12-30T01:34:00"/>
    <s v="10:00"/>
    <s v="JK"/>
    <s v="beauty"/>
    <s v="20140731 NCollin"/>
    <s v="20140801 JImrie"/>
    <s v="x"/>
    <n v="151.57300000000001"/>
    <s v="na"/>
    <s v="FWL"/>
    <s v="na"/>
    <s v="na"/>
    <s v="F1840"/>
    <s v="na"/>
    <s v="na"/>
    <s v="na"/>
    <s v="na"/>
    <s v="na"/>
  </r>
  <r>
    <n v="1528"/>
    <x v="49"/>
    <n v="2"/>
    <x v="7"/>
    <x v="0"/>
    <x v="6"/>
    <n v="27"/>
    <s v="98 S"/>
    <n v="61"/>
    <m/>
    <s v="U"/>
    <d v="1899-12-30T12:03:00"/>
    <d v="1899-12-30T01:32:00"/>
    <s v="12:07"/>
    <s v="JI"/>
    <m/>
    <s v="20140731 JImrie"/>
    <s v="20140801 JImrie"/>
    <d v="1899-12-30T00:02:28"/>
    <n v="151.57300000000001"/>
    <s v="na"/>
    <s v="FWL"/>
    <s v="na"/>
    <s v="na"/>
    <s v="F1840"/>
    <s v="na"/>
    <s v="na"/>
    <s v="na"/>
    <s v="na"/>
    <s v="na"/>
  </r>
  <r>
    <n v="1529"/>
    <x v="49"/>
    <n v="2"/>
    <x v="12"/>
    <x v="0"/>
    <x v="0"/>
    <m/>
    <m/>
    <n v="49"/>
    <m/>
    <s v="M"/>
    <d v="1899-12-30T12:07:00"/>
    <d v="1899-12-30T00:25:00"/>
    <s v="12:08"/>
    <s v="JI"/>
    <m/>
    <s v="20140731 JImrie"/>
    <s v="20140801 JImrie"/>
    <d v="1899-12-30T00:00:35"/>
    <s v="x"/>
    <s v="na"/>
    <s v="FWL"/>
    <s v="na"/>
    <s v="na"/>
    <s v="na"/>
    <s v="na"/>
    <s v="na"/>
    <s v="na"/>
    <s v="na"/>
    <s v="na"/>
  </r>
  <r>
    <n v="1530"/>
    <x v="49"/>
    <n v="2"/>
    <x v="7"/>
    <x v="0"/>
    <x v="10"/>
    <n v="62"/>
    <s v="99 S"/>
    <n v="52"/>
    <m/>
    <s v="U"/>
    <m/>
    <d v="1899-12-30T00:50:00"/>
    <s v="13:00"/>
    <s v="CZ"/>
    <m/>
    <s v="20140731 JImrie"/>
    <s v="20140801 JImrie"/>
    <s v="x"/>
    <n v="151.58600000000001"/>
    <s v="na"/>
    <s v="FWL"/>
    <s v="na"/>
    <s v="na"/>
    <s v="F1840"/>
    <s v="na"/>
    <s v="na"/>
    <s v="na"/>
    <s v="na"/>
    <s v="na"/>
  </r>
  <r>
    <n v="1531"/>
    <x v="49"/>
    <n v="2"/>
    <x v="7"/>
    <x v="0"/>
    <x v="10"/>
    <n v="21"/>
    <s v="100 S"/>
    <n v="46"/>
    <m/>
    <s v="U"/>
    <m/>
    <d v="1899-12-30T00:53:00"/>
    <s v="13:02"/>
    <s v="CZ"/>
    <m/>
    <s v="20140731 JImrie"/>
    <s v="20140801 JImrie"/>
    <s v="x"/>
    <n v="151.58600000000001"/>
    <s v="na"/>
    <s v="FWL"/>
    <s v="na"/>
    <s v="na"/>
    <s v="F1840"/>
    <s v="na"/>
    <s v="na"/>
    <s v="na"/>
    <s v="na"/>
    <s v="na"/>
  </r>
  <r>
    <n v="1532"/>
    <x v="49"/>
    <n v="2"/>
    <x v="12"/>
    <x v="0"/>
    <x v="0"/>
    <m/>
    <m/>
    <n v="46"/>
    <m/>
    <s v="F"/>
    <m/>
    <d v="1899-12-30T00:30:00"/>
    <s v="17:11"/>
    <s v="CZ"/>
    <m/>
    <s v="20140731 JImrie"/>
    <s v="20140801 JImrie"/>
    <s v="x"/>
    <s v="x"/>
    <s v="na"/>
    <s v="FWL"/>
    <s v="na"/>
    <s v="na"/>
    <s v="na"/>
    <s v="na"/>
    <s v="na"/>
    <s v="na"/>
    <s v="na"/>
    <s v="na"/>
  </r>
  <r>
    <n v="1533"/>
    <x v="49"/>
    <n v="2"/>
    <x v="10"/>
    <x v="0"/>
    <x v="0"/>
    <m/>
    <m/>
    <n v="60"/>
    <m/>
    <s v="U"/>
    <m/>
    <d v="1899-12-30T00:47:00"/>
    <s v="17:42"/>
    <s v="LA"/>
    <m/>
    <s v="20140731 LAckein"/>
    <s v="20140801 JImrie"/>
    <s v="x"/>
    <s v="x"/>
    <s v="na"/>
    <s v="FWL"/>
    <s v="na"/>
    <s v="na"/>
    <s v="na"/>
    <s v="na"/>
    <s v="na"/>
    <s v="na"/>
    <s v="na"/>
    <s v="na"/>
  </r>
  <r>
    <n v="1534"/>
    <x v="49"/>
    <n v="2"/>
    <x v="10"/>
    <x v="0"/>
    <x v="0"/>
    <m/>
    <m/>
    <n v="56"/>
    <m/>
    <s v="U"/>
    <d v="1899-12-30T17:43:00"/>
    <d v="1899-12-30T00:31:00"/>
    <s v="17:45"/>
    <s v="LA"/>
    <m/>
    <s v="20140731 LAckein"/>
    <s v="20140801 JImrie"/>
    <d v="1899-12-30T00:01:29"/>
    <s v="x"/>
    <s v="na"/>
    <s v="FWL"/>
    <s v="na"/>
    <s v="na"/>
    <s v="na"/>
    <s v="na"/>
    <s v="na"/>
    <s v="na"/>
    <s v="na"/>
    <s v="na"/>
  </r>
  <r>
    <n v="1535"/>
    <x v="49"/>
    <n v="2"/>
    <x v="10"/>
    <x v="0"/>
    <x v="0"/>
    <m/>
    <m/>
    <n v="60"/>
    <m/>
    <s v="U"/>
    <d v="1899-12-30T18:34:00"/>
    <d v="1899-12-30T00:27:00"/>
    <s v="18:37"/>
    <s v="LA"/>
    <m/>
    <s v="20140731 LAckein"/>
    <s v="20140801 JImrie"/>
    <d v="1899-12-30T00:02:33"/>
    <s v="x"/>
    <s v="na"/>
    <s v="FWL"/>
    <s v="na"/>
    <s v="na"/>
    <s v="na"/>
    <s v="na"/>
    <s v="na"/>
    <s v="na"/>
    <s v="na"/>
    <s v="na"/>
  </r>
  <r>
    <n v="1536"/>
    <x v="49"/>
    <n v="2"/>
    <x v="10"/>
    <x v="0"/>
    <x v="0"/>
    <m/>
    <m/>
    <n v="60"/>
    <m/>
    <s v="U"/>
    <d v="1899-12-30T19:41:00"/>
    <d v="1899-12-30T00:29:00"/>
    <s v="19:43"/>
    <s v="QB"/>
    <m/>
    <s v="20140731 LAckein"/>
    <s v="20140801 JImrie"/>
    <d v="1899-12-30T00:01:31"/>
    <s v="x"/>
    <s v="na"/>
    <s v="FWL"/>
    <s v="na"/>
    <s v="na"/>
    <s v="na"/>
    <s v="na"/>
    <s v="na"/>
    <s v="na"/>
    <s v="na"/>
    <s v="na"/>
  </r>
  <r>
    <n v="1537"/>
    <x v="49"/>
    <n v="3"/>
    <x v="12"/>
    <x v="0"/>
    <x v="13"/>
    <n v="85"/>
    <s v="68 P"/>
    <n v="45"/>
    <m/>
    <s v="M"/>
    <d v="1899-12-30T08:03:00"/>
    <d v="1899-12-30T01:11:00"/>
    <s v="08:13"/>
    <s v="QB"/>
    <m/>
    <s v="20140731 LAckein"/>
    <s v="20140801 JImrie"/>
    <d v="1899-12-30T00:08:49"/>
    <n v="151.51499999999999"/>
    <s v="na"/>
    <s v="FWL"/>
    <s v="na"/>
    <s v="na"/>
    <s v="F1835"/>
    <s v="na"/>
    <s v="na"/>
    <s v="na"/>
    <s v="na"/>
    <s v="na"/>
  </r>
  <r>
    <n v="1538"/>
    <x v="49"/>
    <n v="3"/>
    <x v="12"/>
    <x v="0"/>
    <x v="13"/>
    <n v="49"/>
    <s v="74 P"/>
    <n v="43"/>
    <m/>
    <s v="M"/>
    <m/>
    <d v="1899-12-30T00:58:00"/>
    <s v="08:17"/>
    <s v="LA"/>
    <m/>
    <s v="20140731 LAckein"/>
    <s v="20140801 JImrie"/>
    <s v="x"/>
    <n v="151.51499999999999"/>
    <s v="na"/>
    <s v="FWL"/>
    <s v="na"/>
    <s v="na"/>
    <s v="F1835"/>
    <s v="na"/>
    <s v="na"/>
    <s v="na"/>
    <s v="na"/>
    <s v="na"/>
  </r>
  <r>
    <n v="1539"/>
    <x v="49"/>
    <n v="3"/>
    <x v="12"/>
    <x v="0"/>
    <x v="13"/>
    <n v="35"/>
    <s v="79 P"/>
    <n v="50"/>
    <m/>
    <s v="M"/>
    <m/>
    <d v="1899-12-30T01:27:00"/>
    <s v="08:24"/>
    <s v="QB"/>
    <m/>
    <s v="20140731 LAckein"/>
    <s v="20140801 JImrie"/>
    <s v="x"/>
    <n v="151.51499999999999"/>
    <s v="na"/>
    <s v="FWL"/>
    <s v="na"/>
    <s v="na"/>
    <s v="F1835"/>
    <s v="na"/>
    <s v="na"/>
    <s v="na"/>
    <s v="na"/>
    <s v="na"/>
  </r>
  <r>
    <n v="1540"/>
    <x v="49"/>
    <n v="3"/>
    <x v="12"/>
    <x v="0"/>
    <x v="0"/>
    <m/>
    <m/>
    <n v="52"/>
    <m/>
    <s v="M"/>
    <m/>
    <d v="1899-12-30T00:40:00"/>
    <s v="08:44"/>
    <s v="QB"/>
    <m/>
    <s v="20140731 LAckein"/>
    <s v="20140801 JImrie"/>
    <s v="x"/>
    <s v="x"/>
    <s v="na"/>
    <s v="FWL"/>
    <s v="na"/>
    <s v="na"/>
    <s v="na"/>
    <s v="na"/>
    <s v="na"/>
    <s v="na"/>
    <s v="na"/>
    <s v="na"/>
  </r>
  <r>
    <n v="1541"/>
    <x v="49"/>
    <n v="3"/>
    <x v="12"/>
    <x v="0"/>
    <x v="0"/>
    <m/>
    <m/>
    <n v="49"/>
    <m/>
    <s v="M"/>
    <m/>
    <d v="1899-12-30T00:28:00"/>
    <s v="08:45"/>
    <s v="QB"/>
    <m/>
    <s v="20140731 LAckein"/>
    <s v="20140801 JImrie"/>
    <s v="x"/>
    <s v="x"/>
    <s v="na"/>
    <s v="FWL"/>
    <s v="na"/>
    <s v="na"/>
    <s v="na"/>
    <s v="na"/>
    <s v="na"/>
    <s v="na"/>
    <s v="na"/>
    <s v="na"/>
  </r>
  <r>
    <n v="1542"/>
    <x v="49"/>
    <n v="3"/>
    <x v="12"/>
    <x v="0"/>
    <x v="0"/>
    <m/>
    <m/>
    <n v="46"/>
    <m/>
    <s v="M"/>
    <m/>
    <d v="1899-12-30T00:30:00"/>
    <s v="08:46"/>
    <s v="QB"/>
    <m/>
    <s v="20140731 LAckein"/>
    <s v="20140801 JImrie"/>
    <s v="x"/>
    <s v="x"/>
    <s v="na"/>
    <s v="FWL"/>
    <s v="na"/>
    <s v="na"/>
    <s v="na"/>
    <s v="na"/>
    <s v="na"/>
    <s v="na"/>
    <s v="na"/>
    <s v="na"/>
  </r>
  <r>
    <n v="1543"/>
    <x v="49"/>
    <n v="3"/>
    <x v="12"/>
    <x v="0"/>
    <x v="0"/>
    <m/>
    <m/>
    <n v="49"/>
    <m/>
    <s v="M"/>
    <m/>
    <d v="1899-12-30T00:42:00"/>
    <s v="08:47"/>
    <s v="QB"/>
    <m/>
    <s v="20140731 LAckein"/>
    <s v="20140801 JImrie"/>
    <s v="x"/>
    <s v="x"/>
    <s v="na"/>
    <s v="FWL"/>
    <s v="na"/>
    <s v="na"/>
    <s v="na"/>
    <s v="na"/>
    <s v="na"/>
    <s v="na"/>
    <s v="na"/>
    <s v="na"/>
  </r>
  <r>
    <n v="1544"/>
    <x v="49"/>
    <n v="3"/>
    <x v="12"/>
    <x v="0"/>
    <x v="0"/>
    <m/>
    <m/>
    <n v="45"/>
    <m/>
    <s v="F"/>
    <m/>
    <d v="1899-12-30T00:26:00"/>
    <s v="08:51"/>
    <s v="QB"/>
    <m/>
    <s v="20140731 LAckein"/>
    <s v="20140801 JImrie"/>
    <s v="x"/>
    <s v="x"/>
    <s v="na"/>
    <s v="FWL"/>
    <s v="na"/>
    <s v="na"/>
    <s v="na"/>
    <s v="na"/>
    <s v="na"/>
    <s v="na"/>
    <s v="na"/>
    <s v="na"/>
  </r>
  <r>
    <n v="1545"/>
    <x v="49"/>
    <n v="3"/>
    <x v="12"/>
    <x v="0"/>
    <x v="0"/>
    <m/>
    <m/>
    <n v="44"/>
    <m/>
    <s v="F"/>
    <m/>
    <d v="1899-12-30T00:33:00"/>
    <s v="08:52"/>
    <s v="QB"/>
    <m/>
    <s v="20140731 LAckein"/>
    <s v="20140801 JImrie"/>
    <s v="x"/>
    <s v="x"/>
    <s v="na"/>
    <s v="FWL"/>
    <s v="na"/>
    <s v="na"/>
    <s v="na"/>
    <s v="na"/>
    <s v="na"/>
    <s v="na"/>
    <s v="na"/>
    <s v="na"/>
  </r>
  <r>
    <n v="1546"/>
    <x v="49"/>
    <n v="3"/>
    <x v="12"/>
    <x v="0"/>
    <x v="0"/>
    <m/>
    <m/>
    <n v="47"/>
    <m/>
    <s v="F"/>
    <m/>
    <d v="1899-12-30T00:27:00"/>
    <s v="08:56"/>
    <s v="LA"/>
    <m/>
    <s v="20140731 LAckein"/>
    <s v="20140801 JImrie"/>
    <s v="x"/>
    <s v="x"/>
    <s v="na"/>
    <s v="FWL"/>
    <s v="na"/>
    <s v="na"/>
    <s v="na"/>
    <s v="na"/>
    <s v="na"/>
    <s v="na"/>
    <s v="na"/>
    <s v="na"/>
  </r>
  <r>
    <n v="1547"/>
    <x v="49"/>
    <n v="3"/>
    <x v="12"/>
    <x v="0"/>
    <x v="0"/>
    <m/>
    <m/>
    <n v="44"/>
    <m/>
    <s v="F"/>
    <m/>
    <d v="1899-12-30T00:21:00"/>
    <s v="08:57"/>
    <s v="LA"/>
    <m/>
    <s v="20140731 LAckein"/>
    <s v="20140801 JImrie"/>
    <s v="x"/>
    <s v="x"/>
    <s v="na"/>
    <s v="FWL"/>
    <s v="na"/>
    <s v="na"/>
    <s v="na"/>
    <s v="na"/>
    <s v="na"/>
    <s v="na"/>
    <s v="na"/>
    <s v="na"/>
  </r>
  <r>
    <n v="1548"/>
    <x v="49"/>
    <n v="3"/>
    <x v="12"/>
    <x v="0"/>
    <x v="0"/>
    <m/>
    <m/>
    <n v="42"/>
    <m/>
    <s v="M"/>
    <m/>
    <d v="1899-12-30T00:26:00"/>
    <s v="09:00"/>
    <s v="LA"/>
    <m/>
    <s v="20140731 LAckein"/>
    <s v="20140801 JImrie"/>
    <s v="x"/>
    <s v="x"/>
    <s v="na"/>
    <s v="FWL"/>
    <s v="na"/>
    <s v="na"/>
    <s v="na"/>
    <s v="na"/>
    <s v="na"/>
    <s v="na"/>
    <s v="na"/>
    <s v="na"/>
  </r>
  <r>
    <n v="1549"/>
    <x v="49"/>
    <n v="3"/>
    <x v="12"/>
    <x v="0"/>
    <x v="0"/>
    <m/>
    <m/>
    <n v="47"/>
    <m/>
    <s v="F"/>
    <m/>
    <d v="1899-12-30T00:27:00"/>
    <s v="09:02"/>
    <s v="LA"/>
    <m/>
    <s v="20140731 LAckein"/>
    <s v="20140801 JImrie"/>
    <s v="x"/>
    <s v="x"/>
    <s v="na"/>
    <s v="FWL"/>
    <s v="na"/>
    <s v="na"/>
    <s v="na"/>
    <s v="na"/>
    <s v="na"/>
    <s v="na"/>
    <s v="na"/>
    <s v="na"/>
  </r>
  <r>
    <n v="1550"/>
    <x v="49"/>
    <n v="3"/>
    <x v="12"/>
    <x v="0"/>
    <x v="0"/>
    <m/>
    <m/>
    <n v="47"/>
    <m/>
    <s v="F"/>
    <m/>
    <d v="1899-12-30T00:24:00"/>
    <s v="09:03"/>
    <s v="LA"/>
    <m/>
    <s v="20140731 LAckein"/>
    <s v="20140801 JImrie"/>
    <s v="x"/>
    <s v="x"/>
    <s v="na"/>
    <s v="FWL"/>
    <s v="na"/>
    <s v="na"/>
    <s v="na"/>
    <s v="na"/>
    <s v="na"/>
    <s v="na"/>
    <s v="na"/>
    <s v="na"/>
  </r>
  <r>
    <n v="1551"/>
    <x v="49"/>
    <n v="3"/>
    <x v="12"/>
    <x v="0"/>
    <x v="0"/>
    <m/>
    <m/>
    <n v="44"/>
    <m/>
    <s v="F"/>
    <m/>
    <d v="1899-12-30T00:29:00"/>
    <s v="09:04"/>
    <s v="LA"/>
    <m/>
    <s v="20140731 LAckein"/>
    <s v="20140801 JImrie"/>
    <s v="x"/>
    <s v="x"/>
    <s v="na"/>
    <s v="FWL"/>
    <s v="na"/>
    <s v="na"/>
    <s v="na"/>
    <s v="na"/>
    <s v="na"/>
    <s v="na"/>
    <s v="na"/>
    <s v="na"/>
  </r>
  <r>
    <n v="1552"/>
    <x v="49"/>
    <n v="3"/>
    <x v="10"/>
    <x v="0"/>
    <x v="11"/>
    <n v="22"/>
    <s v="37 CM"/>
    <n v="63"/>
    <m/>
    <s v="F"/>
    <m/>
    <d v="1899-12-30T00:59:00"/>
    <s v="09:07"/>
    <s v="QB"/>
    <m/>
    <s v="20140731 LAckein"/>
    <s v="20140801 JImrie"/>
    <s v="x"/>
    <n v="151.53399999999999"/>
    <s v="na"/>
    <s v="FWL"/>
    <s v="na"/>
    <s v="na"/>
    <s v="F1840"/>
    <s v="na"/>
    <s v="na"/>
    <s v="na"/>
    <s v="na"/>
    <s v="na"/>
  </r>
  <r>
    <n v="1553"/>
    <x v="49"/>
    <n v="3"/>
    <x v="1"/>
    <x v="0"/>
    <x v="3"/>
    <n v="1"/>
    <s v="610 K"/>
    <n v="51"/>
    <m/>
    <s v="U"/>
    <d v="1899-12-30T10:29:00"/>
    <d v="1899-12-30T01:13:00"/>
    <s v="10:32"/>
    <s v="LA"/>
    <s v="pretty dark, very lively"/>
    <s v="20140731 LAckein"/>
    <s v="20140801 JImrie"/>
    <d v="1899-12-30T00:01:47"/>
    <n v="151.917"/>
    <s v="na"/>
    <s v="FWL"/>
    <s v="na"/>
    <s v="na"/>
    <s v="F1835"/>
    <s v="na"/>
    <s v="na"/>
    <s v="na"/>
    <s v="na"/>
    <s v="na"/>
  </r>
  <r>
    <n v="1554"/>
    <x v="49"/>
    <n v="3"/>
    <x v="10"/>
    <x v="0"/>
    <x v="0"/>
    <m/>
    <m/>
    <n v="57"/>
    <m/>
    <s v="U"/>
    <m/>
    <d v="1899-12-30T00:35:00"/>
    <s v="12:15"/>
    <s v="QB"/>
    <m/>
    <s v="20140731 LAckein"/>
    <s v="20140801 JImrie"/>
    <s v="x"/>
    <s v="x"/>
    <s v="na"/>
    <s v="FWL"/>
    <s v="na"/>
    <s v="na"/>
    <s v="na"/>
    <s v="na"/>
    <s v="na"/>
    <s v="na"/>
    <s v="na"/>
    <s v="na"/>
  </r>
  <r>
    <n v="1555"/>
    <x v="49"/>
    <n v="3"/>
    <x v="10"/>
    <x v="0"/>
    <x v="0"/>
    <m/>
    <m/>
    <n v="62"/>
    <m/>
    <s v="F"/>
    <m/>
    <d v="1899-12-30T00:32:00"/>
    <s v="12:19"/>
    <s v="LA"/>
    <m/>
    <s v="20140731 LAckein"/>
    <s v="20140801 JImrie"/>
    <s v="x"/>
    <s v="x"/>
    <s v="na"/>
    <s v="FWL"/>
    <s v="na"/>
    <s v="na"/>
    <s v="na"/>
    <s v="na"/>
    <s v="na"/>
    <s v="na"/>
    <s v="na"/>
    <s v="na"/>
  </r>
  <r>
    <n v="1556"/>
    <x v="49"/>
    <n v="3"/>
    <x v="10"/>
    <x v="0"/>
    <x v="0"/>
    <m/>
    <m/>
    <n v="61"/>
    <m/>
    <s v="U"/>
    <d v="1899-12-30T12:28:00"/>
    <d v="1899-12-30T00:28:00"/>
    <s v="12:39"/>
    <s v="QB"/>
    <m/>
    <s v="20140731 LAckein"/>
    <s v="20140801 JImrie"/>
    <d v="1899-12-30T00:10:32"/>
    <s v="x"/>
    <s v="na"/>
    <s v="FWL"/>
    <s v="na"/>
    <s v="na"/>
    <s v="na"/>
    <s v="na"/>
    <s v="na"/>
    <s v="na"/>
    <s v="na"/>
    <s v="na"/>
  </r>
  <r>
    <n v="1557"/>
    <x v="49"/>
    <n v="3"/>
    <x v="1"/>
    <x v="0"/>
    <x v="3"/>
    <n v="42"/>
    <s v="611 K"/>
    <n v="63"/>
    <m/>
    <s v="U"/>
    <d v="1899-12-30T12:35:00"/>
    <d v="1899-12-30T01:04:00"/>
    <s v="12:43"/>
    <s v="QB"/>
    <s v="dark grey dorsally, bright pink/red sides, a bit scruffy but lively"/>
    <s v="20140731 LAckein"/>
    <s v="20140801 JImrie"/>
    <d v="1899-12-30T00:06:56"/>
    <n v="151.917"/>
    <s v="na"/>
    <s v="FWL"/>
    <s v="na"/>
    <s v="na"/>
    <s v="F1835"/>
    <s v="na"/>
    <s v="na"/>
    <s v="na"/>
    <s v="na"/>
    <s v="na"/>
  </r>
  <r>
    <n v="1558"/>
    <x v="49"/>
    <n v="3"/>
    <x v="7"/>
    <x v="0"/>
    <x v="0"/>
    <m/>
    <m/>
    <n v="57"/>
    <m/>
    <s v="U"/>
    <d v="1899-12-30T12:41:00"/>
    <d v="1899-12-30T00:45:00"/>
    <s v="12:45"/>
    <s v="QB"/>
    <s v="sockeye; deep unhealed gashes, likey infected: no tag"/>
    <s v="20140731 LAckein"/>
    <s v="20140801 JImrie"/>
    <d v="1899-12-30T00:03:15"/>
    <s v="x"/>
    <s v="na"/>
    <s v="FWL"/>
    <s v="na"/>
    <s v="na"/>
    <s v="na"/>
    <s v="na"/>
    <s v="na"/>
    <s v="na"/>
    <s v="na"/>
    <s v="na"/>
  </r>
  <r>
    <n v="1559"/>
    <x v="49"/>
    <n v="3"/>
    <x v="7"/>
    <x v="0"/>
    <x v="10"/>
    <n v="22"/>
    <s v="83 S"/>
    <n v="47"/>
    <m/>
    <s v="U"/>
    <m/>
    <d v="1899-12-30T01:10:00"/>
    <s v="13:25"/>
    <s v="QB"/>
    <s v="healthy, not very bright; lively but missing moderate number of scales"/>
    <s v="20140731 LAckein"/>
    <s v="20140801 JImrie"/>
    <s v="x"/>
    <n v="151.58600000000001"/>
    <s v="na"/>
    <s v="FWL"/>
    <s v="na"/>
    <s v="na"/>
    <s v="F1840"/>
    <s v="na"/>
    <s v="na"/>
    <s v="na"/>
    <s v="na"/>
    <s v="na"/>
  </r>
  <r>
    <n v="1560"/>
    <x v="49"/>
    <n v="3"/>
    <x v="7"/>
    <x v="0"/>
    <x v="6"/>
    <n v="51"/>
    <s v="84 S"/>
    <n v="42"/>
    <m/>
    <s v="U"/>
    <m/>
    <d v="1899-12-30T00:58:00"/>
    <s v="13:32"/>
    <s v="LA"/>
    <m/>
    <s v="20140731 LAckein"/>
    <s v="20140801 JImrie"/>
    <s v="x"/>
    <n v="151.57300000000001"/>
    <s v="na"/>
    <s v="FWL"/>
    <s v="na"/>
    <s v="na"/>
    <s v="F1840"/>
    <s v="na"/>
    <s v="na"/>
    <s v="na"/>
    <s v="na"/>
    <s v="na"/>
  </r>
  <r>
    <n v="1561"/>
    <x v="49"/>
    <n v="3"/>
    <x v="10"/>
    <x v="0"/>
    <x v="0"/>
    <m/>
    <m/>
    <n v="60"/>
    <m/>
    <s v="U"/>
    <m/>
    <d v="1899-12-30T00:20:00"/>
    <s v="13:36"/>
    <s v="LA"/>
    <m/>
    <s v="20140731 LAckein"/>
    <s v="20140801 JImrie"/>
    <s v="x"/>
    <s v="x"/>
    <s v="na"/>
    <s v="FWL"/>
    <s v="na"/>
    <s v="na"/>
    <s v="na"/>
    <s v="na"/>
    <s v="na"/>
    <s v="na"/>
    <s v="na"/>
    <s v="na"/>
  </r>
  <r>
    <n v="1562"/>
    <x v="49"/>
    <n v="3"/>
    <x v="10"/>
    <x v="0"/>
    <x v="0"/>
    <m/>
    <m/>
    <n v="58"/>
    <m/>
    <s v="U"/>
    <m/>
    <d v="1899-12-30T00:29:00"/>
    <s v="14:47"/>
    <s v="JK"/>
    <m/>
    <s v="20140731 NCollin"/>
    <s v="20140801 JImrie"/>
    <s v="x"/>
    <s v="x"/>
    <s v="na"/>
    <s v="FWL"/>
    <s v="na"/>
    <s v="na"/>
    <s v="na"/>
    <s v="na"/>
    <s v="na"/>
    <s v="na"/>
    <s v="na"/>
    <s v="na"/>
  </r>
  <r>
    <n v="1563"/>
    <x v="49"/>
    <n v="3"/>
    <x v="10"/>
    <x v="0"/>
    <x v="0"/>
    <m/>
    <m/>
    <n v="58"/>
    <m/>
    <s v="U"/>
    <m/>
    <d v="1899-12-30T00:33:00"/>
    <s v="14:52"/>
    <s v="JK"/>
    <m/>
    <s v="20140731 NCollin"/>
    <s v="20140801 JImrie"/>
    <s v="x"/>
    <s v="x"/>
    <s v="na"/>
    <s v="FWL"/>
    <s v="na"/>
    <s v="na"/>
    <s v="na"/>
    <s v="na"/>
    <s v="na"/>
    <s v="na"/>
    <s v="na"/>
    <s v="na"/>
  </r>
  <r>
    <n v="1564"/>
    <x v="49"/>
    <n v="3"/>
    <x v="10"/>
    <x v="0"/>
    <x v="0"/>
    <m/>
    <m/>
    <n v="68"/>
    <m/>
    <s v="U"/>
    <m/>
    <d v="1899-12-30T00:25:00"/>
    <s v="15:44"/>
    <s v="NC"/>
    <m/>
    <s v="20140731 NCollin"/>
    <s v="20140801 JImrie"/>
    <s v="x"/>
    <s v="x"/>
    <s v="na"/>
    <s v="FWL"/>
    <s v="na"/>
    <s v="na"/>
    <s v="na"/>
    <s v="na"/>
    <s v="na"/>
    <s v="na"/>
    <s v="na"/>
    <s v="na"/>
  </r>
  <r>
    <n v="1565"/>
    <x v="49"/>
    <n v="3"/>
    <x v="10"/>
    <x v="0"/>
    <x v="0"/>
    <m/>
    <m/>
    <n v="58"/>
    <m/>
    <s v="U"/>
    <m/>
    <d v="1899-12-30T00:24:00"/>
    <s v="15:47"/>
    <s v="NC"/>
    <m/>
    <s v="20140731 NCollin"/>
    <s v="20140801 JImrie"/>
    <s v="x"/>
    <s v="x"/>
    <s v="na"/>
    <s v="FWL"/>
    <s v="na"/>
    <s v="na"/>
    <s v="na"/>
    <s v="na"/>
    <s v="na"/>
    <s v="na"/>
    <s v="na"/>
    <s v="na"/>
  </r>
  <r>
    <n v="1566"/>
    <x v="49"/>
    <n v="3"/>
    <x v="10"/>
    <x v="0"/>
    <x v="0"/>
    <m/>
    <m/>
    <n v="59"/>
    <m/>
    <s v="U"/>
    <m/>
    <d v="1899-12-30T00:28:00"/>
    <s v="15:50"/>
    <s v="NC"/>
    <m/>
    <s v="20140731 NCollin"/>
    <s v="20140801 JImrie"/>
    <s v="x"/>
    <s v="x"/>
    <s v="na"/>
    <s v="FWL"/>
    <s v="na"/>
    <s v="na"/>
    <s v="na"/>
    <s v="na"/>
    <s v="na"/>
    <s v="na"/>
    <s v="na"/>
    <s v="na"/>
  </r>
  <r>
    <n v="1567"/>
    <x v="49"/>
    <n v="3"/>
    <x v="10"/>
    <x v="0"/>
    <x v="0"/>
    <m/>
    <m/>
    <n v="58"/>
    <m/>
    <s v="U"/>
    <m/>
    <d v="1899-12-30T00:30:00"/>
    <s v="15:52"/>
    <s v="NC"/>
    <m/>
    <s v="20140731 NCollin"/>
    <s v="20140801 JImrie"/>
    <s v="x"/>
    <s v="x"/>
    <s v="na"/>
    <s v="FWL"/>
    <s v="na"/>
    <s v="na"/>
    <s v="na"/>
    <s v="na"/>
    <s v="na"/>
    <s v="na"/>
    <s v="na"/>
    <s v="na"/>
  </r>
  <r>
    <n v="1568"/>
    <x v="49"/>
    <n v="3"/>
    <x v="10"/>
    <x v="0"/>
    <x v="0"/>
    <m/>
    <m/>
    <n v="61"/>
    <m/>
    <s v="U"/>
    <m/>
    <d v="1899-12-30T00:24:00"/>
    <s v="18:33"/>
    <s v="NC"/>
    <m/>
    <s v="20140731 NCollin"/>
    <s v="20140801 JImrie"/>
    <s v="x"/>
    <s v="x"/>
    <s v="na"/>
    <s v="FWL"/>
    <s v="na"/>
    <s v="na"/>
    <s v="na"/>
    <s v="na"/>
    <s v="na"/>
    <s v="na"/>
    <s v="na"/>
    <s v="na"/>
  </r>
  <r>
    <n v="1569"/>
    <x v="49"/>
    <n v="3"/>
    <x v="10"/>
    <x v="0"/>
    <x v="0"/>
    <m/>
    <m/>
    <n v="62"/>
    <m/>
    <s v="U"/>
    <m/>
    <d v="1899-12-30T00:30:00"/>
    <s v="18:36"/>
    <s v="NC"/>
    <m/>
    <s v="20140731 NCollin"/>
    <s v="20140801 JImrie"/>
    <s v="x"/>
    <s v="x"/>
    <s v="na"/>
    <s v="FWL"/>
    <s v="na"/>
    <s v="na"/>
    <s v="na"/>
    <s v="na"/>
    <s v="na"/>
    <s v="na"/>
    <s v="na"/>
    <s v="na"/>
  </r>
  <r>
    <n v="1570"/>
    <x v="50"/>
    <n v="1"/>
    <x v="12"/>
    <x v="0"/>
    <x v="12"/>
    <n v="16"/>
    <s v="84 P"/>
    <n v="43"/>
    <m/>
    <s v="F"/>
    <m/>
    <d v="1899-12-30T01:20:00"/>
    <s v="9:06"/>
    <s v="NC"/>
    <m/>
    <s v="20140801 CZiolkowski"/>
    <s v="20140802 AStephens"/>
    <s v="x"/>
    <n v="151.596"/>
    <s v="na"/>
    <s v="FWL"/>
    <s v="na"/>
    <s v="na"/>
    <s v="F1835"/>
    <s v="na"/>
    <s v="na"/>
    <s v="na"/>
    <s v="na"/>
    <s v="na"/>
  </r>
  <r>
    <n v="1571"/>
    <x v="50"/>
    <n v="1"/>
    <x v="10"/>
    <x v="0"/>
    <x v="7"/>
    <n v="2"/>
    <s v="53 CM"/>
    <n v="63"/>
    <m/>
    <s v="U"/>
    <m/>
    <d v="1899-12-30T01:32:00"/>
    <s v="9:09"/>
    <s v="NC"/>
    <m/>
    <s v="20140801 CZiolkowski"/>
    <s v="20140802 AStephens"/>
    <s v="x"/>
    <n v="151.56399999999999"/>
    <s v="na"/>
    <s v="FWL"/>
    <s v="na"/>
    <s v="na"/>
    <s v="F1840"/>
    <s v="na"/>
    <s v="na"/>
    <s v="na"/>
    <s v="na"/>
    <s v="na"/>
  </r>
  <r>
    <n v="1572"/>
    <x v="50"/>
    <n v="1"/>
    <x v="12"/>
    <x v="0"/>
    <x v="12"/>
    <n v="90"/>
    <s v="85 P"/>
    <n v="54"/>
    <m/>
    <s v="M"/>
    <m/>
    <d v="1899-12-30T01:19:00"/>
    <s v="9:13"/>
    <s v="NC"/>
    <m/>
    <s v="20140801 CZiolkowski"/>
    <s v="20140802 AStephens"/>
    <s v="x"/>
    <n v="151.596"/>
    <s v="na"/>
    <s v="FWL"/>
    <s v="na"/>
    <s v="na"/>
    <s v="F1835"/>
    <s v="na"/>
    <s v="na"/>
    <s v="na"/>
    <s v="na"/>
    <s v="na"/>
  </r>
  <r>
    <n v="1573"/>
    <x v="50"/>
    <n v="1"/>
    <x v="10"/>
    <x v="0"/>
    <x v="0"/>
    <m/>
    <m/>
    <n v="64"/>
    <m/>
    <s v="U"/>
    <m/>
    <d v="1899-12-30T00:26:00"/>
    <s v="9:13"/>
    <s v="NC"/>
    <m/>
    <s v="20140801 CZiolkowski"/>
    <s v="20140802 AStephens"/>
    <s v="x"/>
    <s v="x"/>
    <s v="na"/>
    <s v="FWL"/>
    <s v="na"/>
    <s v="na"/>
    <s v="na"/>
    <s v="na"/>
    <s v="na"/>
    <s v="na"/>
    <s v="na"/>
    <s v="na"/>
  </r>
  <r>
    <n v="1574"/>
    <x v="50"/>
    <n v="1"/>
    <x v="12"/>
    <x v="0"/>
    <x v="0"/>
    <m/>
    <m/>
    <n v="49"/>
    <m/>
    <s v="F"/>
    <m/>
    <d v="1899-12-30T00:34:00"/>
    <s v="9:18"/>
    <s v="NC"/>
    <m/>
    <s v="20140801 CZiolkowski"/>
    <s v="20140802 AStephens"/>
    <s v="x"/>
    <s v="x"/>
    <s v="na"/>
    <s v="FWL"/>
    <s v="na"/>
    <s v="na"/>
    <s v="na"/>
    <s v="na"/>
    <s v="na"/>
    <s v="na"/>
    <s v="na"/>
    <s v="na"/>
  </r>
  <r>
    <n v="1575"/>
    <x v="50"/>
    <n v="1"/>
    <x v="10"/>
    <x v="0"/>
    <x v="0"/>
    <m/>
    <m/>
    <n v="61"/>
    <m/>
    <s v="U"/>
    <m/>
    <d v="1899-12-30T00:25:00"/>
    <s v="9:20"/>
    <s v="NC"/>
    <m/>
    <s v="20140801 CZiolkowski"/>
    <s v="20140802 AStephens"/>
    <s v="x"/>
    <s v="x"/>
    <s v="na"/>
    <s v="FWL"/>
    <s v="na"/>
    <s v="na"/>
    <s v="na"/>
    <s v="na"/>
    <s v="na"/>
    <s v="na"/>
    <s v="na"/>
    <s v="na"/>
  </r>
  <r>
    <n v="1576"/>
    <x v="50"/>
    <n v="1"/>
    <x v="10"/>
    <x v="0"/>
    <x v="0"/>
    <m/>
    <m/>
    <n v="57"/>
    <m/>
    <s v="U"/>
    <m/>
    <d v="1899-12-30T00:24:00"/>
    <s v="9:21"/>
    <s v="NC"/>
    <m/>
    <s v="20140801 CZiolkowski"/>
    <s v="20140802 AStephens"/>
    <s v="x"/>
    <s v="x"/>
    <s v="na"/>
    <s v="FWL"/>
    <s v="na"/>
    <s v="na"/>
    <s v="na"/>
    <s v="na"/>
    <s v="na"/>
    <s v="na"/>
    <s v="na"/>
    <s v="na"/>
  </r>
  <r>
    <n v="1577"/>
    <x v="50"/>
    <n v="1"/>
    <x v="12"/>
    <x v="0"/>
    <x v="0"/>
    <m/>
    <m/>
    <n v="45"/>
    <m/>
    <s v="M"/>
    <m/>
    <d v="1899-12-30T00:22:00"/>
    <s v="9:22"/>
    <s v="NC"/>
    <m/>
    <s v="20140801 CZiolkowski"/>
    <s v="20140802 AStephens"/>
    <s v="x"/>
    <s v="x"/>
    <s v="na"/>
    <s v="FWL"/>
    <s v="na"/>
    <s v="na"/>
    <s v="na"/>
    <s v="na"/>
    <s v="na"/>
    <s v="na"/>
    <s v="na"/>
    <s v="na"/>
  </r>
  <r>
    <n v="1578"/>
    <x v="50"/>
    <n v="1"/>
    <x v="12"/>
    <x v="0"/>
    <x v="0"/>
    <m/>
    <m/>
    <n v="46"/>
    <m/>
    <s v="M"/>
    <m/>
    <d v="1899-12-30T00:22:00"/>
    <s v="9:23"/>
    <s v="NC"/>
    <m/>
    <s v="20140801 CZiolkowski"/>
    <s v="20140802 AStephens"/>
    <s v="x"/>
    <s v="x"/>
    <s v="na"/>
    <s v="FWL"/>
    <s v="na"/>
    <s v="na"/>
    <s v="na"/>
    <s v="na"/>
    <s v="na"/>
    <s v="na"/>
    <s v="na"/>
    <s v="na"/>
  </r>
  <r>
    <n v="1579"/>
    <x v="50"/>
    <n v="1"/>
    <x v="12"/>
    <x v="0"/>
    <x v="0"/>
    <m/>
    <m/>
    <n v="47"/>
    <m/>
    <s v="F"/>
    <m/>
    <d v="1899-12-30T00:44:00"/>
    <s v="9:25"/>
    <s v="NC"/>
    <m/>
    <s v="20140801 CZiolkowski"/>
    <s v="20140802 AStephens"/>
    <s v="x"/>
    <s v="x"/>
    <s v="na"/>
    <s v="FWL"/>
    <s v="na"/>
    <s v="na"/>
    <s v="na"/>
    <s v="na"/>
    <s v="na"/>
    <s v="na"/>
    <s v="na"/>
    <s v="na"/>
  </r>
  <r>
    <n v="1580"/>
    <x v="50"/>
    <n v="1"/>
    <x v="12"/>
    <x v="0"/>
    <x v="0"/>
    <m/>
    <m/>
    <n v="46"/>
    <m/>
    <s v="F"/>
    <m/>
    <d v="1899-12-30T00:20:00"/>
    <s v="9:26"/>
    <s v="NC"/>
    <m/>
    <s v="20140801 CZiolkowski"/>
    <s v="20140802 AStephens"/>
    <s v="x"/>
    <s v="x"/>
    <s v="na"/>
    <s v="FWL"/>
    <s v="na"/>
    <s v="na"/>
    <s v="na"/>
    <s v="na"/>
    <s v="na"/>
    <s v="na"/>
    <s v="na"/>
    <s v="na"/>
  </r>
  <r>
    <n v="1581"/>
    <x v="50"/>
    <n v="1"/>
    <x v="12"/>
    <x v="0"/>
    <x v="0"/>
    <m/>
    <m/>
    <n v="45"/>
    <m/>
    <s v="F"/>
    <m/>
    <d v="1899-12-30T00:32:00"/>
    <s v="9:27"/>
    <s v="NC"/>
    <m/>
    <s v="20140801 CZiolkowski"/>
    <s v="20140802 AStephens"/>
    <s v="x"/>
    <s v="x"/>
    <s v="na"/>
    <s v="FWL"/>
    <s v="na"/>
    <s v="na"/>
    <s v="na"/>
    <s v="na"/>
    <s v="na"/>
    <s v="na"/>
    <s v="na"/>
    <s v="na"/>
  </r>
  <r>
    <n v="1582"/>
    <x v="50"/>
    <n v="1"/>
    <x v="12"/>
    <x v="0"/>
    <x v="0"/>
    <m/>
    <m/>
    <n v="49"/>
    <m/>
    <s v="M"/>
    <m/>
    <d v="1899-12-30T00:26:00"/>
    <s v="9:28"/>
    <s v="NC"/>
    <m/>
    <s v="20140801 CZiolkowski"/>
    <s v="20140802 AStephens"/>
    <s v="x"/>
    <s v="x"/>
    <s v="na"/>
    <s v="FWL"/>
    <s v="na"/>
    <s v="na"/>
    <s v="na"/>
    <s v="na"/>
    <s v="na"/>
    <s v="na"/>
    <s v="na"/>
    <s v="na"/>
  </r>
  <r>
    <n v="1583"/>
    <x v="50"/>
    <n v="1"/>
    <x v="12"/>
    <x v="0"/>
    <x v="0"/>
    <m/>
    <m/>
    <n v="47"/>
    <m/>
    <s v="F"/>
    <m/>
    <d v="1899-12-30T00:18:00"/>
    <s v="9:29"/>
    <s v="NC"/>
    <m/>
    <s v="20140801 CZiolkowski"/>
    <s v="20140802 AStephens"/>
    <s v="x"/>
    <s v="x"/>
    <s v="na"/>
    <s v="FWL"/>
    <s v="na"/>
    <s v="na"/>
    <s v="na"/>
    <s v="na"/>
    <s v="na"/>
    <s v="na"/>
    <s v="na"/>
    <s v="na"/>
  </r>
  <r>
    <n v="1584"/>
    <x v="50"/>
    <n v="1"/>
    <x v="12"/>
    <x v="0"/>
    <x v="0"/>
    <m/>
    <m/>
    <n v="47"/>
    <m/>
    <s v="M"/>
    <m/>
    <d v="1899-12-30T00:45:00"/>
    <s v="9:30"/>
    <s v="NC"/>
    <m/>
    <s v="20140801 CZiolkowski"/>
    <s v="20140802 AStephens"/>
    <s v="x"/>
    <s v="x"/>
    <s v="na"/>
    <s v="FWL"/>
    <s v="na"/>
    <s v="na"/>
    <s v="na"/>
    <s v="na"/>
    <s v="na"/>
    <s v="na"/>
    <s v="na"/>
    <s v="na"/>
  </r>
  <r>
    <n v="1585"/>
    <x v="50"/>
    <n v="1"/>
    <x v="12"/>
    <x v="0"/>
    <x v="0"/>
    <m/>
    <m/>
    <n v="53"/>
    <m/>
    <s v="M"/>
    <m/>
    <d v="1899-12-30T00:27:00"/>
    <s v="9:31"/>
    <s v="NC"/>
    <m/>
    <s v="20140801 CZiolkowski"/>
    <s v="20140802 AStephens"/>
    <s v="x"/>
    <s v="x"/>
    <s v="na"/>
    <s v="FWL"/>
    <s v="na"/>
    <s v="na"/>
    <s v="na"/>
    <s v="na"/>
    <s v="na"/>
    <s v="na"/>
    <s v="na"/>
    <s v="na"/>
  </r>
  <r>
    <n v="1586"/>
    <x v="50"/>
    <n v="1"/>
    <x v="12"/>
    <x v="0"/>
    <x v="0"/>
    <m/>
    <m/>
    <n v="45"/>
    <m/>
    <s v="M"/>
    <m/>
    <d v="1899-12-30T00:38:00"/>
    <s v="9:33"/>
    <s v="NC"/>
    <m/>
    <s v="20140801 CZiolkowski"/>
    <s v="20140802 AStephens"/>
    <s v="x"/>
    <s v="x"/>
    <s v="na"/>
    <s v="FWL"/>
    <s v="na"/>
    <s v="na"/>
    <s v="na"/>
    <s v="na"/>
    <s v="na"/>
    <s v="na"/>
    <s v="na"/>
    <s v="na"/>
  </r>
  <r>
    <n v="1587"/>
    <x v="50"/>
    <n v="1"/>
    <x v="12"/>
    <x v="0"/>
    <x v="0"/>
    <m/>
    <m/>
    <n v="47"/>
    <m/>
    <s v="M"/>
    <m/>
    <d v="1899-12-30T00:24:00"/>
    <s v="9:34"/>
    <s v="NC"/>
    <m/>
    <s v="20140801 CZiolkowski"/>
    <s v="20140802 AStephens"/>
    <s v="x"/>
    <s v="x"/>
    <s v="na"/>
    <s v="FWL"/>
    <s v="na"/>
    <s v="na"/>
    <s v="na"/>
    <s v="na"/>
    <s v="na"/>
    <s v="na"/>
    <s v="na"/>
    <s v="na"/>
  </r>
  <r>
    <n v="1588"/>
    <x v="50"/>
    <n v="1"/>
    <x v="12"/>
    <x v="0"/>
    <x v="0"/>
    <m/>
    <m/>
    <n v="51"/>
    <m/>
    <s v="M"/>
    <m/>
    <d v="1899-12-30T00:35:00"/>
    <s v="9:37"/>
    <s v="NC"/>
    <m/>
    <s v="20140801 CZiolkowski"/>
    <s v="20140802 AStephens"/>
    <s v="x"/>
    <s v="x"/>
    <s v="na"/>
    <s v="FWL"/>
    <s v="na"/>
    <s v="na"/>
    <s v="na"/>
    <s v="na"/>
    <s v="na"/>
    <s v="na"/>
    <s v="na"/>
    <s v="na"/>
  </r>
  <r>
    <n v="1589"/>
    <x v="50"/>
    <n v="1"/>
    <x v="10"/>
    <x v="0"/>
    <x v="0"/>
    <m/>
    <m/>
    <n v="60"/>
    <m/>
    <s v="U"/>
    <m/>
    <d v="1899-12-30T01:02:00"/>
    <s v="10:49"/>
    <s v="NC"/>
    <m/>
    <s v="20140801 CZiolkowski"/>
    <s v="20140802 AStephens"/>
    <s v="x"/>
    <s v="x"/>
    <s v="na"/>
    <s v="FWL"/>
    <s v="na"/>
    <s v="na"/>
    <s v="na"/>
    <s v="na"/>
    <s v="na"/>
    <s v="na"/>
    <s v="na"/>
    <s v="na"/>
  </r>
  <r>
    <n v="1590"/>
    <x v="50"/>
    <n v="1"/>
    <x v="10"/>
    <x v="0"/>
    <x v="0"/>
    <m/>
    <m/>
    <n v="62"/>
    <m/>
    <s v="U"/>
    <m/>
    <d v="1899-12-30T00:26:00"/>
    <s v="10:50"/>
    <s v="CZ"/>
    <m/>
    <s v="20140801 CZiolkowski"/>
    <s v="20140802 AStephens"/>
    <s v="x"/>
    <s v="x"/>
    <s v="na"/>
    <s v="FWL"/>
    <s v="na"/>
    <s v="na"/>
    <s v="na"/>
    <s v="na"/>
    <s v="na"/>
    <s v="na"/>
    <s v="na"/>
    <s v="na"/>
  </r>
  <r>
    <n v="1591"/>
    <x v="50"/>
    <n v="1"/>
    <x v="10"/>
    <x v="0"/>
    <x v="0"/>
    <m/>
    <m/>
    <n v="60"/>
    <m/>
    <s v="U"/>
    <m/>
    <d v="1899-12-30T00:28:00"/>
    <s v="10:52"/>
    <s v="CZ"/>
    <m/>
    <s v="20140801 CZiolkowski"/>
    <s v="20140802 AStephens"/>
    <s v="x"/>
    <s v="x"/>
    <s v="na"/>
    <s v="FWL"/>
    <s v="na"/>
    <s v="na"/>
    <s v="na"/>
    <s v="na"/>
    <s v="na"/>
    <s v="na"/>
    <s v="na"/>
    <s v="na"/>
  </r>
  <r>
    <n v="1592"/>
    <x v="50"/>
    <n v="1"/>
    <x v="10"/>
    <x v="0"/>
    <x v="0"/>
    <m/>
    <m/>
    <n v="56"/>
    <m/>
    <s v="U"/>
    <m/>
    <d v="1899-12-30T00:33:00"/>
    <s v="10:55"/>
    <s v="CZ"/>
    <m/>
    <s v="20140801 CZiolkowski"/>
    <s v="20140802 AStephens"/>
    <s v="x"/>
    <s v="x"/>
    <s v="na"/>
    <s v="FWL"/>
    <s v="na"/>
    <s v="na"/>
    <s v="na"/>
    <s v="na"/>
    <s v="na"/>
    <s v="na"/>
    <s v="na"/>
    <s v="na"/>
  </r>
  <r>
    <n v="1593"/>
    <x v="50"/>
    <n v="1"/>
    <x v="10"/>
    <x v="0"/>
    <x v="0"/>
    <m/>
    <m/>
    <n v="56"/>
    <m/>
    <s v="U"/>
    <m/>
    <d v="1899-12-30T00:21:00"/>
    <s v="10:58"/>
    <s v="CZ"/>
    <m/>
    <s v="20140801 CZiolkowski"/>
    <s v="20140802 AStephens"/>
    <s v="x"/>
    <s v="x"/>
    <s v="na"/>
    <s v="FWL"/>
    <s v="na"/>
    <s v="na"/>
    <s v="na"/>
    <s v="na"/>
    <s v="na"/>
    <s v="na"/>
    <s v="na"/>
    <s v="na"/>
  </r>
  <r>
    <n v="1594"/>
    <x v="50"/>
    <n v="1"/>
    <x v="0"/>
    <x v="2"/>
    <x v="0"/>
    <m/>
    <m/>
    <m/>
    <n v="36"/>
    <s v="U"/>
    <m/>
    <d v="1899-12-30T00:30:00"/>
    <s v="11:01"/>
    <s v="NC"/>
    <m/>
    <s v="20140801 CZiolkowski"/>
    <s v="20140802 AStephens"/>
    <s v="x"/>
    <s v="x"/>
    <s v="na"/>
    <s v="FWL"/>
    <s v="na"/>
    <s v="na"/>
    <s v="na"/>
    <s v="na"/>
    <s v="na"/>
    <s v="na"/>
    <s v="na"/>
    <s v="na"/>
  </r>
  <r>
    <n v="1595"/>
    <x v="50"/>
    <n v="1"/>
    <x v="10"/>
    <x v="0"/>
    <x v="0"/>
    <m/>
    <m/>
    <n v="63"/>
    <m/>
    <s v="U"/>
    <m/>
    <d v="1899-12-30T00:34:00"/>
    <s v="11:02"/>
    <s v="CZ"/>
    <m/>
    <s v="20140801 CZiolkowski"/>
    <s v="20140802 AStephens"/>
    <s v="x"/>
    <s v="x"/>
    <s v="na"/>
    <s v="FWL"/>
    <s v="na"/>
    <s v="na"/>
    <s v="na"/>
    <s v="na"/>
    <s v="na"/>
    <s v="na"/>
    <s v="na"/>
    <s v="na"/>
  </r>
  <r>
    <n v="1596"/>
    <x v="50"/>
    <n v="1"/>
    <x v="10"/>
    <x v="0"/>
    <x v="0"/>
    <m/>
    <m/>
    <n v="59"/>
    <m/>
    <s v="U"/>
    <m/>
    <d v="1899-12-30T00:40:00"/>
    <s v="11:03"/>
    <s v="CZ"/>
    <m/>
    <s v="20140801 CZiolkowski"/>
    <s v="20140802 AStephens"/>
    <s v="x"/>
    <s v="x"/>
    <s v="na"/>
    <s v="FWL"/>
    <s v="na"/>
    <s v="na"/>
    <s v="na"/>
    <s v="na"/>
    <s v="na"/>
    <s v="na"/>
    <s v="na"/>
    <s v="na"/>
  </r>
  <r>
    <n v="1597"/>
    <x v="50"/>
    <n v="1"/>
    <x v="10"/>
    <x v="0"/>
    <x v="0"/>
    <m/>
    <m/>
    <n v="62"/>
    <m/>
    <s v="U"/>
    <m/>
    <d v="1899-12-30T00:21:00"/>
    <s v="11:55"/>
    <s v="CZ"/>
    <m/>
    <s v="20140801 CZiolkowski"/>
    <s v="20140802 AStephens"/>
    <s v="x"/>
    <s v="x"/>
    <s v="na"/>
    <s v="FWL"/>
    <s v="na"/>
    <s v="na"/>
    <s v="na"/>
    <s v="na"/>
    <s v="na"/>
    <s v="na"/>
    <s v="na"/>
    <s v="na"/>
  </r>
  <r>
    <n v="1598"/>
    <x v="50"/>
    <n v="1"/>
    <x v="10"/>
    <x v="0"/>
    <x v="0"/>
    <m/>
    <m/>
    <n v="60"/>
    <m/>
    <s v="U"/>
    <m/>
    <d v="1899-12-30T00:32:00"/>
    <s v="12:14"/>
    <s v="CZ"/>
    <m/>
    <s v="20140801 CZiolkowski"/>
    <s v="20140802 AStephens"/>
    <s v="x"/>
    <s v="x"/>
    <s v="na"/>
    <s v="FWL"/>
    <s v="na"/>
    <s v="na"/>
    <s v="na"/>
    <s v="na"/>
    <s v="na"/>
    <s v="na"/>
    <s v="na"/>
    <s v="na"/>
  </r>
  <r>
    <n v="1599"/>
    <x v="50"/>
    <n v="1"/>
    <x v="10"/>
    <x v="0"/>
    <x v="0"/>
    <m/>
    <m/>
    <n v="62"/>
    <m/>
    <s v="U"/>
    <m/>
    <d v="1899-12-30T00:18:00"/>
    <s v="12:14"/>
    <s v="CZ"/>
    <m/>
    <s v="20140801 CZiolkowski"/>
    <s v="20140802 AStephens"/>
    <s v="x"/>
    <s v="x"/>
    <s v="na"/>
    <s v="FWL"/>
    <s v="na"/>
    <s v="na"/>
    <s v="na"/>
    <s v="na"/>
    <s v="na"/>
    <s v="na"/>
    <s v="na"/>
    <s v="na"/>
  </r>
  <r>
    <n v="1600"/>
    <x v="50"/>
    <n v="1"/>
    <x v="10"/>
    <x v="0"/>
    <x v="0"/>
    <m/>
    <m/>
    <n v="60"/>
    <m/>
    <s v="U"/>
    <m/>
    <d v="1899-12-30T00:21:00"/>
    <s v="12:19"/>
    <s v="CZ"/>
    <m/>
    <s v="20140801 CZiolkowski"/>
    <s v="20140802 AStephens"/>
    <s v="x"/>
    <s v="x"/>
    <s v="na"/>
    <s v="FWL"/>
    <s v="na"/>
    <s v="na"/>
    <s v="na"/>
    <s v="na"/>
    <s v="na"/>
    <s v="na"/>
    <s v="na"/>
    <s v="na"/>
  </r>
  <r>
    <n v="1601"/>
    <x v="50"/>
    <n v="1"/>
    <x v="7"/>
    <x v="1"/>
    <x v="0"/>
    <m/>
    <m/>
    <n v="36"/>
    <m/>
    <s v="U"/>
    <m/>
    <d v="1899-12-30T00:22:00"/>
    <s v="14:29"/>
    <s v="QB"/>
    <s v="too small to tag"/>
    <s v="20140801 JKunzler"/>
    <s v="20140802 AStephens"/>
    <s v="x"/>
    <s v="x"/>
    <s v="na"/>
    <s v="FWL"/>
    <s v="na"/>
    <s v="na"/>
    <s v="na"/>
    <s v="na"/>
    <s v="na"/>
    <s v="na"/>
    <s v="na"/>
    <s v="na"/>
  </r>
  <r>
    <n v="1602"/>
    <x v="50"/>
    <n v="1"/>
    <x v="12"/>
    <x v="0"/>
    <x v="13"/>
    <n v="6"/>
    <s v="91 P"/>
    <n v="48"/>
    <m/>
    <s v="F"/>
    <m/>
    <d v="1899-12-30T01:01:00"/>
    <s v="17:03"/>
    <s v="QB"/>
    <m/>
    <s v="20140801 JKunzler"/>
    <s v="20140802 AStephens"/>
    <s v="x"/>
    <n v="151.51499999999999"/>
    <s v="na"/>
    <s v="FWL"/>
    <s v="na"/>
    <s v="na"/>
    <s v="F1835"/>
    <s v="na"/>
    <s v="na"/>
    <s v="na"/>
    <s v="na"/>
    <s v="na"/>
  </r>
  <r>
    <n v="1603"/>
    <x v="50"/>
    <n v="1"/>
    <x v="12"/>
    <x v="0"/>
    <x v="13"/>
    <n v="31"/>
    <s v="92 P"/>
    <n v="44"/>
    <m/>
    <s v="F"/>
    <m/>
    <d v="1899-12-30T01:12:00"/>
    <s v="17:56"/>
    <s v="JK"/>
    <m/>
    <s v="20140801 JKunzler"/>
    <s v="20140802 AStephens"/>
    <s v="x"/>
    <n v="151.51499999999999"/>
    <s v="na"/>
    <s v="FWL"/>
    <s v="na"/>
    <s v="na"/>
    <s v="F1835"/>
    <s v="na"/>
    <s v="na"/>
    <s v="na"/>
    <s v="na"/>
    <s v="na"/>
  </r>
  <r>
    <n v="1604"/>
    <x v="50"/>
    <n v="1"/>
    <x v="12"/>
    <x v="0"/>
    <x v="12"/>
    <n v="38"/>
    <s v="93 P"/>
    <n v="46"/>
    <m/>
    <s v="M"/>
    <m/>
    <d v="1899-12-30T00:59:00"/>
    <s v="18:00"/>
    <s v="JK"/>
    <m/>
    <s v="20140801 JKunzler"/>
    <s v="20140802 AStephens"/>
    <s v="x"/>
    <n v="151.596"/>
    <s v="na"/>
    <s v="FWL"/>
    <s v="na"/>
    <s v="na"/>
    <s v="F1835"/>
    <s v="na"/>
    <s v="na"/>
    <s v="na"/>
    <s v="na"/>
    <s v="na"/>
  </r>
  <r>
    <n v="1605"/>
    <x v="50"/>
    <n v="1"/>
    <x v="7"/>
    <x v="0"/>
    <x v="10"/>
    <n v="13"/>
    <s v="102 S"/>
    <n v="55"/>
    <m/>
    <s v="U"/>
    <m/>
    <d v="1899-12-30T00:59:00"/>
    <s v="19:20"/>
    <s v="QB"/>
    <m/>
    <s v="20140801 JKunzler"/>
    <s v="20140802 AStephens"/>
    <s v="x"/>
    <n v="151.58600000000001"/>
    <s v="na"/>
    <s v="FWL"/>
    <s v="na"/>
    <s v="na"/>
    <s v="F1840"/>
    <s v="na"/>
    <s v="na"/>
    <s v="na"/>
    <s v="na"/>
    <s v="na"/>
  </r>
  <r>
    <n v="1606"/>
    <x v="50"/>
    <n v="1"/>
    <x v="7"/>
    <x v="0"/>
    <x v="10"/>
    <n v="31"/>
    <s v="105 S"/>
    <n v="43"/>
    <m/>
    <s v="U"/>
    <m/>
    <d v="1899-12-30T01:01:00"/>
    <s v="19:27"/>
    <s v="QB"/>
    <s v="beautiful very silver"/>
    <s v="20140801 JKunzler"/>
    <s v="20140802 AStephens"/>
    <s v="x"/>
    <n v="151.58600000000001"/>
    <s v="na"/>
    <s v="FWL"/>
    <s v="na"/>
    <s v="na"/>
    <s v="F1840"/>
    <s v="na"/>
    <s v="na"/>
    <s v="na"/>
    <s v="na"/>
    <s v="na"/>
  </r>
  <r>
    <n v="1607"/>
    <x v="50"/>
    <n v="2"/>
    <x v="12"/>
    <x v="0"/>
    <x v="12"/>
    <n v="24"/>
    <s v="83 P"/>
    <n v="46"/>
    <m/>
    <s v="M"/>
    <m/>
    <d v="1899-12-30T00:56:00"/>
    <s v="8:50"/>
    <s v="NC"/>
    <m/>
    <s v="20140801 CZiolkowski"/>
    <s v="20140802 AStephens"/>
    <s v="x"/>
    <n v="151.596"/>
    <s v="na"/>
    <s v="FWL"/>
    <s v="na"/>
    <s v="na"/>
    <s v="F1835"/>
    <s v="na"/>
    <s v="na"/>
    <s v="na"/>
    <s v="na"/>
    <s v="na"/>
  </r>
  <r>
    <n v="1608"/>
    <x v="50"/>
    <n v="2"/>
    <x v="10"/>
    <x v="0"/>
    <x v="7"/>
    <n v="71"/>
    <s v="54 CM"/>
    <n v="65"/>
    <m/>
    <s v="U"/>
    <m/>
    <d v="1899-12-30T00:48:00"/>
    <s v="12:34"/>
    <s v="CZ"/>
    <m/>
    <s v="20140801 CZiolkowski"/>
    <s v="20140802 AStephens"/>
    <s v="x"/>
    <n v="151.56399999999999"/>
    <s v="na"/>
    <s v="FWL"/>
    <s v="na"/>
    <s v="na"/>
    <s v="F1840"/>
    <s v="na"/>
    <s v="na"/>
    <s v="na"/>
    <s v="na"/>
    <s v="na"/>
  </r>
  <r>
    <n v="1609"/>
    <x v="50"/>
    <n v="2"/>
    <x v="10"/>
    <x v="0"/>
    <x v="0"/>
    <m/>
    <m/>
    <n v="65"/>
    <m/>
    <s v="U"/>
    <m/>
    <d v="1899-12-30T00:36:00"/>
    <s v="12:37"/>
    <s v="CZ"/>
    <m/>
    <s v="20140801 CZiolkowski"/>
    <s v="20140802 AStephens"/>
    <s v="x"/>
    <s v="x"/>
    <s v="na"/>
    <s v="FWL"/>
    <s v="na"/>
    <s v="na"/>
    <s v="na"/>
    <s v="na"/>
    <s v="na"/>
    <s v="na"/>
    <s v="na"/>
    <s v="na"/>
  </r>
  <r>
    <n v="1610"/>
    <x v="50"/>
    <n v="2"/>
    <x v="12"/>
    <x v="0"/>
    <x v="0"/>
    <m/>
    <m/>
    <n v="48"/>
    <m/>
    <s v="M"/>
    <m/>
    <d v="1899-12-30T00:21:00"/>
    <s v="12:39"/>
    <s v="CZ"/>
    <m/>
    <s v="20140801 CZiolkowski"/>
    <s v="20140802 AStephens"/>
    <s v="x"/>
    <s v="x"/>
    <s v="na"/>
    <s v="FWL"/>
    <s v="na"/>
    <s v="na"/>
    <s v="na"/>
    <s v="na"/>
    <s v="na"/>
    <s v="na"/>
    <s v="na"/>
    <s v="na"/>
  </r>
  <r>
    <n v="1611"/>
    <x v="50"/>
    <n v="2"/>
    <x v="10"/>
    <x v="0"/>
    <x v="0"/>
    <m/>
    <m/>
    <n v="61"/>
    <m/>
    <s v="U"/>
    <m/>
    <d v="1899-12-30T00:18:00"/>
    <s v="12:39"/>
    <s v="CZ"/>
    <m/>
    <s v="20140801 CZiolkowski"/>
    <s v="20140802 AStephens"/>
    <s v="x"/>
    <s v="x"/>
    <s v="na"/>
    <s v="FWL"/>
    <s v="na"/>
    <s v="na"/>
    <s v="na"/>
    <s v="na"/>
    <s v="na"/>
    <s v="na"/>
    <s v="na"/>
    <s v="na"/>
  </r>
  <r>
    <n v="1612"/>
    <x v="50"/>
    <n v="2"/>
    <x v="7"/>
    <x v="0"/>
    <x v="6"/>
    <n v="57"/>
    <s v="101 S"/>
    <n v="59"/>
    <m/>
    <s v="U"/>
    <m/>
    <d v="1899-12-30T01:42:00"/>
    <s v="12:46"/>
    <s v="CZ"/>
    <m/>
    <s v="20140801 CZiolkowski"/>
    <s v="20140802 AStephens"/>
    <s v="x"/>
    <n v="151.57300000000001"/>
    <s v="na"/>
    <s v="FWL"/>
    <s v="na"/>
    <s v="na"/>
    <s v="F1840"/>
    <s v="na"/>
    <s v="na"/>
    <s v="na"/>
    <s v="na"/>
    <s v="na"/>
  </r>
  <r>
    <n v="1613"/>
    <x v="50"/>
    <n v="2"/>
    <x v="12"/>
    <x v="0"/>
    <x v="0"/>
    <m/>
    <m/>
    <n v="42"/>
    <m/>
    <s v="F"/>
    <m/>
    <d v="1899-12-30T00:32:00"/>
    <s v="12:46"/>
    <s v="CZ"/>
    <m/>
    <s v="20140801 CZiolkowski"/>
    <s v="20140802 AStephens"/>
    <s v="x"/>
    <s v="x"/>
    <s v="na"/>
    <s v="FWL"/>
    <s v="na"/>
    <s v="na"/>
    <s v="na"/>
    <s v="na"/>
    <s v="na"/>
    <s v="na"/>
    <s v="na"/>
    <s v="na"/>
  </r>
  <r>
    <n v="1614"/>
    <x v="50"/>
    <n v="2"/>
    <x v="10"/>
    <x v="0"/>
    <x v="0"/>
    <m/>
    <m/>
    <n v="60"/>
    <m/>
    <s v="U"/>
    <m/>
    <d v="1899-12-30T00:35:00"/>
    <s v="14:00"/>
    <s v="NC"/>
    <m/>
    <s v="20140801 CZiolkowski"/>
    <s v="20140802 AStephens"/>
    <s v="x"/>
    <s v="x"/>
    <s v="na"/>
    <s v="FWL"/>
    <s v="na"/>
    <s v="na"/>
    <s v="na"/>
    <s v="na"/>
    <s v="na"/>
    <s v="na"/>
    <s v="na"/>
    <s v="na"/>
  </r>
  <r>
    <n v="1615"/>
    <x v="50"/>
    <n v="2"/>
    <x v="10"/>
    <x v="0"/>
    <x v="0"/>
    <m/>
    <m/>
    <n v="63"/>
    <m/>
    <s v="U"/>
    <m/>
    <d v="1899-12-30T00:36:00"/>
    <s v="15:37"/>
    <s v="JK"/>
    <m/>
    <s v="20140801 JKunzler"/>
    <s v="20140802 AStephens"/>
    <s v="x"/>
    <s v="x"/>
    <s v="na"/>
    <s v="FWL"/>
    <s v="na"/>
    <s v="na"/>
    <s v="na"/>
    <s v="na"/>
    <s v="na"/>
    <s v="na"/>
    <s v="na"/>
    <s v="na"/>
  </r>
  <r>
    <n v="1616"/>
    <x v="50"/>
    <n v="2"/>
    <x v="12"/>
    <x v="0"/>
    <x v="0"/>
    <m/>
    <m/>
    <n v="43"/>
    <m/>
    <s v="F"/>
    <m/>
    <d v="1899-12-30T00:25:00"/>
    <s v="15:39"/>
    <s v="JK"/>
    <m/>
    <s v="20140801 JKunzler"/>
    <s v="20140802 AStephens"/>
    <s v="x"/>
    <s v="x"/>
    <s v="na"/>
    <s v="FWL"/>
    <s v="na"/>
    <s v="na"/>
    <s v="na"/>
    <s v="na"/>
    <s v="na"/>
    <s v="na"/>
    <s v="na"/>
    <s v="na"/>
  </r>
  <r>
    <n v="1617"/>
    <x v="50"/>
    <n v="2"/>
    <x v="10"/>
    <x v="0"/>
    <x v="0"/>
    <m/>
    <m/>
    <n v="63"/>
    <m/>
    <s v="U"/>
    <d v="1899-12-30T16:12:00"/>
    <d v="1899-12-30T00:55:00"/>
    <s v="16:14"/>
    <s v="JK"/>
    <m/>
    <s v="20140801 JKunzler"/>
    <s v="20140802 AStephens"/>
    <d v="1899-12-30T00:01:05"/>
    <s v="x"/>
    <s v="na"/>
    <s v="FWL"/>
    <s v="na"/>
    <s v="na"/>
    <s v="na"/>
    <s v="na"/>
    <s v="na"/>
    <s v="na"/>
    <s v="na"/>
    <s v="na"/>
  </r>
  <r>
    <n v="1618"/>
    <x v="50"/>
    <n v="2"/>
    <x v="10"/>
    <x v="0"/>
    <x v="0"/>
    <m/>
    <m/>
    <n v="57"/>
    <m/>
    <s v="U"/>
    <m/>
    <d v="1899-12-30T00:29:00"/>
    <s v="17:40"/>
    <s v="QB"/>
    <m/>
    <s v="20140801 JKunzler"/>
    <s v="20140802 AStephens"/>
    <s v="x"/>
    <s v="x"/>
    <s v="na"/>
    <s v="FWL"/>
    <s v="na"/>
    <s v="na"/>
    <s v="na"/>
    <s v="na"/>
    <s v="na"/>
    <s v="na"/>
    <s v="na"/>
    <s v="na"/>
  </r>
  <r>
    <n v="1619"/>
    <x v="50"/>
    <n v="2"/>
    <x v="12"/>
    <x v="0"/>
    <x v="0"/>
    <m/>
    <m/>
    <n v="48"/>
    <m/>
    <s v="M"/>
    <m/>
    <d v="1899-12-30T00:25:00"/>
    <s v="20:09"/>
    <s v="QB"/>
    <m/>
    <s v="20140801 JKunzler"/>
    <s v="20140802 AStephens"/>
    <s v="x"/>
    <s v="x"/>
    <s v="na"/>
    <s v="FWL"/>
    <s v="na"/>
    <s v="na"/>
    <s v="na"/>
    <s v="na"/>
    <s v="na"/>
    <s v="na"/>
    <s v="na"/>
    <s v="na"/>
  </r>
  <r>
    <n v="1620"/>
    <x v="50"/>
    <n v="2"/>
    <x v="10"/>
    <x v="0"/>
    <x v="0"/>
    <m/>
    <m/>
    <n v="60"/>
    <m/>
    <s v="U"/>
    <m/>
    <d v="1899-12-30T00:26:00"/>
    <s v="20:11"/>
    <s v="QB"/>
    <m/>
    <s v="20140801 JKunzler"/>
    <s v="20140802 AStephens"/>
    <s v="x"/>
    <s v="x"/>
    <s v="na"/>
    <s v="FWL"/>
    <s v="na"/>
    <s v="na"/>
    <s v="na"/>
    <s v="na"/>
    <s v="na"/>
    <s v="na"/>
    <s v="na"/>
    <s v="na"/>
  </r>
  <r>
    <n v="1621"/>
    <x v="50"/>
    <n v="2"/>
    <x v="10"/>
    <x v="0"/>
    <x v="0"/>
    <m/>
    <m/>
    <n v="61"/>
    <m/>
    <s v="U"/>
    <m/>
    <d v="1899-12-30T00:52:00"/>
    <s v="20:12"/>
    <s v="QB"/>
    <s v="lively, great bright color"/>
    <s v="20140801 JKunzler"/>
    <s v="20140802 AStephens"/>
    <s v="x"/>
    <s v="x"/>
    <s v="na"/>
    <s v="FWL"/>
    <s v="na"/>
    <s v="na"/>
    <s v="na"/>
    <s v="na"/>
    <s v="na"/>
    <s v="na"/>
    <s v="na"/>
    <s v="na"/>
  </r>
  <r>
    <n v="1622"/>
    <x v="50"/>
    <n v="2"/>
    <x v="10"/>
    <x v="0"/>
    <x v="0"/>
    <m/>
    <m/>
    <n v="61"/>
    <m/>
    <s v="U"/>
    <m/>
    <d v="1899-12-30T00:36:00"/>
    <s v="20:15"/>
    <s v="QB"/>
    <s v="likely recap of previous CM"/>
    <s v="20140801 JKunzler"/>
    <s v="20140802 AStephens"/>
    <s v="x"/>
    <s v="x"/>
    <s v="na"/>
    <s v="FWL"/>
    <s v="na"/>
    <s v="na"/>
    <s v="na"/>
    <s v="na"/>
    <s v="na"/>
    <s v="na"/>
    <s v="na"/>
    <s v="na"/>
  </r>
  <r>
    <n v="1623"/>
    <x v="50"/>
    <n v="3"/>
    <x v="12"/>
    <x v="0"/>
    <x v="13"/>
    <n v="84"/>
    <s v="80 P"/>
    <n v="47"/>
    <m/>
    <s v="M"/>
    <m/>
    <d v="1899-12-30T00:57:00"/>
    <s v="8:28"/>
    <s v="JK"/>
    <m/>
    <s v="20140801 QBerger"/>
    <s v="20140802 AStephens"/>
    <s v="x"/>
    <n v="151.51499999999999"/>
    <s v="na"/>
    <s v="FWL"/>
    <s v="na"/>
    <s v="na"/>
    <s v="F1835"/>
    <s v="na"/>
    <s v="na"/>
    <s v="na"/>
    <s v="na"/>
    <s v="na"/>
  </r>
  <r>
    <n v="1624"/>
    <x v="50"/>
    <n v="3"/>
    <x v="12"/>
    <x v="0"/>
    <x v="13"/>
    <n v="69"/>
    <s v="81 P"/>
    <n v="47"/>
    <m/>
    <s v="M"/>
    <m/>
    <d v="1899-12-30T00:52:00"/>
    <s v="8:34"/>
    <s v="QB"/>
    <m/>
    <s v="20140801 QBerger"/>
    <s v="20140802 AStephens"/>
    <s v="x"/>
    <n v="151.51499999999999"/>
    <s v="na"/>
    <s v="FWL"/>
    <s v="na"/>
    <s v="na"/>
    <s v="F1835"/>
    <s v="na"/>
    <s v="na"/>
    <s v="na"/>
    <s v="na"/>
    <s v="na"/>
  </r>
  <r>
    <n v="1625"/>
    <x v="50"/>
    <n v="3"/>
    <x v="10"/>
    <x v="0"/>
    <x v="7"/>
    <n v="61"/>
    <s v="50 CM"/>
    <n v="53"/>
    <m/>
    <s v="U"/>
    <m/>
    <d v="1899-12-30T00:50:00"/>
    <s v="8:37"/>
    <s v="QB"/>
    <m/>
    <s v="20140801 QBerger"/>
    <s v="20140802 AStephens"/>
    <s v="x"/>
    <n v="151.56399999999999"/>
    <s v="na"/>
    <s v="FWL"/>
    <s v="na"/>
    <s v="na"/>
    <s v="F1840"/>
    <s v="na"/>
    <s v="na"/>
    <s v="na"/>
    <s v="na"/>
    <s v="na"/>
  </r>
  <r>
    <n v="1626"/>
    <x v="50"/>
    <n v="3"/>
    <x v="7"/>
    <x v="0"/>
    <x v="0"/>
    <m/>
    <m/>
    <n v="45"/>
    <m/>
    <s v="U"/>
    <m/>
    <d v="1899-12-30T00:43:00"/>
    <s v="8:43"/>
    <s v="QB"/>
    <s v="open wounds on belly, no tag"/>
    <s v="20140801 QBerger"/>
    <s v="20140802 AStephens"/>
    <s v="x"/>
    <s v="x"/>
    <s v="na"/>
    <s v="FWL"/>
    <s v="na"/>
    <s v="na"/>
    <s v="na"/>
    <s v="na"/>
    <s v="na"/>
    <s v="na"/>
    <s v="na"/>
    <s v="na"/>
  </r>
  <r>
    <n v="1627"/>
    <x v="50"/>
    <n v="3"/>
    <x v="12"/>
    <x v="0"/>
    <x v="0"/>
    <m/>
    <m/>
    <n v="50"/>
    <m/>
    <s v="M"/>
    <m/>
    <d v="1899-12-30T00:30:00"/>
    <s v="8:50"/>
    <s v="QB"/>
    <m/>
    <s v="20140801 QBerger"/>
    <s v="20140802 AStephens"/>
    <s v="x"/>
    <s v="x"/>
    <s v="na"/>
    <s v="FWL"/>
    <s v="na"/>
    <s v="na"/>
    <s v="na"/>
    <s v="na"/>
    <s v="na"/>
    <s v="na"/>
    <s v="na"/>
    <s v="na"/>
  </r>
  <r>
    <n v="1628"/>
    <x v="50"/>
    <n v="3"/>
    <x v="12"/>
    <x v="0"/>
    <x v="0"/>
    <m/>
    <m/>
    <n v="50"/>
    <m/>
    <s v="F"/>
    <m/>
    <d v="1899-12-30T00:26:00"/>
    <s v="8:53"/>
    <s v="QB"/>
    <m/>
    <s v="20140801 QBerger"/>
    <s v="20140802 AStephens"/>
    <s v="x"/>
    <s v="x"/>
    <s v="na"/>
    <s v="FWL"/>
    <s v="na"/>
    <s v="na"/>
    <s v="na"/>
    <s v="na"/>
    <s v="na"/>
    <s v="na"/>
    <s v="na"/>
    <s v="na"/>
  </r>
  <r>
    <n v="1629"/>
    <x v="50"/>
    <n v="3"/>
    <x v="12"/>
    <x v="0"/>
    <x v="0"/>
    <m/>
    <m/>
    <n v="44"/>
    <m/>
    <s v="F"/>
    <m/>
    <d v="1899-12-30T00:32:00"/>
    <s v="8:55"/>
    <s v="QB"/>
    <m/>
    <s v="20140801 QBerger"/>
    <s v="20140802 AStephens"/>
    <s v="x"/>
    <s v="x"/>
    <s v="na"/>
    <s v="FWL"/>
    <s v="na"/>
    <s v="na"/>
    <s v="na"/>
    <s v="na"/>
    <s v="na"/>
    <s v="na"/>
    <s v="na"/>
    <s v="na"/>
  </r>
  <r>
    <n v="1630"/>
    <x v="50"/>
    <n v="3"/>
    <x v="12"/>
    <x v="0"/>
    <x v="0"/>
    <m/>
    <m/>
    <n v="46"/>
    <m/>
    <s v="M"/>
    <m/>
    <d v="1899-12-30T00:23:00"/>
    <s v="9:01"/>
    <s v="JK"/>
    <m/>
    <s v="20140801 QBerger"/>
    <s v="20140802 AStephens"/>
    <s v="x"/>
    <s v="x"/>
    <s v="na"/>
    <s v="FWL"/>
    <s v="na"/>
    <s v="na"/>
    <s v="na"/>
    <s v="na"/>
    <s v="na"/>
    <s v="na"/>
    <s v="na"/>
    <s v="na"/>
  </r>
  <r>
    <n v="1631"/>
    <x v="50"/>
    <n v="3"/>
    <x v="12"/>
    <x v="0"/>
    <x v="0"/>
    <m/>
    <m/>
    <n v="47"/>
    <m/>
    <s v="M"/>
    <m/>
    <d v="1899-12-30T00:27:00"/>
    <s v="9:03"/>
    <s v="JK"/>
    <m/>
    <s v="20140801 QBerger"/>
    <s v="20140802 AStephens"/>
    <s v="x"/>
    <s v="x"/>
    <s v="na"/>
    <s v="FWL"/>
    <s v="na"/>
    <s v="na"/>
    <s v="na"/>
    <s v="na"/>
    <s v="na"/>
    <s v="na"/>
    <s v="na"/>
    <s v="na"/>
  </r>
  <r>
    <n v="1632"/>
    <x v="50"/>
    <n v="3"/>
    <x v="10"/>
    <x v="0"/>
    <x v="7"/>
    <n v="1"/>
    <s v="51 CM"/>
    <n v="63"/>
    <m/>
    <s v="U"/>
    <m/>
    <d v="1899-12-30T01:12:00"/>
    <s v="9:06"/>
    <s v="JK"/>
    <m/>
    <s v="20140801 QBerger"/>
    <s v="20140802 AStephens"/>
    <s v="x"/>
    <n v="151.56399999999999"/>
    <s v="na"/>
    <s v="FWL"/>
    <s v="na"/>
    <s v="na"/>
    <s v="F1840"/>
    <s v="na"/>
    <s v="na"/>
    <s v="na"/>
    <s v="na"/>
    <s v="na"/>
  </r>
  <r>
    <n v="1633"/>
    <x v="50"/>
    <n v="3"/>
    <x v="13"/>
    <x v="0"/>
    <x v="14"/>
    <n v="84"/>
    <s v="16 CO"/>
    <n v="47"/>
    <m/>
    <s v="U"/>
    <m/>
    <d v="1899-12-30T00:54:00"/>
    <s v="9:09"/>
    <s v="JK"/>
    <s v="beautiful!"/>
    <s v="20140801 QBerger"/>
    <s v="20140802 AStephens"/>
    <s v="x"/>
    <n v="151.32499999999999"/>
    <s v="na"/>
    <s v="FWL"/>
    <s v="na"/>
    <s v="na"/>
    <s v="F1840"/>
    <s v="na"/>
    <s v="na"/>
    <s v="na"/>
    <s v="na"/>
    <s v="na"/>
  </r>
  <r>
    <n v="1634"/>
    <x v="50"/>
    <n v="3"/>
    <x v="12"/>
    <x v="0"/>
    <x v="0"/>
    <m/>
    <m/>
    <n v="46"/>
    <m/>
    <s v="F"/>
    <m/>
    <d v="1899-12-30T00:23:00"/>
    <s v="9:11"/>
    <s v="JK"/>
    <m/>
    <s v="20140801 QBerger"/>
    <s v="20140802 AStephens"/>
    <s v="x"/>
    <s v="x"/>
    <s v="na"/>
    <s v="FWL"/>
    <s v="na"/>
    <s v="na"/>
    <s v="na"/>
    <s v="na"/>
    <s v="na"/>
    <s v="na"/>
    <s v="na"/>
    <s v="na"/>
  </r>
  <r>
    <n v="1635"/>
    <x v="50"/>
    <n v="3"/>
    <x v="7"/>
    <x v="0"/>
    <x v="10"/>
    <n v="39"/>
    <s v="85 S"/>
    <n v="45"/>
    <m/>
    <s v="U"/>
    <m/>
    <d v="1899-12-30T01:12:00"/>
    <s v="9:16"/>
    <s v="JK"/>
    <m/>
    <s v="20140801 QBerger"/>
    <s v="20140802 AStephens"/>
    <s v="x"/>
    <n v="151.58600000000001"/>
    <s v="na"/>
    <s v="FWL"/>
    <s v="na"/>
    <s v="na"/>
    <s v="F1840"/>
    <s v="na"/>
    <s v="na"/>
    <s v="na"/>
    <s v="na"/>
    <s v="na"/>
  </r>
  <r>
    <n v="1636"/>
    <x v="50"/>
    <n v="3"/>
    <x v="12"/>
    <x v="0"/>
    <x v="0"/>
    <m/>
    <m/>
    <n v="42"/>
    <m/>
    <s v="F"/>
    <m/>
    <d v="1899-12-30T00:24:00"/>
    <s v="9:18"/>
    <s v="JK"/>
    <m/>
    <s v="20140801 QBerger"/>
    <s v="20140802 AStephens"/>
    <s v="x"/>
    <s v="x"/>
    <s v="na"/>
    <s v="FWL"/>
    <s v="na"/>
    <s v="na"/>
    <s v="na"/>
    <s v="na"/>
    <s v="na"/>
    <s v="na"/>
    <s v="na"/>
    <s v="na"/>
  </r>
  <r>
    <n v="1637"/>
    <x v="50"/>
    <n v="3"/>
    <x v="12"/>
    <x v="0"/>
    <x v="0"/>
    <m/>
    <m/>
    <n v="49"/>
    <m/>
    <s v="M"/>
    <m/>
    <d v="1899-12-30T00:23:00"/>
    <s v="9:20"/>
    <s v="JK"/>
    <m/>
    <s v="20140801 QBerger"/>
    <s v="20140802 AStephens"/>
    <s v="x"/>
    <s v="x"/>
    <s v="na"/>
    <s v="FWL"/>
    <s v="na"/>
    <s v="na"/>
    <s v="na"/>
    <s v="na"/>
    <s v="na"/>
    <s v="na"/>
    <s v="na"/>
    <s v="na"/>
  </r>
  <r>
    <n v="1638"/>
    <x v="50"/>
    <n v="3"/>
    <x v="12"/>
    <x v="0"/>
    <x v="0"/>
    <m/>
    <m/>
    <n v="49"/>
    <m/>
    <s v="F"/>
    <m/>
    <d v="1899-12-30T00:25:00"/>
    <s v="9:21"/>
    <s v="JK"/>
    <m/>
    <s v="20140801 QBerger"/>
    <s v="20140802 AStephens"/>
    <s v="x"/>
    <s v="x"/>
    <s v="na"/>
    <s v="FWL"/>
    <s v="na"/>
    <s v="na"/>
    <s v="na"/>
    <s v="na"/>
    <s v="na"/>
    <s v="na"/>
    <s v="na"/>
    <s v="na"/>
  </r>
  <r>
    <n v="1639"/>
    <x v="50"/>
    <n v="3"/>
    <x v="10"/>
    <x v="0"/>
    <x v="0"/>
    <m/>
    <m/>
    <n v="57"/>
    <m/>
    <s v="U"/>
    <m/>
    <d v="1899-12-30T01:02:00"/>
    <s v="9:23"/>
    <s v="JK"/>
    <s v="small wounds near gill plates"/>
    <s v="20140801 QBerger"/>
    <s v="20140802 AStephens"/>
    <s v="x"/>
    <s v="x"/>
    <s v="na"/>
    <s v="FWL"/>
    <s v="na"/>
    <s v="na"/>
    <s v="na"/>
    <s v="na"/>
    <s v="na"/>
    <s v="na"/>
    <s v="na"/>
    <s v="na"/>
  </r>
  <r>
    <n v="1640"/>
    <x v="50"/>
    <n v="3"/>
    <x v="12"/>
    <x v="0"/>
    <x v="0"/>
    <m/>
    <m/>
    <n v="46"/>
    <m/>
    <s v="U"/>
    <m/>
    <d v="1899-12-30T00:20:00"/>
    <s v="9:25"/>
    <s v="QB"/>
    <m/>
    <s v="20140801 QBerger"/>
    <s v="20140802 AStephens"/>
    <s v="x"/>
    <s v="x"/>
    <s v="na"/>
    <s v="FWL"/>
    <s v="na"/>
    <s v="na"/>
    <s v="na"/>
    <s v="na"/>
    <s v="na"/>
    <s v="na"/>
    <s v="na"/>
    <s v="na"/>
  </r>
  <r>
    <n v="1641"/>
    <x v="50"/>
    <n v="3"/>
    <x v="12"/>
    <x v="0"/>
    <x v="0"/>
    <m/>
    <m/>
    <n v="47"/>
    <m/>
    <s v="F"/>
    <m/>
    <d v="1899-12-30T00:20:00"/>
    <s v="9:26"/>
    <s v="QB"/>
    <m/>
    <s v="20140801 QBerger"/>
    <s v="20140802 AStephens"/>
    <s v="x"/>
    <s v="x"/>
    <s v="na"/>
    <s v="FWL"/>
    <s v="na"/>
    <s v="na"/>
    <s v="na"/>
    <s v="na"/>
    <s v="na"/>
    <s v="na"/>
    <s v="na"/>
    <s v="na"/>
  </r>
  <r>
    <n v="1642"/>
    <x v="50"/>
    <n v="3"/>
    <x v="12"/>
    <x v="0"/>
    <x v="0"/>
    <m/>
    <m/>
    <n v="49"/>
    <m/>
    <s v="M"/>
    <m/>
    <d v="1899-12-30T00:30:00"/>
    <s v="9:28"/>
    <s v="QB"/>
    <m/>
    <s v="20140801 QBerger"/>
    <s v="20140802 AStephens"/>
    <s v="x"/>
    <s v="x"/>
    <s v="na"/>
    <s v="FWL"/>
    <s v="na"/>
    <s v="na"/>
    <s v="na"/>
    <s v="na"/>
    <s v="na"/>
    <s v="na"/>
    <s v="na"/>
    <s v="na"/>
  </r>
  <r>
    <n v="1643"/>
    <x v="50"/>
    <n v="3"/>
    <x v="12"/>
    <x v="0"/>
    <x v="0"/>
    <m/>
    <m/>
    <n v="46"/>
    <m/>
    <s v="U"/>
    <m/>
    <d v="1899-12-30T00:27:00"/>
    <s v="9:30"/>
    <s v="QB"/>
    <m/>
    <s v="20140801 QBerger"/>
    <s v="20140802 AStephens"/>
    <s v="x"/>
    <s v="x"/>
    <s v="na"/>
    <s v="FWL"/>
    <s v="na"/>
    <s v="na"/>
    <s v="na"/>
    <s v="na"/>
    <s v="na"/>
    <s v="na"/>
    <s v="na"/>
    <s v="na"/>
  </r>
  <r>
    <n v="1644"/>
    <x v="50"/>
    <n v="3"/>
    <x v="10"/>
    <x v="0"/>
    <x v="0"/>
    <m/>
    <m/>
    <n v="63"/>
    <m/>
    <s v="U"/>
    <m/>
    <d v="1899-12-30T00:22:00"/>
    <s v="9:33"/>
    <s v="QB"/>
    <m/>
    <s v="20140801 QBerger"/>
    <s v="20140802 AStephens"/>
    <s v="x"/>
    <s v="x"/>
    <s v="na"/>
    <s v="FWL"/>
    <s v="na"/>
    <s v="na"/>
    <s v="na"/>
    <s v="na"/>
    <s v="na"/>
    <s v="na"/>
    <s v="na"/>
    <s v="na"/>
  </r>
  <r>
    <n v="1645"/>
    <x v="50"/>
    <n v="3"/>
    <x v="10"/>
    <x v="0"/>
    <x v="0"/>
    <m/>
    <m/>
    <n v="58"/>
    <m/>
    <s v="F"/>
    <m/>
    <d v="1899-12-30T00:25:00"/>
    <s v="10:29"/>
    <s v="QB"/>
    <m/>
    <s v="20140801 QBerger"/>
    <s v="20140802 AStephens"/>
    <s v="x"/>
    <s v="x"/>
    <s v="na"/>
    <s v="FWL"/>
    <s v="na"/>
    <s v="na"/>
    <s v="na"/>
    <s v="na"/>
    <s v="na"/>
    <s v="na"/>
    <s v="na"/>
    <s v="na"/>
  </r>
  <r>
    <n v="1646"/>
    <x v="50"/>
    <n v="3"/>
    <x v="10"/>
    <x v="0"/>
    <x v="0"/>
    <m/>
    <m/>
    <n v="59"/>
    <m/>
    <s v="U"/>
    <m/>
    <d v="1899-12-30T00:28:00"/>
    <s v="10:30"/>
    <s v="QB"/>
    <m/>
    <s v="20140801 QBerger"/>
    <s v="20140802 AStephens"/>
    <s v="x"/>
    <s v="x"/>
    <s v="na"/>
    <s v="FWL"/>
    <s v="na"/>
    <s v="na"/>
    <s v="na"/>
    <s v="na"/>
    <s v="na"/>
    <s v="na"/>
    <s v="na"/>
    <s v="na"/>
  </r>
  <r>
    <n v="1647"/>
    <x v="50"/>
    <n v="3"/>
    <x v="10"/>
    <x v="0"/>
    <x v="0"/>
    <m/>
    <m/>
    <n v="59"/>
    <m/>
    <s v="U"/>
    <m/>
    <d v="1899-12-30T00:32:00"/>
    <s v="12:05"/>
    <s v="LA"/>
    <m/>
    <s v="20140801 LAckein"/>
    <s v="20140802 AStephens"/>
    <s v="x"/>
    <s v="x"/>
    <s v="na"/>
    <s v="FWL"/>
    <s v="na"/>
    <s v="na"/>
    <s v="na"/>
    <s v="na"/>
    <s v="na"/>
    <s v="na"/>
    <s v="na"/>
    <s v="na"/>
  </r>
  <r>
    <n v="1648"/>
    <x v="50"/>
    <n v="3"/>
    <x v="10"/>
    <x v="0"/>
    <x v="0"/>
    <m/>
    <m/>
    <n v="58"/>
    <m/>
    <s v="U"/>
    <d v="1899-12-30T12:05:00"/>
    <d v="1899-12-30T00:33:00"/>
    <s v="12:06"/>
    <s v="LA"/>
    <m/>
    <s v="20140801 LAckein"/>
    <s v="20140802 AStephens"/>
    <d v="1899-12-30T00:00:27"/>
    <s v="x"/>
    <s v="na"/>
    <s v="FWL"/>
    <s v="na"/>
    <s v="na"/>
    <s v="na"/>
    <s v="na"/>
    <s v="na"/>
    <s v="na"/>
    <s v="na"/>
    <s v="na"/>
  </r>
  <r>
    <n v="1649"/>
    <x v="50"/>
    <n v="3"/>
    <x v="10"/>
    <x v="0"/>
    <x v="0"/>
    <m/>
    <m/>
    <n v="64"/>
    <m/>
    <s v="U"/>
    <m/>
    <d v="1899-12-30T00:52:00"/>
    <s v="12:08"/>
    <s v="LA"/>
    <s v="hit deck on release"/>
    <s v="20140801 LAckein"/>
    <s v="20140802 AStephens"/>
    <s v="x"/>
    <s v="x"/>
    <s v="na"/>
    <s v="FWL"/>
    <s v="na"/>
    <s v="na"/>
    <s v="na"/>
    <s v="na"/>
    <s v="na"/>
    <s v="na"/>
    <s v="na"/>
    <s v="na"/>
  </r>
  <r>
    <n v="1650"/>
    <x v="50"/>
    <n v="3"/>
    <x v="10"/>
    <x v="0"/>
    <x v="0"/>
    <m/>
    <m/>
    <n v="57"/>
    <m/>
    <s v="U"/>
    <m/>
    <d v="1899-12-30T00:34:00"/>
    <s v="12:11"/>
    <s v="LA"/>
    <m/>
    <s v="20140801 LAckein"/>
    <s v="20140802 AStephens"/>
    <s v="x"/>
    <s v="x"/>
    <s v="na"/>
    <s v="FWL"/>
    <s v="na"/>
    <s v="na"/>
    <s v="na"/>
    <s v="na"/>
    <s v="na"/>
    <s v="na"/>
    <s v="na"/>
    <s v="na"/>
  </r>
  <r>
    <n v="1651"/>
    <x v="50"/>
    <n v="3"/>
    <x v="10"/>
    <x v="0"/>
    <x v="0"/>
    <m/>
    <m/>
    <n v="57"/>
    <m/>
    <s v="U"/>
    <m/>
    <d v="1899-12-30T00:31:00"/>
    <s v="12:12"/>
    <s v="LA"/>
    <m/>
    <s v="20140801 LAckein"/>
    <s v="20140802 AStephens"/>
    <s v="x"/>
    <s v="x"/>
    <s v="na"/>
    <s v="FWL"/>
    <s v="na"/>
    <s v="na"/>
    <s v="na"/>
    <s v="na"/>
    <s v="na"/>
    <s v="na"/>
    <s v="na"/>
    <s v="na"/>
  </r>
  <r>
    <n v="1652"/>
    <x v="50"/>
    <n v="3"/>
    <x v="10"/>
    <x v="0"/>
    <x v="0"/>
    <m/>
    <m/>
    <n v="55"/>
    <m/>
    <s v="U"/>
    <m/>
    <d v="1899-12-30T00:33:00"/>
    <s v="12:13"/>
    <s v="LA"/>
    <s v="torn caudal - lower lobe"/>
    <s v="20140801 LAckein"/>
    <s v="20140802 AStephens"/>
    <s v="x"/>
    <s v="x"/>
    <s v="na"/>
    <s v="FWL"/>
    <s v="na"/>
    <s v="na"/>
    <s v="na"/>
    <s v="na"/>
    <s v="na"/>
    <s v="na"/>
    <s v="na"/>
    <s v="na"/>
  </r>
  <r>
    <n v="1653"/>
    <x v="50"/>
    <n v="3"/>
    <x v="0"/>
    <x v="2"/>
    <x v="0"/>
    <m/>
    <m/>
    <m/>
    <n v="32"/>
    <s v="U"/>
    <m/>
    <d v="1899-12-30T00:30:00"/>
    <s v="12:17"/>
    <s v="LA"/>
    <m/>
    <s v="20140801 LAckein"/>
    <s v="20140802 AStephens"/>
    <s v="x"/>
    <s v="x"/>
    <s v="na"/>
    <s v="FWL"/>
    <s v="na"/>
    <s v="na"/>
    <s v="na"/>
    <s v="na"/>
    <s v="na"/>
    <s v="na"/>
    <s v="na"/>
    <s v="na"/>
  </r>
  <r>
    <n v="1654"/>
    <x v="50"/>
    <n v="3"/>
    <x v="10"/>
    <x v="0"/>
    <x v="0"/>
    <m/>
    <m/>
    <n v="53"/>
    <m/>
    <s v="U"/>
    <m/>
    <d v="1899-12-30T00:29:00"/>
    <s v="12:19"/>
    <s v="LA"/>
    <m/>
    <s v="20140801 LAckein"/>
    <s v="20140802 AStephens"/>
    <s v="x"/>
    <s v="x"/>
    <s v="na"/>
    <s v="FWL"/>
    <s v="na"/>
    <s v="na"/>
    <s v="na"/>
    <s v="na"/>
    <s v="na"/>
    <s v="na"/>
    <s v="na"/>
    <s v="na"/>
  </r>
  <r>
    <n v="1655"/>
    <x v="50"/>
    <n v="3"/>
    <x v="10"/>
    <x v="0"/>
    <x v="0"/>
    <m/>
    <m/>
    <n v="55"/>
    <m/>
    <s v="U"/>
    <m/>
    <d v="1899-12-30T00:50:00"/>
    <s v="12:21"/>
    <s v="LA"/>
    <s v="hit deck on release"/>
    <s v="20140801 LAckein"/>
    <s v="20140802 AStephens"/>
    <s v="x"/>
    <s v="x"/>
    <s v="na"/>
    <s v="FWL"/>
    <s v="na"/>
    <s v="na"/>
    <s v="na"/>
    <s v="na"/>
    <s v="na"/>
    <s v="na"/>
    <s v="na"/>
    <s v="na"/>
  </r>
  <r>
    <n v="1656"/>
    <x v="50"/>
    <n v="3"/>
    <x v="10"/>
    <x v="0"/>
    <x v="0"/>
    <m/>
    <m/>
    <n v="55"/>
    <m/>
    <s v="U"/>
    <m/>
    <d v="1899-12-30T00:24:00"/>
    <s v="12:24"/>
    <s v="LA"/>
    <m/>
    <s v="20140801 LAckein"/>
    <s v="20140802 AStephens"/>
    <s v="x"/>
    <s v="x"/>
    <s v="na"/>
    <s v="FWL"/>
    <s v="na"/>
    <s v="na"/>
    <s v="na"/>
    <s v="na"/>
    <s v="na"/>
    <s v="na"/>
    <s v="na"/>
    <s v="na"/>
  </r>
  <r>
    <n v="1657"/>
    <x v="50"/>
    <n v="3"/>
    <x v="10"/>
    <x v="0"/>
    <x v="11"/>
    <n v="16"/>
    <s v="52 CM"/>
    <n v="55"/>
    <m/>
    <s v="U"/>
    <m/>
    <d v="1899-12-30T01:13:00"/>
    <s v="12:59"/>
    <s v="JI"/>
    <s v="missing check from top of caudal fin"/>
    <s v="20140801 LAckein"/>
    <s v="20140802 AStephens"/>
    <s v="x"/>
    <n v="151.53399999999999"/>
    <s v="na"/>
    <s v="FWL"/>
    <s v="na"/>
    <s v="na"/>
    <s v="F1840"/>
    <s v="na"/>
    <s v="na"/>
    <s v="na"/>
    <s v="na"/>
    <s v="na"/>
  </r>
  <r>
    <n v="1658"/>
    <x v="50"/>
    <n v="3"/>
    <x v="13"/>
    <x v="0"/>
    <x v="0"/>
    <m/>
    <m/>
    <n v="48"/>
    <m/>
    <s v="U"/>
    <m/>
    <d v="1899-12-30T03:10:00"/>
    <s v="13:44"/>
    <s v="JI"/>
    <s v="tag wouldn’t seat - resistance at sphincter"/>
    <s v="20140801 LAckein"/>
    <s v="20140802 AStephens"/>
    <s v="x"/>
    <s v="x"/>
    <s v="na"/>
    <s v="FWL"/>
    <s v="na"/>
    <s v="na"/>
    <s v="na"/>
    <s v="na"/>
    <s v="na"/>
    <s v="na"/>
    <s v="na"/>
    <s v="na"/>
  </r>
  <r>
    <n v="1659"/>
    <x v="50"/>
    <n v="3"/>
    <x v="0"/>
    <x v="2"/>
    <x v="0"/>
    <m/>
    <m/>
    <m/>
    <n v="22"/>
    <s v="U"/>
    <m/>
    <d v="1899-12-30T00:42:00"/>
    <s v="13:47"/>
    <s v="LA"/>
    <m/>
    <s v="20140801 LAckein"/>
    <s v="20140802 AStephens"/>
    <s v="x"/>
    <s v="x"/>
    <s v="na"/>
    <s v="FWL"/>
    <s v="na"/>
    <s v="na"/>
    <s v="na"/>
    <s v="na"/>
    <s v="na"/>
    <s v="na"/>
    <s v="na"/>
    <s v="na"/>
  </r>
  <r>
    <n v="1660"/>
    <x v="50"/>
    <n v="3"/>
    <x v="0"/>
    <x v="2"/>
    <x v="0"/>
    <m/>
    <m/>
    <m/>
    <n v="22"/>
    <s v="U"/>
    <d v="1899-12-30T16:13:00"/>
    <d v="1899-12-30T00:30:00"/>
    <s v="16:33"/>
    <s v="LA"/>
    <s v="likely same RT as released at 13:47"/>
    <s v="20140801 LAckein"/>
    <s v="20140802 AStephens"/>
    <d v="1899-12-30T00:19:30"/>
    <s v="x"/>
    <s v="na"/>
    <s v="FWL"/>
    <s v="na"/>
    <s v="na"/>
    <s v="na"/>
    <s v="na"/>
    <s v="na"/>
    <s v="na"/>
    <s v="na"/>
    <s v="na"/>
  </r>
  <r>
    <n v="1661"/>
    <x v="50"/>
    <n v="3"/>
    <x v="12"/>
    <x v="0"/>
    <x v="13"/>
    <n v="98"/>
    <s v="82 P"/>
    <n v="45"/>
    <m/>
    <s v="F"/>
    <m/>
    <d v="1899-12-30T00:53:00"/>
    <s v="17:14"/>
    <s v="CSj"/>
    <m/>
    <s v="20140801 CSejkora"/>
    <s v="20140802 AStephens"/>
    <s v="x"/>
    <n v="151.51499999999999"/>
    <s v="na"/>
    <s v="FWL"/>
    <s v="na"/>
    <s v="na"/>
    <s v="F1835"/>
    <s v="na"/>
    <s v="na"/>
    <s v="na"/>
    <s v="na"/>
    <s v="na"/>
  </r>
  <r>
    <n v="1662"/>
    <x v="50"/>
    <n v="3"/>
    <x v="12"/>
    <x v="0"/>
    <x v="12"/>
    <n v="50"/>
    <s v="86 P"/>
    <n v="50"/>
    <m/>
    <s v="M"/>
    <m/>
    <d v="1899-12-30T00:53:00"/>
    <s v="17:17"/>
    <s v="CSj"/>
    <m/>
    <s v="20140801 CSejkora"/>
    <s v="20140802 AStephens"/>
    <s v="x"/>
    <n v="151.596"/>
    <s v="na"/>
    <s v="FWL"/>
    <s v="na"/>
    <s v="na"/>
    <s v="F1835"/>
    <s v="na"/>
    <s v="na"/>
    <s v="na"/>
    <s v="na"/>
    <s v="na"/>
  </r>
  <r>
    <n v="1663"/>
    <x v="50"/>
    <n v="3"/>
    <x v="12"/>
    <x v="0"/>
    <x v="12"/>
    <n v="48"/>
    <s v="87 P"/>
    <n v="52"/>
    <m/>
    <s v="M"/>
    <m/>
    <d v="1899-12-30T01:12:00"/>
    <s v="17:21"/>
    <s v="BK"/>
    <m/>
    <s v="20140801 CSejkora"/>
    <s v="20140802 AStephens"/>
    <s v="x"/>
    <n v="151.596"/>
    <s v="na"/>
    <s v="FWL"/>
    <s v="na"/>
    <s v="na"/>
    <s v="F1835"/>
    <s v="na"/>
    <s v="na"/>
    <s v="na"/>
    <s v="na"/>
    <s v="na"/>
  </r>
  <r>
    <n v="1664"/>
    <x v="50"/>
    <n v="3"/>
    <x v="12"/>
    <x v="0"/>
    <x v="13"/>
    <n v="36"/>
    <s v="88 P"/>
    <n v="48"/>
    <m/>
    <s v="F"/>
    <m/>
    <d v="1899-12-30T01:07:00"/>
    <s v="17:26"/>
    <s v="CS"/>
    <m/>
    <s v="20140801 CSejkora"/>
    <s v="20140802 AStephens"/>
    <s v="x"/>
    <n v="151.51499999999999"/>
    <s v="na"/>
    <s v="FWL"/>
    <s v="na"/>
    <s v="na"/>
    <s v="F1835"/>
    <s v="na"/>
    <s v="na"/>
    <s v="na"/>
    <s v="na"/>
    <s v="na"/>
  </r>
  <r>
    <n v="1665"/>
    <x v="50"/>
    <n v="3"/>
    <x v="13"/>
    <x v="0"/>
    <x v="15"/>
    <n v="89"/>
    <s v="17 CO"/>
    <n v="56"/>
    <m/>
    <s v="F"/>
    <m/>
    <d v="1899-12-30T01:01:00"/>
    <s v="17:34"/>
    <s v="CSj"/>
    <s v="F266."/>
    <s v="20140801 CSejkora"/>
    <s v="20140802 AStephens"/>
    <s v="x"/>
    <n v="151.26599999999999"/>
    <s v="na"/>
    <s v="FWL"/>
    <s v="na"/>
    <s v="na"/>
    <s v="F1840"/>
    <s v="na"/>
    <s v="na"/>
    <s v="na"/>
    <s v="na"/>
    <s v="na"/>
  </r>
  <r>
    <n v="1666"/>
    <x v="50"/>
    <n v="3"/>
    <x v="7"/>
    <x v="0"/>
    <x v="10"/>
    <n v="91"/>
    <s v="96 S"/>
    <n v="48"/>
    <m/>
    <s v="M"/>
    <m/>
    <d v="1899-12-30T01:57:00"/>
    <s v="18:47"/>
    <s v="CSj"/>
    <m/>
    <s v="20140801 CSejkora"/>
    <s v="20140802 AStephens"/>
    <s v="x"/>
    <n v="151.58600000000001"/>
    <s v="na"/>
    <s v="FWL"/>
    <s v="na"/>
    <s v="na"/>
    <s v="F1840"/>
    <s v="na"/>
    <s v="na"/>
    <s v="na"/>
    <s v="na"/>
    <s v="na"/>
  </r>
  <r>
    <n v="1667"/>
    <x v="50"/>
    <n v="3"/>
    <x v="2"/>
    <x v="2"/>
    <x v="0"/>
    <m/>
    <s v="Bulk HW"/>
    <m/>
    <n v="38"/>
    <s v="U"/>
    <m/>
    <d v="1899-12-30T00:32:00"/>
    <s v="18:53"/>
    <s v="CSj"/>
    <m/>
    <s v="20140801 CSejkora"/>
    <s v="20140802 AStephens"/>
    <s v="x"/>
    <s v="x"/>
    <s v="na"/>
    <s v="FWL"/>
    <s v="na"/>
    <s v="na"/>
    <s v="na"/>
    <s v="na"/>
    <s v="na"/>
    <s v="na"/>
    <s v="na"/>
    <s v="na"/>
  </r>
  <r>
    <n v="1668"/>
    <x v="50"/>
    <n v="3"/>
    <x v="10"/>
    <x v="0"/>
    <x v="11"/>
    <n v="27"/>
    <s v="58 CM"/>
    <n v="60"/>
    <m/>
    <s v="F"/>
    <m/>
    <d v="1899-12-30T00:55:00"/>
    <s v="18:58"/>
    <s v="CSj"/>
    <m/>
    <s v="20140801 CSejkora"/>
    <s v="20140802 AStephens"/>
    <s v="x"/>
    <n v="151.53399999999999"/>
    <s v="na"/>
    <s v="FWL"/>
    <s v="na"/>
    <s v="na"/>
    <s v="F1840"/>
    <s v="na"/>
    <s v="na"/>
    <s v="na"/>
    <s v="na"/>
    <s v="na"/>
  </r>
  <r>
    <n v="1669"/>
    <x v="50"/>
    <n v="3"/>
    <x v="7"/>
    <x v="0"/>
    <x v="6"/>
    <n v="49"/>
    <s v="103 S"/>
    <n v="51"/>
    <m/>
    <s v="M"/>
    <m/>
    <d v="1899-12-30T00:52:00"/>
    <s v="19:02"/>
    <s v="CSj"/>
    <m/>
    <s v="20140801 CSejkora"/>
    <s v="20140802 AStephens"/>
    <s v="x"/>
    <n v="151.57300000000001"/>
    <s v="na"/>
    <s v="FWL"/>
    <s v="na"/>
    <s v="na"/>
    <s v="F1840"/>
    <s v="na"/>
    <s v="na"/>
    <s v="na"/>
    <s v="na"/>
    <s v="na"/>
  </r>
  <r>
    <n v="1670"/>
    <x v="51"/>
    <n v="1"/>
    <x v="10"/>
    <x v="0"/>
    <x v="11"/>
    <n v="29"/>
    <s v="55 CM"/>
    <n v="57"/>
    <m/>
    <s v="M"/>
    <d v="1899-12-30T08:11:00"/>
    <d v="1899-12-30T01:12:00"/>
    <s v="08:28"/>
    <s v="BK"/>
    <m/>
    <s v="20140802 QBerger"/>
    <s v="20140803 JImrie"/>
    <d v="1899-12-30T00:15:48"/>
    <n v="151.53399999999999"/>
    <s v="na"/>
    <s v="FWL"/>
    <s v="na"/>
    <s v="na"/>
    <s v="F1840"/>
    <s v="na"/>
    <s v="na"/>
    <s v="na"/>
    <s v="na"/>
    <s v="na"/>
  </r>
  <r>
    <n v="1671"/>
    <x v="51"/>
    <n v="1"/>
    <x v="12"/>
    <x v="0"/>
    <x v="12"/>
    <n v="86"/>
    <s v="90 P"/>
    <n v="47"/>
    <m/>
    <s v="F"/>
    <d v="1899-12-30T08:14:00"/>
    <d v="1899-12-30T01:06:00"/>
    <s v="08:32"/>
    <s v="BK"/>
    <m/>
    <s v="20140802 QBerger"/>
    <s v="20140803 JImrie"/>
    <d v="1899-12-30T00:16:54"/>
    <n v="151.596"/>
    <s v="na"/>
    <s v="FWL"/>
    <s v="na"/>
    <s v="na"/>
    <s v="F1835"/>
    <s v="na"/>
    <s v="na"/>
    <s v="na"/>
    <s v="na"/>
    <s v="na"/>
  </r>
  <r>
    <n v="1672"/>
    <x v="51"/>
    <n v="1"/>
    <x v="12"/>
    <x v="0"/>
    <x v="12"/>
    <n v="53"/>
    <s v="97 P"/>
    <n v="48"/>
    <m/>
    <s v="F"/>
    <m/>
    <d v="1899-12-30T01:30:00"/>
    <s v="09:34"/>
    <s v="BK"/>
    <m/>
    <s v="20140802 QBerger"/>
    <s v="20140803 JImrie"/>
    <s v="x"/>
    <n v="151.596"/>
    <s v="na"/>
    <s v="FWL"/>
    <s v="na"/>
    <s v="na"/>
    <s v="F1835"/>
    <s v="na"/>
    <s v="na"/>
    <s v="na"/>
    <s v="na"/>
    <s v="na"/>
  </r>
  <r>
    <n v="1673"/>
    <x v="51"/>
    <n v="1"/>
    <x v="12"/>
    <x v="0"/>
    <x v="0"/>
    <m/>
    <m/>
    <n v="46"/>
    <m/>
    <s v="F"/>
    <m/>
    <d v="1899-12-30T00:29:00"/>
    <s v="09:30"/>
    <s v="BK"/>
    <m/>
    <s v="20140802 QBerger"/>
    <s v="20140803 JImrie"/>
    <s v="x"/>
    <s v="x"/>
    <s v="na"/>
    <s v="FWL"/>
    <s v="na"/>
    <s v="na"/>
    <s v="na"/>
    <s v="na"/>
    <s v="na"/>
    <s v="na"/>
    <s v="na"/>
    <s v="na"/>
  </r>
  <r>
    <n v="1674"/>
    <x v="51"/>
    <n v="1"/>
    <x v="12"/>
    <x v="0"/>
    <x v="0"/>
    <m/>
    <m/>
    <n v="46"/>
    <m/>
    <s v="F"/>
    <m/>
    <d v="1899-12-30T00:30:00"/>
    <s v="09:36"/>
    <s v="BK"/>
    <m/>
    <s v="20140802 QBerger"/>
    <s v="20140803 JImrie"/>
    <s v="x"/>
    <s v="x"/>
    <s v="na"/>
    <s v="FWL"/>
    <s v="na"/>
    <s v="na"/>
    <s v="na"/>
    <s v="na"/>
    <s v="na"/>
    <s v="na"/>
    <s v="na"/>
    <s v="na"/>
  </r>
  <r>
    <n v="1675"/>
    <x v="51"/>
    <n v="1"/>
    <x v="12"/>
    <x v="0"/>
    <x v="12"/>
    <n v="87"/>
    <s v="98 P"/>
    <n v="52"/>
    <m/>
    <s v="M"/>
    <m/>
    <d v="1899-12-30T01:01:00"/>
    <s v="09:39"/>
    <s v="QB"/>
    <m/>
    <s v="20140802 QBerger"/>
    <s v="20140803 JImrie"/>
    <s v="x"/>
    <n v="151.596"/>
    <s v="na"/>
    <s v="FWL"/>
    <s v="na"/>
    <s v="na"/>
    <s v="F1835"/>
    <s v="na"/>
    <s v="na"/>
    <s v="na"/>
    <s v="na"/>
    <s v="na"/>
  </r>
  <r>
    <n v="1676"/>
    <x v="51"/>
    <n v="1"/>
    <x v="12"/>
    <x v="0"/>
    <x v="0"/>
    <m/>
    <m/>
    <n v="46"/>
    <m/>
    <s v="F"/>
    <m/>
    <d v="1899-12-30T00:31:00"/>
    <s v="09:42"/>
    <s v="QB"/>
    <m/>
    <s v="20140802 QBerger"/>
    <s v="20140803 JImrie"/>
    <s v="x"/>
    <s v="x"/>
    <s v="na"/>
    <s v="FWL"/>
    <s v="na"/>
    <s v="na"/>
    <s v="na"/>
    <s v="na"/>
    <s v="na"/>
    <s v="na"/>
    <s v="na"/>
    <s v="na"/>
  </r>
  <r>
    <n v="1677"/>
    <x v="51"/>
    <n v="1"/>
    <x v="10"/>
    <x v="0"/>
    <x v="11"/>
    <n v="98"/>
    <s v="65 CM"/>
    <n v="57"/>
    <m/>
    <s v="M"/>
    <m/>
    <d v="1899-12-30T01:04:00"/>
    <s v="09:44"/>
    <s v="QB"/>
    <m/>
    <s v="20140802 QBerger"/>
    <s v="20140803 JImrie"/>
    <s v="x"/>
    <n v="151.53399999999999"/>
    <s v="na"/>
    <s v="FWL"/>
    <s v="na"/>
    <s v="na"/>
    <s v="F1840"/>
    <s v="na"/>
    <s v="na"/>
    <s v="na"/>
    <s v="na"/>
    <s v="na"/>
  </r>
  <r>
    <n v="1678"/>
    <x v="51"/>
    <n v="1"/>
    <x v="12"/>
    <x v="0"/>
    <x v="0"/>
    <m/>
    <m/>
    <n v="45"/>
    <m/>
    <s v="F"/>
    <m/>
    <d v="1899-12-30T00:23:00"/>
    <s v="09:48"/>
    <s v="QB"/>
    <m/>
    <s v="20140802 QBerger"/>
    <s v="20140803 JImrie"/>
    <s v="x"/>
    <s v="x"/>
    <s v="na"/>
    <s v="FWL"/>
    <s v="na"/>
    <s v="na"/>
    <s v="na"/>
    <s v="na"/>
    <s v="na"/>
    <s v="na"/>
    <s v="na"/>
    <s v="na"/>
  </r>
  <r>
    <n v="1679"/>
    <x v="51"/>
    <n v="1"/>
    <x v="12"/>
    <x v="0"/>
    <x v="12"/>
    <n v="82"/>
    <s v="99 P"/>
    <n v="50"/>
    <m/>
    <s v="M"/>
    <m/>
    <d v="1899-12-30T01:01:00"/>
    <s v="09:50"/>
    <s v="QB"/>
    <m/>
    <s v="20140802 QBerger"/>
    <s v="20140803 JImrie"/>
    <s v="x"/>
    <n v="151.596"/>
    <s v="na"/>
    <s v="FWL"/>
    <s v="na"/>
    <s v="na"/>
    <s v="F1835"/>
    <s v="na"/>
    <s v="na"/>
    <s v="na"/>
    <s v="na"/>
    <s v="na"/>
  </r>
  <r>
    <n v="1680"/>
    <x v="51"/>
    <n v="1"/>
    <x v="10"/>
    <x v="0"/>
    <x v="11"/>
    <n v="73"/>
    <s v="66 CM"/>
    <n v="58"/>
    <m/>
    <s v="U"/>
    <m/>
    <d v="1899-12-30T00:47:00"/>
    <s v="09:53"/>
    <s v="BK"/>
    <m/>
    <s v="20140802 QBerger"/>
    <s v="20140803 JImrie"/>
    <s v="x"/>
    <n v="151.53399999999999"/>
    <s v="na"/>
    <s v="FWL"/>
    <s v="na"/>
    <s v="na"/>
    <s v="F1840"/>
    <s v="na"/>
    <s v="na"/>
    <s v="na"/>
    <s v="na"/>
    <s v="na"/>
  </r>
  <r>
    <n v="1681"/>
    <x v="51"/>
    <n v="1"/>
    <x v="12"/>
    <x v="0"/>
    <x v="0"/>
    <m/>
    <m/>
    <n v="45"/>
    <m/>
    <s v="F"/>
    <m/>
    <d v="1899-12-30T00:37:00"/>
    <s v="09:56"/>
    <s v="BK"/>
    <m/>
    <s v="20140802 QBerger"/>
    <s v="20140803 JImrie"/>
    <s v="x"/>
    <s v="x"/>
    <s v="na"/>
    <s v="FWL"/>
    <s v="na"/>
    <s v="na"/>
    <s v="na"/>
    <s v="na"/>
    <s v="na"/>
    <s v="na"/>
    <s v="na"/>
    <s v="na"/>
  </r>
  <r>
    <n v="1682"/>
    <x v="51"/>
    <n v="1"/>
    <x v="12"/>
    <x v="0"/>
    <x v="0"/>
    <m/>
    <m/>
    <n v="48"/>
    <m/>
    <s v="F"/>
    <m/>
    <d v="1899-12-30T00:31:00"/>
    <s v="09:58"/>
    <s v="BK"/>
    <m/>
    <s v="20140802 QBerger"/>
    <s v="20140803 JImrie"/>
    <s v="x"/>
    <s v="x"/>
    <s v="na"/>
    <s v="FWL"/>
    <s v="na"/>
    <s v="na"/>
    <s v="na"/>
    <s v="na"/>
    <s v="na"/>
    <s v="na"/>
    <s v="na"/>
    <s v="na"/>
  </r>
  <r>
    <n v="1683"/>
    <x v="51"/>
    <n v="1"/>
    <x v="12"/>
    <x v="0"/>
    <x v="0"/>
    <m/>
    <m/>
    <n v="46"/>
    <m/>
    <s v="F"/>
    <m/>
    <d v="1899-12-30T00:27:00"/>
    <s v="10:00"/>
    <s v="BK"/>
    <m/>
    <s v="20140802 QBerger"/>
    <s v="20140803 JImrie"/>
    <s v="x"/>
    <s v="x"/>
    <s v="na"/>
    <s v="FWL"/>
    <s v="na"/>
    <s v="na"/>
    <s v="na"/>
    <s v="na"/>
    <s v="na"/>
    <s v="na"/>
    <s v="na"/>
    <s v="na"/>
  </r>
  <r>
    <n v="1684"/>
    <x v="51"/>
    <n v="1"/>
    <x v="10"/>
    <x v="0"/>
    <x v="0"/>
    <m/>
    <m/>
    <n v="62"/>
    <m/>
    <s v="U"/>
    <m/>
    <d v="1899-12-30T00:25:00"/>
    <s v="10:01"/>
    <s v="BK"/>
    <m/>
    <s v="20140802 QBerger"/>
    <s v="20140803 JImrie"/>
    <s v="x"/>
    <s v="x"/>
    <s v="na"/>
    <s v="FWL"/>
    <s v="na"/>
    <s v="na"/>
    <s v="na"/>
    <s v="na"/>
    <s v="na"/>
    <s v="na"/>
    <s v="na"/>
    <s v="na"/>
  </r>
  <r>
    <n v="1685"/>
    <x v="51"/>
    <n v="1"/>
    <x v="12"/>
    <x v="0"/>
    <x v="0"/>
    <m/>
    <m/>
    <n v="53"/>
    <m/>
    <s v="M"/>
    <m/>
    <d v="1899-12-30T00:33:00"/>
    <s v="10:03"/>
    <s v="BK"/>
    <m/>
    <s v="20140802 QBerger"/>
    <s v="20140803 JImrie"/>
    <s v="x"/>
    <s v="x"/>
    <s v="na"/>
    <s v="FWL"/>
    <s v="na"/>
    <s v="na"/>
    <s v="na"/>
    <s v="na"/>
    <s v="na"/>
    <s v="na"/>
    <s v="na"/>
    <s v="na"/>
  </r>
  <r>
    <n v="1686"/>
    <x v="51"/>
    <n v="1"/>
    <x v="12"/>
    <x v="0"/>
    <x v="0"/>
    <m/>
    <m/>
    <n v="50"/>
    <m/>
    <s v="M"/>
    <m/>
    <d v="1899-12-30T00:21:00"/>
    <s v="10:05"/>
    <s v="BK"/>
    <m/>
    <s v="20140802 QBerger"/>
    <s v="20140803 JImrie"/>
    <s v="x"/>
    <s v="x"/>
    <s v="na"/>
    <s v="FWL"/>
    <s v="na"/>
    <s v="na"/>
    <s v="na"/>
    <s v="na"/>
    <s v="na"/>
    <s v="na"/>
    <s v="na"/>
    <s v="na"/>
  </r>
  <r>
    <n v="1687"/>
    <x v="51"/>
    <n v="1"/>
    <x v="12"/>
    <x v="0"/>
    <x v="0"/>
    <m/>
    <m/>
    <n v="43"/>
    <m/>
    <s v="F"/>
    <m/>
    <d v="1899-12-30T00:26:00"/>
    <s v="10:06"/>
    <s v="BK"/>
    <m/>
    <s v="20140802 QBerger"/>
    <s v="20140803 JImrie"/>
    <s v="x"/>
    <s v="x"/>
    <s v="na"/>
    <s v="FWL"/>
    <s v="na"/>
    <s v="na"/>
    <s v="na"/>
    <s v="na"/>
    <s v="na"/>
    <s v="na"/>
    <s v="na"/>
    <s v="na"/>
  </r>
  <r>
    <n v="1688"/>
    <x v="51"/>
    <n v="1"/>
    <x v="12"/>
    <x v="0"/>
    <x v="0"/>
    <m/>
    <m/>
    <n v="44"/>
    <m/>
    <s v="F"/>
    <m/>
    <d v="1899-12-30T00:27:00"/>
    <s v="10:08"/>
    <s v="BK"/>
    <m/>
    <s v="20140802 QBerger"/>
    <s v="20140803 JImrie"/>
    <s v="x"/>
    <s v="x"/>
    <s v="na"/>
    <s v="FWL"/>
    <s v="na"/>
    <s v="na"/>
    <s v="na"/>
    <s v="na"/>
    <s v="na"/>
    <s v="na"/>
    <s v="na"/>
    <s v="na"/>
  </r>
  <r>
    <n v="1689"/>
    <x v="51"/>
    <n v="1"/>
    <x v="10"/>
    <x v="0"/>
    <x v="0"/>
    <m/>
    <m/>
    <n v="62"/>
    <m/>
    <s v="U"/>
    <m/>
    <d v="1899-12-30T00:28:00"/>
    <s v="12:02"/>
    <s v="BK"/>
    <m/>
    <s v="20140802 QBerger"/>
    <s v="20140803 JImrie"/>
    <s v="x"/>
    <s v="x"/>
    <s v="na"/>
    <s v="FWL"/>
    <s v="na"/>
    <s v="na"/>
    <s v="na"/>
    <s v="na"/>
    <s v="na"/>
    <s v="na"/>
    <s v="na"/>
    <s v="na"/>
  </r>
  <r>
    <n v="1690"/>
    <x v="51"/>
    <n v="1"/>
    <x v="10"/>
    <x v="0"/>
    <x v="0"/>
    <m/>
    <m/>
    <n v="53"/>
    <m/>
    <s v="U"/>
    <m/>
    <d v="1899-12-30T00:26:00"/>
    <s v="12:03"/>
    <s v="BK"/>
    <m/>
    <s v="20140802 BKalb"/>
    <s v="20140803 JImrie"/>
    <s v="x"/>
    <s v="x"/>
    <s v="na"/>
    <s v="FWL"/>
    <s v="na"/>
    <s v="na"/>
    <s v="na"/>
    <s v="na"/>
    <s v="na"/>
    <s v="na"/>
    <s v="na"/>
    <s v="na"/>
  </r>
  <r>
    <n v="1691"/>
    <x v="51"/>
    <n v="1"/>
    <x v="10"/>
    <x v="0"/>
    <x v="0"/>
    <m/>
    <m/>
    <n v="59"/>
    <m/>
    <s v="U"/>
    <m/>
    <d v="1899-12-30T00:22:00"/>
    <s v="12:08"/>
    <s v="BK"/>
    <m/>
    <s v="20140802 BKalb"/>
    <s v="20140803 JImrie"/>
    <s v="x"/>
    <s v="x"/>
    <s v="na"/>
    <s v="FWL"/>
    <s v="na"/>
    <s v="na"/>
    <s v="na"/>
    <s v="na"/>
    <s v="na"/>
    <s v="na"/>
    <s v="na"/>
    <s v="na"/>
  </r>
  <r>
    <n v="1692"/>
    <x v="51"/>
    <n v="1"/>
    <x v="10"/>
    <x v="0"/>
    <x v="0"/>
    <m/>
    <m/>
    <n v="60"/>
    <m/>
    <s v="U"/>
    <m/>
    <d v="1899-12-30T00:28:00"/>
    <s v="12:11"/>
    <s v="QB"/>
    <m/>
    <s v="20140802 BKalb"/>
    <s v="20140803 JImrie"/>
    <s v="x"/>
    <s v="x"/>
    <s v="na"/>
    <s v="FWL"/>
    <s v="na"/>
    <s v="na"/>
    <s v="na"/>
    <s v="na"/>
    <s v="na"/>
    <s v="na"/>
    <s v="na"/>
    <s v="na"/>
  </r>
  <r>
    <n v="1693"/>
    <x v="51"/>
    <n v="1"/>
    <x v="10"/>
    <x v="0"/>
    <x v="0"/>
    <m/>
    <m/>
    <n v="48"/>
    <m/>
    <s v="U"/>
    <m/>
    <d v="1899-12-30T00:29:00"/>
    <s v="13:38"/>
    <s v="QB"/>
    <m/>
    <s v="20140802 BKalb"/>
    <s v="20140803 JImrie"/>
    <s v="x"/>
    <s v="x"/>
    <s v="na"/>
    <s v="FWL"/>
    <s v="na"/>
    <s v="na"/>
    <s v="na"/>
    <s v="na"/>
    <s v="na"/>
    <s v="na"/>
    <s v="na"/>
    <s v="na"/>
  </r>
  <r>
    <n v="1694"/>
    <x v="51"/>
    <n v="1"/>
    <x v="10"/>
    <x v="0"/>
    <x v="0"/>
    <m/>
    <m/>
    <n v="63"/>
    <m/>
    <s v="U"/>
    <m/>
    <d v="1899-12-30T00:29:00"/>
    <s v="13:40"/>
    <s v="QB"/>
    <m/>
    <s v="20140802 BKalb"/>
    <s v="20140803 JImrie"/>
    <s v="x"/>
    <s v="x"/>
    <s v="na"/>
    <s v="FWL"/>
    <s v="na"/>
    <s v="na"/>
    <s v="na"/>
    <s v="na"/>
    <s v="na"/>
    <s v="na"/>
    <s v="na"/>
    <s v="na"/>
  </r>
  <r>
    <n v="1695"/>
    <x v="51"/>
    <n v="1"/>
    <x v="10"/>
    <x v="0"/>
    <x v="0"/>
    <m/>
    <m/>
    <n v="63"/>
    <m/>
    <s v="U"/>
    <m/>
    <d v="1899-12-30T00:31:00"/>
    <s v="13:41"/>
    <s v="QB"/>
    <m/>
    <s v="20140802 BKalb"/>
    <s v="20140803 JImrie"/>
    <s v="x"/>
    <s v="x"/>
    <s v="na"/>
    <s v="FWL"/>
    <s v="na"/>
    <s v="na"/>
    <s v="na"/>
    <s v="na"/>
    <s v="na"/>
    <s v="na"/>
    <s v="na"/>
    <s v="na"/>
  </r>
  <r>
    <n v="1696"/>
    <x v="51"/>
    <n v="1"/>
    <x v="10"/>
    <x v="0"/>
    <x v="0"/>
    <m/>
    <m/>
    <n v="49"/>
    <m/>
    <s v="U"/>
    <m/>
    <d v="1899-12-30T00:39:00"/>
    <s v="13:45"/>
    <s v="QB"/>
    <m/>
    <s v="20140802 BKalb"/>
    <s v="20140803 JImrie"/>
    <s v="x"/>
    <s v="x"/>
    <s v="na"/>
    <s v="FWL"/>
    <s v="na"/>
    <s v="na"/>
    <s v="na"/>
    <s v="na"/>
    <s v="na"/>
    <s v="na"/>
    <s v="na"/>
    <s v="na"/>
  </r>
  <r>
    <n v="1697"/>
    <x v="51"/>
    <n v="1"/>
    <x v="10"/>
    <x v="0"/>
    <x v="0"/>
    <m/>
    <m/>
    <n v="61"/>
    <m/>
    <s v="F"/>
    <m/>
    <d v="1899-12-30T00:22:00"/>
    <s v="15:11"/>
    <s v="CSj"/>
    <m/>
    <s v="20140802 CSejkora"/>
    <s v="20140803 JImrie"/>
    <s v="x"/>
    <s v="x"/>
    <s v="na"/>
    <s v="FWL"/>
    <s v="na"/>
    <s v="na"/>
    <s v="na"/>
    <s v="na"/>
    <s v="na"/>
    <s v="na"/>
    <s v="na"/>
    <s v="na"/>
  </r>
  <r>
    <n v="1698"/>
    <x v="51"/>
    <n v="1"/>
    <x v="10"/>
    <x v="0"/>
    <x v="0"/>
    <m/>
    <m/>
    <n v="60"/>
    <m/>
    <s v="M"/>
    <m/>
    <d v="1899-12-30T00:27:00"/>
    <s v="15:13"/>
    <s v="CSj"/>
    <m/>
    <s v="20140802 CSejkora"/>
    <s v="20140803 JImrie"/>
    <s v="x"/>
    <s v="x"/>
    <s v="na"/>
    <s v="FWL"/>
    <s v="na"/>
    <s v="na"/>
    <s v="na"/>
    <s v="na"/>
    <s v="na"/>
    <s v="na"/>
    <s v="na"/>
    <s v="na"/>
  </r>
  <r>
    <n v="1699"/>
    <x v="51"/>
    <n v="1"/>
    <x v="10"/>
    <x v="0"/>
    <x v="0"/>
    <m/>
    <m/>
    <n v="53"/>
    <m/>
    <s v="F"/>
    <m/>
    <d v="1899-12-30T00:21:00"/>
    <s v="15:14"/>
    <s v="CSj"/>
    <m/>
    <s v="20140802 CSejkora"/>
    <s v="20140803 JImrie"/>
    <s v="x"/>
    <s v="x"/>
    <s v="na"/>
    <s v="FWL"/>
    <s v="na"/>
    <s v="na"/>
    <s v="na"/>
    <s v="na"/>
    <s v="na"/>
    <s v="na"/>
    <s v="na"/>
    <s v="na"/>
  </r>
  <r>
    <n v="1700"/>
    <x v="51"/>
    <n v="2"/>
    <x v="10"/>
    <x v="0"/>
    <x v="0"/>
    <m/>
    <m/>
    <n v="56"/>
    <m/>
    <s v="U"/>
    <m/>
    <d v="1899-12-30T00:30:00"/>
    <s v="10:46"/>
    <s v="BK"/>
    <m/>
    <s v="20140802 BKalb"/>
    <s v="20140803 JImrie"/>
    <s v="x"/>
    <s v="x"/>
    <s v="na"/>
    <s v="FWL"/>
    <s v="na"/>
    <s v="na"/>
    <s v="na"/>
    <s v="na"/>
    <s v="na"/>
    <s v="na"/>
    <s v="na"/>
    <s v="na"/>
  </r>
  <r>
    <n v="1701"/>
    <x v="51"/>
    <n v="2"/>
    <x v="12"/>
    <x v="0"/>
    <x v="12"/>
    <n v="54"/>
    <s v="100 P"/>
    <n v="46"/>
    <m/>
    <s v="F"/>
    <m/>
    <d v="1899-12-30T01:10:00"/>
    <s v="10:50"/>
    <s v="BK"/>
    <m/>
    <s v="20140802 BKalb"/>
    <s v="20140803 JImrie"/>
    <s v="x"/>
    <n v="151.596"/>
    <s v="na"/>
    <s v="FWL"/>
    <s v="na"/>
    <s v="na"/>
    <s v="F1835"/>
    <s v="na"/>
    <s v="na"/>
    <s v="na"/>
    <s v="na"/>
    <s v="na"/>
  </r>
  <r>
    <n v="1702"/>
    <x v="51"/>
    <n v="2"/>
    <x v="13"/>
    <x v="0"/>
    <x v="14"/>
    <n v="24"/>
    <s v="10 CO"/>
    <n v="48"/>
    <m/>
    <s v="U"/>
    <d v="1899-12-30T12:22:00"/>
    <d v="1899-12-30T00:59:00"/>
    <s v="12:39"/>
    <s v="QB"/>
    <m/>
    <s v="20140802 BKalb"/>
    <s v="20140803 JImrie"/>
    <d v="1899-12-30T00:16:01"/>
    <n v="151.32499999999999"/>
    <s v="na"/>
    <s v="FWL"/>
    <s v="na"/>
    <s v="na"/>
    <s v="F1840"/>
    <s v="na"/>
    <s v="na"/>
    <s v="na"/>
    <s v="na"/>
    <s v="na"/>
  </r>
  <r>
    <n v="1703"/>
    <x v="51"/>
    <n v="2"/>
    <x v="10"/>
    <x v="0"/>
    <x v="0"/>
    <m/>
    <m/>
    <n v="53"/>
    <m/>
    <s v="F"/>
    <m/>
    <d v="1899-12-30T00:23:00"/>
    <s v="14:51"/>
    <s v="CSw"/>
    <m/>
    <s v="20140802 CSejkora"/>
    <s v="20140803 JImrie"/>
    <s v="x"/>
    <s v="x"/>
    <s v="na"/>
    <s v="FWL"/>
    <s v="na"/>
    <s v="na"/>
    <s v="na"/>
    <s v="na"/>
    <s v="na"/>
    <s v="na"/>
    <s v="na"/>
    <s v="na"/>
  </r>
  <r>
    <n v="1704"/>
    <x v="51"/>
    <n v="2"/>
    <x v="10"/>
    <x v="0"/>
    <x v="0"/>
    <m/>
    <m/>
    <n v="59"/>
    <m/>
    <s v="F"/>
    <m/>
    <d v="1899-12-30T00:34:00"/>
    <s v="16:33"/>
    <s v="CSw"/>
    <m/>
    <s v="20140802 CSejkora"/>
    <s v="20140803 JImrie"/>
    <s v="x"/>
    <s v="x"/>
    <s v="na"/>
    <s v="FWL"/>
    <s v="na"/>
    <s v="na"/>
    <s v="na"/>
    <s v="na"/>
    <s v="na"/>
    <s v="na"/>
    <s v="na"/>
    <s v="na"/>
  </r>
  <r>
    <n v="1705"/>
    <x v="51"/>
    <n v="2"/>
    <x v="7"/>
    <x v="0"/>
    <x v="6"/>
    <n v="31"/>
    <s v="106 S"/>
    <n v="44"/>
    <m/>
    <s v="M"/>
    <m/>
    <d v="1899-12-30T01:08:00"/>
    <s v="16:39"/>
    <s v="CSj"/>
    <m/>
    <s v="20140802 CSejkora"/>
    <s v="20140803 JImrie"/>
    <s v="x"/>
    <n v="151.57300000000001"/>
    <s v="na"/>
    <s v="FWL"/>
    <s v="na"/>
    <s v="na"/>
    <s v="F1840"/>
    <s v="na"/>
    <s v="na"/>
    <s v="na"/>
    <s v="na"/>
    <s v="na"/>
  </r>
  <r>
    <n v="1706"/>
    <x v="51"/>
    <n v="2"/>
    <x v="12"/>
    <x v="0"/>
    <x v="13"/>
    <n v="0"/>
    <s v="101 P"/>
    <n v="45"/>
    <m/>
    <s v="F"/>
    <m/>
    <d v="1899-12-30T01:14:00"/>
    <s v="19:23"/>
    <s v="CSj"/>
    <m/>
    <s v="20140802 CSejkora"/>
    <s v="20140803 JImrie"/>
    <s v="x"/>
    <n v="151.51499999999999"/>
    <s v="na"/>
    <s v="FWL"/>
    <s v="na"/>
    <s v="na"/>
    <s v="F1835"/>
    <s v="na"/>
    <s v="na"/>
    <s v="na"/>
    <s v="na"/>
    <s v="na"/>
  </r>
  <r>
    <n v="1707"/>
    <x v="51"/>
    <n v="3"/>
    <x v="12"/>
    <x v="0"/>
    <x v="12"/>
    <n v="92"/>
    <s v="89 P"/>
    <n v="47"/>
    <m/>
    <s v="F"/>
    <m/>
    <d v="1899-12-30T01:08:00"/>
    <s v="09:20"/>
    <s v="CSj"/>
    <m/>
    <s v="20140802 CSewright"/>
    <s v="20140803 JImrie"/>
    <s v="x"/>
    <n v="151.596"/>
    <s v="na"/>
    <s v="FWL"/>
    <s v="na"/>
    <s v="na"/>
    <s v="F1835"/>
    <s v="na"/>
    <s v="na"/>
    <s v="na"/>
    <s v="na"/>
    <s v="na"/>
  </r>
  <r>
    <n v="1708"/>
    <x v="51"/>
    <n v="3"/>
    <x v="12"/>
    <x v="0"/>
    <x v="13"/>
    <n v="58"/>
    <s v="94 P"/>
    <n v="47"/>
    <m/>
    <s v="F"/>
    <m/>
    <d v="1899-12-30T00:53:00"/>
    <s v="09:29"/>
    <s v="CSj"/>
    <m/>
    <s v="20140802 CSewright"/>
    <s v="20140803 JImrie"/>
    <s v="x"/>
    <n v="151.51499999999999"/>
    <s v="na"/>
    <s v="FWL"/>
    <s v="na"/>
    <s v="na"/>
    <s v="F1835"/>
    <s v="na"/>
    <s v="na"/>
    <s v="na"/>
    <s v="na"/>
    <s v="na"/>
  </r>
  <r>
    <n v="1709"/>
    <x v="51"/>
    <n v="3"/>
    <x v="12"/>
    <x v="0"/>
    <x v="13"/>
    <n v="61"/>
    <s v="95 P"/>
    <n v="48"/>
    <m/>
    <s v="M"/>
    <m/>
    <d v="1899-12-30T01:13:00"/>
    <s v="09:31"/>
    <s v="CSj"/>
    <m/>
    <s v="20140802 CSewright"/>
    <s v="20140803 JImrie"/>
    <s v="x"/>
    <n v="151.51499999999999"/>
    <s v="na"/>
    <s v="FWL"/>
    <s v="na"/>
    <s v="na"/>
    <s v="F1835"/>
    <s v="na"/>
    <s v="na"/>
    <s v="na"/>
    <s v="na"/>
    <s v="na"/>
  </r>
  <r>
    <n v="1710"/>
    <x v="51"/>
    <n v="3"/>
    <x v="10"/>
    <x v="0"/>
    <x v="7"/>
    <n v="27"/>
    <s v="59 CM"/>
    <n v="60"/>
    <m/>
    <s v="F"/>
    <m/>
    <d v="1899-12-30T01:10:00"/>
    <s v="09:36"/>
    <s v="CSj"/>
    <m/>
    <s v="20140802 CSewright"/>
    <s v="20140803 JImrie"/>
    <s v="x"/>
    <n v="151.56399999999999"/>
    <s v="na"/>
    <s v="FWL"/>
    <s v="na"/>
    <s v="na"/>
    <s v="F1840"/>
    <s v="na"/>
    <s v="na"/>
    <s v="na"/>
    <s v="na"/>
    <s v="na"/>
  </r>
  <r>
    <n v="1711"/>
    <x v="51"/>
    <n v="3"/>
    <x v="10"/>
    <x v="0"/>
    <x v="7"/>
    <n v="69"/>
    <s v="60 CM"/>
    <n v="60"/>
    <m/>
    <s v="M"/>
    <m/>
    <d v="1899-12-30T01:30:00"/>
    <s v="09:38"/>
    <s v="CSj"/>
    <m/>
    <s v="20140802 CSewright"/>
    <s v="20140803 JImrie"/>
    <s v="x"/>
    <n v="151.56399999999999"/>
    <s v="na"/>
    <s v="FWL"/>
    <s v="na"/>
    <s v="na"/>
    <s v="F1840"/>
    <s v="na"/>
    <s v="na"/>
    <s v="na"/>
    <s v="na"/>
    <s v="na"/>
  </r>
  <r>
    <n v="1712"/>
    <x v="51"/>
    <n v="3"/>
    <x v="12"/>
    <x v="0"/>
    <x v="0"/>
    <m/>
    <m/>
    <n v="48"/>
    <m/>
    <s v="M"/>
    <m/>
    <d v="1899-12-30T00:30:00"/>
    <s v="09:41"/>
    <s v="CSj"/>
    <m/>
    <s v="20140802 CSewright"/>
    <s v="20140803 JImrie"/>
    <s v="x"/>
    <s v="x"/>
    <s v="na"/>
    <s v="FWL"/>
    <s v="na"/>
    <s v="na"/>
    <s v="na"/>
    <s v="na"/>
    <s v="na"/>
    <s v="na"/>
    <s v="na"/>
    <s v="na"/>
  </r>
  <r>
    <n v="1713"/>
    <x v="51"/>
    <n v="3"/>
    <x v="12"/>
    <x v="0"/>
    <x v="0"/>
    <m/>
    <m/>
    <n v="44"/>
    <m/>
    <s v="F"/>
    <m/>
    <d v="1899-12-30T00:29:00"/>
    <s v="09:43"/>
    <s v="CS"/>
    <m/>
    <s v="20140802 CSewright"/>
    <s v="20140803 JImrie"/>
    <s v="x"/>
    <s v="x"/>
    <s v="na"/>
    <s v="FWL"/>
    <s v="na"/>
    <s v="na"/>
    <s v="na"/>
    <s v="na"/>
    <s v="na"/>
    <s v="na"/>
    <s v="na"/>
    <s v="na"/>
  </r>
  <r>
    <n v="1714"/>
    <x v="51"/>
    <n v="3"/>
    <x v="12"/>
    <x v="0"/>
    <x v="0"/>
    <m/>
    <m/>
    <n v="45"/>
    <m/>
    <s v="F"/>
    <m/>
    <d v="1899-12-30T00:25:00"/>
    <s v="09:44"/>
    <s v="CSw"/>
    <m/>
    <s v="20140802 CSewright"/>
    <s v="20140803 JImrie"/>
    <s v="x"/>
    <s v="x"/>
    <s v="na"/>
    <s v="FWL"/>
    <s v="na"/>
    <s v="na"/>
    <s v="na"/>
    <s v="na"/>
    <s v="na"/>
    <s v="na"/>
    <s v="na"/>
    <s v="na"/>
  </r>
  <r>
    <n v="1715"/>
    <x v="51"/>
    <n v="3"/>
    <x v="12"/>
    <x v="0"/>
    <x v="0"/>
    <m/>
    <m/>
    <n v="47"/>
    <m/>
    <s v="F"/>
    <m/>
    <d v="1899-12-30T00:28:00"/>
    <s v="09:45"/>
    <s v="CSw"/>
    <m/>
    <s v="20140802 CSewright"/>
    <s v="20140803 JImrie"/>
    <s v="x"/>
    <s v="x"/>
    <s v="na"/>
    <s v="FWL"/>
    <s v="na"/>
    <s v="na"/>
    <s v="na"/>
    <s v="na"/>
    <s v="na"/>
    <s v="na"/>
    <s v="na"/>
    <s v="na"/>
  </r>
  <r>
    <n v="1716"/>
    <x v="51"/>
    <n v="3"/>
    <x v="12"/>
    <x v="0"/>
    <x v="0"/>
    <m/>
    <m/>
    <n v="44"/>
    <m/>
    <s v="F"/>
    <m/>
    <d v="1899-12-30T00:15:00"/>
    <s v="09:46"/>
    <s v="CSw"/>
    <m/>
    <s v="20140802 CSewright"/>
    <s v="20140803 JImrie"/>
    <s v="x"/>
    <s v="x"/>
    <s v="na"/>
    <s v="FWL"/>
    <s v="na"/>
    <s v="na"/>
    <s v="na"/>
    <s v="na"/>
    <s v="na"/>
    <s v="na"/>
    <s v="na"/>
    <s v="na"/>
  </r>
  <r>
    <n v="1717"/>
    <x v="51"/>
    <n v="3"/>
    <x v="12"/>
    <x v="0"/>
    <x v="0"/>
    <m/>
    <m/>
    <n v="46"/>
    <m/>
    <s v="M"/>
    <m/>
    <d v="1899-12-30T00:30:00"/>
    <s v="09:47"/>
    <s v="CSw"/>
    <m/>
    <s v="20140802 CSewright"/>
    <s v="20140803 JImrie"/>
    <s v="x"/>
    <s v="x"/>
    <s v="na"/>
    <s v="FWL"/>
    <s v="na"/>
    <s v="na"/>
    <s v="na"/>
    <s v="na"/>
    <s v="na"/>
    <s v="na"/>
    <s v="na"/>
    <s v="na"/>
  </r>
  <r>
    <n v="1718"/>
    <x v="51"/>
    <n v="3"/>
    <x v="12"/>
    <x v="0"/>
    <x v="0"/>
    <m/>
    <m/>
    <n v="44"/>
    <m/>
    <s v="M"/>
    <m/>
    <d v="1899-12-30T00:20:00"/>
    <s v="09:49"/>
    <s v="CSw"/>
    <m/>
    <s v="20140802 CSewright"/>
    <s v="20140803 JImrie"/>
    <s v="x"/>
    <s v="x"/>
    <s v="na"/>
    <s v="FWL"/>
    <s v="na"/>
    <s v="na"/>
    <s v="na"/>
    <s v="na"/>
    <s v="na"/>
    <s v="na"/>
    <s v="na"/>
    <s v="na"/>
  </r>
  <r>
    <n v="1719"/>
    <x v="51"/>
    <n v="3"/>
    <x v="10"/>
    <x v="0"/>
    <x v="0"/>
    <m/>
    <m/>
    <n v="55"/>
    <m/>
    <s v="F"/>
    <m/>
    <d v="1899-12-30T00:20:00"/>
    <s v="09:50"/>
    <s v="CSw"/>
    <m/>
    <s v="20140802 CSewright"/>
    <s v="20140803 JImrie"/>
    <s v="x"/>
    <s v="x"/>
    <s v="na"/>
    <s v="FWL"/>
    <s v="na"/>
    <s v="na"/>
    <s v="na"/>
    <s v="na"/>
    <s v="na"/>
    <s v="na"/>
    <s v="na"/>
    <s v="na"/>
  </r>
  <r>
    <n v="1720"/>
    <x v="51"/>
    <n v="3"/>
    <x v="12"/>
    <x v="0"/>
    <x v="0"/>
    <m/>
    <m/>
    <n v="50"/>
    <m/>
    <s v="M"/>
    <m/>
    <d v="1899-12-30T00:22:00"/>
    <s v="09:51"/>
    <s v="CSw"/>
    <m/>
    <s v="20140802 CSewright"/>
    <s v="20140803 JImrie"/>
    <s v="x"/>
    <s v="x"/>
    <s v="na"/>
    <s v="FWL"/>
    <s v="na"/>
    <s v="na"/>
    <s v="na"/>
    <s v="na"/>
    <s v="na"/>
    <s v="na"/>
    <s v="na"/>
    <s v="na"/>
  </r>
  <r>
    <n v="1721"/>
    <x v="51"/>
    <n v="3"/>
    <x v="10"/>
    <x v="0"/>
    <x v="0"/>
    <m/>
    <m/>
    <n v="61"/>
    <m/>
    <s v="M"/>
    <m/>
    <d v="1899-12-30T00:20:00"/>
    <s v="10:45"/>
    <s v="CSw"/>
    <m/>
    <s v="20140802 CSewright"/>
    <s v="20140803 JImrie"/>
    <s v="x"/>
    <s v="x"/>
    <s v="na"/>
    <s v="FWL"/>
    <s v="na"/>
    <s v="na"/>
    <s v="na"/>
    <s v="na"/>
    <s v="na"/>
    <s v="na"/>
    <s v="na"/>
    <s v="na"/>
  </r>
  <r>
    <n v="1722"/>
    <x v="51"/>
    <n v="3"/>
    <x v="10"/>
    <x v="0"/>
    <x v="0"/>
    <m/>
    <m/>
    <n v="63"/>
    <m/>
    <s v="F"/>
    <m/>
    <d v="1899-12-30T00:30:00"/>
    <s v="10:50"/>
    <s v="CSw"/>
    <m/>
    <s v="20140802 CSewright"/>
    <s v="20140803 JImrie"/>
    <s v="x"/>
    <s v="x"/>
    <s v="na"/>
    <s v="FWL"/>
    <s v="na"/>
    <s v="na"/>
    <s v="na"/>
    <s v="na"/>
    <s v="na"/>
    <s v="na"/>
    <s v="na"/>
    <s v="na"/>
  </r>
  <r>
    <n v="1723"/>
    <x v="51"/>
    <n v="3"/>
    <x v="12"/>
    <x v="0"/>
    <x v="0"/>
    <m/>
    <m/>
    <n v="43"/>
    <m/>
    <s v="F"/>
    <m/>
    <d v="1899-12-30T00:28:00"/>
    <s v="10:51"/>
    <s v="CSw"/>
    <m/>
    <s v="20140802 CSewright"/>
    <s v="20140803 JImrie"/>
    <s v="x"/>
    <s v="x"/>
    <s v="na"/>
    <s v="FWL"/>
    <s v="na"/>
    <s v="na"/>
    <s v="na"/>
    <s v="na"/>
    <s v="na"/>
    <s v="na"/>
    <s v="na"/>
    <s v="na"/>
  </r>
  <r>
    <n v="1724"/>
    <x v="51"/>
    <n v="3"/>
    <x v="10"/>
    <x v="0"/>
    <x v="0"/>
    <m/>
    <m/>
    <n v="61"/>
    <m/>
    <s v="M"/>
    <m/>
    <d v="1899-12-30T00:22:00"/>
    <s v="10:53"/>
    <s v="CSw"/>
    <m/>
    <s v="20140802 CSewright"/>
    <s v="20140803 JImrie"/>
    <s v="x"/>
    <s v="x"/>
    <s v="na"/>
    <s v="FWL"/>
    <s v="na"/>
    <s v="na"/>
    <s v="na"/>
    <s v="na"/>
    <s v="na"/>
    <s v="na"/>
    <s v="na"/>
    <s v="na"/>
  </r>
  <r>
    <n v="1725"/>
    <x v="51"/>
    <n v="3"/>
    <x v="10"/>
    <x v="0"/>
    <x v="0"/>
    <m/>
    <m/>
    <n v="62"/>
    <m/>
    <s v="M"/>
    <m/>
    <d v="1899-12-30T00:30:00"/>
    <s v="10:54"/>
    <s v="CSw"/>
    <m/>
    <s v="20140802 CSewright"/>
    <s v="20140803 JImrie"/>
    <s v="x"/>
    <s v="x"/>
    <s v="na"/>
    <s v="FWL"/>
    <s v="na"/>
    <s v="na"/>
    <s v="na"/>
    <s v="na"/>
    <s v="na"/>
    <s v="na"/>
    <s v="na"/>
    <s v="na"/>
  </r>
  <r>
    <n v="1726"/>
    <x v="51"/>
    <n v="3"/>
    <x v="10"/>
    <x v="0"/>
    <x v="0"/>
    <m/>
    <m/>
    <n v="59"/>
    <m/>
    <s v="U"/>
    <m/>
    <d v="1899-12-30T00:22:00"/>
    <s v="11:59"/>
    <s v="JI"/>
    <m/>
    <s v="20140802 JKunzler"/>
    <s v="20140803 JImrie"/>
    <s v="x"/>
    <s v="x"/>
    <s v="na"/>
    <s v="FWL"/>
    <s v="na"/>
    <s v="na"/>
    <s v="na"/>
    <s v="na"/>
    <s v="na"/>
    <s v="na"/>
    <s v="na"/>
    <s v="na"/>
  </r>
  <r>
    <n v="1727"/>
    <x v="51"/>
    <n v="3"/>
    <x v="10"/>
    <x v="0"/>
    <x v="0"/>
    <m/>
    <m/>
    <n v="59"/>
    <m/>
    <s v="U"/>
    <m/>
    <d v="1899-12-30T00:24:00"/>
    <s v="12:03"/>
    <s v="JI"/>
    <m/>
    <s v="20140802 JKunzler"/>
    <s v="20140803 JImrie"/>
    <s v="x"/>
    <s v="x"/>
    <s v="na"/>
    <s v="FWL"/>
    <s v="na"/>
    <s v="na"/>
    <s v="na"/>
    <s v="na"/>
    <s v="na"/>
    <s v="na"/>
    <s v="na"/>
    <s v="na"/>
  </r>
  <r>
    <n v="1728"/>
    <x v="51"/>
    <n v="3"/>
    <x v="10"/>
    <x v="0"/>
    <x v="0"/>
    <m/>
    <m/>
    <n v="57"/>
    <m/>
    <s v="U"/>
    <m/>
    <d v="1899-12-30T01:11:00"/>
    <s v="12:04"/>
    <s v="JI"/>
    <m/>
    <s v="20140802 JKunzler"/>
    <s v="20140803 JImrie"/>
    <s v="x"/>
    <s v="x"/>
    <s v="na"/>
    <s v="FWL"/>
    <s v="na"/>
    <s v="na"/>
    <s v="na"/>
    <s v="na"/>
    <s v="na"/>
    <s v="na"/>
    <s v="na"/>
    <s v="na"/>
  </r>
  <r>
    <n v="1729"/>
    <x v="51"/>
    <n v="3"/>
    <x v="12"/>
    <x v="0"/>
    <x v="0"/>
    <m/>
    <m/>
    <n v="47"/>
    <m/>
    <s v="U"/>
    <m/>
    <d v="1899-12-30T00:40:00"/>
    <s v="12:06"/>
    <s v="JI"/>
    <m/>
    <s v="20140802 JKunzler"/>
    <s v="20140803 JImrie"/>
    <s v="x"/>
    <s v="x"/>
    <s v="na"/>
    <s v="FWL"/>
    <s v="na"/>
    <s v="na"/>
    <s v="na"/>
    <s v="na"/>
    <s v="na"/>
    <s v="na"/>
    <s v="na"/>
    <s v="na"/>
  </r>
  <r>
    <n v="1730"/>
    <x v="51"/>
    <n v="3"/>
    <x v="12"/>
    <x v="0"/>
    <x v="12"/>
    <n v="66"/>
    <s v="96 P"/>
    <n v="46"/>
    <m/>
    <s v="F"/>
    <m/>
    <d v="1899-12-30T01:21:00"/>
    <s v="12:09"/>
    <s v="JI"/>
    <m/>
    <s v="20140802 JKunzler"/>
    <s v="20140803 JImrie"/>
    <s v="x"/>
    <n v="151.596"/>
    <s v="na"/>
    <s v="FWL"/>
    <s v="na"/>
    <s v="na"/>
    <s v="F1835"/>
    <s v="na"/>
    <s v="na"/>
    <s v="na"/>
    <s v="na"/>
    <s v="na"/>
  </r>
  <r>
    <n v="1731"/>
    <x v="51"/>
    <n v="3"/>
    <x v="12"/>
    <x v="0"/>
    <x v="0"/>
    <m/>
    <m/>
    <n v="45"/>
    <m/>
    <s v="F"/>
    <m/>
    <d v="1899-12-30T00:24:00"/>
    <s v="12:13"/>
    <s v="JI"/>
    <m/>
    <s v="20140802 JKunzler"/>
    <s v="20140803 JImrie"/>
    <s v="x"/>
    <s v="x"/>
    <s v="na"/>
    <s v="FWL"/>
    <s v="na"/>
    <s v="na"/>
    <s v="na"/>
    <s v="na"/>
    <s v="na"/>
    <s v="na"/>
    <s v="na"/>
    <s v="na"/>
  </r>
  <r>
    <n v="1732"/>
    <x v="51"/>
    <n v="3"/>
    <x v="12"/>
    <x v="0"/>
    <x v="0"/>
    <m/>
    <m/>
    <n v="49"/>
    <m/>
    <s v="U"/>
    <m/>
    <d v="1899-12-30T00:30:00"/>
    <s v="12:15"/>
    <s v="JI"/>
    <m/>
    <s v="20140802 JKunzler"/>
    <s v="20140803 JImrie"/>
    <s v="x"/>
    <s v="x"/>
    <s v="na"/>
    <s v="FWL"/>
    <s v="na"/>
    <s v="na"/>
    <s v="na"/>
    <s v="na"/>
    <s v="na"/>
    <s v="na"/>
    <s v="na"/>
    <s v="na"/>
  </r>
  <r>
    <n v="1733"/>
    <x v="51"/>
    <n v="3"/>
    <x v="10"/>
    <x v="0"/>
    <x v="12"/>
    <n v="35"/>
    <m/>
    <n v="54"/>
    <m/>
    <s v="U"/>
    <m/>
    <d v="1899-12-30T00:45:00"/>
    <s v="13:18"/>
    <s v="JK"/>
    <s v="pink tag in Chum, no genetics, fish jumped trough into river"/>
    <s v="20140802 JKunzler"/>
    <s v="20140803 JImrie"/>
    <s v="x"/>
    <n v="151.596"/>
    <s v="na"/>
    <s v="FWL"/>
    <s v="na"/>
    <s v="na"/>
    <s v="F1835"/>
    <s v="na"/>
    <s v="na"/>
    <s v="na"/>
    <s v="na"/>
    <s v="na"/>
  </r>
  <r>
    <n v="1734"/>
    <x v="51"/>
    <n v="3"/>
    <x v="12"/>
    <x v="0"/>
    <x v="12"/>
    <n v="97"/>
    <s v="104 P"/>
    <n v="47"/>
    <m/>
    <s v="U"/>
    <m/>
    <d v="1899-12-30T01:16:00"/>
    <s v="13:32"/>
    <s v="JK"/>
    <m/>
    <s v="20140802 JKunzler"/>
    <s v="20140803 JImrie"/>
    <s v="x"/>
    <n v="151.596"/>
    <s v="na"/>
    <s v="FWL"/>
    <s v="na"/>
    <s v="na"/>
    <s v="F1835"/>
    <s v="na"/>
    <s v="na"/>
    <s v="na"/>
    <s v="na"/>
    <s v="na"/>
  </r>
  <r>
    <n v="1735"/>
    <x v="51"/>
    <n v="3"/>
    <x v="10"/>
    <x v="0"/>
    <x v="0"/>
    <m/>
    <m/>
    <n v="65"/>
    <m/>
    <s v="U"/>
    <m/>
    <d v="1899-12-30T00:34:00"/>
    <s v="13:23"/>
    <s v="JK"/>
    <m/>
    <s v="20140802 JKunzler"/>
    <s v="20140803 JImrie"/>
    <s v="x"/>
    <s v="x"/>
    <s v="na"/>
    <s v="FWL"/>
    <s v="na"/>
    <s v="na"/>
    <s v="na"/>
    <s v="na"/>
    <s v="na"/>
    <s v="na"/>
    <s v="na"/>
    <s v="na"/>
  </r>
  <r>
    <n v="1736"/>
    <x v="51"/>
    <n v="3"/>
    <x v="10"/>
    <x v="0"/>
    <x v="0"/>
    <m/>
    <m/>
    <n v="55"/>
    <m/>
    <s v="U"/>
    <m/>
    <d v="1899-12-30T00:24:00"/>
    <s v="13:27"/>
    <s v="JK"/>
    <m/>
    <s v="20140802 JKunzler"/>
    <s v="20140803 JImrie"/>
    <s v="x"/>
    <s v="x"/>
    <s v="na"/>
    <s v="FWL"/>
    <s v="na"/>
    <s v="na"/>
    <s v="na"/>
    <s v="na"/>
    <s v="na"/>
    <s v="na"/>
    <s v="na"/>
    <s v="na"/>
  </r>
  <r>
    <n v="1737"/>
    <x v="51"/>
    <n v="3"/>
    <x v="10"/>
    <x v="0"/>
    <x v="0"/>
    <m/>
    <m/>
    <n v="59"/>
    <m/>
    <s v="U"/>
    <m/>
    <d v="1899-12-30T00:30:00"/>
    <s v="13:30"/>
    <s v="JK"/>
    <m/>
    <s v="20140802 JKunzler"/>
    <s v="20140803 JImrie"/>
    <s v="x"/>
    <s v="x"/>
    <s v="na"/>
    <s v="FWL"/>
    <s v="na"/>
    <s v="na"/>
    <s v="na"/>
    <s v="na"/>
    <s v="na"/>
    <s v="na"/>
    <s v="na"/>
    <s v="na"/>
  </r>
  <r>
    <n v="1738"/>
    <x v="51"/>
    <n v="3"/>
    <x v="10"/>
    <x v="0"/>
    <x v="0"/>
    <m/>
    <m/>
    <n v="67"/>
    <m/>
    <s v="U"/>
    <m/>
    <d v="1899-12-30T00:32:00"/>
    <s v="13:40"/>
    <s v="JK"/>
    <m/>
    <s v="20140802 JKunzler"/>
    <s v="20140803 JImrie"/>
    <s v="x"/>
    <s v="x"/>
    <s v="na"/>
    <s v="FWL"/>
    <s v="na"/>
    <s v="na"/>
    <s v="na"/>
    <s v="na"/>
    <s v="na"/>
    <s v="na"/>
    <s v="na"/>
    <s v="na"/>
  </r>
  <r>
    <n v="1739"/>
    <x v="51"/>
    <n v="3"/>
    <x v="10"/>
    <x v="0"/>
    <x v="0"/>
    <m/>
    <m/>
    <n v="64"/>
    <m/>
    <s v="U"/>
    <m/>
    <d v="1899-12-30T00:23:00"/>
    <s v="13:43"/>
    <s v="JK"/>
    <m/>
    <s v="20140802 JKunzler"/>
    <s v="20140803 JImrie"/>
    <s v="x"/>
    <s v="x"/>
    <s v="na"/>
    <s v="FWL"/>
    <s v="na"/>
    <s v="na"/>
    <s v="na"/>
    <s v="na"/>
    <s v="na"/>
    <s v="na"/>
    <s v="na"/>
    <s v="na"/>
  </r>
  <r>
    <n v="1740"/>
    <x v="51"/>
    <n v="3"/>
    <x v="0"/>
    <x v="2"/>
    <x v="0"/>
    <m/>
    <m/>
    <m/>
    <n v="23"/>
    <s v="U"/>
    <m/>
    <d v="1899-12-30T00:29:00"/>
    <s v="16:50"/>
    <s v="JK"/>
    <m/>
    <s v="20140802 JKunzler"/>
    <s v="20140803 JImrie"/>
    <s v="x"/>
    <s v="x"/>
    <s v="na"/>
    <s v="FWL"/>
    <s v="na"/>
    <s v="na"/>
    <s v="na"/>
    <s v="na"/>
    <s v="na"/>
    <s v="na"/>
    <s v="na"/>
    <s v="na"/>
  </r>
  <r>
    <n v="1741"/>
    <x v="51"/>
    <n v="3"/>
    <x v="12"/>
    <x v="0"/>
    <x v="13"/>
    <n v="52"/>
    <s v="105 P"/>
    <n v="50"/>
    <m/>
    <s v="M"/>
    <m/>
    <d v="1899-12-30T01:04:00"/>
    <s v="18:32"/>
    <s v="QB"/>
    <m/>
    <s v="20140802 QBerger"/>
    <s v="20140803 JImrie"/>
    <s v="x"/>
    <n v="151.51499999999999"/>
    <s v="na"/>
    <s v="FWL"/>
    <s v="na"/>
    <s v="na"/>
    <s v="F1835"/>
    <s v="na"/>
    <s v="na"/>
    <s v="na"/>
    <s v="na"/>
    <s v="na"/>
  </r>
  <r>
    <n v="1742"/>
    <x v="51"/>
    <n v="3"/>
    <x v="13"/>
    <x v="0"/>
    <x v="15"/>
    <n v="35"/>
    <s v="18 CO"/>
    <n v="57"/>
    <m/>
    <s v="U"/>
    <d v="1899-12-30T18:55:00"/>
    <d v="1899-12-30T01:12:00"/>
    <s v="19:12"/>
    <s v="BK"/>
    <s v="F266."/>
    <s v="20140802 QBerger"/>
    <s v="20140803 JImrie"/>
    <d v="1899-12-30T00:15:48"/>
    <n v="151.26599999999999"/>
    <s v="na"/>
    <s v="FWL"/>
    <s v="na"/>
    <s v="na"/>
    <s v="F1840"/>
    <s v="na"/>
    <s v="na"/>
    <s v="na"/>
    <s v="na"/>
    <s v="na"/>
  </r>
  <r>
    <n v="1743"/>
    <x v="51"/>
    <n v="3"/>
    <x v="13"/>
    <x v="0"/>
    <x v="14"/>
    <n v="4"/>
    <s v="19 CO"/>
    <n v="54"/>
    <m/>
    <s v="U"/>
    <d v="1899-12-30T19:19:00"/>
    <d v="1899-12-30T01:10:00"/>
    <s v="19:24"/>
    <s v="QB"/>
    <m/>
    <s v="20140802 QBerger"/>
    <s v="20140803 JImrie"/>
    <d v="1899-12-30T00:03:50"/>
    <n v="151.32499999999999"/>
    <s v="na"/>
    <s v="FWL"/>
    <s v="na"/>
    <s v="na"/>
    <s v="F1840"/>
    <s v="na"/>
    <s v="na"/>
    <s v="na"/>
    <s v="na"/>
    <s v="na"/>
  </r>
  <r>
    <n v="1744"/>
    <x v="52"/>
    <n v="1"/>
    <x v="10"/>
    <x v="0"/>
    <x v="11"/>
    <n v="11"/>
    <s v="68 CM"/>
    <n v="60"/>
    <m/>
    <s v="F"/>
    <m/>
    <d v="1899-12-30T01:08:00"/>
    <s v="09:42"/>
    <s v="BK"/>
    <m/>
    <s v="20140803 BKalb"/>
    <s v="20140804 AStephens"/>
    <s v="x"/>
    <n v="151.53399999999999"/>
    <s v="na"/>
    <s v="FWL"/>
    <s v="na"/>
    <s v="na"/>
    <s v="F1840"/>
    <s v="na"/>
    <s v="na"/>
    <s v="na"/>
    <s v="na"/>
    <s v="na"/>
  </r>
  <r>
    <n v="1745"/>
    <x v="52"/>
    <n v="1"/>
    <x v="12"/>
    <x v="0"/>
    <x v="12"/>
    <n v="42"/>
    <s v="111 P"/>
    <n v="46"/>
    <m/>
    <s v="F"/>
    <m/>
    <d v="1899-12-30T01:04:00"/>
    <s v="09:45"/>
    <s v="BK"/>
    <m/>
    <s v="20140803 BKalb"/>
    <s v="20140804 AStephens"/>
    <s v="x"/>
    <n v="151.596"/>
    <s v="na"/>
    <s v="FWL"/>
    <s v="na"/>
    <s v="na"/>
    <s v="F1835"/>
    <s v="na"/>
    <s v="na"/>
    <s v="na"/>
    <s v="na"/>
    <s v="na"/>
  </r>
  <r>
    <n v="1746"/>
    <x v="52"/>
    <n v="1"/>
    <x v="10"/>
    <x v="0"/>
    <x v="0"/>
    <m/>
    <m/>
    <n v="57"/>
    <m/>
    <s v="F"/>
    <m/>
    <d v="1899-12-30T00:22:00"/>
    <s v="09:48"/>
    <s v="CSw"/>
    <m/>
    <s v="20140803 BKalb"/>
    <s v="20140804 AStephens"/>
    <s v="x"/>
    <s v="x"/>
    <s v="na"/>
    <s v="FWL"/>
    <s v="na"/>
    <s v="na"/>
    <s v="na"/>
    <s v="na"/>
    <s v="na"/>
    <s v="na"/>
    <s v="na"/>
    <s v="na"/>
  </r>
  <r>
    <n v="1747"/>
    <x v="52"/>
    <n v="1"/>
    <x v="12"/>
    <x v="0"/>
    <x v="0"/>
    <m/>
    <m/>
    <n v="45"/>
    <m/>
    <s v="F"/>
    <m/>
    <d v="1899-12-30T00:22:00"/>
    <s v="09:49"/>
    <s v="CSw"/>
    <m/>
    <s v="20140803 BKalb"/>
    <s v="20140804 AStephens"/>
    <s v="x"/>
    <s v="x"/>
    <s v="na"/>
    <s v="FWL"/>
    <s v="na"/>
    <s v="na"/>
    <s v="na"/>
    <s v="na"/>
    <s v="na"/>
    <s v="na"/>
    <s v="na"/>
    <s v="na"/>
  </r>
  <r>
    <n v="1748"/>
    <x v="52"/>
    <n v="1"/>
    <x v="12"/>
    <x v="0"/>
    <x v="0"/>
    <m/>
    <m/>
    <n v="47"/>
    <m/>
    <s v="M"/>
    <m/>
    <d v="1899-12-30T00:19:00"/>
    <s v="09:50"/>
    <s v="CSw"/>
    <m/>
    <s v="20140803 BKalb"/>
    <s v="20140804 AStephens"/>
    <s v="x"/>
    <s v="x"/>
    <s v="na"/>
    <s v="FWL"/>
    <s v="na"/>
    <s v="na"/>
    <s v="na"/>
    <s v="na"/>
    <s v="na"/>
    <s v="na"/>
    <s v="na"/>
    <s v="na"/>
  </r>
  <r>
    <n v="1749"/>
    <x v="52"/>
    <n v="1"/>
    <x v="12"/>
    <x v="0"/>
    <x v="0"/>
    <m/>
    <m/>
    <n v="47"/>
    <m/>
    <s v="F"/>
    <m/>
    <d v="1899-12-30T00:20:00"/>
    <s v="09:51"/>
    <s v="CSw"/>
    <m/>
    <s v="20140803 BKalb"/>
    <s v="20140804 AStephens"/>
    <s v="x"/>
    <s v="x"/>
    <s v="na"/>
    <s v="FWL"/>
    <s v="na"/>
    <s v="na"/>
    <s v="na"/>
    <s v="na"/>
    <s v="na"/>
    <s v="na"/>
    <s v="na"/>
    <s v="na"/>
  </r>
  <r>
    <n v="1750"/>
    <x v="52"/>
    <n v="1"/>
    <x v="12"/>
    <x v="0"/>
    <x v="0"/>
    <m/>
    <m/>
    <n v="46"/>
    <m/>
    <s v="F"/>
    <d v="1899-12-30T09:52:00"/>
    <d v="1899-12-30T00:19:00"/>
    <s v="09:53"/>
    <s v="CSw"/>
    <m/>
    <s v="20140803 BKalb"/>
    <s v="20140804 AStephens"/>
    <d v="1899-12-30T00:00:41"/>
    <s v="x"/>
    <s v="na"/>
    <s v="FWL"/>
    <s v="na"/>
    <s v="na"/>
    <s v="na"/>
    <s v="na"/>
    <s v="na"/>
    <s v="na"/>
    <s v="na"/>
    <s v="na"/>
  </r>
  <r>
    <n v="1751"/>
    <x v="52"/>
    <n v="1"/>
    <x v="12"/>
    <x v="0"/>
    <x v="0"/>
    <m/>
    <m/>
    <n v="43"/>
    <m/>
    <s v="M"/>
    <m/>
    <d v="1899-12-30T00:24:00"/>
    <s v="09:53"/>
    <s v="CSw"/>
    <m/>
    <s v="20140803 BKalb"/>
    <s v="20140804 AStephens"/>
    <s v="x"/>
    <s v="x"/>
    <s v="na"/>
    <s v="FWL"/>
    <s v="na"/>
    <s v="na"/>
    <s v="na"/>
    <s v="na"/>
    <s v="na"/>
    <s v="na"/>
    <s v="na"/>
    <s v="na"/>
  </r>
  <r>
    <n v="1752"/>
    <x v="52"/>
    <n v="1"/>
    <x v="12"/>
    <x v="0"/>
    <x v="0"/>
    <m/>
    <m/>
    <n v="48"/>
    <m/>
    <s v="M"/>
    <m/>
    <d v="1899-12-30T00:17:00"/>
    <s v="09:55"/>
    <s v="CSw"/>
    <m/>
    <s v="20140803 BKalb"/>
    <s v="20140804 AStephens"/>
    <s v="x"/>
    <s v="x"/>
    <s v="na"/>
    <s v="FWL"/>
    <s v="na"/>
    <s v="na"/>
    <s v="na"/>
    <s v="na"/>
    <s v="na"/>
    <s v="na"/>
    <s v="na"/>
    <s v="na"/>
  </r>
  <r>
    <n v="1753"/>
    <x v="52"/>
    <n v="1"/>
    <x v="12"/>
    <x v="0"/>
    <x v="0"/>
    <m/>
    <m/>
    <n v="45"/>
    <m/>
    <s v="F"/>
    <m/>
    <d v="1899-12-30T00:20:00"/>
    <s v="09:57"/>
    <s v="CSw"/>
    <m/>
    <s v="20140803 BKalb"/>
    <s v="20140804 AStephens"/>
    <s v="x"/>
    <s v="x"/>
    <s v="na"/>
    <s v="FWL"/>
    <s v="na"/>
    <s v="na"/>
    <s v="na"/>
    <s v="na"/>
    <s v="na"/>
    <s v="na"/>
    <s v="na"/>
    <s v="na"/>
  </r>
  <r>
    <n v="1754"/>
    <x v="52"/>
    <n v="1"/>
    <x v="12"/>
    <x v="0"/>
    <x v="0"/>
    <m/>
    <m/>
    <n v="44"/>
    <m/>
    <s v="M"/>
    <m/>
    <d v="1899-12-30T00:23:00"/>
    <s v="09:58"/>
    <s v="CSw"/>
    <m/>
    <s v="20140803 BKalb"/>
    <s v="20140804 AStephens"/>
    <s v="x"/>
    <s v="x"/>
    <s v="na"/>
    <s v="FWL"/>
    <s v="na"/>
    <s v="na"/>
    <s v="na"/>
    <s v="na"/>
    <s v="na"/>
    <s v="na"/>
    <s v="na"/>
    <s v="na"/>
  </r>
  <r>
    <n v="1755"/>
    <x v="52"/>
    <n v="1"/>
    <x v="12"/>
    <x v="0"/>
    <x v="0"/>
    <m/>
    <m/>
    <n v="45"/>
    <m/>
    <s v="F"/>
    <m/>
    <d v="1899-12-30T00:21:00"/>
    <s v="09:59"/>
    <s v="CSw"/>
    <m/>
    <s v="20140803 BKalb"/>
    <s v="20140804 AStephens"/>
    <s v="x"/>
    <s v="x"/>
    <s v="na"/>
    <s v="FWL"/>
    <s v="na"/>
    <s v="na"/>
    <s v="na"/>
    <s v="na"/>
    <s v="na"/>
    <s v="na"/>
    <s v="na"/>
    <s v="na"/>
  </r>
  <r>
    <n v="1756"/>
    <x v="52"/>
    <n v="1"/>
    <x v="10"/>
    <x v="0"/>
    <x v="0"/>
    <m/>
    <m/>
    <n v="56"/>
    <m/>
    <s v="F"/>
    <m/>
    <d v="1899-12-30T00:26:00"/>
    <s v="10:02"/>
    <s v="BK"/>
    <m/>
    <s v="20140803 BKalb"/>
    <s v="20140804 AStephens"/>
    <s v="x"/>
    <s v="x"/>
    <s v="na"/>
    <s v="FWL"/>
    <s v="na"/>
    <s v="na"/>
    <s v="na"/>
    <s v="na"/>
    <s v="na"/>
    <s v="na"/>
    <s v="na"/>
    <s v="na"/>
  </r>
  <r>
    <n v="1757"/>
    <x v="52"/>
    <n v="1"/>
    <x v="10"/>
    <x v="0"/>
    <x v="0"/>
    <m/>
    <m/>
    <n v="60"/>
    <m/>
    <s v="M"/>
    <m/>
    <d v="1899-12-30T00:26:00"/>
    <s v="10:05"/>
    <s v="BK"/>
    <m/>
    <s v="20140803 BKalb"/>
    <s v="20140804 AStephens"/>
    <s v="x"/>
    <s v="x"/>
    <s v="na"/>
    <s v="FWL"/>
    <s v="na"/>
    <s v="na"/>
    <s v="na"/>
    <s v="na"/>
    <s v="na"/>
    <s v="na"/>
    <s v="na"/>
    <s v="na"/>
  </r>
  <r>
    <n v="1758"/>
    <x v="52"/>
    <n v="1"/>
    <x v="13"/>
    <x v="0"/>
    <x v="15"/>
    <n v="82"/>
    <s v="14 CO"/>
    <n v="49"/>
    <m/>
    <s v="F"/>
    <m/>
    <d v="1899-12-30T01:13:00"/>
    <s v="10:11"/>
    <s v="CSw"/>
    <s v="F266."/>
    <s v="20140803 BKalb"/>
    <s v="20140804 AStephens"/>
    <s v="x"/>
    <n v="151.26599999999999"/>
    <s v="na"/>
    <s v="FWL"/>
    <s v="na"/>
    <s v="na"/>
    <s v="F1840"/>
    <s v="na"/>
    <s v="na"/>
    <s v="na"/>
    <s v="na"/>
    <s v="na"/>
  </r>
  <r>
    <n v="1759"/>
    <x v="52"/>
    <n v="1"/>
    <x v="10"/>
    <x v="0"/>
    <x v="0"/>
    <m/>
    <m/>
    <n v="62"/>
    <m/>
    <s v="F"/>
    <m/>
    <d v="1899-12-30T00:24:00"/>
    <s v="10:16"/>
    <s v="BK"/>
    <m/>
    <s v="20140803 BKalb"/>
    <s v="20140804 AStephens"/>
    <s v="x"/>
    <s v="x"/>
    <s v="na"/>
    <s v="FWL"/>
    <s v="na"/>
    <s v="na"/>
    <s v="na"/>
    <s v="na"/>
    <s v="na"/>
    <s v="na"/>
    <s v="na"/>
    <s v="na"/>
  </r>
  <r>
    <n v="1760"/>
    <x v="52"/>
    <n v="1"/>
    <x v="10"/>
    <x v="0"/>
    <x v="0"/>
    <m/>
    <m/>
    <n v="61"/>
    <m/>
    <s v="M"/>
    <m/>
    <d v="1899-12-30T00:23:00"/>
    <s v="10:19"/>
    <s v="BK"/>
    <m/>
    <s v="20140803 BKalb"/>
    <s v="20140804 AStephens"/>
    <s v="x"/>
    <s v="x"/>
    <s v="na"/>
    <s v="FWL"/>
    <s v="na"/>
    <s v="na"/>
    <s v="na"/>
    <s v="na"/>
    <s v="na"/>
    <s v="na"/>
    <s v="na"/>
    <s v="na"/>
  </r>
  <r>
    <n v="1761"/>
    <x v="52"/>
    <n v="1"/>
    <x v="12"/>
    <x v="0"/>
    <x v="13"/>
    <n v="79"/>
    <s v="112 P"/>
    <n v="50"/>
    <m/>
    <s v="M"/>
    <m/>
    <d v="1899-12-30T01:24:00"/>
    <s v="11:59"/>
    <s v="CSw"/>
    <m/>
    <s v="20140803 BKalb"/>
    <s v="20140804 AStephens"/>
    <s v="x"/>
    <n v="151.51499999999999"/>
    <s v="na"/>
    <s v="FWL"/>
    <s v="na"/>
    <s v="na"/>
    <s v="F1835"/>
    <s v="na"/>
    <s v="na"/>
    <s v="na"/>
    <s v="na"/>
    <s v="na"/>
  </r>
  <r>
    <n v="1762"/>
    <x v="52"/>
    <n v="1"/>
    <x v="10"/>
    <x v="0"/>
    <x v="7"/>
    <n v="17"/>
    <s v="69 CM"/>
    <n v="56"/>
    <m/>
    <s v="M"/>
    <m/>
    <d v="1899-12-30T01:07:00"/>
    <s v="13:55"/>
    <s v="BK"/>
    <m/>
    <s v="20140803 BKalb"/>
    <s v="20140804 AStephens"/>
    <s v="x"/>
    <n v="151.56399999999999"/>
    <s v="na"/>
    <s v="FWL"/>
    <s v="na"/>
    <s v="na"/>
    <s v="F1840"/>
    <s v="na"/>
    <s v="na"/>
    <s v="na"/>
    <s v="na"/>
    <s v="na"/>
  </r>
  <r>
    <n v="1763"/>
    <x v="52"/>
    <n v="1"/>
    <x v="12"/>
    <x v="0"/>
    <x v="13"/>
    <n v="80"/>
    <s v="114 P"/>
    <n v="46"/>
    <m/>
    <s v="M"/>
    <m/>
    <d v="1899-12-30T01:45:00"/>
    <s v="13:49"/>
    <s v="CSw"/>
    <m/>
    <s v="20140803 BKalb"/>
    <s v="20140804 AStephens"/>
    <s v="x"/>
    <n v="151.51499999999999"/>
    <s v="na"/>
    <s v="FWL"/>
    <s v="na"/>
    <s v="na"/>
    <s v="F1835"/>
    <s v="na"/>
    <s v="na"/>
    <s v="na"/>
    <s v="na"/>
    <s v="na"/>
  </r>
  <r>
    <n v="1764"/>
    <x v="52"/>
    <n v="1"/>
    <x v="10"/>
    <x v="0"/>
    <x v="7"/>
    <n v="76"/>
    <s v="70 CM"/>
    <n v="63"/>
    <m/>
    <s v="M"/>
    <m/>
    <d v="1899-12-30T00:56:00"/>
    <s v="18:02"/>
    <s v="CSj"/>
    <m/>
    <s v="20140803 QBerger"/>
    <s v="20140804 AStephens"/>
    <s v="x"/>
    <n v="151.56399999999999"/>
    <s v="na"/>
    <s v="FWL"/>
    <s v="na"/>
    <s v="na"/>
    <s v="F1840"/>
    <s v="na"/>
    <s v="na"/>
    <s v="na"/>
    <s v="na"/>
    <s v="na"/>
  </r>
  <r>
    <n v="1765"/>
    <x v="52"/>
    <n v="1"/>
    <x v="12"/>
    <x v="0"/>
    <x v="12"/>
    <n v="29"/>
    <s v="115 P"/>
    <n v="47"/>
    <m/>
    <s v="M"/>
    <m/>
    <d v="1899-12-30T00:59:00"/>
    <s v="18:14"/>
    <s v="CSj"/>
    <m/>
    <s v="20140803 QBerger"/>
    <s v="20140804 AStephens"/>
    <s v="x"/>
    <n v="151.596"/>
    <s v="na"/>
    <s v="FWL"/>
    <s v="na"/>
    <s v="na"/>
    <s v="F1835"/>
    <s v="na"/>
    <s v="na"/>
    <s v="na"/>
    <s v="na"/>
    <s v="na"/>
  </r>
  <r>
    <n v="1766"/>
    <x v="52"/>
    <n v="1"/>
    <x v="10"/>
    <x v="0"/>
    <x v="7"/>
    <n v="98"/>
    <s v="71 CM"/>
    <n v="60"/>
    <m/>
    <s v="U"/>
    <m/>
    <d v="1899-12-30T01:14:00"/>
    <s v="18:09"/>
    <s v="CSj"/>
    <m/>
    <s v="20140803 QBerger"/>
    <s v="20140804 AStephens"/>
    <s v="x"/>
    <n v="151.56399999999999"/>
    <s v="na"/>
    <s v="FWL"/>
    <s v="na"/>
    <s v="na"/>
    <s v="F1840"/>
    <s v="na"/>
    <s v="na"/>
    <s v="na"/>
    <s v="na"/>
    <s v="na"/>
  </r>
  <r>
    <n v="1767"/>
    <x v="52"/>
    <n v="1"/>
    <x v="10"/>
    <x v="0"/>
    <x v="11"/>
    <n v="85"/>
    <s v="72 CM"/>
    <n v="62"/>
    <m/>
    <s v="U"/>
    <m/>
    <d v="1899-12-30T01:29:00"/>
    <s v="18:12"/>
    <s v="CSj"/>
    <m/>
    <s v="20140803 QBerger"/>
    <s v="20140804 AStephens"/>
    <s v="x"/>
    <n v="151.53399999999999"/>
    <s v="na"/>
    <s v="FWL"/>
    <s v="na"/>
    <s v="na"/>
    <s v="F1840"/>
    <s v="na"/>
    <s v="na"/>
    <s v="na"/>
    <s v="na"/>
    <s v="na"/>
  </r>
  <r>
    <n v="1768"/>
    <x v="52"/>
    <n v="1"/>
    <x v="7"/>
    <x v="0"/>
    <x v="6"/>
    <n v="62"/>
    <s v="109 S"/>
    <n v="51"/>
    <m/>
    <s v="U"/>
    <m/>
    <d v="1899-12-30T01:10:00"/>
    <s v="18:19"/>
    <s v="CSj"/>
    <m/>
    <s v="20140803 QBerger"/>
    <s v="20140804 AStephens"/>
    <s v="x"/>
    <n v="151.57300000000001"/>
    <s v="na"/>
    <s v="FWL"/>
    <s v="na"/>
    <s v="na"/>
    <s v="F1840"/>
    <s v="na"/>
    <s v="na"/>
    <s v="na"/>
    <s v="na"/>
    <s v="na"/>
  </r>
  <r>
    <n v="1769"/>
    <x v="52"/>
    <n v="1"/>
    <x v="10"/>
    <x v="0"/>
    <x v="0"/>
    <m/>
    <m/>
    <n v="60"/>
    <m/>
    <s v="F"/>
    <d v="1899-12-30T18:53:00"/>
    <d v="1899-12-30T00:30:00"/>
    <s v="18:58"/>
    <s v="CSj"/>
    <m/>
    <s v="20140803 QBerger"/>
    <s v="20140804 AStephens"/>
    <d v="1899-12-30T00:04:30"/>
    <s v="x"/>
    <s v="na"/>
    <s v="FWL"/>
    <s v="na"/>
    <s v="na"/>
    <s v="na"/>
    <s v="na"/>
    <s v="na"/>
    <s v="na"/>
    <s v="na"/>
    <s v="na"/>
  </r>
  <r>
    <n v="1770"/>
    <x v="52"/>
    <n v="1"/>
    <x v="12"/>
    <x v="0"/>
    <x v="13"/>
    <n v="15"/>
    <s v="116 P"/>
    <n v="48"/>
    <m/>
    <s v="M"/>
    <m/>
    <d v="1899-12-30T00:50:00"/>
    <s v="20:17"/>
    <s v="QB"/>
    <m/>
    <s v="20140803 QBerger"/>
    <s v="20140804 AStephens"/>
    <s v="x"/>
    <n v="151.51499999999999"/>
    <s v="na"/>
    <s v="FWL"/>
    <s v="na"/>
    <s v="na"/>
    <s v="F1835"/>
    <s v="na"/>
    <s v="na"/>
    <s v="na"/>
    <s v="na"/>
    <s v="na"/>
  </r>
  <r>
    <n v="1771"/>
    <x v="52"/>
    <n v="1"/>
    <x v="10"/>
    <x v="0"/>
    <x v="0"/>
    <m/>
    <m/>
    <n v="56"/>
    <m/>
    <s v="U"/>
    <m/>
    <d v="1899-12-30T00:27:00"/>
    <s v="20:19"/>
    <s v="QB"/>
    <m/>
    <s v="20140803 QBerger"/>
    <s v="20140804 AStephens"/>
    <s v="x"/>
    <s v="x"/>
    <s v="na"/>
    <s v="FWL"/>
    <s v="na"/>
    <s v="na"/>
    <s v="na"/>
    <s v="na"/>
    <s v="na"/>
    <s v="na"/>
    <s v="na"/>
    <s v="na"/>
  </r>
  <r>
    <n v="1772"/>
    <x v="52"/>
    <n v="2"/>
    <x v="10"/>
    <x v="0"/>
    <x v="11"/>
    <n v="87"/>
    <s v="67 CM"/>
    <n v="62"/>
    <m/>
    <s v="F"/>
    <d v="1899-12-30T09:02:00"/>
    <d v="1899-12-30T01:06:00"/>
    <s v="09:20"/>
    <s v="QB"/>
    <m/>
    <s v="20140803 BKalb"/>
    <s v="20140804 AStephens"/>
    <d v="1899-12-30T00:16:54"/>
    <n v="151.53399999999999"/>
    <s v="na"/>
    <s v="FWL"/>
    <s v="na"/>
    <s v="na"/>
    <s v="F1840"/>
    <s v="na"/>
    <s v="na"/>
    <s v="na"/>
    <s v="na"/>
    <s v="na"/>
  </r>
  <r>
    <n v="1773"/>
    <x v="52"/>
    <n v="2"/>
    <x v="12"/>
    <x v="0"/>
    <x v="13"/>
    <n v="42"/>
    <s v="113 P"/>
    <n v="45"/>
    <m/>
    <s v="F"/>
    <m/>
    <d v="1899-12-30T00:56:00"/>
    <s v="12:22"/>
    <s v="QB"/>
    <m/>
    <s v="20140803 BKalb"/>
    <s v="20140804 AStephens"/>
    <s v="x"/>
    <n v="151.51499999999999"/>
    <s v="na"/>
    <s v="FWL"/>
    <s v="na"/>
    <s v="na"/>
    <s v="F1835"/>
    <s v="na"/>
    <s v="na"/>
    <s v="na"/>
    <s v="na"/>
    <s v="na"/>
  </r>
  <r>
    <n v="1774"/>
    <x v="52"/>
    <n v="2"/>
    <x v="7"/>
    <x v="0"/>
    <x v="6"/>
    <n v="86"/>
    <s v="110 S"/>
    <n v="46"/>
    <m/>
    <s v="U"/>
    <m/>
    <d v="1899-12-30T01:20:00"/>
    <s v="19:48"/>
    <s v="QB"/>
    <m/>
    <s v="20140803 CSejkora"/>
    <s v="20140804 AStephens"/>
    <s v="x"/>
    <n v="151.57300000000001"/>
    <s v="na"/>
    <s v="FWL"/>
    <s v="na"/>
    <s v="na"/>
    <s v="F1840"/>
    <s v="na"/>
    <s v="na"/>
    <s v="na"/>
    <s v="na"/>
    <s v="na"/>
  </r>
  <r>
    <n v="1775"/>
    <x v="52"/>
    <n v="2"/>
    <x v="10"/>
    <x v="0"/>
    <x v="0"/>
    <m/>
    <m/>
    <n v="57"/>
    <m/>
    <s v="U"/>
    <m/>
    <d v="1899-12-30T00:29:00"/>
    <s v="19:51"/>
    <s v="QB"/>
    <m/>
    <s v="20140803 CSejkora"/>
    <s v="20140804 AStephens"/>
    <s v="x"/>
    <s v="x"/>
    <s v="na"/>
    <s v="FWL"/>
    <s v="na"/>
    <s v="na"/>
    <s v="na"/>
    <s v="na"/>
    <s v="na"/>
    <s v="na"/>
    <s v="na"/>
    <s v="na"/>
  </r>
  <r>
    <n v="1776"/>
    <x v="52"/>
    <n v="3"/>
    <x v="12"/>
    <x v="0"/>
    <x v="12"/>
    <n v="96"/>
    <s v="106 P"/>
    <n v="49"/>
    <m/>
    <s v="M"/>
    <m/>
    <d v="1899-12-30T00:57:00"/>
    <s v="09:03"/>
    <s v="QB"/>
    <m/>
    <s v="20140803 CSejkora"/>
    <s v="20140804 AStephens"/>
    <s v="x"/>
    <n v="151.596"/>
    <s v="na"/>
    <s v="FWL"/>
    <s v="na"/>
    <s v="na"/>
    <s v="F1835"/>
    <s v="na"/>
    <s v="na"/>
    <s v="na"/>
    <s v="na"/>
    <s v="na"/>
  </r>
  <r>
    <n v="1777"/>
    <x v="52"/>
    <n v="3"/>
    <x v="12"/>
    <x v="0"/>
    <x v="12"/>
    <n v="2"/>
    <s v="103 P"/>
    <n v="53"/>
    <m/>
    <s v="M"/>
    <m/>
    <d v="1899-12-30T01:03:00"/>
    <s v="09:06"/>
    <s v="QB"/>
    <m/>
    <s v="20140803 CSejkora"/>
    <s v="20140804 AStephens"/>
    <s v="x"/>
    <n v="151.596"/>
    <s v="na"/>
    <s v="FWL"/>
    <s v="na"/>
    <s v="na"/>
    <s v="F1835"/>
    <s v="na"/>
    <s v="na"/>
    <s v="na"/>
    <s v="na"/>
    <s v="na"/>
  </r>
  <r>
    <n v="1778"/>
    <x v="52"/>
    <n v="3"/>
    <x v="12"/>
    <x v="0"/>
    <x v="12"/>
    <n v="59"/>
    <s v="107 P"/>
    <n v="47"/>
    <m/>
    <s v="M"/>
    <m/>
    <d v="1899-12-30T01:06:00"/>
    <s v="09:09"/>
    <s v="QB"/>
    <m/>
    <s v="20140803 CSejkora"/>
    <s v="20140804 AStephens"/>
    <s v="x"/>
    <n v="151.596"/>
    <s v="na"/>
    <s v="FWL"/>
    <s v="na"/>
    <s v="na"/>
    <s v="F1835"/>
    <s v="na"/>
    <s v="na"/>
    <s v="na"/>
    <s v="na"/>
    <s v="na"/>
  </r>
  <r>
    <n v="1779"/>
    <x v="52"/>
    <n v="3"/>
    <x v="12"/>
    <x v="0"/>
    <x v="0"/>
    <m/>
    <m/>
    <n v="44"/>
    <m/>
    <s v="M"/>
    <m/>
    <d v="1899-12-30T00:30:00"/>
    <s v="09:10"/>
    <s v="QB"/>
    <m/>
    <s v="20140803 CSejkora"/>
    <s v="20140804 AStephens"/>
    <s v="x"/>
    <s v="x"/>
    <s v="na"/>
    <s v="FWL"/>
    <s v="na"/>
    <s v="na"/>
    <s v="na"/>
    <s v="na"/>
    <s v="na"/>
    <s v="na"/>
    <s v="na"/>
    <s v="na"/>
  </r>
  <r>
    <n v="1780"/>
    <x v="52"/>
    <n v="3"/>
    <x v="12"/>
    <x v="0"/>
    <x v="0"/>
    <m/>
    <m/>
    <n v="47"/>
    <m/>
    <s v="F"/>
    <m/>
    <d v="1899-12-30T00:26:00"/>
    <s v="09:12"/>
    <s v="QB"/>
    <m/>
    <s v="20140803 CSejkora"/>
    <s v="20140804 AStephens"/>
    <s v="x"/>
    <s v="x"/>
    <s v="na"/>
    <s v="FWL"/>
    <s v="na"/>
    <s v="na"/>
    <s v="na"/>
    <s v="na"/>
    <s v="na"/>
    <s v="na"/>
    <s v="na"/>
    <s v="na"/>
  </r>
  <r>
    <n v="1781"/>
    <x v="52"/>
    <n v="3"/>
    <x v="12"/>
    <x v="0"/>
    <x v="0"/>
    <m/>
    <m/>
    <n v="48"/>
    <m/>
    <s v="M"/>
    <m/>
    <d v="1899-12-30T00:28:00"/>
    <s v="09:13"/>
    <s v="QB"/>
    <m/>
    <s v="20140803 CSejkora"/>
    <s v="20140804 AStephens"/>
    <s v="x"/>
    <s v="x"/>
    <s v="na"/>
    <s v="FWL"/>
    <s v="na"/>
    <s v="na"/>
    <s v="na"/>
    <s v="na"/>
    <s v="na"/>
    <s v="na"/>
    <s v="na"/>
    <s v="na"/>
  </r>
  <r>
    <n v="1782"/>
    <x v="52"/>
    <n v="3"/>
    <x v="12"/>
    <x v="0"/>
    <x v="0"/>
    <m/>
    <m/>
    <n v="46"/>
    <m/>
    <s v="F"/>
    <m/>
    <d v="1899-12-30T00:20:00"/>
    <s v="09:13"/>
    <s v="QB"/>
    <m/>
    <s v="20140803 CSejkora"/>
    <s v="20140804 AStephens"/>
    <s v="x"/>
    <s v="x"/>
    <s v="na"/>
    <s v="FWL"/>
    <s v="na"/>
    <s v="na"/>
    <s v="na"/>
    <s v="na"/>
    <s v="na"/>
    <s v="na"/>
    <s v="na"/>
    <s v="na"/>
  </r>
  <r>
    <n v="1783"/>
    <x v="52"/>
    <n v="3"/>
    <x v="12"/>
    <x v="0"/>
    <x v="0"/>
    <m/>
    <m/>
    <n v="52"/>
    <m/>
    <s v="M"/>
    <m/>
    <d v="1899-12-30T00:26:00"/>
    <s v="09:14"/>
    <s v="QB"/>
    <m/>
    <s v="20140803 CSejkora"/>
    <s v="20140804 AStephens"/>
    <s v="x"/>
    <s v="x"/>
    <s v="na"/>
    <s v="FWL"/>
    <s v="na"/>
    <s v="na"/>
    <s v="na"/>
    <s v="na"/>
    <s v="na"/>
    <s v="na"/>
    <s v="na"/>
    <s v="na"/>
  </r>
  <r>
    <n v="1784"/>
    <x v="52"/>
    <n v="3"/>
    <x v="10"/>
    <x v="0"/>
    <x v="0"/>
    <m/>
    <m/>
    <n v="61"/>
    <m/>
    <s v="U"/>
    <m/>
    <d v="1899-12-30T00:22:00"/>
    <s v="09:16"/>
    <s v="QB"/>
    <m/>
    <s v="20140803 CSejkora"/>
    <s v="20140804 AStephens"/>
    <s v="x"/>
    <s v="x"/>
    <s v="na"/>
    <s v="FWL"/>
    <s v="na"/>
    <s v="na"/>
    <s v="na"/>
    <s v="na"/>
    <s v="na"/>
    <s v="na"/>
    <s v="na"/>
    <s v="na"/>
  </r>
  <r>
    <n v="1785"/>
    <x v="52"/>
    <n v="3"/>
    <x v="12"/>
    <x v="0"/>
    <x v="0"/>
    <m/>
    <m/>
    <n v="46"/>
    <m/>
    <s v="M"/>
    <m/>
    <d v="1899-12-30T00:20:00"/>
    <s v="09:16"/>
    <s v="QB"/>
    <m/>
    <s v="20140803 CSejkora"/>
    <s v="20140804 AStephens"/>
    <s v="x"/>
    <s v="x"/>
    <s v="na"/>
    <s v="FWL"/>
    <s v="na"/>
    <s v="na"/>
    <s v="na"/>
    <s v="na"/>
    <s v="na"/>
    <s v="na"/>
    <s v="na"/>
    <s v="na"/>
  </r>
  <r>
    <n v="1786"/>
    <x v="52"/>
    <n v="3"/>
    <x v="12"/>
    <x v="0"/>
    <x v="0"/>
    <m/>
    <m/>
    <n v="45"/>
    <m/>
    <s v="F"/>
    <m/>
    <d v="1899-12-30T00:20:00"/>
    <s v="09:17"/>
    <s v="QB"/>
    <m/>
    <s v="20140803 CSejkora"/>
    <s v="20140804 AStephens"/>
    <s v="x"/>
    <s v="x"/>
    <s v="na"/>
    <s v="FWL"/>
    <s v="na"/>
    <s v="na"/>
    <s v="na"/>
    <s v="na"/>
    <s v="na"/>
    <s v="na"/>
    <s v="na"/>
    <s v="na"/>
  </r>
  <r>
    <n v="1787"/>
    <x v="52"/>
    <n v="3"/>
    <x v="12"/>
    <x v="0"/>
    <x v="0"/>
    <m/>
    <m/>
    <n v="44"/>
    <m/>
    <s v="F"/>
    <m/>
    <d v="1899-12-30T00:28:00"/>
    <s v="09:18"/>
    <s v="QB"/>
    <m/>
    <s v="20140803 CSejkora"/>
    <s v="20140804 AStephens"/>
    <s v="x"/>
    <s v="x"/>
    <s v="na"/>
    <s v="FWL"/>
    <s v="na"/>
    <s v="na"/>
    <s v="na"/>
    <s v="na"/>
    <s v="na"/>
    <s v="na"/>
    <s v="na"/>
    <s v="na"/>
  </r>
  <r>
    <n v="1788"/>
    <x v="52"/>
    <n v="3"/>
    <x v="12"/>
    <x v="0"/>
    <x v="0"/>
    <m/>
    <m/>
    <n v="48"/>
    <m/>
    <s v="F"/>
    <m/>
    <d v="1899-12-30T00:19:00"/>
    <s v="09:19"/>
    <s v="QB"/>
    <m/>
    <s v="20140803 CSejkora"/>
    <s v="20140804 AStephens"/>
    <s v="x"/>
    <s v="x"/>
    <s v="na"/>
    <s v="FWL"/>
    <s v="na"/>
    <s v="na"/>
    <s v="na"/>
    <s v="na"/>
    <s v="na"/>
    <s v="na"/>
    <s v="na"/>
    <s v="na"/>
  </r>
  <r>
    <n v="1789"/>
    <x v="52"/>
    <n v="3"/>
    <x v="12"/>
    <x v="0"/>
    <x v="0"/>
    <m/>
    <m/>
    <n v="46"/>
    <m/>
    <s v="F"/>
    <m/>
    <d v="1899-12-30T00:19:00"/>
    <s v="09:20"/>
    <s v="QB"/>
    <m/>
    <s v="20140803 CSejkora"/>
    <s v="20140804 AStephens"/>
    <s v="x"/>
    <s v="x"/>
    <s v="na"/>
    <s v="FWL"/>
    <s v="na"/>
    <s v="na"/>
    <s v="na"/>
    <s v="na"/>
    <s v="na"/>
    <s v="na"/>
    <s v="na"/>
    <s v="na"/>
  </r>
  <r>
    <n v="1790"/>
    <x v="52"/>
    <n v="3"/>
    <x v="12"/>
    <x v="0"/>
    <x v="0"/>
    <m/>
    <m/>
    <n v="45"/>
    <m/>
    <s v="F"/>
    <m/>
    <d v="1899-12-30T00:28:00"/>
    <s v="09:21"/>
    <s v="QB"/>
    <m/>
    <s v="20140803 CSejkora"/>
    <s v="20140804 AStephens"/>
    <s v="x"/>
    <s v="x"/>
    <s v="na"/>
    <s v="FWL"/>
    <s v="na"/>
    <s v="na"/>
    <s v="na"/>
    <s v="na"/>
    <s v="na"/>
    <s v="na"/>
    <s v="na"/>
    <s v="na"/>
  </r>
  <r>
    <n v="1791"/>
    <x v="52"/>
    <n v="3"/>
    <x v="10"/>
    <x v="0"/>
    <x v="0"/>
    <m/>
    <m/>
    <n v="61"/>
    <m/>
    <s v="M"/>
    <m/>
    <d v="1899-12-30T00:31:00"/>
    <s v="09:26"/>
    <s v="CSj"/>
    <m/>
    <s v="20140803 CSejkora"/>
    <s v="20140804 AStephens"/>
    <s v="x"/>
    <s v="x"/>
    <s v="na"/>
    <s v="FWL"/>
    <s v="na"/>
    <s v="na"/>
    <s v="na"/>
    <s v="na"/>
    <s v="na"/>
    <s v="na"/>
    <s v="na"/>
    <s v="na"/>
  </r>
  <r>
    <n v="1792"/>
    <x v="52"/>
    <n v="3"/>
    <x v="12"/>
    <x v="0"/>
    <x v="0"/>
    <m/>
    <m/>
    <n v="48"/>
    <m/>
    <s v="F"/>
    <m/>
    <d v="1899-12-30T00:27:00"/>
    <s v="09:22"/>
    <s v="CSj"/>
    <m/>
    <s v="20140803 CSejkora"/>
    <s v="20140804 AStephens"/>
    <s v="x"/>
    <s v="x"/>
    <s v="na"/>
    <s v="FWL"/>
    <s v="na"/>
    <s v="na"/>
    <s v="na"/>
    <s v="na"/>
    <s v="na"/>
    <s v="na"/>
    <s v="na"/>
    <s v="na"/>
  </r>
  <r>
    <n v="1793"/>
    <x v="52"/>
    <n v="3"/>
    <x v="3"/>
    <x v="2"/>
    <x v="0"/>
    <m/>
    <s v="Bulk RW"/>
    <m/>
    <n v="24"/>
    <s v="U"/>
    <m/>
    <d v="1899-12-30T00:30:00"/>
    <s v="10:50"/>
    <s v="QB"/>
    <m/>
    <s v="20140803 CSejkora"/>
    <s v="20140804 AStephens"/>
    <s v="x"/>
    <s v="x"/>
    <s v="na"/>
    <s v="FWL"/>
    <s v="na"/>
    <s v="na"/>
    <s v="na"/>
    <s v="na"/>
    <s v="na"/>
    <s v="na"/>
    <s v="na"/>
    <s v="na"/>
  </r>
  <r>
    <n v="1794"/>
    <x v="52"/>
    <n v="3"/>
    <x v="12"/>
    <x v="0"/>
    <x v="13"/>
    <n v="47"/>
    <s v="108 P"/>
    <n v="44"/>
    <m/>
    <s v="M"/>
    <m/>
    <d v="1899-12-30T01:00:00"/>
    <s v="12:07"/>
    <s v="AS"/>
    <m/>
    <s v="20140803 JImrie"/>
    <s v="20140804 AStephens"/>
    <s v="x"/>
    <n v="151.51499999999999"/>
    <s v="na"/>
    <s v="FWL"/>
    <s v="na"/>
    <s v="na"/>
    <s v="F1835"/>
    <s v="na"/>
    <s v="na"/>
    <s v="na"/>
    <s v="na"/>
    <s v="na"/>
  </r>
  <r>
    <n v="1795"/>
    <x v="52"/>
    <n v="3"/>
    <x v="3"/>
    <x v="2"/>
    <x v="0"/>
    <m/>
    <m/>
    <m/>
    <n v="14"/>
    <s v="U"/>
    <m/>
    <d v="1899-12-30T01:30:00"/>
    <s v="13:47"/>
    <s v="AS"/>
    <m/>
    <s v="20140803 JImrie"/>
    <s v="20140804 AStephens"/>
    <s v="x"/>
    <s v="x"/>
    <s v="na"/>
    <s v="FWL"/>
    <s v="na"/>
    <s v="na"/>
    <s v="na"/>
    <s v="na"/>
    <s v="na"/>
    <s v="na"/>
    <s v="na"/>
    <s v="na"/>
  </r>
  <r>
    <n v="1796"/>
    <x v="52"/>
    <n v="3"/>
    <x v="10"/>
    <x v="0"/>
    <x v="11"/>
    <n v="13"/>
    <s v="61 CM"/>
    <n v="53"/>
    <m/>
    <s v="M"/>
    <m/>
    <d v="1899-12-30T01:21:00"/>
    <s v="14:30"/>
    <s v="JI"/>
    <m/>
    <s v="20140803 JImrie"/>
    <s v="20140804 AStephens"/>
    <s v="x"/>
    <n v="151.53399999999999"/>
    <s v="na"/>
    <s v="FWL"/>
    <s v="na"/>
    <s v="na"/>
    <s v="F1840"/>
    <s v="na"/>
    <s v="na"/>
    <s v="na"/>
    <s v="na"/>
    <s v="na"/>
  </r>
  <r>
    <n v="1797"/>
    <x v="52"/>
    <n v="3"/>
    <x v="12"/>
    <x v="0"/>
    <x v="13"/>
    <n v="48"/>
    <s v="110 P"/>
    <n v="52"/>
    <m/>
    <s v="M"/>
    <m/>
    <d v="1899-12-30T01:05:00"/>
    <s v="15:06"/>
    <s v="AS"/>
    <m/>
    <s v="20140803 JImrie"/>
    <s v="20140804 AStephens"/>
    <s v="x"/>
    <n v="151.51499999999999"/>
    <s v="na"/>
    <s v="FWL"/>
    <s v="na"/>
    <s v="na"/>
    <s v="F1835"/>
    <s v="na"/>
    <s v="na"/>
    <s v="na"/>
    <s v="na"/>
    <s v="na"/>
  </r>
  <r>
    <n v="1798"/>
    <x v="52"/>
    <n v="3"/>
    <x v="10"/>
    <x v="0"/>
    <x v="7"/>
    <n v="74"/>
    <s v="62 CM"/>
    <n v="57"/>
    <m/>
    <s v="U"/>
    <m/>
    <d v="1899-12-30T01:02:00"/>
    <s v="15:14"/>
    <s v="AS"/>
    <m/>
    <s v="20140803 JImrie"/>
    <s v="20140804 AStephens"/>
    <s v="x"/>
    <n v="151.56399999999999"/>
    <s v="na"/>
    <s v="FWL"/>
    <s v="na"/>
    <s v="na"/>
    <s v="F1840"/>
    <s v="na"/>
    <s v="na"/>
    <s v="na"/>
    <s v="na"/>
    <s v="na"/>
  </r>
  <r>
    <n v="1799"/>
    <x v="52"/>
    <n v="3"/>
    <x v="0"/>
    <x v="2"/>
    <x v="0"/>
    <m/>
    <m/>
    <m/>
    <n v="21"/>
    <s v="U"/>
    <m/>
    <d v="1899-12-30T00:22:00"/>
    <s v="15:54"/>
    <s v="AS"/>
    <m/>
    <s v="20140803 JImrie"/>
    <s v="20140804 AStephens"/>
    <s v="x"/>
    <s v="x"/>
    <s v="na"/>
    <s v="FWL"/>
    <s v="na"/>
    <s v="na"/>
    <s v="na"/>
    <s v="na"/>
    <s v="na"/>
    <s v="na"/>
    <s v="na"/>
    <s v="na"/>
  </r>
  <r>
    <n v="1800"/>
    <x v="52"/>
    <n v="3"/>
    <x v="10"/>
    <x v="0"/>
    <x v="11"/>
    <n v="24"/>
    <s v="63 CM"/>
    <n v="64"/>
    <m/>
    <s v="U"/>
    <m/>
    <d v="1899-12-30T01:50:00"/>
    <s v="16:03"/>
    <s v="JI"/>
    <m/>
    <s v="20140803 JImrie"/>
    <s v="20140804 AStephens"/>
    <s v="x"/>
    <n v="151.53399999999999"/>
    <s v="na"/>
    <s v="FWL"/>
    <s v="na"/>
    <s v="na"/>
    <s v="F1840"/>
    <s v="na"/>
    <s v="na"/>
    <s v="na"/>
    <s v="na"/>
    <s v="na"/>
  </r>
  <r>
    <n v="1801"/>
    <x v="52"/>
    <n v="3"/>
    <x v="10"/>
    <x v="0"/>
    <x v="11"/>
    <n v="49"/>
    <m/>
    <n v="63"/>
    <m/>
    <s v="U"/>
    <m/>
    <d v="1899-12-30T01:40:00"/>
    <s v="16:20"/>
    <s v="AS"/>
    <s v="Jumped out of trough, no genetics. Hit deck :("/>
    <s v="20140803 JImrie"/>
    <s v="20140804 AStephens"/>
    <s v="x"/>
    <n v="151.53399999999999"/>
    <s v="na"/>
    <s v="FWL"/>
    <s v="na"/>
    <s v="na"/>
    <s v="F1840"/>
    <s v="na"/>
    <s v="na"/>
    <s v="na"/>
    <s v="na"/>
    <s v="na"/>
  </r>
  <r>
    <n v="1802"/>
    <x v="52"/>
    <n v="3"/>
    <x v="10"/>
    <x v="0"/>
    <x v="11"/>
    <n v="0"/>
    <s v="83 CM"/>
    <n v="55"/>
    <m/>
    <s v="F"/>
    <m/>
    <d v="1899-12-30T01:27:00"/>
    <s v="18:39"/>
    <s v="CSw"/>
    <m/>
    <s v="20140803 BKalb"/>
    <s v="20140804 AStephens"/>
    <s v="x"/>
    <n v="151.53399999999999"/>
    <s v="na"/>
    <s v="FWL"/>
    <s v="na"/>
    <s v="na"/>
    <s v="F1840"/>
    <s v="na"/>
    <s v="na"/>
    <s v="na"/>
    <s v="na"/>
    <s v="na"/>
  </r>
  <r>
    <n v="1803"/>
    <x v="52"/>
    <n v="3"/>
    <x v="12"/>
    <x v="0"/>
    <x v="13"/>
    <n v="77"/>
    <s v="109 P"/>
    <n v="48"/>
    <m/>
    <s v="M"/>
    <m/>
    <d v="1899-12-30T01:23:00"/>
    <s v="18:47"/>
    <s v="CSw"/>
    <m/>
    <s v="20140803 BKalb"/>
    <s v="20140804 AStephens"/>
    <s v="x"/>
    <n v="151.51499999999999"/>
    <s v="na"/>
    <s v="FWL"/>
    <s v="na"/>
    <s v="na"/>
    <s v="F1835"/>
    <s v="na"/>
    <s v="na"/>
    <s v="na"/>
    <s v="na"/>
    <s v="na"/>
  </r>
  <r>
    <n v="1804"/>
    <x v="52"/>
    <n v="3"/>
    <x v="10"/>
    <x v="0"/>
    <x v="7"/>
    <n v="9"/>
    <s v="82 CM"/>
    <n v="54"/>
    <m/>
    <s v="M"/>
    <d v="1899-12-30T18:33:00"/>
    <d v="1899-12-30T01:27:00"/>
    <s v="18:51"/>
    <s v="CSw"/>
    <m/>
    <s v="20140803 BKalb"/>
    <s v="20140804 AStephens"/>
    <d v="1899-12-30T00:16:33"/>
    <n v="151.56399999999999"/>
    <s v="na"/>
    <s v="FWL"/>
    <s v="na"/>
    <s v="na"/>
    <s v="F1840"/>
    <s v="na"/>
    <s v="na"/>
    <s v="na"/>
    <s v="na"/>
    <s v="na"/>
  </r>
  <r>
    <n v="1805"/>
    <x v="53"/>
    <n v="1"/>
    <x v="12"/>
    <x v="0"/>
    <x v="13"/>
    <n v="67"/>
    <s v="123 P"/>
    <n v="49"/>
    <m/>
    <s v="M"/>
    <m/>
    <d v="1899-12-30T01:06:00"/>
    <s v="08:56"/>
    <s v="JK"/>
    <m/>
    <s v="20140804 BKalb"/>
    <s v="20140805 JImrie"/>
    <s v="x"/>
    <n v="151.51499999999999"/>
    <s v="na"/>
    <s v="FWL"/>
    <s v="na"/>
    <s v="na"/>
    <s v="F1835"/>
    <s v="na"/>
    <s v="na"/>
    <s v="na"/>
    <s v="na"/>
    <s v="na"/>
  </r>
  <r>
    <n v="1806"/>
    <x v="53"/>
    <n v="1"/>
    <x v="10"/>
    <x v="0"/>
    <x v="0"/>
    <m/>
    <m/>
    <n v="60"/>
    <m/>
    <s v="M"/>
    <m/>
    <d v="1899-12-30T02:40:00"/>
    <s v="09:04"/>
    <s v="JK"/>
    <s v="attempted to set tag in CM would not set, took bio."/>
    <s v="20140804 BKalb"/>
    <s v="20140805 JImrie"/>
    <s v="x"/>
    <s v="x"/>
    <s v="na"/>
    <s v="FWL"/>
    <s v="na"/>
    <s v="na"/>
    <s v="na"/>
    <s v="na"/>
    <s v="na"/>
    <s v="na"/>
    <s v="na"/>
    <s v="na"/>
  </r>
  <r>
    <n v="1807"/>
    <x v="53"/>
    <n v="1"/>
    <x v="12"/>
    <x v="0"/>
    <x v="0"/>
    <m/>
    <m/>
    <n v="45"/>
    <m/>
    <s v="M"/>
    <m/>
    <d v="1899-12-30T00:23:00"/>
    <s v="09:06"/>
    <s v="JK"/>
    <m/>
    <s v="20140804 BKalb"/>
    <s v="20140805 JImrie"/>
    <s v="x"/>
    <s v="x"/>
    <s v="na"/>
    <s v="FWL"/>
    <s v="na"/>
    <s v="na"/>
    <s v="na"/>
    <s v="na"/>
    <s v="na"/>
    <s v="na"/>
    <s v="na"/>
    <s v="na"/>
  </r>
  <r>
    <n v="1808"/>
    <x v="53"/>
    <n v="1"/>
    <x v="12"/>
    <x v="0"/>
    <x v="0"/>
    <m/>
    <m/>
    <n v="49"/>
    <m/>
    <s v="M"/>
    <m/>
    <d v="1899-12-30T00:21:00"/>
    <s v="09:10"/>
    <s v="JK"/>
    <m/>
    <s v="20140804 BKalb"/>
    <s v="20140805 JImrie"/>
    <s v="x"/>
    <s v="x"/>
    <s v="na"/>
    <s v="FWL"/>
    <s v="na"/>
    <s v="na"/>
    <s v="na"/>
    <s v="na"/>
    <s v="na"/>
    <s v="na"/>
    <s v="na"/>
    <s v="na"/>
  </r>
  <r>
    <n v="1809"/>
    <x v="53"/>
    <n v="1"/>
    <x v="12"/>
    <x v="0"/>
    <x v="0"/>
    <m/>
    <m/>
    <n v="49"/>
    <m/>
    <s v="M"/>
    <m/>
    <d v="1899-12-30T00:28:00"/>
    <s v="09:12"/>
    <s v="JK"/>
    <m/>
    <s v="20140804 BKalb"/>
    <s v="20140805 JImrie"/>
    <s v="x"/>
    <s v="x"/>
    <s v="na"/>
    <s v="FWL"/>
    <s v="na"/>
    <s v="na"/>
    <s v="na"/>
    <s v="na"/>
    <s v="na"/>
    <s v="na"/>
    <s v="na"/>
    <s v="na"/>
  </r>
  <r>
    <n v="1810"/>
    <x v="53"/>
    <n v="1"/>
    <x v="12"/>
    <x v="0"/>
    <x v="0"/>
    <m/>
    <m/>
    <n v="45"/>
    <m/>
    <s v="F"/>
    <m/>
    <d v="1899-12-30T00:29:00"/>
    <s v="09:12"/>
    <s v="JK"/>
    <m/>
    <s v="20140804 BKalb"/>
    <s v="20140805 JImrie"/>
    <s v="x"/>
    <s v="x"/>
    <s v="na"/>
    <s v="FWL"/>
    <s v="na"/>
    <s v="na"/>
    <s v="na"/>
    <s v="na"/>
    <s v="na"/>
    <s v="na"/>
    <s v="na"/>
    <s v="na"/>
  </r>
  <r>
    <n v="1811"/>
    <x v="53"/>
    <n v="1"/>
    <x v="10"/>
    <x v="0"/>
    <x v="11"/>
    <n v="15"/>
    <s v="75 CM"/>
    <n v="60"/>
    <m/>
    <s v="F"/>
    <m/>
    <d v="1899-12-30T00:58:00"/>
    <s v="09:14"/>
    <s v="JK"/>
    <m/>
    <s v="20140804 BKalb"/>
    <s v="20140805 JImrie"/>
    <s v="x"/>
    <n v="151.53399999999999"/>
    <s v="na"/>
    <s v="FWL"/>
    <s v="na"/>
    <s v="na"/>
    <s v="F1840"/>
    <s v="na"/>
    <s v="na"/>
    <s v="na"/>
    <s v="na"/>
    <s v="na"/>
  </r>
  <r>
    <n v="1812"/>
    <x v="53"/>
    <n v="1"/>
    <x v="12"/>
    <x v="0"/>
    <x v="0"/>
    <m/>
    <m/>
    <n v="42"/>
    <m/>
    <s v="M"/>
    <m/>
    <d v="1899-12-30T00:25:00"/>
    <s v="09:16"/>
    <s v="JK"/>
    <m/>
    <s v="20140804 BKalb"/>
    <s v="20140805 JImrie"/>
    <s v="x"/>
    <s v="x"/>
    <s v="na"/>
    <s v="FWL"/>
    <s v="na"/>
    <s v="na"/>
    <s v="na"/>
    <s v="na"/>
    <s v="na"/>
    <s v="na"/>
    <s v="na"/>
    <s v="na"/>
  </r>
  <r>
    <n v="1813"/>
    <x v="53"/>
    <n v="1"/>
    <x v="12"/>
    <x v="0"/>
    <x v="0"/>
    <m/>
    <m/>
    <n v="45"/>
    <m/>
    <s v="M"/>
    <m/>
    <d v="1899-12-30T00:24:00"/>
    <s v="09:17"/>
    <s v="JK"/>
    <m/>
    <s v="20140804 BKalb"/>
    <s v="20140805 JImrie"/>
    <s v="x"/>
    <s v="x"/>
    <s v="na"/>
    <s v="FWL"/>
    <s v="na"/>
    <s v="na"/>
    <s v="na"/>
    <s v="na"/>
    <s v="na"/>
    <s v="na"/>
    <s v="na"/>
    <s v="na"/>
  </r>
  <r>
    <n v="1814"/>
    <x v="53"/>
    <n v="1"/>
    <x v="12"/>
    <x v="0"/>
    <x v="0"/>
    <m/>
    <m/>
    <n v="46"/>
    <m/>
    <s v="F"/>
    <m/>
    <d v="1899-12-30T00:23:00"/>
    <s v="09:18"/>
    <s v="JK"/>
    <m/>
    <s v="20140804 BKalb"/>
    <s v="20140805 JImrie"/>
    <s v="x"/>
    <s v="x"/>
    <s v="na"/>
    <s v="FWL"/>
    <s v="na"/>
    <s v="na"/>
    <s v="na"/>
    <s v="na"/>
    <s v="na"/>
    <s v="na"/>
    <s v="na"/>
    <s v="na"/>
  </r>
  <r>
    <n v="1815"/>
    <x v="53"/>
    <n v="1"/>
    <x v="12"/>
    <x v="0"/>
    <x v="0"/>
    <m/>
    <m/>
    <n v="45"/>
    <m/>
    <s v="F"/>
    <m/>
    <d v="1899-12-30T00:22:00"/>
    <s v="09:20"/>
    <s v="JK"/>
    <m/>
    <s v="20140804 BKalb"/>
    <s v="20140805 JImrie"/>
    <s v="x"/>
    <s v="x"/>
    <s v="na"/>
    <s v="FWL"/>
    <s v="na"/>
    <s v="na"/>
    <s v="na"/>
    <s v="na"/>
    <s v="na"/>
    <s v="na"/>
    <s v="na"/>
    <s v="na"/>
  </r>
  <r>
    <n v="1816"/>
    <x v="53"/>
    <n v="1"/>
    <x v="12"/>
    <x v="0"/>
    <x v="0"/>
    <m/>
    <m/>
    <n v="44"/>
    <m/>
    <s v="M"/>
    <m/>
    <d v="1899-12-30T00:21:00"/>
    <s v="09:21"/>
    <s v="JK"/>
    <m/>
    <s v="20140804 BKalb"/>
    <s v="20140805 JImrie"/>
    <s v="x"/>
    <s v="x"/>
    <s v="na"/>
    <s v="FWL"/>
    <s v="na"/>
    <s v="na"/>
    <s v="na"/>
    <s v="na"/>
    <s v="na"/>
    <s v="na"/>
    <s v="na"/>
    <s v="na"/>
  </r>
  <r>
    <n v="1817"/>
    <x v="53"/>
    <n v="1"/>
    <x v="10"/>
    <x v="0"/>
    <x v="0"/>
    <m/>
    <m/>
    <n v="61"/>
    <m/>
    <s v="M"/>
    <m/>
    <d v="1899-12-30T00:25:00"/>
    <s v="09:23"/>
    <s v="JK"/>
    <m/>
    <s v="20140804 BKalb"/>
    <s v="20140805 JImrie"/>
    <s v="x"/>
    <s v="x"/>
    <s v="na"/>
    <s v="FWL"/>
    <s v="na"/>
    <s v="na"/>
    <s v="na"/>
    <s v="na"/>
    <s v="na"/>
    <s v="na"/>
    <s v="na"/>
    <s v="na"/>
  </r>
  <r>
    <n v="1818"/>
    <x v="53"/>
    <n v="1"/>
    <x v="12"/>
    <x v="0"/>
    <x v="0"/>
    <m/>
    <m/>
    <n v="46"/>
    <m/>
    <s v="F"/>
    <m/>
    <d v="1899-12-30T00:24:00"/>
    <s v="09:25"/>
    <s v="JK"/>
    <m/>
    <s v="20140804 BKalb"/>
    <s v="20140805 JImrie"/>
    <s v="x"/>
    <s v="x"/>
    <s v="na"/>
    <s v="FWL"/>
    <s v="na"/>
    <s v="na"/>
    <s v="na"/>
    <s v="na"/>
    <s v="na"/>
    <s v="na"/>
    <s v="na"/>
    <s v="na"/>
  </r>
  <r>
    <n v="1819"/>
    <x v="53"/>
    <n v="1"/>
    <x v="12"/>
    <x v="0"/>
    <x v="0"/>
    <m/>
    <m/>
    <n v="45"/>
    <m/>
    <s v="F"/>
    <m/>
    <d v="1899-12-30T00:25:00"/>
    <s v="09:26"/>
    <s v="JK"/>
    <m/>
    <s v="20140804 BKalb"/>
    <s v="20140805 JImrie"/>
    <s v="x"/>
    <s v="x"/>
    <s v="na"/>
    <s v="FWL"/>
    <s v="na"/>
    <s v="na"/>
    <s v="na"/>
    <s v="na"/>
    <s v="na"/>
    <s v="na"/>
    <s v="na"/>
    <s v="na"/>
  </r>
  <r>
    <n v="1820"/>
    <x v="53"/>
    <n v="1"/>
    <x v="10"/>
    <x v="0"/>
    <x v="0"/>
    <m/>
    <m/>
    <n v="61"/>
    <m/>
    <s v="M"/>
    <m/>
    <d v="1899-12-30T00:25:00"/>
    <s v="09:28"/>
    <s v="JK"/>
    <m/>
    <s v="20140804 BKalb"/>
    <s v="20140805 JImrie"/>
    <s v="x"/>
    <s v="x"/>
    <s v="na"/>
    <s v="FWL"/>
    <s v="na"/>
    <s v="na"/>
    <s v="na"/>
    <s v="na"/>
    <s v="na"/>
    <s v="na"/>
    <s v="na"/>
    <s v="na"/>
  </r>
  <r>
    <n v="1821"/>
    <x v="53"/>
    <n v="1"/>
    <x v="12"/>
    <x v="0"/>
    <x v="0"/>
    <m/>
    <m/>
    <n v="45"/>
    <m/>
    <s v="M"/>
    <m/>
    <d v="1899-12-30T00:27:00"/>
    <s v="09:29"/>
    <s v="JK"/>
    <m/>
    <s v="20140804 BKalb"/>
    <s v="20140805 JImrie"/>
    <s v="x"/>
    <s v="x"/>
    <s v="na"/>
    <s v="FWL"/>
    <s v="na"/>
    <s v="na"/>
    <s v="na"/>
    <s v="na"/>
    <s v="na"/>
    <s v="na"/>
    <s v="na"/>
    <s v="na"/>
  </r>
  <r>
    <n v="1822"/>
    <x v="53"/>
    <n v="1"/>
    <x v="12"/>
    <x v="0"/>
    <x v="0"/>
    <m/>
    <m/>
    <n v="48"/>
    <m/>
    <s v="F"/>
    <m/>
    <d v="1899-12-30T00:21:00"/>
    <s v="09:30"/>
    <s v="JK"/>
    <m/>
    <s v="20140804 BKalb"/>
    <s v="20140805 JImrie"/>
    <s v="x"/>
    <s v="x"/>
    <s v="na"/>
    <s v="FWL"/>
    <s v="na"/>
    <s v="na"/>
    <s v="na"/>
    <s v="na"/>
    <s v="na"/>
    <s v="na"/>
    <s v="na"/>
    <s v="na"/>
  </r>
  <r>
    <n v="1823"/>
    <x v="53"/>
    <n v="1"/>
    <x v="7"/>
    <x v="0"/>
    <x v="0"/>
    <m/>
    <m/>
    <n v="52"/>
    <m/>
    <s v="U"/>
    <m/>
    <d v="1899-12-30T00:26:00"/>
    <s v="10:30"/>
    <s v="BK"/>
    <s v="deep open wounds on side bio only"/>
    <s v="20140804 BKalb"/>
    <s v="20140805 JImrie"/>
    <s v="x"/>
    <s v="x"/>
    <s v="na"/>
    <s v="FWL"/>
    <s v="na"/>
    <s v="na"/>
    <s v="na"/>
    <s v="na"/>
    <s v="na"/>
    <s v="na"/>
    <s v="na"/>
    <s v="na"/>
  </r>
  <r>
    <n v="1824"/>
    <x v="53"/>
    <n v="1"/>
    <x v="4"/>
    <x v="1"/>
    <x v="0"/>
    <m/>
    <m/>
    <n v="32"/>
    <m/>
    <s v="M"/>
    <m/>
    <d v="1899-12-30T00:31:00"/>
    <s v="10:34"/>
    <s v="BK"/>
    <s v="too small to tag"/>
    <s v="20140804 BKalb"/>
    <s v="20140805 JImrie"/>
    <s v="x"/>
    <s v="x"/>
    <s v="na"/>
    <s v="FWL"/>
    <s v="na"/>
    <s v="na"/>
    <s v="na"/>
    <s v="na"/>
    <s v="na"/>
    <s v="na"/>
    <s v="na"/>
    <s v="na"/>
  </r>
  <r>
    <n v="1825"/>
    <x v="53"/>
    <n v="1"/>
    <x v="10"/>
    <x v="0"/>
    <x v="0"/>
    <m/>
    <m/>
    <n v="63"/>
    <m/>
    <s v="U"/>
    <m/>
    <d v="1899-12-30T00:24:00"/>
    <s v="10:35"/>
    <s v="BK"/>
    <m/>
    <s v="20140804 BKalb"/>
    <s v="20140805 JImrie"/>
    <s v="x"/>
    <s v="x"/>
    <s v="na"/>
    <s v="FWL"/>
    <s v="na"/>
    <s v="na"/>
    <s v="na"/>
    <s v="na"/>
    <s v="na"/>
    <s v="na"/>
    <s v="na"/>
    <s v="na"/>
  </r>
  <r>
    <n v="1826"/>
    <x v="53"/>
    <n v="1"/>
    <x v="12"/>
    <x v="0"/>
    <x v="13"/>
    <n v="93"/>
    <s v="125 P"/>
    <n v="50"/>
    <m/>
    <s v="F"/>
    <m/>
    <d v="1899-12-30T00:56:00"/>
    <s v="14:07"/>
    <s v="JI"/>
    <m/>
    <s v="20140804 QBerger"/>
    <s v="20140805 JImrie"/>
    <s v="x"/>
    <n v="151.51499999999999"/>
    <s v="na"/>
    <s v="FWL"/>
    <s v="na"/>
    <s v="na"/>
    <s v="F1835"/>
    <s v="na"/>
    <s v="na"/>
    <s v="na"/>
    <s v="na"/>
    <s v="na"/>
  </r>
  <r>
    <n v="1827"/>
    <x v="53"/>
    <n v="1"/>
    <x v="10"/>
    <x v="0"/>
    <x v="7"/>
    <n v="64"/>
    <s v="76 CM"/>
    <n v="59"/>
    <m/>
    <s v="F"/>
    <d v="1899-12-30T13:58:00"/>
    <d v="1899-12-30T01:05:00"/>
    <s v="14:11"/>
    <s v="JI"/>
    <m/>
    <s v="20140804 QBerger"/>
    <s v="20140805 JImrie"/>
    <d v="1899-12-30T00:11:55"/>
    <n v="151.56399999999999"/>
    <s v="na"/>
    <s v="FWL"/>
    <s v="na"/>
    <s v="na"/>
    <s v="F1840"/>
    <s v="na"/>
    <s v="na"/>
    <s v="na"/>
    <s v="na"/>
    <s v="na"/>
  </r>
  <r>
    <n v="1828"/>
    <x v="53"/>
    <n v="1"/>
    <x v="10"/>
    <x v="0"/>
    <x v="7"/>
    <n v="48"/>
    <s v="77 CM"/>
    <n v="52"/>
    <m/>
    <s v="U"/>
    <m/>
    <d v="1899-12-30T00:57:00"/>
    <s v="14:50"/>
    <s v="JI"/>
    <m/>
    <s v="20140804 QBerger"/>
    <s v="20140805 JImrie"/>
    <s v="x"/>
    <n v="151.56399999999999"/>
    <s v="na"/>
    <s v="FWL"/>
    <s v="na"/>
    <s v="na"/>
    <s v="F1840"/>
    <s v="na"/>
    <s v="na"/>
    <s v="na"/>
    <s v="na"/>
    <s v="na"/>
  </r>
  <r>
    <n v="1829"/>
    <x v="53"/>
    <n v="1"/>
    <x v="10"/>
    <x v="0"/>
    <x v="7"/>
    <n v="52"/>
    <s v="84 CM"/>
    <n v="63"/>
    <m/>
    <s v="U"/>
    <m/>
    <d v="1899-12-30T01:07:00"/>
    <s v="14:54"/>
    <s v="QB"/>
    <m/>
    <s v="20140804 QBerger"/>
    <s v="20140805 JImrie"/>
    <s v="x"/>
    <n v="151.56399999999999"/>
    <s v="na"/>
    <s v="FWL"/>
    <s v="na"/>
    <s v="na"/>
    <s v="F1840"/>
    <s v="na"/>
    <s v="na"/>
    <s v="na"/>
    <s v="na"/>
    <s v="na"/>
  </r>
  <r>
    <n v="1830"/>
    <x v="53"/>
    <n v="1"/>
    <x v="13"/>
    <x v="0"/>
    <x v="14"/>
    <n v="58"/>
    <s v="15 CO"/>
    <n v="57"/>
    <m/>
    <s v="U"/>
    <m/>
    <d v="1899-12-30T00:59:00"/>
    <s v="15:11"/>
    <s v="QB"/>
    <m/>
    <s v="20140804 QBerger"/>
    <s v="20140805 JImrie"/>
    <s v="x"/>
    <n v="151.32499999999999"/>
    <s v="na"/>
    <s v="FWL"/>
    <s v="na"/>
    <s v="na"/>
    <s v="F1840"/>
    <s v="na"/>
    <s v="na"/>
    <s v="na"/>
    <s v="na"/>
    <s v="na"/>
  </r>
  <r>
    <n v="1831"/>
    <x v="53"/>
    <n v="1"/>
    <x v="10"/>
    <x v="0"/>
    <x v="7"/>
    <n v="11"/>
    <s v="85 CM"/>
    <n v="65"/>
    <m/>
    <s v="U"/>
    <m/>
    <d v="1899-12-30T01:17:00"/>
    <s v="15:07"/>
    <s v="QB"/>
    <m/>
    <s v="20140804 QBerger"/>
    <s v="20140805 JImrie"/>
    <s v="x"/>
    <n v="151.56399999999999"/>
    <s v="na"/>
    <s v="FWL"/>
    <s v="na"/>
    <s v="na"/>
    <s v="F1840"/>
    <s v="na"/>
    <s v="na"/>
    <s v="na"/>
    <s v="na"/>
    <s v="na"/>
  </r>
  <r>
    <n v="1832"/>
    <x v="53"/>
    <n v="1"/>
    <x v="10"/>
    <x v="0"/>
    <x v="0"/>
    <m/>
    <m/>
    <n v="59"/>
    <m/>
    <s v="U"/>
    <m/>
    <d v="1899-12-30T00:29:00"/>
    <s v="15:09"/>
    <s v="QB"/>
    <m/>
    <s v="20140804 QBerger"/>
    <s v="20140805 JImrie"/>
    <s v="x"/>
    <s v="x"/>
    <s v="na"/>
    <s v="FWL"/>
    <s v="na"/>
    <s v="na"/>
    <s v="na"/>
    <s v="na"/>
    <s v="na"/>
    <s v="na"/>
    <s v="na"/>
    <s v="na"/>
  </r>
  <r>
    <n v="1833"/>
    <x v="53"/>
    <n v="1"/>
    <x v="13"/>
    <x v="0"/>
    <x v="15"/>
    <n v="29"/>
    <s v="23 CO"/>
    <n v="51"/>
    <m/>
    <s v="U"/>
    <m/>
    <d v="1899-12-30T01:19:00"/>
    <s v="15:20"/>
    <s v="JI"/>
    <s v="F266."/>
    <s v="20140804 QBerger"/>
    <s v="20140805 JImrie"/>
    <s v="x"/>
    <n v="151.26599999999999"/>
    <s v="na"/>
    <s v="FWL"/>
    <s v="na"/>
    <s v="na"/>
    <s v="F1840"/>
    <s v="na"/>
    <s v="na"/>
    <s v="na"/>
    <s v="na"/>
    <s v="na"/>
  </r>
  <r>
    <n v="1834"/>
    <x v="53"/>
    <n v="1"/>
    <x v="10"/>
    <x v="0"/>
    <x v="0"/>
    <m/>
    <m/>
    <n v="65"/>
    <m/>
    <s v="U"/>
    <m/>
    <d v="1899-12-30T00:57:00"/>
    <s v="16:10"/>
    <s v="QB"/>
    <m/>
    <s v="20140804 QBerger"/>
    <s v="20140805 JImrie"/>
    <s v="x"/>
    <s v="x"/>
    <s v="na"/>
    <s v="FWL"/>
    <s v="na"/>
    <s v="na"/>
    <s v="na"/>
    <s v="na"/>
    <s v="na"/>
    <s v="na"/>
    <s v="na"/>
    <s v="na"/>
  </r>
  <r>
    <n v="1835"/>
    <x v="53"/>
    <n v="1"/>
    <x v="10"/>
    <x v="0"/>
    <x v="0"/>
    <m/>
    <m/>
    <n v="62"/>
    <m/>
    <s v="U"/>
    <m/>
    <d v="1899-12-30T00:28:00"/>
    <s v="16:12"/>
    <s v="QB"/>
    <m/>
    <s v="20140804 QBerger"/>
    <s v="20140805 JImrie"/>
    <s v="x"/>
    <s v="x"/>
    <s v="na"/>
    <s v="FWL"/>
    <s v="na"/>
    <s v="na"/>
    <s v="na"/>
    <s v="na"/>
    <s v="na"/>
    <s v="na"/>
    <s v="na"/>
    <s v="na"/>
  </r>
  <r>
    <n v="1836"/>
    <x v="53"/>
    <n v="1"/>
    <x v="10"/>
    <x v="0"/>
    <x v="0"/>
    <m/>
    <m/>
    <n v="60"/>
    <m/>
    <s v="U"/>
    <m/>
    <d v="1899-12-30T00:22:00"/>
    <s v="16:14"/>
    <s v="QB"/>
    <m/>
    <s v="20140804 QBerger"/>
    <s v="20140805 JImrie"/>
    <s v="x"/>
    <s v="x"/>
    <s v="na"/>
    <s v="FWL"/>
    <s v="na"/>
    <s v="na"/>
    <s v="na"/>
    <s v="na"/>
    <s v="na"/>
    <s v="na"/>
    <s v="na"/>
    <s v="na"/>
  </r>
  <r>
    <n v="1837"/>
    <x v="53"/>
    <n v="1"/>
    <x v="10"/>
    <x v="0"/>
    <x v="0"/>
    <m/>
    <m/>
    <n v="54"/>
    <m/>
    <s v="F"/>
    <m/>
    <d v="1899-12-30T00:20:00"/>
    <s v="18:30"/>
    <s v="CSj"/>
    <m/>
    <s v="20140804 CSejkora"/>
    <s v="20140805 JImrie"/>
    <s v="x"/>
    <s v="x"/>
    <s v="na"/>
    <s v="FWL"/>
    <s v="na"/>
    <s v="na"/>
    <s v="na"/>
    <s v="na"/>
    <s v="na"/>
    <s v="na"/>
    <s v="na"/>
    <s v="na"/>
  </r>
  <r>
    <n v="1838"/>
    <x v="53"/>
    <n v="1"/>
    <x v="10"/>
    <x v="0"/>
    <x v="0"/>
    <m/>
    <m/>
    <n v="56"/>
    <m/>
    <s v="F"/>
    <m/>
    <d v="1899-12-30T00:23:00"/>
    <s v="18:32"/>
    <s v="CSj"/>
    <m/>
    <s v="20140804 CSejkora"/>
    <s v="20140805 JImrie"/>
    <s v="x"/>
    <s v="x"/>
    <s v="na"/>
    <s v="FWL"/>
    <s v="na"/>
    <s v="na"/>
    <s v="na"/>
    <s v="na"/>
    <s v="na"/>
    <s v="na"/>
    <s v="na"/>
    <s v="na"/>
  </r>
  <r>
    <n v="1839"/>
    <x v="53"/>
    <n v="2"/>
    <x v="12"/>
    <x v="0"/>
    <x v="12"/>
    <n v="67"/>
    <s v="124 P"/>
    <n v="47"/>
    <m/>
    <s v="F"/>
    <m/>
    <d v="1899-12-30T01:18:00"/>
    <s v="10:53"/>
    <s v="BK"/>
    <m/>
    <s v="20140804 JKunzler"/>
    <s v="20140805 JImrie"/>
    <s v="x"/>
    <n v="151.596"/>
    <s v="na"/>
    <s v="FWL"/>
    <s v="na"/>
    <s v="na"/>
    <s v="F1835"/>
    <s v="na"/>
    <s v="na"/>
    <s v="na"/>
    <s v="na"/>
    <s v="na"/>
  </r>
  <r>
    <n v="1840"/>
    <x v="53"/>
    <n v="2"/>
    <x v="10"/>
    <x v="0"/>
    <x v="11"/>
    <n v="80"/>
    <s v="87 CM"/>
    <n v="59"/>
    <m/>
    <s v="U"/>
    <m/>
    <d v="1899-12-30T00:59:00"/>
    <s v="15:37"/>
    <s v="JI"/>
    <m/>
    <s v="20140804 JImrie"/>
    <s v="20140805 JImrie"/>
    <s v="x"/>
    <n v="151.53399999999999"/>
    <s v="na"/>
    <s v="FWL"/>
    <s v="na"/>
    <s v="na"/>
    <s v="F1840"/>
    <s v="na"/>
    <s v="na"/>
    <s v="na"/>
    <s v="na"/>
    <s v="na"/>
  </r>
  <r>
    <n v="1841"/>
    <x v="53"/>
    <n v="2"/>
    <x v="12"/>
    <x v="0"/>
    <x v="13"/>
    <n v="71"/>
    <s v="126 P"/>
    <n v="46"/>
    <m/>
    <s v="F"/>
    <m/>
    <d v="1899-12-30T01:10:00"/>
    <s v="15:45"/>
    <s v="JI"/>
    <m/>
    <s v="20140804 JImrie"/>
    <s v="20140805 JImrie"/>
    <s v="x"/>
    <n v="151.51499999999999"/>
    <s v="na"/>
    <s v="FWL"/>
    <s v="na"/>
    <s v="na"/>
    <s v="F1835"/>
    <s v="na"/>
    <s v="na"/>
    <s v="na"/>
    <s v="na"/>
    <s v="na"/>
  </r>
  <r>
    <n v="1842"/>
    <x v="53"/>
    <n v="2"/>
    <x v="10"/>
    <x v="0"/>
    <x v="0"/>
    <m/>
    <m/>
    <n v="61"/>
    <m/>
    <s v="U"/>
    <m/>
    <d v="1899-12-30T00:27:00"/>
    <s v="15:42"/>
    <s v="JI"/>
    <m/>
    <s v="20140804 JImrie"/>
    <s v="20140805 JImrie"/>
    <s v="x"/>
    <s v="x"/>
    <s v="na"/>
    <s v="FWL"/>
    <s v="na"/>
    <s v="na"/>
    <s v="na"/>
    <s v="na"/>
    <s v="na"/>
    <s v="na"/>
    <s v="na"/>
    <s v="na"/>
  </r>
  <r>
    <n v="1843"/>
    <x v="53"/>
    <n v="2"/>
    <x v="12"/>
    <x v="0"/>
    <x v="0"/>
    <m/>
    <m/>
    <n v="45"/>
    <m/>
    <s v="F"/>
    <m/>
    <d v="1899-12-30T00:30:00"/>
    <s v="15:48"/>
    <s v="JI"/>
    <m/>
    <s v="20140804 JImrie"/>
    <s v="20140805 JImrie"/>
    <s v="x"/>
    <s v="x"/>
    <s v="na"/>
    <s v="FWL"/>
    <s v="na"/>
    <s v="na"/>
    <s v="na"/>
    <s v="na"/>
    <s v="na"/>
    <s v="na"/>
    <s v="na"/>
    <s v="na"/>
  </r>
  <r>
    <n v="1844"/>
    <x v="53"/>
    <n v="2"/>
    <x v="10"/>
    <x v="0"/>
    <x v="0"/>
    <m/>
    <m/>
    <n v="60"/>
    <m/>
    <s v="U"/>
    <m/>
    <d v="1899-12-30T00:34:00"/>
    <s v="15:49"/>
    <s v="JI"/>
    <m/>
    <s v="20140804 JImrie"/>
    <s v="20140805 JImrie"/>
    <s v="x"/>
    <s v="x"/>
    <s v="na"/>
    <s v="FWL"/>
    <s v="na"/>
    <s v="na"/>
    <s v="na"/>
    <s v="na"/>
    <s v="na"/>
    <s v="na"/>
    <s v="na"/>
    <s v="na"/>
  </r>
  <r>
    <n v="1845"/>
    <x v="53"/>
    <n v="2"/>
    <x v="10"/>
    <x v="0"/>
    <x v="0"/>
    <m/>
    <m/>
    <n v="57"/>
    <m/>
    <s v="U"/>
    <m/>
    <d v="1899-12-30T00:28:00"/>
    <s v="15:51"/>
    <s v="JI"/>
    <m/>
    <s v="20140804 JImrie"/>
    <s v="20140805 JImrie"/>
    <s v="x"/>
    <s v="x"/>
    <s v="na"/>
    <s v="FWL"/>
    <s v="na"/>
    <s v="na"/>
    <s v="na"/>
    <s v="na"/>
    <s v="na"/>
    <s v="na"/>
    <s v="na"/>
    <s v="na"/>
  </r>
  <r>
    <n v="1846"/>
    <x v="53"/>
    <n v="2"/>
    <x v="12"/>
    <x v="0"/>
    <x v="0"/>
    <m/>
    <m/>
    <n v="44"/>
    <m/>
    <s v="F"/>
    <m/>
    <d v="1899-12-30T00:33:00"/>
    <s v="15:53"/>
    <s v="JI"/>
    <m/>
    <s v="20140804 JImrie"/>
    <s v="20140805 JImrie"/>
    <s v="x"/>
    <s v="x"/>
    <s v="na"/>
    <s v="FWL"/>
    <s v="na"/>
    <s v="na"/>
    <s v="na"/>
    <s v="na"/>
    <s v="na"/>
    <s v="na"/>
    <s v="na"/>
    <s v="na"/>
  </r>
  <r>
    <n v="1847"/>
    <x v="53"/>
    <n v="2"/>
    <x v="10"/>
    <x v="0"/>
    <x v="0"/>
    <m/>
    <m/>
    <n v="60"/>
    <m/>
    <s v="U"/>
    <m/>
    <d v="1899-12-30T00:43:00"/>
    <s v="15:55"/>
    <s v="QB"/>
    <m/>
    <s v="20140804 JImrie"/>
    <s v="20140805 JImrie"/>
    <s v="x"/>
    <s v="x"/>
    <s v="na"/>
    <s v="FWL"/>
    <s v="na"/>
    <s v="na"/>
    <s v="na"/>
    <s v="na"/>
    <s v="na"/>
    <s v="na"/>
    <s v="na"/>
    <s v="na"/>
  </r>
  <r>
    <n v="1848"/>
    <x v="53"/>
    <n v="2"/>
    <x v="10"/>
    <x v="0"/>
    <x v="0"/>
    <m/>
    <m/>
    <n v="62"/>
    <m/>
    <s v="U"/>
    <m/>
    <d v="1899-12-30T00:32:00"/>
    <s v="15:57"/>
    <s v="QB"/>
    <m/>
    <s v="20140804 JImrie"/>
    <s v="20140805 JImrie"/>
    <s v="x"/>
    <s v="x"/>
    <s v="na"/>
    <s v="FWL"/>
    <s v="na"/>
    <s v="na"/>
    <s v="na"/>
    <s v="na"/>
    <s v="na"/>
    <s v="na"/>
    <s v="na"/>
    <s v="na"/>
  </r>
  <r>
    <n v="1849"/>
    <x v="53"/>
    <n v="2"/>
    <x v="7"/>
    <x v="0"/>
    <x v="6"/>
    <n v="91"/>
    <s v="111 S"/>
    <n v="51"/>
    <m/>
    <s v="M"/>
    <m/>
    <d v="1899-12-30T01:13:00"/>
    <s v="16:44"/>
    <s v="JI"/>
    <m/>
    <s v="20140804 JImrie"/>
    <s v="20140805 JImrie"/>
    <s v="x"/>
    <n v="151.57300000000001"/>
    <s v="na"/>
    <s v="FWL"/>
    <s v="na"/>
    <s v="na"/>
    <s v="F1840"/>
    <s v="na"/>
    <s v="na"/>
    <s v="na"/>
    <s v="na"/>
    <s v="na"/>
  </r>
  <r>
    <n v="1850"/>
    <x v="53"/>
    <n v="2"/>
    <x v="12"/>
    <x v="0"/>
    <x v="0"/>
    <m/>
    <m/>
    <n v="48"/>
    <m/>
    <s v="M"/>
    <m/>
    <d v="1899-12-30T00:48:00"/>
    <s v="18:46"/>
    <s v="CSj"/>
    <m/>
    <s v="20140804 CSejkora"/>
    <s v="20140805 JImrie"/>
    <s v="x"/>
    <s v="x"/>
    <s v="na"/>
    <s v="FWL"/>
    <s v="na"/>
    <s v="na"/>
    <s v="na"/>
    <s v="na"/>
    <s v="na"/>
    <s v="na"/>
    <s v="na"/>
    <s v="na"/>
  </r>
  <r>
    <n v="1851"/>
    <x v="53"/>
    <n v="2"/>
    <x v="7"/>
    <x v="0"/>
    <x v="10"/>
    <n v="28"/>
    <s v="114 S"/>
    <n v="54"/>
    <m/>
    <s v="F"/>
    <m/>
    <d v="1899-12-30T01:34:00"/>
    <s v="18:52"/>
    <s v="CSw"/>
    <m/>
    <s v="20140804 CSejkora"/>
    <s v="20140805 JImrie"/>
    <s v="x"/>
    <n v="151.58600000000001"/>
    <s v="na"/>
    <s v="FWL"/>
    <s v="na"/>
    <s v="na"/>
    <s v="F1840"/>
    <s v="na"/>
    <s v="na"/>
    <s v="na"/>
    <s v="na"/>
    <s v="na"/>
  </r>
  <r>
    <n v="1852"/>
    <x v="53"/>
    <n v="2"/>
    <x v="12"/>
    <x v="0"/>
    <x v="0"/>
    <m/>
    <m/>
    <n v="41"/>
    <m/>
    <s v="M"/>
    <m/>
    <d v="1899-12-30T00:30:00"/>
    <s v="18:54"/>
    <s v="CSj"/>
    <m/>
    <s v="20140804 CSejkora"/>
    <s v="20140805 JImrie"/>
    <s v="x"/>
    <s v="x"/>
    <s v="na"/>
    <s v="FWL"/>
    <s v="na"/>
    <s v="na"/>
    <s v="na"/>
    <s v="na"/>
    <s v="na"/>
    <s v="na"/>
    <s v="na"/>
    <s v="na"/>
  </r>
  <r>
    <n v="1853"/>
    <x v="53"/>
    <n v="2"/>
    <x v="10"/>
    <x v="0"/>
    <x v="0"/>
    <m/>
    <m/>
    <n v="61"/>
    <m/>
    <s v="M"/>
    <m/>
    <d v="1899-12-30T00:27:00"/>
    <s v="20:04"/>
    <s v="CSj"/>
    <m/>
    <s v="20140804 CSejkora"/>
    <s v="20140805 JImrie"/>
    <s v="x"/>
    <s v="x"/>
    <s v="na"/>
    <s v="FWL"/>
    <s v="na"/>
    <s v="na"/>
    <s v="na"/>
    <s v="na"/>
    <s v="na"/>
    <s v="na"/>
    <s v="na"/>
    <s v="na"/>
  </r>
  <r>
    <n v="1854"/>
    <x v="53"/>
    <n v="2"/>
    <x v="10"/>
    <x v="0"/>
    <x v="0"/>
    <m/>
    <m/>
    <n v="60"/>
    <m/>
    <s v="M"/>
    <m/>
    <d v="1899-12-30T00:24:00"/>
    <s v="20:06"/>
    <s v="CSj"/>
    <m/>
    <s v="20140804 CSejkora"/>
    <s v="20140805 JImrie"/>
    <s v="x"/>
    <s v="x"/>
    <s v="na"/>
    <s v="FWL"/>
    <s v="na"/>
    <s v="na"/>
    <s v="na"/>
    <s v="na"/>
    <s v="na"/>
    <s v="na"/>
    <s v="na"/>
    <s v="na"/>
  </r>
  <r>
    <n v="1855"/>
    <x v="53"/>
    <n v="2"/>
    <x v="12"/>
    <x v="0"/>
    <x v="0"/>
    <m/>
    <m/>
    <n v="45"/>
    <m/>
    <s v="M"/>
    <m/>
    <d v="1899-12-30T00:18:00"/>
    <s v="20:07 "/>
    <s v="CSj"/>
    <m/>
    <s v="20140804 CSejkora"/>
    <s v="20140805 JImrie"/>
    <s v="x"/>
    <s v="x"/>
    <s v="na"/>
    <s v="FWL"/>
    <s v="na"/>
    <s v="na"/>
    <s v="na"/>
    <s v="na"/>
    <s v="na"/>
    <s v="na"/>
    <s v="na"/>
    <s v="na"/>
  </r>
  <r>
    <n v="1856"/>
    <x v="53"/>
    <n v="3"/>
    <x v="12"/>
    <x v="0"/>
    <x v="13"/>
    <n v="62"/>
    <s v="117 P"/>
    <n v="50"/>
    <m/>
    <s v="M"/>
    <m/>
    <d v="1899-12-30T01:31:00"/>
    <s v="10:33"/>
    <s v="CSw"/>
    <m/>
    <s v="20140804 CSewright"/>
    <s v="20140805 JImrie"/>
    <s v="x"/>
    <n v="151.51499999999999"/>
    <s v="na"/>
    <s v="FWL"/>
    <s v="na"/>
    <s v="na"/>
    <s v="F1835"/>
    <s v="na"/>
    <s v="na"/>
    <s v="na"/>
    <s v="na"/>
    <s v="na"/>
  </r>
  <r>
    <n v="1857"/>
    <x v="53"/>
    <n v="3"/>
    <x v="10"/>
    <x v="0"/>
    <x v="11"/>
    <n v="55"/>
    <s v="81 CM"/>
    <n v="53"/>
    <m/>
    <s v="F"/>
    <m/>
    <d v="1899-12-30T01:19:00"/>
    <s v="10:38"/>
    <s v="CSw"/>
    <m/>
    <s v="20140804 CSewright"/>
    <s v="20140805 JImrie"/>
    <s v="x"/>
    <n v="151.53399999999999"/>
    <s v="na"/>
    <s v="FWL"/>
    <s v="na"/>
    <s v="na"/>
    <s v="F1840"/>
    <s v="na"/>
    <s v="na"/>
    <s v="na"/>
    <s v="na"/>
    <s v="na"/>
  </r>
  <r>
    <n v="1858"/>
    <x v="53"/>
    <n v="3"/>
    <x v="10"/>
    <x v="0"/>
    <x v="11"/>
    <n v="51"/>
    <s v="64 CM"/>
    <n v="54"/>
    <m/>
    <s v="F"/>
    <m/>
    <d v="1899-12-30T00:57:00"/>
    <s v="10:41"/>
    <s v="CSw"/>
    <m/>
    <s v="20140804 CSewright"/>
    <s v="20140805 JImrie"/>
    <s v="x"/>
    <n v="151.53399999999999"/>
    <s v="na"/>
    <s v="FWL"/>
    <s v="na"/>
    <s v="na"/>
    <s v="F1840"/>
    <s v="na"/>
    <s v="na"/>
    <s v="na"/>
    <s v="na"/>
    <s v="na"/>
  </r>
  <r>
    <n v="1859"/>
    <x v="53"/>
    <n v="3"/>
    <x v="12"/>
    <x v="0"/>
    <x v="0"/>
    <m/>
    <m/>
    <n v="46"/>
    <m/>
    <s v="M"/>
    <m/>
    <d v="1899-12-30T00:18:00"/>
    <s v="10:43"/>
    <s v="CSj"/>
    <m/>
    <s v="20140804 CSewright"/>
    <s v="20140805 JImrie"/>
    <s v="x"/>
    <s v="x"/>
    <s v="na"/>
    <s v="FWL"/>
    <s v="na"/>
    <s v="na"/>
    <s v="na"/>
    <s v="na"/>
    <s v="na"/>
    <s v="na"/>
    <s v="na"/>
    <s v="na"/>
  </r>
  <r>
    <n v="1860"/>
    <x v="53"/>
    <n v="3"/>
    <x v="12"/>
    <x v="0"/>
    <x v="0"/>
    <m/>
    <m/>
    <n v="45"/>
    <m/>
    <s v="F"/>
    <m/>
    <d v="1899-12-30T00:19:00"/>
    <s v="10:45"/>
    <s v="CSj"/>
    <m/>
    <s v="20140804 CSewright"/>
    <s v="20140805 JImrie"/>
    <s v="x"/>
    <s v="x"/>
    <s v="na"/>
    <s v="FWL"/>
    <s v="na"/>
    <s v="na"/>
    <s v="na"/>
    <s v="na"/>
    <s v="na"/>
    <s v="na"/>
    <s v="na"/>
    <s v="na"/>
  </r>
  <r>
    <n v="1861"/>
    <x v="53"/>
    <n v="3"/>
    <x v="12"/>
    <x v="0"/>
    <x v="0"/>
    <m/>
    <m/>
    <n v="42"/>
    <m/>
    <s v="M"/>
    <m/>
    <d v="1899-12-30T00:18:00"/>
    <s v="10:46"/>
    <s v="CSj"/>
    <m/>
    <s v="20140804 CSewright"/>
    <s v="20140805 JImrie"/>
    <s v="x"/>
    <s v="x"/>
    <s v="na"/>
    <s v="FWL"/>
    <s v="na"/>
    <s v="na"/>
    <s v="na"/>
    <s v="na"/>
    <s v="na"/>
    <s v="na"/>
    <s v="na"/>
    <s v="na"/>
  </r>
  <r>
    <n v="1862"/>
    <x v="53"/>
    <n v="3"/>
    <x v="12"/>
    <x v="0"/>
    <x v="0"/>
    <m/>
    <m/>
    <n v="44"/>
    <m/>
    <s v="M"/>
    <m/>
    <d v="1899-12-30T00:20:00"/>
    <s v="10:47"/>
    <s v="CSj"/>
    <m/>
    <s v="20140804 CSewright"/>
    <s v="20140805 JImrie"/>
    <s v="x"/>
    <s v="x"/>
    <s v="na"/>
    <s v="FWL"/>
    <s v="na"/>
    <s v="na"/>
    <s v="na"/>
    <s v="na"/>
    <s v="na"/>
    <s v="na"/>
    <s v="na"/>
    <s v="na"/>
  </r>
  <r>
    <n v="1863"/>
    <x v="53"/>
    <n v="3"/>
    <x v="12"/>
    <x v="0"/>
    <x v="0"/>
    <m/>
    <m/>
    <n v="41"/>
    <m/>
    <s v="F"/>
    <m/>
    <d v="1899-12-30T00:24:00"/>
    <s v="10:48"/>
    <s v="CSj"/>
    <m/>
    <s v="20140804 CSewright"/>
    <s v="20140805 JImrie"/>
    <s v="x"/>
    <s v="x"/>
    <s v="na"/>
    <s v="FWL"/>
    <s v="na"/>
    <s v="na"/>
    <s v="na"/>
    <s v="na"/>
    <s v="na"/>
    <s v="na"/>
    <s v="na"/>
    <s v="na"/>
  </r>
  <r>
    <n v="1864"/>
    <x v="53"/>
    <n v="3"/>
    <x v="10"/>
    <x v="0"/>
    <x v="0"/>
    <m/>
    <m/>
    <n v="59"/>
    <m/>
    <s v="F"/>
    <m/>
    <d v="1899-12-30T00:21:00"/>
    <s v="10:49"/>
    <s v="CSj"/>
    <m/>
    <s v="20140804 CSewright"/>
    <s v="20140805 JImrie"/>
    <s v="x"/>
    <s v="x"/>
    <s v="na"/>
    <s v="FWL"/>
    <s v="na"/>
    <s v="na"/>
    <s v="na"/>
    <s v="na"/>
    <s v="na"/>
    <s v="na"/>
    <s v="na"/>
    <s v="na"/>
  </r>
  <r>
    <n v="1865"/>
    <x v="53"/>
    <n v="3"/>
    <x v="12"/>
    <x v="0"/>
    <x v="0"/>
    <m/>
    <m/>
    <n v="48"/>
    <m/>
    <s v="M"/>
    <m/>
    <d v="1899-12-30T00:18:00"/>
    <s v="10:50"/>
    <s v="CSj"/>
    <m/>
    <s v="20140804 CSewright"/>
    <s v="20140805 JImrie"/>
    <s v="x"/>
    <s v="x"/>
    <s v="na"/>
    <s v="FWL"/>
    <s v="na"/>
    <s v="na"/>
    <s v="na"/>
    <s v="na"/>
    <s v="na"/>
    <s v="na"/>
    <s v="na"/>
    <s v="na"/>
  </r>
  <r>
    <n v="1866"/>
    <x v="53"/>
    <n v="3"/>
    <x v="10"/>
    <x v="0"/>
    <x v="0"/>
    <m/>
    <m/>
    <n v="59"/>
    <m/>
    <s v="F"/>
    <m/>
    <d v="1899-12-30T00:24:00"/>
    <s v="10:52"/>
    <s v="CSj"/>
    <m/>
    <s v="20140804 CSewright"/>
    <s v="20140805 JImrie"/>
    <s v="x"/>
    <s v="x"/>
    <s v="na"/>
    <s v="FWL"/>
    <s v="na"/>
    <s v="na"/>
    <s v="na"/>
    <s v="na"/>
    <s v="na"/>
    <s v="na"/>
    <s v="na"/>
    <s v="na"/>
  </r>
  <r>
    <n v="1867"/>
    <x v="53"/>
    <n v="3"/>
    <x v="12"/>
    <x v="0"/>
    <x v="0"/>
    <m/>
    <m/>
    <n v="46"/>
    <m/>
    <s v="M"/>
    <m/>
    <d v="1899-12-30T00:27:00"/>
    <s v="10:53"/>
    <s v="CSj"/>
    <m/>
    <s v="20140804 CSewright"/>
    <s v="20140805 JImrie"/>
    <s v="x"/>
    <s v="x"/>
    <s v="na"/>
    <s v="FWL"/>
    <s v="na"/>
    <s v="na"/>
    <s v="na"/>
    <s v="na"/>
    <s v="na"/>
    <s v="na"/>
    <s v="na"/>
    <s v="na"/>
  </r>
  <r>
    <n v="1868"/>
    <x v="53"/>
    <n v="3"/>
    <x v="12"/>
    <x v="0"/>
    <x v="0"/>
    <m/>
    <m/>
    <n v="45"/>
    <m/>
    <s v="F"/>
    <m/>
    <d v="1899-12-30T00:21:00"/>
    <s v="10:54"/>
    <s v="CSj"/>
    <m/>
    <s v="20140804 CSewright"/>
    <s v="20140805 JImrie"/>
    <s v="x"/>
    <s v="x"/>
    <s v="na"/>
    <s v="FWL"/>
    <s v="na"/>
    <s v="na"/>
    <s v="na"/>
    <s v="na"/>
    <s v="na"/>
    <s v="na"/>
    <s v="na"/>
    <s v="na"/>
  </r>
  <r>
    <n v="1869"/>
    <x v="53"/>
    <n v="3"/>
    <x v="10"/>
    <x v="0"/>
    <x v="7"/>
    <n v="97"/>
    <s v="73 CM"/>
    <n v="55"/>
    <m/>
    <s v="M"/>
    <m/>
    <d v="1899-12-30T01:17:00"/>
    <s v="12:05"/>
    <s v="CSw"/>
    <m/>
    <s v="20140804 CSewright"/>
    <s v="20140805 JImrie"/>
    <s v="x"/>
    <n v="151.56399999999999"/>
    <s v="na"/>
    <s v="FWL"/>
    <s v="na"/>
    <s v="na"/>
    <s v="F1840"/>
    <s v="na"/>
    <s v="na"/>
    <s v="na"/>
    <s v="na"/>
    <s v="na"/>
  </r>
  <r>
    <n v="1870"/>
    <x v="53"/>
    <n v="3"/>
    <x v="12"/>
    <x v="0"/>
    <x v="13"/>
    <n v="14"/>
    <s v="118 P"/>
    <n v="41"/>
    <m/>
    <s v="M"/>
    <m/>
    <d v="1899-12-30T01:18:00"/>
    <s v="12:10"/>
    <s v="CSw"/>
    <m/>
    <s v="20140804 CSewright"/>
    <s v="20140805 JImrie"/>
    <s v="x"/>
    <n v="151.51499999999999"/>
    <s v="na"/>
    <s v="FWL"/>
    <s v="na"/>
    <s v="na"/>
    <s v="F1835"/>
    <s v="na"/>
    <s v="na"/>
    <s v="na"/>
    <s v="na"/>
    <s v="na"/>
  </r>
  <r>
    <n v="1871"/>
    <x v="53"/>
    <n v="3"/>
    <x v="10"/>
    <x v="0"/>
    <x v="0"/>
    <m/>
    <m/>
    <n v="63"/>
    <m/>
    <s v="M"/>
    <m/>
    <d v="1899-12-30T00:29:00"/>
    <s v="12:13"/>
    <s v="CSj"/>
    <m/>
    <s v="20140804 CSewright"/>
    <s v="20140805 JImrie"/>
    <s v="x"/>
    <s v="x"/>
    <s v="na"/>
    <s v="FWL"/>
    <s v="na"/>
    <s v="na"/>
    <s v="na"/>
    <s v="na"/>
    <s v="na"/>
    <s v="na"/>
    <s v="na"/>
    <s v="na"/>
  </r>
  <r>
    <n v="1872"/>
    <x v="53"/>
    <n v="3"/>
    <x v="12"/>
    <x v="0"/>
    <x v="0"/>
    <m/>
    <m/>
    <n v="47"/>
    <m/>
    <s v="F"/>
    <m/>
    <d v="1899-12-30T00:17:00"/>
    <s v="12:14"/>
    <s v="CSj"/>
    <m/>
    <s v="20140804 CSewright"/>
    <s v="20140805 JImrie"/>
    <s v="x"/>
    <s v="x"/>
    <s v="na"/>
    <s v="FWL"/>
    <s v="na"/>
    <s v="na"/>
    <s v="na"/>
    <s v="na"/>
    <s v="na"/>
    <s v="na"/>
    <s v="na"/>
    <s v="na"/>
  </r>
  <r>
    <n v="1873"/>
    <x v="53"/>
    <n v="3"/>
    <x v="10"/>
    <x v="0"/>
    <x v="0"/>
    <m/>
    <m/>
    <n v="60"/>
    <m/>
    <s v="F"/>
    <m/>
    <d v="1899-12-30T00:23:00"/>
    <s v="12:15"/>
    <s v="CSj"/>
    <m/>
    <s v="20140804 CSewright"/>
    <s v="20140805 JImrie"/>
    <s v="x"/>
    <s v="x"/>
    <s v="na"/>
    <s v="FWL"/>
    <s v="na"/>
    <s v="na"/>
    <s v="na"/>
    <s v="na"/>
    <s v="na"/>
    <s v="na"/>
    <s v="na"/>
    <s v="na"/>
  </r>
  <r>
    <n v="1874"/>
    <x v="53"/>
    <n v="3"/>
    <x v="12"/>
    <x v="0"/>
    <x v="0"/>
    <m/>
    <m/>
    <n v="43"/>
    <m/>
    <s v="M"/>
    <m/>
    <d v="1899-12-30T00:20:00"/>
    <s v="12:16"/>
    <s v="CSj"/>
    <m/>
    <s v="20140804 CSewright"/>
    <s v="20140805 JImrie"/>
    <s v="x"/>
    <s v="x"/>
    <s v="na"/>
    <s v="FWL"/>
    <s v="na"/>
    <s v="na"/>
    <s v="na"/>
    <s v="na"/>
    <s v="na"/>
    <s v="na"/>
    <s v="na"/>
    <s v="na"/>
  </r>
  <r>
    <n v="1875"/>
    <x v="53"/>
    <n v="3"/>
    <x v="12"/>
    <x v="0"/>
    <x v="0"/>
    <m/>
    <m/>
    <n v="44"/>
    <m/>
    <s v="F"/>
    <m/>
    <d v="1899-12-30T00:23:00"/>
    <s v="12:18"/>
    <s v="CSj"/>
    <m/>
    <s v="20140804 CSewright"/>
    <s v="20140805 JImrie"/>
    <s v="x"/>
    <s v="x"/>
    <s v="na"/>
    <s v="FWL"/>
    <s v="na"/>
    <s v="na"/>
    <s v="na"/>
    <s v="na"/>
    <s v="na"/>
    <s v="na"/>
    <s v="na"/>
    <s v="na"/>
  </r>
  <r>
    <n v="1876"/>
    <x v="53"/>
    <n v="3"/>
    <x v="10"/>
    <x v="0"/>
    <x v="0"/>
    <m/>
    <m/>
    <n v="57"/>
    <m/>
    <s v="F"/>
    <m/>
    <d v="1899-12-30T00:19:00"/>
    <s v="12:35"/>
    <s v="CSj"/>
    <m/>
    <s v="20140804 CSewright"/>
    <s v="20140805 JImrie"/>
    <s v="x"/>
    <s v="x"/>
    <s v="na"/>
    <s v="FWL"/>
    <s v="na"/>
    <s v="na"/>
    <s v="na"/>
    <s v="na"/>
    <s v="na"/>
    <s v="na"/>
    <s v="na"/>
    <s v="na"/>
  </r>
  <r>
    <n v="1877"/>
    <x v="53"/>
    <n v="3"/>
    <x v="10"/>
    <x v="0"/>
    <x v="0"/>
    <m/>
    <m/>
    <n v="55"/>
    <m/>
    <s v="F"/>
    <m/>
    <d v="1899-12-30T00:18:00"/>
    <s v="12:38"/>
    <s v="CSj"/>
    <m/>
    <s v="20140804 CSewright"/>
    <s v="20140805 JImrie"/>
    <s v="x"/>
    <s v="x"/>
    <s v="na"/>
    <s v="FWL"/>
    <s v="na"/>
    <s v="na"/>
    <s v="na"/>
    <s v="na"/>
    <s v="na"/>
    <s v="na"/>
    <s v="na"/>
    <s v="na"/>
  </r>
  <r>
    <n v="1878"/>
    <x v="53"/>
    <n v="3"/>
    <x v="10"/>
    <x v="0"/>
    <x v="0"/>
    <m/>
    <m/>
    <n v="62"/>
    <m/>
    <s v="F"/>
    <m/>
    <d v="1899-12-30T00:26:00"/>
    <s v="12:41"/>
    <s v="CSj"/>
    <m/>
    <s v="20140804 CSewright"/>
    <s v="20140805 JImrie"/>
    <s v="x"/>
    <s v="x"/>
    <s v="na"/>
    <s v="FWL"/>
    <s v="na"/>
    <s v="na"/>
    <s v="na"/>
    <s v="na"/>
    <s v="na"/>
    <s v="na"/>
    <s v="na"/>
    <s v="na"/>
  </r>
  <r>
    <n v="1879"/>
    <x v="53"/>
    <n v="3"/>
    <x v="7"/>
    <x v="1"/>
    <x v="0"/>
    <m/>
    <m/>
    <n v="39"/>
    <m/>
    <s v="M"/>
    <m/>
    <d v="1899-12-30T00:25:00"/>
    <s v="12:45"/>
    <s v="CSj"/>
    <s v="too small to tag"/>
    <s v="20140804 CSewright"/>
    <s v="20140805 JImrie"/>
    <s v="x"/>
    <s v="x"/>
    <s v="na"/>
    <s v="FWL"/>
    <s v="na"/>
    <s v="na"/>
    <s v="na"/>
    <s v="na"/>
    <s v="na"/>
    <s v="na"/>
    <s v="na"/>
    <s v="na"/>
  </r>
  <r>
    <n v="1880"/>
    <x v="53"/>
    <n v="3"/>
    <x v="10"/>
    <x v="0"/>
    <x v="0"/>
    <m/>
    <m/>
    <n v="60"/>
    <m/>
    <s v="M"/>
    <m/>
    <d v="1899-12-30T00:25:00"/>
    <s v="13:48"/>
    <s v="CSw"/>
    <m/>
    <s v="20140804 CSewright"/>
    <s v="20140805 JImrie"/>
    <s v="x"/>
    <s v="x"/>
    <s v="na"/>
    <s v="FWL"/>
    <s v="na"/>
    <s v="na"/>
    <s v="na"/>
    <s v="na"/>
    <s v="na"/>
    <s v="na"/>
    <s v="na"/>
    <s v="na"/>
  </r>
  <r>
    <n v="1881"/>
    <x v="53"/>
    <n v="3"/>
    <x v="13"/>
    <x v="0"/>
    <x v="14"/>
    <n v="11"/>
    <s v="2 CO"/>
    <n v="52"/>
    <m/>
    <s v="F"/>
    <m/>
    <d v="1899-12-30T01:09:00"/>
    <s v="13:54"/>
    <s v="CSj"/>
    <m/>
    <s v="20140804 CSewright"/>
    <s v="20140805 JImrie"/>
    <s v="x"/>
    <n v="151.32499999999999"/>
    <s v="na"/>
    <s v="FWL"/>
    <s v="na"/>
    <s v="na"/>
    <s v="F1840"/>
    <s v="na"/>
    <s v="na"/>
    <s v="na"/>
    <s v="na"/>
    <s v="na"/>
  </r>
  <r>
    <n v="1882"/>
    <x v="53"/>
    <n v="3"/>
    <x v="10"/>
    <x v="0"/>
    <x v="0"/>
    <m/>
    <m/>
    <n v="57"/>
    <m/>
    <s v="F"/>
    <m/>
    <d v="1899-12-30T00:20:00"/>
    <s v="13:55"/>
    <s v="CSw"/>
    <m/>
    <s v="20140804 CSewright"/>
    <s v="20140805 JImrie"/>
    <s v="x"/>
    <s v="x"/>
    <s v="na"/>
    <s v="FWL"/>
    <s v="na"/>
    <s v="na"/>
    <s v="na"/>
    <s v="na"/>
    <s v="na"/>
    <s v="na"/>
    <s v="na"/>
    <s v="na"/>
  </r>
  <r>
    <n v="1883"/>
    <x v="53"/>
    <n v="3"/>
    <x v="4"/>
    <x v="1"/>
    <x v="0"/>
    <m/>
    <m/>
    <n v="31"/>
    <m/>
    <s v="U"/>
    <m/>
    <d v="1899-12-30T00:18:00"/>
    <s v="13:58"/>
    <s v="CSw"/>
    <s v="too small to tag"/>
    <s v="20140804 CSewright"/>
    <s v="20140805 JImrie"/>
    <s v="x"/>
    <s v="x"/>
    <s v="na"/>
    <s v="FWL"/>
    <s v="na"/>
    <s v="na"/>
    <s v="na"/>
    <s v="na"/>
    <s v="na"/>
    <s v="na"/>
    <s v="na"/>
    <s v="na"/>
  </r>
  <r>
    <n v="1884"/>
    <x v="53"/>
    <n v="3"/>
    <x v="12"/>
    <x v="0"/>
    <x v="13"/>
    <n v="97"/>
    <s v="119 P"/>
    <n v="48"/>
    <m/>
    <s v="F"/>
    <m/>
    <d v="1899-12-30T00:51:00"/>
    <s v="14:34"/>
    <s v="JK"/>
    <m/>
    <s v="20140804 JKunzler"/>
    <s v="20140805 JImrie"/>
    <s v="x"/>
    <n v="151.51499999999999"/>
    <s v="na"/>
    <s v="FWL"/>
    <s v="na"/>
    <s v="na"/>
    <s v="F1835"/>
    <s v="na"/>
    <s v="na"/>
    <s v="na"/>
    <s v="na"/>
    <s v="na"/>
  </r>
  <r>
    <n v="1885"/>
    <x v="53"/>
    <n v="3"/>
    <x v="10"/>
    <x v="0"/>
    <x v="11"/>
    <n v="52"/>
    <s v="74 CM"/>
    <n v="61"/>
    <m/>
    <s v="F"/>
    <m/>
    <d v="1899-12-30T01:42:00"/>
    <s v="14:38"/>
    <s v="JK"/>
    <m/>
    <s v="20140804 JKunzler"/>
    <s v="20140805 JImrie"/>
    <s v="x"/>
    <n v="151.53399999999999"/>
    <s v="na"/>
    <s v="FWL"/>
    <s v="na"/>
    <s v="na"/>
    <s v="F1840"/>
    <s v="na"/>
    <s v="na"/>
    <s v="na"/>
    <s v="na"/>
    <s v="na"/>
  </r>
  <r>
    <n v="1886"/>
    <x v="53"/>
    <n v="3"/>
    <x v="10"/>
    <x v="0"/>
    <x v="11"/>
    <n v="53"/>
    <s v="78 CM"/>
    <n v="59"/>
    <m/>
    <s v="M"/>
    <m/>
    <d v="1899-12-30T01:04:00"/>
    <s v="17:03"/>
    <s v="BK"/>
    <s v="code not recorded, possibly 36.  AS sleuthed code=53."/>
    <s v="20140804 JKunzler"/>
    <s v="20140805 JImrie"/>
    <s v="x"/>
    <n v="151.53399999999999"/>
    <s v="na"/>
    <s v="FWL"/>
    <s v="na"/>
    <s v="na"/>
    <s v="F1840"/>
    <s v="na"/>
    <s v="na"/>
    <s v="na"/>
    <s v="na"/>
    <s v="na"/>
  </r>
  <r>
    <n v="1887"/>
    <x v="53"/>
    <n v="3"/>
    <x v="12"/>
    <x v="0"/>
    <x v="12"/>
    <n v="88"/>
    <s v="120 P"/>
    <n v="46"/>
    <m/>
    <s v="U"/>
    <m/>
    <d v="1899-12-30T00:57:00"/>
    <s v="17:16"/>
    <s v="BK"/>
    <m/>
    <s v="20140804 JKunzler"/>
    <s v="20140805 JImrie"/>
    <s v="x"/>
    <n v="151.596"/>
    <s v="na"/>
    <s v="FWL"/>
    <s v="na"/>
    <s v="na"/>
    <s v="F1835"/>
    <s v="na"/>
    <s v="na"/>
    <s v="na"/>
    <s v="na"/>
    <s v="na"/>
  </r>
  <r>
    <n v="1888"/>
    <x v="53"/>
    <n v="3"/>
    <x v="0"/>
    <x v="2"/>
    <x v="0"/>
    <m/>
    <m/>
    <m/>
    <n v="21"/>
    <s v="U"/>
    <m/>
    <d v="1899-12-30T00:39:00"/>
    <s v="17:19"/>
    <s v="BK"/>
    <m/>
    <s v="20140804 JKunzler"/>
    <s v="20140805 JImrie"/>
    <s v="x"/>
    <s v="x"/>
    <s v="na"/>
    <s v="FWL"/>
    <s v="na"/>
    <s v="na"/>
    <s v="na"/>
    <s v="na"/>
    <s v="na"/>
    <s v="na"/>
    <s v="na"/>
    <s v="na"/>
  </r>
  <r>
    <n v="1889"/>
    <x v="53"/>
    <n v="3"/>
    <x v="13"/>
    <x v="0"/>
    <x v="14"/>
    <n v="18"/>
    <s v="20 CO"/>
    <n v="58"/>
    <m/>
    <s v="U"/>
    <m/>
    <d v="1899-12-30T01:01:00"/>
    <s v="18:32"/>
    <s v="BK"/>
    <m/>
    <s v="20140804 JKunzler"/>
    <s v="20140805 JImrie"/>
    <s v="x"/>
    <n v="151.32499999999999"/>
    <s v="na"/>
    <s v="FWL"/>
    <s v="na"/>
    <s v="na"/>
    <s v="F1840"/>
    <s v="na"/>
    <s v="na"/>
    <s v="na"/>
    <s v="na"/>
    <s v="na"/>
  </r>
  <r>
    <n v="1890"/>
    <x v="53"/>
    <n v="3"/>
    <x v="10"/>
    <x v="0"/>
    <x v="11"/>
    <n v="88"/>
    <s v="79 CM"/>
    <n v="61"/>
    <m/>
    <s v="M"/>
    <m/>
    <d v="1899-12-30T01:14:00"/>
    <s v="18:37"/>
    <s v="BK"/>
    <m/>
    <s v="20140804 JKunzler"/>
    <s v="20140805 JImrie"/>
    <s v="x"/>
    <n v="151.53399999999999"/>
    <s v="na"/>
    <s v="FWL"/>
    <s v="na"/>
    <s v="na"/>
    <s v="F1840"/>
    <s v="na"/>
    <s v="na"/>
    <s v="na"/>
    <s v="na"/>
    <s v="na"/>
  </r>
  <r>
    <n v="1891"/>
    <x v="53"/>
    <n v="3"/>
    <x v="7"/>
    <x v="0"/>
    <x v="6"/>
    <n v="37"/>
    <s v="104 S"/>
    <n v="51"/>
    <m/>
    <s v="U"/>
    <m/>
    <d v="1899-12-30T00:53:00"/>
    <s v="20:00"/>
    <s v="BK"/>
    <m/>
    <s v="20140804 JKunzler"/>
    <s v="20140805 JImrie"/>
    <s v="x"/>
    <n v="151.57300000000001"/>
    <s v="na"/>
    <s v="FWL"/>
    <s v="na"/>
    <s v="na"/>
    <s v="F1840"/>
    <s v="na"/>
    <s v="na"/>
    <s v="na"/>
    <s v="na"/>
    <s v="na"/>
  </r>
  <r>
    <n v="1892"/>
    <x v="54"/>
    <n v="1"/>
    <x v="12"/>
    <x v="0"/>
    <x v="13"/>
    <n v="46"/>
    <s v="127 P"/>
    <n v="47"/>
    <m/>
    <s v="F"/>
    <m/>
    <d v="1899-12-30T01:01:00"/>
    <s v="09:53"/>
    <s v="CSw"/>
    <m/>
    <s v="20140805 CSewright"/>
    <s v="20140805 Astephens"/>
    <s v="x"/>
    <n v="151.51499999999999"/>
    <s v="na"/>
    <s v="FWL"/>
    <s v="na"/>
    <s v="na"/>
    <s v="F1835"/>
    <s v="na"/>
    <s v="na"/>
    <s v="na"/>
    <s v="na"/>
    <s v="na"/>
  </r>
  <r>
    <n v="1893"/>
    <x v="54"/>
    <n v="1"/>
    <x v="12"/>
    <x v="0"/>
    <x v="12"/>
    <n v="75"/>
    <s v="128 P"/>
    <n v="48"/>
    <m/>
    <s v="M"/>
    <m/>
    <d v="1899-12-30T01:38:00"/>
    <s v="09:56"/>
    <s v="CSw"/>
    <m/>
    <s v="20140805 CSewright"/>
    <s v="20140805 Astephens"/>
    <s v="x"/>
    <n v="151.596"/>
    <s v="na"/>
    <s v="FWL"/>
    <s v="na"/>
    <s v="na"/>
    <s v="F1835"/>
    <s v="na"/>
    <s v="na"/>
    <s v="na"/>
    <s v="na"/>
    <s v="na"/>
  </r>
  <r>
    <n v="1894"/>
    <x v="54"/>
    <n v="1"/>
    <x v="12"/>
    <x v="0"/>
    <x v="0"/>
    <m/>
    <m/>
    <n v="44"/>
    <m/>
    <s v="M"/>
    <m/>
    <d v="1899-12-30T00:17:00"/>
    <s v="10:01"/>
    <s v="QB"/>
    <m/>
    <s v="20140805 CSewright"/>
    <s v="20140805 Astephens"/>
    <s v="x"/>
    <s v="x"/>
    <s v="na"/>
    <s v="FWL"/>
    <s v="na"/>
    <s v="na"/>
    <s v="na"/>
    <s v="na"/>
    <s v="na"/>
    <s v="na"/>
    <s v="na"/>
    <s v="na"/>
  </r>
  <r>
    <n v="1895"/>
    <x v="54"/>
    <n v="1"/>
    <x v="12"/>
    <x v="0"/>
    <x v="0"/>
    <m/>
    <m/>
    <n v="45"/>
    <m/>
    <s v="M"/>
    <m/>
    <d v="1899-12-30T00:18:00"/>
    <s v="10:02"/>
    <s v="QB"/>
    <m/>
    <s v="20140805 CSewright"/>
    <s v="20140805 Astephens"/>
    <s v="x"/>
    <s v="x"/>
    <s v="na"/>
    <s v="FWL"/>
    <s v="na"/>
    <s v="na"/>
    <s v="na"/>
    <s v="na"/>
    <s v="na"/>
    <s v="na"/>
    <s v="na"/>
    <s v="na"/>
  </r>
  <r>
    <n v="1896"/>
    <x v="54"/>
    <n v="1"/>
    <x v="7"/>
    <x v="0"/>
    <x v="10"/>
    <n v="37"/>
    <s v="115 S"/>
    <n v="49"/>
    <m/>
    <s v="F"/>
    <m/>
    <d v="1899-12-30T01:12:00"/>
    <s v="10:07"/>
    <s v="CSw"/>
    <m/>
    <s v="20140805 CSewright"/>
    <s v="20140805 Astephens"/>
    <s v="x"/>
    <n v="151.58600000000001"/>
    <s v="na"/>
    <s v="FWL"/>
    <s v="na"/>
    <s v="na"/>
    <s v="F1840"/>
    <s v="na"/>
    <s v="na"/>
    <s v="na"/>
    <s v="na"/>
    <s v="na"/>
  </r>
  <r>
    <n v="1897"/>
    <x v="54"/>
    <n v="1"/>
    <x v="12"/>
    <x v="0"/>
    <x v="0"/>
    <m/>
    <m/>
    <n v="46"/>
    <m/>
    <s v="F"/>
    <m/>
    <d v="1899-12-30T00:22:00"/>
    <s v="10:09"/>
    <s v="QB"/>
    <m/>
    <s v="20140805 CSewright"/>
    <s v="20140805 Astephens"/>
    <s v="x"/>
    <s v="x"/>
    <s v="na"/>
    <s v="FWL"/>
    <s v="na"/>
    <s v="na"/>
    <s v="na"/>
    <s v="na"/>
    <s v="na"/>
    <s v="na"/>
    <s v="na"/>
    <s v="na"/>
  </r>
  <r>
    <n v="1898"/>
    <x v="54"/>
    <n v="1"/>
    <x v="12"/>
    <x v="0"/>
    <x v="0"/>
    <m/>
    <m/>
    <n v="48"/>
    <m/>
    <s v="M"/>
    <m/>
    <d v="1899-12-30T00:21:00"/>
    <s v="10:10"/>
    <s v="QB"/>
    <m/>
    <s v="20140805 CSewright"/>
    <s v="20140805 Astephens"/>
    <s v="x"/>
    <s v="x"/>
    <s v="na"/>
    <s v="FWL"/>
    <s v="na"/>
    <s v="na"/>
    <s v="na"/>
    <s v="na"/>
    <s v="na"/>
    <s v="na"/>
    <s v="na"/>
    <s v="na"/>
  </r>
  <r>
    <n v="1899"/>
    <x v="54"/>
    <n v="1"/>
    <x v="12"/>
    <x v="0"/>
    <x v="0"/>
    <m/>
    <m/>
    <n v="43"/>
    <m/>
    <s v="F"/>
    <m/>
    <d v="1899-12-30T00:15:00"/>
    <s v="10:11"/>
    <s v="QB"/>
    <m/>
    <s v="20140805 CSewright"/>
    <s v="20140805 Astephens"/>
    <s v="x"/>
    <s v="x"/>
    <s v="na"/>
    <s v="FWL"/>
    <s v="na"/>
    <s v="na"/>
    <s v="na"/>
    <s v="na"/>
    <s v="na"/>
    <s v="na"/>
    <s v="na"/>
    <s v="na"/>
  </r>
  <r>
    <n v="1900"/>
    <x v="54"/>
    <n v="1"/>
    <x v="12"/>
    <x v="0"/>
    <x v="0"/>
    <m/>
    <m/>
    <n v="46"/>
    <m/>
    <s v="F"/>
    <m/>
    <d v="1899-12-30T00:30:00"/>
    <s v="10:13"/>
    <s v="QB"/>
    <m/>
    <s v="20140805 CSewright"/>
    <s v="20140805 Astephens"/>
    <s v="x"/>
    <s v="x"/>
    <s v="na"/>
    <s v="FWL"/>
    <s v="na"/>
    <s v="na"/>
    <s v="na"/>
    <s v="na"/>
    <s v="na"/>
    <s v="na"/>
    <s v="na"/>
    <s v="na"/>
  </r>
  <r>
    <n v="1901"/>
    <x v="54"/>
    <n v="1"/>
    <x v="10"/>
    <x v="0"/>
    <x v="7"/>
    <n v="62"/>
    <s v="86 CM"/>
    <n v="65"/>
    <m/>
    <s v="M"/>
    <m/>
    <d v="1899-12-30T01:17:00"/>
    <s v="10:17"/>
    <s v="CSw"/>
    <m/>
    <s v="20140805 CSewright"/>
    <s v="20140805 Astephens"/>
    <s v="x"/>
    <n v="151.56399999999999"/>
    <s v="na"/>
    <s v="FWL"/>
    <s v="na"/>
    <s v="na"/>
    <s v="F1840"/>
    <s v="na"/>
    <s v="na"/>
    <s v="na"/>
    <s v="na"/>
    <s v="na"/>
  </r>
  <r>
    <n v="1902"/>
    <x v="54"/>
    <n v="1"/>
    <x v="12"/>
    <x v="0"/>
    <x v="0"/>
    <m/>
    <m/>
    <n v="45"/>
    <m/>
    <s v="F"/>
    <m/>
    <d v="1899-12-30T00:19:00"/>
    <s v="10:19"/>
    <s v="QB"/>
    <m/>
    <s v="20140805 CSewright"/>
    <s v="20140805 Astephens"/>
    <s v="x"/>
    <s v="x"/>
    <s v="na"/>
    <s v="FWL"/>
    <s v="na"/>
    <s v="na"/>
    <s v="na"/>
    <s v="na"/>
    <s v="na"/>
    <s v="na"/>
    <s v="na"/>
    <s v="na"/>
  </r>
  <r>
    <n v="1903"/>
    <x v="54"/>
    <n v="1"/>
    <x v="12"/>
    <x v="0"/>
    <x v="0"/>
    <m/>
    <m/>
    <n v="45"/>
    <m/>
    <s v="F"/>
    <m/>
    <d v="1899-12-30T00:22:00"/>
    <s v="10:21"/>
    <s v="QB"/>
    <m/>
    <s v="20140805 CSewright"/>
    <s v="20140805 Astephens"/>
    <s v="x"/>
    <s v="x"/>
    <s v="na"/>
    <s v="FWL"/>
    <s v="na"/>
    <s v="na"/>
    <s v="na"/>
    <s v="na"/>
    <s v="na"/>
    <s v="na"/>
    <s v="na"/>
    <s v="na"/>
  </r>
  <r>
    <n v="1904"/>
    <x v="54"/>
    <n v="1"/>
    <x v="12"/>
    <x v="0"/>
    <x v="0"/>
    <m/>
    <m/>
    <n v="47"/>
    <m/>
    <s v="F"/>
    <m/>
    <d v="1899-12-30T00:25:00"/>
    <s v="10:22"/>
    <s v="QB"/>
    <m/>
    <s v="20140805 CSewright"/>
    <s v="20140805 Astephens"/>
    <s v="x"/>
    <s v="x"/>
    <s v="na"/>
    <s v="FWL"/>
    <s v="na"/>
    <s v="na"/>
    <s v="na"/>
    <s v="na"/>
    <s v="na"/>
    <s v="na"/>
    <s v="na"/>
    <s v="na"/>
  </r>
  <r>
    <n v="1905"/>
    <x v="54"/>
    <n v="1"/>
    <x v="12"/>
    <x v="0"/>
    <x v="0"/>
    <m/>
    <m/>
    <n v="48"/>
    <m/>
    <s v="M"/>
    <m/>
    <d v="1899-12-30T00:19:00"/>
    <s v="10:23"/>
    <s v="QB"/>
    <m/>
    <s v="20140805 CSewright"/>
    <s v="20140805 Astephens"/>
    <s v="x"/>
    <s v="x"/>
    <s v="na"/>
    <s v="FWL"/>
    <s v="na"/>
    <s v="na"/>
    <s v="na"/>
    <s v="na"/>
    <s v="na"/>
    <s v="na"/>
    <s v="na"/>
    <s v="na"/>
  </r>
  <r>
    <n v="1906"/>
    <x v="54"/>
    <n v="1"/>
    <x v="12"/>
    <x v="0"/>
    <x v="0"/>
    <m/>
    <m/>
    <n v="49"/>
    <m/>
    <s v="M"/>
    <m/>
    <d v="1899-12-30T00:27:00"/>
    <s v="10:24"/>
    <s v="QB"/>
    <m/>
    <s v="20140805 CSewright"/>
    <s v="20140805 Astephens"/>
    <s v="x"/>
    <s v="x"/>
    <s v="na"/>
    <s v="FWL"/>
    <s v="na"/>
    <s v="na"/>
    <s v="na"/>
    <s v="na"/>
    <s v="na"/>
    <s v="na"/>
    <s v="na"/>
    <s v="na"/>
  </r>
  <r>
    <n v="1907"/>
    <x v="54"/>
    <n v="1"/>
    <x v="12"/>
    <x v="0"/>
    <x v="0"/>
    <m/>
    <m/>
    <n v="49"/>
    <m/>
    <s v="M"/>
    <m/>
    <d v="1899-12-30T00:19:00"/>
    <s v="10:26"/>
    <s v="QB"/>
    <m/>
    <s v="20140805 CSewright"/>
    <s v="20140805 Astephens"/>
    <s v="x"/>
    <s v="x"/>
    <s v="na"/>
    <s v="FWL"/>
    <s v="na"/>
    <s v="na"/>
    <s v="na"/>
    <s v="na"/>
    <s v="na"/>
    <s v="na"/>
    <s v="na"/>
    <s v="na"/>
  </r>
  <r>
    <n v="1908"/>
    <x v="54"/>
    <n v="1"/>
    <x v="12"/>
    <x v="0"/>
    <x v="0"/>
    <m/>
    <m/>
    <n v="45"/>
    <m/>
    <s v="F"/>
    <m/>
    <d v="1899-12-30T00:16:00"/>
    <s v="10:27"/>
    <s v="QB"/>
    <m/>
    <s v="20140805 CSewright"/>
    <s v="20140805 Astephens"/>
    <s v="x"/>
    <s v="x"/>
    <s v="na"/>
    <s v="FWL"/>
    <s v="na"/>
    <s v="na"/>
    <s v="na"/>
    <s v="na"/>
    <s v="na"/>
    <s v="na"/>
    <s v="na"/>
    <s v="na"/>
  </r>
  <r>
    <n v="1909"/>
    <x v="54"/>
    <n v="1"/>
    <x v="13"/>
    <x v="0"/>
    <x v="15"/>
    <n v="24"/>
    <s v="4 CO"/>
    <n v="54"/>
    <m/>
    <s v="U"/>
    <m/>
    <d v="1899-12-30T00:51:00"/>
    <s v="12:29"/>
    <s v="CSj"/>
    <s v="F266."/>
    <s v="20140805 CSejkora"/>
    <s v="20140805 Astephens"/>
    <s v="x"/>
    <n v="151.26599999999999"/>
    <s v="na"/>
    <s v="FWL"/>
    <s v="na"/>
    <s v="na"/>
    <s v="F1840"/>
    <s v="na"/>
    <s v="na"/>
    <s v="na"/>
    <s v="na"/>
    <s v="na"/>
  </r>
  <r>
    <n v="1910"/>
    <x v="54"/>
    <n v="1"/>
    <x v="12"/>
    <x v="0"/>
    <x v="13"/>
    <n v="24"/>
    <s v="135 P"/>
    <n v="45"/>
    <m/>
    <s v="F"/>
    <m/>
    <d v="1899-12-30T01:03:00"/>
    <s v="14:36"/>
    <s v="JI"/>
    <m/>
    <s v="20140805 CSejkora"/>
    <s v="20140805 Astephens"/>
    <s v="x"/>
    <n v="151.51499999999999"/>
    <s v="na"/>
    <s v="FWL"/>
    <s v="na"/>
    <s v="na"/>
    <s v="F1835"/>
    <s v="na"/>
    <s v="na"/>
    <s v="na"/>
    <s v="na"/>
    <s v="na"/>
  </r>
  <r>
    <n v="1911"/>
    <x v="54"/>
    <n v="1"/>
    <x v="10"/>
    <x v="0"/>
    <x v="7"/>
    <n v="32"/>
    <s v="99 CM"/>
    <n v="53"/>
    <m/>
    <s v="U"/>
    <m/>
    <d v="1899-12-30T01:10:00"/>
    <s v="16:10"/>
    <s v="CSj"/>
    <m/>
    <s v="20140805 CSejkora"/>
    <s v="20140805 Astephens"/>
    <s v="x"/>
    <n v="151.56399999999999"/>
    <s v="na"/>
    <s v="FWL"/>
    <s v="na"/>
    <s v="na"/>
    <s v="F1840"/>
    <s v="na"/>
    <s v="na"/>
    <s v="na"/>
    <s v="na"/>
    <s v="na"/>
  </r>
  <r>
    <n v="1912"/>
    <x v="54"/>
    <n v="1"/>
    <x v="10"/>
    <x v="0"/>
    <x v="0"/>
    <m/>
    <m/>
    <n v="57"/>
    <m/>
    <s v="U"/>
    <m/>
    <d v="1899-12-30T00:23:00"/>
    <s v="16:13"/>
    <s v="CSj"/>
    <m/>
    <s v="20140805 CSejkora"/>
    <s v="20140805 Astephens"/>
    <s v="x"/>
    <s v="x"/>
    <s v="na"/>
    <s v="FWL"/>
    <s v="na"/>
    <s v="na"/>
    <s v="na"/>
    <s v="na"/>
    <s v="na"/>
    <s v="na"/>
    <s v="na"/>
    <s v="na"/>
  </r>
  <r>
    <n v="1913"/>
    <x v="54"/>
    <n v="1"/>
    <x v="10"/>
    <x v="0"/>
    <x v="0"/>
    <m/>
    <m/>
    <n v="55"/>
    <m/>
    <s v="U"/>
    <m/>
    <d v="1899-12-30T00:19:00"/>
    <s v="17:27"/>
    <s v="BK"/>
    <m/>
    <s v="20140805 BKalb"/>
    <s v="20140805 Astephens"/>
    <s v="x"/>
    <s v="x"/>
    <s v="na"/>
    <s v="FWL"/>
    <s v="na"/>
    <s v="na"/>
    <s v="na"/>
    <s v="na"/>
    <s v="na"/>
    <s v="na"/>
    <s v="na"/>
    <s v="na"/>
  </r>
  <r>
    <n v="1914"/>
    <x v="54"/>
    <n v="1"/>
    <x v="7"/>
    <x v="0"/>
    <x v="6"/>
    <n v="53"/>
    <s v="119 S"/>
    <n v="50"/>
    <m/>
    <s v="U"/>
    <m/>
    <d v="1899-12-30T00:59:00"/>
    <s v="17:31"/>
    <s v="BK"/>
    <s v="beauty!"/>
    <s v="20140805 BKalb"/>
    <s v="20140805 Astephens"/>
    <s v="x"/>
    <n v="151.57300000000001"/>
    <s v="na"/>
    <s v="FWL"/>
    <s v="na"/>
    <s v="na"/>
    <s v="F1840"/>
    <s v="na"/>
    <s v="na"/>
    <s v="na"/>
    <s v="na"/>
    <s v="na"/>
  </r>
  <r>
    <n v="1915"/>
    <x v="54"/>
    <n v="1"/>
    <x v="10"/>
    <x v="0"/>
    <x v="0"/>
    <m/>
    <m/>
    <n v="57"/>
    <m/>
    <s v="U"/>
    <m/>
    <d v="1899-12-30T00:25:00"/>
    <s v="17:34"/>
    <s v="BK"/>
    <m/>
    <s v="20140805 BKalb"/>
    <s v="20140805 Astephens"/>
    <s v="x"/>
    <s v="x"/>
    <s v="na"/>
    <s v="FWL"/>
    <s v="na"/>
    <s v="na"/>
    <s v="na"/>
    <s v="na"/>
    <s v="na"/>
    <s v="na"/>
    <s v="na"/>
    <s v="na"/>
  </r>
  <r>
    <n v="1916"/>
    <x v="54"/>
    <n v="1"/>
    <x v="10"/>
    <x v="0"/>
    <x v="0"/>
    <m/>
    <m/>
    <n v="53"/>
    <m/>
    <s v="U"/>
    <m/>
    <d v="1899-12-30T00:31:00"/>
    <s v="17:37"/>
    <s v="BK"/>
    <m/>
    <s v="20140805 BKalb"/>
    <s v="20140805 Astephens"/>
    <s v="x"/>
    <s v="x"/>
    <s v="na"/>
    <s v="FWL"/>
    <s v="na"/>
    <s v="na"/>
    <s v="na"/>
    <s v="na"/>
    <s v="na"/>
    <s v="na"/>
    <s v="na"/>
    <s v="na"/>
  </r>
  <r>
    <n v="1917"/>
    <x v="54"/>
    <n v="1"/>
    <x v="7"/>
    <x v="0"/>
    <x v="6"/>
    <n v="47"/>
    <s v="121 S"/>
    <n v="54"/>
    <m/>
    <s v="U"/>
    <m/>
    <d v="1899-12-30T00:57:00"/>
    <s v="18:22"/>
    <s v="JK"/>
    <m/>
    <s v="20140805 BKalb"/>
    <s v="20140805 Astephens"/>
    <s v="x"/>
    <n v="151.57300000000001"/>
    <s v="na"/>
    <s v="FWL"/>
    <s v="na"/>
    <s v="na"/>
    <s v="F1840"/>
    <s v="na"/>
    <s v="na"/>
    <s v="na"/>
    <s v="na"/>
    <s v="na"/>
  </r>
  <r>
    <n v="1918"/>
    <x v="54"/>
    <n v="1"/>
    <x v="10"/>
    <x v="0"/>
    <x v="0"/>
    <m/>
    <m/>
    <n v="59"/>
    <m/>
    <s v="F"/>
    <m/>
    <d v="1899-12-30T00:27:00"/>
    <s v="18:25"/>
    <s v="JK"/>
    <m/>
    <s v="20140805 BKalb"/>
    <s v="20140805 Astephens"/>
    <s v="x"/>
    <s v="x"/>
    <s v="na"/>
    <s v="FWL"/>
    <s v="na"/>
    <s v="na"/>
    <s v="na"/>
    <s v="na"/>
    <s v="na"/>
    <s v="na"/>
    <s v="na"/>
    <s v="na"/>
  </r>
  <r>
    <n v="1919"/>
    <x v="54"/>
    <n v="1"/>
    <x v="10"/>
    <x v="0"/>
    <x v="0"/>
    <m/>
    <m/>
    <n v="58"/>
    <m/>
    <s v="F"/>
    <m/>
    <d v="1899-12-30T00:21:00"/>
    <s v="18:29"/>
    <s v="JK"/>
    <m/>
    <s v="20140805 BKalb"/>
    <s v="20140805 Astephens"/>
    <s v="x"/>
    <s v="x"/>
    <s v="na"/>
    <s v="FWL"/>
    <s v="na"/>
    <s v="na"/>
    <s v="na"/>
    <s v="na"/>
    <s v="na"/>
    <s v="na"/>
    <s v="na"/>
    <s v="na"/>
  </r>
  <r>
    <n v="1920"/>
    <x v="54"/>
    <n v="1"/>
    <x v="12"/>
    <x v="0"/>
    <x v="13"/>
    <n v="34"/>
    <s v="137 P"/>
    <n v="48"/>
    <m/>
    <s v="M"/>
    <m/>
    <d v="1899-12-30T00:59:00"/>
    <s v="19:41"/>
    <s v="JK"/>
    <m/>
    <s v="20140805 BKalb"/>
    <s v="20140805 Astephens"/>
    <s v="x"/>
    <n v="151.51499999999999"/>
    <s v="na"/>
    <s v="FWL"/>
    <s v="na"/>
    <s v="na"/>
    <s v="F1835"/>
    <s v="na"/>
    <s v="na"/>
    <s v="na"/>
    <s v="na"/>
    <s v="na"/>
  </r>
  <r>
    <n v="1921"/>
    <x v="54"/>
    <n v="1"/>
    <x v="10"/>
    <x v="0"/>
    <x v="0"/>
    <m/>
    <m/>
    <n v="60"/>
    <m/>
    <s v="F"/>
    <m/>
    <d v="1899-12-30T00:29:00"/>
    <s v="19:42"/>
    <s v="JK"/>
    <m/>
    <s v="20140805 BKalb"/>
    <s v="20140805 Astephens"/>
    <s v="x"/>
    <s v="x"/>
    <s v="na"/>
    <s v="FWL"/>
    <s v="na"/>
    <s v="na"/>
    <s v="na"/>
    <s v="na"/>
    <s v="na"/>
    <s v="na"/>
    <s v="na"/>
    <s v="na"/>
  </r>
  <r>
    <n v="1922"/>
    <x v="54"/>
    <n v="2"/>
    <x v="10"/>
    <x v="0"/>
    <x v="7"/>
    <n v="10"/>
    <s v="95 CM"/>
    <n v="59"/>
    <m/>
    <s v="F"/>
    <m/>
    <d v="1899-12-30T01:04:00"/>
    <s v="10:46"/>
    <s v="QB"/>
    <m/>
    <s v="20140805 CSewright"/>
    <s v="20140805 Astephens"/>
    <s v="x"/>
    <n v="151.56399999999999"/>
    <s v="na"/>
    <s v="FWL"/>
    <s v="na"/>
    <s v="na"/>
    <s v="F1840"/>
    <s v="na"/>
    <s v="na"/>
    <s v="na"/>
    <s v="na"/>
    <s v="na"/>
  </r>
  <r>
    <n v="1923"/>
    <x v="54"/>
    <n v="2"/>
    <x v="10"/>
    <x v="0"/>
    <x v="7"/>
    <n v="40"/>
    <s v="96 CM"/>
    <n v="62"/>
    <m/>
    <s v="M"/>
    <m/>
    <d v="1899-12-30T01:27:00"/>
    <s v="10:51"/>
    <s v="QB"/>
    <m/>
    <s v="20140805 CSewright"/>
    <s v="20140805 Astephens"/>
    <s v="x"/>
    <n v="151.56399999999999"/>
    <s v="na"/>
    <s v="FWL"/>
    <s v="na"/>
    <s v="na"/>
    <s v="F1840"/>
    <s v="na"/>
    <s v="na"/>
    <s v="na"/>
    <s v="na"/>
    <s v="na"/>
  </r>
  <r>
    <n v="1924"/>
    <x v="54"/>
    <n v="2"/>
    <x v="10"/>
    <x v="0"/>
    <x v="11"/>
    <n v="2"/>
    <s v="97 CM"/>
    <n v="60"/>
    <m/>
    <s v="M"/>
    <d v="1899-12-30T11:52:00"/>
    <d v="1899-12-30T00:50:00"/>
    <s v="11:55"/>
    <s v="CSj"/>
    <m/>
    <s v="20140805 JImrie"/>
    <s v="20140805 Astephens"/>
    <d v="1899-12-30T00:02:10"/>
    <n v="151.53399999999999"/>
    <s v="na"/>
    <s v="FWL"/>
    <s v="na"/>
    <s v="na"/>
    <s v="F1840"/>
    <s v="na"/>
    <s v="na"/>
    <s v="na"/>
    <s v="na"/>
    <s v="na"/>
  </r>
  <r>
    <n v="1925"/>
    <x v="54"/>
    <n v="2"/>
    <x v="10"/>
    <x v="0"/>
    <x v="11"/>
    <n v="38"/>
    <s v="98 CM"/>
    <n v="59"/>
    <m/>
    <s v="U"/>
    <m/>
    <d v="1899-12-30T01:03:00"/>
    <s v="14:53"/>
    <s v="CSj"/>
    <s v="Recent nose injury"/>
    <s v="20140805 JImrie"/>
    <s v="20140805 Astephens"/>
    <s v="x"/>
    <n v="151.53399999999999"/>
    <s v="na"/>
    <s v="FWL"/>
    <s v="na"/>
    <s v="na"/>
    <s v="F1840"/>
    <s v="na"/>
    <s v="na"/>
    <s v="na"/>
    <s v="na"/>
    <s v="na"/>
  </r>
  <r>
    <n v="1926"/>
    <x v="54"/>
    <n v="2"/>
    <x v="12"/>
    <x v="0"/>
    <x v="13"/>
    <n v="54"/>
    <s v="136 P"/>
    <n v="44"/>
    <m/>
    <s v="M"/>
    <m/>
    <d v="1899-12-30T00:48:00"/>
    <s v="14:56"/>
    <s v="CSj"/>
    <m/>
    <s v="20140805 JImrie"/>
    <s v="20140805 Astephens"/>
    <s v="x"/>
    <n v="151.51499999999999"/>
    <s v="na"/>
    <s v="FWL"/>
    <s v="na"/>
    <s v="na"/>
    <s v="F1835"/>
    <s v="na"/>
    <s v="na"/>
    <s v="na"/>
    <s v="na"/>
    <s v="na"/>
  </r>
  <r>
    <n v="1927"/>
    <x v="54"/>
    <n v="2"/>
    <x v="7"/>
    <x v="0"/>
    <x v="10"/>
    <n v="6"/>
    <s v="118 S"/>
    <n v="48"/>
    <m/>
    <s v="U"/>
    <m/>
    <d v="1899-12-30T00:58:00"/>
    <s v="17:12"/>
    <s v="BK"/>
    <m/>
    <s v="20140805 JKunzler"/>
    <s v="20140805 Astephens"/>
    <s v="x"/>
    <n v="151.58600000000001"/>
    <s v="na"/>
    <s v="FWL"/>
    <s v="na"/>
    <s v="na"/>
    <s v="F1840"/>
    <s v="na"/>
    <s v="na"/>
    <s v="na"/>
    <s v="na"/>
    <s v="na"/>
  </r>
  <r>
    <n v="1928"/>
    <x v="54"/>
    <n v="2"/>
    <x v="10"/>
    <x v="0"/>
    <x v="0"/>
    <m/>
    <m/>
    <n v="59"/>
    <m/>
    <s v="U"/>
    <m/>
    <d v="1899-12-30T00:30:00"/>
    <s v="18:51"/>
    <s v="BK"/>
    <s v="very silver"/>
    <s v="20140805 JKunzler"/>
    <s v="20140805 Astephens"/>
    <s v="x"/>
    <s v="x"/>
    <s v="na"/>
    <s v="FWL"/>
    <s v="na"/>
    <s v="na"/>
    <s v="na"/>
    <s v="na"/>
    <s v="na"/>
    <s v="na"/>
    <s v="na"/>
    <s v="na"/>
  </r>
  <r>
    <n v="1929"/>
    <x v="54"/>
    <n v="2"/>
    <x v="7"/>
    <x v="0"/>
    <x v="6"/>
    <n v="16"/>
    <s v="126 S"/>
    <n v="57"/>
    <m/>
    <s v="F"/>
    <m/>
    <d v="1899-12-30T01:20:00"/>
    <s v="18:57"/>
    <s v="JK"/>
    <s v="livley bright red body and green head"/>
    <s v="20140805 JKunzler"/>
    <s v="20140805 Astephens"/>
    <s v="x"/>
    <n v="151.57300000000001"/>
    <s v="na"/>
    <s v="FWL"/>
    <s v="na"/>
    <s v="na"/>
    <s v="F1840"/>
    <s v="na"/>
    <s v="na"/>
    <s v="na"/>
    <s v="na"/>
    <s v="na"/>
  </r>
  <r>
    <n v="1930"/>
    <x v="54"/>
    <n v="2"/>
    <x v="10"/>
    <x v="0"/>
    <x v="0"/>
    <m/>
    <m/>
    <n v="64"/>
    <m/>
    <s v="U"/>
    <m/>
    <d v="1899-12-30T00:43:00"/>
    <s v="19:00"/>
    <s v="BK"/>
    <m/>
    <s v="20140805 JKunzler"/>
    <s v="20140805 Astephens"/>
    <s v="x"/>
    <s v="x"/>
    <s v="na"/>
    <s v="FWL"/>
    <s v="na"/>
    <s v="na"/>
    <s v="na"/>
    <s v="na"/>
    <s v="na"/>
    <s v="na"/>
    <s v="na"/>
    <s v="na"/>
  </r>
  <r>
    <n v="1931"/>
    <x v="54"/>
    <n v="2"/>
    <x v="10"/>
    <x v="0"/>
    <x v="0"/>
    <m/>
    <m/>
    <n v="66"/>
    <m/>
    <s v="M"/>
    <m/>
    <d v="1899-12-30T00:29:00"/>
    <s v="19:54"/>
    <s v="JK"/>
    <m/>
    <s v="20140805 JKunzler"/>
    <s v="20140805 Astephens"/>
    <s v="x"/>
    <s v="x"/>
    <s v="na"/>
    <s v="FWL"/>
    <s v="na"/>
    <s v="na"/>
    <s v="na"/>
    <s v="na"/>
    <s v="na"/>
    <s v="na"/>
    <s v="na"/>
    <s v="na"/>
  </r>
  <r>
    <n v="1932"/>
    <x v="54"/>
    <n v="3"/>
    <x v="12"/>
    <x v="0"/>
    <x v="13"/>
    <n v="10"/>
    <s v="121 P"/>
    <n v="50"/>
    <m/>
    <s v="M"/>
    <m/>
    <d v="1899-12-30T01:03:00"/>
    <s v="9:02"/>
    <s v="JK"/>
    <m/>
    <s v="20140805 JKunzler"/>
    <s v="20140805 Astephens"/>
    <s v="x"/>
    <n v="151.51499999999999"/>
    <s v="na"/>
    <s v="FWL"/>
    <s v="na"/>
    <s v="na"/>
    <s v="F1835"/>
    <s v="na"/>
    <s v="na"/>
    <s v="na"/>
    <s v="na"/>
    <s v="na"/>
  </r>
  <r>
    <n v="1933"/>
    <x v="54"/>
    <n v="3"/>
    <x v="12"/>
    <x v="0"/>
    <x v="12"/>
    <n v="1"/>
    <s v="122 P"/>
    <n v="48"/>
    <m/>
    <s v="M"/>
    <m/>
    <d v="1899-12-30T01:08:00"/>
    <s v="9:07"/>
    <s v="JK"/>
    <m/>
    <s v="20140805 JKunzler"/>
    <s v="20140805 Astephens"/>
    <s v="x"/>
    <n v="151.596"/>
    <s v="na"/>
    <s v="FWL"/>
    <s v="na"/>
    <s v="na"/>
    <s v="F1835"/>
    <s v="na"/>
    <s v="na"/>
    <s v="na"/>
    <s v="na"/>
    <s v="na"/>
  </r>
  <r>
    <n v="1934"/>
    <x v="54"/>
    <n v="3"/>
    <x v="10"/>
    <x v="0"/>
    <x v="11"/>
    <n v="41"/>
    <s v="80 CM"/>
    <n v="62"/>
    <m/>
    <s v="F"/>
    <m/>
    <d v="1899-12-30T00:59:00"/>
    <s v="9:11"/>
    <s v="JK"/>
    <m/>
    <s v="20140805 JKunzler"/>
    <s v="20140805 Astephens"/>
    <s v="x"/>
    <n v="151.53399999999999"/>
    <s v="na"/>
    <s v="FWL"/>
    <s v="na"/>
    <s v="na"/>
    <s v="F1840"/>
    <s v="na"/>
    <s v="na"/>
    <s v="na"/>
    <s v="na"/>
    <s v="na"/>
  </r>
  <r>
    <n v="1935"/>
    <x v="54"/>
    <n v="3"/>
    <x v="12"/>
    <x v="0"/>
    <x v="0"/>
    <m/>
    <m/>
    <n v="47"/>
    <m/>
    <s v="F"/>
    <m/>
    <d v="1899-12-30T00:28:00"/>
    <s v="9:13"/>
    <s v="JK"/>
    <m/>
    <s v="20140805 JKunzler"/>
    <s v="20140805 Astephens"/>
    <s v="x"/>
    <s v="x"/>
    <s v="na"/>
    <s v="FWL"/>
    <s v="na"/>
    <s v="na"/>
    <s v="na"/>
    <s v="na"/>
    <s v="na"/>
    <s v="na"/>
    <s v="na"/>
    <s v="na"/>
  </r>
  <r>
    <n v="1936"/>
    <x v="54"/>
    <n v="3"/>
    <x v="12"/>
    <x v="0"/>
    <x v="0"/>
    <m/>
    <m/>
    <n v="45"/>
    <m/>
    <s v="U"/>
    <m/>
    <d v="1899-12-30T00:23:00"/>
    <s v="9:16"/>
    <s v="BK"/>
    <m/>
    <s v="20140805 JKunzler"/>
    <s v="20140805 Astephens"/>
    <s v="x"/>
    <s v="x"/>
    <s v="na"/>
    <s v="FWL"/>
    <s v="na"/>
    <s v="na"/>
    <s v="na"/>
    <s v="na"/>
    <s v="na"/>
    <s v="na"/>
    <s v="na"/>
    <s v="na"/>
  </r>
  <r>
    <n v="1937"/>
    <x v="54"/>
    <n v="3"/>
    <x v="12"/>
    <x v="0"/>
    <x v="0"/>
    <m/>
    <m/>
    <n v="48"/>
    <m/>
    <s v="F"/>
    <m/>
    <d v="1899-12-30T00:24:00"/>
    <s v="9:17"/>
    <s v="BK"/>
    <m/>
    <s v="20140805 JKunzler"/>
    <s v="20140805 Astephens"/>
    <s v="x"/>
    <s v="x"/>
    <s v="na"/>
    <s v="FWL"/>
    <s v="na"/>
    <s v="na"/>
    <s v="na"/>
    <s v="na"/>
    <s v="na"/>
    <s v="na"/>
    <s v="na"/>
    <s v="na"/>
  </r>
  <r>
    <n v="1938"/>
    <x v="54"/>
    <n v="3"/>
    <x v="12"/>
    <x v="0"/>
    <x v="0"/>
    <m/>
    <m/>
    <n v="50"/>
    <m/>
    <s v="M"/>
    <m/>
    <d v="1899-12-30T00:24:00"/>
    <s v="9:18"/>
    <s v="BK"/>
    <m/>
    <s v="20140805 JKunzler"/>
    <s v="20140805 Astephens"/>
    <s v="x"/>
    <s v="x"/>
    <s v="na"/>
    <s v="FWL"/>
    <s v="na"/>
    <s v="na"/>
    <s v="na"/>
    <s v="na"/>
    <s v="na"/>
    <s v="na"/>
    <s v="na"/>
    <s v="na"/>
  </r>
  <r>
    <n v="1939"/>
    <x v="54"/>
    <n v="3"/>
    <x v="12"/>
    <x v="0"/>
    <x v="0"/>
    <m/>
    <m/>
    <n v="46"/>
    <m/>
    <s v="F"/>
    <m/>
    <d v="1899-12-30T00:19:00"/>
    <s v="9:20"/>
    <s v="BK"/>
    <m/>
    <s v="20140805 JKunzler"/>
    <s v="20140805 Astephens"/>
    <s v="x"/>
    <s v="x"/>
    <s v="na"/>
    <s v="FWL"/>
    <s v="na"/>
    <s v="na"/>
    <s v="na"/>
    <s v="na"/>
    <s v="na"/>
    <s v="na"/>
    <s v="na"/>
    <s v="na"/>
  </r>
  <r>
    <n v="1940"/>
    <x v="54"/>
    <n v="3"/>
    <x v="12"/>
    <x v="0"/>
    <x v="0"/>
    <m/>
    <m/>
    <n v="45"/>
    <m/>
    <s v="F"/>
    <m/>
    <d v="1899-12-30T00:20:00"/>
    <s v="9:24"/>
    <s v="BK"/>
    <m/>
    <s v="20140805 JKunzler"/>
    <s v="20140805 Astephens"/>
    <s v="x"/>
    <s v="x"/>
    <s v="na"/>
    <s v="FWL"/>
    <s v="na"/>
    <s v="na"/>
    <s v="na"/>
    <s v="na"/>
    <s v="na"/>
    <s v="na"/>
    <s v="na"/>
    <s v="na"/>
  </r>
  <r>
    <n v="1941"/>
    <x v="54"/>
    <n v="3"/>
    <x v="12"/>
    <x v="0"/>
    <x v="0"/>
    <m/>
    <m/>
    <n v="46"/>
    <m/>
    <s v="F"/>
    <m/>
    <d v="1899-12-30T00:21:00"/>
    <s v="9:23"/>
    <s v="BK"/>
    <m/>
    <s v="20140805 JKunzler"/>
    <s v="20140805 Astephens"/>
    <s v="x"/>
    <s v="x"/>
    <s v="na"/>
    <s v="FWL"/>
    <s v="na"/>
    <s v="na"/>
    <s v="na"/>
    <s v="na"/>
    <s v="na"/>
    <s v="na"/>
    <s v="na"/>
    <s v="na"/>
  </r>
  <r>
    <n v="1942"/>
    <x v="54"/>
    <n v="3"/>
    <x v="12"/>
    <x v="0"/>
    <x v="0"/>
    <m/>
    <m/>
    <n v="46"/>
    <m/>
    <s v="F"/>
    <m/>
    <d v="1899-12-30T00:23:00"/>
    <s v="9:24"/>
    <s v="BK"/>
    <m/>
    <s v="20140805 JKunzler"/>
    <s v="20140805 Astephens"/>
    <s v="x"/>
    <s v="x"/>
    <s v="na"/>
    <s v="FWL"/>
    <s v="na"/>
    <s v="na"/>
    <s v="na"/>
    <s v="na"/>
    <s v="na"/>
    <s v="na"/>
    <s v="na"/>
    <s v="na"/>
  </r>
  <r>
    <n v="1943"/>
    <x v="54"/>
    <n v="3"/>
    <x v="12"/>
    <x v="0"/>
    <x v="0"/>
    <m/>
    <m/>
    <n v="46"/>
    <m/>
    <s v="F"/>
    <m/>
    <d v="1899-12-30T00:24:00"/>
    <s v="9:26"/>
    <s v="BK"/>
    <m/>
    <s v="20140805 JKunzler"/>
    <s v="20140805 Astephens"/>
    <s v="x"/>
    <s v="x"/>
    <s v="na"/>
    <s v="FWL"/>
    <s v="na"/>
    <s v="na"/>
    <s v="na"/>
    <s v="na"/>
    <s v="na"/>
    <s v="na"/>
    <s v="na"/>
    <s v="na"/>
  </r>
  <r>
    <n v="1944"/>
    <x v="54"/>
    <n v="3"/>
    <x v="10"/>
    <x v="0"/>
    <x v="7"/>
    <n v="56"/>
    <s v="90 CM"/>
    <n v="52"/>
    <m/>
    <s v="U"/>
    <m/>
    <d v="1899-12-30T01:23:00"/>
    <s v="9:29"/>
    <s v="BK"/>
    <m/>
    <s v="20140805 JKunzler"/>
    <s v="20140805 Astephens"/>
    <s v="x"/>
    <n v="151.56399999999999"/>
    <s v="na"/>
    <s v="FWL"/>
    <s v="na"/>
    <s v="na"/>
    <s v="F1840"/>
    <s v="na"/>
    <s v="na"/>
    <s v="na"/>
    <s v="na"/>
    <s v="na"/>
  </r>
  <r>
    <n v="1945"/>
    <x v="54"/>
    <n v="3"/>
    <x v="12"/>
    <x v="0"/>
    <x v="0"/>
    <m/>
    <m/>
    <n v="46"/>
    <m/>
    <s v="M"/>
    <m/>
    <d v="1899-12-30T00:22:00"/>
    <s v="9:31"/>
    <s v="BK"/>
    <m/>
    <s v="20140805 JKunzler"/>
    <s v="20140805 Astephens"/>
    <s v="x"/>
    <s v="x"/>
    <s v="na"/>
    <s v="FWL"/>
    <s v="na"/>
    <s v="na"/>
    <s v="na"/>
    <s v="na"/>
    <s v="na"/>
    <s v="na"/>
    <s v="na"/>
    <s v="na"/>
  </r>
  <r>
    <n v="1946"/>
    <x v="54"/>
    <n v="3"/>
    <x v="0"/>
    <x v="2"/>
    <x v="0"/>
    <m/>
    <m/>
    <m/>
    <n v="16"/>
    <s v="U"/>
    <m/>
    <d v="1899-12-30T00:30:00"/>
    <s v="10:22"/>
    <s v="BK"/>
    <m/>
    <s v="20140805 JKunzler"/>
    <s v="20140805 Astephens"/>
    <s v="x"/>
    <s v="x"/>
    <s v="na"/>
    <s v="FWL"/>
    <s v="na"/>
    <s v="na"/>
    <s v="na"/>
    <s v="na"/>
    <s v="na"/>
    <s v="na"/>
    <s v="na"/>
    <s v="na"/>
  </r>
  <r>
    <n v="1947"/>
    <x v="54"/>
    <n v="3"/>
    <x v="10"/>
    <x v="0"/>
    <x v="7"/>
    <n v="18"/>
    <s v="91 CM"/>
    <n v="57"/>
    <m/>
    <s v="U"/>
    <m/>
    <d v="1899-12-30T01:09:00"/>
    <s v="10:46"/>
    <s v="BK"/>
    <m/>
    <s v="20140805 JKunzler"/>
    <s v="20140805 Astephens"/>
    <s v="x"/>
    <n v="151.56399999999999"/>
    <s v="na"/>
    <s v="FWL"/>
    <s v="na"/>
    <s v="na"/>
    <s v="F1840"/>
    <s v="na"/>
    <s v="na"/>
    <s v="na"/>
    <s v="na"/>
    <s v="na"/>
  </r>
  <r>
    <n v="1948"/>
    <x v="54"/>
    <n v="3"/>
    <x v="10"/>
    <x v="0"/>
    <x v="7"/>
    <n v="87"/>
    <s v="92 CM"/>
    <n v="61"/>
    <m/>
    <s v="M"/>
    <m/>
    <d v="1899-12-30T01:42:00"/>
    <s v="11:57"/>
    <s v="JK"/>
    <m/>
    <s v="20140805 JKunzler"/>
    <s v="20140805 Astephens"/>
    <s v="x"/>
    <n v="151.56399999999999"/>
    <s v="na"/>
    <s v="FWL"/>
    <s v="na"/>
    <s v="na"/>
    <s v="F1840"/>
    <s v="na"/>
    <s v="na"/>
    <s v="na"/>
    <s v="na"/>
    <s v="na"/>
  </r>
  <r>
    <n v="1949"/>
    <x v="54"/>
    <n v="3"/>
    <x v="12"/>
    <x v="0"/>
    <x v="12"/>
    <n v="47"/>
    <s v="129 P"/>
    <n v="49"/>
    <m/>
    <s v="M"/>
    <m/>
    <d v="1899-12-30T01:10:00"/>
    <s v="12:01"/>
    <s v="JK"/>
    <m/>
    <s v="20140805 JKunzler"/>
    <s v="20140805 Astephens"/>
    <s v="x"/>
    <n v="151.596"/>
    <s v="na"/>
    <s v="FWL"/>
    <s v="na"/>
    <s v="na"/>
    <s v="F1835"/>
    <s v="na"/>
    <s v="na"/>
    <s v="na"/>
    <s v="na"/>
    <s v="na"/>
  </r>
  <r>
    <n v="1950"/>
    <x v="54"/>
    <n v="3"/>
    <x v="7"/>
    <x v="0"/>
    <x v="6"/>
    <n v="95"/>
    <s v="107 S"/>
    <n v="47"/>
    <m/>
    <s v="U"/>
    <m/>
    <d v="1899-12-30T01:00:00"/>
    <s v="12:08"/>
    <s v="JK"/>
    <m/>
    <s v="20140805 JKunzler"/>
    <s v="20140805 Astephens"/>
    <s v="x"/>
    <n v="151.57300000000001"/>
    <s v="na"/>
    <s v="FWL"/>
    <s v="na"/>
    <s v="na"/>
    <s v="F1840"/>
    <s v="na"/>
    <s v="na"/>
    <s v="na"/>
    <s v="na"/>
    <s v="na"/>
  </r>
  <r>
    <n v="1951"/>
    <x v="54"/>
    <n v="3"/>
    <x v="13"/>
    <x v="0"/>
    <x v="0"/>
    <m/>
    <m/>
    <n v="37"/>
    <m/>
    <s v="U"/>
    <m/>
    <d v="1899-12-30T00:49:00"/>
    <s v="12:18"/>
    <s v="JK"/>
    <s v="too small to tag"/>
    <s v="20140805 JKunzler"/>
    <s v="20140805 Astephens"/>
    <s v="x"/>
    <s v="x"/>
    <s v="na"/>
    <s v="FWL"/>
    <s v="na"/>
    <s v="na"/>
    <s v="na"/>
    <s v="na"/>
    <s v="na"/>
    <s v="na"/>
    <s v="na"/>
    <s v="na"/>
  </r>
  <r>
    <n v="1952"/>
    <x v="54"/>
    <n v="3"/>
    <x v="1"/>
    <x v="0"/>
    <x v="0"/>
    <m/>
    <m/>
    <n v="53"/>
    <m/>
    <s v="U"/>
    <m/>
    <d v="1899-12-30T00:26:00"/>
    <s v="13:12"/>
    <s v="BK"/>
    <s v="spawned out CN. Almost mort!"/>
    <s v="20140805 JKunzler"/>
    <s v="20140805 Astephens"/>
    <s v="x"/>
    <s v="x"/>
    <s v="na"/>
    <s v="FWL"/>
    <s v="na"/>
    <s v="na"/>
    <s v="na"/>
    <s v="na"/>
    <s v="na"/>
    <s v="na"/>
    <s v="na"/>
    <s v="na"/>
  </r>
  <r>
    <n v="1953"/>
    <x v="54"/>
    <n v="3"/>
    <x v="1"/>
    <x v="0"/>
    <x v="0"/>
    <m/>
    <m/>
    <n v="62"/>
    <m/>
    <s v="U"/>
    <m/>
    <d v="1899-12-30T00:26:00"/>
    <s v="13:16"/>
    <s v="BK"/>
    <s v="spawned out. Very red somewhat lively"/>
    <s v="20140805 JKunzler"/>
    <s v="20140805 Astephens"/>
    <s v="x"/>
    <s v="x"/>
    <s v="na"/>
    <s v="FWL"/>
    <s v="na"/>
    <s v="na"/>
    <s v="na"/>
    <s v="na"/>
    <s v="na"/>
    <s v="na"/>
    <s v="na"/>
    <s v="na"/>
  </r>
  <r>
    <n v="1954"/>
    <x v="54"/>
    <n v="3"/>
    <x v="12"/>
    <x v="0"/>
    <x v="13"/>
    <n v="68"/>
    <s v="130 P"/>
    <n v="47"/>
    <m/>
    <s v="F"/>
    <m/>
    <d v="1899-12-30T01:14:00"/>
    <s v="15:55"/>
    <s v="CSw"/>
    <m/>
    <s v="20140805 CSewright"/>
    <s v="20140805 Astephens"/>
    <s v="x"/>
    <n v="151.51499999999999"/>
    <s v="na"/>
    <s v="FWL"/>
    <s v="na"/>
    <s v="na"/>
    <s v="F1835"/>
    <s v="na"/>
    <s v="na"/>
    <s v="na"/>
    <s v="na"/>
    <s v="na"/>
  </r>
  <r>
    <n v="1955"/>
    <x v="54"/>
    <n v="3"/>
    <x v="12"/>
    <x v="0"/>
    <x v="12"/>
    <n v="64"/>
    <s v="131 P"/>
    <n v="45"/>
    <m/>
    <s v="F"/>
    <m/>
    <d v="1899-12-30T01:12:00"/>
    <s v="15:57"/>
    <s v="CSw"/>
    <m/>
    <s v="20140805 CSewright"/>
    <s v="20140805 Astephens"/>
    <s v="x"/>
    <n v="151.596"/>
    <s v="na"/>
    <s v="FWL"/>
    <s v="na"/>
    <s v="na"/>
    <s v="F1835"/>
    <s v="na"/>
    <s v="na"/>
    <s v="na"/>
    <s v="na"/>
    <s v="na"/>
  </r>
  <r>
    <n v="1956"/>
    <x v="54"/>
    <n v="3"/>
    <x v="10"/>
    <x v="0"/>
    <x v="11"/>
    <n v="47"/>
    <s v="93 CM"/>
    <n v="56"/>
    <m/>
    <s v="F"/>
    <m/>
    <d v="1899-12-30T00:58:00"/>
    <s v="16:04"/>
    <s v="CSw"/>
    <m/>
    <s v="20140805 CSewright"/>
    <s v="20140805 Astephens"/>
    <s v="x"/>
    <n v="151.53399999999999"/>
    <s v="na"/>
    <s v="FWL"/>
    <s v="na"/>
    <s v="na"/>
    <s v="F1840"/>
    <s v="na"/>
    <s v="na"/>
    <s v="na"/>
    <s v="na"/>
    <s v="na"/>
  </r>
  <r>
    <n v="1957"/>
    <x v="54"/>
    <n v="3"/>
    <x v="10"/>
    <x v="0"/>
    <x v="7"/>
    <n v="23"/>
    <s v="94 CM"/>
    <n v="55"/>
    <m/>
    <s v="M"/>
    <m/>
    <d v="1899-12-30T00:58:00"/>
    <s v="16:15"/>
    <s v="CSw"/>
    <m/>
    <s v="20140805 CSewright"/>
    <s v="20140805 Astephens"/>
    <s v="x"/>
    <n v="151.56399999999999"/>
    <s v="na"/>
    <s v="FWL"/>
    <s v="na"/>
    <s v="na"/>
    <s v="F1840"/>
    <s v="na"/>
    <s v="na"/>
    <s v="na"/>
    <s v="na"/>
    <s v="na"/>
  </r>
  <r>
    <n v="1958"/>
    <x v="54"/>
    <n v="3"/>
    <x v="10"/>
    <x v="0"/>
    <x v="0"/>
    <m/>
    <m/>
    <n v="53"/>
    <m/>
    <s v="F"/>
    <m/>
    <d v="1899-12-30T00:29:00"/>
    <s v="16:17"/>
    <s v="CSw"/>
    <m/>
    <s v="20140805 CSewright"/>
    <s v="20140805 Astephens"/>
    <s v="x"/>
    <s v="x"/>
    <s v="na"/>
    <s v="FWL"/>
    <s v="na"/>
    <s v="na"/>
    <s v="na"/>
    <s v="na"/>
    <s v="na"/>
    <s v="na"/>
    <s v="na"/>
    <s v="na"/>
  </r>
  <r>
    <n v="1959"/>
    <x v="54"/>
    <n v="3"/>
    <x v="1"/>
    <x v="0"/>
    <x v="0"/>
    <m/>
    <m/>
    <n v="54"/>
    <m/>
    <s v="F"/>
    <m/>
    <d v="1899-12-30T00:26:00"/>
    <s v="16:19"/>
    <s v="QB"/>
    <s v="Spawned out"/>
    <s v="20140805 CSewright"/>
    <s v="20140805 Astephens"/>
    <s v="x"/>
    <s v="x"/>
    <s v="na"/>
    <s v="FWL"/>
    <s v="na"/>
    <s v="na"/>
    <s v="na"/>
    <s v="na"/>
    <s v="na"/>
    <s v="na"/>
    <s v="na"/>
    <s v="na"/>
  </r>
  <r>
    <n v="1960"/>
    <x v="54"/>
    <n v="3"/>
    <x v="13"/>
    <x v="0"/>
    <x v="15"/>
    <n v="32"/>
    <s v="21 CO"/>
    <n v="57"/>
    <m/>
    <s v="F"/>
    <m/>
    <d v="1899-12-30T01:17:00"/>
    <s v="16:27"/>
    <s v="CSw"/>
    <s v="F266."/>
    <s v="20140805 CSewright"/>
    <s v="20140805 Astephens"/>
    <s v="x"/>
    <n v="151.26599999999999"/>
    <s v="na"/>
    <s v="FWL"/>
    <s v="na"/>
    <s v="na"/>
    <s v="F1840"/>
    <s v="na"/>
    <s v="na"/>
    <s v="na"/>
    <s v="na"/>
    <s v="na"/>
  </r>
  <r>
    <n v="1961"/>
    <x v="54"/>
    <n v="3"/>
    <x v="7"/>
    <x v="0"/>
    <x v="6"/>
    <n v="45"/>
    <s v="108 S"/>
    <n v="51"/>
    <m/>
    <s v="F"/>
    <m/>
    <d v="1899-12-30T01:14:00"/>
    <s v="16:34"/>
    <s v="CSw"/>
    <m/>
    <s v="20140805 CSewright"/>
    <s v="20140805 Astephens"/>
    <s v="x"/>
    <n v="151.57300000000001"/>
    <s v="na"/>
    <s v="FWL"/>
    <s v="na"/>
    <s v="na"/>
    <s v="F1840"/>
    <s v="na"/>
    <s v="na"/>
    <s v="na"/>
    <s v="na"/>
    <s v="na"/>
  </r>
  <r>
    <n v="1962"/>
    <x v="54"/>
    <n v="3"/>
    <x v="10"/>
    <x v="0"/>
    <x v="0"/>
    <m/>
    <m/>
    <n v="56"/>
    <m/>
    <s v="M"/>
    <m/>
    <d v="1899-12-30T00:17:00"/>
    <s v="17:54"/>
    <s v="CSw"/>
    <m/>
    <s v="20140805 CSewright"/>
    <s v="20140805 Astephens"/>
    <s v="x"/>
    <s v="x"/>
    <s v="na"/>
    <s v="FWL"/>
    <s v="na"/>
    <s v="na"/>
    <s v="na"/>
    <s v="na"/>
    <s v="na"/>
    <s v="na"/>
    <s v="na"/>
    <s v="na"/>
  </r>
  <r>
    <n v="1963"/>
    <x v="54"/>
    <n v="3"/>
    <x v="7"/>
    <x v="0"/>
    <x v="10"/>
    <n v="33"/>
    <s v="112 S"/>
    <n v="54"/>
    <m/>
    <s v="F"/>
    <m/>
    <d v="1899-12-30T01:01:00"/>
    <s v="18:02"/>
    <s v="QB"/>
    <m/>
    <s v="20140805 CSewright"/>
    <s v="20140805 Astephens"/>
    <s v="x"/>
    <n v="151.58600000000001"/>
    <s v="na"/>
    <s v="FWL"/>
    <s v="na"/>
    <s v="na"/>
    <s v="F1840"/>
    <s v="na"/>
    <s v="na"/>
    <s v="na"/>
    <s v="na"/>
    <s v="na"/>
  </r>
  <r>
    <n v="1964"/>
    <x v="54"/>
    <n v="3"/>
    <x v="10"/>
    <x v="0"/>
    <x v="0"/>
    <m/>
    <m/>
    <n v="59"/>
    <m/>
    <s v="M"/>
    <m/>
    <d v="1899-12-30T00:23:00"/>
    <s v="18:05"/>
    <s v="CSw"/>
    <m/>
    <s v="20140805 CSewright"/>
    <s v="20140805 Astephens"/>
    <s v="x"/>
    <s v="x"/>
    <s v="na"/>
    <s v="FWL"/>
    <s v="na"/>
    <s v="na"/>
    <s v="na"/>
    <s v="na"/>
    <s v="na"/>
    <s v="na"/>
    <s v="na"/>
    <s v="na"/>
  </r>
  <r>
    <n v="1965"/>
    <x v="54"/>
    <n v="3"/>
    <x v="10"/>
    <x v="0"/>
    <x v="0"/>
    <m/>
    <m/>
    <n v="55"/>
    <m/>
    <s v="F"/>
    <m/>
    <d v="1899-12-30T00:22:00"/>
    <s v="19:20"/>
    <s v="CSw"/>
    <m/>
    <s v="20140805 CSewright"/>
    <s v="20140805 Astephens"/>
    <s v="x"/>
    <s v="x"/>
    <s v="na"/>
    <s v="FWL"/>
    <s v="na"/>
    <s v="na"/>
    <s v="na"/>
    <s v="na"/>
    <s v="na"/>
    <s v="na"/>
    <s v="na"/>
    <s v="na"/>
  </r>
  <r>
    <n v="1966"/>
    <x v="54"/>
    <n v="3"/>
    <x v="13"/>
    <x v="0"/>
    <x v="15"/>
    <n v="62"/>
    <s v="22 CO"/>
    <n v="55"/>
    <m/>
    <s v="M"/>
    <m/>
    <d v="1899-12-30T01:22:00"/>
    <s v="19:28"/>
    <s v="QB"/>
    <s v="F266.  Large gash on kype, not very fresh"/>
    <s v="20140805 CSewright"/>
    <s v="20140805 Astephens"/>
    <s v="x"/>
    <n v="151.26599999999999"/>
    <s v="na"/>
    <s v="FWL"/>
    <s v="na"/>
    <s v="na"/>
    <s v="F1840"/>
    <s v="na"/>
    <s v="na"/>
    <s v="na"/>
    <s v="na"/>
    <s v="na"/>
  </r>
  <r>
    <n v="1967"/>
    <x v="54"/>
    <n v="3"/>
    <x v="10"/>
    <x v="0"/>
    <x v="0"/>
    <m/>
    <m/>
    <n v="56"/>
    <m/>
    <s v="F"/>
    <m/>
    <d v="1899-12-30T00:23:00"/>
    <s v="19:30"/>
    <s v="CSw"/>
    <m/>
    <s v="20140805 CSewright"/>
    <s v="20140805 Astephens"/>
    <s v="x"/>
    <s v="x"/>
    <s v="na"/>
    <s v="FWL"/>
    <s v="na"/>
    <s v="na"/>
    <s v="na"/>
    <s v="na"/>
    <s v="na"/>
    <s v="na"/>
    <s v="na"/>
    <s v="na"/>
  </r>
  <r>
    <n v="1968"/>
    <x v="54"/>
    <n v="3"/>
    <x v="10"/>
    <x v="0"/>
    <x v="0"/>
    <m/>
    <m/>
    <n v="62"/>
    <m/>
    <s v="F"/>
    <m/>
    <d v="1899-12-30T00:24:00"/>
    <s v="19:56"/>
    <s v="CSw"/>
    <m/>
    <s v="20140805 CSewright"/>
    <s v="20140805 Astephens"/>
    <s v="x"/>
    <s v="x"/>
    <s v="na"/>
    <s v="FWL"/>
    <s v="na"/>
    <s v="na"/>
    <s v="na"/>
    <s v="na"/>
    <s v="na"/>
    <s v="na"/>
    <s v="na"/>
    <s v="na"/>
  </r>
  <r>
    <n v="1969"/>
    <x v="55"/>
    <n v="1"/>
    <x v="12"/>
    <x v="0"/>
    <x v="13"/>
    <n v="22"/>
    <s v="138 P"/>
    <n v="47"/>
    <m/>
    <s v="M"/>
    <m/>
    <d v="1899-12-30T01:02:00"/>
    <s v="09:53"/>
    <s v="QB"/>
    <s v="small rub on belly"/>
    <s v="20140806 CSewright"/>
    <s v="20140807 JImrie"/>
    <s v="x"/>
    <n v="151.51499999999999"/>
    <s v="na"/>
    <s v="FWL"/>
    <s v="na"/>
    <s v="na"/>
    <s v="F1835"/>
    <s v="na"/>
    <s v="na"/>
    <s v="na"/>
    <s v="na"/>
    <s v="na"/>
  </r>
  <r>
    <n v="1970"/>
    <x v="55"/>
    <n v="1"/>
    <x v="12"/>
    <x v="0"/>
    <x v="0"/>
    <m/>
    <m/>
    <n v="43"/>
    <m/>
    <s v="M"/>
    <m/>
    <d v="1899-12-30T00:25:00"/>
    <s v="09:49"/>
    <s v="CSw"/>
    <m/>
    <s v="20140806 CSewright"/>
    <s v="20140807 JImrie"/>
    <s v="x"/>
    <s v="x"/>
    <s v="na"/>
    <s v="FWL"/>
    <s v="na"/>
    <s v="na"/>
    <s v="na"/>
    <s v="na"/>
    <s v="na"/>
    <s v="na"/>
    <s v="na"/>
    <s v="na"/>
  </r>
  <r>
    <n v="1971"/>
    <x v="55"/>
    <n v="1"/>
    <x v="12"/>
    <x v="0"/>
    <x v="13"/>
    <n v="40"/>
    <s v="139 P"/>
    <n v="47"/>
    <m/>
    <s v="F"/>
    <m/>
    <d v="1899-12-30T01:41:00"/>
    <s v="10:27"/>
    <s v="QB"/>
    <m/>
    <s v="20140806 CSewright"/>
    <s v="20140807 JImrie"/>
    <s v="x"/>
    <n v="151.51499999999999"/>
    <s v="na"/>
    <s v="FWL"/>
    <s v="na"/>
    <s v="na"/>
    <s v="F1835"/>
    <s v="na"/>
    <s v="na"/>
    <s v="na"/>
    <s v="na"/>
    <s v="na"/>
  </r>
  <r>
    <n v="1972"/>
    <x v="55"/>
    <n v="1"/>
    <x v="12"/>
    <x v="0"/>
    <x v="0"/>
    <m/>
    <m/>
    <n v="49"/>
    <m/>
    <s v="F"/>
    <m/>
    <d v="1899-12-30T01:25:00"/>
    <s v="09:58"/>
    <s v="CSw"/>
    <s v="No axilary or pelvic fins.  Pics to prove it."/>
    <s v="20140806 CSewright"/>
    <s v="20140807 JImrie"/>
    <s v="x"/>
    <s v="x"/>
    <s v="na"/>
    <s v="FWL"/>
    <s v="na"/>
    <s v="na"/>
    <s v="na"/>
    <s v="na"/>
    <s v="na"/>
    <s v="na"/>
    <s v="na"/>
    <s v="na"/>
  </r>
  <r>
    <n v="1973"/>
    <x v="55"/>
    <n v="1"/>
    <x v="7"/>
    <x v="0"/>
    <x v="10"/>
    <n v="54"/>
    <s v="120 S"/>
    <n v="56"/>
    <m/>
    <s v="M"/>
    <m/>
    <d v="1899-12-30T01:14:00"/>
    <s v="10:21"/>
    <s v="QB"/>
    <m/>
    <s v="20140806 CSewright"/>
    <s v="20140807 JImrie"/>
    <s v="x"/>
    <n v="151.58600000000001"/>
    <s v="na"/>
    <s v="FWL"/>
    <s v="na"/>
    <s v="na"/>
    <s v="F1840"/>
    <s v="na"/>
    <s v="na"/>
    <s v="na"/>
    <s v="na"/>
    <s v="na"/>
  </r>
  <r>
    <n v="1974"/>
    <x v="55"/>
    <n v="1"/>
    <x v="12"/>
    <x v="0"/>
    <x v="0"/>
    <m/>
    <m/>
    <n v="45"/>
    <m/>
    <s v="F"/>
    <m/>
    <d v="1899-12-30T00:26:00"/>
    <s v="10:23"/>
    <s v="CSw"/>
    <m/>
    <s v="20140806 CSewright"/>
    <s v="20140807 JImrie"/>
    <s v="x"/>
    <s v="x"/>
    <s v="na"/>
    <s v="FWL"/>
    <s v="na"/>
    <s v="na"/>
    <s v="na"/>
    <s v="na"/>
    <s v="na"/>
    <s v="na"/>
    <s v="na"/>
    <s v="na"/>
  </r>
  <r>
    <n v="1975"/>
    <x v="55"/>
    <n v="1"/>
    <x v="12"/>
    <x v="0"/>
    <x v="0"/>
    <m/>
    <m/>
    <n v="43"/>
    <m/>
    <s v="F"/>
    <m/>
    <d v="1899-12-30T00:21:00"/>
    <s v="10:30"/>
    <s v="CSw"/>
    <m/>
    <s v="20140806 CSewright"/>
    <s v="20140807 JImrie"/>
    <s v="x"/>
    <s v="x"/>
    <s v="na"/>
    <s v="FWL"/>
    <s v="na"/>
    <s v="na"/>
    <s v="na"/>
    <s v="na"/>
    <s v="na"/>
    <s v="na"/>
    <s v="na"/>
    <s v="na"/>
  </r>
  <r>
    <n v="1976"/>
    <x v="55"/>
    <n v="1"/>
    <x v="10"/>
    <x v="0"/>
    <x v="11"/>
    <n v="48"/>
    <s v="107 CM"/>
    <n v="67"/>
    <m/>
    <s v="U"/>
    <m/>
    <d v="1899-12-30T01:11:00"/>
    <s v="12:01"/>
    <s v="BK"/>
    <m/>
    <s v="20140806 JImrie"/>
    <s v="20140807 JImrie"/>
    <s v="x"/>
    <n v="151.53399999999999"/>
    <s v="na"/>
    <s v="FWL"/>
    <s v="na"/>
    <s v="na"/>
    <s v="F1840"/>
    <s v="na"/>
    <s v="na"/>
    <s v="na"/>
    <s v="na"/>
    <s v="na"/>
  </r>
  <r>
    <n v="1977"/>
    <x v="55"/>
    <n v="1"/>
    <x v="10"/>
    <x v="0"/>
    <x v="11"/>
    <n v="25"/>
    <s v="109 CM"/>
    <n v="58"/>
    <m/>
    <s v="M"/>
    <m/>
    <d v="1899-12-30T01:03:00"/>
    <s v="12:10"/>
    <s v="JI"/>
    <m/>
    <s v="20140806 JImrie"/>
    <s v="20140807 JImrie"/>
    <s v="x"/>
    <n v="151.53399999999999"/>
    <s v="na"/>
    <s v="FWL"/>
    <s v="na"/>
    <s v="na"/>
    <s v="F1840"/>
    <s v="na"/>
    <s v="na"/>
    <s v="na"/>
    <s v="na"/>
    <s v="na"/>
  </r>
  <r>
    <n v="1978"/>
    <x v="55"/>
    <n v="1"/>
    <x v="12"/>
    <x v="0"/>
    <x v="0"/>
    <m/>
    <m/>
    <n v="45"/>
    <m/>
    <s v="F"/>
    <m/>
    <d v="1899-12-30T00:26:00"/>
    <s v="12:13"/>
    <s v="JI"/>
    <m/>
    <s v="20140806 JImrie"/>
    <s v="20140807 JImrie"/>
    <s v="x"/>
    <s v="x"/>
    <s v="na"/>
    <s v="FWL"/>
    <s v="na"/>
    <s v="na"/>
    <s v="na"/>
    <s v="na"/>
    <s v="na"/>
    <s v="na"/>
    <s v="na"/>
    <s v="na"/>
  </r>
  <r>
    <n v="1979"/>
    <x v="55"/>
    <n v="1"/>
    <x v="12"/>
    <x v="0"/>
    <x v="0"/>
    <m/>
    <m/>
    <n v="46"/>
    <m/>
    <s v="M"/>
    <m/>
    <d v="1899-12-30T00:21:00"/>
    <s v="12:15"/>
    <s v="JI"/>
    <m/>
    <s v="20140806 JImrie"/>
    <s v="20140807 JImrie"/>
    <s v="x"/>
    <s v="x"/>
    <s v="na"/>
    <s v="FWL"/>
    <s v="na"/>
    <s v="na"/>
    <s v="na"/>
    <s v="na"/>
    <s v="na"/>
    <s v="na"/>
    <s v="na"/>
    <s v="na"/>
  </r>
  <r>
    <n v="1980"/>
    <x v="55"/>
    <n v="1"/>
    <x v="2"/>
    <x v="2"/>
    <x v="0"/>
    <m/>
    <s v="Bulk HW"/>
    <m/>
    <n v="40"/>
    <s v="U"/>
    <m/>
    <d v="1899-12-30T01:16:00"/>
    <s v="12:18"/>
    <s v="BK"/>
    <s v="Picture taken"/>
    <s v="20140806 JImrie"/>
    <s v="20140807 JImrie"/>
    <s v="x"/>
    <s v="x"/>
    <s v="na"/>
    <s v="FWL"/>
    <s v="na"/>
    <s v="na"/>
    <s v="na"/>
    <s v="na"/>
    <s v="na"/>
    <s v="na"/>
    <s v="na"/>
    <s v="na"/>
  </r>
  <r>
    <n v="1981"/>
    <x v="55"/>
    <n v="1"/>
    <x v="12"/>
    <x v="0"/>
    <x v="0"/>
    <m/>
    <m/>
    <n v="47"/>
    <m/>
    <s v="M"/>
    <m/>
    <d v="1899-12-30T00:39:00"/>
    <s v="12:19"/>
    <s v="JI"/>
    <m/>
    <s v="20140806 JImrie"/>
    <s v="20140807 JImrie"/>
    <s v="x"/>
    <s v="x"/>
    <s v="na"/>
    <s v="FWL"/>
    <s v="na"/>
    <s v="na"/>
    <s v="na"/>
    <s v="na"/>
    <s v="na"/>
    <s v="na"/>
    <s v="na"/>
    <s v="na"/>
  </r>
  <r>
    <n v="1982"/>
    <x v="55"/>
    <n v="1"/>
    <x v="12"/>
    <x v="0"/>
    <x v="0"/>
    <m/>
    <m/>
    <n v="45"/>
    <m/>
    <s v="F"/>
    <m/>
    <d v="1899-12-30T00:28:00"/>
    <s v="12:21"/>
    <s v="JI"/>
    <m/>
    <s v="20140806 JImrie"/>
    <s v="20140807 JImrie"/>
    <s v="x"/>
    <s v="x"/>
    <s v="na"/>
    <s v="FWL"/>
    <s v="na"/>
    <s v="na"/>
    <s v="na"/>
    <s v="na"/>
    <s v="na"/>
    <s v="na"/>
    <s v="na"/>
    <s v="na"/>
  </r>
  <r>
    <n v="1983"/>
    <x v="55"/>
    <n v="1"/>
    <x v="12"/>
    <x v="0"/>
    <x v="0"/>
    <m/>
    <m/>
    <n v="46"/>
    <m/>
    <s v="M"/>
    <m/>
    <d v="1899-12-30T00:20:00"/>
    <s v="12:22"/>
    <s v="JI"/>
    <m/>
    <s v="20140806 JImrie"/>
    <s v="20140807 JImrie"/>
    <s v="x"/>
    <s v="x"/>
    <s v="na"/>
    <s v="FWL"/>
    <s v="na"/>
    <s v="na"/>
    <s v="na"/>
    <s v="na"/>
    <s v="na"/>
    <s v="na"/>
    <s v="na"/>
    <s v="na"/>
  </r>
  <r>
    <n v="1984"/>
    <x v="55"/>
    <n v="1"/>
    <x v="12"/>
    <x v="0"/>
    <x v="0"/>
    <m/>
    <m/>
    <n v="47"/>
    <m/>
    <s v="F"/>
    <m/>
    <d v="1899-12-30T00:25:00"/>
    <s v="12:24"/>
    <s v="JI"/>
    <m/>
    <s v="20140806 JImrie"/>
    <s v="20140807 JImrie"/>
    <s v="x"/>
    <s v="x"/>
    <s v="na"/>
    <s v="FWL"/>
    <s v="na"/>
    <s v="na"/>
    <s v="na"/>
    <s v="na"/>
    <s v="na"/>
    <s v="na"/>
    <s v="na"/>
    <s v="na"/>
  </r>
  <r>
    <n v="1985"/>
    <x v="55"/>
    <n v="1"/>
    <x v="12"/>
    <x v="0"/>
    <x v="0"/>
    <m/>
    <m/>
    <n v="42"/>
    <m/>
    <s v="F"/>
    <m/>
    <d v="1899-12-30T00:28:00"/>
    <s v="12:27"/>
    <s v="JI"/>
    <s v="large, deep gash 1.5 cm width on right side"/>
    <s v="20140806 JImrie"/>
    <s v="20140807 JImrie"/>
    <s v="x"/>
    <s v="x"/>
    <s v="na"/>
    <s v="FWL"/>
    <s v="na"/>
    <s v="na"/>
    <s v="na"/>
    <s v="na"/>
    <s v="na"/>
    <s v="na"/>
    <s v="na"/>
    <s v="na"/>
  </r>
  <r>
    <n v="1986"/>
    <x v="55"/>
    <n v="1"/>
    <x v="10"/>
    <x v="0"/>
    <x v="7"/>
    <n v="96"/>
    <s v="108 CM"/>
    <n v="55"/>
    <m/>
    <s v="U"/>
    <m/>
    <d v="1899-12-30T01:15:00"/>
    <s v="12:31"/>
    <s v="JI"/>
    <m/>
    <s v="20140806 JImrie"/>
    <s v="20140807 JImrie"/>
    <s v="x"/>
    <n v="151.56399999999999"/>
    <s v="na"/>
    <s v="FWL"/>
    <s v="na"/>
    <s v="na"/>
    <s v="F1840"/>
    <s v="na"/>
    <s v="na"/>
    <s v="na"/>
    <s v="na"/>
    <s v="na"/>
  </r>
  <r>
    <n v="1987"/>
    <x v="55"/>
    <n v="1"/>
    <x v="12"/>
    <x v="0"/>
    <x v="0"/>
    <m/>
    <m/>
    <n v="46"/>
    <m/>
    <s v="M"/>
    <m/>
    <d v="1899-12-30T00:29:00"/>
    <s v="12:33"/>
    <s v="JI"/>
    <m/>
    <s v="20140806 JImrie"/>
    <s v="20140807 JImrie"/>
    <s v="x"/>
    <s v="x"/>
    <s v="na"/>
    <s v="FWL"/>
    <s v="na"/>
    <s v="na"/>
    <s v="na"/>
    <s v="na"/>
    <s v="na"/>
    <s v="na"/>
    <s v="na"/>
    <s v="na"/>
  </r>
  <r>
    <n v="1988"/>
    <x v="55"/>
    <n v="1"/>
    <x v="12"/>
    <x v="0"/>
    <x v="0"/>
    <m/>
    <m/>
    <n v="46"/>
    <m/>
    <s v="M"/>
    <m/>
    <d v="1899-12-30T00:24:00"/>
    <s v="12:35"/>
    <s v="JI"/>
    <m/>
    <s v="20140806 JImrie"/>
    <s v="20140807 JImrie"/>
    <s v="x"/>
    <s v="x"/>
    <s v="na"/>
    <s v="FWL"/>
    <s v="na"/>
    <s v="na"/>
    <s v="na"/>
    <s v="na"/>
    <s v="na"/>
    <s v="na"/>
    <s v="na"/>
    <s v="na"/>
  </r>
  <r>
    <n v="1989"/>
    <x v="55"/>
    <n v="1"/>
    <x v="10"/>
    <x v="0"/>
    <x v="0"/>
    <m/>
    <m/>
    <n v="52"/>
    <m/>
    <s v="F"/>
    <m/>
    <d v="1899-12-30T00:31:00"/>
    <s v="13:18"/>
    <s v="BK"/>
    <s v="Hit deck softly"/>
    <s v="20140806 JImrie"/>
    <s v="20140807 JImrie"/>
    <s v="x"/>
    <s v="x"/>
    <s v="na"/>
    <s v="FWL"/>
    <s v="na"/>
    <s v="na"/>
    <s v="na"/>
    <s v="na"/>
    <s v="na"/>
    <s v="na"/>
    <s v="na"/>
    <s v="na"/>
  </r>
  <r>
    <n v="1990"/>
    <x v="55"/>
    <n v="1"/>
    <x v="10"/>
    <x v="0"/>
    <x v="7"/>
    <n v="82"/>
    <s v="110 CM"/>
    <n v="62"/>
    <m/>
    <s v="M"/>
    <m/>
    <d v="1899-12-30T01:06:00"/>
    <s v="18:41"/>
    <s v="CSj"/>
    <m/>
    <s v="20140806 JKunzler"/>
    <s v="20140807 JImrie"/>
    <s v="x"/>
    <n v="151.56399999999999"/>
    <s v="na"/>
    <s v="FWL"/>
    <s v="na"/>
    <s v="na"/>
    <s v="F1840"/>
    <s v="na"/>
    <s v="na"/>
    <s v="na"/>
    <s v="na"/>
    <s v="na"/>
  </r>
  <r>
    <n v="1991"/>
    <x v="55"/>
    <n v="1"/>
    <x v="12"/>
    <x v="0"/>
    <x v="12"/>
    <n v="3"/>
    <s v="141 P"/>
    <n v="49"/>
    <m/>
    <s v="M"/>
    <m/>
    <d v="1899-12-30T01:08:00"/>
    <s v="18:44"/>
    <s v="CSj"/>
    <m/>
    <s v="20140806 JKunzler"/>
    <s v="20140807 JImrie"/>
    <s v="x"/>
    <n v="151.596"/>
    <s v="na"/>
    <s v="FWL"/>
    <s v="na"/>
    <s v="na"/>
    <s v="F1835"/>
    <s v="na"/>
    <s v="na"/>
    <s v="na"/>
    <s v="na"/>
    <s v="na"/>
  </r>
  <r>
    <n v="1992"/>
    <x v="55"/>
    <n v="1"/>
    <x v="10"/>
    <x v="0"/>
    <x v="0"/>
    <m/>
    <m/>
    <n v="57"/>
    <m/>
    <s v="U"/>
    <m/>
    <d v="1899-12-30T00:21:00"/>
    <s v="20:23"/>
    <s v="CSj"/>
    <m/>
    <s v="20140806 JKunzler"/>
    <s v="20140807 JImrie"/>
    <s v="x"/>
    <s v="x"/>
    <s v="na"/>
    <s v="FWL"/>
    <s v="na"/>
    <s v="na"/>
    <s v="na"/>
    <s v="na"/>
    <s v="na"/>
    <s v="na"/>
    <s v="na"/>
    <s v="na"/>
  </r>
  <r>
    <n v="1993"/>
    <x v="55"/>
    <n v="2"/>
    <x v="10"/>
    <x v="0"/>
    <x v="7"/>
    <n v="93"/>
    <s v="106 CM"/>
    <n v="62"/>
    <m/>
    <s v="U"/>
    <m/>
    <d v="1899-12-30T01:06:00"/>
    <s v="11:45"/>
    <s v="BK"/>
    <m/>
    <s v="20140806 JImrie"/>
    <s v="20140807 JImrie"/>
    <s v="x"/>
    <n v="151.56399999999999"/>
    <s v="na"/>
    <s v="FWL"/>
    <s v="na"/>
    <s v="na"/>
    <s v="F1840"/>
    <s v="na"/>
    <s v="na"/>
    <s v="na"/>
    <s v="na"/>
    <s v="na"/>
  </r>
  <r>
    <n v="1994"/>
    <x v="55"/>
    <n v="2"/>
    <x v="12"/>
    <x v="0"/>
    <x v="12"/>
    <n v="7"/>
    <s v="140 P"/>
    <n v="42"/>
    <m/>
    <s v="F"/>
    <m/>
    <d v="1899-12-30T01:20:00"/>
    <s v="13:33"/>
    <s v="BK"/>
    <m/>
    <s v="20140806 JImrie"/>
    <s v="20140807 JImrie"/>
    <s v="x"/>
    <n v="151.596"/>
    <s v="na"/>
    <s v="FWL"/>
    <s v="na"/>
    <s v="na"/>
    <s v="F1835"/>
    <s v="na"/>
    <s v="na"/>
    <s v="na"/>
    <s v="na"/>
    <s v="na"/>
  </r>
  <r>
    <n v="1995"/>
    <x v="55"/>
    <n v="2"/>
    <x v="7"/>
    <x v="0"/>
    <x v="6"/>
    <n v="81"/>
    <s v="122 S"/>
    <n v="52"/>
    <m/>
    <s v="U"/>
    <m/>
    <d v="1899-12-30T01:18:00"/>
    <s v="13:38"/>
    <s v="BK"/>
    <s v="RT side injury, partially healed"/>
    <s v="20140806 JImrie"/>
    <s v="20140807 JImrie"/>
    <s v="x"/>
    <n v="151.57300000000001"/>
    <s v="na"/>
    <s v="FWL"/>
    <s v="na"/>
    <s v="na"/>
    <s v="F1840"/>
    <s v="na"/>
    <s v="na"/>
    <s v="na"/>
    <s v="na"/>
    <s v="na"/>
  </r>
  <r>
    <n v="1996"/>
    <x v="55"/>
    <n v="2"/>
    <x v="7"/>
    <x v="0"/>
    <x v="6"/>
    <n v="61"/>
    <s v="123 S"/>
    <n v="48"/>
    <m/>
    <s v="U"/>
    <m/>
    <d v="1899-12-30T01:20:00"/>
    <s v="15:22"/>
    <s v="BK"/>
    <m/>
    <s v="20140806 JImrie"/>
    <s v="20140807 JImrie"/>
    <s v="x"/>
    <n v="151.57300000000001"/>
    <s v="na"/>
    <s v="FWL"/>
    <s v="na"/>
    <s v="na"/>
    <s v="F1840"/>
    <s v="na"/>
    <s v="na"/>
    <s v="na"/>
    <s v="na"/>
    <s v="na"/>
  </r>
  <r>
    <n v="1997"/>
    <x v="55"/>
    <n v="2"/>
    <x v="13"/>
    <x v="0"/>
    <x v="15"/>
    <n v="8"/>
    <s v="24 CO"/>
    <n v="52"/>
    <m/>
    <s v="U"/>
    <m/>
    <d v="1899-12-30T01:20:00"/>
    <s v="16:32"/>
    <s v="BK"/>
    <s v="F266."/>
    <s v="20140806 JImrie"/>
    <s v="20140807 JImrie"/>
    <s v="x"/>
    <n v="151.26599999999999"/>
    <s v="na"/>
    <s v="FWL"/>
    <s v="na"/>
    <s v="na"/>
    <s v="F1840"/>
    <s v="na"/>
    <s v="na"/>
    <s v="na"/>
    <s v="na"/>
    <s v="na"/>
  </r>
  <r>
    <n v="1998"/>
    <x v="55"/>
    <n v="2"/>
    <x v="10"/>
    <x v="0"/>
    <x v="7"/>
    <n v="85"/>
    <s v="111 CM"/>
    <n v="51"/>
    <m/>
    <s v="M"/>
    <m/>
    <d v="1899-12-30T01:25:00"/>
    <s v="19:02"/>
    <s v="CSj"/>
    <m/>
    <s v="20140806 CSejkora"/>
    <s v="20140807 JImrie"/>
    <s v="x"/>
    <n v="151.56399999999999"/>
    <s v="na"/>
    <s v="FWL"/>
    <s v="na"/>
    <s v="na"/>
    <s v="F1840"/>
    <s v="na"/>
    <s v="na"/>
    <s v="na"/>
    <s v="na"/>
    <s v="na"/>
  </r>
  <r>
    <n v="1999"/>
    <x v="55"/>
    <n v="2"/>
    <x v="10"/>
    <x v="0"/>
    <x v="0"/>
    <m/>
    <m/>
    <n v="60"/>
    <m/>
    <s v="U"/>
    <m/>
    <d v="1899-12-30T00:21:00"/>
    <s v="19:10"/>
    <s v="CSj"/>
    <m/>
    <s v="20140806 CSejkora"/>
    <s v="20140807 JImrie"/>
    <s v="x"/>
    <s v="x"/>
    <s v="na"/>
    <s v="FWL"/>
    <s v="na"/>
    <s v="na"/>
    <s v="na"/>
    <s v="na"/>
    <s v="na"/>
    <s v="na"/>
    <s v="na"/>
    <s v="na"/>
  </r>
  <r>
    <n v="2000"/>
    <x v="55"/>
    <n v="2"/>
    <x v="12"/>
    <x v="0"/>
    <x v="0"/>
    <m/>
    <m/>
    <n v="46"/>
    <m/>
    <s v="F"/>
    <m/>
    <d v="1899-12-30T00:24:00"/>
    <s v="19:11"/>
    <s v="CSj"/>
    <m/>
    <s v="20140806 CSejkora"/>
    <s v="20140807 JImrie"/>
    <s v="x"/>
    <s v="x"/>
    <s v="na"/>
    <s v="FWL"/>
    <s v="na"/>
    <s v="na"/>
    <s v="na"/>
    <s v="na"/>
    <s v="na"/>
    <s v="na"/>
    <s v="na"/>
    <s v="na"/>
  </r>
  <r>
    <n v="2001"/>
    <x v="55"/>
    <n v="2"/>
    <x v="7"/>
    <x v="0"/>
    <x v="6"/>
    <n v="58"/>
    <s v="124 S"/>
    <n v="55"/>
    <m/>
    <s v="U"/>
    <m/>
    <d v="1899-12-30T01:01:00"/>
    <s v="19:16"/>
    <s v="CSj"/>
    <m/>
    <s v="20140806 CSejkora"/>
    <s v="20140807 JImrie"/>
    <s v="x"/>
    <n v="151.57300000000001"/>
    <s v="na"/>
    <s v="FWL"/>
    <s v="na"/>
    <s v="na"/>
    <s v="F1840"/>
    <s v="na"/>
    <s v="na"/>
    <s v="na"/>
    <s v="na"/>
    <s v="na"/>
  </r>
  <r>
    <n v="2002"/>
    <x v="55"/>
    <n v="2"/>
    <x v="7"/>
    <x v="0"/>
    <x v="6"/>
    <n v="13"/>
    <s v="125 S"/>
    <n v="42"/>
    <m/>
    <s v="U"/>
    <m/>
    <d v="1899-12-30T01:05:00"/>
    <s v="19:19 "/>
    <s v="CSj"/>
    <m/>
    <s v="20140806 CSejkora"/>
    <s v="20140807 JImrie"/>
    <s v="x"/>
    <n v="151.57300000000001"/>
    <s v="na"/>
    <s v="FWL"/>
    <s v="na"/>
    <s v="na"/>
    <s v="F1840"/>
    <s v="na"/>
    <s v="na"/>
    <s v="na"/>
    <s v="na"/>
    <s v="na"/>
  </r>
  <r>
    <n v="2003"/>
    <x v="55"/>
    <n v="3"/>
    <x v="12"/>
    <x v="0"/>
    <x v="12"/>
    <n v="93"/>
    <s v="132 P"/>
    <n v="44"/>
    <m/>
    <s v="F"/>
    <m/>
    <d v="1899-12-30T01:43:00"/>
    <s v="09:15"/>
    <s v="JK"/>
    <m/>
    <s v="20140806 JKunzler"/>
    <s v="20140807 JImrie"/>
    <s v="x"/>
    <n v="151.596"/>
    <s v="na"/>
    <s v="FWL"/>
    <s v="na"/>
    <s v="na"/>
    <s v="F1835"/>
    <s v="na"/>
    <s v="na"/>
    <s v="na"/>
    <s v="na"/>
    <s v="na"/>
  </r>
  <r>
    <n v="2004"/>
    <x v="55"/>
    <n v="3"/>
    <x v="10"/>
    <x v="0"/>
    <x v="7"/>
    <n v="25"/>
    <s v="100 CM"/>
    <n v="55"/>
    <m/>
    <s v="F"/>
    <m/>
    <d v="1899-12-30T01:09:00"/>
    <s v="09:17"/>
    <s v="JK"/>
    <m/>
    <s v="20140806 JKunzler"/>
    <s v="20140807 JImrie"/>
    <s v="x"/>
    <n v="151.56399999999999"/>
    <s v="na"/>
    <s v="FWL"/>
    <s v="na"/>
    <s v="na"/>
    <s v="F1840"/>
    <s v="na"/>
    <s v="na"/>
    <s v="na"/>
    <s v="na"/>
    <s v="na"/>
  </r>
  <r>
    <n v="2005"/>
    <x v="55"/>
    <n v="3"/>
    <x v="12"/>
    <x v="0"/>
    <x v="0"/>
    <m/>
    <m/>
    <n v="48"/>
    <m/>
    <s v="F"/>
    <m/>
    <d v="1899-12-30T00:25:00"/>
    <s v="09:24"/>
    <s v="JK"/>
    <m/>
    <s v="20140806 JKunzler"/>
    <s v="20140807 JImrie"/>
    <s v="x"/>
    <s v="x"/>
    <s v="na"/>
    <s v="FWL"/>
    <s v="na"/>
    <s v="na"/>
    <s v="na"/>
    <s v="na"/>
    <s v="na"/>
    <s v="na"/>
    <s v="na"/>
    <s v="na"/>
  </r>
  <r>
    <n v="2006"/>
    <x v="55"/>
    <n v="3"/>
    <x v="12"/>
    <x v="0"/>
    <x v="0"/>
    <m/>
    <m/>
    <n v="47"/>
    <m/>
    <s v="M"/>
    <m/>
    <d v="1899-12-30T00:23:00"/>
    <s v="09:25"/>
    <s v="JK"/>
    <m/>
    <s v="20140806 JKunzler"/>
    <s v="20140807 JImrie"/>
    <s v="x"/>
    <s v="x"/>
    <s v="na"/>
    <s v="FWL"/>
    <s v="na"/>
    <s v="na"/>
    <s v="na"/>
    <s v="na"/>
    <s v="na"/>
    <s v="na"/>
    <s v="na"/>
    <s v="na"/>
  </r>
  <r>
    <n v="2007"/>
    <x v="55"/>
    <n v="3"/>
    <x v="12"/>
    <x v="0"/>
    <x v="0"/>
    <m/>
    <m/>
    <n v="47"/>
    <m/>
    <s v="M"/>
    <m/>
    <d v="1899-12-30T00:30:00"/>
    <s v="09:26"/>
    <s v="JK"/>
    <m/>
    <s v="20140806 JKunzler"/>
    <s v="20140807 JImrie"/>
    <s v="x"/>
    <s v="x"/>
    <s v="na"/>
    <s v="FWL"/>
    <s v="na"/>
    <s v="na"/>
    <s v="na"/>
    <s v="na"/>
    <s v="na"/>
    <s v="na"/>
    <s v="na"/>
    <s v="na"/>
  </r>
  <r>
    <n v="2008"/>
    <x v="55"/>
    <n v="3"/>
    <x v="12"/>
    <x v="0"/>
    <x v="0"/>
    <m/>
    <m/>
    <n v="49"/>
    <m/>
    <s v="F"/>
    <m/>
    <d v="1899-12-30T00:28:00"/>
    <s v="09:28"/>
    <s v="JK"/>
    <m/>
    <s v="20140806 JKunzler"/>
    <s v="20140807 JImrie"/>
    <s v="x"/>
    <s v="x"/>
    <s v="na"/>
    <s v="FWL"/>
    <s v="na"/>
    <s v="na"/>
    <s v="na"/>
    <s v="na"/>
    <s v="na"/>
    <s v="na"/>
    <s v="na"/>
    <s v="na"/>
  </r>
  <r>
    <n v="2009"/>
    <x v="55"/>
    <n v="3"/>
    <x v="12"/>
    <x v="0"/>
    <x v="0"/>
    <m/>
    <m/>
    <n v="49"/>
    <m/>
    <s v="M"/>
    <m/>
    <d v="1899-12-30T00:25:00"/>
    <s v="09:30"/>
    <s v="JK"/>
    <m/>
    <s v="20140806 JKunzler"/>
    <s v="20140807 JImrie"/>
    <s v="x"/>
    <s v="x"/>
    <s v="na"/>
    <s v="FWL"/>
    <s v="na"/>
    <s v="na"/>
    <s v="na"/>
    <s v="na"/>
    <s v="na"/>
    <s v="na"/>
    <s v="na"/>
    <s v="na"/>
  </r>
  <r>
    <n v="2010"/>
    <x v="55"/>
    <n v="3"/>
    <x v="12"/>
    <x v="0"/>
    <x v="0"/>
    <m/>
    <m/>
    <n v="46"/>
    <m/>
    <s v="F"/>
    <m/>
    <d v="1899-12-30T00:25:00"/>
    <s v="09:31"/>
    <s v="JK"/>
    <m/>
    <s v="20140806 JKunzler"/>
    <s v="20140807 JImrie"/>
    <s v="x"/>
    <s v="x"/>
    <s v="na"/>
    <s v="FWL"/>
    <s v="na"/>
    <s v="na"/>
    <s v="na"/>
    <s v="na"/>
    <s v="na"/>
    <s v="na"/>
    <s v="na"/>
    <s v="na"/>
  </r>
  <r>
    <n v="2011"/>
    <x v="55"/>
    <n v="3"/>
    <x v="12"/>
    <x v="0"/>
    <x v="0"/>
    <m/>
    <m/>
    <n v="48"/>
    <m/>
    <s v="F"/>
    <m/>
    <d v="1899-12-30T00:17:00"/>
    <s v="09:32"/>
    <s v="JK"/>
    <m/>
    <s v="20140806 JKunzler"/>
    <s v="20140807 JImrie"/>
    <s v="x"/>
    <s v="x"/>
    <s v="na"/>
    <s v="FWL"/>
    <s v="na"/>
    <s v="na"/>
    <s v="na"/>
    <s v="na"/>
    <s v="na"/>
    <s v="na"/>
    <s v="na"/>
    <s v="na"/>
  </r>
  <r>
    <n v="2012"/>
    <x v="55"/>
    <n v="3"/>
    <x v="12"/>
    <x v="0"/>
    <x v="0"/>
    <m/>
    <m/>
    <n v="47"/>
    <m/>
    <s v="F"/>
    <m/>
    <d v="1899-12-30T00:30:00"/>
    <s v="09:34"/>
    <s v="JK"/>
    <m/>
    <s v="20140806 JKunzler"/>
    <s v="20140807 JImrie"/>
    <s v="x"/>
    <s v="x"/>
    <s v="na"/>
    <s v="FWL"/>
    <s v="na"/>
    <s v="na"/>
    <s v="na"/>
    <s v="na"/>
    <s v="na"/>
    <s v="na"/>
    <s v="na"/>
    <s v="na"/>
  </r>
  <r>
    <n v="2013"/>
    <x v="55"/>
    <n v="3"/>
    <x v="12"/>
    <x v="0"/>
    <x v="0"/>
    <m/>
    <m/>
    <n v="48"/>
    <m/>
    <s v="M"/>
    <m/>
    <d v="1899-12-30T00:33:00"/>
    <s v="09:35"/>
    <s v="JK"/>
    <m/>
    <s v="20140806 JKunzler"/>
    <s v="20140807 JImrie"/>
    <s v="x"/>
    <s v="x"/>
    <s v="na"/>
    <s v="FWL"/>
    <s v="na"/>
    <s v="na"/>
    <s v="na"/>
    <s v="na"/>
    <s v="na"/>
    <s v="na"/>
    <s v="na"/>
    <s v="na"/>
  </r>
  <r>
    <n v="2014"/>
    <x v="55"/>
    <n v="3"/>
    <x v="12"/>
    <x v="0"/>
    <x v="0"/>
    <m/>
    <m/>
    <n v="47"/>
    <m/>
    <s v="M"/>
    <m/>
    <d v="1899-12-30T00:20:00"/>
    <s v="10:35"/>
    <s v="CSj"/>
    <m/>
    <s v="20140806 JKunzler"/>
    <s v="20140807 JImrie"/>
    <s v="x"/>
    <s v="x"/>
    <s v="na"/>
    <s v="FWL"/>
    <s v="na"/>
    <s v="na"/>
    <s v="na"/>
    <s v="na"/>
    <s v="na"/>
    <s v="na"/>
    <s v="na"/>
    <s v="na"/>
  </r>
  <r>
    <n v="2015"/>
    <x v="55"/>
    <n v="3"/>
    <x v="12"/>
    <x v="0"/>
    <x v="0"/>
    <m/>
    <m/>
    <n v="47"/>
    <m/>
    <s v="M"/>
    <m/>
    <d v="1899-12-30T00:21:00"/>
    <s v="10:36"/>
    <s v="CSj"/>
    <m/>
    <s v="20140806 JKunzler"/>
    <s v="20140807 JImrie"/>
    <s v="x"/>
    <s v="x"/>
    <s v="na"/>
    <s v="FWL"/>
    <s v="na"/>
    <s v="na"/>
    <s v="na"/>
    <s v="na"/>
    <s v="na"/>
    <s v="na"/>
    <s v="na"/>
    <s v="na"/>
  </r>
  <r>
    <n v="2016"/>
    <x v="55"/>
    <n v="3"/>
    <x v="10"/>
    <x v="0"/>
    <x v="7"/>
    <n v="91"/>
    <s v="101 CM"/>
    <n v="64"/>
    <m/>
    <s v="U"/>
    <m/>
    <d v="1899-12-30T01:10:00"/>
    <s v="10:41"/>
    <s v="CSj"/>
    <m/>
    <s v="20140806 JKunzler"/>
    <s v="20140807 JImrie"/>
    <s v="x"/>
    <n v="151.56399999999999"/>
    <s v="na"/>
    <s v="FWL"/>
    <s v="na"/>
    <s v="na"/>
    <s v="F1840"/>
    <s v="na"/>
    <s v="na"/>
    <s v="na"/>
    <s v="na"/>
    <s v="na"/>
  </r>
  <r>
    <n v="2017"/>
    <x v="55"/>
    <n v="3"/>
    <x v="10"/>
    <x v="0"/>
    <x v="7"/>
    <n v="47"/>
    <s v="102 CM"/>
    <n v="57"/>
    <m/>
    <s v="U"/>
    <m/>
    <d v="1899-12-30T00:46:00"/>
    <s v="10:42"/>
    <s v="CSj"/>
    <m/>
    <s v="20140806 JKunzler"/>
    <s v="20140807 JImrie"/>
    <s v="x"/>
    <n v="151.56399999999999"/>
    <s v="na"/>
    <s v="FWL"/>
    <s v="na"/>
    <s v="na"/>
    <s v="F1840"/>
    <s v="na"/>
    <s v="na"/>
    <s v="na"/>
    <s v="na"/>
    <s v="na"/>
  </r>
  <r>
    <n v="2018"/>
    <x v="55"/>
    <n v="3"/>
    <x v="10"/>
    <x v="0"/>
    <x v="0"/>
    <m/>
    <m/>
    <n v="60"/>
    <m/>
    <s v="M"/>
    <m/>
    <d v="1899-12-30T01:25:00"/>
    <s v="12:06"/>
    <s v="JK"/>
    <s v="wouldn't retain tag"/>
    <s v="20140806 JKunzler"/>
    <s v="20140807 JImrie"/>
    <s v="x"/>
    <s v="x"/>
    <s v="na"/>
    <s v="FWL"/>
    <s v="na"/>
    <s v="na"/>
    <s v="na"/>
    <s v="na"/>
    <s v="na"/>
    <s v="na"/>
    <s v="na"/>
    <s v="na"/>
  </r>
  <r>
    <n v="2019"/>
    <x v="55"/>
    <n v="3"/>
    <x v="12"/>
    <x v="0"/>
    <x v="13"/>
    <n v="17"/>
    <s v="133 P"/>
    <n v="43"/>
    <m/>
    <s v="F"/>
    <m/>
    <d v="1899-12-30T00:53:00"/>
    <s v="12:11"/>
    <s v="JK"/>
    <m/>
    <s v="20140806 JKunzler"/>
    <s v="20140807 JImrie"/>
    <s v="x"/>
    <n v="151.51499999999999"/>
    <s v="na"/>
    <s v="FWL"/>
    <s v="na"/>
    <s v="na"/>
    <s v="F1835"/>
    <s v="na"/>
    <s v="na"/>
    <s v="na"/>
    <s v="na"/>
    <s v="na"/>
  </r>
  <r>
    <n v="2020"/>
    <x v="55"/>
    <n v="3"/>
    <x v="4"/>
    <x v="1"/>
    <x v="0"/>
    <m/>
    <m/>
    <n v="35"/>
    <m/>
    <s v="M"/>
    <m/>
    <d v="1899-12-30T00:23:00"/>
    <s v="12:23"/>
    <s v="JK"/>
    <s v="spawned out"/>
    <s v="20140806 JKunzler"/>
    <s v="20140807 JImrie"/>
    <s v="x"/>
    <s v="x"/>
    <s v="na"/>
    <s v="FWL"/>
    <s v="na"/>
    <s v="na"/>
    <s v="na"/>
    <s v="na"/>
    <s v="na"/>
    <s v="na"/>
    <s v="na"/>
    <s v="na"/>
  </r>
  <r>
    <n v="2021"/>
    <x v="55"/>
    <n v="3"/>
    <x v="10"/>
    <x v="0"/>
    <x v="11"/>
    <n v="36"/>
    <s v="103 CM"/>
    <n v="58"/>
    <m/>
    <s v="M"/>
    <m/>
    <d v="1899-12-30T01:07:00"/>
    <s v="13:42"/>
    <s v="CSj"/>
    <m/>
    <s v="20140806 JKunzler"/>
    <s v="20140807 JImrie"/>
    <s v="x"/>
    <n v="151.53399999999999"/>
    <s v="na"/>
    <s v="FWL"/>
    <s v="na"/>
    <s v="na"/>
    <s v="F1840"/>
    <s v="na"/>
    <s v="na"/>
    <s v="na"/>
    <s v="na"/>
    <s v="na"/>
  </r>
  <r>
    <n v="2022"/>
    <x v="55"/>
    <n v="3"/>
    <x v="12"/>
    <x v="0"/>
    <x v="12"/>
    <n v="68"/>
    <s v="134 P"/>
    <n v="49"/>
    <m/>
    <s v="M"/>
    <m/>
    <d v="1899-12-30T01:21:00"/>
    <s v="14:53"/>
    <s v="CSw"/>
    <m/>
    <s v="20140806 QBerger"/>
    <s v="20140807 JImrie"/>
    <s v="x"/>
    <n v="151.596"/>
    <s v="na"/>
    <s v="FWL"/>
    <s v="na"/>
    <s v="na"/>
    <s v="F1835"/>
    <s v="na"/>
    <s v="na"/>
    <s v="na"/>
    <s v="na"/>
    <s v="na"/>
  </r>
  <r>
    <n v="2023"/>
    <x v="55"/>
    <n v="3"/>
    <x v="1"/>
    <x v="0"/>
    <x v="0"/>
    <m/>
    <m/>
    <n v="58"/>
    <m/>
    <s v="M"/>
    <m/>
    <d v="1899-12-30T00:37:00"/>
    <s v="16:54"/>
    <s v="CSw"/>
    <s v="spawned out!"/>
    <s v="20140806 QBerger"/>
    <s v="20140807 JImrie"/>
    <s v="x"/>
    <s v="x"/>
    <s v="na"/>
    <s v="FWL"/>
    <s v="na"/>
    <s v="na"/>
    <s v="na"/>
    <s v="na"/>
    <s v="na"/>
    <s v="na"/>
    <s v="na"/>
    <s v="na"/>
  </r>
  <r>
    <n v="2024"/>
    <x v="55"/>
    <n v="3"/>
    <x v="10"/>
    <x v="0"/>
    <x v="11"/>
    <n v="65"/>
    <s v="104 CM"/>
    <n v="61"/>
    <m/>
    <s v="M"/>
    <m/>
    <d v="1899-12-30T01:09:00"/>
    <s v="17:20"/>
    <s v="CSw"/>
    <m/>
    <s v="20140806 QBerger"/>
    <s v="20140807 JImrie"/>
    <s v="x"/>
    <n v="151.53399999999999"/>
    <s v="na"/>
    <s v="FWL"/>
    <s v="na"/>
    <s v="na"/>
    <s v="F1840"/>
    <s v="na"/>
    <s v="na"/>
    <s v="na"/>
    <s v="na"/>
    <s v="na"/>
  </r>
  <r>
    <n v="2025"/>
    <x v="55"/>
    <n v="3"/>
    <x v="13"/>
    <x v="0"/>
    <x v="15"/>
    <n v="66"/>
    <s v="27 CO"/>
    <n v="49"/>
    <m/>
    <s v="M"/>
    <m/>
    <d v="1899-12-30T01:50:00"/>
    <s v="17:05"/>
    <s v="CSw"/>
    <s v="F266."/>
    <s v="20140806 QBerger"/>
    <s v="20140807 JImrie"/>
    <s v="x"/>
    <n v="151.26599999999999"/>
    <s v="na"/>
    <s v="FWL"/>
    <s v="na"/>
    <s v="na"/>
    <s v="F1840"/>
    <s v="na"/>
    <s v="na"/>
    <s v="na"/>
    <s v="na"/>
    <s v="na"/>
  </r>
  <r>
    <n v="2026"/>
    <x v="55"/>
    <n v="3"/>
    <x v="10"/>
    <x v="0"/>
    <x v="7"/>
    <n v="73"/>
    <s v="105 CM"/>
    <n v="59"/>
    <m/>
    <s v="M"/>
    <m/>
    <d v="1899-12-30T01:03:00"/>
    <s v="17:12"/>
    <s v="CSw"/>
    <m/>
    <s v="20140806 QBerger"/>
    <s v="20140807 JImrie"/>
    <s v="x"/>
    <n v="151.56399999999999"/>
    <s v="na"/>
    <s v="FWL"/>
    <s v="na"/>
    <s v="na"/>
    <s v="F1840"/>
    <s v="na"/>
    <s v="na"/>
    <s v="na"/>
    <s v="na"/>
    <s v="na"/>
  </r>
  <r>
    <n v="2027"/>
    <x v="55"/>
    <n v="3"/>
    <x v="12"/>
    <x v="0"/>
    <x v="13"/>
    <n v="32"/>
    <s v="144 P"/>
    <n v="52"/>
    <m/>
    <s v="M"/>
    <m/>
    <d v="1899-12-30T01:25:00"/>
    <s v="17:20"/>
    <s v="CSw"/>
    <m/>
    <s v="20140806 QBerger"/>
    <s v="20140807 JImrie"/>
    <s v="x"/>
    <n v="151.51499999999999"/>
    <s v="na"/>
    <s v="FWL"/>
    <s v="na"/>
    <s v="na"/>
    <s v="F1835"/>
    <s v="na"/>
    <s v="na"/>
    <s v="na"/>
    <s v="na"/>
    <s v="na"/>
  </r>
  <r>
    <n v="2028"/>
    <x v="55"/>
    <n v="3"/>
    <x v="10"/>
    <x v="0"/>
    <x v="0"/>
    <m/>
    <m/>
    <n v="61"/>
    <m/>
    <s v="F"/>
    <m/>
    <d v="1899-12-30T00:30:00"/>
    <s v="17:15"/>
    <s v="CSw"/>
    <m/>
    <s v="20140806 QBerger"/>
    <s v="20140807 JImrie"/>
    <s v="x"/>
    <s v="x"/>
    <s v="na"/>
    <s v="FWL"/>
    <s v="na"/>
    <s v="na"/>
    <s v="na"/>
    <s v="na"/>
    <s v="na"/>
    <s v="na"/>
    <s v="na"/>
    <s v="na"/>
  </r>
  <r>
    <n v="2029"/>
    <x v="55"/>
    <n v="3"/>
    <x v="10"/>
    <x v="0"/>
    <x v="0"/>
    <m/>
    <m/>
    <n v="62"/>
    <m/>
    <s v="M"/>
    <m/>
    <d v="1899-12-30T00:27:00"/>
    <s v="17:17"/>
    <s v="QB"/>
    <m/>
    <s v="20140806 QBerger"/>
    <s v="20140807 JImrie"/>
    <s v="x"/>
    <s v="x"/>
    <s v="na"/>
    <s v="FWL"/>
    <s v="na"/>
    <s v="na"/>
    <s v="na"/>
    <s v="na"/>
    <s v="na"/>
    <s v="na"/>
    <s v="na"/>
    <s v="na"/>
  </r>
  <r>
    <n v="2030"/>
    <x v="55"/>
    <n v="3"/>
    <x v="13"/>
    <x v="0"/>
    <x v="14"/>
    <n v="52"/>
    <s v="28 CO"/>
    <n v="54"/>
    <m/>
    <s v="M"/>
    <m/>
    <d v="1899-12-30T01:04:00"/>
    <s v="17:38"/>
    <s v="CSw"/>
    <m/>
    <s v="20140806 QBerger"/>
    <s v="20140807 JImrie"/>
    <s v="x"/>
    <n v="151.32499999999999"/>
    <s v="na"/>
    <s v="FWL"/>
    <s v="na"/>
    <s v="na"/>
    <s v="F1840"/>
    <s v="na"/>
    <s v="na"/>
    <s v="na"/>
    <s v="na"/>
    <s v="na"/>
  </r>
  <r>
    <n v="2031"/>
    <x v="55"/>
    <n v="3"/>
    <x v="13"/>
    <x v="0"/>
    <x v="15"/>
    <n v="54"/>
    <s v="29 CO"/>
    <n v="46"/>
    <m/>
    <s v="U"/>
    <m/>
    <d v="1899-12-30T01:42:00"/>
    <s v="17:58"/>
    <s v="CSw"/>
    <s v="F266."/>
    <s v="20140806 QBerger"/>
    <s v="20140807 JImrie"/>
    <s v="x"/>
    <n v="151.26599999999999"/>
    <s v="na"/>
    <s v="FWL"/>
    <s v="na"/>
    <s v="na"/>
    <s v="F1840"/>
    <s v="na"/>
    <s v="na"/>
    <s v="na"/>
    <s v="na"/>
    <s v="na"/>
  </r>
  <r>
    <n v="2032"/>
    <x v="55"/>
    <n v="3"/>
    <x v="0"/>
    <x v="0"/>
    <x v="0"/>
    <m/>
    <m/>
    <m/>
    <n v="19"/>
    <s v="U"/>
    <m/>
    <d v="1899-12-30T00:42:00"/>
    <s v="17:54"/>
    <s v="QB"/>
    <m/>
    <s v="20140806 QBerger"/>
    <s v="20140807 JImrie"/>
    <s v="x"/>
    <s v="x"/>
    <s v="na"/>
    <s v="FWL"/>
    <s v="na"/>
    <s v="na"/>
    <s v="na"/>
    <s v="na"/>
    <s v="na"/>
    <s v="na"/>
    <s v="na"/>
    <s v="na"/>
  </r>
  <r>
    <n v="2033"/>
    <x v="56"/>
    <n v="1"/>
    <x v="12"/>
    <x v="0"/>
    <x v="12"/>
    <n v="91"/>
    <s v="142 P"/>
    <n v="47"/>
    <m/>
    <s v="F"/>
    <m/>
    <d v="1899-12-30T01:27:00"/>
    <s v="09:12"/>
    <s v="QB"/>
    <m/>
    <s v="20140807 QBerger"/>
    <s v="20140808 HReider"/>
    <s v="x"/>
    <n v="151.596"/>
    <s v="na"/>
    <s v="FWL"/>
    <s v="na"/>
    <s v="na"/>
    <s v="F1835"/>
    <s v="na"/>
    <s v="na"/>
    <s v="na"/>
    <s v="na"/>
    <s v="na"/>
  </r>
  <r>
    <n v="2034"/>
    <x v="56"/>
    <n v="1"/>
    <x v="10"/>
    <x v="0"/>
    <x v="7"/>
    <n v="89"/>
    <s v="113 CM"/>
    <n v="56"/>
    <m/>
    <s v="M"/>
    <m/>
    <d v="1899-12-30T01:10:00"/>
    <s v="09:15"/>
    <s v="QB"/>
    <m/>
    <s v="20140807 QBerger"/>
    <s v="20140808 HReider"/>
    <s v="x"/>
    <n v="151.56399999999999"/>
    <s v="na"/>
    <s v="FWL"/>
    <s v="na"/>
    <s v="na"/>
    <s v="F1840"/>
    <s v="na"/>
    <s v="na"/>
    <s v="na"/>
    <s v="na"/>
    <s v="na"/>
  </r>
  <r>
    <n v="2035"/>
    <x v="56"/>
    <n v="1"/>
    <x v="10"/>
    <x v="0"/>
    <x v="7"/>
    <n v="50"/>
    <s v="114 CM"/>
    <n v="55"/>
    <m/>
    <s v="F"/>
    <m/>
    <d v="1899-12-30T01:13:00"/>
    <s v="09:22"/>
    <s v="QB"/>
    <m/>
    <s v="20140807 QBerger"/>
    <s v="20140808 HReider"/>
    <s v="x"/>
    <n v="151.56399999999999"/>
    <s v="na"/>
    <s v="FWL"/>
    <s v="na"/>
    <s v="na"/>
    <s v="F1840"/>
    <s v="na"/>
    <s v="na"/>
    <s v="na"/>
    <s v="na"/>
    <s v="na"/>
  </r>
  <r>
    <n v="2036"/>
    <x v="56"/>
    <n v="1"/>
    <x v="12"/>
    <x v="0"/>
    <x v="0"/>
    <m/>
    <m/>
    <n v="47"/>
    <m/>
    <s v="M"/>
    <m/>
    <d v="1899-12-30T00:26:00"/>
    <s v="09:24"/>
    <s v="QB"/>
    <m/>
    <s v="20140807 QBerger"/>
    <s v="20140808 HReider"/>
    <s v="x"/>
    <s v="x"/>
    <s v="na"/>
    <s v="FWL"/>
    <s v="na"/>
    <s v="na"/>
    <s v="na"/>
    <s v="na"/>
    <s v="na"/>
    <s v="na"/>
    <s v="na"/>
    <s v="na"/>
  </r>
  <r>
    <n v="2037"/>
    <x v="56"/>
    <n v="1"/>
    <x v="10"/>
    <x v="0"/>
    <x v="0"/>
    <m/>
    <m/>
    <n v="61"/>
    <m/>
    <s v="F"/>
    <m/>
    <d v="1899-12-30T00:26:00"/>
    <s v="09:27"/>
    <s v="QB"/>
    <m/>
    <s v="20140807 QBerger"/>
    <s v="20140808 HReider"/>
    <s v="x"/>
    <s v="x"/>
    <s v="na"/>
    <s v="FWL"/>
    <s v="na"/>
    <s v="na"/>
    <s v="na"/>
    <s v="na"/>
    <s v="na"/>
    <s v="na"/>
    <s v="na"/>
    <s v="na"/>
  </r>
  <r>
    <n v="2038"/>
    <x v="56"/>
    <n v="1"/>
    <x v="13"/>
    <x v="0"/>
    <x v="15"/>
    <n v="17"/>
    <s v="26 CO"/>
    <n v="60"/>
    <m/>
    <s v="U"/>
    <m/>
    <d v="1899-12-30T01:20:00"/>
    <s v="09:30"/>
    <s v="QB"/>
    <s v="F266.  beauty! Pic taken!"/>
    <s v="20140807 QBerger"/>
    <s v="20140808 HReider"/>
    <s v="x"/>
    <n v="151.26599999999999"/>
    <s v="na"/>
    <s v="FWL"/>
    <s v="na"/>
    <s v="na"/>
    <s v="F1840"/>
    <s v="na"/>
    <s v="na"/>
    <s v="na"/>
    <s v="na"/>
    <s v="na"/>
  </r>
  <r>
    <n v="2039"/>
    <x v="56"/>
    <n v="1"/>
    <x v="12"/>
    <x v="0"/>
    <x v="0"/>
    <m/>
    <m/>
    <n v="45"/>
    <m/>
    <s v="F"/>
    <m/>
    <d v="1899-12-30T00:27:00"/>
    <s v="09:33"/>
    <s v="QB"/>
    <m/>
    <s v="20140807 QBerger"/>
    <s v="20140808 HReider"/>
    <s v="x"/>
    <s v="x"/>
    <s v="na"/>
    <s v="FWL"/>
    <s v="na"/>
    <s v="na"/>
    <s v="na"/>
    <s v="na"/>
    <s v="na"/>
    <s v="na"/>
    <s v="na"/>
    <s v="na"/>
  </r>
  <r>
    <n v="2040"/>
    <x v="56"/>
    <n v="1"/>
    <x v="10"/>
    <x v="0"/>
    <x v="0"/>
    <m/>
    <m/>
    <n v="59"/>
    <m/>
    <s v="M"/>
    <m/>
    <d v="1899-12-30T00:28:00"/>
    <s v="09:35"/>
    <s v="QB"/>
    <m/>
    <s v="20140807 QBerger"/>
    <s v="20140808 HReider"/>
    <s v="x"/>
    <s v="x"/>
    <s v="na"/>
    <s v="FWL"/>
    <s v="na"/>
    <s v="na"/>
    <s v="na"/>
    <s v="na"/>
    <s v="na"/>
    <s v="na"/>
    <s v="na"/>
    <s v="na"/>
  </r>
  <r>
    <n v="2041"/>
    <x v="56"/>
    <n v="1"/>
    <x v="12"/>
    <x v="0"/>
    <x v="0"/>
    <m/>
    <m/>
    <n v="46"/>
    <m/>
    <s v="M"/>
    <m/>
    <d v="1899-12-30T00:27:00"/>
    <s v="09:36"/>
    <s v="QB"/>
    <m/>
    <s v="20140807 QBerger"/>
    <s v="20140808 HReider"/>
    <s v="x"/>
    <s v="x"/>
    <s v="na"/>
    <s v="FWL"/>
    <s v="na"/>
    <s v="na"/>
    <s v="na"/>
    <s v="na"/>
    <s v="na"/>
    <s v="na"/>
    <s v="na"/>
    <s v="na"/>
  </r>
  <r>
    <n v="2042"/>
    <x v="56"/>
    <n v="1"/>
    <x v="12"/>
    <x v="0"/>
    <x v="0"/>
    <m/>
    <m/>
    <n v="48"/>
    <m/>
    <s v="F"/>
    <m/>
    <d v="1899-12-30T00:32:00"/>
    <s v="09:38"/>
    <s v="QB"/>
    <s v="fresh small wound anterior dorsal"/>
    <s v="20140807 QBerger"/>
    <s v="20140808 HReider"/>
    <s v="x"/>
    <s v="x"/>
    <s v="na"/>
    <s v="FWL"/>
    <s v="na"/>
    <s v="na"/>
    <s v="na"/>
    <s v="na"/>
    <s v="na"/>
    <s v="na"/>
    <s v="na"/>
    <s v="na"/>
  </r>
  <r>
    <n v="2043"/>
    <x v="56"/>
    <n v="1"/>
    <x v="12"/>
    <x v="0"/>
    <x v="0"/>
    <m/>
    <m/>
    <n v="46"/>
    <m/>
    <s v="M"/>
    <m/>
    <d v="1899-12-30T00:24:00"/>
    <s v="09:39"/>
    <s v="QB"/>
    <m/>
    <s v="20140807 QBerger"/>
    <s v="20140808 HReider"/>
    <s v="x"/>
    <s v="x"/>
    <s v="na"/>
    <s v="FWL"/>
    <s v="na"/>
    <s v="na"/>
    <s v="na"/>
    <s v="na"/>
    <s v="na"/>
    <s v="na"/>
    <s v="na"/>
    <s v="na"/>
  </r>
  <r>
    <n v="2044"/>
    <x v="56"/>
    <n v="1"/>
    <x v="12"/>
    <x v="0"/>
    <x v="0"/>
    <m/>
    <m/>
    <n v="48"/>
    <m/>
    <s v="M"/>
    <m/>
    <d v="1899-12-30T00:23:00"/>
    <s v="09:40"/>
    <s v="QB"/>
    <m/>
    <s v="20140807 QBerger"/>
    <s v="20140808 HReider"/>
    <s v="x"/>
    <s v="x"/>
    <s v="na"/>
    <s v="FWL"/>
    <s v="na"/>
    <s v="na"/>
    <s v="na"/>
    <s v="na"/>
    <s v="na"/>
    <s v="na"/>
    <s v="na"/>
    <s v="na"/>
  </r>
  <r>
    <n v="2045"/>
    <x v="56"/>
    <n v="1"/>
    <x v="10"/>
    <x v="0"/>
    <x v="0"/>
    <m/>
    <m/>
    <n v="59"/>
    <m/>
    <s v="F"/>
    <m/>
    <d v="1899-12-30T00:32:00"/>
    <s v="09:46"/>
    <s v="QB"/>
    <m/>
    <s v="20140807 QBerger"/>
    <s v="20140808 HReider"/>
    <s v="x"/>
    <s v="x"/>
    <s v="na"/>
    <s v="FWL"/>
    <s v="na"/>
    <s v="na"/>
    <s v="na"/>
    <s v="na"/>
    <s v="na"/>
    <s v="na"/>
    <s v="na"/>
    <s v="na"/>
  </r>
  <r>
    <n v="2046"/>
    <x v="56"/>
    <n v="1"/>
    <x v="12"/>
    <x v="0"/>
    <x v="0"/>
    <m/>
    <m/>
    <n v="51"/>
    <m/>
    <s v="M"/>
    <m/>
    <d v="1899-12-30T00:29:00"/>
    <s v="09:47"/>
    <s v="QB"/>
    <m/>
    <s v="20140807 QBerger"/>
    <s v="20140808 HReider"/>
    <s v="x"/>
    <s v="x"/>
    <s v="na"/>
    <s v="FWL"/>
    <s v="na"/>
    <s v="na"/>
    <s v="na"/>
    <s v="na"/>
    <s v="na"/>
    <s v="na"/>
    <s v="na"/>
    <s v="na"/>
  </r>
  <r>
    <n v="2047"/>
    <x v="56"/>
    <n v="1"/>
    <x v="12"/>
    <x v="0"/>
    <x v="0"/>
    <m/>
    <m/>
    <n v="48"/>
    <m/>
    <s v="F"/>
    <m/>
    <d v="1899-12-30T00:22:00"/>
    <s v="09:48"/>
    <s v="QB"/>
    <m/>
    <s v="20140807 QBerger"/>
    <s v="20140808 HReider"/>
    <s v="x"/>
    <s v="x"/>
    <s v="na"/>
    <s v="FWL"/>
    <s v="na"/>
    <s v="na"/>
    <s v="na"/>
    <s v="na"/>
    <s v="na"/>
    <s v="na"/>
    <s v="na"/>
    <s v="na"/>
  </r>
  <r>
    <n v="2048"/>
    <x v="56"/>
    <n v="1"/>
    <x v="12"/>
    <x v="0"/>
    <x v="0"/>
    <m/>
    <m/>
    <n v="47"/>
    <m/>
    <s v="F"/>
    <m/>
    <d v="1899-12-30T00:20:00"/>
    <s v="09:49"/>
    <s v="QB"/>
    <m/>
    <s v="20140807 QBerger"/>
    <s v="20140808 HReider"/>
    <s v="x"/>
    <s v="x"/>
    <s v="na"/>
    <s v="FWL"/>
    <s v="na"/>
    <s v="na"/>
    <s v="na"/>
    <s v="na"/>
    <s v="na"/>
    <s v="na"/>
    <s v="na"/>
    <s v="na"/>
  </r>
  <r>
    <n v="2049"/>
    <x v="56"/>
    <n v="1"/>
    <x v="12"/>
    <x v="0"/>
    <x v="0"/>
    <m/>
    <m/>
    <n v="47"/>
    <m/>
    <s v="F"/>
    <m/>
    <d v="1899-12-30T00:29:00"/>
    <s v="09:51"/>
    <s v="QB"/>
    <m/>
    <s v="20140807 QBerger"/>
    <s v="20140808 HReider"/>
    <s v="x"/>
    <s v="x"/>
    <s v="na"/>
    <s v="FWL"/>
    <s v="na"/>
    <s v="na"/>
    <s v="na"/>
    <s v="na"/>
    <s v="na"/>
    <s v="na"/>
    <s v="na"/>
    <s v="na"/>
  </r>
  <r>
    <n v="2050"/>
    <x v="56"/>
    <n v="1"/>
    <x v="12"/>
    <x v="0"/>
    <x v="0"/>
    <m/>
    <m/>
    <n v="42"/>
    <m/>
    <s v="U"/>
    <m/>
    <d v="1899-12-30T00:24:00"/>
    <s v="09:52"/>
    <s v="QB"/>
    <m/>
    <s v="20140807 QBerger"/>
    <s v="20140808 HReider"/>
    <s v="x"/>
    <s v="x"/>
    <s v="na"/>
    <s v="FWL"/>
    <s v="na"/>
    <s v="na"/>
    <s v="na"/>
    <s v="na"/>
    <s v="na"/>
    <s v="na"/>
    <s v="na"/>
    <s v="na"/>
  </r>
  <r>
    <n v="2051"/>
    <x v="56"/>
    <n v="1"/>
    <x v="13"/>
    <x v="0"/>
    <x v="15"/>
    <n v="26"/>
    <s v="35 CO"/>
    <n v="56"/>
    <m/>
    <s v="U"/>
    <m/>
    <d v="1899-12-30T01:21:00"/>
    <s v="09:58"/>
    <s v="QB"/>
    <s v="F266."/>
    <s v="20140807 QBerger"/>
    <s v="20140808 HReider"/>
    <s v="x"/>
    <n v="151.26599999999999"/>
    <s v="na"/>
    <s v="FWL"/>
    <s v="na"/>
    <s v="na"/>
    <s v="F1840"/>
    <s v="na"/>
    <s v="na"/>
    <s v="na"/>
    <s v="na"/>
    <s v="na"/>
  </r>
  <r>
    <n v="2052"/>
    <x v="56"/>
    <n v="1"/>
    <x v="12"/>
    <x v="0"/>
    <x v="0"/>
    <m/>
    <m/>
    <n v="50"/>
    <m/>
    <s v="M"/>
    <m/>
    <d v="1899-12-30T00:28:00"/>
    <s v="10:00"/>
    <s v="QB"/>
    <m/>
    <s v="20140807 QBerger"/>
    <s v="20140808 HReider"/>
    <s v="x"/>
    <s v="x"/>
    <s v="na"/>
    <s v="FWL"/>
    <s v="na"/>
    <s v="na"/>
    <s v="na"/>
    <s v="na"/>
    <s v="na"/>
    <s v="na"/>
    <s v="na"/>
    <s v="na"/>
  </r>
  <r>
    <n v="2053"/>
    <x v="56"/>
    <n v="1"/>
    <x v="12"/>
    <x v="0"/>
    <x v="0"/>
    <m/>
    <m/>
    <n v="42"/>
    <m/>
    <s v="F"/>
    <m/>
    <d v="1899-12-30T00:22:00"/>
    <s v="10:48"/>
    <s v="QB"/>
    <m/>
    <s v="20140807 QBerger"/>
    <s v="20140808 HReider"/>
    <s v="x"/>
    <s v="x"/>
    <s v="na"/>
    <s v="FWL"/>
    <s v="na"/>
    <s v="na"/>
    <s v="na"/>
    <s v="na"/>
    <s v="na"/>
    <s v="na"/>
    <s v="na"/>
    <s v="na"/>
  </r>
  <r>
    <n v="2054"/>
    <x v="56"/>
    <n v="1"/>
    <x v="12"/>
    <x v="0"/>
    <x v="0"/>
    <m/>
    <m/>
    <n v="48"/>
    <m/>
    <s v="F"/>
    <m/>
    <d v="1899-12-30T00:24:00"/>
    <s v="12:39"/>
    <s v="QB"/>
    <m/>
    <s v="20140807 QBerger"/>
    <s v="20140808 HReider"/>
    <s v="x"/>
    <s v="x"/>
    <s v="na"/>
    <s v="FWL"/>
    <s v="na"/>
    <s v="na"/>
    <s v="na"/>
    <s v="na"/>
    <s v="na"/>
    <s v="na"/>
    <s v="na"/>
    <s v="na"/>
  </r>
  <r>
    <n v="2055"/>
    <x v="56"/>
    <n v="1"/>
    <x v="10"/>
    <x v="0"/>
    <x v="0"/>
    <m/>
    <m/>
    <n v="60"/>
    <m/>
    <s v="M"/>
    <m/>
    <d v="1899-12-30T00:23:00"/>
    <s v="12:40"/>
    <s v="QB"/>
    <m/>
    <s v="20140807 QBerger"/>
    <s v="20140808 HReider"/>
    <s v="x"/>
    <s v="x"/>
    <s v="na"/>
    <s v="FWL"/>
    <s v="na"/>
    <s v="na"/>
    <s v="na"/>
    <s v="na"/>
    <s v="na"/>
    <s v="na"/>
    <s v="na"/>
    <s v="na"/>
  </r>
  <r>
    <n v="2056"/>
    <x v="56"/>
    <n v="1"/>
    <x v="7"/>
    <x v="0"/>
    <x v="6"/>
    <n v="36"/>
    <s v="133 S"/>
    <n v="56"/>
    <m/>
    <s v="M"/>
    <m/>
    <d v="1899-12-30T01:27:00"/>
    <s v="12:49"/>
    <s v="QB"/>
    <m/>
    <s v="20140807 QBerger"/>
    <s v="20140808 HReider"/>
    <s v="x"/>
    <n v="151.57300000000001"/>
    <s v="na"/>
    <s v="FWL"/>
    <s v="na"/>
    <s v="na"/>
    <s v="F1840"/>
    <s v="na"/>
    <s v="na"/>
    <s v="na"/>
    <s v="na"/>
    <s v="na"/>
  </r>
  <r>
    <n v="2057"/>
    <x v="56"/>
    <n v="1"/>
    <x v="10"/>
    <x v="0"/>
    <x v="0"/>
    <m/>
    <m/>
    <n v="62"/>
    <m/>
    <s v="M"/>
    <m/>
    <d v="1899-12-30T00:20:00"/>
    <s v="12:51"/>
    <s v="QB"/>
    <m/>
    <s v="20140807 QBerger"/>
    <s v="20140808 HReider"/>
    <s v="x"/>
    <s v="x"/>
    <s v="na"/>
    <s v="FWL"/>
    <s v="na"/>
    <s v="na"/>
    <s v="na"/>
    <s v="na"/>
    <s v="na"/>
    <s v="na"/>
    <s v="na"/>
    <s v="na"/>
  </r>
  <r>
    <n v="2058"/>
    <x v="56"/>
    <n v="1"/>
    <x v="10"/>
    <x v="0"/>
    <x v="0"/>
    <m/>
    <m/>
    <n v="60"/>
    <m/>
    <s v="M"/>
    <m/>
    <d v="1899-12-30T00:31:00"/>
    <s v="12:56"/>
    <s v="JK"/>
    <m/>
    <s v="20140807 QBerger"/>
    <s v="20140808 HReider"/>
    <s v="x"/>
    <s v="x"/>
    <s v="na"/>
    <s v="FWL"/>
    <s v="na"/>
    <s v="na"/>
    <s v="na"/>
    <s v="na"/>
    <s v="na"/>
    <s v="na"/>
    <s v="na"/>
    <s v="na"/>
  </r>
  <r>
    <n v="2059"/>
    <x v="56"/>
    <n v="1"/>
    <x v="1"/>
    <x v="0"/>
    <x v="0"/>
    <m/>
    <m/>
    <n v="65"/>
    <m/>
    <s v="M"/>
    <d v="1899-12-30T13:29:00"/>
    <d v="1899-12-30T00:33:00"/>
    <s v="13:34"/>
    <s v="JK"/>
    <s v="Spawned out!"/>
    <s v="20140807 QBerger"/>
    <s v="20140808 HReider"/>
    <d v="1899-12-30T00:04:27"/>
    <s v="x"/>
    <s v="na"/>
    <s v="FWL"/>
    <s v="na"/>
    <s v="na"/>
    <s v="na"/>
    <s v="na"/>
    <s v="na"/>
    <s v="na"/>
    <s v="na"/>
    <s v="na"/>
  </r>
  <r>
    <n v="2060"/>
    <x v="56"/>
    <n v="1"/>
    <x v="7"/>
    <x v="0"/>
    <x v="10"/>
    <n v="71"/>
    <s v="137 S"/>
    <n v="54"/>
    <m/>
    <s v="F"/>
    <m/>
    <d v="1899-12-30T01:58:00"/>
    <s v="14:58"/>
    <s v="CSj"/>
    <s v="Net marks"/>
    <s v="20140807 CSejkora"/>
    <s v="20140808 HReider"/>
    <s v="x"/>
    <n v="151.58600000000001"/>
    <s v="na"/>
    <s v="FWL"/>
    <s v="na"/>
    <s v="na"/>
    <s v="F1840"/>
    <s v="na"/>
    <s v="na"/>
    <s v="na"/>
    <s v="na"/>
    <s v="na"/>
  </r>
  <r>
    <n v="2061"/>
    <x v="56"/>
    <n v="1"/>
    <x v="10"/>
    <x v="0"/>
    <x v="0"/>
    <m/>
    <m/>
    <n v="56"/>
    <m/>
    <s v="M"/>
    <m/>
    <d v="1899-12-30T00:22:00"/>
    <s v="15:04"/>
    <s v="BK"/>
    <m/>
    <s v="20140807 CSejkora"/>
    <s v="20140808 HReider"/>
    <s v="x"/>
    <s v="x"/>
    <s v="na"/>
    <s v="FWL"/>
    <s v="na"/>
    <s v="na"/>
    <s v="na"/>
    <s v="na"/>
    <s v="na"/>
    <s v="na"/>
    <s v="na"/>
    <s v="na"/>
  </r>
  <r>
    <n v="2062"/>
    <x v="56"/>
    <n v="1"/>
    <x v="10"/>
    <x v="0"/>
    <x v="0"/>
    <m/>
    <m/>
    <n v="59"/>
    <m/>
    <s v="F"/>
    <m/>
    <d v="1899-12-30T00:23:00"/>
    <s v="15:05"/>
    <s v="BK"/>
    <m/>
    <s v="20140807 CSejkora"/>
    <s v="20140808 HReider"/>
    <s v="x"/>
    <s v="x"/>
    <s v="na"/>
    <s v="FWL"/>
    <s v="na"/>
    <s v="na"/>
    <s v="na"/>
    <s v="na"/>
    <s v="na"/>
    <s v="na"/>
    <s v="na"/>
    <s v="na"/>
  </r>
  <r>
    <n v="2063"/>
    <x v="56"/>
    <n v="1"/>
    <x v="10"/>
    <x v="0"/>
    <x v="0"/>
    <m/>
    <m/>
    <n v="56"/>
    <m/>
    <s v="M"/>
    <m/>
    <d v="1899-12-30T00:46:00"/>
    <s v="17:12"/>
    <s v="CSj"/>
    <m/>
    <s v="20140807 CSejkora"/>
    <s v="20140808 HReider"/>
    <s v="x"/>
    <s v="x"/>
    <s v="na"/>
    <s v="FWL"/>
    <s v="na"/>
    <s v="na"/>
    <s v="na"/>
    <s v="na"/>
    <s v="na"/>
    <s v="na"/>
    <s v="na"/>
    <s v="na"/>
  </r>
  <r>
    <n v="2064"/>
    <x v="56"/>
    <n v="1"/>
    <x v="13"/>
    <x v="0"/>
    <x v="14"/>
    <n v="65"/>
    <s v="36 CO"/>
    <n v="52"/>
    <m/>
    <s v="M"/>
    <m/>
    <d v="1899-12-30T01:20:00"/>
    <s v="17:18"/>
    <s v="BK"/>
    <m/>
    <s v="20140807 CSejkora"/>
    <s v="20140808 HReider"/>
    <s v="x"/>
    <n v="151.32499999999999"/>
    <s v="na"/>
    <s v="FWL"/>
    <s v="na"/>
    <s v="na"/>
    <s v="F1840"/>
    <s v="na"/>
    <s v="na"/>
    <s v="na"/>
    <s v="na"/>
    <s v="na"/>
  </r>
  <r>
    <n v="2065"/>
    <x v="56"/>
    <n v="1"/>
    <x v="10"/>
    <x v="0"/>
    <x v="0"/>
    <m/>
    <m/>
    <n v="54"/>
    <m/>
    <s v="M"/>
    <m/>
    <d v="1899-12-30T00:25:00"/>
    <s v="17:25"/>
    <s v="CSj"/>
    <m/>
    <s v="20140807 CSejkora"/>
    <s v="20140808 HReider"/>
    <s v="x"/>
    <s v="x"/>
    <s v="na"/>
    <s v="FWL"/>
    <s v="na"/>
    <s v="na"/>
    <s v="na"/>
    <s v="na"/>
    <s v="na"/>
    <s v="na"/>
    <s v="na"/>
    <s v="na"/>
  </r>
  <r>
    <n v="2066"/>
    <x v="56"/>
    <n v="1"/>
    <x v="10"/>
    <x v="0"/>
    <x v="0"/>
    <m/>
    <m/>
    <n v="54"/>
    <m/>
    <s v="M"/>
    <m/>
    <d v="1899-12-30T00:23:00"/>
    <s v="17:28"/>
    <s v="CSj"/>
    <m/>
    <s v="20140807 CSejkora"/>
    <s v="20140808 HReider"/>
    <s v="x"/>
    <s v="x"/>
    <s v="na"/>
    <s v="FWL"/>
    <s v="na"/>
    <s v="na"/>
    <s v="na"/>
    <s v="na"/>
    <s v="na"/>
    <s v="na"/>
    <s v="na"/>
    <s v="na"/>
  </r>
  <r>
    <n v="2067"/>
    <x v="56"/>
    <n v="1"/>
    <x v="10"/>
    <x v="0"/>
    <x v="0"/>
    <m/>
    <m/>
    <n v="57"/>
    <m/>
    <s v="M"/>
    <m/>
    <d v="1899-12-30T00:25:00"/>
    <s v="17:31"/>
    <s v="CSj"/>
    <m/>
    <s v="20140807 CSejkora"/>
    <s v="20140808 HReider"/>
    <s v="x"/>
    <s v="x"/>
    <s v="na"/>
    <s v="FWL"/>
    <s v="na"/>
    <s v="na"/>
    <s v="na"/>
    <s v="na"/>
    <s v="na"/>
    <s v="na"/>
    <s v="na"/>
    <s v="na"/>
  </r>
  <r>
    <n v="2068"/>
    <x v="56"/>
    <n v="1"/>
    <x v="1"/>
    <x v="0"/>
    <x v="0"/>
    <m/>
    <m/>
    <n v="64"/>
    <m/>
    <s v="M"/>
    <m/>
    <d v="1899-12-30T00:20:00"/>
    <s v="17:33"/>
    <s v="CSj"/>
    <s v="Spawned out"/>
    <s v="20140807 CSejkora"/>
    <s v="20140808 HReider"/>
    <s v="x"/>
    <s v="x"/>
    <s v="na"/>
    <s v="FWL"/>
    <s v="na"/>
    <s v="na"/>
    <s v="na"/>
    <s v="na"/>
    <s v="na"/>
    <s v="na"/>
    <s v="na"/>
    <s v="na"/>
  </r>
  <r>
    <n v="2069"/>
    <x v="56"/>
    <n v="1"/>
    <x v="13"/>
    <x v="0"/>
    <x v="14"/>
    <n v="77"/>
    <s v="37 CO"/>
    <n v="57"/>
    <m/>
    <s v="F"/>
    <m/>
    <d v="1899-12-30T01:07:00"/>
    <s v="17:40"/>
    <s v="BK"/>
    <m/>
    <s v="20140807 CSejkora"/>
    <s v="20140808 HReider"/>
    <s v="x"/>
    <n v="151.32499999999999"/>
    <s v="na"/>
    <s v="FWL"/>
    <s v="na"/>
    <s v="na"/>
    <s v="F1840"/>
    <s v="na"/>
    <s v="na"/>
    <s v="na"/>
    <s v="na"/>
    <s v="na"/>
  </r>
  <r>
    <n v="2070"/>
    <x v="56"/>
    <n v="1"/>
    <x v="7"/>
    <x v="0"/>
    <x v="10"/>
    <n v="84"/>
    <s v="141 S"/>
    <n v="52"/>
    <m/>
    <s v="F"/>
    <m/>
    <d v="1899-12-30T01:30:00"/>
    <s v="17:55"/>
    <s v="BK"/>
    <m/>
    <s v="20140807 CSejkora"/>
    <s v="20140808 HReider"/>
    <s v="x"/>
    <n v="151.58600000000001"/>
    <s v="na"/>
    <s v="FWL"/>
    <s v="na"/>
    <s v="na"/>
    <s v="F1840"/>
    <s v="na"/>
    <s v="na"/>
    <s v="na"/>
    <s v="na"/>
    <s v="na"/>
  </r>
  <r>
    <n v="2071"/>
    <x v="56"/>
    <n v="1"/>
    <x v="13"/>
    <x v="0"/>
    <x v="14"/>
    <n v="26"/>
    <s v="38 CO"/>
    <n v="52"/>
    <m/>
    <s v="U"/>
    <m/>
    <d v="1899-12-30T01:42:00"/>
    <s v="17:59"/>
    <s v="BK"/>
    <m/>
    <s v="20140807 CSejkora"/>
    <s v="20140808 HReider"/>
    <s v="x"/>
    <n v="151.32499999999999"/>
    <s v="na"/>
    <s v="FWL"/>
    <s v="na"/>
    <s v="na"/>
    <s v="F1840"/>
    <s v="na"/>
    <s v="na"/>
    <s v="na"/>
    <s v="na"/>
    <s v="na"/>
  </r>
  <r>
    <n v="2072"/>
    <x v="56"/>
    <n v="1"/>
    <x v="10"/>
    <x v="0"/>
    <x v="0"/>
    <m/>
    <m/>
    <n v="58"/>
    <m/>
    <s v="F"/>
    <m/>
    <d v="1899-12-30T00:28:00"/>
    <s v="17:56"/>
    <s v="CSj"/>
    <m/>
    <s v="20140807 CSejkora"/>
    <s v="20140808 HReider"/>
    <s v="x"/>
    <s v="x"/>
    <s v="na"/>
    <s v="FWL"/>
    <s v="na"/>
    <s v="na"/>
    <s v="na"/>
    <s v="na"/>
    <s v="na"/>
    <s v="na"/>
    <s v="na"/>
    <s v="na"/>
  </r>
  <r>
    <n v="2073"/>
    <x v="56"/>
    <n v="1"/>
    <x v="12"/>
    <x v="0"/>
    <x v="12"/>
    <n v="12"/>
    <s v="151 P"/>
    <n v="43"/>
    <m/>
    <s v="M"/>
    <m/>
    <d v="1899-12-30T00:43:00"/>
    <s v="19:24"/>
    <s v="CSj"/>
    <m/>
    <s v="20140807 CSejkora"/>
    <s v="20140808 HReider"/>
    <s v="x"/>
    <n v="151.596"/>
    <s v="na"/>
    <s v="FWL"/>
    <s v="na"/>
    <s v="na"/>
    <s v="F1835"/>
    <s v="na"/>
    <s v="na"/>
    <s v="na"/>
    <s v="na"/>
    <s v="na"/>
  </r>
  <r>
    <n v="2074"/>
    <x v="56"/>
    <n v="1"/>
    <x v="12"/>
    <x v="0"/>
    <x v="13"/>
    <n v="25"/>
    <s v="152 P"/>
    <n v="47"/>
    <m/>
    <s v="M"/>
    <m/>
    <d v="1899-12-30T00:42:00"/>
    <s v="19:26"/>
    <s v="CSj"/>
    <m/>
    <s v="20140807 CSejkora"/>
    <s v="20140808 HReider"/>
    <s v="x"/>
    <n v="151.51499999999999"/>
    <s v="na"/>
    <s v="FWL"/>
    <s v="na"/>
    <s v="na"/>
    <s v="F1835"/>
    <s v="na"/>
    <s v="na"/>
    <s v="na"/>
    <s v="na"/>
    <s v="na"/>
  </r>
  <r>
    <n v="2075"/>
    <x v="56"/>
    <n v="2"/>
    <x v="10"/>
    <x v="0"/>
    <x v="11"/>
    <n v="6"/>
    <s v="115 CM"/>
    <n v="56"/>
    <m/>
    <s v="M"/>
    <m/>
    <d v="1899-12-30T02:04:00"/>
    <s v="10:22"/>
    <s v="JK"/>
    <s v="took and held RT on 3rd attempt"/>
    <s v="20140807 JKunzler"/>
    <s v="20140808 HReider"/>
    <s v="x"/>
    <n v="151.53399999999999"/>
    <s v="na"/>
    <s v="FWL"/>
    <s v="na"/>
    <s v="na"/>
    <s v="F1840"/>
    <s v="na"/>
    <s v="na"/>
    <s v="na"/>
    <s v="na"/>
    <s v="na"/>
  </r>
  <r>
    <n v="2076"/>
    <x v="56"/>
    <n v="2"/>
    <x v="7"/>
    <x v="0"/>
    <x v="6"/>
    <n v="92"/>
    <s v="131 S"/>
    <n v="45"/>
    <m/>
    <s v="U"/>
    <m/>
    <d v="1899-12-30T01:39:00"/>
    <s v="10:27"/>
    <s v="JK"/>
    <m/>
    <s v="20140807 JKunzler"/>
    <s v="20140808 HReider"/>
    <s v="x"/>
    <n v="151.57300000000001"/>
    <s v="na"/>
    <s v="FWL"/>
    <s v="na"/>
    <s v="na"/>
    <s v="F1840"/>
    <s v="na"/>
    <s v="na"/>
    <s v="na"/>
    <s v="na"/>
    <s v="na"/>
  </r>
  <r>
    <n v="2077"/>
    <x v="56"/>
    <n v="2"/>
    <x v="7"/>
    <x v="0"/>
    <x v="10"/>
    <n v="98"/>
    <s v="132 S"/>
    <n v="44"/>
    <m/>
    <s v="U"/>
    <d v="1899-12-30T10:12:00"/>
    <d v="1899-12-30T01:42:00"/>
    <s v="10:32"/>
    <s v="JK"/>
    <m/>
    <s v="20140807 JKunzler"/>
    <s v="20140808 HReider"/>
    <d v="1899-12-30T00:18:18"/>
    <n v="151.58600000000001"/>
    <s v="na"/>
    <s v="FWL"/>
    <s v="na"/>
    <s v="na"/>
    <s v="F1840"/>
    <s v="na"/>
    <s v="na"/>
    <s v="na"/>
    <s v="na"/>
    <s v="na"/>
  </r>
  <r>
    <n v="2078"/>
    <x v="56"/>
    <n v="2"/>
    <x v="10"/>
    <x v="0"/>
    <x v="7"/>
    <n v="3"/>
    <s v="116 CM"/>
    <n v="59"/>
    <m/>
    <s v="M"/>
    <m/>
    <d v="1899-12-30T01:21:00"/>
    <s v="10:36"/>
    <s v="JK"/>
    <m/>
    <s v="20140807 JKunzler"/>
    <s v="20140808 HReider"/>
    <s v="x"/>
    <n v="151.56399999999999"/>
    <s v="na"/>
    <s v="FWL"/>
    <s v="na"/>
    <s v="na"/>
    <s v="F1840"/>
    <s v="na"/>
    <s v="na"/>
    <s v="na"/>
    <s v="na"/>
    <s v="na"/>
  </r>
  <r>
    <n v="2079"/>
    <x v="56"/>
    <n v="2"/>
    <x v="10"/>
    <x v="0"/>
    <x v="7"/>
    <n v="67"/>
    <s v="117 CM"/>
    <n v="60"/>
    <m/>
    <s v="M"/>
    <m/>
    <d v="1899-12-30T01:03:00"/>
    <s v="13:55"/>
    <s v="QB"/>
    <m/>
    <s v="20140807 JKunzler"/>
    <s v="20140808 HReider"/>
    <s v="x"/>
    <n v="151.56399999999999"/>
    <s v="na"/>
    <s v="FWL"/>
    <s v="na"/>
    <s v="na"/>
    <s v="F1840"/>
    <s v="na"/>
    <s v="na"/>
    <s v="na"/>
    <s v="na"/>
    <s v="na"/>
  </r>
  <r>
    <n v="2080"/>
    <x v="56"/>
    <n v="2"/>
    <x v="10"/>
    <x v="0"/>
    <x v="7"/>
    <n v="90"/>
    <s v="118 CM"/>
    <n v="62"/>
    <m/>
    <s v="M"/>
    <m/>
    <d v="1899-12-30T01:09:00"/>
    <s v="13:57"/>
    <s v="QB"/>
    <s v="Feisty"/>
    <s v="20140807 JKunzler"/>
    <s v="20140808 HReider"/>
    <s v="x"/>
    <n v="151.56399999999999"/>
    <s v="na"/>
    <s v="FWL"/>
    <s v="na"/>
    <s v="na"/>
    <s v="F1840"/>
    <s v="na"/>
    <s v="na"/>
    <s v="na"/>
    <s v="na"/>
    <s v="na"/>
  </r>
  <r>
    <n v="2081"/>
    <x v="56"/>
    <n v="2"/>
    <x v="7"/>
    <x v="0"/>
    <x v="10"/>
    <n v="76"/>
    <s v="134 S"/>
    <n v="52"/>
    <m/>
    <s v="M"/>
    <m/>
    <d v="1899-12-30T01:18:00"/>
    <s v="14:00"/>
    <s v="QB"/>
    <s v="bright red body, green head"/>
    <s v="20140807 JKunzler"/>
    <s v="20140808 HReider"/>
    <s v="x"/>
    <n v="151.58600000000001"/>
    <s v="na"/>
    <s v="FWL"/>
    <s v="na"/>
    <s v="na"/>
    <s v="F1840"/>
    <s v="na"/>
    <s v="na"/>
    <s v="na"/>
    <s v="na"/>
    <s v="na"/>
  </r>
  <r>
    <n v="2082"/>
    <x v="56"/>
    <n v="2"/>
    <x v="10"/>
    <x v="0"/>
    <x v="0"/>
    <m/>
    <m/>
    <n v="59"/>
    <m/>
    <s v="F"/>
    <m/>
    <d v="1899-12-30T00:46:00"/>
    <s v="14:04"/>
    <s v="QB"/>
    <s v="bright colors, fiesty"/>
    <s v="20140807 JKunzler"/>
    <s v="20140808 HReider"/>
    <s v="x"/>
    <s v="x"/>
    <s v="na"/>
    <s v="FWL"/>
    <s v="na"/>
    <s v="na"/>
    <s v="na"/>
    <s v="na"/>
    <s v="na"/>
    <s v="na"/>
    <s v="na"/>
    <s v="na"/>
  </r>
  <r>
    <n v="2083"/>
    <x v="56"/>
    <n v="2"/>
    <x v="10"/>
    <x v="0"/>
    <x v="0"/>
    <m/>
    <m/>
    <n v="57"/>
    <m/>
    <s v="U"/>
    <m/>
    <d v="1899-12-30T00:24:00"/>
    <s v="14:07"/>
    <s v="QB"/>
    <m/>
    <s v="20140807 JKunzler"/>
    <s v="20140808 HReider"/>
    <s v="x"/>
    <s v="x"/>
    <s v="na"/>
    <s v="FWL"/>
    <s v="na"/>
    <s v="na"/>
    <s v="na"/>
    <s v="na"/>
    <s v="na"/>
    <s v="na"/>
    <s v="na"/>
    <s v="na"/>
  </r>
  <r>
    <n v="2084"/>
    <x v="56"/>
    <n v="2"/>
    <x v="7"/>
    <x v="0"/>
    <x v="10"/>
    <n v="43"/>
    <s v="135 S"/>
    <n v="50"/>
    <m/>
    <s v="U"/>
    <m/>
    <d v="1899-12-30T01:15:00"/>
    <s v="14:09"/>
    <s v="QB"/>
    <m/>
    <s v="20140807 JKunzler"/>
    <s v="20140808 HReider"/>
    <s v="x"/>
    <n v="151.58600000000001"/>
    <s v="na"/>
    <s v="FWL"/>
    <s v="na"/>
    <s v="na"/>
    <s v="F1840"/>
    <s v="na"/>
    <s v="na"/>
    <s v="na"/>
    <s v="na"/>
    <s v="na"/>
  </r>
  <r>
    <n v="2085"/>
    <x v="56"/>
    <n v="2"/>
    <x v="10"/>
    <x v="0"/>
    <x v="0"/>
    <m/>
    <m/>
    <n v="57"/>
    <m/>
    <s v="F"/>
    <m/>
    <d v="1899-12-30T00:30:00"/>
    <s v="14:11"/>
    <s v="QB"/>
    <s v="Fresh wounds on belly"/>
    <s v="20140807 JKunzler"/>
    <s v="20140808 HReider"/>
    <s v="x"/>
    <s v="x"/>
    <s v="na"/>
    <s v="FWL"/>
    <s v="na"/>
    <s v="na"/>
    <s v="na"/>
    <s v="na"/>
    <s v="na"/>
    <s v="na"/>
    <s v="na"/>
    <s v="na"/>
  </r>
  <r>
    <n v="2086"/>
    <x v="56"/>
    <n v="2"/>
    <x v="12"/>
    <x v="0"/>
    <x v="0"/>
    <m/>
    <m/>
    <n v="39"/>
    <m/>
    <s v="F"/>
    <m/>
    <d v="1899-12-30T00:38:00"/>
    <s v="14:12"/>
    <s v="QB"/>
    <s v="too small to tag"/>
    <s v="20140807 JKunzler"/>
    <s v="20140808 HReider"/>
    <s v="x"/>
    <s v="x"/>
    <s v="na"/>
    <s v="FWL"/>
    <s v="na"/>
    <s v="na"/>
    <s v="na"/>
    <s v="na"/>
    <s v="na"/>
    <s v="na"/>
    <s v="na"/>
    <s v="na"/>
  </r>
  <r>
    <n v="2087"/>
    <x v="56"/>
    <n v="2"/>
    <x v="10"/>
    <x v="0"/>
    <x v="0"/>
    <m/>
    <m/>
    <n v="54"/>
    <m/>
    <s v="F"/>
    <m/>
    <d v="1899-12-30T00:27:00"/>
    <s v="14:13"/>
    <s v="QB"/>
    <m/>
    <s v="20140807 JKunzler"/>
    <s v="20140808 HReider"/>
    <s v="x"/>
    <s v="x"/>
    <s v="na"/>
    <s v="FWL"/>
    <s v="na"/>
    <s v="na"/>
    <s v="na"/>
    <s v="na"/>
    <s v="na"/>
    <s v="na"/>
    <s v="na"/>
    <s v="na"/>
  </r>
  <r>
    <n v="2088"/>
    <x v="56"/>
    <n v="2"/>
    <x v="10"/>
    <x v="0"/>
    <x v="0"/>
    <m/>
    <m/>
    <n v="63"/>
    <m/>
    <s v="F"/>
    <m/>
    <d v="1899-12-30T00:32:00"/>
    <s v="14:14"/>
    <s v="QB"/>
    <m/>
    <s v="20140807 JKunzler"/>
    <s v="20140808 HReider"/>
    <s v="x"/>
    <s v="x"/>
    <s v="na"/>
    <s v="FWL"/>
    <s v="na"/>
    <s v="na"/>
    <s v="na"/>
    <s v="na"/>
    <s v="na"/>
    <s v="na"/>
    <s v="na"/>
    <s v="na"/>
  </r>
  <r>
    <n v="2089"/>
    <x v="56"/>
    <n v="2"/>
    <x v="10"/>
    <x v="0"/>
    <x v="0"/>
    <m/>
    <m/>
    <n v="59"/>
    <m/>
    <s v="F"/>
    <m/>
    <d v="1899-12-30T00:24:00"/>
    <s v="14:16"/>
    <s v="QB"/>
    <m/>
    <s v="20140807 JKunzler"/>
    <s v="20140808 HReider"/>
    <s v="x"/>
    <s v="x"/>
    <s v="na"/>
    <s v="FWL"/>
    <s v="na"/>
    <s v="na"/>
    <s v="na"/>
    <s v="na"/>
    <s v="na"/>
    <s v="na"/>
    <s v="na"/>
    <s v="na"/>
  </r>
  <r>
    <n v="2090"/>
    <x v="56"/>
    <n v="2"/>
    <x v="10"/>
    <x v="0"/>
    <x v="0"/>
    <m/>
    <m/>
    <n v="60"/>
    <m/>
    <s v="M"/>
    <m/>
    <d v="1899-12-30T00:32:00"/>
    <s v="14:17"/>
    <s v="QB"/>
    <m/>
    <s v="20140807 JKunzler"/>
    <s v="20140808 HReider"/>
    <s v="x"/>
    <s v="x"/>
    <s v="na"/>
    <s v="FWL"/>
    <s v="na"/>
    <s v="na"/>
    <s v="na"/>
    <s v="na"/>
    <s v="na"/>
    <s v="na"/>
    <s v="na"/>
    <s v="na"/>
  </r>
  <r>
    <n v="2091"/>
    <x v="56"/>
    <n v="2"/>
    <x v="7"/>
    <x v="0"/>
    <x v="6"/>
    <n v="59"/>
    <s v="136 S"/>
    <n v="51"/>
    <m/>
    <s v="U"/>
    <m/>
    <d v="1899-12-30T01:46:00"/>
    <s v="14:22"/>
    <s v="QB"/>
    <s v="tagged no. 18 before no. 17"/>
    <s v="20140807 JKunzler"/>
    <s v="20140808 HReider"/>
    <s v="x"/>
    <n v="151.57300000000001"/>
    <s v="na"/>
    <s v="FWL"/>
    <s v="na"/>
    <s v="na"/>
    <s v="F1840"/>
    <s v="na"/>
    <s v="na"/>
    <s v="na"/>
    <s v="na"/>
    <s v="na"/>
  </r>
  <r>
    <n v="2092"/>
    <x v="56"/>
    <n v="2"/>
    <x v="10"/>
    <x v="0"/>
    <x v="0"/>
    <m/>
    <m/>
    <n v="62"/>
    <m/>
    <s v="M"/>
    <m/>
    <d v="1899-12-30T00:32:00"/>
    <s v="14:20 "/>
    <s v="QB"/>
    <m/>
    <s v="20140807 JKunzler"/>
    <s v="20140808 HReider"/>
    <s v="x"/>
    <s v="x"/>
    <s v="na"/>
    <s v="FWL"/>
    <s v="na"/>
    <s v="na"/>
    <s v="na"/>
    <s v="na"/>
    <s v="na"/>
    <s v="na"/>
    <s v="na"/>
    <s v="na"/>
  </r>
  <r>
    <n v="2093"/>
    <x v="56"/>
    <n v="2"/>
    <x v="10"/>
    <x v="0"/>
    <x v="0"/>
    <m/>
    <m/>
    <n v="62"/>
    <m/>
    <s v="F"/>
    <m/>
    <d v="1899-12-30T00:31:00"/>
    <s v="14:25"/>
    <s v="QB"/>
    <m/>
    <s v="20140807 JKunzler"/>
    <s v="20140808 HReider"/>
    <s v="x"/>
    <s v="x"/>
    <s v="na"/>
    <s v="FWL"/>
    <s v="na"/>
    <s v="na"/>
    <s v="na"/>
    <s v="na"/>
    <s v="na"/>
    <s v="na"/>
    <s v="na"/>
    <s v="na"/>
  </r>
  <r>
    <n v="2094"/>
    <x v="56"/>
    <n v="2"/>
    <x v="7"/>
    <x v="0"/>
    <x v="10"/>
    <n v="80"/>
    <s v="138 S"/>
    <n v="44"/>
    <m/>
    <s v="U"/>
    <m/>
    <d v="1899-12-30T01:01:00"/>
    <s v="15:26"/>
    <s v="BK"/>
    <m/>
    <s v="20140807 BKalb"/>
    <s v="20140808 HReider"/>
    <s v="x"/>
    <n v="151.58600000000001"/>
    <s v="na"/>
    <s v="FWL"/>
    <s v="na"/>
    <s v="na"/>
    <s v="F1840"/>
    <s v="na"/>
    <s v="na"/>
    <s v="na"/>
    <s v="na"/>
    <s v="na"/>
  </r>
  <r>
    <n v="2095"/>
    <x v="56"/>
    <n v="2"/>
    <x v="10"/>
    <x v="0"/>
    <x v="0"/>
    <m/>
    <m/>
    <n v="61"/>
    <m/>
    <s v="M"/>
    <m/>
    <d v="1899-12-30T00:24:00"/>
    <s v="15:29"/>
    <s v="CSj"/>
    <m/>
    <s v="20140807 BKalb"/>
    <s v="20140808 HReider"/>
    <s v="x"/>
    <s v="x"/>
    <s v="na"/>
    <s v="FWL"/>
    <s v="na"/>
    <s v="na"/>
    <s v="na"/>
    <s v="na"/>
    <s v="na"/>
    <s v="na"/>
    <s v="na"/>
    <s v="na"/>
  </r>
  <r>
    <n v="2096"/>
    <x v="56"/>
    <n v="2"/>
    <x v="10"/>
    <x v="0"/>
    <x v="0"/>
    <m/>
    <m/>
    <n v="60"/>
    <m/>
    <s v="F"/>
    <m/>
    <d v="1899-12-30T00:27:00"/>
    <s v="15:30"/>
    <s v="CSj"/>
    <m/>
    <s v="20140807 BKalb"/>
    <s v="20140808 HReider"/>
    <s v="x"/>
    <s v="x"/>
    <s v="na"/>
    <s v="FWL"/>
    <s v="na"/>
    <s v="na"/>
    <s v="na"/>
    <s v="na"/>
    <s v="na"/>
    <s v="na"/>
    <s v="na"/>
    <s v="na"/>
  </r>
  <r>
    <n v="2097"/>
    <x v="56"/>
    <n v="2"/>
    <x v="12"/>
    <x v="0"/>
    <x v="12"/>
    <n v="58"/>
    <s v="143 P"/>
    <n v="46"/>
    <m/>
    <s v="M"/>
    <m/>
    <d v="1899-12-30T00:57:00"/>
    <s v="15:32"/>
    <s v="BK"/>
    <m/>
    <s v="20140807 BKalb"/>
    <s v="20140808 HReider"/>
    <s v="x"/>
    <n v="151.596"/>
    <s v="na"/>
    <s v="FWL"/>
    <s v="na"/>
    <s v="na"/>
    <s v="F1835"/>
    <s v="na"/>
    <s v="na"/>
    <s v="na"/>
    <s v="na"/>
    <s v="na"/>
  </r>
  <r>
    <n v="2098"/>
    <x v="56"/>
    <n v="2"/>
    <x v="7"/>
    <x v="0"/>
    <x v="6"/>
    <n v="3"/>
    <s v="139 S"/>
    <n v="59"/>
    <m/>
    <s v="M"/>
    <m/>
    <d v="1899-12-30T01:20:00"/>
    <s v="16:54"/>
    <s v="BK"/>
    <m/>
    <s v="20140807 BKalb"/>
    <s v="20140808 HReider"/>
    <s v="x"/>
    <n v="151.57300000000001"/>
    <s v="na"/>
    <s v="FWL"/>
    <s v="na"/>
    <s v="na"/>
    <s v="F1840"/>
    <s v="na"/>
    <s v="na"/>
    <s v="na"/>
    <s v="na"/>
    <s v="na"/>
  </r>
  <r>
    <n v="2099"/>
    <x v="56"/>
    <n v="2"/>
    <x v="7"/>
    <x v="0"/>
    <x v="10"/>
    <n v="95"/>
    <s v="140 S"/>
    <n v="52"/>
    <m/>
    <s v="M"/>
    <d v="1899-12-30T16:49:00"/>
    <d v="1899-12-30T01:09:00"/>
    <s v="16:58"/>
    <s v="BK"/>
    <m/>
    <s v="20140807 BKalb"/>
    <s v="20140808 HReider"/>
    <d v="1899-12-30T00:07:51"/>
    <n v="151.58600000000001"/>
    <s v="na"/>
    <s v="FWL"/>
    <s v="na"/>
    <s v="na"/>
    <s v="F1840"/>
    <s v="na"/>
    <s v="na"/>
    <s v="na"/>
    <s v="na"/>
    <s v="na"/>
  </r>
  <r>
    <n v="2100"/>
    <x v="56"/>
    <n v="2"/>
    <x v="12"/>
    <x v="0"/>
    <x v="0"/>
    <m/>
    <m/>
    <n v="51"/>
    <m/>
    <s v="M"/>
    <m/>
    <d v="1899-12-30T00:35:00"/>
    <s v="19:59"/>
    <s v="BK"/>
    <m/>
    <s v="20140807 BKalb"/>
    <s v="20140808 HReider"/>
    <s v="x"/>
    <s v="x"/>
    <s v="na"/>
    <s v="FWL"/>
    <s v="na"/>
    <s v="na"/>
    <s v="na"/>
    <s v="na"/>
    <s v="na"/>
    <s v="na"/>
    <s v="na"/>
    <s v="na"/>
  </r>
  <r>
    <n v="2101"/>
    <x v="56"/>
    <n v="3"/>
    <x v="10"/>
    <x v="0"/>
    <x v="11"/>
    <n v="83"/>
    <s v="112 CM"/>
    <n v="58"/>
    <m/>
    <s v="F"/>
    <m/>
    <d v="1899-12-30T01:20:00"/>
    <s v="09:24"/>
    <s v="CSj"/>
    <m/>
    <s v="20140807 CSejkora"/>
    <s v="20140808 HReider"/>
    <s v="x"/>
    <n v="151.53399999999999"/>
    <s v="na"/>
    <s v="FWL"/>
    <s v="na"/>
    <s v="na"/>
    <s v="F1840"/>
    <s v="na"/>
    <s v="na"/>
    <s v="na"/>
    <s v="na"/>
    <s v="na"/>
  </r>
  <r>
    <n v="2102"/>
    <x v="56"/>
    <n v="3"/>
    <x v="10"/>
    <x v="0"/>
    <x v="7"/>
    <n v="26"/>
    <s v="119 CM"/>
    <n v="61"/>
    <m/>
    <s v="M"/>
    <m/>
    <d v="1899-12-30T01:36:00"/>
    <s v="09:27"/>
    <s v="CSj"/>
    <m/>
    <s v="20140807 CSejkora"/>
    <s v="20140808 HReider"/>
    <s v="x"/>
    <n v="151.56399999999999"/>
    <s v="na"/>
    <s v="FWL"/>
    <s v="na"/>
    <s v="na"/>
    <s v="F1840"/>
    <s v="na"/>
    <s v="na"/>
    <s v="na"/>
    <s v="na"/>
    <s v="na"/>
  </r>
  <r>
    <n v="2103"/>
    <x v="56"/>
    <n v="3"/>
    <x v="10"/>
    <x v="0"/>
    <x v="7"/>
    <n v="45"/>
    <s v="120 CM"/>
    <n v="60"/>
    <m/>
    <s v="F"/>
    <m/>
    <d v="1899-12-30T00:55:00"/>
    <s v="09:34"/>
    <s v="CSj"/>
    <m/>
    <s v="20140807 CSejkora"/>
    <s v="20140808 HReider"/>
    <s v="x"/>
    <n v="151.56399999999999"/>
    <s v="na"/>
    <s v="FWL"/>
    <s v="na"/>
    <s v="na"/>
    <s v="F1840"/>
    <s v="na"/>
    <s v="na"/>
    <s v="na"/>
    <s v="na"/>
    <s v="na"/>
  </r>
  <r>
    <n v="2104"/>
    <x v="56"/>
    <n v="3"/>
    <x v="12"/>
    <x v="0"/>
    <x v="12"/>
    <n v="9"/>
    <s v="145 P"/>
    <n v="49"/>
    <m/>
    <s v="M"/>
    <m/>
    <d v="1899-12-30T00:53:00"/>
    <s v="09:36"/>
    <s v="CSj"/>
    <m/>
    <s v="20140807 CSejkora"/>
    <s v="20140808 HReider"/>
    <s v="x"/>
    <n v="151.596"/>
    <s v="na"/>
    <s v="FWL"/>
    <s v="na"/>
    <s v="na"/>
    <s v="F1835"/>
    <s v="na"/>
    <s v="na"/>
    <s v="na"/>
    <s v="na"/>
    <s v="na"/>
  </r>
  <r>
    <n v="2105"/>
    <x v="56"/>
    <n v="3"/>
    <x v="12"/>
    <x v="0"/>
    <x v="0"/>
    <m/>
    <m/>
    <n v="47"/>
    <m/>
    <s v="F"/>
    <m/>
    <d v="1899-12-30T00:25:00"/>
    <s v="09:40"/>
    <s v="CSj"/>
    <m/>
    <s v="20140807 CSejkora"/>
    <s v="20140808 HReider"/>
    <s v="x"/>
    <s v="x"/>
    <s v="na"/>
    <s v="FWL"/>
    <s v="na"/>
    <s v="na"/>
    <s v="na"/>
    <s v="na"/>
    <s v="na"/>
    <s v="na"/>
    <s v="na"/>
    <s v="na"/>
  </r>
  <r>
    <n v="2106"/>
    <x v="56"/>
    <n v="3"/>
    <x v="12"/>
    <x v="0"/>
    <x v="0"/>
    <m/>
    <m/>
    <n v="46"/>
    <m/>
    <s v="M"/>
    <m/>
    <d v="1899-12-30T00:19:00"/>
    <s v="09:40"/>
    <s v="BK"/>
    <m/>
    <s v="20140807 CSejkora"/>
    <s v="20140808 HReider"/>
    <s v="x"/>
    <s v="x"/>
    <s v="na"/>
    <s v="FWL"/>
    <s v="na"/>
    <s v="na"/>
    <s v="na"/>
    <s v="na"/>
    <s v="na"/>
    <s v="na"/>
    <s v="na"/>
    <s v="na"/>
  </r>
  <r>
    <n v="2107"/>
    <x v="56"/>
    <n v="3"/>
    <x v="13"/>
    <x v="0"/>
    <x v="14"/>
    <n v="97"/>
    <s v="30 CO"/>
    <n v="53"/>
    <m/>
    <s v="M"/>
    <m/>
    <d v="1899-12-30T01:19:00"/>
    <s v="09:43"/>
    <s v="CSj"/>
    <m/>
    <s v="20140807 CSejkora"/>
    <s v="20140808 HReider"/>
    <s v="x"/>
    <n v="151.32499999999999"/>
    <s v="na"/>
    <s v="FWL"/>
    <s v="na"/>
    <s v="na"/>
    <s v="F1840"/>
    <s v="na"/>
    <s v="na"/>
    <s v="na"/>
    <s v="na"/>
    <s v="na"/>
  </r>
  <r>
    <n v="2108"/>
    <x v="56"/>
    <n v="3"/>
    <x v="12"/>
    <x v="0"/>
    <x v="0"/>
    <m/>
    <m/>
    <n v="50"/>
    <m/>
    <s v="M"/>
    <m/>
    <d v="1899-12-30T00:26:00"/>
    <s v="09:44"/>
    <s v="BK"/>
    <m/>
    <s v="20140807 CSejkora"/>
    <s v="20140808 HReider"/>
    <s v="x"/>
    <s v="x"/>
    <s v="na"/>
    <s v="FWL"/>
    <s v="na"/>
    <s v="na"/>
    <s v="na"/>
    <s v="na"/>
    <s v="na"/>
    <s v="na"/>
    <s v="na"/>
    <s v="na"/>
  </r>
  <r>
    <n v="2109"/>
    <x v="56"/>
    <n v="3"/>
    <x v="10"/>
    <x v="0"/>
    <x v="0"/>
    <m/>
    <m/>
    <n v="60"/>
    <m/>
    <s v="M"/>
    <m/>
    <d v="1899-12-30T00:30:00"/>
    <s v="09:45"/>
    <s v="BK"/>
    <m/>
    <s v="20140807 CSejkora"/>
    <s v="20140808 HReider"/>
    <s v="x"/>
    <s v="x"/>
    <s v="na"/>
    <s v="FWL"/>
    <s v="na"/>
    <s v="na"/>
    <s v="na"/>
    <s v="na"/>
    <s v="na"/>
    <s v="na"/>
    <s v="na"/>
    <s v="na"/>
  </r>
  <r>
    <n v="2110"/>
    <x v="56"/>
    <n v="3"/>
    <x v="12"/>
    <x v="0"/>
    <x v="0"/>
    <m/>
    <m/>
    <n v="46"/>
    <m/>
    <s v="M"/>
    <m/>
    <d v="1899-12-30T00:22:00"/>
    <s v="09:46"/>
    <s v="BK"/>
    <m/>
    <s v="20140807 CSejkora"/>
    <s v="20140808 HReider"/>
    <s v="x"/>
    <s v="x"/>
    <s v="na"/>
    <s v="FWL"/>
    <s v="na"/>
    <s v="na"/>
    <s v="na"/>
    <s v="na"/>
    <s v="na"/>
    <s v="na"/>
    <s v="na"/>
    <s v="na"/>
  </r>
  <r>
    <n v="2111"/>
    <x v="56"/>
    <n v="3"/>
    <x v="12"/>
    <x v="0"/>
    <x v="0"/>
    <m/>
    <m/>
    <n v="45"/>
    <m/>
    <s v="F"/>
    <m/>
    <d v="1899-12-30T00:27:00"/>
    <s v="09:47"/>
    <s v="BK"/>
    <m/>
    <s v="20140807 CSejkora"/>
    <s v="20140808 HReider"/>
    <s v="x"/>
    <s v="x"/>
    <s v="na"/>
    <s v="FWL"/>
    <s v="na"/>
    <s v="na"/>
    <s v="na"/>
    <s v="na"/>
    <s v="na"/>
    <s v="na"/>
    <s v="na"/>
    <s v="na"/>
  </r>
  <r>
    <n v="2112"/>
    <x v="56"/>
    <n v="3"/>
    <x v="12"/>
    <x v="0"/>
    <x v="0"/>
    <m/>
    <m/>
    <n v="44"/>
    <m/>
    <s v="M"/>
    <m/>
    <d v="1899-12-30T00:18:00"/>
    <s v="09:51"/>
    <s v="BK"/>
    <m/>
    <s v="20140807 CSejkora"/>
    <s v="20140808 HReider"/>
    <s v="x"/>
    <s v="x"/>
    <s v="na"/>
    <s v="FWL"/>
    <s v="na"/>
    <s v="na"/>
    <s v="na"/>
    <s v="na"/>
    <s v="na"/>
    <s v="na"/>
    <s v="na"/>
    <s v="na"/>
  </r>
  <r>
    <n v="2113"/>
    <x v="56"/>
    <n v="3"/>
    <x v="12"/>
    <x v="0"/>
    <x v="0"/>
    <m/>
    <m/>
    <n v="49"/>
    <m/>
    <s v="M"/>
    <m/>
    <d v="1899-12-30T00:19:00"/>
    <s v="09:52"/>
    <s v="BK"/>
    <m/>
    <s v="20140807 CSejkora"/>
    <s v="20140808 HReider"/>
    <s v="x"/>
    <s v="x"/>
    <s v="na"/>
    <s v="FWL"/>
    <s v="na"/>
    <s v="na"/>
    <s v="na"/>
    <s v="na"/>
    <s v="na"/>
    <s v="na"/>
    <s v="na"/>
    <s v="na"/>
  </r>
  <r>
    <n v="2114"/>
    <x v="56"/>
    <n v="3"/>
    <x v="12"/>
    <x v="0"/>
    <x v="0"/>
    <m/>
    <m/>
    <n v="41"/>
    <m/>
    <s v="M"/>
    <m/>
    <d v="1899-12-30T00:15:00"/>
    <s v="09:53"/>
    <s v="BK"/>
    <m/>
    <s v="20140807 CSejkora"/>
    <s v="20140808 HReider"/>
    <s v="x"/>
    <s v="x"/>
    <s v="na"/>
    <s v="FWL"/>
    <s v="na"/>
    <s v="na"/>
    <s v="na"/>
    <s v="na"/>
    <s v="na"/>
    <s v="na"/>
    <s v="na"/>
    <s v="na"/>
  </r>
  <r>
    <n v="2115"/>
    <x v="56"/>
    <n v="3"/>
    <x v="10"/>
    <x v="0"/>
    <x v="0"/>
    <m/>
    <m/>
    <n v="62"/>
    <m/>
    <s v="F"/>
    <m/>
    <d v="1899-12-30T00:24:00"/>
    <s v="09:54"/>
    <s v="BK"/>
    <m/>
    <s v="20140807 CSejkora"/>
    <s v="20140808 HReider"/>
    <s v="x"/>
    <s v="x"/>
    <s v="na"/>
    <s v="FWL"/>
    <s v="na"/>
    <s v="na"/>
    <s v="na"/>
    <s v="na"/>
    <s v="na"/>
    <s v="na"/>
    <s v="na"/>
    <s v="na"/>
  </r>
  <r>
    <n v="2116"/>
    <x v="56"/>
    <n v="3"/>
    <x v="12"/>
    <x v="0"/>
    <x v="0"/>
    <m/>
    <m/>
    <n v="47"/>
    <m/>
    <s v="F"/>
    <m/>
    <d v="1899-12-30T00:20:00"/>
    <s v="09:55"/>
    <s v="BK"/>
    <m/>
    <s v="20140807 CSejkora"/>
    <s v="20140808 HReider"/>
    <s v="x"/>
    <s v="x"/>
    <s v="na"/>
    <s v="FWL"/>
    <s v="na"/>
    <s v="na"/>
    <s v="na"/>
    <s v="na"/>
    <s v="na"/>
    <s v="na"/>
    <s v="na"/>
    <s v="na"/>
  </r>
  <r>
    <n v="2117"/>
    <x v="56"/>
    <n v="3"/>
    <x v="12"/>
    <x v="0"/>
    <x v="0"/>
    <m/>
    <m/>
    <n v="46"/>
    <m/>
    <s v="M"/>
    <m/>
    <d v="1899-12-30T00:19:00"/>
    <s v="09:56"/>
    <s v="BK"/>
    <m/>
    <s v="20140807 CSejkora"/>
    <s v="20140808 HReider"/>
    <s v="x"/>
    <s v="x"/>
    <s v="na"/>
    <s v="FWL"/>
    <s v="na"/>
    <s v="na"/>
    <s v="na"/>
    <s v="na"/>
    <s v="na"/>
    <s v="na"/>
    <s v="na"/>
    <s v="na"/>
  </r>
  <r>
    <n v="2118"/>
    <x v="56"/>
    <n v="3"/>
    <x v="12"/>
    <x v="0"/>
    <x v="0"/>
    <m/>
    <m/>
    <n v="47"/>
    <m/>
    <s v="F"/>
    <m/>
    <d v="1899-12-30T00:18:00"/>
    <s v="09:57"/>
    <s v="BK"/>
    <m/>
    <s v="20140807 CSejkora"/>
    <s v="20140808 HReider"/>
    <s v="x"/>
    <s v="x"/>
    <s v="na"/>
    <s v="FWL"/>
    <s v="na"/>
    <s v="na"/>
    <s v="na"/>
    <s v="na"/>
    <s v="na"/>
    <s v="na"/>
    <s v="na"/>
    <s v="na"/>
  </r>
  <r>
    <n v="2119"/>
    <x v="56"/>
    <n v="3"/>
    <x v="12"/>
    <x v="0"/>
    <x v="13"/>
    <n v="60"/>
    <s v="146 P"/>
    <n v="46"/>
    <m/>
    <s v="F"/>
    <m/>
    <d v="1899-12-30T01:30:00"/>
    <s v="12:32"/>
    <s v="CSw"/>
    <m/>
    <s v="20140807 CSewright"/>
    <s v="20140808 HReider"/>
    <s v="x"/>
    <n v="151.51499999999999"/>
    <s v="na"/>
    <s v="FWL"/>
    <s v="na"/>
    <s v="na"/>
    <s v="F1835"/>
    <s v="na"/>
    <s v="na"/>
    <s v="na"/>
    <s v="na"/>
    <s v="na"/>
  </r>
  <r>
    <n v="2120"/>
    <x v="56"/>
    <n v="3"/>
    <x v="10"/>
    <x v="0"/>
    <x v="7"/>
    <n v="22"/>
    <s v="121 CM"/>
    <n v="56"/>
    <m/>
    <s v="M"/>
    <m/>
    <d v="1899-12-30T01:00:00"/>
    <s v="12:29"/>
    <s v="CSw"/>
    <m/>
    <s v="20140807 CSewright"/>
    <s v="20140808 HReider"/>
    <s v="x"/>
    <n v="151.56399999999999"/>
    <s v="na"/>
    <s v="FWL"/>
    <s v="na"/>
    <s v="na"/>
    <s v="F1840"/>
    <s v="na"/>
    <s v="na"/>
    <s v="na"/>
    <s v="na"/>
    <s v="na"/>
  </r>
  <r>
    <n v="2121"/>
    <x v="56"/>
    <n v="3"/>
    <x v="7"/>
    <x v="0"/>
    <x v="10"/>
    <n v="56"/>
    <s v="113 S"/>
    <n v="49"/>
    <m/>
    <s v="F"/>
    <m/>
    <d v="1899-12-30T01:29:00"/>
    <s v="12:38"/>
    <s v="CSw"/>
    <m/>
    <s v="20140807 CSewright"/>
    <s v="20140808 HReider"/>
    <s v="x"/>
    <n v="151.58600000000001"/>
    <s v="na"/>
    <s v="FWL"/>
    <s v="na"/>
    <s v="na"/>
    <s v="F1840"/>
    <s v="na"/>
    <s v="na"/>
    <s v="na"/>
    <s v="na"/>
    <s v="na"/>
  </r>
  <r>
    <n v="2122"/>
    <x v="56"/>
    <n v="3"/>
    <x v="10"/>
    <x v="0"/>
    <x v="0"/>
    <m/>
    <m/>
    <n v="63"/>
    <m/>
    <s v="F"/>
    <m/>
    <d v="1899-12-30T00:29:00"/>
    <s v="12:41"/>
    <s v="JI"/>
    <m/>
    <s v="20140807 CSewright"/>
    <s v="20140808 HReider"/>
    <s v="x"/>
    <s v="x"/>
    <s v="na"/>
    <s v="FWL"/>
    <s v="na"/>
    <s v="na"/>
    <s v="na"/>
    <s v="na"/>
    <s v="na"/>
    <s v="na"/>
    <s v="na"/>
    <s v="na"/>
  </r>
  <r>
    <n v="2123"/>
    <x v="56"/>
    <n v="3"/>
    <x v="13"/>
    <x v="0"/>
    <x v="14"/>
    <n v="19"/>
    <s v="31 CO"/>
    <n v="55"/>
    <m/>
    <s v="F"/>
    <m/>
    <d v="1899-12-30T01:00:00"/>
    <s v="12:44"/>
    <s v="CSw"/>
    <m/>
    <s v="20140807 CSewright"/>
    <s v="20140808 HReider"/>
    <s v="x"/>
    <n v="151.32499999999999"/>
    <s v="na"/>
    <s v="FWL"/>
    <s v="na"/>
    <s v="na"/>
    <s v="F1840"/>
    <s v="na"/>
    <s v="na"/>
    <s v="na"/>
    <s v="na"/>
    <s v="na"/>
  </r>
  <r>
    <n v="2124"/>
    <x v="56"/>
    <n v="3"/>
    <x v="10"/>
    <x v="0"/>
    <x v="7"/>
    <n v="83"/>
    <s v="122 CM"/>
    <n v="58"/>
    <m/>
    <s v="F"/>
    <m/>
    <d v="1899-12-30T01:13:00"/>
    <s v="15:20"/>
    <s v="JI"/>
    <m/>
    <s v="20140807 CSewright"/>
    <s v="20140808 HReider"/>
    <s v="x"/>
    <n v="151.56399999999999"/>
    <s v="na"/>
    <s v="FWL"/>
    <s v="na"/>
    <s v="na"/>
    <s v="F1840"/>
    <s v="na"/>
    <s v="na"/>
    <s v="na"/>
    <s v="na"/>
    <s v="na"/>
  </r>
  <r>
    <n v="2125"/>
    <x v="56"/>
    <n v="3"/>
    <x v="12"/>
    <x v="0"/>
    <x v="12"/>
    <n v="15"/>
    <s v="148 P"/>
    <n v="45"/>
    <m/>
    <s v="M"/>
    <m/>
    <d v="1899-12-30T01:18:00"/>
    <s v="15:23"/>
    <s v="JI"/>
    <m/>
    <s v="20140807 CSewright"/>
    <s v="20140808 HReider"/>
    <s v="x"/>
    <n v="151.596"/>
    <s v="na"/>
    <s v="FWL"/>
    <s v="na"/>
    <s v="na"/>
    <s v="F1835"/>
    <s v="na"/>
    <s v="na"/>
    <s v="na"/>
    <s v="na"/>
    <s v="na"/>
  </r>
  <r>
    <n v="2126"/>
    <x v="56"/>
    <n v="3"/>
    <x v="13"/>
    <x v="0"/>
    <x v="14"/>
    <n v="62"/>
    <s v="32 CO"/>
    <n v="55"/>
    <m/>
    <s v="M"/>
    <m/>
    <d v="1899-12-30T01:11:00"/>
    <s v="15:17"/>
    <s v="JI"/>
    <m/>
    <s v="20140807 CSewright"/>
    <s v="20140808 HReider"/>
    <s v="x"/>
    <n v="151.32499999999999"/>
    <s v="na"/>
    <s v="FWL"/>
    <s v="na"/>
    <s v="na"/>
    <s v="F1840"/>
    <s v="na"/>
    <s v="na"/>
    <s v="na"/>
    <s v="na"/>
    <s v="na"/>
  </r>
  <r>
    <n v="2127"/>
    <x v="56"/>
    <n v="3"/>
    <x v="10"/>
    <x v="0"/>
    <x v="0"/>
    <m/>
    <m/>
    <n v="60"/>
    <m/>
    <s v="M"/>
    <m/>
    <d v="1899-12-30T00:20:00"/>
    <s v="15:31"/>
    <s v="CSw"/>
    <m/>
    <s v="20140807 CSewright"/>
    <s v="20140808 HReider"/>
    <s v="x"/>
    <s v="x"/>
    <s v="na"/>
    <s v="FWL"/>
    <s v="na"/>
    <s v="na"/>
    <s v="na"/>
    <s v="na"/>
    <s v="na"/>
    <s v="na"/>
    <s v="na"/>
    <s v="na"/>
  </r>
  <r>
    <n v="2128"/>
    <x v="56"/>
    <n v="3"/>
    <x v="10"/>
    <x v="0"/>
    <x v="0"/>
    <m/>
    <m/>
    <n v="66"/>
    <m/>
    <s v="M"/>
    <m/>
    <d v="1899-12-30T00:24:00"/>
    <s v="15:32"/>
    <s v="CSw"/>
    <m/>
    <s v="20140807 CSewright"/>
    <s v="20140808 HReider"/>
    <s v="x"/>
    <s v="x"/>
    <s v="na"/>
    <s v="FWL"/>
    <s v="na"/>
    <s v="na"/>
    <s v="na"/>
    <s v="na"/>
    <s v="na"/>
    <s v="na"/>
    <s v="na"/>
    <s v="na"/>
  </r>
  <r>
    <n v="2129"/>
    <x v="56"/>
    <n v="3"/>
    <x v="10"/>
    <x v="0"/>
    <x v="0"/>
    <m/>
    <m/>
    <n v="59"/>
    <m/>
    <s v="F"/>
    <m/>
    <d v="1899-12-30T00:20:00"/>
    <s v="15:35"/>
    <s v="CSw"/>
    <m/>
    <s v="20140807 CSewright"/>
    <s v="20140808 HReider"/>
    <s v="x"/>
    <s v="x"/>
    <s v="na"/>
    <s v="FWL"/>
    <s v="na"/>
    <s v="na"/>
    <s v="na"/>
    <s v="na"/>
    <s v="na"/>
    <s v="na"/>
    <s v="na"/>
    <s v="na"/>
  </r>
  <r>
    <n v="2130"/>
    <x v="56"/>
    <n v="3"/>
    <x v="13"/>
    <x v="0"/>
    <x v="15"/>
    <n v="63"/>
    <s v="33 CO"/>
    <n v="52"/>
    <m/>
    <s v="U"/>
    <m/>
    <d v="1899-12-30T01:18:00"/>
    <s v="16:12"/>
    <s v="JI"/>
    <s v="F266."/>
    <s v="20140807 CSewright"/>
    <s v="20140808 HReider"/>
    <s v="x"/>
    <n v="151.26599999999999"/>
    <s v="na"/>
    <s v="FWL"/>
    <s v="na"/>
    <s v="na"/>
    <s v="F1840"/>
    <s v="na"/>
    <s v="na"/>
    <s v="na"/>
    <s v="na"/>
    <s v="na"/>
  </r>
  <r>
    <n v="2131"/>
    <x v="56"/>
    <n v="3"/>
    <x v="10"/>
    <x v="0"/>
    <x v="0"/>
    <m/>
    <m/>
    <n v="56"/>
    <m/>
    <s v="M"/>
    <m/>
    <d v="1899-12-30T00:23:00"/>
    <s v="16:03"/>
    <s v="CSw"/>
    <m/>
    <s v="20140807 CSewright"/>
    <s v="20140808 HReider"/>
    <s v="x"/>
    <s v="x"/>
    <s v="na"/>
    <s v="FWL"/>
    <s v="na"/>
    <s v="na"/>
    <s v="na"/>
    <s v="na"/>
    <s v="na"/>
    <s v="na"/>
    <s v="na"/>
    <s v="na"/>
  </r>
  <r>
    <n v="2132"/>
    <x v="56"/>
    <n v="3"/>
    <x v="10"/>
    <x v="0"/>
    <x v="0"/>
    <m/>
    <m/>
    <n v="57"/>
    <m/>
    <s v="M"/>
    <m/>
    <d v="1899-12-30T00:20:00"/>
    <s v="16:05"/>
    <s v="CSw"/>
    <m/>
    <s v="20140807 CSewright"/>
    <s v="20140808 HReider"/>
    <s v="x"/>
    <s v="x"/>
    <s v="na"/>
    <s v="FWL"/>
    <s v="na"/>
    <s v="na"/>
    <s v="na"/>
    <s v="na"/>
    <s v="na"/>
    <s v="na"/>
    <s v="na"/>
    <s v="na"/>
  </r>
  <r>
    <n v="2133"/>
    <x v="56"/>
    <n v="3"/>
    <x v="10"/>
    <x v="0"/>
    <x v="0"/>
    <m/>
    <m/>
    <n v="54"/>
    <m/>
    <s v="F"/>
    <m/>
    <d v="1899-12-30T00:18:00"/>
    <s v="16:15"/>
    <s v="CSw"/>
    <m/>
    <s v="20140807 CSewright"/>
    <s v="20140808 HReider"/>
    <s v="x"/>
    <s v="x"/>
    <s v="na"/>
    <s v="FWL"/>
    <s v="na"/>
    <s v="na"/>
    <s v="na"/>
    <s v="na"/>
    <s v="na"/>
    <s v="na"/>
    <s v="na"/>
    <s v="na"/>
  </r>
  <r>
    <n v="2134"/>
    <x v="56"/>
    <n v="3"/>
    <x v="1"/>
    <x v="0"/>
    <x v="0"/>
    <m/>
    <m/>
    <n v="64"/>
    <m/>
    <s v="M"/>
    <m/>
    <d v="1899-12-30T00:30:00"/>
    <s v="17:00"/>
    <s v="JI"/>
    <s v="Spawned out but lively"/>
    <s v="20140807 CSewright"/>
    <s v="20140808 HReider"/>
    <s v="x"/>
    <s v="x"/>
    <s v="na"/>
    <s v="FWL"/>
    <s v="na"/>
    <s v="na"/>
    <s v="na"/>
    <s v="na"/>
    <s v="na"/>
    <s v="na"/>
    <s v="na"/>
    <s v="na"/>
  </r>
  <r>
    <n v="2135"/>
    <x v="56"/>
    <n v="3"/>
    <x v="12"/>
    <x v="0"/>
    <x v="12"/>
    <n v="74"/>
    <s v="147 P"/>
    <n v="47"/>
    <m/>
    <s v="F"/>
    <m/>
    <d v="1899-12-30T00:51:00"/>
    <s v="17:44"/>
    <s v="JK"/>
    <m/>
    <s v="20140807JKunzler"/>
    <s v="20140808 HReider"/>
    <s v="x"/>
    <n v="151.596"/>
    <s v="na"/>
    <s v="FWL"/>
    <s v="na"/>
    <s v="na"/>
    <s v="F1835"/>
    <s v="na"/>
    <s v="na"/>
    <s v="na"/>
    <s v="na"/>
    <s v="na"/>
  </r>
  <r>
    <n v="2136"/>
    <x v="56"/>
    <n v="3"/>
    <x v="10"/>
    <x v="0"/>
    <x v="7"/>
    <n v="57"/>
    <s v="123 CM"/>
    <n v="53"/>
    <m/>
    <s v="U"/>
    <m/>
    <d v="1899-12-30T01:02:00"/>
    <s v="17:48"/>
    <s v="QB"/>
    <m/>
    <s v="20140807JKunzler"/>
    <s v="20140808 HReider"/>
    <s v="x"/>
    <n v="151.56399999999999"/>
    <s v="na"/>
    <s v="FWL"/>
    <s v="na"/>
    <s v="na"/>
    <s v="F1840"/>
    <s v="na"/>
    <s v="na"/>
    <s v="na"/>
    <s v="na"/>
    <s v="na"/>
  </r>
  <r>
    <n v="2137"/>
    <x v="56"/>
    <n v="3"/>
    <x v="13"/>
    <x v="0"/>
    <x v="14"/>
    <n v="64"/>
    <s v="34 CO"/>
    <n v="56"/>
    <m/>
    <s v="F"/>
    <d v="1899-12-30T17:59:00"/>
    <d v="1899-12-30T01:13:00"/>
    <s v="18:10"/>
    <s v="JK"/>
    <m/>
    <s v="20140807JKunzler"/>
    <s v="20140808 HReider"/>
    <d v="1899-12-30T00:09:47"/>
    <n v="151.32499999999999"/>
    <s v="na"/>
    <s v="FWL"/>
    <s v="na"/>
    <s v="na"/>
    <s v="F1840"/>
    <s v="na"/>
    <s v="na"/>
    <s v="na"/>
    <s v="na"/>
    <s v="na"/>
  </r>
  <r>
    <n v="2138"/>
    <x v="57"/>
    <n v="1"/>
    <x v="12"/>
    <x v="0"/>
    <x v="13"/>
    <n v="51"/>
    <s v="153 P"/>
    <n v="43"/>
    <m/>
    <s v="M"/>
    <m/>
    <d v="1899-12-30T01:05:00"/>
    <s v="09:46"/>
    <s v="JI"/>
    <m/>
    <s v="20140808 CSewright"/>
    <s v="20140809 HReider"/>
    <s v="x"/>
    <n v="151.51499999999999"/>
    <s v="na"/>
    <s v="FWL"/>
    <s v="na"/>
    <s v="na"/>
    <s v="F1835"/>
    <s v="na"/>
    <s v="na"/>
    <s v="na"/>
    <s v="na"/>
    <s v="na"/>
  </r>
  <r>
    <n v="2139"/>
    <x v="57"/>
    <n v="1"/>
    <x v="12"/>
    <x v="0"/>
    <x v="0"/>
    <m/>
    <m/>
    <n v="46"/>
    <m/>
    <s v="M"/>
    <m/>
    <d v="1899-12-30T00:17:00"/>
    <s v="09:48"/>
    <s v="CSw"/>
    <m/>
    <s v="20140808 CSewright"/>
    <s v="20140809 HReider"/>
    <s v="x"/>
    <s v="x"/>
    <s v="na"/>
    <s v="FWL"/>
    <s v="na"/>
    <s v="na"/>
    <s v="na"/>
    <s v="na"/>
    <s v="na"/>
    <s v="na"/>
    <s v="na"/>
    <s v="na"/>
  </r>
  <r>
    <n v="2140"/>
    <x v="57"/>
    <n v="1"/>
    <x v="12"/>
    <x v="0"/>
    <x v="0"/>
    <m/>
    <m/>
    <n v="41"/>
    <m/>
    <s v="M"/>
    <m/>
    <d v="1899-12-30T00:21:00"/>
    <s v="09:50"/>
    <s v="CSw"/>
    <m/>
    <s v="20140808 CSewright"/>
    <s v="20140809 HReider"/>
    <s v="x"/>
    <s v="x"/>
    <s v="na"/>
    <s v="FWL"/>
    <s v="na"/>
    <s v="na"/>
    <s v="na"/>
    <s v="na"/>
    <s v="na"/>
    <s v="na"/>
    <s v="na"/>
    <s v="na"/>
  </r>
  <r>
    <n v="2141"/>
    <x v="57"/>
    <n v="1"/>
    <x v="12"/>
    <x v="0"/>
    <x v="0"/>
    <m/>
    <m/>
    <n v="45"/>
    <m/>
    <s v="F"/>
    <m/>
    <d v="1899-12-30T00:29:00"/>
    <s v="09:51"/>
    <s v="CSw"/>
    <m/>
    <s v="20140808 CSewright"/>
    <s v="20140809 HReider"/>
    <s v="x"/>
    <s v="x"/>
    <s v="na"/>
    <s v="FWL"/>
    <s v="na"/>
    <s v="na"/>
    <s v="na"/>
    <s v="na"/>
    <s v="na"/>
    <s v="na"/>
    <s v="na"/>
    <s v="na"/>
  </r>
  <r>
    <n v="2142"/>
    <x v="57"/>
    <n v="1"/>
    <x v="12"/>
    <x v="0"/>
    <x v="0"/>
    <m/>
    <m/>
    <n v="49"/>
    <m/>
    <s v="F"/>
    <m/>
    <d v="1899-12-30T00:31:00"/>
    <s v="09:53"/>
    <s v="CSw"/>
    <m/>
    <s v="20140808 CSewright"/>
    <s v="20140809 HReider"/>
    <s v="x"/>
    <s v="x"/>
    <s v="na"/>
    <s v="FWL"/>
    <s v="na"/>
    <s v="na"/>
    <s v="na"/>
    <s v="na"/>
    <s v="na"/>
    <s v="na"/>
    <s v="na"/>
    <s v="na"/>
  </r>
  <r>
    <n v="2143"/>
    <x v="57"/>
    <n v="1"/>
    <x v="12"/>
    <x v="0"/>
    <x v="0"/>
    <m/>
    <m/>
    <n v="47"/>
    <m/>
    <s v="F"/>
    <m/>
    <d v="1899-12-30T00:18:00"/>
    <s v="09:54"/>
    <s v="CSw"/>
    <m/>
    <s v="20140808 CSewright"/>
    <s v="20140809 HReider"/>
    <s v="x"/>
    <s v="x"/>
    <s v="na"/>
    <s v="FWL"/>
    <s v="na"/>
    <s v="na"/>
    <s v="na"/>
    <s v="na"/>
    <s v="na"/>
    <s v="na"/>
    <s v="na"/>
    <s v="na"/>
  </r>
  <r>
    <n v="2144"/>
    <x v="57"/>
    <n v="1"/>
    <x v="7"/>
    <x v="0"/>
    <x v="10"/>
    <n v="3"/>
    <s v="142 S"/>
    <n v="49"/>
    <m/>
    <s v="F"/>
    <m/>
    <d v="1899-12-30T01:09:00"/>
    <s v="09:59"/>
    <s v="JI"/>
    <m/>
    <s v="20140808 CSewright"/>
    <s v="20140809 HReider"/>
    <s v="x"/>
    <n v="151.58600000000001"/>
    <s v="na"/>
    <s v="FWL"/>
    <s v="na"/>
    <s v="na"/>
    <s v="F1840"/>
    <s v="na"/>
    <s v="na"/>
    <s v="na"/>
    <s v="na"/>
    <s v="na"/>
  </r>
  <r>
    <n v="2145"/>
    <x v="57"/>
    <n v="1"/>
    <x v="12"/>
    <x v="0"/>
    <x v="0"/>
    <m/>
    <m/>
    <n v="48"/>
    <m/>
    <s v="F"/>
    <m/>
    <d v="1899-12-30T00:20:00"/>
    <s v="10:00"/>
    <s v="CSw"/>
    <m/>
    <s v="20140808 CSewright"/>
    <s v="20140809 HReider"/>
    <s v="x"/>
    <s v="x"/>
    <s v="na"/>
    <s v="FWL"/>
    <s v="na"/>
    <s v="na"/>
    <s v="na"/>
    <s v="na"/>
    <s v="na"/>
    <s v="na"/>
    <s v="na"/>
    <s v="na"/>
  </r>
  <r>
    <n v="2146"/>
    <x v="57"/>
    <n v="1"/>
    <x v="12"/>
    <x v="0"/>
    <x v="0"/>
    <m/>
    <m/>
    <n v="48"/>
    <m/>
    <s v="F"/>
    <m/>
    <d v="1899-12-30T00:19:00"/>
    <s v="10:01"/>
    <s v="CSw"/>
    <m/>
    <s v="20140808 CSewright"/>
    <s v="20140809 HReider"/>
    <s v="x"/>
    <s v="x"/>
    <s v="na"/>
    <s v="FWL"/>
    <s v="na"/>
    <s v="na"/>
    <s v="na"/>
    <s v="na"/>
    <s v="na"/>
    <s v="na"/>
    <s v="na"/>
    <s v="na"/>
  </r>
  <r>
    <n v="2147"/>
    <x v="57"/>
    <n v="1"/>
    <x v="12"/>
    <x v="0"/>
    <x v="0"/>
    <m/>
    <m/>
    <n v="49"/>
    <m/>
    <s v="M"/>
    <m/>
    <d v="1899-12-30T00:25:00"/>
    <s v="10:02"/>
    <s v="CSw"/>
    <m/>
    <s v="20140808 CSewright"/>
    <s v="20140809 HReider"/>
    <s v="x"/>
    <s v="x"/>
    <s v="na"/>
    <s v="FWL"/>
    <s v="na"/>
    <s v="na"/>
    <s v="na"/>
    <s v="na"/>
    <s v="na"/>
    <s v="na"/>
    <s v="na"/>
    <s v="na"/>
  </r>
  <r>
    <n v="2148"/>
    <x v="57"/>
    <n v="1"/>
    <x v="12"/>
    <x v="0"/>
    <x v="0"/>
    <m/>
    <m/>
    <n v="47"/>
    <m/>
    <s v="F"/>
    <m/>
    <d v="1899-12-30T00:16:00"/>
    <s v="10:03"/>
    <s v="CSw"/>
    <m/>
    <s v="20140808 CSewright"/>
    <s v="20140809 HReider"/>
    <s v="x"/>
    <s v="x"/>
    <s v="na"/>
    <s v="FWL"/>
    <s v="na"/>
    <s v="na"/>
    <s v="na"/>
    <s v="na"/>
    <s v="na"/>
    <s v="na"/>
    <s v="na"/>
    <s v="na"/>
  </r>
  <r>
    <n v="2149"/>
    <x v="57"/>
    <n v="1"/>
    <x v="12"/>
    <x v="0"/>
    <x v="0"/>
    <m/>
    <m/>
    <n v="46"/>
    <m/>
    <s v="F"/>
    <m/>
    <d v="1899-12-30T00:17:00"/>
    <s v="10:05"/>
    <s v="CSw"/>
    <m/>
    <s v="20140808 CSewright"/>
    <s v="20140809 HReider"/>
    <s v="x"/>
    <s v="x"/>
    <s v="na"/>
    <s v="FWL"/>
    <s v="na"/>
    <s v="na"/>
    <s v="na"/>
    <s v="na"/>
    <s v="na"/>
    <s v="na"/>
    <s v="na"/>
    <s v="na"/>
  </r>
  <r>
    <n v="2150"/>
    <x v="57"/>
    <n v="1"/>
    <x v="12"/>
    <x v="0"/>
    <x v="0"/>
    <m/>
    <m/>
    <n v="47"/>
    <m/>
    <s v="F"/>
    <m/>
    <d v="1899-12-30T00:17:00"/>
    <s v="10:06"/>
    <s v="CSw"/>
    <m/>
    <s v="20140808 CSewright"/>
    <s v="20140809 HReider"/>
    <s v="x"/>
    <s v="x"/>
    <s v="na"/>
    <s v="FWL"/>
    <s v="na"/>
    <s v="na"/>
    <s v="na"/>
    <s v="na"/>
    <s v="na"/>
    <s v="na"/>
    <s v="na"/>
    <s v="na"/>
  </r>
  <r>
    <n v="2151"/>
    <x v="57"/>
    <n v="1"/>
    <x v="10"/>
    <x v="0"/>
    <x v="7"/>
    <n v="88"/>
    <s v="131 CM"/>
    <n v="62"/>
    <m/>
    <s v="F"/>
    <m/>
    <d v="1899-12-30T01:09:00"/>
    <s v="10:11"/>
    <s v="JI"/>
    <m/>
    <s v="20140808 CSewright"/>
    <s v="20140809 HReider"/>
    <s v="x"/>
    <n v="151.56399999999999"/>
    <s v="na"/>
    <s v="FWL"/>
    <s v="na"/>
    <s v="na"/>
    <s v="F1840"/>
    <s v="na"/>
    <s v="na"/>
    <s v="na"/>
    <s v="na"/>
    <s v="na"/>
  </r>
  <r>
    <n v="2152"/>
    <x v="57"/>
    <n v="1"/>
    <x v="10"/>
    <x v="0"/>
    <x v="0"/>
    <m/>
    <m/>
    <n v="57"/>
    <m/>
    <s v="M"/>
    <m/>
    <d v="1899-12-30T00:24:00"/>
    <s v="12:25"/>
    <s v="JI"/>
    <m/>
    <s v="20140808 CSewright"/>
    <s v="20140809 HReider"/>
    <s v="x"/>
    <s v="x"/>
    <s v="na"/>
    <s v="FWL"/>
    <s v="na"/>
    <s v="na"/>
    <s v="na"/>
    <s v="na"/>
    <s v="na"/>
    <s v="na"/>
    <s v="na"/>
    <s v="na"/>
  </r>
  <r>
    <n v="2153"/>
    <x v="57"/>
    <n v="1"/>
    <x v="7"/>
    <x v="0"/>
    <x v="10"/>
    <n v="58"/>
    <s v="144 S"/>
    <n v="45"/>
    <m/>
    <s v="U"/>
    <m/>
    <d v="1899-12-30T00:57:00"/>
    <s v="14:31"/>
    <s v="QB"/>
    <m/>
    <s v="20140808 CSejkora"/>
    <s v="20140809 HReider"/>
    <s v="x"/>
    <n v="151.58600000000001"/>
    <s v="na"/>
    <s v="FWL"/>
    <s v="na"/>
    <s v="na"/>
    <s v="F1840"/>
    <s v="na"/>
    <s v="na"/>
    <s v="na"/>
    <s v="na"/>
    <s v="na"/>
  </r>
  <r>
    <n v="2154"/>
    <x v="57"/>
    <n v="1"/>
    <x v="10"/>
    <x v="0"/>
    <x v="0"/>
    <m/>
    <m/>
    <n v="59"/>
    <m/>
    <s v="U"/>
    <m/>
    <d v="1899-12-30T00:23:00"/>
    <s v="14:33"/>
    <s v="CSj"/>
    <m/>
    <s v="20140808 CSejkora"/>
    <s v="20140809 HReider"/>
    <s v="x"/>
    <s v="x"/>
    <s v="na"/>
    <s v="FWL"/>
    <s v="na"/>
    <s v="na"/>
    <s v="na"/>
    <s v="na"/>
    <s v="na"/>
    <s v="na"/>
    <s v="na"/>
    <s v="na"/>
  </r>
  <r>
    <n v="2155"/>
    <x v="57"/>
    <n v="1"/>
    <x v="10"/>
    <x v="0"/>
    <x v="0"/>
    <m/>
    <m/>
    <n v="55"/>
    <m/>
    <s v="U"/>
    <m/>
    <d v="1899-12-30T00:20:00"/>
    <s v="16:20"/>
    <s v="CSj"/>
    <m/>
    <s v="20140808 CSejkora"/>
    <s v="20140809 HReider"/>
    <s v="x"/>
    <s v="x"/>
    <s v="na"/>
    <s v="FWL"/>
    <s v="na"/>
    <s v="na"/>
    <s v="na"/>
    <s v="na"/>
    <s v="na"/>
    <s v="na"/>
    <s v="na"/>
    <s v="na"/>
  </r>
  <r>
    <n v="2156"/>
    <x v="57"/>
    <n v="1"/>
    <x v="7"/>
    <x v="0"/>
    <x v="10"/>
    <n v="51"/>
    <s v="145 S"/>
    <n v="42"/>
    <m/>
    <s v="U"/>
    <m/>
    <d v="1899-12-30T00:57:00"/>
    <s v="16:23"/>
    <s v="QB"/>
    <m/>
    <s v="20140808 CSejkora"/>
    <s v="20140809 HReider"/>
    <s v="x"/>
    <n v="151.58600000000001"/>
    <s v="na"/>
    <s v="FWL"/>
    <s v="na"/>
    <s v="na"/>
    <s v="F1840"/>
    <s v="na"/>
    <s v="na"/>
    <s v="na"/>
    <s v="na"/>
    <s v="na"/>
  </r>
  <r>
    <n v="2157"/>
    <x v="57"/>
    <n v="1"/>
    <x v="7"/>
    <x v="0"/>
    <x v="6"/>
    <n v="26"/>
    <s v="146 S"/>
    <n v="45"/>
    <m/>
    <s v="U"/>
    <m/>
    <d v="1899-12-30T01:00:00"/>
    <s v="16:25"/>
    <s v="QB"/>
    <m/>
    <s v="20140808 CSejkora"/>
    <s v="20140809 HReider"/>
    <s v="x"/>
    <n v="151.57300000000001"/>
    <s v="na"/>
    <s v="FWL"/>
    <s v="na"/>
    <s v="na"/>
    <s v="F1840"/>
    <s v="na"/>
    <s v="na"/>
    <s v="na"/>
    <s v="na"/>
    <s v="na"/>
  </r>
  <r>
    <n v="2158"/>
    <x v="57"/>
    <n v="1"/>
    <x v="10"/>
    <x v="0"/>
    <x v="0"/>
    <m/>
    <m/>
    <n v="63"/>
    <m/>
    <s v="M"/>
    <m/>
    <d v="1899-12-30T00:20:00"/>
    <s v="16:27"/>
    <s v="CSj"/>
    <m/>
    <s v="20140808 CSejkora"/>
    <s v="20140809 HReider"/>
    <s v="x"/>
    <s v="x"/>
    <s v="na"/>
    <s v="FWL"/>
    <s v="na"/>
    <s v="na"/>
    <s v="na"/>
    <s v="na"/>
    <s v="na"/>
    <s v="na"/>
    <s v="na"/>
    <s v="na"/>
  </r>
  <r>
    <n v="2159"/>
    <x v="57"/>
    <n v="1"/>
    <x v="10"/>
    <x v="0"/>
    <x v="0"/>
    <m/>
    <m/>
    <n v="54"/>
    <m/>
    <s v="F"/>
    <m/>
    <d v="1899-12-30T00:15:00"/>
    <s v="18:04"/>
    <s v="CSj"/>
    <m/>
    <s v="20140808 CSejkora"/>
    <s v="20140809 HReider"/>
    <s v="x"/>
    <s v="x"/>
    <s v="na"/>
    <s v="FWL"/>
    <s v="na"/>
    <s v="na"/>
    <s v="na"/>
    <s v="na"/>
    <s v="na"/>
    <s v="na"/>
    <s v="na"/>
    <s v="na"/>
  </r>
  <r>
    <n v="2160"/>
    <x v="57"/>
    <n v="1"/>
    <x v="10"/>
    <x v="0"/>
    <x v="0"/>
    <m/>
    <m/>
    <n v="59"/>
    <m/>
    <s v="F"/>
    <m/>
    <d v="1899-12-30T00:21:00"/>
    <s v="18:05"/>
    <s v="QB"/>
    <m/>
    <s v="20140808 CSejkora"/>
    <s v="20140809 HReider"/>
    <s v="x"/>
    <s v="x"/>
    <s v="na"/>
    <s v="FWL"/>
    <s v="na"/>
    <s v="na"/>
    <s v="na"/>
    <s v="na"/>
    <s v="na"/>
    <s v="na"/>
    <s v="na"/>
    <s v="na"/>
  </r>
  <r>
    <n v="2161"/>
    <x v="57"/>
    <n v="1"/>
    <x v="13"/>
    <x v="0"/>
    <x v="15"/>
    <n v="5"/>
    <s v="39 CO"/>
    <n v="55"/>
    <m/>
    <s v="U"/>
    <m/>
    <d v="1899-12-30T01:14:00"/>
    <s v="18:07"/>
    <s v="CSj"/>
    <s v="F266."/>
    <s v="20140808 CSejkora"/>
    <s v="20140809 HReider"/>
    <s v="x"/>
    <n v="151.26599999999999"/>
    <s v="na"/>
    <s v="FWL"/>
    <s v="na"/>
    <s v="na"/>
    <s v="F1840"/>
    <s v="na"/>
    <s v="na"/>
    <s v="na"/>
    <s v="na"/>
    <s v="na"/>
  </r>
  <r>
    <n v="2162"/>
    <x v="57"/>
    <n v="1"/>
    <x v="10"/>
    <x v="0"/>
    <x v="0"/>
    <m/>
    <m/>
    <n v="62"/>
    <m/>
    <s v="F"/>
    <m/>
    <d v="1899-12-30T00:18:00"/>
    <s v="18:09"/>
    <s v="QB"/>
    <m/>
    <s v="20140808 CSejkora"/>
    <s v="20140809 HReider"/>
    <s v="x"/>
    <s v="x"/>
    <s v="na"/>
    <s v="FWL"/>
    <s v="na"/>
    <s v="na"/>
    <s v="na"/>
    <s v="na"/>
    <s v="na"/>
    <s v="na"/>
    <s v="na"/>
    <s v="na"/>
  </r>
  <r>
    <n v="2163"/>
    <x v="57"/>
    <n v="1"/>
    <x v="13"/>
    <x v="0"/>
    <x v="0"/>
    <m/>
    <m/>
    <n v="51"/>
    <m/>
    <s v="F"/>
    <m/>
    <d v="1899-12-30T00:29:00"/>
    <s v="18:11"/>
    <s v="QB"/>
    <s v="no tag, large wounds on side"/>
    <s v="20140808 CSejkora"/>
    <s v="20140809 HReider"/>
    <s v="x"/>
    <s v="x"/>
    <s v="na"/>
    <s v="FWL"/>
    <s v="na"/>
    <s v="na"/>
    <s v="na"/>
    <s v="na"/>
    <s v="na"/>
    <s v="na"/>
    <s v="na"/>
    <s v="na"/>
  </r>
  <r>
    <n v="2164"/>
    <x v="57"/>
    <n v="1"/>
    <x v="12"/>
    <x v="0"/>
    <x v="13"/>
    <n v="13"/>
    <s v="155 P"/>
    <n v="43"/>
    <m/>
    <s v="F"/>
    <m/>
    <d v="1899-12-30T01:12:00"/>
    <s v="19:12"/>
    <s v="QB"/>
    <m/>
    <s v="20140808 CSejkora"/>
    <s v="20140809 HReider"/>
    <s v="x"/>
    <n v="151.51499999999999"/>
    <s v="na"/>
    <s v="FWL"/>
    <s v="na"/>
    <s v="na"/>
    <s v="F1835"/>
    <s v="na"/>
    <s v="na"/>
    <s v="na"/>
    <s v="na"/>
    <s v="na"/>
  </r>
  <r>
    <n v="2165"/>
    <x v="57"/>
    <n v="1"/>
    <x v="12"/>
    <x v="0"/>
    <x v="13"/>
    <n v="45"/>
    <s v="158 P"/>
    <n v="45"/>
    <m/>
    <s v="M"/>
    <m/>
    <d v="1899-12-30T00:55:00"/>
    <s v="19:16"/>
    <s v="QB"/>
    <m/>
    <s v="20140808 CSejkora"/>
    <s v="20140809 HReider"/>
    <s v="x"/>
    <n v="151.51499999999999"/>
    <s v="na"/>
    <s v="FWL"/>
    <s v="na"/>
    <s v="na"/>
    <s v="F1835"/>
    <s v="na"/>
    <s v="na"/>
    <s v="na"/>
    <s v="na"/>
    <s v="na"/>
  </r>
  <r>
    <n v="2166"/>
    <x v="57"/>
    <n v="1"/>
    <x v="12"/>
    <x v="0"/>
    <x v="13"/>
    <n v="21"/>
    <s v="159 P"/>
    <n v="46"/>
    <m/>
    <s v="F"/>
    <m/>
    <d v="1899-12-30T00:50:00"/>
    <s v="19:19"/>
    <s v="QB"/>
    <m/>
    <s v="20140808 CSejkora"/>
    <s v="20140809 HReider"/>
    <s v="x"/>
    <n v="151.51499999999999"/>
    <s v="na"/>
    <s v="FWL"/>
    <s v="na"/>
    <s v="na"/>
    <s v="F1835"/>
    <s v="na"/>
    <s v="na"/>
    <s v="na"/>
    <s v="na"/>
    <s v="na"/>
  </r>
  <r>
    <n v="2167"/>
    <x v="57"/>
    <n v="1"/>
    <x v="4"/>
    <x v="1"/>
    <x v="0"/>
    <m/>
    <m/>
    <n v="37"/>
    <m/>
    <s v="M"/>
    <m/>
    <d v="1899-12-30T00:52:00"/>
    <s v="19:22"/>
    <s v="CSj"/>
    <m/>
    <s v="20140808 CSejkora"/>
    <s v="20140809 HReider"/>
    <s v="x"/>
    <s v="x"/>
    <s v="na"/>
    <s v="FWL"/>
    <s v="na"/>
    <s v="na"/>
    <s v="na"/>
    <s v="na"/>
    <s v="na"/>
    <s v="na"/>
    <s v="na"/>
    <s v="na"/>
  </r>
  <r>
    <n v="2168"/>
    <x v="57"/>
    <n v="1"/>
    <x v="10"/>
    <x v="0"/>
    <x v="0"/>
    <m/>
    <m/>
    <n v="58"/>
    <m/>
    <s v="M"/>
    <m/>
    <d v="1899-12-30T00:12:00"/>
    <s v="20:10"/>
    <s v="CSj"/>
    <m/>
    <s v="20140808 CSejkora"/>
    <s v="20140809 HReider"/>
    <s v="x"/>
    <s v="x"/>
    <s v="na"/>
    <s v="FWL"/>
    <s v="na"/>
    <s v="na"/>
    <s v="na"/>
    <s v="na"/>
    <s v="na"/>
    <s v="na"/>
    <s v="na"/>
    <s v="na"/>
  </r>
  <r>
    <n v="2169"/>
    <x v="57"/>
    <n v="2"/>
    <x v="10"/>
    <x v="0"/>
    <x v="7"/>
    <n v="65"/>
    <s v="136 CM"/>
    <n v="59"/>
    <m/>
    <s v="M"/>
    <m/>
    <d v="1899-12-30T01:17:00"/>
    <s v="10:29"/>
    <s v="JI"/>
    <m/>
    <s v="20140808 CSewright"/>
    <s v="20140809 HReider"/>
    <s v="x"/>
    <n v="151.56399999999999"/>
    <s v="na"/>
    <s v="FWL"/>
    <s v="na"/>
    <s v="na"/>
    <s v="F1840"/>
    <s v="na"/>
    <s v="na"/>
    <s v="na"/>
    <s v="na"/>
    <s v="na"/>
  </r>
  <r>
    <n v="2170"/>
    <x v="57"/>
    <n v="2"/>
    <x v="10"/>
    <x v="0"/>
    <x v="11"/>
    <n v="10"/>
    <s v="134 CM"/>
    <n v="57"/>
    <m/>
    <s v="F"/>
    <m/>
    <d v="1899-12-30T01:09:00"/>
    <s v="10:33"/>
    <s v="JI"/>
    <m/>
    <s v="20140808 CSewright"/>
    <s v="20140809 HReider"/>
    <s v="x"/>
    <n v="151.53399999999999"/>
    <s v="na"/>
    <s v="FWL"/>
    <s v="na"/>
    <s v="na"/>
    <s v="F1840"/>
    <s v="na"/>
    <s v="na"/>
    <s v="na"/>
    <s v="na"/>
    <s v="na"/>
  </r>
  <r>
    <n v="2171"/>
    <x v="57"/>
    <n v="2"/>
    <x v="10"/>
    <x v="0"/>
    <x v="11"/>
    <n v="77"/>
    <s v="132 CM"/>
    <n v="60"/>
    <m/>
    <s v="F"/>
    <m/>
    <d v="1899-12-30T01:10:00"/>
    <s v="10:41"/>
    <s v="JI"/>
    <m/>
    <s v="20140808 CSewright"/>
    <s v="20140809 HReider"/>
    <s v="x"/>
    <n v="151.53399999999999"/>
    <s v="na"/>
    <s v="FWL"/>
    <s v="na"/>
    <s v="na"/>
    <s v="F1840"/>
    <s v="na"/>
    <s v="na"/>
    <s v="na"/>
    <s v="na"/>
    <s v="na"/>
  </r>
  <r>
    <n v="2172"/>
    <x v="57"/>
    <n v="2"/>
    <x v="12"/>
    <x v="0"/>
    <x v="13"/>
    <n v="3"/>
    <s v="154 P"/>
    <n v="49"/>
    <m/>
    <s v="M"/>
    <m/>
    <d v="1899-12-30T01:08:00"/>
    <s v="10:43"/>
    <s v="JI"/>
    <m/>
    <s v="20140808 CSewright"/>
    <s v="20140809 HReider"/>
    <s v="x"/>
    <n v="151.51499999999999"/>
    <s v="na"/>
    <s v="FWL"/>
    <s v="na"/>
    <s v="na"/>
    <s v="F1835"/>
    <s v="na"/>
    <s v="na"/>
    <s v="na"/>
    <s v="na"/>
    <s v="na"/>
  </r>
  <r>
    <n v="2173"/>
    <x v="57"/>
    <n v="2"/>
    <x v="10"/>
    <x v="0"/>
    <x v="0"/>
    <m/>
    <m/>
    <n v="59"/>
    <m/>
    <s v="M"/>
    <m/>
    <d v="1899-12-30T00:41:00"/>
    <s v="12:10"/>
    <s v="CSw"/>
    <m/>
    <s v="20140808 CSewright"/>
    <s v="20140809 HReider"/>
    <s v="x"/>
    <s v="x"/>
    <s v="na"/>
    <s v="FWL"/>
    <s v="na"/>
    <s v="na"/>
    <s v="na"/>
    <s v="na"/>
    <s v="na"/>
    <s v="na"/>
    <s v="na"/>
    <s v="na"/>
  </r>
  <r>
    <n v="2174"/>
    <x v="57"/>
    <n v="2"/>
    <x v="12"/>
    <x v="0"/>
    <x v="0"/>
    <m/>
    <m/>
    <n v="43"/>
    <m/>
    <s v="M"/>
    <m/>
    <d v="1899-12-30T00:21:00"/>
    <s v="13:07"/>
    <s v="JI"/>
    <m/>
    <s v="20140808 CSewright"/>
    <s v="20140809 HReider"/>
    <s v="x"/>
    <s v="x"/>
    <s v="na"/>
    <s v="FWL"/>
    <s v="na"/>
    <s v="na"/>
    <s v="na"/>
    <s v="na"/>
    <s v="na"/>
    <s v="na"/>
    <s v="na"/>
    <s v="na"/>
  </r>
  <r>
    <n v="2175"/>
    <x v="57"/>
    <n v="2"/>
    <x v="10"/>
    <x v="0"/>
    <x v="0"/>
    <m/>
    <m/>
    <n v="65"/>
    <m/>
    <s v="F"/>
    <m/>
    <d v="1899-12-30T00:24:00"/>
    <s v="13:11"/>
    <s v="JI"/>
    <m/>
    <s v="20140808 CSewright"/>
    <s v="20140809 HReider"/>
    <s v="x"/>
    <s v="x"/>
    <s v="na"/>
    <s v="FWL"/>
    <s v="na"/>
    <s v="na"/>
    <s v="na"/>
    <s v="na"/>
    <s v="na"/>
    <s v="na"/>
    <s v="na"/>
    <s v="na"/>
  </r>
  <r>
    <n v="2176"/>
    <x v="57"/>
    <n v="2"/>
    <x v="10"/>
    <x v="0"/>
    <x v="0"/>
    <m/>
    <m/>
    <n v="59"/>
    <m/>
    <s v="M"/>
    <m/>
    <d v="1899-12-30T00:23:00"/>
    <s v="13:12"/>
    <s v="JI"/>
    <m/>
    <s v="20140808 CSewright"/>
    <s v="20140809 HReider"/>
    <s v="x"/>
    <s v="x"/>
    <s v="na"/>
    <s v="FWL"/>
    <s v="na"/>
    <s v="na"/>
    <s v="na"/>
    <s v="na"/>
    <s v="na"/>
    <s v="na"/>
    <s v="na"/>
    <s v="na"/>
  </r>
  <r>
    <n v="2177"/>
    <x v="57"/>
    <n v="2"/>
    <x v="10"/>
    <x v="0"/>
    <x v="11"/>
    <n v="81"/>
    <s v="133 CM"/>
    <n v="58"/>
    <m/>
    <s v="M"/>
    <m/>
    <d v="1899-12-30T00:56:00"/>
    <s v="14:48"/>
    <s v="CSj"/>
    <m/>
    <s v="20140808 CSejkora"/>
    <s v="20140809 HReider"/>
    <s v="x"/>
    <n v="151.53399999999999"/>
    <s v="na"/>
    <s v="FWL"/>
    <s v="na"/>
    <s v="na"/>
    <s v="F1840"/>
    <s v="na"/>
    <s v="na"/>
    <s v="na"/>
    <s v="na"/>
    <s v="na"/>
  </r>
  <r>
    <n v="2178"/>
    <x v="57"/>
    <n v="2"/>
    <x v="10"/>
    <x v="0"/>
    <x v="11"/>
    <n v="39"/>
    <s v="130 CM"/>
    <n v="59"/>
    <m/>
    <s v="U"/>
    <m/>
    <d v="1899-12-30T01:07:00"/>
    <s v="17:41"/>
    <s v="QB"/>
    <m/>
    <s v="20140808 CSejkora"/>
    <s v="20140809 HReider"/>
    <s v="x"/>
    <n v="151.53399999999999"/>
    <s v="na"/>
    <s v="FWL"/>
    <s v="na"/>
    <s v="na"/>
    <s v="F1840"/>
    <s v="na"/>
    <s v="na"/>
    <s v="na"/>
    <s v="na"/>
    <s v="na"/>
  </r>
  <r>
    <n v="2179"/>
    <x v="57"/>
    <n v="2"/>
    <x v="10"/>
    <x v="0"/>
    <x v="0"/>
    <m/>
    <m/>
    <n v="62"/>
    <m/>
    <s v="F"/>
    <m/>
    <d v="1899-12-30T00:18:00"/>
    <s v="17:44"/>
    <s v="CSj"/>
    <m/>
    <s v="20140808 CSejkora"/>
    <s v="20140809 HReider"/>
    <s v="x"/>
    <s v="x"/>
    <s v="na"/>
    <s v="FWL"/>
    <s v="na"/>
    <s v="na"/>
    <s v="na"/>
    <s v="na"/>
    <s v="na"/>
    <s v="na"/>
    <s v="na"/>
    <s v="na"/>
  </r>
  <r>
    <n v="2180"/>
    <x v="57"/>
    <n v="2"/>
    <x v="10"/>
    <x v="0"/>
    <x v="0"/>
    <m/>
    <m/>
    <n v="55"/>
    <m/>
    <s v="F"/>
    <m/>
    <d v="1899-12-30T00:15:00"/>
    <s v="17:51"/>
    <s v="CSj"/>
    <m/>
    <s v="20140808 CSejkora"/>
    <s v="20140809 HReider"/>
    <s v="x"/>
    <s v="x"/>
    <s v="na"/>
    <s v="FWL"/>
    <s v="na"/>
    <s v="na"/>
    <s v="na"/>
    <s v="na"/>
    <s v="na"/>
    <s v="na"/>
    <s v="na"/>
    <s v="na"/>
  </r>
  <r>
    <n v="2181"/>
    <x v="57"/>
    <n v="2"/>
    <x v="10"/>
    <x v="0"/>
    <x v="0"/>
    <m/>
    <m/>
    <n v="59"/>
    <m/>
    <s v="M"/>
    <m/>
    <d v="1899-12-30T00:23:00"/>
    <s v="17:53"/>
    <s v="CSj"/>
    <m/>
    <s v="20140808 CSejkora"/>
    <s v="20140809 HReider"/>
    <s v="x"/>
    <s v="x"/>
    <s v="na"/>
    <s v="FWL"/>
    <s v="na"/>
    <s v="na"/>
    <s v="na"/>
    <s v="na"/>
    <s v="na"/>
    <s v="na"/>
    <s v="na"/>
    <s v="na"/>
  </r>
  <r>
    <n v="2182"/>
    <x v="57"/>
    <n v="2"/>
    <x v="10"/>
    <x v="0"/>
    <x v="0"/>
    <m/>
    <m/>
    <n v="59"/>
    <m/>
    <s v="M"/>
    <m/>
    <d v="1899-12-30T00:29:00"/>
    <s v="19:35"/>
    <s v="CSj"/>
    <m/>
    <s v="20140808 CSejkora"/>
    <s v="20140809 HReider"/>
    <s v="x"/>
    <s v="x"/>
    <s v="na"/>
    <s v="FWL"/>
    <s v="na"/>
    <s v="na"/>
    <s v="na"/>
    <s v="na"/>
    <s v="na"/>
    <s v="na"/>
    <s v="na"/>
    <s v="na"/>
  </r>
  <r>
    <n v="2183"/>
    <x v="57"/>
    <n v="2"/>
    <x v="10"/>
    <x v="0"/>
    <x v="0"/>
    <m/>
    <m/>
    <n v="60"/>
    <m/>
    <s v="F"/>
    <m/>
    <d v="1899-12-30T00:26:00"/>
    <s v="19:37"/>
    <s v="QB"/>
    <m/>
    <s v="20140808 CSejkora"/>
    <s v="20140809 HReider"/>
    <s v="x"/>
    <s v="x"/>
    <s v="na"/>
    <s v="FWL"/>
    <s v="na"/>
    <s v="na"/>
    <s v="na"/>
    <s v="na"/>
    <s v="na"/>
    <s v="na"/>
    <s v="na"/>
    <s v="na"/>
  </r>
  <r>
    <n v="2184"/>
    <x v="57"/>
    <n v="3"/>
    <x v="12"/>
    <x v="0"/>
    <x v="0"/>
    <m/>
    <m/>
    <n v="46"/>
    <m/>
    <s v="M"/>
    <m/>
    <d v="1899-12-30T00:34:00"/>
    <s v="09:52"/>
    <s v="QB"/>
    <m/>
    <s v="20140808 CSejkora"/>
    <s v="20140809 HReider"/>
    <s v="x"/>
    <s v="x"/>
    <s v="na"/>
    <s v="FWL"/>
    <s v="na"/>
    <s v="na"/>
    <s v="na"/>
    <s v="na"/>
    <s v="na"/>
    <s v="na"/>
    <s v="na"/>
    <s v="na"/>
  </r>
  <r>
    <n v="2185"/>
    <x v="57"/>
    <n v="3"/>
    <x v="12"/>
    <x v="0"/>
    <x v="12"/>
    <n v="39"/>
    <s v="149 P"/>
    <n v="45"/>
    <m/>
    <s v="F"/>
    <m/>
    <d v="1899-12-30T00:57:00"/>
    <s v="09:55"/>
    <s v="CSj"/>
    <m/>
    <s v="20140808 CSejkora"/>
    <s v="20140809 HReider"/>
    <s v="x"/>
    <n v="151.596"/>
    <s v="na"/>
    <s v="FWL"/>
    <s v="na"/>
    <s v="na"/>
    <s v="F1835"/>
    <s v="na"/>
    <s v="na"/>
    <s v="na"/>
    <s v="na"/>
    <s v="na"/>
  </r>
  <r>
    <n v="2186"/>
    <x v="57"/>
    <n v="3"/>
    <x v="12"/>
    <x v="0"/>
    <x v="12"/>
    <n v="5"/>
    <s v="150 P"/>
    <n v="47"/>
    <m/>
    <s v="F"/>
    <m/>
    <d v="1899-12-30T01:02:00"/>
    <s v="09:59"/>
    <s v="CSj"/>
    <m/>
    <s v="20140808 CSejkora"/>
    <s v="20140809 HReider"/>
    <s v="x"/>
    <n v="151.596"/>
    <s v="na"/>
    <s v="FWL"/>
    <s v="na"/>
    <s v="na"/>
    <s v="F1835"/>
    <s v="na"/>
    <s v="na"/>
    <s v="na"/>
    <s v="na"/>
    <s v="na"/>
  </r>
  <r>
    <n v="2187"/>
    <x v="57"/>
    <n v="3"/>
    <x v="12"/>
    <x v="0"/>
    <x v="0"/>
    <m/>
    <m/>
    <n v="46"/>
    <m/>
    <s v="F"/>
    <m/>
    <d v="1899-12-30T00:18:00"/>
    <s v="10:00"/>
    <s v="QB"/>
    <m/>
    <s v="20140808 CSejkora"/>
    <s v="20140809 HReider"/>
    <s v="x"/>
    <s v="x"/>
    <s v="na"/>
    <s v="FWL"/>
    <s v="na"/>
    <s v="na"/>
    <s v="na"/>
    <s v="na"/>
    <s v="na"/>
    <s v="na"/>
    <s v="na"/>
    <s v="na"/>
  </r>
  <r>
    <n v="2188"/>
    <x v="57"/>
    <n v="3"/>
    <x v="12"/>
    <x v="0"/>
    <x v="0"/>
    <m/>
    <m/>
    <n v="44"/>
    <m/>
    <s v="M"/>
    <m/>
    <d v="1899-12-30T00:24:00"/>
    <s v="10:01"/>
    <s v="QB"/>
    <m/>
    <s v="20140808 CSejkora"/>
    <s v="20140809 HReider"/>
    <s v="x"/>
    <s v="x"/>
    <s v="na"/>
    <s v="FWL"/>
    <s v="na"/>
    <s v="na"/>
    <s v="na"/>
    <s v="na"/>
    <s v="na"/>
    <s v="na"/>
    <s v="na"/>
    <s v="na"/>
  </r>
  <r>
    <n v="2189"/>
    <x v="57"/>
    <n v="3"/>
    <x v="12"/>
    <x v="0"/>
    <x v="0"/>
    <m/>
    <m/>
    <n v="48"/>
    <m/>
    <s v="F"/>
    <m/>
    <d v="1899-12-30T00:19:00"/>
    <s v="10:02"/>
    <s v="QB"/>
    <m/>
    <s v="20140808 CSejkora"/>
    <s v="20140809 HReider"/>
    <s v="x"/>
    <s v="x"/>
    <s v="na"/>
    <s v="FWL"/>
    <s v="na"/>
    <s v="na"/>
    <s v="na"/>
    <s v="na"/>
    <s v="na"/>
    <s v="na"/>
    <s v="na"/>
    <s v="na"/>
  </r>
  <r>
    <n v="2190"/>
    <x v="57"/>
    <n v="3"/>
    <x v="12"/>
    <x v="0"/>
    <x v="0"/>
    <m/>
    <m/>
    <n v="46"/>
    <m/>
    <s v="F"/>
    <m/>
    <d v="1899-12-30T00:25:00"/>
    <s v="10:03"/>
    <s v="QB"/>
    <m/>
    <s v="20140808 CSejkora"/>
    <s v="20140809 HReider"/>
    <s v="x"/>
    <s v="x"/>
    <s v="na"/>
    <s v="FWL"/>
    <s v="na"/>
    <s v="na"/>
    <s v="na"/>
    <s v="na"/>
    <s v="na"/>
    <s v="na"/>
    <s v="na"/>
    <s v="na"/>
  </r>
  <r>
    <n v="2191"/>
    <x v="57"/>
    <n v="3"/>
    <x v="12"/>
    <x v="0"/>
    <x v="0"/>
    <m/>
    <m/>
    <n v="49"/>
    <m/>
    <s v="M"/>
    <m/>
    <d v="1899-12-30T00:28:00"/>
    <s v="10:04"/>
    <s v="QB"/>
    <m/>
    <s v="20140808 CSejkora"/>
    <s v="20140809 HReider"/>
    <s v="x"/>
    <s v="x"/>
    <s v="na"/>
    <s v="FWL"/>
    <s v="na"/>
    <s v="na"/>
    <s v="na"/>
    <s v="na"/>
    <s v="na"/>
    <s v="na"/>
    <s v="na"/>
    <s v="na"/>
  </r>
  <r>
    <n v="2192"/>
    <x v="57"/>
    <n v="3"/>
    <x v="12"/>
    <x v="0"/>
    <x v="0"/>
    <m/>
    <m/>
    <n v="52"/>
    <m/>
    <s v="M"/>
    <m/>
    <d v="1899-12-30T00:32:00"/>
    <s v="10:06"/>
    <s v="QB"/>
    <m/>
    <s v="20140808 CSejkora"/>
    <s v="20140809 HReider"/>
    <s v="x"/>
    <s v="x"/>
    <s v="na"/>
    <s v="FWL"/>
    <s v="na"/>
    <s v="na"/>
    <s v="na"/>
    <s v="na"/>
    <s v="na"/>
    <s v="na"/>
    <s v="na"/>
    <s v="na"/>
  </r>
  <r>
    <n v="2193"/>
    <x v="57"/>
    <n v="3"/>
    <x v="12"/>
    <x v="0"/>
    <x v="0"/>
    <m/>
    <m/>
    <n v="43"/>
    <m/>
    <s v="F"/>
    <m/>
    <d v="1899-12-30T00:30:00"/>
    <s v="10:07"/>
    <s v="QB"/>
    <m/>
    <s v="20140808 CSejkora"/>
    <s v="20140809 HReider"/>
    <s v="x"/>
    <s v="x"/>
    <s v="na"/>
    <s v="FWL"/>
    <s v="na"/>
    <s v="na"/>
    <s v="na"/>
    <s v="na"/>
    <s v="na"/>
    <s v="na"/>
    <s v="na"/>
    <s v="na"/>
  </r>
  <r>
    <n v="2194"/>
    <x v="57"/>
    <n v="3"/>
    <x v="12"/>
    <x v="0"/>
    <x v="0"/>
    <m/>
    <m/>
    <n v="43"/>
    <m/>
    <s v="M"/>
    <m/>
    <d v="1899-12-30T00:35:00"/>
    <s v="10:09"/>
    <s v="QB"/>
    <m/>
    <s v="20140808 CSejkora"/>
    <s v="20140809 HReider"/>
    <s v="x"/>
    <s v="x"/>
    <s v="na"/>
    <s v="FWL"/>
    <s v="na"/>
    <s v="na"/>
    <s v="na"/>
    <s v="na"/>
    <s v="na"/>
    <s v="na"/>
    <s v="na"/>
    <s v="na"/>
  </r>
  <r>
    <n v="2195"/>
    <x v="57"/>
    <n v="3"/>
    <x v="12"/>
    <x v="0"/>
    <x v="0"/>
    <m/>
    <m/>
    <n v="47"/>
    <m/>
    <s v="F"/>
    <m/>
    <d v="1899-12-30T00:37:00"/>
    <s v="10:10"/>
    <s v="QB"/>
    <m/>
    <s v="20140808 CSejkora"/>
    <s v="20140809 HReider"/>
    <s v="x"/>
    <s v="x"/>
    <s v="na"/>
    <s v="FWL"/>
    <s v="na"/>
    <s v="na"/>
    <s v="na"/>
    <s v="na"/>
    <s v="na"/>
    <s v="na"/>
    <s v="na"/>
    <s v="na"/>
  </r>
  <r>
    <n v="2196"/>
    <x v="57"/>
    <n v="3"/>
    <x v="12"/>
    <x v="0"/>
    <x v="0"/>
    <m/>
    <m/>
    <n v="44"/>
    <m/>
    <s v="F"/>
    <m/>
    <d v="1899-12-30T00:20:00"/>
    <s v="10:11"/>
    <s v="QB"/>
    <m/>
    <s v="20140808 CSejkora"/>
    <s v="20140809 HReider"/>
    <s v="x"/>
    <s v="x"/>
    <s v="na"/>
    <s v="FWL"/>
    <s v="na"/>
    <s v="na"/>
    <s v="na"/>
    <s v="na"/>
    <s v="na"/>
    <s v="na"/>
    <s v="na"/>
    <s v="na"/>
  </r>
  <r>
    <n v="2197"/>
    <x v="57"/>
    <n v="3"/>
    <x v="10"/>
    <x v="0"/>
    <x v="7"/>
    <n v="46"/>
    <s v="124 CM"/>
    <n v="61"/>
    <m/>
    <s v="M"/>
    <m/>
    <d v="1899-12-30T01:09:00"/>
    <s v="10:14"/>
    <s v="CSj"/>
    <m/>
    <s v="20140808 CSejkora"/>
    <s v="20140809 HReider"/>
    <s v="x"/>
    <n v="151.56399999999999"/>
    <s v="na"/>
    <s v="FWL"/>
    <s v="na"/>
    <s v="na"/>
    <s v="F1840"/>
    <s v="na"/>
    <s v="na"/>
    <s v="na"/>
    <s v="na"/>
    <s v="na"/>
  </r>
  <r>
    <n v="2198"/>
    <x v="57"/>
    <n v="3"/>
    <x v="12"/>
    <x v="0"/>
    <x v="12"/>
    <n v="65"/>
    <s v="156 P"/>
    <n v="46"/>
    <m/>
    <s v="M"/>
    <d v="1899-12-30T11:48:00"/>
    <d v="1899-12-30T00:59:00"/>
    <s v="11:50"/>
    <s v="JK"/>
    <m/>
    <s v="20140808 JKunzler"/>
    <s v="20140809 HReider"/>
    <d v="1899-12-30T00:01:01"/>
    <n v="151.596"/>
    <s v="na"/>
    <s v="FWL"/>
    <s v="na"/>
    <s v="na"/>
    <s v="F1835"/>
    <s v="na"/>
    <s v="na"/>
    <s v="na"/>
    <s v="na"/>
    <s v="na"/>
  </r>
  <r>
    <n v="2199"/>
    <x v="57"/>
    <n v="3"/>
    <x v="10"/>
    <x v="0"/>
    <x v="7"/>
    <n v="43"/>
    <s v="125 CM"/>
    <n v="59"/>
    <m/>
    <s v="M"/>
    <m/>
    <d v="1899-12-30T01:06:00"/>
    <s v="11:55"/>
    <s v="JK"/>
    <m/>
    <s v="20140808 JKunzler"/>
    <s v="20140809 HReider"/>
    <s v="x"/>
    <n v="151.56399999999999"/>
    <s v="na"/>
    <s v="FWL"/>
    <s v="na"/>
    <s v="na"/>
    <s v="F1840"/>
    <s v="na"/>
    <s v="na"/>
    <s v="na"/>
    <s v="na"/>
    <s v="na"/>
  </r>
  <r>
    <n v="2200"/>
    <x v="57"/>
    <n v="3"/>
    <x v="10"/>
    <x v="0"/>
    <x v="11"/>
    <n v="84"/>
    <s v="126 CM"/>
    <n v="61"/>
    <m/>
    <s v="F"/>
    <m/>
    <d v="1899-12-30T01:13:00"/>
    <s v="11:59"/>
    <s v="JK"/>
    <m/>
    <s v="20140808 JKunzler"/>
    <s v="20140809 HReider"/>
    <s v="x"/>
    <n v="151.53399999999999"/>
    <s v="na"/>
    <s v="FWL"/>
    <s v="na"/>
    <s v="na"/>
    <s v="F1840"/>
    <s v="na"/>
    <s v="na"/>
    <s v="na"/>
    <s v="na"/>
    <s v="na"/>
  </r>
  <r>
    <n v="2201"/>
    <x v="57"/>
    <n v="3"/>
    <x v="10"/>
    <x v="0"/>
    <x v="7"/>
    <n v="15"/>
    <s v="127 CM"/>
    <n v="59"/>
    <m/>
    <s v="M"/>
    <m/>
    <d v="1899-12-30T00:52:00"/>
    <s v="13:10"/>
    <s v="BK"/>
    <m/>
    <s v="20140808 JKunzler"/>
    <s v="20140809 HReider"/>
    <s v="x"/>
    <n v="151.56399999999999"/>
    <s v="na"/>
    <s v="FWL"/>
    <s v="na"/>
    <s v="na"/>
    <s v="F1840"/>
    <s v="na"/>
    <s v="na"/>
    <s v="na"/>
    <s v="na"/>
    <s v="na"/>
  </r>
  <r>
    <n v="2202"/>
    <x v="57"/>
    <n v="3"/>
    <x v="10"/>
    <x v="0"/>
    <x v="11"/>
    <n v="70"/>
    <s v="128 CM"/>
    <n v="54"/>
    <m/>
    <s v="F"/>
    <m/>
    <d v="1899-12-30T01:17:00"/>
    <s v="13:16"/>
    <s v="BK"/>
    <m/>
    <s v="20140808 JKunzler"/>
    <s v="20140809 HReider"/>
    <s v="x"/>
    <n v="151.53399999999999"/>
    <s v="na"/>
    <s v="FWL"/>
    <s v="na"/>
    <s v="na"/>
    <s v="F1840"/>
    <s v="na"/>
    <s v="na"/>
    <s v="na"/>
    <s v="na"/>
    <s v="na"/>
  </r>
  <r>
    <n v="2203"/>
    <x v="57"/>
    <n v="3"/>
    <x v="10"/>
    <x v="0"/>
    <x v="0"/>
    <m/>
    <m/>
    <n v="59"/>
    <m/>
    <s v="F"/>
    <m/>
    <d v="1899-12-30T00:20:00"/>
    <s v="13:20"/>
    <s v="BK"/>
    <m/>
    <s v="20140808 JKunzler"/>
    <s v="20140809 HReider"/>
    <s v="x"/>
    <s v="x"/>
    <s v="na"/>
    <s v="FWL"/>
    <s v="na"/>
    <s v="na"/>
    <s v="na"/>
    <s v="na"/>
    <s v="na"/>
    <s v="na"/>
    <s v="na"/>
    <s v="na"/>
  </r>
  <r>
    <n v="2204"/>
    <x v="57"/>
    <n v="3"/>
    <x v="10"/>
    <x v="0"/>
    <x v="0"/>
    <m/>
    <m/>
    <n v="61"/>
    <m/>
    <s v="M"/>
    <m/>
    <d v="1899-12-30T00:33:00"/>
    <s v="14:34"/>
    <s v="JK"/>
    <m/>
    <s v="20140808 BKalb"/>
    <s v="20140809 HReider"/>
    <s v="x"/>
    <s v="x"/>
    <s v="na"/>
    <s v="FWL"/>
    <s v="na"/>
    <s v="na"/>
    <s v="na"/>
    <s v="na"/>
    <s v="na"/>
    <s v="na"/>
    <s v="na"/>
    <s v="na"/>
  </r>
  <r>
    <n v="2205"/>
    <x v="57"/>
    <n v="3"/>
    <x v="10"/>
    <x v="0"/>
    <x v="0"/>
    <m/>
    <m/>
    <n v="54"/>
    <m/>
    <s v="F"/>
    <m/>
    <d v="1899-12-30T00:23:00"/>
    <s v="14:35"/>
    <s v="JK"/>
    <m/>
    <s v="20140808 BKalb"/>
    <s v="20140809 HReider"/>
    <s v="x"/>
    <s v="x"/>
    <s v="na"/>
    <s v="FWL"/>
    <s v="na"/>
    <s v="na"/>
    <s v="na"/>
    <s v="na"/>
    <s v="na"/>
    <s v="na"/>
    <s v="na"/>
    <s v="na"/>
  </r>
  <r>
    <n v="2206"/>
    <x v="57"/>
    <n v="3"/>
    <x v="10"/>
    <x v="0"/>
    <x v="0"/>
    <m/>
    <m/>
    <n v="55"/>
    <m/>
    <s v="F"/>
    <m/>
    <d v="1899-12-30T00:23:00"/>
    <s v="16:17"/>
    <s v="BK"/>
    <m/>
    <s v="20140808 BKalb"/>
    <s v="20140809 HReider"/>
    <s v="x"/>
    <s v="x"/>
    <s v="na"/>
    <s v="FWL"/>
    <s v="na"/>
    <s v="na"/>
    <s v="na"/>
    <s v="na"/>
    <s v="na"/>
    <s v="na"/>
    <s v="na"/>
    <s v="na"/>
  </r>
  <r>
    <n v="2207"/>
    <x v="57"/>
    <n v="3"/>
    <x v="10"/>
    <x v="0"/>
    <x v="0"/>
    <m/>
    <m/>
    <n v="56"/>
    <m/>
    <s v="M"/>
    <m/>
    <d v="1899-12-30T00:27:00"/>
    <s v="16:20"/>
    <s v="BK"/>
    <m/>
    <s v="20140808 BKalb"/>
    <s v="20140809 HReider"/>
    <s v="x"/>
    <s v="x"/>
    <s v="na"/>
    <s v="FWL"/>
    <s v="na"/>
    <s v="na"/>
    <s v="na"/>
    <s v="na"/>
    <s v="na"/>
    <s v="na"/>
    <s v="na"/>
    <s v="na"/>
  </r>
  <r>
    <n v="2208"/>
    <x v="57"/>
    <n v="3"/>
    <x v="10"/>
    <x v="0"/>
    <x v="0"/>
    <m/>
    <m/>
    <n v="60"/>
    <m/>
    <s v="F"/>
    <m/>
    <d v="1899-12-30T00:20:00"/>
    <s v="16:38"/>
    <s v="JK"/>
    <m/>
    <s v="20140808 BKalb"/>
    <s v="20140809 HReider"/>
    <s v="x"/>
    <s v="x"/>
    <s v="na"/>
    <s v="FWL"/>
    <s v="na"/>
    <s v="na"/>
    <s v="na"/>
    <s v="na"/>
    <s v="na"/>
    <s v="na"/>
    <s v="na"/>
    <s v="na"/>
  </r>
  <r>
    <n v="2209"/>
    <x v="57"/>
    <n v="3"/>
    <x v="10"/>
    <x v="0"/>
    <x v="7"/>
    <n v="13"/>
    <s v="129 CM"/>
    <n v="63"/>
    <m/>
    <s v="U"/>
    <m/>
    <d v="1899-12-30T01:07:00"/>
    <s v="17:34"/>
    <s v="DJ"/>
    <m/>
    <s v="20140808 NCollin"/>
    <s v="20140809 HReider"/>
    <s v="x"/>
    <n v="151.56399999999999"/>
    <s v="na"/>
    <s v="FWL"/>
    <s v="na"/>
    <s v="na"/>
    <s v="F1840"/>
    <s v="na"/>
    <s v="na"/>
    <s v="na"/>
    <s v="na"/>
    <s v="na"/>
  </r>
  <r>
    <n v="2210"/>
    <x v="57"/>
    <n v="3"/>
    <x v="12"/>
    <x v="0"/>
    <x v="12"/>
    <n v="33"/>
    <s v="157 P"/>
    <n v="41"/>
    <m/>
    <s v="M"/>
    <m/>
    <d v="1899-12-30T00:54:00"/>
    <s v="17:42"/>
    <s v="DJ"/>
    <m/>
    <s v="20140808 NCollin"/>
    <s v="20140809 HReider"/>
    <s v="x"/>
    <n v="151.596"/>
    <s v="na"/>
    <s v="FWL"/>
    <s v="na"/>
    <s v="na"/>
    <s v="F1835"/>
    <s v="na"/>
    <s v="na"/>
    <s v="na"/>
    <s v="na"/>
    <s v="na"/>
  </r>
  <r>
    <n v="2211"/>
    <x v="57"/>
    <n v="3"/>
    <x v="10"/>
    <x v="0"/>
    <x v="0"/>
    <m/>
    <m/>
    <n v="64"/>
    <m/>
    <s v="U"/>
    <m/>
    <d v="1899-12-30T00:16:00"/>
    <s v="17:37"/>
    <s v="DJ"/>
    <m/>
    <s v="20140808 NCollin"/>
    <s v="20140809 HReider"/>
    <s v="x"/>
    <s v="x"/>
    <s v="na"/>
    <s v="FWL"/>
    <s v="na"/>
    <s v="na"/>
    <s v="na"/>
    <s v="na"/>
    <s v="na"/>
    <s v="na"/>
    <s v="na"/>
    <s v="na"/>
  </r>
  <r>
    <n v="2212"/>
    <x v="57"/>
    <n v="3"/>
    <x v="10"/>
    <x v="0"/>
    <x v="0"/>
    <m/>
    <m/>
    <n v="58"/>
    <m/>
    <s v="U"/>
    <m/>
    <d v="1899-12-30T00:20:00"/>
    <s v="17:38"/>
    <s v="DJ"/>
    <m/>
    <s v="20140808 NCollin"/>
    <s v="20140809 HReider"/>
    <s v="x"/>
    <s v="x"/>
    <s v="na"/>
    <s v="FWL"/>
    <s v="na"/>
    <s v="na"/>
    <s v="na"/>
    <s v="na"/>
    <s v="na"/>
    <s v="na"/>
    <s v="na"/>
    <s v="na"/>
  </r>
  <r>
    <n v="2213"/>
    <x v="57"/>
    <n v="3"/>
    <x v="10"/>
    <x v="0"/>
    <x v="0"/>
    <m/>
    <m/>
    <n v="53"/>
    <m/>
    <s v="U"/>
    <m/>
    <d v="1899-12-30T00:18:00"/>
    <s v="17:39"/>
    <s v="DJ"/>
    <m/>
    <s v="20140808 NCollin"/>
    <s v="20140809 HReider"/>
    <s v="x"/>
    <s v="x"/>
    <s v="na"/>
    <s v="FWL"/>
    <s v="na"/>
    <s v="na"/>
    <s v="na"/>
    <s v="na"/>
    <s v="na"/>
    <s v="na"/>
    <s v="na"/>
    <s v="na"/>
  </r>
  <r>
    <n v="2214"/>
    <x v="57"/>
    <n v="3"/>
    <x v="7"/>
    <x v="0"/>
    <x v="6"/>
    <n v="89"/>
    <s v="127 S"/>
    <n v="45"/>
    <m/>
    <s v="U"/>
    <m/>
    <d v="1899-12-30T00:57:00"/>
    <s v="18:45"/>
    <s v="NC"/>
    <m/>
    <s v="20140808 NCollin"/>
    <s v="20140809 HReider"/>
    <s v="x"/>
    <n v="151.57300000000001"/>
    <s v="na"/>
    <s v="FWL"/>
    <s v="na"/>
    <s v="na"/>
    <s v="F1840"/>
    <s v="na"/>
    <s v="na"/>
    <s v="na"/>
    <s v="na"/>
    <s v="na"/>
  </r>
  <r>
    <n v="2215"/>
    <x v="57"/>
    <n v="3"/>
    <x v="1"/>
    <x v="0"/>
    <x v="0"/>
    <m/>
    <m/>
    <n v="60"/>
    <m/>
    <s v="U"/>
    <m/>
    <d v="1899-12-30T00:29:00"/>
    <s v="18:48"/>
    <s v="NC"/>
    <m/>
    <s v="20140808 NCollin"/>
    <s v="20140809 HReider"/>
    <s v="x"/>
    <s v="x"/>
    <s v="na"/>
    <s v="FWL"/>
    <s v="na"/>
    <s v="na"/>
    <s v="na"/>
    <s v="na"/>
    <s v="na"/>
    <s v="na"/>
    <s v="na"/>
    <s v="na"/>
  </r>
  <r>
    <n v="2216"/>
    <x v="57"/>
    <n v="3"/>
    <x v="13"/>
    <x v="0"/>
    <x v="15"/>
    <n v="1"/>
    <s v="40 CO"/>
    <n v="48"/>
    <m/>
    <s v="U"/>
    <m/>
    <d v="1899-12-30T00:53:00"/>
    <s v="20:06"/>
    <s v="DJ"/>
    <s v="F266."/>
    <s v="20140808 NCollin"/>
    <s v="20140809 HReider"/>
    <s v="x"/>
    <n v="151.26599999999999"/>
    <s v="na"/>
    <s v="FWL"/>
    <s v="na"/>
    <s v="na"/>
    <s v="F1840"/>
    <s v="na"/>
    <s v="na"/>
    <s v="na"/>
    <s v="na"/>
    <s v="na"/>
  </r>
  <r>
    <n v="2217"/>
    <x v="58"/>
    <n v="1"/>
    <x v="10"/>
    <x v="0"/>
    <x v="7"/>
    <n v="59"/>
    <s v="135 CM"/>
    <n v="55"/>
    <m/>
    <s v="U"/>
    <d v="1899-12-30T08:20:00"/>
    <d v="1899-12-30T01:02:00"/>
    <s v="09:28"/>
    <s v="CSj"/>
    <m/>
    <s v="20140809 CSejkora"/>
    <s v="20140810 HReider"/>
    <d v="1899-12-30T01:06:58"/>
    <n v="151.56399999999999"/>
    <s v="na"/>
    <s v="FWL"/>
    <s v="na"/>
    <s v="na"/>
    <s v="F1840"/>
    <s v="na"/>
    <s v="na"/>
    <s v="na"/>
    <s v="na"/>
    <s v="na"/>
  </r>
  <r>
    <n v="2218"/>
    <x v="58"/>
    <n v="1"/>
    <x v="12"/>
    <x v="0"/>
    <x v="3"/>
    <n v="12"/>
    <s v="160 P"/>
    <n v="49"/>
    <m/>
    <s v="M"/>
    <m/>
    <d v="1899-12-30T00:54:00"/>
    <s v="09:31"/>
    <s v="CSj"/>
    <m/>
    <s v="20140809 CSejkora"/>
    <s v="20140810 HReider"/>
    <s v="x"/>
    <n v="151.917"/>
    <s v="na"/>
    <s v="FWL"/>
    <s v="na"/>
    <s v="na"/>
    <s v="F1835"/>
    <s v="na"/>
    <s v="na"/>
    <s v="na"/>
    <s v="na"/>
    <s v="na"/>
  </r>
  <r>
    <n v="2219"/>
    <x v="58"/>
    <n v="1"/>
    <x v="10"/>
    <x v="0"/>
    <x v="11"/>
    <n v="66"/>
    <s v="143 CM"/>
    <n v="60"/>
    <m/>
    <s v="F"/>
    <m/>
    <d v="1899-12-30T00:56:00"/>
    <s v="09:35"/>
    <s v="CSj"/>
    <m/>
    <s v="20140809 CSejkora"/>
    <s v="20140810 HReider"/>
    <s v="x"/>
    <n v="151.53399999999999"/>
    <s v="na"/>
    <s v="FWL"/>
    <s v="na"/>
    <s v="na"/>
    <s v="F1840"/>
    <s v="na"/>
    <s v="na"/>
    <s v="na"/>
    <s v="na"/>
    <s v="na"/>
  </r>
  <r>
    <n v="2220"/>
    <x v="58"/>
    <n v="1"/>
    <x v="12"/>
    <x v="0"/>
    <x v="0"/>
    <m/>
    <m/>
    <n v="44"/>
    <m/>
    <s v="F"/>
    <m/>
    <d v="1899-12-30T00:24:00"/>
    <s v="09:38"/>
    <s v="CSj"/>
    <m/>
    <s v="20140809 CSejkora"/>
    <s v="20140810 HReider"/>
    <s v="x"/>
    <s v="x"/>
    <s v="na"/>
    <s v="FWL"/>
    <s v="na"/>
    <s v="na"/>
    <s v="na"/>
    <s v="na"/>
    <s v="na"/>
    <s v="na"/>
    <s v="na"/>
    <s v="na"/>
  </r>
  <r>
    <n v="2221"/>
    <x v="58"/>
    <n v="1"/>
    <x v="12"/>
    <x v="0"/>
    <x v="0"/>
    <m/>
    <m/>
    <n v="44"/>
    <m/>
    <s v="F"/>
    <m/>
    <d v="1899-12-30T00:26:00"/>
    <s v="09:39"/>
    <s v="CSj"/>
    <m/>
    <s v="20140809 CSejkora"/>
    <s v="20140810 HReider"/>
    <s v="x"/>
    <s v="x"/>
    <s v="na"/>
    <s v="FWL"/>
    <s v="na"/>
    <s v="na"/>
    <s v="na"/>
    <s v="na"/>
    <s v="na"/>
    <s v="na"/>
    <s v="na"/>
    <s v="na"/>
  </r>
  <r>
    <n v="2222"/>
    <x v="58"/>
    <n v="1"/>
    <x v="12"/>
    <x v="0"/>
    <x v="0"/>
    <m/>
    <m/>
    <n v="47"/>
    <m/>
    <s v="M"/>
    <m/>
    <d v="1899-12-30T00:32:00"/>
    <s v="10:54"/>
    <s v="NC"/>
    <m/>
    <s v="20140809 CSejkora"/>
    <s v="20140810 HReider"/>
    <s v="x"/>
    <s v="x"/>
    <s v="na"/>
    <s v="FWL"/>
    <s v="na"/>
    <s v="na"/>
    <s v="na"/>
    <s v="na"/>
    <s v="na"/>
    <s v="na"/>
    <s v="na"/>
    <s v="na"/>
  </r>
  <r>
    <n v="2223"/>
    <x v="58"/>
    <n v="1"/>
    <x v="12"/>
    <x v="0"/>
    <x v="0"/>
    <m/>
    <m/>
    <n v="47"/>
    <m/>
    <s v="M"/>
    <m/>
    <d v="1899-12-30T00:30:00"/>
    <s v="10:55"/>
    <s v="NC"/>
    <m/>
    <s v="20140809 CSejkora"/>
    <s v="20140810 HReider"/>
    <s v="x"/>
    <s v="x"/>
    <s v="na"/>
    <s v="FWL"/>
    <s v="na"/>
    <s v="na"/>
    <s v="na"/>
    <s v="na"/>
    <s v="na"/>
    <s v="na"/>
    <s v="na"/>
    <s v="na"/>
  </r>
  <r>
    <n v="2224"/>
    <x v="58"/>
    <n v="1"/>
    <x v="12"/>
    <x v="0"/>
    <x v="0"/>
    <m/>
    <m/>
    <n v="44"/>
    <m/>
    <s v="M"/>
    <m/>
    <d v="1899-12-30T00:30:00"/>
    <s v="10:55"/>
    <s v="NC"/>
    <m/>
    <s v="20140809 CSejkora"/>
    <s v="20140810 HReider"/>
    <s v="x"/>
    <s v="x"/>
    <s v="na"/>
    <s v="FWL"/>
    <s v="na"/>
    <s v="na"/>
    <s v="na"/>
    <s v="na"/>
    <s v="na"/>
    <s v="na"/>
    <s v="na"/>
    <s v="na"/>
  </r>
  <r>
    <n v="2225"/>
    <x v="58"/>
    <n v="1"/>
    <x v="10"/>
    <x v="0"/>
    <x v="0"/>
    <m/>
    <m/>
    <n v="60"/>
    <m/>
    <s v="M"/>
    <m/>
    <d v="1899-12-30T00:26:00"/>
    <s v="10:58"/>
    <s v="NC"/>
    <m/>
    <s v="20140809 CSejkora"/>
    <s v="20140810 HReider"/>
    <s v="x"/>
    <s v="x"/>
    <s v="na"/>
    <s v="FWL"/>
    <s v="na"/>
    <s v="na"/>
    <s v="na"/>
    <s v="na"/>
    <s v="na"/>
    <s v="na"/>
    <s v="na"/>
    <s v="na"/>
  </r>
  <r>
    <n v="2226"/>
    <x v="58"/>
    <n v="1"/>
    <x v="10"/>
    <x v="0"/>
    <x v="0"/>
    <m/>
    <m/>
    <n v="57"/>
    <m/>
    <s v="M"/>
    <m/>
    <d v="1899-12-30T00:24:00"/>
    <s v="12:34"/>
    <s v="CSj"/>
    <m/>
    <s v="20140809 CSejkora"/>
    <s v="20140810 HReider"/>
    <s v="x"/>
    <s v="x"/>
    <s v="na"/>
    <s v="FWL"/>
    <s v="na"/>
    <s v="na"/>
    <s v="na"/>
    <s v="na"/>
    <s v="na"/>
    <s v="na"/>
    <s v="na"/>
    <s v="na"/>
  </r>
  <r>
    <n v="2227"/>
    <x v="58"/>
    <n v="1"/>
    <x v="10"/>
    <x v="0"/>
    <x v="0"/>
    <m/>
    <m/>
    <n v="56"/>
    <m/>
    <s v="M"/>
    <m/>
    <d v="1899-12-30T00:33:00"/>
    <s v="12:36"/>
    <s v="CSj"/>
    <m/>
    <s v="20140809 CSejkora"/>
    <s v="20140810 HReider"/>
    <s v="x"/>
    <s v="x"/>
    <s v="na"/>
    <s v="FWL"/>
    <s v="na"/>
    <s v="na"/>
    <s v="na"/>
    <s v="na"/>
    <s v="na"/>
    <s v="na"/>
    <s v="na"/>
    <s v="na"/>
  </r>
  <r>
    <n v="2228"/>
    <x v="58"/>
    <n v="1"/>
    <x v="12"/>
    <x v="0"/>
    <x v="0"/>
    <m/>
    <m/>
    <n v="46"/>
    <m/>
    <s v="M"/>
    <m/>
    <d v="1899-12-30T00:20:00"/>
    <s v="12:37"/>
    <s v="CSj"/>
    <m/>
    <s v="20140809 CSejkora"/>
    <s v="20140810 HReider"/>
    <s v="x"/>
    <s v="x"/>
    <s v="na"/>
    <s v="FWL"/>
    <s v="na"/>
    <s v="na"/>
    <s v="na"/>
    <s v="na"/>
    <s v="na"/>
    <s v="na"/>
    <s v="na"/>
    <s v="na"/>
  </r>
  <r>
    <n v="2229"/>
    <x v="58"/>
    <n v="1"/>
    <x v="10"/>
    <x v="0"/>
    <x v="0"/>
    <m/>
    <m/>
    <n v="57"/>
    <m/>
    <s v="M"/>
    <m/>
    <d v="1899-12-30T00:27:00"/>
    <s v="12:38"/>
    <s v="CSj"/>
    <m/>
    <s v="20140809 CSejkora"/>
    <s v="20140810 HReider"/>
    <s v="x"/>
    <s v="x"/>
    <s v="na"/>
    <s v="FWL"/>
    <s v="na"/>
    <s v="na"/>
    <s v="na"/>
    <s v="na"/>
    <s v="na"/>
    <s v="na"/>
    <s v="na"/>
    <s v="na"/>
  </r>
  <r>
    <n v="2230"/>
    <x v="58"/>
    <n v="1"/>
    <x v="12"/>
    <x v="0"/>
    <x v="0"/>
    <m/>
    <m/>
    <n v="44"/>
    <m/>
    <s v="M"/>
    <m/>
    <d v="1899-12-30T00:23:00"/>
    <s v="12:39"/>
    <s v="CSj"/>
    <m/>
    <s v="20140809 CSejkora"/>
    <s v="20140810 HReider"/>
    <s v="x"/>
    <s v="x"/>
    <s v="na"/>
    <s v="FWL"/>
    <s v="na"/>
    <s v="na"/>
    <s v="na"/>
    <s v="na"/>
    <s v="na"/>
    <s v="na"/>
    <s v="na"/>
    <s v="na"/>
  </r>
  <r>
    <n v="2231"/>
    <x v="58"/>
    <n v="1"/>
    <x v="12"/>
    <x v="0"/>
    <x v="0"/>
    <m/>
    <m/>
    <n v="44"/>
    <m/>
    <s v="F"/>
    <m/>
    <d v="1899-12-30T00:30:00"/>
    <s v="12:40"/>
    <s v="CSj"/>
    <m/>
    <s v="20140809 CSejkora"/>
    <s v="20140810 HReider"/>
    <s v="x"/>
    <s v="x"/>
    <s v="na"/>
    <s v="FWL"/>
    <s v="na"/>
    <s v="na"/>
    <s v="na"/>
    <s v="na"/>
    <s v="na"/>
    <s v="na"/>
    <s v="na"/>
    <s v="na"/>
  </r>
  <r>
    <n v="2232"/>
    <x v="58"/>
    <n v="1"/>
    <x v="12"/>
    <x v="0"/>
    <x v="0"/>
    <m/>
    <m/>
    <n v="46"/>
    <m/>
    <s v="M"/>
    <m/>
    <d v="1899-12-30T00:28:00"/>
    <s v="12:42"/>
    <s v="CSj"/>
    <m/>
    <s v="20140809 CSejkora"/>
    <s v="20140810 HReider"/>
    <s v="x"/>
    <s v="x"/>
    <s v="na"/>
    <s v="FWL"/>
    <s v="na"/>
    <s v="na"/>
    <s v="na"/>
    <s v="na"/>
    <s v="na"/>
    <s v="na"/>
    <s v="na"/>
    <s v="na"/>
  </r>
  <r>
    <n v="2233"/>
    <x v="58"/>
    <n v="1"/>
    <x v="12"/>
    <x v="0"/>
    <x v="0"/>
    <m/>
    <m/>
    <n v="45"/>
    <m/>
    <s v="M"/>
    <m/>
    <d v="1899-12-30T00:25:00"/>
    <s v="13:51"/>
    <s v="CSj"/>
    <m/>
    <s v="20140809 CSejkora"/>
    <s v="20140810 HReider"/>
    <s v="x"/>
    <s v="x"/>
    <s v="na"/>
    <s v="FWL"/>
    <s v="na"/>
    <s v="na"/>
    <s v="na"/>
    <s v="na"/>
    <s v="na"/>
    <s v="na"/>
    <s v="na"/>
    <s v="na"/>
  </r>
  <r>
    <n v="2234"/>
    <x v="58"/>
    <n v="1"/>
    <x v="12"/>
    <x v="0"/>
    <x v="0"/>
    <m/>
    <m/>
    <n v="44"/>
    <m/>
    <s v="F"/>
    <m/>
    <d v="1899-12-30T00:23:00"/>
    <s v="13:52"/>
    <s v="NC"/>
    <m/>
    <s v="20140809 CSejkora"/>
    <s v="20140810 HReider"/>
    <s v="x"/>
    <s v="x"/>
    <s v="na"/>
    <s v="FWL"/>
    <s v="na"/>
    <s v="na"/>
    <s v="na"/>
    <s v="na"/>
    <s v="na"/>
    <s v="na"/>
    <s v="na"/>
    <s v="na"/>
  </r>
  <r>
    <n v="2235"/>
    <x v="58"/>
    <n v="1"/>
    <x v="10"/>
    <x v="0"/>
    <x v="0"/>
    <m/>
    <m/>
    <n v="57"/>
    <m/>
    <s v="U"/>
    <m/>
    <d v="1899-12-30T00:17:00"/>
    <s v="16:11"/>
    <s v="JBu"/>
    <m/>
    <s v="20140809 JBures"/>
    <s v="20140810 HReider"/>
    <s v="x"/>
    <s v="x"/>
    <s v="na"/>
    <s v="FWL"/>
    <s v="na"/>
    <s v="na"/>
    <s v="na"/>
    <s v="na"/>
    <s v="na"/>
    <s v="na"/>
    <s v="na"/>
    <s v="na"/>
  </r>
  <r>
    <n v="2236"/>
    <x v="58"/>
    <n v="1"/>
    <x v="10"/>
    <x v="0"/>
    <x v="0"/>
    <m/>
    <m/>
    <n v="55"/>
    <m/>
    <s v="M"/>
    <m/>
    <d v="1899-12-30T00:15:00"/>
    <s v="17:06"/>
    <s v="DJ"/>
    <m/>
    <s v="20140809 JBures"/>
    <s v="20140810 HReider"/>
    <s v="x"/>
    <s v="x"/>
    <s v="na"/>
    <s v="FWL"/>
    <s v="na"/>
    <s v="na"/>
    <s v="na"/>
    <s v="na"/>
    <s v="na"/>
    <s v="na"/>
    <s v="na"/>
    <s v="na"/>
  </r>
  <r>
    <n v="2237"/>
    <x v="58"/>
    <n v="1"/>
    <x v="10"/>
    <x v="0"/>
    <x v="0"/>
    <m/>
    <m/>
    <n v="60"/>
    <m/>
    <s v="F"/>
    <m/>
    <d v="1899-12-30T00:18:00"/>
    <s v="17:10"/>
    <s v="DJ"/>
    <m/>
    <s v="20140809 JBures"/>
    <s v="20140810 HReider"/>
    <s v="x"/>
    <s v="x"/>
    <s v="na"/>
    <s v="FWL"/>
    <s v="na"/>
    <s v="na"/>
    <s v="na"/>
    <s v="na"/>
    <s v="na"/>
    <s v="na"/>
    <s v="na"/>
    <s v="na"/>
  </r>
  <r>
    <n v="2238"/>
    <x v="58"/>
    <n v="1"/>
    <x v="10"/>
    <x v="0"/>
    <x v="0"/>
    <m/>
    <m/>
    <n v="53"/>
    <m/>
    <s v="M"/>
    <m/>
    <d v="1899-12-30T00:16:00"/>
    <s v="18:15"/>
    <s v="JBu"/>
    <m/>
    <s v="20140809 JBures"/>
    <s v="20140810 HReider"/>
    <s v="x"/>
    <s v="x"/>
    <s v="na"/>
    <s v="FWL"/>
    <s v="na"/>
    <s v="na"/>
    <s v="na"/>
    <s v="na"/>
    <s v="na"/>
    <s v="na"/>
    <s v="na"/>
    <s v="na"/>
  </r>
  <r>
    <n v="2239"/>
    <x v="58"/>
    <n v="1"/>
    <x v="10"/>
    <x v="0"/>
    <x v="0"/>
    <m/>
    <m/>
    <n v="55"/>
    <m/>
    <s v="M"/>
    <m/>
    <d v="1899-12-30T00:15:00"/>
    <s v="18:16"/>
    <s v="JBu"/>
    <m/>
    <s v="20140809 JBures"/>
    <s v="20140810 HReider"/>
    <s v="x"/>
    <s v="x"/>
    <s v="na"/>
    <s v="FWL"/>
    <s v="na"/>
    <s v="na"/>
    <s v="na"/>
    <s v="na"/>
    <s v="na"/>
    <s v="na"/>
    <s v="na"/>
    <s v="na"/>
  </r>
  <r>
    <n v="2240"/>
    <x v="58"/>
    <n v="1"/>
    <x v="10"/>
    <x v="0"/>
    <x v="0"/>
    <m/>
    <m/>
    <n v="59"/>
    <m/>
    <s v="F"/>
    <m/>
    <d v="1899-12-30T00:11:00"/>
    <s v="18:18"/>
    <s v="JBu"/>
    <m/>
    <s v="20140809 JBures"/>
    <s v="20140810 HReider"/>
    <s v="x"/>
    <s v="x"/>
    <s v="na"/>
    <s v="FWL"/>
    <s v="na"/>
    <s v="na"/>
    <s v="na"/>
    <s v="na"/>
    <s v="na"/>
    <s v="na"/>
    <s v="na"/>
    <s v="na"/>
  </r>
  <r>
    <n v="2241"/>
    <x v="58"/>
    <n v="1"/>
    <x v="12"/>
    <x v="0"/>
    <x v="12"/>
    <n v="77"/>
    <s v="161 P"/>
    <n v="46"/>
    <m/>
    <s v="F"/>
    <m/>
    <d v="1899-12-30T00:43:00"/>
    <s v="19:07"/>
    <s v="DJ"/>
    <m/>
    <s v="20140809 JBures"/>
    <s v="20140810 HReider"/>
    <s v="x"/>
    <n v="151.596"/>
    <s v="na"/>
    <s v="FWL"/>
    <s v="na"/>
    <s v="na"/>
    <s v="F1835"/>
    <s v="na"/>
    <s v="na"/>
    <s v="na"/>
    <s v="na"/>
    <s v="na"/>
  </r>
  <r>
    <n v="2242"/>
    <x v="58"/>
    <n v="1"/>
    <x v="12"/>
    <x v="0"/>
    <x v="12"/>
    <n v="25"/>
    <s v="168 P"/>
    <n v="45"/>
    <m/>
    <s v="F"/>
    <m/>
    <d v="1899-12-30T00:35:00"/>
    <s v="20:14"/>
    <s v="JBu"/>
    <m/>
    <s v="20140809 JBures"/>
    <s v="20140810 HReider"/>
    <s v="x"/>
    <n v="151.596"/>
    <s v="na"/>
    <s v="FWL"/>
    <s v="na"/>
    <s v="na"/>
    <s v="F1835"/>
    <s v="na"/>
    <s v="na"/>
    <s v="na"/>
    <s v="na"/>
    <s v="na"/>
  </r>
  <r>
    <n v="2243"/>
    <x v="58"/>
    <n v="1"/>
    <x v="12"/>
    <x v="0"/>
    <x v="12"/>
    <n v="83"/>
    <s v="162 P"/>
    <n v="47"/>
    <m/>
    <s v="F"/>
    <m/>
    <d v="1899-12-30T00:40:00"/>
    <s v="20:16"/>
    <s v="JBu"/>
    <m/>
    <s v="20140809 JBures"/>
    <s v="20140810 HReider"/>
    <s v="x"/>
    <n v="151.596"/>
    <s v="na"/>
    <s v="FWL"/>
    <s v="na"/>
    <s v="na"/>
    <s v="F1835"/>
    <s v="na"/>
    <s v="na"/>
    <s v="na"/>
    <s v="na"/>
    <s v="na"/>
  </r>
  <r>
    <n v="2244"/>
    <x v="58"/>
    <n v="1"/>
    <x v="13"/>
    <x v="0"/>
    <x v="15"/>
    <n v="10"/>
    <s v="44 CO"/>
    <n v="58"/>
    <m/>
    <s v="M"/>
    <m/>
    <d v="1899-12-30T00:44:00"/>
    <s v="20:18"/>
    <s v="JBu"/>
    <s v="F266."/>
    <s v="20140809 JBures"/>
    <s v="20140810 HReider"/>
    <s v="x"/>
    <n v="151.26599999999999"/>
    <s v="na"/>
    <s v="FWL"/>
    <s v="na"/>
    <s v="na"/>
    <s v="F1840"/>
    <s v="na"/>
    <s v="na"/>
    <s v="na"/>
    <s v="na"/>
    <s v="na"/>
  </r>
  <r>
    <n v="2245"/>
    <x v="58"/>
    <n v="2"/>
    <x v="10"/>
    <x v="0"/>
    <x v="11"/>
    <n v="42"/>
    <s v="144 CM"/>
    <n v="57"/>
    <m/>
    <s v="F"/>
    <m/>
    <d v="1899-12-30T00:54:00"/>
    <s v="09:49"/>
    <s v="NC"/>
    <m/>
    <s v="20140809 CSejkora"/>
    <s v="20140810 HReider"/>
    <s v="x"/>
    <n v="151.53399999999999"/>
    <s v="na"/>
    <s v="FWL"/>
    <s v="na"/>
    <s v="na"/>
    <s v="F1840"/>
    <s v="na"/>
    <s v="na"/>
    <s v="na"/>
    <s v="na"/>
    <s v="na"/>
  </r>
  <r>
    <n v="2246"/>
    <x v="58"/>
    <n v="2"/>
    <x v="10"/>
    <x v="0"/>
    <x v="0"/>
    <m/>
    <m/>
    <n v="60"/>
    <m/>
    <s v="U"/>
    <d v="1899-12-30T10:09:00"/>
    <d v="1899-12-30T00:35:00"/>
    <s v="10:11"/>
    <s v="NC"/>
    <m/>
    <s v="20140809 CSejkora"/>
    <s v="20140810 HReider"/>
    <d v="1899-12-30T00:01:25"/>
    <s v="x"/>
    <s v="na"/>
    <s v="FWL"/>
    <s v="na"/>
    <s v="na"/>
    <s v="na"/>
    <s v="na"/>
    <s v="na"/>
    <s v="na"/>
    <s v="na"/>
    <s v="na"/>
  </r>
  <r>
    <n v="2247"/>
    <x v="58"/>
    <n v="2"/>
    <x v="10"/>
    <x v="0"/>
    <x v="0"/>
    <m/>
    <m/>
    <n v="53"/>
    <m/>
    <s v="U"/>
    <m/>
    <d v="1899-12-30T00:22:00"/>
    <s v="12:51"/>
    <s v="NC"/>
    <m/>
    <s v="20140809 CSejkora"/>
    <s v="20140810 HReider"/>
    <s v="x"/>
    <s v="x"/>
    <s v="na"/>
    <s v="FWL"/>
    <s v="na"/>
    <s v="na"/>
    <s v="na"/>
    <s v="na"/>
    <s v="na"/>
    <s v="na"/>
    <s v="na"/>
    <s v="na"/>
  </r>
  <r>
    <n v="2248"/>
    <x v="58"/>
    <n v="2"/>
    <x v="10"/>
    <x v="0"/>
    <x v="0"/>
    <m/>
    <m/>
    <n v="62"/>
    <m/>
    <s v="U"/>
    <m/>
    <d v="1899-12-30T00:36:00"/>
    <s v="13:39"/>
    <s v="CSj"/>
    <m/>
    <s v="20140809 CSejkora"/>
    <s v="20140810 HReider"/>
    <s v="x"/>
    <s v="x"/>
    <s v="na"/>
    <s v="FWL"/>
    <s v="na"/>
    <s v="na"/>
    <s v="na"/>
    <s v="na"/>
    <s v="na"/>
    <s v="na"/>
    <s v="na"/>
    <s v="na"/>
  </r>
  <r>
    <n v="2249"/>
    <x v="58"/>
    <n v="2"/>
    <x v="10"/>
    <x v="0"/>
    <x v="0"/>
    <m/>
    <m/>
    <n v="61"/>
    <m/>
    <s v="M"/>
    <d v="1899-12-30T15:28:00"/>
    <d v="1899-12-30T00:16:00"/>
    <s v="15:33"/>
    <s v="DJ"/>
    <m/>
    <s v="20140809 JBures"/>
    <s v="20140810 HReider"/>
    <d v="1899-12-30T00:04:44"/>
    <s v="x"/>
    <s v="na"/>
    <s v="FWL"/>
    <s v="na"/>
    <s v="na"/>
    <s v="na"/>
    <s v="na"/>
    <s v="na"/>
    <s v="na"/>
    <s v="na"/>
    <s v="na"/>
  </r>
  <r>
    <n v="2250"/>
    <x v="58"/>
    <n v="2"/>
    <x v="10"/>
    <x v="0"/>
    <x v="0"/>
    <m/>
    <m/>
    <n v="64"/>
    <m/>
    <s v="F"/>
    <d v="1899-12-30T16:00:00"/>
    <d v="1899-12-30T00:19:00"/>
    <s v="16:02"/>
    <s v="DJ"/>
    <m/>
    <s v="20140809 JBures"/>
    <s v="20140810 HReider"/>
    <d v="1899-12-30T00:01:41"/>
    <s v="x"/>
    <s v="na"/>
    <s v="FWL"/>
    <s v="na"/>
    <s v="na"/>
    <s v="na"/>
    <s v="na"/>
    <s v="na"/>
    <s v="na"/>
    <s v="na"/>
    <s v="na"/>
  </r>
  <r>
    <n v="2251"/>
    <x v="58"/>
    <n v="2"/>
    <x v="10"/>
    <x v="0"/>
    <x v="0"/>
    <m/>
    <m/>
    <n v="61"/>
    <m/>
    <s v="F"/>
    <m/>
    <d v="1899-12-30T00:16:00"/>
    <s v="17:16"/>
    <s v="JBu"/>
    <m/>
    <s v="20140809 JBures"/>
    <s v="20140810 HReider"/>
    <s v="x"/>
    <s v="x"/>
    <s v="na"/>
    <s v="FWL"/>
    <s v="na"/>
    <s v="na"/>
    <s v="na"/>
    <s v="na"/>
    <s v="na"/>
    <s v="na"/>
    <s v="na"/>
    <s v="na"/>
  </r>
  <r>
    <n v="2252"/>
    <x v="58"/>
    <n v="2"/>
    <x v="10"/>
    <x v="0"/>
    <x v="0"/>
    <m/>
    <m/>
    <n v="57"/>
    <m/>
    <s v="F"/>
    <m/>
    <d v="1899-12-30T00:26:00"/>
    <s v="17:17"/>
    <s v="JBu"/>
    <m/>
    <s v="20140809 JBures"/>
    <s v="20140810 HReider"/>
    <s v="x"/>
    <s v="x"/>
    <s v="na"/>
    <s v="FWL"/>
    <s v="na"/>
    <s v="na"/>
    <s v="na"/>
    <s v="na"/>
    <s v="na"/>
    <s v="na"/>
    <s v="na"/>
    <s v="na"/>
  </r>
  <r>
    <n v="2253"/>
    <x v="58"/>
    <n v="2"/>
    <x v="0"/>
    <x v="2"/>
    <x v="0"/>
    <m/>
    <m/>
    <m/>
    <n v="26"/>
    <s v="U"/>
    <m/>
    <m/>
    <s v="18:08"/>
    <s v="DJ"/>
    <m/>
    <s v="20140809 JBures"/>
    <s v="20140810 HReider"/>
    <s v="x"/>
    <s v="x"/>
    <s v="na"/>
    <s v="FWL"/>
    <s v="na"/>
    <s v="na"/>
    <s v="na"/>
    <s v="na"/>
    <s v="na"/>
    <s v="na"/>
    <s v="na"/>
    <s v="na"/>
  </r>
  <r>
    <n v="2254"/>
    <x v="58"/>
    <n v="3"/>
    <x v="10"/>
    <x v="0"/>
    <x v="7"/>
    <n v="81"/>
    <s v="137 CM"/>
    <n v="57"/>
    <m/>
    <s v="U"/>
    <d v="1899-12-30T08:07:00"/>
    <d v="1899-12-30T00:43:00"/>
    <s v="08:11"/>
    <s v="DJ"/>
    <m/>
    <s v="20140809 DJohnson"/>
    <s v="20140810 HReider"/>
    <d v="1899-12-30T00:03:17"/>
    <n v="151.56399999999999"/>
    <s v="na"/>
    <s v="FWL"/>
    <s v="na"/>
    <s v="na"/>
    <s v="F1840"/>
    <s v="na"/>
    <s v="na"/>
    <s v="na"/>
    <s v="na"/>
    <s v="na"/>
  </r>
  <r>
    <n v="2255"/>
    <x v="58"/>
    <n v="3"/>
    <x v="12"/>
    <x v="0"/>
    <x v="13"/>
    <n v="33"/>
    <s v="164 P"/>
    <n v="48"/>
    <m/>
    <s v="U"/>
    <d v="1899-12-30T08:12:00"/>
    <d v="1899-12-30T00:45:00"/>
    <s v="08:16"/>
    <s v="JBu"/>
    <m/>
    <s v="20140809 DJohnson"/>
    <s v="20140810 HReider"/>
    <d v="1899-12-30T00:03:15"/>
    <n v="151.51499999999999"/>
    <s v="na"/>
    <s v="FWL"/>
    <s v="na"/>
    <s v="na"/>
    <s v="F1835"/>
    <s v="na"/>
    <s v="na"/>
    <s v="na"/>
    <s v="na"/>
    <s v="na"/>
  </r>
  <r>
    <n v="2256"/>
    <x v="58"/>
    <n v="3"/>
    <x v="12"/>
    <x v="0"/>
    <x v="0"/>
    <m/>
    <m/>
    <n v="44"/>
    <m/>
    <s v="M"/>
    <d v="1899-12-30T08:15:00"/>
    <d v="1899-12-30T00:22:00"/>
    <s v="08:18"/>
    <s v="JBu"/>
    <m/>
    <s v="20140809 DJohnson"/>
    <s v="20140810 HReider"/>
    <d v="1899-12-30T00:02:38"/>
    <s v="x"/>
    <s v="na"/>
    <s v="FWL"/>
    <s v="na"/>
    <s v="na"/>
    <s v="na"/>
    <s v="na"/>
    <s v="na"/>
    <s v="na"/>
    <s v="na"/>
    <s v="na"/>
  </r>
  <r>
    <n v="2257"/>
    <x v="58"/>
    <n v="3"/>
    <x v="12"/>
    <x v="0"/>
    <x v="0"/>
    <m/>
    <m/>
    <n v="46"/>
    <m/>
    <s v="M"/>
    <m/>
    <d v="1899-12-30T00:20:00"/>
    <s v="08:46"/>
    <s v="JBu"/>
    <m/>
    <s v="20140809 DJohnson"/>
    <s v="20140810 HReider"/>
    <s v="x"/>
    <s v="x"/>
    <s v="na"/>
    <s v="FWL"/>
    <s v="na"/>
    <s v="na"/>
    <s v="na"/>
    <s v="na"/>
    <s v="na"/>
    <s v="na"/>
    <s v="na"/>
    <s v="na"/>
  </r>
  <r>
    <n v="2258"/>
    <x v="58"/>
    <n v="3"/>
    <x v="12"/>
    <x v="0"/>
    <x v="0"/>
    <m/>
    <m/>
    <n v="45"/>
    <m/>
    <s v="M"/>
    <m/>
    <d v="1899-12-30T00:14:00"/>
    <s v="08:47"/>
    <s v="JBu"/>
    <m/>
    <s v="20140809 DJohnson"/>
    <s v="20140810 HReider"/>
    <s v="x"/>
    <s v="x"/>
    <s v="na"/>
    <s v="FWL"/>
    <s v="na"/>
    <s v="na"/>
    <s v="na"/>
    <s v="na"/>
    <s v="na"/>
    <s v="na"/>
    <s v="na"/>
    <s v="na"/>
  </r>
  <r>
    <n v="2259"/>
    <x v="58"/>
    <n v="3"/>
    <x v="12"/>
    <x v="0"/>
    <x v="0"/>
    <m/>
    <m/>
    <n v="43"/>
    <m/>
    <s v="F"/>
    <m/>
    <d v="1899-12-30T00:16:00"/>
    <s v="08:48"/>
    <s v="JBu"/>
    <m/>
    <s v="20140809 DJohnson"/>
    <s v="20140810 HReider"/>
    <s v="x"/>
    <s v="x"/>
    <s v="na"/>
    <s v="FWL"/>
    <s v="na"/>
    <s v="na"/>
    <s v="na"/>
    <s v="na"/>
    <s v="na"/>
    <s v="na"/>
    <s v="na"/>
    <s v="na"/>
  </r>
  <r>
    <n v="2260"/>
    <x v="58"/>
    <n v="3"/>
    <x v="10"/>
    <x v="0"/>
    <x v="11"/>
    <n v="34"/>
    <s v="139 CM"/>
    <n v="57"/>
    <m/>
    <s v="F"/>
    <d v="1899-12-30T09:19:00"/>
    <d v="1899-12-30T00:44:00"/>
    <s v="09:24"/>
    <s v="JBu"/>
    <m/>
    <s v="20140809 DJohnson"/>
    <s v="20140810 HReider"/>
    <d v="1899-12-30T00:04:16"/>
    <n v="151.53399999999999"/>
    <s v="na"/>
    <s v="FWL"/>
    <s v="na"/>
    <s v="na"/>
    <s v="F1840"/>
    <s v="na"/>
    <s v="na"/>
    <s v="na"/>
    <s v="na"/>
    <s v="na"/>
  </r>
  <r>
    <n v="2261"/>
    <x v="58"/>
    <n v="3"/>
    <x v="12"/>
    <x v="0"/>
    <x v="0"/>
    <m/>
    <m/>
    <n v="44"/>
    <m/>
    <s v="M"/>
    <m/>
    <d v="1899-12-30T00:22:00"/>
    <s v="09:22"/>
    <s v="JBu"/>
    <m/>
    <s v="20140809 DJohnson"/>
    <s v="20140810 HReider"/>
    <s v="x"/>
    <s v="x"/>
    <s v="na"/>
    <s v="FWL"/>
    <s v="na"/>
    <s v="na"/>
    <s v="na"/>
    <s v="na"/>
    <s v="na"/>
    <s v="na"/>
    <s v="na"/>
    <s v="na"/>
  </r>
  <r>
    <n v="2262"/>
    <x v="58"/>
    <n v="3"/>
    <x v="12"/>
    <x v="0"/>
    <x v="0"/>
    <m/>
    <m/>
    <n v="45"/>
    <m/>
    <s v="M"/>
    <m/>
    <d v="1899-12-30T00:15:00"/>
    <s v="09:26"/>
    <s v="JBu"/>
    <m/>
    <s v="20140809 DJohnson"/>
    <s v="20140810 HReider"/>
    <s v="x"/>
    <s v="x"/>
    <s v="na"/>
    <s v="FWL"/>
    <s v="na"/>
    <s v="na"/>
    <s v="na"/>
    <s v="na"/>
    <s v="na"/>
    <s v="na"/>
    <s v="na"/>
    <s v="na"/>
  </r>
  <r>
    <n v="2263"/>
    <x v="58"/>
    <n v="3"/>
    <x v="12"/>
    <x v="0"/>
    <x v="0"/>
    <m/>
    <m/>
    <n v="46"/>
    <m/>
    <s v="F"/>
    <m/>
    <d v="1899-12-30T00:13:00"/>
    <s v="09:27"/>
    <s v="JBu"/>
    <m/>
    <s v="20140809 DJohnson"/>
    <s v="20140810 HReider"/>
    <s v="x"/>
    <s v="x"/>
    <s v="na"/>
    <s v="FWL"/>
    <s v="na"/>
    <s v="na"/>
    <s v="na"/>
    <s v="na"/>
    <s v="na"/>
    <s v="na"/>
    <s v="na"/>
    <s v="na"/>
  </r>
  <r>
    <n v="2264"/>
    <x v="58"/>
    <n v="3"/>
    <x v="12"/>
    <x v="0"/>
    <x v="0"/>
    <m/>
    <m/>
    <n v="46"/>
    <m/>
    <s v="F"/>
    <m/>
    <d v="1899-12-30T00:17:00"/>
    <s v="10:08"/>
    <s v="DJ"/>
    <m/>
    <s v="20140809 DJohnson"/>
    <s v="20140810 HReider"/>
    <s v="x"/>
    <s v="x"/>
    <s v="na"/>
    <s v="FWL"/>
    <s v="na"/>
    <s v="na"/>
    <s v="na"/>
    <s v="na"/>
    <s v="na"/>
    <s v="na"/>
    <s v="na"/>
    <s v="na"/>
  </r>
  <r>
    <n v="2265"/>
    <x v="58"/>
    <n v="3"/>
    <x v="1"/>
    <x v="0"/>
    <x v="0"/>
    <m/>
    <m/>
    <n v="61"/>
    <m/>
    <s v="U"/>
    <m/>
    <d v="1899-12-30T00:36:00"/>
    <s v="10:12"/>
    <s v="DJ"/>
    <m/>
    <s v="20140809 DJohnson"/>
    <s v="20140810 HReider"/>
    <s v="x"/>
    <s v="x"/>
    <s v="na"/>
    <s v="FWL"/>
    <s v="na"/>
    <s v="na"/>
    <s v="na"/>
    <s v="na"/>
    <s v="na"/>
    <s v="na"/>
    <s v="na"/>
    <s v="na"/>
  </r>
  <r>
    <n v="2266"/>
    <x v="58"/>
    <n v="3"/>
    <x v="10"/>
    <x v="0"/>
    <x v="0"/>
    <m/>
    <m/>
    <n v="64"/>
    <m/>
    <s v="U"/>
    <m/>
    <d v="1899-12-30T00:16:00"/>
    <s v="10:14"/>
    <s v="DJ"/>
    <m/>
    <s v="20140809 DJohnson"/>
    <s v="20140810 HReider"/>
    <s v="x"/>
    <s v="x"/>
    <s v="na"/>
    <s v="FWL"/>
    <s v="na"/>
    <s v="na"/>
    <s v="na"/>
    <s v="na"/>
    <s v="na"/>
    <s v="na"/>
    <s v="na"/>
    <s v="na"/>
  </r>
  <r>
    <n v="2267"/>
    <x v="58"/>
    <n v="3"/>
    <x v="10"/>
    <x v="0"/>
    <x v="0"/>
    <m/>
    <m/>
    <n v="59"/>
    <m/>
    <s v="M"/>
    <m/>
    <d v="1899-12-30T00:15:00"/>
    <s v="10:15"/>
    <s v="DJ"/>
    <m/>
    <s v="20140809 DJohnson"/>
    <s v="20140810 HReider"/>
    <s v="x"/>
    <s v="x"/>
    <s v="na"/>
    <s v="FWL"/>
    <s v="na"/>
    <s v="na"/>
    <s v="na"/>
    <s v="na"/>
    <s v="na"/>
    <s v="na"/>
    <s v="na"/>
    <s v="na"/>
  </r>
  <r>
    <n v="2268"/>
    <x v="58"/>
    <n v="3"/>
    <x v="12"/>
    <x v="0"/>
    <x v="0"/>
    <m/>
    <m/>
    <n v="46"/>
    <m/>
    <s v="M"/>
    <m/>
    <d v="1899-12-30T00:13:00"/>
    <s v="10:16"/>
    <s v="DJ"/>
    <m/>
    <s v="20140809 DJohnson"/>
    <s v="20140810 HReider"/>
    <s v="x"/>
    <s v="x"/>
    <s v="na"/>
    <s v="FWL"/>
    <s v="na"/>
    <s v="na"/>
    <s v="na"/>
    <s v="na"/>
    <s v="na"/>
    <s v="na"/>
    <s v="na"/>
    <s v="na"/>
  </r>
  <r>
    <n v="2269"/>
    <x v="58"/>
    <n v="3"/>
    <x v="12"/>
    <x v="0"/>
    <x v="0"/>
    <m/>
    <m/>
    <n v="47"/>
    <m/>
    <s v="F"/>
    <m/>
    <d v="1899-12-30T00:14:00"/>
    <s v="10:17"/>
    <s v="DJ"/>
    <m/>
    <s v="20140809 DJohnson"/>
    <s v="20140810 HReider"/>
    <s v="x"/>
    <s v="x"/>
    <s v="na"/>
    <s v="FWL"/>
    <s v="na"/>
    <s v="na"/>
    <s v="na"/>
    <s v="na"/>
    <s v="na"/>
    <s v="na"/>
    <s v="na"/>
    <s v="na"/>
  </r>
  <r>
    <n v="2270"/>
    <x v="58"/>
    <n v="3"/>
    <x v="12"/>
    <x v="0"/>
    <x v="0"/>
    <m/>
    <m/>
    <n v="45"/>
    <m/>
    <s v="M"/>
    <m/>
    <d v="1899-12-30T00:14:00"/>
    <s v="10:18"/>
    <s v="DJ"/>
    <m/>
    <s v="20140809 DJohnson"/>
    <s v="20140810 HReider"/>
    <s v="x"/>
    <s v="x"/>
    <s v="na"/>
    <s v="FWL"/>
    <s v="na"/>
    <s v="na"/>
    <s v="na"/>
    <s v="na"/>
    <s v="na"/>
    <s v="na"/>
    <s v="na"/>
    <s v="na"/>
  </r>
  <r>
    <n v="2271"/>
    <x v="58"/>
    <n v="3"/>
    <x v="12"/>
    <x v="0"/>
    <x v="0"/>
    <m/>
    <m/>
    <n v="44"/>
    <m/>
    <s v="F"/>
    <m/>
    <d v="1899-12-30T00:14:00"/>
    <s v="10:41"/>
    <s v="DJ"/>
    <m/>
    <s v="20140809 DJohnson"/>
    <s v="20140810 HReider"/>
    <s v="x"/>
    <s v="x"/>
    <s v="na"/>
    <s v="FWL"/>
    <s v="na"/>
    <s v="na"/>
    <s v="na"/>
    <s v="na"/>
    <s v="na"/>
    <s v="na"/>
    <s v="na"/>
    <s v="na"/>
  </r>
  <r>
    <n v="2272"/>
    <x v="58"/>
    <n v="3"/>
    <x v="10"/>
    <x v="0"/>
    <x v="0"/>
    <m/>
    <m/>
    <n v="55"/>
    <m/>
    <s v="F"/>
    <m/>
    <d v="1899-12-30T00:12:00"/>
    <s v="10:43"/>
    <s v="DJ"/>
    <m/>
    <s v="20140809 DJohnson"/>
    <s v="20140810 HReider"/>
    <s v="x"/>
    <s v="x"/>
    <s v="na"/>
    <s v="FWL"/>
    <s v="na"/>
    <s v="na"/>
    <s v="na"/>
    <s v="na"/>
    <s v="na"/>
    <s v="na"/>
    <s v="na"/>
    <s v="na"/>
  </r>
  <r>
    <n v="2273"/>
    <x v="58"/>
    <n v="3"/>
    <x v="12"/>
    <x v="0"/>
    <x v="13"/>
    <n v="5"/>
    <s v="163 P"/>
    <n v="49"/>
    <m/>
    <s v="F"/>
    <m/>
    <d v="1899-12-30T00:53:00"/>
    <s v="12:10"/>
    <s v="HR"/>
    <m/>
    <s v="20140809 HReider"/>
    <s v="20140810 HReider"/>
    <s v="x"/>
    <n v="151.51499999999999"/>
    <s v="na"/>
    <s v="FWL"/>
    <s v="na"/>
    <s v="na"/>
    <s v="F1835"/>
    <s v="na"/>
    <s v="na"/>
    <s v="na"/>
    <s v="na"/>
    <s v="na"/>
  </r>
  <r>
    <n v="2274"/>
    <x v="58"/>
    <n v="3"/>
    <x v="12"/>
    <x v="0"/>
    <x v="13"/>
    <n v="99"/>
    <s v="165 P"/>
    <n v="44"/>
    <m/>
    <s v="F"/>
    <m/>
    <d v="1899-12-30T00:50:00"/>
    <s v="12:12"/>
    <s v="HR"/>
    <m/>
    <s v="20140809 HReider"/>
    <s v="20140810 HReider"/>
    <s v="x"/>
    <n v="151.51499999999999"/>
    <s v="na"/>
    <s v="FWL"/>
    <s v="na"/>
    <s v="na"/>
    <s v="F1835"/>
    <s v="na"/>
    <s v="na"/>
    <s v="na"/>
    <s v="na"/>
    <s v="na"/>
  </r>
  <r>
    <n v="2275"/>
    <x v="58"/>
    <n v="3"/>
    <x v="10"/>
    <x v="0"/>
    <x v="0"/>
    <m/>
    <m/>
    <n v="59"/>
    <m/>
    <s v="U"/>
    <m/>
    <d v="1899-12-30T00:32:00"/>
    <s v="12:15"/>
    <s v="HR"/>
    <m/>
    <s v="20140809 HReider"/>
    <s v="20140810 HReider"/>
    <s v="x"/>
    <s v="x"/>
    <s v="na"/>
    <s v="FWL"/>
    <s v="na"/>
    <s v="na"/>
    <s v="na"/>
    <s v="na"/>
    <s v="na"/>
    <s v="na"/>
    <s v="na"/>
    <s v="na"/>
  </r>
  <r>
    <n v="2276"/>
    <x v="58"/>
    <n v="3"/>
    <x v="10"/>
    <x v="0"/>
    <x v="0"/>
    <m/>
    <m/>
    <n v="62"/>
    <m/>
    <s v="M"/>
    <m/>
    <d v="1899-12-30T00:42:00"/>
    <s v="12:17"/>
    <s v="HR"/>
    <m/>
    <s v="20140809 HReider"/>
    <s v="20140810 HReider"/>
    <s v="x"/>
    <s v="x"/>
    <s v="na"/>
    <s v="FWL"/>
    <s v="na"/>
    <s v="na"/>
    <s v="na"/>
    <s v="na"/>
    <s v="na"/>
    <s v="na"/>
    <s v="na"/>
    <s v="na"/>
  </r>
  <r>
    <n v="2277"/>
    <x v="58"/>
    <n v="3"/>
    <x v="10"/>
    <x v="0"/>
    <x v="0"/>
    <m/>
    <m/>
    <n v="56"/>
    <m/>
    <s v="U"/>
    <m/>
    <d v="1899-12-30T00:27:00"/>
    <s v="12:19"/>
    <s v="HR"/>
    <m/>
    <s v="20140809 HReider"/>
    <s v="20140810 HReider"/>
    <s v="x"/>
    <s v="x"/>
    <s v="na"/>
    <s v="FWL"/>
    <s v="na"/>
    <s v="na"/>
    <s v="na"/>
    <s v="na"/>
    <s v="na"/>
    <s v="na"/>
    <s v="na"/>
    <s v="na"/>
  </r>
  <r>
    <n v="2278"/>
    <x v="58"/>
    <n v="3"/>
    <x v="10"/>
    <x v="0"/>
    <x v="0"/>
    <m/>
    <m/>
    <n v="61"/>
    <m/>
    <s v="M"/>
    <m/>
    <d v="1899-12-30T00:22:00"/>
    <s v="12:21"/>
    <s v="HR"/>
    <m/>
    <s v="20140809 HReider"/>
    <s v="20140810 HReider"/>
    <s v="x"/>
    <s v="x"/>
    <s v="na"/>
    <s v="FWL"/>
    <s v="na"/>
    <s v="na"/>
    <s v="na"/>
    <s v="na"/>
    <s v="na"/>
    <s v="na"/>
    <s v="na"/>
    <s v="na"/>
  </r>
  <r>
    <n v="2279"/>
    <x v="58"/>
    <n v="3"/>
    <x v="10"/>
    <x v="0"/>
    <x v="0"/>
    <m/>
    <m/>
    <n v="54"/>
    <m/>
    <s v="U"/>
    <m/>
    <d v="1899-12-30T00:23:00"/>
    <s v="12:23"/>
    <s v="HR"/>
    <m/>
    <s v="20140809 HReider"/>
    <s v="20140810 HReider"/>
    <s v="x"/>
    <s v="x"/>
    <s v="na"/>
    <s v="FWL"/>
    <s v="na"/>
    <s v="na"/>
    <s v="na"/>
    <s v="na"/>
    <s v="na"/>
    <s v="na"/>
    <s v="na"/>
    <s v="na"/>
  </r>
  <r>
    <n v="2280"/>
    <x v="58"/>
    <n v="3"/>
    <x v="0"/>
    <x v="2"/>
    <x v="0"/>
    <m/>
    <m/>
    <m/>
    <n v="19"/>
    <s v="U"/>
    <m/>
    <d v="1899-12-30T00:20:00"/>
    <s v="13:21"/>
    <s v="HR"/>
    <s v="small RT"/>
    <s v="20140809 HReider"/>
    <s v="20140810 HReider"/>
    <s v="x"/>
    <s v="x"/>
    <s v="na"/>
    <s v="FWL"/>
    <s v="na"/>
    <s v="na"/>
    <s v="na"/>
    <s v="na"/>
    <s v="na"/>
    <s v="na"/>
    <s v="na"/>
    <s v="na"/>
  </r>
  <r>
    <n v="2281"/>
    <x v="58"/>
    <n v="3"/>
    <x v="13"/>
    <x v="0"/>
    <x v="0"/>
    <m/>
    <m/>
    <n v="48"/>
    <m/>
    <s v="U"/>
    <m/>
    <d v="1899-12-30T00:22:00"/>
    <s v="13:24"/>
    <s v="HR"/>
    <s v="bad wound on right side"/>
    <s v="20140809 HReider"/>
    <s v="20140810 HReider"/>
    <s v="x"/>
    <s v="x"/>
    <s v="na"/>
    <s v="FWL"/>
    <s v="na"/>
    <s v="na"/>
    <s v="na"/>
    <s v="na"/>
    <s v="na"/>
    <s v="na"/>
    <s v="na"/>
    <s v="na"/>
  </r>
  <r>
    <n v="2282"/>
    <x v="58"/>
    <n v="3"/>
    <x v="10"/>
    <x v="0"/>
    <x v="0"/>
    <m/>
    <m/>
    <n v="59"/>
    <m/>
    <s v="M"/>
    <m/>
    <d v="1899-12-30T00:31:00"/>
    <s v="13:46"/>
    <s v="HR"/>
    <m/>
    <s v="20140809 HReider"/>
    <s v="20140810 HReider"/>
    <s v="x"/>
    <s v="x"/>
    <s v="na"/>
    <s v="FWL"/>
    <s v="na"/>
    <s v="na"/>
    <s v="na"/>
    <s v="na"/>
    <s v="na"/>
    <s v="na"/>
    <s v="na"/>
    <s v="na"/>
  </r>
  <r>
    <n v="2283"/>
    <x v="58"/>
    <n v="3"/>
    <x v="10"/>
    <x v="0"/>
    <x v="0"/>
    <m/>
    <m/>
    <n v="53"/>
    <m/>
    <s v="F"/>
    <m/>
    <d v="1899-12-30T00:29:00"/>
    <s v="14:31"/>
    <s v="QB"/>
    <m/>
    <s v="20140809 HReider"/>
    <s v="20140810 HReider"/>
    <s v="x"/>
    <s v="x"/>
    <s v="na"/>
    <s v="FWL"/>
    <s v="na"/>
    <s v="na"/>
    <s v="na"/>
    <s v="na"/>
    <s v="na"/>
    <s v="na"/>
    <s v="na"/>
    <s v="na"/>
  </r>
  <r>
    <n v="2284"/>
    <x v="58"/>
    <n v="3"/>
    <x v="10"/>
    <x v="0"/>
    <x v="0"/>
    <m/>
    <m/>
    <n v="62"/>
    <m/>
    <s v="M"/>
    <m/>
    <d v="1899-12-30T00:24:00"/>
    <s v="14:32"/>
    <s v="QB"/>
    <m/>
    <s v="20140809 HReider"/>
    <s v="20140810 HReider"/>
    <s v="x"/>
    <s v="x"/>
    <s v="na"/>
    <s v="FWL"/>
    <s v="na"/>
    <s v="na"/>
    <s v="na"/>
    <s v="na"/>
    <s v="na"/>
    <s v="na"/>
    <s v="na"/>
    <s v="na"/>
  </r>
  <r>
    <n v="2285"/>
    <x v="58"/>
    <n v="3"/>
    <x v="10"/>
    <x v="0"/>
    <x v="0"/>
    <m/>
    <m/>
    <n v="57"/>
    <m/>
    <s v="M"/>
    <m/>
    <d v="1899-12-30T00:22:00"/>
    <s v="14:33"/>
    <s v="QB"/>
    <m/>
    <s v="20140809 HReider"/>
    <s v="20140810 HReider"/>
    <s v="x"/>
    <s v="x"/>
    <s v="na"/>
    <s v="FWL"/>
    <s v="na"/>
    <s v="na"/>
    <s v="na"/>
    <s v="na"/>
    <s v="na"/>
    <s v="na"/>
    <s v="na"/>
    <s v="na"/>
  </r>
  <r>
    <n v="2286"/>
    <x v="58"/>
    <n v="3"/>
    <x v="10"/>
    <x v="0"/>
    <x v="0"/>
    <m/>
    <m/>
    <n v="56"/>
    <m/>
    <s v="U"/>
    <m/>
    <d v="1899-12-30T00:28:00"/>
    <s v="14:34"/>
    <s v="QB"/>
    <m/>
    <s v="20140809 HReider"/>
    <s v="20140810 HReider"/>
    <s v="x"/>
    <s v="x"/>
    <s v="na"/>
    <s v="FWL"/>
    <s v="na"/>
    <s v="na"/>
    <s v="na"/>
    <s v="na"/>
    <s v="na"/>
    <s v="na"/>
    <s v="na"/>
    <s v="na"/>
  </r>
  <r>
    <n v="2287"/>
    <x v="58"/>
    <n v="3"/>
    <x v="13"/>
    <x v="0"/>
    <x v="14"/>
    <n v="12"/>
    <s v="41 CO"/>
    <n v="48"/>
    <m/>
    <s v="U"/>
    <m/>
    <d v="1899-12-30T00:57:00"/>
    <s v="16:09"/>
    <s v="QB"/>
    <m/>
    <s v="20140809 HReider"/>
    <s v="20140810 HReider"/>
    <s v="x"/>
    <n v="151.32499999999999"/>
    <s v="na"/>
    <s v="FWL"/>
    <s v="na"/>
    <s v="na"/>
    <s v="F1840"/>
    <s v="na"/>
    <s v="na"/>
    <s v="na"/>
    <s v="na"/>
    <s v="na"/>
  </r>
  <r>
    <n v="2288"/>
    <x v="58"/>
    <n v="3"/>
    <x v="12"/>
    <x v="0"/>
    <x v="13"/>
    <n v="87"/>
    <s v="166 P"/>
    <n v="50"/>
    <m/>
    <s v="M"/>
    <m/>
    <d v="1899-12-30T00:59:00"/>
    <s v="17:20"/>
    <s v="NC"/>
    <m/>
    <s v="20140809 NCollin"/>
    <s v="20140810 HReider"/>
    <s v="x"/>
    <n v="151.51499999999999"/>
    <s v="na"/>
    <s v="FWL"/>
    <s v="na"/>
    <s v="na"/>
    <s v="F1835"/>
    <s v="na"/>
    <s v="na"/>
    <s v="na"/>
    <s v="na"/>
    <s v="na"/>
  </r>
  <r>
    <n v="2289"/>
    <x v="58"/>
    <n v="3"/>
    <x v="13"/>
    <x v="0"/>
    <x v="0"/>
    <m/>
    <m/>
    <n v="49"/>
    <m/>
    <s v="U"/>
    <m/>
    <d v="1899-12-30T00:28:00"/>
    <s v="18:16"/>
    <s v="NC"/>
    <s v="large cut on side, no tag"/>
    <s v="20140809 NCollin"/>
    <s v="20140810 HReider"/>
    <s v="x"/>
    <s v="x"/>
    <s v="na"/>
    <s v="FWL"/>
    <s v="na"/>
    <s v="na"/>
    <s v="na"/>
    <s v="na"/>
    <s v="na"/>
    <s v="na"/>
    <s v="na"/>
    <s v="na"/>
  </r>
  <r>
    <n v="2290"/>
    <x v="58"/>
    <n v="3"/>
    <x v="13"/>
    <x v="0"/>
    <x v="15"/>
    <n v="21"/>
    <s v="42 CO"/>
    <n v="51"/>
    <m/>
    <s v="U"/>
    <m/>
    <d v="1899-12-30T01:20:00"/>
    <s v="19:14"/>
    <s v="NC"/>
    <s v="F266."/>
    <s v="20140809 NCollin"/>
    <s v="20140810 HReider"/>
    <s v="x"/>
    <n v="151.26599999999999"/>
    <s v="na"/>
    <s v="FWL"/>
    <s v="na"/>
    <s v="na"/>
    <s v="F1840"/>
    <s v="na"/>
    <s v="na"/>
    <s v="na"/>
    <s v="na"/>
    <s v="na"/>
  </r>
  <r>
    <n v="2291"/>
    <x v="58"/>
    <n v="3"/>
    <x v="13"/>
    <x v="0"/>
    <x v="14"/>
    <n v="23"/>
    <s v="43 CO"/>
    <n v="53"/>
    <m/>
    <s v="U"/>
    <m/>
    <d v="1899-12-30T01:04:00"/>
    <s v="19:20"/>
    <s v="NC"/>
    <m/>
    <s v="20140809 NCollin"/>
    <s v="20140810 HReider"/>
    <s v="x"/>
    <n v="151.32499999999999"/>
    <s v="na"/>
    <s v="FWL"/>
    <s v="na"/>
    <s v="na"/>
    <s v="F1840"/>
    <s v="na"/>
    <s v="na"/>
    <s v="na"/>
    <s v="na"/>
    <s v="na"/>
  </r>
  <r>
    <n v="2292"/>
    <x v="59"/>
    <n v="1"/>
    <x v="10"/>
    <x v="0"/>
    <x v="0"/>
    <m/>
    <m/>
    <n v="58"/>
    <m/>
    <s v="F"/>
    <d v="1899-12-30T09:01:00"/>
    <d v="1899-12-30T00:28:00"/>
    <s v="09:04"/>
    <s v="QB"/>
    <m/>
    <s v="20140810 DJohnson"/>
    <s v="20140810 HReider"/>
    <d v="1899-12-30T00:02:32"/>
    <s v="x"/>
    <s v="na"/>
    <s v="FWL"/>
    <s v="na"/>
    <s v="na"/>
    <s v="na"/>
    <s v="na"/>
    <s v="na"/>
    <s v="na"/>
    <s v="na"/>
    <s v="na"/>
  </r>
  <r>
    <n v="2293"/>
    <x v="59"/>
    <n v="1"/>
    <x v="12"/>
    <x v="0"/>
    <x v="0"/>
    <m/>
    <m/>
    <n v="45"/>
    <m/>
    <s v="F"/>
    <m/>
    <d v="1899-12-30T00:21:00"/>
    <s v="09:03"/>
    <s v="QB"/>
    <m/>
    <s v="20140810 DJohnson"/>
    <s v="20140810 HReider"/>
    <s v="x"/>
    <s v="x"/>
    <s v="na"/>
    <s v="FWL"/>
    <s v="na"/>
    <s v="na"/>
    <s v="na"/>
    <s v="na"/>
    <s v="na"/>
    <s v="na"/>
    <s v="na"/>
    <s v="na"/>
  </r>
  <r>
    <n v="2294"/>
    <x v="59"/>
    <n v="1"/>
    <x v="12"/>
    <x v="0"/>
    <x v="0"/>
    <m/>
    <m/>
    <n v="40"/>
    <m/>
    <s v="M"/>
    <m/>
    <d v="1899-12-30T00:22:00"/>
    <s v="09:05"/>
    <s v="QB"/>
    <m/>
    <s v="20140810 DJohnson"/>
    <s v="20140810 HReider"/>
    <s v="x"/>
    <s v="x"/>
    <s v="na"/>
    <s v="FWL"/>
    <s v="na"/>
    <s v="na"/>
    <s v="na"/>
    <s v="na"/>
    <s v="na"/>
    <s v="na"/>
    <s v="na"/>
    <s v="na"/>
  </r>
  <r>
    <n v="2295"/>
    <x v="59"/>
    <n v="1"/>
    <x v="12"/>
    <x v="0"/>
    <x v="0"/>
    <m/>
    <m/>
    <n v="45"/>
    <m/>
    <s v="F"/>
    <m/>
    <d v="1899-12-30T00:19:00"/>
    <s v="09:06"/>
    <s v="QB"/>
    <m/>
    <s v="20140810 DJohnson"/>
    <s v="20140810 HReider"/>
    <s v="x"/>
    <s v="x"/>
    <s v="na"/>
    <s v="FWL"/>
    <s v="na"/>
    <s v="na"/>
    <s v="na"/>
    <s v="na"/>
    <s v="na"/>
    <s v="na"/>
    <s v="na"/>
    <s v="na"/>
  </r>
  <r>
    <n v="2296"/>
    <x v="59"/>
    <n v="1"/>
    <x v="12"/>
    <x v="0"/>
    <x v="0"/>
    <m/>
    <m/>
    <n v="45"/>
    <m/>
    <s v="F"/>
    <m/>
    <d v="1899-12-30T00:22:00"/>
    <s v="09:07"/>
    <s v="QB"/>
    <m/>
    <s v="20140810 DJohnson"/>
    <s v="20140810 HReider"/>
    <s v="x"/>
    <s v="x"/>
    <s v="na"/>
    <s v="FWL"/>
    <s v="na"/>
    <s v="na"/>
    <s v="na"/>
    <s v="na"/>
    <s v="na"/>
    <s v="na"/>
    <s v="na"/>
    <s v="na"/>
  </r>
  <r>
    <n v="2297"/>
    <x v="59"/>
    <n v="1"/>
    <x v="13"/>
    <x v="0"/>
    <x v="14"/>
    <n v="40"/>
    <s v="55 CO"/>
    <n v="48"/>
    <m/>
    <s v="U"/>
    <m/>
    <d v="1899-12-30T02:10:00"/>
    <s v="09:15"/>
    <s v="QB"/>
    <m/>
    <s v="20140810 DJohnson"/>
    <s v="20140810 HReider"/>
    <s v="x"/>
    <n v="151.32499999999999"/>
    <s v="na"/>
    <s v="FWL"/>
    <s v="na"/>
    <s v="na"/>
    <s v="F1840"/>
    <s v="na"/>
    <s v="na"/>
    <s v="na"/>
    <s v="na"/>
    <s v="na"/>
  </r>
  <r>
    <n v="2298"/>
    <x v="59"/>
    <n v="1"/>
    <x v="10"/>
    <x v="0"/>
    <x v="11"/>
    <n v="19"/>
    <s v="151 CM"/>
    <n v="62"/>
    <m/>
    <s v="M"/>
    <m/>
    <d v="1899-12-30T01:10:00"/>
    <s v="09:18"/>
    <s v="QB"/>
    <m/>
    <s v="20140810 DJohnson"/>
    <s v="20140810 HReider"/>
    <s v="x"/>
    <n v="151.53399999999999"/>
    <s v="na"/>
    <s v="FWL"/>
    <s v="na"/>
    <s v="na"/>
    <s v="F1840"/>
    <s v="na"/>
    <s v="na"/>
    <s v="na"/>
    <s v="na"/>
    <s v="na"/>
  </r>
  <r>
    <n v="2299"/>
    <x v="59"/>
    <n v="1"/>
    <x v="12"/>
    <x v="0"/>
    <x v="0"/>
    <m/>
    <m/>
    <n v="45"/>
    <m/>
    <s v="F"/>
    <m/>
    <d v="1899-12-30T00:19:00"/>
    <s v="09:20"/>
    <s v="QB"/>
    <m/>
    <s v="20140810 DJohnson"/>
    <s v="20140810 HReider"/>
    <s v="x"/>
    <s v="x"/>
    <s v="na"/>
    <s v="FWL"/>
    <s v="na"/>
    <s v="na"/>
    <s v="na"/>
    <s v="na"/>
    <s v="na"/>
    <s v="na"/>
    <s v="na"/>
    <s v="na"/>
  </r>
  <r>
    <n v="2300"/>
    <x v="59"/>
    <n v="1"/>
    <x v="12"/>
    <x v="0"/>
    <x v="0"/>
    <m/>
    <m/>
    <n v="50"/>
    <m/>
    <s v="M"/>
    <m/>
    <d v="1899-12-30T00:19:00"/>
    <s v="09:22"/>
    <s v="DJ"/>
    <m/>
    <s v="20140810 DJohnson"/>
    <s v="20140810 HReider"/>
    <s v="x"/>
    <s v="x"/>
    <s v="na"/>
    <s v="FWL"/>
    <s v="na"/>
    <s v="na"/>
    <s v="na"/>
    <s v="na"/>
    <s v="na"/>
    <s v="na"/>
    <s v="na"/>
    <s v="na"/>
  </r>
  <r>
    <n v="2301"/>
    <x v="59"/>
    <n v="1"/>
    <x v="12"/>
    <x v="0"/>
    <x v="0"/>
    <m/>
    <m/>
    <n v="45"/>
    <m/>
    <s v="F"/>
    <m/>
    <d v="1899-12-30T00:22:00"/>
    <s v="10:46"/>
    <s v="DJ"/>
    <m/>
    <s v="20140810 DJohnson"/>
    <s v="20140810 HReider"/>
    <s v="x"/>
    <s v="x"/>
    <s v="na"/>
    <s v="FWL"/>
    <s v="na"/>
    <s v="na"/>
    <s v="na"/>
    <s v="na"/>
    <s v="na"/>
    <s v="na"/>
    <s v="na"/>
    <s v="na"/>
  </r>
  <r>
    <n v="2302"/>
    <x v="59"/>
    <n v="1"/>
    <x v="10"/>
    <x v="0"/>
    <x v="0"/>
    <m/>
    <m/>
    <n v="52"/>
    <m/>
    <s v="M"/>
    <m/>
    <d v="1899-12-30T00:15:00"/>
    <s v="10:47"/>
    <s v="DJ"/>
    <m/>
    <s v="20140810 DJohnson"/>
    <s v="20140810 HReider"/>
    <s v="x"/>
    <s v="x"/>
    <s v="na"/>
    <s v="FWL"/>
    <s v="na"/>
    <s v="na"/>
    <s v="na"/>
    <s v="na"/>
    <s v="na"/>
    <s v="na"/>
    <s v="na"/>
    <s v="na"/>
  </r>
  <r>
    <n v="2303"/>
    <x v="59"/>
    <n v="1"/>
    <x v="10"/>
    <x v="0"/>
    <x v="0"/>
    <m/>
    <m/>
    <n v="53"/>
    <m/>
    <s v="U"/>
    <m/>
    <d v="1899-12-30T00:20:00"/>
    <s v="10:48"/>
    <s v="DJ"/>
    <m/>
    <s v="20140810 DJohnson"/>
    <s v="20140810 HReider"/>
    <s v="x"/>
    <s v="x"/>
    <s v="na"/>
    <s v="FWL"/>
    <s v="na"/>
    <s v="na"/>
    <s v="na"/>
    <s v="na"/>
    <s v="na"/>
    <s v="na"/>
    <s v="na"/>
    <s v="na"/>
  </r>
  <r>
    <n v="2304"/>
    <x v="59"/>
    <n v="1"/>
    <x v="12"/>
    <x v="0"/>
    <x v="0"/>
    <m/>
    <m/>
    <n v="44"/>
    <m/>
    <s v="F"/>
    <m/>
    <d v="1899-12-30T00:23:00"/>
    <s v="10:49"/>
    <s v="DJ"/>
    <m/>
    <s v="20140810 DJohnson"/>
    <s v="20140810 HReider"/>
    <s v="x"/>
    <s v="x"/>
    <s v="na"/>
    <s v="FWL"/>
    <s v="na"/>
    <s v="na"/>
    <s v="na"/>
    <s v="na"/>
    <s v="na"/>
    <s v="na"/>
    <s v="na"/>
    <s v="na"/>
  </r>
  <r>
    <n v="2305"/>
    <x v="59"/>
    <n v="1"/>
    <x v="12"/>
    <x v="0"/>
    <x v="0"/>
    <m/>
    <m/>
    <n v="43"/>
    <m/>
    <s v="M"/>
    <m/>
    <d v="1899-12-30T00:15:00"/>
    <s v="10:50"/>
    <s v="DJ"/>
    <m/>
    <s v="20140810 DJohnson"/>
    <s v="20140810 HReider"/>
    <s v="x"/>
    <s v="x"/>
    <s v="na"/>
    <s v="FWL"/>
    <s v="na"/>
    <s v="na"/>
    <s v="na"/>
    <s v="na"/>
    <s v="na"/>
    <s v="na"/>
    <s v="na"/>
    <s v="na"/>
  </r>
  <r>
    <n v="2306"/>
    <x v="59"/>
    <n v="1"/>
    <x v="10"/>
    <x v="0"/>
    <x v="0"/>
    <m/>
    <m/>
    <n v="56"/>
    <m/>
    <s v="M"/>
    <m/>
    <d v="1899-12-30T00:19:00"/>
    <s v="10:51"/>
    <s v="DJ"/>
    <m/>
    <s v="20140810 DJohnson"/>
    <s v="20140810 HReider"/>
    <s v="x"/>
    <s v="x"/>
    <s v="na"/>
    <s v="FWL"/>
    <s v="na"/>
    <s v="na"/>
    <s v="na"/>
    <s v="na"/>
    <s v="na"/>
    <s v="na"/>
    <s v="na"/>
    <s v="na"/>
  </r>
  <r>
    <n v="2307"/>
    <x v="59"/>
    <n v="1"/>
    <x v="12"/>
    <x v="0"/>
    <x v="0"/>
    <m/>
    <m/>
    <n v="46"/>
    <m/>
    <s v="F"/>
    <m/>
    <d v="1899-12-30T00:17:00"/>
    <s v="10:52"/>
    <s v="DJ"/>
    <m/>
    <s v="20140810 DJohnson"/>
    <s v="20140810 HReider"/>
    <s v="x"/>
    <s v="x"/>
    <s v="na"/>
    <s v="FWL"/>
    <s v="na"/>
    <s v="na"/>
    <s v="na"/>
    <s v="na"/>
    <s v="na"/>
    <s v="na"/>
    <s v="na"/>
    <s v="na"/>
  </r>
  <r>
    <n v="2308"/>
    <x v="59"/>
    <n v="1"/>
    <x v="12"/>
    <x v="0"/>
    <x v="0"/>
    <m/>
    <m/>
    <n v="42"/>
    <m/>
    <s v="F"/>
    <m/>
    <d v="1899-12-30T00:17:00"/>
    <s v="10:53"/>
    <s v="DJ"/>
    <m/>
    <s v="20140810 DJohnson"/>
    <s v="20140810 HReider"/>
    <s v="x"/>
    <s v="x"/>
    <s v="na"/>
    <s v="FWL"/>
    <s v="na"/>
    <s v="na"/>
    <s v="na"/>
    <s v="na"/>
    <s v="na"/>
    <s v="na"/>
    <s v="na"/>
    <s v="na"/>
  </r>
  <r>
    <n v="2309"/>
    <x v="59"/>
    <n v="1"/>
    <x v="12"/>
    <x v="0"/>
    <x v="0"/>
    <m/>
    <m/>
    <n v="48"/>
    <m/>
    <s v="M"/>
    <m/>
    <d v="1899-12-30T00:20:00"/>
    <s v="10:54"/>
    <s v="DJ"/>
    <m/>
    <s v="20140810 DJohnson"/>
    <s v="20140810 HReider"/>
    <s v="x"/>
    <s v="x"/>
    <s v="na"/>
    <s v="FWL"/>
    <s v="na"/>
    <s v="na"/>
    <s v="na"/>
    <s v="na"/>
    <s v="na"/>
    <s v="na"/>
    <s v="na"/>
    <s v="na"/>
  </r>
  <r>
    <n v="2310"/>
    <x v="59"/>
    <n v="1"/>
    <x v="10"/>
    <x v="0"/>
    <x v="0"/>
    <m/>
    <m/>
    <n v="67"/>
    <m/>
    <s v="M"/>
    <m/>
    <d v="1899-12-30T00:27:00"/>
    <s v="10:55"/>
    <s v="DJ"/>
    <m/>
    <s v="20140810 DJohnson"/>
    <s v="20140810 HReider"/>
    <s v="x"/>
    <s v="x"/>
    <s v="na"/>
    <s v="FWL"/>
    <s v="na"/>
    <s v="na"/>
    <s v="na"/>
    <s v="na"/>
    <s v="na"/>
    <s v="na"/>
    <s v="na"/>
    <s v="na"/>
  </r>
  <r>
    <n v="2311"/>
    <x v="59"/>
    <n v="1"/>
    <x v="12"/>
    <x v="0"/>
    <x v="0"/>
    <m/>
    <m/>
    <n v="45"/>
    <m/>
    <s v="F"/>
    <m/>
    <d v="1899-12-30T00:20:00"/>
    <s v="10:56"/>
    <s v="DJ"/>
    <m/>
    <s v="20140810 DJohnson"/>
    <s v="20140810 HReider"/>
    <s v="x"/>
    <s v="x"/>
    <s v="na"/>
    <s v="FWL"/>
    <s v="na"/>
    <s v="na"/>
    <s v="na"/>
    <s v="na"/>
    <s v="na"/>
    <s v="na"/>
    <s v="na"/>
    <s v="na"/>
  </r>
  <r>
    <n v="2312"/>
    <x v="59"/>
    <n v="1"/>
    <x v="10"/>
    <x v="0"/>
    <x v="0"/>
    <m/>
    <m/>
    <n v="62"/>
    <m/>
    <s v="M"/>
    <m/>
    <d v="1899-12-30T00:21:00"/>
    <s v="10:57"/>
    <s v="DJ"/>
    <m/>
    <s v="20140810 DJohnson"/>
    <s v="20140810 HReider"/>
    <s v="x"/>
    <s v="x"/>
    <s v="na"/>
    <s v="FWL"/>
    <s v="na"/>
    <s v="na"/>
    <s v="na"/>
    <s v="na"/>
    <s v="na"/>
    <s v="na"/>
    <s v="na"/>
    <s v="na"/>
  </r>
  <r>
    <n v="2313"/>
    <x v="59"/>
    <n v="1"/>
    <x v="12"/>
    <x v="0"/>
    <x v="0"/>
    <m/>
    <m/>
    <n v="45"/>
    <m/>
    <s v="F"/>
    <m/>
    <d v="1899-12-30T00:15:00"/>
    <s v="10:58"/>
    <s v="DJ"/>
    <m/>
    <s v="20140810 DJohnson"/>
    <s v="20140810 HReider"/>
    <s v="x"/>
    <s v="x"/>
    <s v="na"/>
    <s v="FWL"/>
    <s v="na"/>
    <s v="na"/>
    <s v="na"/>
    <s v="na"/>
    <s v="na"/>
    <s v="na"/>
    <s v="na"/>
    <s v="na"/>
  </r>
  <r>
    <n v="2314"/>
    <x v="59"/>
    <n v="1"/>
    <x v="12"/>
    <x v="0"/>
    <x v="0"/>
    <m/>
    <m/>
    <n v="46"/>
    <m/>
    <s v="F"/>
    <m/>
    <d v="1899-12-30T00:18:00"/>
    <s v="12:45"/>
    <s v="QB"/>
    <m/>
    <s v="20140810 DJohnson"/>
    <s v="20140810 HReider"/>
    <s v="x"/>
    <s v="x"/>
    <s v="na"/>
    <s v="FWL"/>
    <s v="na"/>
    <s v="na"/>
    <s v="na"/>
    <s v="na"/>
    <s v="na"/>
    <s v="na"/>
    <s v="na"/>
    <s v="na"/>
  </r>
  <r>
    <n v="2315"/>
    <x v="59"/>
    <n v="1"/>
    <x v="1"/>
    <x v="0"/>
    <x v="0"/>
    <m/>
    <m/>
    <n v="62"/>
    <m/>
    <s v="U"/>
    <m/>
    <d v="1899-12-30T00:32:00"/>
    <s v="12:47"/>
    <s v="QB"/>
    <s v="dark red/black, lethargic; spawned out"/>
    <s v="20140810 DJohnson"/>
    <s v="20140810 HReider"/>
    <s v="x"/>
    <s v="x"/>
    <s v="na"/>
    <s v="FWL"/>
    <s v="na"/>
    <s v="na"/>
    <s v="na"/>
    <s v="na"/>
    <s v="na"/>
    <s v="na"/>
    <s v="na"/>
    <s v="na"/>
  </r>
  <r>
    <n v="2316"/>
    <x v="59"/>
    <n v="1"/>
    <x v="10"/>
    <x v="0"/>
    <x v="0"/>
    <m/>
    <m/>
    <n v="64"/>
    <m/>
    <s v="F"/>
    <m/>
    <d v="1899-12-30T00:17:00"/>
    <s v="12:52"/>
    <s v="QB"/>
    <m/>
    <s v="20140810 DJohnson"/>
    <s v="20140810 HReider"/>
    <s v="x"/>
    <s v="x"/>
    <s v="na"/>
    <s v="FWL"/>
    <s v="na"/>
    <s v="na"/>
    <s v="na"/>
    <s v="na"/>
    <s v="na"/>
    <s v="na"/>
    <s v="na"/>
    <s v="na"/>
  </r>
  <r>
    <n v="2317"/>
    <x v="59"/>
    <n v="1"/>
    <x v="10"/>
    <x v="0"/>
    <x v="0"/>
    <m/>
    <m/>
    <n v="61"/>
    <m/>
    <s v="M"/>
    <m/>
    <d v="1899-12-30T00:24:00"/>
    <s v="12:53"/>
    <s v="QB"/>
    <m/>
    <s v="20140810 DJohnson"/>
    <s v="20140810 HReider"/>
    <s v="x"/>
    <s v="x"/>
    <s v="na"/>
    <s v="FWL"/>
    <s v="na"/>
    <s v="na"/>
    <s v="na"/>
    <s v="na"/>
    <s v="na"/>
    <s v="na"/>
    <s v="na"/>
    <s v="na"/>
  </r>
  <r>
    <n v="2318"/>
    <x v="59"/>
    <n v="1"/>
    <x v="10"/>
    <x v="0"/>
    <x v="0"/>
    <m/>
    <m/>
    <n v="55"/>
    <m/>
    <s v="U"/>
    <m/>
    <d v="1899-12-30T00:22:00"/>
    <s v="12:55"/>
    <s v="QB"/>
    <m/>
    <s v="20140810 DJohnson"/>
    <s v="20140810 HReider"/>
    <s v="x"/>
    <s v="x"/>
    <s v="na"/>
    <s v="FWL"/>
    <s v="na"/>
    <s v="na"/>
    <s v="na"/>
    <s v="na"/>
    <s v="na"/>
    <s v="na"/>
    <s v="na"/>
    <s v="na"/>
  </r>
  <r>
    <n v="2319"/>
    <x v="59"/>
    <n v="1"/>
    <x v="10"/>
    <x v="0"/>
    <x v="0"/>
    <m/>
    <m/>
    <n v="61"/>
    <m/>
    <s v="F"/>
    <m/>
    <d v="1899-12-30T00:25:00"/>
    <s v="12:56"/>
    <s v="QB"/>
    <m/>
    <s v="20140810 DJohnson"/>
    <s v="20140810 HReider"/>
    <s v="x"/>
    <s v="x"/>
    <s v="na"/>
    <s v="FWL"/>
    <s v="na"/>
    <s v="na"/>
    <s v="na"/>
    <s v="na"/>
    <s v="na"/>
    <s v="na"/>
    <s v="na"/>
    <s v="na"/>
  </r>
  <r>
    <n v="2320"/>
    <x v="59"/>
    <n v="1"/>
    <x v="10"/>
    <x v="0"/>
    <x v="0"/>
    <m/>
    <m/>
    <n v="59"/>
    <m/>
    <s v="F"/>
    <m/>
    <d v="1899-12-30T00:19:00"/>
    <s v="12:57"/>
    <s v="QB"/>
    <m/>
    <s v="20140810 DJohnson"/>
    <s v="20140810 HReider"/>
    <s v="x"/>
    <s v="x"/>
    <s v="na"/>
    <s v="FWL"/>
    <s v="na"/>
    <s v="na"/>
    <s v="na"/>
    <s v="na"/>
    <s v="na"/>
    <s v="na"/>
    <s v="na"/>
    <s v="na"/>
  </r>
  <r>
    <n v="2321"/>
    <x v="59"/>
    <n v="1"/>
    <x v="10"/>
    <x v="0"/>
    <x v="0"/>
    <m/>
    <m/>
    <n v="63"/>
    <m/>
    <s v="M"/>
    <m/>
    <d v="1899-12-30T00:24:00"/>
    <s v="13:01"/>
    <s v="QB"/>
    <m/>
    <s v="20140810 DJohnson"/>
    <s v="20140810 HReider"/>
    <s v="x"/>
    <s v="x"/>
    <s v="na"/>
    <s v="FWL"/>
    <s v="na"/>
    <s v="na"/>
    <s v="na"/>
    <s v="na"/>
    <s v="na"/>
    <s v="na"/>
    <s v="na"/>
    <s v="na"/>
  </r>
  <r>
    <n v="2322"/>
    <x v="59"/>
    <n v="1"/>
    <x v="10"/>
    <x v="0"/>
    <x v="0"/>
    <m/>
    <m/>
    <n v="64"/>
    <m/>
    <s v="F"/>
    <m/>
    <d v="1899-12-30T00:17:00"/>
    <s v="13:38"/>
    <s v="DJ"/>
    <m/>
    <s v="20140810 DJohnson"/>
    <s v="20140810 HReider"/>
    <s v="x"/>
    <s v="x"/>
    <s v="na"/>
    <s v="FWL"/>
    <s v="na"/>
    <s v="na"/>
    <s v="na"/>
    <s v="na"/>
    <s v="na"/>
    <s v="na"/>
    <s v="na"/>
    <s v="na"/>
  </r>
  <r>
    <n v="2323"/>
    <x v="59"/>
    <n v="1"/>
    <x v="10"/>
    <x v="0"/>
    <x v="0"/>
    <m/>
    <m/>
    <n v="59"/>
    <m/>
    <s v="F"/>
    <m/>
    <d v="1899-12-30T00:16:00"/>
    <s v="13:40"/>
    <s v="QB"/>
    <m/>
    <s v="20140810 DJohnson"/>
    <s v="20140810 HReider"/>
    <s v="x"/>
    <s v="x"/>
    <s v="na"/>
    <s v="FWL"/>
    <s v="na"/>
    <s v="na"/>
    <s v="na"/>
    <s v="na"/>
    <s v="na"/>
    <s v="na"/>
    <s v="na"/>
    <s v="na"/>
  </r>
  <r>
    <n v="2324"/>
    <x v="59"/>
    <n v="1"/>
    <x v="10"/>
    <x v="0"/>
    <x v="11"/>
    <n v="50"/>
    <s v="147 CM"/>
    <n v="56"/>
    <m/>
    <s v="M"/>
    <m/>
    <d v="1899-12-30T00:39:00"/>
    <s v="19:37"/>
    <s v="JBu"/>
    <m/>
    <s v="20140810 NCollin"/>
    <s v="20140810 HReider"/>
    <s v="x"/>
    <n v="151.53399999999999"/>
    <s v="na"/>
    <s v="FWL"/>
    <s v="na"/>
    <s v="na"/>
    <s v="F1840"/>
    <s v="na"/>
    <s v="na"/>
    <s v="na"/>
    <s v="na"/>
    <s v="na"/>
  </r>
  <r>
    <n v="2325"/>
    <x v="59"/>
    <n v="1"/>
    <x v="13"/>
    <x v="0"/>
    <x v="15"/>
    <n v="59"/>
    <s v="45 CO"/>
    <n v="53"/>
    <m/>
    <s v="U"/>
    <m/>
    <d v="1899-12-30T00:38:00"/>
    <s v="19:43"/>
    <s v="JBu"/>
    <s v="F266."/>
    <s v="20140810 NCollin"/>
    <s v="20140810 HReider"/>
    <s v="x"/>
    <n v="151.26599999999999"/>
    <s v="na"/>
    <s v="FWL"/>
    <s v="na"/>
    <s v="na"/>
    <s v="F1840"/>
    <s v="na"/>
    <s v="na"/>
    <s v="na"/>
    <s v="na"/>
    <s v="na"/>
  </r>
  <r>
    <n v="2326"/>
    <x v="59"/>
    <n v="2"/>
    <x v="12"/>
    <x v="0"/>
    <x v="13"/>
    <n v="30"/>
    <s v="179 P"/>
    <n v="47"/>
    <m/>
    <s v="M"/>
    <d v="1899-12-30T10:31:00"/>
    <d v="1899-12-30T01:00:00"/>
    <s v="10:37"/>
    <s v="DJ"/>
    <m/>
    <s v="20140810 DJohnson"/>
    <s v="20140810 HReider"/>
    <d v="1899-12-30T00:05:00"/>
    <n v="151.51499999999999"/>
    <s v="na"/>
    <s v="FWL"/>
    <s v="na"/>
    <s v="na"/>
    <s v="F1835"/>
    <s v="na"/>
    <s v="na"/>
    <s v="na"/>
    <s v="na"/>
    <s v="na"/>
  </r>
  <r>
    <n v="2327"/>
    <x v="59"/>
    <n v="2"/>
    <x v="10"/>
    <x v="0"/>
    <x v="0"/>
    <m/>
    <m/>
    <n v="54"/>
    <m/>
    <s v="F"/>
    <d v="1899-12-30T10:24:00"/>
    <d v="1899-12-30T00:22:00"/>
    <s v="10:38"/>
    <s v="DJ"/>
    <m/>
    <s v="20140810 DJohnson"/>
    <s v="20140810 HReider"/>
    <d v="1899-12-30T00:13:38"/>
    <s v="x"/>
    <s v="na"/>
    <s v="FWL"/>
    <s v="na"/>
    <s v="na"/>
    <s v="na"/>
    <s v="na"/>
    <s v="na"/>
    <s v="na"/>
    <s v="na"/>
    <s v="na"/>
  </r>
  <r>
    <n v="2328"/>
    <x v="59"/>
    <n v="2"/>
    <x v="12"/>
    <x v="0"/>
    <x v="13"/>
    <n v="82"/>
    <s v="169 P"/>
    <n v="46"/>
    <m/>
    <s v="M"/>
    <m/>
    <d v="1899-12-30T01:00:00"/>
    <s v="12:29"/>
    <s v="QB"/>
    <m/>
    <s v="20140810 DJohnson"/>
    <s v="20140810 HReider"/>
    <s v="x"/>
    <n v="151.51499999999999"/>
    <s v="na"/>
    <s v="FWL"/>
    <s v="na"/>
    <s v="na"/>
    <s v="F1835"/>
    <s v="na"/>
    <s v="na"/>
    <s v="na"/>
    <s v="na"/>
    <s v="na"/>
  </r>
  <r>
    <n v="2329"/>
    <x v="59"/>
    <n v="2"/>
    <x v="10"/>
    <x v="0"/>
    <x v="7"/>
    <n v="28"/>
    <s v="145 CM"/>
    <n v="57"/>
    <m/>
    <s v="F"/>
    <m/>
    <d v="1899-12-30T00:52:00"/>
    <s v="12:32"/>
    <s v="DJ"/>
    <m/>
    <s v="20140810 DJohnson"/>
    <s v="20140810 HReider"/>
    <s v="x"/>
    <n v="151.56399999999999"/>
    <s v="na"/>
    <s v="FWL"/>
    <s v="na"/>
    <s v="na"/>
    <s v="F1840"/>
    <s v="na"/>
    <s v="na"/>
    <s v="na"/>
    <s v="na"/>
    <s v="na"/>
  </r>
  <r>
    <n v="2330"/>
    <x v="59"/>
    <n v="2"/>
    <x v="7"/>
    <x v="0"/>
    <x v="10"/>
    <n v="17"/>
    <s v="147 S"/>
    <n v="44"/>
    <m/>
    <s v="U"/>
    <m/>
    <d v="1899-12-30T00:45:00"/>
    <s v="13:53"/>
    <s v="QB"/>
    <m/>
    <s v="20140810 DJohnson"/>
    <s v="20140810 HReider"/>
    <s v="x"/>
    <n v="151.58600000000001"/>
    <s v="na"/>
    <s v="FWL"/>
    <s v="na"/>
    <s v="na"/>
    <s v="F1840"/>
    <s v="na"/>
    <s v="na"/>
    <s v="na"/>
    <s v="na"/>
    <s v="na"/>
  </r>
  <r>
    <n v="2331"/>
    <x v="59"/>
    <n v="2"/>
    <x v="10"/>
    <x v="0"/>
    <x v="0"/>
    <m/>
    <m/>
    <n v="56"/>
    <m/>
    <s v="F"/>
    <m/>
    <d v="1899-12-30T00:22:00"/>
    <s v="13:54"/>
    <s v="QB"/>
    <m/>
    <s v="20140810 DJohnson"/>
    <s v="20140810 HReider"/>
    <s v="x"/>
    <s v="x"/>
    <s v="na"/>
    <s v="FWL"/>
    <s v="na"/>
    <s v="na"/>
    <s v="na"/>
    <s v="na"/>
    <s v="na"/>
    <s v="na"/>
    <s v="na"/>
    <s v="na"/>
  </r>
  <r>
    <n v="2332"/>
    <x v="59"/>
    <n v="2"/>
    <x v="10"/>
    <x v="0"/>
    <x v="0"/>
    <m/>
    <m/>
    <n v="58"/>
    <m/>
    <s v="M"/>
    <m/>
    <d v="1899-12-30T00:27:00"/>
    <s v="13:56"/>
    <s v="QB"/>
    <m/>
    <s v="20140810 DJohnson"/>
    <s v="20140810 HReider"/>
    <s v="x"/>
    <s v="x"/>
    <s v="na"/>
    <s v="FWL"/>
    <s v="na"/>
    <s v="na"/>
    <s v="na"/>
    <s v="na"/>
    <s v="na"/>
    <s v="na"/>
    <s v="na"/>
    <s v="na"/>
  </r>
  <r>
    <n v="2333"/>
    <x v="59"/>
    <n v="2"/>
    <x v="10"/>
    <x v="0"/>
    <x v="0"/>
    <m/>
    <m/>
    <n v="54"/>
    <m/>
    <s v="M"/>
    <m/>
    <d v="1899-12-30T00:23:00"/>
    <s v="13:57"/>
    <s v="QB"/>
    <m/>
    <s v="20140810 DJohnson"/>
    <s v="20140810 HReider"/>
    <s v="x"/>
    <s v="x"/>
    <s v="na"/>
    <s v="FWL"/>
    <s v="na"/>
    <s v="na"/>
    <s v="na"/>
    <s v="na"/>
    <s v="na"/>
    <s v="na"/>
    <s v="na"/>
    <s v="na"/>
  </r>
  <r>
    <n v="2334"/>
    <x v="59"/>
    <n v="2"/>
    <x v="7"/>
    <x v="0"/>
    <x v="10"/>
    <n v="50"/>
    <s v="148 S"/>
    <n v="52"/>
    <m/>
    <s v="M"/>
    <m/>
    <d v="1899-12-30T01:03:00"/>
    <s v="14:00"/>
    <s v="QB"/>
    <m/>
    <s v="20140810 DJohnson"/>
    <s v="20140810 HReider"/>
    <s v="x"/>
    <n v="151.58600000000001"/>
    <s v="na"/>
    <s v="FWL"/>
    <s v="na"/>
    <s v="na"/>
    <s v="F1840"/>
    <s v="na"/>
    <s v="na"/>
    <s v="na"/>
    <s v="na"/>
    <s v="na"/>
  </r>
  <r>
    <n v="2335"/>
    <x v="59"/>
    <n v="2"/>
    <x v="12"/>
    <x v="0"/>
    <x v="12"/>
    <n v="21"/>
    <s v="170 P"/>
    <n v="47"/>
    <m/>
    <s v="F"/>
    <m/>
    <d v="1899-12-30T00:50:00"/>
    <s v="18:30"/>
    <s v="JBu"/>
    <m/>
    <s v="20140810 NCollin"/>
    <s v="20140810 HReider"/>
    <s v="x"/>
    <n v="151.596"/>
    <s v="na"/>
    <s v="FWL"/>
    <s v="na"/>
    <s v="na"/>
    <s v="F1835"/>
    <s v="na"/>
    <s v="na"/>
    <s v="na"/>
    <s v="na"/>
    <s v="na"/>
  </r>
  <r>
    <n v="2336"/>
    <x v="59"/>
    <n v="2"/>
    <x v="7"/>
    <x v="0"/>
    <x v="6"/>
    <n v="75"/>
    <s v="149 S"/>
    <n v="47"/>
    <m/>
    <s v="U"/>
    <m/>
    <d v="1899-12-30T00:52:00"/>
    <s v="19:25"/>
    <s v="JBu"/>
    <m/>
    <s v="20140810 NCollin"/>
    <s v="20140810 HReider"/>
    <s v="x"/>
    <n v="151.57300000000001"/>
    <s v="na"/>
    <s v="FWL"/>
    <s v="na"/>
    <s v="na"/>
    <s v="F1840"/>
    <s v="na"/>
    <s v="na"/>
    <s v="na"/>
    <s v="na"/>
    <s v="na"/>
  </r>
  <r>
    <n v="2337"/>
    <x v="59"/>
    <n v="2"/>
    <x v="12"/>
    <x v="0"/>
    <x v="0"/>
    <m/>
    <m/>
    <n v="50"/>
    <m/>
    <s v="F"/>
    <m/>
    <d v="1899-12-30T00:21:00"/>
    <s v="19:27"/>
    <s v="JBu"/>
    <m/>
    <s v="20140810 NCollin"/>
    <s v="20140810 HReider"/>
    <s v="x"/>
    <s v="x"/>
    <s v="na"/>
    <s v="FWL"/>
    <s v="na"/>
    <s v="na"/>
    <s v="na"/>
    <s v="na"/>
    <s v="na"/>
    <s v="na"/>
    <s v="na"/>
    <s v="na"/>
  </r>
  <r>
    <n v="2338"/>
    <x v="59"/>
    <n v="3"/>
    <x v="12"/>
    <x v="0"/>
    <x v="12"/>
    <n v="31"/>
    <s v="167 P"/>
    <n v="43"/>
    <m/>
    <s v="F"/>
    <d v="1899-12-30T08:26:00"/>
    <d v="1899-12-30T00:31:00"/>
    <s v="08:48"/>
    <s v="JBu"/>
    <m/>
    <s v="20140810 JBures"/>
    <s v="20140810 HReider"/>
    <d v="1899-12-30T00:21:29"/>
    <n v="151.596"/>
    <s v="na"/>
    <s v="FWL"/>
    <s v="na"/>
    <s v="na"/>
    <s v="F1835"/>
    <s v="na"/>
    <s v="na"/>
    <s v="na"/>
    <s v="na"/>
    <s v="na"/>
  </r>
  <r>
    <n v="2339"/>
    <x v="59"/>
    <n v="3"/>
    <x v="12"/>
    <x v="0"/>
    <x v="0"/>
    <m/>
    <m/>
    <n v="47"/>
    <m/>
    <s v="M"/>
    <m/>
    <d v="1899-12-30T00:23:00"/>
    <s v="08:47"/>
    <s v="JBu"/>
    <m/>
    <s v="20140810 JBures"/>
    <s v="20140810 HReider"/>
    <s v="x"/>
    <s v="x"/>
    <s v="na"/>
    <s v="FWL"/>
    <s v="na"/>
    <s v="na"/>
    <s v="na"/>
    <s v="na"/>
    <s v="na"/>
    <s v="na"/>
    <s v="na"/>
    <s v="na"/>
  </r>
  <r>
    <n v="2340"/>
    <x v="59"/>
    <n v="3"/>
    <x v="10"/>
    <x v="0"/>
    <x v="11"/>
    <n v="7"/>
    <s v="138 CM"/>
    <n v="54"/>
    <m/>
    <s v="U"/>
    <d v="1899-12-30T08:32:00"/>
    <d v="1899-12-30T00:38:00"/>
    <s v="08:52"/>
    <s v="JBu"/>
    <m/>
    <s v="20140810 JBures"/>
    <s v="20140810 HReider"/>
    <d v="1899-12-30T00:19:22"/>
    <n v="151.53399999999999"/>
    <s v="na"/>
    <s v="FWL"/>
    <s v="na"/>
    <s v="na"/>
    <s v="F1840"/>
    <s v="na"/>
    <s v="na"/>
    <s v="na"/>
    <s v="na"/>
    <s v="na"/>
  </r>
  <r>
    <n v="2341"/>
    <x v="59"/>
    <n v="3"/>
    <x v="12"/>
    <x v="0"/>
    <x v="0"/>
    <m/>
    <m/>
    <n v="48"/>
    <m/>
    <s v="M"/>
    <m/>
    <d v="1899-12-30T00:13:00"/>
    <s v="09:55"/>
    <s v="JBu"/>
    <m/>
    <s v="20140810 JBures"/>
    <s v="20140810 HReider"/>
    <s v="x"/>
    <s v="x"/>
    <s v="na"/>
    <s v="FWL"/>
    <s v="na"/>
    <s v="na"/>
    <s v="na"/>
    <s v="na"/>
    <s v="na"/>
    <s v="na"/>
    <s v="na"/>
    <s v="na"/>
  </r>
  <r>
    <n v="2342"/>
    <x v="59"/>
    <n v="3"/>
    <x v="10"/>
    <x v="0"/>
    <x v="0"/>
    <m/>
    <m/>
    <n v="64"/>
    <m/>
    <s v="M"/>
    <m/>
    <d v="1899-12-30T00:16:00"/>
    <s v="09:56"/>
    <s v="JBu"/>
    <m/>
    <s v="20140810 JBures"/>
    <s v="20140810 HReider"/>
    <s v="x"/>
    <s v="x"/>
    <s v="na"/>
    <s v="FWL"/>
    <s v="na"/>
    <s v="na"/>
    <s v="na"/>
    <s v="na"/>
    <s v="na"/>
    <s v="na"/>
    <s v="na"/>
    <s v="na"/>
  </r>
  <r>
    <n v="2343"/>
    <x v="59"/>
    <n v="3"/>
    <x v="12"/>
    <x v="0"/>
    <x v="0"/>
    <m/>
    <m/>
    <n v="46"/>
    <m/>
    <s v="M"/>
    <m/>
    <d v="1899-12-30T00:15:00"/>
    <s v="09:58"/>
    <s v="JBu"/>
    <m/>
    <s v="20140810 JBures"/>
    <s v="20140810 HReider"/>
    <s v="x"/>
    <s v="x"/>
    <s v="na"/>
    <s v="FWL"/>
    <s v="na"/>
    <s v="na"/>
    <s v="na"/>
    <s v="na"/>
    <s v="na"/>
    <s v="na"/>
    <s v="na"/>
    <s v="na"/>
  </r>
  <r>
    <n v="2344"/>
    <x v="59"/>
    <n v="3"/>
    <x v="12"/>
    <x v="0"/>
    <x v="0"/>
    <m/>
    <m/>
    <n v="47"/>
    <m/>
    <s v="M"/>
    <m/>
    <d v="1899-12-30T00:16:00"/>
    <s v="10:00"/>
    <s v="JBu"/>
    <m/>
    <s v="20140810 JBures"/>
    <s v="20140810 HReider"/>
    <s v="x"/>
    <s v="x"/>
    <s v="na"/>
    <s v="FWL"/>
    <s v="na"/>
    <s v="na"/>
    <s v="na"/>
    <s v="na"/>
    <s v="na"/>
    <s v="na"/>
    <s v="na"/>
    <s v="na"/>
  </r>
  <r>
    <n v="2345"/>
    <x v="59"/>
    <n v="3"/>
    <x v="10"/>
    <x v="0"/>
    <x v="0"/>
    <m/>
    <m/>
    <n v="53"/>
    <m/>
    <s v="M"/>
    <m/>
    <d v="1899-12-30T00:12:00"/>
    <s v="10:01"/>
    <s v="JBu"/>
    <m/>
    <s v="20140810 JBures"/>
    <s v="20140810 HReider"/>
    <s v="x"/>
    <s v="x"/>
    <s v="na"/>
    <s v="FWL"/>
    <s v="na"/>
    <s v="na"/>
    <s v="na"/>
    <s v="na"/>
    <s v="na"/>
    <s v="na"/>
    <s v="na"/>
    <s v="na"/>
  </r>
  <r>
    <n v="2346"/>
    <x v="59"/>
    <n v="3"/>
    <x v="12"/>
    <x v="0"/>
    <x v="0"/>
    <m/>
    <m/>
    <n v="47"/>
    <m/>
    <s v="F"/>
    <m/>
    <d v="1899-12-30T00:12:00"/>
    <s v="10:40"/>
    <s v="JBu"/>
    <m/>
    <s v="20140810 JBures"/>
    <s v="20140810 HReider"/>
    <s v="x"/>
    <s v="x"/>
    <s v="na"/>
    <s v="FWL"/>
    <s v="na"/>
    <s v="na"/>
    <s v="na"/>
    <s v="na"/>
    <s v="na"/>
    <s v="na"/>
    <s v="na"/>
    <s v="na"/>
  </r>
  <r>
    <n v="2347"/>
    <x v="59"/>
    <n v="3"/>
    <x v="10"/>
    <x v="0"/>
    <x v="0"/>
    <m/>
    <m/>
    <n v="50"/>
    <m/>
    <s v="U"/>
    <m/>
    <d v="1899-12-30T00:12:00"/>
    <s v="10:42"/>
    <s v="JBu"/>
    <m/>
    <s v="20140810 JBures"/>
    <s v="20140810 HReider"/>
    <s v="x"/>
    <s v="x"/>
    <s v="na"/>
    <s v="FWL"/>
    <s v="na"/>
    <s v="na"/>
    <s v="na"/>
    <s v="na"/>
    <s v="na"/>
    <s v="na"/>
    <s v="na"/>
    <s v="na"/>
  </r>
  <r>
    <n v="2348"/>
    <x v="59"/>
    <n v="3"/>
    <x v="12"/>
    <x v="0"/>
    <x v="0"/>
    <m/>
    <m/>
    <n v="48"/>
    <m/>
    <s v="F"/>
    <m/>
    <d v="1899-12-30T00:15:00"/>
    <s v="10:44"/>
    <s v="JBu"/>
    <m/>
    <s v="20140810 JBures"/>
    <s v="20140810 HReider"/>
    <s v="x"/>
    <s v="x"/>
    <s v="na"/>
    <s v="FWL"/>
    <s v="na"/>
    <s v="na"/>
    <s v="na"/>
    <s v="na"/>
    <s v="na"/>
    <s v="na"/>
    <s v="na"/>
    <s v="na"/>
  </r>
  <r>
    <n v="2349"/>
    <x v="59"/>
    <n v="3"/>
    <x v="10"/>
    <x v="0"/>
    <x v="0"/>
    <m/>
    <m/>
    <n v="56"/>
    <m/>
    <s v="F"/>
    <m/>
    <d v="1899-12-30T00:12:00"/>
    <s v="10:46"/>
    <s v="JBu"/>
    <m/>
    <s v="20140810 JBures"/>
    <s v="20140810 HReider"/>
    <s v="x"/>
    <s v="x"/>
    <s v="na"/>
    <s v="FWL"/>
    <s v="na"/>
    <s v="na"/>
    <s v="na"/>
    <s v="na"/>
    <s v="na"/>
    <s v="na"/>
    <s v="na"/>
    <s v="na"/>
  </r>
  <r>
    <n v="2350"/>
    <x v="59"/>
    <n v="3"/>
    <x v="12"/>
    <x v="0"/>
    <x v="0"/>
    <m/>
    <m/>
    <n v="48"/>
    <m/>
    <s v="M"/>
    <m/>
    <d v="1899-12-30T00:29:00"/>
    <s v="11:59"/>
    <s v="HR"/>
    <m/>
    <s v="20140810 CSejkora"/>
    <s v="20140810 HReider"/>
    <s v="x"/>
    <s v="x"/>
    <s v="na"/>
    <s v="FWL"/>
    <s v="na"/>
    <s v="na"/>
    <s v="na"/>
    <s v="na"/>
    <s v="na"/>
    <s v="na"/>
    <s v="na"/>
    <s v="na"/>
  </r>
  <r>
    <n v="2351"/>
    <x v="59"/>
    <n v="3"/>
    <x v="10"/>
    <x v="0"/>
    <x v="0"/>
    <m/>
    <m/>
    <n v="50"/>
    <m/>
    <s v="F"/>
    <m/>
    <d v="1899-12-30T00:28:00"/>
    <s v="12:00"/>
    <s v="HR"/>
    <m/>
    <s v="20140810 CSejkora"/>
    <s v="20140810 HReider"/>
    <s v="x"/>
    <s v="x"/>
    <s v="na"/>
    <s v="FWL"/>
    <s v="na"/>
    <s v="na"/>
    <s v="na"/>
    <s v="na"/>
    <s v="na"/>
    <s v="na"/>
    <s v="na"/>
    <s v="na"/>
  </r>
  <r>
    <n v="2352"/>
    <x v="59"/>
    <n v="3"/>
    <x v="12"/>
    <x v="0"/>
    <x v="0"/>
    <m/>
    <m/>
    <n v="45"/>
    <m/>
    <s v="F"/>
    <m/>
    <d v="1899-12-30T00:29:00"/>
    <s v="12:01"/>
    <s v="HR"/>
    <m/>
    <s v="20140810 CSejkora"/>
    <s v="20140810 HReider"/>
    <s v="x"/>
    <s v="x"/>
    <s v="na"/>
    <s v="FWL"/>
    <s v="na"/>
    <s v="na"/>
    <s v="na"/>
    <s v="na"/>
    <s v="na"/>
    <s v="na"/>
    <s v="na"/>
    <s v="na"/>
  </r>
  <r>
    <n v="2353"/>
    <x v="59"/>
    <n v="3"/>
    <x v="7"/>
    <x v="0"/>
    <x v="10"/>
    <n v="55"/>
    <s v="128 S"/>
    <n v="43"/>
    <m/>
    <s v="U"/>
    <m/>
    <d v="1899-12-30T01:00:00"/>
    <s v="12:13"/>
    <s v="HR"/>
    <s v="gash on left side, but healed over"/>
    <s v="20140810 CSejkora"/>
    <s v="20140810 HReider"/>
    <s v="x"/>
    <n v="151.58600000000001"/>
    <s v="na"/>
    <s v="FWL"/>
    <s v="na"/>
    <s v="na"/>
    <s v="F1840"/>
    <s v="na"/>
    <s v="na"/>
    <s v="na"/>
    <s v="na"/>
    <s v="na"/>
  </r>
  <r>
    <n v="2354"/>
    <x v="59"/>
    <n v="3"/>
    <x v="12"/>
    <x v="0"/>
    <x v="0"/>
    <m/>
    <m/>
    <n v="40"/>
    <m/>
    <s v="F"/>
    <m/>
    <d v="1899-12-30T00:25:00"/>
    <s v="12:06"/>
    <s v="HR"/>
    <m/>
    <s v="20140810 CSejkora"/>
    <s v="20140810 HReider"/>
    <s v="x"/>
    <s v="x"/>
    <s v="na"/>
    <s v="FWL"/>
    <s v="na"/>
    <s v="na"/>
    <s v="na"/>
    <s v="na"/>
    <s v="na"/>
    <s v="na"/>
    <s v="na"/>
    <s v="na"/>
  </r>
  <r>
    <n v="2355"/>
    <x v="59"/>
    <n v="3"/>
    <x v="10"/>
    <x v="0"/>
    <x v="0"/>
    <m/>
    <m/>
    <n v="57"/>
    <m/>
    <s v="M"/>
    <m/>
    <d v="1899-12-30T00:26:00"/>
    <s v="12:07"/>
    <s v="HR"/>
    <m/>
    <s v="20140810 CSejkora"/>
    <s v="20140810 HReider"/>
    <s v="x"/>
    <s v="x"/>
    <s v="na"/>
    <s v="FWL"/>
    <s v="na"/>
    <s v="na"/>
    <s v="na"/>
    <s v="na"/>
    <s v="na"/>
    <s v="na"/>
    <s v="na"/>
    <s v="na"/>
  </r>
  <r>
    <n v="2356"/>
    <x v="59"/>
    <n v="3"/>
    <x v="12"/>
    <x v="0"/>
    <x v="0"/>
    <m/>
    <m/>
    <n v="48"/>
    <m/>
    <s v="M"/>
    <m/>
    <d v="1899-12-30T01:02:00"/>
    <s v="12:10"/>
    <s v="HR"/>
    <m/>
    <s v="20140810 CSejkora"/>
    <s v="20140810 HReider"/>
    <s v="x"/>
    <s v="x"/>
    <s v="na"/>
    <s v="FWL"/>
    <s v="na"/>
    <s v="na"/>
    <s v="na"/>
    <s v="na"/>
    <s v="na"/>
    <s v="na"/>
    <s v="na"/>
    <s v="na"/>
  </r>
  <r>
    <n v="2357"/>
    <x v="59"/>
    <n v="3"/>
    <x v="12"/>
    <x v="0"/>
    <x v="0"/>
    <m/>
    <m/>
    <n v="45"/>
    <m/>
    <s v="F"/>
    <m/>
    <d v="1899-12-30T01:08:00"/>
    <s v="12:10"/>
    <s v="HR"/>
    <s v="missing part of tail fin"/>
    <s v="20140810 CSejkora"/>
    <s v="20140810 HReider"/>
    <s v="x"/>
    <s v="x"/>
    <s v="na"/>
    <s v="FWL"/>
    <s v="na"/>
    <s v="na"/>
    <s v="na"/>
    <s v="na"/>
    <s v="na"/>
    <s v="na"/>
    <s v="na"/>
    <s v="na"/>
  </r>
  <r>
    <n v="2358"/>
    <x v="59"/>
    <n v="3"/>
    <x v="10"/>
    <x v="0"/>
    <x v="0"/>
    <m/>
    <m/>
    <n v="59"/>
    <m/>
    <s v="F"/>
    <m/>
    <d v="1899-12-30T00:24:00"/>
    <s v="12:15"/>
    <s v="HR"/>
    <m/>
    <s v="20140810 CSejkora"/>
    <s v="20140810 HReider"/>
    <s v="x"/>
    <s v="x"/>
    <s v="na"/>
    <s v="FWL"/>
    <s v="na"/>
    <s v="na"/>
    <s v="na"/>
    <s v="na"/>
    <s v="na"/>
    <s v="na"/>
    <s v="na"/>
    <s v="na"/>
  </r>
  <r>
    <n v="2359"/>
    <x v="59"/>
    <n v="3"/>
    <x v="10"/>
    <x v="0"/>
    <x v="0"/>
    <m/>
    <m/>
    <n v="61"/>
    <m/>
    <s v="U"/>
    <m/>
    <d v="1899-12-30T00:24:00"/>
    <s v="12:18"/>
    <s v="CSj"/>
    <m/>
    <s v="20140810 CSejkora"/>
    <s v="20140810 HReider"/>
    <s v="x"/>
    <s v="x"/>
    <s v="na"/>
    <s v="FWL"/>
    <s v="na"/>
    <s v="na"/>
    <s v="na"/>
    <s v="na"/>
    <s v="na"/>
    <s v="na"/>
    <s v="na"/>
    <s v="na"/>
  </r>
  <r>
    <n v="2360"/>
    <x v="59"/>
    <n v="3"/>
    <x v="12"/>
    <x v="0"/>
    <x v="0"/>
    <m/>
    <m/>
    <n v="47"/>
    <m/>
    <s v="M"/>
    <m/>
    <d v="1899-12-30T00:21:00"/>
    <s v="12:19"/>
    <s v="CSj"/>
    <m/>
    <s v="20140810 CSejkora"/>
    <s v="20140810 HReider"/>
    <s v="x"/>
    <s v="x"/>
    <s v="na"/>
    <s v="FWL"/>
    <s v="na"/>
    <s v="na"/>
    <s v="na"/>
    <s v="na"/>
    <s v="na"/>
    <s v="na"/>
    <s v="na"/>
    <s v="na"/>
  </r>
  <r>
    <n v="2361"/>
    <x v="59"/>
    <n v="3"/>
    <x v="10"/>
    <x v="0"/>
    <x v="0"/>
    <m/>
    <m/>
    <n v="55"/>
    <m/>
    <s v="U"/>
    <m/>
    <d v="1899-12-30T00:23:00"/>
    <s v="12:20"/>
    <s v="CSj"/>
    <m/>
    <s v="20140810 CSejkora"/>
    <s v="20140810 HReider"/>
    <s v="x"/>
    <s v="x"/>
    <s v="na"/>
    <s v="FWL"/>
    <s v="na"/>
    <s v="na"/>
    <s v="na"/>
    <s v="na"/>
    <s v="na"/>
    <s v="na"/>
    <s v="na"/>
    <s v="na"/>
  </r>
  <r>
    <n v="2362"/>
    <x v="59"/>
    <n v="3"/>
    <x v="12"/>
    <x v="0"/>
    <x v="0"/>
    <m/>
    <m/>
    <n v="46"/>
    <m/>
    <s v="F"/>
    <m/>
    <d v="1899-12-30T00:21:00"/>
    <s v="12:21"/>
    <s v="CSj"/>
    <m/>
    <s v="20140810 CSejkora"/>
    <s v="20140810 HReider"/>
    <s v="x"/>
    <s v="x"/>
    <s v="na"/>
    <s v="FWL"/>
    <s v="na"/>
    <s v="na"/>
    <s v="na"/>
    <s v="na"/>
    <s v="na"/>
    <s v="na"/>
    <s v="na"/>
    <s v="na"/>
  </r>
  <r>
    <n v="2363"/>
    <x v="59"/>
    <n v="3"/>
    <x v="13"/>
    <x v="0"/>
    <x v="14"/>
    <n v="89"/>
    <s v="49 CO"/>
    <n v="52"/>
    <m/>
    <s v="M"/>
    <m/>
    <d v="1899-12-30T00:56:00"/>
    <s v="12:25"/>
    <s v="CSj"/>
    <m/>
    <s v="20140810 CSejkora"/>
    <s v="20140810 HReider"/>
    <s v="x"/>
    <n v="151.32499999999999"/>
    <s v="na"/>
    <s v="FWL"/>
    <s v="na"/>
    <s v="na"/>
    <s v="F1840"/>
    <s v="na"/>
    <s v="na"/>
    <s v="na"/>
    <s v="na"/>
    <s v="na"/>
  </r>
  <r>
    <n v="2364"/>
    <x v="59"/>
    <n v="3"/>
    <x v="13"/>
    <x v="0"/>
    <x v="15"/>
    <n v="78"/>
    <s v="51 CO"/>
    <n v="56"/>
    <m/>
    <s v="M"/>
    <m/>
    <d v="1899-12-30T00:57:00"/>
    <s v="12:36"/>
    <s v="CSj"/>
    <s v="F266."/>
    <s v="20140810 CSejkora"/>
    <s v="20140810 HReider"/>
    <s v="x"/>
    <n v="151.26599999999999"/>
    <s v="na"/>
    <s v="FWL"/>
    <s v="na"/>
    <s v="na"/>
    <s v="F1840"/>
    <s v="na"/>
    <s v="na"/>
    <s v="na"/>
    <s v="na"/>
    <s v="na"/>
  </r>
  <r>
    <n v="2365"/>
    <x v="59"/>
    <n v="3"/>
    <x v="10"/>
    <x v="0"/>
    <x v="0"/>
    <m/>
    <m/>
    <n v="54"/>
    <m/>
    <s v="F"/>
    <m/>
    <d v="1899-12-30T00:38:00"/>
    <s v="12:32"/>
    <s v="CSj"/>
    <s v="has wound on left side of head, likely recapped 11 minutes later"/>
    <s v="20140810 CSejkora"/>
    <s v="20140810 HReider"/>
    <s v="x"/>
    <s v="x"/>
    <s v="na"/>
    <s v="FWL"/>
    <s v="na"/>
    <s v="na"/>
    <s v="na"/>
    <s v="na"/>
    <s v="na"/>
    <s v="na"/>
    <s v="na"/>
    <s v="na"/>
  </r>
  <r>
    <n v="2366"/>
    <x v="59"/>
    <n v="3"/>
    <x v="10"/>
    <x v="0"/>
    <x v="0"/>
    <m/>
    <m/>
    <n v="59"/>
    <m/>
    <s v="M"/>
    <m/>
    <d v="1899-12-30T00:25:00"/>
    <s v="12:40"/>
    <s v="CSj"/>
    <m/>
    <s v="20140810 CSejkora"/>
    <s v="20140810 HReider"/>
    <s v="x"/>
    <s v="x"/>
    <s v="na"/>
    <s v="FWL"/>
    <s v="na"/>
    <s v="na"/>
    <s v="na"/>
    <s v="na"/>
    <s v="na"/>
    <s v="na"/>
    <s v="na"/>
    <s v="na"/>
  </r>
  <r>
    <n v="2367"/>
    <x v="59"/>
    <n v="3"/>
    <x v="10"/>
    <x v="0"/>
    <x v="0"/>
    <m/>
    <m/>
    <n v="54"/>
    <m/>
    <s v="F"/>
    <m/>
    <d v="1899-12-30T00:22:00"/>
    <s v="12:43"/>
    <s v="CSj"/>
    <s v="wound on side of fish, same fish as 12:32 release"/>
    <s v="20140810 CSejkora"/>
    <s v="20140810 HReider"/>
    <s v="x"/>
    <s v="x"/>
    <s v="na"/>
    <s v="FWL"/>
    <s v="na"/>
    <s v="na"/>
    <s v="na"/>
    <s v="na"/>
    <s v="na"/>
    <s v="na"/>
    <s v="na"/>
    <s v="na"/>
  </r>
  <r>
    <n v="2368"/>
    <x v="59"/>
    <n v="3"/>
    <x v="13"/>
    <x v="0"/>
    <x v="15"/>
    <n v="81"/>
    <s v="52 CO"/>
    <n v="53"/>
    <m/>
    <s v="U"/>
    <m/>
    <d v="1899-12-30T01:12:00"/>
    <s v="12:49"/>
    <s v="HR"/>
    <s v="F266."/>
    <s v="20140810 CSejkora"/>
    <s v="20140810 HReider"/>
    <s v="x"/>
    <n v="151.26599999999999"/>
    <s v="na"/>
    <s v="FWL"/>
    <s v="na"/>
    <s v="na"/>
    <s v="F1840"/>
    <s v="na"/>
    <s v="na"/>
    <s v="na"/>
    <s v="na"/>
    <s v="na"/>
  </r>
  <r>
    <n v="2369"/>
    <x v="59"/>
    <n v="3"/>
    <x v="12"/>
    <x v="0"/>
    <x v="13"/>
    <n v="50"/>
    <s v="171 P"/>
    <n v="49"/>
    <m/>
    <s v="M"/>
    <m/>
    <d v="1899-12-30T00:55:00"/>
    <s v="13:48"/>
    <s v="CSj"/>
    <m/>
    <s v="20140810 CSejkora"/>
    <s v="20140810 HReider"/>
    <s v="x"/>
    <n v="151.51499999999999"/>
    <s v="na"/>
    <s v="FWL"/>
    <s v="na"/>
    <s v="na"/>
    <s v="F1835"/>
    <s v="na"/>
    <s v="na"/>
    <s v="na"/>
    <s v="na"/>
    <s v="na"/>
  </r>
  <r>
    <n v="2370"/>
    <x v="59"/>
    <n v="3"/>
    <x v="10"/>
    <x v="0"/>
    <x v="7"/>
    <n v="77"/>
    <s v="140 CM"/>
    <n v="55"/>
    <m/>
    <s v="M"/>
    <m/>
    <d v="1899-12-30T00:51:00"/>
    <s v="13:43"/>
    <s v="CSj"/>
    <m/>
    <s v="20140810 CSejkora"/>
    <s v="20140810 HReider"/>
    <s v="x"/>
    <n v="151.56399999999999"/>
    <s v="na"/>
    <s v="FWL"/>
    <s v="na"/>
    <s v="na"/>
    <s v="F1840"/>
    <s v="na"/>
    <s v="na"/>
    <s v="na"/>
    <s v="na"/>
    <s v="na"/>
  </r>
  <r>
    <n v="2371"/>
    <x v="59"/>
    <n v="3"/>
    <x v="10"/>
    <x v="0"/>
    <x v="0"/>
    <m/>
    <m/>
    <n v="63"/>
    <m/>
    <s v="M"/>
    <m/>
    <d v="1899-12-30T00:53:00"/>
    <s v="13:46"/>
    <s v="CSj"/>
    <s v="very bright colors"/>
    <s v="20140810 CSejkora"/>
    <s v="20140810 HReider"/>
    <s v="x"/>
    <s v="x"/>
    <s v="na"/>
    <s v="FWL"/>
    <s v="na"/>
    <s v="na"/>
    <s v="na"/>
    <s v="na"/>
    <s v="na"/>
    <s v="na"/>
    <s v="na"/>
    <s v="na"/>
  </r>
  <r>
    <n v="2372"/>
    <x v="59"/>
    <n v="3"/>
    <x v="3"/>
    <x v="2"/>
    <x v="0"/>
    <m/>
    <m/>
    <m/>
    <n v="24"/>
    <s v="U"/>
    <m/>
    <d v="1899-12-30T00:32:00"/>
    <s v="13:53"/>
    <s v="HR"/>
    <m/>
    <s v="20140810 CSejkora"/>
    <s v="20140810 HReider"/>
    <s v="x"/>
    <s v="x"/>
    <s v="na"/>
    <s v="FWL"/>
    <s v="na"/>
    <s v="na"/>
    <s v="na"/>
    <s v="na"/>
    <s v="na"/>
    <s v="na"/>
    <s v="na"/>
    <s v="na"/>
  </r>
  <r>
    <n v="2373"/>
    <x v="59"/>
    <n v="3"/>
    <x v="10"/>
    <x v="0"/>
    <x v="0"/>
    <m/>
    <m/>
    <n v="61"/>
    <m/>
    <s v="M"/>
    <m/>
    <d v="1899-12-30T00:25:00"/>
    <s v="15:26"/>
    <s v="HR"/>
    <m/>
    <s v="20140810 CSejkora"/>
    <s v="20140810 HReider"/>
    <s v="x"/>
    <s v="x"/>
    <s v="na"/>
    <s v="FWL"/>
    <s v="na"/>
    <s v="na"/>
    <s v="na"/>
    <s v="na"/>
    <s v="na"/>
    <s v="na"/>
    <s v="na"/>
    <s v="na"/>
  </r>
  <r>
    <n v="2374"/>
    <x v="59"/>
    <n v="3"/>
    <x v="13"/>
    <x v="0"/>
    <x v="15"/>
    <n v="28"/>
    <s v="53 CO"/>
    <n v="56"/>
    <m/>
    <s v="U"/>
    <m/>
    <d v="1899-12-30T01:28:00"/>
    <s v="15:35"/>
    <s v="HR"/>
    <s v="F266."/>
    <s v="20140810 CSejkora"/>
    <s v="20140810 HReider"/>
    <s v="x"/>
    <n v="151.26599999999999"/>
    <s v="na"/>
    <s v="FWL"/>
    <s v="na"/>
    <s v="na"/>
    <s v="F1840"/>
    <s v="na"/>
    <s v="na"/>
    <s v="na"/>
    <s v="na"/>
    <s v="na"/>
  </r>
  <r>
    <n v="2375"/>
    <x v="59"/>
    <n v="3"/>
    <x v="13"/>
    <x v="0"/>
    <x v="14"/>
    <n v="1"/>
    <s v="54 CO"/>
    <n v="59"/>
    <m/>
    <s v="U"/>
    <m/>
    <d v="1899-12-30T01:32:00"/>
    <s v="17:20"/>
    <s v="QB"/>
    <m/>
    <s v="20140810 DJohnson"/>
    <s v="20140810 HReider"/>
    <s v="x"/>
    <n v="151.32499999999999"/>
    <s v="na"/>
    <s v="FWL"/>
    <s v="na"/>
    <s v="na"/>
    <s v="F1840"/>
    <s v="na"/>
    <s v="na"/>
    <s v="na"/>
    <s v="na"/>
    <s v="na"/>
  </r>
  <r>
    <n v="2376"/>
    <x v="59"/>
    <n v="3"/>
    <x v="13"/>
    <x v="0"/>
    <x v="14"/>
    <n v="57"/>
    <s v="58 CO"/>
    <n v="57"/>
    <m/>
    <s v="U"/>
    <m/>
    <d v="1899-12-30T00:57:00"/>
    <s v="17:31"/>
    <s v="DJ"/>
    <m/>
    <s v="20140810 DJohnson"/>
    <s v="20140810 HReider"/>
    <s v="x"/>
    <n v="151.32499999999999"/>
    <s v="na"/>
    <s v="FWL"/>
    <s v="na"/>
    <s v="na"/>
    <s v="F1840"/>
    <s v="na"/>
    <s v="na"/>
    <s v="na"/>
    <s v="na"/>
    <s v="na"/>
  </r>
  <r>
    <n v="2377"/>
    <x v="59"/>
    <n v="3"/>
    <x v="13"/>
    <x v="0"/>
    <x v="14"/>
    <n v="74"/>
    <s v="59 CO"/>
    <n v="52"/>
    <m/>
    <s v="U"/>
    <m/>
    <d v="1899-12-30T01:08:00"/>
    <s v="17:36"/>
    <s v="DJ"/>
    <m/>
    <s v="20140810 DJohnson"/>
    <s v="20140810 HReider"/>
    <s v="x"/>
    <n v="151.32499999999999"/>
    <s v="na"/>
    <s v="FWL"/>
    <s v="na"/>
    <s v="na"/>
    <s v="F1840"/>
    <s v="na"/>
    <s v="na"/>
    <s v="na"/>
    <s v="na"/>
    <s v="na"/>
  </r>
  <r>
    <n v="2378"/>
    <x v="59"/>
    <n v="3"/>
    <x v="13"/>
    <x v="0"/>
    <x v="15"/>
    <n v="61"/>
    <s v="60 CO"/>
    <n v="48"/>
    <m/>
    <s v="U"/>
    <m/>
    <d v="1899-12-30T00:58:00"/>
    <s v="18:37"/>
    <s v="QB"/>
    <s v="F266."/>
    <s v="20140810 DJohnson"/>
    <s v="20140810 HReider"/>
    <s v="x"/>
    <n v="151.26599999999999"/>
    <s v="na"/>
    <s v="FWL"/>
    <s v="na"/>
    <s v="na"/>
    <s v="F1840"/>
    <s v="na"/>
    <s v="na"/>
    <s v="na"/>
    <s v="na"/>
    <s v="na"/>
  </r>
  <r>
    <n v="2379"/>
    <x v="59"/>
    <n v="3"/>
    <x v="7"/>
    <x v="0"/>
    <x v="10"/>
    <n v="40"/>
    <s v="129 S"/>
    <n v="50"/>
    <m/>
    <s v="M"/>
    <m/>
    <d v="1899-12-30T00:52:00"/>
    <s v="18:40"/>
    <s v="QB"/>
    <m/>
    <s v="20140810 DJohnson"/>
    <s v="20140810 HReider"/>
    <s v="x"/>
    <n v="151.58600000000001"/>
    <s v="na"/>
    <s v="FWL"/>
    <s v="na"/>
    <s v="na"/>
    <s v="F1840"/>
    <s v="na"/>
    <s v="na"/>
    <s v="na"/>
    <s v="na"/>
    <s v="na"/>
  </r>
  <r>
    <n v="2380"/>
    <x v="59"/>
    <n v="3"/>
    <x v="13"/>
    <x v="0"/>
    <x v="14"/>
    <n v="38"/>
    <s v="61 CO"/>
    <n v="58"/>
    <m/>
    <s v="U"/>
    <m/>
    <d v="1899-12-30T01:14:00"/>
    <s v="19:36"/>
    <s v="DJ"/>
    <m/>
    <s v="20140810 DJohnson"/>
    <s v="20140810 HReider"/>
    <s v="x"/>
    <n v="151.32499999999999"/>
    <s v="na"/>
    <s v="FWL"/>
    <s v="na"/>
    <s v="na"/>
    <s v="F1840"/>
    <s v="na"/>
    <s v="na"/>
    <s v="na"/>
    <s v="na"/>
    <s v="na"/>
  </r>
  <r>
    <n v="2381"/>
    <x v="59"/>
    <n v="3"/>
    <x v="13"/>
    <x v="0"/>
    <x v="14"/>
    <n v="96"/>
    <s v="62 CO"/>
    <n v="50"/>
    <m/>
    <s v="U"/>
    <m/>
    <d v="1899-12-30T00:46:00"/>
    <s v="19:41"/>
    <s v="DJ"/>
    <m/>
    <s v="20140810 DJohnson"/>
    <s v="20140810 HReider"/>
    <s v="x"/>
    <n v="151.32499999999999"/>
    <s v="na"/>
    <s v="FWL"/>
    <s v="na"/>
    <s v="na"/>
    <s v="F1840"/>
    <s v="na"/>
    <s v="na"/>
    <s v="na"/>
    <s v="na"/>
    <s v="na"/>
  </r>
  <r>
    <n v="2382"/>
    <x v="59"/>
    <n v="3"/>
    <x v="7"/>
    <x v="0"/>
    <x v="10"/>
    <n v="47"/>
    <s v="130 S"/>
    <n v="46"/>
    <m/>
    <s v="U"/>
    <m/>
    <d v="1899-12-30T00:57:00"/>
    <s v="20:15"/>
    <s v="DJ"/>
    <m/>
    <s v="20140810 DJohnson"/>
    <s v="20140810 HReider"/>
    <s v="x"/>
    <n v="151.58600000000001"/>
    <s v="na"/>
    <s v="FWL"/>
    <s v="na"/>
    <s v="na"/>
    <s v="F1840"/>
    <s v="na"/>
    <s v="na"/>
    <s v="na"/>
    <s v="na"/>
    <s v="na"/>
  </r>
  <r>
    <n v="2383"/>
    <x v="59"/>
    <n v="3"/>
    <x v="13"/>
    <x v="0"/>
    <x v="15"/>
    <n v="25"/>
    <s v="63 CO"/>
    <n v="49"/>
    <m/>
    <s v="U"/>
    <m/>
    <d v="1899-12-30T02:16:00"/>
    <s v="20:12"/>
    <s v="DJ"/>
    <s v="F266."/>
    <s v="20140810 DJohnson"/>
    <s v="20140810 HReider"/>
    <s v="x"/>
    <n v="151.26599999999999"/>
    <s v="na"/>
    <s v="FWL"/>
    <s v="na"/>
    <s v="na"/>
    <s v="F1840"/>
    <s v="na"/>
    <s v="na"/>
    <s v="na"/>
    <s v="na"/>
    <s v="na"/>
  </r>
  <r>
    <n v="2384"/>
    <x v="60"/>
    <n v="1"/>
    <x v="10"/>
    <x v="0"/>
    <x v="7"/>
    <n v="8"/>
    <s v="146 CM"/>
    <n v="62"/>
    <m/>
    <s v="U"/>
    <d v="1899-12-30T08:09:00"/>
    <d v="1899-12-30T01:03:00"/>
    <s v="08:18"/>
    <s v="HR"/>
    <m/>
    <s v="20140811 HReider"/>
    <s v="20140812 HReider"/>
    <d v="1899-12-30T00:07:57"/>
    <n v="151.56399999999999"/>
    <s v="na"/>
    <s v="FWL"/>
    <s v="na"/>
    <s v="na"/>
    <s v="F1840"/>
    <s v="na"/>
    <s v="na"/>
    <s v="na"/>
    <s v="na"/>
    <s v="na"/>
  </r>
  <r>
    <n v="2385"/>
    <x v="60"/>
    <n v="1"/>
    <x v="10"/>
    <x v="0"/>
    <x v="0"/>
    <m/>
    <m/>
    <n v="63"/>
    <m/>
    <s v="U"/>
    <d v="1899-12-30T08:14:00"/>
    <d v="1899-12-30T00:29:00"/>
    <s v="08:21"/>
    <s v="HR"/>
    <m/>
    <s v="20140811 HReider"/>
    <s v="20140812 HReider"/>
    <d v="1899-12-30T00:06:31"/>
    <s v="x"/>
    <s v="na"/>
    <s v="FWL"/>
    <s v="na"/>
    <s v="na"/>
    <s v="na"/>
    <s v="na"/>
    <s v="na"/>
    <s v="na"/>
    <s v="na"/>
    <s v="na"/>
  </r>
  <r>
    <n v="2386"/>
    <x v="60"/>
    <n v="1"/>
    <x v="10"/>
    <x v="0"/>
    <x v="0"/>
    <m/>
    <m/>
    <n v="57"/>
    <m/>
    <s v="F"/>
    <d v="1899-12-30T08:15:00"/>
    <d v="1899-12-30T00:26:00"/>
    <s v="08:23"/>
    <s v="HR"/>
    <m/>
    <s v="20140811 HReider"/>
    <s v="20140812 HReider"/>
    <d v="1899-12-30T00:07:34"/>
    <s v="x"/>
    <s v="na"/>
    <s v="FWL"/>
    <s v="na"/>
    <s v="na"/>
    <s v="na"/>
    <s v="na"/>
    <s v="na"/>
    <s v="na"/>
    <s v="na"/>
    <s v="na"/>
  </r>
  <r>
    <n v="2387"/>
    <x v="60"/>
    <n v="1"/>
    <x v="12"/>
    <x v="0"/>
    <x v="13"/>
    <n v="95"/>
    <s v="175 P"/>
    <n v="49"/>
    <m/>
    <s v="M"/>
    <m/>
    <d v="1899-12-30T00:47:00"/>
    <s v="09:16"/>
    <s v="NC"/>
    <m/>
    <s v="20140811 HReider"/>
    <s v="20140812 HReider"/>
    <s v="x"/>
    <n v="151.51499999999999"/>
    <s v="na"/>
    <s v="FWL"/>
    <s v="na"/>
    <s v="na"/>
    <s v="F1835"/>
    <s v="na"/>
    <s v="na"/>
    <s v="na"/>
    <s v="na"/>
    <s v="na"/>
  </r>
  <r>
    <n v="2388"/>
    <x v="60"/>
    <n v="1"/>
    <x v="10"/>
    <x v="0"/>
    <x v="0"/>
    <m/>
    <m/>
    <n v="58"/>
    <m/>
    <s v="U"/>
    <m/>
    <d v="1899-12-30T00:26:00"/>
    <s v="09:14"/>
    <s v="NC"/>
    <m/>
    <s v="20140811 HReider"/>
    <s v="20140812 HReider"/>
    <s v="x"/>
    <s v="x"/>
    <s v="na"/>
    <s v="FWL"/>
    <s v="na"/>
    <s v="na"/>
    <s v="na"/>
    <s v="na"/>
    <s v="na"/>
    <s v="na"/>
    <s v="na"/>
    <s v="na"/>
  </r>
  <r>
    <n v="2389"/>
    <x v="60"/>
    <n v="1"/>
    <x v="12"/>
    <x v="0"/>
    <x v="0"/>
    <m/>
    <m/>
    <n v="44"/>
    <m/>
    <s v="F"/>
    <m/>
    <d v="1899-12-30T00:16:00"/>
    <s v="09:18"/>
    <s v="NC"/>
    <m/>
    <s v="20140811 HReider"/>
    <s v="20140812 HReider"/>
    <s v="x"/>
    <s v="x"/>
    <s v="na"/>
    <s v="FWL"/>
    <s v="na"/>
    <s v="na"/>
    <s v="na"/>
    <s v="na"/>
    <s v="na"/>
    <s v="na"/>
    <s v="na"/>
    <s v="na"/>
  </r>
  <r>
    <n v="2390"/>
    <x v="60"/>
    <n v="1"/>
    <x v="12"/>
    <x v="0"/>
    <x v="0"/>
    <m/>
    <m/>
    <n v="48"/>
    <m/>
    <s v="F"/>
    <m/>
    <d v="1899-12-30T00:25:00"/>
    <s v="09:19"/>
    <s v="NC"/>
    <m/>
    <s v="20140811 HReider"/>
    <s v="20140812 HReider"/>
    <s v="x"/>
    <s v="x"/>
    <s v="na"/>
    <s v="FWL"/>
    <s v="na"/>
    <s v="na"/>
    <s v="na"/>
    <s v="na"/>
    <s v="na"/>
    <s v="na"/>
    <s v="na"/>
    <s v="na"/>
  </r>
  <r>
    <n v="2391"/>
    <x v="60"/>
    <n v="1"/>
    <x v="10"/>
    <x v="0"/>
    <x v="0"/>
    <m/>
    <m/>
    <n v="59"/>
    <m/>
    <s v="U"/>
    <m/>
    <d v="1899-12-30T00:23:00"/>
    <s v="09:20"/>
    <s v="NC"/>
    <m/>
    <s v="20140811 HReider"/>
    <s v="20140812 HReider"/>
    <s v="x"/>
    <s v="x"/>
    <s v="na"/>
    <s v="FWL"/>
    <s v="na"/>
    <s v="na"/>
    <s v="na"/>
    <s v="na"/>
    <s v="na"/>
    <s v="na"/>
    <s v="na"/>
    <s v="na"/>
  </r>
  <r>
    <n v="2392"/>
    <x v="60"/>
    <n v="1"/>
    <x v="10"/>
    <x v="0"/>
    <x v="0"/>
    <m/>
    <m/>
    <n v="57"/>
    <m/>
    <s v="F"/>
    <m/>
    <d v="1899-12-30T00:24:00"/>
    <s v="09:21"/>
    <s v="NC"/>
    <m/>
    <s v="20140811 HReider"/>
    <s v="20140812 HReider"/>
    <s v="x"/>
    <s v="x"/>
    <s v="na"/>
    <s v="FWL"/>
    <s v="na"/>
    <s v="na"/>
    <s v="na"/>
    <s v="na"/>
    <s v="na"/>
    <s v="na"/>
    <s v="na"/>
    <s v="na"/>
  </r>
  <r>
    <n v="2393"/>
    <x v="60"/>
    <n v="1"/>
    <x v="12"/>
    <x v="0"/>
    <x v="0"/>
    <m/>
    <m/>
    <n v="42"/>
    <m/>
    <s v="M"/>
    <m/>
    <d v="1899-12-30T00:27:00"/>
    <s v="09:23"/>
    <s v="NC"/>
    <m/>
    <s v="20140811 HReider"/>
    <s v="20140812 HReider"/>
    <s v="x"/>
    <s v="x"/>
    <s v="na"/>
    <s v="FWL"/>
    <s v="na"/>
    <s v="na"/>
    <s v="na"/>
    <s v="na"/>
    <s v="na"/>
    <s v="na"/>
    <s v="na"/>
    <s v="na"/>
  </r>
  <r>
    <n v="2394"/>
    <x v="60"/>
    <n v="1"/>
    <x v="12"/>
    <x v="0"/>
    <x v="0"/>
    <m/>
    <m/>
    <n v="45"/>
    <m/>
    <s v="F"/>
    <m/>
    <d v="1899-12-30T00:22:00"/>
    <s v="09:23"/>
    <s v="NC"/>
    <m/>
    <s v="20140811 HReider"/>
    <s v="20140812 HReider"/>
    <s v="x"/>
    <s v="x"/>
    <s v="na"/>
    <s v="FWL"/>
    <s v="na"/>
    <s v="na"/>
    <s v="na"/>
    <s v="na"/>
    <s v="na"/>
    <s v="na"/>
    <s v="na"/>
    <s v="na"/>
  </r>
  <r>
    <n v="2395"/>
    <x v="60"/>
    <n v="1"/>
    <x v="10"/>
    <x v="0"/>
    <x v="0"/>
    <m/>
    <m/>
    <n v="64"/>
    <m/>
    <s v="M"/>
    <m/>
    <d v="1899-12-30T00:32:00"/>
    <s v="09:24"/>
    <s v="NC"/>
    <m/>
    <s v="20140811 HReider"/>
    <s v="20140812 HReider"/>
    <s v="x"/>
    <s v="x"/>
    <s v="na"/>
    <s v="FWL"/>
    <s v="na"/>
    <s v="na"/>
    <s v="na"/>
    <s v="na"/>
    <s v="na"/>
    <s v="na"/>
    <s v="na"/>
    <s v="na"/>
  </r>
  <r>
    <n v="2396"/>
    <x v="60"/>
    <n v="1"/>
    <x v="12"/>
    <x v="0"/>
    <x v="0"/>
    <m/>
    <m/>
    <n v="47"/>
    <m/>
    <s v="F"/>
    <m/>
    <d v="1899-12-30T00:27:00"/>
    <s v="09:25"/>
    <s v="NC"/>
    <s v="puncture on left tail stock (old wound)"/>
    <s v="20140811 HReider"/>
    <s v="20140812 HReider"/>
    <s v="x"/>
    <s v="x"/>
    <s v="na"/>
    <s v="FWL"/>
    <s v="na"/>
    <s v="na"/>
    <s v="na"/>
    <s v="na"/>
    <s v="na"/>
    <s v="na"/>
    <s v="na"/>
    <s v="na"/>
  </r>
  <r>
    <n v="2397"/>
    <x v="60"/>
    <n v="1"/>
    <x v="10"/>
    <x v="0"/>
    <x v="0"/>
    <m/>
    <m/>
    <n v="62"/>
    <m/>
    <s v="F"/>
    <m/>
    <d v="1899-12-30T00:38:00"/>
    <s v="09:27"/>
    <s v="NC"/>
    <m/>
    <s v="20140811 HReider"/>
    <s v="20140812 HReider"/>
    <s v="x"/>
    <s v="x"/>
    <s v="na"/>
    <s v="FWL"/>
    <s v="na"/>
    <s v="na"/>
    <s v="na"/>
    <s v="na"/>
    <s v="na"/>
    <s v="na"/>
    <s v="na"/>
    <s v="na"/>
  </r>
  <r>
    <n v="2398"/>
    <x v="60"/>
    <n v="1"/>
    <x v="10"/>
    <x v="0"/>
    <x v="0"/>
    <m/>
    <m/>
    <n v="53"/>
    <m/>
    <s v="U"/>
    <m/>
    <d v="1899-12-30T00:31:00"/>
    <s v="10:10"/>
    <s v="HR"/>
    <m/>
    <s v="20140811 HReider"/>
    <s v="20140812 HReider"/>
    <s v="x"/>
    <s v="x"/>
    <s v="na"/>
    <s v="FWL"/>
    <s v="na"/>
    <s v="na"/>
    <s v="na"/>
    <s v="na"/>
    <s v="na"/>
    <s v="na"/>
    <s v="na"/>
    <s v="na"/>
  </r>
  <r>
    <n v="2399"/>
    <x v="60"/>
    <n v="1"/>
    <x v="10"/>
    <x v="0"/>
    <x v="0"/>
    <m/>
    <m/>
    <n v="61"/>
    <m/>
    <s v="M"/>
    <m/>
    <d v="1899-12-30T00:32:00"/>
    <s v="10:12"/>
    <s v="HR"/>
    <m/>
    <s v="20140811 HReider"/>
    <s v="20140812 HReider"/>
    <s v="x"/>
    <s v="x"/>
    <s v="na"/>
    <s v="FWL"/>
    <s v="na"/>
    <s v="na"/>
    <s v="na"/>
    <s v="na"/>
    <s v="na"/>
    <s v="na"/>
    <s v="na"/>
    <s v="na"/>
  </r>
  <r>
    <n v="2400"/>
    <x v="60"/>
    <n v="1"/>
    <x v="12"/>
    <x v="0"/>
    <x v="0"/>
    <m/>
    <m/>
    <n v="51"/>
    <m/>
    <s v="F"/>
    <m/>
    <d v="1899-12-30T00:26:00"/>
    <s v="10:13"/>
    <s v="HR"/>
    <m/>
    <s v="20140811 HReider"/>
    <s v="20140812 HReider"/>
    <s v="x"/>
    <s v="x"/>
    <s v="na"/>
    <s v="FWL"/>
    <s v="na"/>
    <s v="na"/>
    <s v="na"/>
    <s v="na"/>
    <s v="na"/>
    <s v="na"/>
    <s v="na"/>
    <s v="na"/>
  </r>
  <r>
    <n v="2401"/>
    <x v="60"/>
    <n v="1"/>
    <x v="10"/>
    <x v="0"/>
    <x v="0"/>
    <m/>
    <m/>
    <n v="60"/>
    <m/>
    <s v="M"/>
    <m/>
    <d v="1899-12-30T00:31:00"/>
    <s v="10:14"/>
    <s v="HR"/>
    <m/>
    <s v="20140811 HReider"/>
    <s v="20140812 HReider"/>
    <s v="x"/>
    <s v="x"/>
    <s v="na"/>
    <s v="FWL"/>
    <s v="na"/>
    <s v="na"/>
    <s v="na"/>
    <s v="na"/>
    <s v="na"/>
    <s v="na"/>
    <s v="na"/>
    <s v="na"/>
  </r>
  <r>
    <n v="2402"/>
    <x v="60"/>
    <n v="1"/>
    <x v="12"/>
    <x v="0"/>
    <x v="0"/>
    <m/>
    <m/>
    <n v="45"/>
    <m/>
    <s v="F"/>
    <m/>
    <d v="1899-12-30T00:25:00"/>
    <s v="10:47"/>
    <s v="NC"/>
    <s v="top half of nose missing"/>
    <s v="20140811 HReider"/>
    <s v="20140812 HReider"/>
    <s v="x"/>
    <s v="x"/>
    <s v="na"/>
    <s v="FWL"/>
    <s v="na"/>
    <s v="na"/>
    <s v="na"/>
    <s v="na"/>
    <s v="na"/>
    <s v="na"/>
    <s v="na"/>
    <s v="na"/>
  </r>
  <r>
    <n v="2403"/>
    <x v="60"/>
    <n v="1"/>
    <x v="7"/>
    <x v="0"/>
    <x v="6"/>
    <n v="93"/>
    <s v="150 S"/>
    <n v="50"/>
    <m/>
    <s v="U"/>
    <m/>
    <d v="1899-12-30T00:47:00"/>
    <s v="10:50"/>
    <s v="NC"/>
    <m/>
    <s v="20140811 HReider"/>
    <s v="20140812 HReider"/>
    <s v="x"/>
    <n v="151.57300000000001"/>
    <s v="na"/>
    <s v="FWL"/>
    <s v="na"/>
    <s v="na"/>
    <s v="F1840"/>
    <s v="na"/>
    <s v="na"/>
    <s v="na"/>
    <s v="na"/>
    <s v="na"/>
  </r>
  <r>
    <n v="2404"/>
    <x v="60"/>
    <n v="1"/>
    <x v="12"/>
    <x v="0"/>
    <x v="0"/>
    <m/>
    <m/>
    <n v="43"/>
    <m/>
    <s v="M"/>
    <m/>
    <d v="1899-12-30T00:31:00"/>
    <s v="10:52"/>
    <s v="NC"/>
    <m/>
    <s v="20140811 HReider"/>
    <s v="20140812 HReider"/>
    <s v="x"/>
    <s v="x"/>
    <s v="na"/>
    <s v="FWL"/>
    <s v="na"/>
    <s v="na"/>
    <s v="na"/>
    <s v="na"/>
    <s v="na"/>
    <s v="na"/>
    <s v="na"/>
    <s v="na"/>
  </r>
  <r>
    <n v="2405"/>
    <x v="60"/>
    <n v="1"/>
    <x v="10"/>
    <x v="0"/>
    <x v="0"/>
    <m/>
    <m/>
    <n v="59"/>
    <m/>
    <s v="U"/>
    <m/>
    <d v="1899-12-30T00:22:00"/>
    <s v="10:53"/>
    <s v="NC"/>
    <m/>
    <s v="20140811 HReider"/>
    <s v="20140812 HReider"/>
    <s v="x"/>
    <s v="x"/>
    <s v="na"/>
    <s v="FWL"/>
    <s v="na"/>
    <s v="na"/>
    <s v="na"/>
    <s v="na"/>
    <s v="na"/>
    <s v="na"/>
    <s v="na"/>
    <s v="na"/>
  </r>
  <r>
    <n v="2406"/>
    <x v="60"/>
    <n v="1"/>
    <x v="10"/>
    <x v="0"/>
    <x v="0"/>
    <m/>
    <m/>
    <n v="52"/>
    <m/>
    <s v="U"/>
    <m/>
    <d v="1899-12-30T00:21:00"/>
    <s v="10:54"/>
    <s v="NC"/>
    <m/>
    <s v="20140811 HReider"/>
    <s v="20140812 HReider"/>
    <s v="x"/>
    <s v="x"/>
    <s v="na"/>
    <s v="FWL"/>
    <s v="na"/>
    <s v="na"/>
    <s v="na"/>
    <s v="na"/>
    <s v="na"/>
    <s v="na"/>
    <s v="na"/>
    <s v="na"/>
  </r>
  <r>
    <n v="2407"/>
    <x v="60"/>
    <n v="1"/>
    <x v="10"/>
    <x v="0"/>
    <x v="0"/>
    <m/>
    <m/>
    <n v="57"/>
    <m/>
    <s v="F"/>
    <m/>
    <d v="1899-12-30T00:19:00"/>
    <s v="12:29"/>
    <s v="NC"/>
    <m/>
    <s v="20140811 HReider"/>
    <s v="20140812 HReider"/>
    <s v="x"/>
    <s v="x"/>
    <s v="na"/>
    <s v="FWL"/>
    <s v="na"/>
    <s v="na"/>
    <s v="na"/>
    <s v="na"/>
    <s v="na"/>
    <s v="na"/>
    <s v="na"/>
    <s v="na"/>
  </r>
  <r>
    <n v="2408"/>
    <x v="60"/>
    <n v="1"/>
    <x v="10"/>
    <x v="0"/>
    <x v="0"/>
    <m/>
    <m/>
    <n v="60"/>
    <m/>
    <s v="F"/>
    <m/>
    <d v="1899-12-30T00:21:00"/>
    <s v="12:29"/>
    <s v="NC"/>
    <m/>
    <s v="20140811 HReider"/>
    <s v="20140812 HReider"/>
    <s v="x"/>
    <s v="x"/>
    <s v="na"/>
    <s v="FWL"/>
    <s v="na"/>
    <s v="na"/>
    <s v="na"/>
    <s v="na"/>
    <s v="na"/>
    <s v="na"/>
    <s v="na"/>
    <s v="na"/>
  </r>
  <r>
    <n v="2409"/>
    <x v="60"/>
    <n v="1"/>
    <x v="12"/>
    <x v="0"/>
    <x v="0"/>
    <m/>
    <m/>
    <n v="43"/>
    <m/>
    <s v="F"/>
    <m/>
    <d v="1899-12-30T00:16:00"/>
    <s v="12:30"/>
    <s v="NC"/>
    <m/>
    <s v="20140811 HReider"/>
    <s v="20140812 HReider"/>
    <s v="x"/>
    <s v="x"/>
    <s v="na"/>
    <s v="FWL"/>
    <s v="na"/>
    <s v="na"/>
    <s v="na"/>
    <s v="na"/>
    <s v="na"/>
    <s v="na"/>
    <s v="na"/>
    <s v="na"/>
  </r>
  <r>
    <n v="2410"/>
    <x v="60"/>
    <n v="1"/>
    <x v="7"/>
    <x v="0"/>
    <x v="6"/>
    <n v="18"/>
    <s v="153 S"/>
    <n v="51"/>
    <m/>
    <s v="F"/>
    <m/>
    <d v="1899-12-30T00:52:00"/>
    <s v="12:33"/>
    <s v="NC"/>
    <m/>
    <s v="20140811 HReider"/>
    <s v="20140812 HReider"/>
    <s v="x"/>
    <n v="151.57300000000001"/>
    <s v="na"/>
    <s v="FWL"/>
    <s v="na"/>
    <s v="na"/>
    <s v="F1840"/>
    <s v="na"/>
    <s v="na"/>
    <s v="na"/>
    <s v="na"/>
    <s v="na"/>
  </r>
  <r>
    <n v="2411"/>
    <x v="60"/>
    <n v="1"/>
    <x v="12"/>
    <x v="0"/>
    <x v="0"/>
    <m/>
    <m/>
    <n v="48"/>
    <m/>
    <s v="M"/>
    <m/>
    <d v="1899-12-30T00:26:00"/>
    <s v="12:35"/>
    <s v="NC"/>
    <m/>
    <s v="20140811 HReider"/>
    <s v="20140812 HReider"/>
    <s v="x"/>
    <s v="x"/>
    <s v="na"/>
    <s v="FWL"/>
    <s v="na"/>
    <s v="na"/>
    <s v="na"/>
    <s v="na"/>
    <s v="na"/>
    <s v="na"/>
    <s v="na"/>
    <s v="na"/>
  </r>
  <r>
    <n v="2412"/>
    <x v="60"/>
    <n v="1"/>
    <x v="12"/>
    <x v="0"/>
    <x v="0"/>
    <m/>
    <m/>
    <n v="44"/>
    <m/>
    <s v="F"/>
    <m/>
    <d v="1899-12-30T00:33:00"/>
    <s v="12:35"/>
    <s v="NC"/>
    <m/>
    <s v="20140811 HReider"/>
    <s v="20140812 HReider"/>
    <s v="x"/>
    <s v="x"/>
    <s v="na"/>
    <s v="FWL"/>
    <s v="na"/>
    <s v="na"/>
    <s v="na"/>
    <s v="na"/>
    <s v="na"/>
    <s v="na"/>
    <s v="na"/>
    <s v="na"/>
  </r>
  <r>
    <n v="2413"/>
    <x v="60"/>
    <n v="1"/>
    <x v="12"/>
    <x v="0"/>
    <x v="0"/>
    <m/>
    <m/>
    <n v="46"/>
    <m/>
    <s v="F"/>
    <m/>
    <d v="1899-12-30T00:25:00"/>
    <s v="12:38"/>
    <s v="NC"/>
    <m/>
    <s v="20140811 HReider"/>
    <s v="20140812 HReider"/>
    <s v="x"/>
    <s v="x"/>
    <s v="na"/>
    <s v="FWL"/>
    <s v="na"/>
    <s v="na"/>
    <s v="na"/>
    <s v="na"/>
    <s v="na"/>
    <s v="na"/>
    <s v="na"/>
    <s v="na"/>
  </r>
  <r>
    <n v="2414"/>
    <x v="60"/>
    <n v="1"/>
    <x v="12"/>
    <x v="0"/>
    <x v="0"/>
    <m/>
    <m/>
    <n v="49"/>
    <m/>
    <s v="F"/>
    <m/>
    <d v="1899-12-30T00:24:00"/>
    <s v="13:48"/>
    <s v="NC"/>
    <m/>
    <s v="20140811 HReider"/>
    <s v="20140812 HReider"/>
    <s v="x"/>
    <s v="x"/>
    <s v="na"/>
    <s v="FWL"/>
    <s v="na"/>
    <s v="na"/>
    <s v="na"/>
    <s v="na"/>
    <s v="na"/>
    <s v="na"/>
    <s v="na"/>
    <s v="na"/>
  </r>
  <r>
    <n v="2415"/>
    <x v="60"/>
    <n v="1"/>
    <x v="12"/>
    <x v="0"/>
    <x v="0"/>
    <m/>
    <m/>
    <n v="48"/>
    <m/>
    <s v="F"/>
    <m/>
    <d v="1899-12-30T00:19:00"/>
    <s v="13:50"/>
    <s v="NC"/>
    <m/>
    <s v="20140811 HReider"/>
    <s v="20140812 HReider"/>
    <s v="x"/>
    <s v="x"/>
    <s v="na"/>
    <s v="FWL"/>
    <s v="na"/>
    <s v="na"/>
    <s v="na"/>
    <s v="na"/>
    <s v="na"/>
    <s v="na"/>
    <s v="na"/>
    <s v="na"/>
  </r>
  <r>
    <n v="2416"/>
    <x v="60"/>
    <n v="1"/>
    <x v="7"/>
    <x v="0"/>
    <x v="10"/>
    <n v="94"/>
    <s v="154 S"/>
    <n v="51"/>
    <m/>
    <s v="M"/>
    <m/>
    <d v="1899-12-30T00:51:00"/>
    <s v="14:33"/>
    <s v="QB"/>
    <m/>
    <s v="20140811 QBerger"/>
    <s v="20140812 HReider"/>
    <s v="x"/>
    <n v="151.58600000000001"/>
    <s v="na"/>
    <s v="FWL"/>
    <s v="na"/>
    <s v="na"/>
    <s v="F1840"/>
    <s v="na"/>
    <s v="na"/>
    <s v="na"/>
    <s v="na"/>
    <s v="na"/>
  </r>
  <r>
    <n v="2417"/>
    <x v="60"/>
    <n v="1"/>
    <x v="13"/>
    <x v="0"/>
    <x v="0"/>
    <m/>
    <m/>
    <n v="50"/>
    <m/>
    <s v="U"/>
    <m/>
    <d v="1899-12-30T00:27:00"/>
    <s v="16:41"/>
    <s v="QB"/>
    <m/>
    <s v="20140811 QBerger"/>
    <s v="20140812 HReider"/>
    <s v="x"/>
    <s v="x"/>
    <s v="na"/>
    <s v="FWL"/>
    <s v="na"/>
    <s v="na"/>
    <s v="na"/>
    <s v="na"/>
    <s v="na"/>
    <s v="na"/>
    <s v="na"/>
    <s v="na"/>
  </r>
  <r>
    <n v="2418"/>
    <x v="60"/>
    <n v="1"/>
    <x v="13"/>
    <x v="0"/>
    <x v="0"/>
    <m/>
    <m/>
    <n v="50"/>
    <m/>
    <s v="U"/>
    <m/>
    <d v="1899-12-30T00:15:00"/>
    <s v="18:30"/>
    <s v="CSj"/>
    <m/>
    <s v="20140811 QBerger"/>
    <s v="20140812 HReider"/>
    <s v="x"/>
    <s v="x"/>
    <s v="na"/>
    <s v="FWL"/>
    <s v="na"/>
    <s v="na"/>
    <s v="na"/>
    <s v="na"/>
    <s v="na"/>
    <s v="na"/>
    <s v="na"/>
    <s v="na"/>
  </r>
  <r>
    <n v="2419"/>
    <x v="60"/>
    <n v="2"/>
    <x v="10"/>
    <x v="0"/>
    <x v="11"/>
    <n v="37"/>
    <s v="148 CM"/>
    <n v="52"/>
    <m/>
    <s v="M"/>
    <m/>
    <d v="1899-12-30T01:25:00"/>
    <s v="09:42"/>
    <s v="HR"/>
    <m/>
    <s v="20140811 HReider"/>
    <s v="20140812 HReider"/>
    <s v="x"/>
    <n v="151.53399999999999"/>
    <s v="na"/>
    <s v="FWL"/>
    <s v="na"/>
    <s v="na"/>
    <s v="F1840"/>
    <s v="na"/>
    <s v="na"/>
    <s v="na"/>
    <s v="na"/>
    <s v="na"/>
  </r>
  <r>
    <n v="2420"/>
    <x v="60"/>
    <n v="2"/>
    <x v="10"/>
    <x v="0"/>
    <x v="0"/>
    <m/>
    <m/>
    <n v="53"/>
    <m/>
    <s v="F"/>
    <m/>
    <d v="1899-12-30T00:28:00"/>
    <s v="09:45"/>
    <s v="HR"/>
    <m/>
    <s v="20140811 HReider"/>
    <s v="20140812 HReider"/>
    <s v="x"/>
    <s v="x"/>
    <s v="na"/>
    <s v="FWL"/>
    <s v="na"/>
    <s v="na"/>
    <s v="na"/>
    <s v="na"/>
    <s v="na"/>
    <s v="na"/>
    <s v="na"/>
    <s v="na"/>
  </r>
  <r>
    <n v="2421"/>
    <x v="60"/>
    <n v="2"/>
    <x v="10"/>
    <x v="0"/>
    <x v="0"/>
    <m/>
    <m/>
    <n v="58"/>
    <m/>
    <s v="U"/>
    <d v="1899-12-30T09:54:00"/>
    <d v="1899-12-30T00:34:00"/>
    <s v="09:58"/>
    <s v="HR"/>
    <m/>
    <s v="20140811 HReider"/>
    <s v="20140812 HReider"/>
    <d v="1899-12-30T00:03:26"/>
    <s v="x"/>
    <s v="na"/>
    <s v="FWL"/>
    <s v="na"/>
    <s v="na"/>
    <s v="na"/>
    <s v="na"/>
    <s v="na"/>
    <s v="na"/>
    <s v="na"/>
    <s v="na"/>
  </r>
  <r>
    <n v="2422"/>
    <x v="60"/>
    <n v="2"/>
    <x v="10"/>
    <x v="0"/>
    <x v="0"/>
    <m/>
    <m/>
    <n v="58"/>
    <m/>
    <s v="M"/>
    <m/>
    <d v="1899-12-30T00:29:00"/>
    <s v="12:59"/>
    <s v="HR"/>
    <m/>
    <s v="20140811 HReider"/>
    <s v="20140812 HReider"/>
    <s v="x"/>
    <s v="x"/>
    <s v="na"/>
    <s v="FWL"/>
    <s v="na"/>
    <s v="na"/>
    <s v="na"/>
    <s v="na"/>
    <s v="na"/>
    <s v="na"/>
    <s v="na"/>
    <s v="na"/>
  </r>
  <r>
    <n v="2423"/>
    <x v="60"/>
    <n v="2"/>
    <x v="12"/>
    <x v="0"/>
    <x v="12"/>
    <n v="28"/>
    <s v="176 P"/>
    <n v="45"/>
    <m/>
    <s v="M"/>
    <m/>
    <d v="1899-12-30T01:17:00"/>
    <s v="14:04"/>
    <s v="NC"/>
    <m/>
    <s v="20140811 HReider"/>
    <s v="20140812 HReider"/>
    <s v="x"/>
    <n v="151.596"/>
    <s v="na"/>
    <s v="FWL"/>
    <s v="na"/>
    <s v="na"/>
    <s v="F1835"/>
    <s v="na"/>
    <s v="na"/>
    <s v="na"/>
    <s v="na"/>
    <s v="na"/>
  </r>
  <r>
    <n v="2424"/>
    <x v="60"/>
    <n v="2"/>
    <x v="10"/>
    <x v="0"/>
    <x v="11"/>
    <n v="30"/>
    <s v="149 CM"/>
    <n v="65"/>
    <m/>
    <s v="M"/>
    <m/>
    <d v="1899-12-30T01:25:00"/>
    <s v="17:00"/>
    <s v="CSj"/>
    <m/>
    <s v="20140811 CSejkora"/>
    <s v="20140812 HReider"/>
    <s v="x"/>
    <n v="151.53399999999999"/>
    <s v="na"/>
    <s v="FWL"/>
    <s v="na"/>
    <s v="na"/>
    <s v="F1840"/>
    <s v="na"/>
    <s v="na"/>
    <s v="na"/>
    <s v="na"/>
    <s v="na"/>
  </r>
  <r>
    <n v="2425"/>
    <x v="60"/>
    <n v="2"/>
    <x v="10"/>
    <x v="0"/>
    <x v="0"/>
    <m/>
    <m/>
    <n v="60"/>
    <m/>
    <s v="M"/>
    <m/>
    <d v="1899-12-30T00:28:00"/>
    <s v="17:01"/>
    <s v="CSj"/>
    <m/>
    <s v="20140811 CSejkora"/>
    <s v="20140812 HReider"/>
    <s v="x"/>
    <s v="x"/>
    <s v="na"/>
    <s v="FWL"/>
    <s v="na"/>
    <s v="na"/>
    <s v="na"/>
    <s v="na"/>
    <s v="na"/>
    <s v="na"/>
    <s v="na"/>
    <s v="na"/>
  </r>
  <r>
    <n v="2426"/>
    <x v="60"/>
    <n v="2"/>
    <x v="10"/>
    <x v="0"/>
    <x v="0"/>
    <m/>
    <m/>
    <n v="64"/>
    <m/>
    <s v="F"/>
    <m/>
    <d v="1899-12-30T00:38:00"/>
    <s v="17:03"/>
    <s v="CSj"/>
    <m/>
    <s v="20140811 CSejkora"/>
    <s v="20140812 HReider"/>
    <s v="x"/>
    <s v="x"/>
    <s v="na"/>
    <s v="FWL"/>
    <s v="na"/>
    <s v="na"/>
    <s v="na"/>
    <s v="na"/>
    <s v="na"/>
    <s v="na"/>
    <s v="na"/>
    <s v="na"/>
  </r>
  <r>
    <n v="2427"/>
    <x v="60"/>
    <n v="2"/>
    <x v="10"/>
    <x v="0"/>
    <x v="0"/>
    <m/>
    <m/>
    <n v="53"/>
    <m/>
    <s v="M"/>
    <m/>
    <d v="1899-12-30T00:31:00"/>
    <s v="17:04"/>
    <s v="CSj"/>
    <m/>
    <s v="20140811 CSejkora"/>
    <s v="20140812 HReider"/>
    <s v="x"/>
    <s v="x"/>
    <s v="na"/>
    <s v="FWL"/>
    <s v="na"/>
    <s v="na"/>
    <s v="na"/>
    <s v="na"/>
    <s v="na"/>
    <s v="na"/>
    <s v="na"/>
    <s v="na"/>
  </r>
  <r>
    <n v="2428"/>
    <x v="60"/>
    <n v="2"/>
    <x v="10"/>
    <x v="0"/>
    <x v="0"/>
    <m/>
    <m/>
    <n v="59"/>
    <m/>
    <s v="M"/>
    <m/>
    <d v="1899-12-30T00:29:00"/>
    <s v="17:05"/>
    <s v="CSj"/>
    <m/>
    <s v="20140811 CSejkora"/>
    <s v="20140812 HReider"/>
    <s v="x"/>
    <s v="x"/>
    <s v="na"/>
    <s v="FWL"/>
    <s v="na"/>
    <s v="na"/>
    <s v="na"/>
    <s v="na"/>
    <s v="na"/>
    <s v="na"/>
    <s v="na"/>
    <s v="na"/>
  </r>
  <r>
    <n v="2429"/>
    <x v="60"/>
    <n v="2"/>
    <x v="10"/>
    <x v="0"/>
    <x v="0"/>
    <m/>
    <m/>
    <n v="64"/>
    <m/>
    <s v="F"/>
    <m/>
    <d v="1899-12-30T00:27:00"/>
    <s v="17:06"/>
    <s v="CSj"/>
    <m/>
    <s v="20140811 CSejkora"/>
    <s v="20140812 HReider"/>
    <s v="x"/>
    <s v="x"/>
    <s v="na"/>
    <s v="FWL"/>
    <s v="na"/>
    <s v="na"/>
    <s v="na"/>
    <s v="na"/>
    <s v="na"/>
    <s v="na"/>
    <s v="na"/>
    <s v="na"/>
  </r>
  <r>
    <n v="2430"/>
    <x v="60"/>
    <n v="2"/>
    <x v="10"/>
    <x v="0"/>
    <x v="0"/>
    <m/>
    <m/>
    <n v="62"/>
    <m/>
    <s v="F"/>
    <m/>
    <d v="1899-12-30T00:28:00"/>
    <s v="17:08"/>
    <s v="CSj"/>
    <m/>
    <s v="20140811 CSejkora"/>
    <s v="20140812 HReider"/>
    <s v="x"/>
    <s v="x"/>
    <s v="na"/>
    <s v="FWL"/>
    <s v="na"/>
    <s v="na"/>
    <s v="na"/>
    <s v="na"/>
    <s v="na"/>
    <s v="na"/>
    <s v="na"/>
    <s v="na"/>
  </r>
  <r>
    <n v="2431"/>
    <x v="60"/>
    <n v="2"/>
    <x v="10"/>
    <x v="0"/>
    <x v="0"/>
    <m/>
    <m/>
    <n v="62"/>
    <m/>
    <s v="F"/>
    <m/>
    <d v="1899-12-30T00:34:00"/>
    <s v="18:16"/>
    <s v="QB"/>
    <m/>
    <s v="20140811 CSejkora"/>
    <s v="20140812 HReider"/>
    <s v="x"/>
    <s v="x"/>
    <s v="na"/>
    <s v="FWL"/>
    <s v="na"/>
    <s v="na"/>
    <s v="na"/>
    <s v="na"/>
    <s v="na"/>
    <s v="na"/>
    <s v="na"/>
    <s v="na"/>
  </r>
  <r>
    <n v="2432"/>
    <x v="60"/>
    <n v="2"/>
    <x v="12"/>
    <x v="0"/>
    <x v="12"/>
    <n v="41"/>
    <s v="177 P"/>
    <n v="45"/>
    <m/>
    <s v="F"/>
    <m/>
    <d v="1899-12-30T00:58:00"/>
    <s v="18:19"/>
    <s v="CSj"/>
    <m/>
    <s v="20140811 CSejkora"/>
    <s v="20140812 HReider"/>
    <s v="x"/>
    <n v="151.596"/>
    <s v="na"/>
    <s v="FWL"/>
    <s v="na"/>
    <s v="na"/>
    <s v="F1835"/>
    <s v="na"/>
    <s v="na"/>
    <s v="na"/>
    <s v="na"/>
    <s v="na"/>
  </r>
  <r>
    <n v="2433"/>
    <x v="60"/>
    <n v="2"/>
    <x v="10"/>
    <x v="0"/>
    <x v="0"/>
    <m/>
    <m/>
    <n v="56"/>
    <m/>
    <s v="F"/>
    <m/>
    <d v="1899-12-30T00:20:00"/>
    <s v="19:30"/>
    <s v="QB"/>
    <m/>
    <s v="20140811 CSejkora"/>
    <s v="20140812 HReider"/>
    <s v="x"/>
    <s v="x"/>
    <s v="na"/>
    <s v="FWL"/>
    <s v="na"/>
    <s v="na"/>
    <s v="na"/>
    <s v="na"/>
    <s v="na"/>
    <s v="na"/>
    <s v="na"/>
    <s v="na"/>
  </r>
  <r>
    <n v="2434"/>
    <x v="60"/>
    <n v="3"/>
    <x v="12"/>
    <x v="0"/>
    <x v="0"/>
    <m/>
    <m/>
    <n v="46"/>
    <m/>
    <s v="M"/>
    <m/>
    <d v="1899-12-30T00:32:00"/>
    <s v="09:18"/>
    <s v="QB"/>
    <s v="hard white fins, lots of scrapes"/>
    <s v="20140811 QBerger"/>
    <s v="20140812 HReider"/>
    <s v="x"/>
    <s v="x"/>
    <s v="na"/>
    <s v="FWL"/>
    <s v="na"/>
    <s v="na"/>
    <s v="na"/>
    <s v="na"/>
    <s v="na"/>
    <s v="na"/>
    <s v="na"/>
    <s v="na"/>
  </r>
  <r>
    <n v="2435"/>
    <x v="60"/>
    <n v="3"/>
    <x v="12"/>
    <x v="0"/>
    <x v="12"/>
    <n v="62"/>
    <s v="172 P"/>
    <n v="46"/>
    <m/>
    <s v="F"/>
    <m/>
    <d v="1899-12-30T01:06:00"/>
    <s v="09:21"/>
    <s v="QB"/>
    <m/>
    <s v="20140811 QBerger"/>
    <s v="20140812 HReider"/>
    <s v="x"/>
    <n v="151.596"/>
    <s v="na"/>
    <s v="FWL"/>
    <s v="na"/>
    <s v="na"/>
    <s v="F1835"/>
    <s v="na"/>
    <s v="na"/>
    <s v="na"/>
    <s v="na"/>
    <s v="na"/>
  </r>
  <r>
    <n v="2436"/>
    <x v="60"/>
    <n v="3"/>
    <x v="12"/>
    <x v="0"/>
    <x v="0"/>
    <m/>
    <m/>
    <n v="39"/>
    <m/>
    <s v="M"/>
    <m/>
    <d v="1899-12-30T00:27:00"/>
    <s v="09:24"/>
    <s v="CSj"/>
    <m/>
    <s v="20140811 QBerger"/>
    <s v="20140812 HReider"/>
    <s v="x"/>
    <s v="x"/>
    <s v="na"/>
    <s v="FWL"/>
    <s v="na"/>
    <s v="na"/>
    <s v="na"/>
    <s v="na"/>
    <s v="na"/>
    <s v="na"/>
    <s v="na"/>
    <s v="na"/>
  </r>
  <r>
    <n v="2437"/>
    <x v="60"/>
    <n v="3"/>
    <x v="13"/>
    <x v="0"/>
    <x v="15"/>
    <n v="37"/>
    <s v="64 CO"/>
    <n v="49"/>
    <m/>
    <s v="M"/>
    <m/>
    <d v="1899-12-30T01:21:00"/>
    <s v="09:26"/>
    <s v="QB"/>
    <s v="F266."/>
    <s v="20140811 QBerger"/>
    <s v="20140812 HReider"/>
    <s v="x"/>
    <n v="151.26599999999999"/>
    <s v="na"/>
    <s v="FWL"/>
    <s v="na"/>
    <s v="na"/>
    <s v="F1840"/>
    <s v="na"/>
    <s v="na"/>
    <s v="na"/>
    <s v="na"/>
    <s v="na"/>
  </r>
  <r>
    <n v="2438"/>
    <x v="60"/>
    <n v="3"/>
    <x v="12"/>
    <x v="0"/>
    <x v="0"/>
    <m/>
    <m/>
    <n v="43"/>
    <m/>
    <s v="F"/>
    <m/>
    <d v="1899-12-30T00:21:00"/>
    <s v="09:27"/>
    <s v="CSj"/>
    <m/>
    <s v="20140811 QBerger"/>
    <s v="20140812 HReider"/>
    <s v="x"/>
    <s v="x"/>
    <s v="na"/>
    <s v="FWL"/>
    <s v="na"/>
    <s v="na"/>
    <s v="na"/>
    <s v="na"/>
    <s v="na"/>
    <s v="na"/>
    <s v="na"/>
    <s v="na"/>
  </r>
  <r>
    <n v="2439"/>
    <x v="60"/>
    <n v="3"/>
    <x v="12"/>
    <x v="0"/>
    <x v="0"/>
    <m/>
    <m/>
    <n v="45"/>
    <m/>
    <s v="F"/>
    <m/>
    <d v="1899-12-30T00:17:00"/>
    <s v="09:28"/>
    <s v="CSj"/>
    <m/>
    <s v="20140811 QBerger"/>
    <s v="20140812 HReider"/>
    <s v="x"/>
    <s v="x"/>
    <s v="na"/>
    <s v="FWL"/>
    <s v="na"/>
    <s v="na"/>
    <s v="na"/>
    <s v="na"/>
    <s v="na"/>
    <s v="na"/>
    <s v="na"/>
    <s v="na"/>
  </r>
  <r>
    <n v="2440"/>
    <x v="60"/>
    <n v="3"/>
    <x v="10"/>
    <x v="0"/>
    <x v="11"/>
    <n v="40"/>
    <s v="142 CM"/>
    <n v="58"/>
    <m/>
    <s v="F"/>
    <m/>
    <d v="1899-12-30T00:52:00"/>
    <s v="09:31"/>
    <s v="QB"/>
    <m/>
    <s v="20140811 QBerger"/>
    <s v="20140812 HReider"/>
    <s v="x"/>
    <n v="151.53399999999999"/>
    <s v="na"/>
    <s v="FWL"/>
    <s v="na"/>
    <s v="na"/>
    <s v="F1840"/>
    <s v="na"/>
    <s v="na"/>
    <s v="na"/>
    <s v="na"/>
    <s v="na"/>
  </r>
  <r>
    <n v="2441"/>
    <x v="60"/>
    <n v="3"/>
    <x v="12"/>
    <x v="0"/>
    <x v="0"/>
    <m/>
    <m/>
    <n v="48"/>
    <m/>
    <s v="F"/>
    <m/>
    <d v="1899-12-30T00:23:00"/>
    <s v="09:35"/>
    <s v="CSj"/>
    <m/>
    <s v="20140811 QBerger"/>
    <s v="20140812 HReider"/>
    <s v="x"/>
    <s v="x"/>
    <s v="na"/>
    <s v="FWL"/>
    <s v="na"/>
    <s v="na"/>
    <s v="na"/>
    <s v="na"/>
    <s v="na"/>
    <s v="na"/>
    <s v="na"/>
    <s v="na"/>
  </r>
  <r>
    <n v="2442"/>
    <x v="60"/>
    <n v="3"/>
    <x v="12"/>
    <x v="0"/>
    <x v="0"/>
    <m/>
    <m/>
    <n v="47"/>
    <m/>
    <s v="M"/>
    <m/>
    <d v="1899-12-30T00:21:00"/>
    <s v="09:36"/>
    <s v="CSj"/>
    <m/>
    <s v="20140811 QBerger"/>
    <s v="20140812 HReider"/>
    <s v="x"/>
    <s v="x"/>
    <s v="na"/>
    <s v="FWL"/>
    <s v="na"/>
    <s v="na"/>
    <s v="na"/>
    <s v="na"/>
    <s v="na"/>
    <s v="na"/>
    <s v="na"/>
    <s v="na"/>
  </r>
  <r>
    <n v="2443"/>
    <x v="60"/>
    <n v="3"/>
    <x v="13"/>
    <x v="0"/>
    <x v="14"/>
    <n v="68"/>
    <s v="65 CO"/>
    <n v="49"/>
    <m/>
    <s v="M"/>
    <m/>
    <d v="1899-12-30T01:01:00"/>
    <s v="09:44"/>
    <s v="QB"/>
    <m/>
    <s v="20140811 QBerger"/>
    <s v="20140812 HReider"/>
    <s v="x"/>
    <n v="151.32499999999999"/>
    <s v="na"/>
    <s v="FWL"/>
    <s v="na"/>
    <s v="na"/>
    <s v="F1840"/>
    <s v="na"/>
    <s v="na"/>
    <s v="na"/>
    <s v="na"/>
    <s v="na"/>
  </r>
  <r>
    <n v="2444"/>
    <x v="60"/>
    <n v="3"/>
    <x v="12"/>
    <x v="0"/>
    <x v="0"/>
    <m/>
    <m/>
    <n v="47"/>
    <m/>
    <s v="M"/>
    <m/>
    <d v="1899-12-30T00:21:00"/>
    <s v="09:39"/>
    <s v="CSj"/>
    <m/>
    <s v="20140811 QBerger"/>
    <s v="20140812 HReider"/>
    <s v="x"/>
    <s v="x"/>
    <s v="na"/>
    <s v="FWL"/>
    <s v="na"/>
    <s v="na"/>
    <s v="na"/>
    <s v="na"/>
    <s v="na"/>
    <s v="na"/>
    <s v="na"/>
    <s v="na"/>
  </r>
  <r>
    <n v="2445"/>
    <x v="60"/>
    <n v="3"/>
    <x v="12"/>
    <x v="0"/>
    <x v="0"/>
    <m/>
    <m/>
    <n v="44"/>
    <m/>
    <s v="F"/>
    <m/>
    <d v="1899-12-30T00:17:00"/>
    <s v="09:40"/>
    <s v="CSj"/>
    <m/>
    <s v="20140811 QBerger"/>
    <s v="20140812 HReider"/>
    <s v="x"/>
    <s v="x"/>
    <s v="na"/>
    <s v="FWL"/>
    <s v="na"/>
    <s v="na"/>
    <s v="na"/>
    <s v="na"/>
    <s v="na"/>
    <s v="na"/>
    <s v="na"/>
    <s v="na"/>
  </r>
  <r>
    <n v="2446"/>
    <x v="60"/>
    <n v="3"/>
    <x v="12"/>
    <x v="0"/>
    <x v="0"/>
    <m/>
    <m/>
    <n v="46"/>
    <m/>
    <s v="F"/>
    <m/>
    <d v="1899-12-30T00:19:00"/>
    <s v="09:41"/>
    <s v="CSj"/>
    <m/>
    <s v="20140811 QBerger"/>
    <s v="20140812 HReider"/>
    <s v="x"/>
    <s v="x"/>
    <s v="na"/>
    <s v="FWL"/>
    <s v="na"/>
    <s v="na"/>
    <s v="na"/>
    <s v="na"/>
    <s v="na"/>
    <s v="na"/>
    <s v="na"/>
    <s v="na"/>
  </r>
  <r>
    <n v="2447"/>
    <x v="60"/>
    <n v="3"/>
    <x v="10"/>
    <x v="0"/>
    <x v="0"/>
    <m/>
    <m/>
    <n v="56"/>
    <m/>
    <s v="M"/>
    <m/>
    <d v="1899-12-30T00:31:00"/>
    <s v="09:47"/>
    <s v="QB"/>
    <m/>
    <s v="20140811 QBerger"/>
    <s v="20140812 HReider"/>
    <s v="x"/>
    <s v="x"/>
    <s v="na"/>
    <s v="FWL"/>
    <s v="na"/>
    <s v="na"/>
    <s v="na"/>
    <s v="na"/>
    <s v="na"/>
    <s v="na"/>
    <s v="na"/>
    <s v="na"/>
  </r>
  <r>
    <n v="2448"/>
    <x v="60"/>
    <n v="3"/>
    <x v="10"/>
    <x v="0"/>
    <x v="0"/>
    <m/>
    <m/>
    <n v="63"/>
    <m/>
    <s v="F"/>
    <m/>
    <d v="1899-12-30T00:28:00"/>
    <s v="09:49"/>
    <s v="QB"/>
    <m/>
    <s v="20140811 QBerger"/>
    <s v="20140812 HReider"/>
    <s v="x"/>
    <s v="x"/>
    <s v="na"/>
    <s v="FWL"/>
    <s v="na"/>
    <s v="na"/>
    <s v="na"/>
    <s v="na"/>
    <s v="na"/>
    <s v="na"/>
    <s v="na"/>
    <s v="na"/>
  </r>
  <r>
    <n v="2449"/>
    <x v="60"/>
    <n v="3"/>
    <x v="12"/>
    <x v="0"/>
    <x v="0"/>
    <m/>
    <m/>
    <n v="50"/>
    <m/>
    <s v="M"/>
    <m/>
    <d v="1899-12-30T00:18:00"/>
    <s v="10:34"/>
    <s v="QB"/>
    <m/>
    <s v="20140811 QBerger"/>
    <s v="20140812 HReider"/>
    <s v="x"/>
    <s v="x"/>
    <s v="na"/>
    <s v="FWL"/>
    <s v="na"/>
    <s v="na"/>
    <s v="na"/>
    <s v="na"/>
    <s v="na"/>
    <s v="na"/>
    <s v="na"/>
    <s v="na"/>
  </r>
  <r>
    <n v="2450"/>
    <x v="60"/>
    <n v="3"/>
    <x v="10"/>
    <x v="0"/>
    <x v="0"/>
    <m/>
    <m/>
    <n v="60"/>
    <m/>
    <s v="F"/>
    <m/>
    <d v="1899-12-30T00:22:00"/>
    <s v="10:35"/>
    <s v="QB"/>
    <m/>
    <s v="20140811 QBerger"/>
    <s v="20140812 HReider"/>
    <s v="x"/>
    <s v="x"/>
    <s v="na"/>
    <s v="FWL"/>
    <s v="na"/>
    <s v="na"/>
    <s v="na"/>
    <s v="na"/>
    <s v="na"/>
    <s v="na"/>
    <s v="na"/>
    <s v="na"/>
  </r>
  <r>
    <n v="2451"/>
    <x v="60"/>
    <n v="3"/>
    <x v="12"/>
    <x v="0"/>
    <x v="0"/>
    <m/>
    <m/>
    <n v="45"/>
    <m/>
    <s v="F"/>
    <m/>
    <d v="1899-12-30T00:24:00"/>
    <s v="10:36"/>
    <s v="QB"/>
    <m/>
    <s v="20140811 QBerger"/>
    <s v="20140812 HReider"/>
    <s v="x"/>
    <s v="x"/>
    <s v="na"/>
    <s v="FWL"/>
    <s v="na"/>
    <s v="na"/>
    <s v="na"/>
    <s v="na"/>
    <s v="na"/>
    <s v="na"/>
    <s v="na"/>
    <s v="na"/>
  </r>
  <r>
    <n v="2452"/>
    <x v="60"/>
    <n v="3"/>
    <x v="12"/>
    <x v="0"/>
    <x v="0"/>
    <m/>
    <m/>
    <n v="46"/>
    <m/>
    <s v="M"/>
    <m/>
    <d v="1899-12-30T00:18:00"/>
    <s v="10:37"/>
    <s v="QB"/>
    <m/>
    <s v="20140811 QBerger"/>
    <s v="20140812 HReider"/>
    <s v="x"/>
    <s v="x"/>
    <s v="na"/>
    <s v="FWL"/>
    <s v="na"/>
    <s v="na"/>
    <s v="na"/>
    <s v="na"/>
    <s v="na"/>
    <s v="na"/>
    <s v="na"/>
    <s v="na"/>
  </r>
  <r>
    <n v="2453"/>
    <x v="60"/>
    <n v="3"/>
    <x v="13"/>
    <x v="0"/>
    <x v="0"/>
    <m/>
    <m/>
    <n v="56"/>
    <m/>
    <s v="M"/>
    <m/>
    <d v="1899-12-30T01:45:00"/>
    <s v="10:41"/>
    <s v="CSj"/>
    <s v="would not retain tag!"/>
    <s v="20140811 QBerger"/>
    <s v="20140812 HReider"/>
    <s v="x"/>
    <s v="x"/>
    <s v="na"/>
    <s v="FWL"/>
    <s v="na"/>
    <s v="na"/>
    <s v="na"/>
    <s v="na"/>
    <s v="na"/>
    <s v="na"/>
    <s v="na"/>
    <s v="na"/>
  </r>
  <r>
    <n v="2454"/>
    <x v="60"/>
    <n v="3"/>
    <x v="13"/>
    <x v="0"/>
    <x v="15"/>
    <n v="15"/>
    <s v="66 CO"/>
    <n v="53"/>
    <m/>
    <s v="F"/>
    <m/>
    <d v="1899-12-30T00:49:00"/>
    <s v="12:55"/>
    <s v="JBu"/>
    <s v="F266."/>
    <s v="20140811 DJohnson"/>
    <s v="20140812 HReider"/>
    <s v="x"/>
    <n v="151.26599999999999"/>
    <s v="na"/>
    <s v="FWL"/>
    <s v="na"/>
    <s v="na"/>
    <s v="F1840"/>
    <s v="na"/>
    <s v="na"/>
    <s v="na"/>
    <s v="na"/>
    <s v="na"/>
  </r>
  <r>
    <n v="2455"/>
    <x v="60"/>
    <n v="3"/>
    <x v="13"/>
    <x v="0"/>
    <x v="15"/>
    <n v="53"/>
    <s v="67 CO"/>
    <n v="52"/>
    <m/>
    <s v="M"/>
    <m/>
    <d v="1899-12-30T00:45:00"/>
    <s v="12:57"/>
    <s v="JBu"/>
    <s v="F266."/>
    <s v="20140811 DJohnson"/>
    <s v="20140812 HReider"/>
    <s v="x"/>
    <n v="151.26599999999999"/>
    <s v="na"/>
    <s v="FWL"/>
    <s v="na"/>
    <s v="na"/>
    <s v="F1840"/>
    <s v="na"/>
    <s v="na"/>
    <s v="na"/>
    <s v="na"/>
    <s v="na"/>
  </r>
  <r>
    <n v="2456"/>
    <x v="60"/>
    <n v="3"/>
    <x v="10"/>
    <x v="0"/>
    <x v="0"/>
    <m/>
    <m/>
    <n v="53"/>
    <m/>
    <s v="M"/>
    <m/>
    <d v="1899-12-30T00:17:00"/>
    <s v="12:45"/>
    <s v="JBu"/>
    <m/>
    <s v="20140811 DJohnson"/>
    <s v="20140812 HReider"/>
    <s v="x"/>
    <s v="x"/>
    <s v="na"/>
    <s v="FWL"/>
    <s v="na"/>
    <s v="na"/>
    <s v="na"/>
    <s v="na"/>
    <s v="na"/>
    <s v="na"/>
    <s v="na"/>
    <s v="na"/>
  </r>
  <r>
    <n v="2457"/>
    <x v="60"/>
    <n v="3"/>
    <x v="10"/>
    <x v="0"/>
    <x v="0"/>
    <m/>
    <m/>
    <n v="59"/>
    <m/>
    <s v="M"/>
    <m/>
    <d v="1899-12-30T00:13:00"/>
    <s v="12:46"/>
    <s v="JBu"/>
    <m/>
    <s v="20140811 DJohnson"/>
    <s v="20140812 HReider"/>
    <s v="x"/>
    <s v="x"/>
    <s v="na"/>
    <s v="FWL"/>
    <s v="na"/>
    <s v="na"/>
    <s v="na"/>
    <s v="na"/>
    <s v="na"/>
    <s v="na"/>
    <s v="na"/>
    <s v="na"/>
  </r>
  <r>
    <n v="2458"/>
    <x v="60"/>
    <n v="3"/>
    <x v="10"/>
    <x v="0"/>
    <x v="0"/>
    <m/>
    <m/>
    <n v="59"/>
    <m/>
    <s v="F"/>
    <m/>
    <d v="1899-12-30T00:12:00"/>
    <s v="12:47"/>
    <s v="JBu"/>
    <m/>
    <s v="20140811 DJohnson"/>
    <s v="20140812 HReider"/>
    <s v="x"/>
    <s v="x"/>
    <s v="na"/>
    <s v="FWL"/>
    <s v="na"/>
    <s v="na"/>
    <s v="na"/>
    <s v="na"/>
    <s v="na"/>
    <s v="na"/>
    <s v="na"/>
    <s v="na"/>
  </r>
  <r>
    <n v="2459"/>
    <x v="60"/>
    <n v="3"/>
    <x v="10"/>
    <x v="0"/>
    <x v="0"/>
    <m/>
    <m/>
    <n v="50"/>
    <m/>
    <s v="M"/>
    <m/>
    <d v="1899-12-30T00:20:00"/>
    <s v="12:48"/>
    <s v="JBu"/>
    <m/>
    <s v="20140811 DJohnson"/>
    <s v="20140812 HReider"/>
    <s v="x"/>
    <s v="x"/>
    <s v="na"/>
    <s v="FWL"/>
    <s v="na"/>
    <s v="na"/>
    <s v="na"/>
    <s v="na"/>
    <s v="na"/>
    <s v="na"/>
    <s v="na"/>
    <s v="na"/>
  </r>
  <r>
    <n v="2460"/>
    <x v="60"/>
    <n v="3"/>
    <x v="10"/>
    <x v="0"/>
    <x v="0"/>
    <m/>
    <m/>
    <n v="57"/>
    <m/>
    <s v="M"/>
    <m/>
    <d v="1899-12-30T00:11:00"/>
    <s v="12:49"/>
    <s v="JBu"/>
    <m/>
    <s v="20140811 DJohnson"/>
    <s v="20140812 HReider"/>
    <s v="x"/>
    <s v="x"/>
    <s v="na"/>
    <s v="FWL"/>
    <s v="na"/>
    <s v="na"/>
    <s v="na"/>
    <s v="na"/>
    <s v="na"/>
    <s v="na"/>
    <s v="na"/>
    <s v="na"/>
  </r>
  <r>
    <n v="2461"/>
    <x v="60"/>
    <n v="3"/>
    <x v="12"/>
    <x v="0"/>
    <x v="0"/>
    <m/>
    <m/>
    <n v="50"/>
    <m/>
    <s v="M"/>
    <m/>
    <d v="1899-12-30T00:13:00"/>
    <s v="12:49"/>
    <s v="JBu"/>
    <m/>
    <s v="20140811 DJohnson"/>
    <s v="20140812 HReider"/>
    <s v="x"/>
    <s v="x"/>
    <s v="na"/>
    <s v="FWL"/>
    <s v="na"/>
    <s v="na"/>
    <s v="na"/>
    <s v="na"/>
    <s v="na"/>
    <s v="na"/>
    <s v="na"/>
    <s v="na"/>
  </r>
  <r>
    <n v="2462"/>
    <x v="60"/>
    <n v="3"/>
    <x v="10"/>
    <x v="0"/>
    <x v="0"/>
    <m/>
    <m/>
    <n v="57"/>
    <m/>
    <s v="F"/>
    <m/>
    <d v="1899-12-30T00:14:00"/>
    <s v="12:53"/>
    <s v="JBu"/>
    <m/>
    <s v="20140811 DJohnson"/>
    <s v="20140812 HReider"/>
    <s v="x"/>
    <s v="x"/>
    <s v="na"/>
    <s v="FWL"/>
    <s v="na"/>
    <s v="na"/>
    <s v="na"/>
    <s v="na"/>
    <s v="na"/>
    <s v="na"/>
    <s v="na"/>
    <s v="na"/>
  </r>
  <r>
    <n v="2463"/>
    <x v="60"/>
    <n v="3"/>
    <x v="13"/>
    <x v="0"/>
    <x v="15"/>
    <n v="58"/>
    <s v="68 CO"/>
    <n v="47"/>
    <m/>
    <s v="M"/>
    <m/>
    <d v="1899-12-30T00:44:00"/>
    <s v="12:59"/>
    <s v="JBu"/>
    <s v="F266."/>
    <s v="20140811 DJohnson"/>
    <s v="20140812 HReider"/>
    <s v="x"/>
    <n v="151.26599999999999"/>
    <s v="na"/>
    <s v="FWL"/>
    <s v="na"/>
    <s v="na"/>
    <s v="F1840"/>
    <s v="na"/>
    <s v="na"/>
    <s v="na"/>
    <s v="na"/>
    <s v="na"/>
  </r>
  <r>
    <n v="2464"/>
    <x v="60"/>
    <n v="3"/>
    <x v="10"/>
    <x v="0"/>
    <x v="0"/>
    <m/>
    <m/>
    <n v="53"/>
    <m/>
    <s v="M"/>
    <m/>
    <d v="1899-12-30T00:15:00"/>
    <s v="13:01"/>
    <s v="JBu"/>
    <m/>
    <s v="20140811 DJohnson"/>
    <s v="20140812 HReider"/>
    <s v="x"/>
    <s v="x"/>
    <s v="na"/>
    <s v="FWL"/>
    <s v="na"/>
    <s v="na"/>
    <s v="na"/>
    <s v="na"/>
    <s v="na"/>
    <s v="na"/>
    <s v="na"/>
    <s v="na"/>
  </r>
  <r>
    <n v="2465"/>
    <x v="60"/>
    <n v="3"/>
    <x v="10"/>
    <x v="0"/>
    <x v="0"/>
    <m/>
    <m/>
    <n v="57"/>
    <m/>
    <s v="F"/>
    <m/>
    <d v="1899-12-30T00:15:00"/>
    <s v="13:02"/>
    <s v="JBu"/>
    <m/>
    <s v="20140811 DJohnson"/>
    <s v="20140812 HReider"/>
    <s v="x"/>
    <s v="x"/>
    <s v="na"/>
    <s v="FWL"/>
    <s v="na"/>
    <s v="na"/>
    <s v="na"/>
    <s v="na"/>
    <s v="na"/>
    <s v="na"/>
    <s v="na"/>
    <s v="na"/>
  </r>
  <r>
    <n v="2466"/>
    <x v="60"/>
    <n v="3"/>
    <x v="13"/>
    <x v="0"/>
    <x v="15"/>
    <n v="88"/>
    <s v="69 CO"/>
    <n v="48"/>
    <m/>
    <s v="M"/>
    <m/>
    <d v="1899-12-30T00:39:00"/>
    <s v="13:06"/>
    <s v="JBu"/>
    <s v="F266."/>
    <s v="20140811 DJohnson"/>
    <s v="20140812 HReider"/>
    <s v="x"/>
    <n v="151.26599999999999"/>
    <s v="na"/>
    <s v="FWL"/>
    <s v="na"/>
    <s v="na"/>
    <s v="F1840"/>
    <s v="na"/>
    <s v="na"/>
    <s v="na"/>
    <s v="na"/>
    <s v="na"/>
  </r>
  <r>
    <n v="2467"/>
    <x v="60"/>
    <n v="3"/>
    <x v="10"/>
    <x v="0"/>
    <x v="0"/>
    <m/>
    <m/>
    <n v="60"/>
    <m/>
    <s v="M"/>
    <m/>
    <d v="1899-12-30T00:17:00"/>
    <s v="13:07"/>
    <s v="JBu"/>
    <m/>
    <s v="20140811 DJohnson"/>
    <s v="20140812 HReider"/>
    <s v="x"/>
    <s v="x"/>
    <s v="na"/>
    <s v="FWL"/>
    <s v="na"/>
    <s v="na"/>
    <s v="na"/>
    <s v="na"/>
    <s v="na"/>
    <s v="na"/>
    <s v="na"/>
    <s v="na"/>
  </r>
  <r>
    <n v="2468"/>
    <x v="60"/>
    <n v="3"/>
    <x v="7"/>
    <x v="0"/>
    <x v="6"/>
    <n v="76"/>
    <s v="143 S"/>
    <n v="51"/>
    <m/>
    <s v="M"/>
    <m/>
    <d v="1899-12-30T00:46:00"/>
    <s v="13:13"/>
    <s v="JBu"/>
    <m/>
    <s v="20140811 DJohnson"/>
    <s v="20140812 HReider"/>
    <s v="x"/>
    <n v="151.57300000000001"/>
    <s v="na"/>
    <s v="FWL"/>
    <s v="na"/>
    <s v="na"/>
    <s v="F1840"/>
    <s v="na"/>
    <s v="na"/>
    <s v="na"/>
    <s v="na"/>
    <s v="na"/>
  </r>
  <r>
    <n v="2469"/>
    <x v="60"/>
    <n v="3"/>
    <x v="10"/>
    <x v="0"/>
    <x v="0"/>
    <m/>
    <m/>
    <n v="59"/>
    <m/>
    <s v="F"/>
    <m/>
    <d v="1899-12-30T00:13:00"/>
    <s v="13:15"/>
    <s v="JBu"/>
    <m/>
    <s v="20140811 DJohnson"/>
    <s v="20140812 HReider"/>
    <s v="x"/>
    <s v="x"/>
    <s v="na"/>
    <s v="FWL"/>
    <s v="na"/>
    <s v="na"/>
    <s v="na"/>
    <s v="na"/>
    <s v="na"/>
    <s v="na"/>
    <s v="na"/>
    <s v="na"/>
  </r>
  <r>
    <n v="2470"/>
    <x v="60"/>
    <n v="3"/>
    <x v="13"/>
    <x v="0"/>
    <x v="14"/>
    <n v="37"/>
    <s v="70 CO"/>
    <n v="55"/>
    <m/>
    <s v="F"/>
    <m/>
    <d v="1899-12-30T00:44:00"/>
    <s v="14:27"/>
    <s v="DJ"/>
    <m/>
    <s v="20140811 DJohnson"/>
    <s v="20140812 HReider"/>
    <s v="x"/>
    <n v="151.32499999999999"/>
    <s v="na"/>
    <s v="FWL"/>
    <s v="na"/>
    <s v="na"/>
    <s v="F1840"/>
    <s v="na"/>
    <s v="na"/>
    <s v="na"/>
    <s v="na"/>
    <s v="na"/>
  </r>
  <r>
    <n v="2471"/>
    <x v="60"/>
    <n v="3"/>
    <x v="0"/>
    <x v="2"/>
    <x v="0"/>
    <m/>
    <m/>
    <m/>
    <n v="19"/>
    <s v="U"/>
    <m/>
    <d v="1899-12-30T00:20:00"/>
    <s v="14:25"/>
    <s v="JBu"/>
    <m/>
    <s v="20140811 DJohnson"/>
    <s v="20140812 HReider"/>
    <s v="x"/>
    <s v="x"/>
    <s v="na"/>
    <s v="FWL"/>
    <s v="na"/>
    <s v="na"/>
    <s v="na"/>
    <s v="na"/>
    <s v="na"/>
    <s v="na"/>
    <s v="na"/>
    <s v="na"/>
  </r>
  <r>
    <n v="2472"/>
    <x v="60"/>
    <n v="3"/>
    <x v="7"/>
    <x v="0"/>
    <x v="6"/>
    <n v="22"/>
    <s v="152 S"/>
    <n v="45"/>
    <m/>
    <s v="F"/>
    <m/>
    <d v="1899-12-30T00:48:00"/>
    <s v="15:16"/>
    <s v="DJ"/>
    <m/>
    <s v="20140811 DJohnson"/>
    <s v="20140812 HReider"/>
    <s v="x"/>
    <n v="151.57300000000001"/>
    <s v="na"/>
    <s v="FWL"/>
    <s v="na"/>
    <s v="na"/>
    <s v="F1840"/>
    <s v="na"/>
    <s v="na"/>
    <s v="na"/>
    <s v="na"/>
    <s v="na"/>
  </r>
  <r>
    <n v="2474"/>
    <x v="60"/>
    <n v="3"/>
    <x v="7"/>
    <x v="0"/>
    <x v="10"/>
    <n v="70"/>
    <s v="151 S"/>
    <n v="54"/>
    <m/>
    <s v="F"/>
    <m/>
    <d v="1899-12-30T00:49:00"/>
    <s v="15:22"/>
    <s v="DJ"/>
    <s v="not 100% sure that code was 70."/>
    <s v="20140811 DJohnson"/>
    <s v="20140812 HReider"/>
    <s v="x"/>
    <n v="151.58600000000001"/>
    <s v="na"/>
    <s v="FWL"/>
    <s v="na"/>
    <s v="na"/>
    <s v="F1840"/>
    <s v="na"/>
    <s v="na"/>
    <s v="na"/>
    <s v="na"/>
    <s v="na"/>
  </r>
  <r>
    <n v="2475"/>
    <x v="60"/>
    <n v="3"/>
    <x v="13"/>
    <x v="0"/>
    <x v="0"/>
    <m/>
    <m/>
    <n v="42"/>
    <m/>
    <s v="U"/>
    <m/>
    <d v="1899-12-30T00:30:00"/>
    <s v="16:43"/>
    <s v="DJ"/>
    <m/>
    <s v="20140811 DJohnson"/>
    <s v="20140812 HReider"/>
    <s v="x"/>
    <s v="x"/>
    <s v="na"/>
    <s v="FWL"/>
    <s v="na"/>
    <s v="na"/>
    <s v="na"/>
    <s v="na"/>
    <s v="na"/>
    <s v="na"/>
    <s v="na"/>
    <s v="na"/>
  </r>
  <r>
    <n v="2476"/>
    <x v="60"/>
    <n v="3"/>
    <x v="12"/>
    <x v="0"/>
    <x v="12"/>
    <n v="30"/>
    <s v="173 P"/>
    <n v="41"/>
    <m/>
    <s v="M"/>
    <m/>
    <d v="1899-12-30T00:57:00"/>
    <s v="17:27"/>
    <s v="LA"/>
    <m/>
    <s v="20140811 LAckein"/>
    <s v="20140812 HReider"/>
    <s v="x"/>
    <n v="151.596"/>
    <s v="na"/>
    <s v="FWL"/>
    <s v="na"/>
    <s v="na"/>
    <s v="F1835"/>
    <s v="na"/>
    <s v="na"/>
    <s v="na"/>
    <s v="na"/>
    <s v="na"/>
  </r>
  <r>
    <n v="2477"/>
    <x v="60"/>
    <n v="3"/>
    <x v="10"/>
    <x v="0"/>
    <x v="7"/>
    <n v="80"/>
    <s v="141 CM"/>
    <n v="51"/>
    <m/>
    <s v="F"/>
    <m/>
    <d v="1899-12-30T01:17:00"/>
    <s v="17:30"/>
    <s v="HR"/>
    <m/>
    <s v="20140811 LAckein"/>
    <s v="20140812 HReider"/>
    <s v="x"/>
    <n v="151.56399999999999"/>
    <s v="na"/>
    <s v="FWL"/>
    <s v="na"/>
    <s v="na"/>
    <s v="F1840"/>
    <s v="na"/>
    <s v="na"/>
    <s v="na"/>
    <s v="na"/>
    <s v="na"/>
  </r>
  <r>
    <n v="2478"/>
    <x v="60"/>
    <n v="3"/>
    <x v="7"/>
    <x v="0"/>
    <x v="10"/>
    <n v="24"/>
    <s v="156 S"/>
    <n v="46"/>
    <m/>
    <s v="U"/>
    <m/>
    <d v="1899-12-30T01:18:00"/>
    <s v="18:09"/>
    <s v="HR"/>
    <m/>
    <s v="20140811 LAckein"/>
    <s v="20140812 HReider"/>
    <s v="x"/>
    <n v="151.58600000000001"/>
    <s v="na"/>
    <s v="FWL"/>
    <s v="na"/>
    <s v="na"/>
    <s v="F1840"/>
    <s v="na"/>
    <s v="na"/>
    <s v="na"/>
    <s v="na"/>
    <s v="na"/>
  </r>
  <r>
    <n v="2479"/>
    <x v="60"/>
    <n v="3"/>
    <x v="7"/>
    <x v="0"/>
    <x v="10"/>
    <n v="36"/>
    <s v="157 S"/>
    <n v="50"/>
    <m/>
    <s v="M"/>
    <m/>
    <d v="1899-12-30T02:43:00"/>
    <s v="19:02"/>
    <s v="LA"/>
    <m/>
    <s v="20140811 LAckein"/>
    <s v="20140812 HReider"/>
    <s v="x"/>
    <n v="151.58600000000001"/>
    <s v="na"/>
    <s v="FWL"/>
    <s v="na"/>
    <s v="na"/>
    <s v="F1840"/>
    <s v="na"/>
    <s v="na"/>
    <s v="na"/>
    <s v="na"/>
    <s v="na"/>
  </r>
  <r>
    <n v="2480"/>
    <x v="60"/>
    <n v="3"/>
    <x v="7"/>
    <x v="0"/>
    <x v="6"/>
    <n v="55"/>
    <s v="158 S"/>
    <n v="48"/>
    <m/>
    <s v="F"/>
    <m/>
    <d v="1899-12-30T01:08:00"/>
    <s v="19:06"/>
    <s v="LA"/>
    <m/>
    <s v="20140811 LAckein"/>
    <s v="20140812 HReider"/>
    <s v="x"/>
    <n v="151.57300000000001"/>
    <s v="na"/>
    <s v="FWL"/>
    <s v="na"/>
    <s v="na"/>
    <s v="F1840"/>
    <s v="na"/>
    <s v="na"/>
    <s v="na"/>
    <s v="na"/>
    <s v="na"/>
  </r>
  <r>
    <n v="2481"/>
    <x v="60"/>
    <n v="3"/>
    <x v="13"/>
    <x v="0"/>
    <x v="0"/>
    <m/>
    <m/>
    <n v="57"/>
    <m/>
    <s v="U"/>
    <m/>
    <d v="1899-12-30T00:30:00"/>
    <s v="19:08"/>
    <s v="LA"/>
    <m/>
    <s v="20140811 LAckein"/>
    <s v="20140812 HReider"/>
    <s v="x"/>
    <s v="x"/>
    <s v="na"/>
    <s v="FWL"/>
    <s v="na"/>
    <s v="na"/>
    <s v="na"/>
    <s v="na"/>
    <s v="na"/>
    <s v="na"/>
    <s v="na"/>
    <s v="na"/>
  </r>
  <r>
    <n v="2482"/>
    <x v="60"/>
    <n v="3"/>
    <x v="13"/>
    <x v="0"/>
    <x v="0"/>
    <m/>
    <m/>
    <n v="58"/>
    <m/>
    <s v="U"/>
    <m/>
    <d v="1899-12-30T00:32:00"/>
    <s v="19:57"/>
    <s v="LA"/>
    <m/>
    <s v="20140811 LAckein"/>
    <s v="20140812 HReider"/>
    <s v="x"/>
    <s v="x"/>
    <s v="na"/>
    <s v="FWL"/>
    <s v="na"/>
    <s v="na"/>
    <s v="na"/>
    <s v="na"/>
    <s v="na"/>
    <s v="na"/>
    <s v="na"/>
    <s v="na"/>
  </r>
  <r>
    <n v="2483"/>
    <x v="61"/>
    <n v="1"/>
    <x v="10"/>
    <x v="0"/>
    <x v="11"/>
    <n v="93"/>
    <s v="150 CM"/>
    <n v="63"/>
    <m/>
    <s v="U"/>
    <d v="1899-12-30T08:09:00"/>
    <d v="1899-12-30T00:54:00"/>
    <s v="08:13"/>
    <s v="NC"/>
    <m/>
    <s v="20140812 DJohnson"/>
    <s v="20140813 HReider"/>
    <d v="1899-12-30T00:03:06"/>
    <n v="151.53399999999999"/>
    <s v="na"/>
    <s v="FWL"/>
    <s v="na"/>
    <s v="na"/>
    <s v="F1840"/>
    <s v="na"/>
    <s v="na"/>
    <s v="na"/>
    <s v="na"/>
    <s v="na"/>
  </r>
  <r>
    <n v="2484"/>
    <x v="61"/>
    <n v="1"/>
    <x v="12"/>
    <x v="0"/>
    <x v="13"/>
    <n v="63"/>
    <s v="178 P"/>
    <n v="46"/>
    <m/>
    <s v="F"/>
    <m/>
    <d v="1899-12-30T00:50:00"/>
    <s v="08:17"/>
    <s v="NC"/>
    <m/>
    <s v="20140812 DJohnson"/>
    <s v="20140813 HReider"/>
    <s v="x"/>
    <n v="151.51499999999999"/>
    <s v="na"/>
    <s v="FWL"/>
    <s v="na"/>
    <s v="na"/>
    <s v="F1835"/>
    <s v="na"/>
    <s v="na"/>
    <s v="na"/>
    <s v="na"/>
    <s v="na"/>
  </r>
  <r>
    <n v="2485"/>
    <x v="61"/>
    <n v="1"/>
    <x v="12"/>
    <x v="0"/>
    <x v="0"/>
    <m/>
    <m/>
    <n v="43"/>
    <m/>
    <s v="F"/>
    <m/>
    <d v="1899-12-30T00:18:00"/>
    <s v="08:58"/>
    <s v="DJ"/>
    <m/>
    <s v="20140812 DJohnson"/>
    <s v="20140813 HReider"/>
    <s v="x"/>
    <s v="x"/>
    <s v="na"/>
    <s v="FWL"/>
    <s v="na"/>
    <s v="na"/>
    <s v="na"/>
    <s v="na"/>
    <s v="na"/>
    <s v="na"/>
    <s v="na"/>
    <s v="na"/>
  </r>
  <r>
    <n v="2486"/>
    <x v="61"/>
    <n v="1"/>
    <x v="10"/>
    <x v="0"/>
    <x v="0"/>
    <m/>
    <m/>
    <n v="58"/>
    <m/>
    <s v="U"/>
    <m/>
    <d v="1899-12-30T00:30:00"/>
    <s v="08:59"/>
    <s v="DJ"/>
    <m/>
    <s v="20140812 DJohnson"/>
    <s v="20140813 HReider"/>
    <s v="x"/>
    <s v="x"/>
    <s v="na"/>
    <s v="FWL"/>
    <s v="na"/>
    <s v="na"/>
    <s v="na"/>
    <s v="na"/>
    <s v="na"/>
    <s v="na"/>
    <s v="na"/>
    <s v="na"/>
  </r>
  <r>
    <n v="2487"/>
    <x v="61"/>
    <n v="1"/>
    <x v="12"/>
    <x v="0"/>
    <x v="0"/>
    <m/>
    <m/>
    <n v="46"/>
    <m/>
    <s v="M"/>
    <m/>
    <d v="1899-12-30T00:18:00"/>
    <s v="09:00"/>
    <s v="DJ"/>
    <m/>
    <s v="20140812 DJohnson"/>
    <s v="20140813 HReider"/>
    <s v="x"/>
    <s v="x"/>
    <s v="na"/>
    <s v="FWL"/>
    <s v="na"/>
    <s v="na"/>
    <s v="na"/>
    <s v="na"/>
    <s v="na"/>
    <s v="na"/>
    <s v="na"/>
    <s v="na"/>
  </r>
  <r>
    <n v="2488"/>
    <x v="61"/>
    <n v="1"/>
    <x v="10"/>
    <x v="0"/>
    <x v="0"/>
    <m/>
    <m/>
    <n v="59"/>
    <m/>
    <s v="U"/>
    <m/>
    <d v="1899-12-30T00:19:00"/>
    <s v="10:11"/>
    <s v="NC"/>
    <m/>
    <s v="20140812 DJohnson"/>
    <s v="20140813 HReider"/>
    <s v="x"/>
    <s v="x"/>
    <s v="na"/>
    <s v="FWL"/>
    <s v="na"/>
    <s v="na"/>
    <s v="na"/>
    <s v="na"/>
    <s v="na"/>
    <s v="na"/>
    <s v="na"/>
    <s v="na"/>
  </r>
  <r>
    <n v="2489"/>
    <x v="61"/>
    <n v="1"/>
    <x v="10"/>
    <x v="0"/>
    <x v="0"/>
    <m/>
    <m/>
    <n v="53"/>
    <m/>
    <s v="U"/>
    <m/>
    <d v="1899-12-30T00:20:00"/>
    <s v="10:12"/>
    <s v="NC"/>
    <m/>
    <s v="20140812 DJohnson"/>
    <s v="20140813 HReider"/>
    <s v="x"/>
    <s v="x"/>
    <s v="na"/>
    <s v="FWL"/>
    <s v="na"/>
    <s v="na"/>
    <s v="na"/>
    <s v="na"/>
    <s v="na"/>
    <s v="na"/>
    <s v="na"/>
    <s v="na"/>
  </r>
  <r>
    <n v="2490"/>
    <x v="61"/>
    <n v="1"/>
    <x v="10"/>
    <x v="0"/>
    <x v="0"/>
    <m/>
    <m/>
    <n v="65"/>
    <m/>
    <s v="U"/>
    <m/>
    <d v="1899-12-30T00:33:00"/>
    <s v="10:34"/>
    <s v="DJ"/>
    <m/>
    <s v="20140812 DJohnson"/>
    <s v="20140813 HReider"/>
    <s v="x"/>
    <s v="x"/>
    <s v="na"/>
    <s v="FWL"/>
    <s v="na"/>
    <s v="na"/>
    <s v="na"/>
    <s v="na"/>
    <s v="na"/>
    <s v="na"/>
    <s v="na"/>
    <s v="na"/>
  </r>
  <r>
    <n v="2491"/>
    <x v="61"/>
    <n v="1"/>
    <x v="10"/>
    <x v="0"/>
    <x v="0"/>
    <m/>
    <m/>
    <n v="55"/>
    <m/>
    <s v="M"/>
    <m/>
    <d v="1899-12-30T00:27:00"/>
    <s v="12:09"/>
    <s v="QB"/>
    <m/>
    <s v="20140812 QBerger"/>
    <s v="20140813 HReider"/>
    <s v="x"/>
    <s v="x"/>
    <s v="na"/>
    <s v="FWL"/>
    <s v="na"/>
    <s v="na"/>
    <s v="na"/>
    <s v="na"/>
    <s v="na"/>
    <s v="na"/>
    <s v="na"/>
    <s v="na"/>
  </r>
  <r>
    <n v="2492"/>
    <x v="61"/>
    <n v="1"/>
    <x v="10"/>
    <x v="0"/>
    <x v="0"/>
    <m/>
    <m/>
    <n v="53"/>
    <m/>
    <s v="U"/>
    <m/>
    <d v="1899-12-30T00:25:00"/>
    <s v="12:11"/>
    <s v="QB"/>
    <m/>
    <s v="20140812 QBerger"/>
    <s v="20140813 HReider"/>
    <s v="x"/>
    <s v="x"/>
    <s v="na"/>
    <s v="FWL"/>
    <s v="na"/>
    <s v="na"/>
    <s v="na"/>
    <s v="na"/>
    <s v="na"/>
    <s v="na"/>
    <s v="na"/>
    <s v="na"/>
  </r>
  <r>
    <n v="2493"/>
    <x v="61"/>
    <n v="1"/>
    <x v="10"/>
    <x v="0"/>
    <x v="0"/>
    <m/>
    <m/>
    <n v="60"/>
    <m/>
    <s v="U"/>
    <m/>
    <d v="1899-12-30T00:33:00"/>
    <s v="12:12"/>
    <s v="QB"/>
    <m/>
    <s v="20140812 QBerger"/>
    <s v="20140813 HReider"/>
    <s v="x"/>
    <s v="x"/>
    <s v="na"/>
    <s v="FWL"/>
    <s v="na"/>
    <s v="na"/>
    <s v="na"/>
    <s v="na"/>
    <s v="na"/>
    <s v="na"/>
    <s v="na"/>
    <s v="na"/>
  </r>
  <r>
    <n v="2494"/>
    <x v="61"/>
    <n v="1"/>
    <x v="10"/>
    <x v="0"/>
    <x v="0"/>
    <m/>
    <m/>
    <n v="55"/>
    <m/>
    <s v="U"/>
    <m/>
    <d v="1899-12-30T00:25:00"/>
    <s v="12:13"/>
    <s v="QB"/>
    <m/>
    <s v="20140812 QBerger"/>
    <s v="20140813 HReider"/>
    <s v="x"/>
    <s v="x"/>
    <s v="na"/>
    <s v="FWL"/>
    <s v="na"/>
    <s v="na"/>
    <s v="na"/>
    <s v="na"/>
    <s v="na"/>
    <s v="na"/>
    <s v="na"/>
    <s v="na"/>
  </r>
  <r>
    <n v="2495"/>
    <x v="61"/>
    <n v="1"/>
    <x v="10"/>
    <x v="0"/>
    <x v="0"/>
    <m/>
    <m/>
    <n v="53"/>
    <m/>
    <s v="U"/>
    <m/>
    <d v="1899-12-30T00:27:00"/>
    <s v="12:15"/>
    <s v="QB"/>
    <m/>
    <s v="20140812 QBerger"/>
    <s v="20140813 HReider"/>
    <s v="x"/>
    <s v="x"/>
    <s v="na"/>
    <s v="FWL"/>
    <s v="na"/>
    <s v="na"/>
    <s v="na"/>
    <s v="na"/>
    <s v="na"/>
    <s v="na"/>
    <s v="na"/>
    <s v="na"/>
  </r>
  <r>
    <n v="2496"/>
    <x v="61"/>
    <n v="1"/>
    <x v="12"/>
    <x v="0"/>
    <x v="0"/>
    <m/>
    <m/>
    <n v="44"/>
    <m/>
    <s v="F"/>
    <m/>
    <d v="1899-12-30T00:30:00"/>
    <s v="12:16"/>
    <s v="QB"/>
    <s v="missing top half of tail lobe/fin"/>
    <s v="20140812 QBerger"/>
    <s v="20140813 HReider"/>
    <s v="x"/>
    <s v="x"/>
    <s v="na"/>
    <s v="FWL"/>
    <s v="na"/>
    <s v="na"/>
    <s v="na"/>
    <s v="na"/>
    <s v="na"/>
    <s v="na"/>
    <s v="na"/>
    <s v="na"/>
  </r>
  <r>
    <n v="2497"/>
    <x v="61"/>
    <n v="1"/>
    <x v="10"/>
    <x v="0"/>
    <x v="0"/>
    <m/>
    <m/>
    <n v="58"/>
    <m/>
    <s v="F"/>
    <m/>
    <d v="1899-12-30T00:37:00"/>
    <s v="13:44"/>
    <s v="QB"/>
    <m/>
    <s v="20140812 QBerger"/>
    <s v="20140813 HReider"/>
    <s v="x"/>
    <s v="x"/>
    <s v="na"/>
    <s v="FWL"/>
    <s v="na"/>
    <s v="na"/>
    <s v="na"/>
    <s v="na"/>
    <s v="na"/>
    <s v="na"/>
    <s v="na"/>
    <s v="na"/>
  </r>
  <r>
    <n v="2498"/>
    <x v="61"/>
    <n v="1"/>
    <x v="12"/>
    <x v="0"/>
    <x v="0"/>
    <m/>
    <m/>
    <n v="44"/>
    <m/>
    <s v="F"/>
    <m/>
    <d v="1899-12-30T00:24:00"/>
    <s v="13:48"/>
    <s v="QB"/>
    <m/>
    <s v="20140812 QBerger"/>
    <s v="20140813 HReider"/>
    <s v="x"/>
    <s v="x"/>
    <s v="na"/>
    <s v="FWL"/>
    <s v="na"/>
    <s v="na"/>
    <s v="na"/>
    <s v="na"/>
    <s v="na"/>
    <s v="na"/>
    <s v="na"/>
    <s v="na"/>
  </r>
  <r>
    <n v="2499"/>
    <x v="61"/>
    <n v="1"/>
    <x v="12"/>
    <x v="0"/>
    <x v="0"/>
    <m/>
    <m/>
    <n v="46"/>
    <m/>
    <s v="F"/>
    <m/>
    <d v="1899-12-30T00:24:00"/>
    <s v="13:49"/>
    <s v="QB"/>
    <m/>
    <s v="20140812 QBerger"/>
    <s v="20140813 HReider"/>
    <s v="x"/>
    <s v="x"/>
    <s v="na"/>
    <s v="FWL"/>
    <s v="na"/>
    <s v="na"/>
    <s v="na"/>
    <s v="na"/>
    <s v="na"/>
    <s v="na"/>
    <s v="na"/>
    <s v="na"/>
  </r>
  <r>
    <n v="2500"/>
    <x v="61"/>
    <n v="1"/>
    <x v="12"/>
    <x v="0"/>
    <x v="0"/>
    <m/>
    <m/>
    <n v="44"/>
    <m/>
    <s v="M"/>
    <m/>
    <d v="1899-12-30T00:23:00"/>
    <s v="13:51"/>
    <s v="HR"/>
    <m/>
    <s v="20140812 QBerger"/>
    <s v="20140813 HReider"/>
    <s v="x"/>
    <s v="x"/>
    <s v="na"/>
    <s v="FWL"/>
    <s v="na"/>
    <s v="na"/>
    <s v="na"/>
    <s v="na"/>
    <s v="na"/>
    <s v="na"/>
    <s v="na"/>
    <s v="na"/>
  </r>
  <r>
    <n v="2501"/>
    <x v="61"/>
    <n v="1"/>
    <x v="13"/>
    <x v="0"/>
    <x v="15"/>
    <n v="84"/>
    <s v="50 CO"/>
    <n v="54"/>
    <m/>
    <s v="M"/>
    <m/>
    <d v="1899-12-30T01:00:00"/>
    <s v="13:58"/>
    <s v="HR"/>
    <s v="F266."/>
    <s v="20140812 QBerger"/>
    <s v="20140813 HReider"/>
    <s v="x"/>
    <n v="151.26599999999999"/>
    <s v="na"/>
    <s v="FWL"/>
    <s v="na"/>
    <s v="na"/>
    <s v="F1840"/>
    <s v="na"/>
    <s v="na"/>
    <s v="na"/>
    <s v="na"/>
    <s v="na"/>
  </r>
  <r>
    <n v="2502"/>
    <x v="61"/>
    <n v="1"/>
    <x v="12"/>
    <x v="0"/>
    <x v="0"/>
    <m/>
    <m/>
    <n v="46"/>
    <m/>
    <s v="F"/>
    <m/>
    <d v="1899-12-30T00:24:00"/>
    <s v="13:59"/>
    <s v="HR"/>
    <m/>
    <s v="20140812 QBerger"/>
    <s v="20140813 HReider"/>
    <s v="x"/>
    <s v="x"/>
    <s v="na"/>
    <s v="FWL"/>
    <s v="na"/>
    <s v="na"/>
    <s v="na"/>
    <s v="na"/>
    <s v="na"/>
    <s v="na"/>
    <s v="na"/>
    <s v="na"/>
  </r>
  <r>
    <n v="2503"/>
    <x v="61"/>
    <n v="1"/>
    <x v="10"/>
    <x v="0"/>
    <x v="0"/>
    <m/>
    <m/>
    <n v="56"/>
    <m/>
    <s v="F"/>
    <m/>
    <d v="1899-12-30T00:27:00"/>
    <s v="14:01"/>
    <s v="HR"/>
    <m/>
    <s v="20140812 HReider"/>
    <s v="20140813 HReider"/>
    <s v="x"/>
    <s v="x"/>
    <s v="na"/>
    <s v="FWL"/>
    <s v="na"/>
    <s v="na"/>
    <s v="na"/>
    <s v="na"/>
    <s v="na"/>
    <s v="na"/>
    <s v="na"/>
    <s v="na"/>
  </r>
  <r>
    <n v="2504"/>
    <x v="61"/>
    <n v="1"/>
    <x v="12"/>
    <x v="0"/>
    <x v="12"/>
    <n v="89"/>
    <s v="182 P"/>
    <n v="50"/>
    <m/>
    <s v="M"/>
    <m/>
    <d v="1899-12-30T01:22:00"/>
    <s v="14:56"/>
    <s v="HR"/>
    <m/>
    <s v="20140812 HReider"/>
    <s v="20140813 HReider"/>
    <s v="x"/>
    <n v="151.596"/>
    <s v="na"/>
    <s v="FWL"/>
    <s v="na"/>
    <s v="na"/>
    <s v="F1835"/>
    <s v="na"/>
    <s v="na"/>
    <s v="na"/>
    <s v="na"/>
    <s v="na"/>
  </r>
  <r>
    <n v="2505"/>
    <x v="61"/>
    <n v="1"/>
    <x v="7"/>
    <x v="0"/>
    <x v="10"/>
    <n v="8"/>
    <s v="162 S"/>
    <n v="48"/>
    <m/>
    <s v="U"/>
    <m/>
    <d v="1899-12-30T01:27:00"/>
    <s v="16:04"/>
    <s v="HR"/>
    <m/>
    <s v="20140812 HReider"/>
    <s v="20140813 HReider"/>
    <s v="x"/>
    <n v="151.58600000000001"/>
    <s v="na"/>
    <s v="FWL"/>
    <s v="na"/>
    <s v="na"/>
    <s v="F1840"/>
    <s v="na"/>
    <s v="na"/>
    <s v="na"/>
    <s v="na"/>
    <s v="na"/>
  </r>
  <r>
    <n v="2506"/>
    <x v="61"/>
    <n v="1"/>
    <x v="12"/>
    <x v="0"/>
    <x v="0"/>
    <m/>
    <m/>
    <n v="45"/>
    <m/>
    <s v="F"/>
    <m/>
    <d v="1899-12-30T00:35:00"/>
    <s v="16:06"/>
    <s v="HR"/>
    <m/>
    <s v="20140812 HReider"/>
    <s v="20140813 HReider"/>
    <s v="x"/>
    <s v="x"/>
    <s v="na"/>
    <s v="FWL"/>
    <s v="na"/>
    <s v="na"/>
    <s v="na"/>
    <s v="na"/>
    <s v="na"/>
    <s v="na"/>
    <s v="na"/>
    <s v="na"/>
  </r>
  <r>
    <n v="2507"/>
    <x v="61"/>
    <n v="1"/>
    <x v="10"/>
    <x v="0"/>
    <x v="0"/>
    <m/>
    <m/>
    <n v="59"/>
    <m/>
    <s v="F"/>
    <m/>
    <d v="1899-12-30T00:27:00"/>
    <s v="16:07"/>
    <s v="HR"/>
    <m/>
    <s v="20140812 HReider"/>
    <s v="20140813 HReider"/>
    <s v="x"/>
    <s v="x"/>
    <s v="na"/>
    <s v="FWL"/>
    <s v="na"/>
    <s v="na"/>
    <s v="na"/>
    <s v="na"/>
    <s v="na"/>
    <s v="na"/>
    <s v="na"/>
    <s v="na"/>
  </r>
  <r>
    <n v="2508"/>
    <x v="61"/>
    <n v="1"/>
    <x v="12"/>
    <x v="0"/>
    <x v="0"/>
    <m/>
    <m/>
    <n v="46"/>
    <m/>
    <s v="F"/>
    <m/>
    <d v="1899-12-30T00:32:00"/>
    <s v="16:58"/>
    <s v="HR"/>
    <m/>
    <s v="20140812 HReider"/>
    <s v="20140813 HReider"/>
    <s v="x"/>
    <s v="x"/>
    <s v="na"/>
    <s v="FWL"/>
    <s v="na"/>
    <s v="na"/>
    <s v="na"/>
    <s v="na"/>
    <s v="na"/>
    <s v="na"/>
    <s v="na"/>
    <s v="na"/>
  </r>
  <r>
    <n v="2509"/>
    <x v="61"/>
    <n v="1"/>
    <x v="10"/>
    <x v="0"/>
    <x v="0"/>
    <m/>
    <m/>
    <n v="60"/>
    <m/>
    <s v="F"/>
    <m/>
    <d v="1899-12-30T00:21:00"/>
    <s v="17:01"/>
    <s v="HR"/>
    <m/>
    <s v="20140812 HReider"/>
    <s v="20140813 HReider"/>
    <s v="x"/>
    <s v="x"/>
    <s v="na"/>
    <s v="FWL"/>
    <s v="na"/>
    <s v="na"/>
    <s v="na"/>
    <s v="na"/>
    <s v="na"/>
    <s v="na"/>
    <s v="na"/>
    <s v="na"/>
  </r>
  <r>
    <n v="2510"/>
    <x v="61"/>
    <n v="1"/>
    <x v="10"/>
    <x v="0"/>
    <x v="0"/>
    <m/>
    <m/>
    <n v="57"/>
    <m/>
    <s v="U"/>
    <m/>
    <d v="1899-12-30T00:28:00"/>
    <s v="17:02"/>
    <s v="HR"/>
    <m/>
    <s v="20140812 HReider"/>
    <s v="20140813 HReider"/>
    <s v="x"/>
    <s v="x"/>
    <s v="na"/>
    <s v="FWL"/>
    <s v="na"/>
    <s v="na"/>
    <s v="na"/>
    <s v="na"/>
    <s v="na"/>
    <s v="na"/>
    <s v="na"/>
    <s v="na"/>
  </r>
  <r>
    <n v="2511"/>
    <x v="61"/>
    <n v="1"/>
    <x v="12"/>
    <x v="0"/>
    <x v="0"/>
    <m/>
    <m/>
    <n v="45"/>
    <m/>
    <s v="F"/>
    <m/>
    <d v="1899-12-30T00:27:00"/>
    <s v="18:30"/>
    <s v="CSj"/>
    <m/>
    <s v="20140812 JBures"/>
    <s v="20140813 HReider"/>
    <s v="x"/>
    <s v="x"/>
    <s v="na"/>
    <s v="FWL"/>
    <s v="na"/>
    <s v="na"/>
    <s v="na"/>
    <s v="na"/>
    <s v="na"/>
    <s v="na"/>
    <s v="na"/>
    <s v="na"/>
  </r>
  <r>
    <n v="2512"/>
    <x v="61"/>
    <n v="1"/>
    <x v="12"/>
    <x v="0"/>
    <x v="0"/>
    <m/>
    <m/>
    <n v="46"/>
    <m/>
    <s v="F"/>
    <m/>
    <d v="1899-12-30T00:24:00"/>
    <s v="18:31"/>
    <s v="CSj"/>
    <m/>
    <s v="20140812 JBures"/>
    <s v="20140813 HReider"/>
    <s v="x"/>
    <s v="x"/>
    <s v="na"/>
    <s v="FWL"/>
    <s v="na"/>
    <s v="na"/>
    <s v="na"/>
    <s v="na"/>
    <s v="na"/>
    <s v="na"/>
    <s v="na"/>
    <s v="na"/>
  </r>
  <r>
    <n v="2513"/>
    <x v="61"/>
    <n v="1"/>
    <x v="12"/>
    <x v="0"/>
    <x v="0"/>
    <m/>
    <m/>
    <n v="41"/>
    <m/>
    <s v="M"/>
    <m/>
    <d v="1899-12-30T00:27:00"/>
    <s v="18:32"/>
    <s v="CSj"/>
    <m/>
    <s v="20140812 JBures"/>
    <s v="20140813 HReider"/>
    <s v="x"/>
    <s v="x"/>
    <s v="na"/>
    <s v="FWL"/>
    <s v="na"/>
    <s v="na"/>
    <s v="na"/>
    <s v="na"/>
    <s v="na"/>
    <s v="na"/>
    <s v="na"/>
    <s v="na"/>
  </r>
  <r>
    <n v="2514"/>
    <x v="61"/>
    <n v="1"/>
    <x v="13"/>
    <x v="0"/>
    <x v="15"/>
    <n v="85"/>
    <s v="56 CO"/>
    <n v="48"/>
    <m/>
    <s v="U"/>
    <m/>
    <d v="1899-12-30T00:57:00"/>
    <s v="19:36"/>
    <s v="CSj"/>
    <s v="F266."/>
    <s v="20140812 JBures"/>
    <s v="20140813 HReider"/>
    <s v="x"/>
    <n v="151.26599999999999"/>
    <s v="na"/>
    <s v="FWL"/>
    <s v="na"/>
    <s v="na"/>
    <s v="F1840"/>
    <s v="na"/>
    <s v="na"/>
    <s v="na"/>
    <s v="na"/>
    <s v="na"/>
  </r>
  <r>
    <n v="2515"/>
    <x v="61"/>
    <n v="1"/>
    <x v="12"/>
    <x v="0"/>
    <x v="12"/>
    <n v="60"/>
    <s v="183 P"/>
    <n v="48"/>
    <m/>
    <s v="M"/>
    <m/>
    <d v="1899-12-30T00:40:00"/>
    <s v="20:12"/>
    <s v="CSj"/>
    <m/>
    <s v="20140812 JBures"/>
    <s v="20140813 HReider"/>
    <s v="x"/>
    <n v="151.596"/>
    <s v="na"/>
    <s v="FWL"/>
    <s v="na"/>
    <s v="na"/>
    <s v="F1835"/>
    <s v="na"/>
    <s v="na"/>
    <s v="na"/>
    <s v="na"/>
    <s v="na"/>
  </r>
  <r>
    <n v="2516"/>
    <x v="61"/>
    <n v="2"/>
    <x v="10"/>
    <x v="0"/>
    <x v="0"/>
    <m/>
    <m/>
    <n v="62"/>
    <m/>
    <s v="U"/>
    <m/>
    <d v="1899-12-30T00:17:00"/>
    <s v="09:08"/>
    <s v="NC"/>
    <m/>
    <s v="20140812 DJohnson"/>
    <s v="20140813 HReider"/>
    <s v="x"/>
    <s v="x"/>
    <s v="na"/>
    <s v="FWL"/>
    <s v="na"/>
    <s v="na"/>
    <s v="na"/>
    <s v="na"/>
    <s v="na"/>
    <s v="na"/>
    <s v="na"/>
    <s v="na"/>
  </r>
  <r>
    <n v="2517"/>
    <x v="61"/>
    <n v="2"/>
    <x v="7"/>
    <x v="0"/>
    <x v="6"/>
    <n v="97"/>
    <s v="155 S"/>
    <n v="56"/>
    <m/>
    <s v="U"/>
    <m/>
    <d v="1899-12-30T00:49:00"/>
    <s v="09:13"/>
    <s v="DJ"/>
    <m/>
    <s v="20140812 DJohnson"/>
    <s v="20140813 HReider"/>
    <s v="x"/>
    <n v="151.57300000000001"/>
    <s v="na"/>
    <s v="FWL"/>
    <s v="na"/>
    <s v="na"/>
    <s v="F1840"/>
    <s v="na"/>
    <s v="na"/>
    <s v="na"/>
    <s v="na"/>
    <s v="na"/>
  </r>
  <r>
    <n v="2518"/>
    <x v="61"/>
    <n v="2"/>
    <x v="7"/>
    <x v="0"/>
    <x v="10"/>
    <n v="74"/>
    <s v="160 S"/>
    <n v="54"/>
    <m/>
    <s v="U"/>
    <m/>
    <d v="1899-12-30T01:15:00"/>
    <s v="10:01"/>
    <s v="NC"/>
    <m/>
    <s v="20140812 DJohnson"/>
    <s v="20140813 HReider"/>
    <s v="x"/>
    <n v="151.58600000000001"/>
    <s v="na"/>
    <s v="FWL"/>
    <s v="na"/>
    <s v="na"/>
    <s v="F1840"/>
    <s v="na"/>
    <s v="na"/>
    <s v="na"/>
    <s v="na"/>
    <s v="na"/>
  </r>
  <r>
    <n v="2519"/>
    <x v="61"/>
    <n v="2"/>
    <x v="10"/>
    <x v="0"/>
    <x v="0"/>
    <m/>
    <m/>
    <n v="60"/>
    <m/>
    <s v="U"/>
    <m/>
    <d v="1899-12-30T00:19:00"/>
    <s v="10:43"/>
    <s v="NC"/>
    <m/>
    <s v="20140812 DJohnson"/>
    <s v="20140813 HReider"/>
    <s v="x"/>
    <s v="x"/>
    <s v="na"/>
    <s v="FWL"/>
    <s v="na"/>
    <s v="na"/>
    <s v="na"/>
    <s v="na"/>
    <s v="na"/>
    <s v="na"/>
    <s v="na"/>
    <s v="na"/>
  </r>
  <r>
    <n v="2520"/>
    <x v="61"/>
    <n v="2"/>
    <x v="10"/>
    <x v="0"/>
    <x v="0"/>
    <m/>
    <m/>
    <n v="58"/>
    <m/>
    <s v="U"/>
    <m/>
    <d v="1899-12-30T00:18:00"/>
    <s v="10:44"/>
    <s v="NC"/>
    <m/>
    <s v="20140812 DJohnson"/>
    <s v="20140813 HReider"/>
    <s v="x"/>
    <s v="x"/>
    <s v="na"/>
    <s v="FWL"/>
    <s v="na"/>
    <s v="na"/>
    <s v="na"/>
    <s v="na"/>
    <s v="na"/>
    <s v="na"/>
    <s v="na"/>
    <s v="na"/>
  </r>
  <r>
    <n v="2521"/>
    <x v="61"/>
    <n v="2"/>
    <x v="10"/>
    <x v="0"/>
    <x v="7"/>
    <n v="36"/>
    <s v="154 CM"/>
    <n v="60"/>
    <m/>
    <s v="F"/>
    <m/>
    <d v="1899-12-30T01:10:00"/>
    <s v="12:29"/>
    <s v="HR"/>
    <m/>
    <s v="20140812 QBerger"/>
    <s v="20140813 HReider"/>
    <s v="x"/>
    <n v="151.56399999999999"/>
    <s v="na"/>
    <s v="FWL"/>
    <s v="na"/>
    <s v="na"/>
    <s v="F1840"/>
    <s v="na"/>
    <s v="na"/>
    <s v="na"/>
    <s v="na"/>
    <s v="na"/>
  </r>
  <r>
    <n v="2522"/>
    <x v="61"/>
    <n v="2"/>
    <x v="10"/>
    <x v="0"/>
    <x v="7"/>
    <n v="72"/>
    <s v="155 CM"/>
    <n v="61"/>
    <m/>
    <s v="F"/>
    <m/>
    <d v="1899-12-30T01:07:00"/>
    <s v="13:27"/>
    <s v="QB"/>
    <m/>
    <s v="20140812 QBerger"/>
    <s v="20140813 HReider"/>
    <s v="x"/>
    <n v="151.56399999999999"/>
    <s v="na"/>
    <s v="FWL"/>
    <s v="na"/>
    <s v="na"/>
    <s v="F1840"/>
    <s v="na"/>
    <s v="na"/>
    <s v="na"/>
    <s v="na"/>
    <s v="na"/>
  </r>
  <r>
    <n v="2523"/>
    <x v="61"/>
    <n v="2"/>
    <x v="7"/>
    <x v="0"/>
    <x v="6"/>
    <n v="77"/>
    <s v="161 S"/>
    <n v="42"/>
    <m/>
    <s v="U"/>
    <m/>
    <d v="1899-12-30T01:37:00"/>
    <s v="13:31"/>
    <s v="HR"/>
    <m/>
    <s v="20140812 QBerger"/>
    <s v="20140813 HReider"/>
    <s v="x"/>
    <n v="151.57300000000001"/>
    <s v="na"/>
    <s v="FWL"/>
    <s v="na"/>
    <s v="na"/>
    <s v="F1840"/>
    <s v="na"/>
    <s v="na"/>
    <s v="na"/>
    <s v="na"/>
    <s v="na"/>
  </r>
  <r>
    <n v="2524"/>
    <x v="61"/>
    <n v="2"/>
    <x v="10"/>
    <x v="0"/>
    <x v="0"/>
    <m/>
    <m/>
    <n v="58"/>
    <m/>
    <s v="M"/>
    <m/>
    <d v="1899-12-30T00:23:00"/>
    <s v="14:38"/>
    <s v="HR"/>
    <m/>
    <s v="20140812 QBerger"/>
    <s v="20140813 HReider"/>
    <s v="x"/>
    <s v="x"/>
    <s v="na"/>
    <s v="FWL"/>
    <s v="na"/>
    <s v="na"/>
    <s v="na"/>
    <s v="na"/>
    <s v="na"/>
    <s v="na"/>
    <s v="na"/>
    <s v="na"/>
  </r>
  <r>
    <n v="2525"/>
    <x v="61"/>
    <n v="2"/>
    <x v="10"/>
    <x v="0"/>
    <x v="0"/>
    <m/>
    <m/>
    <n v="63"/>
    <m/>
    <s v="F"/>
    <m/>
    <d v="1899-12-30T00:29:00"/>
    <s v="14:39"/>
    <s v="HR"/>
    <m/>
    <s v="20140812 QBerger"/>
    <s v="20140813 HReider"/>
    <s v="x"/>
    <s v="x"/>
    <s v="na"/>
    <s v="FWL"/>
    <s v="na"/>
    <s v="na"/>
    <s v="na"/>
    <s v="na"/>
    <s v="na"/>
    <s v="na"/>
    <s v="na"/>
    <s v="na"/>
  </r>
  <r>
    <n v="2526"/>
    <x v="61"/>
    <n v="2"/>
    <x v="10"/>
    <x v="0"/>
    <x v="0"/>
    <m/>
    <m/>
    <n v="57"/>
    <m/>
    <s v="M"/>
    <m/>
    <d v="1899-12-30T00:30:00"/>
    <s v="14:41"/>
    <s v="HR"/>
    <m/>
    <s v="20140812 QBerger"/>
    <s v="20140813 HReider"/>
    <s v="x"/>
    <s v="x"/>
    <s v="na"/>
    <s v="FWL"/>
    <s v="na"/>
    <s v="na"/>
    <s v="na"/>
    <s v="na"/>
    <s v="na"/>
    <s v="na"/>
    <s v="na"/>
    <s v="na"/>
  </r>
  <r>
    <n v="2527"/>
    <x v="61"/>
    <n v="2"/>
    <x v="10"/>
    <x v="0"/>
    <x v="0"/>
    <m/>
    <m/>
    <n v="58"/>
    <m/>
    <s v="M"/>
    <m/>
    <d v="1899-12-30T00:31:00"/>
    <s v="16:26"/>
    <s v="HR"/>
    <m/>
    <s v="20140812 QBerger"/>
    <s v="20140813 HReider"/>
    <s v="x"/>
    <s v="x"/>
    <s v="na"/>
    <s v="FWL"/>
    <s v="na"/>
    <s v="na"/>
    <s v="na"/>
    <s v="na"/>
    <s v="na"/>
    <s v="na"/>
    <s v="na"/>
    <s v="na"/>
  </r>
  <r>
    <n v="2528"/>
    <x v="61"/>
    <n v="2"/>
    <x v="10"/>
    <x v="0"/>
    <x v="0"/>
    <m/>
    <m/>
    <n v="61"/>
    <m/>
    <s v="F"/>
    <m/>
    <d v="1899-12-30T00:29:00"/>
    <s v="16:28"/>
    <s v="HR"/>
    <m/>
    <s v="20140812 QBerger"/>
    <s v="20140813 HReider"/>
    <s v="x"/>
    <s v="x"/>
    <s v="na"/>
    <s v="FWL"/>
    <s v="na"/>
    <s v="na"/>
    <s v="na"/>
    <s v="na"/>
    <s v="na"/>
    <s v="na"/>
    <s v="na"/>
    <s v="na"/>
  </r>
  <r>
    <n v="2529"/>
    <x v="61"/>
    <n v="2"/>
    <x v="10"/>
    <x v="0"/>
    <x v="0"/>
    <m/>
    <m/>
    <n v="57"/>
    <m/>
    <s v="U"/>
    <m/>
    <d v="1899-12-30T00:34:00"/>
    <s v="16:32"/>
    <s v="HR"/>
    <m/>
    <s v="20140812 QBerger"/>
    <s v="20140813 HReider"/>
    <s v="x"/>
    <s v="x"/>
    <s v="na"/>
    <s v="FWL"/>
    <s v="na"/>
    <s v="na"/>
    <s v="na"/>
    <s v="na"/>
    <s v="na"/>
    <s v="na"/>
    <s v="na"/>
    <s v="na"/>
  </r>
  <r>
    <n v="2530"/>
    <x v="61"/>
    <n v="2"/>
    <x v="7"/>
    <x v="0"/>
    <x v="6"/>
    <n v="83"/>
    <s v="163 S"/>
    <n v="46"/>
    <m/>
    <s v="U"/>
    <m/>
    <d v="1899-12-30T01:15:00"/>
    <s v="16:30"/>
    <s v="HR"/>
    <m/>
    <s v="20140812 QBerger"/>
    <s v="20140813 HReider"/>
    <s v="x"/>
    <n v="151.57300000000001"/>
    <s v="na"/>
    <s v="FWL"/>
    <s v="na"/>
    <s v="na"/>
    <s v="F1840"/>
    <s v="na"/>
    <s v="na"/>
    <s v="na"/>
    <s v="na"/>
    <s v="na"/>
  </r>
  <r>
    <n v="2531"/>
    <x v="61"/>
    <n v="2"/>
    <x v="10"/>
    <x v="0"/>
    <x v="0"/>
    <m/>
    <m/>
    <n v="61"/>
    <m/>
    <s v="M"/>
    <m/>
    <d v="1899-12-30T00:30:00"/>
    <s v="16:33"/>
    <s v="HR"/>
    <m/>
    <s v="20140812 QBerger"/>
    <s v="20140813 HReider"/>
    <s v="x"/>
    <s v="x"/>
    <s v="na"/>
    <s v="FWL"/>
    <s v="na"/>
    <s v="na"/>
    <s v="na"/>
    <s v="na"/>
    <s v="na"/>
    <s v="na"/>
    <s v="na"/>
    <s v="na"/>
  </r>
  <r>
    <n v="2532"/>
    <x v="61"/>
    <n v="2"/>
    <x v="10"/>
    <x v="0"/>
    <x v="0"/>
    <m/>
    <m/>
    <n v="59"/>
    <m/>
    <s v="F"/>
    <m/>
    <d v="1899-12-30T00:29:00"/>
    <s v="16:36"/>
    <s v="HR"/>
    <m/>
    <s v="20140812 QBerger"/>
    <s v="20140813 HReider"/>
    <s v="x"/>
    <s v="x"/>
    <s v="na"/>
    <s v="FWL"/>
    <s v="na"/>
    <s v="na"/>
    <s v="na"/>
    <s v="na"/>
    <s v="na"/>
    <s v="na"/>
    <s v="na"/>
    <s v="na"/>
  </r>
  <r>
    <n v="2533"/>
    <x v="61"/>
    <n v="2"/>
    <x v="10"/>
    <x v="0"/>
    <x v="0"/>
    <m/>
    <m/>
    <n v="55"/>
    <m/>
    <s v="F"/>
    <m/>
    <d v="1899-12-30T00:31:00"/>
    <s v="16:38"/>
    <s v="HR"/>
    <m/>
    <s v="20140812 QBerger"/>
    <s v="20140813 HReider"/>
    <s v="x"/>
    <s v="x"/>
    <s v="na"/>
    <s v="FWL"/>
    <s v="na"/>
    <s v="na"/>
    <s v="na"/>
    <s v="na"/>
    <s v="na"/>
    <s v="na"/>
    <s v="na"/>
    <s v="na"/>
  </r>
  <r>
    <n v="2534"/>
    <x v="61"/>
    <n v="2"/>
    <x v="10"/>
    <x v="0"/>
    <x v="0"/>
    <m/>
    <m/>
    <n v="63"/>
    <m/>
    <s v="M"/>
    <m/>
    <d v="1899-12-30T00:23:00"/>
    <s v="16:39"/>
    <s v="HR"/>
    <m/>
    <s v="20140812 QBerger"/>
    <s v="20140813 HReider"/>
    <s v="x"/>
    <s v="x"/>
    <s v="na"/>
    <s v="FWL"/>
    <s v="na"/>
    <s v="na"/>
    <s v="na"/>
    <s v="na"/>
    <s v="na"/>
    <s v="na"/>
    <s v="na"/>
    <s v="na"/>
  </r>
  <r>
    <n v="2535"/>
    <x v="61"/>
    <n v="2"/>
    <x v="10"/>
    <x v="0"/>
    <x v="0"/>
    <m/>
    <m/>
    <n v="58"/>
    <m/>
    <s v="M"/>
    <m/>
    <d v="1899-12-30T00:26:00"/>
    <s v="16:40"/>
    <s v="HR"/>
    <m/>
    <s v="20140812 QBerger"/>
    <s v="20140813 HReider"/>
    <s v="x"/>
    <s v="x"/>
    <s v="na"/>
    <s v="FWL"/>
    <s v="na"/>
    <s v="na"/>
    <s v="na"/>
    <s v="na"/>
    <s v="na"/>
    <s v="na"/>
    <s v="na"/>
    <s v="na"/>
  </r>
  <r>
    <n v="2536"/>
    <x v="61"/>
    <n v="2"/>
    <x v="7"/>
    <x v="0"/>
    <x v="0"/>
    <m/>
    <m/>
    <n v="50"/>
    <m/>
    <s v="U"/>
    <m/>
    <d v="1899-12-30T01:02:00"/>
    <s v="16:44"/>
    <s v="HR"/>
    <s v="Wounds near tail and lesions on body, no RT"/>
    <s v="20140812 QBerger"/>
    <s v="20140813 HReider"/>
    <s v="x"/>
    <s v="x"/>
    <s v="na"/>
    <s v="FWL"/>
    <s v="na"/>
    <s v="na"/>
    <s v="na"/>
    <s v="na"/>
    <s v="na"/>
    <s v="na"/>
    <s v="na"/>
    <s v="na"/>
  </r>
  <r>
    <n v="2537"/>
    <x v="61"/>
    <n v="2"/>
    <x v="7"/>
    <x v="0"/>
    <x v="6"/>
    <n v="35"/>
    <s v="169 S"/>
    <n v="44"/>
    <m/>
    <s v="U"/>
    <m/>
    <d v="1899-12-30T00:44:00"/>
    <s v="19:54"/>
    <s v="JBu"/>
    <m/>
    <s v="20140812 JBures"/>
    <s v="20140813 HReider"/>
    <s v="x"/>
    <n v="151.57300000000001"/>
    <s v="na"/>
    <s v="FWL"/>
    <s v="na"/>
    <s v="na"/>
    <s v="F1840"/>
    <s v="na"/>
    <s v="na"/>
    <s v="na"/>
    <s v="na"/>
    <s v="na"/>
  </r>
  <r>
    <n v="2538"/>
    <x v="61"/>
    <n v="3"/>
    <x v="12"/>
    <x v="0"/>
    <x v="13"/>
    <n v="91"/>
    <s v="174 P"/>
    <n v="46"/>
    <m/>
    <s v="F"/>
    <d v="1899-12-30T08:06:00"/>
    <d v="1899-12-30T00:45:00"/>
    <s v="08:12"/>
    <s v="CSj"/>
    <m/>
    <s v="20140812 CSejkora"/>
    <s v="20140813 HReider"/>
    <d v="1899-12-30T00:05:15"/>
    <n v="151.51499999999999"/>
    <s v="na"/>
    <s v="FWL"/>
    <s v="na"/>
    <s v="na"/>
    <s v="F1835"/>
    <s v="na"/>
    <s v="na"/>
    <s v="na"/>
    <s v="na"/>
    <s v="na"/>
  </r>
  <r>
    <n v="2539"/>
    <x v="61"/>
    <n v="3"/>
    <x v="10"/>
    <x v="0"/>
    <x v="7"/>
    <n v="29"/>
    <s v="152 CM"/>
    <n v="59"/>
    <m/>
    <s v="M"/>
    <d v="1899-12-30T08:04:00"/>
    <d v="1899-12-30T00:45:00"/>
    <s v="08:15"/>
    <s v="CSj"/>
    <m/>
    <s v="20140812 CSejkora"/>
    <s v="20140813 HReider"/>
    <d v="1899-12-30T00:10:15"/>
    <n v="151.56399999999999"/>
    <s v="na"/>
    <s v="FWL"/>
    <s v="na"/>
    <s v="na"/>
    <s v="F1840"/>
    <s v="na"/>
    <s v="na"/>
    <s v="na"/>
    <s v="na"/>
    <s v="na"/>
  </r>
  <r>
    <n v="2540"/>
    <x v="61"/>
    <n v="3"/>
    <x v="12"/>
    <x v="0"/>
    <x v="0"/>
    <m/>
    <m/>
    <n v="45"/>
    <m/>
    <s v="F"/>
    <m/>
    <d v="1899-12-30T00:28:00"/>
    <s v="09:31"/>
    <s v="CSj"/>
    <m/>
    <s v="20140812 CSejkora"/>
    <s v="20140813 HReider"/>
    <s v="x"/>
    <s v="x"/>
    <s v="na"/>
    <s v="FWL"/>
    <s v="na"/>
    <s v="na"/>
    <s v="na"/>
    <s v="na"/>
    <s v="na"/>
    <s v="na"/>
    <s v="na"/>
    <s v="na"/>
  </r>
  <r>
    <n v="2541"/>
    <x v="61"/>
    <n v="3"/>
    <x v="13"/>
    <x v="0"/>
    <x v="14"/>
    <n v="67"/>
    <s v="46 CO"/>
    <n v="57"/>
    <m/>
    <s v="M"/>
    <m/>
    <d v="1899-12-30T00:52:00"/>
    <s v="09:33"/>
    <s v="JBu"/>
    <m/>
    <s v="20140812 CSejkora"/>
    <s v="20140813 HReider"/>
    <s v="x"/>
    <n v="151.32499999999999"/>
    <s v="na"/>
    <s v="FWL"/>
    <s v="na"/>
    <s v="na"/>
    <s v="F1840"/>
    <s v="na"/>
    <s v="na"/>
    <s v="na"/>
    <s v="na"/>
    <s v="na"/>
  </r>
  <r>
    <n v="2542"/>
    <x v="61"/>
    <n v="3"/>
    <x v="12"/>
    <x v="0"/>
    <x v="0"/>
    <m/>
    <m/>
    <n v="45"/>
    <m/>
    <s v="F"/>
    <m/>
    <d v="1899-12-30T00:28:00"/>
    <s v="09:31"/>
    <s v="JBu"/>
    <m/>
    <s v="20140812 CSejkora"/>
    <s v="20140813 HReider"/>
    <s v="x"/>
    <s v="x"/>
    <s v="na"/>
    <s v="FWL"/>
    <s v="na"/>
    <s v="na"/>
    <s v="na"/>
    <s v="na"/>
    <s v="na"/>
    <s v="na"/>
    <s v="na"/>
    <s v="na"/>
  </r>
  <r>
    <n v="2543"/>
    <x v="61"/>
    <n v="3"/>
    <x v="12"/>
    <x v="0"/>
    <x v="0"/>
    <m/>
    <m/>
    <n v="47"/>
    <m/>
    <s v="F"/>
    <m/>
    <d v="1899-12-30T00:16:00"/>
    <s v="09:35"/>
    <s v="CSj"/>
    <m/>
    <s v="20140812 CSejkora"/>
    <s v="20140813 HReider"/>
    <s v="x"/>
    <s v="x"/>
    <s v="na"/>
    <s v="FWL"/>
    <s v="na"/>
    <s v="na"/>
    <s v="na"/>
    <s v="na"/>
    <s v="na"/>
    <s v="na"/>
    <s v="na"/>
    <s v="na"/>
  </r>
  <r>
    <n v="2544"/>
    <x v="61"/>
    <n v="3"/>
    <x v="10"/>
    <x v="0"/>
    <x v="0"/>
    <m/>
    <m/>
    <n v="56"/>
    <m/>
    <s v="F"/>
    <m/>
    <d v="1899-12-30T00:19:00"/>
    <s v="09:36"/>
    <s v="CSj"/>
    <m/>
    <s v="20140812 CSejkora"/>
    <s v="20140813 HReider"/>
    <s v="x"/>
    <s v="x"/>
    <s v="na"/>
    <s v="FWL"/>
    <s v="na"/>
    <s v="na"/>
    <s v="na"/>
    <s v="na"/>
    <s v="na"/>
    <s v="na"/>
    <s v="na"/>
    <s v="na"/>
  </r>
  <r>
    <n v="2545"/>
    <x v="61"/>
    <n v="3"/>
    <x v="12"/>
    <x v="0"/>
    <x v="0"/>
    <m/>
    <m/>
    <n v="44"/>
    <m/>
    <s v="M"/>
    <m/>
    <d v="1899-12-30T00:21:00"/>
    <s v="09:37"/>
    <s v="CSj"/>
    <m/>
    <s v="20140812 CSejkora"/>
    <s v="20140813 HReider"/>
    <s v="x"/>
    <s v="x"/>
    <s v="na"/>
    <s v="FWL"/>
    <s v="na"/>
    <s v="na"/>
    <s v="na"/>
    <s v="na"/>
    <s v="na"/>
    <s v="na"/>
    <s v="na"/>
    <s v="na"/>
  </r>
  <r>
    <n v="2546"/>
    <x v="61"/>
    <n v="3"/>
    <x v="12"/>
    <x v="0"/>
    <x v="0"/>
    <m/>
    <m/>
    <n v="51"/>
    <m/>
    <s v="M"/>
    <m/>
    <d v="1899-12-30T00:33:00"/>
    <s v="09:38"/>
    <s v="CSj"/>
    <m/>
    <s v="20140812 CSejkora"/>
    <s v="20140813 HReider"/>
    <s v="x"/>
    <s v="x"/>
    <s v="na"/>
    <s v="FWL"/>
    <s v="na"/>
    <s v="na"/>
    <s v="na"/>
    <s v="na"/>
    <s v="na"/>
    <s v="na"/>
    <s v="na"/>
    <s v="na"/>
  </r>
  <r>
    <n v="2547"/>
    <x v="61"/>
    <n v="3"/>
    <x v="12"/>
    <x v="0"/>
    <x v="0"/>
    <m/>
    <m/>
    <n v="47"/>
    <m/>
    <s v="M"/>
    <m/>
    <d v="1899-12-30T00:18:00"/>
    <s v="09:39"/>
    <s v="CSj"/>
    <m/>
    <s v="20140812 CSejkora"/>
    <s v="20140813 HReider"/>
    <s v="x"/>
    <s v="x"/>
    <s v="na"/>
    <s v="FWL"/>
    <s v="na"/>
    <s v="na"/>
    <s v="na"/>
    <s v="na"/>
    <s v="na"/>
    <s v="na"/>
    <s v="na"/>
    <s v="na"/>
  </r>
  <r>
    <n v="2548"/>
    <x v="61"/>
    <n v="3"/>
    <x v="10"/>
    <x v="0"/>
    <x v="0"/>
    <m/>
    <m/>
    <n v="62"/>
    <m/>
    <s v="M"/>
    <m/>
    <d v="1899-12-30T00:25:00"/>
    <s v="09:41"/>
    <s v="CSj"/>
    <m/>
    <s v="20140812 CSejkora"/>
    <s v="20140813 HReider"/>
    <s v="x"/>
    <s v="x"/>
    <s v="na"/>
    <s v="FWL"/>
    <s v="na"/>
    <s v="na"/>
    <s v="na"/>
    <s v="na"/>
    <s v="na"/>
    <s v="na"/>
    <s v="na"/>
    <s v="na"/>
  </r>
  <r>
    <n v="2549"/>
    <x v="61"/>
    <n v="3"/>
    <x v="12"/>
    <x v="0"/>
    <x v="0"/>
    <m/>
    <m/>
    <n v="46"/>
    <m/>
    <s v="F"/>
    <m/>
    <d v="1899-12-30T00:21:00"/>
    <s v="09:42"/>
    <s v="CSj"/>
    <m/>
    <s v="20140812 CSejkora"/>
    <s v="20140813 HReider"/>
    <s v="x"/>
    <s v="x"/>
    <s v="na"/>
    <s v="FWL"/>
    <s v="na"/>
    <s v="na"/>
    <s v="na"/>
    <s v="na"/>
    <s v="na"/>
    <s v="na"/>
    <s v="na"/>
    <s v="na"/>
  </r>
  <r>
    <n v="2550"/>
    <x v="61"/>
    <n v="3"/>
    <x v="7"/>
    <x v="0"/>
    <x v="6"/>
    <n v="80"/>
    <s v="159 S"/>
    <n v="50"/>
    <m/>
    <s v="M"/>
    <d v="1899-12-30T09:39:00"/>
    <d v="1899-12-30T00:59:00"/>
    <s v="09:47"/>
    <s v="JBu"/>
    <m/>
    <s v="20140812 CSejkora"/>
    <s v="20140813 HReider"/>
    <d v="1899-12-30T00:07:01"/>
    <n v="151.57300000000001"/>
    <s v="na"/>
    <s v="FWL"/>
    <s v="na"/>
    <s v="na"/>
    <s v="F1840"/>
    <s v="na"/>
    <s v="na"/>
    <s v="na"/>
    <s v="na"/>
    <s v="na"/>
  </r>
  <r>
    <n v="2551"/>
    <x v="61"/>
    <n v="3"/>
    <x v="12"/>
    <x v="0"/>
    <x v="0"/>
    <m/>
    <m/>
    <n v="44"/>
    <m/>
    <s v="M"/>
    <m/>
    <d v="1899-12-30T00:18:00"/>
    <s v="09:49"/>
    <s v="CSj"/>
    <m/>
    <s v="20140812 CSejkora"/>
    <s v="20140813 HReider"/>
    <s v="x"/>
    <s v="x"/>
    <s v="na"/>
    <s v="FWL"/>
    <s v="na"/>
    <s v="na"/>
    <s v="na"/>
    <s v="na"/>
    <s v="na"/>
    <s v="na"/>
    <s v="na"/>
    <s v="na"/>
  </r>
  <r>
    <n v="2552"/>
    <x v="61"/>
    <n v="3"/>
    <x v="12"/>
    <x v="0"/>
    <x v="0"/>
    <m/>
    <m/>
    <n v="45"/>
    <m/>
    <s v="F"/>
    <m/>
    <d v="1899-12-30T00:23:00"/>
    <s v="09:50"/>
    <s v="CSj"/>
    <m/>
    <s v="20140812 CSejkora"/>
    <s v="20140813 HReider"/>
    <s v="x"/>
    <s v="x"/>
    <s v="na"/>
    <s v="FWL"/>
    <s v="na"/>
    <s v="na"/>
    <s v="na"/>
    <s v="na"/>
    <s v="na"/>
    <s v="na"/>
    <s v="na"/>
    <s v="na"/>
  </r>
  <r>
    <n v="2553"/>
    <x v="61"/>
    <n v="3"/>
    <x v="12"/>
    <x v="0"/>
    <x v="0"/>
    <m/>
    <m/>
    <n v="47"/>
    <m/>
    <s v="F"/>
    <m/>
    <d v="1899-12-30T00:18:00"/>
    <s v="10:43"/>
    <s v="CSj"/>
    <m/>
    <s v="20140812 CSejkora"/>
    <s v="20140813 HReider"/>
    <s v="x"/>
    <s v="x"/>
    <s v="na"/>
    <s v="FWL"/>
    <s v="na"/>
    <s v="na"/>
    <s v="na"/>
    <s v="na"/>
    <s v="na"/>
    <s v="na"/>
    <s v="na"/>
    <s v="na"/>
  </r>
  <r>
    <n v="2554"/>
    <x v="61"/>
    <n v="3"/>
    <x v="12"/>
    <x v="0"/>
    <x v="0"/>
    <m/>
    <m/>
    <n v="41"/>
    <m/>
    <s v="F"/>
    <m/>
    <d v="1899-12-30T00:19:00"/>
    <s v="10:44"/>
    <s v="CSj"/>
    <m/>
    <s v="20140812 CSejkora"/>
    <s v="20140813 HReider"/>
    <s v="x"/>
    <s v="x"/>
    <s v="na"/>
    <s v="FWL"/>
    <s v="na"/>
    <s v="na"/>
    <s v="na"/>
    <s v="na"/>
    <s v="na"/>
    <s v="na"/>
    <s v="na"/>
    <s v="na"/>
  </r>
  <r>
    <n v="2555"/>
    <x v="61"/>
    <n v="3"/>
    <x v="12"/>
    <x v="0"/>
    <x v="0"/>
    <m/>
    <m/>
    <n v="42"/>
    <m/>
    <s v="F"/>
    <m/>
    <d v="1899-12-30T00:22:00"/>
    <s v="10:45"/>
    <s v="CSj"/>
    <m/>
    <s v="20140812 CSejkora"/>
    <s v="20140813 HReider"/>
    <s v="x"/>
    <s v="x"/>
    <s v="na"/>
    <s v="FWL"/>
    <s v="na"/>
    <s v="na"/>
    <s v="na"/>
    <s v="na"/>
    <s v="na"/>
    <s v="na"/>
    <s v="na"/>
    <s v="na"/>
  </r>
  <r>
    <n v="2556"/>
    <x v="61"/>
    <n v="3"/>
    <x v="12"/>
    <x v="0"/>
    <x v="0"/>
    <m/>
    <m/>
    <n v="52"/>
    <m/>
    <s v="M"/>
    <m/>
    <d v="1899-12-30T00:17:00"/>
    <s v="10:46"/>
    <s v="CSj"/>
    <m/>
    <s v="20140812 CSejkora"/>
    <s v="20140813 HReider"/>
    <s v="x"/>
    <s v="x"/>
    <s v="na"/>
    <s v="FWL"/>
    <s v="na"/>
    <s v="na"/>
    <s v="na"/>
    <s v="na"/>
    <s v="na"/>
    <s v="na"/>
    <s v="na"/>
    <s v="na"/>
  </r>
  <r>
    <n v="2557"/>
    <x v="61"/>
    <n v="3"/>
    <x v="10"/>
    <x v="0"/>
    <x v="0"/>
    <m/>
    <m/>
    <n v="58"/>
    <m/>
    <s v="M"/>
    <m/>
    <d v="1899-12-30T00:15:00"/>
    <s v="12:12"/>
    <s v="CSj"/>
    <m/>
    <s v="20140812 CSejkora"/>
    <s v="20140813 HReider"/>
    <s v="x"/>
    <s v="x"/>
    <s v="na"/>
    <s v="FWL"/>
    <s v="na"/>
    <s v="na"/>
    <s v="na"/>
    <s v="na"/>
    <s v="na"/>
    <s v="na"/>
    <s v="na"/>
    <s v="na"/>
  </r>
  <r>
    <n v="2558"/>
    <x v="61"/>
    <n v="3"/>
    <x v="10"/>
    <x v="0"/>
    <x v="0"/>
    <m/>
    <m/>
    <n v="62"/>
    <m/>
    <s v="F"/>
    <m/>
    <d v="1899-12-30T00:23:00"/>
    <s v="12:13"/>
    <s v="CSj"/>
    <m/>
    <s v="20140812 CSejkora"/>
    <s v="20140813 HReider"/>
    <s v="x"/>
    <s v="x"/>
    <s v="na"/>
    <s v="FWL"/>
    <s v="na"/>
    <s v="na"/>
    <s v="na"/>
    <s v="na"/>
    <s v="na"/>
    <s v="na"/>
    <s v="na"/>
    <s v="na"/>
  </r>
  <r>
    <n v="2559"/>
    <x v="61"/>
    <n v="3"/>
    <x v="10"/>
    <x v="0"/>
    <x v="0"/>
    <m/>
    <m/>
    <n v="56"/>
    <m/>
    <s v="F"/>
    <m/>
    <d v="1899-12-30T00:20:00"/>
    <s v="13:03"/>
    <s v="JBu"/>
    <m/>
    <s v="20140812 CSejkora"/>
    <s v="20140813 HReider"/>
    <s v="x"/>
    <s v="x"/>
    <s v="na"/>
    <s v="FWL"/>
    <s v="na"/>
    <s v="na"/>
    <s v="na"/>
    <s v="na"/>
    <s v="na"/>
    <s v="na"/>
    <s v="na"/>
    <s v="na"/>
  </r>
  <r>
    <n v="2560"/>
    <x v="61"/>
    <n v="3"/>
    <x v="10"/>
    <x v="0"/>
    <x v="0"/>
    <m/>
    <m/>
    <n v="54"/>
    <m/>
    <s v="F"/>
    <d v="1899-12-30T13:06:00"/>
    <d v="1899-12-30T00:28:00"/>
    <s v="13:07"/>
    <s v="JBu"/>
    <m/>
    <s v="20140812 CSejkora"/>
    <s v="20140813 HReider"/>
    <d v="1899-12-30T00:00:32"/>
    <s v="x"/>
    <s v="na"/>
    <s v="FWL"/>
    <s v="na"/>
    <s v="na"/>
    <s v="na"/>
    <s v="na"/>
    <s v="na"/>
    <s v="na"/>
    <s v="na"/>
    <s v="na"/>
  </r>
  <r>
    <n v="2561"/>
    <x v="61"/>
    <n v="3"/>
    <x v="10"/>
    <x v="0"/>
    <x v="0"/>
    <m/>
    <m/>
    <n v="54"/>
    <m/>
    <s v="F"/>
    <m/>
    <d v="1899-12-30T00:21:00"/>
    <s v="13:52"/>
    <s v="JBu"/>
    <m/>
    <s v="20140812 CSejkora"/>
    <s v="20140813 HReider"/>
    <s v="x"/>
    <s v="x"/>
    <s v="na"/>
    <s v="FWL"/>
    <s v="na"/>
    <s v="na"/>
    <s v="na"/>
    <s v="na"/>
    <s v="na"/>
    <s v="na"/>
    <s v="na"/>
    <s v="na"/>
  </r>
  <r>
    <n v="2562"/>
    <x v="61"/>
    <n v="3"/>
    <x v="13"/>
    <x v="0"/>
    <x v="14"/>
    <n v="99"/>
    <s v="47 CO"/>
    <n v="47"/>
    <m/>
    <s v="F"/>
    <m/>
    <d v="1899-12-30T00:57:00"/>
    <s v="13:56"/>
    <s v="JBu"/>
    <m/>
    <s v="20140812 CSejkora"/>
    <s v="20140813 HReider"/>
    <s v="x"/>
    <n v="151.32499999999999"/>
    <s v="na"/>
    <s v="FWL"/>
    <s v="na"/>
    <s v="na"/>
    <s v="F1840"/>
    <s v="na"/>
    <s v="na"/>
    <s v="na"/>
    <s v="na"/>
    <s v="na"/>
  </r>
  <r>
    <n v="2563"/>
    <x v="61"/>
    <n v="3"/>
    <x v="13"/>
    <x v="0"/>
    <x v="14"/>
    <n v="33"/>
    <s v="48 CO"/>
    <n v="52"/>
    <m/>
    <s v="M"/>
    <m/>
    <d v="1899-12-30T00:50:00"/>
    <s v="15:05"/>
    <s v="NC"/>
    <m/>
    <s v="20140812 NCollin"/>
    <s v="20140813 HReider"/>
    <s v="x"/>
    <n v="151.32499999999999"/>
    <s v="na"/>
    <s v="FWL"/>
    <s v="na"/>
    <s v="na"/>
    <s v="F1840"/>
    <s v="na"/>
    <s v="na"/>
    <s v="na"/>
    <s v="na"/>
    <s v="na"/>
  </r>
  <r>
    <n v="2564"/>
    <x v="61"/>
    <n v="3"/>
    <x v="7"/>
    <x v="0"/>
    <x v="10"/>
    <n v="97"/>
    <s v="164 S"/>
    <n v="47"/>
    <m/>
    <s v="U"/>
    <m/>
    <d v="1899-12-30T00:59:00"/>
    <s v="16:25"/>
    <s v="DJ"/>
    <m/>
    <s v="20140812 NCollin"/>
    <s v="20140813 HReider"/>
    <s v="x"/>
    <n v="151.58600000000001"/>
    <s v="na"/>
    <s v="FWL"/>
    <s v="na"/>
    <s v="na"/>
    <s v="F1840"/>
    <s v="na"/>
    <s v="na"/>
    <s v="na"/>
    <s v="na"/>
    <s v="na"/>
  </r>
  <r>
    <n v="2565"/>
    <x v="61"/>
    <n v="3"/>
    <x v="10"/>
    <x v="0"/>
    <x v="0"/>
    <m/>
    <m/>
    <n v="56"/>
    <m/>
    <s v="M"/>
    <m/>
    <d v="1899-12-30T00:22:00"/>
    <s v="16:26"/>
    <s v="DJ"/>
    <m/>
    <s v="20140812 NCollin"/>
    <s v="20140813 HReider"/>
    <s v="x"/>
    <s v="x"/>
    <s v="na"/>
    <s v="FWL"/>
    <s v="na"/>
    <s v="na"/>
    <s v="na"/>
    <s v="na"/>
    <s v="na"/>
    <s v="na"/>
    <s v="na"/>
    <s v="na"/>
  </r>
  <r>
    <n v="2566"/>
    <x v="61"/>
    <n v="3"/>
    <x v="10"/>
    <x v="0"/>
    <x v="0"/>
    <m/>
    <m/>
    <n v="58"/>
    <m/>
    <s v="U"/>
    <m/>
    <d v="1899-12-30T00:19:00"/>
    <s v="16:27"/>
    <s v="DJ"/>
    <m/>
    <s v="20140812 NCollin"/>
    <s v="20140813 HReider"/>
    <s v="x"/>
    <s v="x"/>
    <s v="na"/>
    <s v="FWL"/>
    <s v="na"/>
    <s v="na"/>
    <s v="na"/>
    <s v="na"/>
    <s v="na"/>
    <s v="na"/>
    <s v="na"/>
    <s v="na"/>
  </r>
  <r>
    <n v="2567"/>
    <x v="61"/>
    <n v="3"/>
    <x v="0"/>
    <x v="2"/>
    <x v="0"/>
    <m/>
    <m/>
    <m/>
    <n v="23"/>
    <s v="U"/>
    <m/>
    <d v="1899-12-30T00:22:00"/>
    <s v="17:37"/>
    <s v="DJ"/>
    <m/>
    <s v="20140812 NCollin"/>
    <s v="20140813 HReider"/>
    <s v="x"/>
    <s v="x"/>
    <s v="na"/>
    <s v="FWL"/>
    <s v="na"/>
    <s v="na"/>
    <s v="na"/>
    <s v="na"/>
    <s v="na"/>
    <s v="na"/>
    <s v="na"/>
    <s v="na"/>
  </r>
  <r>
    <n v="2568"/>
    <x v="61"/>
    <n v="3"/>
    <x v="12"/>
    <x v="0"/>
    <x v="12"/>
    <n v="26"/>
    <s v="180 P"/>
    <n v="44"/>
    <m/>
    <s v="F"/>
    <m/>
    <d v="1899-12-30T00:45:00"/>
    <s v="19:09"/>
    <s v="NC"/>
    <m/>
    <s v="20140812 NCollin"/>
    <s v="20140813 HReider"/>
    <s v="x"/>
    <n v="151.596"/>
    <s v="na"/>
    <s v="FWL"/>
    <s v="na"/>
    <s v="na"/>
    <s v="F1835"/>
    <s v="na"/>
    <s v="na"/>
    <s v="na"/>
    <s v="na"/>
    <s v="na"/>
  </r>
  <r>
    <n v="2569"/>
    <x v="61"/>
    <n v="3"/>
    <x v="10"/>
    <x v="0"/>
    <x v="11"/>
    <n v="58"/>
    <s v="153 CM"/>
    <n v="54"/>
    <m/>
    <s v="U"/>
    <m/>
    <d v="1899-12-30T01:00:00"/>
    <s v="19:08"/>
    <s v="NC"/>
    <m/>
    <s v="20140812 NCollin"/>
    <s v="20140813 HReider"/>
    <s v="x"/>
    <n v="151.53399999999999"/>
    <s v="na"/>
    <s v="FWL"/>
    <s v="na"/>
    <s v="na"/>
    <s v="F1840"/>
    <s v="na"/>
    <s v="na"/>
    <s v="na"/>
    <s v="na"/>
    <s v="na"/>
  </r>
  <r>
    <n v="2570"/>
    <x v="61"/>
    <n v="3"/>
    <x v="7"/>
    <x v="0"/>
    <x v="10"/>
    <n v="14"/>
    <s v="165 S"/>
    <n v="44"/>
    <m/>
    <s v="U"/>
    <m/>
    <d v="1899-12-30T01:01:00"/>
    <s v="19:14"/>
    <s v="NC"/>
    <m/>
    <s v="20140812 NCollin"/>
    <s v="20140813 HReider"/>
    <s v="x"/>
    <n v="151.58600000000001"/>
    <s v="na"/>
    <s v="FWL"/>
    <s v="na"/>
    <s v="na"/>
    <s v="F1840"/>
    <s v="na"/>
    <s v="na"/>
    <s v="na"/>
    <s v="na"/>
    <s v="na"/>
  </r>
  <r>
    <n v="2571"/>
    <x v="61"/>
    <n v="3"/>
    <x v="13"/>
    <x v="0"/>
    <x v="14"/>
    <n v="22"/>
    <s v="71 CO"/>
    <n v="49"/>
    <m/>
    <s v="U"/>
    <m/>
    <d v="1899-12-30T00:50:00"/>
    <s v="19:20"/>
    <s v="NC"/>
    <m/>
    <s v="20140812 NCollin"/>
    <s v="20140813 HReider"/>
    <s v="x"/>
    <n v="151.32499999999999"/>
    <s v="na"/>
    <s v="FWL"/>
    <s v="na"/>
    <s v="na"/>
    <s v="F1840"/>
    <s v="na"/>
    <s v="na"/>
    <s v="na"/>
    <s v="na"/>
    <s v="na"/>
  </r>
  <r>
    <n v="2572"/>
    <x v="62"/>
    <n v="1"/>
    <x v="12"/>
    <x v="0"/>
    <x v="13"/>
    <n v="56"/>
    <s v="187 P"/>
    <n v="42"/>
    <m/>
    <s v="M"/>
    <m/>
    <d v="1899-12-30T00:55:00"/>
    <s v="09:10"/>
    <s v="DJ"/>
    <m/>
    <s v="20140813 DJohnson"/>
    <s v="20140814 HReider"/>
    <s v="x"/>
    <n v="151.51499999999999"/>
    <s v="na"/>
    <s v="FWL"/>
    <s v="na"/>
    <s v="na"/>
    <s v="F1835"/>
    <s v="na"/>
    <s v="na"/>
    <s v="na"/>
    <s v="na"/>
    <s v="na"/>
  </r>
  <r>
    <n v="2573"/>
    <x v="62"/>
    <n v="1"/>
    <x v="10"/>
    <x v="0"/>
    <x v="11"/>
    <n v="54"/>
    <s v="160 CM"/>
    <n v="57"/>
    <m/>
    <s v="M"/>
    <m/>
    <d v="1899-12-30T01:06:00"/>
    <s v="09:12"/>
    <s v="DJ"/>
    <m/>
    <s v="20140813 DJohnson"/>
    <s v="20140814 HReider"/>
    <s v="x"/>
    <n v="151.53399999999999"/>
    <s v="na"/>
    <s v="FWL"/>
    <s v="na"/>
    <s v="na"/>
    <s v="F1840"/>
    <s v="na"/>
    <s v="na"/>
    <s v="na"/>
    <s v="na"/>
    <s v="na"/>
  </r>
  <r>
    <n v="2574"/>
    <x v="62"/>
    <n v="1"/>
    <x v="10"/>
    <x v="0"/>
    <x v="0"/>
    <m/>
    <m/>
    <n v="62"/>
    <m/>
    <s v="M"/>
    <m/>
    <d v="1899-12-30T00:23:00"/>
    <s v="09:14"/>
    <s v="DJ"/>
    <m/>
    <s v="20140813 DJohnson"/>
    <s v="20140814 HReider"/>
    <s v="x"/>
    <s v="x"/>
    <s v="na"/>
    <s v="FWL"/>
    <s v="na"/>
    <s v="na"/>
    <s v="na"/>
    <s v="na"/>
    <s v="na"/>
    <s v="na"/>
    <s v="na"/>
    <s v="na"/>
  </r>
  <r>
    <n v="2575"/>
    <x v="62"/>
    <n v="1"/>
    <x v="12"/>
    <x v="0"/>
    <x v="0"/>
    <m/>
    <m/>
    <n v="46"/>
    <m/>
    <s v="F"/>
    <m/>
    <d v="1899-12-30T00:23:00"/>
    <s v="10:36"/>
    <s v="QB"/>
    <m/>
    <s v="20140813 DJohnson"/>
    <s v="20140814 HReider"/>
    <s v="x"/>
    <s v="x"/>
    <s v="na"/>
    <s v="FWL"/>
    <s v="na"/>
    <s v="na"/>
    <s v="na"/>
    <s v="na"/>
    <s v="na"/>
    <s v="na"/>
    <s v="na"/>
    <s v="na"/>
  </r>
  <r>
    <n v="2576"/>
    <x v="62"/>
    <n v="1"/>
    <x v="12"/>
    <x v="0"/>
    <x v="0"/>
    <m/>
    <m/>
    <n v="46"/>
    <m/>
    <s v="F"/>
    <m/>
    <d v="1899-12-30T00:21:00"/>
    <s v="10:37"/>
    <s v="DJ"/>
    <m/>
    <s v="20140813 DJohnson"/>
    <s v="20140814 HReider"/>
    <s v="x"/>
    <s v="x"/>
    <s v="na"/>
    <s v="FWL"/>
    <s v="na"/>
    <s v="na"/>
    <s v="na"/>
    <s v="na"/>
    <s v="na"/>
    <s v="na"/>
    <s v="na"/>
    <s v="na"/>
  </r>
  <r>
    <n v="2577"/>
    <x v="62"/>
    <n v="1"/>
    <x v="10"/>
    <x v="0"/>
    <x v="0"/>
    <m/>
    <m/>
    <n v="50"/>
    <m/>
    <s v="U"/>
    <m/>
    <d v="1899-12-30T00:33:00"/>
    <s v="10:38"/>
    <s v="DJ"/>
    <m/>
    <s v="20140813 DJohnson"/>
    <s v="20140814 HReider"/>
    <s v="x"/>
    <s v="x"/>
    <s v="na"/>
    <s v="FWL"/>
    <s v="na"/>
    <s v="na"/>
    <s v="na"/>
    <s v="na"/>
    <s v="na"/>
    <s v="na"/>
    <s v="na"/>
    <s v="na"/>
  </r>
  <r>
    <n v="2578"/>
    <x v="62"/>
    <n v="1"/>
    <x v="10"/>
    <x v="0"/>
    <x v="0"/>
    <m/>
    <m/>
    <n v="56"/>
    <m/>
    <s v="M"/>
    <m/>
    <d v="1899-12-30T00:22:00"/>
    <s v="12:11"/>
    <s v="JBu"/>
    <m/>
    <s v="20140813 HReider"/>
    <s v="20140814 HReider"/>
    <s v="x"/>
    <s v="x"/>
    <s v="na"/>
    <s v="FWL"/>
    <s v="na"/>
    <s v="na"/>
    <s v="na"/>
    <s v="na"/>
    <s v="na"/>
    <s v="na"/>
    <s v="na"/>
    <s v="na"/>
  </r>
  <r>
    <n v="2579"/>
    <x v="62"/>
    <n v="1"/>
    <x v="10"/>
    <x v="0"/>
    <x v="0"/>
    <m/>
    <m/>
    <n v="60"/>
    <m/>
    <s v="U"/>
    <m/>
    <d v="1899-12-30T00:27:00"/>
    <s v="12:14"/>
    <s v="JBu"/>
    <m/>
    <s v="20140813 HReider"/>
    <s v="20140814 HReider"/>
    <s v="x"/>
    <s v="x"/>
    <s v="na"/>
    <s v="FWL"/>
    <s v="na"/>
    <s v="na"/>
    <s v="na"/>
    <s v="na"/>
    <s v="na"/>
    <s v="na"/>
    <s v="na"/>
    <s v="na"/>
  </r>
  <r>
    <n v="2580"/>
    <x v="62"/>
    <n v="1"/>
    <x v="12"/>
    <x v="0"/>
    <x v="0"/>
    <m/>
    <m/>
    <n v="46"/>
    <m/>
    <s v="F"/>
    <m/>
    <d v="1899-12-30T00:22:00"/>
    <s v="12:15"/>
    <s v="JBu"/>
    <m/>
    <s v="20140813 HReider"/>
    <s v="20140814 HReider"/>
    <s v="x"/>
    <s v="x"/>
    <s v="na"/>
    <s v="FWL"/>
    <s v="na"/>
    <s v="na"/>
    <s v="na"/>
    <s v="na"/>
    <s v="na"/>
    <s v="na"/>
    <s v="na"/>
    <s v="na"/>
  </r>
  <r>
    <n v="2581"/>
    <x v="62"/>
    <n v="1"/>
    <x v="10"/>
    <x v="0"/>
    <x v="0"/>
    <m/>
    <m/>
    <n v="62"/>
    <m/>
    <s v="F"/>
    <m/>
    <d v="1899-12-30T00:23:00"/>
    <s v="12:17"/>
    <s v="JBu"/>
    <m/>
    <s v="20140813 HReider"/>
    <s v="20140814 HReider"/>
    <s v="x"/>
    <s v="x"/>
    <s v="na"/>
    <s v="FWL"/>
    <s v="na"/>
    <s v="na"/>
    <s v="na"/>
    <s v="na"/>
    <s v="na"/>
    <s v="na"/>
    <s v="na"/>
    <s v="na"/>
  </r>
  <r>
    <n v="2582"/>
    <x v="62"/>
    <n v="1"/>
    <x v="10"/>
    <x v="0"/>
    <x v="0"/>
    <m/>
    <m/>
    <n v="52"/>
    <m/>
    <s v="M"/>
    <m/>
    <d v="1899-12-30T00:33:00"/>
    <s v="13:26"/>
    <s v="HR"/>
    <m/>
    <s v="20140813 HReider"/>
    <s v="20140814 HReider"/>
    <s v="x"/>
    <s v="x"/>
    <s v="na"/>
    <s v="FWL"/>
    <s v="na"/>
    <s v="na"/>
    <s v="na"/>
    <s v="na"/>
    <s v="na"/>
    <s v="na"/>
    <s v="na"/>
    <s v="na"/>
  </r>
  <r>
    <n v="2583"/>
    <x v="62"/>
    <n v="1"/>
    <x v="12"/>
    <x v="0"/>
    <x v="0"/>
    <m/>
    <m/>
    <n v="45"/>
    <m/>
    <s v="F"/>
    <m/>
    <d v="1899-12-30T00:27:00"/>
    <s v="13:27"/>
    <s v="HR"/>
    <m/>
    <s v="20140813 HReider"/>
    <s v="20140814 HReider"/>
    <s v="x"/>
    <s v="x"/>
    <s v="na"/>
    <s v="FWL"/>
    <s v="na"/>
    <s v="na"/>
    <s v="na"/>
    <s v="na"/>
    <s v="na"/>
    <s v="na"/>
    <s v="na"/>
    <s v="na"/>
  </r>
  <r>
    <n v="2584"/>
    <x v="62"/>
    <n v="1"/>
    <x v="12"/>
    <x v="0"/>
    <x v="0"/>
    <m/>
    <m/>
    <n v="46"/>
    <m/>
    <s v="F"/>
    <m/>
    <d v="1899-12-30T00:38:00"/>
    <s v="13:28"/>
    <s v="HR"/>
    <m/>
    <s v="20140813 HReider"/>
    <s v="20140814 HReider"/>
    <s v="x"/>
    <s v="x"/>
    <s v="na"/>
    <s v="FWL"/>
    <s v="na"/>
    <s v="na"/>
    <s v="na"/>
    <s v="na"/>
    <s v="na"/>
    <s v="na"/>
    <s v="na"/>
    <s v="na"/>
  </r>
  <r>
    <n v="2585"/>
    <x v="62"/>
    <n v="1"/>
    <x v="12"/>
    <x v="0"/>
    <x v="0"/>
    <m/>
    <m/>
    <n v="45"/>
    <m/>
    <s v="M"/>
    <m/>
    <d v="1899-12-30T00:29:00"/>
    <s v="13:30"/>
    <s v="HR"/>
    <m/>
    <s v="20140813 HReider"/>
    <s v="20140814 HReider"/>
    <s v="x"/>
    <s v="x"/>
    <s v="na"/>
    <s v="FWL"/>
    <s v="na"/>
    <s v="na"/>
    <s v="na"/>
    <s v="na"/>
    <s v="na"/>
    <s v="na"/>
    <s v="na"/>
    <s v="na"/>
  </r>
  <r>
    <n v="2586"/>
    <x v="62"/>
    <n v="1"/>
    <x v="10"/>
    <x v="0"/>
    <x v="0"/>
    <m/>
    <m/>
    <n v="55"/>
    <m/>
    <s v="U"/>
    <m/>
    <d v="1899-12-30T00:32:00"/>
    <s v="13:31"/>
    <s v="HR"/>
    <m/>
    <s v="20140813 HReider"/>
    <s v="20140814 HReider"/>
    <s v="x"/>
    <s v="x"/>
    <s v="na"/>
    <s v="FWL"/>
    <s v="na"/>
    <s v="na"/>
    <s v="na"/>
    <s v="na"/>
    <s v="na"/>
    <s v="na"/>
    <s v="na"/>
    <s v="na"/>
  </r>
  <r>
    <n v="2587"/>
    <x v="62"/>
    <n v="1"/>
    <x v="12"/>
    <x v="0"/>
    <x v="0"/>
    <m/>
    <m/>
    <n v="45"/>
    <m/>
    <s v="F"/>
    <m/>
    <d v="1899-12-30T00:27:00"/>
    <s v="13:33"/>
    <s v="HR"/>
    <m/>
    <s v="20140813 HReider"/>
    <s v="20140814 HReider"/>
    <s v="x"/>
    <s v="x"/>
    <s v="na"/>
    <s v="FWL"/>
    <s v="na"/>
    <s v="na"/>
    <s v="na"/>
    <s v="na"/>
    <s v="na"/>
    <s v="na"/>
    <s v="na"/>
    <s v="na"/>
  </r>
  <r>
    <n v="2588"/>
    <x v="62"/>
    <n v="1"/>
    <x v="12"/>
    <x v="0"/>
    <x v="0"/>
    <m/>
    <m/>
    <n v="45"/>
    <m/>
    <s v="M"/>
    <m/>
    <d v="1899-12-30T00:28:00"/>
    <s v="13:34"/>
    <s v="HR"/>
    <m/>
    <s v="20140813 HReider"/>
    <s v="20140814 HReider"/>
    <s v="x"/>
    <s v="x"/>
    <s v="na"/>
    <s v="FWL"/>
    <s v="na"/>
    <s v="na"/>
    <s v="na"/>
    <s v="na"/>
    <s v="na"/>
    <s v="na"/>
    <s v="na"/>
    <s v="na"/>
  </r>
  <r>
    <n v="2589"/>
    <x v="62"/>
    <n v="1"/>
    <x v="10"/>
    <x v="0"/>
    <x v="0"/>
    <m/>
    <m/>
    <n v="52"/>
    <m/>
    <s v="M"/>
    <m/>
    <d v="1899-12-30T00:42:00"/>
    <s v="13:35"/>
    <s v="HR"/>
    <m/>
    <s v="20140813 HReider"/>
    <s v="20140814 HReider"/>
    <s v="x"/>
    <s v="x"/>
    <s v="na"/>
    <s v="FWL"/>
    <s v="na"/>
    <s v="na"/>
    <s v="na"/>
    <s v="na"/>
    <s v="na"/>
    <s v="na"/>
    <s v="na"/>
    <s v="na"/>
  </r>
  <r>
    <n v="2590"/>
    <x v="62"/>
    <n v="1"/>
    <x v="12"/>
    <x v="0"/>
    <x v="0"/>
    <m/>
    <m/>
    <n v="45"/>
    <m/>
    <s v="F"/>
    <m/>
    <d v="1899-12-30T00:34:00"/>
    <s v="13:36"/>
    <s v="HR"/>
    <m/>
    <s v="20140813 HReider"/>
    <s v="20140814 HReider"/>
    <s v="x"/>
    <s v="x"/>
    <s v="na"/>
    <s v="FWL"/>
    <s v="na"/>
    <s v="na"/>
    <s v="na"/>
    <s v="na"/>
    <s v="na"/>
    <s v="na"/>
    <s v="na"/>
    <s v="na"/>
  </r>
  <r>
    <n v="2591"/>
    <x v="62"/>
    <n v="1"/>
    <x v="12"/>
    <x v="0"/>
    <x v="0"/>
    <m/>
    <m/>
    <n v="44"/>
    <m/>
    <s v="M"/>
    <m/>
    <d v="1899-12-30T00:24:00"/>
    <s v="13:38"/>
    <s v="HR"/>
    <m/>
    <s v="20140813 HReider"/>
    <s v="20140814 HReider"/>
    <s v="x"/>
    <s v="x"/>
    <s v="na"/>
    <s v="FWL"/>
    <s v="na"/>
    <s v="na"/>
    <s v="na"/>
    <s v="na"/>
    <s v="na"/>
    <s v="na"/>
    <s v="na"/>
    <s v="na"/>
  </r>
  <r>
    <n v="2592"/>
    <x v="62"/>
    <n v="1"/>
    <x v="12"/>
    <x v="0"/>
    <x v="0"/>
    <m/>
    <m/>
    <n v="45"/>
    <m/>
    <s v="F"/>
    <m/>
    <d v="1899-12-30T00:36:00"/>
    <s v="13:39"/>
    <s v="HR"/>
    <m/>
    <s v="20140813 HReider"/>
    <s v="20140814 HReider"/>
    <s v="x"/>
    <s v="x"/>
    <s v="na"/>
    <s v="FWL"/>
    <s v="na"/>
    <s v="na"/>
    <s v="na"/>
    <s v="na"/>
    <s v="na"/>
    <s v="na"/>
    <s v="na"/>
    <s v="na"/>
  </r>
  <r>
    <n v="2593"/>
    <x v="62"/>
    <n v="1"/>
    <x v="10"/>
    <x v="0"/>
    <x v="0"/>
    <m/>
    <m/>
    <n v="58"/>
    <m/>
    <s v="F"/>
    <m/>
    <d v="1899-12-30T00:34:00"/>
    <s v="13:40"/>
    <s v="HR"/>
    <m/>
    <s v="20140813 HReider"/>
    <s v="20140814 HReider"/>
    <s v="x"/>
    <s v="x"/>
    <s v="na"/>
    <s v="FWL"/>
    <s v="na"/>
    <s v="na"/>
    <s v="na"/>
    <s v="na"/>
    <s v="na"/>
    <s v="na"/>
    <s v="na"/>
    <s v="na"/>
  </r>
  <r>
    <n v="2594"/>
    <x v="62"/>
    <n v="1"/>
    <x v="12"/>
    <x v="0"/>
    <x v="0"/>
    <m/>
    <m/>
    <n v="42"/>
    <m/>
    <s v="M"/>
    <m/>
    <d v="1899-12-30T00:19:00"/>
    <s v="15:20"/>
    <s v="JBu"/>
    <m/>
    <s v="20140813 HReider"/>
    <s v="20140814 HReider"/>
    <s v="x"/>
    <s v="x"/>
    <s v="na"/>
    <s v="FWL"/>
    <s v="na"/>
    <s v="na"/>
    <s v="na"/>
    <s v="na"/>
    <s v="na"/>
    <s v="na"/>
    <s v="na"/>
    <s v="na"/>
  </r>
  <r>
    <n v="2595"/>
    <x v="62"/>
    <n v="1"/>
    <x v="10"/>
    <x v="0"/>
    <x v="0"/>
    <m/>
    <m/>
    <n v="62"/>
    <m/>
    <s v="M"/>
    <m/>
    <d v="1899-12-30T00:22:00"/>
    <s v="15:21"/>
    <s v="JBu"/>
    <m/>
    <s v="20140813 HReider"/>
    <s v="20140814 HReider"/>
    <s v="x"/>
    <s v="x"/>
    <s v="na"/>
    <s v="FWL"/>
    <s v="na"/>
    <s v="na"/>
    <s v="na"/>
    <s v="na"/>
    <s v="na"/>
    <s v="na"/>
    <s v="na"/>
    <s v="na"/>
  </r>
  <r>
    <n v="2596"/>
    <x v="62"/>
    <n v="1"/>
    <x v="10"/>
    <x v="0"/>
    <x v="0"/>
    <m/>
    <m/>
    <n v="58"/>
    <m/>
    <s v="U"/>
    <m/>
    <d v="1899-12-30T00:20:00"/>
    <s v="15:22"/>
    <s v="JBu"/>
    <m/>
    <s v="20140813 HReider"/>
    <s v="20140814 HReider"/>
    <s v="x"/>
    <s v="x"/>
    <s v="na"/>
    <s v="FWL"/>
    <s v="na"/>
    <s v="na"/>
    <s v="na"/>
    <s v="na"/>
    <s v="na"/>
    <s v="na"/>
    <s v="na"/>
    <s v="na"/>
  </r>
  <r>
    <n v="2597"/>
    <x v="62"/>
    <n v="1"/>
    <x v="12"/>
    <x v="0"/>
    <x v="0"/>
    <m/>
    <m/>
    <n v="45"/>
    <m/>
    <s v="F"/>
    <m/>
    <d v="1899-12-30T00:22:00"/>
    <s v="15:23"/>
    <s v="JBu"/>
    <m/>
    <s v="20140813 HReider"/>
    <s v="20140814 HReider"/>
    <s v="x"/>
    <s v="x"/>
    <s v="na"/>
    <s v="FWL"/>
    <s v="na"/>
    <s v="na"/>
    <s v="na"/>
    <s v="na"/>
    <s v="na"/>
    <s v="na"/>
    <s v="na"/>
    <s v="na"/>
  </r>
  <r>
    <n v="2598"/>
    <x v="62"/>
    <n v="1"/>
    <x v="10"/>
    <x v="0"/>
    <x v="0"/>
    <m/>
    <m/>
    <n v="59"/>
    <m/>
    <s v="F"/>
    <m/>
    <d v="1899-12-30T00:25:00"/>
    <s v="16:40"/>
    <s v="JBu"/>
    <m/>
    <s v="20140813 HReider"/>
    <s v="20140814 HReider"/>
    <s v="x"/>
    <s v="x"/>
    <s v="na"/>
    <s v="FWL"/>
    <s v="na"/>
    <s v="na"/>
    <s v="na"/>
    <s v="na"/>
    <s v="na"/>
    <s v="na"/>
    <s v="na"/>
    <s v="na"/>
  </r>
  <r>
    <n v="2599"/>
    <x v="62"/>
    <n v="1"/>
    <x v="10"/>
    <x v="0"/>
    <x v="0"/>
    <m/>
    <m/>
    <n v="55"/>
    <m/>
    <s v="F"/>
    <m/>
    <d v="1899-12-30T00:20:00"/>
    <s v="16:40"/>
    <s v="JBu"/>
    <m/>
    <s v="20140813 HReider"/>
    <s v="20140814 HReider"/>
    <s v="x"/>
    <s v="x"/>
    <s v="na"/>
    <s v="FWL"/>
    <s v="na"/>
    <s v="na"/>
    <s v="na"/>
    <s v="na"/>
    <s v="na"/>
    <s v="na"/>
    <s v="na"/>
    <s v="na"/>
  </r>
  <r>
    <n v="2600"/>
    <x v="62"/>
    <n v="1"/>
    <x v="12"/>
    <x v="0"/>
    <x v="0"/>
    <m/>
    <m/>
    <n v="43"/>
    <m/>
    <s v="M"/>
    <m/>
    <d v="1899-12-30T00:24:00"/>
    <s v="16:41"/>
    <s v="JBu"/>
    <m/>
    <s v="20140813 HReider"/>
    <s v="20140814 HReider"/>
    <s v="x"/>
    <s v="x"/>
    <s v="na"/>
    <s v="FWL"/>
    <s v="na"/>
    <s v="na"/>
    <s v="na"/>
    <s v="na"/>
    <s v="na"/>
    <s v="na"/>
    <s v="na"/>
    <s v="na"/>
  </r>
  <r>
    <n v="2601"/>
    <x v="62"/>
    <n v="1"/>
    <x v="10"/>
    <x v="0"/>
    <x v="0"/>
    <m/>
    <m/>
    <n v="59"/>
    <m/>
    <s v="F"/>
    <m/>
    <d v="1899-12-30T00:30:00"/>
    <s v="16:43"/>
    <s v="JBu"/>
    <m/>
    <s v="20140813 HReider"/>
    <s v="20140814 HReider"/>
    <s v="x"/>
    <s v="x"/>
    <s v="na"/>
    <s v="FWL"/>
    <s v="na"/>
    <s v="na"/>
    <s v="na"/>
    <s v="na"/>
    <s v="na"/>
    <s v="na"/>
    <s v="na"/>
    <s v="na"/>
  </r>
  <r>
    <n v="2602"/>
    <x v="62"/>
    <n v="1"/>
    <x v="13"/>
    <x v="0"/>
    <x v="14"/>
    <n v="35"/>
    <s v="57 CO"/>
    <n v="53"/>
    <m/>
    <s v="F"/>
    <m/>
    <d v="1899-12-30T00:57:00"/>
    <s v="16:48"/>
    <s v="JBu"/>
    <m/>
    <s v="20140813 HReider"/>
    <s v="20140814 HReider"/>
    <s v="x"/>
    <n v="151.32499999999999"/>
    <s v="na"/>
    <s v="FWL"/>
    <s v="na"/>
    <s v="na"/>
    <s v="F1840"/>
    <s v="na"/>
    <s v="na"/>
    <s v="na"/>
    <s v="na"/>
    <s v="na"/>
  </r>
  <r>
    <n v="2603"/>
    <x v="62"/>
    <n v="1"/>
    <x v="13"/>
    <x v="0"/>
    <x v="14"/>
    <n v="54"/>
    <s v="74 CO"/>
    <n v="49"/>
    <m/>
    <s v="U"/>
    <m/>
    <d v="1899-12-30T00:44:00"/>
    <s v="18:22"/>
    <s v="NC"/>
    <m/>
    <s v="20140813 NCollin"/>
    <s v="20140814 HReider"/>
    <s v="x"/>
    <n v="151.32499999999999"/>
    <s v="na"/>
    <s v="FWL"/>
    <s v="na"/>
    <s v="na"/>
    <s v="F1840"/>
    <s v="na"/>
    <s v="na"/>
    <s v="na"/>
    <s v="na"/>
    <s v="na"/>
  </r>
  <r>
    <n v="2604"/>
    <x v="62"/>
    <n v="1"/>
    <x v="13"/>
    <x v="0"/>
    <x v="14"/>
    <n v="73"/>
    <s v="75 CO"/>
    <n v="61"/>
    <m/>
    <s v="U"/>
    <m/>
    <d v="1899-12-30T01:33:00"/>
    <s v="18:31"/>
    <s v="NC"/>
    <m/>
    <s v="20140813 NCollin"/>
    <s v="20140814 HReider"/>
    <s v="x"/>
    <n v="151.32499999999999"/>
    <s v="na"/>
    <s v="FWL"/>
    <s v="na"/>
    <s v="na"/>
    <s v="F1840"/>
    <s v="na"/>
    <s v="na"/>
    <s v="na"/>
    <s v="na"/>
    <s v="na"/>
  </r>
  <r>
    <n v="2605"/>
    <x v="62"/>
    <n v="1"/>
    <x v="13"/>
    <x v="0"/>
    <x v="14"/>
    <n v="5"/>
    <s v="83 CO"/>
    <n v="52"/>
    <m/>
    <s v="U"/>
    <m/>
    <d v="1899-12-30T00:40:00"/>
    <s v="18:49"/>
    <s v="NC"/>
    <m/>
    <s v="20140813 NCollin"/>
    <s v="20140814 HReider"/>
    <s v="x"/>
    <n v="151.32499999999999"/>
    <s v="na"/>
    <s v="FWL"/>
    <s v="na"/>
    <s v="na"/>
    <s v="F1840"/>
    <s v="na"/>
    <s v="na"/>
    <s v="na"/>
    <s v="na"/>
    <s v="na"/>
  </r>
  <r>
    <n v="2606"/>
    <x v="62"/>
    <n v="1"/>
    <x v="7"/>
    <x v="0"/>
    <x v="10"/>
    <n v="30"/>
    <s v="170 S"/>
    <n v="51"/>
    <m/>
    <s v="U"/>
    <m/>
    <d v="1899-12-30T00:47:00"/>
    <s v="18:54"/>
    <s v="NC"/>
    <m/>
    <s v="20140813 NCollin"/>
    <s v="20140814 HReider"/>
    <s v="x"/>
    <n v="151.58600000000001"/>
    <s v="na"/>
    <s v="FWL"/>
    <s v="na"/>
    <s v="na"/>
    <s v="F1840"/>
    <s v="na"/>
    <s v="na"/>
    <s v="na"/>
    <s v="na"/>
    <s v="na"/>
  </r>
  <r>
    <n v="2607"/>
    <x v="62"/>
    <n v="1"/>
    <x v="12"/>
    <x v="0"/>
    <x v="12"/>
    <n v="6"/>
    <s v="190 P"/>
    <n v="44"/>
    <m/>
    <s v="M"/>
    <m/>
    <d v="1899-12-30T00:57:00"/>
    <s v="20:13"/>
    <s v="NC"/>
    <m/>
    <s v="20140813 NCollin"/>
    <s v="20140814 HReider"/>
    <s v="x"/>
    <n v="151.596"/>
    <s v="na"/>
    <s v="FWL"/>
    <s v="na"/>
    <s v="na"/>
    <s v="F1835"/>
    <s v="na"/>
    <s v="na"/>
    <s v="na"/>
    <s v="na"/>
    <s v="na"/>
  </r>
  <r>
    <n v="2608"/>
    <x v="62"/>
    <n v="1"/>
    <x v="13"/>
    <x v="0"/>
    <x v="14"/>
    <n v="15"/>
    <s v="84 CO"/>
    <n v="56"/>
    <m/>
    <s v="U"/>
    <m/>
    <d v="1899-12-30T00:50:00"/>
    <s v="20:18"/>
    <s v="NC"/>
    <m/>
    <s v="20140813 NCollin"/>
    <s v="20140814 HReider"/>
    <s v="x"/>
    <n v="151.32499999999999"/>
    <s v="na"/>
    <s v="FWL"/>
    <s v="na"/>
    <s v="na"/>
    <s v="F1840"/>
    <s v="na"/>
    <s v="na"/>
    <s v="na"/>
    <s v="na"/>
    <s v="na"/>
  </r>
  <r>
    <n v="2609"/>
    <x v="62"/>
    <n v="1"/>
    <x v="7"/>
    <x v="0"/>
    <x v="10"/>
    <n v="0"/>
    <s v="171 S "/>
    <n v="49"/>
    <m/>
    <s v="U"/>
    <m/>
    <d v="1899-12-30T00:44:00"/>
    <s v="20:22"/>
    <s v="NC"/>
    <m/>
    <s v="20140813 NCollin"/>
    <s v="20140814 HReider"/>
    <s v="x"/>
    <n v="151.58600000000001"/>
    <s v="na"/>
    <s v="FWL"/>
    <s v="na"/>
    <s v="na"/>
    <s v="F1840"/>
    <s v="na"/>
    <s v="na"/>
    <s v="na"/>
    <s v="na"/>
    <s v="na"/>
  </r>
  <r>
    <n v="2610"/>
    <x v="62"/>
    <n v="2"/>
    <x v="10"/>
    <x v="0"/>
    <x v="0"/>
    <m/>
    <m/>
    <n v="62"/>
    <m/>
    <s v="M"/>
    <m/>
    <d v="1899-12-30T00:21:00"/>
    <s v="09:26"/>
    <s v="QB"/>
    <m/>
    <s v="20140813 DJohnson"/>
    <s v="20140814 HReider"/>
    <s v="x"/>
    <s v="x"/>
    <s v="na"/>
    <s v="FWL"/>
    <s v="na"/>
    <s v="na"/>
    <s v="na"/>
    <s v="na"/>
    <s v="na"/>
    <s v="na"/>
    <s v="na"/>
    <s v="na"/>
  </r>
  <r>
    <n v="2611"/>
    <x v="62"/>
    <n v="2"/>
    <x v="10"/>
    <x v="0"/>
    <x v="0"/>
    <m/>
    <m/>
    <n v="66"/>
    <m/>
    <s v="M"/>
    <m/>
    <d v="1899-12-30T00:19:00"/>
    <s v="09:27"/>
    <s v="QB"/>
    <m/>
    <s v="20140813 DJohnson"/>
    <s v="20140814 HReider"/>
    <s v="x"/>
    <s v="x"/>
    <s v="na"/>
    <s v="FWL"/>
    <s v="na"/>
    <s v="na"/>
    <s v="na"/>
    <s v="na"/>
    <s v="na"/>
    <s v="na"/>
    <s v="na"/>
    <s v="na"/>
  </r>
  <r>
    <n v="2612"/>
    <x v="62"/>
    <n v="2"/>
    <x v="10"/>
    <x v="0"/>
    <x v="0"/>
    <m/>
    <m/>
    <n v="54"/>
    <m/>
    <s v="M"/>
    <m/>
    <d v="1899-12-30T00:24:00"/>
    <s v="09:28"/>
    <s v="QB"/>
    <m/>
    <s v="20140813 DJohnson"/>
    <s v="20140814 HReider"/>
    <s v="x"/>
    <s v="x"/>
    <s v="na"/>
    <s v="FWL"/>
    <s v="na"/>
    <s v="na"/>
    <s v="na"/>
    <s v="na"/>
    <s v="na"/>
    <s v="na"/>
    <s v="na"/>
    <s v="na"/>
  </r>
  <r>
    <n v="2613"/>
    <x v="62"/>
    <n v="2"/>
    <x v="10"/>
    <x v="0"/>
    <x v="0"/>
    <m/>
    <m/>
    <n v="65"/>
    <m/>
    <s v="M"/>
    <m/>
    <d v="1899-12-30T00:22:00"/>
    <s v="09:29"/>
    <s v="QB"/>
    <m/>
    <s v="20140813 DJohnson"/>
    <s v="20140814 HReider"/>
    <s v="x"/>
    <s v="x"/>
    <s v="na"/>
    <s v="FWL"/>
    <s v="na"/>
    <s v="na"/>
    <s v="na"/>
    <s v="na"/>
    <s v="na"/>
    <s v="na"/>
    <s v="na"/>
    <s v="na"/>
  </r>
  <r>
    <n v="2614"/>
    <x v="62"/>
    <n v="2"/>
    <x v="10"/>
    <x v="0"/>
    <x v="0"/>
    <m/>
    <m/>
    <n v="65"/>
    <m/>
    <s v="F"/>
    <m/>
    <d v="1899-12-30T00:23:00"/>
    <s v="09:31"/>
    <s v="QB"/>
    <s v="Cuts along sides and dorsal region"/>
    <s v="20140813 DJohnson"/>
    <s v="20140814 HReider"/>
    <s v="x"/>
    <s v="x"/>
    <s v="na"/>
    <s v="FWL"/>
    <s v="na"/>
    <s v="na"/>
    <s v="na"/>
    <s v="na"/>
    <s v="na"/>
    <s v="na"/>
    <s v="na"/>
    <s v="na"/>
  </r>
  <r>
    <n v="2615"/>
    <x v="62"/>
    <n v="2"/>
    <x v="10"/>
    <x v="0"/>
    <x v="0"/>
    <m/>
    <m/>
    <n v="61"/>
    <m/>
    <s v="F"/>
    <m/>
    <d v="1899-12-30T00:24:00"/>
    <s v="10:26"/>
    <s v="DJ"/>
    <m/>
    <s v="20140813 DJohnson"/>
    <s v="20140814 HReider"/>
    <s v="x"/>
    <s v="x"/>
    <s v="na"/>
    <s v="FWL"/>
    <s v="na"/>
    <s v="na"/>
    <s v="na"/>
    <s v="na"/>
    <s v="na"/>
    <s v="na"/>
    <s v="na"/>
    <s v="na"/>
  </r>
  <r>
    <n v="2616"/>
    <x v="62"/>
    <n v="2"/>
    <x v="10"/>
    <x v="0"/>
    <x v="0"/>
    <m/>
    <m/>
    <n v="59"/>
    <m/>
    <s v="M"/>
    <m/>
    <d v="1899-12-30T00:27:00"/>
    <s v="12:27"/>
    <s v="HR"/>
    <m/>
    <s v="20140813 HReider"/>
    <s v="20140814 HReider"/>
    <s v="x"/>
    <s v="x"/>
    <s v="na"/>
    <s v="FWL"/>
    <s v="na"/>
    <s v="na"/>
    <s v="na"/>
    <s v="na"/>
    <s v="na"/>
    <s v="na"/>
    <s v="na"/>
    <s v="na"/>
  </r>
  <r>
    <n v="2617"/>
    <x v="62"/>
    <n v="2"/>
    <x v="10"/>
    <x v="0"/>
    <x v="0"/>
    <m/>
    <m/>
    <n v="50"/>
    <m/>
    <s v="F"/>
    <m/>
    <d v="1899-12-30T00:27:00"/>
    <s v="12:28"/>
    <s v="HR"/>
    <m/>
    <s v="20140813 HReider"/>
    <s v="20140814 HReider"/>
    <s v="x"/>
    <s v="x"/>
    <s v="na"/>
    <s v="FWL"/>
    <s v="na"/>
    <s v="na"/>
    <s v="na"/>
    <s v="na"/>
    <s v="na"/>
    <s v="na"/>
    <s v="na"/>
    <s v="na"/>
  </r>
  <r>
    <n v="2618"/>
    <x v="62"/>
    <n v="2"/>
    <x v="7"/>
    <x v="0"/>
    <x v="0"/>
    <m/>
    <m/>
    <n v="43"/>
    <m/>
    <s v="M"/>
    <m/>
    <d v="1899-12-30T00:50:00"/>
    <s v="12:32"/>
    <s v="HR"/>
    <s v="Currently spawning, dark, milting, escaped"/>
    <s v="20140813 HReider"/>
    <s v="20140814 HReider"/>
    <s v="x"/>
    <s v="x"/>
    <s v="na"/>
    <s v="FWL"/>
    <s v="na"/>
    <s v="na"/>
    <s v="na"/>
    <s v="na"/>
    <s v="na"/>
    <s v="na"/>
    <s v="na"/>
    <s v="na"/>
  </r>
  <r>
    <n v="2619"/>
    <x v="62"/>
    <n v="2"/>
    <x v="10"/>
    <x v="0"/>
    <x v="0"/>
    <m/>
    <m/>
    <n v="59"/>
    <m/>
    <s v="M"/>
    <m/>
    <d v="1899-12-30T00:28:00"/>
    <s v="12:36"/>
    <s v="HR"/>
    <m/>
    <s v="20140813 HReider"/>
    <s v="20140814 HReider"/>
    <s v="x"/>
    <s v="x"/>
    <s v="na"/>
    <s v="FWL"/>
    <s v="na"/>
    <s v="na"/>
    <s v="na"/>
    <s v="na"/>
    <s v="na"/>
    <s v="na"/>
    <s v="na"/>
    <s v="na"/>
  </r>
  <r>
    <n v="2620"/>
    <x v="62"/>
    <n v="2"/>
    <x v="10"/>
    <x v="0"/>
    <x v="0"/>
    <m/>
    <m/>
    <n v="58"/>
    <m/>
    <s v="F"/>
    <m/>
    <d v="1899-12-30T00:32:00"/>
    <s v="12:38"/>
    <s v="HR"/>
    <m/>
    <s v="20140813 HReider"/>
    <s v="20140814 HReider"/>
    <s v="x"/>
    <s v="x"/>
    <s v="na"/>
    <s v="FWL"/>
    <s v="na"/>
    <s v="na"/>
    <s v="na"/>
    <s v="na"/>
    <s v="na"/>
    <s v="na"/>
    <s v="na"/>
    <s v="na"/>
  </r>
  <r>
    <n v="2621"/>
    <x v="62"/>
    <n v="2"/>
    <x v="10"/>
    <x v="0"/>
    <x v="0"/>
    <m/>
    <m/>
    <n v="56"/>
    <m/>
    <s v="F"/>
    <m/>
    <d v="1899-12-30T00:29:00"/>
    <s v="12:39"/>
    <s v="HR"/>
    <m/>
    <s v="20140813 HReider"/>
    <s v="20140814 HReider"/>
    <s v="x"/>
    <s v="x"/>
    <s v="na"/>
    <s v="FWL"/>
    <s v="na"/>
    <s v="na"/>
    <s v="na"/>
    <s v="na"/>
    <s v="na"/>
    <s v="na"/>
    <s v="na"/>
    <s v="na"/>
  </r>
  <r>
    <n v="2622"/>
    <x v="62"/>
    <n v="2"/>
    <x v="10"/>
    <x v="0"/>
    <x v="0"/>
    <m/>
    <m/>
    <n v="53"/>
    <m/>
    <s v="M"/>
    <m/>
    <d v="1899-12-30T00:25:00"/>
    <s v="12:40"/>
    <s v="HR"/>
    <m/>
    <s v="20140813 HReider"/>
    <s v="20140814 HReider"/>
    <s v="x"/>
    <s v="x"/>
    <s v="na"/>
    <s v="FWL"/>
    <s v="na"/>
    <s v="na"/>
    <s v="na"/>
    <s v="na"/>
    <s v="na"/>
    <s v="na"/>
    <s v="na"/>
    <s v="na"/>
  </r>
  <r>
    <n v="2623"/>
    <x v="62"/>
    <n v="2"/>
    <x v="10"/>
    <x v="0"/>
    <x v="0"/>
    <m/>
    <m/>
    <n v="63"/>
    <m/>
    <s v="M"/>
    <d v="1899-12-30T13:16:00"/>
    <d v="1899-12-30T00:30:00"/>
    <s v="13:18"/>
    <s v="HR"/>
    <m/>
    <s v="20140813 HReider"/>
    <s v="20140814 HReider"/>
    <d v="1899-12-30T00:01:30"/>
    <s v="x"/>
    <s v="na"/>
    <s v="FWL"/>
    <s v="na"/>
    <s v="na"/>
    <s v="na"/>
    <s v="na"/>
    <s v="na"/>
    <s v="na"/>
    <s v="na"/>
    <s v="na"/>
  </r>
  <r>
    <n v="2624"/>
    <x v="62"/>
    <n v="2"/>
    <x v="10"/>
    <x v="0"/>
    <x v="11"/>
    <n v="79"/>
    <s v="162 CM"/>
    <n v="57"/>
    <m/>
    <s v="F"/>
    <m/>
    <d v="1899-12-30T00:44:00"/>
    <s v="15:04"/>
    <s v="JBu"/>
    <m/>
    <s v="20140813 HReider"/>
    <s v="20140814 HReider"/>
    <s v="x"/>
    <n v="151.53399999999999"/>
    <s v="na"/>
    <s v="FWL"/>
    <s v="na"/>
    <s v="na"/>
    <s v="F1840"/>
    <s v="na"/>
    <s v="na"/>
    <s v="na"/>
    <s v="na"/>
    <s v="na"/>
  </r>
  <r>
    <n v="2625"/>
    <x v="62"/>
    <n v="2"/>
    <x v="12"/>
    <x v="0"/>
    <x v="12"/>
    <n v="73"/>
    <s v="188 P"/>
    <n v="47"/>
    <m/>
    <s v="M"/>
    <m/>
    <d v="1899-12-30T00:41:00"/>
    <s v="15:08"/>
    <s v="JBu"/>
    <s v="Top of nose missing"/>
    <s v="20140813 HReider"/>
    <s v="20140814 HReider"/>
    <s v="x"/>
    <n v="151.596"/>
    <s v="na"/>
    <s v="FWL"/>
    <s v="na"/>
    <s v="na"/>
    <s v="F1835"/>
    <s v="na"/>
    <s v="na"/>
    <s v="na"/>
    <s v="na"/>
    <s v="na"/>
  </r>
  <r>
    <n v="2626"/>
    <x v="62"/>
    <n v="2"/>
    <x v="10"/>
    <x v="0"/>
    <x v="0"/>
    <m/>
    <m/>
    <n v="62"/>
    <m/>
    <s v="M"/>
    <m/>
    <d v="1899-12-30T00:29:00"/>
    <s v="15:09"/>
    <s v="JBu"/>
    <m/>
    <s v="20140813 HReider"/>
    <s v="20140814 HReider"/>
    <s v="x"/>
    <s v="x"/>
    <s v="na"/>
    <s v="FWL"/>
    <s v="na"/>
    <s v="na"/>
    <s v="na"/>
    <s v="na"/>
    <s v="na"/>
    <s v="na"/>
    <s v="na"/>
    <s v="na"/>
  </r>
  <r>
    <n v="2627"/>
    <x v="62"/>
    <n v="2"/>
    <x v="10"/>
    <x v="0"/>
    <x v="11"/>
    <n v="82"/>
    <s v="163 CM"/>
    <n v="55"/>
    <m/>
    <s v="F"/>
    <m/>
    <d v="1899-12-30T00:58:00"/>
    <s v="19:29"/>
    <s v="CSj"/>
    <m/>
    <s v="20140813 NCollin"/>
    <s v="20140814 HReider"/>
    <s v="x"/>
    <n v="151.53399999999999"/>
    <s v="na"/>
    <s v="FWL"/>
    <s v="na"/>
    <s v="na"/>
    <s v="F1840"/>
    <s v="na"/>
    <s v="na"/>
    <s v="na"/>
    <s v="na"/>
    <s v="na"/>
  </r>
  <r>
    <n v="2628"/>
    <x v="62"/>
    <n v="2"/>
    <x v="10"/>
    <x v="0"/>
    <x v="11"/>
    <n v="59"/>
    <s v="164 CM"/>
    <n v="59"/>
    <m/>
    <s v="M"/>
    <m/>
    <d v="1899-12-30T01:17:00"/>
    <s v="19:32"/>
    <s v="CSj"/>
    <m/>
    <s v="20140813 NCollin"/>
    <s v="20140814 HReider"/>
    <s v="x"/>
    <n v="151.53399999999999"/>
    <s v="na"/>
    <s v="FWL"/>
    <s v="na"/>
    <s v="na"/>
    <s v="F1840"/>
    <s v="na"/>
    <s v="na"/>
    <s v="na"/>
    <s v="na"/>
    <s v="na"/>
  </r>
  <r>
    <n v="2629"/>
    <x v="62"/>
    <n v="2"/>
    <x v="12"/>
    <x v="0"/>
    <x v="12"/>
    <n v="56"/>
    <s v="189 P"/>
    <n v="45"/>
    <m/>
    <s v="F"/>
    <m/>
    <d v="1899-12-30T01:33:00"/>
    <s v="19:36"/>
    <s v="CSj"/>
    <m/>
    <s v="20140813 NCollin"/>
    <s v="20140814 HReider"/>
    <s v="x"/>
    <n v="151.596"/>
    <s v="na"/>
    <s v="FWL"/>
    <s v="na"/>
    <s v="na"/>
    <s v="F1835"/>
    <s v="na"/>
    <s v="na"/>
    <s v="na"/>
    <s v="na"/>
    <s v="na"/>
  </r>
  <r>
    <n v="2630"/>
    <x v="62"/>
    <n v="2"/>
    <x v="12"/>
    <x v="0"/>
    <x v="0"/>
    <m/>
    <m/>
    <n v="47"/>
    <m/>
    <s v="F"/>
    <m/>
    <d v="1899-12-30T00:35:00"/>
    <s v="19:39"/>
    <s v="CSj"/>
    <m/>
    <s v="20140813 NCollin"/>
    <s v="20140814 HReider"/>
    <s v="x"/>
    <s v="x"/>
    <s v="na"/>
    <s v="FWL"/>
    <s v="na"/>
    <s v="na"/>
    <s v="na"/>
    <s v="na"/>
    <s v="na"/>
    <s v="na"/>
    <s v="na"/>
    <s v="na"/>
  </r>
  <r>
    <n v="2631"/>
    <x v="62"/>
    <n v="3"/>
    <x v="12"/>
    <x v="0"/>
    <x v="13"/>
    <n v="1"/>
    <s v="181 P"/>
    <n v="43"/>
    <m/>
    <s v="M"/>
    <m/>
    <d v="1899-12-30T00:53:00"/>
    <s v="09:14"/>
    <s v="NC"/>
    <m/>
    <s v="20140813 NCollin"/>
    <s v="20140814 HReider"/>
    <s v="x"/>
    <n v="151.51499999999999"/>
    <s v="na"/>
    <s v="FWL"/>
    <s v="na"/>
    <s v="na"/>
    <s v="F1835"/>
    <s v="na"/>
    <s v="na"/>
    <s v="na"/>
    <s v="na"/>
    <s v="na"/>
  </r>
  <r>
    <n v="2632"/>
    <x v="62"/>
    <n v="3"/>
    <x v="10"/>
    <x v="0"/>
    <x v="0"/>
    <m/>
    <m/>
    <n v="57"/>
    <m/>
    <s v="M"/>
    <m/>
    <d v="1899-12-30T01:28:00"/>
    <s v="09:17"/>
    <s v="NC"/>
    <s v="Would not retain tag"/>
    <s v="20140813 NCollin"/>
    <s v="20140814 HReider"/>
    <s v="x"/>
    <s v="x"/>
    <s v="na"/>
    <s v="FWL"/>
    <s v="na"/>
    <s v="na"/>
    <s v="na"/>
    <s v="na"/>
    <s v="na"/>
    <s v="na"/>
    <s v="na"/>
    <s v="na"/>
  </r>
  <r>
    <n v="2633"/>
    <x v="62"/>
    <n v="3"/>
    <x v="12"/>
    <x v="0"/>
    <x v="0"/>
    <m/>
    <m/>
    <n v="43"/>
    <m/>
    <s v="F"/>
    <m/>
    <d v="1899-12-30T00:21:00"/>
    <s v="09:19"/>
    <s v="NC"/>
    <m/>
    <s v="20140813 NCollin"/>
    <s v="20140814 HReider"/>
    <s v="x"/>
    <s v="x"/>
    <s v="na"/>
    <s v="FWL"/>
    <s v="na"/>
    <s v="na"/>
    <s v="na"/>
    <s v="na"/>
    <s v="na"/>
    <s v="na"/>
    <s v="na"/>
    <s v="na"/>
  </r>
  <r>
    <n v="2634"/>
    <x v="62"/>
    <n v="3"/>
    <x v="12"/>
    <x v="0"/>
    <x v="0"/>
    <m/>
    <m/>
    <n v="49"/>
    <m/>
    <s v="M"/>
    <m/>
    <d v="1899-12-30T00:20:00"/>
    <s v="09:20"/>
    <s v="NC"/>
    <m/>
    <s v="20140813 NCollin"/>
    <s v="20140814 HReider"/>
    <s v="x"/>
    <s v="x"/>
    <s v="na"/>
    <s v="FWL"/>
    <s v="na"/>
    <s v="na"/>
    <s v="na"/>
    <s v="na"/>
    <s v="na"/>
    <s v="na"/>
    <s v="na"/>
    <s v="na"/>
  </r>
  <r>
    <n v="2635"/>
    <x v="62"/>
    <n v="3"/>
    <x v="12"/>
    <x v="0"/>
    <x v="0"/>
    <m/>
    <m/>
    <n v="42"/>
    <m/>
    <s v="F"/>
    <m/>
    <d v="1899-12-30T00:25:00"/>
    <s v="09:21"/>
    <s v="NC"/>
    <m/>
    <s v="20140813 NCollin"/>
    <s v="20140814 HReider"/>
    <s v="x"/>
    <s v="x"/>
    <s v="na"/>
    <s v="FWL"/>
    <s v="na"/>
    <s v="na"/>
    <s v="na"/>
    <s v="na"/>
    <s v="na"/>
    <s v="na"/>
    <s v="na"/>
    <s v="na"/>
  </r>
  <r>
    <n v="2636"/>
    <x v="62"/>
    <n v="3"/>
    <x v="12"/>
    <x v="0"/>
    <x v="0"/>
    <m/>
    <m/>
    <n v="46"/>
    <m/>
    <s v="F"/>
    <m/>
    <d v="1899-12-30T00:31:00"/>
    <s v="09:22"/>
    <s v="NC"/>
    <m/>
    <s v="20140813 NCollin"/>
    <s v="20140814 HReider"/>
    <s v="x"/>
    <s v="x"/>
    <s v="na"/>
    <s v="FWL"/>
    <s v="na"/>
    <s v="na"/>
    <s v="na"/>
    <s v="na"/>
    <s v="na"/>
    <s v="na"/>
    <s v="na"/>
    <s v="na"/>
  </r>
  <r>
    <n v="2637"/>
    <x v="62"/>
    <n v="3"/>
    <x v="12"/>
    <x v="0"/>
    <x v="0"/>
    <m/>
    <m/>
    <n v="47"/>
    <m/>
    <s v="M"/>
    <m/>
    <d v="1899-12-30T00:30:00"/>
    <s v="09:24"/>
    <s v="NC"/>
    <m/>
    <s v="20140813 NCollin"/>
    <s v="20140814 HReider"/>
    <s v="x"/>
    <s v="x"/>
    <s v="na"/>
    <s v="FWL"/>
    <s v="na"/>
    <s v="na"/>
    <s v="na"/>
    <s v="na"/>
    <s v="na"/>
    <s v="na"/>
    <s v="na"/>
    <s v="na"/>
  </r>
  <r>
    <n v="2638"/>
    <x v="62"/>
    <n v="3"/>
    <x v="12"/>
    <x v="0"/>
    <x v="0"/>
    <m/>
    <m/>
    <n v="46"/>
    <m/>
    <s v="F"/>
    <m/>
    <d v="1899-12-30T00:28:00"/>
    <s v="09:25"/>
    <s v="NC"/>
    <m/>
    <s v="20140813 NCollin"/>
    <s v="20140814 HReider"/>
    <s v="x"/>
    <s v="x"/>
    <s v="na"/>
    <s v="FWL"/>
    <s v="na"/>
    <s v="na"/>
    <s v="na"/>
    <s v="na"/>
    <s v="na"/>
    <s v="na"/>
    <s v="na"/>
    <s v="na"/>
  </r>
  <r>
    <n v="2639"/>
    <x v="62"/>
    <n v="3"/>
    <x v="12"/>
    <x v="0"/>
    <x v="0"/>
    <m/>
    <m/>
    <n v="43"/>
    <m/>
    <s v="M"/>
    <m/>
    <d v="1899-12-30T00:26:00"/>
    <s v="10:42"/>
    <s v="NC"/>
    <m/>
    <s v="20140813 NCollin"/>
    <s v="20140814 HReider"/>
    <s v="x"/>
    <s v="x"/>
    <s v="na"/>
    <s v="FWL"/>
    <s v="na"/>
    <s v="na"/>
    <s v="na"/>
    <s v="na"/>
    <s v="na"/>
    <s v="na"/>
    <s v="na"/>
    <s v="na"/>
  </r>
  <r>
    <n v="2640"/>
    <x v="62"/>
    <n v="3"/>
    <x v="12"/>
    <x v="0"/>
    <x v="0"/>
    <m/>
    <m/>
    <n v="47"/>
    <m/>
    <s v="M"/>
    <m/>
    <d v="1899-12-30T00:23:00"/>
    <s v="10:43"/>
    <s v="NC"/>
    <m/>
    <s v="20140813 NCollin"/>
    <s v="20140814 HReider"/>
    <s v="x"/>
    <s v="x"/>
    <s v="na"/>
    <s v="FWL"/>
    <s v="na"/>
    <s v="na"/>
    <s v="na"/>
    <s v="na"/>
    <s v="na"/>
    <s v="na"/>
    <s v="na"/>
    <s v="na"/>
  </r>
  <r>
    <n v="2641"/>
    <x v="62"/>
    <n v="3"/>
    <x v="12"/>
    <x v="0"/>
    <x v="0"/>
    <m/>
    <m/>
    <n v="44"/>
    <m/>
    <s v="M"/>
    <m/>
    <d v="1899-12-30T00:29:00"/>
    <s v="10:45"/>
    <s v="NC"/>
    <m/>
    <s v="20140813 NCollin"/>
    <s v="20140814 HReider"/>
    <s v="x"/>
    <s v="x"/>
    <s v="na"/>
    <s v="FWL"/>
    <s v="na"/>
    <s v="na"/>
    <s v="na"/>
    <s v="na"/>
    <s v="na"/>
    <s v="na"/>
    <s v="na"/>
    <s v="na"/>
  </r>
  <r>
    <n v="2642"/>
    <x v="62"/>
    <n v="3"/>
    <x v="10"/>
    <x v="0"/>
    <x v="11"/>
    <n v="89"/>
    <s v="161 CM"/>
    <n v="56"/>
    <m/>
    <s v="M"/>
    <m/>
    <d v="1899-12-30T00:54:00"/>
    <s v="10:48"/>
    <s v="NC"/>
    <m/>
    <s v="20140813 NCollin"/>
    <s v="20140814 HReider"/>
    <s v="x"/>
    <n v="151.53399999999999"/>
    <s v="na"/>
    <s v="FWL"/>
    <s v="na"/>
    <s v="na"/>
    <s v="F1840"/>
    <s v="na"/>
    <s v="na"/>
    <s v="na"/>
    <s v="na"/>
    <s v="na"/>
  </r>
  <r>
    <n v="2643"/>
    <x v="62"/>
    <n v="3"/>
    <x v="12"/>
    <x v="0"/>
    <x v="0"/>
    <m/>
    <m/>
    <n v="48"/>
    <m/>
    <s v="M"/>
    <m/>
    <d v="1899-12-30T00:23:00"/>
    <s v="10:50"/>
    <s v="NC"/>
    <m/>
    <s v="20140813 NCollin"/>
    <s v="20140814 HReider"/>
    <s v="x"/>
    <s v="x"/>
    <s v="na"/>
    <s v="FWL"/>
    <s v="na"/>
    <s v="na"/>
    <s v="na"/>
    <s v="na"/>
    <s v="na"/>
    <s v="na"/>
    <s v="na"/>
    <s v="na"/>
  </r>
  <r>
    <n v="2644"/>
    <x v="62"/>
    <n v="3"/>
    <x v="12"/>
    <x v="0"/>
    <x v="0"/>
    <m/>
    <m/>
    <n v="43"/>
    <m/>
    <s v="M"/>
    <m/>
    <d v="1899-12-30T00:29:00"/>
    <s v="12:16"/>
    <s v="CSj"/>
    <m/>
    <s v="20140813 NCollin"/>
    <s v="20140814 HReider"/>
    <s v="x"/>
    <s v="x"/>
    <s v="na"/>
    <s v="FWL"/>
    <s v="na"/>
    <s v="na"/>
    <s v="na"/>
    <s v="na"/>
    <s v="na"/>
    <s v="na"/>
    <s v="na"/>
    <s v="na"/>
  </r>
  <r>
    <n v="2645"/>
    <x v="62"/>
    <n v="3"/>
    <x v="12"/>
    <x v="0"/>
    <x v="0"/>
    <m/>
    <m/>
    <n v="47"/>
    <m/>
    <s v="F"/>
    <m/>
    <d v="1899-12-30T00:28:00"/>
    <s v="12:18"/>
    <s v="CSj"/>
    <m/>
    <s v="20140813 NCollin"/>
    <s v="20140814 HReider"/>
    <s v="x"/>
    <s v="x"/>
    <s v="na"/>
    <s v="FWL"/>
    <s v="na"/>
    <s v="na"/>
    <s v="na"/>
    <s v="na"/>
    <s v="na"/>
    <s v="na"/>
    <s v="na"/>
    <s v="na"/>
  </r>
  <r>
    <n v="2646"/>
    <x v="62"/>
    <n v="3"/>
    <x v="10"/>
    <x v="0"/>
    <x v="0"/>
    <m/>
    <m/>
    <n v="57"/>
    <m/>
    <s v="U"/>
    <m/>
    <d v="1899-12-30T00:24:00"/>
    <s v="12:20"/>
    <s v="CSj"/>
    <m/>
    <s v="20140813 NCollin"/>
    <s v="20140814 HReider"/>
    <s v="x"/>
    <s v="x"/>
    <s v="na"/>
    <s v="FWL"/>
    <s v="na"/>
    <s v="na"/>
    <s v="na"/>
    <s v="na"/>
    <s v="na"/>
    <s v="na"/>
    <s v="na"/>
    <s v="na"/>
  </r>
  <r>
    <n v="2647"/>
    <x v="62"/>
    <n v="3"/>
    <x v="10"/>
    <x v="0"/>
    <x v="0"/>
    <m/>
    <m/>
    <n v="60"/>
    <m/>
    <s v="U"/>
    <m/>
    <d v="1899-12-30T00:34:00"/>
    <s v="12:21"/>
    <s v="CSj"/>
    <s v="Wounds on both side of body"/>
    <s v="20140813 NCollin"/>
    <s v="20140814 HReider"/>
    <s v="x"/>
    <s v="x"/>
    <s v="na"/>
    <s v="FWL"/>
    <s v="na"/>
    <s v="na"/>
    <s v="na"/>
    <s v="na"/>
    <s v="na"/>
    <s v="na"/>
    <s v="na"/>
    <s v="na"/>
  </r>
  <r>
    <n v="2648"/>
    <x v="62"/>
    <n v="3"/>
    <x v="10"/>
    <x v="0"/>
    <x v="0"/>
    <m/>
    <m/>
    <n v="60"/>
    <m/>
    <s v="M"/>
    <m/>
    <d v="1899-12-30T00:37:00"/>
    <s v="12:24"/>
    <s v="CSj"/>
    <m/>
    <s v="20140813 NCollin"/>
    <s v="20140814 HReider"/>
    <s v="x"/>
    <s v="x"/>
    <s v="na"/>
    <s v="FWL"/>
    <s v="na"/>
    <s v="na"/>
    <s v="na"/>
    <s v="na"/>
    <s v="na"/>
    <s v="na"/>
    <s v="na"/>
    <s v="na"/>
  </r>
  <r>
    <n v="2649"/>
    <x v="62"/>
    <n v="3"/>
    <x v="12"/>
    <x v="0"/>
    <x v="0"/>
    <m/>
    <m/>
    <n v="48"/>
    <m/>
    <s v="F"/>
    <m/>
    <d v="1899-12-30T00:23:00"/>
    <s v="12:25"/>
    <s v="CSj"/>
    <m/>
    <s v="20140813 NCollin"/>
    <s v="20140814 HReider"/>
    <s v="x"/>
    <s v="x"/>
    <s v="na"/>
    <s v="FWL"/>
    <s v="na"/>
    <s v="na"/>
    <s v="na"/>
    <s v="na"/>
    <s v="na"/>
    <s v="na"/>
    <s v="na"/>
    <s v="na"/>
  </r>
  <r>
    <n v="2650"/>
    <x v="62"/>
    <n v="3"/>
    <x v="13"/>
    <x v="0"/>
    <x v="14"/>
    <n v="87"/>
    <s v="72 CO"/>
    <n v="58"/>
    <m/>
    <s v="U"/>
    <m/>
    <d v="1899-12-30T00:51:00"/>
    <s v="12:28"/>
    <s v="CSj"/>
    <m/>
    <s v="20140813 NCollin"/>
    <s v="20140814 HReider"/>
    <s v="x"/>
    <n v="151.32499999999999"/>
    <s v="na"/>
    <s v="FWL"/>
    <s v="na"/>
    <s v="na"/>
    <s v="F1840"/>
    <s v="na"/>
    <s v="na"/>
    <s v="na"/>
    <s v="na"/>
    <s v="na"/>
  </r>
  <r>
    <n v="2651"/>
    <x v="62"/>
    <n v="3"/>
    <x v="13"/>
    <x v="0"/>
    <x v="15"/>
    <n v="11"/>
    <s v="73 CO"/>
    <n v="52"/>
    <m/>
    <s v="U"/>
    <m/>
    <d v="1899-12-30T01:07:00"/>
    <s v="13:14"/>
    <s v="NC"/>
    <s v="F266."/>
    <s v="20140813 NCollin"/>
    <s v="20140814 HReider"/>
    <s v="x"/>
    <n v="151.26599999999999"/>
    <s v="na"/>
    <s v="FWL"/>
    <s v="na"/>
    <s v="na"/>
    <s v="F1840"/>
    <s v="na"/>
    <s v="na"/>
    <s v="na"/>
    <s v="na"/>
    <s v="na"/>
  </r>
  <r>
    <n v="2652"/>
    <x v="62"/>
    <n v="3"/>
    <x v="10"/>
    <x v="0"/>
    <x v="0"/>
    <m/>
    <m/>
    <n v="54"/>
    <m/>
    <s v="F"/>
    <m/>
    <d v="1899-12-30T00:26:00"/>
    <s v="13:12"/>
    <s v="NC"/>
    <m/>
    <s v="20140813 NCollin"/>
    <s v="20140814 HReider"/>
    <s v="x"/>
    <s v="x"/>
    <s v="na"/>
    <s v="FWL"/>
    <s v="na"/>
    <s v="na"/>
    <s v="na"/>
    <s v="na"/>
    <s v="na"/>
    <s v="na"/>
    <s v="na"/>
    <s v="na"/>
  </r>
  <r>
    <n v="2653"/>
    <x v="62"/>
    <n v="3"/>
    <x v="13"/>
    <x v="0"/>
    <x v="0"/>
    <m/>
    <m/>
    <n v="45"/>
    <m/>
    <s v="U"/>
    <m/>
    <d v="1899-12-30T00:35:00"/>
    <s v="13:16"/>
    <s v="NC"/>
    <s v="Net scrapes, beat up, no tag"/>
    <s v="20140813 NCollin"/>
    <s v="20140814 HReider"/>
    <s v="x"/>
    <s v="x"/>
    <s v="na"/>
    <s v="FWL"/>
    <s v="na"/>
    <s v="na"/>
    <s v="na"/>
    <s v="na"/>
    <s v="na"/>
    <s v="na"/>
    <s v="na"/>
    <s v="na"/>
  </r>
  <r>
    <n v="2654"/>
    <x v="62"/>
    <n v="3"/>
    <x v="10"/>
    <x v="0"/>
    <x v="0"/>
    <m/>
    <m/>
    <n v="64"/>
    <m/>
    <s v="F"/>
    <m/>
    <d v="1899-12-30T00:22:00"/>
    <s v="15:41"/>
    <s v="QB"/>
    <m/>
    <s v="20140813 DJohnson"/>
    <s v="20140814 HReider"/>
    <s v="x"/>
    <s v="x"/>
    <s v="na"/>
    <s v="FWL"/>
    <s v="na"/>
    <s v="na"/>
    <s v="na"/>
    <s v="na"/>
    <s v="na"/>
    <s v="na"/>
    <s v="na"/>
    <s v="na"/>
  </r>
  <r>
    <n v="2655"/>
    <x v="62"/>
    <n v="3"/>
    <x v="10"/>
    <x v="0"/>
    <x v="0"/>
    <m/>
    <m/>
    <n v="63"/>
    <m/>
    <s v="M"/>
    <m/>
    <d v="1899-12-30T00:29:00"/>
    <s v="15:42"/>
    <s v="QB"/>
    <m/>
    <s v="20140813 DJohnson"/>
    <s v="20140814 HReider"/>
    <s v="x"/>
    <s v="x"/>
    <s v="na"/>
    <s v="FWL"/>
    <s v="na"/>
    <s v="na"/>
    <s v="na"/>
    <s v="na"/>
    <s v="na"/>
    <s v="na"/>
    <s v="na"/>
    <s v="na"/>
  </r>
  <r>
    <n v="2656"/>
    <x v="62"/>
    <n v="3"/>
    <x v="7"/>
    <x v="0"/>
    <x v="0"/>
    <m/>
    <m/>
    <n v="45"/>
    <m/>
    <s v="U"/>
    <m/>
    <d v="1899-12-30T00:20:00"/>
    <s v="16:46"/>
    <s v="QB"/>
    <s v="Large gash, decided not to tag"/>
    <s v="20140813 DJohnson"/>
    <s v="20140814 HReider"/>
    <s v="x"/>
    <s v="x"/>
    <s v="na"/>
    <s v="FWL"/>
    <s v="na"/>
    <s v="na"/>
    <s v="na"/>
    <s v="na"/>
    <s v="na"/>
    <s v="na"/>
    <s v="na"/>
    <s v="na"/>
  </r>
  <r>
    <n v="2657"/>
    <x v="62"/>
    <n v="3"/>
    <x v="10"/>
    <x v="0"/>
    <x v="0"/>
    <m/>
    <m/>
    <m/>
    <m/>
    <s v="U"/>
    <m/>
    <d v="1899-12-30T00:09:00"/>
    <s v="16:50"/>
    <s v="QB"/>
    <s v="Escaped while measuring, no MEF"/>
    <s v="20140813 DJohnson"/>
    <s v="20140814 HReider"/>
    <s v="x"/>
    <s v="x"/>
    <s v="na"/>
    <s v="FWL"/>
    <s v="na"/>
    <s v="na"/>
    <s v="na"/>
    <s v="na"/>
    <s v="na"/>
    <s v="na"/>
    <s v="na"/>
    <s v="na"/>
  </r>
  <r>
    <n v="2658"/>
    <x v="62"/>
    <n v="3"/>
    <x v="13"/>
    <x v="0"/>
    <x v="15"/>
    <n v="38"/>
    <s v="76 CO"/>
    <n v="54"/>
    <m/>
    <s v="U"/>
    <m/>
    <d v="1899-12-30T00:53:00"/>
    <s v="18:36"/>
    <s v="QB"/>
    <s v="F266."/>
    <s v="20140813 DJohnson"/>
    <s v="20140814 HReider"/>
    <s v="x"/>
    <n v="151.26599999999999"/>
    <s v="na"/>
    <s v="FWL"/>
    <s v="na"/>
    <s v="na"/>
    <s v="F1840"/>
    <s v="na"/>
    <s v="na"/>
    <s v="na"/>
    <s v="na"/>
    <s v="na"/>
  </r>
  <r>
    <n v="2659"/>
    <x v="62"/>
    <n v="3"/>
    <x v="1"/>
    <x v="0"/>
    <x v="0"/>
    <m/>
    <m/>
    <n v="67"/>
    <m/>
    <s v="M"/>
    <m/>
    <d v="1899-12-30T00:12:00"/>
    <s v="18:37"/>
    <s v="DJ"/>
    <s v="Spawned out, lethargic, red/black; deteriorating"/>
    <s v="20140813 DJohnson"/>
    <s v="20140814 HReider"/>
    <s v="x"/>
    <s v="x"/>
    <s v="na"/>
    <s v="FWL"/>
    <s v="na"/>
    <s v="na"/>
    <s v="na"/>
    <s v="na"/>
    <s v="na"/>
    <s v="na"/>
    <s v="na"/>
    <s v="na"/>
  </r>
  <r>
    <n v="2660"/>
    <x v="62"/>
    <n v="3"/>
    <x v="10"/>
    <x v="0"/>
    <x v="0"/>
    <m/>
    <m/>
    <n v="56"/>
    <m/>
    <s v="F"/>
    <m/>
    <d v="1899-12-30T00:29:00"/>
    <s v="19:51"/>
    <s v="DJ"/>
    <m/>
    <s v="20140813 DJohnson"/>
    <s v="20140814 HReider"/>
    <s v="x"/>
    <s v="x"/>
    <s v="na"/>
    <s v="FWL"/>
    <s v="na"/>
    <s v="na"/>
    <s v="na"/>
    <s v="na"/>
    <s v="na"/>
    <s v="na"/>
    <s v="na"/>
    <s v="na"/>
  </r>
  <r>
    <n v="2661"/>
    <x v="63"/>
    <n v="1"/>
    <x v="10"/>
    <x v="0"/>
    <x v="11"/>
    <n v="90"/>
    <s v="165 CM"/>
    <n v="56"/>
    <m/>
    <s v="M"/>
    <d v="1899-12-30T08:10:00"/>
    <d v="1899-12-30T00:52:00"/>
    <s v="08:47"/>
    <s v="QB"/>
    <m/>
    <s v="20140814 QBerger"/>
    <s v="20140815 LAckein"/>
    <d v="1899-12-30T00:36:08"/>
    <n v="151.53399999999999"/>
    <s v="na"/>
    <s v="FWL"/>
    <s v="na"/>
    <s v="na"/>
    <s v="F1840"/>
    <s v="na"/>
    <s v="na"/>
    <s v="na"/>
    <s v="na"/>
    <s v="na"/>
  </r>
  <r>
    <n v="2662"/>
    <x v="63"/>
    <n v="1"/>
    <x v="7"/>
    <x v="0"/>
    <x v="10"/>
    <n v="27"/>
    <s v="172 S"/>
    <n v="49"/>
    <m/>
    <s v="U"/>
    <m/>
    <d v="1899-12-30T00:51:00"/>
    <s v="08:51"/>
    <s v="QB"/>
    <m/>
    <s v="20140814 QBerger"/>
    <s v="20140815 LAckein"/>
    <s v="x"/>
    <n v="151.58600000000001"/>
    <s v="na"/>
    <s v="FWL"/>
    <s v="na"/>
    <s v="na"/>
    <s v="F1840"/>
    <s v="na"/>
    <s v="na"/>
    <s v="na"/>
    <s v="na"/>
    <s v="na"/>
  </r>
  <r>
    <n v="2663"/>
    <x v="63"/>
    <n v="1"/>
    <x v="12"/>
    <x v="0"/>
    <x v="12"/>
    <n v="69"/>
    <s v="191 P"/>
    <n v="47"/>
    <m/>
    <s v="M"/>
    <d v="1899-12-30T09:07:00"/>
    <d v="1899-12-30T00:56:00"/>
    <s v="09:09"/>
    <s v="NC"/>
    <m/>
    <s v="20140814 QBerger"/>
    <s v="20140815 LAckein"/>
    <d v="1899-12-30T00:01:04"/>
    <n v="151.596"/>
    <s v="na"/>
    <s v="FWL"/>
    <s v="na"/>
    <s v="na"/>
    <s v="F1835"/>
    <s v="na"/>
    <s v="na"/>
    <s v="na"/>
    <s v="na"/>
    <s v="na"/>
  </r>
  <r>
    <n v="2664"/>
    <x v="63"/>
    <n v="1"/>
    <x v="12"/>
    <x v="0"/>
    <x v="0"/>
    <m/>
    <m/>
    <n v="50"/>
    <m/>
    <s v="M"/>
    <d v="1899-12-30T09:03:00"/>
    <d v="1899-12-30T00:32:00"/>
    <s v="09:07"/>
    <s v="NC"/>
    <m/>
    <s v="20140814 QBerger"/>
    <s v="20140815 LAckein"/>
    <d v="1899-12-30T00:03:28"/>
    <s v="x"/>
    <s v="na"/>
    <s v="FWL"/>
    <s v="na"/>
    <s v="na"/>
    <s v="na"/>
    <s v="na"/>
    <s v="na"/>
    <s v="na"/>
    <s v="na"/>
    <s v="na"/>
  </r>
  <r>
    <n v="2665"/>
    <x v="63"/>
    <n v="1"/>
    <x v="10"/>
    <x v="0"/>
    <x v="0"/>
    <m/>
    <m/>
    <n v="59"/>
    <m/>
    <s v="M"/>
    <d v="1899-12-30T09:11:00"/>
    <d v="1899-12-30T00:26:00"/>
    <s v="09:12"/>
    <s v="NC"/>
    <m/>
    <s v="20140814 QBerger"/>
    <s v="20140815 LAckein"/>
    <d v="1899-12-30T00:00:34"/>
    <s v="x"/>
    <s v="na"/>
    <s v="FWL"/>
    <s v="na"/>
    <s v="na"/>
    <s v="na"/>
    <s v="na"/>
    <s v="na"/>
    <s v="na"/>
    <s v="na"/>
    <s v="na"/>
  </r>
  <r>
    <n v="2666"/>
    <x v="63"/>
    <n v="1"/>
    <x v="13"/>
    <x v="0"/>
    <x v="15"/>
    <n v="6"/>
    <s v="85 CO"/>
    <n v="56"/>
    <m/>
    <s v="U"/>
    <m/>
    <d v="1899-12-30T01:05:00"/>
    <s v="10:27"/>
    <s v="QB"/>
    <s v="F266."/>
    <s v="20140814 QBerger"/>
    <s v="20140815 LAckein"/>
    <s v="x"/>
    <n v="151.26599999999999"/>
    <s v="na"/>
    <s v="FWL"/>
    <s v="na"/>
    <s v="na"/>
    <s v="F1840"/>
    <s v="na"/>
    <s v="na"/>
    <s v="na"/>
    <s v="na"/>
    <s v="na"/>
  </r>
  <r>
    <n v="2667"/>
    <x v="63"/>
    <n v="1"/>
    <x v="12"/>
    <x v="0"/>
    <x v="0"/>
    <m/>
    <m/>
    <n v="44"/>
    <m/>
    <s v="F"/>
    <m/>
    <d v="1899-12-30T00:18:00"/>
    <s v="10:30"/>
    <s v="QB"/>
    <m/>
    <s v="20140814 QBerger"/>
    <s v="20140815 LAckein"/>
    <s v="x"/>
    <s v="x"/>
    <s v="na"/>
    <s v="FWL"/>
    <s v="na"/>
    <s v="na"/>
    <s v="na"/>
    <s v="na"/>
    <s v="na"/>
    <s v="na"/>
    <s v="na"/>
    <s v="na"/>
  </r>
  <r>
    <n v="2668"/>
    <x v="63"/>
    <n v="1"/>
    <x v="12"/>
    <x v="0"/>
    <x v="0"/>
    <m/>
    <m/>
    <n v="45"/>
    <m/>
    <s v="F"/>
    <m/>
    <d v="1899-12-30T00:21:00"/>
    <s v="10:33"/>
    <s v="QB"/>
    <m/>
    <s v="20140814 QBerger"/>
    <s v="20140815 LAckein"/>
    <s v="x"/>
    <s v="x"/>
    <s v="na"/>
    <s v="FWL"/>
    <s v="na"/>
    <s v="na"/>
    <s v="na"/>
    <s v="na"/>
    <s v="na"/>
    <s v="na"/>
    <s v="na"/>
    <s v="na"/>
  </r>
  <r>
    <n v="2669"/>
    <x v="63"/>
    <n v="1"/>
    <x v="12"/>
    <x v="0"/>
    <x v="0"/>
    <m/>
    <m/>
    <n v="47"/>
    <m/>
    <s v="F"/>
    <m/>
    <d v="1899-12-30T00:18:00"/>
    <s v="10:34"/>
    <s v="QB"/>
    <m/>
    <s v="20140814 QBerger"/>
    <s v="20140815 LAckein"/>
    <s v="x"/>
    <s v="x"/>
    <s v="na"/>
    <s v="FWL"/>
    <s v="na"/>
    <s v="na"/>
    <s v="na"/>
    <s v="na"/>
    <s v="na"/>
    <s v="na"/>
    <s v="na"/>
    <s v="na"/>
  </r>
  <r>
    <n v="2670"/>
    <x v="63"/>
    <n v="1"/>
    <x v="12"/>
    <x v="0"/>
    <x v="0"/>
    <m/>
    <m/>
    <n v="47"/>
    <m/>
    <s v="F"/>
    <m/>
    <d v="1899-12-30T00:22:00"/>
    <s v="10:35"/>
    <s v="QB"/>
    <m/>
    <s v="20140814 QBerger"/>
    <s v="20140815 LAckein"/>
    <s v="x"/>
    <s v="x"/>
    <s v="na"/>
    <s v="FWL"/>
    <s v="na"/>
    <s v="na"/>
    <s v="na"/>
    <s v="na"/>
    <s v="na"/>
    <s v="na"/>
    <s v="na"/>
    <s v="na"/>
  </r>
  <r>
    <n v="2671"/>
    <x v="63"/>
    <n v="1"/>
    <x v="10"/>
    <x v="0"/>
    <x v="0"/>
    <m/>
    <m/>
    <n v="55"/>
    <m/>
    <s v="U"/>
    <m/>
    <d v="1899-12-30T00:41:00"/>
    <s v="10:36"/>
    <s v="QB"/>
    <m/>
    <s v="20140814 QBerger"/>
    <s v="20140815 LAckein"/>
    <s v="x"/>
    <s v="x"/>
    <s v="na"/>
    <s v="FWL"/>
    <s v="na"/>
    <s v="na"/>
    <s v="na"/>
    <s v="na"/>
    <s v="na"/>
    <s v="na"/>
    <s v="na"/>
    <s v="na"/>
  </r>
  <r>
    <n v="2672"/>
    <x v="63"/>
    <n v="1"/>
    <x v="12"/>
    <x v="0"/>
    <x v="0"/>
    <m/>
    <m/>
    <n v="45"/>
    <m/>
    <s v="F"/>
    <m/>
    <d v="1899-12-30T00:22:00"/>
    <s v="12:19"/>
    <s v="NC"/>
    <m/>
    <s v="20140814 QBerger"/>
    <s v="20140815 LAckein"/>
    <s v="x"/>
    <s v="x"/>
    <s v="na"/>
    <s v="FWL"/>
    <s v="na"/>
    <s v="na"/>
    <s v="na"/>
    <s v="na"/>
    <s v="na"/>
    <s v="na"/>
    <s v="na"/>
    <s v="na"/>
  </r>
  <r>
    <n v="2673"/>
    <x v="63"/>
    <n v="1"/>
    <x v="10"/>
    <x v="0"/>
    <x v="0"/>
    <m/>
    <m/>
    <n v="58"/>
    <m/>
    <s v="M"/>
    <m/>
    <d v="1899-12-30T00:32:00"/>
    <s v="12:21"/>
    <s v="NC"/>
    <m/>
    <s v="20140814 QBerger"/>
    <s v="20140815 LAckein"/>
    <s v="x"/>
    <s v="x"/>
    <s v="na"/>
    <s v="FWL"/>
    <s v="na"/>
    <s v="na"/>
    <s v="na"/>
    <s v="na"/>
    <s v="na"/>
    <s v="na"/>
    <s v="na"/>
    <s v="na"/>
  </r>
  <r>
    <n v="2674"/>
    <x v="63"/>
    <n v="1"/>
    <x v="12"/>
    <x v="0"/>
    <x v="0"/>
    <m/>
    <m/>
    <n v="46"/>
    <m/>
    <s v="F"/>
    <m/>
    <d v="1899-12-30T00:31:00"/>
    <s v="12:22"/>
    <s v="NC"/>
    <m/>
    <s v="20140814 QBerger"/>
    <s v="20140815 LAckein"/>
    <s v="x"/>
    <s v="x"/>
    <s v="na"/>
    <s v="FWL"/>
    <s v="na"/>
    <s v="na"/>
    <s v="na"/>
    <s v="na"/>
    <s v="na"/>
    <s v="na"/>
    <s v="na"/>
    <s v="na"/>
  </r>
  <r>
    <n v="2675"/>
    <x v="63"/>
    <n v="1"/>
    <x v="13"/>
    <x v="0"/>
    <x v="15"/>
    <n v="64"/>
    <s v="86 CO"/>
    <n v="55"/>
    <m/>
    <s v="U"/>
    <m/>
    <d v="1899-12-30T01:02:00"/>
    <s v="12:27"/>
    <s v="NC"/>
    <s v="F266."/>
    <s v="20140814 QBerger"/>
    <s v="20140815 LAckein"/>
    <s v="x"/>
    <n v="151.26599999999999"/>
    <s v="na"/>
    <s v="FWL"/>
    <s v="na"/>
    <s v="na"/>
    <s v="F1840"/>
    <s v="na"/>
    <s v="na"/>
    <s v="na"/>
    <s v="na"/>
    <s v="na"/>
  </r>
  <r>
    <n v="2676"/>
    <x v="63"/>
    <n v="1"/>
    <x v="12"/>
    <x v="0"/>
    <x v="0"/>
    <m/>
    <m/>
    <n v="45"/>
    <m/>
    <s v="F"/>
    <m/>
    <d v="1899-12-30T00:24:00"/>
    <s v="12:30"/>
    <s v="NC"/>
    <m/>
    <s v="20140814 QBerger"/>
    <s v="20140815 LAckein"/>
    <s v="x"/>
    <s v="x"/>
    <s v="na"/>
    <s v="FWL"/>
    <s v="na"/>
    <s v="na"/>
    <s v="na"/>
    <s v="na"/>
    <s v="na"/>
    <s v="na"/>
    <s v="na"/>
    <s v="na"/>
  </r>
  <r>
    <n v="2677"/>
    <x v="63"/>
    <n v="1"/>
    <x v="12"/>
    <x v="0"/>
    <x v="0"/>
    <m/>
    <m/>
    <n v="45"/>
    <m/>
    <s v="F"/>
    <m/>
    <d v="1899-12-30T00:21:00"/>
    <s v="12:31"/>
    <s v="NC"/>
    <m/>
    <s v="20140814 QBerger"/>
    <s v="20140815 LAckein"/>
    <s v="x"/>
    <s v="x"/>
    <s v="na"/>
    <s v="FWL"/>
    <s v="na"/>
    <s v="na"/>
    <s v="na"/>
    <s v="na"/>
    <s v="na"/>
    <s v="na"/>
    <s v="na"/>
    <s v="na"/>
  </r>
  <r>
    <n v="2678"/>
    <x v="63"/>
    <n v="1"/>
    <x v="12"/>
    <x v="0"/>
    <x v="0"/>
    <m/>
    <m/>
    <n v="43"/>
    <m/>
    <s v="F"/>
    <m/>
    <d v="1899-12-30T00:26:00"/>
    <s v="12:32"/>
    <s v="NC"/>
    <m/>
    <s v="20140814 QBerger"/>
    <s v="20140815 LAckein"/>
    <s v="x"/>
    <s v="x"/>
    <s v="na"/>
    <s v="FWL"/>
    <s v="na"/>
    <s v="na"/>
    <s v="na"/>
    <s v="na"/>
    <s v="na"/>
    <s v="na"/>
    <s v="na"/>
    <s v="na"/>
  </r>
  <r>
    <n v="2679"/>
    <x v="63"/>
    <n v="1"/>
    <x v="10"/>
    <x v="0"/>
    <x v="0"/>
    <m/>
    <m/>
    <n v="59"/>
    <m/>
    <s v="M"/>
    <m/>
    <d v="1899-12-30T00:29:00"/>
    <s v="12:33"/>
    <s v="NC"/>
    <m/>
    <s v="20140814 QBerger"/>
    <s v="20140815 LAckein"/>
    <s v="x"/>
    <s v="x"/>
    <s v="na"/>
    <s v="FWL"/>
    <s v="na"/>
    <s v="na"/>
    <s v="na"/>
    <s v="na"/>
    <s v="na"/>
    <s v="na"/>
    <s v="na"/>
    <s v="na"/>
  </r>
  <r>
    <n v="2680"/>
    <x v="63"/>
    <n v="1"/>
    <x v="10"/>
    <x v="0"/>
    <x v="0"/>
    <m/>
    <m/>
    <n v="51"/>
    <m/>
    <s v="M"/>
    <m/>
    <d v="1899-12-30T00:36:00"/>
    <s v="12:34"/>
    <s v="NC"/>
    <m/>
    <s v="20140814 QBerger"/>
    <s v="20140815 LAckein"/>
    <s v="x"/>
    <s v="x"/>
    <s v="na"/>
    <s v="FWL"/>
    <s v="na"/>
    <s v="na"/>
    <s v="na"/>
    <s v="na"/>
    <s v="na"/>
    <s v="na"/>
    <s v="na"/>
    <s v="na"/>
  </r>
  <r>
    <n v="2681"/>
    <x v="63"/>
    <n v="1"/>
    <x v="13"/>
    <x v="0"/>
    <x v="0"/>
    <m/>
    <m/>
    <n v="54"/>
    <m/>
    <s v="M"/>
    <m/>
    <d v="1899-12-30T00:49:00"/>
    <s v="12:38"/>
    <s v="NC"/>
    <m/>
    <s v="20140814 NCollin"/>
    <s v="20140815 LAckein"/>
    <s v="x"/>
    <s v="x"/>
    <s v="na"/>
    <s v="FWL"/>
    <s v="na"/>
    <s v="na"/>
    <s v="na"/>
    <s v="na"/>
    <s v="na"/>
    <s v="na"/>
    <s v="na"/>
    <s v="na"/>
  </r>
  <r>
    <n v="2682"/>
    <x v="63"/>
    <n v="1"/>
    <x v="13"/>
    <x v="0"/>
    <x v="0"/>
    <m/>
    <m/>
    <n v="50"/>
    <m/>
    <s v="U"/>
    <m/>
    <d v="1899-12-30T00:26:00"/>
    <s v="12:40"/>
    <s v="NC"/>
    <s v="Old gash on left side"/>
    <s v="20140814 NCollin"/>
    <s v="20140815 LAckein"/>
    <s v="x"/>
    <s v="x"/>
    <s v="na"/>
    <s v="FWL"/>
    <s v="na"/>
    <s v="na"/>
    <s v="na"/>
    <s v="na"/>
    <s v="na"/>
    <s v="na"/>
    <s v="na"/>
    <s v="na"/>
  </r>
  <r>
    <n v="2683"/>
    <x v="63"/>
    <n v="1"/>
    <x v="12"/>
    <x v="0"/>
    <x v="0"/>
    <m/>
    <m/>
    <n v="43"/>
    <m/>
    <s v="F"/>
    <m/>
    <d v="1899-12-30T00:34:00"/>
    <s v="12:41"/>
    <s v="NC"/>
    <m/>
    <s v="20140814 NCollin"/>
    <s v="20140815 LAckein"/>
    <s v="x"/>
    <s v="x"/>
    <s v="na"/>
    <s v="FWL"/>
    <s v="na"/>
    <s v="na"/>
    <s v="na"/>
    <s v="na"/>
    <s v="na"/>
    <s v="na"/>
    <s v="na"/>
    <s v="na"/>
  </r>
  <r>
    <n v="2684"/>
    <x v="63"/>
    <n v="1"/>
    <x v="12"/>
    <x v="0"/>
    <x v="0"/>
    <m/>
    <m/>
    <n v="40"/>
    <m/>
    <s v="M"/>
    <m/>
    <d v="1899-12-30T00:30:00"/>
    <s v="12:43"/>
    <s v="NC"/>
    <m/>
    <s v="20140814 NCollin"/>
    <s v="20140815 LAckein"/>
    <s v="x"/>
    <s v="x"/>
    <s v="na"/>
    <s v="FWL"/>
    <s v="na"/>
    <s v="na"/>
    <s v="na"/>
    <s v="na"/>
    <s v="na"/>
    <s v="na"/>
    <s v="na"/>
    <s v="na"/>
  </r>
  <r>
    <n v="2685"/>
    <x v="63"/>
    <n v="1"/>
    <x v="10"/>
    <x v="0"/>
    <x v="0"/>
    <m/>
    <m/>
    <n v="58"/>
    <m/>
    <s v="M"/>
    <m/>
    <d v="1899-12-30T00:39:00"/>
    <s v="12:44"/>
    <s v="NC"/>
    <s v="Gouge like wound near belly"/>
    <s v="20140814 NCollin"/>
    <s v="20140815 LAckein"/>
    <s v="x"/>
    <s v="x"/>
    <s v="na"/>
    <s v="FWL"/>
    <s v="na"/>
    <s v="na"/>
    <s v="na"/>
    <s v="na"/>
    <s v="na"/>
    <s v="na"/>
    <s v="na"/>
    <s v="na"/>
  </r>
  <r>
    <n v="2686"/>
    <x v="63"/>
    <n v="1"/>
    <x v="12"/>
    <x v="0"/>
    <x v="0"/>
    <m/>
    <m/>
    <n v="44"/>
    <m/>
    <s v="F"/>
    <m/>
    <d v="1899-12-30T00:28:00"/>
    <s v="13:04"/>
    <s v="NC"/>
    <m/>
    <s v="20140814 NCollin"/>
    <s v="20140815 LAckein"/>
    <s v="x"/>
    <s v="x"/>
    <s v="na"/>
    <s v="FWL"/>
    <s v="na"/>
    <s v="na"/>
    <s v="na"/>
    <s v="na"/>
    <s v="na"/>
    <s v="na"/>
    <s v="na"/>
    <s v="na"/>
  </r>
  <r>
    <n v="2687"/>
    <x v="63"/>
    <n v="1"/>
    <x v="10"/>
    <x v="0"/>
    <x v="0"/>
    <m/>
    <m/>
    <n v="49"/>
    <m/>
    <s v="F"/>
    <d v="1899-12-30T13:05:00"/>
    <d v="1899-12-30T00:26:00"/>
    <s v="13:07"/>
    <s v="NC"/>
    <m/>
    <s v="20140814 NCollin"/>
    <s v="20140815 LAckein"/>
    <d v="1899-12-30T00:01:34"/>
    <s v="x"/>
    <s v="na"/>
    <s v="FWL"/>
    <s v="na"/>
    <s v="na"/>
    <s v="na"/>
    <s v="na"/>
    <s v="na"/>
    <s v="na"/>
    <s v="na"/>
    <s v="na"/>
  </r>
  <r>
    <n v="2688"/>
    <x v="63"/>
    <n v="1"/>
    <x v="12"/>
    <x v="0"/>
    <x v="0"/>
    <m/>
    <m/>
    <n v="43"/>
    <m/>
    <s v="F"/>
    <m/>
    <d v="1899-12-30T01:05:00"/>
    <s v="13:09"/>
    <s v="NC"/>
    <m/>
    <s v="20140814 NCollin"/>
    <s v="20140815 LAckein"/>
    <s v="x"/>
    <s v="x"/>
    <s v="na"/>
    <s v="FWL"/>
    <s v="na"/>
    <s v="na"/>
    <s v="na"/>
    <s v="na"/>
    <s v="na"/>
    <s v="na"/>
    <s v="na"/>
    <s v="na"/>
  </r>
  <r>
    <n v="2689"/>
    <x v="63"/>
    <n v="1"/>
    <x v="10"/>
    <x v="0"/>
    <x v="0"/>
    <m/>
    <m/>
    <n v="60"/>
    <m/>
    <s v="F"/>
    <m/>
    <d v="1899-12-30T00:29:00"/>
    <s v="13:25"/>
    <s v="QB"/>
    <m/>
    <s v="20140814 NCollin"/>
    <s v="20140815 LAckein"/>
    <s v="x"/>
    <s v="x"/>
    <s v="na"/>
    <s v="FWL"/>
    <s v="na"/>
    <s v="na"/>
    <s v="na"/>
    <s v="na"/>
    <s v="na"/>
    <s v="na"/>
    <s v="na"/>
    <s v="na"/>
  </r>
  <r>
    <n v="2690"/>
    <x v="63"/>
    <n v="1"/>
    <x v="10"/>
    <x v="0"/>
    <x v="0"/>
    <m/>
    <m/>
    <n v="56"/>
    <m/>
    <s v="F"/>
    <m/>
    <d v="1899-12-30T00:26:00"/>
    <s v="13:27"/>
    <s v="QB"/>
    <m/>
    <s v="20140814 NCollin"/>
    <s v="20140815 LAckein"/>
    <s v="x"/>
    <s v="x"/>
    <s v="na"/>
    <s v="FWL"/>
    <s v="na"/>
    <s v="na"/>
    <s v="na"/>
    <s v="na"/>
    <s v="na"/>
    <s v="na"/>
    <s v="na"/>
    <s v="na"/>
  </r>
  <r>
    <n v="2691"/>
    <x v="63"/>
    <n v="1"/>
    <x v="10"/>
    <x v="0"/>
    <x v="0"/>
    <m/>
    <m/>
    <n v="54"/>
    <m/>
    <s v="M"/>
    <m/>
    <d v="1899-12-30T00:25:00"/>
    <s v="13:57"/>
    <s v="QB"/>
    <m/>
    <s v="20140814 NCollin"/>
    <s v="20140815 LAckein"/>
    <s v="x"/>
    <s v="x"/>
    <s v="na"/>
    <s v="FWL"/>
    <s v="na"/>
    <s v="na"/>
    <s v="na"/>
    <s v="na"/>
    <s v="na"/>
    <s v="na"/>
    <s v="na"/>
    <s v="na"/>
  </r>
  <r>
    <n v="2692"/>
    <x v="63"/>
    <n v="1"/>
    <x v="10"/>
    <x v="0"/>
    <x v="0"/>
    <m/>
    <m/>
    <n v="60"/>
    <m/>
    <s v="F"/>
    <m/>
    <d v="1899-12-30T00:23:00"/>
    <s v="13:58"/>
    <s v="QB"/>
    <m/>
    <s v="20140814 NCollin"/>
    <s v="20140815 LAckein"/>
    <s v="x"/>
    <s v="x"/>
    <s v="na"/>
    <s v="FWL"/>
    <s v="na"/>
    <s v="na"/>
    <s v="na"/>
    <s v="na"/>
    <s v="na"/>
    <s v="na"/>
    <s v="na"/>
    <s v="na"/>
  </r>
  <r>
    <n v="2693"/>
    <x v="63"/>
    <n v="1"/>
    <x v="10"/>
    <x v="0"/>
    <x v="0"/>
    <m/>
    <m/>
    <n v="64"/>
    <m/>
    <s v="M"/>
    <m/>
    <d v="1899-12-30T00:32:00"/>
    <s v="14:02"/>
    <s v="QB"/>
    <m/>
    <s v="20140814 NCollin"/>
    <s v="20140815 LAckein"/>
    <s v="x"/>
    <s v="x"/>
    <s v="na"/>
    <s v="FWL"/>
    <s v="na"/>
    <s v="na"/>
    <s v="na"/>
    <s v="na"/>
    <s v="na"/>
    <s v="na"/>
    <s v="na"/>
    <s v="na"/>
  </r>
  <r>
    <n v="2694"/>
    <x v="63"/>
    <n v="1"/>
    <x v="10"/>
    <x v="0"/>
    <x v="0"/>
    <m/>
    <m/>
    <n v="58"/>
    <m/>
    <s v="M"/>
    <m/>
    <d v="1899-12-30T00:23:00"/>
    <s v="15:48"/>
    <s v="DJ"/>
    <m/>
    <s v="20140814 CSejkora"/>
    <s v="20140815 LAckein"/>
    <s v="x"/>
    <s v="x"/>
    <s v="na"/>
    <s v="FWL"/>
    <s v="na"/>
    <s v="na"/>
    <s v="na"/>
    <s v="na"/>
    <s v="na"/>
    <s v="na"/>
    <s v="na"/>
    <s v="na"/>
  </r>
  <r>
    <n v="2695"/>
    <x v="63"/>
    <n v="1"/>
    <x v="7"/>
    <x v="0"/>
    <x v="10"/>
    <n v="66"/>
    <s v="176 S"/>
    <n v="58"/>
    <m/>
    <s v="M"/>
    <m/>
    <d v="1899-12-30T01:07:00"/>
    <s v="16:00"/>
    <s v="DJ"/>
    <m/>
    <s v="20140814 CSejkora"/>
    <s v="20140815 LAckein"/>
    <s v="x"/>
    <n v="151.58600000000001"/>
    <s v="na"/>
    <s v="FWL"/>
    <s v="na"/>
    <s v="na"/>
    <s v="F1840"/>
    <s v="na"/>
    <s v="na"/>
    <s v="na"/>
    <s v="na"/>
    <s v="na"/>
  </r>
  <r>
    <n v="2696"/>
    <x v="63"/>
    <n v="1"/>
    <x v="10"/>
    <x v="0"/>
    <x v="0"/>
    <m/>
    <m/>
    <n v="52"/>
    <m/>
    <s v="M"/>
    <m/>
    <d v="1899-12-30T00:19:00"/>
    <s v="16:01"/>
    <s v="DJ"/>
    <m/>
    <s v="20140814 CSejkora"/>
    <s v="20140815 LAckein"/>
    <s v="x"/>
    <s v="x"/>
    <s v="na"/>
    <s v="FWL"/>
    <s v="na"/>
    <s v="na"/>
    <s v="na"/>
    <s v="na"/>
    <s v="na"/>
    <s v="na"/>
    <s v="na"/>
    <s v="na"/>
  </r>
  <r>
    <n v="2697"/>
    <x v="63"/>
    <n v="1"/>
    <x v="13"/>
    <x v="0"/>
    <x v="14"/>
    <n v="53"/>
    <s v="87 CO"/>
    <n v="56"/>
    <m/>
    <s v="U"/>
    <m/>
    <d v="1899-12-30T00:53:00"/>
    <s v="16:27"/>
    <s v="DJ"/>
    <m/>
    <s v="20140814 CSejkora"/>
    <s v="20140815 LAckein"/>
    <s v="x"/>
    <n v="151.32499999999999"/>
    <s v="na"/>
    <s v="FWL"/>
    <s v="na"/>
    <s v="na"/>
    <s v="F1840"/>
    <s v="na"/>
    <s v="na"/>
    <s v="na"/>
    <s v="na"/>
    <s v="na"/>
  </r>
  <r>
    <n v="2698"/>
    <x v="63"/>
    <n v="1"/>
    <x v="13"/>
    <x v="0"/>
    <x v="15"/>
    <n v="13"/>
    <s v="88 CO"/>
    <n v="53"/>
    <m/>
    <s v="M"/>
    <m/>
    <d v="1899-12-30T00:57:00"/>
    <s v="16:31"/>
    <s v="DJ"/>
    <s v="F266."/>
    <s v="20140814 CSejkora"/>
    <s v="20140815 LAckein"/>
    <s v="x"/>
    <n v="151.26599999999999"/>
    <s v="na"/>
    <s v="FWL"/>
    <s v="na"/>
    <s v="na"/>
    <s v="F1840"/>
    <s v="na"/>
    <s v="na"/>
    <s v="na"/>
    <s v="na"/>
    <s v="na"/>
  </r>
  <r>
    <n v="2699"/>
    <x v="63"/>
    <n v="1"/>
    <x v="4"/>
    <x v="1"/>
    <x v="0"/>
    <m/>
    <m/>
    <n v="34"/>
    <m/>
    <s v="M"/>
    <m/>
    <d v="1899-12-30T00:37:00"/>
    <s v="16:32"/>
    <s v="CSj"/>
    <s v="spawned out"/>
    <s v="20140814 CSejkora"/>
    <s v="20140815 LAckein"/>
    <s v="x"/>
    <s v="x"/>
    <s v="na"/>
    <s v="FWL"/>
    <s v="na"/>
    <s v="na"/>
    <s v="na"/>
    <s v="na"/>
    <s v="na"/>
    <s v="na"/>
    <s v="na"/>
    <s v="na"/>
  </r>
  <r>
    <n v="2700"/>
    <x v="63"/>
    <n v="1"/>
    <x v="13"/>
    <x v="0"/>
    <x v="14"/>
    <n v="66"/>
    <s v="89 CO"/>
    <n v="58"/>
    <m/>
    <s v="M"/>
    <m/>
    <d v="1899-12-30T01:10:00"/>
    <s v="17:00"/>
    <s v="CSj"/>
    <m/>
    <s v="20140814 CSejkora"/>
    <s v="20140815 LAckein"/>
    <s v="x"/>
    <n v="151.32499999999999"/>
    <s v="na"/>
    <s v="FWL"/>
    <s v="na"/>
    <s v="na"/>
    <s v="F1840"/>
    <s v="na"/>
    <s v="na"/>
    <s v="na"/>
    <s v="na"/>
    <s v="na"/>
  </r>
  <r>
    <n v="2701"/>
    <x v="63"/>
    <n v="1"/>
    <x v="13"/>
    <x v="0"/>
    <x v="11"/>
    <n v="91"/>
    <s v="90 CO"/>
    <n v="54"/>
    <m/>
    <s v="M"/>
    <d v="1899-12-30T18:03:00"/>
    <d v="1899-12-30T00:52:00"/>
    <s v="18:10"/>
    <s v="DJ"/>
    <m/>
    <s v="20140814 CSejkora"/>
    <s v="20140815 LAckein"/>
    <d v="1899-12-30T00:06:08"/>
    <n v="151.53399999999999"/>
    <s v="na"/>
    <s v="FWL"/>
    <s v="na"/>
    <s v="na"/>
    <s v="F1840"/>
    <s v="na"/>
    <s v="na"/>
    <s v="na"/>
    <s v="na"/>
    <s v="na"/>
  </r>
  <r>
    <n v="2702"/>
    <x v="63"/>
    <n v="1"/>
    <x v="13"/>
    <x v="0"/>
    <x v="0"/>
    <m/>
    <m/>
    <n v="54"/>
    <m/>
    <s v="M"/>
    <m/>
    <d v="1899-12-30T00:11:00"/>
    <s v="20:05"/>
    <s v="DJ"/>
    <m/>
    <s v="20140814 CSejkora"/>
    <s v="20140815 LAckein"/>
    <s v="x"/>
    <s v="x"/>
    <s v="na"/>
    <s v="FWL"/>
    <s v="na"/>
    <s v="na"/>
    <s v="na"/>
    <s v="na"/>
    <s v="na"/>
    <s v="na"/>
    <s v="na"/>
    <s v="na"/>
  </r>
  <r>
    <n v="2703"/>
    <x v="63"/>
    <n v="2"/>
    <x v="13"/>
    <x v="0"/>
    <x v="14"/>
    <n v="29"/>
    <s v="80 CO"/>
    <n v="55"/>
    <m/>
    <s v="U"/>
    <m/>
    <d v="1899-12-30T01:08:00"/>
    <s v="09:26"/>
    <s v="QB"/>
    <m/>
    <s v="20140814 NCollin"/>
    <s v="20140815 LAckein"/>
    <s v="x"/>
    <n v="151.32499999999999"/>
    <s v="na"/>
    <s v="FWL"/>
    <s v="na"/>
    <s v="na"/>
    <s v="F1840"/>
    <s v="na"/>
    <s v="na"/>
    <s v="na"/>
    <s v="na"/>
    <s v="na"/>
  </r>
  <r>
    <n v="2704"/>
    <x v="63"/>
    <n v="2"/>
    <x v="10"/>
    <x v="0"/>
    <x v="0"/>
    <m/>
    <m/>
    <n v="56"/>
    <m/>
    <s v="F"/>
    <m/>
    <d v="1899-12-30T00:22:00"/>
    <s v="10:13"/>
    <s v="QB"/>
    <m/>
    <s v="20140814 NCollin"/>
    <s v="20140815 LAckein"/>
    <s v="x"/>
    <s v="x"/>
    <s v="na"/>
    <s v="FWL"/>
    <s v="na"/>
    <s v="na"/>
    <s v="na"/>
    <s v="na"/>
    <s v="na"/>
    <s v="na"/>
    <s v="na"/>
    <s v="na"/>
  </r>
  <r>
    <n v="2705"/>
    <x v="63"/>
    <n v="2"/>
    <x v="10"/>
    <x v="0"/>
    <x v="0"/>
    <m/>
    <m/>
    <n v="57"/>
    <m/>
    <s v="F"/>
    <m/>
    <d v="1899-12-30T00:30:00"/>
    <s v="12:00"/>
    <s v="QB"/>
    <m/>
    <s v="20140814 NCollin"/>
    <s v="20140815 LAckein"/>
    <s v="x"/>
    <s v="x"/>
    <s v="na"/>
    <s v="FWL"/>
    <s v="na"/>
    <s v="na"/>
    <s v="na"/>
    <s v="na"/>
    <s v="na"/>
    <s v="na"/>
    <s v="na"/>
    <s v="na"/>
  </r>
  <r>
    <n v="2706"/>
    <x v="63"/>
    <n v="2"/>
    <x v="10"/>
    <x v="0"/>
    <x v="0"/>
    <m/>
    <m/>
    <n v="58"/>
    <m/>
    <s v="F"/>
    <m/>
    <d v="1899-12-30T00:26:00"/>
    <s v="12:03"/>
    <s v="QB"/>
    <m/>
    <s v="20140814 NCollin"/>
    <s v="20140815 LAckein"/>
    <s v="x"/>
    <s v="x"/>
    <s v="na"/>
    <s v="FWL"/>
    <s v="na"/>
    <s v="na"/>
    <s v="na"/>
    <s v="na"/>
    <s v="na"/>
    <s v="na"/>
    <s v="na"/>
    <s v="na"/>
  </r>
  <r>
    <n v="2707"/>
    <x v="63"/>
    <n v="2"/>
    <x v="10"/>
    <x v="0"/>
    <x v="11"/>
    <n v="46"/>
    <s v="166 CM"/>
    <n v="65"/>
    <m/>
    <s v="U"/>
    <m/>
    <d v="1899-12-30T01:14:00"/>
    <s v="12:07"/>
    <s v="QB"/>
    <m/>
    <s v="20140814 NCollin"/>
    <s v="20140815 LAckein"/>
    <s v="x"/>
    <n v="151.53399999999999"/>
    <s v="na"/>
    <s v="FWL"/>
    <s v="na"/>
    <s v="na"/>
    <s v="F1840"/>
    <s v="na"/>
    <s v="na"/>
    <s v="na"/>
    <s v="na"/>
    <s v="na"/>
  </r>
  <r>
    <n v="2708"/>
    <x v="63"/>
    <n v="2"/>
    <x v="10"/>
    <x v="0"/>
    <x v="0"/>
    <m/>
    <m/>
    <n v="56"/>
    <m/>
    <s v="F"/>
    <m/>
    <d v="1899-12-30T00:41:00"/>
    <s v="13:45"/>
    <s v="QB"/>
    <m/>
    <s v="20140814 NCollin"/>
    <s v="20140815 LAckein"/>
    <s v="x"/>
    <s v="x"/>
    <s v="na"/>
    <s v="FWL"/>
    <s v="na"/>
    <s v="na"/>
    <s v="na"/>
    <s v="na"/>
    <s v="na"/>
    <s v="na"/>
    <s v="na"/>
    <s v="na"/>
  </r>
  <r>
    <n v="2709"/>
    <x v="63"/>
    <n v="2"/>
    <x v="10"/>
    <x v="0"/>
    <x v="0"/>
    <m/>
    <m/>
    <n v="60"/>
    <m/>
    <s v="M"/>
    <m/>
    <d v="1899-12-30T00:23:00"/>
    <s v="13:47"/>
    <s v="QB"/>
    <m/>
    <s v="20140814 NCollin"/>
    <s v="20140815 LAckein"/>
    <s v="x"/>
    <s v="x"/>
    <s v="na"/>
    <s v="FWL"/>
    <s v="na"/>
    <s v="na"/>
    <s v="na"/>
    <s v="na"/>
    <s v="na"/>
    <s v="na"/>
    <s v="na"/>
    <s v="na"/>
  </r>
  <r>
    <n v="2710"/>
    <x v="63"/>
    <n v="2"/>
    <x v="10"/>
    <x v="0"/>
    <x v="0"/>
    <m/>
    <m/>
    <n v="65"/>
    <m/>
    <s v="M"/>
    <m/>
    <d v="1899-12-30T00:24:00"/>
    <s v="14:47"/>
    <s v="DJ"/>
    <m/>
    <s v="20140814 DJohnson"/>
    <s v="20140815 LAckein"/>
    <s v="x"/>
    <s v="x"/>
    <s v="na"/>
    <s v="FWL"/>
    <s v="na"/>
    <s v="na"/>
    <s v="na"/>
    <s v="na"/>
    <s v="na"/>
    <s v="na"/>
    <s v="na"/>
    <s v="na"/>
  </r>
  <r>
    <n v="2711"/>
    <x v="63"/>
    <n v="2"/>
    <x v="10"/>
    <x v="0"/>
    <x v="0"/>
    <m/>
    <m/>
    <n v="60"/>
    <m/>
    <s v="M"/>
    <m/>
    <d v="1899-12-30T00:27:00"/>
    <s v="14:49"/>
    <s v="DJ"/>
    <m/>
    <s v="20140814 DJohnson"/>
    <s v="20140815 LAckein"/>
    <s v="x"/>
    <s v="x"/>
    <s v="na"/>
    <s v="FWL"/>
    <s v="na"/>
    <s v="na"/>
    <s v="na"/>
    <s v="na"/>
    <s v="na"/>
    <s v="na"/>
    <s v="na"/>
    <s v="na"/>
  </r>
  <r>
    <n v="2712"/>
    <x v="63"/>
    <n v="2"/>
    <x v="10"/>
    <x v="0"/>
    <x v="11"/>
    <n v="61"/>
    <s v="167 CM"/>
    <n v="57"/>
    <m/>
    <s v="M"/>
    <m/>
    <d v="1899-12-30T00:42:00"/>
    <s v="15:37"/>
    <s v="CSj"/>
    <m/>
    <s v="20140814 DJohnson"/>
    <s v="20140815 LAckein"/>
    <s v="x"/>
    <n v="151.53399999999999"/>
    <s v="na"/>
    <s v="FWL"/>
    <s v="na"/>
    <s v="na"/>
    <s v="F1840"/>
    <s v="na"/>
    <s v="na"/>
    <s v="na"/>
    <s v="na"/>
    <s v="na"/>
  </r>
  <r>
    <n v="2713"/>
    <x v="63"/>
    <n v="2"/>
    <x v="10"/>
    <x v="0"/>
    <x v="0"/>
    <m/>
    <m/>
    <n v="55"/>
    <m/>
    <s v="F"/>
    <m/>
    <d v="1899-12-30T00:24:00"/>
    <s v="15:34"/>
    <s v="CSj"/>
    <m/>
    <s v="20140814 DJohnson"/>
    <s v="20140815 LAckein"/>
    <s v="x"/>
    <s v="x"/>
    <s v="na"/>
    <s v="FWL"/>
    <s v="na"/>
    <s v="na"/>
    <s v="na"/>
    <s v="na"/>
    <s v="na"/>
    <s v="na"/>
    <s v="na"/>
    <s v="na"/>
  </r>
  <r>
    <n v="2714"/>
    <x v="63"/>
    <n v="2"/>
    <x v="12"/>
    <x v="0"/>
    <x v="0"/>
    <m/>
    <m/>
    <n v="45"/>
    <m/>
    <s v="F"/>
    <m/>
    <d v="1899-12-30T00:14:00"/>
    <s v="17:06"/>
    <s v="DJ"/>
    <m/>
    <s v="20140814 DJohnson"/>
    <s v="20140815 LAckein"/>
    <s v="x"/>
    <s v="x"/>
    <s v="na"/>
    <s v="FWL"/>
    <s v="na"/>
    <s v="na"/>
    <s v="na"/>
    <s v="na"/>
    <s v="na"/>
    <s v="na"/>
    <s v="na"/>
    <s v="na"/>
  </r>
  <r>
    <n v="2715"/>
    <x v="63"/>
    <n v="2"/>
    <x v="10"/>
    <x v="0"/>
    <x v="0"/>
    <m/>
    <m/>
    <n v="48"/>
    <m/>
    <s v="F"/>
    <m/>
    <d v="1899-12-30T00:12:00"/>
    <s v="19:00"/>
    <s v="DJ"/>
    <m/>
    <s v="20140814 DJohnson"/>
    <s v="20140815 LAckein"/>
    <s v="x"/>
    <s v="x"/>
    <s v="na"/>
    <s v="FWL"/>
    <s v="na"/>
    <s v="na"/>
    <s v="na"/>
    <s v="na"/>
    <s v="na"/>
    <s v="na"/>
    <s v="na"/>
    <s v="na"/>
  </r>
  <r>
    <n v="2716"/>
    <x v="63"/>
    <n v="3"/>
    <x v="12"/>
    <x v="0"/>
    <x v="13"/>
    <n v="73"/>
    <s v="186 P"/>
    <n v="43"/>
    <m/>
    <s v="F"/>
    <m/>
    <d v="1899-12-30T00:51:00"/>
    <s v="09:01"/>
    <s v="DJ"/>
    <m/>
    <s v="20140814 DJohnson"/>
    <s v="20140815 LAckein"/>
    <s v="x"/>
    <n v="151.51499999999999"/>
    <s v="na"/>
    <s v="FWL"/>
    <s v="na"/>
    <s v="na"/>
    <s v="F1835"/>
    <s v="na"/>
    <s v="na"/>
    <s v="na"/>
    <s v="na"/>
    <s v="na"/>
  </r>
  <r>
    <n v="2717"/>
    <x v="63"/>
    <n v="3"/>
    <x v="10"/>
    <x v="0"/>
    <x v="7"/>
    <n v="31"/>
    <s v="159 CM"/>
    <n v="50"/>
    <m/>
    <s v="M"/>
    <d v="1899-12-30T08:59:00"/>
    <d v="1899-12-30T00:50:00"/>
    <s v="09:04"/>
    <s v="DJ"/>
    <m/>
    <s v="20140814 DJohnson"/>
    <s v="20140815 LAckein"/>
    <d v="1899-12-30T00:04:10"/>
    <n v="151.56399999999999"/>
    <s v="na"/>
    <s v="FWL"/>
    <s v="na"/>
    <s v="na"/>
    <s v="F1840"/>
    <s v="na"/>
    <s v="na"/>
    <s v="na"/>
    <s v="na"/>
    <s v="na"/>
  </r>
  <r>
    <n v="2718"/>
    <x v="63"/>
    <n v="3"/>
    <x v="12"/>
    <x v="0"/>
    <x v="0"/>
    <m/>
    <m/>
    <n v="43"/>
    <m/>
    <s v="F"/>
    <m/>
    <d v="1899-12-30T00:18:00"/>
    <s v="09:05"/>
    <s v="DJ"/>
    <m/>
    <s v="20140814 DJohnson"/>
    <s v="20140815 LAckein"/>
    <s v="x"/>
    <s v="x"/>
    <s v="na"/>
    <s v="FWL"/>
    <s v="na"/>
    <s v="na"/>
    <s v="na"/>
    <s v="na"/>
    <s v="na"/>
    <s v="na"/>
    <s v="na"/>
    <s v="na"/>
  </r>
  <r>
    <n v="2719"/>
    <x v="63"/>
    <n v="3"/>
    <x v="12"/>
    <x v="0"/>
    <x v="0"/>
    <m/>
    <m/>
    <n v="43"/>
    <m/>
    <s v="F"/>
    <d v="1899-12-30T09:05:00"/>
    <d v="1899-12-30T00:21:00"/>
    <s v="09:06"/>
    <s v="DJ"/>
    <s v="9 cm gash on side, deep"/>
    <s v="20140814 DJohnson"/>
    <s v="20140815 LAckein"/>
    <d v="1899-12-30T00:00:39"/>
    <s v="x"/>
    <s v="na"/>
    <s v="FWL"/>
    <s v="na"/>
    <s v="na"/>
    <s v="na"/>
    <s v="na"/>
    <s v="na"/>
    <s v="na"/>
    <s v="na"/>
    <s v="na"/>
  </r>
  <r>
    <n v="2720"/>
    <x v="63"/>
    <n v="3"/>
    <x v="13"/>
    <x v="0"/>
    <x v="15"/>
    <n v="72"/>
    <s v="77 CO"/>
    <n v="49"/>
    <m/>
    <s v="M"/>
    <m/>
    <d v="1899-12-30T00:47:00"/>
    <s v="09:55"/>
    <s v="CSj"/>
    <s v="F266."/>
    <s v="20140814 DJohnson"/>
    <s v="20140815 LAckein"/>
    <s v="x"/>
    <n v="151.26599999999999"/>
    <s v="na"/>
    <s v="FWL"/>
    <s v="na"/>
    <s v="na"/>
    <s v="F1840"/>
    <s v="na"/>
    <s v="na"/>
    <s v="na"/>
    <s v="na"/>
    <s v="na"/>
  </r>
  <r>
    <n v="2721"/>
    <x v="63"/>
    <n v="3"/>
    <x v="12"/>
    <x v="0"/>
    <x v="0"/>
    <m/>
    <m/>
    <n v="45"/>
    <m/>
    <s v="F"/>
    <m/>
    <d v="1899-12-30T00:21:00"/>
    <s v="10:45"/>
    <s v="CSj"/>
    <m/>
    <s v="20140814 DJohnson"/>
    <s v="20140815 LAckein"/>
    <s v="x"/>
    <s v="x"/>
    <s v="na"/>
    <s v="FWL"/>
    <s v="na"/>
    <s v="na"/>
    <s v="na"/>
    <s v="na"/>
    <s v="na"/>
    <s v="na"/>
    <s v="na"/>
    <s v="na"/>
  </r>
  <r>
    <n v="2722"/>
    <x v="63"/>
    <n v="3"/>
    <x v="12"/>
    <x v="0"/>
    <x v="0"/>
    <m/>
    <m/>
    <n v="44"/>
    <m/>
    <s v="F"/>
    <m/>
    <d v="1899-12-30T00:20:00"/>
    <s v="12:06"/>
    <s v="LA"/>
    <m/>
    <s v="20140814 LAckein"/>
    <s v="20140815 LAckein"/>
    <s v="x"/>
    <s v="x"/>
    <s v="na"/>
    <s v="FWL"/>
    <s v="na"/>
    <s v="na"/>
    <s v="na"/>
    <s v="na"/>
    <s v="na"/>
    <s v="na"/>
    <s v="na"/>
    <s v="na"/>
  </r>
  <r>
    <n v="2723"/>
    <x v="63"/>
    <n v="3"/>
    <x v="12"/>
    <x v="0"/>
    <x v="0"/>
    <m/>
    <m/>
    <n v="37"/>
    <m/>
    <s v="M"/>
    <m/>
    <d v="1899-12-30T00:21:00"/>
    <s v="12:07"/>
    <s v="LA"/>
    <s v="released milt"/>
    <s v="20140814 LAckein"/>
    <s v="20140815 LAckein"/>
    <s v="x"/>
    <s v="x"/>
    <s v="na"/>
    <s v="FWL"/>
    <s v="na"/>
    <s v="na"/>
    <s v="na"/>
    <s v="na"/>
    <s v="na"/>
    <s v="na"/>
    <s v="na"/>
    <s v="na"/>
  </r>
  <r>
    <n v="2724"/>
    <x v="63"/>
    <n v="3"/>
    <x v="12"/>
    <x v="0"/>
    <x v="0"/>
    <m/>
    <m/>
    <n v="44"/>
    <m/>
    <s v="M"/>
    <m/>
    <d v="1899-12-30T00:21:00"/>
    <s v="12:08"/>
    <s v="LA"/>
    <m/>
    <s v="20140814 LAckein"/>
    <s v="20140815 LAckein"/>
    <s v="x"/>
    <s v="x"/>
    <s v="na"/>
    <s v="FWL"/>
    <s v="na"/>
    <s v="na"/>
    <s v="na"/>
    <s v="na"/>
    <s v="na"/>
    <s v="na"/>
    <s v="na"/>
    <s v="na"/>
  </r>
  <r>
    <n v="2725"/>
    <x v="63"/>
    <n v="3"/>
    <x v="10"/>
    <x v="0"/>
    <x v="11"/>
    <n v="68"/>
    <s v="156 CM"/>
    <n v="58"/>
    <m/>
    <s v="M"/>
    <m/>
    <d v="1899-12-30T01:19:00"/>
    <s v="12:12"/>
    <s v="LA"/>
    <m/>
    <s v="20140814 LAckein"/>
    <s v="20140815 LAckein"/>
    <s v="x"/>
    <n v="151.53399999999999"/>
    <s v="na"/>
    <s v="FWL"/>
    <s v="na"/>
    <s v="na"/>
    <s v="F1840"/>
    <s v="na"/>
    <s v="na"/>
    <s v="na"/>
    <s v="na"/>
    <s v="na"/>
  </r>
  <r>
    <n v="2726"/>
    <x v="63"/>
    <n v="3"/>
    <x v="12"/>
    <x v="0"/>
    <x v="0"/>
    <m/>
    <m/>
    <n v="46"/>
    <m/>
    <s v="F"/>
    <m/>
    <d v="1899-12-30T00:21:00"/>
    <s v="12:15"/>
    <s v="LA"/>
    <m/>
    <s v="20140814 LAckein"/>
    <s v="20140815 LAckein"/>
    <s v="x"/>
    <s v="x"/>
    <s v="na"/>
    <s v="FWL"/>
    <s v="na"/>
    <s v="na"/>
    <s v="na"/>
    <s v="na"/>
    <s v="na"/>
    <s v="na"/>
    <s v="na"/>
    <s v="na"/>
  </r>
  <r>
    <n v="2727"/>
    <x v="63"/>
    <n v="3"/>
    <x v="12"/>
    <x v="0"/>
    <x v="0"/>
    <m/>
    <m/>
    <n v="43"/>
    <m/>
    <s v="F"/>
    <m/>
    <d v="1899-12-30T00:20:00"/>
    <s v="12:16"/>
    <s v="LA"/>
    <m/>
    <s v="20140814 LAckein"/>
    <s v="20140815 LAckein"/>
    <s v="x"/>
    <s v="x"/>
    <s v="na"/>
    <s v="FWL"/>
    <s v="na"/>
    <s v="na"/>
    <s v="na"/>
    <s v="na"/>
    <s v="na"/>
    <s v="na"/>
    <s v="na"/>
    <s v="na"/>
  </r>
  <r>
    <n v="2728"/>
    <x v="63"/>
    <n v="3"/>
    <x v="12"/>
    <x v="0"/>
    <x v="0"/>
    <m/>
    <m/>
    <n v="46"/>
    <m/>
    <s v="F"/>
    <m/>
    <d v="1899-12-30T00:20:00"/>
    <s v="12:17"/>
    <s v="LA"/>
    <m/>
    <s v="20140814 LAckein"/>
    <s v="20140815 LAckein"/>
    <s v="x"/>
    <s v="x"/>
    <s v="na"/>
    <s v="FWL"/>
    <s v="na"/>
    <s v="na"/>
    <s v="na"/>
    <s v="na"/>
    <s v="na"/>
    <s v="na"/>
    <s v="na"/>
    <s v="na"/>
  </r>
  <r>
    <n v="2729"/>
    <x v="63"/>
    <n v="3"/>
    <x v="12"/>
    <x v="0"/>
    <x v="0"/>
    <m/>
    <m/>
    <n v="37"/>
    <m/>
    <s v="F"/>
    <m/>
    <d v="1899-12-30T00:28:00"/>
    <s v="12:18"/>
    <s v="LA"/>
    <m/>
    <s v="20140814 LAckein"/>
    <s v="20140815 LAckein"/>
    <s v="x"/>
    <s v="x"/>
    <s v="na"/>
    <s v="FWL"/>
    <s v="na"/>
    <s v="na"/>
    <s v="na"/>
    <s v="na"/>
    <s v="na"/>
    <s v="na"/>
    <s v="na"/>
    <s v="na"/>
  </r>
  <r>
    <n v="2730"/>
    <x v="63"/>
    <n v="3"/>
    <x v="12"/>
    <x v="0"/>
    <x v="0"/>
    <m/>
    <m/>
    <n v="47"/>
    <m/>
    <s v="F"/>
    <m/>
    <d v="1899-12-30T00:25:00"/>
    <s v="13:45"/>
    <s v="HR"/>
    <m/>
    <s v="20140814 LAckein"/>
    <s v="20140815 LAckein"/>
    <s v="x"/>
    <s v="x"/>
    <s v="na"/>
    <s v="FWL"/>
    <s v="na"/>
    <s v="na"/>
    <s v="na"/>
    <s v="na"/>
    <s v="na"/>
    <s v="na"/>
    <s v="na"/>
    <s v="na"/>
  </r>
  <r>
    <n v="2731"/>
    <x v="63"/>
    <n v="3"/>
    <x v="12"/>
    <x v="0"/>
    <x v="0"/>
    <m/>
    <m/>
    <n v="46"/>
    <m/>
    <s v="M"/>
    <m/>
    <d v="1899-12-30T00:27:00"/>
    <s v="13:46"/>
    <s v="HR"/>
    <m/>
    <s v="20140814 LAckein"/>
    <s v="20140815 LAckein"/>
    <s v="x"/>
    <s v="x"/>
    <s v="na"/>
    <s v="FWL"/>
    <s v="na"/>
    <s v="na"/>
    <s v="na"/>
    <s v="na"/>
    <s v="na"/>
    <s v="na"/>
    <s v="na"/>
    <s v="na"/>
  </r>
  <r>
    <n v="2732"/>
    <x v="63"/>
    <n v="3"/>
    <x v="12"/>
    <x v="0"/>
    <x v="0"/>
    <m/>
    <m/>
    <n v="45"/>
    <m/>
    <s v="F"/>
    <m/>
    <d v="1899-12-30T00:32:00"/>
    <s v="13:48"/>
    <s v="HR"/>
    <m/>
    <s v="20140814 LAckein"/>
    <s v="20140815 LAckein"/>
    <s v="x"/>
    <s v="x"/>
    <s v="na"/>
    <s v="FWL"/>
    <s v="na"/>
    <s v="na"/>
    <s v="na"/>
    <s v="na"/>
    <s v="na"/>
    <s v="na"/>
    <s v="na"/>
    <s v="na"/>
  </r>
  <r>
    <n v="2733"/>
    <x v="63"/>
    <n v="3"/>
    <x v="10"/>
    <x v="0"/>
    <x v="0"/>
    <m/>
    <m/>
    <n v="62"/>
    <m/>
    <s v="M"/>
    <m/>
    <d v="1899-12-30T00:30:00"/>
    <s v="13:49"/>
    <s v="HR"/>
    <m/>
    <s v="20140814 LAckein"/>
    <s v="20140815 LAckein"/>
    <s v="x"/>
    <s v="x"/>
    <s v="na"/>
    <s v="FWL"/>
    <s v="na"/>
    <s v="na"/>
    <s v="na"/>
    <s v="na"/>
    <s v="na"/>
    <s v="na"/>
    <s v="na"/>
    <s v="na"/>
  </r>
  <r>
    <n v="2734"/>
    <x v="63"/>
    <n v="3"/>
    <x v="13"/>
    <x v="0"/>
    <x v="14"/>
    <n v="80"/>
    <s v="78 CO"/>
    <n v="52"/>
    <m/>
    <s v="U"/>
    <m/>
    <d v="1899-12-30T00:58:00"/>
    <s v="16:38"/>
    <s v="LA"/>
    <m/>
    <s v="20140814 LAckein"/>
    <s v="20140815 LAckein"/>
    <s v="x"/>
    <n v="151.32499999999999"/>
    <s v="na"/>
    <s v="FWL"/>
    <s v="na"/>
    <s v="na"/>
    <s v="F1840"/>
    <s v="na"/>
    <s v="na"/>
    <s v="na"/>
    <s v="na"/>
    <s v="na"/>
  </r>
  <r>
    <n v="2735"/>
    <x v="63"/>
    <n v="3"/>
    <x v="10"/>
    <x v="0"/>
    <x v="0"/>
    <m/>
    <m/>
    <n v="58"/>
    <m/>
    <s v="M"/>
    <m/>
    <d v="1899-12-30T00:23:00"/>
    <s v="16:36"/>
    <s v="LA"/>
    <m/>
    <s v="20140814 LAckein"/>
    <s v="20140815 LAckein"/>
    <s v="x"/>
    <s v="x"/>
    <s v="na"/>
    <s v="FWL"/>
    <s v="na"/>
    <s v="na"/>
    <s v="na"/>
    <s v="na"/>
    <s v="na"/>
    <s v="na"/>
    <s v="na"/>
    <s v="na"/>
  </r>
  <r>
    <n v="2736"/>
    <x v="63"/>
    <n v="3"/>
    <x v="12"/>
    <x v="0"/>
    <x v="0"/>
    <m/>
    <m/>
    <n v="45"/>
    <m/>
    <s v="F"/>
    <m/>
    <d v="1899-12-30T00:18:00"/>
    <s v="16:40"/>
    <s v="LA"/>
    <m/>
    <s v="20140814 LAckein"/>
    <s v="20140815 LAckein"/>
    <s v="x"/>
    <s v="x"/>
    <s v="na"/>
    <s v="FWL"/>
    <s v="na"/>
    <s v="na"/>
    <s v="na"/>
    <s v="na"/>
    <s v="na"/>
    <s v="na"/>
    <s v="na"/>
    <s v="na"/>
  </r>
  <r>
    <n v="2737"/>
    <x v="63"/>
    <n v="3"/>
    <x v="13"/>
    <x v="0"/>
    <x v="14"/>
    <n v="61"/>
    <s v="79 CO"/>
    <n v="55"/>
    <m/>
    <s v="F"/>
    <m/>
    <d v="1899-12-30T01:11:00"/>
    <s v="16:45"/>
    <s v="HR"/>
    <m/>
    <s v="20140814 LAckein"/>
    <s v="20140815 LAckein"/>
    <s v="x"/>
    <n v="151.32499999999999"/>
    <s v="na"/>
    <s v="FWL"/>
    <s v="na"/>
    <s v="na"/>
    <s v="F1840"/>
    <s v="na"/>
    <s v="na"/>
    <s v="na"/>
    <s v="na"/>
    <s v="na"/>
  </r>
  <r>
    <n v="2738"/>
    <x v="63"/>
    <n v="3"/>
    <x v="10"/>
    <x v="0"/>
    <x v="0"/>
    <m/>
    <m/>
    <n v="57"/>
    <m/>
    <s v="M"/>
    <m/>
    <d v="1899-12-30T00:41:00"/>
    <s v="16:42"/>
    <s v="HR"/>
    <m/>
    <s v="20140814 LAckein"/>
    <s v="20140815 LAckein"/>
    <s v="x"/>
    <s v="x"/>
    <s v="na"/>
    <s v="FWL"/>
    <s v="na"/>
    <s v="na"/>
    <s v="na"/>
    <s v="na"/>
    <s v="na"/>
    <s v="na"/>
    <s v="na"/>
    <s v="na"/>
  </r>
  <r>
    <n v="2739"/>
    <x v="63"/>
    <n v="3"/>
    <x v="10"/>
    <x v="0"/>
    <x v="0"/>
    <m/>
    <m/>
    <n v="57"/>
    <m/>
    <s v="M"/>
    <d v="1899-12-30T16:43:00"/>
    <d v="1899-12-30T00:57:00"/>
    <s v="16:50"/>
    <s v="HR"/>
    <s v="Likely same fish as 16:42 release"/>
    <s v="20140814 LAckein"/>
    <s v="20140815 LAckein"/>
    <d v="1899-12-30T00:06:03"/>
    <s v="x"/>
    <s v="na"/>
    <s v="FWL"/>
    <s v="na"/>
    <s v="na"/>
    <s v="na"/>
    <s v="na"/>
    <s v="na"/>
    <s v="na"/>
    <s v="na"/>
    <s v="na"/>
  </r>
  <r>
    <n v="2740"/>
    <x v="63"/>
    <n v="3"/>
    <x v="13"/>
    <x v="0"/>
    <x v="14"/>
    <n v="2"/>
    <s v="81 CO"/>
    <n v="60"/>
    <m/>
    <s v="F"/>
    <d v="1899-12-30T16:57:00"/>
    <d v="1899-12-30T01:00:00"/>
    <s v="17:00"/>
    <s v="HR"/>
    <m/>
    <s v="20140814 LAckein"/>
    <s v="20140815 LAckein"/>
    <d v="1899-12-30T00:02:00"/>
    <n v="151.32499999999999"/>
    <s v="na"/>
    <s v="FWL"/>
    <s v="na"/>
    <s v="na"/>
    <s v="F1840"/>
    <s v="na"/>
    <s v="na"/>
    <s v="na"/>
    <s v="na"/>
    <s v="na"/>
  </r>
  <r>
    <n v="2741"/>
    <x v="63"/>
    <n v="3"/>
    <x v="10"/>
    <x v="0"/>
    <x v="11"/>
    <n v="74"/>
    <s v="157 CM"/>
    <n v="59"/>
    <m/>
    <s v="M"/>
    <d v="1899-12-30T18:50:00"/>
    <d v="1899-12-30T01:25:00"/>
    <s v="18:58"/>
    <s v="SC"/>
    <m/>
    <s v="20140814 QBerger"/>
    <s v="20140815 LAckein"/>
    <d v="1899-12-30T00:06:35"/>
    <n v="151.53399999999999"/>
    <s v="na"/>
    <s v="FWL"/>
    <s v="na"/>
    <s v="na"/>
    <s v="F1840"/>
    <s v="na"/>
    <s v="na"/>
    <s v="na"/>
    <s v="na"/>
    <s v="na"/>
  </r>
  <r>
    <n v="2742"/>
    <x v="63"/>
    <n v="3"/>
    <x v="13"/>
    <x v="0"/>
    <x v="0"/>
    <m/>
    <m/>
    <n v="54"/>
    <m/>
    <s v="M"/>
    <m/>
    <d v="1899-12-30T00:26:00"/>
    <s v="19:01"/>
    <s v="SC"/>
    <m/>
    <s v="20140814 QBerger"/>
    <s v="20140815 LAckein"/>
    <s v="x"/>
    <s v="x"/>
    <s v="na"/>
    <s v="FWL"/>
    <s v="na"/>
    <s v="na"/>
    <s v="na"/>
    <s v="na"/>
    <s v="na"/>
    <s v="na"/>
    <s v="na"/>
    <s v="na"/>
  </r>
  <r>
    <n v="2743"/>
    <x v="63"/>
    <n v="3"/>
    <x v="10"/>
    <x v="0"/>
    <x v="0"/>
    <m/>
    <m/>
    <n v="52"/>
    <m/>
    <s v="F"/>
    <m/>
    <d v="1899-12-30T00:24:00"/>
    <s v="19:04"/>
    <s v="SC"/>
    <m/>
    <s v="20140814 QBerger"/>
    <s v="20140815 LAckein"/>
    <s v="x"/>
    <s v="x"/>
    <s v="na"/>
    <s v="FWL"/>
    <s v="na"/>
    <s v="na"/>
    <s v="na"/>
    <s v="na"/>
    <s v="na"/>
    <s v="na"/>
    <s v="na"/>
    <s v="na"/>
  </r>
  <r>
    <n v="2744"/>
    <x v="63"/>
    <n v="3"/>
    <x v="10"/>
    <x v="0"/>
    <x v="0"/>
    <m/>
    <m/>
    <n v="51"/>
    <m/>
    <s v="F"/>
    <d v="1899-12-30T20:02:00"/>
    <d v="1899-12-30T00:32:00"/>
    <s v="20:06"/>
    <s v="SC"/>
    <s v="wound on left  side"/>
    <s v="20140814 QBerger"/>
    <s v="20140815 LAckein"/>
    <d v="1899-12-30T00:03:28"/>
    <s v="x"/>
    <s v="na"/>
    <s v="FWL"/>
    <s v="na"/>
    <s v="na"/>
    <s v="na"/>
    <s v="na"/>
    <s v="na"/>
    <s v="na"/>
    <s v="na"/>
    <s v="na"/>
  </r>
  <r>
    <n v="2745"/>
    <x v="64"/>
    <n v="1"/>
    <x v="10"/>
    <x v="0"/>
    <x v="0"/>
    <m/>
    <m/>
    <n v="58"/>
    <m/>
    <s v="M"/>
    <m/>
    <d v="1899-12-30T00:15:00"/>
    <s v="09:20"/>
    <s v="DJ"/>
    <m/>
    <s v="20140815 DJohnson"/>
    <s v="20140816 HReider"/>
    <s v="x"/>
    <s v="x"/>
    <s v="na"/>
    <s v="FWL"/>
    <s v="na"/>
    <s v="na"/>
    <s v="na"/>
    <s v="na"/>
    <s v="na"/>
    <s v="na"/>
    <s v="na"/>
    <s v="na"/>
  </r>
  <r>
    <n v="2746"/>
    <x v="64"/>
    <n v="1"/>
    <x v="10"/>
    <x v="0"/>
    <x v="7"/>
    <n v="99"/>
    <s v="168 CM"/>
    <n v="63"/>
    <m/>
    <s v="F"/>
    <m/>
    <d v="1899-12-30T01:01:00"/>
    <s v="09:22"/>
    <s v="CSj"/>
    <m/>
    <s v="20140815 DJohnson"/>
    <s v="20140816 HReider"/>
    <s v="x"/>
    <n v="151.56399999999999"/>
    <s v="na"/>
    <s v="FWL"/>
    <s v="na"/>
    <s v="na"/>
    <s v="F1840"/>
    <s v="na"/>
    <s v="na"/>
    <s v="na"/>
    <s v="na"/>
    <s v="na"/>
  </r>
  <r>
    <n v="2747"/>
    <x v="64"/>
    <n v="1"/>
    <x v="12"/>
    <x v="0"/>
    <x v="12"/>
    <n v="0"/>
    <s v="192 P"/>
    <n v="45"/>
    <m/>
    <s v="F"/>
    <m/>
    <d v="1899-12-30T01:06:00"/>
    <s v="10:36"/>
    <s v="CSj"/>
    <m/>
    <s v="20140815 DJohnson"/>
    <s v="20140816 HReider"/>
    <s v="x"/>
    <n v="151.596"/>
    <s v="na"/>
    <s v="FWL"/>
    <s v="na"/>
    <s v="na"/>
    <s v="F1835"/>
    <s v="na"/>
    <s v="na"/>
    <s v="na"/>
    <s v="na"/>
    <s v="na"/>
  </r>
  <r>
    <n v="2748"/>
    <x v="64"/>
    <n v="1"/>
    <x v="10"/>
    <x v="0"/>
    <x v="0"/>
    <m/>
    <m/>
    <n v="50"/>
    <m/>
    <s v="M"/>
    <m/>
    <d v="1899-12-30T00:19:00"/>
    <s v="10:34"/>
    <s v="CSj"/>
    <m/>
    <s v="20140815 DJohnson"/>
    <s v="20140816 HReider"/>
    <s v="x"/>
    <s v="x"/>
    <s v="na"/>
    <s v="FWL"/>
    <s v="na"/>
    <s v="na"/>
    <s v="na"/>
    <s v="na"/>
    <s v="na"/>
    <s v="na"/>
    <s v="na"/>
    <s v="na"/>
  </r>
  <r>
    <n v="2749"/>
    <x v="64"/>
    <n v="1"/>
    <x v="12"/>
    <x v="0"/>
    <x v="0"/>
    <m/>
    <m/>
    <n v="38"/>
    <m/>
    <s v="M"/>
    <m/>
    <d v="1899-12-30T00:23:00"/>
    <s v="10:35"/>
    <s v="CSj"/>
    <s v="spawned out"/>
    <s v="20140815 DJohnson"/>
    <s v="20140816 HReider"/>
    <s v="x"/>
    <s v="x"/>
    <s v="na"/>
    <s v="FWL"/>
    <s v="na"/>
    <s v="na"/>
    <s v="na"/>
    <s v="na"/>
    <s v="na"/>
    <s v="na"/>
    <s v="na"/>
    <s v="na"/>
  </r>
  <r>
    <n v="2750"/>
    <x v="64"/>
    <n v="1"/>
    <x v="12"/>
    <x v="0"/>
    <x v="0"/>
    <m/>
    <m/>
    <n v="50"/>
    <m/>
    <s v="M"/>
    <m/>
    <d v="1899-12-30T00:21:00"/>
    <s v="10:39"/>
    <s v="CSj"/>
    <m/>
    <s v="20140815 DJohnson"/>
    <s v="20140816 HReider"/>
    <s v="x"/>
    <s v="x"/>
    <s v="na"/>
    <s v="FWL"/>
    <s v="na"/>
    <s v="na"/>
    <s v="na"/>
    <s v="na"/>
    <s v="na"/>
    <s v="na"/>
    <s v="na"/>
    <s v="na"/>
  </r>
  <r>
    <n v="2751"/>
    <x v="64"/>
    <n v="1"/>
    <x v="10"/>
    <x v="0"/>
    <x v="0"/>
    <m/>
    <m/>
    <n v="53"/>
    <m/>
    <s v="F"/>
    <m/>
    <d v="1899-12-30T00:20:00"/>
    <s v="10:40"/>
    <s v="CSj"/>
    <m/>
    <s v="20140815 DJohnson"/>
    <s v="20140816 HReider"/>
    <s v="x"/>
    <s v="x"/>
    <s v="na"/>
    <s v="FWL"/>
    <s v="na"/>
    <s v="na"/>
    <s v="na"/>
    <s v="na"/>
    <s v="na"/>
    <s v="na"/>
    <s v="na"/>
    <s v="na"/>
  </r>
  <r>
    <n v="2752"/>
    <x v="64"/>
    <n v="1"/>
    <x v="12"/>
    <x v="0"/>
    <x v="0"/>
    <m/>
    <m/>
    <n v="42"/>
    <m/>
    <s v="M"/>
    <m/>
    <d v="1899-12-30T00:24:00"/>
    <s v="12:15"/>
    <s v="CSj"/>
    <m/>
    <s v="20140815 DJohnson"/>
    <s v="20140816 HReider"/>
    <s v="x"/>
    <s v="x"/>
    <s v="na"/>
    <s v="FWL"/>
    <s v="na"/>
    <s v="na"/>
    <s v="na"/>
    <s v="na"/>
    <s v="na"/>
    <s v="na"/>
    <s v="na"/>
    <s v="na"/>
  </r>
  <r>
    <n v="2753"/>
    <x v="64"/>
    <n v="1"/>
    <x v="13"/>
    <x v="0"/>
    <x v="14"/>
    <n v="25"/>
    <s v="92 CO"/>
    <n v="52"/>
    <m/>
    <s v="M"/>
    <m/>
    <d v="1899-12-30T00:50:00"/>
    <s v="12:17"/>
    <s v="CSj"/>
    <m/>
    <s v="20140815 DJohnson"/>
    <s v="20140816 HReider"/>
    <s v="x"/>
    <n v="151.32499999999999"/>
    <s v="na"/>
    <s v="FWL"/>
    <s v="na"/>
    <s v="na"/>
    <s v="F1840"/>
    <s v="na"/>
    <s v="na"/>
    <s v="na"/>
    <s v="na"/>
    <s v="na"/>
  </r>
  <r>
    <n v="2754"/>
    <x v="64"/>
    <n v="1"/>
    <x v="13"/>
    <x v="0"/>
    <x v="14"/>
    <n v="75"/>
    <s v="97 CO"/>
    <n v="52"/>
    <m/>
    <s v="M"/>
    <m/>
    <d v="1899-12-30T01:13:00"/>
    <s v="12:20"/>
    <s v="CSj"/>
    <m/>
    <s v="20140815 DJohnson"/>
    <s v="20140816 HReider"/>
    <s v="x"/>
    <n v="151.32499999999999"/>
    <s v="na"/>
    <s v="FWL"/>
    <s v="na"/>
    <s v="na"/>
    <s v="F1840"/>
    <s v="na"/>
    <s v="na"/>
    <s v="na"/>
    <s v="na"/>
    <s v="na"/>
  </r>
  <r>
    <n v="2755"/>
    <x v="64"/>
    <n v="1"/>
    <x v="12"/>
    <x v="0"/>
    <x v="0"/>
    <m/>
    <m/>
    <n v="47"/>
    <m/>
    <s v="M"/>
    <m/>
    <d v="1899-12-30T00:21:00"/>
    <s v="12:21"/>
    <s v="CSj"/>
    <s v="missing half of nose"/>
    <s v="20140815 DJohnson"/>
    <s v="20140816 HReider"/>
    <s v="x"/>
    <s v="x"/>
    <s v="na"/>
    <s v="FWL"/>
    <s v="na"/>
    <s v="na"/>
    <s v="na"/>
    <s v="na"/>
    <s v="na"/>
    <s v="na"/>
    <s v="na"/>
    <s v="na"/>
  </r>
  <r>
    <n v="2756"/>
    <x v="64"/>
    <n v="1"/>
    <x v="12"/>
    <x v="0"/>
    <x v="0"/>
    <m/>
    <m/>
    <n v="44"/>
    <m/>
    <s v="M"/>
    <m/>
    <d v="1899-12-30T00:19:00"/>
    <s v="12:22"/>
    <s v="CSj"/>
    <m/>
    <s v="20140815 DJohnson"/>
    <s v="20140816 HReider"/>
    <s v="x"/>
    <s v="x"/>
    <s v="na"/>
    <s v="FWL"/>
    <s v="na"/>
    <s v="na"/>
    <s v="na"/>
    <s v="na"/>
    <s v="na"/>
    <s v="na"/>
    <s v="na"/>
    <s v="na"/>
  </r>
  <r>
    <n v="2757"/>
    <x v="64"/>
    <n v="1"/>
    <x v="12"/>
    <x v="0"/>
    <x v="0"/>
    <m/>
    <m/>
    <n v="46"/>
    <m/>
    <s v="F"/>
    <m/>
    <d v="1899-12-30T00:16:00"/>
    <s v="12:23"/>
    <s v="CSj"/>
    <m/>
    <s v="20140815 DJohnson"/>
    <s v="20140816 HReider"/>
    <s v="x"/>
    <s v="x"/>
    <s v="na"/>
    <s v="FWL"/>
    <s v="na"/>
    <s v="na"/>
    <s v="na"/>
    <s v="na"/>
    <s v="na"/>
    <s v="na"/>
    <s v="na"/>
    <s v="na"/>
  </r>
  <r>
    <n v="2758"/>
    <x v="64"/>
    <n v="1"/>
    <x v="10"/>
    <x v="0"/>
    <x v="0"/>
    <m/>
    <m/>
    <n v="59"/>
    <m/>
    <s v="M"/>
    <m/>
    <d v="1899-12-30T00:21:00"/>
    <s v="13:44"/>
    <s v="DJ"/>
    <m/>
    <s v="20140815 DJohnson"/>
    <s v="20140816 HReider"/>
    <s v="x"/>
    <s v="x"/>
    <s v="na"/>
    <s v="FWL"/>
    <s v="na"/>
    <s v="na"/>
    <s v="na"/>
    <s v="na"/>
    <s v="na"/>
    <s v="na"/>
    <s v="na"/>
    <s v="na"/>
  </r>
  <r>
    <n v="2759"/>
    <x v="64"/>
    <n v="1"/>
    <x v="10"/>
    <x v="0"/>
    <x v="0"/>
    <m/>
    <m/>
    <n v="53"/>
    <m/>
    <s v="F"/>
    <m/>
    <d v="1899-12-30T00:25:00"/>
    <s v="13:45"/>
    <s v="DJ"/>
    <m/>
    <s v="20140815 DJohnson"/>
    <s v="20140816 HReider"/>
    <s v="x"/>
    <s v="x"/>
    <s v="na"/>
    <s v="FWL"/>
    <s v="na"/>
    <s v="na"/>
    <s v="na"/>
    <s v="na"/>
    <s v="na"/>
    <s v="na"/>
    <s v="na"/>
    <s v="na"/>
  </r>
  <r>
    <n v="2760"/>
    <x v="64"/>
    <n v="1"/>
    <x v="10"/>
    <x v="0"/>
    <x v="0"/>
    <m/>
    <m/>
    <n v="59"/>
    <m/>
    <s v="U"/>
    <m/>
    <d v="1899-12-30T00:19:00"/>
    <s v="13:48"/>
    <s v="DJ"/>
    <m/>
    <s v="20140815 DJohnson"/>
    <s v="20140816 HReider"/>
    <s v="x"/>
    <s v="x"/>
    <s v="na"/>
    <s v="FWL"/>
    <s v="na"/>
    <s v="na"/>
    <s v="na"/>
    <s v="na"/>
    <s v="na"/>
    <s v="na"/>
    <s v="na"/>
    <s v="na"/>
  </r>
  <r>
    <n v="2761"/>
    <x v="64"/>
    <n v="1"/>
    <x v="7"/>
    <x v="0"/>
    <x v="6"/>
    <n v="28"/>
    <s v="177 S"/>
    <n v="44"/>
    <m/>
    <s v="U"/>
    <m/>
    <d v="1899-12-30T01:17:00"/>
    <s v="13:52"/>
    <s v="DJ"/>
    <m/>
    <s v="20140815 DJohnson"/>
    <s v="20140816 HReider"/>
    <s v="x"/>
    <n v="151.57300000000001"/>
    <s v="na"/>
    <s v="FWL"/>
    <s v="na"/>
    <s v="na"/>
    <s v="F1840"/>
    <s v="na"/>
    <s v="na"/>
    <s v="na"/>
    <s v="na"/>
    <s v="na"/>
  </r>
  <r>
    <n v="2762"/>
    <x v="64"/>
    <n v="1"/>
    <x v="7"/>
    <x v="0"/>
    <x v="10"/>
    <n v="69"/>
    <s v="178 S"/>
    <n v="48"/>
    <m/>
    <s v="U"/>
    <m/>
    <d v="1899-12-30T01:41:00"/>
    <s v="13:58"/>
    <s v="DJ"/>
    <m/>
    <s v="20140815 DJohnson"/>
    <s v="20140816 HReider"/>
    <s v="x"/>
    <n v="151.58600000000001"/>
    <s v="na"/>
    <s v="FWL"/>
    <s v="na"/>
    <s v="na"/>
    <s v="F1840"/>
    <s v="na"/>
    <s v="na"/>
    <s v="na"/>
    <s v="na"/>
    <s v="na"/>
  </r>
  <r>
    <n v="2763"/>
    <x v="64"/>
    <n v="1"/>
    <x v="10"/>
    <x v="0"/>
    <x v="0"/>
    <m/>
    <m/>
    <n v="55"/>
    <m/>
    <s v="F"/>
    <m/>
    <d v="1899-12-30T00:21:00"/>
    <s v="13:54"/>
    <s v="DJ"/>
    <m/>
    <s v="20140815 DJohnson"/>
    <s v="20140816 HReider"/>
    <s v="x"/>
    <s v="x"/>
    <s v="na"/>
    <s v="FWL"/>
    <s v="na"/>
    <s v="na"/>
    <s v="na"/>
    <s v="na"/>
    <s v="na"/>
    <s v="na"/>
    <s v="na"/>
    <s v="na"/>
  </r>
  <r>
    <n v="2764"/>
    <x v="64"/>
    <n v="1"/>
    <x v="12"/>
    <x v="0"/>
    <x v="0"/>
    <m/>
    <m/>
    <n v="46"/>
    <m/>
    <s v="F"/>
    <m/>
    <d v="1899-12-30T00:23:00"/>
    <s v="13:55"/>
    <s v="DJ"/>
    <m/>
    <s v="20140815 DJohnson"/>
    <s v="20140816 HReider"/>
    <s v="x"/>
    <s v="x"/>
    <s v="na"/>
    <s v="FWL"/>
    <s v="na"/>
    <s v="na"/>
    <s v="na"/>
    <s v="na"/>
    <s v="na"/>
    <s v="na"/>
    <s v="na"/>
    <s v="na"/>
  </r>
  <r>
    <n v="2765"/>
    <x v="64"/>
    <n v="1"/>
    <x v="10"/>
    <x v="0"/>
    <x v="0"/>
    <m/>
    <m/>
    <n v="53"/>
    <m/>
    <s v="F"/>
    <m/>
    <d v="1899-12-30T00:22:00"/>
    <s v="13:56"/>
    <s v="DJ"/>
    <m/>
    <s v="20140815 JBures"/>
    <s v="20140816 HReider"/>
    <s v="x"/>
    <s v="x"/>
    <s v="na"/>
    <s v="FWL"/>
    <s v="na"/>
    <s v="na"/>
    <s v="na"/>
    <s v="na"/>
    <s v="na"/>
    <s v="na"/>
    <s v="na"/>
    <s v="na"/>
  </r>
  <r>
    <n v="2766"/>
    <x v="64"/>
    <n v="1"/>
    <x v="10"/>
    <x v="0"/>
    <x v="0"/>
    <m/>
    <m/>
    <n v="59"/>
    <m/>
    <s v="F"/>
    <m/>
    <d v="1899-12-30T00:18:00"/>
    <s v="13:59"/>
    <s v="DJ"/>
    <m/>
    <s v="20140815 JBures"/>
    <s v="20140816 HReider"/>
    <s v="x"/>
    <s v="x"/>
    <s v="na"/>
    <s v="FWL"/>
    <s v="na"/>
    <s v="na"/>
    <s v="na"/>
    <s v="na"/>
    <s v="na"/>
    <s v="na"/>
    <s v="na"/>
    <s v="na"/>
  </r>
  <r>
    <n v="2767"/>
    <x v="64"/>
    <n v="1"/>
    <x v="12"/>
    <x v="0"/>
    <x v="0"/>
    <m/>
    <m/>
    <n v="45"/>
    <m/>
    <s v="M"/>
    <m/>
    <d v="1899-12-30T00:21:00"/>
    <s v="14:00"/>
    <s v="DJ"/>
    <m/>
    <s v="20140815 JBures"/>
    <s v="20140816 HReider"/>
    <s v="x"/>
    <s v="x"/>
    <s v="na"/>
    <s v="FWL"/>
    <s v="na"/>
    <s v="na"/>
    <s v="na"/>
    <s v="na"/>
    <s v="na"/>
    <s v="na"/>
    <s v="na"/>
    <s v="na"/>
  </r>
  <r>
    <n v="2768"/>
    <x v="64"/>
    <n v="1"/>
    <x v="10"/>
    <x v="0"/>
    <x v="7"/>
    <n v="4"/>
    <s v="169 CM"/>
    <n v="57"/>
    <m/>
    <s v="F"/>
    <m/>
    <d v="1899-12-30T00:36:00"/>
    <s v="14:46"/>
    <s v="KS"/>
    <m/>
    <s v="20140815 JBures"/>
    <s v="20140816 HReider"/>
    <s v="x"/>
    <n v="151.56399999999999"/>
    <s v="na"/>
    <s v="FWL"/>
    <s v="na"/>
    <s v="na"/>
    <s v="F1840"/>
    <s v="na"/>
    <s v="na"/>
    <s v="na"/>
    <s v="na"/>
    <s v="na"/>
  </r>
  <r>
    <n v="2769"/>
    <x v="64"/>
    <n v="1"/>
    <x v="7"/>
    <x v="0"/>
    <x v="6"/>
    <n v="25"/>
    <s v="179 S"/>
    <n v="48"/>
    <m/>
    <s v="F"/>
    <m/>
    <d v="1899-12-30T00:34:00"/>
    <s v="14:40"/>
    <s v="JBu"/>
    <m/>
    <s v="20140815 JBures"/>
    <s v="20140816 HReider"/>
    <s v="x"/>
    <n v="151.57300000000001"/>
    <s v="na"/>
    <s v="FWL"/>
    <s v="na"/>
    <s v="na"/>
    <s v="F1840"/>
    <s v="na"/>
    <s v="na"/>
    <s v="na"/>
    <s v="na"/>
    <s v="na"/>
  </r>
  <r>
    <n v="2770"/>
    <x v="64"/>
    <n v="1"/>
    <x v="7"/>
    <x v="0"/>
    <x v="10"/>
    <n v="77"/>
    <s v="181 S"/>
    <n v="53"/>
    <m/>
    <s v="M"/>
    <d v="1899-12-30T14:36:00"/>
    <d v="1899-12-30T00:46:00"/>
    <s v="14:44"/>
    <s v="KS"/>
    <m/>
    <s v="20140815 JBures"/>
    <s v="20140816 HReider"/>
    <d v="1899-12-30T00:07:14"/>
    <n v="151.58600000000001"/>
    <s v="na"/>
    <s v="FWL"/>
    <s v="na"/>
    <s v="na"/>
    <s v="F1840"/>
    <s v="na"/>
    <s v="na"/>
    <s v="na"/>
    <s v="na"/>
    <s v="na"/>
  </r>
  <r>
    <n v="2771"/>
    <x v="64"/>
    <n v="1"/>
    <x v="12"/>
    <x v="0"/>
    <x v="0"/>
    <m/>
    <m/>
    <n v="50"/>
    <m/>
    <s v="M"/>
    <m/>
    <d v="1899-12-30T00:20:00"/>
    <s v="15:55"/>
    <s v="JBu"/>
    <m/>
    <s v="20140815 JBures"/>
    <s v="20140816 HReider"/>
    <s v="x"/>
    <s v="x"/>
    <s v="na"/>
    <s v="FWL"/>
    <s v="na"/>
    <s v="na"/>
    <s v="na"/>
    <s v="na"/>
    <s v="na"/>
    <s v="na"/>
    <s v="na"/>
    <s v="na"/>
  </r>
  <r>
    <n v="2772"/>
    <x v="64"/>
    <n v="1"/>
    <x v="10"/>
    <x v="0"/>
    <x v="0"/>
    <m/>
    <m/>
    <n v="59"/>
    <m/>
    <s v="M"/>
    <m/>
    <d v="1899-12-30T00:20:00"/>
    <s v="15:56"/>
    <s v="JBu"/>
    <m/>
    <s v="20140815 JBures"/>
    <s v="20140816 HReider"/>
    <s v="x"/>
    <s v="x"/>
    <s v="na"/>
    <s v="FWL"/>
    <s v="na"/>
    <s v="na"/>
    <s v="na"/>
    <s v="na"/>
    <s v="na"/>
    <s v="na"/>
    <s v="na"/>
    <s v="na"/>
  </r>
  <r>
    <n v="2773"/>
    <x v="64"/>
    <n v="1"/>
    <x v="12"/>
    <x v="0"/>
    <x v="0"/>
    <m/>
    <m/>
    <n v="43"/>
    <m/>
    <s v="F"/>
    <m/>
    <d v="1899-12-30T00:21:00"/>
    <s v="15:57"/>
    <s v="JBu"/>
    <m/>
    <s v="20140815 JBures"/>
    <s v="20140816 HReider"/>
    <s v="x"/>
    <s v="x"/>
    <s v="na"/>
    <s v="FWL"/>
    <s v="na"/>
    <s v="na"/>
    <s v="na"/>
    <s v="na"/>
    <s v="na"/>
    <s v="na"/>
    <s v="na"/>
    <s v="na"/>
  </r>
  <r>
    <n v="2774"/>
    <x v="64"/>
    <n v="1"/>
    <x v="12"/>
    <x v="0"/>
    <x v="0"/>
    <m/>
    <m/>
    <n v="47"/>
    <m/>
    <s v="F"/>
    <m/>
    <d v="1899-12-30T00:34:00"/>
    <s v="16:59"/>
    <s v="JBu"/>
    <m/>
    <s v="20140815 JBures"/>
    <s v="20140816 HReider"/>
    <s v="x"/>
    <s v="x"/>
    <s v="na"/>
    <s v="FWL"/>
    <s v="na"/>
    <s v="na"/>
    <s v="na"/>
    <s v="na"/>
    <s v="na"/>
    <s v="na"/>
    <s v="na"/>
    <s v="na"/>
  </r>
  <r>
    <n v="2775"/>
    <x v="64"/>
    <n v="1"/>
    <x v="10"/>
    <x v="0"/>
    <x v="0"/>
    <m/>
    <m/>
    <n v="60"/>
    <m/>
    <s v="M"/>
    <m/>
    <d v="1899-12-30T00:23:00"/>
    <s v="17:00"/>
    <s v="JBu"/>
    <m/>
    <s v="20140815 JBures"/>
    <s v="20140816 HReider"/>
    <s v="x"/>
    <s v="x"/>
    <s v="na"/>
    <s v="FWL"/>
    <s v="na"/>
    <s v="na"/>
    <s v="na"/>
    <s v="na"/>
    <s v="na"/>
    <s v="na"/>
    <s v="na"/>
    <s v="na"/>
  </r>
  <r>
    <n v="2776"/>
    <x v="64"/>
    <n v="1"/>
    <x v="12"/>
    <x v="0"/>
    <x v="0"/>
    <m/>
    <m/>
    <n v="45"/>
    <m/>
    <s v="F"/>
    <m/>
    <d v="1899-12-30T00:21:00"/>
    <s v="17:02"/>
    <s v="JBu"/>
    <m/>
    <s v="20140815 JBures"/>
    <s v="20140816 HReider"/>
    <s v="x"/>
    <s v="x"/>
    <s v="na"/>
    <s v="FWL"/>
    <s v="na"/>
    <s v="na"/>
    <s v="na"/>
    <s v="na"/>
    <s v="na"/>
    <s v="na"/>
    <s v="na"/>
    <s v="na"/>
  </r>
  <r>
    <n v="2777"/>
    <x v="64"/>
    <n v="1"/>
    <x v="10"/>
    <x v="0"/>
    <x v="0"/>
    <m/>
    <m/>
    <n v="54"/>
    <m/>
    <s v="F"/>
    <m/>
    <d v="1899-12-30T00:19:00"/>
    <s v="17:03"/>
    <s v="JBu"/>
    <m/>
    <s v="20140815 JBures"/>
    <s v="20140816 HReider"/>
    <s v="x"/>
    <s v="x"/>
    <s v="na"/>
    <s v="FWL"/>
    <s v="na"/>
    <s v="na"/>
    <s v="na"/>
    <s v="na"/>
    <s v="na"/>
    <s v="na"/>
    <s v="na"/>
    <s v="na"/>
  </r>
  <r>
    <n v="2778"/>
    <x v="64"/>
    <n v="1"/>
    <x v="10"/>
    <x v="0"/>
    <x v="7"/>
    <n v="19"/>
    <s v="170 CM"/>
    <n v="57"/>
    <m/>
    <s v="F"/>
    <m/>
    <d v="1899-12-30T00:55:00"/>
    <s v="18:22"/>
    <s v="JBu"/>
    <m/>
    <s v="20140815 JBures"/>
    <s v="20140816 HReider"/>
    <s v="x"/>
    <n v="151.56399999999999"/>
    <s v="na"/>
    <s v="FWL"/>
    <s v="na"/>
    <s v="na"/>
    <s v="F1840"/>
    <s v="na"/>
    <s v="na"/>
    <s v="na"/>
    <s v="na"/>
    <s v="na"/>
  </r>
  <r>
    <n v="2779"/>
    <x v="64"/>
    <n v="1"/>
    <x v="12"/>
    <x v="0"/>
    <x v="0"/>
    <m/>
    <m/>
    <n v="45"/>
    <m/>
    <s v="F"/>
    <m/>
    <d v="1899-12-30T00:21:00"/>
    <s v="18:24"/>
    <s v="KS"/>
    <m/>
    <s v="20140815 JBures"/>
    <s v="20140816 HReider"/>
    <s v="x"/>
    <s v="x"/>
    <s v="na"/>
    <s v="FWL"/>
    <s v="na"/>
    <s v="na"/>
    <s v="na"/>
    <s v="na"/>
    <s v="na"/>
    <s v="na"/>
    <s v="na"/>
    <s v="na"/>
  </r>
  <r>
    <n v="2780"/>
    <x v="64"/>
    <n v="1"/>
    <x v="12"/>
    <x v="0"/>
    <x v="0"/>
    <m/>
    <m/>
    <n v="46"/>
    <m/>
    <s v="M"/>
    <m/>
    <d v="1899-12-30T00:18:00"/>
    <s v="18:25"/>
    <s v="KS"/>
    <m/>
    <s v="20140815 JBures"/>
    <s v="20140816 HReider"/>
    <s v="x"/>
    <s v="x"/>
    <s v="na"/>
    <s v="FWL"/>
    <s v="na"/>
    <s v="na"/>
    <s v="na"/>
    <s v="na"/>
    <s v="na"/>
    <s v="na"/>
    <s v="na"/>
    <s v="na"/>
  </r>
  <r>
    <n v="2781"/>
    <x v="64"/>
    <n v="1"/>
    <x v="9"/>
    <x v="2"/>
    <x v="0"/>
    <m/>
    <m/>
    <m/>
    <n v="21"/>
    <s v="U"/>
    <m/>
    <d v="1899-12-30T00:29:00"/>
    <s v="19:24"/>
    <s v="JBu"/>
    <m/>
    <s v="20140815 JBures"/>
    <s v="20140816 HReider"/>
    <s v="x"/>
    <s v="x"/>
    <s v="na"/>
    <s v="FWL"/>
    <s v="na"/>
    <s v="na"/>
    <s v="na"/>
    <s v="na"/>
    <s v="na"/>
    <s v="na"/>
    <s v="na"/>
    <s v="na"/>
  </r>
  <r>
    <n v="2782"/>
    <x v="64"/>
    <n v="2"/>
    <x v="10"/>
    <x v="0"/>
    <x v="0"/>
    <m/>
    <m/>
    <n v="64"/>
    <m/>
    <s v="F"/>
    <m/>
    <d v="1899-12-30T00:21:00"/>
    <s v="09:38"/>
    <s v="DJ"/>
    <m/>
    <s v="20140815 JBures"/>
    <s v="20140816 HReider"/>
    <s v="x"/>
    <s v="x"/>
    <s v="na"/>
    <s v="FWL"/>
    <s v="na"/>
    <s v="na"/>
    <s v="na"/>
    <s v="na"/>
    <s v="na"/>
    <s v="na"/>
    <s v="na"/>
    <s v="na"/>
  </r>
  <r>
    <n v="2783"/>
    <x v="64"/>
    <n v="2"/>
    <x v="10"/>
    <x v="0"/>
    <x v="0"/>
    <m/>
    <m/>
    <n v="61"/>
    <m/>
    <s v="F"/>
    <m/>
    <d v="1899-12-30T00:23:00"/>
    <s v="09:39"/>
    <s v="DJ"/>
    <m/>
    <s v="20140815 JBures"/>
    <s v="20140816 HReider"/>
    <s v="x"/>
    <s v="x"/>
    <s v="na"/>
    <s v="FWL"/>
    <s v="na"/>
    <s v="na"/>
    <s v="na"/>
    <s v="na"/>
    <s v="na"/>
    <s v="na"/>
    <s v="na"/>
    <s v="na"/>
  </r>
  <r>
    <n v="2784"/>
    <x v="64"/>
    <n v="2"/>
    <x v="10"/>
    <x v="0"/>
    <x v="0"/>
    <m/>
    <m/>
    <n v="62"/>
    <m/>
    <s v="F"/>
    <m/>
    <d v="1899-12-30T00:21:00"/>
    <s v="09:40"/>
    <s v="DJ"/>
    <m/>
    <s v="20140815 JBures"/>
    <s v="20140816 HReider"/>
    <s v="x"/>
    <s v="x"/>
    <s v="na"/>
    <s v="FWL"/>
    <s v="na"/>
    <s v="na"/>
    <s v="na"/>
    <s v="na"/>
    <s v="na"/>
    <s v="na"/>
    <s v="na"/>
    <s v="na"/>
  </r>
  <r>
    <n v="2785"/>
    <x v="64"/>
    <n v="2"/>
    <x v="13"/>
    <x v="0"/>
    <x v="14"/>
    <n v="0"/>
    <s v="91 CO"/>
    <n v="60"/>
    <m/>
    <s v="U"/>
    <m/>
    <d v="1899-12-30T00:51:00"/>
    <s v="09:42"/>
    <s v="DJ"/>
    <m/>
    <s v="20140815 JBures"/>
    <s v="20140816 HReider"/>
    <s v="x"/>
    <n v="151.32499999999999"/>
    <s v="na"/>
    <s v="FWL"/>
    <s v="na"/>
    <s v="na"/>
    <s v="F1840"/>
    <s v="na"/>
    <s v="na"/>
    <s v="na"/>
    <s v="na"/>
    <s v="na"/>
  </r>
  <r>
    <n v="2786"/>
    <x v="64"/>
    <n v="2"/>
    <x v="10"/>
    <x v="0"/>
    <x v="0"/>
    <m/>
    <m/>
    <n v="60"/>
    <m/>
    <s v="U"/>
    <m/>
    <d v="1899-12-30T00:27:00"/>
    <s v="12:30"/>
    <s v="DJ"/>
    <m/>
    <s v="20140815 JBures"/>
    <s v="20140816 HReider"/>
    <s v="x"/>
    <s v="x"/>
    <s v="na"/>
    <s v="FWL"/>
    <s v="na"/>
    <s v="na"/>
    <s v="na"/>
    <s v="na"/>
    <s v="na"/>
    <s v="na"/>
    <s v="na"/>
    <s v="na"/>
  </r>
  <r>
    <n v="2787"/>
    <x v="64"/>
    <n v="2"/>
    <x v="12"/>
    <x v="0"/>
    <x v="0"/>
    <m/>
    <m/>
    <n v="42"/>
    <m/>
    <s v="F"/>
    <m/>
    <d v="1899-12-30T00:19:00"/>
    <s v="12:31"/>
    <s v="DJ"/>
    <m/>
    <s v="20140815 JBures"/>
    <s v="20140816 HReider"/>
    <s v="x"/>
    <s v="x"/>
    <s v="na"/>
    <s v="FWL"/>
    <s v="na"/>
    <s v="na"/>
    <s v="na"/>
    <s v="na"/>
    <s v="na"/>
    <s v="na"/>
    <s v="na"/>
    <s v="na"/>
  </r>
  <r>
    <n v="2788"/>
    <x v="64"/>
    <n v="2"/>
    <x v="13"/>
    <x v="0"/>
    <x v="15"/>
    <n v="68"/>
    <s v="98 CO"/>
    <n v="55"/>
    <m/>
    <s v="U"/>
    <m/>
    <d v="1899-12-30T01:24:00"/>
    <s v="13:33"/>
    <s v="DJ"/>
    <s v="F266."/>
    <s v="20140815 JBures"/>
    <s v="20140816 HReider"/>
    <s v="x"/>
    <n v="151.26599999999999"/>
    <s v="na"/>
    <s v="FWL"/>
    <s v="na"/>
    <s v="na"/>
    <s v="F1840"/>
    <s v="na"/>
    <s v="na"/>
    <s v="na"/>
    <s v="na"/>
    <s v="na"/>
  </r>
  <r>
    <n v="2789"/>
    <x v="64"/>
    <n v="2"/>
    <x v="10"/>
    <x v="0"/>
    <x v="0"/>
    <m/>
    <m/>
    <n v="58"/>
    <m/>
    <s v="M"/>
    <m/>
    <d v="1899-12-30T00:19:00"/>
    <s v="13:35"/>
    <s v="DJ"/>
    <m/>
    <s v="20140815 JBures"/>
    <s v="20140816 HReider"/>
    <s v="x"/>
    <s v="x"/>
    <s v="na"/>
    <s v="FWL"/>
    <s v="na"/>
    <s v="na"/>
    <s v="na"/>
    <s v="na"/>
    <s v="na"/>
    <s v="na"/>
    <s v="na"/>
    <s v="na"/>
  </r>
  <r>
    <n v="2790"/>
    <x v="64"/>
    <n v="2"/>
    <x v="10"/>
    <x v="0"/>
    <x v="0"/>
    <m/>
    <m/>
    <n v="58"/>
    <m/>
    <s v="M"/>
    <m/>
    <d v="1899-12-30T00:17:00"/>
    <s v="13:36"/>
    <s v="DJ"/>
    <m/>
    <s v="20140815 JBures"/>
    <s v="20140816 HReider"/>
    <s v="x"/>
    <s v="x"/>
    <s v="na"/>
    <s v="FWL"/>
    <s v="na"/>
    <s v="na"/>
    <s v="na"/>
    <s v="na"/>
    <s v="na"/>
    <s v="na"/>
    <s v="na"/>
    <s v="na"/>
  </r>
  <r>
    <n v="2791"/>
    <x v="64"/>
    <n v="2"/>
    <x v="10"/>
    <x v="0"/>
    <x v="0"/>
    <m/>
    <m/>
    <n v="61"/>
    <m/>
    <s v="M"/>
    <m/>
    <d v="1899-12-30T00:20:00"/>
    <s v="14:56"/>
    <s v="JBu"/>
    <m/>
    <s v="20140815 JBures"/>
    <s v="20140816 HReider"/>
    <s v="x"/>
    <s v="x"/>
    <s v="na"/>
    <s v="FWL"/>
    <s v="na"/>
    <s v="na"/>
    <s v="na"/>
    <s v="na"/>
    <s v="na"/>
    <s v="na"/>
    <s v="na"/>
    <s v="na"/>
  </r>
  <r>
    <n v="2792"/>
    <x v="64"/>
    <n v="2"/>
    <x v="13"/>
    <x v="0"/>
    <x v="0"/>
    <m/>
    <m/>
    <n v="60"/>
    <m/>
    <s v="M"/>
    <m/>
    <d v="1899-12-30T00:21:00"/>
    <s v="14:57"/>
    <s v="JBu"/>
    <m/>
    <s v="20140815 JBures"/>
    <s v="20140816 HReider"/>
    <s v="x"/>
    <s v="x"/>
    <s v="na"/>
    <s v="FWL"/>
    <s v="na"/>
    <s v="na"/>
    <s v="na"/>
    <s v="na"/>
    <s v="na"/>
    <s v="na"/>
    <s v="na"/>
    <s v="na"/>
  </r>
  <r>
    <n v="2793"/>
    <x v="64"/>
    <n v="2"/>
    <x v="10"/>
    <x v="0"/>
    <x v="0"/>
    <m/>
    <m/>
    <n v="60"/>
    <m/>
    <s v="M"/>
    <m/>
    <d v="1899-12-30T00:19:00"/>
    <s v="14:58"/>
    <s v="JBu"/>
    <m/>
    <s v="20140815 JBures"/>
    <s v="20140816 HReider"/>
    <s v="x"/>
    <s v="x"/>
    <s v="na"/>
    <s v="FWL"/>
    <s v="na"/>
    <s v="na"/>
    <s v="na"/>
    <s v="na"/>
    <s v="na"/>
    <s v="na"/>
    <s v="na"/>
    <s v="na"/>
  </r>
  <r>
    <n v="2794"/>
    <x v="64"/>
    <n v="2"/>
    <x v="10"/>
    <x v="0"/>
    <x v="0"/>
    <m/>
    <m/>
    <n v="59"/>
    <m/>
    <s v="M"/>
    <m/>
    <d v="1899-12-30T00:23:00"/>
    <s v="15:00"/>
    <s v="JBu"/>
    <m/>
    <s v="20140815 JBures"/>
    <s v="20140816 HReider"/>
    <s v="x"/>
    <s v="x"/>
    <s v="na"/>
    <s v="FWL"/>
    <s v="na"/>
    <s v="na"/>
    <s v="na"/>
    <s v="na"/>
    <s v="na"/>
    <s v="na"/>
    <s v="na"/>
    <s v="na"/>
  </r>
  <r>
    <n v="2795"/>
    <x v="64"/>
    <n v="2"/>
    <x v="10"/>
    <x v="0"/>
    <x v="0"/>
    <m/>
    <m/>
    <n v="57"/>
    <m/>
    <s v="F"/>
    <m/>
    <d v="1899-12-30T00:20:00"/>
    <s v="17:11"/>
    <s v="JBu"/>
    <m/>
    <s v="20140815 JBures"/>
    <s v="20140816 HReider"/>
    <s v="x"/>
    <s v="x"/>
    <s v="na"/>
    <s v="FWL"/>
    <s v="na"/>
    <s v="na"/>
    <s v="na"/>
    <s v="na"/>
    <s v="na"/>
    <s v="na"/>
    <s v="na"/>
    <s v="na"/>
  </r>
  <r>
    <n v="2796"/>
    <x v="64"/>
    <n v="2"/>
    <x v="1"/>
    <x v="0"/>
    <x v="0"/>
    <m/>
    <m/>
    <n v="51"/>
    <m/>
    <s v="M"/>
    <m/>
    <d v="1899-12-30T00:29:00"/>
    <s v="17:13"/>
    <s v="JBu"/>
    <s v="Dark, abraided fins, milting"/>
    <s v="20140815 JBures"/>
    <s v="20140816 HReider"/>
    <s v="x"/>
    <s v="x"/>
    <s v="na"/>
    <s v="FWL"/>
    <s v="na"/>
    <s v="na"/>
    <s v="na"/>
    <s v="na"/>
    <s v="na"/>
    <s v="na"/>
    <s v="na"/>
    <s v="na"/>
  </r>
  <r>
    <n v="2797"/>
    <x v="64"/>
    <n v="2"/>
    <x v="12"/>
    <x v="0"/>
    <x v="0"/>
    <m/>
    <m/>
    <n v="48"/>
    <m/>
    <s v="F"/>
    <m/>
    <d v="1899-12-30T00:20:00"/>
    <s v="18:12"/>
    <s v="JBu"/>
    <m/>
    <s v="20140815 JBures"/>
    <s v="20140816 HReider"/>
    <s v="x"/>
    <s v="x"/>
    <s v="na"/>
    <s v="FWL"/>
    <s v="na"/>
    <s v="na"/>
    <s v="na"/>
    <s v="na"/>
    <s v="na"/>
    <s v="na"/>
    <s v="na"/>
    <s v="na"/>
  </r>
  <r>
    <n v="2798"/>
    <x v="64"/>
    <n v="2"/>
    <x v="13"/>
    <x v="0"/>
    <x v="0"/>
    <m/>
    <m/>
    <n v="52"/>
    <m/>
    <s v="F"/>
    <m/>
    <d v="1899-12-30T00:24:00"/>
    <s v="19:09"/>
    <s v="JBu"/>
    <m/>
    <s v="20140815 JBures"/>
    <s v="20140816 HReider"/>
    <s v="x"/>
    <s v="x"/>
    <s v="na"/>
    <s v="FWL"/>
    <s v="na"/>
    <s v="na"/>
    <s v="na"/>
    <s v="na"/>
    <s v="na"/>
    <s v="na"/>
    <s v="na"/>
    <s v="na"/>
  </r>
  <r>
    <n v="2799"/>
    <x v="64"/>
    <n v="2"/>
    <x v="10"/>
    <x v="0"/>
    <x v="0"/>
    <m/>
    <m/>
    <n v="62"/>
    <m/>
    <s v="F"/>
    <m/>
    <d v="1899-12-30T00:21:00"/>
    <s v="19:17"/>
    <s v="JBu"/>
    <m/>
    <s v="20140815 JBures"/>
    <s v="20140816 HReider"/>
    <s v="x"/>
    <s v="x"/>
    <s v="na"/>
    <s v="FWL"/>
    <s v="na"/>
    <s v="na"/>
    <s v="na"/>
    <s v="na"/>
    <s v="na"/>
    <s v="na"/>
    <s v="na"/>
    <s v="na"/>
  </r>
  <r>
    <n v="2800"/>
    <x v="64"/>
    <n v="2"/>
    <x v="12"/>
    <x v="0"/>
    <x v="0"/>
    <m/>
    <m/>
    <n v="44"/>
    <m/>
    <s v="F"/>
    <m/>
    <d v="1899-12-30T00:29:00"/>
    <s v="20:00"/>
    <s v="JBu"/>
    <m/>
    <s v="20140815 JBures"/>
    <s v="20140816 HReider"/>
    <s v="x"/>
    <s v="x"/>
    <s v="na"/>
    <s v="FWL"/>
    <s v="na"/>
    <s v="na"/>
    <s v="na"/>
    <s v="na"/>
    <s v="na"/>
    <s v="na"/>
    <s v="na"/>
    <s v="na"/>
  </r>
  <r>
    <n v="2801"/>
    <x v="64"/>
    <n v="2"/>
    <x v="10"/>
    <x v="0"/>
    <x v="0"/>
    <m/>
    <m/>
    <n v="56"/>
    <m/>
    <s v="M"/>
    <m/>
    <d v="1899-12-30T00:21:00"/>
    <s v="20:01"/>
    <s v="JBu"/>
    <m/>
    <s v="20140815 JBures"/>
    <s v="20140816 HReider"/>
    <s v="x"/>
    <s v="x"/>
    <s v="na"/>
    <s v="FWL"/>
    <s v="na"/>
    <s v="na"/>
    <s v="na"/>
    <s v="na"/>
    <s v="na"/>
    <s v="na"/>
    <s v="na"/>
    <s v="na"/>
  </r>
  <r>
    <n v="2802"/>
    <x v="64"/>
    <n v="3"/>
    <x v="10"/>
    <x v="0"/>
    <x v="11"/>
    <n v="86"/>
    <s v="158 CM"/>
    <n v="56"/>
    <m/>
    <s v="M"/>
    <m/>
    <d v="1899-12-30T00:43:00"/>
    <s v="09:12"/>
    <s v="KS"/>
    <m/>
    <s v="20140815 JBures"/>
    <s v="20140816 HReider"/>
    <s v="x"/>
    <n v="151.53399999999999"/>
    <s v="na"/>
    <s v="FWL"/>
    <s v="na"/>
    <s v="na"/>
    <s v="F1840"/>
    <s v="na"/>
    <s v="na"/>
    <s v="na"/>
    <s v="na"/>
    <s v="na"/>
  </r>
  <r>
    <n v="2803"/>
    <x v="64"/>
    <n v="3"/>
    <x v="7"/>
    <x v="1"/>
    <x v="0"/>
    <m/>
    <m/>
    <n v="35"/>
    <m/>
    <s v="U"/>
    <m/>
    <d v="1899-12-30T00:24:00"/>
    <s v="09:14"/>
    <s v="JBu"/>
    <m/>
    <s v="20140815 JBures"/>
    <s v="20140816 HReider"/>
    <s v="x"/>
    <s v="x"/>
    <s v="na"/>
    <s v="FWL"/>
    <s v="na"/>
    <s v="na"/>
    <s v="na"/>
    <s v="na"/>
    <s v="na"/>
    <s v="na"/>
    <s v="na"/>
    <s v="na"/>
  </r>
  <r>
    <n v="2804"/>
    <x v="64"/>
    <n v="3"/>
    <x v="0"/>
    <x v="2"/>
    <x v="0"/>
    <m/>
    <m/>
    <m/>
    <n v="24"/>
    <s v="U"/>
    <m/>
    <d v="1899-12-30T00:21:00"/>
    <s v="09:45"/>
    <s v="JBu"/>
    <m/>
    <s v="20140815 JBures"/>
    <s v="20140816 HReider"/>
    <s v="x"/>
    <s v="x"/>
    <s v="na"/>
    <s v="FWL"/>
    <s v="na"/>
    <s v="na"/>
    <s v="na"/>
    <s v="na"/>
    <s v="na"/>
    <s v="na"/>
    <s v="na"/>
    <s v="na"/>
  </r>
  <r>
    <n v="2805"/>
    <x v="64"/>
    <n v="3"/>
    <x v="13"/>
    <x v="0"/>
    <x v="15"/>
    <n v="30"/>
    <s v="82 CO"/>
    <n v="55"/>
    <m/>
    <s v="M"/>
    <m/>
    <d v="1899-12-30T00:35:00"/>
    <s v="10:13"/>
    <s v="JBu"/>
    <s v="F266."/>
    <s v="20140815 JBures"/>
    <s v="20140816 HReider"/>
    <s v="x"/>
    <n v="151.26599999999999"/>
    <s v="na"/>
    <s v="FWL"/>
    <s v="na"/>
    <s v="na"/>
    <s v="F1840"/>
    <s v="na"/>
    <s v="na"/>
    <s v="na"/>
    <s v="na"/>
    <s v="na"/>
  </r>
  <r>
    <n v="2806"/>
    <x v="64"/>
    <n v="3"/>
    <x v="10"/>
    <x v="0"/>
    <x v="7"/>
    <n v="75"/>
    <s v="173 CM"/>
    <n v="53"/>
    <m/>
    <s v="M"/>
    <m/>
    <d v="1899-12-30T01:04:00"/>
    <s v="12:18"/>
    <s v="HR"/>
    <m/>
    <s v="20140815 HReider"/>
    <s v="20140816 HReider"/>
    <s v="x"/>
    <n v="151.56399999999999"/>
    <s v="na"/>
    <s v="FWL"/>
    <s v="na"/>
    <s v="na"/>
    <s v="F1840"/>
    <s v="na"/>
    <s v="na"/>
    <s v="na"/>
    <s v="na"/>
    <s v="na"/>
  </r>
  <r>
    <n v="2807"/>
    <x v="64"/>
    <n v="3"/>
    <x v="12"/>
    <x v="0"/>
    <x v="12"/>
    <n v="51"/>
    <s v="184 P"/>
    <n v="45"/>
    <m/>
    <s v="M"/>
    <m/>
    <d v="1899-12-30T00:54:00"/>
    <s v="12:21"/>
    <s v="HR"/>
    <m/>
    <s v="20140815 HReider"/>
    <s v="20140816 HReider"/>
    <s v="x"/>
    <n v="151.596"/>
    <s v="na"/>
    <s v="FWL"/>
    <s v="na"/>
    <s v="na"/>
    <s v="F1835"/>
    <s v="na"/>
    <s v="na"/>
    <s v="na"/>
    <s v="na"/>
    <s v="na"/>
  </r>
  <r>
    <n v="2808"/>
    <x v="64"/>
    <n v="3"/>
    <x v="12"/>
    <x v="0"/>
    <x v="0"/>
    <m/>
    <m/>
    <n v="46"/>
    <m/>
    <s v="F"/>
    <m/>
    <d v="1899-12-30T00:36:00"/>
    <s v="12:23"/>
    <s v="HR"/>
    <m/>
    <s v="20140815 HReider"/>
    <s v="20140816 HReider"/>
    <s v="x"/>
    <s v="x"/>
    <s v="na"/>
    <s v="FWL"/>
    <s v="na"/>
    <s v="na"/>
    <s v="na"/>
    <s v="na"/>
    <s v="na"/>
    <s v="na"/>
    <s v="na"/>
    <s v="na"/>
  </r>
  <r>
    <n v="2809"/>
    <x v="64"/>
    <n v="3"/>
    <x v="12"/>
    <x v="0"/>
    <x v="0"/>
    <m/>
    <m/>
    <n v="46"/>
    <m/>
    <s v="F"/>
    <m/>
    <d v="1899-12-30T00:28:00"/>
    <s v="12:28"/>
    <s v="HR"/>
    <m/>
    <s v="20140815 HReider"/>
    <s v="20140816 HReider"/>
    <s v="x"/>
    <s v="x"/>
    <s v="na"/>
    <s v="FWL"/>
    <s v="na"/>
    <s v="na"/>
    <s v="na"/>
    <s v="na"/>
    <s v="na"/>
    <s v="na"/>
    <s v="na"/>
    <s v="na"/>
  </r>
  <r>
    <n v="2810"/>
    <x v="64"/>
    <n v="3"/>
    <x v="13"/>
    <x v="0"/>
    <x v="14"/>
    <n v="30"/>
    <s v="93 CO"/>
    <n v="59"/>
    <m/>
    <s v="F"/>
    <m/>
    <d v="1899-12-30T01:25:00"/>
    <s v="12:26"/>
    <s v="HR"/>
    <m/>
    <s v="20140815 HReider"/>
    <s v="20140816 HReider"/>
    <s v="x"/>
    <n v="151.32499999999999"/>
    <s v="na"/>
    <s v="FWL"/>
    <s v="na"/>
    <s v="na"/>
    <s v="F1840"/>
    <s v="na"/>
    <s v="na"/>
    <s v="na"/>
    <s v="na"/>
    <s v="na"/>
  </r>
  <r>
    <n v="2811"/>
    <x v="64"/>
    <n v="3"/>
    <x v="10"/>
    <x v="0"/>
    <x v="0"/>
    <m/>
    <m/>
    <n v="61"/>
    <m/>
    <s v="M"/>
    <m/>
    <d v="1899-12-30T00:19:00"/>
    <s v="13:18"/>
    <s v="LA"/>
    <m/>
    <s v="20140815 HReider"/>
    <s v="20140816 HReider"/>
    <s v="x"/>
    <s v="x"/>
    <s v="na"/>
    <s v="FWL"/>
    <s v="na"/>
    <s v="na"/>
    <s v="na"/>
    <s v="na"/>
    <s v="na"/>
    <s v="na"/>
    <s v="na"/>
    <s v="na"/>
  </r>
  <r>
    <n v="2812"/>
    <x v="64"/>
    <n v="3"/>
    <x v="10"/>
    <x v="0"/>
    <x v="0"/>
    <m/>
    <m/>
    <n v="56"/>
    <m/>
    <s v="M"/>
    <m/>
    <d v="1899-12-30T00:23:00"/>
    <s v="13:19"/>
    <s v="LA"/>
    <m/>
    <s v="20140815 HReider"/>
    <s v="20140816 HReider"/>
    <s v="x"/>
    <s v="x"/>
    <s v="na"/>
    <s v="FWL"/>
    <s v="na"/>
    <s v="na"/>
    <s v="na"/>
    <s v="na"/>
    <s v="na"/>
    <s v="na"/>
    <s v="na"/>
    <s v="na"/>
  </r>
  <r>
    <n v="2813"/>
    <x v="64"/>
    <n v="3"/>
    <x v="13"/>
    <x v="0"/>
    <x v="14"/>
    <n v="20"/>
    <s v="94 CO"/>
    <n v="55"/>
    <m/>
    <s v="F"/>
    <m/>
    <d v="1899-12-30T01:08:00"/>
    <s v="15:11"/>
    <s v="LA"/>
    <m/>
    <s v="20140815 HReider"/>
    <s v="20140816 HReider"/>
    <s v="x"/>
    <n v="151.32499999999999"/>
    <s v="na"/>
    <s v="FWL"/>
    <s v="na"/>
    <s v="na"/>
    <s v="F1840"/>
    <s v="na"/>
    <s v="na"/>
    <s v="na"/>
    <s v="na"/>
    <s v="na"/>
  </r>
  <r>
    <n v="2814"/>
    <x v="64"/>
    <n v="3"/>
    <x v="13"/>
    <x v="0"/>
    <x v="14"/>
    <n v="95"/>
    <s v="95 CO"/>
    <n v="53"/>
    <m/>
    <s v="F"/>
    <m/>
    <d v="1899-12-30T01:08:00"/>
    <s v="15:15"/>
    <s v="LA"/>
    <s v="very silver in color"/>
    <s v="20140815 HReider"/>
    <s v="20140816 HReider"/>
    <s v="x"/>
    <n v="151.32499999999999"/>
    <s v="na"/>
    <s v="FWL"/>
    <s v="na"/>
    <s v="na"/>
    <s v="F1840"/>
    <s v="na"/>
    <s v="na"/>
    <s v="na"/>
    <s v="na"/>
    <s v="na"/>
  </r>
  <r>
    <n v="2815"/>
    <x v="64"/>
    <n v="3"/>
    <x v="12"/>
    <x v="0"/>
    <x v="0"/>
    <m/>
    <m/>
    <n v="43"/>
    <m/>
    <s v="F"/>
    <m/>
    <d v="1899-12-30T00:24:00"/>
    <s v="15:13"/>
    <s v="LA"/>
    <m/>
    <s v="20140815 HReider"/>
    <s v="20140816 HReider"/>
    <s v="x"/>
    <s v="x"/>
    <s v="na"/>
    <s v="FWL"/>
    <s v="na"/>
    <s v="na"/>
    <s v="na"/>
    <s v="na"/>
    <s v="na"/>
    <s v="na"/>
    <s v="na"/>
    <s v="na"/>
  </r>
  <r>
    <n v="2816"/>
    <x v="64"/>
    <n v="3"/>
    <x v="12"/>
    <x v="0"/>
    <x v="0"/>
    <m/>
    <m/>
    <n v="43"/>
    <m/>
    <s v="M"/>
    <m/>
    <d v="1899-12-30T00:25:00"/>
    <s v="16:06"/>
    <s v="LA"/>
    <m/>
    <s v="20140815 HReider"/>
    <s v="20140816 HReider"/>
    <s v="x"/>
    <s v="x"/>
    <s v="na"/>
    <s v="FWL"/>
    <s v="na"/>
    <s v="na"/>
    <s v="na"/>
    <s v="na"/>
    <s v="na"/>
    <s v="na"/>
    <s v="na"/>
    <s v="na"/>
  </r>
  <r>
    <n v="2817"/>
    <x v="64"/>
    <n v="3"/>
    <x v="13"/>
    <x v="0"/>
    <x v="0"/>
    <m/>
    <m/>
    <n v="52"/>
    <m/>
    <s v="U"/>
    <m/>
    <d v="1899-12-30T00:31:00"/>
    <s v="16:06"/>
    <s v="LA"/>
    <m/>
    <s v="20140815 HReider"/>
    <s v="20140816 HReider"/>
    <s v="x"/>
    <s v="x"/>
    <s v="na"/>
    <s v="FWL"/>
    <s v="na"/>
    <s v="na"/>
    <s v="na"/>
    <s v="na"/>
    <s v="na"/>
    <s v="na"/>
    <s v="na"/>
    <s v="na"/>
  </r>
  <r>
    <n v="2818"/>
    <x v="64"/>
    <n v="3"/>
    <x v="10"/>
    <x v="0"/>
    <x v="0"/>
    <m/>
    <m/>
    <n v="53"/>
    <m/>
    <s v="U"/>
    <m/>
    <d v="1899-12-30T00:23:00"/>
    <s v="17:37"/>
    <s v="CSj"/>
    <m/>
    <s v="20140815 JKunzler"/>
    <s v="20140816 HReider"/>
    <s v="x"/>
    <s v="x"/>
    <s v="na"/>
    <s v="FWL"/>
    <s v="na"/>
    <s v="na"/>
    <s v="na"/>
    <s v="na"/>
    <s v="na"/>
    <s v="na"/>
    <s v="na"/>
    <s v="na"/>
  </r>
  <r>
    <n v="2819"/>
    <x v="64"/>
    <n v="3"/>
    <x v="12"/>
    <x v="0"/>
    <x v="0"/>
    <m/>
    <m/>
    <n v="45"/>
    <m/>
    <s v="F"/>
    <m/>
    <d v="1899-12-30T00:21:00"/>
    <s v="19:14"/>
    <s v="CSj"/>
    <m/>
    <s v="20140815 JKunzler"/>
    <s v="20140816 HReider"/>
    <s v="x"/>
    <s v="x"/>
    <s v="na"/>
    <s v="FWL"/>
    <s v="na"/>
    <s v="na"/>
    <s v="na"/>
    <s v="na"/>
    <s v="na"/>
    <s v="na"/>
    <s v="na"/>
    <s v="na"/>
  </r>
  <r>
    <n v="2820"/>
    <x v="64"/>
    <n v="3"/>
    <x v="12"/>
    <x v="0"/>
    <x v="0"/>
    <m/>
    <m/>
    <n v="45"/>
    <m/>
    <s v="F"/>
    <m/>
    <d v="1899-12-30T00:24:00"/>
    <s v="19:20"/>
    <s v="CSj"/>
    <m/>
    <s v="20140815 JKunzler"/>
    <s v="20140816 HReider"/>
    <s v="x"/>
    <s v="x"/>
    <s v="na"/>
    <s v="FWL"/>
    <s v="na"/>
    <s v="na"/>
    <s v="na"/>
    <s v="na"/>
    <s v="na"/>
    <s v="na"/>
    <s v="na"/>
    <s v="na"/>
  </r>
  <r>
    <n v="2821"/>
    <x v="64"/>
    <n v="3"/>
    <x v="10"/>
    <x v="0"/>
    <x v="0"/>
    <m/>
    <m/>
    <n v="60"/>
    <m/>
    <s v="U"/>
    <m/>
    <d v="1899-12-30T00:23:00"/>
    <s v="19:23"/>
    <s v="CSj"/>
    <m/>
    <s v="20140815 JKunzler"/>
    <s v="20140816 HReider"/>
    <s v="x"/>
    <s v="x"/>
    <s v="na"/>
    <s v="FWL"/>
    <s v="na"/>
    <s v="na"/>
    <s v="na"/>
    <s v="na"/>
    <s v="na"/>
    <s v="na"/>
    <s v="na"/>
    <s v="na"/>
  </r>
  <r>
    <n v="2822"/>
    <x v="64"/>
    <n v="3"/>
    <x v="10"/>
    <x v="0"/>
    <x v="0"/>
    <m/>
    <m/>
    <n v="61"/>
    <m/>
    <s v="M"/>
    <d v="1899-12-30T19:25:00"/>
    <d v="1899-12-30T00:44:00"/>
    <s v="19:28"/>
    <s v="CSj"/>
    <m/>
    <s v="20140815 JKunzler"/>
    <s v="20140816 HReider"/>
    <d v="1899-12-30T00:02:16"/>
    <s v="x"/>
    <s v="na"/>
    <s v="FWL"/>
    <s v="na"/>
    <s v="na"/>
    <s v="na"/>
    <s v="na"/>
    <s v="na"/>
    <s v="na"/>
    <s v="na"/>
    <s v="na"/>
  </r>
  <r>
    <n v="2823"/>
    <x v="65"/>
    <n v="1"/>
    <x v="12"/>
    <x v="0"/>
    <x v="13"/>
    <n v="88"/>
    <s v="193 P"/>
    <n v="44"/>
    <m/>
    <s v="F"/>
    <m/>
    <d v="1899-12-30T00:44:00"/>
    <s v="08:36"/>
    <s v="JBu"/>
    <m/>
    <s v="20140816 KShippen"/>
    <s v="20140817 HReider"/>
    <s v="x"/>
    <n v="151.51499999999999"/>
    <s v="na"/>
    <s v="FWL"/>
    <s v="na"/>
    <s v="na"/>
    <s v="F1835"/>
    <s v="na"/>
    <s v="na"/>
    <s v="na"/>
    <s v="na"/>
    <s v="na"/>
  </r>
  <r>
    <n v="2824"/>
    <x v="65"/>
    <n v="1"/>
    <x v="12"/>
    <x v="0"/>
    <x v="0"/>
    <m/>
    <m/>
    <n v="46"/>
    <m/>
    <s v="F"/>
    <m/>
    <d v="1899-12-30T00:19:00"/>
    <s v="10:40"/>
    <s v="KS"/>
    <m/>
    <s v="20140816 KShippen"/>
    <s v="20140817 HReider"/>
    <s v="x"/>
    <s v="x"/>
    <s v="na"/>
    <s v="FWL"/>
    <s v="na"/>
    <s v="na"/>
    <s v="na"/>
    <s v="na"/>
    <s v="na"/>
    <s v="na"/>
    <s v="na"/>
    <s v="na"/>
  </r>
  <r>
    <n v="2825"/>
    <x v="65"/>
    <n v="1"/>
    <x v="10"/>
    <x v="0"/>
    <x v="7"/>
    <n v="21"/>
    <s v="171 CM"/>
    <n v="50"/>
    <m/>
    <s v="F"/>
    <m/>
    <d v="1899-12-30T00:52:00"/>
    <s v="10:47"/>
    <s v="KS"/>
    <m/>
    <s v="20140816 KShippen"/>
    <s v="20140817 HReider"/>
    <s v="x"/>
    <n v="151.56399999999999"/>
    <s v="na"/>
    <s v="FWL"/>
    <s v="na"/>
    <s v="na"/>
    <s v="F1840"/>
    <s v="na"/>
    <s v="na"/>
    <s v="na"/>
    <s v="na"/>
    <s v="na"/>
  </r>
  <r>
    <n v="2826"/>
    <x v="65"/>
    <n v="1"/>
    <x v="13"/>
    <x v="0"/>
    <x v="15"/>
    <n v="71"/>
    <s v="99 CO"/>
    <n v="60"/>
    <m/>
    <s v="M"/>
    <m/>
    <d v="1899-12-30T00:52:00"/>
    <s v="10:50"/>
    <s v="KS"/>
    <s v="F266."/>
    <s v="20140816 KShippen"/>
    <s v="20140817 HReider"/>
    <s v="x"/>
    <n v="151.26599999999999"/>
    <s v="na"/>
    <s v="FWL"/>
    <s v="na"/>
    <s v="na"/>
    <s v="F1840"/>
    <s v="na"/>
    <s v="na"/>
    <s v="na"/>
    <s v="na"/>
    <s v="na"/>
  </r>
  <r>
    <n v="2827"/>
    <x v="65"/>
    <n v="1"/>
    <x v="10"/>
    <x v="0"/>
    <x v="0"/>
    <m/>
    <m/>
    <n v="56"/>
    <m/>
    <s v="F"/>
    <m/>
    <d v="1899-12-30T00:28:00"/>
    <s v="10:52"/>
    <s v="KS"/>
    <m/>
    <s v="20140816 KShippen"/>
    <s v="20140817 HReider"/>
    <s v="x"/>
    <s v="x"/>
    <s v="na"/>
    <s v="FWL"/>
    <s v="na"/>
    <s v="na"/>
    <s v="na"/>
    <s v="na"/>
    <s v="na"/>
    <s v="na"/>
    <s v="na"/>
    <s v="na"/>
  </r>
  <r>
    <n v="2828"/>
    <x v="65"/>
    <n v="1"/>
    <x v="12"/>
    <x v="0"/>
    <x v="0"/>
    <m/>
    <m/>
    <n v="47"/>
    <m/>
    <s v="M"/>
    <d v="1899-12-30T10:54:00"/>
    <d v="1899-12-30T00:21:00"/>
    <s v="10:55"/>
    <s v="KS"/>
    <m/>
    <s v="20140816 KShippen"/>
    <s v="20140817 HReider"/>
    <d v="1899-12-30T00:00:39"/>
    <s v="x"/>
    <s v="na"/>
    <s v="FWL"/>
    <s v="na"/>
    <s v="na"/>
    <s v="na"/>
    <s v="na"/>
    <s v="na"/>
    <s v="na"/>
    <s v="na"/>
    <s v="na"/>
  </r>
  <r>
    <n v="2829"/>
    <x v="65"/>
    <n v="1"/>
    <x v="10"/>
    <x v="0"/>
    <x v="0"/>
    <m/>
    <m/>
    <n v="57"/>
    <m/>
    <s v="M"/>
    <m/>
    <d v="1899-12-30T00:31:00"/>
    <s v="12:34"/>
    <s v="KS"/>
    <m/>
    <s v="20140816 KShippen"/>
    <s v="20140817 HReider"/>
    <s v="x"/>
    <s v="x"/>
    <s v="na"/>
    <s v="FWL"/>
    <s v="na"/>
    <s v="na"/>
    <s v="na"/>
    <s v="na"/>
    <s v="na"/>
    <s v="na"/>
    <s v="na"/>
    <s v="na"/>
  </r>
  <r>
    <n v="2830"/>
    <x v="65"/>
    <n v="1"/>
    <x v="12"/>
    <x v="0"/>
    <x v="0"/>
    <m/>
    <m/>
    <n v="42"/>
    <m/>
    <s v="F"/>
    <m/>
    <d v="1899-12-30T00:17:00"/>
    <s v="12:35"/>
    <s v="KS"/>
    <m/>
    <s v="20140816 KShippen"/>
    <s v="20140817 HReider"/>
    <s v="x"/>
    <s v="x"/>
    <s v="na"/>
    <s v="FWL"/>
    <s v="na"/>
    <s v="na"/>
    <s v="na"/>
    <s v="na"/>
    <s v="na"/>
    <s v="na"/>
    <s v="na"/>
    <s v="na"/>
  </r>
  <r>
    <n v="2831"/>
    <x v="65"/>
    <n v="1"/>
    <x v="12"/>
    <x v="0"/>
    <x v="0"/>
    <m/>
    <m/>
    <n v="43"/>
    <m/>
    <s v="M"/>
    <m/>
    <d v="1899-12-30T00:21:00"/>
    <s v="12:38"/>
    <s v="KS"/>
    <m/>
    <s v="20140816 KShippen"/>
    <s v="20140817 HReider"/>
    <s v="x"/>
    <s v="x"/>
    <s v="na"/>
    <s v="FWL"/>
    <s v="na"/>
    <s v="na"/>
    <s v="na"/>
    <s v="na"/>
    <s v="na"/>
    <s v="na"/>
    <s v="na"/>
    <s v="na"/>
  </r>
  <r>
    <n v="2832"/>
    <x v="65"/>
    <n v="1"/>
    <x v="7"/>
    <x v="0"/>
    <x v="10"/>
    <n v="85"/>
    <s v="182 S"/>
    <n v="41"/>
    <m/>
    <s v="F"/>
    <m/>
    <d v="1899-12-30T01:07:00"/>
    <s v="12:41"/>
    <s v="KS"/>
    <m/>
    <s v="20140816 KShippen"/>
    <s v="20140817 HReider"/>
    <s v="x"/>
    <n v="151.58600000000001"/>
    <s v="na"/>
    <s v="FWL"/>
    <s v="na"/>
    <s v="na"/>
    <s v="F1840"/>
    <s v="na"/>
    <s v="na"/>
    <s v="na"/>
    <s v="na"/>
    <s v="na"/>
  </r>
  <r>
    <n v="2833"/>
    <x v="65"/>
    <n v="1"/>
    <x v="12"/>
    <x v="0"/>
    <x v="0"/>
    <m/>
    <m/>
    <n v="41"/>
    <m/>
    <s v="F"/>
    <m/>
    <d v="1899-12-30T00:18:00"/>
    <s v="13:43"/>
    <s v="KS"/>
    <m/>
    <s v="20140816 KShippen"/>
    <s v="20140817 HReider"/>
    <s v="x"/>
    <s v="x"/>
    <s v="na"/>
    <s v="FWL"/>
    <s v="na"/>
    <s v="na"/>
    <s v="na"/>
    <s v="na"/>
    <s v="na"/>
    <s v="na"/>
    <s v="na"/>
    <s v="na"/>
  </r>
  <r>
    <n v="2834"/>
    <x v="65"/>
    <n v="1"/>
    <x v="12"/>
    <x v="0"/>
    <x v="0"/>
    <m/>
    <m/>
    <n v="44"/>
    <m/>
    <s v="F"/>
    <m/>
    <d v="1899-12-30T00:23:00"/>
    <s v="13:44"/>
    <s v="KS"/>
    <m/>
    <s v="20140816 KShippen"/>
    <s v="20140817 HReider"/>
    <s v="x"/>
    <s v="x"/>
    <s v="na"/>
    <s v="FWL"/>
    <s v="na"/>
    <s v="na"/>
    <s v="na"/>
    <s v="na"/>
    <s v="na"/>
    <s v="na"/>
    <s v="na"/>
    <s v="na"/>
  </r>
  <r>
    <n v="2835"/>
    <x v="65"/>
    <n v="1"/>
    <x v="12"/>
    <x v="0"/>
    <x v="0"/>
    <m/>
    <m/>
    <n v="45"/>
    <m/>
    <s v="F"/>
    <m/>
    <d v="1899-12-30T00:19:00"/>
    <s v="13:45"/>
    <s v="KS"/>
    <m/>
    <s v="20140816 KShippen"/>
    <s v="20140817 HReider"/>
    <s v="x"/>
    <s v="x"/>
    <s v="na"/>
    <s v="FWL"/>
    <s v="na"/>
    <s v="na"/>
    <s v="na"/>
    <s v="na"/>
    <s v="na"/>
    <s v="na"/>
    <s v="na"/>
    <s v="na"/>
  </r>
  <r>
    <n v="2836"/>
    <x v="65"/>
    <n v="1"/>
    <x v="12"/>
    <x v="0"/>
    <x v="0"/>
    <m/>
    <m/>
    <n v="45"/>
    <m/>
    <s v="F"/>
    <m/>
    <d v="1899-12-30T00:20:00"/>
    <s v="15:08"/>
    <s v="JBu"/>
    <m/>
    <s v="20140816 JBures"/>
    <s v="20140817 HReider"/>
    <s v="x"/>
    <s v="x"/>
    <s v="na"/>
    <s v="FWL"/>
    <s v="na"/>
    <s v="na"/>
    <s v="na"/>
    <s v="na"/>
    <s v="na"/>
    <s v="na"/>
    <s v="na"/>
    <s v="na"/>
  </r>
  <r>
    <n v="2837"/>
    <x v="65"/>
    <n v="1"/>
    <x v="10"/>
    <x v="0"/>
    <x v="0"/>
    <m/>
    <m/>
    <n v="52"/>
    <m/>
    <s v="M"/>
    <m/>
    <d v="1899-12-30T00:21:00"/>
    <s v="16:21"/>
    <s v="JBu"/>
    <m/>
    <s v="20140816 JBures"/>
    <s v="20140817 HReider"/>
    <s v="x"/>
    <s v="x"/>
    <s v="na"/>
    <s v="FWL"/>
    <s v="na"/>
    <s v="na"/>
    <s v="na"/>
    <s v="na"/>
    <s v="na"/>
    <s v="na"/>
    <s v="na"/>
    <s v="na"/>
  </r>
  <r>
    <n v="2838"/>
    <x v="65"/>
    <n v="1"/>
    <x v="7"/>
    <x v="0"/>
    <x v="6"/>
    <n v="20"/>
    <s v="183 S"/>
    <n v="43"/>
    <m/>
    <s v="M"/>
    <m/>
    <d v="1899-12-30T00:46:00"/>
    <s v="16:38"/>
    <s v="QB"/>
    <m/>
    <s v="20140816 JBures"/>
    <s v="20140817 HReider"/>
    <s v="x"/>
    <n v="151.57300000000001"/>
    <s v="na"/>
    <s v="FWL"/>
    <s v="na"/>
    <s v="na"/>
    <s v="F1840"/>
    <s v="na"/>
    <s v="na"/>
    <s v="na"/>
    <s v="na"/>
    <s v="na"/>
  </r>
  <r>
    <n v="2839"/>
    <x v="65"/>
    <n v="1"/>
    <x v="10"/>
    <x v="0"/>
    <x v="0"/>
    <m/>
    <m/>
    <n v="55"/>
    <m/>
    <s v="M"/>
    <m/>
    <d v="1899-12-30T00:31:00"/>
    <s v="16:40"/>
    <s v="JBu"/>
    <m/>
    <s v="20140816 JBures"/>
    <s v="20140817 HReider"/>
    <s v="x"/>
    <s v="x"/>
    <s v="na"/>
    <s v="FWL"/>
    <s v="na"/>
    <s v="na"/>
    <s v="na"/>
    <s v="na"/>
    <s v="na"/>
    <s v="na"/>
    <s v="na"/>
    <s v="na"/>
  </r>
  <r>
    <n v="2840"/>
    <x v="65"/>
    <n v="1"/>
    <x v="10"/>
    <x v="0"/>
    <x v="0"/>
    <m/>
    <m/>
    <n v="52"/>
    <m/>
    <s v="M"/>
    <m/>
    <d v="1899-12-30T00:22:00"/>
    <s v="16:41"/>
    <s v="JBu"/>
    <m/>
    <s v="20140816 JBures"/>
    <s v="20140817 HReider"/>
    <s v="x"/>
    <s v="x"/>
    <s v="na"/>
    <s v="FWL"/>
    <s v="na"/>
    <s v="na"/>
    <s v="na"/>
    <s v="na"/>
    <s v="na"/>
    <s v="na"/>
    <s v="na"/>
    <s v="na"/>
  </r>
  <r>
    <n v="2841"/>
    <x v="65"/>
    <n v="1"/>
    <x v="10"/>
    <x v="0"/>
    <x v="0"/>
    <m/>
    <m/>
    <n v="53"/>
    <m/>
    <s v="F"/>
    <m/>
    <d v="1899-12-30T00:21:00"/>
    <s v="16:43"/>
    <s v="JBu"/>
    <m/>
    <s v="20140816 JBures"/>
    <s v="20140817 HReider"/>
    <s v="x"/>
    <s v="x"/>
    <s v="na"/>
    <s v="FWL"/>
    <s v="na"/>
    <s v="na"/>
    <s v="na"/>
    <s v="na"/>
    <s v="na"/>
    <s v="na"/>
    <s v="na"/>
    <s v="na"/>
  </r>
  <r>
    <n v="2842"/>
    <x v="65"/>
    <n v="1"/>
    <x v="10"/>
    <x v="0"/>
    <x v="0"/>
    <m/>
    <m/>
    <n v="59"/>
    <m/>
    <s v="F"/>
    <m/>
    <d v="1899-12-30T00:24:00"/>
    <s v="16:48"/>
    <s v="JBu"/>
    <m/>
    <s v="20140816 JBures"/>
    <s v="20140817 HReider"/>
    <s v="x"/>
    <s v="x"/>
    <s v="na"/>
    <s v="FWL"/>
    <s v="na"/>
    <s v="na"/>
    <s v="na"/>
    <s v="na"/>
    <s v="na"/>
    <s v="na"/>
    <s v="na"/>
    <s v="na"/>
  </r>
  <r>
    <n v="2843"/>
    <x v="65"/>
    <n v="1"/>
    <x v="10"/>
    <x v="0"/>
    <x v="0"/>
    <m/>
    <m/>
    <n v="55"/>
    <m/>
    <s v="F"/>
    <m/>
    <d v="1899-12-30T00:18:00"/>
    <s v="16:50"/>
    <s v="JBu"/>
    <m/>
    <s v="20140816 JBures"/>
    <s v="20140817 HReider"/>
    <s v="x"/>
    <s v="x"/>
    <s v="na"/>
    <s v="FWL"/>
    <s v="na"/>
    <s v="na"/>
    <s v="na"/>
    <s v="na"/>
    <s v="na"/>
    <s v="na"/>
    <s v="na"/>
    <s v="na"/>
  </r>
  <r>
    <n v="2844"/>
    <x v="65"/>
    <n v="1"/>
    <x v="12"/>
    <x v="0"/>
    <x v="0"/>
    <m/>
    <m/>
    <n v="45"/>
    <m/>
    <s v="F"/>
    <m/>
    <d v="1899-12-30T00:26:00"/>
    <s v="16:52"/>
    <s v="JBu"/>
    <m/>
    <s v="20140816 JBures"/>
    <s v="20140817 HReider"/>
    <s v="x"/>
    <s v="x"/>
    <s v="na"/>
    <s v="FWL"/>
    <s v="na"/>
    <s v="na"/>
    <s v="na"/>
    <s v="na"/>
    <s v="na"/>
    <s v="na"/>
    <s v="na"/>
    <s v="na"/>
  </r>
  <r>
    <n v="2845"/>
    <x v="65"/>
    <n v="1"/>
    <x v="10"/>
    <x v="0"/>
    <x v="0"/>
    <m/>
    <m/>
    <n v="52"/>
    <m/>
    <s v="M"/>
    <m/>
    <d v="1899-12-30T00:20:00"/>
    <s v="18:20"/>
    <s v="JBu"/>
    <m/>
    <s v="20140816 JBures"/>
    <s v="20140817 HReider"/>
    <s v="x"/>
    <s v="x"/>
    <s v="na"/>
    <s v="FWL"/>
    <s v="na"/>
    <s v="na"/>
    <s v="na"/>
    <s v="na"/>
    <s v="na"/>
    <s v="na"/>
    <s v="na"/>
    <s v="na"/>
  </r>
  <r>
    <n v="2846"/>
    <x v="65"/>
    <n v="1"/>
    <x v="10"/>
    <x v="0"/>
    <x v="0"/>
    <m/>
    <m/>
    <n v="58"/>
    <m/>
    <s v="M"/>
    <m/>
    <d v="1899-12-30T00:30:00"/>
    <s v="18:22"/>
    <s v="JBu"/>
    <m/>
    <s v="20140816 JBures"/>
    <s v="20140817 HReider"/>
    <s v="x"/>
    <s v="x"/>
    <s v="na"/>
    <s v="FWL"/>
    <s v="na"/>
    <s v="na"/>
    <s v="na"/>
    <s v="na"/>
    <s v="na"/>
    <s v="na"/>
    <s v="na"/>
    <s v="na"/>
  </r>
  <r>
    <n v="2847"/>
    <x v="65"/>
    <n v="1"/>
    <x v="10"/>
    <x v="0"/>
    <x v="0"/>
    <m/>
    <m/>
    <n v="55"/>
    <m/>
    <s v="F"/>
    <m/>
    <d v="1899-12-30T00:19:00"/>
    <s v="19:22"/>
    <s v="JBu"/>
    <m/>
    <s v="20140816 JBures"/>
    <s v="20140817 HReider"/>
    <s v="x"/>
    <s v="x"/>
    <s v="na"/>
    <s v="FWL"/>
    <s v="na"/>
    <s v="na"/>
    <s v="na"/>
    <s v="na"/>
    <s v="na"/>
    <s v="na"/>
    <s v="na"/>
    <s v="na"/>
  </r>
  <r>
    <n v="2848"/>
    <x v="65"/>
    <n v="1"/>
    <x v="12"/>
    <x v="0"/>
    <x v="0"/>
    <m/>
    <m/>
    <n v="42"/>
    <m/>
    <s v="F"/>
    <m/>
    <d v="1899-12-30T00:20:00"/>
    <s v="19:23"/>
    <s v="JBu"/>
    <m/>
    <s v="20140816 JBures"/>
    <s v="20140817 HReider"/>
    <s v="x"/>
    <s v="x"/>
    <s v="na"/>
    <s v="FWL"/>
    <s v="na"/>
    <s v="na"/>
    <s v="na"/>
    <s v="na"/>
    <s v="na"/>
    <s v="na"/>
    <s v="na"/>
    <s v="na"/>
  </r>
  <r>
    <n v="2849"/>
    <x v="65"/>
    <n v="1"/>
    <x v="12"/>
    <x v="0"/>
    <x v="0"/>
    <m/>
    <m/>
    <n v="42"/>
    <m/>
    <s v="F"/>
    <m/>
    <d v="1899-12-30T00:20:00"/>
    <s v="19:24"/>
    <s v="JBu"/>
    <m/>
    <s v="20140816 JBures"/>
    <s v="20140817 HReider"/>
    <s v="x"/>
    <s v="x"/>
    <s v="na"/>
    <s v="FWL"/>
    <s v="na"/>
    <s v="na"/>
    <s v="na"/>
    <s v="na"/>
    <s v="na"/>
    <s v="na"/>
    <s v="na"/>
    <s v="na"/>
  </r>
  <r>
    <n v="2850"/>
    <x v="65"/>
    <n v="1"/>
    <x v="10"/>
    <x v="0"/>
    <x v="0"/>
    <m/>
    <m/>
    <n v="56"/>
    <m/>
    <s v="M"/>
    <m/>
    <d v="1899-12-30T00:23:00"/>
    <s v="19:25"/>
    <s v="JBu"/>
    <m/>
    <s v="20140816 JBures"/>
    <s v="20140817 HReider"/>
    <s v="x"/>
    <s v="x"/>
    <s v="na"/>
    <s v="FWL"/>
    <s v="na"/>
    <s v="na"/>
    <s v="na"/>
    <s v="na"/>
    <s v="na"/>
    <s v="na"/>
    <s v="na"/>
    <s v="na"/>
  </r>
  <r>
    <n v="2851"/>
    <x v="65"/>
    <n v="1"/>
    <x v="10"/>
    <x v="0"/>
    <x v="0"/>
    <m/>
    <m/>
    <n v="56"/>
    <m/>
    <s v="M"/>
    <m/>
    <d v="1899-12-30T00:20:00"/>
    <s v="19:27"/>
    <s v="JBu"/>
    <m/>
    <s v="20140816 JBures"/>
    <s v="20140817 HReider"/>
    <s v="x"/>
    <s v="x"/>
    <s v="na"/>
    <s v="FWL"/>
    <s v="na"/>
    <s v="na"/>
    <s v="na"/>
    <s v="na"/>
    <s v="na"/>
    <s v="na"/>
    <s v="na"/>
    <s v="na"/>
  </r>
  <r>
    <n v="2852"/>
    <x v="65"/>
    <n v="1"/>
    <x v="10"/>
    <x v="0"/>
    <x v="0"/>
    <m/>
    <m/>
    <n v="56"/>
    <m/>
    <s v="F"/>
    <m/>
    <d v="1899-12-30T00:19:00"/>
    <s v="20:22"/>
    <s v="JBu"/>
    <m/>
    <s v="20140816 JBures"/>
    <s v="20140817 HReider"/>
    <s v="x"/>
    <s v="x"/>
    <s v="na"/>
    <s v="FWL"/>
    <s v="na"/>
    <s v="na"/>
    <s v="na"/>
    <s v="na"/>
    <s v="na"/>
    <s v="na"/>
    <s v="na"/>
    <s v="na"/>
  </r>
  <r>
    <n v="2853"/>
    <x v="65"/>
    <n v="1"/>
    <x v="12"/>
    <x v="0"/>
    <x v="0"/>
    <m/>
    <m/>
    <n v="48"/>
    <m/>
    <s v="F"/>
    <m/>
    <d v="1899-12-30T00:24:00"/>
    <s v="20:24"/>
    <s v="JBu"/>
    <m/>
    <s v="20140816 JBures"/>
    <s v="20140817 HReider"/>
    <s v="x"/>
    <s v="x"/>
    <s v="na"/>
    <s v="FWL"/>
    <s v="na"/>
    <s v="na"/>
    <s v="na"/>
    <s v="na"/>
    <s v="na"/>
    <s v="na"/>
    <s v="na"/>
    <s v="na"/>
  </r>
  <r>
    <n v="2854"/>
    <x v="65"/>
    <n v="2"/>
    <x v="12"/>
    <x v="0"/>
    <x v="0"/>
    <m/>
    <m/>
    <n v="44"/>
    <m/>
    <s v="F"/>
    <m/>
    <d v="1899-12-30T00:22:00"/>
    <s v="09:28"/>
    <s v="KS"/>
    <m/>
    <s v="20140816 JBures"/>
    <s v="20140817 HReider"/>
    <s v="x"/>
    <s v="x"/>
    <s v="na"/>
    <s v="FWL"/>
    <s v="na"/>
    <s v="na"/>
    <s v="na"/>
    <s v="na"/>
    <s v="na"/>
    <s v="na"/>
    <s v="na"/>
    <s v="na"/>
  </r>
  <r>
    <n v="2855"/>
    <x v="65"/>
    <n v="2"/>
    <x v="10"/>
    <x v="0"/>
    <x v="11"/>
    <n v="18"/>
    <s v="172 CM"/>
    <n v="58"/>
    <m/>
    <s v="M"/>
    <m/>
    <d v="1899-12-30T01:00:00"/>
    <s v="12:23"/>
    <s v="KS"/>
    <m/>
    <s v="20140816 JBures"/>
    <s v="20140817 HReider"/>
    <s v="x"/>
    <n v="151.53399999999999"/>
    <s v="na"/>
    <s v="FWL"/>
    <s v="na"/>
    <s v="na"/>
    <s v="F1840"/>
    <s v="na"/>
    <s v="na"/>
    <s v="na"/>
    <s v="na"/>
    <s v="na"/>
  </r>
  <r>
    <n v="2856"/>
    <x v="65"/>
    <n v="2"/>
    <x v="10"/>
    <x v="0"/>
    <x v="0"/>
    <m/>
    <m/>
    <n v="63"/>
    <m/>
    <s v="M"/>
    <m/>
    <d v="1899-12-30T00:33:00"/>
    <s v="12:25"/>
    <s v="KS"/>
    <m/>
    <s v="20140816 JBures"/>
    <s v="20140817 HReider"/>
    <s v="x"/>
    <s v="x"/>
    <s v="na"/>
    <s v="FWL"/>
    <s v="na"/>
    <s v="na"/>
    <s v="na"/>
    <s v="na"/>
    <s v="na"/>
    <s v="na"/>
    <s v="na"/>
    <s v="na"/>
  </r>
  <r>
    <n v="2857"/>
    <x v="65"/>
    <n v="2"/>
    <x v="10"/>
    <x v="0"/>
    <x v="0"/>
    <m/>
    <m/>
    <n v="63"/>
    <m/>
    <s v="M"/>
    <m/>
    <d v="1899-12-30T00:21:00"/>
    <s v="13:52"/>
    <s v="KS"/>
    <m/>
    <s v="20140816 JBures"/>
    <s v="20140817 HReider"/>
    <s v="x"/>
    <s v="x"/>
    <s v="na"/>
    <s v="FWL"/>
    <s v="na"/>
    <s v="na"/>
    <s v="na"/>
    <s v="na"/>
    <s v="na"/>
    <s v="na"/>
    <s v="na"/>
    <s v="na"/>
  </r>
  <r>
    <n v="2858"/>
    <x v="65"/>
    <n v="2"/>
    <x v="10"/>
    <x v="0"/>
    <x v="0"/>
    <m/>
    <m/>
    <n v="57"/>
    <m/>
    <s v="M"/>
    <m/>
    <d v="1899-12-30T00:21:00"/>
    <s v="14:59"/>
    <s v="JBu"/>
    <m/>
    <s v="20140816 JBures"/>
    <s v="20140817 HReider"/>
    <s v="x"/>
    <s v="x"/>
    <s v="na"/>
    <s v="FWL"/>
    <s v="na"/>
    <s v="na"/>
    <s v="na"/>
    <s v="na"/>
    <s v="na"/>
    <s v="na"/>
    <s v="na"/>
    <s v="na"/>
  </r>
  <r>
    <n v="2859"/>
    <x v="65"/>
    <n v="2"/>
    <x v="10"/>
    <x v="0"/>
    <x v="0"/>
    <m/>
    <m/>
    <n v="60"/>
    <m/>
    <s v="F"/>
    <m/>
    <d v="1899-12-30T00:19:00"/>
    <s v="19:32"/>
    <s v="JBu"/>
    <m/>
    <s v="20140816 JBures"/>
    <s v="20140817 HReider"/>
    <s v="x"/>
    <s v="x"/>
    <s v="na"/>
    <s v="FWL"/>
    <s v="na"/>
    <s v="na"/>
    <s v="na"/>
    <s v="na"/>
    <s v="na"/>
    <s v="na"/>
    <s v="na"/>
    <s v="na"/>
  </r>
  <r>
    <n v="2860"/>
    <x v="65"/>
    <n v="2"/>
    <x v="7"/>
    <x v="0"/>
    <x v="10"/>
    <n v="75"/>
    <s v="180 S"/>
    <n v="44"/>
    <m/>
    <s v="M"/>
    <m/>
    <d v="1899-12-30T00:43:00"/>
    <s v="19:40"/>
    <s v="JBu"/>
    <m/>
    <s v="20140816 JBures"/>
    <s v="20140817 HReider"/>
    <s v="x"/>
    <n v="151.58600000000001"/>
    <s v="na"/>
    <s v="FWL"/>
    <s v="na"/>
    <s v="na"/>
    <s v="F1840"/>
    <s v="na"/>
    <s v="na"/>
    <s v="na"/>
    <s v="na"/>
    <s v="na"/>
  </r>
  <r>
    <n v="2861"/>
    <x v="65"/>
    <n v="2"/>
    <x v="10"/>
    <x v="0"/>
    <x v="0"/>
    <m/>
    <m/>
    <n v="58"/>
    <m/>
    <s v="M"/>
    <m/>
    <d v="1899-12-30T00:20:00"/>
    <s v="19:42"/>
    <s v="JBu"/>
    <m/>
    <s v="20140816 JBures"/>
    <s v="20140817 HReider"/>
    <s v="x"/>
    <s v="x"/>
    <s v="na"/>
    <s v="FWL"/>
    <s v="na"/>
    <s v="na"/>
    <s v="na"/>
    <s v="na"/>
    <s v="na"/>
    <s v="na"/>
    <s v="na"/>
    <s v="na"/>
  </r>
  <r>
    <n v="2862"/>
    <x v="65"/>
    <n v="2"/>
    <x v="10"/>
    <x v="0"/>
    <x v="0"/>
    <m/>
    <m/>
    <n v="62"/>
    <m/>
    <s v="F"/>
    <m/>
    <d v="1899-12-30T00:18:00"/>
    <s v="19:44"/>
    <s v="JBu"/>
    <m/>
    <s v="20140816 JBures"/>
    <s v="20140817 HReider"/>
    <s v="x"/>
    <s v="x"/>
    <s v="na"/>
    <s v="FWL"/>
    <s v="na"/>
    <s v="na"/>
    <s v="na"/>
    <s v="na"/>
    <s v="na"/>
    <s v="na"/>
    <s v="na"/>
    <s v="na"/>
  </r>
  <r>
    <n v="2863"/>
    <x v="65"/>
    <n v="2"/>
    <x v="10"/>
    <x v="0"/>
    <x v="0"/>
    <m/>
    <m/>
    <n v="58"/>
    <m/>
    <s v="M"/>
    <m/>
    <d v="1899-12-30T00:19:00"/>
    <s v="20:10"/>
    <s v="JBu"/>
    <m/>
    <s v="20140816 JBures"/>
    <s v="20140817 HReider"/>
    <s v="x"/>
    <s v="x"/>
    <s v="na"/>
    <s v="FWL"/>
    <s v="na"/>
    <s v="na"/>
    <s v="na"/>
    <s v="na"/>
    <s v="na"/>
    <s v="na"/>
    <s v="na"/>
    <s v="na"/>
  </r>
  <r>
    <n v="2864"/>
    <x v="65"/>
    <n v="3"/>
    <x v="12"/>
    <x v="0"/>
    <x v="13"/>
    <n v="66"/>
    <s v="185 P"/>
    <n v="46"/>
    <m/>
    <s v="F"/>
    <m/>
    <d v="1899-12-30T01:08:00"/>
    <s v="09:28"/>
    <s v="QB"/>
    <m/>
    <s v="20140816 JBures"/>
    <s v="20140817 HReider"/>
    <s v="x"/>
    <n v="151.51499999999999"/>
    <s v="na"/>
    <s v="FWL"/>
    <s v="na"/>
    <s v="na"/>
    <s v="F1835"/>
    <s v="na"/>
    <s v="na"/>
    <s v="na"/>
    <s v="na"/>
    <s v="na"/>
  </r>
  <r>
    <n v="2865"/>
    <x v="65"/>
    <n v="3"/>
    <x v="10"/>
    <x v="0"/>
    <x v="11"/>
    <n v="60"/>
    <s v="174 CM"/>
    <n v="55"/>
    <m/>
    <s v="M"/>
    <m/>
    <d v="1899-12-30T01:01:00"/>
    <s v="09:32"/>
    <s v="QB"/>
    <m/>
    <s v="20140816 JBures"/>
    <s v="20140817 HReider"/>
    <s v="x"/>
    <n v="151.53399999999999"/>
    <s v="na"/>
    <s v="FWL"/>
    <s v="na"/>
    <s v="na"/>
    <s v="F1840"/>
    <s v="na"/>
    <s v="na"/>
    <s v="na"/>
    <s v="na"/>
    <s v="na"/>
  </r>
  <r>
    <n v="2866"/>
    <x v="65"/>
    <n v="3"/>
    <x v="12"/>
    <x v="0"/>
    <x v="0"/>
    <m/>
    <m/>
    <n v="45"/>
    <m/>
    <s v="M"/>
    <m/>
    <d v="1899-12-30T00:24:00"/>
    <s v="09:30"/>
    <s v="JBu"/>
    <s v="spawned out"/>
    <s v="20140816 JBures"/>
    <s v="20140817 HReider"/>
    <s v="x"/>
    <s v="x"/>
    <s v="na"/>
    <s v="FWL"/>
    <s v="na"/>
    <s v="na"/>
    <s v="na"/>
    <s v="na"/>
    <s v="na"/>
    <s v="na"/>
    <s v="na"/>
    <s v="na"/>
  </r>
  <r>
    <n v="2867"/>
    <x v="65"/>
    <n v="3"/>
    <x v="12"/>
    <x v="0"/>
    <x v="0"/>
    <m/>
    <m/>
    <n v="42"/>
    <m/>
    <s v="M"/>
    <m/>
    <d v="1899-12-30T00:26:00"/>
    <s v="10:47"/>
    <s v="JBu"/>
    <s v="spawned out"/>
    <s v="20140816 JBures"/>
    <s v="20140817 HReider"/>
    <s v="x"/>
    <s v="x"/>
    <s v="na"/>
    <s v="FWL"/>
    <s v="na"/>
    <s v="na"/>
    <s v="na"/>
    <s v="na"/>
    <s v="na"/>
    <s v="na"/>
    <s v="na"/>
    <s v="na"/>
  </r>
  <r>
    <n v="2868"/>
    <x v="65"/>
    <n v="3"/>
    <x v="12"/>
    <x v="0"/>
    <x v="0"/>
    <m/>
    <m/>
    <n v="42"/>
    <m/>
    <s v="M"/>
    <m/>
    <d v="1899-12-30T00:21:00"/>
    <s v="10:48"/>
    <s v="JBu"/>
    <m/>
    <s v="20140816 JBures"/>
    <s v="20140817 HReider"/>
    <s v="x"/>
    <s v="x"/>
    <s v="na"/>
    <s v="FWL"/>
    <s v="na"/>
    <s v="na"/>
    <s v="na"/>
    <s v="na"/>
    <s v="na"/>
    <s v="na"/>
    <s v="na"/>
    <s v="na"/>
  </r>
  <r>
    <n v="2869"/>
    <x v="65"/>
    <n v="3"/>
    <x v="10"/>
    <x v="0"/>
    <x v="0"/>
    <m/>
    <m/>
    <n v="55"/>
    <m/>
    <s v="F"/>
    <m/>
    <d v="1899-12-30T00:19:00"/>
    <s v="10:50"/>
    <s v="JBu"/>
    <m/>
    <s v="20140816 JBures"/>
    <s v="20140817 HReider"/>
    <s v="x"/>
    <s v="x"/>
    <s v="na"/>
    <s v="FWL"/>
    <s v="na"/>
    <s v="na"/>
    <s v="na"/>
    <s v="na"/>
    <s v="na"/>
    <s v="na"/>
    <s v="na"/>
    <s v="na"/>
  </r>
  <r>
    <n v="2870"/>
    <x v="65"/>
    <n v="3"/>
    <x v="12"/>
    <x v="0"/>
    <x v="0"/>
    <m/>
    <m/>
    <n v="43"/>
    <m/>
    <s v="F"/>
    <m/>
    <d v="1899-12-30T00:19:00"/>
    <s v="10:51"/>
    <s v="JBu"/>
    <m/>
    <s v="20140816 JBures"/>
    <s v="20140817 HReider"/>
    <s v="x"/>
    <s v="x"/>
    <s v="na"/>
    <s v="FWL"/>
    <s v="na"/>
    <s v="na"/>
    <s v="na"/>
    <s v="na"/>
    <s v="na"/>
    <s v="na"/>
    <s v="na"/>
    <s v="na"/>
  </r>
  <r>
    <n v="2871"/>
    <x v="65"/>
    <n v="3"/>
    <x v="10"/>
    <x v="0"/>
    <x v="0"/>
    <m/>
    <m/>
    <n v="54"/>
    <m/>
    <s v="U"/>
    <m/>
    <d v="1899-12-30T00:31:00"/>
    <s v="12:31"/>
    <s v="LA"/>
    <m/>
    <s v="20140816 HReider"/>
    <s v="20140817 HReider"/>
    <s v="x"/>
    <s v="x"/>
    <s v="na"/>
    <s v="FWL"/>
    <s v="na"/>
    <s v="na"/>
    <s v="na"/>
    <s v="na"/>
    <s v="na"/>
    <s v="na"/>
    <s v="na"/>
    <s v="na"/>
  </r>
  <r>
    <n v="2872"/>
    <x v="65"/>
    <n v="3"/>
    <x v="10"/>
    <x v="0"/>
    <x v="0"/>
    <m/>
    <m/>
    <n v="58"/>
    <m/>
    <s v="F"/>
    <m/>
    <d v="1899-12-30T00:28:00"/>
    <s v="12:33"/>
    <s v="LA"/>
    <m/>
    <s v="20140816 HReider"/>
    <s v="20140817 HReider"/>
    <s v="x"/>
    <s v="x"/>
    <s v="na"/>
    <s v="FWL"/>
    <s v="na"/>
    <s v="na"/>
    <s v="na"/>
    <s v="na"/>
    <s v="na"/>
    <s v="na"/>
    <s v="na"/>
    <s v="na"/>
  </r>
  <r>
    <n v="2873"/>
    <x v="65"/>
    <n v="3"/>
    <x v="12"/>
    <x v="0"/>
    <x v="0"/>
    <m/>
    <m/>
    <n v="45"/>
    <m/>
    <s v="F"/>
    <m/>
    <d v="1899-12-30T00:21:00"/>
    <s v="12:35"/>
    <s v="LA"/>
    <s v="lively!"/>
    <s v="20140816 HReider"/>
    <s v="20140817 HReider"/>
    <s v="x"/>
    <s v="x"/>
    <s v="na"/>
    <s v="FWL"/>
    <s v="na"/>
    <s v="na"/>
    <s v="na"/>
    <s v="na"/>
    <s v="na"/>
    <s v="na"/>
    <s v="na"/>
    <s v="na"/>
  </r>
  <r>
    <n v="2874"/>
    <x v="65"/>
    <n v="3"/>
    <x v="13"/>
    <x v="0"/>
    <x v="15"/>
    <n v="52"/>
    <s v="96 CO"/>
    <n v="52"/>
    <m/>
    <s v="F"/>
    <d v="1899-12-30T12:37:00"/>
    <d v="1899-12-30T01:23:00"/>
    <s v="12:41"/>
    <s v="HR"/>
    <s v="F266."/>
    <s v="20140816 HReider"/>
    <s v="20140817 HReider"/>
    <d v="1899-12-30T00:02:37"/>
    <n v="151.26599999999999"/>
    <s v="na"/>
    <s v="FWL"/>
    <s v="na"/>
    <s v="na"/>
    <s v="F1840"/>
    <s v="na"/>
    <s v="na"/>
    <s v="na"/>
    <s v="na"/>
    <s v="na"/>
  </r>
  <r>
    <n v="2875"/>
    <x v="65"/>
    <n v="3"/>
    <x v="10"/>
    <x v="0"/>
    <x v="0"/>
    <m/>
    <m/>
    <n v="58"/>
    <m/>
    <s v="F"/>
    <d v="1899-12-30T13:16:00"/>
    <d v="1899-12-30T00:22:00"/>
    <s v="13:20"/>
    <s v="HR"/>
    <m/>
    <s v="20140816 HReider"/>
    <s v="20140817 HReider"/>
    <d v="1899-12-30T00:03:38"/>
    <s v="x"/>
    <s v="na"/>
    <s v="FWL"/>
    <s v="na"/>
    <s v="na"/>
    <s v="na"/>
    <s v="na"/>
    <s v="na"/>
    <s v="na"/>
    <s v="na"/>
    <s v="na"/>
  </r>
  <r>
    <n v="2876"/>
    <x v="65"/>
    <n v="3"/>
    <x v="10"/>
    <x v="0"/>
    <x v="0"/>
    <m/>
    <m/>
    <n v="57"/>
    <m/>
    <s v="F"/>
    <d v="1899-12-30T13:53:00"/>
    <d v="1899-12-30T00:22:00"/>
    <s v="13:55"/>
    <s v="HR"/>
    <m/>
    <s v="20140816 HReider"/>
    <s v="20140817 HReider"/>
    <d v="1899-12-30T00:01:38"/>
    <s v="x"/>
    <s v="na"/>
    <s v="FWL"/>
    <s v="na"/>
    <s v="na"/>
    <s v="na"/>
    <s v="na"/>
    <s v="na"/>
    <s v="na"/>
    <s v="na"/>
    <s v="na"/>
  </r>
  <r>
    <n v="2877"/>
    <x v="65"/>
    <n v="3"/>
    <x v="12"/>
    <x v="0"/>
    <x v="0"/>
    <m/>
    <m/>
    <n v="45"/>
    <m/>
    <s v="F"/>
    <m/>
    <d v="1899-12-30T00:28:00"/>
    <s v="14:26"/>
    <s v="LA"/>
    <m/>
    <s v="20140816 HReider"/>
    <s v="20140817 HReider"/>
    <s v="x"/>
    <s v="x"/>
    <s v="na"/>
    <s v="FWL"/>
    <s v="na"/>
    <s v="na"/>
    <s v="na"/>
    <s v="na"/>
    <s v="na"/>
    <s v="na"/>
    <s v="na"/>
    <s v="na"/>
  </r>
  <r>
    <n v="2878"/>
    <x v="65"/>
    <n v="3"/>
    <x v="13"/>
    <x v="0"/>
    <x v="15"/>
    <n v="86"/>
    <s v="103 CO"/>
    <n v="56"/>
    <m/>
    <s v="F"/>
    <d v="1899-12-30T15:25:00"/>
    <d v="1899-12-30T01:16:00"/>
    <s v="15:30"/>
    <s v="LA"/>
    <s v="F266."/>
    <s v="20140816 HReider"/>
    <s v="20140817 HReider"/>
    <d v="1899-12-30T00:03:44"/>
    <n v="151.26599999999999"/>
    <s v="na"/>
    <s v="FWL"/>
    <s v="na"/>
    <s v="na"/>
    <s v="F1840"/>
    <s v="na"/>
    <s v="na"/>
    <s v="na"/>
    <s v="na"/>
    <s v="na"/>
  </r>
  <r>
    <n v="2879"/>
    <x v="65"/>
    <n v="3"/>
    <x v="10"/>
    <x v="0"/>
    <x v="0"/>
    <m/>
    <m/>
    <n v="49"/>
    <m/>
    <s v="F"/>
    <d v="1899-12-30T15:33:00"/>
    <d v="1899-12-30T00:22:00"/>
    <s v="15:36"/>
    <s v="LA"/>
    <m/>
    <s v="20140816 HReider"/>
    <s v="20140817 HReider"/>
    <d v="1899-12-30T00:02:38"/>
    <s v="x"/>
    <s v="na"/>
    <s v="FWL"/>
    <s v="na"/>
    <s v="na"/>
    <s v="na"/>
    <s v="na"/>
    <s v="na"/>
    <s v="na"/>
    <s v="na"/>
    <s v="na"/>
  </r>
  <r>
    <n v="2880"/>
    <x v="65"/>
    <n v="3"/>
    <x v="13"/>
    <x v="0"/>
    <x v="15"/>
    <n v="80"/>
    <s v="104 CO"/>
    <n v="56"/>
    <m/>
    <s v="M"/>
    <m/>
    <d v="1899-12-30T01:03:00"/>
    <s v="16:44"/>
    <s v="LA"/>
    <s v="F266."/>
    <s v="20140816 HReider"/>
    <s v="20140817 HReider"/>
    <s v="x"/>
    <n v="151.26599999999999"/>
    <s v="na"/>
    <s v="FWL"/>
    <s v="na"/>
    <s v="na"/>
    <s v="F1840"/>
    <s v="na"/>
    <s v="na"/>
    <s v="na"/>
    <s v="na"/>
    <s v="na"/>
  </r>
  <r>
    <n v="2881"/>
    <x v="65"/>
    <n v="3"/>
    <x v="7"/>
    <x v="0"/>
    <x v="10"/>
    <n v="46"/>
    <s v="166 S"/>
    <n v="56"/>
    <m/>
    <s v="U"/>
    <m/>
    <d v="1899-12-30T00:58:00"/>
    <s v="16:41"/>
    <s v="LA"/>
    <s v="dark red, green head; lively"/>
    <s v="20140816 HReider"/>
    <s v="20140817 HReider"/>
    <s v="x"/>
    <n v="151.58600000000001"/>
    <s v="na"/>
    <s v="FWL"/>
    <s v="na"/>
    <s v="na"/>
    <s v="F1840"/>
    <s v="na"/>
    <s v="na"/>
    <s v="na"/>
    <s v="na"/>
    <s v="na"/>
  </r>
  <r>
    <n v="2882"/>
    <x v="65"/>
    <n v="3"/>
    <x v="12"/>
    <x v="0"/>
    <x v="0"/>
    <m/>
    <m/>
    <n v="44"/>
    <m/>
    <s v="F"/>
    <m/>
    <d v="1899-12-30T00:22:00"/>
    <s v="16:45"/>
    <s v="LA"/>
    <m/>
    <s v="20140816 HReider"/>
    <s v="20140817 HReider"/>
    <s v="x"/>
    <s v="x"/>
    <s v="na"/>
    <s v="FWL"/>
    <s v="na"/>
    <s v="na"/>
    <s v="na"/>
    <s v="na"/>
    <s v="na"/>
    <s v="na"/>
    <s v="na"/>
    <s v="na"/>
  </r>
  <r>
    <n v="2883"/>
    <x v="65"/>
    <n v="3"/>
    <x v="12"/>
    <x v="0"/>
    <x v="0"/>
    <m/>
    <m/>
    <n v="45"/>
    <m/>
    <s v="M"/>
    <m/>
    <d v="1899-12-30T00:22:00"/>
    <s v="16:46"/>
    <s v="LA"/>
    <m/>
    <s v="20140816 HReider"/>
    <s v="20140817 HReider"/>
    <s v="x"/>
    <s v="x"/>
    <s v="na"/>
    <s v="FWL"/>
    <s v="na"/>
    <s v="na"/>
    <s v="na"/>
    <s v="na"/>
    <s v="na"/>
    <s v="na"/>
    <s v="na"/>
    <s v="na"/>
  </r>
  <r>
    <n v="2884"/>
    <x v="65"/>
    <n v="3"/>
    <x v="12"/>
    <x v="0"/>
    <x v="0"/>
    <m/>
    <m/>
    <n v="43"/>
    <m/>
    <s v="F"/>
    <m/>
    <d v="1899-12-30T00:31:00"/>
    <s v="16:47"/>
    <s v="LA"/>
    <m/>
    <s v="20140816 HReider"/>
    <s v="20140817 HReider"/>
    <s v="x"/>
    <s v="x"/>
    <s v="na"/>
    <s v="FWL"/>
    <s v="na"/>
    <s v="na"/>
    <s v="na"/>
    <s v="na"/>
    <s v="na"/>
    <s v="na"/>
    <s v="na"/>
    <s v="na"/>
  </r>
  <r>
    <n v="2885"/>
    <x v="65"/>
    <n v="3"/>
    <x v="12"/>
    <x v="0"/>
    <x v="0"/>
    <m/>
    <m/>
    <n v="43"/>
    <m/>
    <s v="U"/>
    <m/>
    <d v="1899-12-30T00:21:00"/>
    <s v="17:49"/>
    <s v="KS"/>
    <m/>
    <s v="20140816 JKunzler"/>
    <s v="20140817 HReider"/>
    <s v="x"/>
    <s v="x"/>
    <s v="na"/>
    <s v="FWL"/>
    <s v="na"/>
    <s v="na"/>
    <s v="na"/>
    <s v="na"/>
    <s v="na"/>
    <s v="na"/>
    <s v="na"/>
    <s v="na"/>
  </r>
  <r>
    <n v="2886"/>
    <x v="65"/>
    <n v="3"/>
    <x v="12"/>
    <x v="0"/>
    <x v="0"/>
    <m/>
    <m/>
    <n v="51"/>
    <m/>
    <s v="F"/>
    <m/>
    <d v="1899-12-30T00:20:00"/>
    <s v="18:13"/>
    <s v="KS"/>
    <m/>
    <s v="20140816 JKunzler"/>
    <s v="20140817 HReider"/>
    <s v="x"/>
    <s v="x"/>
    <s v="na"/>
    <s v="FWL"/>
    <s v="na"/>
    <s v="na"/>
    <s v="na"/>
    <s v="na"/>
    <s v="na"/>
    <s v="na"/>
    <s v="na"/>
    <s v="na"/>
  </r>
  <r>
    <n v="2887"/>
    <x v="65"/>
    <n v="3"/>
    <x v="10"/>
    <x v="0"/>
    <x v="0"/>
    <m/>
    <m/>
    <n v="54"/>
    <m/>
    <s v="M"/>
    <m/>
    <d v="1899-12-30T00:23:00"/>
    <s v="18:16"/>
    <s v="KS"/>
    <m/>
    <s v="20140816 JKunzler"/>
    <s v="20140817 HReider"/>
    <s v="x"/>
    <s v="x"/>
    <s v="na"/>
    <s v="FWL"/>
    <s v="na"/>
    <s v="na"/>
    <s v="na"/>
    <s v="na"/>
    <s v="na"/>
    <s v="na"/>
    <s v="na"/>
    <s v="na"/>
  </r>
  <r>
    <n v="2888"/>
    <x v="65"/>
    <n v="3"/>
    <x v="12"/>
    <x v="0"/>
    <x v="0"/>
    <m/>
    <m/>
    <n v="47"/>
    <m/>
    <s v="F"/>
    <m/>
    <d v="1899-12-30T00:21:00"/>
    <s v="18:17"/>
    <s v="KS"/>
    <m/>
    <s v="20140816 JKunzler"/>
    <s v="20140817 HReider"/>
    <s v="x"/>
    <s v="x"/>
    <s v="na"/>
    <s v="FWL"/>
    <s v="na"/>
    <s v="na"/>
    <s v="na"/>
    <s v="na"/>
    <s v="na"/>
    <s v="na"/>
    <s v="na"/>
    <s v="na"/>
  </r>
  <r>
    <n v="2889"/>
    <x v="65"/>
    <n v="3"/>
    <x v="13"/>
    <x v="0"/>
    <x v="14"/>
    <n v="14"/>
    <s v="105 CO"/>
    <n v="50"/>
    <m/>
    <s v="M"/>
    <m/>
    <d v="1899-12-30T00:56:00"/>
    <s v="19:13"/>
    <s v="KS"/>
    <m/>
    <s v="20140816 JKunzler"/>
    <s v="20140817 HReider"/>
    <s v="x"/>
    <n v="151.32499999999999"/>
    <s v="na"/>
    <s v="FWL"/>
    <s v="na"/>
    <s v="na"/>
    <s v="F1840"/>
    <s v="na"/>
    <s v="na"/>
    <s v="na"/>
    <s v="na"/>
    <s v="na"/>
  </r>
  <r>
    <n v="2890"/>
    <x v="65"/>
    <n v="3"/>
    <x v="12"/>
    <x v="0"/>
    <x v="0"/>
    <m/>
    <m/>
    <n v="42"/>
    <m/>
    <s v="F"/>
    <m/>
    <d v="1899-12-30T00:22:00"/>
    <s v="19:14"/>
    <s v="KS"/>
    <m/>
    <s v="20140816 JKunzler"/>
    <s v="20140817 HReider"/>
    <s v="x"/>
    <s v="x"/>
    <s v="na"/>
    <s v="FWL"/>
    <s v="na"/>
    <s v="na"/>
    <s v="na"/>
    <s v="na"/>
    <s v="na"/>
    <s v="na"/>
    <s v="na"/>
    <s v="na"/>
  </r>
  <r>
    <n v="2891"/>
    <x v="65"/>
    <n v="3"/>
    <x v="13"/>
    <x v="0"/>
    <x v="14"/>
    <n v="17"/>
    <s v="106 CO"/>
    <n v="49"/>
    <m/>
    <s v="M"/>
    <m/>
    <d v="1899-12-30T00:49:00"/>
    <s v="20:03"/>
    <s v="KS"/>
    <m/>
    <s v="20140816 JKunzler"/>
    <s v="20140817 HReider"/>
    <s v="x"/>
    <n v="151.32499999999999"/>
    <s v="na"/>
    <s v="FWL"/>
    <s v="na"/>
    <s v="na"/>
    <s v="F1840"/>
    <s v="na"/>
    <s v="na"/>
    <s v="na"/>
    <s v="na"/>
    <s v="na"/>
  </r>
  <r>
    <n v="2892"/>
    <x v="65"/>
    <n v="3"/>
    <x v="10"/>
    <x v="0"/>
    <x v="0"/>
    <m/>
    <m/>
    <n v="55"/>
    <m/>
    <s v="M"/>
    <m/>
    <d v="1899-12-30T00:23:00"/>
    <s v="20:04"/>
    <s v="KS"/>
    <m/>
    <s v="20140816 JKunzler"/>
    <s v="20140817 HReider"/>
    <s v="x"/>
    <s v="x"/>
    <s v="na"/>
    <s v="FWL"/>
    <s v="na"/>
    <s v="na"/>
    <s v="na"/>
    <s v="na"/>
    <s v="na"/>
    <s v="na"/>
    <s v="na"/>
    <s v="na"/>
  </r>
  <r>
    <n v="2893"/>
    <x v="65"/>
    <n v="3"/>
    <x v="12"/>
    <x v="0"/>
    <x v="0"/>
    <m/>
    <m/>
    <n v="45"/>
    <m/>
    <s v="M"/>
    <m/>
    <d v="1899-12-30T00:20:00"/>
    <s v="20:05"/>
    <s v="KS"/>
    <m/>
    <s v="20140816 JKunzler"/>
    <s v="20140817 HReider"/>
    <s v="x"/>
    <s v="x"/>
    <s v="na"/>
    <s v="FWL"/>
    <s v="na"/>
    <s v="na"/>
    <s v="na"/>
    <s v="na"/>
    <s v="na"/>
    <s v="na"/>
    <s v="na"/>
    <s v="na"/>
  </r>
  <r>
    <n v="2894"/>
    <x v="65"/>
    <n v="3"/>
    <x v="12"/>
    <x v="0"/>
    <x v="0"/>
    <m/>
    <m/>
    <n v="45"/>
    <m/>
    <s v="M"/>
    <m/>
    <d v="1899-12-30T00:19:00"/>
    <s v="20:06"/>
    <s v="KS"/>
    <m/>
    <s v="20140816 JKunzler"/>
    <s v="20140817 HReider"/>
    <s v="x"/>
    <s v="x"/>
    <s v="na"/>
    <s v="FWL"/>
    <s v="na"/>
    <s v="na"/>
    <s v="na"/>
    <s v="na"/>
    <s v="na"/>
    <s v="na"/>
    <s v="na"/>
    <s v="na"/>
  </r>
  <r>
    <n v="2895"/>
    <x v="65"/>
    <n v="3"/>
    <x v="13"/>
    <x v="0"/>
    <x v="14"/>
    <n v="51"/>
    <s v="107 CO"/>
    <n v="55"/>
    <m/>
    <s v="F"/>
    <m/>
    <d v="1899-12-30T01:14:00"/>
    <s v="20:29"/>
    <s v="JK"/>
    <m/>
    <s v="20140816 JKunzler"/>
    <s v="20140817 HReider"/>
    <s v="x"/>
    <n v="151.32499999999999"/>
    <s v="na"/>
    <s v="FWL"/>
    <s v="na"/>
    <s v="na"/>
    <s v="F1840"/>
    <s v="na"/>
    <s v="na"/>
    <s v="na"/>
    <s v="na"/>
    <s v="na"/>
  </r>
  <r>
    <n v="2896"/>
    <x v="65"/>
    <n v="3"/>
    <x v="4"/>
    <x v="0"/>
    <x v="0"/>
    <m/>
    <m/>
    <n v="30"/>
    <m/>
    <s v="U"/>
    <m/>
    <d v="1899-12-30T00:41:00"/>
    <s v="20:31"/>
    <s v="KS"/>
    <s v="spawned out, pic taken"/>
    <s v="20140816 JKunzler"/>
    <s v="20140817 HReider"/>
    <s v="x"/>
    <s v="x"/>
    <s v="na"/>
    <s v="FWL"/>
    <s v="na"/>
    <s v="na"/>
    <s v="na"/>
    <s v="na"/>
    <s v="na"/>
    <s v="na"/>
    <s v="na"/>
    <s v="na"/>
  </r>
  <r>
    <n v="2897"/>
    <x v="66"/>
    <n v="1"/>
    <x v="10"/>
    <x v="0"/>
    <x v="11"/>
    <n v="57"/>
    <s v="178 CM"/>
    <n v="55"/>
    <m/>
    <s v="F"/>
    <d v="1899-12-30T08:07:00"/>
    <d v="1899-12-30T01:42:00"/>
    <s v="08:28"/>
    <s v="JK"/>
    <m/>
    <s v="20140817 JKunzler"/>
    <s v="20140817 HReider"/>
    <d v="1899-12-30T00:19:18"/>
    <n v="151.53399999999999"/>
    <s v="na"/>
    <s v="FWL"/>
    <s v="na"/>
    <s v="na"/>
    <s v="F1840"/>
    <s v="na"/>
    <s v="na"/>
    <s v="na"/>
    <s v="na"/>
    <s v="na"/>
  </r>
  <r>
    <n v="2898"/>
    <x v="66"/>
    <n v="1"/>
    <x v="12"/>
    <x v="0"/>
    <x v="12"/>
    <n v="23"/>
    <s v="194 P"/>
    <n v="41"/>
    <m/>
    <s v="M"/>
    <d v="1899-12-30T08:50:00"/>
    <d v="1899-12-30T01:02:00"/>
    <s v="08:54"/>
    <s v="JK"/>
    <m/>
    <s v="20140817 JKunzler"/>
    <s v="20140817 HReider"/>
    <d v="1899-12-30T00:02:58"/>
    <n v="151.596"/>
    <s v="na"/>
    <s v="FWL"/>
    <s v="na"/>
    <s v="na"/>
    <s v="F1835"/>
    <s v="na"/>
    <s v="na"/>
    <s v="na"/>
    <s v="na"/>
    <s v="na"/>
  </r>
  <r>
    <n v="2899"/>
    <x v="66"/>
    <n v="1"/>
    <x v="10"/>
    <x v="0"/>
    <x v="0"/>
    <m/>
    <m/>
    <n v="53"/>
    <m/>
    <s v="M"/>
    <m/>
    <d v="1899-12-30T00:25:00"/>
    <s v="09:34"/>
    <s v="JBu"/>
    <m/>
    <s v="20140817 JKunzler"/>
    <s v="20140817 HReider"/>
    <s v="x"/>
    <s v="x"/>
    <s v="na"/>
    <s v="FWL"/>
    <s v="na"/>
    <s v="na"/>
    <s v="na"/>
    <s v="na"/>
    <s v="na"/>
    <s v="na"/>
    <s v="na"/>
    <s v="na"/>
  </r>
  <r>
    <n v="2900"/>
    <x v="66"/>
    <n v="1"/>
    <x v="7"/>
    <x v="0"/>
    <x v="10"/>
    <n v="48"/>
    <s v="184 S"/>
    <n v="46"/>
    <m/>
    <s v="M"/>
    <m/>
    <d v="1899-12-30T00:50:00"/>
    <s v="10:35"/>
    <s v="JK"/>
    <m/>
    <s v="20140817 JKunzler"/>
    <s v="20140817 HReider"/>
    <s v="x"/>
    <n v="151.58600000000001"/>
    <s v="na"/>
    <s v="FWL"/>
    <s v="na"/>
    <s v="na"/>
    <s v="F1840"/>
    <s v="na"/>
    <s v="na"/>
    <s v="na"/>
    <s v="na"/>
    <s v="na"/>
  </r>
  <r>
    <n v="2901"/>
    <x v="66"/>
    <n v="1"/>
    <x v="13"/>
    <x v="0"/>
    <x v="15"/>
    <n v="83"/>
    <s v="100 CO"/>
    <n v="58"/>
    <m/>
    <s v="F"/>
    <d v="1899-12-30T10:43:00"/>
    <d v="1899-12-30T00:47:00"/>
    <s v="10:47"/>
    <s v="JK"/>
    <s v="F266."/>
    <s v="20140817 JKunzler"/>
    <s v="20140817 HReider"/>
    <d v="1899-12-30T00:03:13"/>
    <n v="151.26599999999999"/>
    <s v="na"/>
    <s v="FWL"/>
    <s v="na"/>
    <s v="na"/>
    <s v="F1840"/>
    <s v="na"/>
    <s v="na"/>
    <s v="na"/>
    <s v="na"/>
    <s v="na"/>
  </r>
  <r>
    <n v="2902"/>
    <x v="66"/>
    <n v="1"/>
    <x v="10"/>
    <x v="0"/>
    <x v="0"/>
    <m/>
    <m/>
    <n v="52"/>
    <m/>
    <s v="M"/>
    <m/>
    <d v="1899-12-30T00:22:00"/>
    <s v="12:01"/>
    <s v="JBu"/>
    <m/>
    <s v="20140817 JKunzler"/>
    <s v="20140817 HReider"/>
    <s v="x"/>
    <s v="x"/>
    <s v="na"/>
    <s v="FWL"/>
    <s v="na"/>
    <s v="na"/>
    <s v="na"/>
    <s v="na"/>
    <s v="na"/>
    <s v="na"/>
    <s v="na"/>
    <s v="na"/>
  </r>
  <r>
    <n v="2903"/>
    <x v="66"/>
    <n v="1"/>
    <x v="10"/>
    <x v="0"/>
    <x v="0"/>
    <m/>
    <m/>
    <n v="56"/>
    <m/>
    <s v="M"/>
    <d v="1899-12-30T12:08:00"/>
    <d v="1899-12-30T00:20:00"/>
    <s v="12:10"/>
    <s v="JBu"/>
    <m/>
    <s v="20140817 JKunzler"/>
    <s v="20140817 HReider"/>
    <d v="1899-12-30T00:01:40"/>
    <s v="x"/>
    <s v="na"/>
    <s v="FWL"/>
    <s v="na"/>
    <s v="na"/>
    <s v="na"/>
    <s v="na"/>
    <s v="na"/>
    <s v="na"/>
    <s v="na"/>
    <s v="na"/>
  </r>
  <r>
    <n v="2904"/>
    <x v="66"/>
    <n v="1"/>
    <x v="13"/>
    <x v="0"/>
    <x v="14"/>
    <n v="50"/>
    <s v="101 CO"/>
    <n v="54"/>
    <m/>
    <s v="F"/>
    <m/>
    <d v="1899-12-30T01:11:00"/>
    <s v="13:54"/>
    <s v="JBu"/>
    <m/>
    <s v="20140817 JKunzler"/>
    <s v="20140817 HReider"/>
    <s v="x"/>
    <n v="151.32499999999999"/>
    <s v="na"/>
    <s v="FWL"/>
    <s v="na"/>
    <s v="na"/>
    <s v="F1840"/>
    <s v="na"/>
    <s v="na"/>
    <s v="na"/>
    <s v="na"/>
    <s v="na"/>
  </r>
  <r>
    <n v="2905"/>
    <x v="66"/>
    <n v="1"/>
    <x v="12"/>
    <x v="0"/>
    <x v="0"/>
    <m/>
    <m/>
    <n v="48"/>
    <m/>
    <s v="F"/>
    <m/>
    <d v="1899-12-30T00:19:00"/>
    <s v="13:57"/>
    <s v="JBu"/>
    <m/>
    <s v="20140817 JKunzler"/>
    <s v="20140817 HReider"/>
    <s v="x"/>
    <s v="x"/>
    <s v="na"/>
    <s v="FWL"/>
    <s v="na"/>
    <s v="na"/>
    <s v="na"/>
    <s v="na"/>
    <s v="na"/>
    <s v="na"/>
    <s v="na"/>
    <s v="na"/>
  </r>
  <r>
    <n v="2906"/>
    <x v="66"/>
    <n v="1"/>
    <x v="13"/>
    <x v="0"/>
    <x v="15"/>
    <n v="57"/>
    <s v="102 CO"/>
    <n v="60"/>
    <m/>
    <s v="M"/>
    <m/>
    <d v="1899-12-30T01:58:00"/>
    <s v="15:46"/>
    <s v="CSj"/>
    <s v="F266."/>
    <s v="20140817 QBerger"/>
    <s v="20140817 HReider"/>
    <s v="x"/>
    <n v="151.26599999999999"/>
    <s v="na"/>
    <s v="FWL"/>
    <s v="na"/>
    <s v="na"/>
    <s v="F1840"/>
    <s v="na"/>
    <s v="na"/>
    <s v="na"/>
    <s v="na"/>
    <s v="na"/>
  </r>
  <r>
    <n v="2907"/>
    <x v="66"/>
    <n v="1"/>
    <x v="13"/>
    <x v="0"/>
    <x v="14"/>
    <n v="81"/>
    <s v="109 CO"/>
    <n v="59"/>
    <m/>
    <s v="U"/>
    <m/>
    <d v="1899-12-30T01:14:00"/>
    <s v="16:50"/>
    <s v="QB"/>
    <m/>
    <s v="20140817 QBerger"/>
    <s v="20140817 HReider"/>
    <s v="x"/>
    <n v="151.32499999999999"/>
    <s v="na"/>
    <s v="FWL"/>
    <s v="na"/>
    <s v="na"/>
    <s v="F1840"/>
    <s v="na"/>
    <s v="na"/>
    <s v="na"/>
    <s v="na"/>
    <s v="na"/>
  </r>
  <r>
    <n v="2908"/>
    <x v="66"/>
    <n v="1"/>
    <x v="10"/>
    <x v="0"/>
    <x v="7"/>
    <n v="12"/>
    <s v="179 CM"/>
    <n v="54"/>
    <m/>
    <s v="M"/>
    <m/>
    <d v="1899-12-30T00:57:00"/>
    <s v="16:54"/>
    <s v="CSj"/>
    <m/>
    <s v="20140817 QBerger"/>
    <s v="20140817 HReider"/>
    <s v="x"/>
    <n v="151.56399999999999"/>
    <s v="na"/>
    <s v="FWL"/>
    <s v="na"/>
    <s v="na"/>
    <s v="F1840"/>
    <s v="na"/>
    <s v="na"/>
    <s v="na"/>
    <s v="na"/>
    <s v="na"/>
  </r>
  <r>
    <n v="2909"/>
    <x v="66"/>
    <n v="1"/>
    <x v="10"/>
    <x v="0"/>
    <x v="0"/>
    <m/>
    <m/>
    <n v="54"/>
    <m/>
    <s v="F"/>
    <m/>
    <d v="1899-12-30T00:21:00"/>
    <s v="16:56"/>
    <s v="CSj"/>
    <m/>
    <s v="20140817 QBerger"/>
    <s v="20140817 HReider"/>
    <s v="x"/>
    <s v="x"/>
    <s v="na"/>
    <s v="FWL"/>
    <s v="na"/>
    <s v="na"/>
    <s v="na"/>
    <s v="na"/>
    <s v="na"/>
    <s v="na"/>
    <s v="na"/>
    <s v="na"/>
  </r>
  <r>
    <n v="2910"/>
    <x v="66"/>
    <n v="1"/>
    <x v="10"/>
    <x v="0"/>
    <x v="0"/>
    <m/>
    <m/>
    <n v="56"/>
    <m/>
    <s v="M"/>
    <m/>
    <d v="1899-12-30T00:18:00"/>
    <s v="16:57"/>
    <s v="CSj"/>
    <m/>
    <s v="20140817 QBerger"/>
    <s v="20140817 HReider"/>
    <s v="x"/>
    <s v="x"/>
    <s v="na"/>
    <s v="FWL"/>
    <s v="na"/>
    <s v="na"/>
    <s v="na"/>
    <s v="na"/>
    <s v="na"/>
    <s v="na"/>
    <s v="na"/>
    <s v="na"/>
  </r>
  <r>
    <n v="2911"/>
    <x v="66"/>
    <n v="1"/>
    <x v="12"/>
    <x v="0"/>
    <x v="0"/>
    <m/>
    <m/>
    <n v="46"/>
    <m/>
    <s v="M"/>
    <m/>
    <d v="1899-12-30T00:21:00"/>
    <s v="18:05"/>
    <s v="QB"/>
    <m/>
    <s v="20140817 QBerger"/>
    <s v="20140817 HReider"/>
    <s v="x"/>
    <s v="x"/>
    <s v="na"/>
    <s v="FWL"/>
    <s v="na"/>
    <s v="na"/>
    <s v="na"/>
    <s v="na"/>
    <s v="na"/>
    <s v="na"/>
    <s v="na"/>
    <s v="na"/>
  </r>
  <r>
    <n v="2912"/>
    <x v="66"/>
    <n v="1"/>
    <x v="13"/>
    <x v="0"/>
    <x v="0"/>
    <m/>
    <m/>
    <n v="52"/>
    <m/>
    <s v="M"/>
    <m/>
    <d v="1899-12-30T00:28:00"/>
    <s v="18:05"/>
    <s v="QB"/>
    <m/>
    <s v="20140817 QBerger"/>
    <s v="20140817 HReider"/>
    <s v="x"/>
    <s v="x"/>
    <s v="na"/>
    <s v="FWL"/>
    <s v="na"/>
    <s v="na"/>
    <s v="na"/>
    <s v="na"/>
    <s v="na"/>
    <s v="na"/>
    <s v="na"/>
    <s v="na"/>
  </r>
  <r>
    <n v="2913"/>
    <x v="66"/>
    <n v="1"/>
    <x v="10"/>
    <x v="0"/>
    <x v="0"/>
    <m/>
    <m/>
    <n v="59"/>
    <m/>
    <s v="F"/>
    <m/>
    <d v="1899-12-30T00:25:00"/>
    <s v="19:58"/>
    <s v="QB"/>
    <m/>
    <s v="20140817 QBerger"/>
    <s v="20140817 HReider"/>
    <s v="x"/>
    <s v="x"/>
    <s v="na"/>
    <s v="FWL"/>
    <s v="na"/>
    <s v="na"/>
    <s v="na"/>
    <s v="na"/>
    <s v="na"/>
    <s v="na"/>
    <s v="na"/>
    <s v="na"/>
  </r>
  <r>
    <n v="2914"/>
    <x v="66"/>
    <n v="1"/>
    <x v="10"/>
    <x v="0"/>
    <x v="0"/>
    <m/>
    <m/>
    <n v="60"/>
    <m/>
    <s v="F"/>
    <m/>
    <d v="1899-12-30T00:21:00"/>
    <s v="20:01"/>
    <s v="QB"/>
    <m/>
    <s v="20140817 QBerger"/>
    <s v="20140817 HReider"/>
    <s v="x"/>
    <s v="x"/>
    <s v="na"/>
    <s v="FWL"/>
    <s v="na"/>
    <s v="na"/>
    <s v="na"/>
    <s v="na"/>
    <s v="na"/>
    <s v="na"/>
    <s v="na"/>
    <s v="na"/>
  </r>
  <r>
    <n v="2915"/>
    <x v="66"/>
    <n v="1"/>
    <x v="12"/>
    <x v="0"/>
    <x v="0"/>
    <m/>
    <m/>
    <n v="43"/>
    <m/>
    <s v="F"/>
    <m/>
    <d v="1899-12-30T00:17:00"/>
    <s v="20:03"/>
    <s v="QB"/>
    <s v="spawned out!"/>
    <s v="20140817 QBerger"/>
    <s v="20140817 HReider"/>
    <s v="x"/>
    <s v="x"/>
    <s v="na"/>
    <s v="FWL"/>
    <s v="na"/>
    <s v="na"/>
    <s v="na"/>
    <s v="na"/>
    <s v="na"/>
    <s v="na"/>
    <s v="na"/>
    <s v="na"/>
  </r>
  <r>
    <n v="2916"/>
    <x v="66"/>
    <n v="2"/>
    <x v="10"/>
    <x v="0"/>
    <x v="0"/>
    <m/>
    <m/>
    <n v="53"/>
    <m/>
    <s v="M"/>
    <m/>
    <d v="1899-12-30T00:19:00"/>
    <s v="09:38"/>
    <s v="JBu"/>
    <m/>
    <s v="20140817 JBures"/>
    <s v="20140817 HReider"/>
    <s v="x"/>
    <s v="x"/>
    <s v="na"/>
    <s v="FWL"/>
    <s v="na"/>
    <s v="na"/>
    <s v="na"/>
    <s v="na"/>
    <s v="na"/>
    <s v="na"/>
    <s v="na"/>
    <s v="na"/>
  </r>
  <r>
    <n v="2917"/>
    <x v="66"/>
    <n v="2"/>
    <x v="10"/>
    <x v="0"/>
    <x v="0"/>
    <m/>
    <m/>
    <n v="60"/>
    <m/>
    <s v="F"/>
    <m/>
    <d v="1899-12-30T00:25:00"/>
    <s v="09:41"/>
    <s v="JBu"/>
    <m/>
    <s v="20140817 JBures"/>
    <s v="20140817 HReider"/>
    <s v="x"/>
    <s v="x"/>
    <s v="na"/>
    <s v="FWL"/>
    <s v="na"/>
    <s v="na"/>
    <s v="na"/>
    <s v="na"/>
    <s v="na"/>
    <s v="na"/>
    <s v="na"/>
    <s v="na"/>
  </r>
  <r>
    <n v="2918"/>
    <x v="66"/>
    <n v="2"/>
    <x v="10"/>
    <x v="0"/>
    <x v="0"/>
    <m/>
    <m/>
    <n v="56"/>
    <m/>
    <s v="F"/>
    <m/>
    <d v="1899-12-30T00:19:00"/>
    <s v="10:28"/>
    <s v="JBu"/>
    <m/>
    <s v="20140817 JBures"/>
    <s v="20140817 HReider"/>
    <s v="x"/>
    <s v="x"/>
    <s v="na"/>
    <s v="FWL"/>
    <s v="na"/>
    <s v="na"/>
    <s v="na"/>
    <s v="na"/>
    <s v="na"/>
    <s v="na"/>
    <s v="na"/>
    <s v="na"/>
  </r>
  <r>
    <n v="2919"/>
    <x v="66"/>
    <n v="2"/>
    <x v="10"/>
    <x v="0"/>
    <x v="0"/>
    <m/>
    <m/>
    <n v="60"/>
    <m/>
    <s v="F"/>
    <m/>
    <d v="1899-12-30T00:21:00"/>
    <s v="13:40"/>
    <s v="JBu"/>
    <m/>
    <s v="20140817 JBures"/>
    <s v="20140817 HReider"/>
    <s v="x"/>
    <s v="x"/>
    <s v="na"/>
    <s v="FWL"/>
    <s v="na"/>
    <s v="na"/>
    <s v="na"/>
    <s v="na"/>
    <s v="na"/>
    <s v="na"/>
    <s v="na"/>
    <s v="na"/>
  </r>
  <r>
    <n v="2920"/>
    <x v="66"/>
    <n v="2"/>
    <x v="10"/>
    <x v="0"/>
    <x v="7"/>
    <n v="94"/>
    <s v="180 CM"/>
    <n v="55"/>
    <m/>
    <s v="F"/>
    <m/>
    <d v="1899-12-30T01:21:00"/>
    <s v="18:18"/>
    <s v="CSj"/>
    <m/>
    <s v="20140817 CSejkora"/>
    <s v="20140817 HReider"/>
    <s v="x"/>
    <n v="151.56399999999999"/>
    <s v="na"/>
    <s v="FWL"/>
    <s v="na"/>
    <s v="na"/>
    <s v="F1840"/>
    <s v="na"/>
    <s v="na"/>
    <s v="na"/>
    <s v="na"/>
    <s v="na"/>
  </r>
  <r>
    <n v="2921"/>
    <x v="66"/>
    <n v="2"/>
    <x v="12"/>
    <x v="0"/>
    <x v="0"/>
    <m/>
    <m/>
    <n v="44"/>
    <m/>
    <s v="F"/>
    <m/>
    <d v="1899-12-30T00:28:00"/>
    <s v="18:15"/>
    <s v="CSj"/>
    <m/>
    <s v="20140817 CSejkora"/>
    <s v="20140817 HReider"/>
    <s v="x"/>
    <s v="x"/>
    <s v="na"/>
    <s v="FWL"/>
    <s v="na"/>
    <s v="na"/>
    <s v="na"/>
    <s v="na"/>
    <s v="na"/>
    <s v="na"/>
    <s v="na"/>
    <s v="na"/>
  </r>
  <r>
    <n v="2922"/>
    <x v="66"/>
    <n v="2"/>
    <x v="10"/>
    <x v="0"/>
    <x v="0"/>
    <m/>
    <m/>
    <n v="55"/>
    <m/>
    <s v="F"/>
    <m/>
    <d v="1899-12-30T00:33:00"/>
    <s v="18:21"/>
    <s v="CSj"/>
    <s v="large rotten cut on underbelly"/>
    <s v="20140817 CSejkora"/>
    <s v="20140817 HReider"/>
    <s v="x"/>
    <s v="x"/>
    <s v="na"/>
    <s v="FWL"/>
    <s v="na"/>
    <s v="na"/>
    <s v="na"/>
    <s v="na"/>
    <s v="na"/>
    <s v="na"/>
    <s v="na"/>
    <s v="na"/>
  </r>
  <r>
    <n v="2923"/>
    <x v="66"/>
    <n v="2"/>
    <x v="10"/>
    <x v="0"/>
    <x v="0"/>
    <m/>
    <m/>
    <n v="57"/>
    <m/>
    <s v="M"/>
    <m/>
    <d v="1899-12-30T00:32:00"/>
    <s v="18:23"/>
    <s v="QB"/>
    <m/>
    <s v="20140817 CSejkora"/>
    <s v="20140817 HReider"/>
    <s v="x"/>
    <s v="x"/>
    <s v="na"/>
    <s v="FWL"/>
    <s v="na"/>
    <s v="na"/>
    <s v="na"/>
    <s v="na"/>
    <s v="na"/>
    <s v="na"/>
    <s v="na"/>
    <s v="na"/>
  </r>
  <r>
    <n v="2924"/>
    <x v="66"/>
    <n v="2"/>
    <x v="10"/>
    <x v="0"/>
    <x v="0"/>
    <m/>
    <m/>
    <n v="54"/>
    <m/>
    <s v="F"/>
    <m/>
    <d v="1899-12-30T00:21:00"/>
    <s v="19:31"/>
    <s v="QB"/>
    <m/>
    <s v="20140817 CSejkora"/>
    <s v="20140817 HReider"/>
    <s v="x"/>
    <s v="x"/>
    <s v="na"/>
    <s v="FWL"/>
    <s v="na"/>
    <s v="na"/>
    <s v="na"/>
    <s v="na"/>
    <s v="na"/>
    <s v="na"/>
    <s v="na"/>
    <s v="na"/>
  </r>
  <r>
    <n v="2925"/>
    <x v="66"/>
    <n v="2"/>
    <x v="13"/>
    <x v="0"/>
    <x v="0"/>
    <m/>
    <m/>
    <n v="59"/>
    <m/>
    <s v="F"/>
    <m/>
    <d v="1899-12-30T00:28:00"/>
    <s v="19:33"/>
    <s v="QB"/>
    <m/>
    <s v="20140817 CSejkora"/>
    <s v="20140817 HReider"/>
    <s v="x"/>
    <s v="x"/>
    <s v="na"/>
    <s v="FWL"/>
    <s v="na"/>
    <s v="na"/>
    <s v="na"/>
    <s v="na"/>
    <s v="na"/>
    <s v="na"/>
    <s v="na"/>
    <s v="na"/>
  </r>
  <r>
    <n v="2926"/>
    <x v="66"/>
    <n v="3"/>
    <x v="12"/>
    <x v="0"/>
    <x v="13"/>
    <n v="83"/>
    <s v="197 P"/>
    <n v="46"/>
    <m/>
    <s v="F"/>
    <d v="1899-12-30T10:21:00"/>
    <d v="1899-12-30T01:12:00"/>
    <s v="10:26"/>
    <s v="QB"/>
    <m/>
    <s v="20140817 QBerger"/>
    <s v="20140817 HReider"/>
    <d v="1899-12-30T00:03:48"/>
    <n v="151.51499999999999"/>
    <s v="na"/>
    <s v="FWL"/>
    <s v="na"/>
    <s v="na"/>
    <s v="F1835"/>
    <s v="na"/>
    <s v="na"/>
    <s v="na"/>
    <s v="na"/>
    <s v="na"/>
  </r>
  <r>
    <n v="2927"/>
    <x v="66"/>
    <n v="3"/>
    <x v="12"/>
    <x v="0"/>
    <x v="0"/>
    <m/>
    <m/>
    <n v="45"/>
    <m/>
    <s v="M"/>
    <m/>
    <d v="1899-12-30T00:28:00"/>
    <s v="10:27"/>
    <s v="CSj"/>
    <s v="likely spawned out"/>
    <s v="20140817 QBerger"/>
    <s v="20140817 HReider"/>
    <s v="x"/>
    <s v="x"/>
    <s v="na"/>
    <s v="FWL"/>
    <s v="na"/>
    <s v="na"/>
    <s v="na"/>
    <s v="na"/>
    <s v="na"/>
    <s v="na"/>
    <s v="na"/>
    <s v="na"/>
  </r>
  <r>
    <n v="2928"/>
    <x v="66"/>
    <n v="3"/>
    <x v="12"/>
    <x v="0"/>
    <x v="0"/>
    <m/>
    <m/>
    <n v="50"/>
    <m/>
    <s v="M"/>
    <m/>
    <d v="1899-12-30T00:21:00"/>
    <s v="10:29"/>
    <s v="CSj"/>
    <m/>
    <s v="20140817 QBerger"/>
    <s v="20140817 HReider"/>
    <s v="x"/>
    <s v="x"/>
    <s v="na"/>
    <s v="FWL"/>
    <s v="na"/>
    <s v="na"/>
    <s v="na"/>
    <s v="na"/>
    <s v="na"/>
    <s v="na"/>
    <s v="na"/>
    <s v="na"/>
  </r>
  <r>
    <n v="2929"/>
    <x v="66"/>
    <n v="3"/>
    <x v="10"/>
    <x v="0"/>
    <x v="11"/>
    <n v="26"/>
    <s v="175 CM"/>
    <n v="60"/>
    <m/>
    <s v="M"/>
    <d v="1899-12-30T10:42:00"/>
    <d v="1899-12-30T00:56:00"/>
    <s v="10:44"/>
    <s v="QB"/>
    <m/>
    <s v="20140817 QBerger"/>
    <s v="20140817 HReider"/>
    <d v="1899-12-30T00:01:04"/>
    <n v="151.53399999999999"/>
    <s v="na"/>
    <s v="FWL"/>
    <s v="na"/>
    <s v="na"/>
    <s v="F1840"/>
    <s v="na"/>
    <s v="na"/>
    <s v="na"/>
    <s v="na"/>
    <s v="na"/>
  </r>
  <r>
    <n v="2930"/>
    <x v="66"/>
    <n v="3"/>
    <x v="10"/>
    <x v="0"/>
    <x v="0"/>
    <m/>
    <m/>
    <n v="61"/>
    <m/>
    <s v="F"/>
    <m/>
    <d v="1899-12-30T00:22:00"/>
    <s v="12:23"/>
    <s v="KS"/>
    <m/>
    <s v="20140817 LAckein"/>
    <s v="20140817 HReider"/>
    <s v="x"/>
    <s v="x"/>
    <s v="na"/>
    <s v="FWL"/>
    <s v="na"/>
    <s v="na"/>
    <s v="na"/>
    <s v="na"/>
    <s v="na"/>
    <s v="na"/>
    <s v="na"/>
    <s v="na"/>
  </r>
  <r>
    <n v="2931"/>
    <x v="66"/>
    <n v="3"/>
    <x v="13"/>
    <x v="0"/>
    <x v="14"/>
    <n v="3"/>
    <s v="108 CO"/>
    <n v="56"/>
    <m/>
    <s v="F"/>
    <m/>
    <d v="1899-12-30T01:10:00"/>
    <s v="12:25"/>
    <s v="KS"/>
    <s v="very silver"/>
    <s v="20140817 LAckein"/>
    <s v="20140817 HReider"/>
    <s v="x"/>
    <n v="151.32499999999999"/>
    <s v="na"/>
    <s v="FWL"/>
    <s v="na"/>
    <s v="na"/>
    <s v="F1840"/>
    <s v="na"/>
    <s v="na"/>
    <s v="na"/>
    <s v="na"/>
    <s v="na"/>
  </r>
  <r>
    <n v="2932"/>
    <x v="66"/>
    <n v="3"/>
    <x v="13"/>
    <x v="0"/>
    <x v="14"/>
    <n v="32"/>
    <s v="112 CO"/>
    <n v="57"/>
    <m/>
    <s v="M"/>
    <m/>
    <d v="1899-12-30T00:57:00"/>
    <s v="12:27"/>
    <s v="KS"/>
    <s v="moderate pink blush, healed net wound on belly"/>
    <s v="20140817 LAckein"/>
    <s v="20140817 HReider"/>
    <s v="x"/>
    <n v="151.32499999999999"/>
    <s v="na"/>
    <s v="FWL"/>
    <s v="na"/>
    <s v="na"/>
    <s v="F1840"/>
    <s v="na"/>
    <s v="na"/>
    <s v="na"/>
    <s v="na"/>
    <s v="na"/>
  </r>
  <r>
    <n v="2933"/>
    <x v="66"/>
    <n v="3"/>
    <x v="13"/>
    <x v="0"/>
    <x v="15"/>
    <n v="19"/>
    <s v="113 CO"/>
    <n v="59"/>
    <m/>
    <s v="M"/>
    <d v="1899-12-30T13:05:00"/>
    <d v="1899-12-30T01:27:00"/>
    <s v="13:15"/>
    <s v="LA"/>
    <s v="F266."/>
    <s v="20140817 LAckein"/>
    <s v="20140817 HReider"/>
    <d v="1899-12-30T00:08:33"/>
    <n v="151.26599999999999"/>
    <s v="na"/>
    <s v="FWL"/>
    <s v="na"/>
    <s v="na"/>
    <s v="F1840"/>
    <s v="na"/>
    <s v="na"/>
    <s v="na"/>
    <s v="na"/>
    <s v="na"/>
  </r>
  <r>
    <n v="2934"/>
    <x v="66"/>
    <n v="3"/>
    <x v="13"/>
    <x v="0"/>
    <x v="14"/>
    <n v="16"/>
    <s v="114 CO"/>
    <n v="58"/>
    <m/>
    <s v="F"/>
    <d v="1899-12-30T14:39:00"/>
    <d v="1899-12-30T00:59:00"/>
    <s v="14:45"/>
    <s v="KS"/>
    <m/>
    <s v="20140817 LAckein"/>
    <s v="20140817 HReider"/>
    <d v="1899-12-30T00:05:01"/>
    <n v="151.32499999999999"/>
    <s v="na"/>
    <s v="FWL"/>
    <s v="na"/>
    <s v="na"/>
    <s v="F1840"/>
    <s v="na"/>
    <s v="na"/>
    <s v="na"/>
    <s v="na"/>
    <s v="na"/>
  </r>
  <r>
    <n v="2935"/>
    <x v="66"/>
    <n v="3"/>
    <x v="7"/>
    <x v="0"/>
    <x v="10"/>
    <n v="73"/>
    <s v="167 S"/>
    <n v="46"/>
    <m/>
    <s v="F"/>
    <m/>
    <d v="1899-12-30T01:55:00"/>
    <s v="16:04"/>
    <s v="LA"/>
    <m/>
    <s v="20140817 LAckein"/>
    <s v="20140817 HReider"/>
    <s v="x"/>
    <n v="151.58600000000001"/>
    <s v="na"/>
    <s v="FWL"/>
    <s v="na"/>
    <s v="na"/>
    <s v="F1840"/>
    <s v="na"/>
    <s v="na"/>
    <s v="na"/>
    <s v="na"/>
    <s v="na"/>
  </r>
  <r>
    <n v="2936"/>
    <x v="66"/>
    <n v="3"/>
    <x v="10"/>
    <x v="0"/>
    <x v="0"/>
    <m/>
    <m/>
    <n v="57"/>
    <m/>
    <s v="U"/>
    <m/>
    <d v="1899-12-30T00:21:00"/>
    <s v="17:32"/>
    <s v="JBu"/>
    <m/>
    <s v="20140817 JBures"/>
    <s v="20140817 HReider"/>
    <s v="x"/>
    <s v="x"/>
    <s v="na"/>
    <s v="FWL"/>
    <s v="na"/>
    <s v="na"/>
    <s v="na"/>
    <s v="na"/>
    <s v="na"/>
    <s v="na"/>
    <s v="na"/>
    <s v="na"/>
  </r>
  <r>
    <n v="2937"/>
    <x v="66"/>
    <n v="3"/>
    <x v="10"/>
    <x v="0"/>
    <x v="0"/>
    <m/>
    <m/>
    <n v="56"/>
    <m/>
    <s v="M"/>
    <m/>
    <d v="1899-12-30T00:34:00"/>
    <s v="18:31"/>
    <s v="JBu"/>
    <m/>
    <s v="20140817 JBures"/>
    <s v="20140817 HReider"/>
    <s v="x"/>
    <s v="x"/>
    <s v="na"/>
    <s v="FWL"/>
    <s v="na"/>
    <s v="na"/>
    <s v="na"/>
    <s v="na"/>
    <s v="na"/>
    <s v="na"/>
    <s v="na"/>
    <s v="na"/>
  </r>
  <r>
    <n v="2938"/>
    <x v="66"/>
    <n v="3"/>
    <x v="10"/>
    <x v="0"/>
    <x v="0"/>
    <m/>
    <m/>
    <n v="55"/>
    <m/>
    <s v="U"/>
    <m/>
    <d v="1899-12-30T00:19:00"/>
    <s v="20:06"/>
    <s v="JK"/>
    <m/>
    <s v="20140817 JBures"/>
    <s v="20140817 HReider"/>
    <s v="x"/>
    <s v="x"/>
    <s v="na"/>
    <s v="FWL"/>
    <s v="na"/>
    <s v="na"/>
    <s v="na"/>
    <s v="na"/>
    <s v="na"/>
    <s v="na"/>
    <s v="na"/>
    <s v="na"/>
  </r>
  <r>
    <n v="2939"/>
    <x v="66"/>
    <n v="3"/>
    <x v="12"/>
    <x v="0"/>
    <x v="0"/>
    <m/>
    <m/>
    <n v="41"/>
    <m/>
    <s v="F"/>
    <m/>
    <d v="1899-12-30T00:37:00"/>
    <s v="20:07"/>
    <s v="JK"/>
    <m/>
    <s v="20140817 JBures"/>
    <s v="20140817 HReider"/>
    <s v="x"/>
    <s v="x"/>
    <s v="na"/>
    <s v="FWL"/>
    <s v="na"/>
    <s v="na"/>
    <s v="na"/>
    <s v="na"/>
    <s v="na"/>
    <s v="na"/>
    <s v="na"/>
    <s v="na"/>
  </r>
  <r>
    <n v="2940"/>
    <x v="67"/>
    <n v="1"/>
    <x v="10"/>
    <x v="0"/>
    <x v="11"/>
    <n v="67"/>
    <s v="181 CM"/>
    <n v="54"/>
    <m/>
    <s v="F"/>
    <d v="1899-12-30T09:13:00"/>
    <d v="1899-12-30T00:48:00"/>
    <s v="09:17"/>
    <s v="JBu"/>
    <m/>
    <s v="20140818 QBerger"/>
    <s v="20140819 LAckein"/>
    <d v="1899-12-30T00:03:12"/>
    <n v="151.53399999999999"/>
    <s v="na"/>
    <s v="FWL"/>
    <s v="na"/>
    <s v="na"/>
    <s v="F1840"/>
    <s v="na"/>
    <s v="na"/>
    <s v="na"/>
    <s v="na"/>
    <s v="na"/>
  </r>
  <r>
    <n v="2941"/>
    <x v="67"/>
    <n v="1"/>
    <x v="7"/>
    <x v="0"/>
    <x v="10"/>
    <n v="34"/>
    <s v="185 S"/>
    <n v="48"/>
    <m/>
    <s v="F"/>
    <m/>
    <d v="1899-12-30T01:05:00"/>
    <s v="11:00"/>
    <s v="JBu"/>
    <m/>
    <s v="20140818 QBerger"/>
    <s v="20140819 LAckein"/>
    <s v="x"/>
    <n v="151.58600000000001"/>
    <s v="na"/>
    <s v="FWL"/>
    <s v="na"/>
    <s v="na"/>
    <s v="F1840"/>
    <s v="na"/>
    <s v="na"/>
    <s v="na"/>
    <s v="na"/>
    <s v="na"/>
  </r>
  <r>
    <n v="2942"/>
    <x v="67"/>
    <n v="1"/>
    <x v="10"/>
    <x v="0"/>
    <x v="0"/>
    <m/>
    <m/>
    <n v="54"/>
    <m/>
    <s v="F"/>
    <m/>
    <d v="1899-12-30T00:22:00"/>
    <s v="12:20"/>
    <s v="JBu"/>
    <m/>
    <s v="20140818 QBerger"/>
    <s v="20140819 LAckein"/>
    <s v="x"/>
    <s v="x"/>
    <s v="na"/>
    <s v="FWL"/>
    <s v="na"/>
    <s v="na"/>
    <s v="na"/>
    <s v="na"/>
    <s v="na"/>
    <s v="na"/>
    <s v="na"/>
    <s v="na"/>
  </r>
  <r>
    <n v="2943"/>
    <x v="67"/>
    <n v="1"/>
    <x v="13"/>
    <x v="0"/>
    <x v="15"/>
    <n v="16"/>
    <s v="110 CO"/>
    <n v="57"/>
    <m/>
    <s v="M"/>
    <d v="1899-12-30T13:55:00"/>
    <d v="1899-12-30T00:54:00"/>
    <s v="14:00"/>
    <s v="JBu"/>
    <s v="F266."/>
    <s v="20140818 QBerger"/>
    <s v="20140819 LAckein"/>
    <d v="1899-12-30T00:04:06"/>
    <n v="151.26599999999999"/>
    <s v="na"/>
    <s v="FWL"/>
    <s v="na"/>
    <s v="na"/>
    <s v="F1840"/>
    <s v="na"/>
    <s v="na"/>
    <s v="na"/>
    <s v="na"/>
    <s v="na"/>
  </r>
  <r>
    <n v="2944"/>
    <x v="67"/>
    <n v="1"/>
    <x v="13"/>
    <x v="0"/>
    <x v="14"/>
    <n v="34"/>
    <s v="111 CO"/>
    <n v="58"/>
    <m/>
    <s v="F"/>
    <m/>
    <d v="1899-12-30T00:32:00"/>
    <s v="14:02"/>
    <s v="JBu"/>
    <m/>
    <s v="20140818 QBerger"/>
    <s v="20140819 LAckein"/>
    <s v="x"/>
    <n v="151.32499999999999"/>
    <s v="na"/>
    <s v="FWL"/>
    <s v="na"/>
    <s v="na"/>
    <s v="F1840"/>
    <s v="na"/>
    <s v="na"/>
    <s v="na"/>
    <s v="na"/>
    <s v="na"/>
  </r>
  <r>
    <n v="2945"/>
    <x v="67"/>
    <n v="1"/>
    <x v="12"/>
    <x v="0"/>
    <x v="0"/>
    <m/>
    <m/>
    <n v="45"/>
    <m/>
    <s v="F"/>
    <m/>
    <d v="1899-12-30T00:15:00"/>
    <s v="14:04"/>
    <s v="JBu"/>
    <m/>
    <s v="20140818 QBerger"/>
    <s v="20140819 LAckein"/>
    <s v="x"/>
    <s v="x"/>
    <s v="na"/>
    <s v="FWL"/>
    <s v="na"/>
    <s v="na"/>
    <s v="na"/>
    <s v="na"/>
    <s v="na"/>
    <s v="na"/>
    <s v="na"/>
    <s v="na"/>
  </r>
  <r>
    <n v="2946"/>
    <x v="67"/>
    <n v="1"/>
    <x v="10"/>
    <x v="0"/>
    <x v="0"/>
    <m/>
    <m/>
    <n v="55"/>
    <m/>
    <s v="F"/>
    <m/>
    <d v="1899-12-30T00:19:00"/>
    <s v="14:13"/>
    <s v="JBu"/>
    <m/>
    <s v="20140818 QBerger"/>
    <s v="20140819 LAckein"/>
    <s v="x"/>
    <s v="x"/>
    <s v="na"/>
    <s v="FWL"/>
    <s v="na"/>
    <s v="na"/>
    <s v="na"/>
    <s v="na"/>
    <s v="na"/>
    <s v="na"/>
    <s v="na"/>
    <s v="na"/>
  </r>
  <r>
    <n v="2947"/>
    <x v="67"/>
    <n v="1"/>
    <x v="10"/>
    <x v="0"/>
    <x v="0"/>
    <m/>
    <m/>
    <n v="59"/>
    <m/>
    <s v="M"/>
    <d v="1899-12-30T14:10:00"/>
    <d v="1899-12-30T00:24:00"/>
    <s v="14:15"/>
    <s v="JBu"/>
    <m/>
    <s v="20140818 QBerger"/>
    <s v="20140819 LAckein"/>
    <d v="1899-12-30T00:04:36"/>
    <s v="x"/>
    <s v="na"/>
    <s v="FWL"/>
    <s v="na"/>
    <s v="na"/>
    <s v="na"/>
    <s v="na"/>
    <s v="na"/>
    <s v="na"/>
    <s v="na"/>
    <s v="na"/>
  </r>
  <r>
    <n v="2948"/>
    <x v="67"/>
    <n v="1"/>
    <x v="12"/>
    <x v="0"/>
    <x v="0"/>
    <m/>
    <m/>
    <n v="45"/>
    <m/>
    <s v="M"/>
    <m/>
    <d v="1899-12-30T00:23:00"/>
    <s v="15:24"/>
    <s v="JK"/>
    <m/>
    <s v="20140818 JBures"/>
    <s v="20140819 LAckein"/>
    <s v="x"/>
    <s v="x"/>
    <s v="na"/>
    <s v="FWL"/>
    <s v="na"/>
    <s v="na"/>
    <s v="na"/>
    <s v="na"/>
    <s v="na"/>
    <s v="na"/>
    <s v="na"/>
    <s v="na"/>
  </r>
  <r>
    <n v="2949"/>
    <x v="67"/>
    <n v="1"/>
    <x v="13"/>
    <x v="0"/>
    <x v="14"/>
    <n v="76"/>
    <s v="118 CO"/>
    <n v="60"/>
    <m/>
    <s v="M"/>
    <d v="1899-12-30T15:27:00"/>
    <d v="1899-12-30T00:43:00"/>
    <s v="15:31"/>
    <s v="JK"/>
    <s v="blush and sliver, beauty.  Pic taken."/>
    <s v="20140818 JBures"/>
    <s v="20140819 LAckein"/>
    <d v="1899-12-30T00:03:17"/>
    <n v="151.32499999999999"/>
    <s v="na"/>
    <s v="FWL"/>
    <s v="na"/>
    <s v="na"/>
    <s v="F1840"/>
    <s v="na"/>
    <s v="na"/>
    <s v="na"/>
    <s v="na"/>
    <s v="na"/>
  </r>
  <r>
    <n v="2950"/>
    <x v="67"/>
    <n v="1"/>
    <x v="13"/>
    <x v="0"/>
    <x v="14"/>
    <n v="59"/>
    <s v="119 CO"/>
    <n v="55"/>
    <m/>
    <s v="F"/>
    <m/>
    <d v="1899-12-30T00:57:00"/>
    <s v="15:38"/>
    <s v="JK"/>
    <m/>
    <s v="20140818 JBures"/>
    <s v="20140819 LAckein"/>
    <s v="x"/>
    <n v="151.32499999999999"/>
    <s v="na"/>
    <s v="FWL"/>
    <s v="na"/>
    <s v="na"/>
    <s v="F1840"/>
    <s v="na"/>
    <s v="na"/>
    <s v="na"/>
    <s v="na"/>
    <s v="na"/>
  </r>
  <r>
    <n v="2951"/>
    <x v="67"/>
    <n v="1"/>
    <x v="12"/>
    <x v="0"/>
    <x v="0"/>
    <m/>
    <m/>
    <n v="42"/>
    <m/>
    <s v="F"/>
    <d v="1899-12-30T15:35:00"/>
    <d v="1899-12-30T00:29:00"/>
    <s v="15:36"/>
    <s v="CSj"/>
    <m/>
    <s v="20140818 JBures"/>
    <s v="20140819 LAckein"/>
    <d v="1899-12-30T00:00:31"/>
    <s v="x"/>
    <s v="na"/>
    <s v="FWL"/>
    <s v="na"/>
    <s v="na"/>
    <s v="na"/>
    <s v="na"/>
    <s v="na"/>
    <s v="na"/>
    <s v="na"/>
    <s v="na"/>
  </r>
  <r>
    <n v="2952"/>
    <x v="67"/>
    <n v="1"/>
    <x v="10"/>
    <x v="0"/>
    <x v="0"/>
    <m/>
    <m/>
    <n v="61"/>
    <m/>
    <s v="F"/>
    <d v="1899-12-30T15:33:00"/>
    <d v="1899-12-30T00:22:00"/>
    <s v="15:43"/>
    <s v="CSj"/>
    <m/>
    <s v="20140818 JBures"/>
    <s v="20140819 LAckein"/>
    <d v="1899-12-30T00:09:38"/>
    <s v="x"/>
    <s v="na"/>
    <s v="FWL"/>
    <s v="na"/>
    <s v="na"/>
    <s v="na"/>
    <s v="na"/>
    <s v="na"/>
    <s v="na"/>
    <s v="na"/>
    <s v="na"/>
  </r>
  <r>
    <n v="2953"/>
    <x v="67"/>
    <n v="1"/>
    <x v="13"/>
    <x v="0"/>
    <x v="14"/>
    <n v="27"/>
    <s v="123 CO"/>
    <n v="52"/>
    <m/>
    <s v="U"/>
    <m/>
    <d v="1899-12-30T01:07:00"/>
    <s v="16:02"/>
    <s v="JK"/>
    <m/>
    <s v="20140818 JBures"/>
    <s v="20140819 LAckein"/>
    <s v="x"/>
    <n v="151.32499999999999"/>
    <s v="na"/>
    <s v="FWL"/>
    <s v="na"/>
    <s v="na"/>
    <s v="F1840"/>
    <s v="na"/>
    <s v="na"/>
    <s v="na"/>
    <s v="na"/>
    <s v="na"/>
  </r>
  <r>
    <n v="2954"/>
    <x v="67"/>
    <n v="1"/>
    <x v="10"/>
    <x v="0"/>
    <x v="0"/>
    <m/>
    <m/>
    <n v="53"/>
    <m/>
    <s v="U"/>
    <d v="1899-12-30T15:55:00"/>
    <d v="1899-12-30T00:35:00"/>
    <s v="15:57"/>
    <s v="CSj"/>
    <m/>
    <s v="20140818 JBures"/>
    <s v="20140819 LAckein"/>
    <d v="1899-12-30T00:01:25"/>
    <s v="x"/>
    <s v="na"/>
    <s v="FWL"/>
    <s v="na"/>
    <s v="na"/>
    <s v="na"/>
    <s v="na"/>
    <s v="na"/>
    <s v="na"/>
    <s v="na"/>
    <s v="na"/>
  </r>
  <r>
    <n v="2955"/>
    <x v="67"/>
    <n v="1"/>
    <x v="13"/>
    <x v="0"/>
    <x v="14"/>
    <n v="88"/>
    <s v="124 CO"/>
    <n v="51"/>
    <m/>
    <s v="U"/>
    <m/>
    <d v="1899-12-30T01:28:00"/>
    <s v="16:43"/>
    <s v="CSj"/>
    <m/>
    <s v="20140818 JBures"/>
    <s v="20140819 LAckein"/>
    <s v="x"/>
    <n v="151.32499999999999"/>
    <s v="na"/>
    <s v="FWL"/>
    <s v="na"/>
    <s v="na"/>
    <s v="F1840"/>
    <s v="na"/>
    <s v="na"/>
    <s v="na"/>
    <s v="na"/>
    <s v="na"/>
  </r>
  <r>
    <n v="2956"/>
    <x v="67"/>
    <n v="1"/>
    <x v="12"/>
    <x v="0"/>
    <x v="0"/>
    <m/>
    <m/>
    <n v="44"/>
    <m/>
    <s v="F"/>
    <m/>
    <d v="1899-12-30T00:31:00"/>
    <s v="16:47"/>
    <s v="JK"/>
    <m/>
    <s v="20140818 JBures"/>
    <s v="20140819 LAckein"/>
    <s v="x"/>
    <s v="x"/>
    <s v="na"/>
    <s v="FWL"/>
    <s v="na"/>
    <s v="na"/>
    <s v="na"/>
    <s v="na"/>
    <s v="na"/>
    <s v="na"/>
    <s v="na"/>
    <s v="na"/>
  </r>
  <r>
    <n v="2957"/>
    <x v="67"/>
    <n v="1"/>
    <x v="10"/>
    <x v="0"/>
    <x v="0"/>
    <m/>
    <m/>
    <n v="57"/>
    <m/>
    <s v="F"/>
    <d v="1899-12-30T16:41:00"/>
    <d v="1899-12-30T00:23:00"/>
    <s v="16:48"/>
    <s v="JK"/>
    <m/>
    <s v="20140818 JBures"/>
    <s v="20140819 LAckein"/>
    <d v="1899-12-30T00:06:37"/>
    <s v="x"/>
    <s v="na"/>
    <s v="FWL"/>
    <s v="na"/>
    <s v="na"/>
    <s v="na"/>
    <s v="na"/>
    <s v="na"/>
    <s v="na"/>
    <s v="na"/>
    <s v="na"/>
  </r>
  <r>
    <n v="2958"/>
    <x v="67"/>
    <n v="1"/>
    <x v="12"/>
    <x v="0"/>
    <x v="0"/>
    <m/>
    <m/>
    <n v="44"/>
    <m/>
    <s v="M"/>
    <m/>
    <d v="1899-12-30T00:30:00"/>
    <s v="17:10"/>
    <s v="JBu"/>
    <m/>
    <s v="20140818 JBures"/>
    <s v="20140819 LAckein"/>
    <s v="x"/>
    <s v="x"/>
    <s v="na"/>
    <s v="FWL"/>
    <s v="na"/>
    <s v="na"/>
    <s v="na"/>
    <s v="na"/>
    <s v="na"/>
    <s v="na"/>
    <s v="na"/>
    <s v="na"/>
  </r>
  <r>
    <n v="2959"/>
    <x v="67"/>
    <n v="1"/>
    <x v="10"/>
    <x v="0"/>
    <x v="0"/>
    <m/>
    <m/>
    <n v="52"/>
    <m/>
    <s v="M"/>
    <m/>
    <d v="1899-12-30T00:40:00"/>
    <s v="17:11"/>
    <s v="JBu"/>
    <m/>
    <s v="20140818 JBures"/>
    <s v="20140819 LAckein"/>
    <s v="x"/>
    <s v="x"/>
    <s v="na"/>
    <s v="FWL"/>
    <s v="na"/>
    <s v="na"/>
    <s v="na"/>
    <s v="na"/>
    <s v="na"/>
    <s v="na"/>
    <s v="na"/>
    <s v="na"/>
  </r>
  <r>
    <n v="2960"/>
    <x v="67"/>
    <n v="1"/>
    <x v="4"/>
    <x v="0"/>
    <x v="0"/>
    <m/>
    <m/>
    <n v="33"/>
    <m/>
    <s v="M"/>
    <m/>
    <d v="1899-12-30T00:40:00"/>
    <s v="17:11"/>
    <s v="CSj"/>
    <s v="dark, mostly spawned out"/>
    <s v="20140818 JBures"/>
    <s v="20140819 LAckein"/>
    <s v="x"/>
    <s v="x"/>
    <s v="na"/>
    <s v="FWL"/>
    <s v="na"/>
    <s v="na"/>
    <s v="na"/>
    <s v="na"/>
    <s v="na"/>
    <s v="na"/>
    <s v="na"/>
    <s v="na"/>
  </r>
  <r>
    <n v="2961"/>
    <x v="67"/>
    <n v="1"/>
    <x v="12"/>
    <x v="0"/>
    <x v="0"/>
    <m/>
    <m/>
    <n v="43"/>
    <m/>
    <s v="M"/>
    <m/>
    <d v="1899-12-30T00:20:00"/>
    <s v="18:19"/>
    <s v="CSj"/>
    <m/>
    <s v="20140818 JBures"/>
    <s v="20140819 LAckein"/>
    <s v="x"/>
    <s v="x"/>
    <s v="na"/>
    <s v="FWL"/>
    <s v="na"/>
    <s v="na"/>
    <s v="na"/>
    <s v="na"/>
    <s v="na"/>
    <s v="na"/>
    <s v="na"/>
    <s v="na"/>
  </r>
  <r>
    <n v="2962"/>
    <x v="67"/>
    <n v="1"/>
    <x v="10"/>
    <x v="0"/>
    <x v="0"/>
    <m/>
    <m/>
    <n v="52"/>
    <m/>
    <s v="F"/>
    <m/>
    <d v="1899-12-30T00:20:00"/>
    <s v="18:19"/>
    <s v="CSj"/>
    <m/>
    <s v="20140818 JBures"/>
    <s v="20140819 LAckein"/>
    <s v="x"/>
    <s v="x"/>
    <s v="na"/>
    <s v="FWL"/>
    <s v="na"/>
    <s v="na"/>
    <s v="na"/>
    <s v="na"/>
    <s v="na"/>
    <s v="na"/>
    <s v="na"/>
    <s v="na"/>
  </r>
  <r>
    <n v="2963"/>
    <x v="67"/>
    <n v="1"/>
    <x v="12"/>
    <x v="0"/>
    <x v="0"/>
    <m/>
    <m/>
    <n v="45"/>
    <m/>
    <s v="F"/>
    <m/>
    <d v="1899-12-30T00:18:00"/>
    <s v="20:06"/>
    <s v="JBu"/>
    <m/>
    <s v="20140818 JBures"/>
    <s v="20140819 LAckein"/>
    <s v="x"/>
    <s v="x"/>
    <s v="na"/>
    <s v="FWL"/>
    <s v="na"/>
    <s v="na"/>
    <s v="na"/>
    <s v="na"/>
    <s v="na"/>
    <s v="na"/>
    <s v="na"/>
    <s v="na"/>
  </r>
  <r>
    <n v="2964"/>
    <x v="67"/>
    <n v="1"/>
    <x v="12"/>
    <x v="0"/>
    <x v="0"/>
    <m/>
    <m/>
    <n v="49"/>
    <m/>
    <s v="F"/>
    <m/>
    <d v="1899-12-30T00:19:00"/>
    <s v="20:07"/>
    <s v="JBu"/>
    <m/>
    <s v="20140818 JBures"/>
    <s v="20140819 LAckein"/>
    <s v="x"/>
    <s v="x"/>
    <s v="na"/>
    <s v="FWL"/>
    <s v="na"/>
    <s v="na"/>
    <s v="na"/>
    <s v="na"/>
    <s v="na"/>
    <s v="na"/>
    <s v="na"/>
    <s v="na"/>
  </r>
  <r>
    <n v="2965"/>
    <x v="67"/>
    <n v="1"/>
    <x v="10"/>
    <x v="0"/>
    <x v="0"/>
    <m/>
    <m/>
    <n v="56"/>
    <m/>
    <s v="F"/>
    <m/>
    <d v="1899-12-30T00:21:00"/>
    <s v="20:07"/>
    <s v="JBu"/>
    <m/>
    <s v="20140818 JBures"/>
    <s v="20140819 LAckein"/>
    <s v="x"/>
    <s v="x"/>
    <s v="na"/>
    <s v="FWL"/>
    <s v="na"/>
    <s v="na"/>
    <s v="na"/>
    <s v="na"/>
    <s v="na"/>
    <s v="na"/>
    <s v="na"/>
    <s v="na"/>
  </r>
  <r>
    <n v="2966"/>
    <x v="67"/>
    <n v="1"/>
    <x v="13"/>
    <x v="0"/>
    <x v="0"/>
    <m/>
    <m/>
    <n v="44"/>
    <m/>
    <s v="F"/>
    <m/>
    <d v="1899-12-30T00:26:00"/>
    <s v="20:08"/>
    <s v="JBu"/>
    <m/>
    <s v="20140818 JBures"/>
    <s v="20140819 LAckein"/>
    <s v="x"/>
    <s v="x"/>
    <s v="na"/>
    <s v="FWL"/>
    <s v="na"/>
    <s v="na"/>
    <s v="na"/>
    <s v="na"/>
    <s v="na"/>
    <s v="na"/>
    <s v="na"/>
    <s v="na"/>
  </r>
  <r>
    <n v="2967"/>
    <x v="67"/>
    <n v="1"/>
    <x v="12"/>
    <x v="0"/>
    <x v="0"/>
    <m/>
    <m/>
    <n v="44"/>
    <m/>
    <s v="F"/>
    <m/>
    <d v="1899-12-30T00:18:00"/>
    <s v="20:08"/>
    <s v="JBu"/>
    <m/>
    <s v="20140818 JBures"/>
    <s v="20140819 LAckein"/>
    <s v="x"/>
    <s v="x"/>
    <s v="na"/>
    <s v="FWL"/>
    <s v="na"/>
    <s v="na"/>
    <s v="na"/>
    <s v="na"/>
    <s v="na"/>
    <s v="na"/>
    <s v="na"/>
    <s v="na"/>
  </r>
  <r>
    <n v="2968"/>
    <x v="67"/>
    <n v="1"/>
    <x v="10"/>
    <x v="0"/>
    <x v="0"/>
    <m/>
    <m/>
    <n v="55"/>
    <m/>
    <s v="M"/>
    <m/>
    <d v="1899-12-30T00:19:00"/>
    <s v="20:11"/>
    <s v="JBu"/>
    <m/>
    <s v="20140818 JBures"/>
    <s v="20140819 LAckein"/>
    <s v="x"/>
    <s v="x"/>
    <s v="na"/>
    <s v="FWL"/>
    <s v="na"/>
    <s v="na"/>
    <s v="na"/>
    <s v="na"/>
    <s v="na"/>
    <s v="na"/>
    <s v="na"/>
    <s v="na"/>
  </r>
  <r>
    <n v="2969"/>
    <x v="67"/>
    <n v="1"/>
    <x v="13"/>
    <x v="0"/>
    <x v="0"/>
    <m/>
    <m/>
    <n v="45"/>
    <m/>
    <s v="M"/>
    <m/>
    <d v="1899-12-30T00:21:00"/>
    <s v="20:12"/>
    <s v="JBu"/>
    <m/>
    <s v="20140818 JBures"/>
    <s v="20140819 LAckein"/>
    <s v="x"/>
    <s v="x"/>
    <s v="na"/>
    <s v="FWL"/>
    <s v="na"/>
    <s v="na"/>
    <s v="na"/>
    <s v="na"/>
    <s v="na"/>
    <s v="na"/>
    <s v="na"/>
    <s v="na"/>
  </r>
  <r>
    <n v="2970"/>
    <x v="67"/>
    <n v="2"/>
    <x v="10"/>
    <x v="0"/>
    <x v="11"/>
    <n v="92"/>
    <s v="182 CM"/>
    <n v="56"/>
    <m/>
    <s v="M"/>
    <m/>
    <d v="1899-12-30T00:58:00"/>
    <s v="15:11"/>
    <s v="CSj"/>
    <s v="Beauty, nice colors"/>
    <s v="20140818 JKunzler"/>
    <s v="20140819 LAckein"/>
    <s v="x"/>
    <n v="151.53399999999999"/>
    <s v="na"/>
    <s v="FWL"/>
    <s v="na"/>
    <s v="na"/>
    <s v="F1840"/>
    <s v="na"/>
    <s v="na"/>
    <s v="na"/>
    <s v="na"/>
    <s v="na"/>
  </r>
  <r>
    <n v="2971"/>
    <x v="67"/>
    <n v="2"/>
    <x v="10"/>
    <x v="0"/>
    <x v="0"/>
    <m/>
    <m/>
    <n v="55"/>
    <m/>
    <s v="F"/>
    <m/>
    <d v="1899-12-30T00:21:00"/>
    <s v="16:53"/>
    <s v="CSj"/>
    <m/>
    <s v="20140818 JKunzler"/>
    <s v="20140819 LAckein"/>
    <s v="x"/>
    <s v="x"/>
    <s v="na"/>
    <s v="FWL"/>
    <s v="na"/>
    <s v="na"/>
    <s v="na"/>
    <s v="na"/>
    <s v="na"/>
    <s v="na"/>
    <s v="na"/>
    <s v="na"/>
  </r>
  <r>
    <n v="2972"/>
    <x v="67"/>
    <n v="2"/>
    <x v="13"/>
    <x v="0"/>
    <x v="15"/>
    <n v="3"/>
    <s v="125 CO"/>
    <n v="58"/>
    <m/>
    <s v="F"/>
    <m/>
    <d v="1899-12-30T01:00:00"/>
    <s v="16:56"/>
    <s v="CSj"/>
    <s v="F266.  Bright colors, pink and silver"/>
    <s v="20140818 JKunzler"/>
    <s v="20140819 LAckein"/>
    <s v="x"/>
    <n v="151.26599999999999"/>
    <s v="na"/>
    <s v="FWL"/>
    <s v="na"/>
    <s v="na"/>
    <s v="F1840"/>
    <s v="na"/>
    <s v="na"/>
    <s v="na"/>
    <s v="na"/>
    <s v="na"/>
  </r>
  <r>
    <n v="2973"/>
    <x v="67"/>
    <n v="2"/>
    <x v="10"/>
    <x v="0"/>
    <x v="0"/>
    <m/>
    <m/>
    <n v="56"/>
    <m/>
    <s v="M"/>
    <m/>
    <d v="1899-12-30T00:23:00"/>
    <s v="17:00"/>
    <s v="CSj"/>
    <s v="Lively"/>
    <s v="20140818 JKunzler"/>
    <s v="20140819 LAckein"/>
    <s v="x"/>
    <s v="x"/>
    <s v="na"/>
    <s v="FWL"/>
    <s v="na"/>
    <s v="na"/>
    <s v="na"/>
    <s v="na"/>
    <s v="na"/>
    <s v="na"/>
    <s v="na"/>
    <s v="na"/>
  </r>
  <r>
    <n v="2974"/>
    <x v="67"/>
    <n v="2"/>
    <x v="10"/>
    <x v="0"/>
    <x v="0"/>
    <m/>
    <m/>
    <n v="58"/>
    <m/>
    <s v="F"/>
    <m/>
    <d v="1899-12-30T00:27:00"/>
    <s v="17:01"/>
    <s v="CSj"/>
    <m/>
    <s v="20140818 JKunzler"/>
    <s v="20140819 LAckein"/>
    <s v="x"/>
    <s v="x"/>
    <s v="na"/>
    <s v="FWL"/>
    <s v="na"/>
    <s v="na"/>
    <s v="na"/>
    <s v="na"/>
    <s v="na"/>
    <s v="na"/>
    <s v="na"/>
    <s v="na"/>
  </r>
  <r>
    <n v="2975"/>
    <x v="67"/>
    <n v="2"/>
    <x v="13"/>
    <x v="0"/>
    <x v="15"/>
    <n v="9"/>
    <s v="126 CO"/>
    <n v="58"/>
    <m/>
    <s v="M"/>
    <m/>
    <d v="1899-12-30T00:50:00"/>
    <s v="18:58"/>
    <s v="CSj"/>
    <s v="F266."/>
    <s v="20140818 JKunzler"/>
    <s v="20140819 LAckein"/>
    <s v="x"/>
    <n v="151.26599999999999"/>
    <s v="na"/>
    <s v="FWL"/>
    <s v="na"/>
    <s v="na"/>
    <s v="F1840"/>
    <s v="na"/>
    <s v="na"/>
    <s v="na"/>
    <s v="na"/>
    <s v="na"/>
  </r>
  <r>
    <n v="2976"/>
    <x v="67"/>
    <n v="2"/>
    <x v="10"/>
    <x v="0"/>
    <x v="0"/>
    <m/>
    <m/>
    <n v="51"/>
    <m/>
    <s v="M"/>
    <m/>
    <d v="1899-12-30T00:19:00"/>
    <s v="18:59"/>
    <s v="JBu"/>
    <m/>
    <s v="20140818 JKunzler"/>
    <s v="20140819 LAckein"/>
    <s v="x"/>
    <s v="x"/>
    <s v="na"/>
    <s v="FWL"/>
    <s v="na"/>
    <s v="na"/>
    <s v="na"/>
    <s v="na"/>
    <s v="na"/>
    <s v="na"/>
    <s v="na"/>
    <s v="na"/>
  </r>
  <r>
    <n v="2977"/>
    <x v="67"/>
    <n v="2"/>
    <x v="12"/>
    <x v="0"/>
    <x v="0"/>
    <m/>
    <m/>
    <n v="45"/>
    <m/>
    <s v="F"/>
    <m/>
    <d v="1899-12-30T00:21:00"/>
    <s v="19:57"/>
    <s v="JBu"/>
    <m/>
    <s v="20140818 JKunzler"/>
    <s v="20140819 LAckein"/>
    <s v="x"/>
    <s v="x"/>
    <s v="na"/>
    <s v="FWL"/>
    <s v="na"/>
    <s v="na"/>
    <s v="na"/>
    <s v="na"/>
    <s v="na"/>
    <s v="na"/>
    <s v="na"/>
    <s v="na"/>
  </r>
  <r>
    <n v="2978"/>
    <x v="67"/>
    <n v="3"/>
    <x v="12"/>
    <x v="0"/>
    <x v="12"/>
    <n v="94"/>
    <s v="198 P"/>
    <n v="56"/>
    <m/>
    <s v="M"/>
    <m/>
    <d v="1899-12-30T00:58:00"/>
    <s v="09:42"/>
    <s v="CSj"/>
    <m/>
    <s v="20140818 CSejkora"/>
    <s v="20140819 LAckein"/>
    <s v="x"/>
    <n v="151.596"/>
    <s v="na"/>
    <s v="FWL"/>
    <s v="na"/>
    <s v="na"/>
    <s v="F1835"/>
    <s v="na"/>
    <s v="na"/>
    <s v="na"/>
    <s v="na"/>
    <s v="na"/>
  </r>
  <r>
    <n v="2979"/>
    <x v="67"/>
    <n v="3"/>
    <x v="13"/>
    <x v="0"/>
    <x v="15"/>
    <n v="74"/>
    <s v="115 CO"/>
    <n v="49"/>
    <m/>
    <s v="U"/>
    <m/>
    <d v="1899-12-30T00:48:00"/>
    <s v="10:47"/>
    <s v="CSj"/>
    <s v="F266."/>
    <s v="20140818 CSejkora"/>
    <s v="20140819 LAckein"/>
    <s v="x"/>
    <n v="151.26599999999999"/>
    <s v="na"/>
    <s v="FWL"/>
    <s v="na"/>
    <s v="na"/>
    <s v="F1840"/>
    <s v="na"/>
    <s v="na"/>
    <s v="na"/>
    <s v="na"/>
    <s v="na"/>
  </r>
  <r>
    <n v="2980"/>
    <x v="67"/>
    <n v="3"/>
    <x v="12"/>
    <x v="0"/>
    <x v="13"/>
    <n v="28"/>
    <s v="199 P"/>
    <n v="44"/>
    <m/>
    <s v="F"/>
    <m/>
    <d v="1899-12-30T00:49:00"/>
    <s v="10:51"/>
    <s v="CSj"/>
    <m/>
    <s v="20140818 CSejkora"/>
    <s v="20140819 LAckein"/>
    <s v="x"/>
    <n v="151.51499999999999"/>
    <s v="na"/>
    <s v="FWL"/>
    <s v="na"/>
    <s v="na"/>
    <s v="F1835"/>
    <s v="na"/>
    <s v="na"/>
    <s v="na"/>
    <s v="na"/>
    <s v="na"/>
  </r>
  <r>
    <n v="2981"/>
    <x v="67"/>
    <n v="3"/>
    <x v="10"/>
    <x v="0"/>
    <x v="11"/>
    <n v="14"/>
    <s v="176 CM"/>
    <n v="61"/>
    <m/>
    <s v="M"/>
    <m/>
    <d v="1899-12-30T00:50:00"/>
    <s v="10:53"/>
    <s v="CSj"/>
    <m/>
    <s v="20140818 CSejkora"/>
    <s v="20140819 LAckein"/>
    <s v="x"/>
    <n v="151.53399999999999"/>
    <s v="na"/>
    <s v="FWL"/>
    <s v="na"/>
    <s v="na"/>
    <s v="F1840"/>
    <s v="na"/>
    <s v="na"/>
    <s v="na"/>
    <s v="na"/>
    <s v="na"/>
  </r>
  <r>
    <n v="2982"/>
    <x v="67"/>
    <n v="3"/>
    <x v="13"/>
    <x v="0"/>
    <x v="0"/>
    <m/>
    <m/>
    <n v="58"/>
    <m/>
    <s v="U"/>
    <m/>
    <d v="1899-12-30T00:22:00"/>
    <s v="10:54"/>
    <s v="JK"/>
    <s v="spawned out"/>
    <s v="20140818 LAckein"/>
    <s v="20140819 LAckein"/>
    <s v="x"/>
    <s v="x"/>
    <s v="na"/>
    <s v="FWL"/>
    <s v="na"/>
    <s v="na"/>
    <s v="na"/>
    <s v="na"/>
    <s v="na"/>
    <s v="na"/>
    <s v="na"/>
    <s v="na"/>
  </r>
  <r>
    <n v="2983"/>
    <x v="67"/>
    <n v="3"/>
    <x v="10"/>
    <x v="0"/>
    <x v="7"/>
    <n v="39"/>
    <s v="177 CM"/>
    <n v="53"/>
    <m/>
    <s v="F"/>
    <m/>
    <d v="1899-12-30T01:06:00"/>
    <s v="10:59"/>
    <s v="CSj"/>
    <m/>
    <s v="20140818 LAckein"/>
    <s v="20140819 LAckein"/>
    <s v="x"/>
    <n v="151.56399999999999"/>
    <s v="na"/>
    <s v="FWL"/>
    <s v="na"/>
    <s v="na"/>
    <s v="F1840"/>
    <s v="na"/>
    <s v="na"/>
    <s v="na"/>
    <s v="na"/>
    <s v="na"/>
  </r>
  <r>
    <n v="2984"/>
    <x v="67"/>
    <n v="3"/>
    <x v="12"/>
    <x v="0"/>
    <x v="13"/>
    <n v="26"/>
    <s v="200 P"/>
    <n v="40"/>
    <m/>
    <s v="M"/>
    <m/>
    <d v="1899-12-30T01:29:00"/>
    <s v="12:39"/>
    <s v="LA"/>
    <m/>
    <s v="20140818 LAckein"/>
    <s v="20140819 LAckein"/>
    <s v="x"/>
    <n v="151.51499999999999"/>
    <s v="na"/>
    <s v="FWL"/>
    <s v="na"/>
    <s v="na"/>
    <s v="F1835"/>
    <s v="na"/>
    <s v="na"/>
    <s v="na"/>
    <s v="na"/>
    <s v="na"/>
  </r>
  <r>
    <n v="2985"/>
    <x v="67"/>
    <n v="3"/>
    <x v="12"/>
    <x v="0"/>
    <x v="13"/>
    <n v="90"/>
    <s v="195 P"/>
    <n v="52"/>
    <m/>
    <s v="M"/>
    <m/>
    <d v="1899-12-30T01:23:00"/>
    <s v="13:48"/>
    <s v="HR"/>
    <s v="distinct hump"/>
    <s v="20140818 LAckein"/>
    <s v="20140819 LAckein"/>
    <s v="x"/>
    <n v="151.51499999999999"/>
    <s v="na"/>
    <s v="FWL"/>
    <s v="na"/>
    <s v="na"/>
    <s v="F1835"/>
    <s v="na"/>
    <s v="na"/>
    <s v="na"/>
    <s v="na"/>
    <s v="na"/>
  </r>
  <r>
    <n v="2986"/>
    <x v="67"/>
    <n v="3"/>
    <x v="12"/>
    <x v="0"/>
    <x v="13"/>
    <n v="57"/>
    <s v="196 P"/>
    <n v="44"/>
    <m/>
    <s v="M"/>
    <m/>
    <d v="1899-12-30T00:50:00"/>
    <s v="13:51"/>
    <s v="HR"/>
    <m/>
    <s v="20140818 LAckein"/>
    <s v="20140819 LAckein"/>
    <s v="x"/>
    <n v="151.51499999999999"/>
    <s v="na"/>
    <s v="FWL"/>
    <s v="na"/>
    <s v="na"/>
    <s v="F1835"/>
    <s v="na"/>
    <s v="na"/>
    <s v="na"/>
    <s v="na"/>
    <s v="na"/>
  </r>
  <r>
    <n v="2987"/>
    <x v="67"/>
    <n v="3"/>
    <x v="12"/>
    <x v="0"/>
    <x v="0"/>
    <m/>
    <m/>
    <n v="45"/>
    <m/>
    <s v="F"/>
    <m/>
    <d v="1899-12-30T00:20:00"/>
    <s v="14:54"/>
    <s v="HR"/>
    <m/>
    <s v="20140818 LAckein"/>
    <s v="20140819 LAckein"/>
    <s v="x"/>
    <s v="x"/>
    <s v="na"/>
    <s v="FWL"/>
    <s v="na"/>
    <s v="na"/>
    <s v="na"/>
    <s v="na"/>
    <s v="na"/>
    <s v="na"/>
    <s v="na"/>
    <s v="na"/>
  </r>
  <r>
    <n v="2988"/>
    <x v="67"/>
    <n v="3"/>
    <x v="12"/>
    <x v="0"/>
    <x v="0"/>
    <m/>
    <m/>
    <n v="44"/>
    <m/>
    <s v="F"/>
    <m/>
    <d v="1899-12-30T00:26:00"/>
    <s v="14:55"/>
    <s v="HR"/>
    <m/>
    <s v="20140818 LAckein"/>
    <s v="20140819 LAckein"/>
    <s v="x"/>
    <s v="x"/>
    <s v="na"/>
    <s v="FWL"/>
    <s v="na"/>
    <s v="na"/>
    <s v="na"/>
    <s v="na"/>
    <s v="na"/>
    <s v="na"/>
    <s v="na"/>
    <s v="na"/>
  </r>
  <r>
    <n v="2989"/>
    <x v="67"/>
    <n v="3"/>
    <x v="10"/>
    <x v="0"/>
    <x v="0"/>
    <m/>
    <m/>
    <n v="53"/>
    <m/>
    <s v="M"/>
    <m/>
    <d v="1899-12-30T00:26:00"/>
    <s v="14:56"/>
    <s v="HR"/>
    <m/>
    <s v="20140818 LAckein"/>
    <s v="20140819 LAckein"/>
    <s v="x"/>
    <s v="x"/>
    <s v="na"/>
    <s v="FWL"/>
    <s v="na"/>
    <s v="na"/>
    <s v="na"/>
    <s v="na"/>
    <s v="na"/>
    <s v="na"/>
    <s v="na"/>
    <s v="na"/>
  </r>
  <r>
    <n v="2990"/>
    <x v="67"/>
    <n v="3"/>
    <x v="12"/>
    <x v="0"/>
    <x v="0"/>
    <m/>
    <m/>
    <n v="43"/>
    <m/>
    <s v="F"/>
    <m/>
    <d v="1899-12-30T00:21:00"/>
    <s v="14:57"/>
    <s v="HR"/>
    <m/>
    <s v="20140818 LAckein"/>
    <s v="20140819 LAckein"/>
    <s v="x"/>
    <s v="x"/>
    <s v="na"/>
    <s v="FWL"/>
    <s v="na"/>
    <s v="na"/>
    <s v="na"/>
    <s v="na"/>
    <s v="na"/>
    <s v="na"/>
    <s v="na"/>
    <s v="na"/>
  </r>
  <r>
    <n v="2991"/>
    <x v="67"/>
    <n v="3"/>
    <x v="10"/>
    <x v="0"/>
    <x v="0"/>
    <m/>
    <m/>
    <n v="62"/>
    <m/>
    <s v="M"/>
    <m/>
    <d v="1899-12-30T00:57:00"/>
    <s v="15:52"/>
    <s v="HR"/>
    <s v="tall and &quot;girthy&quot;, big fish"/>
    <s v="20140818 LAckein"/>
    <s v="20140819 LAckein"/>
    <s v="x"/>
    <s v="x"/>
    <s v="na"/>
    <s v="FWL"/>
    <s v="na"/>
    <s v="na"/>
    <s v="na"/>
    <s v="na"/>
    <s v="na"/>
    <s v="na"/>
    <s v="na"/>
    <s v="na"/>
  </r>
  <r>
    <n v="2992"/>
    <x v="67"/>
    <n v="3"/>
    <x v="12"/>
    <x v="0"/>
    <x v="0"/>
    <m/>
    <m/>
    <n v="43"/>
    <m/>
    <s v="M"/>
    <m/>
    <d v="1899-12-30T00:22:00"/>
    <s v="17:27"/>
    <s v="HR"/>
    <m/>
    <s v="20140818 LAckein"/>
    <s v="20140819 LAckein"/>
    <s v="x"/>
    <s v="x"/>
    <s v="na"/>
    <s v="FWL"/>
    <s v="na"/>
    <s v="na"/>
    <s v="na"/>
    <s v="na"/>
    <s v="na"/>
    <s v="na"/>
    <s v="na"/>
    <s v="na"/>
  </r>
  <r>
    <n v="2993"/>
    <x v="67"/>
    <n v="3"/>
    <x v="12"/>
    <x v="0"/>
    <x v="0"/>
    <m/>
    <m/>
    <n v="44"/>
    <m/>
    <s v="M"/>
    <m/>
    <d v="1899-12-30T00:19:00"/>
    <s v="18:33"/>
    <s v="JBu"/>
    <m/>
    <s v="20140818 HReider"/>
    <s v="20140819 LAckein"/>
    <s v="x"/>
    <s v="x"/>
    <s v="na"/>
    <s v="FWL"/>
    <s v="na"/>
    <s v="na"/>
    <s v="na"/>
    <s v="na"/>
    <s v="na"/>
    <s v="na"/>
    <s v="na"/>
    <s v="na"/>
  </r>
  <r>
    <n v="2994"/>
    <x v="67"/>
    <n v="3"/>
    <x v="12"/>
    <x v="0"/>
    <x v="0"/>
    <m/>
    <m/>
    <n v="45"/>
    <m/>
    <s v="F"/>
    <m/>
    <d v="1899-12-30T00:27:00"/>
    <s v="19:47"/>
    <s v="LA"/>
    <m/>
    <s v="20140818 HReider"/>
    <s v="20140819 LAckein"/>
    <s v="x"/>
    <s v="x"/>
    <s v="na"/>
    <s v="FWL"/>
    <s v="na"/>
    <s v="na"/>
    <s v="na"/>
    <s v="na"/>
    <s v="na"/>
    <s v="na"/>
    <s v="na"/>
    <s v="na"/>
  </r>
  <r>
    <n v="2995"/>
    <x v="67"/>
    <n v="3"/>
    <x v="13"/>
    <x v="0"/>
    <x v="15"/>
    <n v="50"/>
    <s v="116 CO"/>
    <n v="51"/>
    <m/>
    <s v="U"/>
    <d v="1899-12-30T19:50:00"/>
    <d v="1899-12-30T01:02:00"/>
    <s v="19:57"/>
    <s v="HR"/>
    <s v="F266."/>
    <s v="20140818 HReider"/>
    <s v="20140819 LAckein"/>
    <d v="1899-12-30T00:05:58"/>
    <n v="151.26599999999999"/>
    <s v="na"/>
    <s v="FWL"/>
    <s v="na"/>
    <s v="na"/>
    <s v="F1840"/>
    <s v="na"/>
    <s v="na"/>
    <s v="na"/>
    <s v="na"/>
    <s v="na"/>
  </r>
  <r>
    <n v="2996"/>
    <x v="67"/>
    <n v="3"/>
    <x v="10"/>
    <x v="0"/>
    <x v="0"/>
    <m/>
    <m/>
    <n v="59"/>
    <m/>
    <s v="U"/>
    <d v="1899-12-30T20:06:00"/>
    <d v="1899-12-30T00:29:00"/>
    <s v="20:09"/>
    <s v="HR"/>
    <s v="maybe spawned out, lethargic, white tip on fins"/>
    <s v="20140818 HReider"/>
    <s v="20140819 LAckein"/>
    <d v="1899-12-30T00:02:31"/>
    <s v="x"/>
    <s v="na"/>
    <s v="FWL"/>
    <s v="na"/>
    <s v="na"/>
    <s v="na"/>
    <s v="na"/>
    <s v="na"/>
    <s v="na"/>
    <s v="na"/>
    <s v="na"/>
  </r>
  <r>
    <n v="2997"/>
    <x v="67"/>
    <n v="3"/>
    <x v="2"/>
    <x v="0"/>
    <x v="0"/>
    <m/>
    <s v="Bulk HW"/>
    <m/>
    <n v="38"/>
    <s v="U"/>
    <d v="1899-12-30T20:06:00"/>
    <d v="1899-12-30T00:50:00"/>
    <s v="20:16"/>
    <s v="LA"/>
    <s v="collected genetics"/>
    <s v="20140818 HReider"/>
    <s v="20140819 LAckein"/>
    <d v="1899-12-30T00:09:10"/>
    <s v="x"/>
    <s v="na"/>
    <s v="FWL"/>
    <s v="na"/>
    <s v="na"/>
    <s v="na"/>
    <s v="na"/>
    <s v="na"/>
    <s v="na"/>
    <s v="na"/>
    <s v="na"/>
  </r>
  <r>
    <n v="2998"/>
    <x v="67"/>
    <n v="3"/>
    <x v="12"/>
    <x v="0"/>
    <x v="0"/>
    <m/>
    <m/>
    <n v="42"/>
    <m/>
    <s v="F"/>
    <m/>
    <d v="1899-12-30T00:27:00"/>
    <s v="20:20"/>
    <s v="LA"/>
    <m/>
    <s v="20140818 HReider"/>
    <s v="20140819 LAckein"/>
    <s v="x"/>
    <s v="x"/>
    <s v="na"/>
    <s v="FWL"/>
    <s v="na"/>
    <s v="na"/>
    <s v="na"/>
    <s v="na"/>
    <s v="na"/>
    <s v="na"/>
    <s v="na"/>
    <s v="na"/>
  </r>
  <r>
    <n v="2999"/>
    <x v="68"/>
    <n v="1"/>
    <x v="10"/>
    <x v="0"/>
    <x v="11"/>
    <n v="31"/>
    <s v="184 CM"/>
    <n v="53"/>
    <m/>
    <s v="F"/>
    <m/>
    <d v="1899-12-30T01:03:00"/>
    <s v="08:56"/>
    <s v="KS"/>
    <m/>
    <s v="20140819 KShippen"/>
    <s v="20140820 HReider"/>
    <s v="x"/>
    <n v="151.53399999999999"/>
    <s v="na"/>
    <s v="FWL"/>
    <s v="na"/>
    <s v="na"/>
    <s v="F1840"/>
    <s v="na"/>
    <s v="na"/>
    <s v="na"/>
    <s v="na"/>
    <s v="na"/>
  </r>
  <r>
    <n v="3000"/>
    <x v="68"/>
    <n v="1"/>
    <x v="10"/>
    <x v="0"/>
    <x v="11"/>
    <n v="99"/>
    <s v="185 CM"/>
    <n v="61"/>
    <m/>
    <s v="F"/>
    <m/>
    <d v="1899-12-30T01:15:00"/>
    <s v="08:59"/>
    <s v="KS"/>
    <s v="dropped a few eggs"/>
    <s v="20140819 KShippen"/>
    <s v="20140820 HReider"/>
    <s v="x"/>
    <n v="151.53399999999999"/>
    <s v="na"/>
    <s v="FWL"/>
    <s v="na"/>
    <s v="na"/>
    <s v="F1840"/>
    <s v="na"/>
    <s v="na"/>
    <s v="na"/>
    <s v="na"/>
    <s v="na"/>
  </r>
  <r>
    <n v="3001"/>
    <x v="68"/>
    <n v="1"/>
    <x v="13"/>
    <x v="0"/>
    <x v="14"/>
    <n v="28"/>
    <s v="127 CO"/>
    <n v="56"/>
    <m/>
    <s v="F"/>
    <m/>
    <d v="1899-12-30T01:00:00"/>
    <s v="10:22"/>
    <s v="HR"/>
    <m/>
    <s v="20140819 KShippen"/>
    <s v="20140820 HReider"/>
    <s v="x"/>
    <n v="151.32499999999999"/>
    <s v="na"/>
    <s v="FWL"/>
    <s v="na"/>
    <s v="na"/>
    <s v="F1840"/>
    <s v="na"/>
    <s v="na"/>
    <s v="na"/>
    <s v="na"/>
    <s v="na"/>
  </r>
  <r>
    <n v="3002"/>
    <x v="68"/>
    <n v="1"/>
    <x v="13"/>
    <x v="0"/>
    <x v="15"/>
    <n v="73"/>
    <s v="128 CO"/>
    <n v="58"/>
    <m/>
    <s v="M"/>
    <m/>
    <d v="1899-12-30T01:59:00"/>
    <s v="10:26"/>
    <s v="HR"/>
    <s v="F266.  nice blush"/>
    <s v="20140819 KShippen"/>
    <s v="20140820 HReider"/>
    <s v="x"/>
    <n v="151.26599999999999"/>
    <s v="na"/>
    <s v="FWL"/>
    <s v="na"/>
    <s v="na"/>
    <s v="F1840"/>
    <s v="na"/>
    <s v="na"/>
    <s v="na"/>
    <s v="na"/>
    <s v="na"/>
  </r>
  <r>
    <n v="3003"/>
    <x v="68"/>
    <n v="1"/>
    <x v="10"/>
    <x v="0"/>
    <x v="0"/>
    <m/>
    <m/>
    <n v="54"/>
    <m/>
    <s v="M"/>
    <m/>
    <d v="1899-12-30T00:22:00"/>
    <s v="10:28"/>
    <s v="HR"/>
    <m/>
    <s v="20140819 KShippen"/>
    <s v="20140820 HReider"/>
    <s v="x"/>
    <s v="x"/>
    <s v="na"/>
    <s v="FWL"/>
    <s v="na"/>
    <s v="na"/>
    <s v="na"/>
    <s v="na"/>
    <s v="na"/>
    <s v="na"/>
    <s v="na"/>
    <s v="na"/>
  </r>
  <r>
    <n v="3004"/>
    <x v="68"/>
    <n v="1"/>
    <x v="10"/>
    <x v="0"/>
    <x v="0"/>
    <m/>
    <m/>
    <n v="52"/>
    <m/>
    <s v="F"/>
    <m/>
    <d v="1899-12-30T00:21:00"/>
    <s v="10:29"/>
    <s v="HR"/>
    <m/>
    <s v="20140819 KShippen"/>
    <s v="20140820 HReider"/>
    <s v="x"/>
    <s v="x"/>
    <s v="na"/>
    <s v="FWL"/>
    <s v="na"/>
    <s v="na"/>
    <s v="na"/>
    <s v="na"/>
    <s v="na"/>
    <s v="na"/>
    <s v="na"/>
    <s v="na"/>
  </r>
  <r>
    <n v="3005"/>
    <x v="68"/>
    <n v="1"/>
    <x v="10"/>
    <x v="0"/>
    <x v="0"/>
    <m/>
    <m/>
    <n v="55"/>
    <m/>
    <s v="F"/>
    <m/>
    <d v="1899-12-30T00:21:00"/>
    <s v="10:50"/>
    <s v="HR"/>
    <m/>
    <s v="20140819 KShippen"/>
    <s v="20140820 HReider"/>
    <s v="x"/>
    <s v="x"/>
    <s v="na"/>
    <s v="FWL"/>
    <s v="na"/>
    <s v="na"/>
    <s v="na"/>
    <s v="na"/>
    <s v="na"/>
    <s v="na"/>
    <s v="na"/>
    <s v="na"/>
  </r>
  <r>
    <n v="3006"/>
    <x v="68"/>
    <n v="1"/>
    <x v="12"/>
    <x v="0"/>
    <x v="0"/>
    <m/>
    <m/>
    <n v="42"/>
    <m/>
    <s v="F"/>
    <m/>
    <d v="1899-12-30T00:26:00"/>
    <s v="10:51"/>
    <s v="HR"/>
    <m/>
    <s v="20140819 KShippen"/>
    <s v="20140820 HReider"/>
    <s v="x"/>
    <s v="x"/>
    <s v="na"/>
    <s v="FWL"/>
    <s v="na"/>
    <s v="na"/>
    <s v="na"/>
    <s v="na"/>
    <s v="na"/>
    <s v="na"/>
    <s v="na"/>
    <s v="na"/>
  </r>
  <r>
    <n v="3007"/>
    <x v="68"/>
    <n v="1"/>
    <x v="13"/>
    <x v="0"/>
    <x v="15"/>
    <n v="2"/>
    <s v="129 CO"/>
    <n v="52"/>
    <m/>
    <s v="M"/>
    <m/>
    <d v="1899-12-30T01:01:00"/>
    <s v="12:48"/>
    <s v="CSj"/>
    <s v="F266.  release time is right"/>
    <s v="20140819 LAckein"/>
    <s v="20140820 HReider"/>
    <s v="x"/>
    <n v="151.26599999999999"/>
    <s v="na"/>
    <s v="FWL"/>
    <s v="na"/>
    <s v="na"/>
    <s v="F1840"/>
    <s v="na"/>
    <s v="na"/>
    <s v="na"/>
    <s v="na"/>
    <s v="na"/>
  </r>
  <r>
    <n v="3008"/>
    <x v="68"/>
    <n v="1"/>
    <x v="10"/>
    <x v="0"/>
    <x v="0"/>
    <m/>
    <m/>
    <n v="58"/>
    <m/>
    <s v="F"/>
    <m/>
    <d v="1899-12-30T00:16:00"/>
    <s v="11:40"/>
    <s v="CSj"/>
    <m/>
    <s v="20140819 LAckein"/>
    <s v="20140820 HReider"/>
    <s v="x"/>
    <s v="x"/>
    <s v="na"/>
    <s v="FWL"/>
    <s v="na"/>
    <s v="na"/>
    <s v="na"/>
    <s v="na"/>
    <s v="na"/>
    <s v="na"/>
    <s v="na"/>
    <s v="na"/>
  </r>
  <r>
    <n v="3009"/>
    <x v="68"/>
    <n v="1"/>
    <x v="10"/>
    <x v="0"/>
    <x v="0"/>
    <m/>
    <m/>
    <n v="64"/>
    <m/>
    <s v="M"/>
    <m/>
    <d v="1899-12-30T00:41:00"/>
    <s v="11:41"/>
    <s v="CSj"/>
    <m/>
    <s v="20140819 LAckein"/>
    <s v="20140820 HReider"/>
    <s v="x"/>
    <s v="x"/>
    <s v="na"/>
    <s v="FWL"/>
    <s v="na"/>
    <s v="na"/>
    <s v="na"/>
    <s v="na"/>
    <s v="na"/>
    <s v="na"/>
    <s v="na"/>
    <s v="na"/>
  </r>
  <r>
    <n v="3010"/>
    <x v="68"/>
    <n v="1"/>
    <x v="7"/>
    <x v="0"/>
    <x v="10"/>
    <n v="25"/>
    <s v="186 S"/>
    <n v="45"/>
    <m/>
    <s v="U"/>
    <m/>
    <d v="1899-12-30T00:55:00"/>
    <s v="11:44"/>
    <s v="CSj"/>
    <m/>
    <s v="20140819 LAckein"/>
    <s v="20140820 HReider"/>
    <s v="x"/>
    <n v="151.58600000000001"/>
    <s v="na"/>
    <s v="FWL"/>
    <s v="na"/>
    <s v="na"/>
    <s v="F1840"/>
    <s v="na"/>
    <s v="na"/>
    <s v="na"/>
    <s v="na"/>
    <s v="na"/>
  </r>
  <r>
    <n v="3011"/>
    <x v="68"/>
    <n v="1"/>
    <x v="10"/>
    <x v="0"/>
    <x v="0"/>
    <m/>
    <m/>
    <n v="58"/>
    <m/>
    <s v="M"/>
    <m/>
    <d v="1899-12-30T00:31:00"/>
    <s v="12:44"/>
    <s v="CSj"/>
    <m/>
    <s v="20140819 LAckein"/>
    <s v="20140820 HReider"/>
    <s v="x"/>
    <s v="x"/>
    <s v="na"/>
    <s v="FWL"/>
    <s v="na"/>
    <s v="na"/>
    <s v="na"/>
    <s v="na"/>
    <s v="na"/>
    <s v="na"/>
    <s v="na"/>
    <s v="na"/>
  </r>
  <r>
    <n v="3012"/>
    <x v="68"/>
    <n v="1"/>
    <x v="12"/>
    <x v="0"/>
    <x v="0"/>
    <m/>
    <m/>
    <n v="41"/>
    <m/>
    <s v="F"/>
    <m/>
    <d v="1899-12-30T00:32:00"/>
    <s v="12:45"/>
    <s v="CSj"/>
    <s v="warts"/>
    <s v="20140819 LAckein"/>
    <s v="20140820 HReider"/>
    <s v="x"/>
    <s v="x"/>
    <s v="na"/>
    <s v="FWL"/>
    <s v="na"/>
    <s v="na"/>
    <s v="na"/>
    <s v="na"/>
    <s v="na"/>
    <s v="na"/>
    <s v="na"/>
    <s v="na"/>
  </r>
  <r>
    <n v="3013"/>
    <x v="68"/>
    <n v="1"/>
    <x v="10"/>
    <x v="0"/>
    <x v="0"/>
    <m/>
    <m/>
    <n v="59"/>
    <m/>
    <s v="F"/>
    <m/>
    <d v="1899-12-30T00:16:00"/>
    <s v="12:46"/>
    <s v="CSj"/>
    <m/>
    <s v="20140819 LAckein"/>
    <s v="20140820 HReider"/>
    <s v="x"/>
    <s v="x"/>
    <s v="na"/>
    <s v="FWL"/>
    <s v="na"/>
    <s v="na"/>
    <s v="na"/>
    <s v="na"/>
    <s v="na"/>
    <s v="na"/>
    <s v="na"/>
    <s v="na"/>
  </r>
  <r>
    <n v="3014"/>
    <x v="68"/>
    <n v="1"/>
    <x v="10"/>
    <x v="0"/>
    <x v="0"/>
    <m/>
    <m/>
    <n v="55"/>
    <m/>
    <s v="M"/>
    <m/>
    <d v="1899-12-30T00:23:00"/>
    <s v="12:47"/>
    <s v="CSj"/>
    <m/>
    <s v="20140819 LAckein"/>
    <s v="20140820 HReider"/>
    <s v="x"/>
    <s v="x"/>
    <s v="na"/>
    <s v="FWL"/>
    <s v="na"/>
    <s v="na"/>
    <s v="na"/>
    <s v="na"/>
    <s v="na"/>
    <s v="na"/>
    <s v="na"/>
    <s v="na"/>
  </r>
  <r>
    <n v="3015"/>
    <x v="68"/>
    <n v="1"/>
    <x v="12"/>
    <x v="0"/>
    <x v="0"/>
    <m/>
    <m/>
    <n v="43"/>
    <m/>
    <s v="F"/>
    <d v="1899-12-30T12:59:00"/>
    <d v="1899-12-30T00:26:00"/>
    <s v="13:10"/>
    <s v="LA"/>
    <m/>
    <s v="20140819 LAckein"/>
    <s v="20140820 HReider"/>
    <d v="1899-12-30T00:10:34"/>
    <s v="x"/>
    <s v="na"/>
    <s v="FWL"/>
    <s v="na"/>
    <s v="na"/>
    <s v="na"/>
    <s v="na"/>
    <s v="na"/>
    <s v="na"/>
    <s v="na"/>
    <s v="na"/>
  </r>
  <r>
    <n v="3016"/>
    <x v="68"/>
    <n v="1"/>
    <x v="12"/>
    <x v="0"/>
    <x v="0"/>
    <m/>
    <m/>
    <n v="43"/>
    <m/>
    <s v="M"/>
    <m/>
    <d v="1899-12-30T00:24:00"/>
    <s v="14:29"/>
    <s v="LA"/>
    <m/>
    <s v="20140819 HReider"/>
    <s v="20140820 HReider"/>
    <s v="x"/>
    <s v="x"/>
    <s v="na"/>
    <s v="FWL"/>
    <s v="na"/>
    <s v="na"/>
    <s v="na"/>
    <s v="na"/>
    <s v="na"/>
    <s v="na"/>
    <s v="na"/>
    <s v="na"/>
  </r>
  <r>
    <n v="3017"/>
    <x v="68"/>
    <n v="1"/>
    <x v="12"/>
    <x v="0"/>
    <x v="0"/>
    <m/>
    <m/>
    <n v="45"/>
    <m/>
    <s v="F"/>
    <m/>
    <d v="1899-12-30T00:20:00"/>
    <s v="14:30"/>
    <s v="LA"/>
    <m/>
    <s v="20140819 HReider"/>
    <s v="20140820 HReider"/>
    <s v="x"/>
    <s v="x"/>
    <s v="na"/>
    <s v="FWL"/>
    <s v="na"/>
    <s v="na"/>
    <s v="na"/>
    <s v="na"/>
    <s v="na"/>
    <s v="na"/>
    <s v="na"/>
    <s v="na"/>
  </r>
  <r>
    <n v="3018"/>
    <x v="68"/>
    <n v="1"/>
    <x v="12"/>
    <x v="0"/>
    <x v="0"/>
    <m/>
    <m/>
    <n v="48"/>
    <m/>
    <s v="M"/>
    <m/>
    <d v="1899-12-30T00:24:00"/>
    <s v="14:31"/>
    <s v="LA"/>
    <m/>
    <s v="20140819 HReider"/>
    <s v="20140820 HReider"/>
    <s v="x"/>
    <s v="x"/>
    <s v="na"/>
    <s v="FWL"/>
    <s v="na"/>
    <s v="na"/>
    <s v="na"/>
    <s v="na"/>
    <s v="na"/>
    <s v="na"/>
    <s v="na"/>
    <s v="na"/>
  </r>
  <r>
    <n v="3019"/>
    <x v="68"/>
    <n v="1"/>
    <x v="10"/>
    <x v="0"/>
    <x v="0"/>
    <m/>
    <m/>
    <n v="48"/>
    <m/>
    <s v="F"/>
    <m/>
    <d v="1899-12-30T00:30:00"/>
    <s v="14:32"/>
    <s v="LA"/>
    <m/>
    <s v="20140819 HReider"/>
    <s v="20140820 HReider"/>
    <s v="x"/>
    <s v="x"/>
    <s v="na"/>
    <s v="FWL"/>
    <s v="na"/>
    <s v="na"/>
    <s v="na"/>
    <s v="na"/>
    <s v="na"/>
    <s v="na"/>
    <s v="na"/>
    <s v="na"/>
  </r>
  <r>
    <n v="3020"/>
    <x v="68"/>
    <n v="1"/>
    <x v="12"/>
    <x v="0"/>
    <x v="0"/>
    <m/>
    <m/>
    <n v="44"/>
    <m/>
    <s v="F"/>
    <m/>
    <d v="1899-12-30T00:19:00"/>
    <s v="14:33"/>
    <s v="LA"/>
    <m/>
    <s v="20140819 HReider"/>
    <s v="20140820 HReider"/>
    <s v="x"/>
    <s v="x"/>
    <s v="na"/>
    <s v="FWL"/>
    <s v="na"/>
    <s v="na"/>
    <s v="na"/>
    <s v="na"/>
    <s v="na"/>
    <s v="na"/>
    <s v="na"/>
    <s v="na"/>
  </r>
  <r>
    <n v="3021"/>
    <x v="68"/>
    <n v="1"/>
    <x v="12"/>
    <x v="0"/>
    <x v="0"/>
    <m/>
    <m/>
    <n v="45"/>
    <m/>
    <s v="F"/>
    <m/>
    <d v="1899-12-30T00:21:00"/>
    <s v="14:34"/>
    <s v="LA"/>
    <m/>
    <s v="20140819 HReider"/>
    <s v="20140820 HReider"/>
    <s v="x"/>
    <s v="x"/>
    <s v="na"/>
    <s v="FWL"/>
    <s v="na"/>
    <s v="na"/>
    <s v="na"/>
    <s v="na"/>
    <s v="na"/>
    <s v="na"/>
    <s v="na"/>
    <s v="na"/>
  </r>
  <r>
    <n v="3022"/>
    <x v="68"/>
    <n v="1"/>
    <x v="10"/>
    <x v="0"/>
    <x v="0"/>
    <m/>
    <m/>
    <n v="51"/>
    <m/>
    <s v="F"/>
    <m/>
    <d v="1899-12-30T00:25:00"/>
    <s v="14:35"/>
    <s v="LA"/>
    <m/>
    <s v="20140819 HReider"/>
    <s v="20140820 HReider"/>
    <s v="x"/>
    <s v="x"/>
    <s v="na"/>
    <s v="FWL"/>
    <s v="na"/>
    <s v="na"/>
    <s v="na"/>
    <s v="na"/>
    <s v="na"/>
    <s v="na"/>
    <s v="na"/>
    <s v="na"/>
  </r>
  <r>
    <n v="3023"/>
    <x v="68"/>
    <n v="1"/>
    <x v="13"/>
    <x v="0"/>
    <x v="14"/>
    <n v="63"/>
    <s v="134 CO"/>
    <n v="54"/>
    <m/>
    <s v="F"/>
    <m/>
    <d v="1899-12-30T01:04:00"/>
    <s v="15:52"/>
    <s v="KS"/>
    <m/>
    <s v="20140819 HReider"/>
    <s v="20140820 HReider"/>
    <s v="x"/>
    <n v="151.32499999999999"/>
    <s v="na"/>
    <s v="FWL"/>
    <s v="na"/>
    <s v="na"/>
    <s v="F1840"/>
    <s v="na"/>
    <s v="na"/>
    <s v="na"/>
    <s v="na"/>
    <s v="na"/>
  </r>
  <r>
    <n v="3024"/>
    <x v="68"/>
    <n v="1"/>
    <x v="4"/>
    <x v="1"/>
    <x v="0"/>
    <m/>
    <m/>
    <n v="33"/>
    <n v="36"/>
    <s v="U"/>
    <m/>
    <d v="1899-12-30T02:13:00"/>
    <s v="15:56"/>
    <s v="KS"/>
    <s v="Very odd looking, many spots, black gum line, photos taken"/>
    <s v="20140819 HReider"/>
    <s v="20140820 HReider"/>
    <s v="x"/>
    <s v="x"/>
    <s v="na"/>
    <s v="FWL"/>
    <s v="na"/>
    <s v="na"/>
    <s v="na"/>
    <s v="na"/>
    <s v="na"/>
    <s v="na"/>
    <s v="na"/>
    <s v="na"/>
  </r>
  <r>
    <n v="3025"/>
    <x v="68"/>
    <n v="1"/>
    <x v="10"/>
    <x v="0"/>
    <x v="0"/>
    <m/>
    <m/>
    <n v="53"/>
    <m/>
    <s v="F"/>
    <m/>
    <d v="1899-12-30T00:25:00"/>
    <s v="16:00"/>
    <s v="KS"/>
    <m/>
    <s v="20140819 HReider"/>
    <s v="20140820 HReider"/>
    <s v="x"/>
    <s v="x"/>
    <s v="na"/>
    <s v="FWL"/>
    <s v="na"/>
    <s v="na"/>
    <s v="na"/>
    <s v="na"/>
    <s v="na"/>
    <s v="na"/>
    <s v="na"/>
    <s v="na"/>
  </r>
  <r>
    <n v="3026"/>
    <x v="68"/>
    <n v="1"/>
    <x v="12"/>
    <x v="0"/>
    <x v="0"/>
    <m/>
    <m/>
    <n v="45"/>
    <m/>
    <s v="F"/>
    <m/>
    <d v="1899-12-30T00:32:00"/>
    <s v="16:01"/>
    <s v="KS"/>
    <m/>
    <s v="20140819 HReider"/>
    <s v="20140820 HReider"/>
    <s v="x"/>
    <s v="x"/>
    <s v="na"/>
    <s v="FWL"/>
    <s v="na"/>
    <s v="na"/>
    <s v="na"/>
    <s v="na"/>
    <s v="na"/>
    <s v="na"/>
    <s v="na"/>
    <s v="na"/>
  </r>
  <r>
    <n v="3027"/>
    <x v="68"/>
    <n v="1"/>
    <x v="13"/>
    <x v="0"/>
    <x v="14"/>
    <n v="13"/>
    <s v="130 CO"/>
    <n v="54"/>
    <m/>
    <s v="M"/>
    <m/>
    <d v="1899-12-30T00:58:00"/>
    <s v="16:04"/>
    <s v="KS"/>
    <m/>
    <s v="20140819 HReider"/>
    <s v="20140820 HReider"/>
    <s v="x"/>
    <n v="151.32499999999999"/>
    <s v="na"/>
    <s v="FWL"/>
    <s v="na"/>
    <s v="na"/>
    <s v="F1840"/>
    <s v="na"/>
    <s v="na"/>
    <s v="na"/>
    <s v="na"/>
    <s v="na"/>
  </r>
  <r>
    <n v="3028"/>
    <x v="68"/>
    <n v="1"/>
    <x v="10"/>
    <x v="0"/>
    <x v="0"/>
    <m/>
    <m/>
    <n v="50"/>
    <m/>
    <s v="F"/>
    <m/>
    <d v="1899-12-30T00:32:00"/>
    <s v="16:07"/>
    <s v="KS"/>
    <m/>
    <s v="20140819 HReider"/>
    <s v="20140820 HReider"/>
    <s v="x"/>
    <s v="x"/>
    <s v="na"/>
    <s v="FWL"/>
    <s v="na"/>
    <s v="na"/>
    <s v="na"/>
    <s v="na"/>
    <s v="na"/>
    <s v="na"/>
    <s v="na"/>
    <s v="na"/>
  </r>
  <r>
    <n v="3029"/>
    <x v="68"/>
    <n v="1"/>
    <x v="13"/>
    <x v="0"/>
    <x v="0"/>
    <m/>
    <m/>
    <n v="56"/>
    <m/>
    <s v="M"/>
    <d v="1899-12-30T16:09:00"/>
    <d v="1899-12-30T00:29:00"/>
    <s v="16:14"/>
    <s v="KS"/>
    <m/>
    <s v="20140819 HReider"/>
    <s v="20140820 HReider"/>
    <d v="1899-12-30T00:04:31"/>
    <s v="x"/>
    <s v="na"/>
    <s v="FWL"/>
    <s v="na"/>
    <s v="na"/>
    <s v="na"/>
    <s v="na"/>
    <s v="na"/>
    <s v="na"/>
    <s v="na"/>
    <s v="na"/>
  </r>
  <r>
    <n v="3030"/>
    <x v="68"/>
    <n v="1"/>
    <x v="10"/>
    <x v="0"/>
    <x v="0"/>
    <m/>
    <m/>
    <n v="60"/>
    <m/>
    <s v="F"/>
    <m/>
    <d v="1899-12-30T00:27:00"/>
    <s v="17:11"/>
    <s v="JBu"/>
    <m/>
    <s v="20140819 JBures"/>
    <s v="20140820 HReider"/>
    <s v="x"/>
    <s v="x"/>
    <s v="na"/>
    <s v="FWL"/>
    <s v="na"/>
    <s v="na"/>
    <s v="na"/>
    <s v="na"/>
    <s v="na"/>
    <s v="na"/>
    <s v="na"/>
    <s v="na"/>
  </r>
  <r>
    <n v="3031"/>
    <x v="68"/>
    <n v="1"/>
    <x v="13"/>
    <x v="0"/>
    <x v="0"/>
    <m/>
    <m/>
    <n v="46"/>
    <m/>
    <s v="M"/>
    <m/>
    <d v="1899-12-30T00:37:00"/>
    <s v="18:42"/>
    <s v="JBu"/>
    <m/>
    <s v="20140819 JBures"/>
    <s v="20140820 HReider"/>
    <s v="x"/>
    <s v="x"/>
    <s v="na"/>
    <s v="FWL"/>
    <s v="na"/>
    <s v="na"/>
    <s v="na"/>
    <s v="na"/>
    <s v="na"/>
    <s v="na"/>
    <s v="na"/>
    <s v="na"/>
  </r>
  <r>
    <n v="3032"/>
    <x v="68"/>
    <n v="1"/>
    <x v="0"/>
    <x v="2"/>
    <x v="0"/>
    <m/>
    <m/>
    <m/>
    <n v="40"/>
    <s v="U"/>
    <m/>
    <d v="1899-12-30T00:40:00"/>
    <s v="20:18"/>
    <s v="JBu"/>
    <m/>
    <s v="20140819 JBures"/>
    <s v="20140820 HReider"/>
    <s v="x"/>
    <s v="x"/>
    <s v="na"/>
    <s v="FWL"/>
    <s v="na"/>
    <s v="na"/>
    <s v="na"/>
    <s v="na"/>
    <s v="na"/>
    <s v="na"/>
    <s v="na"/>
    <s v="na"/>
  </r>
  <r>
    <n v="3033"/>
    <x v="68"/>
    <n v="1"/>
    <x v="12"/>
    <x v="0"/>
    <x v="0"/>
    <m/>
    <m/>
    <n v="48"/>
    <m/>
    <s v="M"/>
    <m/>
    <d v="1899-12-30T00:16:00"/>
    <s v="20:19"/>
    <s v="JBu"/>
    <m/>
    <s v="20140819 JBures"/>
    <s v="20140820 HReider"/>
    <s v="x"/>
    <s v="x"/>
    <s v="na"/>
    <s v="FWL"/>
    <s v="na"/>
    <s v="na"/>
    <s v="na"/>
    <s v="na"/>
    <s v="na"/>
    <s v="na"/>
    <s v="na"/>
    <s v="na"/>
  </r>
  <r>
    <n v="3034"/>
    <x v="68"/>
    <n v="2"/>
    <x v="10"/>
    <x v="0"/>
    <x v="0"/>
    <m/>
    <m/>
    <n v="62"/>
    <m/>
    <s v="F"/>
    <m/>
    <d v="1899-12-30T00:26:00"/>
    <s v="10:07"/>
    <s v="HR"/>
    <m/>
    <s v="20140819 HReider"/>
    <s v="20140820 HReider"/>
    <s v="x"/>
    <s v="x"/>
    <s v="na"/>
    <s v="FWL"/>
    <s v="na"/>
    <s v="na"/>
    <s v="na"/>
    <s v="na"/>
    <s v="na"/>
    <s v="na"/>
    <s v="na"/>
    <s v="na"/>
  </r>
  <r>
    <n v="3035"/>
    <x v="68"/>
    <n v="2"/>
    <x v="10"/>
    <x v="0"/>
    <x v="0"/>
    <m/>
    <m/>
    <n v="59"/>
    <m/>
    <s v="M"/>
    <m/>
    <d v="1899-12-30T00:31:00"/>
    <s v="13:18"/>
    <s v="CSj"/>
    <m/>
    <s v="20140819 LAckein"/>
    <s v="20140820 HReider"/>
    <s v="x"/>
    <s v="x"/>
    <s v="na"/>
    <s v="FWL"/>
    <s v="na"/>
    <s v="na"/>
    <s v="na"/>
    <s v="na"/>
    <s v="na"/>
    <s v="na"/>
    <s v="na"/>
    <s v="na"/>
  </r>
  <r>
    <n v="3036"/>
    <x v="68"/>
    <n v="2"/>
    <x v="10"/>
    <x v="0"/>
    <x v="0"/>
    <m/>
    <m/>
    <n v="60"/>
    <m/>
    <s v="M"/>
    <m/>
    <d v="1899-12-30T00:27:00"/>
    <s v="14:44"/>
    <s v="HR"/>
    <m/>
    <s v="20140819 LAckein"/>
    <s v="20140820 HReider"/>
    <s v="x"/>
    <s v="x"/>
    <s v="na"/>
    <s v="FWL"/>
    <s v="na"/>
    <s v="na"/>
    <s v="na"/>
    <s v="na"/>
    <s v="na"/>
    <s v="na"/>
    <s v="na"/>
    <s v="na"/>
  </r>
  <r>
    <n v="3037"/>
    <x v="68"/>
    <n v="2"/>
    <x v="10"/>
    <x v="0"/>
    <x v="0"/>
    <m/>
    <m/>
    <n v="60"/>
    <m/>
    <s v="F"/>
    <m/>
    <d v="1899-12-30T00:24:00"/>
    <s v="14:45"/>
    <s v="HR"/>
    <m/>
    <s v="20140819 LAckein"/>
    <s v="20140820 HReider"/>
    <s v="x"/>
    <s v="x"/>
    <s v="na"/>
    <s v="FWL"/>
    <s v="na"/>
    <s v="na"/>
    <s v="na"/>
    <s v="na"/>
    <s v="na"/>
    <s v="na"/>
    <s v="na"/>
    <s v="na"/>
  </r>
  <r>
    <n v="3038"/>
    <x v="68"/>
    <n v="2"/>
    <x v="10"/>
    <x v="0"/>
    <x v="0"/>
    <m/>
    <m/>
    <n v="60"/>
    <m/>
    <s v="M"/>
    <d v="1899-12-30T14:46:00"/>
    <d v="1899-12-30T00:27:00"/>
    <s v="14:47"/>
    <s v="HR"/>
    <s v="possibly same fish as 14:44 release"/>
    <s v="20140819 LAckein"/>
    <s v="20140820 HReider"/>
    <d v="1899-12-30T00:00:33"/>
    <s v="x"/>
    <s v="na"/>
    <s v="FWL"/>
    <s v="na"/>
    <s v="na"/>
    <s v="na"/>
    <s v="na"/>
    <s v="na"/>
    <s v="na"/>
    <s v="na"/>
    <s v="na"/>
  </r>
  <r>
    <n v="3039"/>
    <x v="68"/>
    <n v="2"/>
    <x v="10"/>
    <x v="0"/>
    <x v="0"/>
    <m/>
    <m/>
    <n v="60"/>
    <m/>
    <s v="M"/>
    <d v="1899-12-30T14:48:00"/>
    <d v="1899-12-30T00:29:00"/>
    <s v="14:49"/>
    <s v="HR"/>
    <s v="likely same fish as 14:44 and 14:47 release"/>
    <s v="20140819 LAckein"/>
    <s v="20140820 HReider"/>
    <d v="1899-12-30T00:00:31"/>
    <s v="x"/>
    <s v="na"/>
    <s v="FWL"/>
    <s v="na"/>
    <s v="na"/>
    <s v="na"/>
    <s v="na"/>
    <s v="na"/>
    <s v="na"/>
    <s v="na"/>
    <s v="na"/>
  </r>
  <r>
    <n v="3040"/>
    <x v="68"/>
    <n v="2"/>
    <x v="10"/>
    <x v="0"/>
    <x v="0"/>
    <m/>
    <m/>
    <n v="55"/>
    <m/>
    <s v="M"/>
    <m/>
    <d v="1899-12-30T00:25:00"/>
    <s v="16:24"/>
    <s v="LA"/>
    <m/>
    <s v="20140819 LAckein"/>
    <s v="20140820 HReider"/>
    <s v="x"/>
    <s v="x"/>
    <s v="na"/>
    <s v="FWL"/>
    <s v="na"/>
    <s v="na"/>
    <s v="na"/>
    <s v="na"/>
    <s v="na"/>
    <s v="na"/>
    <s v="na"/>
    <s v="na"/>
  </r>
  <r>
    <n v="3041"/>
    <x v="68"/>
    <n v="2"/>
    <x v="10"/>
    <x v="0"/>
    <x v="0"/>
    <m/>
    <m/>
    <n v="57"/>
    <m/>
    <s v="M"/>
    <m/>
    <d v="1899-12-30T00:40:00"/>
    <s v="16:25"/>
    <s v="LA"/>
    <m/>
    <s v="20140819 LAckein"/>
    <s v="20140820 HReider"/>
    <s v="x"/>
    <s v="x"/>
    <s v="na"/>
    <s v="FWL"/>
    <s v="na"/>
    <s v="na"/>
    <s v="na"/>
    <s v="na"/>
    <s v="na"/>
    <s v="na"/>
    <s v="na"/>
    <s v="na"/>
  </r>
  <r>
    <n v="3042"/>
    <x v="68"/>
    <n v="2"/>
    <x v="10"/>
    <x v="0"/>
    <x v="0"/>
    <m/>
    <m/>
    <n v="56"/>
    <m/>
    <s v="F"/>
    <m/>
    <d v="1899-12-30T00:18:00"/>
    <s v="16:26"/>
    <s v="LA"/>
    <m/>
    <s v="20140819 LAckein"/>
    <s v="20140820 HReider"/>
    <s v="x"/>
    <s v="x"/>
    <s v="na"/>
    <s v="FWL"/>
    <s v="na"/>
    <s v="na"/>
    <s v="na"/>
    <s v="na"/>
    <s v="na"/>
    <s v="na"/>
    <s v="na"/>
    <s v="na"/>
  </r>
  <r>
    <n v="3043"/>
    <x v="68"/>
    <n v="2"/>
    <x v="10"/>
    <x v="0"/>
    <x v="0"/>
    <m/>
    <m/>
    <n v="55"/>
    <m/>
    <s v="M"/>
    <m/>
    <d v="1899-12-30T00:27:00"/>
    <s v="16:27"/>
    <s v="LA"/>
    <m/>
    <s v="20140819 LAckein"/>
    <s v="20140820 HReider"/>
    <s v="x"/>
    <s v="x"/>
    <s v="na"/>
    <s v="FWL"/>
    <s v="na"/>
    <s v="na"/>
    <s v="na"/>
    <s v="na"/>
    <s v="na"/>
    <s v="na"/>
    <s v="na"/>
    <s v="na"/>
  </r>
  <r>
    <n v="3044"/>
    <x v="68"/>
    <n v="2"/>
    <x v="10"/>
    <x v="0"/>
    <x v="0"/>
    <m/>
    <m/>
    <n v="56"/>
    <m/>
    <s v="M"/>
    <m/>
    <d v="1899-12-30T00:21:00"/>
    <s v="16:28"/>
    <s v="LA"/>
    <m/>
    <s v="20140819 LAckein"/>
    <s v="20140820 HReider"/>
    <s v="x"/>
    <s v="x"/>
    <s v="na"/>
    <s v="FWL"/>
    <s v="na"/>
    <s v="na"/>
    <s v="na"/>
    <s v="na"/>
    <s v="na"/>
    <s v="na"/>
    <s v="na"/>
    <s v="na"/>
  </r>
  <r>
    <n v="3045"/>
    <x v="68"/>
    <n v="2"/>
    <x v="7"/>
    <x v="0"/>
    <x v="6"/>
    <n v="52"/>
    <s v="187 S"/>
    <n v="43"/>
    <m/>
    <s v="M"/>
    <m/>
    <d v="1899-12-30T00:39:00"/>
    <s v="18:29"/>
    <s v="CSj"/>
    <m/>
    <s v="20140819 JBures"/>
    <s v="20140820 HReider"/>
    <s v="x"/>
    <n v="151.57300000000001"/>
    <s v="na"/>
    <s v="FWL"/>
    <s v="na"/>
    <s v="na"/>
    <s v="F1840"/>
    <s v="na"/>
    <s v="na"/>
    <s v="na"/>
    <s v="na"/>
    <s v="na"/>
  </r>
  <r>
    <n v="3046"/>
    <x v="68"/>
    <n v="2"/>
    <x v="10"/>
    <x v="0"/>
    <x v="0"/>
    <m/>
    <m/>
    <n v="64"/>
    <m/>
    <s v="F"/>
    <m/>
    <d v="1899-12-30T00:18:00"/>
    <s v="19:57"/>
    <s v="JBu"/>
    <m/>
    <s v="20140819 JBures"/>
    <s v="20140820 HReider"/>
    <s v="x"/>
    <s v="x"/>
    <s v="na"/>
    <s v="FWL"/>
    <s v="na"/>
    <s v="na"/>
    <s v="na"/>
    <s v="na"/>
    <s v="na"/>
    <s v="na"/>
    <s v="na"/>
    <s v="na"/>
  </r>
  <r>
    <n v="3047"/>
    <x v="68"/>
    <n v="2"/>
    <x v="10"/>
    <x v="0"/>
    <x v="0"/>
    <m/>
    <m/>
    <n v="62"/>
    <m/>
    <s v="M"/>
    <m/>
    <d v="1899-12-30T00:20:00"/>
    <s v="19:58"/>
    <s v="JBu"/>
    <m/>
    <s v="20140819 JBures"/>
    <s v="20140820 HReider"/>
    <s v="x"/>
    <s v="x"/>
    <s v="na"/>
    <s v="FWL"/>
    <s v="na"/>
    <s v="na"/>
    <s v="na"/>
    <s v="na"/>
    <s v="na"/>
    <s v="na"/>
    <s v="na"/>
    <s v="na"/>
  </r>
  <r>
    <n v="3048"/>
    <x v="68"/>
    <n v="2"/>
    <x v="10"/>
    <x v="0"/>
    <x v="0"/>
    <m/>
    <m/>
    <n v="56"/>
    <m/>
    <s v="F"/>
    <m/>
    <d v="1899-12-30T00:39:00"/>
    <s v="19:59"/>
    <s v="JBu"/>
    <m/>
    <s v="20140819 JBures"/>
    <s v="20140820 HReider"/>
    <s v="x"/>
    <s v="x"/>
    <s v="na"/>
    <s v="FWL"/>
    <s v="na"/>
    <s v="na"/>
    <s v="na"/>
    <s v="na"/>
    <s v="na"/>
    <s v="na"/>
    <s v="na"/>
    <s v="na"/>
  </r>
  <r>
    <n v="3049"/>
    <x v="68"/>
    <n v="2"/>
    <x v="10"/>
    <x v="0"/>
    <x v="0"/>
    <m/>
    <m/>
    <n v="59"/>
    <m/>
    <s v="M"/>
    <m/>
    <d v="1899-12-30T00:17:00"/>
    <s v="20:00"/>
    <s v="JBu"/>
    <m/>
    <s v="20140819 JBures"/>
    <s v="20140820 HReider"/>
    <s v="x"/>
    <s v="x"/>
    <s v="na"/>
    <s v="FWL"/>
    <s v="na"/>
    <s v="na"/>
    <s v="na"/>
    <s v="na"/>
    <s v="na"/>
    <s v="na"/>
    <s v="na"/>
    <s v="na"/>
  </r>
  <r>
    <n v="3050"/>
    <x v="68"/>
    <n v="2"/>
    <x v="10"/>
    <x v="0"/>
    <x v="0"/>
    <m/>
    <m/>
    <n v="56"/>
    <m/>
    <s v="M"/>
    <d v="1899-12-30T20:06:00"/>
    <d v="1899-12-30T00:27:00"/>
    <s v="20:08"/>
    <s v="JBu"/>
    <m/>
    <s v="20140819 JBures"/>
    <s v="20140820 HReider"/>
    <d v="1899-12-30T00:01:33"/>
    <s v="x"/>
    <s v="na"/>
    <s v="FWL"/>
    <s v="na"/>
    <s v="na"/>
    <s v="na"/>
    <s v="na"/>
    <s v="na"/>
    <s v="na"/>
    <s v="na"/>
    <s v="na"/>
  </r>
  <r>
    <n v="3051"/>
    <x v="68"/>
    <n v="3"/>
    <x v="10"/>
    <x v="0"/>
    <x v="11"/>
    <n v="44"/>
    <s v="183 CM"/>
    <n v="61"/>
    <m/>
    <s v="F"/>
    <m/>
    <d v="1899-12-30T00:47:00"/>
    <s v="09:16"/>
    <s v="JBu"/>
    <m/>
    <s v="20140819 LAckein"/>
    <s v="20140820 HReider"/>
    <s v="x"/>
    <n v="151.53399999999999"/>
    <s v="na"/>
    <s v="FWL"/>
    <s v="na"/>
    <s v="na"/>
    <s v="F1840"/>
    <s v="na"/>
    <s v="na"/>
    <s v="na"/>
    <s v="na"/>
    <s v="na"/>
  </r>
  <r>
    <n v="3052"/>
    <x v="68"/>
    <n v="3"/>
    <x v="10"/>
    <x v="0"/>
    <x v="0"/>
    <m/>
    <m/>
    <n v="57"/>
    <m/>
    <s v="M"/>
    <m/>
    <d v="1899-12-30T00:23:00"/>
    <s v="09:19"/>
    <s v="CSj"/>
    <m/>
    <s v="20140819 LAckein"/>
    <s v="20140820 HReider"/>
    <s v="x"/>
    <s v="x"/>
    <s v="na"/>
    <s v="FWL"/>
    <s v="na"/>
    <s v="na"/>
    <s v="na"/>
    <s v="na"/>
    <s v="na"/>
    <s v="na"/>
    <s v="na"/>
    <s v="na"/>
  </r>
  <r>
    <n v="3053"/>
    <x v="68"/>
    <n v="3"/>
    <x v="10"/>
    <x v="0"/>
    <x v="0"/>
    <m/>
    <m/>
    <n v="58"/>
    <m/>
    <s v="F"/>
    <m/>
    <d v="1899-12-30T00:26:00"/>
    <s v="09:20"/>
    <s v="CSj"/>
    <m/>
    <s v="20140819 LAckein"/>
    <s v="20140820 HReider"/>
    <s v="x"/>
    <s v="x"/>
    <s v="na"/>
    <s v="FWL"/>
    <s v="na"/>
    <s v="na"/>
    <s v="na"/>
    <s v="na"/>
    <s v="na"/>
    <s v="na"/>
    <s v="na"/>
    <s v="na"/>
  </r>
  <r>
    <n v="3054"/>
    <x v="68"/>
    <n v="3"/>
    <x v="13"/>
    <x v="0"/>
    <x v="14"/>
    <n v="98"/>
    <s v="117 CO"/>
    <n v="51"/>
    <m/>
    <s v="F"/>
    <m/>
    <d v="1899-12-30T00:37:00"/>
    <s v="10:49"/>
    <s v="CSj"/>
    <m/>
    <s v="20140819 LAckein"/>
    <s v="20140820 HReider"/>
    <s v="x"/>
    <n v="151.32499999999999"/>
    <s v="na"/>
    <s v="FWL"/>
    <s v="na"/>
    <s v="na"/>
    <s v="F1840"/>
    <s v="na"/>
    <s v="na"/>
    <s v="na"/>
    <s v="na"/>
    <s v="na"/>
  </r>
  <r>
    <n v="3055"/>
    <x v="68"/>
    <n v="3"/>
    <x v="13"/>
    <x v="0"/>
    <x v="14"/>
    <n v="72"/>
    <s v="120 CO"/>
    <n v="52"/>
    <m/>
    <s v="F"/>
    <m/>
    <d v="1899-12-30T00:37:00"/>
    <s v="10:52"/>
    <s v="CSj"/>
    <m/>
    <s v="20140819 LAckein"/>
    <s v="20140820 HReider"/>
    <s v="x"/>
    <n v="151.32499999999999"/>
    <s v="na"/>
    <s v="FWL"/>
    <s v="na"/>
    <s v="na"/>
    <s v="F1840"/>
    <s v="na"/>
    <s v="na"/>
    <s v="na"/>
    <s v="na"/>
    <s v="na"/>
  </r>
  <r>
    <n v="3056"/>
    <x v="68"/>
    <n v="3"/>
    <x v="10"/>
    <x v="0"/>
    <x v="0"/>
    <m/>
    <m/>
    <n v="60"/>
    <m/>
    <s v="M"/>
    <m/>
    <d v="1899-12-30T00:21:00"/>
    <s v="10:53"/>
    <s v="JBu"/>
    <m/>
    <s v="20140819 LAckein"/>
    <s v="20140820 HReider"/>
    <s v="x"/>
    <s v="x"/>
    <s v="na"/>
    <s v="FWL"/>
    <s v="na"/>
    <s v="na"/>
    <s v="na"/>
    <s v="na"/>
    <s v="na"/>
    <s v="na"/>
    <s v="na"/>
    <s v="na"/>
  </r>
  <r>
    <n v="3057"/>
    <x v="68"/>
    <n v="3"/>
    <x v="10"/>
    <x v="0"/>
    <x v="0"/>
    <m/>
    <m/>
    <n v="60"/>
    <m/>
    <s v="M"/>
    <m/>
    <d v="1899-12-30T00:23:00"/>
    <s v="10:54"/>
    <s v="JBu"/>
    <m/>
    <s v="20140819 LAckein"/>
    <s v="20140820 HReider"/>
    <s v="x"/>
    <s v="x"/>
    <s v="na"/>
    <s v="FWL"/>
    <s v="na"/>
    <s v="na"/>
    <s v="na"/>
    <s v="na"/>
    <s v="na"/>
    <s v="na"/>
    <s v="na"/>
    <s v="na"/>
  </r>
  <r>
    <n v="3058"/>
    <x v="68"/>
    <n v="3"/>
    <x v="10"/>
    <x v="0"/>
    <x v="0"/>
    <m/>
    <m/>
    <n v="56"/>
    <m/>
    <s v="F"/>
    <m/>
    <d v="1899-12-30T00:23:00"/>
    <s v="12:03"/>
    <s v="LA"/>
    <m/>
    <s v="20140819 LAckein"/>
    <s v="20140820 HReider"/>
    <s v="x"/>
    <s v="x"/>
    <s v="na"/>
    <s v="FWL"/>
    <s v="na"/>
    <s v="na"/>
    <s v="na"/>
    <s v="na"/>
    <s v="na"/>
    <s v="na"/>
    <s v="na"/>
    <s v="na"/>
  </r>
  <r>
    <n v="3059"/>
    <x v="68"/>
    <n v="3"/>
    <x v="13"/>
    <x v="0"/>
    <x v="15"/>
    <n v="79"/>
    <s v="121 CO"/>
    <n v="57"/>
    <m/>
    <s v="M"/>
    <m/>
    <d v="1899-12-30T00:56:00"/>
    <s v="12:05"/>
    <s v="LA"/>
    <s v="F266.  small unhealed gash behind pelvic fin"/>
    <s v="20140819 LAckein"/>
    <s v="20140820 HReider"/>
    <s v="x"/>
    <n v="151.26599999999999"/>
    <s v="na"/>
    <s v="FWL"/>
    <s v="na"/>
    <s v="na"/>
    <s v="F1840"/>
    <s v="na"/>
    <s v="na"/>
    <s v="na"/>
    <s v="na"/>
    <s v="na"/>
  </r>
  <r>
    <n v="3060"/>
    <x v="68"/>
    <n v="3"/>
    <x v="12"/>
    <x v="0"/>
    <x v="0"/>
    <m/>
    <m/>
    <n v="43"/>
    <m/>
    <s v="F"/>
    <m/>
    <d v="1899-12-30T00:18:00"/>
    <s v="12:06"/>
    <s v="LA"/>
    <m/>
    <s v="20140819 LAckein"/>
    <s v="20140820 HReider"/>
    <s v="x"/>
    <s v="x"/>
    <s v="na"/>
    <s v="FWL"/>
    <s v="na"/>
    <s v="na"/>
    <s v="na"/>
    <s v="na"/>
    <s v="na"/>
    <s v="na"/>
    <s v="na"/>
    <s v="na"/>
  </r>
  <r>
    <n v="3061"/>
    <x v="68"/>
    <n v="3"/>
    <x v="10"/>
    <x v="0"/>
    <x v="0"/>
    <m/>
    <m/>
    <n v="58"/>
    <m/>
    <s v="F"/>
    <d v="1899-12-30T12:14:00"/>
    <d v="1899-12-30T00:21:00"/>
    <s v="12:34"/>
    <s v="LA"/>
    <m/>
    <s v="20140819 LAckein"/>
    <s v="20140820 HReider"/>
    <d v="1899-12-30T00:19:39"/>
    <s v="x"/>
    <s v="na"/>
    <s v="FWL"/>
    <s v="na"/>
    <s v="na"/>
    <s v="na"/>
    <s v="na"/>
    <s v="na"/>
    <s v="na"/>
    <s v="na"/>
    <s v="na"/>
  </r>
  <r>
    <n v="3062"/>
    <x v="68"/>
    <n v="3"/>
    <x v="12"/>
    <x v="0"/>
    <x v="0"/>
    <m/>
    <m/>
    <n v="48"/>
    <m/>
    <s v="M"/>
    <m/>
    <d v="1899-12-30T00:21:00"/>
    <s v="13:50"/>
    <s v="CSj"/>
    <m/>
    <s v="20140819 LAckein"/>
    <s v="20140820 HReider"/>
    <s v="x"/>
    <s v="x"/>
    <s v="na"/>
    <s v="FWL"/>
    <s v="na"/>
    <s v="na"/>
    <s v="na"/>
    <s v="na"/>
    <s v="na"/>
    <s v="na"/>
    <s v="na"/>
    <s v="na"/>
  </r>
  <r>
    <n v="3063"/>
    <x v="68"/>
    <n v="3"/>
    <x v="13"/>
    <x v="0"/>
    <x v="15"/>
    <n v="95"/>
    <s v="122 CO"/>
    <n v="50"/>
    <m/>
    <s v="F"/>
    <m/>
    <d v="1899-12-30T00:56:00"/>
    <s v="13:54"/>
    <s v="JBu"/>
    <s v="F266."/>
    <s v="20140819 LAckein"/>
    <s v="20140820 HReider"/>
    <s v="x"/>
    <n v="151.26599999999999"/>
    <s v="na"/>
    <s v="FWL"/>
    <s v="na"/>
    <s v="na"/>
    <s v="F1840"/>
    <s v="na"/>
    <s v="na"/>
    <s v="na"/>
    <s v="na"/>
    <s v="na"/>
  </r>
  <r>
    <n v="3064"/>
    <x v="68"/>
    <n v="3"/>
    <x v="13"/>
    <x v="0"/>
    <x v="15"/>
    <n v="76"/>
    <s v="133 CO"/>
    <n v="49"/>
    <m/>
    <s v="F"/>
    <m/>
    <d v="1899-12-30T00:49:00"/>
    <s v="13:56"/>
    <s v="JBu"/>
    <s v="F266."/>
    <s v="20140819 LAckein"/>
    <s v="20140820 HReider"/>
    <s v="x"/>
    <n v="151.26599999999999"/>
    <s v="na"/>
    <s v="FWL"/>
    <s v="na"/>
    <s v="na"/>
    <s v="F1840"/>
    <s v="na"/>
    <s v="na"/>
    <s v="na"/>
    <s v="na"/>
    <s v="na"/>
  </r>
  <r>
    <n v="3065"/>
    <x v="68"/>
    <n v="3"/>
    <x v="10"/>
    <x v="0"/>
    <x v="0"/>
    <m/>
    <m/>
    <n v="55"/>
    <m/>
    <s v="F"/>
    <m/>
    <d v="1899-12-30T00:16:00"/>
    <s v="13:57"/>
    <s v="JBu"/>
    <m/>
    <s v="20140819 LAckein"/>
    <s v="20140820 HReider"/>
    <s v="x"/>
    <s v="x"/>
    <s v="na"/>
    <s v="FWL"/>
    <s v="na"/>
    <s v="na"/>
    <s v="na"/>
    <s v="na"/>
    <s v="na"/>
    <s v="na"/>
    <s v="na"/>
    <s v="na"/>
  </r>
  <r>
    <n v="3066"/>
    <x v="68"/>
    <n v="3"/>
    <x v="12"/>
    <x v="0"/>
    <x v="0"/>
    <m/>
    <m/>
    <n v="47"/>
    <m/>
    <s v="F"/>
    <m/>
    <d v="1899-12-30T00:24:00"/>
    <s v="15:07"/>
    <s v="KS"/>
    <m/>
    <s v="20140819 HReider"/>
    <s v="20140820 HReider"/>
    <s v="x"/>
    <s v="x"/>
    <s v="na"/>
    <s v="FWL"/>
    <s v="na"/>
    <s v="na"/>
    <s v="na"/>
    <s v="na"/>
    <s v="na"/>
    <s v="na"/>
    <s v="na"/>
    <s v="na"/>
  </r>
  <r>
    <n v="3067"/>
    <x v="68"/>
    <n v="3"/>
    <x v="10"/>
    <x v="0"/>
    <x v="0"/>
    <m/>
    <m/>
    <n v="57"/>
    <m/>
    <s v="M"/>
    <m/>
    <d v="1899-12-30T00:16:00"/>
    <s v="15:08"/>
    <s v="KS"/>
    <m/>
    <s v="20140819 HReider"/>
    <s v="20140820 HReider"/>
    <s v="x"/>
    <s v="x"/>
    <s v="na"/>
    <s v="FWL"/>
    <s v="na"/>
    <s v="na"/>
    <s v="na"/>
    <s v="na"/>
    <s v="na"/>
    <s v="na"/>
    <s v="na"/>
    <s v="na"/>
  </r>
  <r>
    <n v="3068"/>
    <x v="68"/>
    <n v="3"/>
    <x v="10"/>
    <x v="0"/>
    <x v="0"/>
    <m/>
    <m/>
    <n v="51"/>
    <m/>
    <s v="M"/>
    <m/>
    <d v="1899-12-30T00:21:00"/>
    <s v="15:09"/>
    <s v="KS"/>
    <m/>
    <s v="20140819 HReider"/>
    <s v="20140820 HReider"/>
    <s v="x"/>
    <s v="x"/>
    <s v="na"/>
    <s v="FWL"/>
    <s v="na"/>
    <s v="na"/>
    <s v="na"/>
    <s v="na"/>
    <s v="na"/>
    <s v="na"/>
    <s v="na"/>
    <s v="na"/>
  </r>
  <r>
    <n v="3069"/>
    <x v="68"/>
    <n v="3"/>
    <x v="12"/>
    <x v="0"/>
    <x v="0"/>
    <m/>
    <m/>
    <n v="38"/>
    <m/>
    <s v="M"/>
    <m/>
    <d v="1899-12-30T00:30:00"/>
    <s v="15:39"/>
    <s v="KS"/>
    <m/>
    <s v="20140819 HReider"/>
    <s v="20140820 HReider"/>
    <s v="x"/>
    <s v="x"/>
    <s v="na"/>
    <s v="FWL"/>
    <s v="na"/>
    <s v="na"/>
    <s v="na"/>
    <s v="na"/>
    <s v="na"/>
    <s v="na"/>
    <s v="na"/>
    <s v="na"/>
  </r>
  <r>
    <n v="3070"/>
    <x v="68"/>
    <n v="3"/>
    <x v="10"/>
    <x v="0"/>
    <x v="0"/>
    <m/>
    <m/>
    <n v="61"/>
    <m/>
    <s v="M"/>
    <m/>
    <d v="1899-12-30T00:20:00"/>
    <s v="17:19"/>
    <s v="KS"/>
    <m/>
    <s v="20140819 HReider"/>
    <s v="20140820 HReider"/>
    <s v="x"/>
    <s v="x"/>
    <s v="na"/>
    <s v="FWL"/>
    <s v="na"/>
    <s v="na"/>
    <s v="na"/>
    <s v="na"/>
    <s v="na"/>
    <s v="na"/>
    <s v="na"/>
    <s v="na"/>
  </r>
  <r>
    <n v="3071"/>
    <x v="68"/>
    <n v="3"/>
    <x v="12"/>
    <x v="0"/>
    <x v="0"/>
    <m/>
    <m/>
    <n v="45"/>
    <m/>
    <s v="F"/>
    <m/>
    <d v="1899-12-30T00:43:00"/>
    <s v="17:23"/>
    <s v="KS"/>
    <s v="spawning fungus"/>
    <s v="20140819 HReider"/>
    <s v="20140820 HReider"/>
    <s v="x"/>
    <s v="x"/>
    <s v="na"/>
    <s v="FWL"/>
    <s v="na"/>
    <s v="na"/>
    <s v="na"/>
    <s v="na"/>
    <s v="na"/>
    <s v="na"/>
    <s v="na"/>
    <s v="na"/>
  </r>
  <r>
    <n v="3072"/>
    <x v="68"/>
    <n v="3"/>
    <x v="12"/>
    <x v="0"/>
    <x v="0"/>
    <m/>
    <m/>
    <n v="45"/>
    <m/>
    <s v="M"/>
    <m/>
    <d v="1899-12-30T00:34:00"/>
    <s v="17:25"/>
    <s v="KS"/>
    <s v="spawned out pink"/>
    <s v="20140819 HReider"/>
    <s v="20140820 HReider"/>
    <s v="x"/>
    <s v="x"/>
    <s v="na"/>
    <s v="FWL"/>
    <s v="na"/>
    <s v="na"/>
    <s v="na"/>
    <s v="na"/>
    <s v="na"/>
    <s v="na"/>
    <s v="na"/>
    <s v="na"/>
  </r>
  <r>
    <n v="3073"/>
    <x v="68"/>
    <n v="3"/>
    <x v="10"/>
    <x v="0"/>
    <x v="0"/>
    <m/>
    <m/>
    <n v="53"/>
    <m/>
    <s v="F"/>
    <m/>
    <d v="1899-12-30T00:20:00"/>
    <s v="17:26"/>
    <s v="KS"/>
    <m/>
    <s v="20140819 HReider"/>
    <s v="20140820 HReider"/>
    <s v="x"/>
    <s v="x"/>
    <s v="na"/>
    <s v="FWL"/>
    <s v="na"/>
    <s v="na"/>
    <s v="na"/>
    <s v="na"/>
    <s v="na"/>
    <s v="na"/>
    <s v="na"/>
    <s v="na"/>
  </r>
  <r>
    <n v="3074"/>
    <x v="68"/>
    <n v="3"/>
    <x v="12"/>
    <x v="0"/>
    <x v="0"/>
    <m/>
    <m/>
    <n v="39"/>
    <m/>
    <s v="M"/>
    <m/>
    <d v="1899-12-30T00:21:00"/>
    <s v="17:27"/>
    <s v="KS"/>
    <m/>
    <s v="20140819 HReider"/>
    <s v="20140820 HReider"/>
    <s v="x"/>
    <s v="x"/>
    <s v="na"/>
    <s v="FWL"/>
    <s v="na"/>
    <s v="na"/>
    <s v="na"/>
    <s v="na"/>
    <s v="na"/>
    <s v="na"/>
    <s v="na"/>
    <s v="na"/>
  </r>
  <r>
    <n v="3075"/>
    <x v="68"/>
    <n v="3"/>
    <x v="13"/>
    <x v="0"/>
    <x v="0"/>
    <m/>
    <m/>
    <n v="58"/>
    <m/>
    <s v="F"/>
    <m/>
    <d v="1899-12-30T00:24:00"/>
    <s v="17:58"/>
    <s v="KS"/>
    <s v="lively"/>
    <s v="20140819 HReider"/>
    <s v="20140820 HReider"/>
    <s v="x"/>
    <s v="x"/>
    <s v="na"/>
    <s v="FWL"/>
    <s v="na"/>
    <s v="na"/>
    <s v="na"/>
    <s v="na"/>
    <s v="na"/>
    <s v="na"/>
    <s v="na"/>
    <s v="na"/>
  </r>
  <r>
    <n v="3076"/>
    <x v="68"/>
    <n v="3"/>
    <x v="13"/>
    <x v="0"/>
    <x v="0"/>
    <m/>
    <m/>
    <n v="56"/>
    <m/>
    <s v="F"/>
    <m/>
    <d v="1899-12-30T00:23:00"/>
    <s v="18:30"/>
    <s v="HR"/>
    <m/>
    <s v="20140819 HReider"/>
    <s v="20140820 HReider"/>
    <s v="x"/>
    <s v="x"/>
    <s v="na"/>
    <s v="FWL"/>
    <s v="na"/>
    <s v="na"/>
    <s v="na"/>
    <s v="na"/>
    <s v="na"/>
    <s v="na"/>
    <s v="na"/>
    <s v="na"/>
  </r>
  <r>
    <n v="3077"/>
    <x v="68"/>
    <n v="3"/>
    <x v="10"/>
    <x v="0"/>
    <x v="0"/>
    <m/>
    <m/>
    <n v="55"/>
    <m/>
    <s v="M"/>
    <m/>
    <d v="1899-12-30T00:25:00"/>
    <s v="18:32"/>
    <s v="HR"/>
    <m/>
    <s v="20140819 HReider"/>
    <s v="20140820 HReider"/>
    <s v="x"/>
    <s v="x"/>
    <s v="na"/>
    <s v="FWL"/>
    <s v="na"/>
    <s v="na"/>
    <s v="na"/>
    <s v="na"/>
    <s v="na"/>
    <s v="na"/>
    <s v="na"/>
    <s v="na"/>
  </r>
  <r>
    <n v="3078"/>
    <x v="68"/>
    <n v="3"/>
    <x v="12"/>
    <x v="0"/>
    <x v="0"/>
    <m/>
    <m/>
    <n v="47"/>
    <m/>
    <s v="F"/>
    <m/>
    <d v="1899-12-30T00:22:00"/>
    <s v="18:33"/>
    <s v="HR"/>
    <m/>
    <s v="20140819 HReider"/>
    <s v="20140820 HReider"/>
    <s v="x"/>
    <s v="x"/>
    <s v="na"/>
    <s v="FWL"/>
    <s v="na"/>
    <s v="na"/>
    <s v="na"/>
    <s v="na"/>
    <s v="na"/>
    <s v="na"/>
    <s v="na"/>
    <s v="na"/>
  </r>
  <r>
    <n v="3079"/>
    <x v="68"/>
    <n v="3"/>
    <x v="10"/>
    <x v="0"/>
    <x v="0"/>
    <m/>
    <m/>
    <n v="56"/>
    <m/>
    <s v="F"/>
    <m/>
    <d v="1899-12-30T00:26:00"/>
    <s v="19:32"/>
    <s v="HR"/>
    <m/>
    <s v="20140819 HReider"/>
    <s v="20140820 HReider"/>
    <s v="x"/>
    <s v="x"/>
    <s v="na"/>
    <s v="FWL"/>
    <s v="na"/>
    <s v="na"/>
    <s v="na"/>
    <s v="na"/>
    <s v="na"/>
    <s v="na"/>
    <s v="na"/>
    <s v="na"/>
  </r>
  <r>
    <n v="3080"/>
    <x v="68"/>
    <n v="3"/>
    <x v="4"/>
    <x v="0"/>
    <x v="0"/>
    <m/>
    <m/>
    <n v="34"/>
    <m/>
    <s v="M"/>
    <m/>
    <d v="1899-12-30T01:20:00"/>
    <s v="19:35"/>
    <s v="HR"/>
    <s v="milting, have photos (think it's same CNj caught today at Site 1)"/>
    <s v="20140819 HReider"/>
    <s v="20140820 HReider"/>
    <s v="x"/>
    <s v="x"/>
    <s v="na"/>
    <s v="FWL"/>
    <s v="na"/>
    <s v="na"/>
    <s v="na"/>
    <s v="na"/>
    <s v="na"/>
    <s v="na"/>
    <s v="na"/>
    <s v="na"/>
  </r>
  <r>
    <n v="3081"/>
    <x v="68"/>
    <n v="3"/>
    <x v="13"/>
    <x v="0"/>
    <x v="0"/>
    <m/>
    <m/>
    <n v="53"/>
    <m/>
    <s v="F"/>
    <m/>
    <d v="1899-12-30T00:25:00"/>
    <s v="19:37"/>
    <s v="HR"/>
    <s v="lively!"/>
    <s v="20140819 HReider"/>
    <s v="20140820 HReider"/>
    <s v="x"/>
    <s v="x"/>
    <s v="na"/>
    <s v="FWL"/>
    <s v="na"/>
    <s v="na"/>
    <s v="na"/>
    <s v="na"/>
    <s v="na"/>
    <s v="na"/>
    <s v="na"/>
    <s v="na"/>
  </r>
  <r>
    <n v="3082"/>
    <x v="69"/>
    <n v="1"/>
    <x v="10"/>
    <x v="0"/>
    <x v="11"/>
    <n v="5"/>
    <s v="186 CM"/>
    <n v="55"/>
    <m/>
    <s v="M"/>
    <d v="1899-12-30T08:24:00"/>
    <d v="1899-12-30T00:35:00"/>
    <s v="08:45"/>
    <s v="JBu"/>
    <m/>
    <s v="20140820 JKunzler"/>
    <s v="20140821 HReider"/>
    <d v="1899-12-30T00:20:25"/>
    <n v="151.53399999999999"/>
    <s v="na"/>
    <s v="FWL"/>
    <s v="na"/>
    <s v="na"/>
    <s v="F1840"/>
    <s v="na"/>
    <s v="na"/>
    <s v="na"/>
    <s v="na"/>
    <s v="na"/>
  </r>
  <r>
    <n v="3083"/>
    <x v="69"/>
    <n v="1"/>
    <x v="10"/>
    <x v="0"/>
    <x v="0"/>
    <m/>
    <m/>
    <n v="53"/>
    <m/>
    <s v="F"/>
    <m/>
    <d v="1899-12-30T00:18:00"/>
    <s v="08:48"/>
    <s v="JBu"/>
    <m/>
    <s v="20140820 JKunzler"/>
    <s v="20140821 HReider"/>
    <s v="x"/>
    <s v="x"/>
    <s v="na"/>
    <s v="FWL"/>
    <s v="na"/>
    <s v="na"/>
    <s v="na"/>
    <s v="na"/>
    <s v="na"/>
    <s v="na"/>
    <s v="na"/>
    <s v="na"/>
  </r>
  <r>
    <n v="3084"/>
    <x v="69"/>
    <n v="1"/>
    <x v="10"/>
    <x v="0"/>
    <x v="0"/>
    <m/>
    <m/>
    <n v="57"/>
    <m/>
    <s v="F"/>
    <m/>
    <d v="1899-12-30T00:24:00"/>
    <s v="08:49"/>
    <s v="JBu"/>
    <s v="open wound on back"/>
    <s v="20140820 JKunzler"/>
    <s v="20140821 HReider"/>
    <s v="x"/>
    <s v="x"/>
    <s v="na"/>
    <s v="FWL"/>
    <s v="na"/>
    <s v="na"/>
    <s v="na"/>
    <s v="na"/>
    <s v="na"/>
    <s v="na"/>
    <s v="na"/>
    <s v="na"/>
  </r>
  <r>
    <n v="3085"/>
    <x v="69"/>
    <n v="1"/>
    <x v="10"/>
    <x v="0"/>
    <x v="0"/>
    <m/>
    <m/>
    <n v="50"/>
    <m/>
    <s v="F"/>
    <m/>
    <d v="1899-12-30T00:23:00"/>
    <s v="08:50"/>
    <s v="JBu"/>
    <m/>
    <s v="20140820 JKunzler"/>
    <s v="20140821 HReider"/>
    <s v="x"/>
    <s v="x"/>
    <s v="na"/>
    <s v="FWL"/>
    <s v="na"/>
    <s v="na"/>
    <s v="na"/>
    <s v="na"/>
    <s v="na"/>
    <s v="na"/>
    <s v="na"/>
    <s v="na"/>
  </r>
  <r>
    <n v="3086"/>
    <x v="69"/>
    <n v="1"/>
    <x v="7"/>
    <x v="0"/>
    <x v="6"/>
    <n v="1"/>
    <s v="188 S"/>
    <n v="45"/>
    <m/>
    <s v="M"/>
    <m/>
    <d v="1899-12-30T00:43:00"/>
    <s v="09:16"/>
    <s v="JBu"/>
    <m/>
    <s v="20140820 JKunzler"/>
    <s v="20140821 HReider"/>
    <s v="x"/>
    <n v="151.57300000000001"/>
    <s v="na"/>
    <s v="FWL"/>
    <s v="na"/>
    <s v="na"/>
    <s v="F1840"/>
    <s v="na"/>
    <s v="na"/>
    <s v="na"/>
    <s v="na"/>
    <s v="na"/>
  </r>
  <r>
    <n v="3087"/>
    <x v="69"/>
    <n v="1"/>
    <x v="10"/>
    <x v="0"/>
    <x v="0"/>
    <m/>
    <m/>
    <n v="53"/>
    <m/>
    <s v="M"/>
    <m/>
    <d v="1899-12-30T00:18:00"/>
    <s v="09:18"/>
    <s v="JBu"/>
    <m/>
    <s v="20140820 JKunzler"/>
    <s v="20140821 HReider"/>
    <s v="x"/>
    <s v="x"/>
    <s v="na"/>
    <s v="FWL"/>
    <s v="na"/>
    <s v="na"/>
    <s v="na"/>
    <s v="na"/>
    <s v="na"/>
    <s v="na"/>
    <s v="na"/>
    <s v="na"/>
  </r>
  <r>
    <n v="3088"/>
    <x v="69"/>
    <n v="1"/>
    <x v="10"/>
    <x v="0"/>
    <x v="0"/>
    <m/>
    <m/>
    <n v="62"/>
    <m/>
    <s v="M"/>
    <m/>
    <d v="1899-12-30T00:18:00"/>
    <s v="09:41"/>
    <s v="JBu"/>
    <m/>
    <s v="20140820 JKunzler"/>
    <s v="20140821 HReider"/>
    <s v="x"/>
    <s v="x"/>
    <s v="na"/>
    <s v="FWL"/>
    <s v="na"/>
    <s v="na"/>
    <s v="na"/>
    <s v="na"/>
    <s v="na"/>
    <s v="na"/>
    <s v="na"/>
    <s v="na"/>
  </r>
  <r>
    <n v="3089"/>
    <x v="69"/>
    <n v="1"/>
    <x v="13"/>
    <x v="0"/>
    <x v="14"/>
    <n v="36"/>
    <s v="131 CO"/>
    <n v="58"/>
    <m/>
    <s v="F"/>
    <m/>
    <d v="1899-12-30T00:48:00"/>
    <s v="09:45"/>
    <s v="JBu"/>
    <m/>
    <s v="20140820 JKunzler"/>
    <s v="20140821 HReider"/>
    <s v="x"/>
    <n v="151.32499999999999"/>
    <s v="na"/>
    <s v="FWL"/>
    <s v="na"/>
    <s v="na"/>
    <s v="F1840"/>
    <s v="na"/>
    <s v="na"/>
    <s v="na"/>
    <s v="na"/>
    <s v="na"/>
  </r>
  <r>
    <n v="3090"/>
    <x v="69"/>
    <n v="1"/>
    <x v="13"/>
    <x v="0"/>
    <x v="15"/>
    <n v="40"/>
    <s v="132 CO"/>
    <n v="51"/>
    <m/>
    <s v="M"/>
    <d v="1899-12-30T10:13:00"/>
    <d v="1899-12-30T00:46:00"/>
    <s v="10:38"/>
    <s v="JBu"/>
    <s v="F266."/>
    <s v="20140820 JKunzler"/>
    <s v="20140821 HReider"/>
    <d v="1899-12-30T00:24:14"/>
    <n v="151.26599999999999"/>
    <s v="na"/>
    <s v="FWL"/>
    <s v="na"/>
    <s v="na"/>
    <s v="F1840"/>
    <s v="na"/>
    <s v="na"/>
    <s v="na"/>
    <s v="na"/>
    <s v="na"/>
  </r>
  <r>
    <n v="3091"/>
    <x v="69"/>
    <n v="1"/>
    <x v="10"/>
    <x v="0"/>
    <x v="0"/>
    <m/>
    <m/>
    <n v="54"/>
    <m/>
    <s v="F"/>
    <m/>
    <d v="1899-12-30T00:18:00"/>
    <s v="10:36"/>
    <s v="JBu"/>
    <m/>
    <s v="20140820 JKunzler"/>
    <s v="20140821 HReider"/>
    <s v="x"/>
    <s v="x"/>
    <s v="na"/>
    <s v="FWL"/>
    <s v="na"/>
    <s v="na"/>
    <s v="na"/>
    <s v="na"/>
    <s v="na"/>
    <s v="na"/>
    <s v="na"/>
    <s v="na"/>
  </r>
  <r>
    <n v="3092"/>
    <x v="69"/>
    <n v="1"/>
    <x v="10"/>
    <x v="0"/>
    <x v="0"/>
    <m/>
    <m/>
    <n v="60"/>
    <m/>
    <s v="F"/>
    <m/>
    <d v="1899-12-30T00:20:00"/>
    <s v="10:36"/>
    <s v="JBu"/>
    <m/>
    <s v="20140820 JKunzler"/>
    <s v="20140821 HReider"/>
    <s v="x"/>
    <s v="x"/>
    <s v="na"/>
    <s v="FWL"/>
    <s v="na"/>
    <s v="na"/>
    <s v="na"/>
    <s v="na"/>
    <s v="na"/>
    <s v="na"/>
    <s v="na"/>
    <s v="na"/>
  </r>
  <r>
    <n v="3093"/>
    <x v="69"/>
    <n v="1"/>
    <x v="12"/>
    <x v="0"/>
    <x v="0"/>
    <m/>
    <m/>
    <n v="38"/>
    <m/>
    <s v="M"/>
    <m/>
    <d v="1899-12-30T00:19:00"/>
    <s v="10:37"/>
    <s v="JBu"/>
    <m/>
    <s v="20140820 JKunzler"/>
    <s v="20140821 HReider"/>
    <s v="x"/>
    <s v="x"/>
    <s v="na"/>
    <s v="FWL"/>
    <s v="na"/>
    <s v="na"/>
    <s v="na"/>
    <s v="na"/>
    <s v="na"/>
    <s v="na"/>
    <s v="na"/>
    <s v="na"/>
  </r>
  <r>
    <n v="3094"/>
    <x v="69"/>
    <n v="1"/>
    <x v="10"/>
    <x v="0"/>
    <x v="11"/>
    <n v="45"/>
    <s v="189 CM"/>
    <n v="55"/>
    <m/>
    <s v="M"/>
    <m/>
    <d v="1899-12-30T00:49:00"/>
    <s v="11:43"/>
    <s v="CSj"/>
    <m/>
    <s v="20140820 LAckein"/>
    <s v="20140821 HReider"/>
    <s v="x"/>
    <n v="151.53399999999999"/>
    <s v="na"/>
    <s v="FWL"/>
    <s v="na"/>
    <s v="na"/>
    <s v="F1840"/>
    <s v="na"/>
    <s v="na"/>
    <s v="na"/>
    <s v="na"/>
    <s v="na"/>
  </r>
  <r>
    <n v="3095"/>
    <x v="69"/>
    <n v="1"/>
    <x v="10"/>
    <x v="0"/>
    <x v="0"/>
    <m/>
    <m/>
    <n v="55"/>
    <m/>
    <s v="F"/>
    <m/>
    <d v="1899-12-30T00:29:00"/>
    <s v="11:44"/>
    <s v="CSj"/>
    <m/>
    <s v="20140820 LAckein"/>
    <s v="20140821 HReider"/>
    <s v="x"/>
    <s v="x"/>
    <s v="na"/>
    <s v="FWL"/>
    <s v="na"/>
    <s v="na"/>
    <s v="na"/>
    <s v="na"/>
    <s v="na"/>
    <s v="na"/>
    <s v="na"/>
    <s v="na"/>
  </r>
  <r>
    <n v="3096"/>
    <x v="69"/>
    <n v="1"/>
    <x v="7"/>
    <x v="0"/>
    <x v="6"/>
    <n v="6"/>
    <m/>
    <n v="47"/>
    <m/>
    <s v="U"/>
    <d v="1899-12-30T11:44:00"/>
    <d v="1899-12-30T01:23:00"/>
    <s v="11:47"/>
    <s v="HR"/>
    <s v="light green head, pink blush; no genetics, clippers broken"/>
    <s v="20140820 LAckein"/>
    <s v="20140821 HReider"/>
    <d v="1899-12-30T00:01:37"/>
    <n v="151.57300000000001"/>
    <s v="na"/>
    <s v="FWL"/>
    <s v="na"/>
    <s v="na"/>
    <s v="F1840"/>
    <s v="na"/>
    <s v="na"/>
    <s v="na"/>
    <s v="na"/>
    <s v="na"/>
  </r>
  <r>
    <n v="3097"/>
    <x v="69"/>
    <n v="1"/>
    <x v="10"/>
    <x v="0"/>
    <x v="0"/>
    <m/>
    <m/>
    <n v="51"/>
    <m/>
    <s v="F"/>
    <m/>
    <d v="1899-12-30T00:25:00"/>
    <s v="11:50"/>
    <s v="CSj"/>
    <m/>
    <s v="20140820 LAckein"/>
    <s v="20140821 HReider"/>
    <s v="x"/>
    <s v="x"/>
    <s v="na"/>
    <s v="FWL"/>
    <s v="na"/>
    <s v="na"/>
    <s v="na"/>
    <s v="na"/>
    <s v="na"/>
    <s v="na"/>
    <s v="na"/>
    <s v="na"/>
  </r>
  <r>
    <n v="3098"/>
    <x v="69"/>
    <n v="1"/>
    <x v="12"/>
    <x v="0"/>
    <x v="0"/>
    <m/>
    <m/>
    <n v="42"/>
    <m/>
    <s v="M"/>
    <m/>
    <d v="1899-12-30T00:22:00"/>
    <s v="12:44"/>
    <s v="LA"/>
    <m/>
    <s v="20140820 LAckein"/>
    <s v="20140821 HReider"/>
    <s v="x"/>
    <s v="x"/>
    <s v="na"/>
    <s v="FWL"/>
    <s v="na"/>
    <s v="na"/>
    <s v="na"/>
    <s v="na"/>
    <s v="na"/>
    <s v="na"/>
    <s v="na"/>
    <s v="na"/>
  </r>
  <r>
    <n v="3099"/>
    <x v="69"/>
    <n v="1"/>
    <x v="10"/>
    <x v="0"/>
    <x v="0"/>
    <m/>
    <m/>
    <n v="57"/>
    <m/>
    <s v="F"/>
    <m/>
    <d v="1899-12-30T00:25:00"/>
    <s v="12:45"/>
    <s v="LA"/>
    <m/>
    <s v="20140820 LAckein"/>
    <s v="20140821 HReider"/>
    <s v="x"/>
    <s v="x"/>
    <s v="na"/>
    <s v="FWL"/>
    <s v="na"/>
    <s v="na"/>
    <s v="na"/>
    <s v="na"/>
    <s v="na"/>
    <s v="na"/>
    <s v="na"/>
    <s v="na"/>
  </r>
  <r>
    <n v="3100"/>
    <x v="69"/>
    <n v="1"/>
    <x v="10"/>
    <x v="0"/>
    <x v="0"/>
    <m/>
    <m/>
    <n v="61"/>
    <m/>
    <s v="M"/>
    <m/>
    <d v="1899-12-30T00:23:00"/>
    <s v="12:46"/>
    <s v="LA"/>
    <m/>
    <s v="20140820 LAckein"/>
    <s v="20140821 HReider"/>
    <s v="x"/>
    <s v="x"/>
    <s v="na"/>
    <s v="FWL"/>
    <s v="na"/>
    <s v="na"/>
    <s v="na"/>
    <s v="na"/>
    <s v="na"/>
    <s v="na"/>
    <s v="na"/>
    <s v="na"/>
  </r>
  <r>
    <n v="3101"/>
    <x v="69"/>
    <n v="1"/>
    <x v="10"/>
    <x v="0"/>
    <x v="0"/>
    <m/>
    <m/>
    <n v="57"/>
    <m/>
    <s v="F"/>
    <m/>
    <d v="1899-12-30T00:23:00"/>
    <s v="13:36"/>
    <s v="CSj"/>
    <m/>
    <s v="20140820 LAckein"/>
    <s v="20140821 HReider"/>
    <s v="x"/>
    <s v="x"/>
    <s v="na"/>
    <s v="FWL"/>
    <s v="na"/>
    <s v="na"/>
    <s v="na"/>
    <s v="na"/>
    <s v="na"/>
    <s v="na"/>
    <s v="na"/>
    <s v="na"/>
  </r>
  <r>
    <n v="3102"/>
    <x v="69"/>
    <n v="1"/>
    <x v="10"/>
    <x v="0"/>
    <x v="0"/>
    <m/>
    <m/>
    <n v="50"/>
    <m/>
    <s v="F"/>
    <m/>
    <d v="1899-12-30T00:22:00"/>
    <s v="13:38"/>
    <s v="CSj"/>
    <m/>
    <s v="20140820 LAckein"/>
    <s v="20140821 HReider"/>
    <s v="x"/>
    <s v="x"/>
    <s v="na"/>
    <s v="FWL"/>
    <s v="na"/>
    <s v="na"/>
    <s v="na"/>
    <s v="na"/>
    <s v="na"/>
    <s v="na"/>
    <s v="na"/>
    <s v="na"/>
  </r>
  <r>
    <n v="3103"/>
    <x v="69"/>
    <n v="1"/>
    <x v="12"/>
    <x v="0"/>
    <x v="0"/>
    <m/>
    <m/>
    <n v="45"/>
    <m/>
    <s v="F"/>
    <m/>
    <d v="1899-12-30T00:30:00"/>
    <s v="14:46"/>
    <s v="JK"/>
    <m/>
    <s v="20140820 JBures"/>
    <s v="20140821 HReider"/>
    <s v="x"/>
    <s v="x"/>
    <s v="na"/>
    <s v="FWL"/>
    <s v="na"/>
    <s v="na"/>
    <s v="na"/>
    <s v="na"/>
    <s v="na"/>
    <s v="na"/>
    <s v="na"/>
    <s v="na"/>
  </r>
  <r>
    <n v="3104"/>
    <x v="69"/>
    <n v="1"/>
    <x v="13"/>
    <x v="0"/>
    <x v="15"/>
    <n v="56"/>
    <s v="140 CO"/>
    <n v="57"/>
    <m/>
    <s v="F"/>
    <m/>
    <d v="1899-12-30T01:50:00"/>
    <s v="14:52"/>
    <s v="JK"/>
    <s v="F266."/>
    <s v="20140820 JBures"/>
    <s v="20140821 HReider"/>
    <s v="x"/>
    <n v="151.26599999999999"/>
    <s v="na"/>
    <s v="FWL"/>
    <s v="na"/>
    <s v="na"/>
    <s v="F1840"/>
    <s v="na"/>
    <s v="na"/>
    <s v="na"/>
    <s v="na"/>
    <s v="na"/>
  </r>
  <r>
    <n v="3105"/>
    <x v="69"/>
    <n v="1"/>
    <x v="12"/>
    <x v="0"/>
    <x v="0"/>
    <m/>
    <m/>
    <n v="42"/>
    <m/>
    <s v="M"/>
    <m/>
    <d v="1899-12-30T00:27:00"/>
    <s v="15:57"/>
    <s v="LA"/>
    <m/>
    <s v="20140820 JBures"/>
    <s v="20140821 HReider"/>
    <s v="x"/>
    <s v="x"/>
    <s v="na"/>
    <s v="FWL"/>
    <s v="na"/>
    <s v="na"/>
    <s v="na"/>
    <s v="na"/>
    <s v="na"/>
    <s v="na"/>
    <s v="na"/>
    <s v="na"/>
  </r>
  <r>
    <n v="3106"/>
    <x v="69"/>
    <n v="1"/>
    <x v="13"/>
    <x v="0"/>
    <x v="14"/>
    <n v="85"/>
    <s v="147 CO"/>
    <n v="52"/>
    <m/>
    <s v="M"/>
    <m/>
    <d v="1899-12-30T00:56:00"/>
    <s v="16:00"/>
    <s v="LA"/>
    <m/>
    <s v="20140820 JBures"/>
    <s v="20140821 HReider"/>
    <s v="x"/>
    <n v="151.32499999999999"/>
    <s v="na"/>
    <s v="FWL"/>
    <s v="na"/>
    <s v="na"/>
    <s v="F1840"/>
    <s v="na"/>
    <s v="na"/>
    <s v="na"/>
    <s v="na"/>
    <s v="na"/>
  </r>
  <r>
    <n v="3107"/>
    <x v="69"/>
    <n v="1"/>
    <x v="13"/>
    <x v="0"/>
    <x v="0"/>
    <m/>
    <m/>
    <n v="56"/>
    <m/>
    <s v="F"/>
    <m/>
    <d v="1899-12-30T00:21:00"/>
    <s v="17:17"/>
    <s v="KS"/>
    <m/>
    <s v="20140820 KShippen"/>
    <s v="20140821 HReider"/>
    <s v="x"/>
    <s v="x"/>
    <s v="na"/>
    <s v="FWL"/>
    <s v="na"/>
    <s v="na"/>
    <s v="na"/>
    <s v="na"/>
    <s v="na"/>
    <s v="na"/>
    <s v="na"/>
    <s v="na"/>
  </r>
  <r>
    <n v="3108"/>
    <x v="69"/>
    <n v="1"/>
    <x v="13"/>
    <x v="0"/>
    <x v="0"/>
    <m/>
    <m/>
    <n v="57"/>
    <m/>
    <s v="M"/>
    <m/>
    <d v="1899-12-30T00:20:00"/>
    <s v="18:31"/>
    <s v="KS"/>
    <m/>
    <s v="20140820 KShippen"/>
    <s v="20140821 HReider"/>
    <s v="x"/>
    <s v="x"/>
    <s v="na"/>
    <s v="FWL"/>
    <s v="na"/>
    <s v="na"/>
    <s v="na"/>
    <s v="na"/>
    <s v="na"/>
    <s v="na"/>
    <s v="na"/>
    <s v="na"/>
  </r>
  <r>
    <n v="3109"/>
    <x v="69"/>
    <n v="1"/>
    <x v="13"/>
    <x v="0"/>
    <x v="0"/>
    <m/>
    <m/>
    <n v="56"/>
    <m/>
    <s v="F"/>
    <m/>
    <d v="1899-12-30T00:21:00"/>
    <s v="19:09"/>
    <s v="CSj"/>
    <m/>
    <s v="20140820 KShippen"/>
    <s v="20140821 HReider"/>
    <s v="x"/>
    <s v="x"/>
    <s v="na"/>
    <s v="FWL"/>
    <s v="na"/>
    <s v="na"/>
    <s v="na"/>
    <s v="na"/>
    <s v="na"/>
    <s v="na"/>
    <s v="na"/>
    <s v="na"/>
  </r>
  <r>
    <n v="3110"/>
    <x v="69"/>
    <n v="1"/>
    <x v="12"/>
    <x v="0"/>
    <x v="0"/>
    <m/>
    <m/>
    <n v="42"/>
    <m/>
    <s v="F"/>
    <m/>
    <d v="1899-12-30T00:19:00"/>
    <s v="19:11"/>
    <s v="CSj"/>
    <m/>
    <s v="20140820 KShippen"/>
    <s v="20140821 HReider"/>
    <s v="x"/>
    <s v="x"/>
    <s v="na"/>
    <s v="FWL"/>
    <s v="na"/>
    <s v="na"/>
    <s v="na"/>
    <s v="na"/>
    <s v="na"/>
    <s v="na"/>
    <s v="na"/>
    <s v="na"/>
  </r>
  <r>
    <n v="3111"/>
    <x v="69"/>
    <n v="1"/>
    <x v="13"/>
    <x v="0"/>
    <x v="0"/>
    <m/>
    <m/>
    <n v="54"/>
    <m/>
    <s v="F"/>
    <m/>
    <d v="1899-12-30T00:23:00"/>
    <s v="20:20"/>
    <s v="KS"/>
    <m/>
    <s v="20140820 KShippen"/>
    <s v="20140821 HReider"/>
    <s v="x"/>
    <s v="x"/>
    <s v="na"/>
    <s v="FWL"/>
    <s v="na"/>
    <s v="na"/>
    <s v="na"/>
    <s v="na"/>
    <s v="na"/>
    <s v="na"/>
    <s v="na"/>
    <s v="na"/>
  </r>
  <r>
    <n v="3112"/>
    <x v="69"/>
    <n v="1"/>
    <x v="13"/>
    <x v="0"/>
    <x v="0"/>
    <m/>
    <m/>
    <n v="57"/>
    <m/>
    <s v="M"/>
    <m/>
    <d v="1899-12-30T00:21:00"/>
    <s v="20:21"/>
    <s v="KS"/>
    <m/>
    <s v="20140820 KShippen"/>
    <s v="20140821 HReider"/>
    <s v="x"/>
    <s v="x"/>
    <s v="na"/>
    <s v="FWL"/>
    <s v="na"/>
    <s v="na"/>
    <s v="na"/>
    <s v="na"/>
    <s v="na"/>
    <s v="na"/>
    <s v="na"/>
    <s v="na"/>
  </r>
  <r>
    <n v="3113"/>
    <x v="69"/>
    <n v="1"/>
    <x v="13"/>
    <x v="0"/>
    <x v="0"/>
    <m/>
    <m/>
    <n v="51"/>
    <m/>
    <s v="M"/>
    <m/>
    <d v="1899-12-30T00:19:00"/>
    <s v="20:22"/>
    <s v="KS"/>
    <m/>
    <s v="20140820 KShippen"/>
    <s v="20140821 HReider"/>
    <s v="x"/>
    <s v="x"/>
    <s v="na"/>
    <s v="FWL"/>
    <s v="na"/>
    <s v="na"/>
    <s v="na"/>
    <s v="na"/>
    <s v="na"/>
    <s v="na"/>
    <s v="na"/>
    <s v="na"/>
  </r>
  <r>
    <n v="3114"/>
    <x v="69"/>
    <n v="2"/>
    <x v="10"/>
    <x v="0"/>
    <x v="0"/>
    <m/>
    <m/>
    <n v="58"/>
    <m/>
    <s v="M"/>
    <m/>
    <d v="1899-12-30T00:18:00"/>
    <s v="09:28"/>
    <s v="JBu"/>
    <m/>
    <s v="20140820 JKunzler"/>
    <s v="20140821 HReider"/>
    <s v="x"/>
    <s v="x"/>
    <s v="na"/>
    <s v="FWL"/>
    <s v="na"/>
    <s v="na"/>
    <s v="na"/>
    <s v="na"/>
    <s v="na"/>
    <s v="na"/>
    <s v="na"/>
    <s v="na"/>
  </r>
  <r>
    <n v="3115"/>
    <x v="69"/>
    <n v="2"/>
    <x v="10"/>
    <x v="0"/>
    <x v="0"/>
    <m/>
    <m/>
    <n v="51"/>
    <m/>
    <s v="M"/>
    <m/>
    <d v="1899-12-30T00:26:00"/>
    <s v="09:30"/>
    <s v="JBu"/>
    <m/>
    <s v="20140820 JKunzler"/>
    <s v="20140821 HReider"/>
    <s v="x"/>
    <s v="x"/>
    <s v="na"/>
    <s v="FWL"/>
    <s v="na"/>
    <s v="na"/>
    <s v="na"/>
    <s v="na"/>
    <s v="na"/>
    <s v="na"/>
    <s v="na"/>
    <s v="na"/>
  </r>
  <r>
    <n v="3116"/>
    <x v="69"/>
    <n v="2"/>
    <x v="10"/>
    <x v="0"/>
    <x v="0"/>
    <m/>
    <m/>
    <n v="55"/>
    <m/>
    <s v="M"/>
    <m/>
    <d v="1899-12-30T00:22:00"/>
    <s v="10:47"/>
    <s v="JBu"/>
    <m/>
    <s v="20140820 JKunzler"/>
    <s v="20140821 HReider"/>
    <s v="x"/>
    <s v="x"/>
    <s v="na"/>
    <s v="FWL"/>
    <s v="na"/>
    <s v="na"/>
    <s v="na"/>
    <s v="na"/>
    <s v="na"/>
    <s v="na"/>
    <s v="na"/>
    <s v="na"/>
  </r>
  <r>
    <n v="3117"/>
    <x v="69"/>
    <n v="2"/>
    <x v="10"/>
    <x v="0"/>
    <x v="0"/>
    <m/>
    <m/>
    <n v="54"/>
    <m/>
    <s v="F"/>
    <m/>
    <d v="1899-12-30T00:16:00"/>
    <s v="10:51"/>
    <s v="JBu"/>
    <m/>
    <s v="20140820 JKunzler"/>
    <s v="20140821 HReider"/>
    <s v="x"/>
    <s v="x"/>
    <s v="na"/>
    <s v="FWL"/>
    <s v="na"/>
    <s v="na"/>
    <s v="na"/>
    <s v="na"/>
    <s v="na"/>
    <s v="na"/>
    <s v="na"/>
    <s v="na"/>
  </r>
  <r>
    <n v="3118"/>
    <x v="69"/>
    <n v="2"/>
    <x v="10"/>
    <x v="0"/>
    <x v="0"/>
    <m/>
    <m/>
    <n v="55"/>
    <m/>
    <s v="F"/>
    <m/>
    <d v="1899-12-30T00:17:00"/>
    <s v="10:57"/>
    <s v="JBu"/>
    <m/>
    <s v="20140820 JKunzler"/>
    <s v="20140821 HReider"/>
    <s v="x"/>
    <s v="x"/>
    <s v="na"/>
    <s v="FWL"/>
    <s v="na"/>
    <s v="na"/>
    <s v="na"/>
    <s v="na"/>
    <s v="na"/>
    <s v="na"/>
    <s v="na"/>
    <s v="na"/>
  </r>
  <r>
    <n v="3119"/>
    <x v="69"/>
    <n v="2"/>
    <x v="10"/>
    <x v="0"/>
    <x v="0"/>
    <m/>
    <m/>
    <n v="57"/>
    <m/>
    <s v="F"/>
    <m/>
    <d v="1899-12-30T00:23:00"/>
    <s v="12:52"/>
    <s v="CSj"/>
    <m/>
    <s v="20140820 HReider"/>
    <s v="20140821 HReider"/>
    <s v="x"/>
    <s v="x"/>
    <s v="na"/>
    <s v="FWL"/>
    <s v="na"/>
    <s v="na"/>
    <s v="na"/>
    <s v="na"/>
    <s v="na"/>
    <s v="na"/>
    <s v="na"/>
    <s v="na"/>
  </r>
  <r>
    <n v="3120"/>
    <x v="69"/>
    <n v="2"/>
    <x v="10"/>
    <x v="0"/>
    <x v="0"/>
    <m/>
    <m/>
    <n v="63"/>
    <m/>
    <s v="M"/>
    <m/>
    <d v="1899-12-30T00:38:00"/>
    <s v="12:55"/>
    <s v="CSj"/>
    <m/>
    <s v="20140820 HReider"/>
    <s v="20140821 HReider"/>
    <s v="x"/>
    <s v="x"/>
    <s v="na"/>
    <s v="FWL"/>
    <s v="na"/>
    <s v="na"/>
    <s v="na"/>
    <s v="na"/>
    <s v="na"/>
    <s v="na"/>
    <s v="na"/>
    <s v="na"/>
  </r>
  <r>
    <n v="3121"/>
    <x v="69"/>
    <n v="2"/>
    <x v="10"/>
    <x v="0"/>
    <x v="0"/>
    <m/>
    <m/>
    <n v="56"/>
    <m/>
    <s v="M"/>
    <d v="1899-12-30T14:27:00"/>
    <d v="1899-12-30T00:23:00"/>
    <s v="14:28"/>
    <s v="JK"/>
    <m/>
    <s v="20140820 LAckein"/>
    <s v="20140821 HReider"/>
    <d v="1899-12-30T00:00:37"/>
    <s v="x"/>
    <s v="na"/>
    <s v="FWL"/>
    <s v="na"/>
    <s v="na"/>
    <s v="na"/>
    <s v="na"/>
    <s v="na"/>
    <s v="na"/>
    <s v="na"/>
    <s v="na"/>
  </r>
  <r>
    <n v="3122"/>
    <x v="69"/>
    <n v="2"/>
    <x v="10"/>
    <x v="0"/>
    <x v="0"/>
    <m/>
    <m/>
    <n v="54"/>
    <m/>
    <s v="M"/>
    <m/>
    <d v="1899-12-30T00:21:00"/>
    <s v="14:28"/>
    <s v="JBu"/>
    <m/>
    <s v="20140820 LAckein"/>
    <s v="20140821 HReider"/>
    <s v="x"/>
    <s v="x"/>
    <s v="na"/>
    <s v="FWL"/>
    <s v="na"/>
    <s v="na"/>
    <s v="na"/>
    <s v="na"/>
    <s v="na"/>
    <s v="na"/>
    <s v="na"/>
    <s v="na"/>
  </r>
  <r>
    <n v="3123"/>
    <x v="69"/>
    <n v="2"/>
    <x v="10"/>
    <x v="0"/>
    <x v="0"/>
    <m/>
    <m/>
    <n v="56"/>
    <m/>
    <s v="F"/>
    <m/>
    <d v="1899-12-30T00:42:00"/>
    <s v="14:29"/>
    <s v="JBu"/>
    <m/>
    <s v="20140820 LAckein"/>
    <s v="20140821 HReider"/>
    <s v="x"/>
    <s v="x"/>
    <s v="na"/>
    <s v="FWL"/>
    <s v="na"/>
    <s v="na"/>
    <s v="na"/>
    <s v="na"/>
    <s v="na"/>
    <s v="na"/>
    <s v="na"/>
    <s v="na"/>
  </r>
  <r>
    <n v="3124"/>
    <x v="69"/>
    <n v="2"/>
    <x v="10"/>
    <x v="0"/>
    <x v="0"/>
    <m/>
    <m/>
    <n v="59"/>
    <m/>
    <s v="F"/>
    <m/>
    <d v="1899-12-30T00:24:00"/>
    <s v="14:31"/>
    <s v="JK"/>
    <s v="unhealed wound on side and collar"/>
    <s v="20140820 LAckein"/>
    <s v="20140821 HReider"/>
    <s v="x"/>
    <s v="x"/>
    <s v="na"/>
    <s v="FWL"/>
    <s v="na"/>
    <s v="na"/>
    <s v="na"/>
    <s v="na"/>
    <s v="na"/>
    <s v="na"/>
    <s v="na"/>
    <s v="na"/>
  </r>
  <r>
    <n v="3125"/>
    <x v="69"/>
    <n v="2"/>
    <x v="10"/>
    <x v="0"/>
    <x v="0"/>
    <m/>
    <m/>
    <n v="65"/>
    <m/>
    <s v="F"/>
    <m/>
    <d v="1899-12-30T00:20:00"/>
    <s v="14:32"/>
    <s v="JK"/>
    <m/>
    <s v="20140820 LAckein"/>
    <s v="20140821 HReider"/>
    <s v="x"/>
    <s v="x"/>
    <s v="na"/>
    <s v="FWL"/>
    <s v="na"/>
    <s v="na"/>
    <s v="na"/>
    <s v="na"/>
    <s v="na"/>
    <s v="na"/>
    <s v="na"/>
    <s v="na"/>
  </r>
  <r>
    <n v="3126"/>
    <x v="69"/>
    <n v="2"/>
    <x v="10"/>
    <x v="0"/>
    <x v="0"/>
    <m/>
    <m/>
    <n v="61"/>
    <m/>
    <s v="F"/>
    <d v="1899-12-30T14:32:00"/>
    <d v="1899-12-30T00:28:00"/>
    <s v="14:33"/>
    <s v="JK"/>
    <m/>
    <s v="20140820 LAckein"/>
    <s v="20140821 HReider"/>
    <d v="1899-12-30T00:00:32"/>
    <s v="x"/>
    <s v="na"/>
    <s v="FWL"/>
    <s v="na"/>
    <s v="na"/>
    <s v="na"/>
    <s v="na"/>
    <s v="na"/>
    <s v="na"/>
    <s v="na"/>
    <s v="na"/>
  </r>
  <r>
    <n v="3127"/>
    <x v="69"/>
    <n v="2"/>
    <x v="10"/>
    <x v="0"/>
    <x v="0"/>
    <m/>
    <m/>
    <n v="53"/>
    <m/>
    <s v="F"/>
    <m/>
    <d v="1899-12-30T00:24:00"/>
    <s v="14:34"/>
    <s v="JK"/>
    <m/>
    <s v="20140820 LAckein"/>
    <s v="20140821 HReider"/>
    <s v="x"/>
    <s v="x"/>
    <s v="na"/>
    <s v="FWL"/>
    <s v="na"/>
    <s v="na"/>
    <s v="na"/>
    <s v="na"/>
    <s v="na"/>
    <s v="na"/>
    <s v="na"/>
    <s v="na"/>
  </r>
  <r>
    <n v="3128"/>
    <x v="69"/>
    <n v="2"/>
    <x v="10"/>
    <x v="0"/>
    <x v="0"/>
    <m/>
    <m/>
    <n v="59"/>
    <m/>
    <s v="F"/>
    <m/>
    <d v="1899-12-30T00:21:00"/>
    <s v="14:35"/>
    <s v="JK"/>
    <m/>
    <s v="20140820 LAckein"/>
    <s v="20140821 HReider"/>
    <s v="x"/>
    <s v="x"/>
    <s v="na"/>
    <s v="FWL"/>
    <s v="na"/>
    <s v="na"/>
    <s v="na"/>
    <s v="na"/>
    <s v="na"/>
    <s v="na"/>
    <s v="na"/>
    <s v="na"/>
  </r>
  <r>
    <n v="3129"/>
    <x v="69"/>
    <n v="2"/>
    <x v="12"/>
    <x v="0"/>
    <x v="0"/>
    <m/>
    <m/>
    <n v="44"/>
    <m/>
    <s v="F"/>
    <m/>
    <d v="1899-12-30T00:41:00"/>
    <s v="14:38"/>
    <s v="LA"/>
    <m/>
    <s v="20140820 LAckein"/>
    <s v="20140821 HReider"/>
    <s v="x"/>
    <s v="x"/>
    <s v="na"/>
    <s v="FWL"/>
    <s v="na"/>
    <s v="na"/>
    <s v="na"/>
    <s v="na"/>
    <s v="na"/>
    <s v="na"/>
    <s v="na"/>
    <s v="na"/>
  </r>
  <r>
    <n v="3130"/>
    <x v="69"/>
    <n v="2"/>
    <x v="12"/>
    <x v="0"/>
    <x v="0"/>
    <m/>
    <m/>
    <n v="44"/>
    <m/>
    <s v="F"/>
    <m/>
    <d v="1899-12-30T00:24:00"/>
    <s v="14:39"/>
    <s v="LA"/>
    <m/>
    <s v="20140820 LAckein"/>
    <s v="20140821 HReider"/>
    <s v="x"/>
    <s v="x"/>
    <s v="na"/>
    <s v="FWL"/>
    <s v="na"/>
    <s v="na"/>
    <s v="na"/>
    <s v="na"/>
    <s v="na"/>
    <s v="na"/>
    <s v="na"/>
    <s v="na"/>
  </r>
  <r>
    <n v="3131"/>
    <x v="69"/>
    <n v="2"/>
    <x v="7"/>
    <x v="0"/>
    <x v="10"/>
    <n v="60"/>
    <s v="189 S"/>
    <n v="47"/>
    <m/>
    <s v="F"/>
    <m/>
    <d v="1899-12-30T00:43:00"/>
    <s v="17:31"/>
    <s v="CSj"/>
    <m/>
    <s v="20140820 KShippen"/>
    <s v="20140821 HReider"/>
    <s v="x"/>
    <n v="151.58600000000001"/>
    <s v="na"/>
    <s v="FWL"/>
    <s v="na"/>
    <s v="na"/>
    <s v="F1840"/>
    <s v="na"/>
    <s v="na"/>
    <s v="na"/>
    <s v="na"/>
    <s v="na"/>
  </r>
  <r>
    <n v="3132"/>
    <x v="69"/>
    <n v="2"/>
    <x v="13"/>
    <x v="0"/>
    <x v="0"/>
    <m/>
    <m/>
    <n v="55"/>
    <m/>
    <s v="M"/>
    <m/>
    <d v="1899-12-30T00:22:00"/>
    <s v="17:34"/>
    <s v="CSj"/>
    <m/>
    <s v="20140820 KShippen"/>
    <s v="20140821 HReider"/>
    <s v="x"/>
    <s v="x"/>
    <s v="na"/>
    <s v="FWL"/>
    <s v="na"/>
    <s v="na"/>
    <s v="na"/>
    <s v="na"/>
    <s v="na"/>
    <s v="na"/>
    <s v="na"/>
    <s v="na"/>
  </r>
  <r>
    <n v="3133"/>
    <x v="69"/>
    <n v="2"/>
    <x v="13"/>
    <x v="0"/>
    <x v="0"/>
    <m/>
    <m/>
    <n v="56"/>
    <m/>
    <s v="F"/>
    <m/>
    <d v="1899-12-30T00:23:00"/>
    <s v="19:22"/>
    <s v="CSj"/>
    <m/>
    <s v="20140820 KShippen"/>
    <s v="20140821 HReider"/>
    <s v="x"/>
    <s v="x"/>
    <s v="na"/>
    <s v="FWL"/>
    <s v="na"/>
    <s v="na"/>
    <s v="na"/>
    <s v="na"/>
    <s v="na"/>
    <s v="na"/>
    <s v="na"/>
    <s v="na"/>
  </r>
  <r>
    <n v="3134"/>
    <x v="69"/>
    <n v="2"/>
    <x v="7"/>
    <x v="0"/>
    <x v="6"/>
    <n v="23"/>
    <s v="192 S"/>
    <n v="51"/>
    <m/>
    <s v="F"/>
    <m/>
    <d v="1899-12-30T00:52:00"/>
    <s v="19:24"/>
    <s v="KS"/>
    <m/>
    <s v="20140820 KShippen"/>
    <s v="20140821 HReider"/>
    <s v="x"/>
    <n v="151.57300000000001"/>
    <s v="na"/>
    <s v="FWL"/>
    <s v="na"/>
    <s v="na"/>
    <s v="F1840"/>
    <s v="na"/>
    <s v="na"/>
    <s v="na"/>
    <s v="na"/>
    <s v="na"/>
  </r>
  <r>
    <n v="3135"/>
    <x v="69"/>
    <n v="2"/>
    <x v="7"/>
    <x v="1"/>
    <x v="0"/>
    <m/>
    <m/>
    <n v="33"/>
    <m/>
    <s v="U"/>
    <m/>
    <d v="1899-12-30T00:20:00"/>
    <s v="20:07"/>
    <s v="KS"/>
    <m/>
    <s v="20140820 KShippen"/>
    <s v="20140821 HReider"/>
    <s v="x"/>
    <s v="x"/>
    <s v="na"/>
    <s v="FWL"/>
    <s v="na"/>
    <s v="na"/>
    <s v="na"/>
    <s v="na"/>
    <s v="na"/>
    <s v="na"/>
    <s v="na"/>
    <s v="na"/>
  </r>
  <r>
    <n v="3136"/>
    <x v="69"/>
    <n v="3"/>
    <x v="12"/>
    <x v="0"/>
    <x v="0"/>
    <m/>
    <m/>
    <n v="51"/>
    <m/>
    <s v="M"/>
    <d v="1899-12-30T09:13:00"/>
    <d v="1899-12-30T00:30:00"/>
    <s v="09:16"/>
    <s v="CSj"/>
    <s v="large hump"/>
    <s v="20140820 LAckein"/>
    <s v="20140821 HReider"/>
    <d v="1899-12-30T00:02:30"/>
    <s v="x"/>
    <s v="na"/>
    <s v="FWL"/>
    <s v="na"/>
    <s v="na"/>
    <s v="na"/>
    <s v="na"/>
    <s v="na"/>
    <s v="na"/>
    <s v="na"/>
    <s v="na"/>
  </r>
  <r>
    <n v="3137"/>
    <x v="69"/>
    <n v="3"/>
    <x v="10"/>
    <x v="0"/>
    <x v="7"/>
    <n v="0"/>
    <s v="188 CM"/>
    <n v="57"/>
    <m/>
    <s v="F"/>
    <d v="1899-12-30T09:45:00"/>
    <d v="1899-12-30T00:46:00"/>
    <s v="09:58"/>
    <s v="CSj"/>
    <m/>
    <s v="20140820 LAckein"/>
    <s v="20140821 HReider"/>
    <d v="1899-12-30T00:12:14"/>
    <n v="151.56399999999999"/>
    <s v="na"/>
    <s v="FWL"/>
    <s v="na"/>
    <s v="na"/>
    <s v="F1840"/>
    <s v="na"/>
    <s v="na"/>
    <s v="na"/>
    <s v="na"/>
    <s v="na"/>
  </r>
  <r>
    <n v="3138"/>
    <x v="69"/>
    <n v="3"/>
    <x v="13"/>
    <x v="0"/>
    <x v="15"/>
    <n v="60"/>
    <s v="135 CO"/>
    <n v="48"/>
    <m/>
    <s v="M"/>
    <m/>
    <d v="1899-12-30T00:58:00"/>
    <s v="12:07"/>
    <s v="HR"/>
    <s v="F266.  heavy blush (pink)"/>
    <s v="20140820 LAckein"/>
    <s v="20140821 HReider"/>
    <s v="x"/>
    <n v="151.26599999999999"/>
    <s v="na"/>
    <s v="FWL"/>
    <s v="na"/>
    <s v="na"/>
    <s v="F1840"/>
    <s v="na"/>
    <s v="na"/>
    <s v="na"/>
    <s v="na"/>
    <s v="na"/>
  </r>
  <r>
    <n v="3139"/>
    <x v="69"/>
    <n v="3"/>
    <x v="13"/>
    <x v="0"/>
    <x v="14"/>
    <n v="6"/>
    <s v="136 CO"/>
    <n v="58"/>
    <m/>
    <s v="F"/>
    <m/>
    <d v="1899-12-30T00:59:00"/>
    <s v="12:10"/>
    <s v="HR"/>
    <s v="very silver"/>
    <s v="20140820 LAckein"/>
    <s v="20140821 HReider"/>
    <s v="x"/>
    <n v="151.32499999999999"/>
    <s v="na"/>
    <s v="FWL"/>
    <s v="na"/>
    <s v="na"/>
    <s v="F1840"/>
    <s v="na"/>
    <s v="na"/>
    <s v="na"/>
    <s v="na"/>
    <s v="na"/>
  </r>
  <r>
    <n v="3140"/>
    <x v="69"/>
    <n v="3"/>
    <x v="10"/>
    <x v="0"/>
    <x v="0"/>
    <m/>
    <m/>
    <n v="55"/>
    <m/>
    <s v="M"/>
    <m/>
    <d v="1899-12-30T00:21:00"/>
    <s v="12:08"/>
    <s v="HR"/>
    <m/>
    <s v="20140820 LAckein"/>
    <s v="20140821 HReider"/>
    <s v="x"/>
    <s v="x"/>
    <s v="na"/>
    <s v="FWL"/>
    <s v="na"/>
    <s v="na"/>
    <s v="na"/>
    <s v="na"/>
    <s v="na"/>
    <s v="na"/>
    <s v="na"/>
    <s v="na"/>
  </r>
  <r>
    <n v="3141"/>
    <x v="69"/>
    <n v="3"/>
    <x v="13"/>
    <x v="0"/>
    <x v="15"/>
    <n v="51"/>
    <s v="137 CO"/>
    <n v="57"/>
    <m/>
    <s v="M"/>
    <m/>
    <d v="1899-12-30T00:53:00"/>
    <s v="12:13"/>
    <s v="LA"/>
    <s v="F266."/>
    <s v="20140820 LAckein"/>
    <s v="20140821 HReider"/>
    <s v="x"/>
    <n v="151.26599999999999"/>
    <s v="na"/>
    <s v="FWL"/>
    <s v="na"/>
    <s v="na"/>
    <s v="F1840"/>
    <s v="na"/>
    <s v="na"/>
    <s v="na"/>
    <s v="na"/>
    <s v="na"/>
  </r>
  <r>
    <n v="3142"/>
    <x v="69"/>
    <n v="3"/>
    <x v="10"/>
    <x v="0"/>
    <x v="0"/>
    <m/>
    <m/>
    <n v="56"/>
    <m/>
    <s v="F"/>
    <m/>
    <d v="1899-12-30T00:18:00"/>
    <s v="13:49"/>
    <s v="CSj"/>
    <m/>
    <s v="20140820 LAckein"/>
    <s v="20140821 HReider"/>
    <s v="x"/>
    <s v="x"/>
    <s v="na"/>
    <s v="FWL"/>
    <s v="na"/>
    <s v="na"/>
    <s v="na"/>
    <s v="na"/>
    <s v="na"/>
    <s v="na"/>
    <s v="na"/>
    <s v="na"/>
  </r>
  <r>
    <n v="3143"/>
    <x v="69"/>
    <n v="3"/>
    <x v="12"/>
    <x v="0"/>
    <x v="0"/>
    <m/>
    <m/>
    <n v="52"/>
    <m/>
    <s v="M"/>
    <m/>
    <d v="1899-12-30T00:35:00"/>
    <s v="13:51"/>
    <s v="LA"/>
    <m/>
    <s v="20140820 LAckein"/>
    <s v="20140821 HReider"/>
    <s v="x"/>
    <s v="x"/>
    <s v="na"/>
    <s v="FWL"/>
    <s v="na"/>
    <s v="na"/>
    <s v="na"/>
    <s v="na"/>
    <s v="na"/>
    <s v="na"/>
    <s v="na"/>
    <s v="na"/>
  </r>
  <r>
    <n v="3144"/>
    <x v="69"/>
    <n v="3"/>
    <x v="13"/>
    <x v="0"/>
    <x v="14"/>
    <n v="82"/>
    <s v="138 CO"/>
    <n v="44"/>
    <m/>
    <s v="U"/>
    <m/>
    <d v="1899-12-30T01:00:00"/>
    <s v="13:53"/>
    <s v="CSj"/>
    <m/>
    <s v="20140820 LAckein"/>
    <s v="20140821 HReider"/>
    <s v="x"/>
    <n v="151.32499999999999"/>
    <s v="na"/>
    <s v="FWL"/>
    <s v="na"/>
    <s v="na"/>
    <s v="F1840"/>
    <s v="na"/>
    <s v="na"/>
    <s v="na"/>
    <s v="na"/>
    <s v="na"/>
  </r>
  <r>
    <n v="3145"/>
    <x v="69"/>
    <n v="3"/>
    <x v="13"/>
    <x v="0"/>
    <x v="15"/>
    <n v="67"/>
    <s v="141 CO"/>
    <n v="54"/>
    <m/>
    <s v="F"/>
    <m/>
    <d v="1899-12-30T01:30:00"/>
    <s v="15:05"/>
    <s v="LA"/>
    <s v="F266.  unhealed wound on side, size of nickel"/>
    <s v="20140820 JKunzler"/>
    <s v="20140821 HReider"/>
    <s v="x"/>
    <n v="151.26599999999999"/>
    <s v="na"/>
    <s v="FWL"/>
    <s v="na"/>
    <s v="na"/>
    <s v="F1840"/>
    <s v="na"/>
    <s v="na"/>
    <s v="na"/>
    <s v="na"/>
    <s v="na"/>
  </r>
  <r>
    <n v="3146"/>
    <x v="69"/>
    <n v="3"/>
    <x v="12"/>
    <x v="0"/>
    <x v="0"/>
    <m/>
    <m/>
    <n v="49"/>
    <m/>
    <s v="M"/>
    <m/>
    <d v="1899-12-30T00:21:00"/>
    <s v="15:07"/>
    <s v="LA"/>
    <m/>
    <s v="20140820 JKunzler"/>
    <s v="20140821 HReider"/>
    <s v="x"/>
    <s v="x"/>
    <s v="na"/>
    <s v="FWL"/>
    <s v="na"/>
    <s v="na"/>
    <s v="na"/>
    <s v="na"/>
    <s v="na"/>
    <s v="na"/>
    <s v="na"/>
    <s v="na"/>
  </r>
  <r>
    <n v="3147"/>
    <x v="69"/>
    <n v="3"/>
    <x v="13"/>
    <x v="0"/>
    <x v="15"/>
    <n v="23"/>
    <s v="142 CO"/>
    <n v="57"/>
    <m/>
    <s v="U"/>
    <m/>
    <d v="1899-12-30T01:01:00"/>
    <s v="15:10"/>
    <s v="LA"/>
    <s v="F266.  unhealed wound on side and behind pelvic fin"/>
    <s v="20140820 JKunzler"/>
    <s v="20140821 HReider"/>
    <s v="x"/>
    <n v="151.26599999999999"/>
    <s v="na"/>
    <s v="FWL"/>
    <s v="na"/>
    <s v="na"/>
    <s v="F1840"/>
    <s v="na"/>
    <s v="na"/>
    <s v="na"/>
    <s v="na"/>
    <s v="na"/>
  </r>
  <r>
    <n v="3148"/>
    <x v="69"/>
    <n v="3"/>
    <x v="10"/>
    <x v="0"/>
    <x v="0"/>
    <m/>
    <m/>
    <n v="57"/>
    <m/>
    <s v="M"/>
    <m/>
    <d v="1899-12-30T00:26:00"/>
    <s v="15:11"/>
    <s v="LA"/>
    <m/>
    <s v="20140820 JKunzler"/>
    <s v="20140821 HReider"/>
    <s v="x"/>
    <s v="x"/>
    <s v="na"/>
    <s v="FWL"/>
    <s v="na"/>
    <s v="na"/>
    <s v="na"/>
    <s v="na"/>
    <s v="na"/>
    <s v="na"/>
    <s v="na"/>
    <s v="na"/>
  </r>
  <r>
    <n v="3149"/>
    <x v="69"/>
    <n v="3"/>
    <x v="10"/>
    <x v="0"/>
    <x v="0"/>
    <m/>
    <m/>
    <n v="55"/>
    <m/>
    <s v="F"/>
    <m/>
    <d v="1899-12-30T00:18:00"/>
    <s v="16:53"/>
    <s v="JBu"/>
    <m/>
    <s v="20140820 JKunzler"/>
    <s v="20140821 HReider"/>
    <s v="x"/>
    <s v="x"/>
    <s v="na"/>
    <s v="FWL"/>
    <s v="na"/>
    <s v="na"/>
    <s v="na"/>
    <s v="na"/>
    <s v="na"/>
    <s v="na"/>
    <s v="na"/>
    <s v="na"/>
  </r>
  <r>
    <n v="3150"/>
    <x v="69"/>
    <n v="3"/>
    <x v="0"/>
    <x v="2"/>
    <x v="0"/>
    <m/>
    <m/>
    <m/>
    <n v="21"/>
    <s v="U"/>
    <m/>
    <d v="1899-12-30T00:18:00"/>
    <s v="17:40"/>
    <s v="JBu"/>
    <m/>
    <s v="20140820 JKunzler"/>
    <s v="20140821 HReider"/>
    <s v="x"/>
    <s v="x"/>
    <s v="na"/>
    <s v="FWL"/>
    <s v="na"/>
    <s v="na"/>
    <s v="na"/>
    <s v="na"/>
    <s v="na"/>
    <s v="na"/>
    <s v="na"/>
    <s v="na"/>
  </r>
  <r>
    <n v="3151"/>
    <x v="69"/>
    <n v="3"/>
    <x v="13"/>
    <x v="0"/>
    <x v="0"/>
    <m/>
    <m/>
    <n v="54"/>
    <m/>
    <s v="M"/>
    <m/>
    <d v="1899-12-30T00:20:00"/>
    <s v="19:02"/>
    <s v="JBu"/>
    <m/>
    <s v="20140820 JKunzler"/>
    <s v="20140821 HReider"/>
    <s v="x"/>
    <s v="x"/>
    <s v="na"/>
    <s v="FWL"/>
    <s v="na"/>
    <s v="na"/>
    <s v="na"/>
    <s v="na"/>
    <s v="na"/>
    <s v="na"/>
    <s v="na"/>
    <s v="na"/>
  </r>
  <r>
    <n v="3152"/>
    <x v="69"/>
    <n v="3"/>
    <x v="13"/>
    <x v="0"/>
    <x v="0"/>
    <m/>
    <m/>
    <n v="48"/>
    <m/>
    <s v="M"/>
    <m/>
    <d v="1899-12-30T00:17:00"/>
    <s v="19:03"/>
    <s v="JBu"/>
    <m/>
    <s v="20140820 JKunzler"/>
    <s v="20140821 HReider"/>
    <s v="x"/>
    <s v="x"/>
    <s v="na"/>
    <s v="FWL"/>
    <s v="na"/>
    <s v="na"/>
    <s v="na"/>
    <s v="na"/>
    <s v="na"/>
    <s v="na"/>
    <s v="na"/>
    <s v="na"/>
  </r>
  <r>
    <n v="3153"/>
    <x v="69"/>
    <n v="3"/>
    <x v="13"/>
    <x v="0"/>
    <x v="0"/>
    <m/>
    <m/>
    <n v="49"/>
    <m/>
    <s v="F"/>
    <m/>
    <d v="1899-12-30T00:28:00"/>
    <s v="19:04"/>
    <s v="JBu"/>
    <m/>
    <s v="20140820 JKunzler"/>
    <s v="20140821 HReider"/>
    <s v="x"/>
    <s v="x"/>
    <s v="na"/>
    <s v="FWL"/>
    <s v="na"/>
    <s v="na"/>
    <s v="na"/>
    <s v="na"/>
    <s v="na"/>
    <s v="na"/>
    <s v="na"/>
    <s v="na"/>
  </r>
  <r>
    <n v="3154"/>
    <x v="69"/>
    <n v="3"/>
    <x v="13"/>
    <x v="0"/>
    <x v="0"/>
    <m/>
    <m/>
    <n v="57"/>
    <m/>
    <s v="F"/>
    <m/>
    <d v="1899-12-30T00:18:00"/>
    <s v="19:05"/>
    <s v="JBu"/>
    <m/>
    <s v="20140820 JKunzler"/>
    <s v="20140821 HReider"/>
    <s v="x"/>
    <s v="x"/>
    <s v="na"/>
    <s v="FWL"/>
    <s v="na"/>
    <s v="na"/>
    <s v="na"/>
    <s v="na"/>
    <s v="na"/>
    <s v="na"/>
    <s v="na"/>
    <s v="na"/>
  </r>
  <r>
    <n v="3155"/>
    <x v="69"/>
    <n v="3"/>
    <x v="10"/>
    <x v="0"/>
    <x v="0"/>
    <m/>
    <m/>
    <n v="52"/>
    <m/>
    <s v="M"/>
    <m/>
    <d v="1899-12-30T00:18:00"/>
    <s v="19:06"/>
    <s v="JBu"/>
    <m/>
    <s v="20140820 JKunzler"/>
    <s v="20140821 HReider"/>
    <s v="x"/>
    <s v="x"/>
    <s v="na"/>
    <s v="FWL"/>
    <s v="na"/>
    <s v="na"/>
    <s v="na"/>
    <s v="na"/>
    <s v="na"/>
    <s v="na"/>
    <s v="na"/>
    <s v="na"/>
  </r>
  <r>
    <n v="3156"/>
    <x v="69"/>
    <n v="3"/>
    <x v="10"/>
    <x v="0"/>
    <x v="0"/>
    <m/>
    <m/>
    <n v="54"/>
    <m/>
    <s v="F"/>
    <m/>
    <d v="1899-12-30T00:18:00"/>
    <s v="19:10"/>
    <s v="JBu"/>
    <m/>
    <s v="20140820 JKunzler"/>
    <s v="20140821 HReider"/>
    <s v="x"/>
    <s v="x"/>
    <s v="na"/>
    <s v="FWL"/>
    <s v="na"/>
    <s v="na"/>
    <s v="na"/>
    <s v="na"/>
    <s v="na"/>
    <s v="na"/>
    <s v="na"/>
    <s v="na"/>
  </r>
  <r>
    <n v="3157"/>
    <x v="69"/>
    <n v="3"/>
    <x v="13"/>
    <x v="0"/>
    <x v="0"/>
    <m/>
    <m/>
    <n v="54"/>
    <m/>
    <s v="F"/>
    <m/>
    <d v="1899-12-30T00:18:00"/>
    <s v="19:49"/>
    <s v="JBu"/>
    <m/>
    <s v="20140820 JKunzler"/>
    <s v="20140821 HReider"/>
    <s v="x"/>
    <s v="x"/>
    <s v="na"/>
    <s v="FWL"/>
    <s v="na"/>
    <s v="na"/>
    <s v="na"/>
    <s v="na"/>
    <s v="na"/>
    <s v="na"/>
    <s v="na"/>
    <s v="na"/>
  </r>
  <r>
    <n v="3158"/>
    <x v="69"/>
    <n v="3"/>
    <x v="3"/>
    <x v="2"/>
    <x v="0"/>
    <m/>
    <m/>
    <m/>
    <n v="26"/>
    <s v="U"/>
    <m/>
    <d v="1899-12-30T01:02:00"/>
    <s v="19:53"/>
    <s v="JBu"/>
    <m/>
    <s v="20140820 JKunzler"/>
    <s v="20140821 HReider"/>
    <s v="x"/>
    <s v="x"/>
    <s v="na"/>
    <s v="FWL"/>
    <s v="na"/>
    <s v="na"/>
    <s v="na"/>
    <s v="na"/>
    <s v="na"/>
    <s v="na"/>
    <s v="na"/>
    <s v="na"/>
  </r>
  <r>
    <n v="3159"/>
    <x v="69"/>
    <n v="3"/>
    <x v="13"/>
    <x v="0"/>
    <x v="0"/>
    <m/>
    <m/>
    <n v="56"/>
    <m/>
    <s v="M"/>
    <m/>
    <d v="1899-12-30T00:18:00"/>
    <s v="19:54"/>
    <s v="JBu"/>
    <m/>
    <s v="20140820 JKunzler"/>
    <s v="20140821 HReider"/>
    <s v="x"/>
    <s v="x"/>
    <s v="na"/>
    <s v="FWL"/>
    <s v="na"/>
    <s v="na"/>
    <s v="na"/>
    <s v="na"/>
    <s v="na"/>
    <s v="na"/>
    <s v="na"/>
    <s v="na"/>
  </r>
  <r>
    <n v="3160"/>
    <x v="70"/>
    <n v="1"/>
    <x v="12"/>
    <x v="0"/>
    <x v="0"/>
    <m/>
    <m/>
    <n v="45"/>
    <m/>
    <s v="F"/>
    <m/>
    <d v="1899-12-30T00:18:00"/>
    <s v="08:48"/>
    <s v="CSj"/>
    <m/>
    <s v="20140821 JKunzler"/>
    <s v="20140822 AStephens"/>
    <s v="x"/>
    <s v="x"/>
    <s v="na"/>
    <s v="FWL"/>
    <s v="na"/>
    <s v="na"/>
    <s v="na"/>
    <s v="na"/>
    <s v="na"/>
    <s v="na"/>
    <s v="na"/>
    <s v="na"/>
  </r>
  <r>
    <n v="3161"/>
    <x v="70"/>
    <n v="1"/>
    <x v="13"/>
    <x v="0"/>
    <x v="15"/>
    <n v="4"/>
    <s v="148 CO"/>
    <n v="48"/>
    <m/>
    <s v="F"/>
    <m/>
    <d v="1899-12-30T00:57:00"/>
    <s v="08:51"/>
    <s v="CSj"/>
    <s v="F266."/>
    <s v="20140821 JKunzler"/>
    <s v="20140822 AStephens"/>
    <s v="x"/>
    <n v="151.26599999999999"/>
    <s v="na"/>
    <s v="FWL"/>
    <s v="na"/>
    <s v="na"/>
    <s v="F1840"/>
    <s v="na"/>
    <s v="na"/>
    <s v="na"/>
    <s v="na"/>
    <s v="na"/>
  </r>
  <r>
    <n v="3162"/>
    <x v="70"/>
    <n v="1"/>
    <x v="10"/>
    <x v="0"/>
    <x v="0"/>
    <m/>
    <m/>
    <n v="54"/>
    <m/>
    <s v="M"/>
    <m/>
    <d v="1899-12-30T00:39:00"/>
    <s v="08:53"/>
    <s v="CSj"/>
    <m/>
    <s v="20140821 JKunzler"/>
    <s v="20140822 AStephens"/>
    <s v="x"/>
    <s v="x"/>
    <s v="na"/>
    <s v="FWL"/>
    <s v="na"/>
    <s v="na"/>
    <s v="na"/>
    <s v="na"/>
    <s v="na"/>
    <s v="na"/>
    <s v="na"/>
    <s v="na"/>
  </r>
  <r>
    <n v="3163"/>
    <x v="70"/>
    <n v="1"/>
    <x v="10"/>
    <x v="0"/>
    <x v="0"/>
    <m/>
    <m/>
    <n v="51"/>
    <m/>
    <s v="M"/>
    <m/>
    <d v="1899-12-30T00:26:00"/>
    <s v="08:54"/>
    <s v="CSj"/>
    <m/>
    <s v="20140821 JKunzler"/>
    <s v="20140822 AStephens"/>
    <s v="x"/>
    <s v="x"/>
    <s v="na"/>
    <s v="FWL"/>
    <s v="na"/>
    <s v="na"/>
    <s v="na"/>
    <s v="na"/>
    <s v="na"/>
    <s v="na"/>
    <s v="na"/>
    <s v="na"/>
  </r>
  <r>
    <n v="3164"/>
    <x v="70"/>
    <n v="1"/>
    <x v="13"/>
    <x v="0"/>
    <x v="14"/>
    <n v="86"/>
    <s v="149 CO"/>
    <n v="48"/>
    <m/>
    <s v="M"/>
    <m/>
    <d v="1899-12-30T00:59:00"/>
    <s v="10:16"/>
    <s v="CSj"/>
    <m/>
    <s v="20140821 JKunzler"/>
    <s v="20140822 AStephens"/>
    <s v="x"/>
    <n v="151.32499999999999"/>
    <s v="na"/>
    <s v="FWL"/>
    <s v="na"/>
    <s v="na"/>
    <s v="F1840"/>
    <s v="na"/>
    <s v="na"/>
    <s v="na"/>
    <s v="na"/>
    <s v="na"/>
  </r>
  <r>
    <n v="3165"/>
    <x v="70"/>
    <n v="1"/>
    <x v="10"/>
    <x v="0"/>
    <x v="0"/>
    <m/>
    <m/>
    <n v="50"/>
    <m/>
    <s v="F"/>
    <m/>
    <d v="1899-12-30T00:22:00"/>
    <s v="10:17"/>
    <s v="CSj"/>
    <m/>
    <s v="20140821 JKunzler"/>
    <s v="20140822 AStephens"/>
    <s v="x"/>
    <s v="x"/>
    <s v="na"/>
    <s v="FWL"/>
    <s v="na"/>
    <s v="na"/>
    <s v="na"/>
    <s v="na"/>
    <s v="na"/>
    <s v="na"/>
    <s v="na"/>
    <s v="na"/>
  </r>
  <r>
    <n v="3166"/>
    <x v="70"/>
    <n v="1"/>
    <x v="10"/>
    <x v="0"/>
    <x v="0"/>
    <m/>
    <m/>
    <n v="55"/>
    <m/>
    <s v="M"/>
    <m/>
    <d v="1899-12-30T00:21:00"/>
    <s v="10:18"/>
    <s v="CSj"/>
    <m/>
    <s v="20140821 JKunzler"/>
    <s v="20140822 AStephens"/>
    <s v="x"/>
    <s v="x"/>
    <s v="na"/>
    <s v="FWL"/>
    <s v="na"/>
    <s v="na"/>
    <s v="na"/>
    <s v="na"/>
    <s v="na"/>
    <s v="na"/>
    <s v="na"/>
    <s v="na"/>
  </r>
  <r>
    <n v="3167"/>
    <x v="70"/>
    <n v="1"/>
    <x v="13"/>
    <x v="0"/>
    <x v="14"/>
    <n v="21"/>
    <s v="150 CO"/>
    <n v="57"/>
    <m/>
    <s v="M"/>
    <m/>
    <d v="1899-12-30T00:56:00"/>
    <s v="10:22"/>
    <s v="CSj"/>
    <m/>
    <s v="20140821 JKunzler"/>
    <s v="20140822 AStephens"/>
    <s v="x"/>
    <n v="151.32499999999999"/>
    <s v="na"/>
    <s v="FWL"/>
    <s v="na"/>
    <s v="na"/>
    <s v="F1840"/>
    <s v="na"/>
    <s v="na"/>
    <s v="na"/>
    <s v="na"/>
    <s v="na"/>
  </r>
  <r>
    <n v="3168"/>
    <x v="70"/>
    <n v="1"/>
    <x v="10"/>
    <x v="0"/>
    <x v="0"/>
    <m/>
    <m/>
    <n v="57"/>
    <m/>
    <s v="F"/>
    <m/>
    <m/>
    <s v="10:23"/>
    <s v="JK"/>
    <m/>
    <s v="20140821 JKunzler"/>
    <s v="20140822 AStephens"/>
    <s v="x"/>
    <s v="x"/>
    <s v="na"/>
    <s v="FWL"/>
    <s v="na"/>
    <s v="na"/>
    <s v="na"/>
    <s v="na"/>
    <s v="na"/>
    <s v="na"/>
    <s v="na"/>
    <s v="na"/>
  </r>
  <r>
    <n v="3169"/>
    <x v="70"/>
    <n v="1"/>
    <x v="12"/>
    <x v="0"/>
    <x v="0"/>
    <m/>
    <m/>
    <n v="44"/>
    <m/>
    <s v="F"/>
    <m/>
    <m/>
    <s v="10:24"/>
    <s v="JK"/>
    <m/>
    <s v="20140821 JKunzler"/>
    <s v="20140822 AStephens"/>
    <s v="x"/>
    <s v="x"/>
    <s v="na"/>
    <s v="FWL"/>
    <s v="na"/>
    <s v="na"/>
    <s v="na"/>
    <s v="na"/>
    <s v="na"/>
    <s v="na"/>
    <s v="na"/>
    <s v="na"/>
  </r>
  <r>
    <n v="3170"/>
    <x v="70"/>
    <n v="1"/>
    <x v="12"/>
    <x v="0"/>
    <x v="0"/>
    <m/>
    <m/>
    <n v="42"/>
    <m/>
    <s v="F"/>
    <m/>
    <d v="1899-12-30T00:22:00"/>
    <s v="11:55"/>
    <s v="KS"/>
    <m/>
    <s v="20140821 JBures"/>
    <s v="20140822 AStephens"/>
    <s v="x"/>
    <s v="x"/>
    <s v="na"/>
    <s v="FWL"/>
    <s v="na"/>
    <s v="na"/>
    <s v="na"/>
    <s v="na"/>
    <s v="na"/>
    <s v="na"/>
    <s v="na"/>
    <s v="na"/>
  </r>
  <r>
    <n v="3171"/>
    <x v="70"/>
    <n v="1"/>
    <x v="10"/>
    <x v="0"/>
    <x v="0"/>
    <m/>
    <m/>
    <n v="52"/>
    <m/>
    <s v="F"/>
    <m/>
    <d v="1899-12-30T00:17:00"/>
    <s v="11:56"/>
    <s v="KS"/>
    <m/>
    <s v="20140821 JBures"/>
    <s v="20140822 AStephens"/>
    <s v="x"/>
    <s v="x"/>
    <s v="na"/>
    <s v="FWL"/>
    <s v="na"/>
    <s v="na"/>
    <s v="na"/>
    <s v="na"/>
    <s v="na"/>
    <s v="na"/>
    <s v="na"/>
    <s v="na"/>
  </r>
  <r>
    <n v="3172"/>
    <x v="70"/>
    <n v="1"/>
    <x v="10"/>
    <x v="0"/>
    <x v="0"/>
    <m/>
    <m/>
    <n v="53"/>
    <m/>
    <s v="M"/>
    <m/>
    <d v="1899-12-30T00:21:00"/>
    <s v="11:57"/>
    <s v="KS"/>
    <m/>
    <s v="20140821 JBures"/>
    <s v="20140822 AStephens"/>
    <s v="x"/>
    <s v="x"/>
    <s v="na"/>
    <s v="FWL"/>
    <s v="na"/>
    <s v="na"/>
    <s v="na"/>
    <s v="na"/>
    <s v="na"/>
    <s v="na"/>
    <s v="na"/>
    <s v="na"/>
  </r>
  <r>
    <n v="3173"/>
    <x v="70"/>
    <n v="1"/>
    <x v="10"/>
    <x v="0"/>
    <x v="0"/>
    <m/>
    <m/>
    <n v="54"/>
    <m/>
    <s v="F"/>
    <m/>
    <d v="1899-12-30T00:16:00"/>
    <s v="12:40"/>
    <s v="KS"/>
    <m/>
    <s v="20140821 JBures"/>
    <s v="20140822 AStephens"/>
    <s v="x"/>
    <s v="x"/>
    <s v="na"/>
    <s v="FWL"/>
    <s v="na"/>
    <s v="na"/>
    <s v="na"/>
    <s v="na"/>
    <s v="na"/>
    <s v="na"/>
    <s v="na"/>
    <s v="na"/>
  </r>
  <r>
    <n v="3174"/>
    <x v="70"/>
    <n v="1"/>
    <x v="13"/>
    <x v="0"/>
    <x v="14"/>
    <n v="69"/>
    <s v="151 CO"/>
    <n v="59"/>
    <m/>
    <s v="M"/>
    <m/>
    <d v="1899-12-30T00:50:00"/>
    <s v="13:51"/>
    <s v="LA"/>
    <m/>
    <s v="20140821 JBures"/>
    <s v="20140822 AStephens"/>
    <s v="x"/>
    <n v="151.32499999999999"/>
    <s v="na"/>
    <s v="FWL"/>
    <s v="na"/>
    <s v="na"/>
    <s v="F1840"/>
    <s v="na"/>
    <s v="na"/>
    <s v="na"/>
    <s v="na"/>
    <s v="na"/>
  </r>
  <r>
    <n v="3175"/>
    <x v="70"/>
    <n v="1"/>
    <x v="10"/>
    <x v="0"/>
    <x v="0"/>
    <m/>
    <m/>
    <n v="54"/>
    <m/>
    <s v="M"/>
    <m/>
    <d v="1899-12-30T00:19:00"/>
    <s v="13:47"/>
    <s v="LA"/>
    <m/>
    <s v="20140821 JBures"/>
    <s v="20140822 AStephens"/>
    <s v="x"/>
    <s v="x"/>
    <s v="na"/>
    <s v="FWL"/>
    <s v="na"/>
    <s v="na"/>
    <s v="na"/>
    <s v="na"/>
    <s v="na"/>
    <s v="na"/>
    <s v="na"/>
    <s v="na"/>
  </r>
  <r>
    <n v="3176"/>
    <x v="70"/>
    <n v="1"/>
    <x v="10"/>
    <x v="0"/>
    <x v="0"/>
    <m/>
    <m/>
    <n v="57"/>
    <m/>
    <s v="M"/>
    <m/>
    <d v="1899-12-30T00:21:00"/>
    <s v="13:48"/>
    <s v="LA"/>
    <m/>
    <s v="20140821 JBures"/>
    <s v="20140822 AStephens"/>
    <s v="x"/>
    <s v="x"/>
    <s v="na"/>
    <s v="FWL"/>
    <s v="na"/>
    <s v="na"/>
    <s v="na"/>
    <s v="na"/>
    <s v="na"/>
    <s v="na"/>
    <s v="na"/>
    <s v="na"/>
  </r>
  <r>
    <n v="3177"/>
    <x v="70"/>
    <n v="1"/>
    <x v="10"/>
    <x v="0"/>
    <x v="0"/>
    <m/>
    <m/>
    <n v="57"/>
    <m/>
    <s v="F"/>
    <d v="1899-12-30T13:47:00"/>
    <d v="1899-12-30T00:20:00"/>
    <s v="13:49"/>
    <s v="LA"/>
    <m/>
    <s v="20140821 JBures"/>
    <s v="20140822 AStephens"/>
    <d v="1899-12-30T00:01:40"/>
    <s v="x"/>
    <s v="na"/>
    <s v="FWL"/>
    <s v="na"/>
    <s v="na"/>
    <s v="na"/>
    <s v="na"/>
    <s v="na"/>
    <s v="na"/>
    <s v="na"/>
    <s v="na"/>
  </r>
  <r>
    <n v="3178"/>
    <x v="70"/>
    <n v="1"/>
    <x v="10"/>
    <x v="0"/>
    <x v="0"/>
    <m/>
    <m/>
    <n v="59"/>
    <m/>
    <s v="F"/>
    <m/>
    <d v="1899-12-30T00:19:00"/>
    <s v="13:50"/>
    <s v="LA"/>
    <m/>
    <s v="20140821 JBures"/>
    <s v="20140822 AStephens"/>
    <s v="x"/>
    <s v="x"/>
    <s v="na"/>
    <s v="FWL"/>
    <s v="na"/>
    <s v="na"/>
    <s v="na"/>
    <s v="na"/>
    <s v="na"/>
    <s v="na"/>
    <s v="na"/>
    <s v="na"/>
  </r>
  <r>
    <n v="3179"/>
    <x v="70"/>
    <n v="1"/>
    <x v="10"/>
    <x v="0"/>
    <x v="0"/>
    <m/>
    <m/>
    <n v="54"/>
    <m/>
    <s v="F"/>
    <m/>
    <d v="1899-12-30T00:17:00"/>
    <s v="13:51"/>
    <s v="LA"/>
    <m/>
    <s v="20140821 JBures"/>
    <s v="20140822 AStephens"/>
    <s v="x"/>
    <s v="x"/>
    <s v="na"/>
    <s v="FWL"/>
    <s v="na"/>
    <s v="na"/>
    <s v="na"/>
    <s v="na"/>
    <s v="na"/>
    <s v="na"/>
    <s v="na"/>
    <s v="na"/>
  </r>
  <r>
    <n v="3180"/>
    <x v="70"/>
    <n v="1"/>
    <x v="10"/>
    <x v="0"/>
    <x v="0"/>
    <m/>
    <m/>
    <n v="59"/>
    <m/>
    <s v="F"/>
    <m/>
    <d v="1899-12-30T00:19:00"/>
    <s v="13:54"/>
    <s v="KS"/>
    <m/>
    <s v="20140821 JBures"/>
    <s v="20140822 AStephens"/>
    <s v="x"/>
    <s v="x"/>
    <s v="na"/>
    <s v="FWL"/>
    <s v="na"/>
    <s v="na"/>
    <s v="na"/>
    <s v="na"/>
    <s v="na"/>
    <s v="na"/>
    <s v="na"/>
    <s v="na"/>
  </r>
  <r>
    <n v="3181"/>
    <x v="70"/>
    <n v="1"/>
    <x v="12"/>
    <x v="0"/>
    <x v="0"/>
    <m/>
    <m/>
    <n v="49"/>
    <m/>
    <s v="M"/>
    <d v="1899-12-30T13:49:00"/>
    <d v="1899-12-30T00:21:00"/>
    <s v="13:55"/>
    <s v="KS"/>
    <m/>
    <s v="20140821 JBures"/>
    <s v="20140822 AStephens"/>
    <d v="1899-12-30T00:05:39"/>
    <s v="x"/>
    <s v="na"/>
    <s v="FWL"/>
    <s v="na"/>
    <s v="na"/>
    <s v="na"/>
    <s v="na"/>
    <s v="na"/>
    <s v="na"/>
    <s v="na"/>
    <s v="na"/>
  </r>
  <r>
    <n v="3182"/>
    <x v="70"/>
    <n v="1"/>
    <x v="10"/>
    <x v="0"/>
    <x v="0"/>
    <m/>
    <m/>
    <n v="50"/>
    <m/>
    <s v="M"/>
    <d v="1899-12-30T13:55:00"/>
    <d v="1899-12-30T00:21:00"/>
    <s v="13:56"/>
    <s v="KS"/>
    <m/>
    <s v="20140821 JBures"/>
    <s v="20140822 AStephens"/>
    <d v="1899-12-30T00:00:39"/>
    <s v="x"/>
    <s v="na"/>
    <s v="FWL"/>
    <s v="na"/>
    <s v="na"/>
    <s v="na"/>
    <s v="na"/>
    <s v="na"/>
    <s v="na"/>
    <s v="na"/>
    <s v="na"/>
  </r>
  <r>
    <n v="3183"/>
    <x v="70"/>
    <n v="1"/>
    <x v="13"/>
    <x v="0"/>
    <x v="15"/>
    <n v="55"/>
    <s v="152 CO"/>
    <n v="53"/>
    <m/>
    <s v="M"/>
    <m/>
    <d v="1899-12-30T01:01:00"/>
    <s v="16:38"/>
    <s v="CSj"/>
    <s v="F266."/>
    <s v="20140821 LAckein"/>
    <s v="20140822 AStephens"/>
    <s v="x"/>
    <n v="151.26599999999999"/>
    <s v="na"/>
    <s v="FWL"/>
    <s v="na"/>
    <s v="na"/>
    <s v="F1840"/>
    <s v="na"/>
    <s v="na"/>
    <s v="na"/>
    <s v="na"/>
    <s v="na"/>
  </r>
  <r>
    <n v="3184"/>
    <x v="70"/>
    <n v="1"/>
    <x v="13"/>
    <x v="0"/>
    <x v="0"/>
    <m/>
    <m/>
    <n v="52"/>
    <m/>
    <s v="F"/>
    <m/>
    <d v="1899-12-30T00:17:00"/>
    <s v="18:27"/>
    <s v="KS"/>
    <m/>
    <s v="20140821 KShippen"/>
    <s v="20140822 AStephens"/>
    <s v="x"/>
    <s v="x"/>
    <s v="na"/>
    <s v="FWL"/>
    <s v="na"/>
    <s v="na"/>
    <s v="na"/>
    <s v="na"/>
    <s v="na"/>
    <s v="na"/>
    <s v="na"/>
    <s v="na"/>
  </r>
  <r>
    <n v="3185"/>
    <x v="70"/>
    <n v="1"/>
    <x v="12"/>
    <x v="0"/>
    <x v="0"/>
    <m/>
    <m/>
    <n v="46"/>
    <m/>
    <s v="M"/>
    <m/>
    <d v="1899-12-30T00:17:00"/>
    <s v="19:03"/>
    <s v="KS"/>
    <m/>
    <s v="20140821 KShippen"/>
    <s v="20140822 AStephens"/>
    <s v="x"/>
    <s v="x"/>
    <s v="na"/>
    <s v="FWL"/>
    <s v="na"/>
    <s v="na"/>
    <s v="na"/>
    <s v="na"/>
    <s v="na"/>
    <s v="na"/>
    <s v="na"/>
    <s v="na"/>
  </r>
  <r>
    <n v="3186"/>
    <x v="70"/>
    <n v="1"/>
    <x v="13"/>
    <x v="0"/>
    <x v="0"/>
    <m/>
    <m/>
    <n v="55"/>
    <m/>
    <s v="M"/>
    <m/>
    <d v="1899-12-30T00:19:00"/>
    <s v="20:16"/>
    <s v="KS"/>
    <m/>
    <s v="20140821 KShippen"/>
    <s v="20140822 AStephens"/>
    <s v="x"/>
    <s v="x"/>
    <s v="na"/>
    <s v="FWL"/>
    <s v="na"/>
    <s v="na"/>
    <s v="na"/>
    <s v="na"/>
    <s v="na"/>
    <s v="na"/>
    <s v="na"/>
    <s v="na"/>
  </r>
  <r>
    <n v="3187"/>
    <x v="70"/>
    <n v="2"/>
    <x v="10"/>
    <x v="0"/>
    <x v="0"/>
    <m/>
    <m/>
    <n v="62"/>
    <m/>
    <s v="M"/>
    <m/>
    <d v="1899-12-30T00:41:00"/>
    <s v="09:20"/>
    <s v="CSj"/>
    <m/>
    <s v="20140821 JKunzler"/>
    <s v="20140822 AStephens"/>
    <s v="x"/>
    <s v="x"/>
    <s v="na"/>
    <s v="FWL"/>
    <s v="na"/>
    <s v="na"/>
    <s v="na"/>
    <s v="na"/>
    <s v="na"/>
    <s v="na"/>
    <s v="na"/>
    <s v="na"/>
  </r>
  <r>
    <n v="3188"/>
    <x v="70"/>
    <n v="2"/>
    <x v="10"/>
    <x v="0"/>
    <x v="7"/>
    <n v="70"/>
    <s v="190 CM"/>
    <n v="55"/>
    <m/>
    <s v="F"/>
    <m/>
    <d v="1899-12-30T00:52:00"/>
    <s v="09:22"/>
    <s v="CSj"/>
    <m/>
    <s v="20140821 JKunzler"/>
    <s v="20140822 AStephens"/>
    <s v="x"/>
    <n v="151.56399999999999"/>
    <s v="na"/>
    <s v="FWL"/>
    <s v="na"/>
    <s v="na"/>
    <s v="F1840"/>
    <s v="na"/>
    <s v="na"/>
    <s v="na"/>
    <s v="na"/>
    <s v="na"/>
  </r>
  <r>
    <n v="3189"/>
    <x v="70"/>
    <n v="2"/>
    <x v="10"/>
    <x v="0"/>
    <x v="0"/>
    <m/>
    <m/>
    <n v="56"/>
    <m/>
    <s v="F"/>
    <m/>
    <d v="1899-12-30T00:21:00"/>
    <s v="10:32"/>
    <s v="CSj"/>
    <m/>
    <s v="20140821 JKunzler"/>
    <s v="20140822 AStephens"/>
    <s v="x"/>
    <s v="x"/>
    <s v="na"/>
    <s v="FWL"/>
    <s v="na"/>
    <s v="na"/>
    <s v="na"/>
    <s v="na"/>
    <s v="na"/>
    <s v="na"/>
    <s v="na"/>
    <s v="na"/>
  </r>
  <r>
    <n v="3190"/>
    <x v="70"/>
    <n v="2"/>
    <x v="10"/>
    <x v="0"/>
    <x v="0"/>
    <m/>
    <m/>
    <n v="55"/>
    <m/>
    <s v="F"/>
    <m/>
    <d v="1899-12-30T00:22:00"/>
    <s v="10:33"/>
    <s v="CSj"/>
    <m/>
    <s v="20140821 JKunzler"/>
    <s v="20140822 AStephens"/>
    <s v="x"/>
    <s v="x"/>
    <s v="na"/>
    <s v="FWL"/>
    <s v="na"/>
    <s v="na"/>
    <s v="na"/>
    <s v="na"/>
    <s v="na"/>
    <s v="na"/>
    <s v="na"/>
    <s v="na"/>
  </r>
  <r>
    <n v="3191"/>
    <x v="70"/>
    <n v="2"/>
    <x v="10"/>
    <x v="0"/>
    <x v="0"/>
    <m/>
    <m/>
    <n v="56"/>
    <m/>
    <s v="M"/>
    <m/>
    <d v="1899-12-30T00:21:00"/>
    <s v="10:35"/>
    <s v="CSj"/>
    <m/>
    <s v="20140821 JKunzler"/>
    <s v="20140822 AStephens"/>
    <s v="x"/>
    <s v="x"/>
    <s v="na"/>
    <s v="FWL"/>
    <s v="na"/>
    <s v="na"/>
    <s v="na"/>
    <s v="na"/>
    <s v="na"/>
    <s v="na"/>
    <s v="na"/>
    <s v="na"/>
  </r>
  <r>
    <n v="3192"/>
    <x v="70"/>
    <n v="2"/>
    <x v="10"/>
    <x v="0"/>
    <x v="0"/>
    <m/>
    <m/>
    <n v="66"/>
    <m/>
    <s v="M"/>
    <m/>
    <d v="1899-12-30T00:19:00"/>
    <s v="10:36"/>
    <s v="CSj"/>
    <m/>
    <s v="20140821 JKunzler"/>
    <s v="20140822 AStephens"/>
    <s v="x"/>
    <s v="x"/>
    <s v="na"/>
    <s v="FWL"/>
    <s v="na"/>
    <s v="na"/>
    <s v="na"/>
    <s v="na"/>
    <s v="na"/>
    <s v="na"/>
    <s v="na"/>
    <s v="na"/>
  </r>
  <r>
    <n v="3193"/>
    <x v="70"/>
    <n v="2"/>
    <x v="10"/>
    <x v="0"/>
    <x v="0"/>
    <m/>
    <m/>
    <n v="48"/>
    <m/>
    <s v="U"/>
    <m/>
    <d v="1899-12-30T00:20:00"/>
    <s v="10:37"/>
    <s v="CSj"/>
    <m/>
    <s v="20140821 JKunzler"/>
    <s v="20140822 AStephens"/>
    <s v="x"/>
    <s v="x"/>
    <s v="na"/>
    <s v="FWL"/>
    <s v="na"/>
    <s v="na"/>
    <s v="na"/>
    <s v="na"/>
    <s v="na"/>
    <s v="na"/>
    <s v="na"/>
    <s v="na"/>
  </r>
  <r>
    <n v="3194"/>
    <x v="70"/>
    <n v="2"/>
    <x v="10"/>
    <x v="0"/>
    <x v="0"/>
    <m/>
    <m/>
    <n v="57"/>
    <m/>
    <s v="F"/>
    <m/>
    <d v="1899-12-30T00:22:00"/>
    <s v="10:38"/>
    <s v="CSj"/>
    <m/>
    <s v="20140821 JKunzler"/>
    <s v="20140822 AStephens"/>
    <s v="x"/>
    <s v="x"/>
    <s v="na"/>
    <s v="FWL"/>
    <s v="na"/>
    <s v="na"/>
    <s v="na"/>
    <s v="na"/>
    <s v="na"/>
    <s v="na"/>
    <s v="na"/>
    <s v="na"/>
  </r>
  <r>
    <n v="3195"/>
    <x v="70"/>
    <n v="2"/>
    <x v="10"/>
    <x v="0"/>
    <x v="0"/>
    <m/>
    <m/>
    <n v="61"/>
    <m/>
    <s v="M"/>
    <m/>
    <d v="1899-12-30T00:27:00"/>
    <s v="11:46"/>
    <s v="KS"/>
    <m/>
    <s v="20140821 LAckein"/>
    <s v="20140822 AStephens"/>
    <s v="x"/>
    <s v="x"/>
    <s v="na"/>
    <s v="FWL"/>
    <s v="na"/>
    <s v="na"/>
    <s v="na"/>
    <s v="na"/>
    <s v="na"/>
    <s v="na"/>
    <s v="na"/>
    <s v="na"/>
  </r>
  <r>
    <n v="3196"/>
    <x v="70"/>
    <n v="2"/>
    <x v="7"/>
    <x v="0"/>
    <x v="6"/>
    <n v="98"/>
    <s v="190 S"/>
    <n v="48"/>
    <m/>
    <s v="U"/>
    <m/>
    <d v="1899-12-30T00:46:00"/>
    <s v="12:54"/>
    <s v="KS"/>
    <m/>
    <s v="20140821 LAckein"/>
    <s v="20140822 AStephens"/>
    <s v="x"/>
    <n v="151.57300000000001"/>
    <s v="na"/>
    <s v="FWL"/>
    <s v="na"/>
    <s v="na"/>
    <s v="F1840"/>
    <s v="na"/>
    <s v="na"/>
    <s v="na"/>
    <s v="na"/>
    <s v="na"/>
  </r>
  <r>
    <n v="3197"/>
    <x v="70"/>
    <n v="2"/>
    <x v="10"/>
    <x v="0"/>
    <x v="0"/>
    <m/>
    <m/>
    <n v="56"/>
    <m/>
    <s v="M"/>
    <m/>
    <d v="1899-12-30T00:28:00"/>
    <s v="12:55"/>
    <s v="KS"/>
    <m/>
    <s v="20140821 LAckein"/>
    <s v="20140822 AStephens"/>
    <s v="x"/>
    <s v="x"/>
    <s v="na"/>
    <s v="FWL"/>
    <s v="na"/>
    <s v="na"/>
    <s v="na"/>
    <s v="na"/>
    <s v="na"/>
    <s v="na"/>
    <s v="na"/>
    <s v="na"/>
  </r>
  <r>
    <n v="3198"/>
    <x v="70"/>
    <n v="2"/>
    <x v="10"/>
    <x v="0"/>
    <x v="0"/>
    <m/>
    <m/>
    <n v="55"/>
    <m/>
    <s v="F"/>
    <m/>
    <d v="1899-12-30T00:17:00"/>
    <s v="13:37"/>
    <s v="KS"/>
    <m/>
    <s v="20140821 LAckein"/>
    <s v="20140822 AStephens"/>
    <s v="x"/>
    <s v="x"/>
    <s v="na"/>
    <s v="FWL"/>
    <s v="na"/>
    <s v="na"/>
    <s v="na"/>
    <s v="na"/>
    <s v="na"/>
    <s v="na"/>
    <s v="na"/>
    <s v="na"/>
  </r>
  <r>
    <n v="3199"/>
    <x v="70"/>
    <n v="2"/>
    <x v="10"/>
    <x v="0"/>
    <x v="0"/>
    <m/>
    <m/>
    <n v="63"/>
    <m/>
    <s v="F"/>
    <m/>
    <d v="1899-12-30T00:22:00"/>
    <s v="13:38"/>
    <s v="KS"/>
    <m/>
    <s v="20140821 LAckein"/>
    <s v="20140822 AStephens"/>
    <s v="x"/>
    <s v="x"/>
    <s v="na"/>
    <s v="FWL"/>
    <s v="na"/>
    <s v="na"/>
    <s v="na"/>
    <s v="na"/>
    <s v="na"/>
    <s v="na"/>
    <s v="na"/>
    <s v="na"/>
  </r>
  <r>
    <n v="3200"/>
    <x v="70"/>
    <n v="2"/>
    <x v="10"/>
    <x v="0"/>
    <x v="0"/>
    <m/>
    <m/>
    <n v="56"/>
    <m/>
    <s v="M"/>
    <d v="1899-12-30T14:53:00"/>
    <d v="1899-12-30T00:35:00"/>
    <s v="14:54"/>
    <s v="CSj"/>
    <m/>
    <s v="20140821 CSejkora"/>
    <s v="20140822 AStephens"/>
    <d v="1899-12-30T00:00:25"/>
    <s v="x"/>
    <s v="na"/>
    <s v="FWL"/>
    <s v="na"/>
    <s v="na"/>
    <s v="na"/>
    <s v="na"/>
    <s v="na"/>
    <s v="na"/>
    <s v="na"/>
    <s v="na"/>
  </r>
  <r>
    <n v="3201"/>
    <x v="70"/>
    <n v="2"/>
    <x v="10"/>
    <x v="0"/>
    <x v="0"/>
    <m/>
    <m/>
    <n v="61"/>
    <m/>
    <s v="M"/>
    <m/>
    <d v="1899-12-30T00:18:00"/>
    <s v="16:05"/>
    <s v="JK"/>
    <m/>
    <s v="20140821 CSejkora"/>
    <s v="20140822 AStephens"/>
    <s v="x"/>
    <s v="x"/>
    <s v="na"/>
    <s v="FWL"/>
    <s v="na"/>
    <s v="na"/>
    <s v="na"/>
    <s v="na"/>
    <s v="na"/>
    <s v="na"/>
    <s v="na"/>
    <s v="na"/>
  </r>
  <r>
    <n v="3202"/>
    <x v="70"/>
    <n v="2"/>
    <x v="10"/>
    <x v="0"/>
    <x v="0"/>
    <m/>
    <m/>
    <n v="63"/>
    <m/>
    <s v="M"/>
    <d v="1899-12-30T16:08:00"/>
    <d v="1899-12-30T00:24:00"/>
    <s v="16:09"/>
    <s v="JK"/>
    <m/>
    <s v="20140821 CSejkora"/>
    <s v="20140822 AStephens"/>
    <d v="1899-12-30T00:00:36"/>
    <s v="x"/>
    <s v="na"/>
    <s v="FWL"/>
    <s v="na"/>
    <s v="na"/>
    <s v="na"/>
    <s v="na"/>
    <s v="na"/>
    <s v="na"/>
    <s v="na"/>
    <s v="na"/>
  </r>
  <r>
    <n v="3203"/>
    <x v="70"/>
    <n v="3"/>
    <x v="10"/>
    <x v="0"/>
    <x v="7"/>
    <n v="42"/>
    <s v="187 CM"/>
    <n v="55"/>
    <m/>
    <s v="F"/>
    <d v="1899-12-30T08:08:00"/>
    <d v="1899-12-30T00:41:00"/>
    <s v="08:13"/>
    <s v="KS"/>
    <m/>
    <s v="20140821 JBures"/>
    <s v="20140822 AStephens"/>
    <d v="1899-12-30T00:04:19"/>
    <n v="151.56399999999999"/>
    <s v="na"/>
    <s v="FWL"/>
    <s v="na"/>
    <s v="na"/>
    <s v="F1840"/>
    <s v="na"/>
    <s v="na"/>
    <s v="na"/>
    <s v="na"/>
    <s v="na"/>
  </r>
  <r>
    <n v="3204"/>
    <x v="70"/>
    <n v="3"/>
    <x v="12"/>
    <x v="0"/>
    <x v="0"/>
    <m/>
    <m/>
    <n v="44"/>
    <m/>
    <s v="F"/>
    <d v="1899-12-30T08:50:00"/>
    <d v="1899-12-30T00:15:00"/>
    <s v="08:59"/>
    <s v="JBu"/>
    <m/>
    <s v="20140821 JBures"/>
    <s v="20140822 AStephens"/>
    <d v="1899-12-30T00:08:45"/>
    <s v="x"/>
    <s v="na"/>
    <s v="FWL"/>
    <s v="na"/>
    <s v="na"/>
    <s v="na"/>
    <s v="na"/>
    <s v="na"/>
    <s v="na"/>
    <s v="na"/>
    <s v="na"/>
  </r>
  <r>
    <n v="3205"/>
    <x v="70"/>
    <n v="3"/>
    <x v="13"/>
    <x v="0"/>
    <x v="15"/>
    <n v="69"/>
    <s v="139 CO"/>
    <n v="48"/>
    <m/>
    <s v="F"/>
    <d v="1899-12-30T09:02:00"/>
    <d v="1899-12-30T00:33:00"/>
    <s v="09:09"/>
    <s v="JBu"/>
    <s v="F266."/>
    <s v="20140821 JBures"/>
    <s v="20140822 AStephens"/>
    <d v="1899-12-30T00:06:27"/>
    <n v="151.26599999999999"/>
    <s v="na"/>
    <s v="FWL"/>
    <s v="na"/>
    <s v="na"/>
    <s v="F1840"/>
    <s v="na"/>
    <s v="na"/>
    <s v="na"/>
    <s v="na"/>
    <s v="na"/>
  </r>
  <r>
    <n v="3206"/>
    <x v="70"/>
    <n v="3"/>
    <x v="13"/>
    <x v="0"/>
    <x v="0"/>
    <m/>
    <m/>
    <n v="60"/>
    <m/>
    <s v="M"/>
    <d v="1899-12-30T09:41:00"/>
    <d v="1899-12-30T00:21:00"/>
    <s v="09:48"/>
    <s v="JBu"/>
    <s v="escaped while using tape measure (very strong fish)"/>
    <s v="20140821 JBures"/>
    <s v="20140822 AStephens"/>
    <d v="1899-12-30T00:06:39"/>
    <s v="x"/>
    <s v="na"/>
    <s v="FWL"/>
    <s v="na"/>
    <s v="na"/>
    <s v="na"/>
    <s v="na"/>
    <s v="na"/>
    <s v="na"/>
    <s v="na"/>
    <s v="na"/>
  </r>
  <r>
    <n v="3207"/>
    <x v="70"/>
    <n v="3"/>
    <x v="10"/>
    <x v="0"/>
    <x v="0"/>
    <m/>
    <m/>
    <n v="60"/>
    <m/>
    <s v="M"/>
    <m/>
    <d v="1899-12-30T00:23:00"/>
    <s v="10:20"/>
    <s v="JBu"/>
    <m/>
    <s v="20140821 JBures"/>
    <s v="20140822 AStephens"/>
    <s v="x"/>
    <s v="x"/>
    <s v="na"/>
    <s v="FWL"/>
    <s v="na"/>
    <s v="na"/>
    <s v="na"/>
    <s v="na"/>
    <s v="na"/>
    <s v="na"/>
    <s v="na"/>
    <s v="na"/>
  </r>
  <r>
    <n v="3208"/>
    <x v="70"/>
    <n v="3"/>
    <x v="9"/>
    <x v="2"/>
    <x v="0"/>
    <m/>
    <m/>
    <m/>
    <n v="13"/>
    <s v="U"/>
    <m/>
    <d v="1899-12-30T00:35:00"/>
    <s v="10:51"/>
    <s v="JBu"/>
    <m/>
    <s v="20140821 JBures"/>
    <s v="20140822 AStephens"/>
    <s v="x"/>
    <s v="x"/>
    <s v="na"/>
    <s v="FWL"/>
    <s v="na"/>
    <s v="na"/>
    <s v="na"/>
    <s v="na"/>
    <s v="na"/>
    <s v="na"/>
    <s v="na"/>
    <s v="na"/>
  </r>
  <r>
    <n v="3209"/>
    <x v="70"/>
    <n v="3"/>
    <x v="10"/>
    <x v="0"/>
    <x v="0"/>
    <m/>
    <m/>
    <n v="52"/>
    <m/>
    <s v="M"/>
    <m/>
    <d v="1899-12-30T00:21:00"/>
    <s v="12:04"/>
    <s v="JBu"/>
    <m/>
    <s v="20140821 JBures"/>
    <s v="20140822 AStephens"/>
    <s v="x"/>
    <s v="x"/>
    <s v="na"/>
    <s v="FWL"/>
    <s v="na"/>
    <s v="na"/>
    <s v="na"/>
    <s v="na"/>
    <s v="na"/>
    <s v="na"/>
    <s v="na"/>
    <s v="na"/>
  </r>
  <r>
    <n v="3210"/>
    <x v="70"/>
    <n v="3"/>
    <x v="10"/>
    <x v="0"/>
    <x v="0"/>
    <m/>
    <m/>
    <n v="49"/>
    <m/>
    <s v="F"/>
    <m/>
    <d v="1899-12-30T00:17:00"/>
    <s v="12:05"/>
    <s v="LA"/>
    <m/>
    <s v="20140821 JBures"/>
    <s v="20140822 AStephens"/>
    <s v="x"/>
    <s v="x"/>
    <s v="na"/>
    <s v="FWL"/>
    <s v="na"/>
    <s v="na"/>
    <s v="na"/>
    <s v="na"/>
    <s v="na"/>
    <s v="na"/>
    <s v="na"/>
    <s v="na"/>
  </r>
  <r>
    <n v="3211"/>
    <x v="70"/>
    <n v="3"/>
    <x v="13"/>
    <x v="0"/>
    <x v="15"/>
    <n v="75"/>
    <s v="143 CO"/>
    <n v="56"/>
    <m/>
    <s v="M"/>
    <m/>
    <d v="1899-12-30T00:49:00"/>
    <s v="12:10"/>
    <s v="LA"/>
    <s v="F266."/>
    <s v="20140821 JBures"/>
    <s v="20140822 AStephens"/>
    <s v="x"/>
    <n v="151.26599999999999"/>
    <s v="na"/>
    <s v="FWL"/>
    <s v="na"/>
    <s v="na"/>
    <s v="F1840"/>
    <s v="na"/>
    <s v="na"/>
    <s v="na"/>
    <s v="na"/>
    <s v="na"/>
  </r>
  <r>
    <n v="3212"/>
    <x v="70"/>
    <n v="3"/>
    <x v="13"/>
    <x v="0"/>
    <x v="14"/>
    <n v="39"/>
    <s v="144 CO"/>
    <n v="55"/>
    <m/>
    <s v="F"/>
    <d v="1899-12-30T12:09:00"/>
    <d v="1899-12-30T00:49:00"/>
    <s v="12:13"/>
    <s v="LA"/>
    <m/>
    <s v="20140821 JBures"/>
    <s v="20140822 AStephens"/>
    <d v="1899-12-30T00:03:11"/>
    <n v="151.32499999999999"/>
    <s v="na"/>
    <s v="FWL"/>
    <s v="na"/>
    <s v="na"/>
    <s v="F1840"/>
    <s v="na"/>
    <s v="na"/>
    <s v="na"/>
    <s v="na"/>
    <s v="na"/>
  </r>
  <r>
    <n v="3213"/>
    <x v="70"/>
    <n v="3"/>
    <x v="10"/>
    <x v="0"/>
    <x v="0"/>
    <m/>
    <m/>
    <n v="56"/>
    <m/>
    <s v="F"/>
    <d v="1899-12-30T12:20:00"/>
    <d v="1899-12-30T00:17:00"/>
    <s v="12:30"/>
    <s v="LA"/>
    <s v="same as 12:32 release, very likely"/>
    <s v="20140821 JBures"/>
    <s v="20140822 AStephens"/>
    <d v="1899-12-30T00:09:43"/>
    <s v="x"/>
    <s v="na"/>
    <s v="FWL"/>
    <s v="na"/>
    <s v="na"/>
    <s v="na"/>
    <s v="na"/>
    <s v="na"/>
    <s v="na"/>
    <s v="na"/>
    <s v="na"/>
  </r>
  <r>
    <n v="3214"/>
    <x v="70"/>
    <n v="3"/>
    <x v="10"/>
    <x v="0"/>
    <x v="0"/>
    <m/>
    <m/>
    <n v="56"/>
    <m/>
    <s v="F"/>
    <d v="1899-12-30T12:31:00"/>
    <d v="1899-12-30T00:19:00"/>
    <s v="12:32"/>
    <s v="LA"/>
    <s v="same as 12:30 release, very likely"/>
    <s v="20140821 JBures"/>
    <s v="20140822 AStephens"/>
    <d v="1899-12-30T00:00:41"/>
    <s v="x"/>
    <s v="na"/>
    <s v="FWL"/>
    <s v="na"/>
    <s v="na"/>
    <s v="na"/>
    <s v="na"/>
    <s v="na"/>
    <s v="na"/>
    <s v="na"/>
    <s v="na"/>
  </r>
  <r>
    <n v="3215"/>
    <x v="70"/>
    <n v="3"/>
    <x v="10"/>
    <x v="0"/>
    <x v="0"/>
    <m/>
    <m/>
    <n v="53"/>
    <m/>
    <s v="M"/>
    <m/>
    <d v="1899-12-30T00:16:00"/>
    <s v="14:05"/>
    <s v="LA"/>
    <m/>
    <s v="20140821 JBures"/>
    <s v="20140822 AStephens"/>
    <s v="x"/>
    <s v="x"/>
    <s v="na"/>
    <s v="FWL"/>
    <s v="na"/>
    <s v="na"/>
    <s v="na"/>
    <s v="na"/>
    <s v="na"/>
    <s v="na"/>
    <s v="na"/>
    <s v="na"/>
  </r>
  <r>
    <n v="3216"/>
    <x v="70"/>
    <n v="3"/>
    <x v="10"/>
    <x v="0"/>
    <x v="0"/>
    <m/>
    <m/>
    <n v="53"/>
    <m/>
    <s v="M"/>
    <m/>
    <d v="1899-12-30T00:16:00"/>
    <s v="14:06"/>
    <s v="LA"/>
    <m/>
    <s v="20140821 JBures"/>
    <s v="20140822 AStephens"/>
    <s v="x"/>
    <s v="x"/>
    <s v="na"/>
    <s v="FWL"/>
    <s v="na"/>
    <s v="na"/>
    <s v="na"/>
    <s v="na"/>
    <s v="na"/>
    <s v="na"/>
    <s v="na"/>
    <s v="na"/>
  </r>
  <r>
    <n v="3217"/>
    <x v="70"/>
    <n v="3"/>
    <x v="10"/>
    <x v="0"/>
    <x v="0"/>
    <m/>
    <m/>
    <n v="52"/>
    <m/>
    <s v="F"/>
    <m/>
    <d v="1899-12-30T00:18:00"/>
    <s v="14:08"/>
    <s v="LA"/>
    <m/>
    <s v="20140821 JBures"/>
    <s v="20140822 AStephens"/>
    <s v="x"/>
    <s v="x"/>
    <s v="na"/>
    <s v="FWL"/>
    <s v="na"/>
    <s v="na"/>
    <s v="na"/>
    <s v="na"/>
    <s v="na"/>
    <s v="na"/>
    <s v="na"/>
    <s v="na"/>
  </r>
  <r>
    <n v="3218"/>
    <x v="70"/>
    <n v="3"/>
    <x v="13"/>
    <x v="0"/>
    <x v="15"/>
    <n v="22"/>
    <s v="145 CO"/>
    <n v="51"/>
    <m/>
    <s v="F"/>
    <m/>
    <d v="1899-12-30T00:41:00"/>
    <s v="14:11"/>
    <s v="LA"/>
    <s v="F266."/>
    <s v="20140821 JBures"/>
    <s v="20140822 AStephens"/>
    <s v="x"/>
    <n v="151.26599999999999"/>
    <s v="na"/>
    <s v="FWL"/>
    <s v="na"/>
    <s v="na"/>
    <s v="F1840"/>
    <s v="na"/>
    <s v="na"/>
    <s v="na"/>
    <s v="na"/>
    <s v="na"/>
  </r>
  <r>
    <n v="3219"/>
    <x v="70"/>
    <n v="3"/>
    <x v="10"/>
    <x v="0"/>
    <x v="0"/>
    <m/>
    <m/>
    <n v="56"/>
    <m/>
    <s v="F"/>
    <m/>
    <d v="1899-12-30T00:15:00"/>
    <s v="14:12"/>
    <s v="LA"/>
    <m/>
    <s v="20140821 JBures"/>
    <s v="20140822 AStephens"/>
    <s v="x"/>
    <s v="x"/>
    <s v="na"/>
    <s v="FWL"/>
    <s v="na"/>
    <s v="na"/>
    <s v="na"/>
    <s v="na"/>
    <s v="na"/>
    <s v="na"/>
    <s v="na"/>
    <s v="na"/>
  </r>
  <r>
    <n v="3220"/>
    <x v="70"/>
    <n v="3"/>
    <x v="10"/>
    <x v="0"/>
    <x v="0"/>
    <m/>
    <m/>
    <n v="51"/>
    <m/>
    <s v="M"/>
    <m/>
    <d v="1899-12-30T00:40:00"/>
    <s v="15:14"/>
    <s v="CSj"/>
    <m/>
    <s v="20140812 JKunzler"/>
    <s v="20140822 AStephens"/>
    <s v="x"/>
    <s v="x"/>
    <s v="na"/>
    <s v="FWL"/>
    <s v="na"/>
    <s v="na"/>
    <s v="na"/>
    <s v="na"/>
    <s v="na"/>
    <s v="na"/>
    <s v="na"/>
    <s v="na"/>
  </r>
  <r>
    <n v="3221"/>
    <x v="70"/>
    <n v="3"/>
    <x v="10"/>
    <x v="0"/>
    <x v="0"/>
    <m/>
    <m/>
    <n v="60"/>
    <m/>
    <s v="M"/>
    <m/>
    <d v="1899-12-30T00:23:00"/>
    <s v="15:15"/>
    <s v="CSj"/>
    <m/>
    <s v="20140812 JKunzler"/>
    <s v="20140822 AStephens"/>
    <s v="x"/>
    <s v="x"/>
    <s v="na"/>
    <s v="FWL"/>
    <s v="na"/>
    <s v="na"/>
    <s v="na"/>
    <s v="na"/>
    <s v="na"/>
    <s v="na"/>
    <s v="na"/>
    <s v="na"/>
  </r>
  <r>
    <n v="3222"/>
    <x v="70"/>
    <n v="3"/>
    <x v="12"/>
    <x v="0"/>
    <x v="0"/>
    <m/>
    <m/>
    <n v="43"/>
    <m/>
    <s v="F"/>
    <m/>
    <d v="1899-12-30T00:22:00"/>
    <s v="15:16"/>
    <s v="CSj"/>
    <m/>
    <s v="20140812 JKunzler"/>
    <s v="20140822 AStephens"/>
    <s v="x"/>
    <s v="x"/>
    <s v="na"/>
    <s v="FWL"/>
    <s v="na"/>
    <s v="na"/>
    <s v="na"/>
    <s v="na"/>
    <s v="na"/>
    <s v="na"/>
    <s v="na"/>
    <s v="na"/>
  </r>
  <r>
    <n v="3223"/>
    <x v="70"/>
    <n v="3"/>
    <x v="7"/>
    <x v="0"/>
    <x v="10"/>
    <n v="19"/>
    <s v="191 S"/>
    <n v="49"/>
    <m/>
    <s v="U"/>
    <m/>
    <d v="1899-12-30T01:04:00"/>
    <s v="15:26"/>
    <s v="CSj"/>
    <m/>
    <s v="20140812 JKunzler"/>
    <s v="20140822 AStephens"/>
    <s v="x"/>
    <n v="151.58600000000001"/>
    <s v="na"/>
    <s v="FWL"/>
    <s v="na"/>
    <s v="na"/>
    <s v="F1840"/>
    <s v="na"/>
    <s v="na"/>
    <s v="na"/>
    <s v="na"/>
    <s v="na"/>
  </r>
  <r>
    <n v="3224"/>
    <x v="70"/>
    <n v="3"/>
    <x v="13"/>
    <x v="0"/>
    <x v="0"/>
    <m/>
    <m/>
    <n v="51"/>
    <m/>
    <s v="M"/>
    <m/>
    <d v="1899-12-30T00:24:00"/>
    <s v="16:55"/>
    <s v="JK"/>
    <m/>
    <s v="20140812 JKunzler"/>
    <s v="20140822 AStephens"/>
    <s v="x"/>
    <s v="x"/>
    <s v="na"/>
    <s v="FWL"/>
    <s v="na"/>
    <s v="na"/>
    <s v="na"/>
    <s v="na"/>
    <s v="na"/>
    <s v="na"/>
    <s v="na"/>
    <s v="na"/>
  </r>
  <r>
    <n v="3225"/>
    <x v="70"/>
    <n v="3"/>
    <x v="10"/>
    <x v="0"/>
    <x v="0"/>
    <m/>
    <m/>
    <n v="48"/>
    <m/>
    <s v="M"/>
    <m/>
    <d v="1899-12-30T00:23:00"/>
    <s v="16:56"/>
    <s v="JK"/>
    <m/>
    <s v="20140812 JKunzler"/>
    <s v="20140822 AStephens"/>
    <s v="x"/>
    <s v="x"/>
    <s v="na"/>
    <s v="FWL"/>
    <s v="na"/>
    <s v="na"/>
    <s v="na"/>
    <s v="na"/>
    <s v="na"/>
    <s v="na"/>
    <s v="na"/>
    <s v="na"/>
  </r>
  <r>
    <n v="3226"/>
    <x v="70"/>
    <n v="3"/>
    <x v="10"/>
    <x v="0"/>
    <x v="0"/>
    <m/>
    <m/>
    <n v="54"/>
    <m/>
    <s v="F"/>
    <m/>
    <d v="1899-12-30T00:18:00"/>
    <s v="16:57"/>
    <s v="JK"/>
    <m/>
    <s v="20140812 JKunzler"/>
    <s v="20140822 AStephens"/>
    <s v="x"/>
    <s v="x"/>
    <s v="na"/>
    <s v="FWL"/>
    <s v="na"/>
    <s v="na"/>
    <s v="na"/>
    <s v="na"/>
    <s v="na"/>
    <s v="na"/>
    <s v="na"/>
    <s v="na"/>
  </r>
  <r>
    <n v="3227"/>
    <x v="70"/>
    <n v="3"/>
    <x v="10"/>
    <x v="0"/>
    <x v="0"/>
    <m/>
    <m/>
    <n v="60"/>
    <m/>
    <s v="F"/>
    <m/>
    <d v="1899-12-30T00:22:00"/>
    <s v="16:58"/>
    <s v="JK"/>
    <m/>
    <s v="20140812 JKunzler"/>
    <s v="20140822 AStephens"/>
    <s v="x"/>
    <s v="x"/>
    <s v="na"/>
    <s v="FWL"/>
    <s v="na"/>
    <s v="na"/>
    <s v="na"/>
    <s v="na"/>
    <s v="na"/>
    <s v="na"/>
    <s v="na"/>
    <s v="na"/>
  </r>
  <r>
    <n v="3228"/>
    <x v="70"/>
    <n v="3"/>
    <x v="10"/>
    <x v="0"/>
    <x v="0"/>
    <m/>
    <m/>
    <n v="55"/>
    <m/>
    <s v="F"/>
    <m/>
    <d v="1899-12-30T00:26:00"/>
    <s v="18:27"/>
    <s v="JK"/>
    <m/>
    <s v="20140812 JKunzler"/>
    <s v="20140822 AStephens"/>
    <s v="x"/>
    <s v="x"/>
    <s v="na"/>
    <s v="FWL"/>
    <s v="na"/>
    <s v="na"/>
    <s v="na"/>
    <s v="na"/>
    <s v="na"/>
    <s v="na"/>
    <s v="na"/>
    <s v="na"/>
  </r>
  <r>
    <n v="3229"/>
    <x v="70"/>
    <n v="3"/>
    <x v="13"/>
    <x v="0"/>
    <x v="0"/>
    <m/>
    <m/>
    <n v="55"/>
    <m/>
    <s v="M"/>
    <m/>
    <d v="1899-12-30T00:31:00"/>
    <s v="18:28"/>
    <s v="JK"/>
    <m/>
    <s v="20140812 JKunzler"/>
    <s v="20140822 AStephens"/>
    <s v="x"/>
    <s v="x"/>
    <s v="na"/>
    <s v="FWL"/>
    <s v="na"/>
    <s v="na"/>
    <s v="na"/>
    <s v="na"/>
    <s v="na"/>
    <s v="na"/>
    <s v="na"/>
    <s v="na"/>
  </r>
  <r>
    <n v="3230"/>
    <x v="70"/>
    <n v="3"/>
    <x v="13"/>
    <x v="0"/>
    <x v="0"/>
    <m/>
    <m/>
    <n v="56"/>
    <m/>
    <s v="F"/>
    <m/>
    <d v="1899-12-30T00:38:00"/>
    <s v="18:30"/>
    <s v="JK"/>
    <m/>
    <s v="20140812 JKunzler"/>
    <s v="20140822 AStephens"/>
    <s v="x"/>
    <s v="x"/>
    <s v="na"/>
    <s v="FWL"/>
    <s v="na"/>
    <s v="na"/>
    <s v="na"/>
    <s v="na"/>
    <s v="na"/>
    <s v="na"/>
    <s v="na"/>
    <s v="na"/>
  </r>
  <r>
    <n v="3231"/>
    <x v="70"/>
    <n v="3"/>
    <x v="13"/>
    <x v="0"/>
    <x v="0"/>
    <m/>
    <m/>
    <n v="57"/>
    <m/>
    <s v="F"/>
    <m/>
    <d v="1899-12-30T00:25:00"/>
    <s v="18:31"/>
    <s v="JK"/>
    <m/>
    <s v="20140812 JKunzler"/>
    <s v="20140822 AStephens"/>
    <s v="x"/>
    <s v="x"/>
    <s v="na"/>
    <s v="FWL"/>
    <s v="na"/>
    <s v="na"/>
    <s v="na"/>
    <s v="na"/>
    <s v="na"/>
    <s v="na"/>
    <s v="na"/>
    <s v="na"/>
  </r>
  <r>
    <n v="3232"/>
    <x v="70"/>
    <n v="3"/>
    <x v="13"/>
    <x v="0"/>
    <x v="0"/>
    <m/>
    <m/>
    <n v="54"/>
    <m/>
    <s v="F"/>
    <m/>
    <d v="1899-12-30T00:21:00"/>
    <s v="18:32"/>
    <s v="JK"/>
    <m/>
    <s v="20140812 JKunzler"/>
    <s v="20140822 AStephens"/>
    <s v="x"/>
    <s v="x"/>
    <s v="na"/>
    <s v="FWL"/>
    <s v="na"/>
    <s v="na"/>
    <s v="na"/>
    <s v="na"/>
    <s v="na"/>
    <s v="na"/>
    <s v="na"/>
    <s v="na"/>
  </r>
  <r>
    <n v="3233"/>
    <x v="70"/>
    <n v="3"/>
    <x v="12"/>
    <x v="0"/>
    <x v="0"/>
    <m/>
    <m/>
    <n v="42"/>
    <m/>
    <s v="F"/>
    <m/>
    <d v="1899-12-30T00:24:00"/>
    <s v="18:34"/>
    <s v="JK"/>
    <m/>
    <s v="20140812 JKunzler"/>
    <s v="20140822 AStephens"/>
    <s v="x"/>
    <s v="x"/>
    <s v="na"/>
    <s v="FWL"/>
    <s v="na"/>
    <s v="na"/>
    <s v="na"/>
    <s v="na"/>
    <s v="na"/>
    <s v="na"/>
    <s v="na"/>
    <s v="na"/>
  </r>
  <r>
    <n v="3234"/>
    <x v="70"/>
    <n v="3"/>
    <x v="13"/>
    <x v="0"/>
    <x v="0"/>
    <m/>
    <m/>
    <n v="47"/>
    <m/>
    <s v="M"/>
    <m/>
    <d v="1899-12-30T00:31:00"/>
    <s v="19:49"/>
    <s v="JK"/>
    <m/>
    <s v="20140812 JKunzler"/>
    <s v="20140822 AStephens"/>
    <s v="x"/>
    <s v="x"/>
    <s v="na"/>
    <s v="FWL"/>
    <s v="na"/>
    <s v="na"/>
    <s v="na"/>
    <s v="na"/>
    <s v="na"/>
    <s v="na"/>
    <s v="na"/>
    <s v="na"/>
  </r>
  <r>
    <n v="3235"/>
    <x v="70"/>
    <n v="3"/>
    <x v="13"/>
    <x v="0"/>
    <x v="0"/>
    <m/>
    <m/>
    <n v="54"/>
    <m/>
    <s v="M"/>
    <m/>
    <d v="1899-12-30T00:24:00"/>
    <s v="19:50"/>
    <s v="JK"/>
    <m/>
    <s v="20140812 JKunzler"/>
    <s v="20140822 AStephens"/>
    <s v="x"/>
    <s v="x"/>
    <s v="na"/>
    <s v="FWL"/>
    <s v="na"/>
    <s v="na"/>
    <s v="na"/>
    <s v="na"/>
    <s v="na"/>
    <s v="na"/>
    <s v="na"/>
    <s v="na"/>
  </r>
  <r>
    <n v="3236"/>
    <x v="70"/>
    <n v="3"/>
    <x v="13"/>
    <x v="0"/>
    <x v="0"/>
    <m/>
    <m/>
    <n v="54"/>
    <m/>
    <s v="M"/>
    <d v="1899-12-30T20:01:00"/>
    <d v="1899-12-30T00:18:00"/>
    <s v="20:04"/>
    <s v="JK"/>
    <m/>
    <s v="20140812 JKunzler"/>
    <s v="20140822 AStephens"/>
    <d v="1899-12-30T00:02:42"/>
    <s v="x"/>
    <s v="na"/>
    <s v="FWL"/>
    <s v="na"/>
    <s v="na"/>
    <s v="na"/>
    <s v="na"/>
    <s v="na"/>
    <s v="na"/>
    <s v="na"/>
    <s v="na"/>
  </r>
  <r>
    <n v="3237"/>
    <x v="71"/>
    <n v="1"/>
    <x v="13"/>
    <x v="0"/>
    <x v="15"/>
    <n v="33"/>
    <s v="158 CO"/>
    <n v="57"/>
    <m/>
    <s v="M"/>
    <m/>
    <d v="1899-12-30T01:04:00"/>
    <s v="09:03"/>
    <s v="KS"/>
    <s v="F266."/>
    <s v="20140822 KShippen"/>
    <s v="20140823 Kshippen"/>
    <s v="x"/>
    <n v="151.26599999999999"/>
    <s v="na"/>
    <s v="FWL"/>
    <s v="na"/>
    <s v="na"/>
    <s v="F1840"/>
    <s v="na"/>
    <s v="na"/>
    <s v="na"/>
    <s v="na"/>
    <s v="na"/>
  </r>
  <r>
    <n v="3238"/>
    <x v="71"/>
    <n v="1"/>
    <x v="10"/>
    <x v="0"/>
    <x v="7"/>
    <n v="54"/>
    <s v="191 CM"/>
    <n v="59"/>
    <m/>
    <s v="F"/>
    <m/>
    <d v="1899-12-30T01:21:00"/>
    <s v="09:08"/>
    <s v="KS"/>
    <m/>
    <s v="20140822 KShippen"/>
    <s v="20140823 Kshippen"/>
    <s v="x"/>
    <n v="151.56399999999999"/>
    <s v="na"/>
    <s v="FWL"/>
    <s v="na"/>
    <s v="na"/>
    <s v="F1840"/>
    <s v="na"/>
    <s v="na"/>
    <s v="na"/>
    <s v="na"/>
    <s v="na"/>
  </r>
  <r>
    <n v="3239"/>
    <x v="71"/>
    <n v="1"/>
    <x v="13"/>
    <x v="0"/>
    <x v="15"/>
    <n v="36"/>
    <s v="159 CO"/>
    <n v="45"/>
    <m/>
    <s v="F"/>
    <m/>
    <d v="1899-12-30T00:55:00"/>
    <s v="09:12"/>
    <s v="KS"/>
    <s v="F266."/>
    <s v="20140822 KShippen"/>
    <s v="20140823 Kshippen"/>
    <s v="x"/>
    <n v="151.26599999999999"/>
    <s v="na"/>
    <s v="FWL"/>
    <s v="na"/>
    <s v="na"/>
    <s v="F1840"/>
    <s v="na"/>
    <s v="na"/>
    <s v="na"/>
    <s v="na"/>
    <s v="na"/>
  </r>
  <r>
    <n v="3240"/>
    <x v="71"/>
    <n v="1"/>
    <x v="12"/>
    <x v="0"/>
    <x v="0"/>
    <m/>
    <m/>
    <n v="43"/>
    <m/>
    <s v="F"/>
    <m/>
    <d v="1899-12-30T00:22:00"/>
    <s v="09:13"/>
    <s v="KS"/>
    <m/>
    <s v="20140822 KShippen"/>
    <s v="20140823 Kshippen"/>
    <s v="x"/>
    <s v="x"/>
    <s v="na"/>
    <s v="FWL"/>
    <s v="na"/>
    <s v="na"/>
    <s v="na"/>
    <s v="na"/>
    <s v="na"/>
    <s v="na"/>
    <s v="na"/>
    <s v="na"/>
  </r>
  <r>
    <n v="3241"/>
    <x v="71"/>
    <n v="1"/>
    <x v="10"/>
    <x v="0"/>
    <x v="0"/>
    <m/>
    <m/>
    <n v="57"/>
    <m/>
    <s v="F"/>
    <m/>
    <d v="1899-12-30T00:21:00"/>
    <s v="09:15"/>
    <s v="KS"/>
    <m/>
    <s v="20140822 KShippen"/>
    <s v="20140823 Kshippen"/>
    <s v="x"/>
    <s v="x"/>
    <s v="na"/>
    <s v="FWL"/>
    <s v="na"/>
    <s v="na"/>
    <s v="na"/>
    <s v="na"/>
    <s v="na"/>
    <s v="na"/>
    <s v="na"/>
    <s v="na"/>
  </r>
  <r>
    <n v="3242"/>
    <x v="71"/>
    <n v="1"/>
    <x v="10"/>
    <x v="0"/>
    <x v="0"/>
    <m/>
    <m/>
    <n v="53"/>
    <m/>
    <s v="M"/>
    <m/>
    <d v="1899-12-30T00:19:00"/>
    <s v="09:35"/>
    <s v="KS"/>
    <m/>
    <s v="20140822 KShippen"/>
    <s v="20140823 Kshippen"/>
    <s v="x"/>
    <s v="x"/>
    <s v="na"/>
    <s v="FWL"/>
    <s v="na"/>
    <s v="na"/>
    <s v="na"/>
    <s v="na"/>
    <s v="na"/>
    <s v="na"/>
    <s v="na"/>
    <s v="na"/>
  </r>
  <r>
    <n v="3243"/>
    <x v="71"/>
    <n v="1"/>
    <x v="13"/>
    <x v="0"/>
    <x v="15"/>
    <n v="0"/>
    <s v="160 CO"/>
    <n v="61"/>
    <m/>
    <s v="M"/>
    <m/>
    <d v="1899-12-30T00:48:00"/>
    <s v="10:10"/>
    <s v="JK"/>
    <s v="F266."/>
    <s v="20140822 KShippen"/>
    <s v="20140823 Kshippen"/>
    <s v="x"/>
    <n v="151.26599999999999"/>
    <s v="na"/>
    <s v="FWL"/>
    <s v="na"/>
    <s v="na"/>
    <s v="F1840"/>
    <s v="na"/>
    <s v="na"/>
    <s v="na"/>
    <s v="na"/>
    <s v="na"/>
  </r>
  <r>
    <n v="3244"/>
    <x v="71"/>
    <n v="1"/>
    <x v="10"/>
    <x v="0"/>
    <x v="0"/>
    <m/>
    <m/>
    <n v="52"/>
    <m/>
    <s v="F"/>
    <m/>
    <d v="1899-12-30T00:18:00"/>
    <s v="10:08"/>
    <s v="KS"/>
    <m/>
    <s v="20140822 KShippen"/>
    <s v="20140823 Kshippen"/>
    <s v="x"/>
    <s v="x"/>
    <s v="na"/>
    <s v="FWL"/>
    <s v="na"/>
    <s v="na"/>
    <s v="na"/>
    <s v="na"/>
    <s v="na"/>
    <s v="na"/>
    <s v="na"/>
    <s v="na"/>
  </r>
  <r>
    <n v="3245"/>
    <x v="71"/>
    <n v="1"/>
    <x v="10"/>
    <x v="0"/>
    <x v="0"/>
    <m/>
    <m/>
    <n v="60"/>
    <m/>
    <s v="F"/>
    <m/>
    <d v="1899-12-30T00:18:00"/>
    <s v="10:53"/>
    <s v="KS"/>
    <m/>
    <s v="20140822 KShippen"/>
    <s v="20140823 Kshippen"/>
    <s v="x"/>
    <s v="x"/>
    <s v="na"/>
    <s v="FWL"/>
    <s v="na"/>
    <s v="na"/>
    <s v="na"/>
    <s v="na"/>
    <s v="na"/>
    <s v="na"/>
    <s v="na"/>
    <s v="na"/>
  </r>
  <r>
    <n v="3246"/>
    <x v="71"/>
    <n v="1"/>
    <x v="13"/>
    <x v="0"/>
    <x v="15"/>
    <n v="70"/>
    <s v="162 CO"/>
    <n v="48"/>
    <m/>
    <s v="F"/>
    <m/>
    <d v="1899-12-30T00:50:00"/>
    <s v="11:59"/>
    <s v="CSj"/>
    <s v="F266."/>
    <s v="20140822 LAckein"/>
    <s v="20140823 Kshippen"/>
    <s v="x"/>
    <n v="151.26599999999999"/>
    <s v="na"/>
    <s v="FWL"/>
    <s v="na"/>
    <s v="na"/>
    <s v="F1840"/>
    <s v="na"/>
    <s v="na"/>
    <s v="na"/>
    <s v="na"/>
    <s v="na"/>
  </r>
  <r>
    <n v="3247"/>
    <x v="71"/>
    <n v="1"/>
    <x v="7"/>
    <x v="0"/>
    <x v="6"/>
    <n v="11"/>
    <s v="168 S"/>
    <n v="47"/>
    <m/>
    <s v="U"/>
    <m/>
    <d v="1899-12-30T00:56:00"/>
    <s v="12:01"/>
    <s v="CSj"/>
    <m/>
    <s v="20140822 LAckein"/>
    <s v="20140823 Kshippen"/>
    <s v="x"/>
    <n v="151.57300000000001"/>
    <s v="na"/>
    <s v="FWL"/>
    <s v="na"/>
    <s v="na"/>
    <s v="F1840"/>
    <s v="na"/>
    <s v="na"/>
    <s v="na"/>
    <s v="na"/>
    <s v="na"/>
  </r>
  <r>
    <n v="3248"/>
    <x v="71"/>
    <n v="1"/>
    <x v="10"/>
    <x v="0"/>
    <x v="0"/>
    <m/>
    <m/>
    <n v="62"/>
    <m/>
    <s v="M"/>
    <m/>
    <d v="1899-12-30T00:26:00"/>
    <s v="13:27"/>
    <s v="HR"/>
    <m/>
    <s v="20140822 LAckein"/>
    <s v="20140823 Kshippen"/>
    <s v="x"/>
    <s v="x"/>
    <s v="na"/>
    <s v="FWL"/>
    <s v="na"/>
    <s v="na"/>
    <s v="na"/>
    <s v="na"/>
    <s v="na"/>
    <s v="na"/>
    <s v="na"/>
    <s v="na"/>
  </r>
  <r>
    <n v="3249"/>
    <x v="71"/>
    <n v="1"/>
    <x v="13"/>
    <x v="0"/>
    <x v="0"/>
    <m/>
    <m/>
    <n v="60"/>
    <m/>
    <s v="M"/>
    <m/>
    <d v="1899-12-30T00:19:00"/>
    <s v="14:29"/>
    <s v="KS"/>
    <m/>
    <s v="20140822 JKunzler"/>
    <s v="20140823 Kshippen"/>
    <s v="x"/>
    <s v="x"/>
    <s v="na"/>
    <s v="FWL"/>
    <s v="na"/>
    <s v="na"/>
    <s v="na"/>
    <s v="na"/>
    <s v="na"/>
    <s v="na"/>
    <s v="na"/>
    <s v="na"/>
  </r>
  <r>
    <n v="3250"/>
    <x v="71"/>
    <n v="1"/>
    <x v="13"/>
    <x v="0"/>
    <x v="0"/>
    <m/>
    <m/>
    <n v="47"/>
    <m/>
    <s v="F"/>
    <m/>
    <d v="1899-12-30T00:18:00"/>
    <s v="14:31"/>
    <s v="KS"/>
    <m/>
    <s v="20140822 JKunzler"/>
    <s v="20140823 Kshippen"/>
    <s v="x"/>
    <s v="x"/>
    <s v="na"/>
    <s v="FWL"/>
    <s v="na"/>
    <s v="na"/>
    <s v="na"/>
    <s v="na"/>
    <s v="na"/>
    <s v="na"/>
    <s v="na"/>
    <s v="na"/>
  </r>
  <r>
    <n v="3251"/>
    <x v="71"/>
    <n v="1"/>
    <x v="10"/>
    <x v="0"/>
    <x v="0"/>
    <m/>
    <m/>
    <n v="50"/>
    <m/>
    <s v="F"/>
    <m/>
    <d v="1899-12-30T00:17:00"/>
    <s v="14:33"/>
    <s v="KS"/>
    <m/>
    <s v="20140822 JKunzler"/>
    <s v="20140823 Kshippen"/>
    <s v="x"/>
    <s v="x"/>
    <s v="na"/>
    <s v="FWL"/>
    <s v="na"/>
    <s v="na"/>
    <s v="na"/>
    <s v="na"/>
    <s v="na"/>
    <s v="na"/>
    <s v="na"/>
    <s v="na"/>
  </r>
  <r>
    <n v="3252"/>
    <x v="71"/>
    <n v="1"/>
    <x v="10"/>
    <x v="0"/>
    <x v="0"/>
    <m/>
    <m/>
    <n v="52"/>
    <m/>
    <s v="F"/>
    <m/>
    <d v="1899-12-30T00:20:00"/>
    <s v="14:35"/>
    <s v="KS"/>
    <m/>
    <s v="20140822 JKunzler"/>
    <s v="20140823 Kshippen"/>
    <s v="x"/>
    <s v="x"/>
    <s v="na"/>
    <s v="FWL"/>
    <s v="na"/>
    <s v="na"/>
    <s v="na"/>
    <s v="na"/>
    <s v="na"/>
    <s v="na"/>
    <s v="na"/>
    <s v="na"/>
  </r>
  <r>
    <n v="3253"/>
    <x v="71"/>
    <n v="1"/>
    <x v="12"/>
    <x v="0"/>
    <x v="0"/>
    <m/>
    <m/>
    <n v="47"/>
    <m/>
    <s v="M"/>
    <m/>
    <d v="1899-12-30T00:16:00"/>
    <s v="14:37"/>
    <s v="KS"/>
    <m/>
    <s v="20140822 JKunzler"/>
    <s v="20140823 Kshippen"/>
    <s v="x"/>
    <s v="x"/>
    <s v="na"/>
    <s v="FWL"/>
    <s v="na"/>
    <s v="na"/>
    <s v="na"/>
    <s v="na"/>
    <s v="na"/>
    <s v="na"/>
    <s v="na"/>
    <s v="na"/>
  </r>
  <r>
    <n v="3254"/>
    <x v="71"/>
    <n v="1"/>
    <x v="10"/>
    <x v="0"/>
    <x v="0"/>
    <m/>
    <m/>
    <n v="50"/>
    <m/>
    <s v="M"/>
    <m/>
    <d v="1899-12-30T00:17:00"/>
    <s v="16:25"/>
    <s v="JK"/>
    <m/>
    <s v="20140822 JKunzler"/>
    <s v="20140823 Kshippen"/>
    <s v="x"/>
    <s v="x"/>
    <s v="na"/>
    <s v="FWL"/>
    <s v="na"/>
    <s v="na"/>
    <s v="na"/>
    <s v="na"/>
    <s v="na"/>
    <s v="na"/>
    <s v="na"/>
    <s v="na"/>
  </r>
  <r>
    <n v="3255"/>
    <x v="71"/>
    <n v="1"/>
    <x v="13"/>
    <x v="0"/>
    <x v="0"/>
    <m/>
    <m/>
    <n v="55"/>
    <m/>
    <s v="M"/>
    <m/>
    <d v="1899-12-30T00:19:00"/>
    <s v="16:26"/>
    <s v="JK"/>
    <m/>
    <s v="20140822 JKunzler"/>
    <s v="20140823 Kshippen"/>
    <s v="x"/>
    <s v="x"/>
    <s v="na"/>
    <s v="FWL"/>
    <s v="na"/>
    <s v="na"/>
    <s v="na"/>
    <s v="na"/>
    <s v="na"/>
    <s v="na"/>
    <s v="na"/>
    <s v="na"/>
  </r>
  <r>
    <n v="3256"/>
    <x v="71"/>
    <n v="1"/>
    <x v="12"/>
    <x v="0"/>
    <x v="0"/>
    <m/>
    <m/>
    <n v="47"/>
    <m/>
    <s v="F"/>
    <m/>
    <d v="1899-12-30T00:14:00"/>
    <s v="16:27"/>
    <s v="JK"/>
    <m/>
    <s v="20140822 KShippen"/>
    <s v="20140823 Kshippen"/>
    <s v="x"/>
    <s v="x"/>
    <s v="na"/>
    <s v="FWL"/>
    <s v="na"/>
    <s v="na"/>
    <s v="na"/>
    <s v="na"/>
    <s v="na"/>
    <s v="na"/>
    <s v="na"/>
    <s v="na"/>
  </r>
  <r>
    <n v="3257"/>
    <x v="71"/>
    <n v="1"/>
    <x v="10"/>
    <x v="0"/>
    <x v="0"/>
    <m/>
    <m/>
    <n v="57"/>
    <m/>
    <s v="F"/>
    <m/>
    <d v="1899-12-30T00:19:00"/>
    <s v="16:28"/>
    <s v="JK"/>
    <m/>
    <s v="20140822 KShippen"/>
    <s v="20140823 Kshippen"/>
    <s v="x"/>
    <s v="x"/>
    <s v="na"/>
    <s v="FWL"/>
    <s v="na"/>
    <s v="na"/>
    <s v="na"/>
    <s v="na"/>
    <s v="na"/>
    <s v="na"/>
    <s v="na"/>
    <s v="na"/>
  </r>
  <r>
    <n v="3258"/>
    <x v="71"/>
    <n v="1"/>
    <x v="13"/>
    <x v="0"/>
    <x v="0"/>
    <m/>
    <m/>
    <n v="50"/>
    <m/>
    <s v="F"/>
    <m/>
    <d v="1899-12-30T00:20:00"/>
    <s v="16:29"/>
    <s v="JK"/>
    <m/>
    <s v="20140822 KShippen"/>
    <s v="20140823 Kshippen"/>
    <s v="x"/>
    <s v="x"/>
    <s v="na"/>
    <s v="FWL"/>
    <s v="na"/>
    <s v="na"/>
    <s v="na"/>
    <s v="na"/>
    <s v="na"/>
    <s v="na"/>
    <s v="na"/>
    <s v="na"/>
  </r>
  <r>
    <n v="3259"/>
    <x v="71"/>
    <n v="1"/>
    <x v="13"/>
    <x v="0"/>
    <x v="0"/>
    <m/>
    <m/>
    <n v="55"/>
    <m/>
    <s v="F"/>
    <m/>
    <d v="1899-12-30T00:30:00"/>
    <s v="16:31"/>
    <s v="JK"/>
    <m/>
    <s v="20140822 KShippen"/>
    <s v="20140823 Kshippen"/>
    <s v="x"/>
    <s v="x"/>
    <s v="na"/>
    <s v="FWL"/>
    <s v="na"/>
    <s v="na"/>
    <s v="na"/>
    <s v="na"/>
    <s v="na"/>
    <s v="na"/>
    <s v="na"/>
    <s v="na"/>
  </r>
  <r>
    <n v="3260"/>
    <x v="71"/>
    <n v="1"/>
    <x v="13"/>
    <x v="0"/>
    <x v="0"/>
    <m/>
    <m/>
    <n v="54"/>
    <m/>
    <s v="M"/>
    <m/>
    <d v="1899-12-30T00:27:00"/>
    <s v="16:31"/>
    <s v="JK"/>
    <m/>
    <s v="20140822 KShippen"/>
    <s v="20140823 Kshippen"/>
    <s v="x"/>
    <s v="x"/>
    <s v="na"/>
    <s v="FWL"/>
    <s v="na"/>
    <s v="na"/>
    <s v="na"/>
    <s v="na"/>
    <s v="na"/>
    <s v="na"/>
    <s v="na"/>
    <s v="na"/>
  </r>
  <r>
    <n v="3261"/>
    <x v="71"/>
    <n v="1"/>
    <x v="13"/>
    <x v="0"/>
    <x v="0"/>
    <m/>
    <m/>
    <n v="57"/>
    <m/>
    <s v="M"/>
    <m/>
    <d v="1899-12-30T00:30:00"/>
    <s v="16:33"/>
    <s v="JK"/>
    <m/>
    <s v="20140822 KShippen"/>
    <s v="20140823 Kshippen"/>
    <s v="x"/>
    <s v="x"/>
    <s v="na"/>
    <s v="FWL"/>
    <s v="na"/>
    <s v="na"/>
    <s v="na"/>
    <s v="na"/>
    <s v="na"/>
    <s v="na"/>
    <s v="na"/>
    <s v="na"/>
  </r>
  <r>
    <n v="3262"/>
    <x v="71"/>
    <n v="1"/>
    <x v="10"/>
    <x v="0"/>
    <x v="0"/>
    <m/>
    <m/>
    <n v="53"/>
    <m/>
    <s v="M"/>
    <m/>
    <d v="1899-12-30T00:31:00"/>
    <s v="17:41"/>
    <s v="CSw"/>
    <m/>
    <s v="20140822 CSewright"/>
    <s v="20140823 Kshippen"/>
    <s v="x"/>
    <s v="x"/>
    <s v="na"/>
    <s v="FWL"/>
    <s v="na"/>
    <s v="na"/>
    <s v="na"/>
    <s v="na"/>
    <s v="na"/>
    <s v="na"/>
    <s v="na"/>
    <s v="na"/>
  </r>
  <r>
    <n v="3263"/>
    <x v="71"/>
    <n v="1"/>
    <x v="13"/>
    <x v="0"/>
    <x v="0"/>
    <m/>
    <m/>
    <n v="44"/>
    <m/>
    <s v="M"/>
    <m/>
    <d v="1899-12-30T00:29:00"/>
    <s v="17:43"/>
    <s v="CSw"/>
    <m/>
    <s v="20140822 CSewright"/>
    <s v="20140823 Kshippen"/>
    <s v="x"/>
    <s v="x"/>
    <s v="na"/>
    <s v="FWL"/>
    <s v="na"/>
    <s v="na"/>
    <s v="na"/>
    <s v="na"/>
    <s v="na"/>
    <s v="na"/>
    <s v="na"/>
    <s v="na"/>
  </r>
  <r>
    <n v="3264"/>
    <x v="71"/>
    <n v="1"/>
    <x v="12"/>
    <x v="0"/>
    <x v="0"/>
    <m/>
    <m/>
    <n v="43"/>
    <m/>
    <s v="F"/>
    <m/>
    <d v="1899-12-30T00:27:00"/>
    <s v="17:46"/>
    <s v="CSw"/>
    <m/>
    <s v="20140822 CSewright"/>
    <s v="20140823 Kshippen"/>
    <s v="x"/>
    <s v="x"/>
    <s v="na"/>
    <s v="FWL"/>
    <s v="na"/>
    <s v="na"/>
    <s v="na"/>
    <s v="na"/>
    <s v="na"/>
    <s v="na"/>
    <s v="na"/>
    <s v="na"/>
  </r>
  <r>
    <n v="3265"/>
    <x v="71"/>
    <n v="1"/>
    <x v="10"/>
    <x v="0"/>
    <x v="0"/>
    <m/>
    <m/>
    <n v="55"/>
    <m/>
    <s v="F"/>
    <m/>
    <d v="1899-12-30T00:35:00"/>
    <s v="19:37"/>
    <s v="CSw"/>
    <m/>
    <s v="20140822 CSewright"/>
    <s v="20140823 Kshippen"/>
    <s v="x"/>
    <s v="x"/>
    <s v="na"/>
    <s v="FWL"/>
    <s v="na"/>
    <s v="na"/>
    <s v="na"/>
    <s v="na"/>
    <s v="na"/>
    <s v="na"/>
    <s v="na"/>
    <s v="na"/>
  </r>
  <r>
    <n v="3266"/>
    <x v="71"/>
    <n v="1"/>
    <x v="10"/>
    <x v="0"/>
    <x v="0"/>
    <m/>
    <m/>
    <n v="58"/>
    <m/>
    <s v="M"/>
    <m/>
    <d v="1899-12-30T00:33:00"/>
    <s v="19:39"/>
    <s v="CSw"/>
    <m/>
    <s v="20140822 CSewright"/>
    <s v="20140823 Kshippen"/>
    <s v="x"/>
    <s v="x"/>
    <s v="na"/>
    <s v="FWL"/>
    <s v="na"/>
    <s v="na"/>
    <s v="na"/>
    <s v="na"/>
    <s v="na"/>
    <s v="na"/>
    <s v="na"/>
    <s v="na"/>
  </r>
  <r>
    <n v="3267"/>
    <x v="71"/>
    <n v="1"/>
    <x v="13"/>
    <x v="0"/>
    <x v="0"/>
    <m/>
    <m/>
    <n v="59"/>
    <m/>
    <s v="M"/>
    <m/>
    <d v="1899-12-30T00:29:00"/>
    <s v="19:40"/>
    <s v="CSw"/>
    <m/>
    <s v="20140822 CSewright"/>
    <s v="20140823 Kshippen"/>
    <s v="x"/>
    <s v="x"/>
    <s v="na"/>
    <s v="FWL"/>
    <s v="na"/>
    <s v="na"/>
    <s v="na"/>
    <s v="na"/>
    <s v="na"/>
    <s v="na"/>
    <s v="na"/>
    <s v="na"/>
  </r>
  <r>
    <n v="3268"/>
    <x v="71"/>
    <n v="1"/>
    <x v="10"/>
    <x v="0"/>
    <x v="0"/>
    <m/>
    <m/>
    <n v="57"/>
    <m/>
    <s v="F"/>
    <m/>
    <d v="1899-12-30T00:23:00"/>
    <s v="19:42"/>
    <s v="CSw"/>
    <m/>
    <s v="20140822 CSewright"/>
    <s v="20140823 Kshippen"/>
    <s v="x"/>
    <s v="x"/>
    <s v="na"/>
    <s v="FWL"/>
    <s v="na"/>
    <s v="na"/>
    <s v="na"/>
    <s v="na"/>
    <s v="na"/>
    <s v="na"/>
    <s v="na"/>
    <s v="na"/>
  </r>
  <r>
    <n v="3269"/>
    <x v="71"/>
    <n v="1"/>
    <x v="12"/>
    <x v="0"/>
    <x v="0"/>
    <m/>
    <m/>
    <n v="47"/>
    <m/>
    <s v="F"/>
    <m/>
    <d v="1899-12-30T00:20:00"/>
    <s v="19:42"/>
    <s v="CSw"/>
    <m/>
    <s v="20140822 CSewright"/>
    <s v="20140823 Kshippen"/>
    <s v="x"/>
    <s v="x"/>
    <s v="na"/>
    <s v="FWL"/>
    <s v="na"/>
    <s v="na"/>
    <s v="na"/>
    <s v="na"/>
    <s v="na"/>
    <s v="na"/>
    <s v="na"/>
    <s v="na"/>
  </r>
  <r>
    <n v="3270"/>
    <x v="71"/>
    <n v="1"/>
    <x v="10"/>
    <x v="0"/>
    <x v="0"/>
    <m/>
    <m/>
    <n v="56"/>
    <m/>
    <s v="F"/>
    <m/>
    <d v="1899-12-30T00:23:00"/>
    <s v="19:44"/>
    <s v="CSw"/>
    <m/>
    <s v="20140822 CSewright"/>
    <s v="20140823 Kshippen"/>
    <s v="x"/>
    <s v="x"/>
    <s v="na"/>
    <s v="FWL"/>
    <s v="na"/>
    <s v="na"/>
    <s v="na"/>
    <s v="na"/>
    <s v="na"/>
    <s v="na"/>
    <s v="na"/>
    <s v="na"/>
  </r>
  <r>
    <n v="3271"/>
    <x v="71"/>
    <n v="1"/>
    <x v="12"/>
    <x v="0"/>
    <x v="0"/>
    <m/>
    <m/>
    <n v="44"/>
    <m/>
    <s v="F"/>
    <m/>
    <d v="1899-12-30T00:22:00"/>
    <s v="19:48"/>
    <s v="CSw"/>
    <m/>
    <s v="20140822 CSewright"/>
    <s v="20140823 Kshippen"/>
    <s v="x"/>
    <s v="x"/>
    <s v="na"/>
    <s v="FWL"/>
    <s v="na"/>
    <s v="na"/>
    <s v="na"/>
    <s v="na"/>
    <s v="na"/>
    <s v="na"/>
    <s v="na"/>
    <s v="na"/>
  </r>
  <r>
    <n v="3272"/>
    <x v="71"/>
    <n v="1"/>
    <x v="3"/>
    <x v="2"/>
    <x v="0"/>
    <m/>
    <m/>
    <m/>
    <n v="32"/>
    <s v="U"/>
    <m/>
    <d v="1899-12-30T00:24:00"/>
    <s v="20:34"/>
    <s v="CSw"/>
    <m/>
    <s v="20140822 CSewright"/>
    <s v="20140823 Kshippen"/>
    <s v="x"/>
    <s v="x"/>
    <s v="na"/>
    <s v="FWL"/>
    <s v="na"/>
    <s v="na"/>
    <s v="na"/>
    <s v="na"/>
    <s v="na"/>
    <s v="na"/>
    <s v="na"/>
    <s v="na"/>
  </r>
  <r>
    <n v="3273"/>
    <x v="71"/>
    <n v="2"/>
    <x v="10"/>
    <x v="0"/>
    <x v="0"/>
    <m/>
    <m/>
    <n v="59"/>
    <m/>
    <s v="M"/>
    <m/>
    <d v="1899-12-30T00:21:00"/>
    <s v="09:25"/>
    <s v="KS"/>
    <m/>
    <s v="20140822 JKunzler"/>
    <s v="20140823 Kshippen"/>
    <s v="x"/>
    <s v="x"/>
    <s v="na"/>
    <s v="FWL"/>
    <s v="na"/>
    <s v="na"/>
    <s v="na"/>
    <s v="na"/>
    <s v="na"/>
    <s v="na"/>
    <s v="na"/>
    <s v="na"/>
  </r>
  <r>
    <n v="3274"/>
    <x v="71"/>
    <n v="2"/>
    <x v="10"/>
    <x v="0"/>
    <x v="0"/>
    <m/>
    <m/>
    <n v="62"/>
    <m/>
    <s v="F"/>
    <m/>
    <d v="1899-12-30T00:20:00"/>
    <s v="10:31"/>
    <s v="JK"/>
    <m/>
    <s v="20140822 JKunzler"/>
    <s v="20140823 Kshippen"/>
    <s v="x"/>
    <s v="x"/>
    <s v="na"/>
    <s v="FWL"/>
    <s v="na"/>
    <s v="na"/>
    <s v="na"/>
    <s v="na"/>
    <s v="na"/>
    <s v="na"/>
    <s v="na"/>
    <s v="na"/>
  </r>
  <r>
    <n v="3275"/>
    <x v="71"/>
    <n v="2"/>
    <x v="10"/>
    <x v="0"/>
    <x v="0"/>
    <m/>
    <m/>
    <n v="50"/>
    <m/>
    <s v="M"/>
    <m/>
    <d v="1899-12-30T00:24:00"/>
    <s v="13:04"/>
    <s v="HR"/>
    <m/>
    <s v="20140822 LAckein"/>
    <s v="20140823 Kshippen"/>
    <s v="x"/>
    <s v="x"/>
    <s v="na"/>
    <s v="FWL"/>
    <s v="na"/>
    <s v="na"/>
    <s v="na"/>
    <s v="na"/>
    <s v="na"/>
    <s v="na"/>
    <s v="na"/>
    <s v="na"/>
  </r>
  <r>
    <n v="3276"/>
    <x v="71"/>
    <n v="2"/>
    <x v="10"/>
    <x v="0"/>
    <x v="0"/>
    <m/>
    <m/>
    <n v="53"/>
    <m/>
    <s v="F"/>
    <m/>
    <d v="1899-12-30T00:18:00"/>
    <s v="14:18"/>
    <s v="KS"/>
    <m/>
    <s v="20140822 KShippen"/>
    <s v="20140823 Kshippen"/>
    <s v="x"/>
    <s v="x"/>
    <s v="na"/>
    <s v="FWL"/>
    <s v="na"/>
    <s v="na"/>
    <s v="na"/>
    <s v="na"/>
    <s v="na"/>
    <s v="na"/>
    <s v="na"/>
    <s v="na"/>
  </r>
  <r>
    <n v="3277"/>
    <x v="71"/>
    <n v="2"/>
    <x v="10"/>
    <x v="0"/>
    <x v="0"/>
    <m/>
    <m/>
    <n v="55"/>
    <m/>
    <s v="M"/>
    <m/>
    <d v="1899-12-30T00:19:00"/>
    <s v="16:04"/>
    <s v="JK"/>
    <m/>
    <s v="20140822 KShippen"/>
    <s v="20140823 Kshippen"/>
    <s v="x"/>
    <s v="x"/>
    <s v="na"/>
    <s v="FWL"/>
    <s v="na"/>
    <s v="na"/>
    <s v="na"/>
    <s v="na"/>
    <s v="na"/>
    <s v="na"/>
    <s v="na"/>
    <s v="na"/>
  </r>
  <r>
    <n v="3278"/>
    <x v="71"/>
    <n v="2"/>
    <x v="13"/>
    <x v="0"/>
    <x v="0"/>
    <m/>
    <m/>
    <n v="51"/>
    <m/>
    <s v="M"/>
    <m/>
    <d v="1899-12-30T00:20:00"/>
    <s v="15:59"/>
    <s v="JK"/>
    <m/>
    <s v="20140822 KShippen"/>
    <s v="20140823 Kshippen"/>
    <s v="x"/>
    <s v="x"/>
    <s v="na"/>
    <s v="FWL"/>
    <s v="na"/>
    <s v="na"/>
    <s v="na"/>
    <s v="na"/>
    <s v="na"/>
    <s v="na"/>
    <s v="na"/>
    <s v="na"/>
  </r>
  <r>
    <n v="3279"/>
    <x v="71"/>
    <n v="2"/>
    <x v="7"/>
    <x v="0"/>
    <x v="10"/>
    <n v="23"/>
    <s v="173 S"/>
    <n v="54"/>
    <m/>
    <s v="M"/>
    <m/>
    <d v="1899-12-30T00:40:00"/>
    <s v="16:05"/>
    <s v="KS"/>
    <m/>
    <s v="20140822 KShippen"/>
    <s v="20140823 Kshippen"/>
    <s v="x"/>
    <n v="151.58600000000001"/>
    <s v="na"/>
    <s v="FWL"/>
    <s v="na"/>
    <s v="na"/>
    <s v="F1840"/>
    <s v="na"/>
    <s v="na"/>
    <s v="na"/>
    <s v="na"/>
    <s v="na"/>
  </r>
  <r>
    <n v="3280"/>
    <x v="71"/>
    <n v="2"/>
    <x v="13"/>
    <x v="0"/>
    <x v="0"/>
    <m/>
    <m/>
    <n v="59"/>
    <m/>
    <s v="M"/>
    <m/>
    <d v="1899-12-30T00:17:00"/>
    <s v="16:02"/>
    <s v="JK"/>
    <m/>
    <s v="20140822 KShippen"/>
    <s v="20140823 Kshippen"/>
    <s v="x"/>
    <s v="x"/>
    <s v="na"/>
    <s v="FWL"/>
    <s v="na"/>
    <s v="na"/>
    <s v="na"/>
    <s v="na"/>
    <s v="na"/>
    <s v="na"/>
    <s v="na"/>
    <s v="na"/>
  </r>
  <r>
    <n v="3281"/>
    <x v="71"/>
    <n v="2"/>
    <x v="10"/>
    <x v="0"/>
    <x v="0"/>
    <m/>
    <m/>
    <n v="57"/>
    <m/>
    <s v="M"/>
    <m/>
    <d v="1899-12-30T00:18:00"/>
    <s v="16:08"/>
    <s v="JK"/>
    <m/>
    <s v="20140822 KShippen"/>
    <s v="20140823 Kshippen"/>
    <s v="x"/>
    <s v="x"/>
    <s v="na"/>
    <s v="FWL"/>
    <s v="na"/>
    <s v="na"/>
    <s v="na"/>
    <s v="na"/>
    <s v="na"/>
    <s v="na"/>
    <s v="na"/>
    <s v="na"/>
  </r>
  <r>
    <n v="3282"/>
    <x v="71"/>
    <n v="2"/>
    <x v="10"/>
    <x v="0"/>
    <x v="0"/>
    <m/>
    <m/>
    <n v="60"/>
    <m/>
    <s v="M"/>
    <m/>
    <d v="1899-12-30T00:22:00"/>
    <s v="16:10"/>
    <s v="KS"/>
    <m/>
    <s v="20140822 KShippen"/>
    <s v="20140823 Kshippen"/>
    <s v="x"/>
    <s v="x"/>
    <s v="na"/>
    <s v="FWL"/>
    <s v="na"/>
    <s v="na"/>
    <s v="na"/>
    <s v="na"/>
    <s v="na"/>
    <s v="na"/>
    <s v="na"/>
    <s v="na"/>
  </r>
  <r>
    <n v="3283"/>
    <x v="71"/>
    <n v="2"/>
    <x v="12"/>
    <x v="0"/>
    <x v="0"/>
    <m/>
    <m/>
    <n v="47"/>
    <m/>
    <s v="M"/>
    <m/>
    <d v="1899-12-30T00:18:00"/>
    <s v="16:15"/>
    <s v="JK"/>
    <m/>
    <s v="20140822 KShippen"/>
    <s v="20140823 Kshippen"/>
    <s v="x"/>
    <s v="x"/>
    <s v="na"/>
    <s v="FWL"/>
    <s v="na"/>
    <s v="na"/>
    <s v="na"/>
    <s v="na"/>
    <s v="na"/>
    <s v="na"/>
    <s v="na"/>
    <s v="na"/>
  </r>
  <r>
    <n v="3284"/>
    <x v="71"/>
    <n v="2"/>
    <x v="10"/>
    <x v="0"/>
    <x v="0"/>
    <m/>
    <m/>
    <n v="59"/>
    <m/>
    <s v="M"/>
    <m/>
    <d v="1899-12-30T00:30:00"/>
    <s v="18:01"/>
    <s v="CSw"/>
    <m/>
    <s v="20140822 CSewright"/>
    <s v="20140823 Kshippen"/>
    <s v="x"/>
    <s v="x"/>
    <s v="na"/>
    <s v="FWL"/>
    <s v="na"/>
    <s v="na"/>
    <s v="na"/>
    <s v="na"/>
    <s v="na"/>
    <s v="na"/>
    <s v="na"/>
    <s v="na"/>
  </r>
  <r>
    <n v="3285"/>
    <x v="71"/>
    <n v="2"/>
    <x v="10"/>
    <x v="0"/>
    <x v="0"/>
    <m/>
    <m/>
    <n v="45"/>
    <m/>
    <s v="M"/>
    <m/>
    <d v="1899-12-30T00:23:00"/>
    <s v="18:05"/>
    <s v="CSw"/>
    <m/>
    <s v="20140822 CSewright"/>
    <s v="20140823 Kshippen"/>
    <s v="x"/>
    <s v="x"/>
    <s v="na"/>
    <s v="FWL"/>
    <s v="na"/>
    <s v="na"/>
    <s v="na"/>
    <s v="na"/>
    <s v="na"/>
    <s v="na"/>
    <s v="na"/>
    <s v="na"/>
  </r>
  <r>
    <n v="3286"/>
    <x v="71"/>
    <n v="2"/>
    <x v="10"/>
    <x v="0"/>
    <x v="0"/>
    <m/>
    <m/>
    <n v="57"/>
    <m/>
    <s v="M"/>
    <m/>
    <d v="1899-12-30T00:31:00"/>
    <s v="18:09"/>
    <s v="CSw"/>
    <m/>
    <s v="20140822 CSewright"/>
    <s v="20140823 Kshippen"/>
    <s v="x"/>
    <s v="x"/>
    <s v="na"/>
    <s v="FWL"/>
    <s v="na"/>
    <s v="na"/>
    <s v="na"/>
    <s v="na"/>
    <s v="na"/>
    <s v="na"/>
    <s v="na"/>
    <s v="na"/>
  </r>
  <r>
    <n v="3287"/>
    <x v="71"/>
    <n v="2"/>
    <x v="13"/>
    <x v="0"/>
    <x v="0"/>
    <m/>
    <m/>
    <n v="58"/>
    <m/>
    <s v="F"/>
    <m/>
    <d v="1899-12-30T00:34:00"/>
    <s v="19:21"/>
    <s v="CSw"/>
    <m/>
    <s v="20140822 CSewright"/>
    <s v="20140823 Kshippen"/>
    <s v="x"/>
    <s v="x"/>
    <s v="na"/>
    <s v="FWL"/>
    <s v="na"/>
    <s v="na"/>
    <s v="na"/>
    <s v="na"/>
    <s v="na"/>
    <s v="na"/>
    <s v="na"/>
    <s v="na"/>
  </r>
  <r>
    <n v="3288"/>
    <x v="71"/>
    <n v="2"/>
    <x v="10"/>
    <x v="0"/>
    <x v="0"/>
    <m/>
    <m/>
    <n v="58"/>
    <m/>
    <s v="F"/>
    <m/>
    <d v="1899-12-30T00:30:00"/>
    <s v="19:23"/>
    <s v="CSw"/>
    <m/>
    <s v="20140822 CSewright"/>
    <s v="20140823 Kshippen"/>
    <s v="x"/>
    <s v="x"/>
    <s v="na"/>
    <s v="FWL"/>
    <s v="na"/>
    <s v="na"/>
    <s v="na"/>
    <s v="na"/>
    <s v="na"/>
    <s v="na"/>
    <s v="na"/>
    <s v="na"/>
  </r>
  <r>
    <n v="3289"/>
    <x v="71"/>
    <n v="2"/>
    <x v="10"/>
    <x v="0"/>
    <x v="0"/>
    <m/>
    <m/>
    <n v="63"/>
    <m/>
    <s v="F"/>
    <m/>
    <d v="1899-12-30T00:33:00"/>
    <s v="19:24"/>
    <s v="CSw"/>
    <m/>
    <s v="20140822 CSewright"/>
    <s v="20140823 Kshippen"/>
    <s v="x"/>
    <s v="x"/>
    <s v="na"/>
    <s v="FWL"/>
    <s v="na"/>
    <s v="na"/>
    <s v="na"/>
    <s v="na"/>
    <s v="na"/>
    <s v="na"/>
    <s v="na"/>
    <s v="na"/>
  </r>
  <r>
    <n v="3290"/>
    <x v="71"/>
    <n v="2"/>
    <x v="10"/>
    <x v="0"/>
    <x v="0"/>
    <m/>
    <m/>
    <n v="64"/>
    <m/>
    <s v="F"/>
    <m/>
    <d v="1899-12-30T00:39:00"/>
    <s v="20:08"/>
    <s v="CSw"/>
    <m/>
    <s v="20140822 CSewright"/>
    <s v="20140823 Kshippen"/>
    <s v="x"/>
    <s v="x"/>
    <s v="na"/>
    <s v="FWL"/>
    <s v="na"/>
    <s v="na"/>
    <s v="na"/>
    <s v="na"/>
    <s v="na"/>
    <s v="na"/>
    <s v="na"/>
    <s v="na"/>
  </r>
  <r>
    <n v="3291"/>
    <x v="71"/>
    <n v="3"/>
    <x v="12"/>
    <x v="0"/>
    <x v="0"/>
    <m/>
    <m/>
    <n v="45"/>
    <m/>
    <s v="F"/>
    <d v="1899-12-30T08:17:00"/>
    <d v="1899-12-30T00:19:00"/>
    <s v="08:19"/>
    <s v="CSj"/>
    <s v="wounds (size of a quarter) on both sides, mid side"/>
    <s v="20140822 CSejkora"/>
    <s v="20140823 Kshippen"/>
    <d v="1899-12-30T00:01:41"/>
    <s v="x"/>
    <s v="na"/>
    <s v="FWL"/>
    <s v="na"/>
    <s v="na"/>
    <s v="na"/>
    <s v="na"/>
    <s v="na"/>
    <s v="na"/>
    <s v="na"/>
    <s v="na"/>
  </r>
  <r>
    <n v="3292"/>
    <x v="71"/>
    <n v="3"/>
    <x v="13"/>
    <x v="0"/>
    <x v="14"/>
    <n v="56"/>
    <s v="146 CO"/>
    <n v="60"/>
    <m/>
    <s v="M"/>
    <d v="1899-12-30T09:29:00"/>
    <d v="1899-12-30T01:11:00"/>
    <s v="09:34"/>
    <s v="HR"/>
    <m/>
    <s v="20140822 CSejkora"/>
    <s v="20140823 Kshippen"/>
    <d v="1899-12-30T00:03:49"/>
    <n v="151.32499999999999"/>
    <s v="na"/>
    <s v="FWL"/>
    <s v="na"/>
    <s v="na"/>
    <s v="F1840"/>
    <s v="na"/>
    <s v="na"/>
    <s v="na"/>
    <s v="na"/>
    <s v="na"/>
  </r>
  <r>
    <n v="3293"/>
    <x v="71"/>
    <n v="3"/>
    <x v="13"/>
    <x v="0"/>
    <x v="14"/>
    <n v="10"/>
    <s v="153 CO"/>
    <n v="51"/>
    <m/>
    <s v="M"/>
    <m/>
    <d v="1899-12-30T00:58:00"/>
    <s v="09:38"/>
    <s v="HR"/>
    <s v="nice blush"/>
    <s v="20140822 CSejkora"/>
    <s v="20140823 Kshippen"/>
    <s v="x"/>
    <n v="151.32499999999999"/>
    <s v="na"/>
    <s v="FWL"/>
    <s v="na"/>
    <s v="na"/>
    <s v="F1840"/>
    <s v="na"/>
    <s v="na"/>
    <s v="na"/>
    <s v="na"/>
    <s v="na"/>
  </r>
  <r>
    <n v="3294"/>
    <x v="71"/>
    <n v="3"/>
    <x v="13"/>
    <x v="0"/>
    <x v="15"/>
    <n v="39"/>
    <s v="154 CO"/>
    <n v="58"/>
    <m/>
    <s v="M"/>
    <m/>
    <d v="1899-12-30T00:57:00"/>
    <s v="09:42"/>
    <s v="HR"/>
    <s v="F266.  nice blush"/>
    <s v="20140822 CSejkora"/>
    <s v="20140823 Kshippen"/>
    <s v="x"/>
    <n v="151.26599999999999"/>
    <s v="na"/>
    <s v="FWL"/>
    <s v="na"/>
    <s v="na"/>
    <s v="F1840"/>
    <s v="na"/>
    <s v="na"/>
    <s v="na"/>
    <s v="na"/>
    <s v="na"/>
  </r>
  <r>
    <n v="3295"/>
    <x v="71"/>
    <n v="3"/>
    <x v="0"/>
    <x v="2"/>
    <x v="0"/>
    <m/>
    <m/>
    <m/>
    <n v="37"/>
    <s v="U"/>
    <m/>
    <d v="1899-12-30T00:31:00"/>
    <s v="09:40"/>
    <s v="CSj"/>
    <m/>
    <s v="20140822 CSejkora"/>
    <s v="20140823 Kshippen"/>
    <s v="x"/>
    <s v="x"/>
    <s v="na"/>
    <s v="FWL"/>
    <s v="na"/>
    <s v="na"/>
    <s v="na"/>
    <s v="na"/>
    <s v="na"/>
    <s v="na"/>
    <s v="na"/>
    <s v="na"/>
  </r>
  <r>
    <n v="3296"/>
    <x v="71"/>
    <n v="3"/>
    <x v="13"/>
    <x v="0"/>
    <x v="14"/>
    <n v="55"/>
    <s v="155 CO"/>
    <n v="55"/>
    <m/>
    <s v="U"/>
    <m/>
    <d v="1899-12-30T01:05:00"/>
    <s v="10:42"/>
    <s v="CSj"/>
    <s v="silver"/>
    <s v="20140822 CSejkora"/>
    <s v="20140823 Kshippen"/>
    <s v="x"/>
    <n v="151.32499999999999"/>
    <s v="na"/>
    <s v="FWL"/>
    <s v="na"/>
    <s v="na"/>
    <s v="F1840"/>
    <s v="na"/>
    <s v="na"/>
    <s v="na"/>
    <s v="na"/>
    <s v="na"/>
  </r>
  <r>
    <n v="3297"/>
    <x v="71"/>
    <n v="3"/>
    <x v="10"/>
    <x v="0"/>
    <x v="7"/>
    <n v="53"/>
    <s v="193 CM"/>
    <n v="57"/>
    <m/>
    <s v="M"/>
    <m/>
    <d v="1899-12-30T01:02:00"/>
    <s v="10:49"/>
    <s v="CSJ"/>
    <m/>
    <s v="20140822 CSejkora"/>
    <s v="20140823 Kshippen"/>
    <s v="x"/>
    <n v="151.56399999999999"/>
    <s v="na"/>
    <s v="FWL"/>
    <s v="na"/>
    <s v="na"/>
    <s v="F1840"/>
    <s v="na"/>
    <s v="na"/>
    <s v="na"/>
    <s v="na"/>
    <s v="na"/>
  </r>
  <r>
    <n v="3298"/>
    <x v="71"/>
    <n v="3"/>
    <x v="10"/>
    <x v="0"/>
    <x v="0"/>
    <m/>
    <m/>
    <n v="57"/>
    <m/>
    <s v="M"/>
    <m/>
    <d v="1899-12-30T00:33:00"/>
    <s v="10:51"/>
    <s v="CSj"/>
    <m/>
    <s v="20140822 CSejkora"/>
    <s v="20140823 Kshippen"/>
    <s v="x"/>
    <s v="x"/>
    <s v="na"/>
    <s v="FWL"/>
    <s v="na"/>
    <s v="na"/>
    <s v="na"/>
    <s v="na"/>
    <s v="na"/>
    <s v="na"/>
    <s v="na"/>
    <s v="na"/>
  </r>
  <r>
    <n v="3299"/>
    <x v="71"/>
    <n v="3"/>
    <x v="10"/>
    <x v="0"/>
    <x v="0"/>
    <m/>
    <m/>
    <n v="54"/>
    <m/>
    <s v="M"/>
    <m/>
    <d v="1899-12-30T00:18:00"/>
    <s v="12:11"/>
    <s v="CSj"/>
    <m/>
    <s v="20140822 CSejkora"/>
    <s v="20140823 Kshippen"/>
    <s v="x"/>
    <s v="x"/>
    <s v="na"/>
    <s v="FWL"/>
    <s v="na"/>
    <s v="na"/>
    <s v="na"/>
    <s v="na"/>
    <s v="na"/>
    <s v="na"/>
    <s v="na"/>
    <s v="na"/>
  </r>
  <r>
    <n v="3300"/>
    <x v="71"/>
    <n v="3"/>
    <x v="10"/>
    <x v="0"/>
    <x v="0"/>
    <m/>
    <m/>
    <n v="56"/>
    <m/>
    <s v="M"/>
    <m/>
    <d v="1899-12-30T00:24:00"/>
    <s v="12:11"/>
    <s v="CSj"/>
    <m/>
    <s v="20140822 CSejkora"/>
    <s v="20140823 Kshippen"/>
    <s v="x"/>
    <s v="x"/>
    <s v="na"/>
    <s v="FWL"/>
    <s v="na"/>
    <s v="na"/>
    <s v="na"/>
    <s v="na"/>
    <s v="na"/>
    <s v="na"/>
    <s v="na"/>
    <s v="na"/>
  </r>
  <r>
    <n v="3301"/>
    <x v="71"/>
    <n v="3"/>
    <x v="10"/>
    <x v="0"/>
    <x v="0"/>
    <m/>
    <m/>
    <n v="52"/>
    <m/>
    <s v="M"/>
    <m/>
    <d v="1899-12-30T00:23:00"/>
    <s v="12:13"/>
    <s v="CSj"/>
    <m/>
    <s v="20140822 CSejkora"/>
    <s v="20140823 Kshippen"/>
    <s v="x"/>
    <s v="x"/>
    <s v="na"/>
    <s v="FWL"/>
    <s v="na"/>
    <s v="na"/>
    <s v="na"/>
    <s v="na"/>
    <s v="na"/>
    <s v="na"/>
    <s v="na"/>
    <s v="na"/>
  </r>
  <r>
    <n v="3302"/>
    <x v="71"/>
    <n v="3"/>
    <x v="0"/>
    <x v="0"/>
    <x v="0"/>
    <m/>
    <m/>
    <m/>
    <n v="31"/>
    <s v="U"/>
    <m/>
    <d v="1899-12-30T00:15:00"/>
    <s v="12:14"/>
    <s v="HR"/>
    <m/>
    <s v="20140822 CSejkora"/>
    <s v="20140823 Kshippen"/>
    <s v="x"/>
    <s v="x"/>
    <s v="na"/>
    <s v="FWL"/>
    <s v="na"/>
    <s v="na"/>
    <s v="na"/>
    <s v="na"/>
    <s v="na"/>
    <s v="na"/>
    <s v="na"/>
    <s v="na"/>
  </r>
  <r>
    <n v="3303"/>
    <x v="71"/>
    <n v="3"/>
    <x v="10"/>
    <x v="0"/>
    <x v="0"/>
    <m/>
    <m/>
    <n v="57"/>
    <m/>
    <s v="F"/>
    <m/>
    <d v="1899-12-30T00:26:00"/>
    <s v="12:16"/>
    <s v="CSj"/>
    <m/>
    <s v="20140822 CSejkora"/>
    <s v="20140823 Kshippen"/>
    <s v="x"/>
    <s v="x"/>
    <s v="na"/>
    <s v="FWL"/>
    <s v="na"/>
    <s v="na"/>
    <s v="na"/>
    <s v="na"/>
    <s v="na"/>
    <s v="na"/>
    <s v="na"/>
    <s v="na"/>
  </r>
  <r>
    <n v="3304"/>
    <x v="71"/>
    <n v="3"/>
    <x v="12"/>
    <x v="0"/>
    <x v="0"/>
    <m/>
    <m/>
    <n v="44"/>
    <m/>
    <s v="F"/>
    <m/>
    <d v="1899-12-30T00:24:00"/>
    <s v="12:47"/>
    <s v="HR"/>
    <s v="several open sores"/>
    <s v="20140822 CSejkora"/>
    <s v="20140823 Kshippen"/>
    <s v="x"/>
    <s v="x"/>
    <s v="na"/>
    <s v="FWL"/>
    <s v="na"/>
    <s v="na"/>
    <s v="na"/>
    <s v="na"/>
    <s v="na"/>
    <s v="na"/>
    <s v="na"/>
    <s v="na"/>
  </r>
  <r>
    <n v="3305"/>
    <x v="71"/>
    <n v="3"/>
    <x v="10"/>
    <x v="0"/>
    <x v="0"/>
    <m/>
    <m/>
    <n v="52"/>
    <m/>
    <s v="F"/>
    <m/>
    <d v="1899-12-30T00:18:00"/>
    <s v="13:38"/>
    <s v="HR"/>
    <m/>
    <s v="20140822 CSejkora"/>
    <s v="20140823 Kshippen"/>
    <s v="x"/>
    <s v="x"/>
    <s v="na"/>
    <s v="FWL"/>
    <s v="na"/>
    <s v="na"/>
    <s v="na"/>
    <s v="na"/>
    <s v="na"/>
    <s v="na"/>
    <s v="na"/>
    <s v="na"/>
  </r>
  <r>
    <n v="3306"/>
    <x v="71"/>
    <n v="3"/>
    <x v="13"/>
    <x v="0"/>
    <x v="15"/>
    <n v="99"/>
    <s v="156 CO"/>
    <n v="54"/>
    <m/>
    <s v="U"/>
    <d v="1899-12-30T13:42:00"/>
    <d v="1899-12-30T00:52:00"/>
    <s v="13:45"/>
    <s v="HR"/>
    <s v="F266."/>
    <s v="20140822 CSejkora"/>
    <s v="20140823 Kshippen"/>
    <d v="1899-12-30T00:02:08"/>
    <n v="151.26599999999999"/>
    <s v="na"/>
    <s v="FWL"/>
    <s v="na"/>
    <s v="na"/>
    <s v="F1840"/>
    <s v="na"/>
    <s v="na"/>
    <s v="na"/>
    <s v="na"/>
    <s v="na"/>
  </r>
  <r>
    <n v="3307"/>
    <x v="71"/>
    <n v="3"/>
    <x v="7"/>
    <x v="0"/>
    <x v="6"/>
    <n v="10"/>
    <s v="174 S"/>
    <n v="49"/>
    <m/>
    <s v="U"/>
    <m/>
    <d v="1899-12-30T01:16:00"/>
    <s v="13:47"/>
    <s v="HR"/>
    <m/>
    <s v="20140822 CSejkora"/>
    <s v="20140823 Kshippen"/>
    <s v="x"/>
    <n v="151.57300000000001"/>
    <s v="na"/>
    <s v="FWL"/>
    <s v="na"/>
    <s v="na"/>
    <s v="F1840"/>
    <s v="na"/>
    <s v="na"/>
    <s v="na"/>
    <s v="na"/>
    <s v="na"/>
  </r>
  <r>
    <n v="3308"/>
    <x v="71"/>
    <n v="3"/>
    <x v="3"/>
    <x v="2"/>
    <x v="0"/>
    <m/>
    <m/>
    <m/>
    <n v="31"/>
    <s v="U"/>
    <m/>
    <d v="1899-12-30T00:28:00"/>
    <s v="13:41"/>
    <s v="LA"/>
    <m/>
    <s v="20140822 JKunzler"/>
    <s v="20140823 Kshippen"/>
    <s v="x"/>
    <s v="x"/>
    <s v="na"/>
    <s v="FWL"/>
    <s v="na"/>
    <s v="na"/>
    <s v="na"/>
    <s v="na"/>
    <s v="na"/>
    <s v="na"/>
    <s v="na"/>
    <s v="na"/>
  </r>
  <r>
    <n v="3309"/>
    <x v="71"/>
    <n v="3"/>
    <x v="10"/>
    <x v="0"/>
    <x v="0"/>
    <m/>
    <m/>
    <n v="53"/>
    <m/>
    <s v="M"/>
    <m/>
    <d v="1899-12-30T00:21:00"/>
    <s v="13:44"/>
    <s v="HR"/>
    <m/>
    <s v="20140822 JKunzler"/>
    <s v="20140823 Kshippen"/>
    <s v="x"/>
    <s v="x"/>
    <s v="na"/>
    <s v="FWL"/>
    <s v="na"/>
    <s v="na"/>
    <s v="na"/>
    <s v="na"/>
    <s v="na"/>
    <s v="na"/>
    <s v="na"/>
    <s v="na"/>
  </r>
  <r>
    <n v="3310"/>
    <x v="71"/>
    <n v="3"/>
    <x v="13"/>
    <x v="0"/>
    <x v="0"/>
    <m/>
    <m/>
    <n v="60"/>
    <m/>
    <s v="F"/>
    <d v="1899-12-30T15:05:00"/>
    <d v="1899-12-30T00:20:00"/>
    <s v="15:10"/>
    <s v="KS"/>
    <m/>
    <s v="20140822 JKunzler"/>
    <s v="20140823 Kshippen"/>
    <d v="1899-12-30T00:04:40"/>
    <s v="x"/>
    <s v="na"/>
    <s v="FWL"/>
    <s v="na"/>
    <s v="na"/>
    <s v="na"/>
    <s v="na"/>
    <s v="na"/>
    <s v="na"/>
    <s v="na"/>
    <s v="na"/>
  </r>
  <r>
    <n v="3311"/>
    <x v="71"/>
    <n v="3"/>
    <x v="13"/>
    <x v="0"/>
    <x v="0"/>
    <m/>
    <m/>
    <n v="51"/>
    <m/>
    <s v="M"/>
    <m/>
    <d v="1899-12-30T00:19:00"/>
    <s v="15:14"/>
    <s v="KS"/>
    <m/>
    <s v="20140822 JKunzler"/>
    <s v="20140823 Kshippen"/>
    <s v="x"/>
    <s v="x"/>
    <s v="na"/>
    <s v="FWL"/>
    <s v="na"/>
    <s v="na"/>
    <s v="na"/>
    <s v="na"/>
    <s v="na"/>
    <s v="na"/>
    <s v="na"/>
    <s v="na"/>
  </r>
  <r>
    <n v="3312"/>
    <x v="71"/>
    <n v="3"/>
    <x v="13"/>
    <x v="0"/>
    <x v="0"/>
    <m/>
    <m/>
    <n v="60"/>
    <m/>
    <s v="M"/>
    <m/>
    <d v="1899-12-30T00:23:00"/>
    <s v="15:15"/>
    <s v="KS"/>
    <m/>
    <s v="20140822 JKunzler"/>
    <s v="20140823 Kshippen"/>
    <s v="x"/>
    <s v="x"/>
    <s v="na"/>
    <s v="FWL"/>
    <s v="na"/>
    <s v="na"/>
    <s v="na"/>
    <s v="na"/>
    <s v="na"/>
    <s v="na"/>
    <s v="na"/>
    <s v="na"/>
  </r>
  <r>
    <n v="3313"/>
    <x v="71"/>
    <n v="3"/>
    <x v="10"/>
    <x v="0"/>
    <x v="0"/>
    <m/>
    <m/>
    <n v="56"/>
    <m/>
    <s v="M"/>
    <m/>
    <d v="1899-12-30T00:18:00"/>
    <s v="15:16"/>
    <s v="KS"/>
    <m/>
    <s v="20140822 JKunzler"/>
    <s v="20140823 Kshippen"/>
    <s v="x"/>
    <s v="x"/>
    <s v="na"/>
    <s v="FWL"/>
    <s v="na"/>
    <s v="na"/>
    <s v="na"/>
    <s v="na"/>
    <s v="na"/>
    <s v="na"/>
    <s v="na"/>
    <s v="na"/>
  </r>
  <r>
    <n v="3314"/>
    <x v="71"/>
    <n v="3"/>
    <x v="10"/>
    <x v="0"/>
    <x v="0"/>
    <m/>
    <m/>
    <n v="61"/>
    <m/>
    <s v="M"/>
    <m/>
    <d v="1899-12-30T00:19:00"/>
    <s v="15:17"/>
    <s v="KS"/>
    <m/>
    <s v="20140822 JKunzler"/>
    <s v="20140823 Kshippen"/>
    <s v="x"/>
    <s v="x"/>
    <s v="na"/>
    <s v="FWL"/>
    <s v="na"/>
    <s v="na"/>
    <s v="na"/>
    <s v="na"/>
    <s v="na"/>
    <s v="na"/>
    <s v="na"/>
    <s v="na"/>
  </r>
  <r>
    <n v="3315"/>
    <x v="71"/>
    <n v="3"/>
    <x v="10"/>
    <x v="0"/>
    <x v="0"/>
    <m/>
    <m/>
    <n v="55"/>
    <m/>
    <s v="F"/>
    <m/>
    <d v="1899-12-30T00:18:00"/>
    <s v="15:44"/>
    <s v="JK"/>
    <m/>
    <s v="20140822 JKunzler"/>
    <s v="20140823 Kshippen"/>
    <s v="x"/>
    <s v="x"/>
    <s v="na"/>
    <s v="FWL"/>
    <s v="na"/>
    <s v="na"/>
    <s v="na"/>
    <s v="na"/>
    <s v="na"/>
    <s v="na"/>
    <s v="na"/>
    <s v="na"/>
  </r>
  <r>
    <n v="3316"/>
    <x v="71"/>
    <n v="3"/>
    <x v="10"/>
    <x v="0"/>
    <x v="0"/>
    <m/>
    <m/>
    <n v="53"/>
    <m/>
    <s v="M"/>
    <m/>
    <d v="1899-12-30T00:21:00"/>
    <s v="15:45"/>
    <s v="JK"/>
    <m/>
    <s v="20140822 JKunzler"/>
    <s v="20140823 Kshippen"/>
    <s v="x"/>
    <s v="x"/>
    <s v="na"/>
    <s v="FWL"/>
    <s v="na"/>
    <s v="na"/>
    <s v="na"/>
    <s v="na"/>
    <s v="na"/>
    <s v="na"/>
    <s v="na"/>
    <s v="na"/>
  </r>
  <r>
    <n v="3317"/>
    <x v="71"/>
    <n v="3"/>
    <x v="13"/>
    <x v="0"/>
    <x v="0"/>
    <m/>
    <m/>
    <n v="62"/>
    <m/>
    <s v="M"/>
    <m/>
    <d v="1899-12-30T00:22:00"/>
    <s v="17:41"/>
    <s v="JK"/>
    <m/>
    <s v="20140822 JKunzler"/>
    <s v="20140823 Kshippen"/>
    <s v="x"/>
    <s v="x"/>
    <s v="na"/>
    <s v="FWL"/>
    <s v="na"/>
    <s v="na"/>
    <s v="na"/>
    <s v="na"/>
    <s v="na"/>
    <s v="na"/>
    <s v="na"/>
    <s v="na"/>
  </r>
  <r>
    <n v="3318"/>
    <x v="71"/>
    <n v="3"/>
    <x v="10"/>
    <x v="0"/>
    <x v="0"/>
    <m/>
    <m/>
    <n v="58"/>
    <m/>
    <s v="F"/>
    <m/>
    <d v="1899-12-30T00:19:00"/>
    <s v="17:42"/>
    <s v="JK"/>
    <m/>
    <s v="20140822 JKunzler"/>
    <s v="20140823 Kshippen"/>
    <s v="x"/>
    <s v="x"/>
    <s v="na"/>
    <s v="FWL"/>
    <s v="na"/>
    <s v="na"/>
    <s v="na"/>
    <s v="na"/>
    <s v="na"/>
    <s v="na"/>
    <s v="na"/>
    <s v="na"/>
  </r>
  <r>
    <n v="3319"/>
    <x v="71"/>
    <n v="3"/>
    <x v="13"/>
    <x v="0"/>
    <x v="0"/>
    <m/>
    <m/>
    <n v="56"/>
    <m/>
    <s v="M"/>
    <m/>
    <d v="1899-12-30T00:18:00"/>
    <s v="17:42"/>
    <s v="JK"/>
    <m/>
    <s v="20140822 JKunzler"/>
    <s v="20140823 Kshippen"/>
    <s v="x"/>
    <s v="x"/>
    <s v="na"/>
    <s v="FWL"/>
    <s v="na"/>
    <s v="na"/>
    <s v="na"/>
    <s v="na"/>
    <s v="na"/>
    <s v="na"/>
    <s v="na"/>
    <s v="na"/>
  </r>
  <r>
    <n v="3320"/>
    <x v="71"/>
    <n v="3"/>
    <x v="12"/>
    <x v="0"/>
    <x v="0"/>
    <m/>
    <m/>
    <n v="36"/>
    <m/>
    <s v="F"/>
    <m/>
    <d v="1899-12-30T00:20:00"/>
    <s v="17:43"/>
    <s v="JK"/>
    <m/>
    <s v="20140822 JKunzler"/>
    <s v="20140823 Kshippen"/>
    <s v="x"/>
    <s v="x"/>
    <s v="na"/>
    <s v="FWL"/>
    <s v="na"/>
    <s v="na"/>
    <s v="na"/>
    <s v="na"/>
    <s v="na"/>
    <s v="na"/>
    <s v="na"/>
    <s v="na"/>
  </r>
  <r>
    <n v="3321"/>
    <x v="71"/>
    <n v="3"/>
    <x v="13"/>
    <x v="0"/>
    <x v="0"/>
    <m/>
    <m/>
    <n v="56"/>
    <m/>
    <s v="F"/>
    <m/>
    <d v="1899-12-30T00:19:00"/>
    <s v="17:44"/>
    <s v="JK"/>
    <m/>
    <s v="20140822 JKunzler"/>
    <s v="20140823 Kshippen"/>
    <s v="x"/>
    <s v="x"/>
    <s v="na"/>
    <s v="FWL"/>
    <s v="na"/>
    <s v="na"/>
    <s v="na"/>
    <s v="na"/>
    <s v="na"/>
    <s v="na"/>
    <s v="na"/>
    <s v="na"/>
  </r>
  <r>
    <n v="3322"/>
    <x v="71"/>
    <n v="3"/>
    <x v="12"/>
    <x v="0"/>
    <x v="0"/>
    <m/>
    <m/>
    <n v="32"/>
    <m/>
    <s v="F"/>
    <m/>
    <d v="1899-12-30T00:16:00"/>
    <s v="17:45"/>
    <s v="JK"/>
    <m/>
    <s v="20140822 JKunzler"/>
    <s v="20140823 Kshippen"/>
    <s v="x"/>
    <s v="x"/>
    <s v="na"/>
    <s v="FWL"/>
    <s v="na"/>
    <s v="na"/>
    <s v="na"/>
    <s v="na"/>
    <s v="na"/>
    <s v="na"/>
    <s v="na"/>
    <s v="na"/>
  </r>
  <r>
    <n v="3323"/>
    <x v="71"/>
    <n v="3"/>
    <x v="12"/>
    <x v="0"/>
    <x v="0"/>
    <m/>
    <m/>
    <n v="43"/>
    <m/>
    <s v="F"/>
    <m/>
    <d v="1899-12-30T00:20:00"/>
    <s v="19:04"/>
    <s v="KS"/>
    <m/>
    <s v="20140822 JKunzler"/>
    <s v="20140823 Kshippen"/>
    <s v="x"/>
    <s v="x"/>
    <s v="na"/>
    <s v="FWL"/>
    <s v="na"/>
    <s v="na"/>
    <s v="na"/>
    <s v="na"/>
    <s v="na"/>
    <s v="na"/>
    <s v="na"/>
    <s v="na"/>
  </r>
  <r>
    <n v="3324"/>
    <x v="71"/>
    <n v="3"/>
    <x v="10"/>
    <x v="0"/>
    <x v="0"/>
    <m/>
    <m/>
    <n v="57"/>
    <m/>
    <s v="F"/>
    <m/>
    <d v="1899-12-30T00:18:00"/>
    <s v="19:05"/>
    <s v="KS"/>
    <m/>
    <s v="20140822 JKunzler"/>
    <s v="20140823 Kshippen"/>
    <s v="x"/>
    <s v="x"/>
    <s v="na"/>
    <s v="FWL"/>
    <s v="na"/>
    <s v="na"/>
    <s v="na"/>
    <s v="na"/>
    <s v="na"/>
    <s v="na"/>
    <s v="na"/>
    <s v="na"/>
  </r>
  <r>
    <n v="3325"/>
    <x v="71"/>
    <n v="3"/>
    <x v="10"/>
    <x v="0"/>
    <x v="0"/>
    <m/>
    <m/>
    <n v="52"/>
    <m/>
    <s v="F"/>
    <m/>
    <d v="1899-12-30T00:23:00"/>
    <s v="19:07"/>
    <s v="KS"/>
    <m/>
    <s v="20140822 JKunzler"/>
    <s v="20140823 Kshippen"/>
    <s v="x"/>
    <s v="x"/>
    <s v="na"/>
    <s v="FWL"/>
    <s v="na"/>
    <s v="na"/>
    <s v="na"/>
    <s v="na"/>
    <s v="na"/>
    <s v="na"/>
    <s v="na"/>
    <s v="na"/>
  </r>
  <r>
    <n v="3326"/>
    <x v="71"/>
    <n v="3"/>
    <x v="0"/>
    <x v="2"/>
    <x v="0"/>
    <m/>
    <m/>
    <m/>
    <n v="41"/>
    <s v="U"/>
    <m/>
    <d v="1899-12-30T00:18:00"/>
    <s v="19:08"/>
    <s v="KS"/>
    <m/>
    <s v="20140822 JKunzler"/>
    <s v="20140823 Kshippen"/>
    <s v="x"/>
    <s v="x"/>
    <s v="na"/>
    <s v="FWL"/>
    <s v="na"/>
    <s v="na"/>
    <s v="na"/>
    <s v="na"/>
    <s v="na"/>
    <s v="na"/>
    <s v="na"/>
    <s v="na"/>
  </r>
  <r>
    <n v="3327"/>
    <x v="71"/>
    <n v="3"/>
    <x v="10"/>
    <x v="0"/>
    <x v="0"/>
    <m/>
    <m/>
    <n v="63"/>
    <m/>
    <s v="M"/>
    <m/>
    <d v="1899-12-30T00:20:00"/>
    <s v="19:09"/>
    <s v="KS"/>
    <m/>
    <s v="20140822 JKunzler"/>
    <s v="20140823 Kshippen"/>
    <s v="x"/>
    <s v="x"/>
    <s v="na"/>
    <s v="FWL"/>
    <s v="na"/>
    <s v="na"/>
    <s v="na"/>
    <s v="na"/>
    <s v="na"/>
    <s v="na"/>
    <s v="na"/>
    <s v="na"/>
  </r>
  <r>
    <n v="3328"/>
    <x v="71"/>
    <n v="3"/>
    <x v="7"/>
    <x v="0"/>
    <x v="10"/>
    <n v="92"/>
    <s v="175 S"/>
    <n v="50"/>
    <m/>
    <s v="F"/>
    <m/>
    <d v="1899-12-30T01:14:00"/>
    <s v="19:16"/>
    <s v="JK"/>
    <m/>
    <s v="20140822 JKunzler"/>
    <s v="20140823 Kshippen"/>
    <s v="x"/>
    <n v="151.58600000000001"/>
    <s v="na"/>
    <s v="FWL"/>
    <s v="na"/>
    <s v="na"/>
    <s v="F1840"/>
    <s v="na"/>
    <s v="na"/>
    <s v="na"/>
    <s v="na"/>
    <s v="na"/>
  </r>
  <r>
    <n v="3329"/>
    <x v="71"/>
    <n v="3"/>
    <x v="13"/>
    <x v="0"/>
    <x v="0"/>
    <m/>
    <m/>
    <n v="57"/>
    <m/>
    <s v="F"/>
    <m/>
    <d v="1899-12-30T00:21:00"/>
    <s v="19:17"/>
    <s v="KS"/>
    <m/>
    <s v="20140822 JKunzler"/>
    <s v="20140823 Kshippen"/>
    <s v="x"/>
    <s v="x"/>
    <s v="na"/>
    <s v="FWL"/>
    <s v="na"/>
    <s v="na"/>
    <s v="na"/>
    <s v="na"/>
    <s v="na"/>
    <s v="na"/>
    <s v="na"/>
    <s v="na"/>
  </r>
  <r>
    <n v="3330"/>
    <x v="71"/>
    <n v="3"/>
    <x v="13"/>
    <x v="0"/>
    <x v="0"/>
    <m/>
    <m/>
    <n v="54"/>
    <m/>
    <s v="M"/>
    <m/>
    <d v="1899-12-30T00:20:00"/>
    <s v="20:14"/>
    <s v="KS"/>
    <m/>
    <s v="20140822 JKunzler"/>
    <s v="20140823 Kshippen"/>
    <s v="x"/>
    <s v="x"/>
    <s v="na"/>
    <s v="FWL"/>
    <s v="na"/>
    <s v="na"/>
    <s v="na"/>
    <s v="na"/>
    <s v="na"/>
    <s v="na"/>
    <s v="na"/>
    <s v="na"/>
  </r>
  <r>
    <n v="3331"/>
    <x v="72"/>
    <n v="1"/>
    <x v="10"/>
    <x v="0"/>
    <x v="7"/>
    <n v="33"/>
    <s v="195 CM"/>
    <n v="59"/>
    <m/>
    <s v="F"/>
    <m/>
    <d v="1899-12-30T01:57:00"/>
    <s v="09:53"/>
    <s v="CSw"/>
    <m/>
    <s v="20140823 CSewright"/>
    <s v="20140824 Kshippen"/>
    <s v="x"/>
    <n v="151.56399999999999"/>
    <s v="na"/>
    <s v="FWL"/>
    <s v="na"/>
    <s v="na"/>
    <s v="F1840"/>
    <s v="na"/>
    <s v="na"/>
    <s v="na"/>
    <s v="na"/>
    <s v="na"/>
  </r>
  <r>
    <n v="3332"/>
    <x v="72"/>
    <n v="1"/>
    <x v="10"/>
    <x v="0"/>
    <x v="0"/>
    <m/>
    <m/>
    <n v="60"/>
    <m/>
    <s v="M"/>
    <m/>
    <d v="1899-12-30T00:22:00"/>
    <s v="09:55"/>
    <s v="LG"/>
    <m/>
    <s v="20140823 CSewright"/>
    <s v="20140824 Kshippen"/>
    <s v="x"/>
    <s v="x"/>
    <s v="na"/>
    <s v="FWL"/>
    <s v="na"/>
    <s v="na"/>
    <s v="na"/>
    <s v="na"/>
    <s v="na"/>
    <s v="na"/>
    <s v="na"/>
    <s v="na"/>
  </r>
  <r>
    <n v="3333"/>
    <x v="72"/>
    <n v="1"/>
    <x v="10"/>
    <x v="0"/>
    <x v="0"/>
    <m/>
    <m/>
    <n v="55"/>
    <m/>
    <s v="F"/>
    <m/>
    <d v="1899-12-30T00:24:00"/>
    <s v="09:57"/>
    <s v="LG"/>
    <m/>
    <s v="20140823 CSewright"/>
    <s v="20140824 Kshippen"/>
    <s v="x"/>
    <s v="x"/>
    <s v="na"/>
    <s v="FWL"/>
    <s v="na"/>
    <s v="na"/>
    <s v="na"/>
    <s v="na"/>
    <s v="na"/>
    <s v="na"/>
    <s v="na"/>
    <s v="na"/>
  </r>
  <r>
    <n v="3334"/>
    <x v="72"/>
    <n v="1"/>
    <x v="10"/>
    <x v="0"/>
    <x v="0"/>
    <m/>
    <m/>
    <n v="53"/>
    <m/>
    <s v="M"/>
    <m/>
    <d v="1899-12-30T00:34:00"/>
    <s v="09:59"/>
    <s v="LG"/>
    <m/>
    <s v="20140823 CSewright"/>
    <s v="20140824 Kshippen"/>
    <s v="x"/>
    <s v="x"/>
    <s v="na"/>
    <s v="FWL"/>
    <s v="na"/>
    <s v="na"/>
    <s v="na"/>
    <s v="na"/>
    <s v="na"/>
    <s v="na"/>
    <s v="na"/>
    <s v="na"/>
  </r>
  <r>
    <n v="3335"/>
    <x v="72"/>
    <n v="1"/>
    <x v="12"/>
    <x v="0"/>
    <x v="0"/>
    <m/>
    <m/>
    <n v="44"/>
    <m/>
    <s v="F"/>
    <m/>
    <d v="1899-12-30T00:30:00"/>
    <s v="10:00"/>
    <s v="LG"/>
    <m/>
    <s v="20140823 CSewright"/>
    <s v="20140824 Kshippen"/>
    <s v="x"/>
    <s v="x"/>
    <s v="na"/>
    <s v="FWL"/>
    <s v="na"/>
    <s v="na"/>
    <s v="na"/>
    <s v="na"/>
    <s v="na"/>
    <s v="na"/>
    <s v="na"/>
    <s v="na"/>
  </r>
  <r>
    <n v="3336"/>
    <x v="72"/>
    <n v="1"/>
    <x v="10"/>
    <x v="0"/>
    <x v="0"/>
    <m/>
    <m/>
    <n v="62"/>
    <m/>
    <s v="M"/>
    <m/>
    <d v="1899-12-30T00:28:00"/>
    <s v="10:58"/>
    <s v="CSw"/>
    <m/>
    <s v="20140823 CSewright"/>
    <s v="20140824 Kshippen"/>
    <s v="x"/>
    <s v="x"/>
    <s v="na"/>
    <s v="FWL"/>
    <s v="na"/>
    <s v="na"/>
    <s v="na"/>
    <s v="na"/>
    <s v="na"/>
    <s v="na"/>
    <s v="na"/>
    <s v="na"/>
  </r>
  <r>
    <n v="3337"/>
    <x v="72"/>
    <n v="1"/>
    <x v="10"/>
    <x v="0"/>
    <x v="0"/>
    <m/>
    <m/>
    <n v="55"/>
    <m/>
    <s v="F"/>
    <m/>
    <d v="1899-12-30T00:32:00"/>
    <s v="12:06"/>
    <s v="AS"/>
    <m/>
    <s v="20140823 AStephens"/>
    <s v="20140824 Kshippen"/>
    <s v="x"/>
    <s v="x"/>
    <s v="na"/>
    <s v="FWL"/>
    <s v="na"/>
    <s v="na"/>
    <s v="na"/>
    <s v="na"/>
    <s v="na"/>
    <s v="na"/>
    <s v="na"/>
    <s v="na"/>
  </r>
  <r>
    <n v="3338"/>
    <x v="72"/>
    <n v="1"/>
    <x v="10"/>
    <x v="0"/>
    <x v="0"/>
    <m/>
    <m/>
    <n v="55"/>
    <m/>
    <s v="M"/>
    <m/>
    <d v="1899-12-30T00:33:00"/>
    <s v="13:13"/>
    <s v="AS"/>
    <m/>
    <s v="20140823 AStephens"/>
    <s v="20140824 Kshippen"/>
    <s v="x"/>
    <s v="x"/>
    <s v="na"/>
    <s v="FWL"/>
    <s v="na"/>
    <s v="na"/>
    <s v="na"/>
    <s v="na"/>
    <s v="na"/>
    <s v="na"/>
    <s v="na"/>
    <s v="na"/>
  </r>
  <r>
    <n v="3339"/>
    <x v="72"/>
    <n v="1"/>
    <x v="13"/>
    <x v="0"/>
    <x v="14"/>
    <n v="78"/>
    <s v="161 CO"/>
    <n v="54"/>
    <m/>
    <s v="F"/>
    <d v="1899-12-30T13:41:00"/>
    <d v="1899-12-30T00:56:00"/>
    <s v="14:02"/>
    <s v="KS"/>
    <m/>
    <s v="20140823 AStephens"/>
    <s v="20140824 Kshippen"/>
    <d v="1899-12-30T00:20:04"/>
    <n v="151.32499999999999"/>
    <s v="na"/>
    <s v="FWL"/>
    <s v="na"/>
    <s v="na"/>
    <s v="F1840"/>
    <s v="na"/>
    <s v="na"/>
    <s v="na"/>
    <s v="na"/>
    <s v="na"/>
  </r>
  <r>
    <n v="3340"/>
    <x v="72"/>
    <n v="1"/>
    <x v="10"/>
    <x v="0"/>
    <x v="0"/>
    <m/>
    <m/>
    <n v="60"/>
    <m/>
    <s v="F"/>
    <m/>
    <d v="1899-12-30T00:26:00"/>
    <s v="15:28"/>
    <s v="KS"/>
    <m/>
    <s v="20140823 AStephens"/>
    <s v="20140824 Kshippen"/>
    <s v="x"/>
    <s v="x"/>
    <s v="na"/>
    <s v="FWL"/>
    <s v="na"/>
    <s v="na"/>
    <s v="na"/>
    <s v="na"/>
    <s v="na"/>
    <s v="na"/>
    <s v="na"/>
    <s v="na"/>
  </r>
  <r>
    <n v="3341"/>
    <x v="72"/>
    <n v="1"/>
    <x v="10"/>
    <x v="0"/>
    <x v="0"/>
    <m/>
    <m/>
    <n v="54"/>
    <m/>
    <s v="F"/>
    <m/>
    <d v="1899-12-30T00:24:00"/>
    <s v="15:29"/>
    <s v="KS"/>
    <m/>
    <s v="20140823 AStephens"/>
    <s v="20140824 Kshippen"/>
    <s v="x"/>
    <s v="x"/>
    <s v="na"/>
    <s v="FWL"/>
    <s v="na"/>
    <s v="na"/>
    <s v="na"/>
    <s v="na"/>
    <s v="na"/>
    <s v="na"/>
    <s v="na"/>
    <s v="na"/>
  </r>
  <r>
    <n v="3342"/>
    <x v="72"/>
    <n v="1"/>
    <x v="10"/>
    <x v="0"/>
    <x v="0"/>
    <m/>
    <m/>
    <n v="58"/>
    <m/>
    <s v="M"/>
    <m/>
    <d v="1899-12-30T00:39:00"/>
    <s v="15:30"/>
    <s v="KS"/>
    <m/>
    <s v="20140823 AStephens"/>
    <s v="20140824 Kshippen"/>
    <s v="x"/>
    <s v="x"/>
    <s v="na"/>
    <s v="FWL"/>
    <s v="na"/>
    <s v="na"/>
    <s v="na"/>
    <s v="na"/>
    <s v="na"/>
    <s v="na"/>
    <s v="na"/>
    <s v="na"/>
  </r>
  <r>
    <n v="3343"/>
    <x v="72"/>
    <n v="1"/>
    <x v="10"/>
    <x v="0"/>
    <x v="0"/>
    <m/>
    <m/>
    <n v="58"/>
    <m/>
    <s v="F"/>
    <m/>
    <d v="1899-12-30T00:23:00"/>
    <s v="15:31"/>
    <s v="KS"/>
    <m/>
    <s v="20140823 AStephens"/>
    <s v="20140824 Kshippen"/>
    <s v="x"/>
    <s v="x"/>
    <s v="na"/>
    <s v="FWL"/>
    <s v="na"/>
    <s v="na"/>
    <s v="na"/>
    <s v="na"/>
    <s v="na"/>
    <s v="na"/>
    <s v="na"/>
    <s v="na"/>
  </r>
  <r>
    <n v="3344"/>
    <x v="72"/>
    <n v="1"/>
    <x v="10"/>
    <x v="0"/>
    <x v="0"/>
    <m/>
    <m/>
    <n v="53"/>
    <m/>
    <s v="M"/>
    <m/>
    <d v="1899-12-30T00:21:00"/>
    <s v="15:32"/>
    <s v="KS"/>
    <m/>
    <s v="20140823 AStephens"/>
    <s v="20140824 Kshippen"/>
    <s v="x"/>
    <s v="x"/>
    <s v="na"/>
    <s v="FWL"/>
    <s v="na"/>
    <s v="na"/>
    <s v="na"/>
    <s v="na"/>
    <s v="na"/>
    <s v="na"/>
    <s v="na"/>
    <s v="na"/>
  </r>
  <r>
    <n v="3345"/>
    <x v="72"/>
    <n v="1"/>
    <x v="10"/>
    <x v="0"/>
    <x v="0"/>
    <m/>
    <m/>
    <n v="62"/>
    <m/>
    <s v="M"/>
    <m/>
    <d v="1899-12-30T00:28:00"/>
    <s v="15:33"/>
    <s v="KS"/>
    <m/>
    <s v="20140823 AStephens"/>
    <s v="20140824 Kshippen"/>
    <s v="x"/>
    <s v="x"/>
    <s v="na"/>
    <s v="FWL"/>
    <s v="na"/>
    <s v="na"/>
    <s v="na"/>
    <s v="na"/>
    <s v="na"/>
    <s v="na"/>
    <s v="na"/>
    <s v="na"/>
  </r>
  <r>
    <n v="3346"/>
    <x v="72"/>
    <n v="1"/>
    <x v="10"/>
    <x v="0"/>
    <x v="0"/>
    <m/>
    <m/>
    <n v="54"/>
    <m/>
    <s v="M"/>
    <d v="1899-12-30T15:35:00"/>
    <d v="1899-12-30T00:22:00"/>
    <s v="15:39"/>
    <s v="AS"/>
    <m/>
    <s v="20140823 AStephens"/>
    <s v="20140824 Kshippen"/>
    <d v="1899-12-30T00:03:38"/>
    <s v="x"/>
    <s v="na"/>
    <s v="FWL"/>
    <s v="na"/>
    <s v="na"/>
    <s v="na"/>
    <s v="na"/>
    <s v="na"/>
    <s v="na"/>
    <s v="na"/>
    <s v="na"/>
  </r>
  <r>
    <n v="3347"/>
    <x v="72"/>
    <n v="1"/>
    <x v="10"/>
    <x v="0"/>
    <x v="0"/>
    <m/>
    <m/>
    <n v="60"/>
    <m/>
    <s v="F"/>
    <m/>
    <d v="1899-12-30T00:29:00"/>
    <s v="16:54"/>
    <s v="AS"/>
    <m/>
    <s v="20140823 AStephens"/>
    <s v="20140824 Kshippen"/>
    <s v="x"/>
    <s v="x"/>
    <s v="na"/>
    <s v="FWL"/>
    <s v="na"/>
    <s v="na"/>
    <s v="na"/>
    <s v="na"/>
    <s v="na"/>
    <s v="na"/>
    <s v="na"/>
    <s v="na"/>
  </r>
  <r>
    <n v="3348"/>
    <x v="72"/>
    <n v="1"/>
    <x v="13"/>
    <x v="0"/>
    <x v="15"/>
    <n v="18"/>
    <s v="168 CO"/>
    <n v="57"/>
    <m/>
    <s v="M"/>
    <m/>
    <d v="1899-12-30T01:47:00"/>
    <s v="19:02"/>
    <s v="JK"/>
    <s v="F266."/>
    <s v="20140823 JKunzler"/>
    <s v="20140824 Kshippen"/>
    <s v="x"/>
    <n v="151.26599999999999"/>
    <s v="na"/>
    <s v="FWL"/>
    <s v="na"/>
    <s v="na"/>
    <s v="F1840"/>
    <s v="na"/>
    <s v="na"/>
    <s v="na"/>
    <s v="na"/>
    <s v="na"/>
  </r>
  <r>
    <n v="3349"/>
    <x v="72"/>
    <n v="2"/>
    <x v="10"/>
    <x v="0"/>
    <x v="0"/>
    <m/>
    <m/>
    <n v="59"/>
    <m/>
    <s v="M"/>
    <m/>
    <d v="1899-12-30T00:32:00"/>
    <s v="10:27"/>
    <s v="LG"/>
    <m/>
    <s v="20140823 CSewright"/>
    <s v="20140824 Kshippen"/>
    <s v="x"/>
    <s v="x"/>
    <s v="na"/>
    <s v="FWL"/>
    <s v="na"/>
    <s v="na"/>
    <s v="na"/>
    <s v="na"/>
    <s v="na"/>
    <s v="na"/>
    <s v="na"/>
    <s v="na"/>
  </r>
  <r>
    <n v="3350"/>
    <x v="72"/>
    <n v="2"/>
    <x v="10"/>
    <x v="0"/>
    <x v="0"/>
    <m/>
    <m/>
    <n v="59"/>
    <m/>
    <s v="M"/>
    <m/>
    <d v="1899-12-30T00:36:00"/>
    <s v="10:28"/>
    <s v="LG"/>
    <m/>
    <s v="20140823 CSewright"/>
    <s v="20140824 Kshippen"/>
    <s v="x"/>
    <s v="x"/>
    <s v="na"/>
    <s v="FWL"/>
    <s v="na"/>
    <s v="na"/>
    <s v="na"/>
    <s v="na"/>
    <s v="na"/>
    <s v="na"/>
    <s v="na"/>
    <s v="na"/>
  </r>
  <r>
    <n v="3351"/>
    <x v="72"/>
    <n v="2"/>
    <x v="10"/>
    <x v="0"/>
    <x v="0"/>
    <m/>
    <m/>
    <n v="55"/>
    <m/>
    <s v="M"/>
    <m/>
    <d v="1899-12-30T00:34:00"/>
    <s v="10:32"/>
    <s v="LG"/>
    <m/>
    <s v="20140823 CSewright"/>
    <s v="20140824 Kshippen"/>
    <s v="x"/>
    <s v="x"/>
    <s v="na"/>
    <s v="FWL"/>
    <s v="na"/>
    <s v="na"/>
    <s v="na"/>
    <s v="na"/>
    <s v="na"/>
    <s v="na"/>
    <s v="na"/>
    <s v="na"/>
  </r>
  <r>
    <n v="3352"/>
    <x v="72"/>
    <n v="2"/>
    <x v="10"/>
    <x v="0"/>
    <x v="0"/>
    <m/>
    <m/>
    <n v="56"/>
    <m/>
    <s v="M"/>
    <m/>
    <d v="1899-12-30T00:27:00"/>
    <s v="10:34"/>
    <s v="LG"/>
    <m/>
    <s v="20140823 CSewright"/>
    <s v="20140824 Kshippen"/>
    <s v="x"/>
    <s v="x"/>
    <s v="na"/>
    <s v="FWL"/>
    <s v="na"/>
    <s v="na"/>
    <s v="na"/>
    <s v="na"/>
    <s v="na"/>
    <s v="na"/>
    <s v="na"/>
    <s v="na"/>
  </r>
  <r>
    <n v="3353"/>
    <x v="72"/>
    <n v="2"/>
    <x v="10"/>
    <x v="0"/>
    <x v="0"/>
    <m/>
    <m/>
    <n v="59"/>
    <m/>
    <s v="M"/>
    <m/>
    <d v="1899-12-30T00:29:00"/>
    <s v="12:20"/>
    <s v="KS"/>
    <m/>
    <s v="20140823 KShippen"/>
    <s v="20140824 Kshippen"/>
    <s v="x"/>
    <s v="x"/>
    <s v="na"/>
    <s v="FWL"/>
    <s v="na"/>
    <s v="na"/>
    <s v="na"/>
    <s v="na"/>
    <s v="na"/>
    <s v="na"/>
    <s v="na"/>
    <s v="na"/>
  </r>
  <r>
    <n v="3354"/>
    <x v="72"/>
    <n v="2"/>
    <x v="10"/>
    <x v="0"/>
    <x v="0"/>
    <m/>
    <m/>
    <n v="66"/>
    <m/>
    <s v="F"/>
    <d v="1899-12-30T12:45:00"/>
    <d v="1899-12-30T00:24:00"/>
    <s v="12:54"/>
    <s v="KS"/>
    <m/>
    <s v="20140823 KShippen"/>
    <s v="20140824 Kshippen"/>
    <d v="1899-12-30T00:08:36"/>
    <s v="x"/>
    <s v="na"/>
    <s v="FWL"/>
    <s v="na"/>
    <s v="na"/>
    <s v="na"/>
    <s v="na"/>
    <s v="na"/>
    <s v="na"/>
    <s v="na"/>
    <s v="na"/>
  </r>
  <r>
    <n v="3355"/>
    <x v="72"/>
    <n v="3"/>
    <x v="12"/>
    <x v="0"/>
    <x v="0"/>
    <m/>
    <m/>
    <n v="47"/>
    <m/>
    <s v="M"/>
    <m/>
    <d v="1899-12-30T00:21:00"/>
    <s v="09:02"/>
    <s v="NC"/>
    <m/>
    <s v="20140823 JKunzler"/>
    <s v="20140824 Kshippen"/>
    <s v="x"/>
    <s v="x"/>
    <s v="na"/>
    <s v="FWL"/>
    <s v="na"/>
    <s v="na"/>
    <s v="na"/>
    <s v="na"/>
    <s v="na"/>
    <s v="na"/>
    <s v="na"/>
    <s v="na"/>
  </r>
  <r>
    <n v="3356"/>
    <x v="72"/>
    <n v="3"/>
    <x v="0"/>
    <x v="2"/>
    <x v="0"/>
    <m/>
    <m/>
    <m/>
    <n v="19"/>
    <s v="U"/>
    <m/>
    <d v="1899-12-30T00:30:00"/>
    <s v="09:03"/>
    <s v="JK"/>
    <m/>
    <s v="20140823 JKunzler"/>
    <s v="20140824 Kshippen"/>
    <s v="x"/>
    <s v="x"/>
    <s v="na"/>
    <s v="FWL"/>
    <s v="na"/>
    <s v="na"/>
    <s v="na"/>
    <s v="na"/>
    <s v="na"/>
    <s v="na"/>
    <s v="na"/>
    <s v="na"/>
  </r>
  <r>
    <n v="3357"/>
    <x v="72"/>
    <n v="3"/>
    <x v="10"/>
    <x v="0"/>
    <x v="7"/>
    <n v="84"/>
    <s v="194 CM"/>
    <n v="58"/>
    <m/>
    <s v="M"/>
    <m/>
    <d v="1899-12-30T01:21:00"/>
    <s v="10:51"/>
    <s v="NC"/>
    <m/>
    <s v="20140823 JKunzler"/>
    <s v="20140824 Kshippen"/>
    <s v="x"/>
    <n v="151.56399999999999"/>
    <s v="na"/>
    <s v="FWL"/>
    <s v="na"/>
    <s v="na"/>
    <s v="F1840"/>
    <s v="na"/>
    <s v="na"/>
    <s v="na"/>
    <s v="na"/>
    <s v="na"/>
  </r>
  <r>
    <n v="3358"/>
    <x v="72"/>
    <n v="3"/>
    <x v="10"/>
    <x v="0"/>
    <x v="0"/>
    <m/>
    <m/>
    <n v="53"/>
    <m/>
    <s v="F"/>
    <m/>
    <d v="1899-12-30T00:15:00"/>
    <s v="10:53"/>
    <s v="JK"/>
    <m/>
    <s v="20140823 JKunzler"/>
    <s v="20140824 Kshippen"/>
    <s v="x"/>
    <s v="x"/>
    <s v="na"/>
    <s v="FWL"/>
    <s v="na"/>
    <s v="na"/>
    <s v="na"/>
    <s v="na"/>
    <s v="na"/>
    <s v="na"/>
    <s v="na"/>
    <s v="na"/>
  </r>
  <r>
    <n v="3359"/>
    <x v="72"/>
    <n v="3"/>
    <x v="10"/>
    <x v="0"/>
    <x v="0"/>
    <m/>
    <m/>
    <n v="58"/>
    <m/>
    <s v="M"/>
    <m/>
    <d v="1899-12-30T00:17:00"/>
    <s v="10:54"/>
    <s v="JK"/>
    <m/>
    <s v="20140823 JKunzler"/>
    <s v="20140824 Kshippen"/>
    <s v="x"/>
    <s v="x"/>
    <s v="na"/>
    <s v="FWL"/>
    <s v="na"/>
    <s v="na"/>
    <s v="na"/>
    <s v="na"/>
    <s v="na"/>
    <s v="na"/>
    <s v="na"/>
    <s v="na"/>
  </r>
  <r>
    <n v="3360"/>
    <x v="72"/>
    <n v="3"/>
    <x v="0"/>
    <x v="2"/>
    <x v="0"/>
    <m/>
    <m/>
    <m/>
    <n v="21"/>
    <s v="U"/>
    <m/>
    <m/>
    <s v="10:58"/>
    <s v="JK"/>
    <m/>
    <s v="20140823 JKunzler"/>
    <s v="20140824 Kshippen"/>
    <s v="x"/>
    <s v="x"/>
    <s v="na"/>
    <s v="FWL"/>
    <s v="na"/>
    <s v="na"/>
    <s v="na"/>
    <s v="na"/>
    <s v="na"/>
    <s v="na"/>
    <s v="na"/>
    <s v="na"/>
  </r>
  <r>
    <n v="3361"/>
    <x v="72"/>
    <n v="3"/>
    <x v="13"/>
    <x v="0"/>
    <x v="0"/>
    <m/>
    <m/>
    <n v="51"/>
    <m/>
    <s v="F"/>
    <m/>
    <d v="1899-12-30T01:53:00"/>
    <s v="11:02"/>
    <s v="NC"/>
    <s v="Tried to set tag 3 attempts-failed."/>
    <s v="20140823 JKunzler"/>
    <s v="20140824 Kshippen"/>
    <s v="x"/>
    <s v="x"/>
    <s v="na"/>
    <s v="FWL"/>
    <s v="na"/>
    <s v="na"/>
    <s v="na"/>
    <s v="na"/>
    <s v="na"/>
    <s v="na"/>
    <s v="na"/>
    <s v="na"/>
  </r>
  <r>
    <n v="3362"/>
    <x v="72"/>
    <n v="3"/>
    <x v="10"/>
    <x v="0"/>
    <x v="0"/>
    <m/>
    <m/>
    <n v="57"/>
    <m/>
    <s v="F"/>
    <m/>
    <d v="1899-12-30T00:16:00"/>
    <s v="12:22"/>
    <s v="JK"/>
    <m/>
    <s v="20140823 JKunzler"/>
    <s v="20140824 Kshippen"/>
    <s v="x"/>
    <s v="x"/>
    <s v="na"/>
    <s v="FWL"/>
    <s v="na"/>
    <s v="na"/>
    <s v="na"/>
    <s v="na"/>
    <s v="na"/>
    <s v="na"/>
    <s v="na"/>
    <s v="na"/>
  </r>
  <r>
    <n v="3363"/>
    <x v="72"/>
    <n v="3"/>
    <x v="10"/>
    <x v="0"/>
    <x v="0"/>
    <m/>
    <m/>
    <n v="52"/>
    <m/>
    <s v="F"/>
    <m/>
    <d v="1899-12-30T00:24:00"/>
    <s v="12:24"/>
    <s v="JK"/>
    <m/>
    <s v="20140823 JKunzler"/>
    <s v="20140824 Kshippen"/>
    <s v="x"/>
    <s v="x"/>
    <s v="na"/>
    <s v="FWL"/>
    <s v="na"/>
    <s v="na"/>
    <s v="na"/>
    <s v="na"/>
    <s v="na"/>
    <s v="na"/>
    <s v="na"/>
    <s v="na"/>
  </r>
  <r>
    <n v="3364"/>
    <x v="72"/>
    <n v="3"/>
    <x v="12"/>
    <x v="0"/>
    <x v="0"/>
    <m/>
    <m/>
    <n v="48"/>
    <m/>
    <s v="M"/>
    <m/>
    <d v="1899-12-30T00:24:00"/>
    <s v="12:25"/>
    <s v="JK"/>
    <m/>
    <s v="20140823 JKunzler"/>
    <s v="20140824 Kshippen"/>
    <s v="x"/>
    <s v="x"/>
    <s v="na"/>
    <s v="FWL"/>
    <s v="na"/>
    <s v="na"/>
    <s v="na"/>
    <s v="na"/>
    <s v="na"/>
    <s v="na"/>
    <s v="na"/>
    <s v="na"/>
  </r>
  <r>
    <n v="3365"/>
    <x v="72"/>
    <n v="3"/>
    <x v="10"/>
    <x v="0"/>
    <x v="0"/>
    <m/>
    <m/>
    <n v="62"/>
    <m/>
    <s v="M"/>
    <m/>
    <d v="1899-12-30T00:32:00"/>
    <s v="13:44"/>
    <s v="NC"/>
    <m/>
    <s v="20140823 JKunzler"/>
    <s v="20140824 Kshippen"/>
    <s v="x"/>
    <s v="x"/>
    <s v="na"/>
    <s v="FWL"/>
    <s v="na"/>
    <s v="na"/>
    <s v="na"/>
    <s v="na"/>
    <s v="na"/>
    <s v="na"/>
    <s v="na"/>
    <s v="na"/>
  </r>
  <r>
    <n v="3366"/>
    <x v="72"/>
    <n v="3"/>
    <x v="10"/>
    <x v="0"/>
    <x v="0"/>
    <m/>
    <m/>
    <n v="57"/>
    <m/>
    <s v="M"/>
    <m/>
    <d v="1899-12-30T00:29:00"/>
    <s v="13:46"/>
    <s v="NC"/>
    <m/>
    <s v="20140823 JKunzler"/>
    <s v="20140824 Kshippen"/>
    <s v="x"/>
    <s v="x"/>
    <s v="na"/>
    <s v="FWL"/>
    <s v="na"/>
    <s v="na"/>
    <s v="na"/>
    <s v="na"/>
    <s v="na"/>
    <s v="na"/>
    <s v="na"/>
    <s v="na"/>
  </r>
  <r>
    <n v="3367"/>
    <x v="72"/>
    <n v="3"/>
    <x v="10"/>
    <x v="0"/>
    <x v="0"/>
    <m/>
    <m/>
    <n v="63"/>
    <m/>
    <s v="M"/>
    <m/>
    <d v="1899-12-30T00:38:00"/>
    <s v="13:48"/>
    <s v="NC"/>
    <m/>
    <s v="20140823 JKunzler"/>
    <s v="20140824 Kshippen"/>
    <s v="x"/>
    <s v="x"/>
    <s v="na"/>
    <s v="FWL"/>
    <s v="na"/>
    <s v="na"/>
    <s v="na"/>
    <s v="na"/>
    <s v="na"/>
    <s v="na"/>
    <s v="na"/>
    <s v="na"/>
  </r>
  <r>
    <n v="3368"/>
    <x v="72"/>
    <n v="3"/>
    <x v="13"/>
    <x v="0"/>
    <x v="15"/>
    <n v="34"/>
    <s v="157 CO"/>
    <n v="61"/>
    <m/>
    <s v="M"/>
    <m/>
    <d v="1899-12-30T01:01:00"/>
    <s v="13:50"/>
    <s v="NC"/>
    <s v="F266."/>
    <s v="20140823 JKunzler"/>
    <s v="20140824 Kshippen"/>
    <s v="x"/>
    <n v="151.26599999999999"/>
    <s v="na"/>
    <s v="FWL"/>
    <s v="na"/>
    <s v="na"/>
    <s v="F1840"/>
    <s v="na"/>
    <s v="na"/>
    <s v="na"/>
    <s v="na"/>
    <s v="na"/>
  </r>
  <r>
    <n v="3369"/>
    <x v="72"/>
    <n v="3"/>
    <x v="13"/>
    <x v="0"/>
    <x v="14"/>
    <n v="71"/>
    <s v="163 CO"/>
    <n v="52"/>
    <m/>
    <s v="U"/>
    <m/>
    <d v="1899-12-30T00:58:00"/>
    <s v="14:01"/>
    <s v="NC"/>
    <m/>
    <s v="20140823 JKunzler"/>
    <s v="20140824 Kshippen"/>
    <s v="x"/>
    <n v="151.32499999999999"/>
    <s v="na"/>
    <s v="FWL"/>
    <s v="na"/>
    <s v="na"/>
    <s v="F1840"/>
    <s v="na"/>
    <s v="na"/>
    <s v="na"/>
    <s v="na"/>
    <s v="na"/>
  </r>
  <r>
    <n v="3370"/>
    <x v="72"/>
    <n v="3"/>
    <x v="13"/>
    <x v="0"/>
    <x v="15"/>
    <n v="14"/>
    <s v="164 CO"/>
    <n v="59"/>
    <m/>
    <s v="M"/>
    <m/>
    <d v="1899-12-30T01:01:00"/>
    <s v="14:04"/>
    <s v="NC"/>
    <s v="F266."/>
    <s v="20140823 JKunzler"/>
    <s v="20140824 Kshippen"/>
    <s v="x"/>
    <n v="151.26599999999999"/>
    <s v="na"/>
    <s v="FWL"/>
    <s v="na"/>
    <s v="na"/>
    <s v="F1840"/>
    <s v="na"/>
    <s v="na"/>
    <s v="na"/>
    <s v="na"/>
    <s v="na"/>
  </r>
  <r>
    <n v="3371"/>
    <x v="72"/>
    <n v="3"/>
    <x v="13"/>
    <x v="0"/>
    <x v="15"/>
    <n v="96"/>
    <m/>
    <n v="55"/>
    <m/>
    <s v="M"/>
    <m/>
    <d v="1899-12-30T01:01:00"/>
    <s v="16:14"/>
    <s v="CSw"/>
    <s v="F266.  jumped out of trough after radio tag applied. Did not get genetic clip."/>
    <s v="20140823 CSewright"/>
    <s v="20140824 Kshippen"/>
    <s v="x"/>
    <n v="151.26599999999999"/>
    <s v="na"/>
    <s v="FWL"/>
    <s v="na"/>
    <s v="na"/>
    <s v="F1840"/>
    <s v="na"/>
    <s v="na"/>
    <s v="na"/>
    <s v="na"/>
    <s v="na"/>
  </r>
  <r>
    <n v="3372"/>
    <x v="72"/>
    <n v="3"/>
    <x v="13"/>
    <x v="0"/>
    <x v="15"/>
    <n v="31"/>
    <s v="165 CO"/>
    <n v="44"/>
    <m/>
    <s v="M"/>
    <m/>
    <d v="1899-12-30T01:33:00"/>
    <s v="16:37"/>
    <s v="CSw"/>
    <s v="F266."/>
    <s v="20140823 CSewright"/>
    <s v="20140824 Kshippen"/>
    <s v="x"/>
    <n v="151.26599999999999"/>
    <s v="na"/>
    <s v="FWL"/>
    <s v="na"/>
    <s v="na"/>
    <s v="F1840"/>
    <s v="na"/>
    <s v="na"/>
    <s v="na"/>
    <s v="na"/>
    <s v="na"/>
  </r>
  <r>
    <n v="3373"/>
    <x v="72"/>
    <n v="3"/>
    <x v="10"/>
    <x v="0"/>
    <x v="0"/>
    <m/>
    <m/>
    <n v="55"/>
    <m/>
    <s v="M"/>
    <m/>
    <d v="1899-12-30T00:20:00"/>
    <s v="16:27"/>
    <s v="LG"/>
    <m/>
    <s v="20140823 CSewright"/>
    <s v="20140824 Kshippen"/>
    <s v="x"/>
    <s v="x"/>
    <s v="na"/>
    <s v="FWL"/>
    <s v="na"/>
    <s v="na"/>
    <s v="na"/>
    <s v="na"/>
    <s v="na"/>
    <s v="na"/>
    <s v="na"/>
    <s v="na"/>
  </r>
  <r>
    <n v="3374"/>
    <x v="72"/>
    <n v="3"/>
    <x v="10"/>
    <x v="0"/>
    <x v="0"/>
    <m/>
    <m/>
    <n v="55"/>
    <m/>
    <s v="F"/>
    <m/>
    <d v="1899-12-30T00:30:00"/>
    <s v="16:33"/>
    <s v="LG"/>
    <m/>
    <s v="20140823 CSewright"/>
    <s v="20140824 Kshippen"/>
    <s v="x"/>
    <s v="x"/>
    <s v="na"/>
    <s v="FWL"/>
    <s v="na"/>
    <s v="na"/>
    <s v="na"/>
    <s v="na"/>
    <s v="na"/>
    <s v="na"/>
    <s v="na"/>
    <s v="na"/>
  </r>
  <r>
    <n v="3375"/>
    <x v="72"/>
    <n v="3"/>
    <x v="7"/>
    <x v="0"/>
    <x v="10"/>
    <n v="9"/>
    <s v="195 S"/>
    <n v="53"/>
    <m/>
    <s v="M"/>
    <m/>
    <d v="1899-12-30T01:31:00"/>
    <s v="16:52"/>
    <s v="CSw"/>
    <m/>
    <s v="20140823 CSewright"/>
    <s v="20140824 Kshippen"/>
    <s v="x"/>
    <n v="151.58600000000001"/>
    <s v="na"/>
    <s v="FWL"/>
    <s v="na"/>
    <s v="na"/>
    <s v="F1840"/>
    <s v="na"/>
    <s v="na"/>
    <s v="na"/>
    <s v="na"/>
    <s v="na"/>
  </r>
  <r>
    <n v="3376"/>
    <x v="72"/>
    <n v="3"/>
    <x v="12"/>
    <x v="0"/>
    <x v="0"/>
    <m/>
    <m/>
    <n v="46"/>
    <m/>
    <s v="M"/>
    <m/>
    <d v="1899-12-30T00:22:00"/>
    <s v="16:49"/>
    <s v="LG"/>
    <m/>
    <s v="20140823 CSewright"/>
    <s v="20140824 Kshippen"/>
    <s v="x"/>
    <s v="x"/>
    <s v="na"/>
    <s v="FWL"/>
    <s v="na"/>
    <s v="na"/>
    <s v="na"/>
    <s v="na"/>
    <s v="na"/>
    <s v="na"/>
    <s v="na"/>
    <s v="na"/>
  </r>
  <r>
    <n v="3377"/>
    <x v="72"/>
    <n v="3"/>
    <x v="13"/>
    <x v="0"/>
    <x v="15"/>
    <n v="43"/>
    <s v="166 CO"/>
    <n v="60"/>
    <m/>
    <s v="M"/>
    <m/>
    <d v="1899-12-30T01:19:00"/>
    <s v="16:56"/>
    <s v="CSw"/>
    <s v="F264."/>
    <s v="20140823 CSewright"/>
    <s v="20140824 Kshippen"/>
    <s v="x"/>
    <n v="151.26599999999999"/>
    <s v="na"/>
    <s v="FWL"/>
    <s v="na"/>
    <s v="na"/>
    <s v="F1840"/>
    <s v="na"/>
    <s v="na"/>
    <s v="na"/>
    <s v="na"/>
    <s v="na"/>
  </r>
  <r>
    <n v="3378"/>
    <x v="72"/>
    <n v="3"/>
    <x v="13"/>
    <x v="0"/>
    <x v="15"/>
    <n v="98"/>
    <s v="167 CO"/>
    <n v="59"/>
    <m/>
    <s v="F"/>
    <m/>
    <d v="1899-12-30T01:26:00"/>
    <s v="17:03"/>
    <s v="CSw"/>
    <s v="F266."/>
    <s v="20140823 CSewright"/>
    <s v="20140824 Kshippen"/>
    <s v="x"/>
    <n v="151.26599999999999"/>
    <s v="na"/>
    <s v="FWL"/>
    <s v="na"/>
    <s v="na"/>
    <s v="F1840"/>
    <s v="na"/>
    <s v="na"/>
    <s v="na"/>
    <s v="na"/>
    <s v="na"/>
  </r>
  <r>
    <n v="3379"/>
    <x v="72"/>
    <n v="3"/>
    <x v="10"/>
    <x v="0"/>
    <x v="0"/>
    <m/>
    <m/>
    <n v="56"/>
    <m/>
    <s v="F"/>
    <m/>
    <d v="1899-12-30T00:23:00"/>
    <s v="17:05"/>
    <s v="LG"/>
    <m/>
    <s v="20140823 CSewright"/>
    <s v="20140824 Kshippen"/>
    <s v="x"/>
    <s v="x"/>
    <s v="na"/>
    <s v="FWL"/>
    <s v="na"/>
    <s v="na"/>
    <s v="na"/>
    <s v="na"/>
    <s v="na"/>
    <s v="na"/>
    <s v="na"/>
    <s v="na"/>
  </r>
  <r>
    <n v="3380"/>
    <x v="72"/>
    <n v="3"/>
    <x v="10"/>
    <x v="0"/>
    <x v="0"/>
    <m/>
    <m/>
    <n v="55"/>
    <m/>
    <s v="M"/>
    <m/>
    <d v="1899-12-30T00:29:00"/>
    <s v="17:07"/>
    <s v="LG"/>
    <m/>
    <s v="20140823 CSewright"/>
    <s v="20140824 Kshippen"/>
    <s v="x"/>
    <s v="x"/>
    <s v="na"/>
    <s v="FWL"/>
    <s v="na"/>
    <s v="na"/>
    <s v="na"/>
    <s v="na"/>
    <s v="na"/>
    <s v="na"/>
    <s v="na"/>
    <s v="na"/>
  </r>
  <r>
    <n v="3381"/>
    <x v="72"/>
    <n v="3"/>
    <x v="13"/>
    <x v="0"/>
    <x v="0"/>
    <m/>
    <m/>
    <n v="54"/>
    <m/>
    <s v="F"/>
    <m/>
    <d v="1899-12-30T00:24:00"/>
    <s v="17:08"/>
    <s v="LG"/>
    <m/>
    <s v="20140823 CSewright"/>
    <s v="20140824 Kshippen"/>
    <s v="x"/>
    <s v="x"/>
    <s v="na"/>
    <s v="FWL"/>
    <s v="na"/>
    <s v="na"/>
    <s v="na"/>
    <s v="na"/>
    <s v="na"/>
    <s v="na"/>
    <s v="na"/>
    <s v="na"/>
  </r>
  <r>
    <n v="3382"/>
    <x v="72"/>
    <n v="3"/>
    <x v="13"/>
    <x v="0"/>
    <x v="0"/>
    <m/>
    <m/>
    <n v="57"/>
    <m/>
    <s v="M"/>
    <m/>
    <d v="1899-12-30T00:38:00"/>
    <s v="19:52"/>
    <s v="LG"/>
    <m/>
    <s v="20140823 CSewright"/>
    <s v="20140824 Kshippen"/>
    <s v="x"/>
    <s v="x"/>
    <s v="na"/>
    <s v="FWL"/>
    <s v="na"/>
    <s v="na"/>
    <s v="na"/>
    <s v="na"/>
    <s v="na"/>
    <s v="na"/>
    <s v="na"/>
    <s v="na"/>
  </r>
  <r>
    <n v="3383"/>
    <x v="72"/>
    <n v="3"/>
    <x v="13"/>
    <x v="0"/>
    <x v="0"/>
    <m/>
    <m/>
    <n v="59"/>
    <m/>
    <s v="F"/>
    <m/>
    <d v="1899-12-30T00:25:00"/>
    <s v="19:54"/>
    <s v="LG"/>
    <m/>
    <s v="20140823 CSewright"/>
    <s v="20140824 Kshippen"/>
    <s v="x"/>
    <s v="x"/>
    <s v="na"/>
    <s v="FWL"/>
    <s v="na"/>
    <s v="na"/>
    <s v="na"/>
    <s v="na"/>
    <s v="na"/>
    <s v="na"/>
    <s v="na"/>
    <s v="na"/>
  </r>
  <r>
    <n v="3384"/>
    <x v="72"/>
    <n v="3"/>
    <x v="13"/>
    <x v="0"/>
    <x v="0"/>
    <m/>
    <m/>
    <n v="58"/>
    <m/>
    <s v="F"/>
    <m/>
    <d v="1899-12-30T00:26:00"/>
    <s v="19:55"/>
    <s v="LG"/>
    <m/>
    <s v="20140823 CSewright"/>
    <s v="20140824 Kshippen"/>
    <s v="x"/>
    <s v="x"/>
    <s v="na"/>
    <s v="FWL"/>
    <s v="na"/>
    <s v="na"/>
    <s v="na"/>
    <s v="na"/>
    <s v="na"/>
    <s v="na"/>
    <s v="na"/>
    <s v="na"/>
  </r>
  <r>
    <n v="3385"/>
    <x v="72"/>
    <n v="3"/>
    <x v="13"/>
    <x v="0"/>
    <x v="0"/>
    <m/>
    <m/>
    <n v="65"/>
    <m/>
    <s v="M"/>
    <m/>
    <d v="1899-12-30T00:39:00"/>
    <s v="19:57"/>
    <s v="LG"/>
    <m/>
    <s v="20140823 CSewright"/>
    <s v="20140824 Kshippen"/>
    <s v="x"/>
    <s v="x"/>
    <s v="na"/>
    <s v="FWL"/>
    <s v="na"/>
    <s v="na"/>
    <s v="na"/>
    <s v="na"/>
    <s v="na"/>
    <s v="na"/>
    <s v="na"/>
    <s v="na"/>
  </r>
  <r>
    <n v="3386"/>
    <x v="72"/>
    <n v="3"/>
    <x v="13"/>
    <x v="0"/>
    <x v="0"/>
    <m/>
    <m/>
    <n v="57"/>
    <m/>
    <s v="F"/>
    <m/>
    <d v="1899-12-30T00:27:00"/>
    <s v="19:58"/>
    <s v="LG"/>
    <m/>
    <s v="20140823 CSewright"/>
    <s v="20140824 Kshippen"/>
    <s v="x"/>
    <s v="x"/>
    <s v="na"/>
    <s v="FWL"/>
    <s v="na"/>
    <s v="na"/>
    <s v="na"/>
    <s v="na"/>
    <s v="na"/>
    <s v="na"/>
    <s v="na"/>
    <s v="na"/>
  </r>
  <r>
    <n v="3387"/>
    <x v="72"/>
    <n v="3"/>
    <x v="10"/>
    <x v="0"/>
    <x v="0"/>
    <m/>
    <m/>
    <n v="57"/>
    <m/>
    <s v="M"/>
    <m/>
    <d v="1899-12-30T00:23:00"/>
    <s v="19:59"/>
    <s v="LG"/>
    <m/>
    <s v="20140823 CSewright"/>
    <s v="20140824 Kshippen"/>
    <s v="x"/>
    <s v="x"/>
    <s v="na"/>
    <s v="FWL"/>
    <s v="na"/>
    <s v="na"/>
    <s v="na"/>
    <s v="na"/>
    <s v="na"/>
    <s v="na"/>
    <s v="na"/>
    <s v="na"/>
  </r>
  <r>
    <n v="3388"/>
    <x v="72"/>
    <n v="3"/>
    <x v="12"/>
    <x v="0"/>
    <x v="0"/>
    <m/>
    <m/>
    <n v="40"/>
    <m/>
    <s v="M"/>
    <m/>
    <d v="1899-12-30T00:22:00"/>
    <s v="20:01"/>
    <s v="LG"/>
    <m/>
    <s v="20140823 CSewright"/>
    <s v="20140824 Kshippen"/>
    <s v="x"/>
    <s v="x"/>
    <s v="na"/>
    <s v="FWL"/>
    <s v="na"/>
    <s v="na"/>
    <s v="na"/>
    <s v="na"/>
    <s v="na"/>
    <s v="na"/>
    <s v="na"/>
    <s v="na"/>
  </r>
  <r>
    <n v="3389"/>
    <x v="72"/>
    <n v="3"/>
    <x v="13"/>
    <x v="0"/>
    <x v="0"/>
    <m/>
    <m/>
    <n v="60"/>
    <m/>
    <s v="M"/>
    <m/>
    <d v="1899-12-30T00:24:00"/>
    <s v="20:02"/>
    <s v="LG"/>
    <m/>
    <s v="20140823 CSewright"/>
    <s v="20140824 Kshippen"/>
    <s v="x"/>
    <s v="x"/>
    <s v="na"/>
    <s v="FWL"/>
    <s v="na"/>
    <s v="na"/>
    <s v="na"/>
    <s v="na"/>
    <s v="na"/>
    <s v="na"/>
    <s v="na"/>
    <s v="na"/>
  </r>
  <r>
    <n v="3390"/>
    <x v="73"/>
    <n v="1"/>
    <x v="10"/>
    <x v="0"/>
    <x v="0"/>
    <m/>
    <m/>
    <n v="56"/>
    <m/>
    <s v="F"/>
    <m/>
    <d v="1899-12-30T00:20:00"/>
    <s v="09:57"/>
    <s v="CSw"/>
    <m/>
    <s v="20140824 LGasek"/>
    <s v="20140825CSewright"/>
    <s v="x"/>
    <s v="x"/>
    <s v="na"/>
    <s v="FWL"/>
    <s v="na"/>
    <s v="na"/>
    <s v="na"/>
    <s v="na"/>
    <s v="na"/>
    <s v="na"/>
    <s v="na"/>
    <s v="na"/>
  </r>
  <r>
    <n v="3391"/>
    <x v="73"/>
    <n v="1"/>
    <x v="10"/>
    <x v="0"/>
    <x v="0"/>
    <m/>
    <m/>
    <n v="59"/>
    <m/>
    <s v="F"/>
    <m/>
    <d v="1899-12-30T00:21:00"/>
    <s v="09:58"/>
    <s v="CSw"/>
    <m/>
    <s v="20140824 LGasek"/>
    <s v="20140825CSewright"/>
    <s v="x"/>
    <s v="x"/>
    <s v="na"/>
    <s v="FWL"/>
    <s v="na"/>
    <s v="na"/>
    <s v="na"/>
    <s v="na"/>
    <s v="na"/>
    <s v="na"/>
    <s v="na"/>
    <s v="na"/>
  </r>
  <r>
    <n v="3392"/>
    <x v="73"/>
    <n v="1"/>
    <x v="10"/>
    <x v="0"/>
    <x v="0"/>
    <m/>
    <m/>
    <n v="57"/>
    <m/>
    <s v="M"/>
    <m/>
    <d v="1899-12-30T00:22:00"/>
    <s v="10:00"/>
    <s v="CSw"/>
    <m/>
    <s v="20140824 LGasek"/>
    <s v="20140825CSewright"/>
    <s v="x"/>
    <s v="x"/>
    <s v="na"/>
    <s v="FWL"/>
    <s v="na"/>
    <s v="na"/>
    <s v="na"/>
    <s v="na"/>
    <s v="na"/>
    <s v="na"/>
    <s v="na"/>
    <s v="na"/>
  </r>
  <r>
    <n v="3393"/>
    <x v="73"/>
    <n v="1"/>
    <x v="10"/>
    <x v="0"/>
    <x v="0"/>
    <m/>
    <m/>
    <n v="52"/>
    <m/>
    <s v="F"/>
    <m/>
    <d v="1899-12-30T00:28:00"/>
    <s v="10:01"/>
    <s v="CSw"/>
    <m/>
    <s v="20140824 LGasek"/>
    <s v="20140825CSewright"/>
    <s v="x"/>
    <s v="x"/>
    <s v="na"/>
    <s v="FWL"/>
    <s v="na"/>
    <s v="na"/>
    <s v="na"/>
    <s v="na"/>
    <s v="na"/>
    <s v="na"/>
    <s v="na"/>
    <s v="na"/>
  </r>
  <r>
    <n v="3394"/>
    <x v="73"/>
    <n v="1"/>
    <x v="10"/>
    <x v="0"/>
    <x v="0"/>
    <m/>
    <m/>
    <n v="59"/>
    <m/>
    <s v="F"/>
    <m/>
    <d v="1899-12-30T00:26:00"/>
    <s v="11:04"/>
    <s v="CSw"/>
    <m/>
    <s v="20140824 LGasek"/>
    <s v="20140825CSewright"/>
    <s v="x"/>
    <s v="x"/>
    <s v="na"/>
    <s v="FWL"/>
    <s v="na"/>
    <s v="na"/>
    <s v="na"/>
    <s v="na"/>
    <s v="na"/>
    <s v="na"/>
    <s v="na"/>
    <s v="na"/>
  </r>
  <r>
    <n v="3395"/>
    <x v="73"/>
    <n v="1"/>
    <x v="10"/>
    <x v="0"/>
    <x v="0"/>
    <m/>
    <m/>
    <n v="56"/>
    <m/>
    <s v="F"/>
    <m/>
    <d v="1899-12-30T00:16:00"/>
    <s v="11:05"/>
    <s v="CSw"/>
    <m/>
    <s v="20140824 LGasek"/>
    <s v="20140825CSewright"/>
    <s v="x"/>
    <s v="x"/>
    <s v="na"/>
    <s v="FWL"/>
    <s v="na"/>
    <s v="na"/>
    <s v="na"/>
    <s v="na"/>
    <s v="na"/>
    <s v="na"/>
    <s v="na"/>
    <s v="na"/>
  </r>
  <r>
    <n v="3396"/>
    <x v="73"/>
    <n v="1"/>
    <x v="10"/>
    <x v="0"/>
    <x v="0"/>
    <m/>
    <m/>
    <n v="61"/>
    <m/>
    <s v="M"/>
    <m/>
    <d v="1899-12-30T00:23:00"/>
    <s v="11:07"/>
    <s v="CSw"/>
    <m/>
    <s v="20140824 LGasek"/>
    <s v="20140825CSewright"/>
    <s v="x"/>
    <s v="x"/>
    <s v="na"/>
    <s v="FWL"/>
    <s v="na"/>
    <s v="na"/>
    <s v="na"/>
    <s v="na"/>
    <s v="na"/>
    <s v="na"/>
    <s v="na"/>
    <s v="na"/>
  </r>
  <r>
    <n v="3397"/>
    <x v="73"/>
    <n v="1"/>
    <x v="10"/>
    <x v="0"/>
    <x v="0"/>
    <m/>
    <m/>
    <n v="62"/>
    <m/>
    <s v="F"/>
    <m/>
    <d v="1899-12-30T00:24:00"/>
    <s v="12:31"/>
    <s v="KS"/>
    <m/>
    <s v="20140824 AStephens"/>
    <s v="20140825CSewright"/>
    <s v="x"/>
    <s v="x"/>
    <s v="na"/>
    <s v="FWL"/>
    <s v="na"/>
    <s v="na"/>
    <s v="na"/>
    <s v="na"/>
    <s v="na"/>
    <s v="na"/>
    <s v="na"/>
    <s v="na"/>
  </r>
  <r>
    <n v="3398"/>
    <x v="73"/>
    <n v="1"/>
    <x v="13"/>
    <x v="0"/>
    <x v="15"/>
    <n v="45"/>
    <s v="170 CO"/>
    <n v="56"/>
    <m/>
    <s v="F"/>
    <m/>
    <d v="1899-12-30T00:51:00"/>
    <s v="14:41"/>
    <s v="KS"/>
    <s v="F264."/>
    <s v="20140824 AStephens"/>
    <s v="20140825CSewright"/>
    <s v="x"/>
    <n v="151.26599999999999"/>
    <s v="na"/>
    <s v="FWL"/>
    <s v="na"/>
    <s v="na"/>
    <s v="F1840"/>
    <s v="na"/>
    <s v="na"/>
    <s v="na"/>
    <s v="na"/>
    <s v="na"/>
  </r>
  <r>
    <n v="3399"/>
    <x v="73"/>
    <n v="1"/>
    <x v="10"/>
    <x v="0"/>
    <x v="0"/>
    <m/>
    <m/>
    <n v="56"/>
    <m/>
    <s v="F"/>
    <m/>
    <d v="1899-12-30T00:20:00"/>
    <s v="14:43"/>
    <s v="KS"/>
    <m/>
    <s v="20140824 AStephens"/>
    <s v="20140825CSewright"/>
    <s v="x"/>
    <s v="x"/>
    <s v="na"/>
    <s v="FWL"/>
    <s v="na"/>
    <s v="na"/>
    <s v="na"/>
    <s v="na"/>
    <s v="na"/>
    <s v="na"/>
    <s v="na"/>
    <s v="na"/>
  </r>
  <r>
    <n v="3400"/>
    <x v="73"/>
    <n v="1"/>
    <x v="10"/>
    <x v="0"/>
    <x v="0"/>
    <m/>
    <m/>
    <n v="59"/>
    <m/>
    <s v="F"/>
    <m/>
    <d v="1899-12-30T00:30:00"/>
    <s v="14:44"/>
    <s v="KS"/>
    <m/>
    <s v="20140824 AStephens"/>
    <s v="20140825CSewright"/>
    <s v="x"/>
    <s v="x"/>
    <s v="na"/>
    <s v="FWL"/>
    <s v="na"/>
    <s v="na"/>
    <s v="na"/>
    <s v="na"/>
    <s v="na"/>
    <s v="na"/>
    <s v="na"/>
    <s v="na"/>
  </r>
  <r>
    <n v="3401"/>
    <x v="73"/>
    <n v="1"/>
    <x v="10"/>
    <x v="0"/>
    <x v="0"/>
    <m/>
    <m/>
    <n v="60"/>
    <m/>
    <s v="M"/>
    <d v="1899-12-30T15:51:00"/>
    <d v="1899-12-30T00:18:00"/>
    <s v="15:53"/>
    <s v="KS"/>
    <m/>
    <s v="20140824 AStephens"/>
    <s v="20140825CSewright"/>
    <n v="1.1805556E-3"/>
    <s v="x"/>
    <s v="na"/>
    <s v="FWL"/>
    <s v="na"/>
    <s v="na"/>
    <s v="na"/>
    <s v="na"/>
    <s v="na"/>
    <s v="na"/>
    <s v="na"/>
    <s v="na"/>
  </r>
  <r>
    <n v="3402"/>
    <x v="73"/>
    <n v="1"/>
    <x v="13"/>
    <x v="0"/>
    <x v="15"/>
    <n v="41"/>
    <s v="171 CO"/>
    <n v="48"/>
    <m/>
    <s v="M"/>
    <m/>
    <d v="1899-12-30T01:00:00"/>
    <s v="16:56"/>
    <s v="AS"/>
    <s v="F264."/>
    <s v="20140824 AStephens"/>
    <s v="20140825CSewright"/>
    <s v="x"/>
    <n v="151.26599999999999"/>
    <s v="na"/>
    <s v="FWL"/>
    <s v="na"/>
    <s v="na"/>
    <s v="F1840"/>
    <s v="na"/>
    <s v="na"/>
    <s v="na"/>
    <s v="na"/>
    <s v="na"/>
  </r>
  <r>
    <n v="3403"/>
    <x v="73"/>
    <n v="1"/>
    <x v="3"/>
    <x v="2"/>
    <x v="0"/>
    <m/>
    <m/>
    <m/>
    <n v="31"/>
    <s v="U"/>
    <m/>
    <d v="1899-12-30T00:26:00"/>
    <s v="18:46"/>
    <s v="NC"/>
    <m/>
    <s v="20140824 NCollin"/>
    <s v="20140825CSewright"/>
    <s v="x"/>
    <s v="x"/>
    <s v="na"/>
    <s v="FWL"/>
    <s v="na"/>
    <s v="na"/>
    <s v="na"/>
    <s v="na"/>
    <s v="na"/>
    <s v="na"/>
    <s v="na"/>
    <s v="na"/>
  </r>
  <r>
    <n v="3404"/>
    <x v="73"/>
    <n v="1"/>
    <x v="10"/>
    <x v="0"/>
    <x v="0"/>
    <m/>
    <m/>
    <n v="56"/>
    <m/>
    <s v="M"/>
    <m/>
    <d v="1899-12-30T00:21:00"/>
    <s v="18:47"/>
    <s v="JK"/>
    <m/>
    <s v="20140824 NCollin"/>
    <s v="20140825CSewright"/>
    <s v="x"/>
    <s v="x"/>
    <s v="na"/>
    <s v="FWL"/>
    <s v="na"/>
    <s v="na"/>
    <s v="na"/>
    <s v="na"/>
    <s v="na"/>
    <s v="na"/>
    <s v="na"/>
    <s v="na"/>
  </r>
  <r>
    <n v="3405"/>
    <x v="73"/>
    <n v="1"/>
    <x v="12"/>
    <x v="0"/>
    <x v="0"/>
    <m/>
    <m/>
    <n v="46"/>
    <m/>
    <s v="F"/>
    <m/>
    <d v="1899-12-30T00:24:00"/>
    <s v="18:49"/>
    <s v="JK"/>
    <m/>
    <s v="20140824 NCollin"/>
    <s v="20140825CSewright"/>
    <s v="x"/>
    <s v="x"/>
    <s v="na"/>
    <s v="FWL"/>
    <s v="na"/>
    <s v="na"/>
    <s v="na"/>
    <s v="na"/>
    <s v="na"/>
    <s v="na"/>
    <s v="na"/>
    <s v="na"/>
  </r>
  <r>
    <n v="3406"/>
    <x v="73"/>
    <n v="1"/>
    <x v="10"/>
    <x v="0"/>
    <x v="0"/>
    <m/>
    <m/>
    <n v="65"/>
    <m/>
    <s v="M"/>
    <m/>
    <d v="1899-12-30T00:18:00"/>
    <s v="20:27"/>
    <s v="JK"/>
    <m/>
    <s v="20140824 NCollin"/>
    <s v="20140825CSewright"/>
    <s v="x"/>
    <s v="x"/>
    <s v="na"/>
    <s v="FWL"/>
    <s v="na"/>
    <s v="na"/>
    <s v="na"/>
    <s v="na"/>
    <s v="na"/>
    <s v="na"/>
    <s v="na"/>
    <s v="na"/>
  </r>
  <r>
    <n v="3407"/>
    <x v="73"/>
    <n v="2"/>
    <x v="10"/>
    <x v="0"/>
    <x v="7"/>
    <n v="34"/>
    <s v="197 CM"/>
    <n v="57"/>
    <m/>
    <s v="F"/>
    <m/>
    <d v="1899-12-30T01:31:00"/>
    <s v="10:21"/>
    <s v="LG"/>
    <m/>
    <s v="20140824 CSewright"/>
    <s v="20140825CSewright"/>
    <s v="x"/>
    <n v="151.56399999999999"/>
    <s v="na"/>
    <s v="FWL"/>
    <s v="na"/>
    <s v="na"/>
    <s v="F1840"/>
    <s v="na"/>
    <s v="na"/>
    <s v="na"/>
    <s v="na"/>
    <s v="na"/>
  </r>
  <r>
    <n v="3408"/>
    <x v="73"/>
    <n v="2"/>
    <x v="10"/>
    <x v="0"/>
    <x v="0"/>
    <m/>
    <m/>
    <n v="61"/>
    <m/>
    <s v="F"/>
    <m/>
    <d v="1899-12-30T00:29:00"/>
    <s v="13:29"/>
    <s v="KS"/>
    <m/>
    <s v="20140824 AStephens"/>
    <s v="20140825CSewright"/>
    <s v="x"/>
    <s v="x"/>
    <s v="na"/>
    <s v="FWL"/>
    <s v="na"/>
    <s v="na"/>
    <s v="na"/>
    <s v="na"/>
    <s v="na"/>
    <s v="na"/>
    <s v="na"/>
    <s v="na"/>
  </r>
  <r>
    <n v="3409"/>
    <x v="73"/>
    <n v="2"/>
    <x v="10"/>
    <x v="0"/>
    <x v="0"/>
    <m/>
    <m/>
    <n v="57"/>
    <m/>
    <s v="F"/>
    <m/>
    <d v="1899-12-30T00:22:00"/>
    <s v="13:30"/>
    <s v="KS"/>
    <m/>
    <s v="20140824 AStephens"/>
    <s v="20140825CSewright"/>
    <s v="x"/>
    <s v="x"/>
    <s v="na"/>
    <s v="FWL"/>
    <s v="na"/>
    <s v="na"/>
    <s v="na"/>
    <s v="na"/>
    <s v="na"/>
    <s v="na"/>
    <s v="na"/>
    <s v="na"/>
  </r>
  <r>
    <n v="3410"/>
    <x v="73"/>
    <n v="2"/>
    <x v="13"/>
    <x v="0"/>
    <x v="15"/>
    <n v="94"/>
    <s v="169 CO"/>
    <n v="53"/>
    <m/>
    <s v="F"/>
    <m/>
    <d v="1899-12-30T01:14:00"/>
    <s v="14:26"/>
    <s v="AS"/>
    <s v="F264."/>
    <s v="20140824 AStephens"/>
    <s v="20140825CSewright"/>
    <s v="x"/>
    <n v="151.26599999999999"/>
    <s v="na"/>
    <s v="FWL"/>
    <s v="na"/>
    <s v="na"/>
    <s v="F1840"/>
    <s v="na"/>
    <s v="na"/>
    <s v="na"/>
    <s v="na"/>
    <s v="na"/>
  </r>
  <r>
    <n v="3411"/>
    <x v="73"/>
    <n v="2"/>
    <x v="10"/>
    <x v="0"/>
    <x v="0"/>
    <m/>
    <m/>
    <n v="58"/>
    <m/>
    <s v="F"/>
    <m/>
    <d v="1899-12-30T00:29:00"/>
    <s v="16:02"/>
    <s v="AS"/>
    <m/>
    <s v="20140824 AStephens"/>
    <s v="20140825CSewright"/>
    <s v="x"/>
    <s v="x"/>
    <s v="na"/>
    <s v="FWL"/>
    <s v="na"/>
    <s v="na"/>
    <s v="na"/>
    <s v="na"/>
    <s v="na"/>
    <s v="na"/>
    <s v="na"/>
    <s v="na"/>
  </r>
  <r>
    <n v="3412"/>
    <x v="73"/>
    <n v="2"/>
    <x v="10"/>
    <x v="0"/>
    <x v="0"/>
    <m/>
    <m/>
    <n v="50"/>
    <m/>
    <s v="F"/>
    <m/>
    <d v="1899-12-30T00:36:00"/>
    <s v="16:02"/>
    <s v="AS"/>
    <m/>
    <s v="20140824 AStephens"/>
    <s v="20140825CSewright"/>
    <s v="x"/>
    <s v="x"/>
    <s v="na"/>
    <s v="FWL"/>
    <s v="na"/>
    <s v="na"/>
    <s v="na"/>
    <s v="na"/>
    <s v="na"/>
    <s v="na"/>
    <s v="na"/>
    <s v="na"/>
  </r>
  <r>
    <n v="3413"/>
    <x v="73"/>
    <n v="2"/>
    <x v="10"/>
    <x v="0"/>
    <x v="0"/>
    <m/>
    <m/>
    <n v="54"/>
    <m/>
    <s v="F"/>
    <m/>
    <d v="1899-12-30T00:20:00"/>
    <s v="16:05"/>
    <s v="AS"/>
    <m/>
    <s v="20140824 AStephens"/>
    <s v="20140825CSewright"/>
    <s v="x"/>
    <s v="x"/>
    <s v="na"/>
    <s v="FWL"/>
    <s v="na"/>
    <s v="na"/>
    <s v="na"/>
    <s v="na"/>
    <s v="na"/>
    <s v="na"/>
    <s v="na"/>
    <s v="na"/>
  </r>
  <r>
    <n v="3414"/>
    <x v="73"/>
    <n v="2"/>
    <x v="10"/>
    <x v="0"/>
    <x v="0"/>
    <m/>
    <m/>
    <n v="56"/>
    <m/>
    <s v="M"/>
    <d v="1899-12-30T16:02:00"/>
    <d v="1899-12-30T00:37:00"/>
    <s v="16:07"/>
    <s v="AS"/>
    <m/>
    <s v="20140824 AStephens"/>
    <s v="20140825CSewright"/>
    <d v="1899-12-30T00:04:23"/>
    <s v="x"/>
    <s v="na"/>
    <s v="FWL"/>
    <s v="na"/>
    <s v="na"/>
    <s v="na"/>
    <s v="na"/>
    <s v="na"/>
    <s v="na"/>
    <s v="na"/>
    <s v="na"/>
  </r>
  <r>
    <n v="3415"/>
    <x v="73"/>
    <n v="2"/>
    <x v="10"/>
    <x v="0"/>
    <x v="0"/>
    <m/>
    <m/>
    <n v="58"/>
    <m/>
    <s v="F"/>
    <d v="1899-12-30T16:18:00"/>
    <d v="1899-12-30T00:26:00"/>
    <s v="16:21"/>
    <s v="AS"/>
    <m/>
    <s v="20140824 AStephens"/>
    <s v="20140825CSewright"/>
    <d v="1899-12-30T00:02:34"/>
    <s v="x"/>
    <s v="na"/>
    <s v="FWL"/>
    <s v="na"/>
    <s v="na"/>
    <s v="na"/>
    <s v="na"/>
    <s v="na"/>
    <s v="na"/>
    <s v="na"/>
    <s v="na"/>
  </r>
  <r>
    <n v="3416"/>
    <x v="73"/>
    <n v="2"/>
    <x v="10"/>
    <x v="0"/>
    <x v="0"/>
    <m/>
    <m/>
    <n v="48"/>
    <m/>
    <s v="F"/>
    <m/>
    <d v="1899-12-30T00:22:00"/>
    <s v="16:40"/>
    <s v="KS"/>
    <m/>
    <s v="20140824 AStephens"/>
    <s v="20140825CSewright"/>
    <s v="x"/>
    <s v="x"/>
    <s v="na"/>
    <s v="FWL"/>
    <s v="na"/>
    <s v="na"/>
    <s v="na"/>
    <s v="na"/>
    <s v="na"/>
    <s v="na"/>
    <s v="na"/>
    <s v="na"/>
  </r>
  <r>
    <n v="3417"/>
    <x v="73"/>
    <n v="2"/>
    <x v="10"/>
    <x v="0"/>
    <x v="0"/>
    <m/>
    <m/>
    <n v="52"/>
    <m/>
    <s v="M"/>
    <m/>
    <d v="1899-12-30T00:28:00"/>
    <s v="16:41"/>
    <s v="KS"/>
    <m/>
    <s v="20140824 AStephens"/>
    <s v="20140825CSewright"/>
    <s v="x"/>
    <s v="x"/>
    <s v="na"/>
    <s v="FWL"/>
    <s v="na"/>
    <s v="na"/>
    <s v="na"/>
    <s v="na"/>
    <s v="na"/>
    <s v="na"/>
    <s v="na"/>
    <s v="na"/>
  </r>
  <r>
    <n v="3418"/>
    <x v="73"/>
    <n v="2"/>
    <x v="10"/>
    <x v="0"/>
    <x v="0"/>
    <m/>
    <m/>
    <n v="57"/>
    <m/>
    <s v="M"/>
    <m/>
    <d v="1899-12-30T00:31:00"/>
    <s v="17:24"/>
    <s v="NC"/>
    <m/>
    <s v="20140824 NCollin"/>
    <s v="20140825CSewright"/>
    <s v="x"/>
    <s v="x"/>
    <s v="na"/>
    <s v="FWL"/>
    <s v="na"/>
    <s v="na"/>
    <s v="na"/>
    <s v="na"/>
    <s v="na"/>
    <s v="na"/>
    <s v="na"/>
    <s v="na"/>
  </r>
  <r>
    <n v="3419"/>
    <x v="73"/>
    <n v="2"/>
    <x v="10"/>
    <x v="0"/>
    <x v="0"/>
    <m/>
    <m/>
    <n v="55"/>
    <m/>
    <s v="M"/>
    <m/>
    <d v="1899-12-30T00:26:00"/>
    <s v="17:26"/>
    <s v="NC"/>
    <m/>
    <s v="20140824 NCollin"/>
    <s v="20140825CSewright"/>
    <s v="x"/>
    <s v="x"/>
    <s v="na"/>
    <s v="FWL"/>
    <s v="na"/>
    <s v="na"/>
    <s v="na"/>
    <s v="na"/>
    <s v="na"/>
    <s v="na"/>
    <s v="na"/>
    <s v="na"/>
  </r>
  <r>
    <n v="3420"/>
    <x v="73"/>
    <n v="2"/>
    <x v="10"/>
    <x v="0"/>
    <x v="0"/>
    <m/>
    <m/>
    <n v="58"/>
    <m/>
    <s v="M"/>
    <m/>
    <d v="1899-12-30T00:38:00"/>
    <s v="18:13"/>
    <s v="JK"/>
    <m/>
    <s v="20140824 NCollin"/>
    <s v="20140825CSewright"/>
    <s v="x"/>
    <s v="x"/>
    <s v="na"/>
    <s v="FWL"/>
    <s v="na"/>
    <s v="na"/>
    <s v="na"/>
    <s v="na"/>
    <s v="na"/>
    <s v="na"/>
    <s v="na"/>
    <s v="na"/>
  </r>
  <r>
    <n v="3421"/>
    <x v="73"/>
    <n v="2"/>
    <x v="10"/>
    <x v="0"/>
    <x v="0"/>
    <m/>
    <m/>
    <n v="54"/>
    <m/>
    <s v="F"/>
    <m/>
    <d v="1899-12-30T00:25:00"/>
    <s v="18:16"/>
    <s v="JK"/>
    <m/>
    <s v="20140824 NCollin"/>
    <s v="20140825CSewright"/>
    <s v="x"/>
    <s v="x"/>
    <s v="na"/>
    <s v="FWL"/>
    <s v="na"/>
    <s v="na"/>
    <s v="na"/>
    <s v="na"/>
    <s v="na"/>
    <s v="na"/>
    <s v="na"/>
    <s v="na"/>
  </r>
  <r>
    <n v="3422"/>
    <x v="73"/>
    <n v="2"/>
    <x v="10"/>
    <x v="0"/>
    <x v="0"/>
    <m/>
    <m/>
    <n v="58"/>
    <m/>
    <s v="M"/>
    <m/>
    <d v="1899-12-30T00:47:00"/>
    <s v="18:18"/>
    <s v="JK"/>
    <m/>
    <s v="20140824 NCollin"/>
    <s v="20140825CSewright"/>
    <s v="x"/>
    <s v="x"/>
    <s v="na"/>
    <s v="FWL"/>
    <s v="na"/>
    <s v="na"/>
    <s v="na"/>
    <s v="na"/>
    <s v="na"/>
    <s v="na"/>
    <s v="na"/>
    <s v="na"/>
  </r>
  <r>
    <n v="3423"/>
    <x v="73"/>
    <n v="2"/>
    <x v="7"/>
    <x v="0"/>
    <x v="6"/>
    <n v="38"/>
    <s v="193 S"/>
    <n v="49"/>
    <m/>
    <s v="U"/>
    <m/>
    <d v="1899-12-30T01:02:00"/>
    <s v="18:25"/>
    <s v="NC"/>
    <m/>
    <s v="20140824 NCollin"/>
    <s v="20140825CSewright"/>
    <s v="x"/>
    <n v="151.57300000000001"/>
    <s v="na"/>
    <s v="FWL"/>
    <s v="na"/>
    <s v="na"/>
    <s v="F1840"/>
    <s v="na"/>
    <s v="na"/>
    <s v="na"/>
    <s v="na"/>
    <s v="na"/>
  </r>
  <r>
    <n v="3424"/>
    <x v="73"/>
    <n v="2"/>
    <x v="10"/>
    <x v="0"/>
    <x v="0"/>
    <m/>
    <m/>
    <n v="60"/>
    <m/>
    <s v="M"/>
    <m/>
    <d v="1899-12-30T00:37:00"/>
    <s v="18:30"/>
    <s v="NC"/>
    <m/>
    <s v="20140824 NCollin"/>
    <s v="20140825CSewright"/>
    <s v="x"/>
    <s v="x"/>
    <s v="na"/>
    <s v="FWL"/>
    <s v="na"/>
    <s v="na"/>
    <s v="na"/>
    <s v="na"/>
    <s v="na"/>
    <s v="na"/>
    <s v="na"/>
    <s v="na"/>
  </r>
  <r>
    <n v="3425"/>
    <x v="73"/>
    <n v="2"/>
    <x v="13"/>
    <x v="0"/>
    <x v="15"/>
    <n v="91"/>
    <s v="172 CO"/>
    <n v="55"/>
    <m/>
    <s v="F"/>
    <m/>
    <d v="1899-12-30T01:26:00"/>
    <s v="19:54"/>
    <s v="JK"/>
    <s v="F264."/>
    <s v="20140824 NCollin"/>
    <s v="20140825CSewright"/>
    <s v="x"/>
    <n v="151.26599999999999"/>
    <s v="na"/>
    <s v="FWL"/>
    <s v="na"/>
    <s v="na"/>
    <s v="F1840"/>
    <s v="na"/>
    <s v="na"/>
    <s v="na"/>
    <s v="na"/>
    <s v="na"/>
  </r>
  <r>
    <n v="3426"/>
    <x v="73"/>
    <n v="3"/>
    <x v="10"/>
    <x v="0"/>
    <x v="7"/>
    <n v="78"/>
    <s v="196 CM"/>
    <n v="57"/>
    <m/>
    <s v="F"/>
    <m/>
    <d v="1899-12-30T01:09:00"/>
    <s v="10:18"/>
    <s v="JK"/>
    <m/>
    <s v="20140824 JKunzler"/>
    <s v="20140825CSewright"/>
    <s v="x"/>
    <n v="151.56399999999999"/>
    <s v="na"/>
    <s v="FWL"/>
    <s v="na"/>
    <s v="na"/>
    <s v="F1840"/>
    <s v="na"/>
    <s v="na"/>
    <s v="na"/>
    <s v="na"/>
    <s v="na"/>
  </r>
  <r>
    <n v="3427"/>
    <x v="73"/>
    <n v="3"/>
    <x v="10"/>
    <x v="0"/>
    <x v="0"/>
    <m/>
    <m/>
    <n v="56"/>
    <m/>
    <s v="F"/>
    <m/>
    <d v="1899-12-30T00:33:00"/>
    <s v="10:24"/>
    <s v="JK"/>
    <m/>
    <s v="20140824 JKunzler"/>
    <s v="20140825CSewright"/>
    <s v="x"/>
    <s v="x"/>
    <s v="na"/>
    <s v="FWL"/>
    <s v="na"/>
    <s v="na"/>
    <s v="na"/>
    <s v="na"/>
    <s v="na"/>
    <s v="na"/>
    <s v="na"/>
    <s v="na"/>
  </r>
  <r>
    <n v="3428"/>
    <x v="73"/>
    <n v="3"/>
    <x v="10"/>
    <x v="0"/>
    <x v="0"/>
    <m/>
    <m/>
    <n v="62"/>
    <m/>
    <s v="M"/>
    <m/>
    <d v="1899-12-30T00:25:00"/>
    <s v="10:26"/>
    <s v="JK"/>
    <m/>
    <s v="20140824 JKunzler"/>
    <s v="20140825CSewright"/>
    <s v="x"/>
    <s v="x"/>
    <s v="na"/>
    <s v="FWL"/>
    <s v="na"/>
    <s v="na"/>
    <s v="na"/>
    <s v="na"/>
    <s v="na"/>
    <s v="na"/>
    <s v="na"/>
    <s v="na"/>
  </r>
  <r>
    <n v="3429"/>
    <x v="73"/>
    <n v="3"/>
    <x v="13"/>
    <x v="0"/>
    <x v="15"/>
    <n v="42"/>
    <s v="173 CO"/>
    <n v="59"/>
    <m/>
    <s v="U"/>
    <m/>
    <d v="1899-12-30T00:58:00"/>
    <s v="10:29"/>
    <s v="JK"/>
    <s v="F264."/>
    <s v="20140824 JKunzler"/>
    <s v="20140825CSewright"/>
    <s v="x"/>
    <n v="151.26599999999999"/>
    <s v="na"/>
    <s v="FWL"/>
    <s v="na"/>
    <s v="na"/>
    <s v="F1840"/>
    <s v="na"/>
    <s v="na"/>
    <s v="na"/>
    <s v="na"/>
    <s v="na"/>
  </r>
  <r>
    <n v="3430"/>
    <x v="73"/>
    <n v="3"/>
    <x v="10"/>
    <x v="0"/>
    <x v="0"/>
    <m/>
    <m/>
    <n v="55"/>
    <m/>
    <s v="U"/>
    <m/>
    <d v="1899-12-30T00:27:00"/>
    <s v="10:33"/>
    <s v="JK"/>
    <m/>
    <s v="20140824 JKunzler"/>
    <s v="20140825CSewright"/>
    <s v="x"/>
    <s v="x"/>
    <s v="na"/>
    <s v="FWL"/>
    <s v="na"/>
    <s v="na"/>
    <s v="na"/>
    <s v="na"/>
    <s v="na"/>
    <s v="na"/>
    <s v="na"/>
    <s v="na"/>
  </r>
  <r>
    <n v="3431"/>
    <x v="73"/>
    <n v="3"/>
    <x v="10"/>
    <x v="0"/>
    <x v="0"/>
    <m/>
    <m/>
    <n v="60"/>
    <m/>
    <s v="M"/>
    <m/>
    <d v="1899-12-30T00:22:00"/>
    <s v="10:36"/>
    <s v="JK"/>
    <m/>
    <s v="20140824 JKunzler"/>
    <s v="20140825CSewright"/>
    <s v="x"/>
    <s v="x"/>
    <s v="na"/>
    <s v="FWL"/>
    <s v="na"/>
    <s v="na"/>
    <s v="na"/>
    <s v="na"/>
    <s v="na"/>
    <s v="na"/>
    <s v="na"/>
    <s v="na"/>
  </r>
  <r>
    <n v="3432"/>
    <x v="73"/>
    <n v="3"/>
    <x v="13"/>
    <x v="0"/>
    <x v="15"/>
    <n v="44"/>
    <s v="174 CO"/>
    <n v="59"/>
    <m/>
    <s v="U"/>
    <m/>
    <d v="1899-12-30T01:23:00"/>
    <s v="10:39"/>
    <s v="JK"/>
    <s v="F264."/>
    <s v="20140824 JKunzler"/>
    <s v="20140825CSewright"/>
    <s v="x"/>
    <n v="151.26599999999999"/>
    <s v="na"/>
    <s v="FWL"/>
    <s v="na"/>
    <s v="na"/>
    <s v="F1840"/>
    <s v="na"/>
    <s v="na"/>
    <s v="na"/>
    <s v="na"/>
    <s v="na"/>
  </r>
  <r>
    <n v="3433"/>
    <x v="73"/>
    <n v="3"/>
    <x v="1"/>
    <x v="0"/>
    <x v="0"/>
    <m/>
    <m/>
    <n v="63"/>
    <m/>
    <s v="U"/>
    <m/>
    <d v="1899-12-30T00:24:00"/>
    <s v="10:41"/>
    <s v="JK"/>
    <s v="Spawned out!!"/>
    <s v="20140824 JKunzler"/>
    <s v="20140825CSewright"/>
    <s v="x"/>
    <s v="x"/>
    <s v="na"/>
    <s v="FWL"/>
    <s v="na"/>
    <s v="na"/>
    <s v="na"/>
    <s v="na"/>
    <s v="na"/>
    <s v="na"/>
    <s v="na"/>
    <s v="na"/>
  </r>
  <r>
    <n v="3434"/>
    <x v="73"/>
    <n v="3"/>
    <x v="13"/>
    <x v="0"/>
    <x v="15"/>
    <n v="48"/>
    <s v="175 CO"/>
    <n v="52"/>
    <m/>
    <s v="F"/>
    <m/>
    <d v="1899-12-30T00:58:00"/>
    <s v="12:27"/>
    <s v="NC"/>
    <s v="F264."/>
    <s v="20140824 JKunzler"/>
    <s v="20140825CSewright"/>
    <s v="x"/>
    <n v="151.26599999999999"/>
    <s v="na"/>
    <s v="FWL"/>
    <s v="na"/>
    <s v="na"/>
    <s v="F1840"/>
    <s v="na"/>
    <s v="na"/>
    <s v="na"/>
    <s v="na"/>
    <s v="na"/>
  </r>
  <r>
    <n v="3435"/>
    <x v="73"/>
    <n v="3"/>
    <x v="13"/>
    <x v="0"/>
    <x v="15"/>
    <n v="47"/>
    <s v="176 CO"/>
    <n v="51"/>
    <m/>
    <s v="U"/>
    <m/>
    <d v="1899-12-30T01:15:00"/>
    <s v="13:55"/>
    <s v="NC"/>
    <s v="F264."/>
    <s v="20140824 JKunzler"/>
    <s v="20140825CSewright"/>
    <s v="x"/>
    <n v="151.26599999999999"/>
    <s v="na"/>
    <s v="FWL"/>
    <s v="na"/>
    <s v="na"/>
    <s v="F1840"/>
    <s v="na"/>
    <s v="na"/>
    <s v="na"/>
    <s v="na"/>
    <s v="na"/>
  </r>
  <r>
    <n v="3436"/>
    <x v="73"/>
    <n v="3"/>
    <x v="13"/>
    <x v="0"/>
    <x v="0"/>
    <m/>
    <m/>
    <n v="48"/>
    <m/>
    <s v="U"/>
    <m/>
    <d v="1899-12-30T00:29:00"/>
    <s v="13:56"/>
    <s v="NC"/>
    <m/>
    <s v="20140824 JKunzler"/>
    <s v="20140825CSewright"/>
    <s v="x"/>
    <s v="x"/>
    <s v="na"/>
    <s v="FWL"/>
    <s v="na"/>
    <s v="na"/>
    <s v="na"/>
    <s v="na"/>
    <s v="na"/>
    <s v="na"/>
    <s v="na"/>
    <s v="na"/>
  </r>
  <r>
    <n v="3437"/>
    <x v="73"/>
    <n v="3"/>
    <x v="13"/>
    <x v="0"/>
    <x v="0"/>
    <m/>
    <m/>
    <n v="56"/>
    <m/>
    <s v="M"/>
    <m/>
    <d v="1899-12-30T00:25:00"/>
    <s v="13:57"/>
    <s v="NC"/>
    <m/>
    <s v="20140824 JKunzler"/>
    <s v="20140825CSewright"/>
    <s v="x"/>
    <s v="x"/>
    <s v="na"/>
    <s v="FWL"/>
    <s v="na"/>
    <s v="na"/>
    <s v="na"/>
    <s v="na"/>
    <s v="na"/>
    <s v="na"/>
    <s v="na"/>
    <s v="na"/>
  </r>
  <r>
    <n v="3438"/>
    <x v="73"/>
    <n v="3"/>
    <x v="13"/>
    <x v="0"/>
    <x v="0"/>
    <m/>
    <m/>
    <n v="60"/>
    <m/>
    <s v="F"/>
    <m/>
    <d v="1899-12-30T00:33:00"/>
    <s v="13:58"/>
    <s v="NC"/>
    <m/>
    <s v="20140824 JKunzler"/>
    <s v="20140825CSewright"/>
    <s v="x"/>
    <s v="x"/>
    <s v="na"/>
    <s v="FWL"/>
    <s v="na"/>
    <s v="na"/>
    <s v="na"/>
    <s v="na"/>
    <s v="na"/>
    <s v="na"/>
    <s v="na"/>
    <s v="na"/>
  </r>
  <r>
    <n v="3439"/>
    <x v="73"/>
    <n v="3"/>
    <x v="13"/>
    <x v="0"/>
    <x v="0"/>
    <m/>
    <m/>
    <n v="59"/>
    <m/>
    <s v="M"/>
    <m/>
    <d v="1899-12-30T00:29:00"/>
    <s v="15:17"/>
    <s v="CSW"/>
    <m/>
    <s v="20140824 LGasek"/>
    <s v="20140825CSewright"/>
    <s v="x"/>
    <s v="x"/>
    <s v="na"/>
    <s v="FWL"/>
    <s v="na"/>
    <s v="na"/>
    <s v="na"/>
    <s v="na"/>
    <s v="na"/>
    <s v="na"/>
    <s v="na"/>
    <s v="na"/>
  </r>
  <r>
    <n v="3440"/>
    <x v="73"/>
    <n v="3"/>
    <x v="13"/>
    <x v="0"/>
    <x v="0"/>
    <m/>
    <m/>
    <n v="50"/>
    <m/>
    <s v="F"/>
    <m/>
    <d v="1899-12-30T00:24:00"/>
    <s v="15:19"/>
    <s v="CSw"/>
    <m/>
    <s v="20140824 LGasek"/>
    <s v="20140825CSewright"/>
    <s v="x"/>
    <s v="x"/>
    <s v="na"/>
    <s v="FWL"/>
    <s v="na"/>
    <s v="na"/>
    <s v="na"/>
    <s v="na"/>
    <s v="na"/>
    <s v="na"/>
    <s v="na"/>
    <s v="na"/>
  </r>
  <r>
    <n v="3441"/>
    <x v="73"/>
    <n v="3"/>
    <x v="13"/>
    <x v="0"/>
    <x v="0"/>
    <m/>
    <m/>
    <n v="59"/>
    <m/>
    <s v="F"/>
    <m/>
    <d v="1899-12-30T00:25:00"/>
    <s v="17:06"/>
    <s v="CSw"/>
    <m/>
    <s v="20140824 LGasek"/>
    <s v="20140825CSewright"/>
    <s v="x"/>
    <s v="x"/>
    <s v="na"/>
    <s v="FWL"/>
    <s v="na"/>
    <s v="na"/>
    <s v="na"/>
    <s v="na"/>
    <s v="na"/>
    <s v="na"/>
    <s v="na"/>
    <s v="na"/>
  </r>
  <r>
    <n v="3442"/>
    <x v="73"/>
    <n v="3"/>
    <x v="13"/>
    <x v="0"/>
    <x v="0"/>
    <m/>
    <m/>
    <n v="56"/>
    <m/>
    <s v="F"/>
    <m/>
    <d v="1899-12-30T00:34:00"/>
    <s v="17:07"/>
    <s v="CSw"/>
    <m/>
    <s v="20140824 LGasek"/>
    <s v="20140825CSewright"/>
    <s v="x"/>
    <s v="x"/>
    <s v="na"/>
    <s v="FWL"/>
    <s v="na"/>
    <s v="na"/>
    <s v="na"/>
    <s v="na"/>
    <s v="na"/>
    <s v="na"/>
    <s v="na"/>
    <s v="na"/>
  </r>
  <r>
    <n v="3443"/>
    <x v="73"/>
    <n v="3"/>
    <x v="13"/>
    <x v="0"/>
    <x v="0"/>
    <m/>
    <m/>
    <n v="47"/>
    <m/>
    <s v="M"/>
    <m/>
    <d v="1899-12-30T00:21:00"/>
    <s v="17:09"/>
    <s v="CSw"/>
    <m/>
    <s v="20140824 LGasek"/>
    <s v="20140825CSewright"/>
    <s v="x"/>
    <s v="x"/>
    <s v="na"/>
    <s v="FWL"/>
    <s v="na"/>
    <s v="na"/>
    <s v="na"/>
    <s v="na"/>
    <s v="na"/>
    <s v="na"/>
    <s v="na"/>
    <s v="na"/>
  </r>
  <r>
    <n v="3444"/>
    <x v="73"/>
    <n v="3"/>
    <x v="10"/>
    <x v="0"/>
    <x v="0"/>
    <m/>
    <m/>
    <n v="61"/>
    <m/>
    <s v="M"/>
    <m/>
    <d v="1899-12-30T00:21:00"/>
    <s v="17:10"/>
    <s v="CSw"/>
    <m/>
    <s v="20140824 LGasek"/>
    <s v="20140825CSewright"/>
    <s v="x"/>
    <s v="x"/>
    <s v="na"/>
    <s v="FWL"/>
    <s v="na"/>
    <s v="na"/>
    <s v="na"/>
    <s v="na"/>
    <s v="na"/>
    <s v="na"/>
    <s v="na"/>
    <s v="na"/>
  </r>
  <r>
    <n v="3445"/>
    <x v="73"/>
    <n v="3"/>
    <x v="10"/>
    <x v="0"/>
    <x v="0"/>
    <m/>
    <m/>
    <n v="51"/>
    <m/>
    <s v="F"/>
    <m/>
    <d v="1899-12-30T00:28:00"/>
    <s v="17:11"/>
    <s v="CSw"/>
    <m/>
    <s v="20140824 LGasek"/>
    <s v="20140825CSewright"/>
    <s v="x"/>
    <s v="x"/>
    <s v="na"/>
    <s v="FWL"/>
    <s v="na"/>
    <s v="na"/>
    <s v="na"/>
    <s v="na"/>
    <s v="na"/>
    <s v="na"/>
    <s v="na"/>
    <s v="na"/>
  </r>
  <r>
    <n v="3446"/>
    <x v="73"/>
    <n v="3"/>
    <x v="10"/>
    <x v="0"/>
    <x v="0"/>
    <m/>
    <m/>
    <n v="50"/>
    <m/>
    <s v="F"/>
    <m/>
    <d v="1899-12-30T00:20:00"/>
    <s v="17:13"/>
    <s v="CSw"/>
    <m/>
    <s v="20140824 LGasek"/>
    <s v="20140825CSewright"/>
    <s v="x"/>
    <s v="x"/>
    <s v="na"/>
    <s v="FWL"/>
    <s v="na"/>
    <s v="na"/>
    <s v="na"/>
    <s v="na"/>
    <s v="na"/>
    <s v="na"/>
    <s v="na"/>
    <s v="na"/>
  </r>
  <r>
    <n v="3447"/>
    <x v="73"/>
    <n v="3"/>
    <x v="13"/>
    <x v="0"/>
    <x v="0"/>
    <m/>
    <m/>
    <n v="60"/>
    <m/>
    <s v="M"/>
    <m/>
    <d v="1899-12-30T00:29:00"/>
    <s v="20:03"/>
    <s v="CSW"/>
    <m/>
    <s v="20140824 LGasek"/>
    <s v="20140825CSewright"/>
    <s v="x"/>
    <s v="x"/>
    <s v="na"/>
    <s v="FWL"/>
    <s v="na"/>
    <s v="na"/>
    <s v="na"/>
    <s v="na"/>
    <s v="na"/>
    <s v="na"/>
    <s v="na"/>
    <s v="na"/>
  </r>
  <r>
    <n v="3448"/>
    <x v="73"/>
    <n v="3"/>
    <x v="10"/>
    <x v="0"/>
    <x v="0"/>
    <m/>
    <m/>
    <n v="54"/>
    <m/>
    <s v="F"/>
    <m/>
    <d v="1899-12-30T00:30:00"/>
    <s v="20:05"/>
    <s v="CSW"/>
    <m/>
    <s v="20140824 LGasek"/>
    <s v="20140825CSewright"/>
    <s v="x"/>
    <s v="x"/>
    <s v="na"/>
    <s v="FWL"/>
    <s v="na"/>
    <s v="na"/>
    <s v="na"/>
    <s v="na"/>
    <s v="na"/>
    <s v="na"/>
    <s v="na"/>
    <s v="na"/>
  </r>
  <r>
    <n v="3449"/>
    <x v="73"/>
    <n v="3"/>
    <x v="10"/>
    <x v="0"/>
    <x v="0"/>
    <m/>
    <m/>
    <n v="54"/>
    <m/>
    <s v="M"/>
    <m/>
    <d v="1899-12-30T00:33:00"/>
    <s v="20:07"/>
    <s v="CSW"/>
    <m/>
    <s v="20140824 LGasek"/>
    <s v="20140825CSewright"/>
    <s v="x"/>
    <s v="x"/>
    <s v="na"/>
    <s v="FWL"/>
    <s v="na"/>
    <s v="na"/>
    <s v="na"/>
    <s v="na"/>
    <s v="na"/>
    <s v="na"/>
    <s v="na"/>
    <s v="na"/>
  </r>
  <r>
    <n v="3450"/>
    <x v="73"/>
    <n v="3"/>
    <x v="7"/>
    <x v="0"/>
    <x v="6"/>
    <n v="2"/>
    <s v="196 S"/>
    <n v="53"/>
    <m/>
    <s v="F"/>
    <m/>
    <d v="1899-12-30T01:08:00"/>
    <s v="20:14"/>
    <s v="CSW"/>
    <s v="really bright!"/>
    <s v="20140824 LGasek"/>
    <s v="20140825CSewright"/>
    <s v="x"/>
    <n v="151.57300000000001"/>
    <s v="na"/>
    <s v="FWL"/>
    <s v="na"/>
    <s v="na"/>
    <s v="F1840"/>
    <s v="na"/>
    <s v="na"/>
    <s v="na"/>
    <s v="na"/>
    <s v="na"/>
  </r>
  <r>
    <n v="3451"/>
    <x v="73"/>
    <n v="3"/>
    <x v="13"/>
    <x v="0"/>
    <x v="0"/>
    <m/>
    <m/>
    <n v="61"/>
    <m/>
    <s v="F"/>
    <m/>
    <d v="1899-12-30T00:33:00"/>
    <s v="20:16"/>
    <s v="LG"/>
    <m/>
    <s v="20140824 LGasek"/>
    <s v="20140825CSewright"/>
    <s v="x"/>
    <s v="x"/>
    <s v="na"/>
    <s v="FWL"/>
    <s v="na"/>
    <s v="na"/>
    <s v="na"/>
    <s v="na"/>
    <s v="na"/>
    <s v="na"/>
    <s v="na"/>
    <s v="na"/>
  </r>
  <r>
    <n v="3452"/>
    <x v="74"/>
    <n v="1"/>
    <x v="10"/>
    <x v="0"/>
    <x v="0"/>
    <m/>
    <m/>
    <n v="56"/>
    <m/>
    <s v="M"/>
    <m/>
    <d v="1899-12-30T00:34:00"/>
    <s v="09:21"/>
    <s v="LG"/>
    <m/>
    <s v="20140825 NCollin"/>
    <s v="20140826CSewright"/>
    <s v="x"/>
    <s v="x"/>
    <s v="na"/>
    <s v="FWL"/>
    <s v="na"/>
    <s v="na"/>
    <s v="na"/>
    <s v="na"/>
    <s v="na"/>
    <s v="na"/>
    <s v="na"/>
    <s v="na"/>
  </r>
  <r>
    <n v="3453"/>
    <x v="74"/>
    <n v="1"/>
    <x v="10"/>
    <x v="0"/>
    <x v="0"/>
    <m/>
    <m/>
    <n v="53"/>
    <m/>
    <s v="F"/>
    <m/>
    <d v="1899-12-30T00:14:00"/>
    <s v="09:23"/>
    <s v="LG"/>
    <m/>
    <s v="20140825 NCollin"/>
    <s v="20140826CSewright"/>
    <s v="x"/>
    <s v="x"/>
    <s v="na"/>
    <s v="FWL"/>
    <s v="na"/>
    <s v="na"/>
    <s v="na"/>
    <s v="na"/>
    <s v="na"/>
    <s v="na"/>
    <s v="na"/>
    <s v="na"/>
  </r>
  <r>
    <n v="3454"/>
    <x v="74"/>
    <n v="1"/>
    <x v="10"/>
    <x v="0"/>
    <x v="0"/>
    <m/>
    <m/>
    <n v="54"/>
    <m/>
    <s v="F"/>
    <m/>
    <d v="1899-12-30T00:23:00"/>
    <s v="10:25"/>
    <s v="NC"/>
    <m/>
    <s v="20140825 NCollin"/>
    <s v="20140826CSewright"/>
    <s v="x"/>
    <s v="x"/>
    <s v="na"/>
    <s v="FWL"/>
    <s v="na"/>
    <s v="na"/>
    <s v="na"/>
    <s v="na"/>
    <s v="na"/>
    <s v="na"/>
    <s v="na"/>
    <s v="na"/>
  </r>
  <r>
    <n v="3455"/>
    <x v="74"/>
    <n v="1"/>
    <x v="10"/>
    <x v="0"/>
    <x v="0"/>
    <m/>
    <m/>
    <n v="54"/>
    <m/>
    <s v="M"/>
    <m/>
    <d v="1899-12-30T00:21:00"/>
    <s v="14:23"/>
    <s v="JK"/>
    <m/>
    <s v="20140825 JKunzler"/>
    <s v="20140826CSewright"/>
    <s v="x"/>
    <s v="x"/>
    <s v="na"/>
    <s v="FWL"/>
    <s v="na"/>
    <s v="na"/>
    <s v="na"/>
    <s v="na"/>
    <s v="na"/>
    <s v="na"/>
    <s v="na"/>
    <s v="na"/>
  </r>
  <r>
    <n v="3456"/>
    <x v="74"/>
    <n v="1"/>
    <x v="10"/>
    <x v="0"/>
    <x v="0"/>
    <m/>
    <m/>
    <n v="59"/>
    <m/>
    <s v="F"/>
    <m/>
    <d v="1899-12-30T00:22:00"/>
    <s v="16:02"/>
    <s v="KS"/>
    <m/>
    <s v="20140825 JKunzler"/>
    <s v="20140826CSewright"/>
    <s v="x"/>
    <s v="x"/>
    <s v="na"/>
    <s v="FWL"/>
    <s v="na"/>
    <s v="na"/>
    <s v="na"/>
    <s v="na"/>
    <s v="na"/>
    <s v="na"/>
    <s v="na"/>
    <s v="na"/>
  </r>
  <r>
    <n v="3457"/>
    <x v="74"/>
    <n v="1"/>
    <x v="10"/>
    <x v="0"/>
    <x v="0"/>
    <m/>
    <m/>
    <n v="61"/>
    <m/>
    <s v="F"/>
    <m/>
    <d v="1899-12-30T00:20:00"/>
    <s v="16:03"/>
    <s v="KS"/>
    <m/>
    <s v="20140825 JKunzler"/>
    <s v="20140826CSewright"/>
    <s v="x"/>
    <s v="x"/>
    <s v="na"/>
    <s v="FWL"/>
    <s v="na"/>
    <s v="na"/>
    <s v="na"/>
    <s v="na"/>
    <s v="na"/>
    <s v="na"/>
    <s v="na"/>
    <s v="na"/>
  </r>
  <r>
    <n v="3458"/>
    <x v="74"/>
    <n v="1"/>
    <x v="10"/>
    <x v="0"/>
    <x v="0"/>
    <m/>
    <m/>
    <n v="59"/>
    <m/>
    <s v="F"/>
    <m/>
    <d v="1899-12-30T00:21:00"/>
    <s v="16:04"/>
    <s v="KS"/>
    <m/>
    <s v="20140825 JKunzler"/>
    <s v="20140826CSewright"/>
    <s v="x"/>
    <s v="x"/>
    <s v="na"/>
    <s v="FWL"/>
    <s v="na"/>
    <s v="na"/>
    <s v="na"/>
    <s v="na"/>
    <s v="na"/>
    <s v="na"/>
    <s v="na"/>
    <s v="na"/>
  </r>
  <r>
    <n v="3459"/>
    <x v="74"/>
    <n v="1"/>
    <x v="10"/>
    <x v="0"/>
    <x v="0"/>
    <m/>
    <m/>
    <n v="55"/>
    <m/>
    <s v="F"/>
    <m/>
    <d v="1899-12-30T00:23:00"/>
    <s v="17:06"/>
    <s v="KS"/>
    <m/>
    <s v="20140825 JKunzler"/>
    <s v="20140826CSewright"/>
    <s v="x"/>
    <s v="x"/>
    <s v="na"/>
    <s v="FWL"/>
    <s v="na"/>
    <s v="na"/>
    <s v="na"/>
    <s v="na"/>
    <s v="na"/>
    <s v="na"/>
    <s v="na"/>
    <s v="na"/>
  </r>
  <r>
    <n v="3460"/>
    <x v="74"/>
    <n v="1"/>
    <x v="13"/>
    <x v="0"/>
    <x v="0"/>
    <m/>
    <m/>
    <n v="57"/>
    <m/>
    <s v="F"/>
    <m/>
    <d v="1899-12-30T00:14:00"/>
    <s v="18:18"/>
    <s v="KS"/>
    <m/>
    <s v="20140825 JKunzler"/>
    <s v="20140826CSewright"/>
    <s v="x"/>
    <s v="x"/>
    <s v="na"/>
    <s v="FWL"/>
    <s v="na"/>
    <s v="na"/>
    <s v="na"/>
    <s v="na"/>
    <s v="na"/>
    <s v="na"/>
    <s v="na"/>
    <s v="na"/>
  </r>
  <r>
    <n v="3461"/>
    <x v="74"/>
    <n v="1"/>
    <x v="13"/>
    <x v="0"/>
    <x v="0"/>
    <m/>
    <m/>
    <n v="54"/>
    <m/>
    <s v="F"/>
    <m/>
    <d v="1899-12-30T00:15:00"/>
    <s v="18:19"/>
    <s v="KS"/>
    <m/>
    <s v="20140825 JKunzler"/>
    <s v="20140826CSewright"/>
    <s v="x"/>
    <s v="x"/>
    <s v="na"/>
    <s v="FWL"/>
    <s v="na"/>
    <s v="na"/>
    <s v="na"/>
    <s v="na"/>
    <s v="na"/>
    <s v="na"/>
    <s v="na"/>
    <s v="na"/>
  </r>
  <r>
    <n v="3462"/>
    <x v="74"/>
    <n v="1"/>
    <x v="13"/>
    <x v="0"/>
    <x v="0"/>
    <m/>
    <m/>
    <n v="55"/>
    <m/>
    <s v="M"/>
    <m/>
    <d v="1899-12-30T00:18:00"/>
    <s v="18:26"/>
    <s v="KS"/>
    <m/>
    <s v="20140825 JKunzler"/>
    <s v="20140826CSewright"/>
    <s v="x"/>
    <s v="x"/>
    <s v="na"/>
    <s v="FWL"/>
    <s v="na"/>
    <s v="na"/>
    <s v="na"/>
    <s v="na"/>
    <s v="na"/>
    <s v="na"/>
    <s v="na"/>
    <s v="na"/>
  </r>
  <r>
    <n v="3463"/>
    <x v="74"/>
    <n v="1"/>
    <x v="13"/>
    <x v="0"/>
    <x v="0"/>
    <m/>
    <m/>
    <n v="55"/>
    <m/>
    <s v="M"/>
    <m/>
    <d v="1899-12-30T00:19:00"/>
    <s v="18:28"/>
    <s v="KS"/>
    <m/>
    <s v="20140825 JKunzler"/>
    <s v="20140826CSewright"/>
    <s v="x"/>
    <s v="x"/>
    <s v="na"/>
    <s v="FWL"/>
    <s v="na"/>
    <s v="na"/>
    <s v="na"/>
    <s v="na"/>
    <s v="na"/>
    <s v="na"/>
    <s v="na"/>
    <s v="na"/>
  </r>
  <r>
    <n v="3464"/>
    <x v="74"/>
    <n v="1"/>
    <x v="10"/>
    <x v="0"/>
    <x v="0"/>
    <m/>
    <m/>
    <n v="53"/>
    <m/>
    <s v="F"/>
    <m/>
    <d v="1899-12-30T00:13:00"/>
    <s v="19:30"/>
    <s v="KS"/>
    <m/>
    <s v="20140825 JKunzler"/>
    <s v="20140826CSewright"/>
    <s v="x"/>
    <s v="x"/>
    <s v="na"/>
    <s v="FWL"/>
    <s v="na"/>
    <s v="na"/>
    <s v="na"/>
    <s v="na"/>
    <s v="na"/>
    <s v="na"/>
    <s v="na"/>
    <s v="na"/>
  </r>
  <r>
    <n v="3465"/>
    <x v="74"/>
    <n v="1"/>
    <x v="13"/>
    <x v="0"/>
    <x v="0"/>
    <m/>
    <m/>
    <n v="53"/>
    <m/>
    <s v="M"/>
    <m/>
    <d v="1899-12-30T00:15:00"/>
    <s v="19:31"/>
    <s v="KS"/>
    <m/>
    <s v="20140825 JKunzler"/>
    <s v="20140826CSewright"/>
    <s v="x"/>
    <s v="x"/>
    <s v="na"/>
    <s v="FWL"/>
    <s v="na"/>
    <s v="na"/>
    <s v="na"/>
    <s v="na"/>
    <s v="na"/>
    <s v="na"/>
    <s v="na"/>
    <s v="na"/>
  </r>
  <r>
    <n v="3466"/>
    <x v="74"/>
    <n v="1"/>
    <x v="13"/>
    <x v="0"/>
    <x v="0"/>
    <m/>
    <m/>
    <n v="53"/>
    <m/>
    <s v="M"/>
    <m/>
    <d v="1899-12-30T00:20:00"/>
    <s v="20:25"/>
    <s v="KS"/>
    <m/>
    <s v="20140825 JKunzler"/>
    <s v="20140826CSewright"/>
    <s v="x"/>
    <s v="x"/>
    <s v="na"/>
    <s v="FWL"/>
    <s v="na"/>
    <s v="na"/>
    <s v="na"/>
    <s v="na"/>
    <s v="na"/>
    <s v="na"/>
    <s v="na"/>
    <s v="na"/>
  </r>
  <r>
    <n v="3467"/>
    <x v="74"/>
    <n v="1"/>
    <x v="10"/>
    <x v="0"/>
    <x v="0"/>
    <m/>
    <m/>
    <n v="51"/>
    <m/>
    <s v="F"/>
    <m/>
    <d v="1899-12-30T00:21:00"/>
    <s v="20:26"/>
    <s v="KS"/>
    <m/>
    <s v="20140825 JKunzler"/>
    <s v="20140826CSewright"/>
    <s v="x"/>
    <s v="x"/>
    <s v="na"/>
    <s v="FWL"/>
    <s v="na"/>
    <s v="na"/>
    <s v="na"/>
    <s v="na"/>
    <s v="na"/>
    <s v="na"/>
    <s v="na"/>
    <s v="na"/>
  </r>
  <r>
    <n v="3468"/>
    <x v="74"/>
    <n v="2"/>
    <x v="10"/>
    <x v="0"/>
    <x v="0"/>
    <m/>
    <m/>
    <n v="57"/>
    <m/>
    <s v="M"/>
    <m/>
    <d v="1899-12-30T00:21:00"/>
    <s v="09:33"/>
    <s v="LG"/>
    <m/>
    <s v="20140825 NCollin"/>
    <s v="20140826CSewright"/>
    <s v="x"/>
    <s v="x"/>
    <s v="na"/>
    <s v="FWL"/>
    <s v="na"/>
    <s v="na"/>
    <s v="na"/>
    <s v="na"/>
    <s v="na"/>
    <s v="na"/>
    <s v="na"/>
    <s v="na"/>
  </r>
  <r>
    <n v="3469"/>
    <x v="74"/>
    <n v="2"/>
    <x v="10"/>
    <x v="0"/>
    <x v="0"/>
    <m/>
    <m/>
    <n v="59"/>
    <m/>
    <s v="M"/>
    <m/>
    <d v="1899-12-30T00:19:00"/>
    <s v="09:34"/>
    <s v="LG"/>
    <m/>
    <s v="20140825 NCollin"/>
    <s v="20140826CSewright"/>
    <s v="x"/>
    <s v="x"/>
    <s v="na"/>
    <s v="FWL"/>
    <s v="na"/>
    <s v="na"/>
    <s v="na"/>
    <s v="na"/>
    <s v="na"/>
    <s v="na"/>
    <s v="na"/>
    <s v="na"/>
  </r>
  <r>
    <n v="3470"/>
    <x v="74"/>
    <n v="2"/>
    <x v="10"/>
    <x v="0"/>
    <x v="0"/>
    <m/>
    <m/>
    <n v="60"/>
    <m/>
    <s v="M"/>
    <m/>
    <d v="1899-12-30T00:21:00"/>
    <s v="09:35"/>
    <s v="LG"/>
    <m/>
    <s v="20140825 NCollin"/>
    <s v="20140826CSewright"/>
    <s v="x"/>
    <s v="x"/>
    <s v="na"/>
    <s v="FWL"/>
    <s v="na"/>
    <s v="na"/>
    <s v="na"/>
    <s v="na"/>
    <s v="na"/>
    <s v="na"/>
    <s v="na"/>
    <s v="na"/>
  </r>
  <r>
    <n v="3471"/>
    <x v="74"/>
    <n v="2"/>
    <x v="10"/>
    <x v="0"/>
    <x v="0"/>
    <m/>
    <m/>
    <n v="61"/>
    <m/>
    <s v="M"/>
    <m/>
    <d v="1899-12-30T00:18:00"/>
    <s v="09:36"/>
    <s v="LG"/>
    <m/>
    <s v="20140825 NCollin"/>
    <s v="20140826CSewright"/>
    <s v="x"/>
    <s v="x"/>
    <s v="na"/>
    <s v="FWL"/>
    <s v="na"/>
    <s v="na"/>
    <s v="na"/>
    <s v="na"/>
    <s v="na"/>
    <s v="na"/>
    <s v="na"/>
    <s v="na"/>
  </r>
  <r>
    <n v="3472"/>
    <x v="74"/>
    <n v="2"/>
    <x v="10"/>
    <x v="0"/>
    <x v="0"/>
    <m/>
    <m/>
    <n v="59"/>
    <m/>
    <s v="M"/>
    <m/>
    <d v="1899-12-30T00:19:00"/>
    <s v="09:37"/>
    <s v="LG"/>
    <m/>
    <s v="20140825 NCollin"/>
    <s v="20140826CSewright"/>
    <s v="x"/>
    <s v="x"/>
    <s v="na"/>
    <s v="FWL"/>
    <s v="na"/>
    <s v="na"/>
    <s v="na"/>
    <s v="na"/>
    <s v="na"/>
    <s v="na"/>
    <s v="na"/>
    <s v="na"/>
  </r>
  <r>
    <n v="3473"/>
    <x v="74"/>
    <n v="2"/>
    <x v="10"/>
    <x v="0"/>
    <x v="0"/>
    <m/>
    <m/>
    <n v="58"/>
    <m/>
    <s v="F"/>
    <m/>
    <d v="1899-12-30T00:27:00"/>
    <s v="09:40"/>
    <s v="LG"/>
    <m/>
    <s v="20140825 NCollin"/>
    <s v="20140826CSewright"/>
    <s v="x"/>
    <s v="x"/>
    <s v="na"/>
    <s v="FWL"/>
    <s v="na"/>
    <s v="na"/>
    <s v="na"/>
    <s v="na"/>
    <s v="na"/>
    <s v="na"/>
    <s v="na"/>
    <s v="na"/>
  </r>
  <r>
    <n v="3474"/>
    <x v="74"/>
    <n v="2"/>
    <x v="10"/>
    <x v="0"/>
    <x v="0"/>
    <m/>
    <m/>
    <n v="58"/>
    <m/>
    <s v="M"/>
    <m/>
    <d v="1899-12-30T00:20:00"/>
    <s v="09:41"/>
    <s v="LG"/>
    <m/>
    <s v="20140825 NCollin"/>
    <s v="20140826CSewright"/>
    <s v="x"/>
    <s v="x"/>
    <s v="na"/>
    <s v="FWL"/>
    <s v="na"/>
    <s v="na"/>
    <s v="na"/>
    <s v="na"/>
    <s v="na"/>
    <s v="na"/>
    <s v="na"/>
    <s v="na"/>
  </r>
  <r>
    <n v="3475"/>
    <x v="74"/>
    <n v="2"/>
    <x v="10"/>
    <x v="0"/>
    <x v="0"/>
    <m/>
    <m/>
    <n v="59"/>
    <m/>
    <s v="M"/>
    <m/>
    <d v="1899-12-30T00:24:00"/>
    <s v="09:42"/>
    <s v="LG"/>
    <m/>
    <s v="20140825 NCollin"/>
    <s v="20140826CSewright"/>
    <s v="x"/>
    <s v="x"/>
    <s v="na"/>
    <s v="FWL"/>
    <s v="na"/>
    <s v="na"/>
    <s v="na"/>
    <s v="na"/>
    <s v="na"/>
    <s v="na"/>
    <s v="na"/>
    <s v="na"/>
  </r>
  <r>
    <n v="3476"/>
    <x v="74"/>
    <n v="2"/>
    <x v="10"/>
    <x v="0"/>
    <x v="0"/>
    <m/>
    <m/>
    <n v="54"/>
    <m/>
    <s v="M"/>
    <m/>
    <d v="1899-12-30T00:30:00"/>
    <s v="09:43"/>
    <s v="LG"/>
    <m/>
    <s v="20140825 NCollin"/>
    <s v="20140826CSewright"/>
    <s v="x"/>
    <s v="x"/>
    <s v="na"/>
    <s v="FWL"/>
    <s v="na"/>
    <s v="na"/>
    <s v="na"/>
    <s v="na"/>
    <s v="na"/>
    <s v="na"/>
    <s v="na"/>
    <s v="na"/>
  </r>
  <r>
    <n v="3477"/>
    <x v="74"/>
    <n v="2"/>
    <x v="10"/>
    <x v="0"/>
    <x v="0"/>
    <m/>
    <m/>
    <n v="58"/>
    <m/>
    <s v="F"/>
    <m/>
    <d v="1899-12-30T00:20:00"/>
    <s v="10:15"/>
    <s v="LG"/>
    <m/>
    <s v="20140825 NCollin"/>
    <s v="20140826CSewright"/>
    <s v="x"/>
    <s v="x"/>
    <s v="na"/>
    <s v="FWL"/>
    <s v="na"/>
    <s v="na"/>
    <s v="na"/>
    <s v="na"/>
    <s v="na"/>
    <s v="na"/>
    <s v="na"/>
    <s v="na"/>
  </r>
  <r>
    <n v="3478"/>
    <x v="74"/>
    <n v="2"/>
    <x v="13"/>
    <x v="0"/>
    <x v="0"/>
    <m/>
    <m/>
    <n v="56"/>
    <m/>
    <s v="F"/>
    <m/>
    <d v="1899-12-30T00:20:00"/>
    <s v="12:23"/>
    <s v="LG"/>
    <s v="bad gash in side, did not tag"/>
    <s v="20140825 NCollin"/>
    <s v="20140826CSewright"/>
    <s v="x"/>
    <s v="x"/>
    <s v="na"/>
    <s v="FWL"/>
    <s v="na"/>
    <s v="na"/>
    <s v="na"/>
    <s v="na"/>
    <s v="na"/>
    <s v="na"/>
    <s v="na"/>
    <s v="na"/>
  </r>
  <r>
    <n v="3479"/>
    <x v="74"/>
    <n v="2"/>
    <x v="10"/>
    <x v="0"/>
    <x v="0"/>
    <m/>
    <m/>
    <n v="59"/>
    <m/>
    <s v="M"/>
    <m/>
    <d v="1899-12-30T00:25:00"/>
    <s v="12:24"/>
    <s v="LG"/>
    <m/>
    <s v="20140825 NCollin"/>
    <s v="20140826CSewright"/>
    <s v="x"/>
    <s v="x"/>
    <s v="na"/>
    <s v="FWL"/>
    <s v="na"/>
    <s v="na"/>
    <s v="na"/>
    <s v="na"/>
    <s v="na"/>
    <s v="na"/>
    <s v="na"/>
    <s v="na"/>
  </r>
  <r>
    <n v="3480"/>
    <x v="74"/>
    <n v="2"/>
    <x v="10"/>
    <x v="0"/>
    <x v="0"/>
    <m/>
    <m/>
    <n v="56"/>
    <m/>
    <s v="M"/>
    <m/>
    <d v="1899-12-30T00:18:00"/>
    <s v="12:25"/>
    <s v="LG"/>
    <m/>
    <s v="20140825 NCollin"/>
    <s v="20140826CSewright"/>
    <s v="x"/>
    <s v="x"/>
    <s v="na"/>
    <s v="FWL"/>
    <s v="na"/>
    <s v="na"/>
    <s v="na"/>
    <s v="na"/>
    <s v="na"/>
    <s v="na"/>
    <s v="na"/>
    <s v="na"/>
  </r>
  <r>
    <n v="3481"/>
    <x v="74"/>
    <n v="2"/>
    <x v="10"/>
    <x v="0"/>
    <x v="0"/>
    <m/>
    <m/>
    <n v="57"/>
    <m/>
    <s v="M"/>
    <m/>
    <d v="1899-12-30T00:19:00"/>
    <s v="12:26"/>
    <s v="LG"/>
    <m/>
    <s v="20140825 NCollin"/>
    <s v="20140826CSewright"/>
    <s v="x"/>
    <s v="x"/>
    <s v="na"/>
    <s v="FWL"/>
    <s v="na"/>
    <s v="na"/>
    <s v="na"/>
    <s v="na"/>
    <s v="na"/>
    <s v="na"/>
    <s v="na"/>
    <s v="na"/>
  </r>
  <r>
    <n v="3482"/>
    <x v="74"/>
    <n v="2"/>
    <x v="10"/>
    <x v="0"/>
    <x v="0"/>
    <m/>
    <m/>
    <n v="60"/>
    <m/>
    <s v="M"/>
    <m/>
    <d v="1899-12-30T00:24:00"/>
    <s v="12:27"/>
    <s v="LG"/>
    <m/>
    <s v="20140825 NCollin"/>
    <s v="20140826CSewright"/>
    <s v="x"/>
    <s v="x"/>
    <s v="na"/>
    <s v="FWL"/>
    <s v="na"/>
    <s v="na"/>
    <s v="na"/>
    <s v="na"/>
    <s v="na"/>
    <s v="na"/>
    <s v="na"/>
    <s v="na"/>
  </r>
  <r>
    <n v="3483"/>
    <x v="74"/>
    <n v="2"/>
    <x v="10"/>
    <x v="0"/>
    <x v="0"/>
    <m/>
    <m/>
    <n v="51"/>
    <m/>
    <s v="M"/>
    <m/>
    <d v="1899-12-30T00:24:00"/>
    <s v="12:28"/>
    <s v="LG"/>
    <m/>
    <s v="20140825 NCollin"/>
    <s v="20140826CSewright"/>
    <s v="x"/>
    <s v="x"/>
    <s v="na"/>
    <s v="FWL"/>
    <s v="na"/>
    <s v="na"/>
    <s v="na"/>
    <s v="na"/>
    <s v="na"/>
    <s v="na"/>
    <s v="na"/>
    <s v="na"/>
  </r>
  <r>
    <n v="3484"/>
    <x v="74"/>
    <n v="2"/>
    <x v="13"/>
    <x v="0"/>
    <x v="14"/>
    <n v="46"/>
    <s v="181 CO"/>
    <n v="56"/>
    <m/>
    <s v="M"/>
    <m/>
    <d v="1899-12-30T00:43:00"/>
    <s v="12:39"/>
    <s v="NC"/>
    <m/>
    <s v="20140825 NCollin"/>
    <s v="20140826CSewright"/>
    <s v="x"/>
    <n v="151.32499999999999"/>
    <s v="na"/>
    <s v="FWL"/>
    <s v="na"/>
    <s v="na"/>
    <s v="F1840"/>
    <s v="na"/>
    <s v="na"/>
    <s v="na"/>
    <s v="na"/>
    <s v="na"/>
  </r>
  <r>
    <n v="3485"/>
    <x v="74"/>
    <n v="2"/>
    <x v="13"/>
    <x v="0"/>
    <x v="14"/>
    <n v="41"/>
    <s v="183 CO"/>
    <n v="52"/>
    <m/>
    <s v="M"/>
    <m/>
    <d v="1899-12-30T00:53:00"/>
    <s v="12:44"/>
    <s v="NC"/>
    <m/>
    <s v="20140825 NCollin"/>
    <s v="20140826CSewright"/>
    <s v="x"/>
    <n v="151.32499999999999"/>
    <s v="na"/>
    <s v="FWL"/>
    <s v="na"/>
    <s v="na"/>
    <s v="F1840"/>
    <s v="na"/>
    <s v="na"/>
    <s v="na"/>
    <s v="na"/>
    <s v="na"/>
  </r>
  <r>
    <n v="3486"/>
    <x v="74"/>
    <n v="2"/>
    <x v="13"/>
    <x v="0"/>
    <x v="14"/>
    <n v="47"/>
    <s v="184 CO"/>
    <n v="56"/>
    <m/>
    <s v="F"/>
    <m/>
    <d v="1899-12-30T00:56:00"/>
    <s v="15:22"/>
    <s v="KS"/>
    <m/>
    <s v="20140825 JKunzler"/>
    <s v="20140826CSewright"/>
    <s v="x"/>
    <n v="151.32499999999999"/>
    <s v="na"/>
    <s v="FWL"/>
    <s v="na"/>
    <s v="na"/>
    <s v="F1840"/>
    <s v="na"/>
    <s v="na"/>
    <s v="na"/>
    <s v="na"/>
    <s v="na"/>
  </r>
  <r>
    <n v="3487"/>
    <x v="74"/>
    <n v="2"/>
    <x v="7"/>
    <x v="0"/>
    <x v="0"/>
    <m/>
    <m/>
    <n v="47"/>
    <m/>
    <s v="U"/>
    <m/>
    <d v="1899-12-30T00:36:00"/>
    <s v="17:28"/>
    <s v="KS"/>
    <s v="big wound on each side"/>
    <s v="20140825 JKunzler"/>
    <s v="20140826CSewright"/>
    <s v="x"/>
    <s v="x"/>
    <s v="na"/>
    <s v="FWL"/>
    <s v="na"/>
    <s v="na"/>
    <s v="na"/>
    <s v="na"/>
    <s v="na"/>
    <s v="na"/>
    <s v="na"/>
    <s v="na"/>
  </r>
  <r>
    <n v="3488"/>
    <x v="74"/>
    <n v="2"/>
    <x v="13"/>
    <x v="0"/>
    <x v="0"/>
    <m/>
    <m/>
    <n v="57"/>
    <m/>
    <s v="M"/>
    <m/>
    <d v="1899-12-30T00:21:00"/>
    <s v="17:32"/>
    <s v="KS"/>
    <m/>
    <s v="20140825 JKunzler"/>
    <s v="20140826CSewright"/>
    <s v="x"/>
    <s v="x"/>
    <s v="na"/>
    <s v="FWL"/>
    <s v="na"/>
    <s v="na"/>
    <s v="na"/>
    <s v="na"/>
    <s v="na"/>
    <s v="na"/>
    <s v="na"/>
    <s v="na"/>
  </r>
  <r>
    <n v="3489"/>
    <x v="74"/>
    <n v="3"/>
    <x v="10"/>
    <x v="0"/>
    <x v="0"/>
    <m/>
    <m/>
    <n v="56"/>
    <m/>
    <s v="F"/>
    <m/>
    <d v="1899-12-30T00:25:00"/>
    <s v="09:44"/>
    <s v="JK"/>
    <m/>
    <s v="20140825 JKunzler"/>
    <s v="20140826CSewright"/>
    <s v="x"/>
    <s v="x"/>
    <s v="na"/>
    <s v="FWL"/>
    <s v="na"/>
    <s v="na"/>
    <s v="na"/>
    <s v="na"/>
    <s v="na"/>
    <s v="na"/>
    <s v="na"/>
    <s v="na"/>
  </r>
  <r>
    <n v="3490"/>
    <x v="74"/>
    <n v="3"/>
    <x v="10"/>
    <x v="0"/>
    <x v="0"/>
    <m/>
    <m/>
    <n v="60"/>
    <m/>
    <s v="F"/>
    <m/>
    <d v="1899-12-30T00:20:00"/>
    <s v="09:46"/>
    <s v="KS"/>
    <m/>
    <s v="20140825 JKunzler"/>
    <s v="20140826CSewright"/>
    <s v="x"/>
    <s v="x"/>
    <s v="na"/>
    <s v="FWL"/>
    <s v="na"/>
    <s v="na"/>
    <s v="na"/>
    <s v="na"/>
    <s v="na"/>
    <s v="na"/>
    <s v="na"/>
    <s v="na"/>
  </r>
  <r>
    <n v="3491"/>
    <x v="74"/>
    <n v="3"/>
    <x v="13"/>
    <x v="0"/>
    <x v="15"/>
    <n v="92"/>
    <s v="178 CO"/>
    <n v="54"/>
    <m/>
    <s v="M"/>
    <m/>
    <d v="1899-12-30T00:45:00"/>
    <s v="10:45"/>
    <s v="KS"/>
    <s v="F264."/>
    <s v="20140825 JKunzler"/>
    <s v="20140826CSewright"/>
    <s v="x"/>
    <n v="151.26599999999999"/>
    <s v="na"/>
    <s v="FWL"/>
    <s v="na"/>
    <s v="na"/>
    <s v="F1840"/>
    <s v="na"/>
    <s v="na"/>
    <s v="na"/>
    <s v="na"/>
    <s v="na"/>
  </r>
  <r>
    <n v="3492"/>
    <x v="74"/>
    <n v="3"/>
    <x v="10"/>
    <x v="0"/>
    <x v="0"/>
    <m/>
    <m/>
    <n v="59"/>
    <m/>
    <s v="M"/>
    <m/>
    <d v="1899-12-30T00:22:00"/>
    <s v="10:46"/>
    <s v="KS"/>
    <m/>
    <s v="20140825 JKunzler"/>
    <s v="20140826CSewright"/>
    <s v="x"/>
    <s v="x"/>
    <s v="na"/>
    <s v="FWL"/>
    <s v="na"/>
    <s v="na"/>
    <s v="na"/>
    <s v="na"/>
    <s v="na"/>
    <s v="na"/>
    <s v="na"/>
    <s v="na"/>
  </r>
  <r>
    <n v="3493"/>
    <x v="74"/>
    <n v="3"/>
    <x v="13"/>
    <x v="0"/>
    <x v="15"/>
    <n v="49"/>
    <s v="180 CO"/>
    <n v="52"/>
    <m/>
    <s v="M"/>
    <m/>
    <d v="1899-12-30T01:27:00"/>
    <s v="13:19"/>
    <s v="CSw"/>
    <s v="F264."/>
    <s v="20140825 CSewright"/>
    <s v="20140826CSewright"/>
    <s v="x"/>
    <n v="151.26599999999999"/>
    <s v="na"/>
    <s v="FWL"/>
    <s v="na"/>
    <s v="na"/>
    <s v="F1840"/>
    <s v="na"/>
    <s v="na"/>
    <s v="na"/>
    <s v="na"/>
    <s v="na"/>
  </r>
  <r>
    <n v="3494"/>
    <x v="74"/>
    <n v="3"/>
    <x v="13"/>
    <x v="0"/>
    <x v="15"/>
    <n v="7"/>
    <s v="182 CO"/>
    <n v="52"/>
    <m/>
    <s v="F"/>
    <m/>
    <d v="1899-12-30T02:25:00"/>
    <s v="13:30"/>
    <s v="CSw"/>
    <s v="F264.  did not want to take the tag"/>
    <s v="20140825 CSewright"/>
    <s v="20140826CSewright"/>
    <s v="x"/>
    <n v="151.26599999999999"/>
    <s v="na"/>
    <s v="FWL"/>
    <s v="na"/>
    <s v="na"/>
    <s v="F1840"/>
    <s v="na"/>
    <s v="na"/>
    <s v="na"/>
    <s v="na"/>
    <s v="na"/>
  </r>
  <r>
    <n v="3495"/>
    <x v="74"/>
    <n v="3"/>
    <x v="10"/>
    <x v="0"/>
    <x v="0"/>
    <m/>
    <m/>
    <n v="53"/>
    <m/>
    <s v="M"/>
    <m/>
    <d v="1899-12-30T00:24:00"/>
    <s v="13:26"/>
    <s v="AS"/>
    <m/>
    <s v="20140825 CSewright"/>
    <s v="20140826CSewright"/>
    <s v="x"/>
    <s v="x"/>
    <s v="na"/>
    <s v="FWL"/>
    <s v="na"/>
    <s v="na"/>
    <s v="na"/>
    <s v="na"/>
    <s v="na"/>
    <s v="na"/>
    <s v="na"/>
    <s v="na"/>
  </r>
  <r>
    <n v="3496"/>
    <x v="74"/>
    <n v="3"/>
    <x v="13"/>
    <x v="0"/>
    <x v="15"/>
    <n v="46"/>
    <s v="177 CO"/>
    <n v="58"/>
    <m/>
    <s v="F"/>
    <m/>
    <d v="1899-12-30T01:53:00"/>
    <s v="13:35"/>
    <s v="CSw"/>
    <s v="F264."/>
    <s v="20140825 CSewright"/>
    <s v="20140826CSewright"/>
    <s v="x"/>
    <n v="151.26599999999999"/>
    <s v="na"/>
    <s v="FWL"/>
    <s v="na"/>
    <s v="na"/>
    <s v="F1840"/>
    <s v="na"/>
    <s v="na"/>
    <s v="na"/>
    <s v="na"/>
    <s v="na"/>
  </r>
  <r>
    <n v="3497"/>
    <x v="74"/>
    <n v="3"/>
    <x v="10"/>
    <x v="0"/>
    <x v="0"/>
    <m/>
    <m/>
    <n v="59"/>
    <m/>
    <s v="M"/>
    <m/>
    <d v="1899-12-30T00:32:00"/>
    <s v="15:52"/>
    <s v="AS"/>
    <m/>
    <s v="20140825 CSewright"/>
    <s v="20140826CSewright"/>
    <s v="x"/>
    <s v="x"/>
    <s v="na"/>
    <s v="FWL"/>
    <s v="na"/>
    <s v="na"/>
    <s v="na"/>
    <s v="na"/>
    <s v="na"/>
    <s v="na"/>
    <s v="na"/>
    <s v="na"/>
  </r>
  <r>
    <n v="3498"/>
    <x v="74"/>
    <n v="3"/>
    <x v="13"/>
    <x v="0"/>
    <x v="0"/>
    <m/>
    <m/>
    <n v="58"/>
    <m/>
    <s v="F"/>
    <m/>
    <d v="1899-12-30T00:24:00"/>
    <s v="16:47"/>
    <s v="AS"/>
    <m/>
    <s v="20140825 CSewright"/>
    <s v="20140826CSewright"/>
    <s v="x"/>
    <s v="x"/>
    <s v="na"/>
    <s v="FWL"/>
    <s v="na"/>
    <s v="na"/>
    <s v="na"/>
    <s v="na"/>
    <s v="na"/>
    <s v="na"/>
    <s v="na"/>
    <s v="na"/>
  </r>
  <r>
    <n v="3499"/>
    <x v="74"/>
    <n v="3"/>
    <x v="13"/>
    <x v="0"/>
    <x v="0"/>
    <m/>
    <m/>
    <n v="56"/>
    <m/>
    <s v="F"/>
    <m/>
    <d v="1899-12-30T00:44:00"/>
    <s v="16:49"/>
    <s v="AS"/>
    <m/>
    <s v="20140825 CSewright"/>
    <s v="20140826CSewright"/>
    <s v="x"/>
    <s v="x"/>
    <s v="na"/>
    <s v="FWL"/>
    <s v="na"/>
    <s v="na"/>
    <s v="na"/>
    <s v="na"/>
    <s v="na"/>
    <s v="na"/>
    <s v="na"/>
    <s v="na"/>
  </r>
  <r>
    <n v="3500"/>
    <x v="74"/>
    <n v="3"/>
    <x v="7"/>
    <x v="0"/>
    <x v="6"/>
    <n v="68"/>
    <s v="197 S"/>
    <n v="60"/>
    <m/>
    <s v="M"/>
    <m/>
    <d v="1899-12-30T01:05:00"/>
    <s v="19:04"/>
    <s v="NC"/>
    <m/>
    <s v="20140825 NCollin"/>
    <s v="20140826CSewright"/>
    <s v="x"/>
    <n v="151.57300000000001"/>
    <s v="na"/>
    <s v="FWL"/>
    <s v="na"/>
    <s v="na"/>
    <s v="F1840"/>
    <s v="na"/>
    <s v="na"/>
    <s v="na"/>
    <s v="na"/>
    <s v="na"/>
  </r>
  <r>
    <n v="3501"/>
    <x v="74"/>
    <n v="3"/>
    <x v="13"/>
    <x v="0"/>
    <x v="0"/>
    <m/>
    <m/>
    <n v="50"/>
    <m/>
    <s v="M"/>
    <m/>
    <d v="1899-12-30T00:22:00"/>
    <s v="19:07"/>
    <s v="LG"/>
    <m/>
    <s v="20140825 NCollin"/>
    <s v="20140826CSewright"/>
    <s v="x"/>
    <s v="x"/>
    <s v="na"/>
    <s v="FWL"/>
    <s v="na"/>
    <s v="na"/>
    <s v="na"/>
    <s v="na"/>
    <s v="na"/>
    <s v="na"/>
    <s v="na"/>
    <s v="na"/>
  </r>
  <r>
    <n v="3502"/>
    <x v="74"/>
    <n v="3"/>
    <x v="13"/>
    <x v="0"/>
    <x v="0"/>
    <m/>
    <m/>
    <n v="58"/>
    <m/>
    <s v="M"/>
    <m/>
    <d v="1899-12-30T00:24:00"/>
    <s v="19:09"/>
    <s v="LG"/>
    <m/>
    <s v="20140825 NCollin"/>
    <s v="20140826CSewright"/>
    <s v="x"/>
    <s v="x"/>
    <s v="na"/>
    <s v="FWL"/>
    <s v="na"/>
    <s v="na"/>
    <s v="na"/>
    <s v="na"/>
    <s v="na"/>
    <s v="na"/>
    <s v="na"/>
    <s v="na"/>
  </r>
  <r>
    <n v="3503"/>
    <x v="74"/>
    <n v="3"/>
    <x v="13"/>
    <x v="0"/>
    <x v="0"/>
    <m/>
    <m/>
    <n v="58"/>
    <m/>
    <s v="M"/>
    <m/>
    <d v="1899-12-30T00:23:00"/>
    <s v="20:15"/>
    <s v="LG"/>
    <m/>
    <s v="20140825 NCollin"/>
    <s v="20140826CSewright"/>
    <s v="x"/>
    <s v="x"/>
    <s v="na"/>
    <s v="FWL"/>
    <s v="na"/>
    <s v="na"/>
    <s v="na"/>
    <s v="na"/>
    <s v="na"/>
    <s v="na"/>
    <s v="na"/>
    <s v="na"/>
  </r>
  <r>
    <n v="3504"/>
    <x v="74"/>
    <n v="3"/>
    <x v="9"/>
    <x v="0"/>
    <x v="0"/>
    <m/>
    <m/>
    <m/>
    <n v="20"/>
    <s v="U"/>
    <m/>
    <d v="1899-12-30T00:10:00"/>
    <s v="20:24"/>
    <s v="NC"/>
    <s v="found on pontoon while raising wheel, dead."/>
    <s v="20140825 NCollin"/>
    <s v="20140826CSewright"/>
    <s v="x"/>
    <s v="x"/>
    <s v="na"/>
    <s v="FWL"/>
    <s v="na"/>
    <s v="na"/>
    <s v="na"/>
    <s v="na"/>
    <s v="na"/>
    <s v="na"/>
    <s v="na"/>
    <s v="na"/>
  </r>
  <r>
    <n v="3505"/>
    <x v="75"/>
    <n v="1"/>
    <x v="13"/>
    <x v="0"/>
    <x v="14"/>
    <n v="49"/>
    <s v="185 CO"/>
    <n v="56"/>
    <m/>
    <s v="U"/>
    <m/>
    <d v="1899-12-30T01:39:00"/>
    <s v="09:23"/>
    <s v="LG"/>
    <m/>
    <s v="20140826 LGasek"/>
    <s v="20140827CSewright"/>
    <s v="x"/>
    <n v="151.32499999999999"/>
    <s v="na"/>
    <s v="FWL"/>
    <s v="na"/>
    <s v="na"/>
    <s v="F1840"/>
    <s v="na"/>
    <s v="na"/>
    <s v="na"/>
    <s v="na"/>
    <s v="na"/>
  </r>
  <r>
    <n v="3506"/>
    <x v="75"/>
    <n v="1"/>
    <x v="10"/>
    <x v="0"/>
    <x v="0"/>
    <m/>
    <m/>
    <n v="62"/>
    <m/>
    <s v="M"/>
    <d v="1899-12-30T10:42:00"/>
    <d v="1899-12-30T00:24:00"/>
    <s v="10:44"/>
    <s v="NC"/>
    <m/>
    <s v="20140826 LGasek"/>
    <s v="20140827CSewright"/>
    <d v="1899-12-30T00:01:36"/>
    <s v="x"/>
    <s v="na"/>
    <s v="FWL"/>
    <s v="na"/>
    <s v="na"/>
    <s v="na"/>
    <s v="na"/>
    <s v="na"/>
    <s v="na"/>
    <s v="na"/>
    <s v="na"/>
  </r>
  <r>
    <n v="3507"/>
    <x v="75"/>
    <n v="1"/>
    <x v="10"/>
    <x v="0"/>
    <x v="0"/>
    <m/>
    <m/>
    <n v="56"/>
    <m/>
    <s v="F"/>
    <m/>
    <d v="1899-12-30T00:26:00"/>
    <s v="14:13"/>
    <s v="LG"/>
    <m/>
    <s v="20140826 LGasek"/>
    <s v="20140827CSewright"/>
    <s v="x"/>
    <s v="x"/>
    <s v="na"/>
    <s v="FWL"/>
    <s v="na"/>
    <s v="na"/>
    <s v="na"/>
    <s v="na"/>
    <s v="na"/>
    <s v="na"/>
    <s v="na"/>
    <s v="na"/>
  </r>
  <r>
    <n v="3508"/>
    <x v="75"/>
    <n v="1"/>
    <x v="10"/>
    <x v="0"/>
    <x v="0"/>
    <m/>
    <m/>
    <n v="55"/>
    <m/>
    <s v="M"/>
    <d v="1899-12-30T16:25:00"/>
    <d v="1899-12-30T00:14:00"/>
    <s v="16:30"/>
    <s v="KS"/>
    <m/>
    <s v="20140826 LGasek"/>
    <s v="20140827CSewright"/>
    <d v="1899-12-30T00:04:46"/>
    <s v="x"/>
    <s v="na"/>
    <s v="FWL"/>
    <s v="na"/>
    <s v="na"/>
    <s v="na"/>
    <s v="na"/>
    <s v="na"/>
    <s v="na"/>
    <s v="na"/>
    <s v="na"/>
  </r>
  <r>
    <n v="3509"/>
    <x v="75"/>
    <n v="1"/>
    <x v="13"/>
    <x v="0"/>
    <x v="15"/>
    <n v="90"/>
    <s v="186 CO"/>
    <n v="59"/>
    <m/>
    <s v="F"/>
    <m/>
    <d v="1899-12-30T00:54:00"/>
    <s v="16:35"/>
    <s v="KS"/>
    <s v="F264."/>
    <s v="20140826 JKunzler"/>
    <s v="20140827CSewright"/>
    <s v="x"/>
    <n v="151.26599999999999"/>
    <s v="na"/>
    <s v="FWL"/>
    <s v="na"/>
    <s v="na"/>
    <s v="F1840"/>
    <s v="na"/>
    <s v="na"/>
    <s v="na"/>
    <s v="na"/>
    <s v="na"/>
  </r>
  <r>
    <n v="3510"/>
    <x v="75"/>
    <n v="1"/>
    <x v="7"/>
    <x v="1"/>
    <x v="0"/>
    <m/>
    <m/>
    <n v="35"/>
    <m/>
    <s v="U"/>
    <m/>
    <d v="1899-12-30T00:36:00"/>
    <s v="17:24"/>
    <s v="KS"/>
    <s v="too small to tag"/>
    <s v="20140826 JKunzler"/>
    <s v="20140827CSewright"/>
    <s v="x"/>
    <s v="x"/>
    <s v="na"/>
    <s v="FWL"/>
    <s v="na"/>
    <s v="na"/>
    <s v="na"/>
    <s v="na"/>
    <s v="na"/>
    <s v="na"/>
    <s v="na"/>
    <s v="na"/>
  </r>
  <r>
    <n v="3511"/>
    <x v="75"/>
    <n v="1"/>
    <x v="10"/>
    <x v="0"/>
    <x v="0"/>
    <m/>
    <m/>
    <n v="57"/>
    <m/>
    <s v="F"/>
    <m/>
    <d v="1899-12-30T00:20:00"/>
    <s v="19:28"/>
    <s v="KS"/>
    <m/>
    <s v="20140826 JKunzler"/>
    <s v="20140827CSewright"/>
    <s v="x"/>
    <s v="x"/>
    <s v="na"/>
    <s v="FWL"/>
    <s v="na"/>
    <s v="na"/>
    <s v="na"/>
    <s v="na"/>
    <s v="na"/>
    <s v="na"/>
    <s v="na"/>
    <s v="na"/>
  </r>
  <r>
    <n v="3512"/>
    <x v="75"/>
    <n v="2"/>
    <x v="10"/>
    <x v="0"/>
    <x v="0"/>
    <m/>
    <m/>
    <n v="55"/>
    <m/>
    <s v="F"/>
    <m/>
    <d v="1899-12-30T00:20:00"/>
    <s v="09:35"/>
    <s v="LG"/>
    <m/>
    <s v="20140826 NCollin"/>
    <s v="20140827CSewright"/>
    <s v="x"/>
    <s v="x"/>
    <s v="na"/>
    <s v="FWL"/>
    <s v="na"/>
    <s v="na"/>
    <s v="na"/>
    <s v="na"/>
    <s v="na"/>
    <s v="na"/>
    <s v="na"/>
    <s v="na"/>
  </r>
  <r>
    <n v="3513"/>
    <x v="75"/>
    <n v="2"/>
    <x v="12"/>
    <x v="0"/>
    <x v="0"/>
    <m/>
    <m/>
    <n v="44"/>
    <m/>
    <s v="M"/>
    <d v="1899-12-30T09:36:00"/>
    <d v="1899-12-30T00:20:00"/>
    <s v="09:38"/>
    <s v="LG"/>
    <s v="post spawn. No tag"/>
    <s v="20140826 NCollin"/>
    <s v="20140827CSewright"/>
    <d v="1899-12-30T00:01:40"/>
    <s v="x"/>
    <s v="na"/>
    <s v="FWL"/>
    <s v="na"/>
    <s v="na"/>
    <s v="na"/>
    <s v="na"/>
    <s v="na"/>
    <s v="na"/>
    <s v="na"/>
    <s v="na"/>
  </r>
  <r>
    <n v="3514"/>
    <x v="75"/>
    <n v="2"/>
    <x v="10"/>
    <x v="0"/>
    <x v="0"/>
    <m/>
    <m/>
    <n v="58"/>
    <m/>
    <s v="F"/>
    <m/>
    <d v="1899-12-30T00:23:00"/>
    <s v="09:40"/>
    <s v="LG"/>
    <m/>
    <s v="20140826 NCollin"/>
    <s v="20140827CSewright"/>
    <s v="x"/>
    <s v="x"/>
    <s v="na"/>
    <s v="FWL"/>
    <s v="na"/>
    <s v="na"/>
    <s v="na"/>
    <s v="na"/>
    <s v="na"/>
    <s v="na"/>
    <s v="na"/>
    <s v="na"/>
  </r>
  <r>
    <n v="3515"/>
    <x v="75"/>
    <n v="2"/>
    <x v="10"/>
    <x v="0"/>
    <x v="0"/>
    <m/>
    <m/>
    <n v="60"/>
    <m/>
    <s v="F"/>
    <m/>
    <d v="1899-12-30T00:28:00"/>
    <s v="09:42"/>
    <s v="LG"/>
    <m/>
    <s v="20140826 NCollin"/>
    <s v="20140827CSewright"/>
    <s v="x"/>
    <s v="x"/>
    <s v="na"/>
    <s v="FWL"/>
    <s v="na"/>
    <s v="na"/>
    <s v="na"/>
    <s v="na"/>
    <s v="na"/>
    <s v="na"/>
    <s v="na"/>
    <s v="na"/>
  </r>
  <r>
    <n v="3516"/>
    <x v="75"/>
    <n v="2"/>
    <x v="10"/>
    <x v="0"/>
    <x v="0"/>
    <m/>
    <m/>
    <n v="61"/>
    <m/>
    <s v="F"/>
    <m/>
    <d v="1899-12-30T00:21:00"/>
    <s v="09:43"/>
    <s v="LG"/>
    <m/>
    <s v="20140826 NCollin"/>
    <s v="20140827CSewright"/>
    <s v="x"/>
    <s v="x"/>
    <s v="na"/>
    <s v="FWL"/>
    <s v="na"/>
    <s v="na"/>
    <s v="na"/>
    <s v="na"/>
    <s v="na"/>
    <s v="na"/>
    <s v="na"/>
    <s v="na"/>
  </r>
  <r>
    <n v="3517"/>
    <x v="75"/>
    <n v="2"/>
    <x v="10"/>
    <x v="0"/>
    <x v="3"/>
    <n v="39"/>
    <s v="192 CM"/>
    <n v="58"/>
    <m/>
    <s v="F"/>
    <m/>
    <d v="1899-12-30T01:03:00"/>
    <s v="14:00"/>
    <s v="LG"/>
    <m/>
    <s v="20140826 NCollin"/>
    <s v="20140827CSewright"/>
    <s v="x"/>
    <n v="151.917"/>
    <s v="na"/>
    <s v="FWL"/>
    <s v="na"/>
    <s v="na"/>
    <s v="F1835"/>
    <s v="na"/>
    <s v="na"/>
    <s v="na"/>
    <s v="na"/>
    <s v="na"/>
  </r>
  <r>
    <n v="3518"/>
    <x v="75"/>
    <n v="2"/>
    <x v="10"/>
    <x v="0"/>
    <x v="0"/>
    <m/>
    <m/>
    <n v="49"/>
    <m/>
    <s v="F"/>
    <m/>
    <d v="1899-12-30T00:25:00"/>
    <s v="14:03"/>
    <s v="LG"/>
    <m/>
    <s v="20140826 NCollin"/>
    <s v="20140827CSewright"/>
    <s v="x"/>
    <s v="x"/>
    <s v="na"/>
    <s v="FWL"/>
    <s v="na"/>
    <s v="na"/>
    <s v="na"/>
    <s v="na"/>
    <s v="na"/>
    <s v="na"/>
    <s v="na"/>
    <s v="na"/>
  </r>
  <r>
    <n v="3519"/>
    <x v="75"/>
    <n v="2"/>
    <x v="10"/>
    <x v="0"/>
    <x v="0"/>
    <m/>
    <m/>
    <n v="57"/>
    <m/>
    <s v="M"/>
    <m/>
    <d v="1899-12-30T00:21:00"/>
    <s v="15:20"/>
    <s v="KS"/>
    <m/>
    <s v="20140826 JKunzler"/>
    <s v="20140827CSewright"/>
    <s v="x"/>
    <s v="x"/>
    <s v="na"/>
    <s v="FWL"/>
    <s v="na"/>
    <s v="na"/>
    <s v="na"/>
    <s v="na"/>
    <s v="na"/>
    <s v="na"/>
    <s v="na"/>
    <s v="na"/>
  </r>
  <r>
    <n v="3520"/>
    <x v="75"/>
    <n v="2"/>
    <x v="10"/>
    <x v="0"/>
    <x v="0"/>
    <m/>
    <m/>
    <n v="53"/>
    <m/>
    <s v="F"/>
    <m/>
    <d v="1899-12-30T00:22:00"/>
    <s v="15:21"/>
    <s v="KS"/>
    <m/>
    <s v="20140826 JKunzler"/>
    <s v="20140827CSewright"/>
    <s v="x"/>
    <s v="x"/>
    <s v="na"/>
    <s v="FWL"/>
    <s v="na"/>
    <s v="na"/>
    <s v="na"/>
    <s v="na"/>
    <s v="na"/>
    <s v="na"/>
    <s v="na"/>
    <s v="na"/>
  </r>
  <r>
    <n v="3521"/>
    <x v="75"/>
    <n v="2"/>
    <x v="10"/>
    <x v="0"/>
    <x v="0"/>
    <m/>
    <m/>
    <n v="64"/>
    <m/>
    <s v="F"/>
    <m/>
    <d v="1899-12-30T00:18:00"/>
    <s v="18:12"/>
    <s v="KS"/>
    <m/>
    <s v="20140826 JKunzler"/>
    <s v="20140827CSewright"/>
    <s v="x"/>
    <s v="x"/>
    <s v="na"/>
    <s v="FWL"/>
    <s v="na"/>
    <s v="na"/>
    <s v="na"/>
    <s v="na"/>
    <s v="na"/>
    <s v="na"/>
    <s v="na"/>
    <s v="na"/>
  </r>
  <r>
    <n v="3522"/>
    <x v="75"/>
    <n v="2"/>
    <x v="10"/>
    <x v="0"/>
    <x v="0"/>
    <m/>
    <m/>
    <n v="57"/>
    <m/>
    <s v="F"/>
    <m/>
    <d v="1899-12-30T00:19:00"/>
    <s v="18:14"/>
    <s v="KS"/>
    <m/>
    <s v="20140826 JKunzler"/>
    <s v="20140827CSewright"/>
    <s v="x"/>
    <s v="x"/>
    <s v="na"/>
    <s v="FWL"/>
    <s v="na"/>
    <s v="na"/>
    <s v="na"/>
    <s v="na"/>
    <s v="na"/>
    <s v="na"/>
    <s v="na"/>
    <s v="na"/>
  </r>
  <r>
    <n v="3523"/>
    <x v="75"/>
    <n v="2"/>
    <x v="10"/>
    <x v="0"/>
    <x v="0"/>
    <m/>
    <m/>
    <n v="55"/>
    <m/>
    <s v="F"/>
    <m/>
    <d v="1899-12-30T00:20:00"/>
    <s v="18:15"/>
    <s v="KS"/>
    <m/>
    <s v="20140826 JKunzler"/>
    <s v="20140827CSewright"/>
    <s v="x"/>
    <s v="x"/>
    <s v="na"/>
    <s v="FWL"/>
    <s v="na"/>
    <s v="na"/>
    <s v="na"/>
    <s v="na"/>
    <s v="na"/>
    <s v="na"/>
    <s v="na"/>
    <s v="na"/>
  </r>
  <r>
    <n v="3524"/>
    <x v="75"/>
    <n v="2"/>
    <x v="10"/>
    <x v="0"/>
    <x v="0"/>
    <m/>
    <m/>
    <n v="62"/>
    <m/>
    <s v="F"/>
    <m/>
    <d v="1899-12-30T00:21:00"/>
    <s v="19:55"/>
    <s v="KS"/>
    <m/>
    <s v="20140826 JKunzler"/>
    <s v="20140827CSewright"/>
    <s v="x"/>
    <s v="x"/>
    <s v="na"/>
    <s v="FWL"/>
    <s v="na"/>
    <s v="na"/>
    <s v="na"/>
    <s v="na"/>
    <s v="na"/>
    <s v="na"/>
    <s v="na"/>
    <s v="na"/>
  </r>
  <r>
    <n v="3525"/>
    <x v="75"/>
    <n v="2"/>
    <x v="10"/>
    <x v="0"/>
    <x v="0"/>
    <m/>
    <m/>
    <n v="59"/>
    <m/>
    <s v="M"/>
    <m/>
    <d v="1899-12-30T00:23:00"/>
    <s v="19:57"/>
    <s v="KS"/>
    <m/>
    <s v="20140826 JKunzler"/>
    <s v="20140827CSewright"/>
    <s v="x"/>
    <s v="x"/>
    <s v="na"/>
    <s v="FWL"/>
    <s v="na"/>
    <s v="na"/>
    <s v="na"/>
    <s v="na"/>
    <s v="na"/>
    <s v="na"/>
    <s v="na"/>
    <s v="na"/>
  </r>
  <r>
    <n v="3526"/>
    <x v="75"/>
    <n v="2"/>
    <x v="10"/>
    <x v="0"/>
    <x v="0"/>
    <m/>
    <m/>
    <n v="62"/>
    <m/>
    <s v="M"/>
    <m/>
    <d v="1899-12-30T00:22:00"/>
    <s v="19:58"/>
    <s v="KS"/>
    <m/>
    <s v="20140826 JKunzler"/>
    <s v="20140827CSewright"/>
    <s v="x"/>
    <s v="x"/>
    <s v="na"/>
    <s v="FWL"/>
    <s v="na"/>
    <s v="na"/>
    <s v="na"/>
    <s v="na"/>
    <s v="na"/>
    <s v="na"/>
    <s v="na"/>
    <s v="na"/>
  </r>
  <r>
    <n v="3527"/>
    <x v="75"/>
    <n v="2"/>
    <x v="10"/>
    <x v="0"/>
    <x v="0"/>
    <m/>
    <m/>
    <n v="56"/>
    <m/>
    <s v="M"/>
    <m/>
    <d v="1899-12-30T00:23:00"/>
    <s v="20:00"/>
    <s v="KS"/>
    <m/>
    <s v="20140826 JKunzler"/>
    <s v="20140827CSewright"/>
    <s v="x"/>
    <s v="x"/>
    <s v="na"/>
    <s v="FWL"/>
    <s v="na"/>
    <s v="na"/>
    <s v="na"/>
    <s v="na"/>
    <s v="na"/>
    <s v="na"/>
    <s v="na"/>
    <s v="na"/>
  </r>
  <r>
    <n v="3528"/>
    <x v="75"/>
    <n v="3"/>
    <x v="13"/>
    <x v="0"/>
    <x v="14"/>
    <n v="90"/>
    <s v="189 CO"/>
    <n v="50"/>
    <m/>
    <s v="F"/>
    <m/>
    <d v="1899-12-30T00:51:00"/>
    <s v="10:52"/>
    <s v="KS"/>
    <m/>
    <s v="20140826 JKunzler"/>
    <s v="20140827CSewright"/>
    <s v="x"/>
    <n v="151.32499999999999"/>
    <s v="na"/>
    <s v="FWL"/>
    <s v="na"/>
    <s v="na"/>
    <s v="F1840"/>
    <s v="na"/>
    <s v="na"/>
    <s v="na"/>
    <s v="na"/>
    <s v="na"/>
  </r>
  <r>
    <n v="3529"/>
    <x v="75"/>
    <n v="3"/>
    <x v="13"/>
    <x v="0"/>
    <x v="15"/>
    <n v="93"/>
    <s v="179 CO"/>
    <n v="53"/>
    <m/>
    <s v="M"/>
    <m/>
    <d v="1899-12-30T01:16:00"/>
    <s v="13:05"/>
    <s v="CSw"/>
    <s v="F264."/>
    <s v="20140826 AStephens"/>
    <s v="20140827CSewright"/>
    <s v="x"/>
    <n v="151.26599999999999"/>
    <s v="na"/>
    <s v="FWL"/>
    <s v="na"/>
    <s v="na"/>
    <s v="F1840"/>
    <s v="na"/>
    <s v="na"/>
    <s v="na"/>
    <s v="na"/>
    <s v="na"/>
  </r>
  <r>
    <n v="3530"/>
    <x v="75"/>
    <n v="3"/>
    <x v="10"/>
    <x v="0"/>
    <x v="0"/>
    <m/>
    <m/>
    <n v="55"/>
    <m/>
    <s v="F"/>
    <d v="1899-12-30T13:27:00"/>
    <d v="1899-12-30T00:29:00"/>
    <s v="13:29"/>
    <s v="AS"/>
    <m/>
    <s v="20140826 AStephens"/>
    <s v="20140827CSewright"/>
    <d v="1899-12-30T00:01:31"/>
    <s v="x"/>
    <s v="na"/>
    <s v="FWL"/>
    <s v="na"/>
    <s v="na"/>
    <s v="na"/>
    <s v="na"/>
    <s v="na"/>
    <s v="na"/>
    <s v="na"/>
    <s v="na"/>
  </r>
  <r>
    <n v="3531"/>
    <x v="75"/>
    <n v="3"/>
    <x v="10"/>
    <x v="0"/>
    <x v="3"/>
    <n v="82"/>
    <s v="198 CM"/>
    <n v="58"/>
    <m/>
    <s v="M"/>
    <d v="1899-12-30T14:10:00"/>
    <d v="1899-12-30T01:10:00"/>
    <s v="14:25"/>
    <s v="CSw"/>
    <m/>
    <s v="20140826 AStephens"/>
    <s v="20140827CSewright"/>
    <d v="1899-12-30T00:13:50"/>
    <n v="151.917"/>
    <s v="na"/>
    <s v="FWL"/>
    <s v="na"/>
    <s v="na"/>
    <s v="F1835"/>
    <s v="na"/>
    <s v="na"/>
    <s v="na"/>
    <s v="na"/>
    <s v="na"/>
  </r>
  <r>
    <n v="3532"/>
    <x v="75"/>
    <n v="3"/>
    <x v="13"/>
    <x v="0"/>
    <x v="14"/>
    <n v="7"/>
    <s v="190 CO"/>
    <n v="52"/>
    <m/>
    <s v="F"/>
    <m/>
    <d v="1899-12-30T01:16:00"/>
    <s v="14:30"/>
    <s v="CSw"/>
    <m/>
    <s v="20140826 AStephens"/>
    <s v="20140827CSewright"/>
    <s v="x"/>
    <n v="151.32499999999999"/>
    <s v="na"/>
    <s v="FWL"/>
    <s v="na"/>
    <s v="na"/>
    <s v="F1840"/>
    <s v="na"/>
    <s v="na"/>
    <s v="na"/>
    <s v="na"/>
    <s v="na"/>
  </r>
  <r>
    <n v="3533"/>
    <x v="75"/>
    <n v="3"/>
    <x v="13"/>
    <x v="0"/>
    <x v="14"/>
    <n v="93"/>
    <s v="191 CO"/>
    <n v="54"/>
    <m/>
    <s v="F"/>
    <m/>
    <d v="1899-12-30T02:44:00"/>
    <s v="14:37"/>
    <s v="CSw"/>
    <s v="hard to seat tag"/>
    <s v="20140826 AStephens"/>
    <s v="20140827CSewright"/>
    <s v="x"/>
    <n v="151.32499999999999"/>
    <s v="na"/>
    <s v="FWL"/>
    <s v="na"/>
    <s v="na"/>
    <s v="F1840"/>
    <s v="na"/>
    <s v="na"/>
    <s v="na"/>
    <s v="na"/>
    <s v="na"/>
  </r>
  <r>
    <n v="3534"/>
    <x v="75"/>
    <n v="3"/>
    <x v="13"/>
    <x v="0"/>
    <x v="0"/>
    <m/>
    <m/>
    <n v="55"/>
    <m/>
    <s v="M"/>
    <m/>
    <d v="1899-12-30T00:34:00"/>
    <s v="16:01"/>
    <s v="AS"/>
    <m/>
    <s v="20140826 AStephens"/>
    <s v="20140827CSewright"/>
    <s v="x"/>
    <s v="x"/>
    <s v="na"/>
    <s v="FWL"/>
    <s v="na"/>
    <s v="na"/>
    <s v="na"/>
    <s v="na"/>
    <s v="na"/>
    <s v="na"/>
    <s v="na"/>
    <s v="na"/>
  </r>
  <r>
    <n v="3535"/>
    <x v="75"/>
    <n v="3"/>
    <x v="13"/>
    <x v="0"/>
    <x v="0"/>
    <m/>
    <m/>
    <n v="54"/>
    <m/>
    <s v="M"/>
    <m/>
    <d v="1899-12-30T00:24:00"/>
    <s v="16:56"/>
    <s v="AS"/>
    <m/>
    <s v="20140826 AStephens"/>
    <s v="20140827CSewright"/>
    <s v="x"/>
    <s v="x"/>
    <s v="na"/>
    <s v="FWL"/>
    <s v="na"/>
    <s v="na"/>
    <s v="na"/>
    <s v="na"/>
    <s v="na"/>
    <s v="na"/>
    <s v="na"/>
    <s v="na"/>
  </r>
  <r>
    <n v="3536"/>
    <x v="75"/>
    <n v="3"/>
    <x v="13"/>
    <x v="0"/>
    <x v="14"/>
    <n v="43"/>
    <s v="194 CO"/>
    <n v="51"/>
    <m/>
    <s v="M"/>
    <m/>
    <d v="1899-12-30T01:04:00"/>
    <s v="18:21"/>
    <s v="LG"/>
    <m/>
    <s v="20140826 NCollin"/>
    <s v="20140827CSewright"/>
    <s v="x"/>
    <n v="151.32499999999999"/>
    <s v="na"/>
    <s v="FWL"/>
    <s v="na"/>
    <s v="na"/>
    <s v="F1840"/>
    <s v="na"/>
    <s v="na"/>
    <s v="na"/>
    <s v="na"/>
    <s v="na"/>
  </r>
  <r>
    <n v="3537"/>
    <x v="75"/>
    <n v="3"/>
    <x v="13"/>
    <x v="0"/>
    <x v="14"/>
    <n v="48"/>
    <s v="192 CO"/>
    <n v="51"/>
    <m/>
    <s v="F"/>
    <m/>
    <d v="1899-12-30T01:18:00"/>
    <s v="18:25"/>
    <s v="LG"/>
    <m/>
    <s v="20140826 NCollin"/>
    <s v="20140827CSewright"/>
    <s v="x"/>
    <n v="151.32499999999999"/>
    <s v="na"/>
    <s v="FWL"/>
    <s v="na"/>
    <s v="na"/>
    <s v="F1840"/>
    <s v="na"/>
    <s v="na"/>
    <s v="na"/>
    <s v="na"/>
    <s v="na"/>
  </r>
  <r>
    <n v="3538"/>
    <x v="75"/>
    <n v="3"/>
    <x v="10"/>
    <x v="0"/>
    <x v="0"/>
    <m/>
    <m/>
    <n v="58"/>
    <m/>
    <s v="F"/>
    <m/>
    <d v="1899-12-30T00:26:00"/>
    <s v="18:29"/>
    <s v="LG"/>
    <m/>
    <s v="20140826 NCollin"/>
    <s v="20140827CSewright"/>
    <s v="x"/>
    <s v="x"/>
    <s v="na"/>
    <s v="FWL"/>
    <s v="na"/>
    <s v="na"/>
    <s v="na"/>
    <s v="na"/>
    <s v="na"/>
    <s v="na"/>
    <s v="na"/>
    <s v="na"/>
  </r>
  <r>
    <n v="3539"/>
    <x v="75"/>
    <n v="3"/>
    <x v="13"/>
    <x v="0"/>
    <x v="11"/>
    <n v="48"/>
    <s v="193 CO"/>
    <n v="59"/>
    <m/>
    <s v="F"/>
    <m/>
    <d v="1899-12-30T01:27:00"/>
    <s v="18:32"/>
    <s v="LG"/>
    <s v="This tag is a duplicate number of a Chum tag deployed on 8/6/2014.  They are both active and being picked up by telemetry crew."/>
    <s v="20140826 NCollin"/>
    <s v="20140827CSewright"/>
    <s v="x"/>
    <n v="151.53399999999999"/>
    <s v="na"/>
    <s v="FWL"/>
    <s v="na"/>
    <s v="na"/>
    <s v="F1840"/>
    <s v="na"/>
    <s v="na"/>
    <s v="na"/>
    <s v="na"/>
    <s v="na"/>
  </r>
  <r>
    <n v="3540"/>
    <x v="75"/>
    <n v="3"/>
    <x v="10"/>
    <x v="0"/>
    <x v="0"/>
    <m/>
    <m/>
    <n v="55"/>
    <m/>
    <s v="M"/>
    <m/>
    <d v="1899-12-30T00:22:00"/>
    <s v="18:35"/>
    <s v="LG"/>
    <m/>
    <s v="20140826 NCollin"/>
    <s v="20140827CSewright"/>
    <s v="x"/>
    <s v="x"/>
    <s v="na"/>
    <s v="FWL"/>
    <s v="na"/>
    <s v="na"/>
    <s v="na"/>
    <s v="na"/>
    <s v="na"/>
    <s v="na"/>
    <s v="na"/>
    <s v="na"/>
  </r>
  <r>
    <n v="3541"/>
    <x v="76"/>
    <n v="1"/>
    <x v="7"/>
    <x v="1"/>
    <x v="0"/>
    <m/>
    <m/>
    <n v="36"/>
    <m/>
    <s v="U"/>
    <m/>
    <d v="1899-12-30T00:18:00"/>
    <s v="13:38"/>
    <s v="AS"/>
    <s v="bite on side.  Too small to tag"/>
    <s v="20140827 AStephens"/>
    <s v="20140828 KShippen"/>
    <s v="x"/>
    <s v="x"/>
    <s v="na"/>
    <s v="FWL"/>
    <s v="na"/>
    <s v="na"/>
    <s v="na"/>
    <s v="na"/>
    <s v="na"/>
    <s v="na"/>
    <s v="na"/>
    <s v="na"/>
  </r>
  <r>
    <n v="3542"/>
    <x v="76"/>
    <n v="1"/>
    <x v="10"/>
    <x v="0"/>
    <x v="0"/>
    <m/>
    <m/>
    <n v="59"/>
    <m/>
    <s v="M"/>
    <m/>
    <d v="1899-12-30T00:21:00"/>
    <s v="13:42"/>
    <s v="AS"/>
    <m/>
    <s v="20140827 AStephens"/>
    <s v="20140828 KShippen"/>
    <s v="x"/>
    <s v="x"/>
    <s v="na"/>
    <s v="FWL"/>
    <s v="na"/>
    <s v="na"/>
    <s v="na"/>
    <s v="na"/>
    <s v="na"/>
    <s v="na"/>
    <s v="na"/>
    <s v="na"/>
  </r>
  <r>
    <n v="3543"/>
    <x v="76"/>
    <n v="1"/>
    <x v="10"/>
    <x v="0"/>
    <x v="0"/>
    <m/>
    <m/>
    <n v="52"/>
    <m/>
    <s v="M"/>
    <m/>
    <d v="1899-12-30T00:32:00"/>
    <s v="17:24"/>
    <s v="JK"/>
    <m/>
    <s v="20140827 AStephens"/>
    <s v="20140828 KShippen"/>
    <s v="x"/>
    <s v="x"/>
    <s v="na"/>
    <s v="FWL"/>
    <s v="na"/>
    <s v="na"/>
    <s v="na"/>
    <s v="na"/>
    <s v="na"/>
    <s v="na"/>
    <s v="na"/>
    <s v="na"/>
  </r>
  <r>
    <n v="3544"/>
    <x v="76"/>
    <n v="1"/>
    <x v="13"/>
    <x v="0"/>
    <x v="16"/>
    <n v="98"/>
    <s v="187 CO"/>
    <n v="42"/>
    <m/>
    <s v="M"/>
    <m/>
    <d v="1899-12-30T01:46:00"/>
    <s v="17:29"/>
    <s v="JK"/>
    <s v="DUPLICATE of 573-98"/>
    <s v="20140827 AStephens"/>
    <s v="20140828 KShippen"/>
    <s v="x"/>
    <s v="x"/>
    <s v="na"/>
    <s v="FWL"/>
    <s v="na"/>
    <s v="na"/>
    <s v="na"/>
    <s v="na"/>
    <s v="na"/>
    <s v="na"/>
    <s v="na"/>
    <s v="na"/>
  </r>
  <r>
    <n v="3545"/>
    <x v="76"/>
    <n v="1"/>
    <x v="10"/>
    <x v="0"/>
    <x v="0"/>
    <m/>
    <m/>
    <n v="57"/>
    <m/>
    <s v="F"/>
    <m/>
    <d v="1899-12-30T00:28:00"/>
    <s v="17:31"/>
    <s v="JK"/>
    <m/>
    <s v="20140827 AStephens"/>
    <s v="20140828 KShippen"/>
    <s v="x"/>
    <s v="x"/>
    <s v="na"/>
    <s v="FWL"/>
    <s v="na"/>
    <s v="na"/>
    <s v="na"/>
    <s v="na"/>
    <s v="na"/>
    <s v="na"/>
    <s v="na"/>
    <s v="na"/>
  </r>
  <r>
    <n v="3546"/>
    <x v="76"/>
    <n v="2"/>
    <x v="10"/>
    <x v="0"/>
    <x v="0"/>
    <m/>
    <m/>
    <n v="60"/>
    <m/>
    <s v="F"/>
    <m/>
    <d v="1899-12-30T00:21:00"/>
    <s v="16:39"/>
    <s v="JK"/>
    <m/>
    <s v="20140827 JKunzler"/>
    <s v="20140828 KShippen"/>
    <s v="x"/>
    <s v="x"/>
    <s v="na"/>
    <s v="FWL"/>
    <s v="na"/>
    <s v="na"/>
    <s v="na"/>
    <s v="na"/>
    <s v="na"/>
    <s v="na"/>
    <s v="na"/>
    <s v="na"/>
  </r>
  <r>
    <n v="3547"/>
    <x v="76"/>
    <n v="2"/>
    <x v="10"/>
    <x v="0"/>
    <x v="0"/>
    <m/>
    <m/>
    <n v="54"/>
    <m/>
    <s v="F"/>
    <m/>
    <d v="1899-12-30T00:28:00"/>
    <s v="16:41"/>
    <s v="JK"/>
    <s v="not looking great, looking great, open sores."/>
    <s v="20140827 JKunzler"/>
    <s v="20140828 KShippen"/>
    <s v="x"/>
    <s v="x"/>
    <s v="na"/>
    <s v="FWL"/>
    <s v="na"/>
    <s v="na"/>
    <s v="na"/>
    <s v="na"/>
    <s v="na"/>
    <s v="na"/>
    <s v="na"/>
    <s v="na"/>
  </r>
  <r>
    <n v="3548"/>
    <x v="76"/>
    <n v="2"/>
    <x v="10"/>
    <x v="0"/>
    <x v="0"/>
    <m/>
    <m/>
    <n v="57"/>
    <m/>
    <s v="M"/>
    <m/>
    <d v="1899-12-30T00:27:00"/>
    <s v="16:43"/>
    <s v="JK"/>
    <m/>
    <s v="20140827 JKunzler"/>
    <s v="20140828 KShippen"/>
    <s v="x"/>
    <s v="x"/>
    <s v="na"/>
    <s v="FWL"/>
    <s v="na"/>
    <s v="na"/>
    <s v="na"/>
    <s v="na"/>
    <s v="na"/>
    <s v="na"/>
    <s v="na"/>
    <s v="na"/>
  </r>
  <r>
    <n v="3549"/>
    <x v="76"/>
    <n v="2"/>
    <x v="10"/>
    <x v="0"/>
    <x v="0"/>
    <m/>
    <m/>
    <n v="59"/>
    <m/>
    <s v="F"/>
    <m/>
    <d v="1899-12-30T00:18:00"/>
    <s v="19:28"/>
    <s v="NC"/>
    <m/>
    <s v="20140827 NCollin"/>
    <s v="20140828 KShippen"/>
    <s v="x"/>
    <s v="x"/>
    <s v="na"/>
    <s v="FWL"/>
    <s v="na"/>
    <s v="na"/>
    <s v="na"/>
    <s v="na"/>
    <s v="na"/>
    <s v="na"/>
    <s v="na"/>
    <s v="na"/>
  </r>
  <r>
    <n v="3550"/>
    <x v="76"/>
    <n v="3"/>
    <x v="13"/>
    <x v="0"/>
    <x v="17"/>
    <n v="12"/>
    <s v="195 CO"/>
    <n v="51"/>
    <m/>
    <s v="U"/>
    <m/>
    <d v="1899-12-30T00:52:00"/>
    <s v="13:18"/>
    <s v="NC"/>
    <s v="DUPLICATE of 586-12"/>
    <s v="20140827 CSewright"/>
    <s v="20140828 KShippen"/>
    <s v="x"/>
    <s v="x"/>
    <s v="na"/>
    <s v="FWL"/>
    <s v="na"/>
    <s v="na"/>
    <s v="na"/>
    <s v="na"/>
    <s v="na"/>
    <s v="na"/>
    <s v="na"/>
    <s v="na"/>
  </r>
  <r>
    <n v="3551"/>
    <x v="76"/>
    <n v="3"/>
    <x v="13"/>
    <x v="0"/>
    <x v="17"/>
    <n v="45"/>
    <s v="196 CO"/>
    <n v="57"/>
    <m/>
    <s v="M"/>
    <m/>
    <d v="1899-12-30T01:10:00"/>
    <s v="16:40"/>
    <s v="KS"/>
    <s v="DUPLICATE of 586-45"/>
    <s v="20140827 LGasek"/>
    <s v="20140828 KShippen"/>
    <s v="x"/>
    <s v="x"/>
    <s v="na"/>
    <s v="FWL"/>
    <s v="na"/>
    <s v="na"/>
    <s v="na"/>
    <s v="na"/>
    <s v="na"/>
    <s v="na"/>
    <s v="na"/>
    <s v="na"/>
  </r>
  <r>
    <n v="3552"/>
    <x v="76"/>
    <n v="3"/>
    <x v="13"/>
    <x v="0"/>
    <x v="10"/>
    <n v="78"/>
    <s v="188 CO"/>
    <n v="51"/>
    <m/>
    <s v="M"/>
    <m/>
    <d v="1899-12-30T01:19:00"/>
    <s v="19:53"/>
    <s v="KS"/>
    <m/>
    <s v="20140827 LGasek"/>
    <s v="20140828 KShippen"/>
    <s v="x"/>
    <n v="151.58600000000001"/>
    <s v="na"/>
    <s v="FWL"/>
    <s v="na"/>
    <s v="na"/>
    <s v="F1840"/>
    <s v="na"/>
    <s v="na"/>
    <s v="na"/>
    <s v="na"/>
    <s v="na"/>
  </r>
  <r>
    <n v="3553"/>
    <x v="77"/>
    <n v="1"/>
    <x v="10"/>
    <x v="0"/>
    <x v="0"/>
    <m/>
    <m/>
    <n v="53"/>
    <m/>
    <s v="F"/>
    <m/>
    <d v="1899-12-30T00:10:00"/>
    <s v="20:30"/>
    <s v="KS"/>
    <s v="mort (likely dead coming in), stiff"/>
    <s v="20140828 KShippen"/>
    <s v="20140830CSewright"/>
    <s v="x"/>
    <s v="x"/>
    <s v="na"/>
    <s v="FWL"/>
    <s v="na"/>
    <s v="na"/>
    <s v="na"/>
    <s v="na"/>
    <s v="na"/>
    <s v="na"/>
    <s v="na"/>
    <s v="na"/>
  </r>
  <r>
    <n v="3554"/>
    <x v="77"/>
    <n v="2"/>
    <x v="10"/>
    <x v="0"/>
    <x v="0"/>
    <m/>
    <m/>
    <n v="56"/>
    <m/>
    <s v="F"/>
    <m/>
    <d v="1899-12-30T00:14:00"/>
    <s v="15:47"/>
    <s v="LG"/>
    <m/>
    <s v="20140828 KShippen"/>
    <s v="20140830CSewright"/>
    <s v="x"/>
    <s v="x"/>
    <s v="na"/>
    <s v="FWL"/>
    <s v="na"/>
    <s v="na"/>
    <s v="na"/>
    <s v="na"/>
    <s v="na"/>
    <s v="na"/>
    <s v="na"/>
    <s v="na"/>
  </r>
  <r>
    <n v="3555"/>
    <x v="77"/>
    <n v="2"/>
    <x v="10"/>
    <x v="0"/>
    <x v="0"/>
    <m/>
    <m/>
    <n v="56"/>
    <m/>
    <s v="F"/>
    <m/>
    <d v="1899-12-30T00:19:00"/>
    <s v="18:11"/>
    <s v="LG"/>
    <m/>
    <s v="20140828 KShippen"/>
    <s v="20140830CSewright"/>
    <s v="x"/>
    <s v="x"/>
    <s v="na"/>
    <s v="FWL"/>
    <s v="na"/>
    <s v="na"/>
    <s v="na"/>
    <s v="na"/>
    <s v="na"/>
    <s v="na"/>
    <s v="na"/>
    <s v="na"/>
  </r>
  <r>
    <n v="3556"/>
    <x v="77"/>
    <n v="3"/>
    <x v="13"/>
    <x v="0"/>
    <x v="0"/>
    <m/>
    <m/>
    <n v="56"/>
    <m/>
    <s v="F"/>
    <m/>
    <d v="1899-12-30T00:21:00"/>
    <s v="10:59"/>
    <s v="NC"/>
    <m/>
    <s v="20140828 CSewright"/>
    <s v="20140830CSewright"/>
    <s v="x"/>
    <s v="x"/>
    <s v="na"/>
    <s v="FWL"/>
    <s v="na"/>
    <s v="na"/>
    <s v="na"/>
    <s v="na"/>
    <s v="na"/>
    <s v="na"/>
    <s v="na"/>
    <s v="na"/>
  </r>
  <r>
    <n v="3557"/>
    <x v="77"/>
    <n v="3"/>
    <x v="13"/>
    <x v="0"/>
    <x v="14"/>
    <n v="42"/>
    <s v="199 CO"/>
    <n v="64"/>
    <m/>
    <s v="M"/>
    <m/>
    <d v="1899-12-30T01:02:00"/>
    <s v="13:54"/>
    <s v="NC"/>
    <m/>
    <s v="20140828 CSewright"/>
    <s v="20140830CSewright"/>
    <s v="x"/>
    <n v="151.32499999999999"/>
    <s v="na"/>
    <s v="FWL"/>
    <s v="na"/>
    <s v="na"/>
    <s v="F1840"/>
    <s v="na"/>
    <s v="na"/>
    <s v="na"/>
    <s v="na"/>
    <s v="na"/>
  </r>
  <r>
    <n v="3558"/>
    <x v="77"/>
    <n v="3"/>
    <x v="13"/>
    <x v="0"/>
    <x v="14"/>
    <n v="91"/>
    <s v="200 CO"/>
    <n v="58"/>
    <m/>
    <s v="M"/>
    <m/>
    <d v="1899-12-30T00:57:00"/>
    <s v="18:33"/>
    <s v="KS"/>
    <m/>
    <s v="20140828 KShippen"/>
    <s v="20140830CSewright"/>
    <s v="x"/>
    <n v="151.32499999999999"/>
    <s v="na"/>
    <s v="FWL"/>
    <s v="na"/>
    <s v="na"/>
    <s v="F1840"/>
    <s v="na"/>
    <s v="na"/>
    <s v="na"/>
    <s v="na"/>
    <s v="na"/>
  </r>
  <r>
    <n v="3559"/>
    <x v="77"/>
    <n v="3"/>
    <x v="13"/>
    <x v="0"/>
    <x v="0"/>
    <m/>
    <m/>
    <n v="51"/>
    <m/>
    <s v="M"/>
    <m/>
    <d v="1899-12-30T00:18:00"/>
    <s v="20:23"/>
    <s v="KS"/>
    <m/>
    <s v="20140828 KShippen"/>
    <s v="20140830CSewright"/>
    <s v="x"/>
    <s v="x"/>
    <s v="na"/>
    <s v="FWL"/>
    <s v="na"/>
    <s v="na"/>
    <s v="na"/>
    <s v="na"/>
    <s v="na"/>
    <s v="na"/>
    <s v="na"/>
    <s v="na"/>
  </r>
  <r>
    <n v="3560"/>
    <x v="78"/>
    <n v="1"/>
    <x v="10"/>
    <x v="0"/>
    <x v="0"/>
    <m/>
    <m/>
    <n v="52"/>
    <m/>
    <s v="F"/>
    <m/>
    <d v="1899-12-30T00:16:00"/>
    <s v="12:52"/>
    <s v="KS"/>
    <s v="post spawn?"/>
    <s v="20140829 CSewright"/>
    <s v="20140830CSewright"/>
    <s v="x"/>
    <s v="x"/>
    <s v="na"/>
    <s v="FWL"/>
    <s v="na"/>
    <s v="na"/>
    <s v="na"/>
    <s v="na"/>
    <s v="na"/>
    <s v="na"/>
    <s v="na"/>
    <s v="na"/>
  </r>
  <r>
    <n v="3561"/>
    <x v="78"/>
    <n v="1"/>
    <x v="13"/>
    <x v="0"/>
    <x v="3"/>
    <n v="81"/>
    <s v="197 CO"/>
    <n v="54"/>
    <m/>
    <s v="F"/>
    <m/>
    <d v="1899-12-30T00:46:00"/>
    <s v="15:23"/>
    <s v="CSw"/>
    <m/>
    <s v="20140829 CSewright"/>
    <s v="20140830CSewright"/>
    <s v="x"/>
    <n v="151.917"/>
    <s v="na"/>
    <s v="FWL"/>
    <s v="na"/>
    <s v="na"/>
    <s v="F1835"/>
    <s v="na"/>
    <s v="na"/>
    <s v="na"/>
    <s v="na"/>
    <s v="na"/>
  </r>
  <r>
    <n v="3562"/>
    <x v="78"/>
    <n v="1"/>
    <x v="10"/>
    <x v="0"/>
    <x v="0"/>
    <m/>
    <m/>
    <n v="54"/>
    <m/>
    <s v="M"/>
    <m/>
    <d v="1899-12-30T00:21:00"/>
    <s v="18:02"/>
    <s v="CSw"/>
    <m/>
    <s v="20140829 CSewright"/>
    <s v="20140830CSewright"/>
    <s v="x"/>
    <s v="x"/>
    <s v="na"/>
    <s v="FWL"/>
    <s v="na"/>
    <s v="na"/>
    <s v="na"/>
    <s v="na"/>
    <s v="na"/>
    <s v="na"/>
    <s v="na"/>
    <s v="na"/>
  </r>
  <r>
    <n v="3563"/>
    <x v="78"/>
    <n v="1"/>
    <x v="12"/>
    <x v="0"/>
    <x v="3"/>
    <n v="70"/>
    <s v="102 P"/>
    <n v="44"/>
    <m/>
    <s v="M"/>
    <m/>
    <d v="1899-12-30T01:23:00"/>
    <s v="21:01"/>
    <s v="JBe"/>
    <s v="looked good, not spawned out, took pics"/>
    <s v="20140829 QBerger"/>
    <s v="20140830CSewright"/>
    <s v="x"/>
    <n v="151.917"/>
    <s v="na"/>
    <s v="FWL"/>
    <s v="na"/>
    <s v="na"/>
    <s v="F1835"/>
    <s v="na"/>
    <s v="na"/>
    <s v="na"/>
    <s v="na"/>
    <s v="na"/>
  </r>
  <r>
    <n v="3564"/>
    <x v="78"/>
    <n v="1"/>
    <x v="10"/>
    <x v="0"/>
    <x v="0"/>
    <m/>
    <m/>
    <n v="58"/>
    <m/>
    <s v="M"/>
    <m/>
    <d v="1899-12-30T00:25:00"/>
    <s v="20:58"/>
    <s v="JBe"/>
    <m/>
    <s v="20140829 QBerger"/>
    <s v="20140830CSewright"/>
    <s v="x"/>
    <s v="x"/>
    <s v="na"/>
    <s v="FWL"/>
    <s v="na"/>
    <s v="na"/>
    <s v="na"/>
    <s v="na"/>
    <s v="na"/>
    <s v="na"/>
    <s v="na"/>
    <s v="na"/>
  </r>
  <r>
    <n v="3565"/>
    <x v="78"/>
    <n v="2"/>
    <x v="10"/>
    <x v="0"/>
    <x v="0"/>
    <m/>
    <m/>
    <n v="60"/>
    <m/>
    <s v="F"/>
    <m/>
    <d v="1899-12-30T00:18:00"/>
    <s v="12:43"/>
    <s v="KS"/>
    <m/>
    <s v="20140829 CSewright"/>
    <s v="20140830CSewright"/>
    <s v="x"/>
    <s v="x"/>
    <s v="na"/>
    <s v="FWL"/>
    <s v="na"/>
    <s v="na"/>
    <s v="na"/>
    <s v="na"/>
    <s v="na"/>
    <s v="na"/>
    <s v="na"/>
    <s v="na"/>
  </r>
  <r>
    <n v="3566"/>
    <x v="78"/>
    <n v="2"/>
    <x v="10"/>
    <x v="0"/>
    <x v="0"/>
    <m/>
    <m/>
    <n v="58"/>
    <m/>
    <s v="M"/>
    <m/>
    <d v="1899-12-30T00:19:00"/>
    <s v="12:44"/>
    <s v="KS"/>
    <m/>
    <s v="20140829 CSewright"/>
    <s v="20140830CSewright"/>
    <s v="x"/>
    <s v="x"/>
    <s v="na"/>
    <s v="FWL"/>
    <s v="na"/>
    <s v="na"/>
    <s v="na"/>
    <s v="na"/>
    <s v="na"/>
    <s v="na"/>
    <s v="na"/>
    <s v="na"/>
  </r>
  <r>
    <n v="3567"/>
    <x v="78"/>
    <n v="2"/>
    <x v="10"/>
    <x v="0"/>
    <x v="0"/>
    <m/>
    <m/>
    <n v="52"/>
    <m/>
    <s v="M"/>
    <m/>
    <d v="1899-12-30T00:21:00"/>
    <s v="12:44"/>
    <s v="KS"/>
    <m/>
    <s v="20140829 CSewright"/>
    <s v="20140830CSewright"/>
    <s v="x"/>
    <s v="x"/>
    <s v="na"/>
    <s v="FWL"/>
    <s v="na"/>
    <s v="na"/>
    <s v="na"/>
    <s v="na"/>
    <s v="na"/>
    <s v="na"/>
    <s v="na"/>
    <s v="na"/>
  </r>
  <r>
    <n v="3568"/>
    <x v="78"/>
    <n v="2"/>
    <x v="10"/>
    <x v="0"/>
    <x v="0"/>
    <m/>
    <m/>
    <n v="58"/>
    <m/>
    <s v="F"/>
    <m/>
    <d v="1899-12-30T00:19:00"/>
    <s v="20:39"/>
    <s v="QB"/>
    <m/>
    <s v="20140829 QBerger"/>
    <s v="20140830CSewright"/>
    <s v="x"/>
    <s v="x"/>
    <s v="na"/>
    <s v="FWL"/>
    <s v="na"/>
    <s v="na"/>
    <s v="na"/>
    <s v="na"/>
    <s v="na"/>
    <s v="na"/>
    <s v="na"/>
    <s v="na"/>
  </r>
  <r>
    <n v="3569"/>
    <x v="78"/>
    <n v="2"/>
    <x v="10"/>
    <x v="0"/>
    <x v="0"/>
    <m/>
    <m/>
    <n v="52"/>
    <m/>
    <s v="M"/>
    <m/>
    <d v="1899-12-30T00:22:00"/>
    <s v="20:40"/>
    <s v="JBe"/>
    <m/>
    <s v="20140829 QBerger"/>
    <s v="20140830CSewright"/>
    <s v="x"/>
    <s v="x"/>
    <s v="na"/>
    <s v="FWL"/>
    <s v="na"/>
    <s v="na"/>
    <s v="na"/>
    <s v="na"/>
    <s v="na"/>
    <s v="na"/>
    <s v="na"/>
    <s v="na"/>
  </r>
  <r>
    <n v="3570"/>
    <x v="78"/>
    <n v="2"/>
    <x v="10"/>
    <x v="0"/>
    <x v="0"/>
    <m/>
    <m/>
    <n v="54"/>
    <m/>
    <s v="M"/>
    <m/>
    <d v="1899-12-30T00:23:00"/>
    <s v="20:41"/>
    <s v="JBe"/>
    <m/>
    <s v="20140829 QBerger"/>
    <s v="20140830CSewright"/>
    <s v="x"/>
    <s v="x"/>
    <s v="na"/>
    <s v="FWL"/>
    <s v="na"/>
    <s v="na"/>
    <s v="na"/>
    <s v="na"/>
    <s v="na"/>
    <s v="na"/>
    <s v="na"/>
    <s v="na"/>
  </r>
  <r>
    <n v="3571"/>
    <x v="78"/>
    <n v="2"/>
    <x v="10"/>
    <x v="0"/>
    <x v="0"/>
    <m/>
    <m/>
    <n v="47"/>
    <m/>
    <s v="F"/>
    <m/>
    <d v="1899-12-30T00:19:00"/>
    <s v="20:42"/>
    <s v="JBe"/>
    <m/>
    <s v="20140829 QBerger"/>
    <s v="20140830CSewright"/>
    <s v="x"/>
    <s v="x"/>
    <s v="na"/>
    <s v="FWL"/>
    <s v="na"/>
    <s v="na"/>
    <s v="na"/>
    <s v="na"/>
    <s v="na"/>
    <s v="na"/>
    <s v="na"/>
    <s v="na"/>
  </r>
  <r>
    <n v="3572"/>
    <x v="78"/>
    <n v="3"/>
    <x v="10"/>
    <x v="0"/>
    <x v="0"/>
    <m/>
    <m/>
    <n v="54"/>
    <m/>
    <s v="F"/>
    <m/>
    <d v="1899-12-30T00:19:00"/>
    <s v="13:01"/>
    <s v="KS"/>
    <m/>
    <s v="20140829 KShippen"/>
    <s v="20140830CSewright"/>
    <s v="x"/>
    <s v="x"/>
    <s v="na"/>
    <s v="FWL"/>
    <s v="na"/>
    <s v="na"/>
    <s v="na"/>
    <s v="na"/>
    <s v="na"/>
    <s v="na"/>
    <s v="na"/>
    <s v="na"/>
  </r>
  <r>
    <n v="3573"/>
    <x v="78"/>
    <n v="3"/>
    <x v="10"/>
    <x v="0"/>
    <x v="0"/>
    <m/>
    <m/>
    <n v="55"/>
    <m/>
    <s v="M"/>
    <m/>
    <d v="1899-12-30T00:20:00"/>
    <s v="13:02"/>
    <s v="KS"/>
    <m/>
    <s v="20140829 KShippen"/>
    <s v="20140830CSewright"/>
    <s v="x"/>
    <s v="x"/>
    <s v="na"/>
    <s v="FWL"/>
    <s v="na"/>
    <s v="na"/>
    <s v="na"/>
    <s v="na"/>
    <s v="na"/>
    <s v="na"/>
    <s v="na"/>
    <s v="na"/>
  </r>
  <r>
    <n v="3574"/>
    <x v="78"/>
    <n v="3"/>
    <x v="7"/>
    <x v="1"/>
    <x v="0"/>
    <m/>
    <m/>
    <n v="39"/>
    <m/>
    <s v="M"/>
    <m/>
    <d v="1899-12-30T00:42:00"/>
    <s v="17:40"/>
    <s v="CSw"/>
    <m/>
    <s v="20140829 CSewright"/>
    <s v="20140830CSewright"/>
    <s v="x"/>
    <s v="x"/>
    <s v="na"/>
    <s v="FWL"/>
    <s v="na"/>
    <s v="na"/>
    <s v="na"/>
    <s v="na"/>
    <s v="na"/>
    <s v="na"/>
    <s v="na"/>
    <s v="na"/>
  </r>
  <r>
    <n v="3575"/>
    <x v="78"/>
    <n v="3"/>
    <x v="10"/>
    <x v="0"/>
    <x v="0"/>
    <m/>
    <m/>
    <n v="51"/>
    <m/>
    <s v="F"/>
    <m/>
    <d v="1899-12-30T00:26:00"/>
    <s v="17:42"/>
    <s v="CSw"/>
    <m/>
    <s v="20140829 CSewright"/>
    <s v="20140830CSewright"/>
    <s v="x"/>
    <s v="x"/>
    <s v="na"/>
    <s v="FWL"/>
    <s v="na"/>
    <s v="na"/>
    <s v="na"/>
    <s v="na"/>
    <s v="na"/>
    <s v="na"/>
    <s v="na"/>
    <s v="na"/>
  </r>
  <r>
    <n v="3576"/>
    <x v="78"/>
    <n v="3"/>
    <x v="13"/>
    <x v="0"/>
    <x v="3"/>
    <n v="89"/>
    <s v="198 CO"/>
    <n v="50"/>
    <m/>
    <s v="F"/>
    <m/>
    <d v="1899-12-30T00:47:00"/>
    <s v="17:46"/>
    <s v="NC"/>
    <m/>
    <s v="20140829 CSewright"/>
    <s v="20140830CSewright"/>
    <s v="x"/>
    <n v="151.917"/>
    <s v="na"/>
    <s v="FWL"/>
    <s v="na"/>
    <s v="na"/>
    <s v="F1835"/>
    <s v="na"/>
    <s v="na"/>
    <s v="na"/>
    <s v="na"/>
    <s v="na"/>
  </r>
  <r>
    <n v="3577"/>
    <x v="78"/>
    <n v="3"/>
    <x v="13"/>
    <x v="0"/>
    <x v="3"/>
    <n v="3"/>
    <m/>
    <n v="56"/>
    <m/>
    <s v="F"/>
    <m/>
    <d v="1899-12-30T01:03:00"/>
    <s v="20:08"/>
    <s v="JBe"/>
    <m/>
    <s v="20140829 QBerger"/>
    <s v="20140830CSewright"/>
    <s v="x"/>
    <n v="151.917"/>
    <s v="na"/>
    <s v="FWL"/>
    <s v="na"/>
    <s v="na"/>
    <s v="F1835"/>
    <s v="na"/>
    <s v="na"/>
    <s v="na"/>
    <s v="na"/>
    <s v="na"/>
  </r>
  <r>
    <n v="3578"/>
    <x v="78"/>
    <n v="3"/>
    <x v="13"/>
    <x v="0"/>
    <x v="3"/>
    <n v="97"/>
    <m/>
    <n v="57"/>
    <m/>
    <s v="M"/>
    <m/>
    <d v="1899-12-30T00:57:00"/>
    <s v="20:10"/>
    <s v="JBe"/>
    <m/>
    <s v="20140829 QBerger"/>
    <s v="20140830CSewright"/>
    <s v="x"/>
    <n v="151.917"/>
    <s v="na"/>
    <s v="FWL"/>
    <s v="na"/>
    <s v="na"/>
    <s v="F1835"/>
    <s v="na"/>
    <s v="na"/>
    <s v="na"/>
    <s v="na"/>
    <s v="na"/>
  </r>
  <r>
    <n v="3579"/>
    <x v="78"/>
    <n v="3"/>
    <x v="3"/>
    <x v="2"/>
    <x v="0"/>
    <m/>
    <m/>
    <m/>
    <n v="16"/>
    <s v="U"/>
    <m/>
    <d v="1899-12-30T00:24:00"/>
    <s v="20:14"/>
    <s v="JBe"/>
    <m/>
    <s v="20140829 QBerger"/>
    <s v="20140830CSewright"/>
    <s v="x"/>
    <s v="x"/>
    <s v="na"/>
    <s v="FWL"/>
    <s v="na"/>
    <s v="na"/>
    <s v="na"/>
    <s v="na"/>
    <s v="na"/>
    <s v="na"/>
    <s v="na"/>
    <s v="na"/>
  </r>
  <r>
    <n v="3580"/>
    <x v="79"/>
    <n v="1"/>
    <x v="10"/>
    <x v="0"/>
    <x v="0"/>
    <m/>
    <m/>
    <n v="53"/>
    <m/>
    <s v="M"/>
    <m/>
    <d v="1899-12-30T00:39:00"/>
    <s v="13:13"/>
    <s v="LG"/>
    <m/>
    <s v="20140830 LGasek"/>
    <s v="20140831 LGasek"/>
    <s v="x"/>
    <s v="x"/>
    <s v="na"/>
    <s v="FWL"/>
    <s v="na"/>
    <s v="na"/>
    <s v="na"/>
    <s v="na"/>
    <s v="na"/>
    <s v="na"/>
    <s v="na"/>
    <s v="na"/>
  </r>
  <r>
    <n v="3581"/>
    <x v="79"/>
    <n v="1"/>
    <x v="13"/>
    <x v="0"/>
    <x v="3"/>
    <n v="99"/>
    <m/>
    <n v="52"/>
    <m/>
    <s v="M"/>
    <m/>
    <d v="1899-12-30T01:09:00"/>
    <s v="13:11"/>
    <s v="LG"/>
    <m/>
    <s v="20140830 LGasek"/>
    <s v="20140831 LGasek"/>
    <s v="x"/>
    <n v="151.917"/>
    <s v="na"/>
    <s v="FWL"/>
    <s v="na"/>
    <s v="na"/>
    <s v="F1835"/>
    <s v="na"/>
    <s v="na"/>
    <s v="na"/>
    <s v="na"/>
    <s v="na"/>
  </r>
  <r>
    <n v="3582"/>
    <x v="79"/>
    <n v="1"/>
    <x v="10"/>
    <x v="0"/>
    <x v="0"/>
    <m/>
    <m/>
    <n v="56"/>
    <m/>
    <s v="F"/>
    <m/>
    <d v="1899-12-30T00:19:00"/>
    <s v="14:53"/>
    <s v="LG"/>
    <m/>
    <s v="20140830 LGasek"/>
    <s v="20140831 LGasek"/>
    <s v="x"/>
    <s v="x"/>
    <s v="na"/>
    <s v="FWL"/>
    <s v="na"/>
    <s v="na"/>
    <s v="na"/>
    <s v="na"/>
    <s v="na"/>
    <s v="na"/>
    <s v="na"/>
    <s v="na"/>
  </r>
  <r>
    <n v="3583"/>
    <x v="79"/>
    <n v="1"/>
    <x v="13"/>
    <x v="0"/>
    <x v="3"/>
    <n v="73"/>
    <m/>
    <n v="57"/>
    <m/>
    <s v="M"/>
    <m/>
    <d v="1899-12-30T01:01:00"/>
    <s v="20:19"/>
    <s v="QB"/>
    <m/>
    <s v="20140830 LGasek"/>
    <s v="20140831 LGasek"/>
    <s v="x"/>
    <n v="151.917"/>
    <s v="na"/>
    <s v="FWL"/>
    <s v="na"/>
    <s v="na"/>
    <s v="F1835"/>
    <s v="na"/>
    <s v="na"/>
    <s v="na"/>
    <s v="na"/>
    <s v="na"/>
  </r>
  <r>
    <n v="3584"/>
    <x v="79"/>
    <n v="1"/>
    <x v="10"/>
    <x v="0"/>
    <x v="0"/>
    <m/>
    <m/>
    <n v="51"/>
    <m/>
    <s v="M"/>
    <m/>
    <d v="1899-12-30T00:23:00"/>
    <s v="20:29"/>
    <s v="QB"/>
    <m/>
    <s v="20140830 LGasek"/>
    <s v="20140831 LGasek"/>
    <s v="x"/>
    <s v="x"/>
    <s v="na"/>
    <s v="FWL"/>
    <s v="na"/>
    <s v="na"/>
    <s v="na"/>
    <s v="na"/>
    <s v="na"/>
    <s v="na"/>
    <s v="na"/>
    <s v="na"/>
  </r>
  <r>
    <n v="3585"/>
    <x v="79"/>
    <n v="1"/>
    <x v="7"/>
    <x v="0"/>
    <x v="10"/>
    <n v="96"/>
    <s v="199 S"/>
    <n v="44"/>
    <m/>
    <s v="M"/>
    <m/>
    <d v="1899-12-30T01:01:00"/>
    <s v="20:27"/>
    <s v="QB"/>
    <m/>
    <s v="20140830 LGasek"/>
    <s v="20140831 LGasek"/>
    <s v="x"/>
    <n v="151.58600000000001"/>
    <s v="na"/>
    <s v="FWL"/>
    <s v="na"/>
    <s v="na"/>
    <s v="F1840"/>
    <s v="na"/>
    <s v="na"/>
    <s v="na"/>
    <s v="na"/>
    <s v="na"/>
  </r>
  <r>
    <n v="3586"/>
    <x v="79"/>
    <n v="1"/>
    <x v="12"/>
    <x v="0"/>
    <x v="0"/>
    <m/>
    <m/>
    <n v="48"/>
    <m/>
    <s v="M"/>
    <m/>
    <d v="1899-12-30T00:22:00"/>
    <s v="20:25"/>
    <s v="QB"/>
    <m/>
    <s v="20140830 LGasek"/>
    <s v="20140831 LGasek"/>
    <s v="x"/>
    <s v="x"/>
    <s v="na"/>
    <s v="FWL"/>
    <s v="na"/>
    <s v="na"/>
    <s v="na"/>
    <s v="na"/>
    <s v="na"/>
    <s v="na"/>
    <s v="na"/>
    <s v="na"/>
  </r>
  <r>
    <n v="3587"/>
    <x v="79"/>
    <n v="1"/>
    <x v="10"/>
    <x v="0"/>
    <x v="0"/>
    <m/>
    <m/>
    <n v="51"/>
    <m/>
    <s v="M"/>
    <m/>
    <d v="1899-12-30T00:27:00"/>
    <s v="20:35"/>
    <s v="QB"/>
    <m/>
    <s v="20140830 LGasek"/>
    <s v="20140831 LGasek"/>
    <s v="x"/>
    <s v="x"/>
    <s v="na"/>
    <s v="FWL"/>
    <s v="na"/>
    <s v="na"/>
    <s v="na"/>
    <s v="na"/>
    <s v="na"/>
    <s v="na"/>
    <s v="na"/>
    <s v="na"/>
  </r>
  <r>
    <n v="3588"/>
    <x v="79"/>
    <n v="2"/>
    <x v="10"/>
    <x v="0"/>
    <x v="0"/>
    <m/>
    <m/>
    <n v="60"/>
    <m/>
    <s v="M"/>
    <m/>
    <d v="1899-12-30T00:25:00"/>
    <s v="13:25"/>
    <s v="LG"/>
    <m/>
    <s v="20140830 LGasek"/>
    <s v="20140831 LGasek"/>
    <s v="x"/>
    <s v="x"/>
    <s v="na"/>
    <s v="FWL"/>
    <s v="na"/>
    <s v="na"/>
    <s v="na"/>
    <s v="na"/>
    <s v="na"/>
    <s v="na"/>
    <s v="na"/>
    <s v="na"/>
  </r>
  <r>
    <n v="3589"/>
    <x v="79"/>
    <n v="2"/>
    <x v="13"/>
    <x v="0"/>
    <x v="3"/>
    <n v="15"/>
    <m/>
    <n v="61"/>
    <m/>
    <s v="M"/>
    <d v="1899-12-30T13:25:00"/>
    <d v="1899-12-30T02:30:00"/>
    <s v="13:29"/>
    <s v="LG"/>
    <m/>
    <s v="20140830 QBerger"/>
    <s v="20140831 LGasek"/>
    <d v="1899-12-30T00:01:30"/>
    <n v="151.917"/>
    <s v="na"/>
    <s v="FWL"/>
    <s v="na"/>
    <s v="na"/>
    <s v="F1835"/>
    <s v="na"/>
    <s v="na"/>
    <s v="na"/>
    <s v="na"/>
    <s v="na"/>
  </r>
  <r>
    <n v="3590"/>
    <x v="79"/>
    <n v="2"/>
    <x v="10"/>
    <x v="0"/>
    <x v="0"/>
    <m/>
    <m/>
    <n v="61"/>
    <m/>
    <s v="M"/>
    <d v="1899-12-30T19:58:00"/>
    <d v="1899-12-30T00:24:00"/>
    <s v="20:05"/>
    <s v="LG"/>
    <m/>
    <s v="20140830 QBerger"/>
    <s v="20140831 LGasek"/>
    <d v="1899-12-30T00:06:36"/>
    <s v="x"/>
    <s v="na"/>
    <s v="FWL"/>
    <s v="na"/>
    <s v="na"/>
    <s v="na"/>
    <s v="na"/>
    <s v="na"/>
    <s v="na"/>
    <s v="na"/>
    <s v="na"/>
  </r>
  <r>
    <n v="3591"/>
    <x v="79"/>
    <n v="3"/>
    <x v="10"/>
    <x v="0"/>
    <x v="0"/>
    <m/>
    <m/>
    <n v="56"/>
    <m/>
    <s v="M"/>
    <m/>
    <d v="1899-12-30T00:21:00"/>
    <s v="16:12"/>
    <s v="LG"/>
    <m/>
    <s v="20140830 LGasek"/>
    <s v="20140831 LGasek"/>
    <s v="x"/>
    <s v="x"/>
    <s v="na"/>
    <s v="FWL"/>
    <s v="na"/>
    <s v="na"/>
    <s v="na"/>
    <s v="na"/>
    <s v="na"/>
    <s v="na"/>
    <s v="na"/>
    <s v="na"/>
  </r>
  <r>
    <n v="3592"/>
    <x v="79"/>
    <n v="3"/>
    <x v="10"/>
    <x v="0"/>
    <x v="0"/>
    <m/>
    <m/>
    <n v="51"/>
    <m/>
    <s v="M"/>
    <m/>
    <d v="1899-12-30T00:26:00"/>
    <s v="16:14"/>
    <s v="LG"/>
    <m/>
    <s v="20140830 LGasek"/>
    <s v="20140831 LGasek"/>
    <s v="x"/>
    <s v="x"/>
    <s v="na"/>
    <s v="FWL"/>
    <s v="na"/>
    <s v="na"/>
    <s v="na"/>
    <s v="na"/>
    <s v="na"/>
    <s v="na"/>
    <s v="na"/>
    <s v="na"/>
  </r>
  <r>
    <n v="3593"/>
    <x v="79"/>
    <n v="3"/>
    <x v="13"/>
    <x v="0"/>
    <x v="3"/>
    <n v="6"/>
    <m/>
    <n v="54"/>
    <m/>
    <s v="M"/>
    <m/>
    <d v="1899-12-30T01:05:00"/>
    <s v="20:52"/>
    <s v="LG"/>
    <m/>
    <s v="20140830 LGasek"/>
    <s v="20140831 LGasek"/>
    <s v="x"/>
    <n v="151.917"/>
    <s v="na"/>
    <s v="FWL"/>
    <s v="na"/>
    <s v="na"/>
    <s v="F1835"/>
    <s v="na"/>
    <s v="na"/>
    <s v="na"/>
    <s v="na"/>
    <s v="na"/>
  </r>
  <r>
    <n v="3594"/>
    <x v="80"/>
    <n v="1"/>
    <x v="7"/>
    <x v="1"/>
    <x v="0"/>
    <m/>
    <m/>
    <n v="33"/>
    <m/>
    <s v="U"/>
    <d v="1899-12-30T11:56:00"/>
    <d v="1899-12-30T00:22:00"/>
    <s v="12:00"/>
    <s v="LG"/>
    <m/>
    <s v="20140831 LGasek"/>
    <s v="20140901 LGasek"/>
    <d v="1899-12-30T00:03:38"/>
    <s v="x"/>
    <s v="na"/>
    <s v="FWL"/>
    <s v="na"/>
    <s v="na"/>
    <s v="na"/>
    <s v="na"/>
    <s v="na"/>
    <s v="na"/>
    <s v="na"/>
    <s v="na"/>
  </r>
  <r>
    <n v="3595"/>
    <x v="80"/>
    <n v="1"/>
    <x v="10"/>
    <x v="0"/>
    <x v="0"/>
    <m/>
    <m/>
    <n v="53"/>
    <m/>
    <s v="M"/>
    <m/>
    <d v="1899-12-30T00:20:00"/>
    <s v="14:41"/>
    <s v="LG"/>
    <m/>
    <s v="20140831 LGasek"/>
    <s v="20140901 LGasek"/>
    <s v="x"/>
    <s v="x"/>
    <s v="na"/>
    <s v="FWL"/>
    <s v="na"/>
    <s v="na"/>
    <s v="na"/>
    <s v="na"/>
    <s v="na"/>
    <s v="na"/>
    <s v="na"/>
    <s v="na"/>
  </r>
  <r>
    <n v="3596"/>
    <x v="80"/>
    <n v="1"/>
    <x v="10"/>
    <x v="0"/>
    <x v="0"/>
    <m/>
    <m/>
    <n v="55"/>
    <m/>
    <s v="F"/>
    <m/>
    <d v="1899-12-30T00:23:00"/>
    <s v="14:45"/>
    <s v="LG"/>
    <m/>
    <s v="20140831 LGasek"/>
    <s v="20140901 LGasek"/>
    <s v="x"/>
    <s v="x"/>
    <s v="na"/>
    <s v="FWL"/>
    <s v="na"/>
    <s v="na"/>
    <s v="na"/>
    <s v="na"/>
    <s v="na"/>
    <s v="na"/>
    <s v="na"/>
    <s v="na"/>
  </r>
  <r>
    <n v="3597"/>
    <x v="80"/>
    <n v="1"/>
    <x v="10"/>
    <x v="0"/>
    <x v="0"/>
    <m/>
    <m/>
    <n v="60"/>
    <m/>
    <s v="M"/>
    <m/>
    <d v="1899-12-30T00:36:00"/>
    <s v="14:46"/>
    <s v="LG"/>
    <m/>
    <s v="20140831 LGasek"/>
    <s v="20140901 LGasek"/>
    <s v="x"/>
    <s v="x"/>
    <s v="na"/>
    <s v="FWL"/>
    <s v="na"/>
    <s v="na"/>
    <s v="na"/>
    <s v="na"/>
    <s v="na"/>
    <s v="na"/>
    <s v="na"/>
    <s v="na"/>
  </r>
  <r>
    <n v="3598"/>
    <x v="80"/>
    <n v="1"/>
    <x v="10"/>
    <x v="0"/>
    <x v="0"/>
    <m/>
    <m/>
    <n v="55"/>
    <m/>
    <s v="F"/>
    <m/>
    <d v="1899-12-30T00:32:00"/>
    <s v="16:54"/>
    <s v="AS"/>
    <m/>
    <s v="20140831 LGasek"/>
    <s v="20140901 LGasek"/>
    <s v="x"/>
    <s v="x"/>
    <s v="na"/>
    <s v="FWL"/>
    <s v="na"/>
    <s v="na"/>
    <s v="na"/>
    <s v="na"/>
    <s v="na"/>
    <s v="na"/>
    <s v="na"/>
    <s v="na"/>
  </r>
  <r>
    <n v="3599"/>
    <x v="80"/>
    <n v="1"/>
    <x v="13"/>
    <x v="1"/>
    <x v="0"/>
    <m/>
    <m/>
    <n v="33"/>
    <m/>
    <s v="U"/>
    <m/>
    <d v="1899-12-30T00:29:00"/>
    <s v="16:55"/>
    <s v="AS"/>
    <m/>
    <s v="20140831 LGasek"/>
    <s v="20140901 LGasek"/>
    <s v="x"/>
    <s v="x"/>
    <s v="na"/>
    <s v="FWL"/>
    <s v="na"/>
    <s v="na"/>
    <s v="na"/>
    <s v="na"/>
    <s v="na"/>
    <s v="na"/>
    <s v="na"/>
    <s v="na"/>
  </r>
  <r>
    <n v="3600"/>
    <x v="80"/>
    <n v="1"/>
    <x v="3"/>
    <x v="2"/>
    <x v="0"/>
    <m/>
    <m/>
    <m/>
    <n v="26"/>
    <s v="U"/>
    <m/>
    <d v="1899-12-30T00:24:00"/>
    <s v="19:22"/>
    <s v="LG"/>
    <m/>
    <s v="20140831 LGasek"/>
    <s v="20140901 LGasek"/>
    <s v="x"/>
    <s v="x"/>
    <s v="na"/>
    <s v="FWL"/>
    <s v="na"/>
    <s v="na"/>
    <s v="na"/>
    <s v="na"/>
    <s v="na"/>
    <s v="na"/>
    <s v="na"/>
    <s v="na"/>
  </r>
  <r>
    <n v="3601"/>
    <x v="80"/>
    <n v="1"/>
    <x v="10"/>
    <x v="0"/>
    <x v="0"/>
    <m/>
    <m/>
    <n v="58"/>
    <m/>
    <s v="M"/>
    <m/>
    <d v="1899-12-30T00:25:00"/>
    <s v="19:23"/>
    <s v="LG"/>
    <m/>
    <s v="20140831 LGasek"/>
    <s v="20140901 LGasek"/>
    <s v="x"/>
    <s v="x"/>
    <s v="na"/>
    <s v="FWL"/>
    <s v="na"/>
    <s v="na"/>
    <s v="na"/>
    <s v="na"/>
    <s v="na"/>
    <s v="na"/>
    <s v="na"/>
    <s v="na"/>
  </r>
  <r>
    <n v="3602"/>
    <x v="80"/>
    <n v="2"/>
    <x v="10"/>
    <x v="0"/>
    <x v="0"/>
    <m/>
    <m/>
    <n v="56"/>
    <m/>
    <s v="M"/>
    <m/>
    <d v="1899-12-30T00:37:00"/>
    <s v="11:48"/>
    <s v="LG"/>
    <s v="Missing left eye, old wound"/>
    <s v="20140831 LGasek"/>
    <s v="20140901 LGasek"/>
    <s v="x"/>
    <s v="x"/>
    <s v="na"/>
    <s v="FWL"/>
    <s v="na"/>
    <s v="na"/>
    <s v="na"/>
    <s v="na"/>
    <s v="na"/>
    <s v="na"/>
    <s v="na"/>
    <s v="na"/>
  </r>
  <r>
    <n v="3603"/>
    <x v="80"/>
    <n v="2"/>
    <x v="10"/>
    <x v="0"/>
    <x v="0"/>
    <m/>
    <m/>
    <n v="52"/>
    <m/>
    <s v="F"/>
    <m/>
    <d v="1899-12-30T00:19:00"/>
    <s v="14:18"/>
    <s v="LG"/>
    <m/>
    <s v="20140831 LGasek"/>
    <s v="20140901 LGasek"/>
    <s v="x"/>
    <s v="x"/>
    <s v="na"/>
    <s v="FWL"/>
    <s v="na"/>
    <s v="na"/>
    <s v="na"/>
    <s v="na"/>
    <s v="na"/>
    <s v="na"/>
    <s v="na"/>
    <s v="na"/>
  </r>
  <r>
    <n v="3604"/>
    <x v="80"/>
    <n v="2"/>
    <x v="10"/>
    <x v="0"/>
    <x v="0"/>
    <m/>
    <m/>
    <n v="61"/>
    <m/>
    <s v="F"/>
    <m/>
    <d v="1899-12-30T00:28:00"/>
    <s v="14:20"/>
    <s v="LG"/>
    <m/>
    <s v="20140831 LGasek"/>
    <s v="20140901 LGasek"/>
    <s v="x"/>
    <s v="x"/>
    <s v="na"/>
    <s v="FWL"/>
    <s v="na"/>
    <s v="na"/>
    <s v="na"/>
    <s v="na"/>
    <s v="na"/>
    <s v="na"/>
    <s v="na"/>
    <s v="na"/>
  </r>
  <r>
    <n v="3605"/>
    <x v="80"/>
    <n v="2"/>
    <x v="10"/>
    <x v="0"/>
    <x v="0"/>
    <m/>
    <m/>
    <n v="55"/>
    <m/>
    <s v="F"/>
    <m/>
    <d v="1899-12-30T00:33:00"/>
    <s v="16:37"/>
    <s v="LG"/>
    <m/>
    <s v="20140831 LGasek"/>
    <s v="20140901 LGasek"/>
    <s v="x"/>
    <s v="x"/>
    <s v="na"/>
    <s v="FWL"/>
    <s v="na"/>
    <s v="na"/>
    <s v="na"/>
    <s v="na"/>
    <s v="na"/>
    <s v="na"/>
    <s v="na"/>
    <s v="na"/>
  </r>
  <r>
    <n v="3606"/>
    <x v="80"/>
    <n v="2"/>
    <x v="10"/>
    <x v="0"/>
    <x v="0"/>
    <m/>
    <m/>
    <n v="53"/>
    <m/>
    <s v="F"/>
    <m/>
    <d v="1899-12-30T00:30:00"/>
    <s v="16:39"/>
    <s v="LG"/>
    <m/>
    <s v="20140831 LGasek"/>
    <s v="20140901 LGasek"/>
    <s v="x"/>
    <s v="x"/>
    <s v="na"/>
    <s v="FWL"/>
    <s v="na"/>
    <s v="na"/>
    <s v="na"/>
    <s v="na"/>
    <s v="na"/>
    <s v="na"/>
    <s v="na"/>
    <s v="na"/>
  </r>
  <r>
    <n v="3607"/>
    <x v="80"/>
    <n v="2"/>
    <x v="10"/>
    <x v="0"/>
    <x v="0"/>
    <m/>
    <m/>
    <n v="58"/>
    <m/>
    <s v="F"/>
    <m/>
    <d v="1899-12-30T00:17:00"/>
    <s v="19:04"/>
    <s v="LG"/>
    <m/>
    <s v="20140831 QBerger"/>
    <s v="20140901 LGasek"/>
    <s v="x"/>
    <s v="x"/>
    <s v="na"/>
    <s v="FWL"/>
    <s v="na"/>
    <s v="na"/>
    <s v="na"/>
    <s v="na"/>
    <s v="na"/>
    <s v="na"/>
    <s v="na"/>
    <s v="na"/>
  </r>
  <r>
    <n v="3608"/>
    <x v="80"/>
    <n v="2"/>
    <x v="10"/>
    <x v="0"/>
    <x v="0"/>
    <m/>
    <m/>
    <n v="49"/>
    <m/>
    <s v="M"/>
    <m/>
    <d v="1899-12-30T00:25:00"/>
    <s v="19:05"/>
    <s v="LG"/>
    <s v="Dark possibly spawned out"/>
    <s v="20140831 QBerger"/>
    <s v="20140901 LGasek"/>
    <s v="x"/>
    <s v="x"/>
    <s v="na"/>
    <s v="FWL"/>
    <s v="na"/>
    <s v="na"/>
    <s v="na"/>
    <s v="na"/>
    <s v="na"/>
    <s v="na"/>
    <s v="na"/>
    <s v="na"/>
  </r>
  <r>
    <n v="3609"/>
    <x v="80"/>
    <n v="2"/>
    <x v="13"/>
    <x v="0"/>
    <x v="0"/>
    <m/>
    <m/>
    <n v="51"/>
    <m/>
    <s v="F"/>
    <m/>
    <d v="1899-12-30T00:23:00"/>
    <s v="19:07"/>
    <s v="LG"/>
    <m/>
    <s v="20140831 QBerger"/>
    <s v="20140901 LGasek"/>
    <s v="x"/>
    <s v="x"/>
    <s v="na"/>
    <s v="FWL"/>
    <s v="na"/>
    <s v="na"/>
    <s v="na"/>
    <s v="na"/>
    <s v="na"/>
    <s v="na"/>
    <s v="na"/>
    <s v="na"/>
  </r>
  <r>
    <n v="3610"/>
    <x v="80"/>
    <n v="3"/>
    <x v="0"/>
    <x v="2"/>
    <x v="0"/>
    <m/>
    <m/>
    <m/>
    <n v="24"/>
    <s v="U"/>
    <m/>
    <d v="1899-12-30T00:38:00"/>
    <s v="12:11"/>
    <s v="QB"/>
    <m/>
    <s v="20140831 LGasek"/>
    <s v="20140901 LGasek"/>
    <s v="x"/>
    <s v="x"/>
    <s v="na"/>
    <s v="FWL"/>
    <s v="na"/>
    <s v="na"/>
    <s v="na"/>
    <s v="na"/>
    <s v="na"/>
    <s v="na"/>
    <s v="na"/>
    <s v="na"/>
  </r>
  <r>
    <n v="3611"/>
    <x v="80"/>
    <n v="3"/>
    <x v="13"/>
    <x v="0"/>
    <x v="3"/>
    <n v="2"/>
    <m/>
    <n v="58"/>
    <m/>
    <s v="F"/>
    <m/>
    <d v="1899-12-30T00:59:00"/>
    <s v="15:05"/>
    <s v="QB"/>
    <m/>
    <s v="20140831 LGasek"/>
    <s v="20140901 LGasek"/>
    <s v="x"/>
    <n v="151.917"/>
    <s v="na"/>
    <s v="FWL"/>
    <s v="na"/>
    <s v="na"/>
    <s v="F1835"/>
    <s v="na"/>
    <s v="na"/>
    <s v="na"/>
    <s v="na"/>
    <s v="na"/>
  </r>
  <r>
    <n v="3612"/>
    <x v="80"/>
    <n v="3"/>
    <x v="13"/>
    <x v="0"/>
    <x v="3"/>
    <n v="43"/>
    <m/>
    <n v="49"/>
    <m/>
    <s v="M"/>
    <m/>
    <d v="1899-12-30T01:40:00"/>
    <s v="15:12"/>
    <s v="QB"/>
    <m/>
    <s v="20140831 LGasek"/>
    <s v="20140901 LGasek"/>
    <s v="x"/>
    <n v="151.917"/>
    <s v="na"/>
    <s v="FWL"/>
    <s v="na"/>
    <s v="na"/>
    <s v="F1835"/>
    <s v="na"/>
    <s v="na"/>
    <s v="na"/>
    <s v="na"/>
    <s v="na"/>
  </r>
  <r>
    <n v="3613"/>
    <x v="81"/>
    <n v="1"/>
    <x v="10"/>
    <x v="0"/>
    <x v="0"/>
    <m/>
    <m/>
    <n v="59"/>
    <m/>
    <s v="F"/>
    <m/>
    <d v="1899-12-30T00:22:00"/>
    <s v="12:35"/>
    <s v="LG"/>
    <m/>
    <s v="20140901 LGasek"/>
    <s v="20140902 LGasek"/>
    <s v="x"/>
    <s v="x"/>
    <s v="na"/>
    <s v="FWL"/>
    <s v="na"/>
    <s v="na"/>
    <s v="na"/>
    <s v="na"/>
    <s v="na"/>
    <s v="na"/>
    <s v="na"/>
    <s v="na"/>
  </r>
  <r>
    <n v="3614"/>
    <x v="81"/>
    <n v="1"/>
    <x v="13"/>
    <x v="0"/>
    <x v="3"/>
    <n v="79"/>
    <m/>
    <n v="58"/>
    <m/>
    <s v="M"/>
    <m/>
    <d v="1899-12-30T01:20:00"/>
    <s v="12:47"/>
    <s v="LG"/>
    <m/>
    <s v="20140901 LGasek"/>
    <s v="20140902 LGasek"/>
    <s v="x"/>
    <n v="151.917"/>
    <s v="na"/>
    <s v="FWL"/>
    <s v="na"/>
    <s v="na"/>
    <s v="F1835"/>
    <s v="na"/>
    <s v="na"/>
    <s v="na"/>
    <s v="na"/>
    <s v="na"/>
  </r>
  <r>
    <n v="3615"/>
    <x v="81"/>
    <n v="2"/>
    <x v="10"/>
    <x v="0"/>
    <x v="0"/>
    <m/>
    <m/>
    <n v="59"/>
    <m/>
    <s v="M"/>
    <m/>
    <d v="1899-12-30T00:22:00"/>
    <s v="13:06"/>
    <s v="LG"/>
    <m/>
    <s v="20140901 QBerger"/>
    <s v="20140902 LGasek"/>
    <s v="x"/>
    <s v="x"/>
    <s v="na"/>
    <s v="FWL"/>
    <s v="na"/>
    <s v="na"/>
    <s v="na"/>
    <s v="na"/>
    <s v="na"/>
    <s v="na"/>
    <s v="na"/>
    <s v="na"/>
  </r>
  <r>
    <n v="3616"/>
    <x v="81"/>
    <n v="2"/>
    <x v="10"/>
    <x v="0"/>
    <x v="0"/>
    <m/>
    <m/>
    <n v="62"/>
    <m/>
    <s v="F"/>
    <m/>
    <d v="1899-12-30T00:27:00"/>
    <s v="13:08"/>
    <s v="LG"/>
    <m/>
    <s v="20140901 QBerger"/>
    <s v="20140902 LGasek"/>
    <s v="x"/>
    <s v="x"/>
    <s v="na"/>
    <s v="FWL"/>
    <s v="na"/>
    <s v="na"/>
    <s v="na"/>
    <s v="na"/>
    <s v="na"/>
    <s v="na"/>
    <s v="na"/>
    <s v="na"/>
  </r>
  <r>
    <n v="3617"/>
    <x v="81"/>
    <n v="2"/>
    <x v="7"/>
    <x v="0"/>
    <x v="6"/>
    <n v="74"/>
    <s v="194 S"/>
    <n v="49"/>
    <m/>
    <s v="F"/>
    <m/>
    <d v="1899-12-30T01:09:00"/>
    <s v="13:14"/>
    <s v="LG"/>
    <m/>
    <s v="20140901 QBerger"/>
    <s v="20140902 LGasek"/>
    <s v="x"/>
    <n v="151.57300000000001"/>
    <s v="na"/>
    <s v="FWL"/>
    <s v="na"/>
    <s v="na"/>
    <s v="F1840"/>
    <s v="na"/>
    <s v="na"/>
    <s v="na"/>
    <s v="na"/>
    <s v="na"/>
  </r>
  <r>
    <n v="3618"/>
    <x v="81"/>
    <n v="2"/>
    <x v="10"/>
    <x v="0"/>
    <x v="0"/>
    <m/>
    <m/>
    <n v="61"/>
    <m/>
    <s v="U"/>
    <m/>
    <d v="1899-12-30T00:31:00"/>
    <s v="17:47"/>
    <s v="QB"/>
    <m/>
    <s v="20140901 QBerger"/>
    <s v="20140902 LGasek"/>
    <s v="x"/>
    <s v="x"/>
    <s v="na"/>
    <s v="FWL"/>
    <s v="na"/>
    <s v="na"/>
    <s v="na"/>
    <s v="na"/>
    <s v="na"/>
    <s v="na"/>
    <s v="na"/>
    <s v="na"/>
  </r>
  <r>
    <n v="3619"/>
    <x v="81"/>
    <n v="3"/>
    <x v="13"/>
    <x v="0"/>
    <x v="3"/>
    <n v="18"/>
    <m/>
    <n v="57"/>
    <m/>
    <s v="F"/>
    <m/>
    <d v="1899-12-30T01:06:00"/>
    <s v="19:40"/>
    <s v="LG"/>
    <m/>
    <s v="20140901 QBerger"/>
    <s v="20140902 LGasek"/>
    <s v="x"/>
    <n v="151.917"/>
    <s v="na"/>
    <s v="FWL"/>
    <s v="na"/>
    <s v="na"/>
    <s v="F1835"/>
    <s v="na"/>
    <s v="na"/>
    <s v="na"/>
    <s v="na"/>
    <s v="na"/>
  </r>
  <r>
    <n v="3620"/>
    <x v="81"/>
    <n v="3"/>
    <x v="13"/>
    <x v="0"/>
    <x v="0"/>
    <m/>
    <m/>
    <n v="60"/>
    <m/>
    <s v="M"/>
    <m/>
    <d v="1899-12-30T00:30:00"/>
    <s v="19:41"/>
    <s v="LG"/>
    <m/>
    <s v="20140901 QBerger"/>
    <s v="20140902 LGasek"/>
    <s v="x"/>
    <s v="x"/>
    <s v="na"/>
    <s v="FWL"/>
    <s v="na"/>
    <s v="na"/>
    <s v="na"/>
    <s v="na"/>
    <s v="na"/>
    <s v="na"/>
    <s v="na"/>
    <s v="na"/>
  </r>
  <r>
    <n v="3621"/>
    <x v="82"/>
    <n v="2"/>
    <x v="10"/>
    <x v="0"/>
    <x v="0"/>
    <m/>
    <m/>
    <n v="56"/>
    <m/>
    <s v="M"/>
    <m/>
    <d v="1899-12-30T00:23:00"/>
    <s v="13:14"/>
    <s v="CSw"/>
    <m/>
    <s v="20140902 CSewright"/>
    <s v="20140903 LGasek"/>
    <s v="x"/>
    <s v="x"/>
    <s v="na"/>
    <s v="FWL"/>
    <s v="na"/>
    <s v="na"/>
    <s v="na"/>
    <s v="na"/>
    <s v="na"/>
    <s v="na"/>
    <s v="na"/>
    <s v="na"/>
  </r>
  <r>
    <n v="3622"/>
    <x v="82"/>
    <n v="2"/>
    <x v="10"/>
    <x v="0"/>
    <x v="0"/>
    <m/>
    <m/>
    <n v="58"/>
    <m/>
    <s v="F"/>
    <m/>
    <d v="1899-12-30T00:28:00"/>
    <s v="13:15"/>
    <s v="CSw"/>
    <m/>
    <s v="20140902 CSewright"/>
    <s v="20140903 LGasek"/>
    <s v="x"/>
    <s v="x"/>
    <s v="na"/>
    <s v="FWL"/>
    <s v="na"/>
    <s v="na"/>
    <s v="na"/>
    <s v="na"/>
    <s v="na"/>
    <s v="na"/>
    <s v="na"/>
    <s v="na"/>
  </r>
  <r>
    <n v="3623"/>
    <x v="82"/>
    <n v="2"/>
    <x v="10"/>
    <x v="0"/>
    <x v="0"/>
    <m/>
    <m/>
    <n v="57"/>
    <m/>
    <s v="M"/>
    <m/>
    <d v="1899-12-30T00:26:00"/>
    <s v="17:17"/>
    <s v="CSw"/>
    <m/>
    <s v="20140902 CSewright"/>
    <s v="20140903 LGasek"/>
    <s v="x"/>
    <s v="x"/>
    <s v="na"/>
    <s v="FWL"/>
    <s v="na"/>
    <s v="na"/>
    <s v="na"/>
    <s v="na"/>
    <s v="na"/>
    <s v="na"/>
    <s v="na"/>
    <s v="na"/>
  </r>
  <r>
    <n v="3624"/>
    <x v="82"/>
    <n v="3"/>
    <x v="10"/>
    <x v="0"/>
    <x v="0"/>
    <m/>
    <m/>
    <n v="56"/>
    <m/>
    <s v="M"/>
    <m/>
    <d v="1899-12-30T00:27:00"/>
    <s v="13:42"/>
    <s v="CSw"/>
    <m/>
    <s v="20140902 CSewright"/>
    <s v="20140903 LGasek"/>
    <s v="x"/>
    <s v="x"/>
    <s v="na"/>
    <s v="FWL"/>
    <s v="na"/>
    <s v="na"/>
    <s v="na"/>
    <s v="na"/>
    <s v="na"/>
    <s v="na"/>
    <s v="na"/>
    <s v="na"/>
  </r>
  <r>
    <n v="3625"/>
    <x v="83"/>
    <n v="1"/>
    <x v="13"/>
    <x v="0"/>
    <x v="3"/>
    <n v="87"/>
    <m/>
    <n v="60"/>
    <m/>
    <s v="F"/>
    <m/>
    <d v="1899-12-30T00:47:00"/>
    <s v="14:34"/>
    <s v="NC"/>
    <m/>
    <s v="20140903 CSewright"/>
    <s v="20140903 LGasek"/>
    <s v="x"/>
    <n v="151.917"/>
    <s v="na"/>
    <s v="FWL"/>
    <s v="na"/>
    <s v="na"/>
    <s v="F1835"/>
    <s v="na"/>
    <s v="na"/>
    <s v="na"/>
    <s v="na"/>
    <s v="na"/>
  </r>
  <r>
    <n v="3626"/>
    <x v="83"/>
    <n v="2"/>
    <x v="7"/>
    <x v="0"/>
    <x v="6"/>
    <n v="30"/>
    <s v="200 S"/>
    <n v="50"/>
    <m/>
    <s v="M"/>
    <m/>
    <d v="1899-12-30T01:41:00"/>
    <s v="17:45"/>
    <s v="NC"/>
    <s v="healthy looking, pretty fish"/>
    <s v="20140903 NCollin"/>
    <s v="20140903 LGasek"/>
    <s v="x"/>
    <n v="151.57300000000001"/>
    <s v="na"/>
    <s v="FWL"/>
    <s v="na"/>
    <s v="na"/>
    <s v="F1840"/>
    <s v="na"/>
    <s v="na"/>
    <s v="na"/>
    <s v="na"/>
    <s v="na"/>
  </r>
  <r>
    <n v="3627"/>
    <x v="83"/>
    <n v="3"/>
    <x v="13"/>
    <x v="0"/>
    <x v="3"/>
    <n v="55"/>
    <m/>
    <n v="52"/>
    <m/>
    <s v="M"/>
    <m/>
    <d v="1899-12-30T00:37:00"/>
    <s v="14:56"/>
    <s v="NC"/>
    <m/>
    <s v="20140903 NCollin"/>
    <s v="20140903 LGasek"/>
    <s v="x"/>
    <n v="151.917"/>
    <s v="na"/>
    <s v="FWL"/>
    <s v="na"/>
    <s v="na"/>
    <s v="F1835"/>
    <s v="na"/>
    <s v="na"/>
    <s v="na"/>
    <s v="na"/>
    <s v="na"/>
  </r>
  <r>
    <n v="3628"/>
    <x v="83"/>
    <n v="3"/>
    <x v="3"/>
    <x v="2"/>
    <x v="0"/>
    <m/>
    <m/>
    <m/>
    <n v="29.5"/>
    <s v="U"/>
    <m/>
    <d v="1899-12-30T00:22:00"/>
    <s v="14:58"/>
    <s v="CSw"/>
    <s v="had a fin clip"/>
    <s v="20140903 NCollin"/>
    <s v="20140903 LGasek"/>
    <s v="x"/>
    <s v="x"/>
    <s v="na"/>
    <s v="FWL"/>
    <s v="na"/>
    <s v="na"/>
    <s v="na"/>
    <s v="na"/>
    <s v="na"/>
    <s v="na"/>
    <s v="na"/>
    <s v="na"/>
  </r>
  <r>
    <n v="3629"/>
    <x v="84"/>
    <n v="3"/>
    <x v="10"/>
    <x v="0"/>
    <x v="0"/>
    <m/>
    <m/>
    <n v="61"/>
    <m/>
    <s v="M"/>
    <m/>
    <d v="1899-12-30T00:24:00"/>
    <s v="18:23"/>
    <s v="CSw"/>
    <s v="Spawned out"/>
    <s v="20140905 CSewright"/>
    <s v="20140906 KShippen"/>
    <s v="x"/>
    <s v="x"/>
    <s v="na"/>
    <s v="FWL"/>
    <s v="na"/>
    <s v="na"/>
    <s v="na"/>
    <s v="na"/>
    <s v="na"/>
    <s v="na"/>
    <s v="na"/>
    <s v="na"/>
  </r>
  <r>
    <n v="3630"/>
    <x v="85"/>
    <m/>
    <x v="14"/>
    <x v="3"/>
    <x v="0"/>
    <m/>
    <m/>
    <m/>
    <m/>
    <m/>
    <m/>
    <m/>
    <m/>
    <m/>
    <m/>
    <m/>
    <m/>
    <s v="x"/>
    <s v="x"/>
    <s v="na"/>
    <s v="NRD"/>
    <s v="na"/>
    <s v="na"/>
    <s v="na"/>
    <s v="na"/>
    <s v="na"/>
    <s v="na"/>
    <s v="na"/>
    <s v="na"/>
  </r>
  <r>
    <n v="3631"/>
    <x v="85"/>
    <m/>
    <x v="14"/>
    <x v="3"/>
    <x v="0"/>
    <m/>
    <m/>
    <m/>
    <m/>
    <m/>
    <m/>
    <m/>
    <m/>
    <m/>
    <m/>
    <m/>
    <m/>
    <s v="x"/>
    <s v="x"/>
    <s v="na"/>
    <s v="NRD"/>
    <s v="na"/>
    <s v="na"/>
    <s v="na"/>
    <s v="na"/>
    <s v="na"/>
    <s v="na"/>
    <s v="na"/>
    <s v="na"/>
  </r>
  <r>
    <n v="3632"/>
    <x v="85"/>
    <m/>
    <x v="14"/>
    <x v="3"/>
    <x v="0"/>
    <m/>
    <m/>
    <m/>
    <m/>
    <m/>
    <m/>
    <m/>
    <m/>
    <m/>
    <m/>
    <m/>
    <m/>
    <s v="x"/>
    <s v="x"/>
    <s v="na"/>
    <s v="NRD"/>
    <s v="na"/>
    <s v="na"/>
    <s v="na"/>
    <s v="na"/>
    <s v="na"/>
    <s v="na"/>
    <s v="na"/>
    <s v="na"/>
  </r>
  <r>
    <n v="3633"/>
    <x v="85"/>
    <m/>
    <x v="14"/>
    <x v="3"/>
    <x v="0"/>
    <m/>
    <m/>
    <m/>
    <m/>
    <m/>
    <m/>
    <m/>
    <m/>
    <m/>
    <m/>
    <m/>
    <m/>
    <s v="x"/>
    <s v="x"/>
    <s v="na"/>
    <s v="NRD"/>
    <s v="na"/>
    <s v="na"/>
    <s v="na"/>
    <s v="na"/>
    <s v="na"/>
    <s v="na"/>
    <s v="na"/>
    <s v="na"/>
  </r>
  <r>
    <n v="3634"/>
    <x v="85"/>
    <m/>
    <x v="14"/>
    <x v="3"/>
    <x v="0"/>
    <m/>
    <m/>
    <m/>
    <m/>
    <m/>
    <m/>
    <m/>
    <m/>
    <m/>
    <m/>
    <m/>
    <m/>
    <s v="x"/>
    <s v="x"/>
    <s v="na"/>
    <s v="NRD"/>
    <s v="na"/>
    <s v="na"/>
    <s v="na"/>
    <s v="na"/>
    <s v="na"/>
    <s v="na"/>
    <s v="na"/>
    <s v="na"/>
  </r>
  <r>
    <n v="3635"/>
    <x v="85"/>
    <m/>
    <x v="14"/>
    <x v="3"/>
    <x v="0"/>
    <m/>
    <m/>
    <m/>
    <m/>
    <m/>
    <m/>
    <m/>
    <m/>
    <m/>
    <m/>
    <m/>
    <m/>
    <s v="x"/>
    <s v="x"/>
    <s v="na"/>
    <s v="NRD"/>
    <s v="na"/>
    <s v="na"/>
    <s v="na"/>
    <s v="na"/>
    <s v="na"/>
    <s v="na"/>
    <s v="na"/>
    <s v="na"/>
  </r>
  <r>
    <n v="3636"/>
    <x v="85"/>
    <m/>
    <x v="14"/>
    <x v="3"/>
    <x v="0"/>
    <m/>
    <m/>
    <m/>
    <m/>
    <m/>
    <m/>
    <m/>
    <m/>
    <m/>
    <m/>
    <m/>
    <m/>
    <s v="x"/>
    <s v="x"/>
    <s v="na"/>
    <s v="NRD"/>
    <s v="na"/>
    <s v="na"/>
    <s v="na"/>
    <s v="na"/>
    <s v="na"/>
    <s v="na"/>
    <s v="na"/>
    <s v="na"/>
  </r>
  <r>
    <n v="3637"/>
    <x v="85"/>
    <m/>
    <x v="14"/>
    <x v="3"/>
    <x v="0"/>
    <m/>
    <m/>
    <m/>
    <m/>
    <m/>
    <m/>
    <m/>
    <m/>
    <m/>
    <m/>
    <m/>
    <m/>
    <s v="x"/>
    <s v="x"/>
    <s v="na"/>
    <s v="NRD"/>
    <s v="na"/>
    <s v="na"/>
    <s v="na"/>
    <s v="na"/>
    <s v="na"/>
    <s v="na"/>
    <s v="na"/>
    <s v="na"/>
  </r>
  <r>
    <n v="3638"/>
    <x v="85"/>
    <m/>
    <x v="14"/>
    <x v="3"/>
    <x v="0"/>
    <m/>
    <m/>
    <m/>
    <m/>
    <m/>
    <m/>
    <m/>
    <m/>
    <m/>
    <m/>
    <m/>
    <m/>
    <s v="x"/>
    <s v="x"/>
    <s v="na"/>
    <s v="NRD"/>
    <s v="na"/>
    <s v="na"/>
    <s v="na"/>
    <s v="na"/>
    <s v="na"/>
    <s v="na"/>
    <s v="na"/>
    <s v="na"/>
  </r>
  <r>
    <n v="3639"/>
    <x v="85"/>
    <m/>
    <x v="14"/>
    <x v="3"/>
    <x v="0"/>
    <m/>
    <m/>
    <m/>
    <m/>
    <m/>
    <m/>
    <m/>
    <m/>
    <m/>
    <m/>
    <m/>
    <m/>
    <s v="x"/>
    <s v="x"/>
    <s v="na"/>
    <s v="NRD"/>
    <s v="na"/>
    <s v="na"/>
    <s v="na"/>
    <s v="na"/>
    <s v="na"/>
    <s v="na"/>
    <s v="na"/>
    <s v="na"/>
  </r>
  <r>
    <n v="3640"/>
    <x v="85"/>
    <m/>
    <x v="14"/>
    <x v="3"/>
    <x v="0"/>
    <m/>
    <m/>
    <m/>
    <m/>
    <m/>
    <m/>
    <m/>
    <m/>
    <m/>
    <m/>
    <m/>
    <m/>
    <s v="x"/>
    <s v="x"/>
    <s v="na"/>
    <s v="NRD"/>
    <s v="na"/>
    <s v="na"/>
    <s v="na"/>
    <s v="na"/>
    <s v="na"/>
    <s v="na"/>
    <s v="na"/>
    <s v="na"/>
  </r>
  <r>
    <n v="3641"/>
    <x v="85"/>
    <m/>
    <x v="14"/>
    <x v="3"/>
    <x v="0"/>
    <m/>
    <m/>
    <m/>
    <m/>
    <m/>
    <m/>
    <m/>
    <m/>
    <m/>
    <m/>
    <m/>
    <m/>
    <s v="x"/>
    <s v="x"/>
    <s v="na"/>
    <s v="NRD"/>
    <s v="na"/>
    <s v="na"/>
    <s v="na"/>
    <s v="na"/>
    <s v="na"/>
    <s v="na"/>
    <s v="na"/>
    <s v="na"/>
  </r>
  <r>
    <n v="3642"/>
    <x v="85"/>
    <m/>
    <x v="14"/>
    <x v="3"/>
    <x v="0"/>
    <m/>
    <m/>
    <m/>
    <m/>
    <m/>
    <m/>
    <m/>
    <m/>
    <m/>
    <m/>
    <m/>
    <m/>
    <s v="x"/>
    <s v="x"/>
    <s v="na"/>
    <s v="NRD"/>
    <s v="na"/>
    <s v="na"/>
    <s v="na"/>
    <s v="na"/>
    <s v="na"/>
    <s v="na"/>
    <s v="na"/>
    <s v="na"/>
  </r>
  <r>
    <n v="3643"/>
    <x v="85"/>
    <m/>
    <x v="14"/>
    <x v="3"/>
    <x v="0"/>
    <m/>
    <m/>
    <m/>
    <m/>
    <m/>
    <m/>
    <m/>
    <m/>
    <m/>
    <m/>
    <m/>
    <m/>
    <s v="x"/>
    <s v="x"/>
    <s v="na"/>
    <s v="NRD"/>
    <s v="na"/>
    <s v="na"/>
    <s v="na"/>
    <s v="na"/>
    <s v="na"/>
    <s v="na"/>
    <s v="na"/>
    <s v="na"/>
  </r>
  <r>
    <n v="3644"/>
    <x v="85"/>
    <m/>
    <x v="14"/>
    <x v="3"/>
    <x v="0"/>
    <m/>
    <m/>
    <m/>
    <m/>
    <m/>
    <m/>
    <m/>
    <m/>
    <m/>
    <m/>
    <m/>
    <m/>
    <s v="x"/>
    <s v="x"/>
    <s v="na"/>
    <s v="NRD"/>
    <s v="na"/>
    <s v="na"/>
    <s v="na"/>
    <s v="na"/>
    <s v="na"/>
    <s v="na"/>
    <s v="na"/>
    <s v="na"/>
  </r>
  <r>
    <n v="3645"/>
    <x v="85"/>
    <m/>
    <x v="14"/>
    <x v="3"/>
    <x v="0"/>
    <m/>
    <m/>
    <m/>
    <m/>
    <m/>
    <m/>
    <m/>
    <m/>
    <m/>
    <m/>
    <m/>
    <m/>
    <s v="x"/>
    <s v="x"/>
    <s v="na"/>
    <s v="NRD"/>
    <s v="na"/>
    <s v="na"/>
    <s v="na"/>
    <s v="na"/>
    <s v="na"/>
    <s v="na"/>
    <s v="na"/>
    <s v="na"/>
  </r>
  <r>
    <n v="3646"/>
    <x v="85"/>
    <m/>
    <x v="14"/>
    <x v="3"/>
    <x v="0"/>
    <m/>
    <m/>
    <m/>
    <m/>
    <m/>
    <m/>
    <m/>
    <m/>
    <m/>
    <m/>
    <m/>
    <m/>
    <s v="x"/>
    <s v="x"/>
    <s v="na"/>
    <s v="NRD"/>
    <s v="na"/>
    <s v="na"/>
    <s v="na"/>
    <s v="na"/>
    <s v="na"/>
    <s v="na"/>
    <s v="na"/>
    <s v="na"/>
  </r>
  <r>
    <n v="3647"/>
    <x v="85"/>
    <m/>
    <x v="14"/>
    <x v="3"/>
    <x v="0"/>
    <m/>
    <m/>
    <m/>
    <m/>
    <m/>
    <m/>
    <m/>
    <m/>
    <m/>
    <m/>
    <m/>
    <m/>
    <s v="x"/>
    <s v="x"/>
    <s v="na"/>
    <s v="NRD"/>
    <s v="na"/>
    <s v="na"/>
    <s v="na"/>
    <s v="na"/>
    <s v="na"/>
    <s v="na"/>
    <s v="na"/>
    <s v="na"/>
  </r>
  <r>
    <n v="3648"/>
    <x v="85"/>
    <m/>
    <x v="14"/>
    <x v="3"/>
    <x v="0"/>
    <m/>
    <m/>
    <m/>
    <m/>
    <m/>
    <m/>
    <m/>
    <m/>
    <m/>
    <m/>
    <m/>
    <m/>
    <s v="x"/>
    <s v="x"/>
    <s v="na"/>
    <s v="NRD"/>
    <s v="na"/>
    <s v="na"/>
    <s v="na"/>
    <s v="na"/>
    <s v="na"/>
    <s v="na"/>
    <s v="na"/>
    <s v="na"/>
  </r>
  <r>
    <n v="3649"/>
    <x v="85"/>
    <m/>
    <x v="14"/>
    <x v="3"/>
    <x v="0"/>
    <m/>
    <m/>
    <m/>
    <m/>
    <m/>
    <m/>
    <m/>
    <m/>
    <m/>
    <m/>
    <m/>
    <m/>
    <s v="x"/>
    <s v="x"/>
    <s v="na"/>
    <s v="NRD"/>
    <s v="na"/>
    <s v="na"/>
    <s v="na"/>
    <s v="na"/>
    <s v="na"/>
    <s v="na"/>
    <s v="na"/>
    <s v="na"/>
  </r>
  <r>
    <n v="3650"/>
    <x v="85"/>
    <m/>
    <x v="14"/>
    <x v="3"/>
    <x v="0"/>
    <m/>
    <m/>
    <m/>
    <m/>
    <m/>
    <m/>
    <m/>
    <m/>
    <m/>
    <m/>
    <m/>
    <m/>
    <s v="x"/>
    <s v="x"/>
    <s v="na"/>
    <s v="NRD"/>
    <s v="na"/>
    <s v="na"/>
    <s v="na"/>
    <s v="na"/>
    <s v="na"/>
    <s v="na"/>
    <s v="na"/>
    <s v="na"/>
  </r>
  <r>
    <n v="3651"/>
    <x v="85"/>
    <m/>
    <x v="14"/>
    <x v="3"/>
    <x v="0"/>
    <m/>
    <m/>
    <m/>
    <m/>
    <m/>
    <m/>
    <m/>
    <m/>
    <m/>
    <m/>
    <m/>
    <m/>
    <s v="x"/>
    <s v="x"/>
    <s v="na"/>
    <s v="NRD"/>
    <s v="na"/>
    <s v="na"/>
    <s v="na"/>
    <s v="na"/>
    <s v="na"/>
    <s v="na"/>
    <s v="na"/>
    <s v="na"/>
  </r>
  <r>
    <n v="3652"/>
    <x v="85"/>
    <m/>
    <x v="14"/>
    <x v="3"/>
    <x v="0"/>
    <m/>
    <m/>
    <m/>
    <m/>
    <m/>
    <m/>
    <m/>
    <m/>
    <m/>
    <m/>
    <m/>
    <m/>
    <s v="x"/>
    <s v="x"/>
    <s v="na"/>
    <s v="NRD"/>
    <s v="na"/>
    <s v="na"/>
    <s v="na"/>
    <s v="na"/>
    <s v="na"/>
    <s v="na"/>
    <s v="na"/>
    <s v="na"/>
  </r>
  <r>
    <n v="3653"/>
    <x v="85"/>
    <m/>
    <x v="14"/>
    <x v="3"/>
    <x v="0"/>
    <m/>
    <m/>
    <m/>
    <m/>
    <m/>
    <m/>
    <m/>
    <m/>
    <m/>
    <m/>
    <m/>
    <m/>
    <s v="x"/>
    <s v="x"/>
    <s v="na"/>
    <s v="NRD"/>
    <s v="na"/>
    <s v="na"/>
    <s v="na"/>
    <s v="na"/>
    <s v="na"/>
    <s v="na"/>
    <s v="na"/>
    <s v="na"/>
  </r>
  <r>
    <n v="3654"/>
    <x v="85"/>
    <m/>
    <x v="14"/>
    <x v="3"/>
    <x v="0"/>
    <m/>
    <m/>
    <m/>
    <m/>
    <m/>
    <m/>
    <m/>
    <m/>
    <m/>
    <m/>
    <m/>
    <m/>
    <s v="x"/>
    <s v="x"/>
    <s v="na"/>
    <s v="NRD"/>
    <s v="na"/>
    <s v="na"/>
    <s v="na"/>
    <s v="na"/>
    <s v="na"/>
    <s v="na"/>
    <s v="na"/>
    <s v="na"/>
  </r>
  <r>
    <n v="3655"/>
    <x v="85"/>
    <m/>
    <x v="14"/>
    <x v="3"/>
    <x v="0"/>
    <m/>
    <m/>
    <m/>
    <m/>
    <m/>
    <m/>
    <m/>
    <m/>
    <m/>
    <m/>
    <m/>
    <m/>
    <s v="x"/>
    <s v="x"/>
    <s v="na"/>
    <s v="NRD"/>
    <s v="na"/>
    <s v="na"/>
    <s v="na"/>
    <s v="na"/>
    <s v="na"/>
    <s v="na"/>
    <s v="na"/>
    <s v="na"/>
  </r>
  <r>
    <n v="3656"/>
    <x v="85"/>
    <m/>
    <x v="14"/>
    <x v="3"/>
    <x v="0"/>
    <m/>
    <m/>
    <m/>
    <m/>
    <m/>
    <m/>
    <m/>
    <m/>
    <m/>
    <m/>
    <m/>
    <m/>
    <s v="x"/>
    <s v="x"/>
    <s v="na"/>
    <s v="NRD"/>
    <s v="na"/>
    <s v="na"/>
    <s v="na"/>
    <s v="na"/>
    <s v="na"/>
    <s v="na"/>
    <s v="na"/>
    <s v="na"/>
  </r>
  <r>
    <n v="3657"/>
    <x v="85"/>
    <m/>
    <x v="14"/>
    <x v="3"/>
    <x v="0"/>
    <m/>
    <m/>
    <m/>
    <m/>
    <m/>
    <m/>
    <m/>
    <m/>
    <m/>
    <m/>
    <m/>
    <m/>
    <s v="x"/>
    <s v="x"/>
    <s v="na"/>
    <s v="NRD"/>
    <s v="na"/>
    <s v="na"/>
    <s v="na"/>
    <s v="na"/>
    <s v="na"/>
    <s v="na"/>
    <s v="na"/>
    <s v="na"/>
  </r>
  <r>
    <n v="3658"/>
    <x v="85"/>
    <m/>
    <x v="14"/>
    <x v="3"/>
    <x v="0"/>
    <m/>
    <m/>
    <m/>
    <m/>
    <m/>
    <m/>
    <m/>
    <m/>
    <m/>
    <m/>
    <m/>
    <m/>
    <s v="x"/>
    <s v="x"/>
    <s v="na"/>
    <s v="NRD"/>
    <s v="na"/>
    <s v="na"/>
    <s v="na"/>
    <s v="na"/>
    <s v="na"/>
    <s v="na"/>
    <s v="na"/>
    <s v="na"/>
  </r>
  <r>
    <n v="3659"/>
    <x v="85"/>
    <m/>
    <x v="14"/>
    <x v="3"/>
    <x v="0"/>
    <m/>
    <m/>
    <m/>
    <m/>
    <m/>
    <m/>
    <m/>
    <m/>
    <m/>
    <m/>
    <m/>
    <m/>
    <s v="x"/>
    <s v="x"/>
    <s v="na"/>
    <s v="NRD"/>
    <s v="na"/>
    <s v="na"/>
    <s v="na"/>
    <s v="na"/>
    <s v="na"/>
    <s v="na"/>
    <s v="na"/>
    <s v="na"/>
  </r>
  <r>
    <n v="3660"/>
    <x v="85"/>
    <m/>
    <x v="14"/>
    <x v="3"/>
    <x v="0"/>
    <m/>
    <m/>
    <m/>
    <m/>
    <m/>
    <m/>
    <m/>
    <m/>
    <m/>
    <m/>
    <m/>
    <m/>
    <s v="x"/>
    <s v="x"/>
    <s v="na"/>
    <s v="NRD"/>
    <s v="na"/>
    <s v="na"/>
    <s v="na"/>
    <s v="na"/>
    <s v="na"/>
    <s v="na"/>
    <s v="na"/>
    <s v="na"/>
  </r>
  <r>
    <n v="3661"/>
    <x v="85"/>
    <m/>
    <x v="14"/>
    <x v="3"/>
    <x v="0"/>
    <m/>
    <m/>
    <m/>
    <m/>
    <m/>
    <m/>
    <m/>
    <m/>
    <m/>
    <m/>
    <m/>
    <m/>
    <s v="x"/>
    <s v="x"/>
    <s v="na"/>
    <s v="NRD"/>
    <s v="na"/>
    <s v="na"/>
    <s v="na"/>
    <s v="na"/>
    <s v="na"/>
    <s v="na"/>
    <s v="na"/>
    <s v="na"/>
  </r>
  <r>
    <n v="3662"/>
    <x v="85"/>
    <m/>
    <x v="14"/>
    <x v="3"/>
    <x v="0"/>
    <m/>
    <m/>
    <m/>
    <m/>
    <m/>
    <m/>
    <m/>
    <m/>
    <m/>
    <m/>
    <m/>
    <m/>
    <s v="x"/>
    <s v="x"/>
    <s v="na"/>
    <s v="NRD"/>
    <s v="na"/>
    <s v="na"/>
    <s v="na"/>
    <s v="na"/>
    <s v="na"/>
    <s v="na"/>
    <s v="na"/>
    <s v="na"/>
  </r>
  <r>
    <n v="3663"/>
    <x v="85"/>
    <m/>
    <x v="14"/>
    <x v="3"/>
    <x v="0"/>
    <m/>
    <m/>
    <m/>
    <m/>
    <m/>
    <m/>
    <m/>
    <m/>
    <m/>
    <m/>
    <m/>
    <m/>
    <s v="x"/>
    <s v="x"/>
    <s v="na"/>
    <s v="NRD"/>
    <s v="na"/>
    <s v="na"/>
    <s v="na"/>
    <s v="na"/>
    <s v="na"/>
    <s v="na"/>
    <s v="na"/>
    <s v="na"/>
  </r>
  <r>
    <n v="3664"/>
    <x v="85"/>
    <m/>
    <x v="14"/>
    <x v="3"/>
    <x v="0"/>
    <m/>
    <m/>
    <m/>
    <m/>
    <m/>
    <m/>
    <m/>
    <m/>
    <m/>
    <m/>
    <m/>
    <m/>
    <s v="x"/>
    <s v="x"/>
    <s v="na"/>
    <s v="NRD"/>
    <s v="na"/>
    <s v="na"/>
    <s v="na"/>
    <s v="na"/>
    <s v="na"/>
    <s v="na"/>
    <s v="na"/>
    <s v="na"/>
  </r>
  <r>
    <n v="3665"/>
    <x v="85"/>
    <m/>
    <x v="14"/>
    <x v="3"/>
    <x v="0"/>
    <m/>
    <m/>
    <m/>
    <m/>
    <m/>
    <m/>
    <m/>
    <m/>
    <m/>
    <m/>
    <m/>
    <m/>
    <s v="x"/>
    <s v="x"/>
    <s v="na"/>
    <s v="NRD"/>
    <s v="na"/>
    <s v="na"/>
    <s v="na"/>
    <s v="na"/>
    <s v="na"/>
    <s v="na"/>
    <s v="na"/>
    <s v="na"/>
  </r>
  <r>
    <n v="3666"/>
    <x v="85"/>
    <m/>
    <x v="14"/>
    <x v="3"/>
    <x v="0"/>
    <m/>
    <m/>
    <m/>
    <m/>
    <m/>
    <m/>
    <m/>
    <m/>
    <m/>
    <m/>
    <m/>
    <m/>
    <s v="x"/>
    <s v="x"/>
    <s v="na"/>
    <s v="NRD"/>
    <s v="na"/>
    <s v="na"/>
    <s v="na"/>
    <s v="na"/>
    <s v="na"/>
    <s v="na"/>
    <s v="na"/>
    <s v="na"/>
  </r>
  <r>
    <n v="3667"/>
    <x v="85"/>
    <m/>
    <x v="14"/>
    <x v="3"/>
    <x v="0"/>
    <m/>
    <m/>
    <m/>
    <m/>
    <m/>
    <m/>
    <m/>
    <m/>
    <m/>
    <m/>
    <m/>
    <m/>
    <s v="x"/>
    <s v="x"/>
    <s v="na"/>
    <s v="NRD"/>
    <s v="na"/>
    <s v="na"/>
    <s v="na"/>
    <s v="na"/>
    <s v="na"/>
    <s v="na"/>
    <s v="na"/>
    <s v="na"/>
  </r>
  <r>
    <n v="3668"/>
    <x v="85"/>
    <m/>
    <x v="14"/>
    <x v="3"/>
    <x v="0"/>
    <m/>
    <m/>
    <m/>
    <m/>
    <m/>
    <m/>
    <m/>
    <m/>
    <m/>
    <m/>
    <m/>
    <m/>
    <s v="x"/>
    <s v="x"/>
    <s v="na"/>
    <s v="NRD"/>
    <s v="na"/>
    <s v="na"/>
    <s v="na"/>
    <s v="na"/>
    <s v="na"/>
    <s v="na"/>
    <s v="na"/>
    <s v="na"/>
  </r>
  <r>
    <n v="3669"/>
    <x v="85"/>
    <m/>
    <x v="14"/>
    <x v="3"/>
    <x v="0"/>
    <m/>
    <m/>
    <m/>
    <m/>
    <m/>
    <m/>
    <m/>
    <m/>
    <m/>
    <m/>
    <m/>
    <m/>
    <s v="x"/>
    <s v="x"/>
    <s v="na"/>
    <s v="NRD"/>
    <s v="na"/>
    <s v="na"/>
    <s v="na"/>
    <s v="na"/>
    <s v="na"/>
    <s v="na"/>
    <s v="na"/>
    <s v="na"/>
  </r>
  <r>
    <n v="3670"/>
    <x v="85"/>
    <m/>
    <x v="14"/>
    <x v="3"/>
    <x v="0"/>
    <m/>
    <m/>
    <m/>
    <m/>
    <m/>
    <m/>
    <m/>
    <m/>
    <m/>
    <m/>
    <m/>
    <m/>
    <s v="x"/>
    <s v="x"/>
    <s v="na"/>
    <s v="NRD"/>
    <s v="na"/>
    <s v="na"/>
    <s v="na"/>
    <s v="na"/>
    <s v="na"/>
    <s v="na"/>
    <s v="na"/>
    <s v="na"/>
  </r>
  <r>
    <n v="3671"/>
    <x v="85"/>
    <m/>
    <x v="14"/>
    <x v="3"/>
    <x v="0"/>
    <m/>
    <m/>
    <m/>
    <m/>
    <m/>
    <m/>
    <m/>
    <m/>
    <m/>
    <m/>
    <m/>
    <m/>
    <s v="x"/>
    <s v="x"/>
    <s v="na"/>
    <s v="NRD"/>
    <s v="na"/>
    <s v="na"/>
    <s v="na"/>
    <s v="na"/>
    <s v="na"/>
    <s v="na"/>
    <s v="na"/>
    <s v="na"/>
  </r>
  <r>
    <n v="3672"/>
    <x v="85"/>
    <m/>
    <x v="14"/>
    <x v="3"/>
    <x v="0"/>
    <m/>
    <m/>
    <m/>
    <m/>
    <m/>
    <m/>
    <m/>
    <m/>
    <m/>
    <m/>
    <m/>
    <m/>
    <s v="x"/>
    <s v="x"/>
    <s v="na"/>
    <s v="NRD"/>
    <s v="na"/>
    <s v="na"/>
    <s v="na"/>
    <s v="na"/>
    <s v="na"/>
    <s v="na"/>
    <s v="na"/>
    <s v="na"/>
  </r>
  <r>
    <n v="3673"/>
    <x v="85"/>
    <m/>
    <x v="14"/>
    <x v="3"/>
    <x v="0"/>
    <m/>
    <m/>
    <m/>
    <m/>
    <m/>
    <m/>
    <m/>
    <m/>
    <m/>
    <m/>
    <m/>
    <m/>
    <s v="x"/>
    <s v="x"/>
    <s v="na"/>
    <s v="NRD"/>
    <s v="na"/>
    <s v="na"/>
    <s v="na"/>
    <s v="na"/>
    <s v="na"/>
    <s v="na"/>
    <s v="na"/>
    <s v="na"/>
  </r>
  <r>
    <n v="3674"/>
    <x v="85"/>
    <m/>
    <x v="14"/>
    <x v="3"/>
    <x v="0"/>
    <m/>
    <m/>
    <m/>
    <m/>
    <m/>
    <m/>
    <m/>
    <m/>
    <m/>
    <m/>
    <m/>
    <m/>
    <s v="x"/>
    <s v="x"/>
    <s v="na"/>
    <s v="NRD"/>
    <s v="na"/>
    <s v="na"/>
    <s v="na"/>
    <s v="na"/>
    <s v="na"/>
    <s v="na"/>
    <s v="na"/>
    <s v="na"/>
  </r>
  <r>
    <n v="3675"/>
    <x v="85"/>
    <m/>
    <x v="14"/>
    <x v="3"/>
    <x v="0"/>
    <m/>
    <m/>
    <m/>
    <m/>
    <m/>
    <m/>
    <m/>
    <m/>
    <m/>
    <m/>
    <m/>
    <m/>
    <s v="x"/>
    <s v="x"/>
    <s v="na"/>
    <s v="NRD"/>
    <s v="na"/>
    <s v="na"/>
    <s v="na"/>
    <s v="na"/>
    <s v="na"/>
    <s v="na"/>
    <s v="na"/>
    <s v="na"/>
  </r>
  <r>
    <n v="3676"/>
    <x v="85"/>
    <m/>
    <x v="14"/>
    <x v="3"/>
    <x v="0"/>
    <m/>
    <m/>
    <m/>
    <m/>
    <m/>
    <m/>
    <m/>
    <m/>
    <m/>
    <m/>
    <m/>
    <m/>
    <s v="x"/>
    <s v="x"/>
    <s v="na"/>
    <s v="NRD"/>
    <s v="na"/>
    <s v="na"/>
    <s v="na"/>
    <s v="na"/>
    <s v="na"/>
    <s v="na"/>
    <s v="na"/>
    <s v="na"/>
  </r>
  <r>
    <n v="3677"/>
    <x v="85"/>
    <m/>
    <x v="14"/>
    <x v="3"/>
    <x v="0"/>
    <m/>
    <m/>
    <m/>
    <m/>
    <m/>
    <m/>
    <m/>
    <m/>
    <m/>
    <m/>
    <m/>
    <m/>
    <s v="x"/>
    <s v="x"/>
    <s v="na"/>
    <s v="NRD"/>
    <s v="na"/>
    <s v="na"/>
    <s v="na"/>
    <s v="na"/>
    <s v="na"/>
    <s v="na"/>
    <s v="na"/>
    <s v="na"/>
  </r>
  <r>
    <n v="3678"/>
    <x v="85"/>
    <m/>
    <x v="14"/>
    <x v="3"/>
    <x v="0"/>
    <m/>
    <m/>
    <m/>
    <m/>
    <m/>
    <m/>
    <m/>
    <m/>
    <m/>
    <m/>
    <m/>
    <m/>
    <s v="x"/>
    <s v="x"/>
    <s v="na"/>
    <s v="NRD"/>
    <s v="na"/>
    <s v="na"/>
    <s v="na"/>
    <s v="na"/>
    <s v="na"/>
    <s v="na"/>
    <s v="na"/>
    <s v="na"/>
  </r>
  <r>
    <n v="3679"/>
    <x v="85"/>
    <m/>
    <x v="14"/>
    <x v="3"/>
    <x v="0"/>
    <m/>
    <m/>
    <m/>
    <m/>
    <m/>
    <m/>
    <m/>
    <m/>
    <m/>
    <m/>
    <m/>
    <m/>
    <s v="x"/>
    <s v="x"/>
    <s v="na"/>
    <s v="NRD"/>
    <s v="na"/>
    <s v="na"/>
    <s v="na"/>
    <s v="na"/>
    <s v="na"/>
    <s v="na"/>
    <s v="na"/>
    <s v="na"/>
  </r>
  <r>
    <n v="3680"/>
    <x v="85"/>
    <m/>
    <x v="14"/>
    <x v="3"/>
    <x v="0"/>
    <m/>
    <m/>
    <m/>
    <m/>
    <m/>
    <m/>
    <m/>
    <m/>
    <m/>
    <m/>
    <m/>
    <m/>
    <s v="x"/>
    <s v="x"/>
    <s v="na"/>
    <s v="NRD"/>
    <s v="na"/>
    <s v="na"/>
    <s v="na"/>
    <s v="na"/>
    <s v="na"/>
    <s v="na"/>
    <s v="na"/>
    <s v="na"/>
  </r>
  <r>
    <n v="3681"/>
    <x v="85"/>
    <m/>
    <x v="14"/>
    <x v="3"/>
    <x v="0"/>
    <m/>
    <m/>
    <m/>
    <m/>
    <m/>
    <m/>
    <m/>
    <m/>
    <m/>
    <m/>
    <m/>
    <m/>
    <s v="x"/>
    <s v="x"/>
    <s v="na"/>
    <s v="NRD"/>
    <s v="na"/>
    <s v="na"/>
    <s v="na"/>
    <s v="na"/>
    <s v="na"/>
    <s v="na"/>
    <s v="na"/>
    <s v="na"/>
  </r>
  <r>
    <n v="3682"/>
    <x v="85"/>
    <m/>
    <x v="14"/>
    <x v="3"/>
    <x v="0"/>
    <m/>
    <m/>
    <m/>
    <m/>
    <m/>
    <m/>
    <m/>
    <m/>
    <m/>
    <m/>
    <m/>
    <m/>
    <s v="x"/>
    <s v="x"/>
    <s v="na"/>
    <s v="NRD"/>
    <s v="na"/>
    <s v="na"/>
    <s v="na"/>
    <s v="na"/>
    <s v="na"/>
    <s v="na"/>
    <s v="na"/>
    <s v="na"/>
  </r>
  <r>
    <n v="3683"/>
    <x v="85"/>
    <m/>
    <x v="14"/>
    <x v="3"/>
    <x v="0"/>
    <m/>
    <m/>
    <m/>
    <m/>
    <m/>
    <m/>
    <m/>
    <m/>
    <m/>
    <m/>
    <m/>
    <m/>
    <s v="x"/>
    <s v="x"/>
    <s v="na"/>
    <s v="NRD"/>
    <s v="na"/>
    <s v="na"/>
    <s v="na"/>
    <s v="na"/>
    <s v="na"/>
    <s v="na"/>
    <s v="na"/>
    <s v="na"/>
  </r>
  <r>
    <n v="3684"/>
    <x v="85"/>
    <m/>
    <x v="14"/>
    <x v="3"/>
    <x v="0"/>
    <m/>
    <m/>
    <m/>
    <m/>
    <m/>
    <m/>
    <m/>
    <m/>
    <m/>
    <m/>
    <m/>
    <m/>
    <s v="x"/>
    <s v="x"/>
    <s v="na"/>
    <s v="NRD"/>
    <s v="na"/>
    <s v="na"/>
    <s v="na"/>
    <s v="na"/>
    <s v="na"/>
    <s v="na"/>
    <s v="na"/>
    <s v="na"/>
  </r>
  <r>
    <n v="3685"/>
    <x v="85"/>
    <m/>
    <x v="14"/>
    <x v="3"/>
    <x v="0"/>
    <m/>
    <m/>
    <m/>
    <m/>
    <m/>
    <m/>
    <m/>
    <m/>
    <m/>
    <m/>
    <m/>
    <m/>
    <s v="x"/>
    <s v="x"/>
    <s v="na"/>
    <s v="NRD"/>
    <s v="na"/>
    <s v="na"/>
    <s v="na"/>
    <s v="na"/>
    <s v="na"/>
    <s v="na"/>
    <s v="na"/>
    <s v="na"/>
  </r>
  <r>
    <n v="3686"/>
    <x v="85"/>
    <m/>
    <x v="14"/>
    <x v="3"/>
    <x v="0"/>
    <m/>
    <m/>
    <m/>
    <m/>
    <m/>
    <m/>
    <m/>
    <m/>
    <m/>
    <m/>
    <m/>
    <m/>
    <s v="x"/>
    <s v="x"/>
    <s v="na"/>
    <s v="NRD"/>
    <s v="na"/>
    <s v="na"/>
    <s v="na"/>
    <s v="na"/>
    <s v="na"/>
    <s v="na"/>
    <s v="na"/>
    <s v="na"/>
  </r>
  <r>
    <n v="3687"/>
    <x v="85"/>
    <m/>
    <x v="14"/>
    <x v="3"/>
    <x v="0"/>
    <m/>
    <m/>
    <m/>
    <m/>
    <m/>
    <m/>
    <m/>
    <m/>
    <m/>
    <m/>
    <m/>
    <m/>
    <s v="x"/>
    <s v="x"/>
    <s v="na"/>
    <s v="NRD"/>
    <s v="na"/>
    <s v="na"/>
    <s v="na"/>
    <s v="na"/>
    <s v="na"/>
    <s v="na"/>
    <s v="na"/>
    <s v="na"/>
  </r>
  <r>
    <n v="3688"/>
    <x v="85"/>
    <m/>
    <x v="14"/>
    <x v="3"/>
    <x v="0"/>
    <m/>
    <m/>
    <m/>
    <m/>
    <m/>
    <m/>
    <m/>
    <m/>
    <m/>
    <m/>
    <m/>
    <m/>
    <s v="x"/>
    <s v="x"/>
    <s v="na"/>
    <s v="NRD"/>
    <s v="na"/>
    <s v="na"/>
    <s v="na"/>
    <s v="na"/>
    <s v="na"/>
    <s v="na"/>
    <s v="na"/>
    <s v="na"/>
  </r>
  <r>
    <n v="3689"/>
    <x v="85"/>
    <m/>
    <x v="14"/>
    <x v="3"/>
    <x v="0"/>
    <m/>
    <m/>
    <m/>
    <m/>
    <m/>
    <m/>
    <m/>
    <m/>
    <m/>
    <m/>
    <m/>
    <m/>
    <s v="x"/>
    <s v="x"/>
    <s v="na"/>
    <s v="NRD"/>
    <s v="na"/>
    <s v="na"/>
    <s v="na"/>
    <s v="na"/>
    <s v="na"/>
    <s v="na"/>
    <s v="na"/>
    <s v="na"/>
  </r>
  <r>
    <n v="3690"/>
    <x v="85"/>
    <m/>
    <x v="14"/>
    <x v="3"/>
    <x v="0"/>
    <m/>
    <m/>
    <m/>
    <m/>
    <m/>
    <m/>
    <m/>
    <m/>
    <m/>
    <m/>
    <m/>
    <m/>
    <s v="x"/>
    <s v="x"/>
    <s v="na"/>
    <s v="NRD"/>
    <s v="na"/>
    <s v="na"/>
    <s v="na"/>
    <s v="na"/>
    <s v="na"/>
    <s v="na"/>
    <s v="na"/>
    <s v="na"/>
  </r>
  <r>
    <n v="3691"/>
    <x v="85"/>
    <m/>
    <x v="14"/>
    <x v="3"/>
    <x v="0"/>
    <m/>
    <m/>
    <m/>
    <m/>
    <m/>
    <m/>
    <m/>
    <m/>
    <m/>
    <m/>
    <m/>
    <m/>
    <s v="x"/>
    <s v="x"/>
    <s v="na"/>
    <s v="NRD"/>
    <s v="na"/>
    <s v="na"/>
    <s v="na"/>
    <s v="na"/>
    <s v="na"/>
    <s v="na"/>
    <s v="na"/>
    <s v="na"/>
  </r>
  <r>
    <n v="3692"/>
    <x v="85"/>
    <m/>
    <x v="14"/>
    <x v="3"/>
    <x v="0"/>
    <m/>
    <m/>
    <m/>
    <m/>
    <m/>
    <m/>
    <m/>
    <m/>
    <m/>
    <m/>
    <m/>
    <m/>
    <s v="x"/>
    <s v="x"/>
    <s v="na"/>
    <s v="NRD"/>
    <s v="na"/>
    <s v="na"/>
    <s v="na"/>
    <s v="na"/>
    <s v="na"/>
    <s v="na"/>
    <s v="na"/>
    <s v="na"/>
  </r>
  <r>
    <n v="3693"/>
    <x v="85"/>
    <m/>
    <x v="14"/>
    <x v="3"/>
    <x v="0"/>
    <m/>
    <m/>
    <m/>
    <m/>
    <m/>
    <m/>
    <m/>
    <m/>
    <m/>
    <m/>
    <m/>
    <m/>
    <s v="x"/>
    <s v="x"/>
    <s v="na"/>
    <s v="NRD"/>
    <s v="na"/>
    <s v="na"/>
    <s v="na"/>
    <s v="na"/>
    <s v="na"/>
    <s v="na"/>
    <s v="na"/>
    <s v="na"/>
  </r>
  <r>
    <n v="3694"/>
    <x v="85"/>
    <m/>
    <x v="14"/>
    <x v="3"/>
    <x v="0"/>
    <m/>
    <m/>
    <m/>
    <m/>
    <m/>
    <m/>
    <m/>
    <m/>
    <m/>
    <m/>
    <m/>
    <m/>
    <s v="x"/>
    <s v="x"/>
    <s v="na"/>
    <s v="NRD"/>
    <s v="na"/>
    <s v="na"/>
    <s v="na"/>
    <s v="na"/>
    <s v="na"/>
    <s v="na"/>
    <s v="na"/>
    <s v="na"/>
  </r>
  <r>
    <n v="3695"/>
    <x v="85"/>
    <m/>
    <x v="14"/>
    <x v="3"/>
    <x v="0"/>
    <m/>
    <m/>
    <m/>
    <m/>
    <m/>
    <m/>
    <m/>
    <m/>
    <m/>
    <m/>
    <m/>
    <m/>
    <s v="x"/>
    <s v="x"/>
    <s v="na"/>
    <s v="NRD"/>
    <s v="na"/>
    <s v="na"/>
    <s v="na"/>
    <s v="na"/>
    <s v="na"/>
    <s v="na"/>
    <s v="na"/>
    <s v="na"/>
  </r>
  <r>
    <n v="3696"/>
    <x v="85"/>
    <m/>
    <x v="14"/>
    <x v="3"/>
    <x v="0"/>
    <m/>
    <m/>
    <m/>
    <m/>
    <m/>
    <m/>
    <m/>
    <m/>
    <m/>
    <m/>
    <m/>
    <m/>
    <s v="x"/>
    <s v="x"/>
    <s v="na"/>
    <s v="NRD"/>
    <s v="na"/>
    <s v="na"/>
    <s v="na"/>
    <s v="na"/>
    <s v="na"/>
    <s v="na"/>
    <s v="na"/>
    <s v="na"/>
  </r>
  <r>
    <n v="3697"/>
    <x v="85"/>
    <m/>
    <x v="14"/>
    <x v="3"/>
    <x v="0"/>
    <m/>
    <m/>
    <m/>
    <m/>
    <m/>
    <m/>
    <m/>
    <m/>
    <m/>
    <m/>
    <m/>
    <m/>
    <s v="x"/>
    <s v="x"/>
    <s v="na"/>
    <s v="NRD"/>
    <s v="na"/>
    <s v="na"/>
    <s v="na"/>
    <s v="na"/>
    <s v="na"/>
    <s v="na"/>
    <s v="na"/>
    <s v="na"/>
  </r>
  <r>
    <n v="3698"/>
    <x v="85"/>
    <m/>
    <x v="14"/>
    <x v="3"/>
    <x v="0"/>
    <m/>
    <m/>
    <m/>
    <m/>
    <m/>
    <m/>
    <m/>
    <m/>
    <m/>
    <m/>
    <m/>
    <m/>
    <s v="x"/>
    <s v="x"/>
    <s v="na"/>
    <s v="NRD"/>
    <s v="na"/>
    <s v="na"/>
    <s v="na"/>
    <s v="na"/>
    <s v="na"/>
    <s v="na"/>
    <s v="na"/>
    <s v="na"/>
  </r>
  <r>
    <n v="3699"/>
    <x v="85"/>
    <m/>
    <x v="14"/>
    <x v="3"/>
    <x v="0"/>
    <m/>
    <m/>
    <m/>
    <m/>
    <m/>
    <m/>
    <m/>
    <m/>
    <m/>
    <m/>
    <m/>
    <m/>
    <s v="x"/>
    <s v="x"/>
    <s v="na"/>
    <s v="NRD"/>
    <s v="na"/>
    <s v="na"/>
    <s v="na"/>
    <s v="na"/>
    <s v="na"/>
    <s v="na"/>
    <s v="na"/>
    <s v="na"/>
  </r>
  <r>
    <n v="3700"/>
    <x v="85"/>
    <m/>
    <x v="14"/>
    <x v="3"/>
    <x v="0"/>
    <m/>
    <m/>
    <m/>
    <m/>
    <m/>
    <m/>
    <m/>
    <m/>
    <m/>
    <m/>
    <m/>
    <m/>
    <s v="x"/>
    <s v="x"/>
    <s v="na"/>
    <s v="NRD"/>
    <s v="na"/>
    <s v="na"/>
    <s v="na"/>
    <s v="na"/>
    <s v="na"/>
    <s v="na"/>
    <s v="na"/>
    <s v="na"/>
  </r>
  <r>
    <n v="3701"/>
    <x v="85"/>
    <m/>
    <x v="14"/>
    <x v="3"/>
    <x v="0"/>
    <m/>
    <m/>
    <m/>
    <m/>
    <m/>
    <m/>
    <m/>
    <m/>
    <m/>
    <m/>
    <m/>
    <m/>
    <s v="x"/>
    <s v="x"/>
    <s v="na"/>
    <s v="NRD"/>
    <s v="na"/>
    <s v="na"/>
    <s v="na"/>
    <s v="na"/>
    <s v="na"/>
    <s v="na"/>
    <s v="na"/>
    <s v="na"/>
  </r>
  <r>
    <n v="3702"/>
    <x v="85"/>
    <m/>
    <x v="14"/>
    <x v="3"/>
    <x v="0"/>
    <m/>
    <m/>
    <m/>
    <m/>
    <m/>
    <m/>
    <m/>
    <m/>
    <m/>
    <m/>
    <m/>
    <m/>
    <s v="x"/>
    <s v="x"/>
    <s v="na"/>
    <s v="NRD"/>
    <s v="na"/>
    <s v="na"/>
    <s v="na"/>
    <s v="na"/>
    <s v="na"/>
    <s v="na"/>
    <s v="na"/>
    <s v="na"/>
  </r>
  <r>
    <n v="3703"/>
    <x v="85"/>
    <m/>
    <x v="14"/>
    <x v="3"/>
    <x v="0"/>
    <m/>
    <m/>
    <m/>
    <m/>
    <m/>
    <m/>
    <m/>
    <m/>
    <m/>
    <m/>
    <m/>
    <m/>
    <s v="x"/>
    <s v="x"/>
    <s v="na"/>
    <s v="NRD"/>
    <s v="na"/>
    <s v="na"/>
    <s v="na"/>
    <s v="na"/>
    <s v="na"/>
    <s v="na"/>
    <s v="na"/>
    <s v="na"/>
  </r>
  <r>
    <n v="3704"/>
    <x v="85"/>
    <m/>
    <x v="14"/>
    <x v="3"/>
    <x v="0"/>
    <m/>
    <m/>
    <m/>
    <m/>
    <m/>
    <m/>
    <m/>
    <m/>
    <m/>
    <m/>
    <m/>
    <m/>
    <s v="x"/>
    <s v="x"/>
    <s v="na"/>
    <s v="NRD"/>
    <s v="na"/>
    <s v="na"/>
    <s v="na"/>
    <s v="na"/>
    <s v="na"/>
    <s v="na"/>
    <s v="na"/>
    <s v="na"/>
  </r>
  <r>
    <n v="3705"/>
    <x v="85"/>
    <m/>
    <x v="14"/>
    <x v="3"/>
    <x v="0"/>
    <m/>
    <m/>
    <m/>
    <m/>
    <m/>
    <m/>
    <m/>
    <m/>
    <m/>
    <m/>
    <m/>
    <m/>
    <s v="x"/>
    <s v="x"/>
    <s v="na"/>
    <s v="NRD"/>
    <s v="na"/>
    <s v="na"/>
    <s v="na"/>
    <s v="na"/>
    <s v="na"/>
    <s v="na"/>
    <s v="na"/>
    <s v="na"/>
  </r>
  <r>
    <n v="3706"/>
    <x v="85"/>
    <m/>
    <x v="14"/>
    <x v="3"/>
    <x v="0"/>
    <m/>
    <m/>
    <m/>
    <m/>
    <m/>
    <m/>
    <m/>
    <m/>
    <m/>
    <m/>
    <m/>
    <m/>
    <s v="x"/>
    <s v="x"/>
    <s v="na"/>
    <s v="NRD"/>
    <s v="na"/>
    <s v="na"/>
    <s v="na"/>
    <s v="na"/>
    <s v="na"/>
    <s v="na"/>
    <s v="na"/>
    <s v="na"/>
  </r>
  <r>
    <n v="3707"/>
    <x v="85"/>
    <m/>
    <x v="14"/>
    <x v="3"/>
    <x v="0"/>
    <m/>
    <m/>
    <m/>
    <m/>
    <m/>
    <m/>
    <m/>
    <m/>
    <m/>
    <m/>
    <m/>
    <m/>
    <s v="x"/>
    <s v="x"/>
    <s v="na"/>
    <s v="NRD"/>
    <s v="na"/>
    <s v="na"/>
    <s v="na"/>
    <s v="na"/>
    <s v="na"/>
    <s v="na"/>
    <s v="na"/>
    <s v="na"/>
  </r>
  <r>
    <n v="3708"/>
    <x v="85"/>
    <m/>
    <x v="14"/>
    <x v="3"/>
    <x v="0"/>
    <m/>
    <m/>
    <m/>
    <m/>
    <m/>
    <m/>
    <m/>
    <m/>
    <m/>
    <m/>
    <m/>
    <m/>
    <s v="x"/>
    <s v="x"/>
    <s v="na"/>
    <s v="NRD"/>
    <s v="na"/>
    <s v="na"/>
    <s v="na"/>
    <s v="na"/>
    <s v="na"/>
    <s v="na"/>
    <s v="na"/>
    <s v="na"/>
  </r>
  <r>
    <n v="3709"/>
    <x v="85"/>
    <m/>
    <x v="14"/>
    <x v="3"/>
    <x v="0"/>
    <m/>
    <m/>
    <m/>
    <m/>
    <m/>
    <m/>
    <m/>
    <m/>
    <m/>
    <m/>
    <m/>
    <m/>
    <s v="x"/>
    <s v="x"/>
    <s v="na"/>
    <s v="NRD"/>
    <s v="na"/>
    <s v="na"/>
    <s v="na"/>
    <s v="na"/>
    <s v="na"/>
    <s v="na"/>
    <s v="na"/>
    <s v="na"/>
  </r>
  <r>
    <n v="3710"/>
    <x v="85"/>
    <m/>
    <x v="14"/>
    <x v="3"/>
    <x v="0"/>
    <m/>
    <m/>
    <m/>
    <m/>
    <m/>
    <m/>
    <m/>
    <m/>
    <m/>
    <m/>
    <m/>
    <m/>
    <s v="x"/>
    <s v="x"/>
    <s v="na"/>
    <s v="NRD"/>
    <s v="na"/>
    <s v="na"/>
    <s v="na"/>
    <s v="na"/>
    <s v="na"/>
    <s v="na"/>
    <s v="na"/>
    <s v="na"/>
  </r>
  <r>
    <n v="3711"/>
    <x v="85"/>
    <m/>
    <x v="14"/>
    <x v="3"/>
    <x v="0"/>
    <m/>
    <m/>
    <m/>
    <m/>
    <m/>
    <m/>
    <m/>
    <m/>
    <m/>
    <m/>
    <m/>
    <m/>
    <s v="x"/>
    <s v="x"/>
    <s v="na"/>
    <s v="NRD"/>
    <s v="na"/>
    <s v="na"/>
    <s v="na"/>
    <s v="na"/>
    <s v="na"/>
    <s v="na"/>
    <s v="na"/>
    <s v="na"/>
  </r>
  <r>
    <n v="3712"/>
    <x v="85"/>
    <m/>
    <x v="14"/>
    <x v="3"/>
    <x v="0"/>
    <m/>
    <m/>
    <m/>
    <m/>
    <m/>
    <m/>
    <m/>
    <m/>
    <m/>
    <m/>
    <m/>
    <m/>
    <s v="x"/>
    <s v="x"/>
    <s v="na"/>
    <s v="NRD"/>
    <s v="na"/>
    <s v="na"/>
    <s v="na"/>
    <s v="na"/>
    <s v="na"/>
    <s v="na"/>
    <s v="na"/>
    <s v="na"/>
  </r>
  <r>
    <n v="3713"/>
    <x v="85"/>
    <m/>
    <x v="14"/>
    <x v="3"/>
    <x v="0"/>
    <m/>
    <m/>
    <m/>
    <m/>
    <m/>
    <m/>
    <m/>
    <m/>
    <m/>
    <m/>
    <m/>
    <m/>
    <s v="x"/>
    <s v="x"/>
    <s v="na"/>
    <s v="NRD"/>
    <s v="na"/>
    <s v="na"/>
    <s v="na"/>
    <s v="na"/>
    <s v="na"/>
    <s v="na"/>
    <s v="na"/>
    <s v="na"/>
  </r>
  <r>
    <n v="3714"/>
    <x v="85"/>
    <m/>
    <x v="14"/>
    <x v="3"/>
    <x v="0"/>
    <m/>
    <m/>
    <m/>
    <m/>
    <m/>
    <m/>
    <m/>
    <m/>
    <m/>
    <m/>
    <m/>
    <m/>
    <s v="x"/>
    <s v="x"/>
    <s v="na"/>
    <s v="NRD"/>
    <s v="na"/>
    <s v="na"/>
    <s v="na"/>
    <s v="na"/>
    <s v="na"/>
    <s v="na"/>
    <s v="na"/>
    <s v="na"/>
  </r>
  <r>
    <n v="3715"/>
    <x v="85"/>
    <m/>
    <x v="14"/>
    <x v="3"/>
    <x v="0"/>
    <m/>
    <m/>
    <m/>
    <m/>
    <m/>
    <m/>
    <m/>
    <m/>
    <m/>
    <m/>
    <m/>
    <m/>
    <s v="x"/>
    <s v="x"/>
    <s v="na"/>
    <s v="NRD"/>
    <s v="na"/>
    <s v="na"/>
    <s v="na"/>
    <s v="na"/>
    <s v="na"/>
    <s v="na"/>
    <s v="na"/>
    <s v="na"/>
  </r>
  <r>
    <n v="3716"/>
    <x v="85"/>
    <m/>
    <x v="14"/>
    <x v="3"/>
    <x v="0"/>
    <m/>
    <m/>
    <m/>
    <m/>
    <m/>
    <m/>
    <m/>
    <m/>
    <m/>
    <m/>
    <m/>
    <m/>
    <s v="x"/>
    <s v="x"/>
    <s v="na"/>
    <s v="NRD"/>
    <s v="na"/>
    <s v="na"/>
    <s v="na"/>
    <s v="na"/>
    <s v="na"/>
    <s v="na"/>
    <s v="na"/>
    <s v="na"/>
  </r>
  <r>
    <n v="3717"/>
    <x v="85"/>
    <m/>
    <x v="14"/>
    <x v="3"/>
    <x v="0"/>
    <m/>
    <m/>
    <m/>
    <m/>
    <m/>
    <m/>
    <m/>
    <m/>
    <m/>
    <m/>
    <m/>
    <m/>
    <s v="x"/>
    <s v="x"/>
    <s v="na"/>
    <s v="NRD"/>
    <s v="na"/>
    <s v="na"/>
    <s v="na"/>
    <s v="na"/>
    <s v="na"/>
    <s v="na"/>
    <s v="na"/>
    <s v="na"/>
  </r>
  <r>
    <n v="3718"/>
    <x v="85"/>
    <m/>
    <x v="14"/>
    <x v="3"/>
    <x v="0"/>
    <m/>
    <m/>
    <m/>
    <m/>
    <m/>
    <m/>
    <m/>
    <m/>
    <m/>
    <m/>
    <m/>
    <m/>
    <s v="x"/>
    <s v="x"/>
    <s v="na"/>
    <s v="NRD"/>
    <s v="na"/>
    <s v="na"/>
    <s v="na"/>
    <s v="na"/>
    <s v="na"/>
    <s v="na"/>
    <s v="na"/>
    <s v="na"/>
  </r>
  <r>
    <n v="3719"/>
    <x v="85"/>
    <m/>
    <x v="14"/>
    <x v="3"/>
    <x v="0"/>
    <m/>
    <m/>
    <m/>
    <m/>
    <m/>
    <m/>
    <m/>
    <m/>
    <m/>
    <m/>
    <m/>
    <m/>
    <s v="x"/>
    <s v="x"/>
    <s v="na"/>
    <s v="NRD"/>
    <s v="na"/>
    <s v="na"/>
    <s v="na"/>
    <s v="na"/>
    <s v="na"/>
    <s v="na"/>
    <s v="na"/>
    <s v="na"/>
  </r>
  <r>
    <n v="3720"/>
    <x v="85"/>
    <m/>
    <x v="14"/>
    <x v="3"/>
    <x v="0"/>
    <m/>
    <m/>
    <m/>
    <m/>
    <m/>
    <m/>
    <m/>
    <m/>
    <m/>
    <m/>
    <m/>
    <m/>
    <s v="x"/>
    <s v="x"/>
    <s v="na"/>
    <s v="NRD"/>
    <s v="na"/>
    <s v="na"/>
    <s v="na"/>
    <s v="na"/>
    <s v="na"/>
    <s v="na"/>
    <s v="na"/>
    <s v="na"/>
  </r>
  <r>
    <n v="3721"/>
    <x v="85"/>
    <m/>
    <x v="14"/>
    <x v="3"/>
    <x v="0"/>
    <m/>
    <m/>
    <m/>
    <m/>
    <m/>
    <m/>
    <m/>
    <m/>
    <m/>
    <m/>
    <m/>
    <m/>
    <s v="x"/>
    <s v="x"/>
    <s v="na"/>
    <s v="NRD"/>
    <s v="na"/>
    <s v="na"/>
    <s v="na"/>
    <s v="na"/>
    <s v="na"/>
    <s v="na"/>
    <s v="na"/>
    <s v="na"/>
  </r>
  <r>
    <n v="3722"/>
    <x v="85"/>
    <m/>
    <x v="14"/>
    <x v="3"/>
    <x v="0"/>
    <m/>
    <m/>
    <m/>
    <m/>
    <m/>
    <m/>
    <m/>
    <m/>
    <m/>
    <m/>
    <m/>
    <m/>
    <s v="x"/>
    <s v="x"/>
    <s v="na"/>
    <s v="NRD"/>
    <s v="na"/>
    <s v="na"/>
    <s v="na"/>
    <s v="na"/>
    <s v="na"/>
    <s v="na"/>
    <s v="na"/>
    <s v="na"/>
  </r>
  <r>
    <n v="3723"/>
    <x v="85"/>
    <m/>
    <x v="14"/>
    <x v="3"/>
    <x v="0"/>
    <m/>
    <m/>
    <m/>
    <m/>
    <m/>
    <m/>
    <m/>
    <m/>
    <m/>
    <m/>
    <m/>
    <m/>
    <s v="x"/>
    <s v="x"/>
    <s v="na"/>
    <s v="NRD"/>
    <s v="na"/>
    <s v="na"/>
    <s v="na"/>
    <s v="na"/>
    <s v="na"/>
    <s v="na"/>
    <s v="na"/>
    <s v="na"/>
  </r>
  <r>
    <n v="3724"/>
    <x v="85"/>
    <m/>
    <x v="14"/>
    <x v="3"/>
    <x v="0"/>
    <m/>
    <m/>
    <m/>
    <m/>
    <m/>
    <m/>
    <m/>
    <m/>
    <m/>
    <m/>
    <m/>
    <m/>
    <s v="x"/>
    <s v="x"/>
    <s v="na"/>
    <s v="NRD"/>
    <s v="na"/>
    <s v="na"/>
    <s v="na"/>
    <s v="na"/>
    <s v="na"/>
    <s v="na"/>
    <s v="na"/>
    <s v="na"/>
  </r>
  <r>
    <n v="3725"/>
    <x v="85"/>
    <m/>
    <x v="14"/>
    <x v="3"/>
    <x v="0"/>
    <m/>
    <m/>
    <m/>
    <m/>
    <m/>
    <m/>
    <m/>
    <m/>
    <m/>
    <m/>
    <m/>
    <m/>
    <s v="x"/>
    <s v="x"/>
    <s v="na"/>
    <s v="NRD"/>
    <s v="na"/>
    <s v="na"/>
    <s v="na"/>
    <s v="na"/>
    <s v="na"/>
    <s v="na"/>
    <s v="na"/>
    <s v="na"/>
  </r>
  <r>
    <n v="3726"/>
    <x v="85"/>
    <m/>
    <x v="14"/>
    <x v="3"/>
    <x v="0"/>
    <m/>
    <m/>
    <m/>
    <m/>
    <m/>
    <m/>
    <m/>
    <m/>
    <m/>
    <m/>
    <m/>
    <m/>
    <s v="x"/>
    <s v="x"/>
    <s v="na"/>
    <s v="NRD"/>
    <s v="na"/>
    <s v="na"/>
    <s v="na"/>
    <s v="na"/>
    <s v="na"/>
    <s v="na"/>
    <s v="na"/>
    <s v="na"/>
  </r>
  <r>
    <n v="3727"/>
    <x v="85"/>
    <m/>
    <x v="14"/>
    <x v="3"/>
    <x v="0"/>
    <m/>
    <m/>
    <m/>
    <m/>
    <m/>
    <m/>
    <m/>
    <m/>
    <m/>
    <m/>
    <m/>
    <m/>
    <s v="x"/>
    <s v="x"/>
    <s v="na"/>
    <s v="NRD"/>
    <s v="na"/>
    <s v="na"/>
    <s v="na"/>
    <s v="na"/>
    <s v="na"/>
    <s v="na"/>
    <s v="na"/>
    <s v="na"/>
  </r>
  <r>
    <n v="3728"/>
    <x v="85"/>
    <m/>
    <x v="14"/>
    <x v="3"/>
    <x v="0"/>
    <m/>
    <m/>
    <m/>
    <m/>
    <m/>
    <m/>
    <m/>
    <m/>
    <m/>
    <m/>
    <m/>
    <m/>
    <s v="x"/>
    <s v="x"/>
    <s v="na"/>
    <s v="NRD"/>
    <s v="na"/>
    <s v="na"/>
    <s v="na"/>
    <s v="na"/>
    <s v="na"/>
    <s v="na"/>
    <s v="na"/>
    <s v="na"/>
  </r>
  <r>
    <n v="3729"/>
    <x v="85"/>
    <m/>
    <x v="14"/>
    <x v="3"/>
    <x v="0"/>
    <m/>
    <m/>
    <m/>
    <m/>
    <m/>
    <m/>
    <m/>
    <m/>
    <m/>
    <m/>
    <m/>
    <m/>
    <s v="x"/>
    <s v="x"/>
    <s v="na"/>
    <s v="NRD"/>
    <s v="na"/>
    <s v="na"/>
    <s v="na"/>
    <s v="na"/>
    <s v="na"/>
    <s v="na"/>
    <s v="na"/>
    <s v="na"/>
  </r>
  <r>
    <n v="3730"/>
    <x v="85"/>
    <m/>
    <x v="14"/>
    <x v="3"/>
    <x v="0"/>
    <m/>
    <m/>
    <m/>
    <m/>
    <m/>
    <m/>
    <m/>
    <m/>
    <m/>
    <m/>
    <m/>
    <m/>
    <s v="x"/>
    <s v="x"/>
    <s v="na"/>
    <s v="NRD"/>
    <s v="na"/>
    <s v="na"/>
    <s v="na"/>
    <s v="na"/>
    <s v="na"/>
    <s v="na"/>
    <s v="na"/>
    <s v="na"/>
  </r>
  <r>
    <n v="3731"/>
    <x v="85"/>
    <m/>
    <x v="14"/>
    <x v="3"/>
    <x v="0"/>
    <m/>
    <m/>
    <m/>
    <m/>
    <m/>
    <m/>
    <m/>
    <m/>
    <m/>
    <m/>
    <m/>
    <m/>
    <s v="x"/>
    <s v="x"/>
    <s v="na"/>
    <s v="NRD"/>
    <s v="na"/>
    <s v="na"/>
    <s v="na"/>
    <s v="na"/>
    <s v="na"/>
    <s v="na"/>
    <s v="na"/>
    <s v="na"/>
  </r>
  <r>
    <n v="3732"/>
    <x v="85"/>
    <m/>
    <x v="14"/>
    <x v="3"/>
    <x v="0"/>
    <m/>
    <m/>
    <m/>
    <m/>
    <m/>
    <m/>
    <m/>
    <m/>
    <m/>
    <m/>
    <m/>
    <m/>
    <s v="x"/>
    <s v="x"/>
    <s v="na"/>
    <s v="NRD"/>
    <s v="na"/>
    <s v="na"/>
    <s v="na"/>
    <s v="na"/>
    <s v="na"/>
    <s v="na"/>
    <s v="na"/>
    <s v="na"/>
  </r>
  <r>
    <n v="3733"/>
    <x v="85"/>
    <m/>
    <x v="14"/>
    <x v="3"/>
    <x v="0"/>
    <m/>
    <m/>
    <m/>
    <m/>
    <m/>
    <m/>
    <m/>
    <m/>
    <m/>
    <m/>
    <m/>
    <m/>
    <s v="x"/>
    <s v="x"/>
    <s v="na"/>
    <s v="NRD"/>
    <s v="na"/>
    <s v="na"/>
    <s v="na"/>
    <s v="na"/>
    <s v="na"/>
    <s v="na"/>
    <s v="na"/>
    <s v="na"/>
  </r>
  <r>
    <n v="3734"/>
    <x v="85"/>
    <m/>
    <x v="14"/>
    <x v="3"/>
    <x v="0"/>
    <m/>
    <m/>
    <m/>
    <m/>
    <m/>
    <m/>
    <m/>
    <m/>
    <m/>
    <m/>
    <m/>
    <m/>
    <s v="x"/>
    <s v="x"/>
    <s v="na"/>
    <s v="NRD"/>
    <s v="na"/>
    <s v="na"/>
    <s v="na"/>
    <s v="na"/>
    <s v="na"/>
    <s v="na"/>
    <s v="na"/>
    <s v="na"/>
  </r>
  <r>
    <n v="3735"/>
    <x v="85"/>
    <m/>
    <x v="14"/>
    <x v="3"/>
    <x v="0"/>
    <m/>
    <m/>
    <m/>
    <m/>
    <m/>
    <m/>
    <m/>
    <m/>
    <m/>
    <m/>
    <m/>
    <m/>
    <s v="x"/>
    <s v="x"/>
    <s v="na"/>
    <s v="NRD"/>
    <s v="na"/>
    <s v="na"/>
    <s v="na"/>
    <s v="na"/>
    <s v="na"/>
    <s v="na"/>
    <s v="na"/>
    <s v="na"/>
  </r>
  <r>
    <n v="3736"/>
    <x v="85"/>
    <m/>
    <x v="14"/>
    <x v="3"/>
    <x v="0"/>
    <m/>
    <m/>
    <m/>
    <m/>
    <m/>
    <m/>
    <m/>
    <m/>
    <m/>
    <m/>
    <m/>
    <m/>
    <s v="x"/>
    <s v="x"/>
    <s v="na"/>
    <s v="NRD"/>
    <s v="na"/>
    <s v="na"/>
    <s v="na"/>
    <s v="na"/>
    <s v="na"/>
    <s v="na"/>
    <s v="na"/>
    <s v="na"/>
  </r>
  <r>
    <n v="3737"/>
    <x v="85"/>
    <m/>
    <x v="14"/>
    <x v="3"/>
    <x v="0"/>
    <m/>
    <m/>
    <m/>
    <m/>
    <m/>
    <m/>
    <m/>
    <m/>
    <m/>
    <m/>
    <m/>
    <m/>
    <s v="x"/>
    <s v="x"/>
    <s v="na"/>
    <s v="NRD"/>
    <s v="na"/>
    <s v="na"/>
    <s v="na"/>
    <s v="na"/>
    <s v="na"/>
    <s v="na"/>
    <s v="na"/>
    <s v="na"/>
  </r>
  <r>
    <n v="3738"/>
    <x v="85"/>
    <m/>
    <x v="14"/>
    <x v="3"/>
    <x v="0"/>
    <m/>
    <m/>
    <m/>
    <m/>
    <m/>
    <m/>
    <m/>
    <m/>
    <m/>
    <m/>
    <m/>
    <m/>
    <s v="x"/>
    <s v="x"/>
    <s v="na"/>
    <s v="NRD"/>
    <s v="na"/>
    <s v="na"/>
    <s v="na"/>
    <s v="na"/>
    <s v="na"/>
    <s v="na"/>
    <s v="na"/>
    <s v="na"/>
  </r>
  <r>
    <n v="3739"/>
    <x v="85"/>
    <m/>
    <x v="14"/>
    <x v="3"/>
    <x v="0"/>
    <m/>
    <m/>
    <m/>
    <m/>
    <m/>
    <m/>
    <m/>
    <m/>
    <m/>
    <m/>
    <m/>
    <m/>
    <s v="x"/>
    <s v="x"/>
    <s v="na"/>
    <s v="NRD"/>
    <s v="na"/>
    <s v="na"/>
    <s v="na"/>
    <s v="na"/>
    <s v="na"/>
    <s v="na"/>
    <s v="na"/>
    <s v="na"/>
  </r>
  <r>
    <n v="3740"/>
    <x v="85"/>
    <m/>
    <x v="14"/>
    <x v="3"/>
    <x v="0"/>
    <m/>
    <m/>
    <m/>
    <m/>
    <m/>
    <m/>
    <m/>
    <m/>
    <m/>
    <m/>
    <m/>
    <m/>
    <s v="x"/>
    <s v="x"/>
    <s v="na"/>
    <s v="NRD"/>
    <s v="na"/>
    <s v="na"/>
    <s v="na"/>
    <s v="na"/>
    <s v="na"/>
    <s v="na"/>
    <s v="na"/>
    <s v="na"/>
  </r>
  <r>
    <n v="3741"/>
    <x v="85"/>
    <m/>
    <x v="14"/>
    <x v="3"/>
    <x v="0"/>
    <m/>
    <m/>
    <m/>
    <m/>
    <m/>
    <m/>
    <m/>
    <m/>
    <m/>
    <m/>
    <m/>
    <m/>
    <s v="x"/>
    <s v="x"/>
    <s v="na"/>
    <s v="NRD"/>
    <s v="na"/>
    <s v="na"/>
    <s v="na"/>
    <s v="na"/>
    <s v="na"/>
    <s v="na"/>
    <s v="na"/>
    <s v="na"/>
  </r>
  <r>
    <n v="3742"/>
    <x v="85"/>
    <m/>
    <x v="14"/>
    <x v="3"/>
    <x v="0"/>
    <m/>
    <m/>
    <m/>
    <m/>
    <m/>
    <m/>
    <m/>
    <m/>
    <m/>
    <m/>
    <m/>
    <m/>
    <s v="x"/>
    <s v="x"/>
    <s v="na"/>
    <s v="NRD"/>
    <s v="na"/>
    <s v="na"/>
    <s v="na"/>
    <s v="na"/>
    <s v="na"/>
    <s v="na"/>
    <s v="na"/>
    <s v="na"/>
  </r>
  <r>
    <n v="3743"/>
    <x v="85"/>
    <m/>
    <x v="14"/>
    <x v="3"/>
    <x v="0"/>
    <m/>
    <m/>
    <m/>
    <m/>
    <m/>
    <m/>
    <m/>
    <m/>
    <m/>
    <m/>
    <m/>
    <m/>
    <s v="x"/>
    <s v="x"/>
    <s v="na"/>
    <s v="NRD"/>
    <s v="na"/>
    <s v="na"/>
    <s v="na"/>
    <s v="na"/>
    <s v="na"/>
    <s v="na"/>
    <s v="na"/>
    <s v="na"/>
  </r>
  <r>
    <n v="3744"/>
    <x v="85"/>
    <m/>
    <x v="14"/>
    <x v="3"/>
    <x v="0"/>
    <m/>
    <m/>
    <m/>
    <m/>
    <m/>
    <m/>
    <m/>
    <m/>
    <m/>
    <m/>
    <m/>
    <m/>
    <s v="x"/>
    <s v="x"/>
    <s v="na"/>
    <s v="NRD"/>
    <s v="na"/>
    <s v="na"/>
    <s v="na"/>
    <s v="na"/>
    <s v="na"/>
    <s v="na"/>
    <s v="na"/>
    <s v="na"/>
  </r>
  <r>
    <n v="3745"/>
    <x v="85"/>
    <m/>
    <x v="14"/>
    <x v="3"/>
    <x v="0"/>
    <m/>
    <m/>
    <m/>
    <m/>
    <m/>
    <m/>
    <m/>
    <m/>
    <m/>
    <m/>
    <m/>
    <m/>
    <s v="x"/>
    <s v="x"/>
    <s v="na"/>
    <s v="NRD"/>
    <s v="na"/>
    <s v="na"/>
    <s v="na"/>
    <s v="na"/>
    <s v="na"/>
    <s v="na"/>
    <s v="na"/>
    <s v="na"/>
  </r>
  <r>
    <n v="3746"/>
    <x v="85"/>
    <m/>
    <x v="14"/>
    <x v="3"/>
    <x v="0"/>
    <m/>
    <m/>
    <m/>
    <m/>
    <m/>
    <m/>
    <m/>
    <m/>
    <m/>
    <m/>
    <m/>
    <m/>
    <s v="x"/>
    <s v="x"/>
    <s v="na"/>
    <s v="NRD"/>
    <s v="na"/>
    <s v="na"/>
    <s v="na"/>
    <s v="na"/>
    <s v="na"/>
    <s v="na"/>
    <s v="na"/>
    <s v="na"/>
  </r>
  <r>
    <n v="3747"/>
    <x v="85"/>
    <m/>
    <x v="14"/>
    <x v="3"/>
    <x v="0"/>
    <m/>
    <m/>
    <m/>
    <m/>
    <m/>
    <m/>
    <m/>
    <m/>
    <m/>
    <m/>
    <m/>
    <m/>
    <s v="x"/>
    <s v="x"/>
    <s v="na"/>
    <s v="NRD"/>
    <s v="na"/>
    <s v="na"/>
    <s v="na"/>
    <s v="na"/>
    <s v="na"/>
    <s v="na"/>
    <s v="na"/>
    <s v="na"/>
  </r>
  <r>
    <n v="3748"/>
    <x v="85"/>
    <m/>
    <x v="14"/>
    <x v="3"/>
    <x v="0"/>
    <m/>
    <m/>
    <m/>
    <m/>
    <m/>
    <m/>
    <m/>
    <m/>
    <m/>
    <m/>
    <m/>
    <m/>
    <s v="x"/>
    <s v="x"/>
    <s v="na"/>
    <s v="NRD"/>
    <s v="na"/>
    <s v="na"/>
    <s v="na"/>
    <s v="na"/>
    <s v="na"/>
    <s v="na"/>
    <s v="na"/>
    <s v="na"/>
  </r>
  <r>
    <n v="3749"/>
    <x v="85"/>
    <m/>
    <x v="14"/>
    <x v="3"/>
    <x v="0"/>
    <m/>
    <m/>
    <m/>
    <m/>
    <m/>
    <m/>
    <m/>
    <m/>
    <m/>
    <m/>
    <m/>
    <m/>
    <s v="x"/>
    <s v="x"/>
    <s v="na"/>
    <s v="NRD"/>
    <s v="na"/>
    <s v="na"/>
    <s v="na"/>
    <s v="na"/>
    <s v="na"/>
    <s v="na"/>
    <s v="na"/>
    <s v="na"/>
  </r>
  <r>
    <n v="3750"/>
    <x v="85"/>
    <m/>
    <x v="14"/>
    <x v="3"/>
    <x v="0"/>
    <m/>
    <m/>
    <m/>
    <m/>
    <m/>
    <m/>
    <m/>
    <m/>
    <m/>
    <m/>
    <m/>
    <m/>
    <s v="x"/>
    <s v="x"/>
    <s v="na"/>
    <s v="NRD"/>
    <s v="na"/>
    <s v="na"/>
    <s v="na"/>
    <s v="na"/>
    <s v="na"/>
    <s v="na"/>
    <s v="na"/>
    <s v="na"/>
  </r>
  <r>
    <n v="3751"/>
    <x v="85"/>
    <m/>
    <x v="14"/>
    <x v="3"/>
    <x v="0"/>
    <m/>
    <m/>
    <m/>
    <m/>
    <m/>
    <m/>
    <m/>
    <m/>
    <m/>
    <m/>
    <m/>
    <m/>
    <s v="x"/>
    <s v="x"/>
    <s v="na"/>
    <s v="NRD"/>
    <s v="na"/>
    <s v="na"/>
    <s v="na"/>
    <s v="na"/>
    <s v="na"/>
    <s v="na"/>
    <s v="na"/>
    <s v="na"/>
  </r>
  <r>
    <n v="3752"/>
    <x v="85"/>
    <m/>
    <x v="14"/>
    <x v="3"/>
    <x v="0"/>
    <m/>
    <m/>
    <m/>
    <m/>
    <m/>
    <m/>
    <m/>
    <m/>
    <m/>
    <m/>
    <m/>
    <m/>
    <s v="x"/>
    <s v="x"/>
    <s v="na"/>
    <s v="NRD"/>
    <s v="na"/>
    <s v="na"/>
    <s v="na"/>
    <s v="na"/>
    <s v="na"/>
    <s v="na"/>
    <s v="na"/>
    <s v="na"/>
  </r>
  <r>
    <n v="3753"/>
    <x v="85"/>
    <m/>
    <x v="14"/>
    <x v="3"/>
    <x v="0"/>
    <m/>
    <m/>
    <m/>
    <m/>
    <m/>
    <m/>
    <m/>
    <m/>
    <m/>
    <m/>
    <m/>
    <m/>
    <s v="x"/>
    <s v="x"/>
    <s v="na"/>
    <s v="NRD"/>
    <s v="na"/>
    <s v="na"/>
    <s v="na"/>
    <s v="na"/>
    <s v="na"/>
    <s v="na"/>
    <s v="na"/>
    <s v="na"/>
  </r>
  <r>
    <n v="3754"/>
    <x v="85"/>
    <m/>
    <x v="14"/>
    <x v="3"/>
    <x v="0"/>
    <m/>
    <m/>
    <m/>
    <m/>
    <m/>
    <m/>
    <m/>
    <m/>
    <m/>
    <m/>
    <m/>
    <m/>
    <s v="x"/>
    <s v="x"/>
    <s v="na"/>
    <s v="NRD"/>
    <s v="na"/>
    <s v="na"/>
    <s v="na"/>
    <s v="na"/>
    <s v="na"/>
    <s v="na"/>
    <s v="na"/>
    <s v="na"/>
  </r>
  <r>
    <n v="3755"/>
    <x v="85"/>
    <m/>
    <x v="14"/>
    <x v="3"/>
    <x v="0"/>
    <m/>
    <m/>
    <m/>
    <m/>
    <m/>
    <m/>
    <m/>
    <m/>
    <m/>
    <m/>
    <m/>
    <m/>
    <s v="x"/>
    <s v="x"/>
    <s v="na"/>
    <s v="NRD"/>
    <s v="na"/>
    <s v="na"/>
    <s v="na"/>
    <s v="na"/>
    <s v="na"/>
    <s v="na"/>
    <s v="na"/>
    <s v="na"/>
  </r>
  <r>
    <n v="3756"/>
    <x v="85"/>
    <m/>
    <x v="14"/>
    <x v="3"/>
    <x v="0"/>
    <m/>
    <m/>
    <m/>
    <m/>
    <m/>
    <m/>
    <m/>
    <m/>
    <m/>
    <m/>
    <m/>
    <m/>
    <s v="x"/>
    <s v="x"/>
    <s v="na"/>
    <s v="NRD"/>
    <s v="na"/>
    <s v="na"/>
    <s v="na"/>
    <s v="na"/>
    <s v="na"/>
    <s v="na"/>
    <s v="na"/>
    <s v="na"/>
  </r>
  <r>
    <n v="3757"/>
    <x v="85"/>
    <m/>
    <x v="14"/>
    <x v="3"/>
    <x v="0"/>
    <m/>
    <m/>
    <m/>
    <m/>
    <m/>
    <m/>
    <m/>
    <m/>
    <m/>
    <m/>
    <m/>
    <m/>
    <s v="x"/>
    <s v="x"/>
    <s v="na"/>
    <s v="NRD"/>
    <s v="na"/>
    <s v="na"/>
    <s v="na"/>
    <s v="na"/>
    <s v="na"/>
    <s v="na"/>
    <s v="na"/>
    <s v="na"/>
  </r>
  <r>
    <n v="3758"/>
    <x v="85"/>
    <m/>
    <x v="14"/>
    <x v="3"/>
    <x v="0"/>
    <m/>
    <m/>
    <m/>
    <m/>
    <m/>
    <m/>
    <m/>
    <m/>
    <m/>
    <m/>
    <m/>
    <m/>
    <s v="x"/>
    <s v="x"/>
    <s v="na"/>
    <s v="NRD"/>
    <s v="na"/>
    <s v="na"/>
    <s v="na"/>
    <s v="na"/>
    <s v="na"/>
    <s v="na"/>
    <s v="na"/>
    <s v="na"/>
  </r>
  <r>
    <n v="3759"/>
    <x v="85"/>
    <m/>
    <x v="14"/>
    <x v="3"/>
    <x v="0"/>
    <m/>
    <m/>
    <m/>
    <m/>
    <m/>
    <m/>
    <m/>
    <m/>
    <m/>
    <m/>
    <m/>
    <m/>
    <s v="x"/>
    <s v="x"/>
    <s v="na"/>
    <s v="NRD"/>
    <s v="na"/>
    <s v="na"/>
    <s v="na"/>
    <s v="na"/>
    <s v="na"/>
    <s v="na"/>
    <s v="na"/>
    <s v="na"/>
  </r>
  <r>
    <n v="3760"/>
    <x v="85"/>
    <m/>
    <x v="14"/>
    <x v="3"/>
    <x v="0"/>
    <m/>
    <m/>
    <m/>
    <m/>
    <m/>
    <m/>
    <m/>
    <m/>
    <m/>
    <m/>
    <m/>
    <m/>
    <s v="x"/>
    <s v="x"/>
    <s v="na"/>
    <s v="NRD"/>
    <s v="na"/>
    <s v="na"/>
    <s v="na"/>
    <s v="na"/>
    <s v="na"/>
    <s v="na"/>
    <s v="na"/>
    <s v="na"/>
  </r>
  <r>
    <n v="3761"/>
    <x v="85"/>
    <m/>
    <x v="14"/>
    <x v="3"/>
    <x v="0"/>
    <m/>
    <m/>
    <m/>
    <m/>
    <m/>
    <m/>
    <m/>
    <m/>
    <m/>
    <m/>
    <m/>
    <m/>
    <s v="x"/>
    <s v="x"/>
    <s v="na"/>
    <s v="NRD"/>
    <s v="na"/>
    <s v="na"/>
    <s v="na"/>
    <s v="na"/>
    <s v="na"/>
    <s v="na"/>
    <s v="na"/>
    <s v="na"/>
  </r>
  <r>
    <n v="3762"/>
    <x v="85"/>
    <m/>
    <x v="14"/>
    <x v="3"/>
    <x v="0"/>
    <m/>
    <m/>
    <m/>
    <m/>
    <m/>
    <m/>
    <m/>
    <m/>
    <m/>
    <m/>
    <m/>
    <m/>
    <s v="x"/>
    <s v="x"/>
    <s v="na"/>
    <s v="NRD"/>
    <s v="na"/>
    <s v="na"/>
    <s v="na"/>
    <s v="na"/>
    <s v="na"/>
    <s v="na"/>
    <s v="na"/>
    <s v="na"/>
  </r>
  <r>
    <n v="3763"/>
    <x v="85"/>
    <m/>
    <x v="14"/>
    <x v="3"/>
    <x v="0"/>
    <m/>
    <m/>
    <m/>
    <m/>
    <m/>
    <m/>
    <m/>
    <m/>
    <m/>
    <m/>
    <m/>
    <m/>
    <s v="x"/>
    <s v="x"/>
    <s v="na"/>
    <s v="NRD"/>
    <s v="na"/>
    <s v="na"/>
    <s v="na"/>
    <s v="na"/>
    <s v="na"/>
    <s v="na"/>
    <s v="na"/>
    <s v="na"/>
  </r>
  <r>
    <n v="3764"/>
    <x v="85"/>
    <m/>
    <x v="14"/>
    <x v="3"/>
    <x v="0"/>
    <m/>
    <m/>
    <m/>
    <m/>
    <m/>
    <m/>
    <m/>
    <m/>
    <m/>
    <m/>
    <m/>
    <m/>
    <s v="x"/>
    <s v="x"/>
    <s v="na"/>
    <s v="NRD"/>
    <s v="na"/>
    <s v="na"/>
    <s v="na"/>
    <s v="na"/>
    <s v="na"/>
    <s v="na"/>
    <s v="na"/>
    <s v="na"/>
  </r>
  <r>
    <n v="3765"/>
    <x v="85"/>
    <m/>
    <x v="14"/>
    <x v="3"/>
    <x v="0"/>
    <m/>
    <m/>
    <m/>
    <m/>
    <m/>
    <m/>
    <m/>
    <m/>
    <m/>
    <m/>
    <m/>
    <m/>
    <s v="x"/>
    <s v="x"/>
    <s v="na"/>
    <s v="NRD"/>
    <s v="na"/>
    <s v="na"/>
    <s v="na"/>
    <s v="na"/>
    <s v="na"/>
    <s v="na"/>
    <s v="na"/>
    <s v="na"/>
  </r>
  <r>
    <n v="3766"/>
    <x v="85"/>
    <m/>
    <x v="14"/>
    <x v="3"/>
    <x v="0"/>
    <m/>
    <m/>
    <m/>
    <m/>
    <m/>
    <m/>
    <m/>
    <m/>
    <m/>
    <m/>
    <m/>
    <m/>
    <s v="x"/>
    <s v="x"/>
    <s v="na"/>
    <s v="NRD"/>
    <s v="na"/>
    <s v="na"/>
    <s v="na"/>
    <s v="na"/>
    <s v="na"/>
    <s v="na"/>
    <s v="na"/>
    <s v="na"/>
  </r>
  <r>
    <n v="3767"/>
    <x v="85"/>
    <m/>
    <x v="14"/>
    <x v="3"/>
    <x v="0"/>
    <m/>
    <m/>
    <m/>
    <m/>
    <m/>
    <m/>
    <m/>
    <m/>
    <m/>
    <m/>
    <m/>
    <m/>
    <s v="x"/>
    <s v="x"/>
    <s v="na"/>
    <s v="NRD"/>
    <s v="na"/>
    <s v="na"/>
    <s v="na"/>
    <s v="na"/>
    <s v="na"/>
    <s v="na"/>
    <s v="na"/>
    <s v="na"/>
  </r>
  <r>
    <n v="3768"/>
    <x v="85"/>
    <m/>
    <x v="14"/>
    <x v="3"/>
    <x v="0"/>
    <m/>
    <m/>
    <m/>
    <m/>
    <m/>
    <m/>
    <m/>
    <m/>
    <m/>
    <m/>
    <m/>
    <m/>
    <s v="x"/>
    <s v="x"/>
    <s v="na"/>
    <s v="NRD"/>
    <s v="na"/>
    <s v="na"/>
    <s v="na"/>
    <s v="na"/>
    <s v="na"/>
    <s v="na"/>
    <s v="na"/>
    <s v="na"/>
  </r>
  <r>
    <n v="3769"/>
    <x v="85"/>
    <m/>
    <x v="14"/>
    <x v="3"/>
    <x v="0"/>
    <m/>
    <m/>
    <m/>
    <m/>
    <m/>
    <m/>
    <m/>
    <m/>
    <m/>
    <m/>
    <m/>
    <m/>
    <s v="x"/>
    <s v="x"/>
    <s v="na"/>
    <s v="NRD"/>
    <s v="na"/>
    <s v="na"/>
    <s v="na"/>
    <s v="na"/>
    <s v="na"/>
    <s v="na"/>
    <s v="na"/>
    <s v="na"/>
  </r>
  <r>
    <n v="3770"/>
    <x v="85"/>
    <m/>
    <x v="14"/>
    <x v="3"/>
    <x v="0"/>
    <m/>
    <m/>
    <m/>
    <m/>
    <m/>
    <m/>
    <m/>
    <m/>
    <m/>
    <m/>
    <m/>
    <m/>
    <s v="x"/>
    <s v="x"/>
    <s v="na"/>
    <s v="NRD"/>
    <s v="na"/>
    <s v="na"/>
    <s v="na"/>
    <s v="na"/>
    <s v="na"/>
    <s v="na"/>
    <s v="na"/>
    <s v="na"/>
  </r>
  <r>
    <n v="3771"/>
    <x v="85"/>
    <m/>
    <x v="14"/>
    <x v="3"/>
    <x v="0"/>
    <m/>
    <m/>
    <m/>
    <m/>
    <m/>
    <m/>
    <m/>
    <m/>
    <m/>
    <m/>
    <m/>
    <m/>
    <s v="x"/>
    <s v="x"/>
    <s v="na"/>
    <s v="NRD"/>
    <s v="na"/>
    <s v="na"/>
    <s v="na"/>
    <s v="na"/>
    <s v="na"/>
    <s v="na"/>
    <s v="na"/>
    <s v="na"/>
  </r>
  <r>
    <n v="3772"/>
    <x v="85"/>
    <m/>
    <x v="14"/>
    <x v="3"/>
    <x v="0"/>
    <m/>
    <m/>
    <m/>
    <m/>
    <m/>
    <m/>
    <m/>
    <m/>
    <m/>
    <m/>
    <m/>
    <m/>
    <s v="x"/>
    <s v="x"/>
    <s v="na"/>
    <s v="NRD"/>
    <s v="na"/>
    <s v="na"/>
    <s v="na"/>
    <s v="na"/>
    <s v="na"/>
    <s v="na"/>
    <s v="na"/>
    <s v="na"/>
  </r>
  <r>
    <n v="3773"/>
    <x v="85"/>
    <m/>
    <x v="14"/>
    <x v="3"/>
    <x v="0"/>
    <m/>
    <m/>
    <m/>
    <m/>
    <m/>
    <m/>
    <m/>
    <m/>
    <m/>
    <m/>
    <m/>
    <m/>
    <s v="x"/>
    <s v="x"/>
    <s v="na"/>
    <s v="NRD"/>
    <s v="na"/>
    <s v="na"/>
    <s v="na"/>
    <s v="na"/>
    <s v="na"/>
    <s v="na"/>
    <s v="na"/>
    <s v="na"/>
  </r>
  <r>
    <n v="3774"/>
    <x v="85"/>
    <m/>
    <x v="14"/>
    <x v="3"/>
    <x v="0"/>
    <m/>
    <m/>
    <m/>
    <m/>
    <m/>
    <m/>
    <m/>
    <m/>
    <m/>
    <m/>
    <m/>
    <m/>
    <s v="x"/>
    <s v="x"/>
    <s v="na"/>
    <s v="NRD"/>
    <s v="na"/>
    <s v="na"/>
    <s v="na"/>
    <s v="na"/>
    <s v="na"/>
    <s v="na"/>
    <s v="na"/>
    <s v="na"/>
  </r>
  <r>
    <n v="3775"/>
    <x v="85"/>
    <m/>
    <x v="14"/>
    <x v="3"/>
    <x v="0"/>
    <m/>
    <m/>
    <m/>
    <m/>
    <m/>
    <m/>
    <m/>
    <m/>
    <m/>
    <m/>
    <m/>
    <m/>
    <s v="x"/>
    <s v="x"/>
    <s v="na"/>
    <s v="NRD"/>
    <s v="na"/>
    <s v="na"/>
    <s v="na"/>
    <s v="na"/>
    <s v="na"/>
    <s v="na"/>
    <s v="na"/>
    <s v="na"/>
  </r>
  <r>
    <n v="3776"/>
    <x v="85"/>
    <m/>
    <x v="14"/>
    <x v="3"/>
    <x v="0"/>
    <m/>
    <m/>
    <m/>
    <m/>
    <m/>
    <m/>
    <m/>
    <m/>
    <m/>
    <m/>
    <m/>
    <m/>
    <s v="x"/>
    <s v="x"/>
    <s v="na"/>
    <s v="NRD"/>
    <s v="na"/>
    <s v="na"/>
    <s v="na"/>
    <s v="na"/>
    <s v="na"/>
    <s v="na"/>
    <s v="na"/>
    <s v="na"/>
  </r>
  <r>
    <n v="3777"/>
    <x v="85"/>
    <m/>
    <x v="14"/>
    <x v="3"/>
    <x v="0"/>
    <m/>
    <m/>
    <m/>
    <m/>
    <m/>
    <m/>
    <m/>
    <m/>
    <m/>
    <m/>
    <m/>
    <m/>
    <s v="x"/>
    <s v="x"/>
    <s v="na"/>
    <s v="NRD"/>
    <s v="na"/>
    <s v="na"/>
    <s v="na"/>
    <s v="na"/>
    <s v="na"/>
    <s v="na"/>
    <s v="na"/>
    <s v="na"/>
  </r>
  <r>
    <n v="3778"/>
    <x v="85"/>
    <m/>
    <x v="14"/>
    <x v="3"/>
    <x v="0"/>
    <m/>
    <m/>
    <m/>
    <m/>
    <m/>
    <m/>
    <m/>
    <m/>
    <m/>
    <m/>
    <m/>
    <m/>
    <s v="x"/>
    <s v="x"/>
    <s v="na"/>
    <s v="NRD"/>
    <s v="na"/>
    <s v="na"/>
    <s v="na"/>
    <s v="na"/>
    <s v="na"/>
    <s v="na"/>
    <s v="na"/>
    <s v="na"/>
  </r>
  <r>
    <n v="3779"/>
    <x v="85"/>
    <m/>
    <x v="14"/>
    <x v="3"/>
    <x v="0"/>
    <m/>
    <m/>
    <m/>
    <m/>
    <m/>
    <m/>
    <m/>
    <m/>
    <m/>
    <m/>
    <m/>
    <m/>
    <s v="x"/>
    <s v="x"/>
    <s v="na"/>
    <s v="NRD"/>
    <s v="na"/>
    <s v="na"/>
    <s v="na"/>
    <s v="na"/>
    <s v="na"/>
    <s v="na"/>
    <s v="na"/>
    <s v="na"/>
  </r>
  <r>
    <n v="3780"/>
    <x v="85"/>
    <m/>
    <x v="14"/>
    <x v="3"/>
    <x v="0"/>
    <m/>
    <m/>
    <m/>
    <m/>
    <m/>
    <m/>
    <m/>
    <m/>
    <m/>
    <m/>
    <m/>
    <m/>
    <s v="x"/>
    <s v="x"/>
    <s v="na"/>
    <s v="NRD"/>
    <s v="na"/>
    <s v="na"/>
    <s v="na"/>
    <s v="na"/>
    <s v="na"/>
    <s v="na"/>
    <s v="na"/>
    <s v="na"/>
  </r>
  <r>
    <n v="3781"/>
    <x v="85"/>
    <m/>
    <x v="14"/>
    <x v="3"/>
    <x v="0"/>
    <m/>
    <m/>
    <m/>
    <m/>
    <m/>
    <m/>
    <m/>
    <m/>
    <m/>
    <m/>
    <m/>
    <m/>
    <s v="x"/>
    <s v="x"/>
    <s v="na"/>
    <s v="NRD"/>
    <s v="na"/>
    <s v="na"/>
    <s v="na"/>
    <s v="na"/>
    <s v="na"/>
    <s v="na"/>
    <s v="na"/>
    <s v="na"/>
  </r>
  <r>
    <n v="3782"/>
    <x v="85"/>
    <m/>
    <x v="14"/>
    <x v="3"/>
    <x v="0"/>
    <m/>
    <m/>
    <m/>
    <m/>
    <m/>
    <m/>
    <m/>
    <m/>
    <m/>
    <m/>
    <m/>
    <m/>
    <s v="x"/>
    <s v="x"/>
    <s v="na"/>
    <s v="NRD"/>
    <s v="na"/>
    <s v="na"/>
    <s v="na"/>
    <s v="na"/>
    <s v="na"/>
    <s v="na"/>
    <s v="na"/>
    <s v="na"/>
  </r>
  <r>
    <n v="3783"/>
    <x v="85"/>
    <m/>
    <x v="14"/>
    <x v="3"/>
    <x v="0"/>
    <m/>
    <m/>
    <m/>
    <m/>
    <m/>
    <m/>
    <m/>
    <m/>
    <m/>
    <m/>
    <m/>
    <m/>
    <s v="x"/>
    <s v="x"/>
    <s v="na"/>
    <s v="NRD"/>
    <s v="na"/>
    <s v="na"/>
    <s v="na"/>
    <s v="na"/>
    <s v="na"/>
    <s v="na"/>
    <s v="na"/>
    <s v="na"/>
  </r>
  <r>
    <n v="3784"/>
    <x v="85"/>
    <m/>
    <x v="14"/>
    <x v="3"/>
    <x v="0"/>
    <m/>
    <m/>
    <m/>
    <m/>
    <m/>
    <m/>
    <m/>
    <m/>
    <m/>
    <m/>
    <m/>
    <m/>
    <s v="x"/>
    <s v="x"/>
    <s v="na"/>
    <s v="NRD"/>
    <s v="na"/>
    <s v="na"/>
    <s v="na"/>
    <s v="na"/>
    <s v="na"/>
    <s v="na"/>
    <s v="na"/>
    <s v="na"/>
  </r>
  <r>
    <n v="3785"/>
    <x v="85"/>
    <m/>
    <x v="14"/>
    <x v="3"/>
    <x v="0"/>
    <m/>
    <m/>
    <m/>
    <m/>
    <m/>
    <m/>
    <m/>
    <m/>
    <m/>
    <m/>
    <m/>
    <m/>
    <s v="x"/>
    <s v="x"/>
    <s v="na"/>
    <s v="NRD"/>
    <s v="na"/>
    <s v="na"/>
    <s v="na"/>
    <s v="na"/>
    <s v="na"/>
    <s v="na"/>
    <s v="na"/>
    <s v="na"/>
  </r>
  <r>
    <n v="3786"/>
    <x v="85"/>
    <m/>
    <x v="14"/>
    <x v="3"/>
    <x v="0"/>
    <m/>
    <m/>
    <m/>
    <m/>
    <m/>
    <m/>
    <m/>
    <m/>
    <m/>
    <m/>
    <m/>
    <m/>
    <s v="x"/>
    <s v="x"/>
    <s v="na"/>
    <s v="NRD"/>
    <s v="na"/>
    <s v="na"/>
    <s v="na"/>
    <s v="na"/>
    <s v="na"/>
    <s v="na"/>
    <s v="na"/>
    <s v="na"/>
  </r>
  <r>
    <n v="3787"/>
    <x v="85"/>
    <m/>
    <x v="14"/>
    <x v="3"/>
    <x v="0"/>
    <m/>
    <m/>
    <m/>
    <m/>
    <m/>
    <m/>
    <m/>
    <m/>
    <m/>
    <m/>
    <m/>
    <m/>
    <s v="x"/>
    <s v="x"/>
    <s v="na"/>
    <s v="NRD"/>
    <s v="na"/>
    <s v="na"/>
    <s v="na"/>
    <s v="na"/>
    <s v="na"/>
    <s v="na"/>
    <s v="na"/>
    <s v="na"/>
  </r>
  <r>
    <n v="3788"/>
    <x v="85"/>
    <m/>
    <x v="14"/>
    <x v="3"/>
    <x v="0"/>
    <m/>
    <m/>
    <m/>
    <m/>
    <m/>
    <m/>
    <m/>
    <m/>
    <m/>
    <m/>
    <m/>
    <m/>
    <s v="x"/>
    <s v="x"/>
    <s v="na"/>
    <s v="NRD"/>
    <s v="na"/>
    <s v="na"/>
    <s v="na"/>
    <s v="na"/>
    <s v="na"/>
    <s v="na"/>
    <s v="na"/>
    <s v="na"/>
  </r>
  <r>
    <n v="3789"/>
    <x v="85"/>
    <m/>
    <x v="14"/>
    <x v="3"/>
    <x v="0"/>
    <m/>
    <m/>
    <m/>
    <m/>
    <m/>
    <m/>
    <m/>
    <m/>
    <m/>
    <m/>
    <m/>
    <m/>
    <s v="x"/>
    <s v="x"/>
    <s v="na"/>
    <s v="NRD"/>
    <s v="na"/>
    <s v="na"/>
    <s v="na"/>
    <s v="na"/>
    <s v="na"/>
    <s v="na"/>
    <s v="na"/>
    <s v="na"/>
  </r>
  <r>
    <n v="3790"/>
    <x v="85"/>
    <m/>
    <x v="14"/>
    <x v="3"/>
    <x v="0"/>
    <m/>
    <m/>
    <m/>
    <m/>
    <m/>
    <m/>
    <m/>
    <m/>
    <m/>
    <m/>
    <m/>
    <m/>
    <s v="x"/>
    <s v="x"/>
    <s v="na"/>
    <s v="NRD"/>
    <s v="na"/>
    <s v="na"/>
    <s v="na"/>
    <s v="na"/>
    <s v="na"/>
    <s v="na"/>
    <s v="na"/>
    <s v="na"/>
  </r>
  <r>
    <n v="3791"/>
    <x v="85"/>
    <m/>
    <x v="14"/>
    <x v="3"/>
    <x v="0"/>
    <m/>
    <m/>
    <m/>
    <m/>
    <m/>
    <m/>
    <m/>
    <m/>
    <m/>
    <m/>
    <m/>
    <m/>
    <s v="x"/>
    <s v="x"/>
    <s v="na"/>
    <s v="NRD"/>
    <s v="na"/>
    <s v="na"/>
    <s v="na"/>
    <s v="na"/>
    <s v="na"/>
    <s v="na"/>
    <s v="na"/>
    <s v="na"/>
  </r>
  <r>
    <n v="3792"/>
    <x v="85"/>
    <m/>
    <x v="14"/>
    <x v="3"/>
    <x v="0"/>
    <m/>
    <m/>
    <m/>
    <m/>
    <m/>
    <m/>
    <m/>
    <m/>
    <m/>
    <m/>
    <m/>
    <m/>
    <s v="x"/>
    <s v="x"/>
    <s v="na"/>
    <s v="NRD"/>
    <s v="na"/>
    <s v="na"/>
    <s v="na"/>
    <s v="na"/>
    <s v="na"/>
    <s v="na"/>
    <s v="na"/>
    <s v="na"/>
  </r>
  <r>
    <n v="3793"/>
    <x v="85"/>
    <m/>
    <x v="14"/>
    <x v="3"/>
    <x v="0"/>
    <m/>
    <m/>
    <m/>
    <m/>
    <m/>
    <m/>
    <m/>
    <m/>
    <m/>
    <m/>
    <m/>
    <m/>
    <s v="x"/>
    <s v="x"/>
    <s v="na"/>
    <s v="NRD"/>
    <s v="na"/>
    <s v="na"/>
    <s v="na"/>
    <s v="na"/>
    <s v="na"/>
    <s v="na"/>
    <s v="na"/>
    <s v="na"/>
  </r>
  <r>
    <n v="3794"/>
    <x v="85"/>
    <m/>
    <x v="14"/>
    <x v="3"/>
    <x v="0"/>
    <m/>
    <m/>
    <m/>
    <m/>
    <m/>
    <m/>
    <m/>
    <m/>
    <m/>
    <m/>
    <m/>
    <m/>
    <s v="x"/>
    <s v="x"/>
    <s v="na"/>
    <s v="NRD"/>
    <s v="na"/>
    <s v="na"/>
    <s v="na"/>
    <s v="na"/>
    <s v="na"/>
    <s v="na"/>
    <s v="na"/>
    <s v="na"/>
  </r>
  <r>
    <n v="3795"/>
    <x v="85"/>
    <m/>
    <x v="14"/>
    <x v="3"/>
    <x v="0"/>
    <m/>
    <m/>
    <m/>
    <m/>
    <m/>
    <m/>
    <m/>
    <m/>
    <m/>
    <m/>
    <m/>
    <m/>
    <s v="x"/>
    <s v="x"/>
    <s v="na"/>
    <s v="NRD"/>
    <s v="na"/>
    <s v="na"/>
    <s v="na"/>
    <s v="na"/>
    <s v="na"/>
    <s v="na"/>
    <s v="na"/>
    <s v="na"/>
  </r>
  <r>
    <n v="3796"/>
    <x v="85"/>
    <m/>
    <x v="14"/>
    <x v="3"/>
    <x v="0"/>
    <m/>
    <m/>
    <m/>
    <m/>
    <m/>
    <m/>
    <m/>
    <m/>
    <m/>
    <m/>
    <m/>
    <m/>
    <s v="x"/>
    <s v="x"/>
    <s v="na"/>
    <s v="NRD"/>
    <s v="na"/>
    <s v="na"/>
    <s v="na"/>
    <s v="na"/>
    <s v="na"/>
    <s v="na"/>
    <s v="na"/>
    <s v="na"/>
  </r>
  <r>
    <n v="3797"/>
    <x v="85"/>
    <m/>
    <x v="14"/>
    <x v="3"/>
    <x v="0"/>
    <m/>
    <m/>
    <m/>
    <m/>
    <m/>
    <m/>
    <m/>
    <m/>
    <m/>
    <m/>
    <m/>
    <m/>
    <s v="x"/>
    <s v="x"/>
    <s v="na"/>
    <s v="NRD"/>
    <s v="na"/>
    <s v="na"/>
    <s v="na"/>
    <s v="na"/>
    <s v="na"/>
    <s v="na"/>
    <s v="na"/>
    <s v="na"/>
  </r>
  <r>
    <n v="3798"/>
    <x v="85"/>
    <m/>
    <x v="14"/>
    <x v="3"/>
    <x v="0"/>
    <m/>
    <m/>
    <m/>
    <m/>
    <m/>
    <m/>
    <m/>
    <m/>
    <m/>
    <m/>
    <m/>
    <m/>
    <s v="x"/>
    <s v="x"/>
    <s v="na"/>
    <s v="NRD"/>
    <s v="na"/>
    <s v="na"/>
    <s v="na"/>
    <s v="na"/>
    <s v="na"/>
    <s v="na"/>
    <s v="na"/>
    <s v="na"/>
  </r>
  <r>
    <n v="3799"/>
    <x v="85"/>
    <m/>
    <x v="14"/>
    <x v="3"/>
    <x v="0"/>
    <m/>
    <m/>
    <m/>
    <m/>
    <m/>
    <m/>
    <m/>
    <m/>
    <m/>
    <m/>
    <m/>
    <m/>
    <s v="x"/>
    <s v="x"/>
    <s v="na"/>
    <s v="NRD"/>
    <s v="na"/>
    <s v="na"/>
    <s v="na"/>
    <s v="na"/>
    <s v="na"/>
    <s v="na"/>
    <s v="na"/>
    <s v="na"/>
  </r>
  <r>
    <n v="3800"/>
    <x v="85"/>
    <m/>
    <x v="14"/>
    <x v="3"/>
    <x v="0"/>
    <m/>
    <m/>
    <m/>
    <m/>
    <m/>
    <m/>
    <m/>
    <m/>
    <m/>
    <m/>
    <m/>
    <m/>
    <s v="x"/>
    <s v="x"/>
    <s v="na"/>
    <s v="NRD"/>
    <s v="na"/>
    <s v="na"/>
    <s v="na"/>
    <s v="na"/>
    <s v="na"/>
    <s v="na"/>
    <s v="na"/>
    <s v="na"/>
  </r>
  <r>
    <n v="3801"/>
    <x v="85"/>
    <m/>
    <x v="14"/>
    <x v="3"/>
    <x v="0"/>
    <m/>
    <m/>
    <m/>
    <m/>
    <m/>
    <m/>
    <m/>
    <m/>
    <m/>
    <m/>
    <m/>
    <m/>
    <s v="x"/>
    <s v="x"/>
    <s v="na"/>
    <s v="NRD"/>
    <s v="na"/>
    <s v="na"/>
    <s v="na"/>
    <s v="na"/>
    <s v="na"/>
    <s v="na"/>
    <s v="na"/>
    <s v="na"/>
  </r>
  <r>
    <n v="3802"/>
    <x v="85"/>
    <m/>
    <x v="14"/>
    <x v="3"/>
    <x v="0"/>
    <m/>
    <m/>
    <m/>
    <m/>
    <m/>
    <m/>
    <m/>
    <m/>
    <m/>
    <m/>
    <m/>
    <m/>
    <s v="x"/>
    <s v="x"/>
    <s v="na"/>
    <s v="NRD"/>
    <s v="na"/>
    <s v="na"/>
    <s v="na"/>
    <s v="na"/>
    <s v="na"/>
    <s v="na"/>
    <s v="na"/>
    <s v="na"/>
  </r>
  <r>
    <n v="3803"/>
    <x v="85"/>
    <m/>
    <x v="14"/>
    <x v="3"/>
    <x v="0"/>
    <m/>
    <m/>
    <m/>
    <m/>
    <m/>
    <m/>
    <m/>
    <m/>
    <m/>
    <m/>
    <m/>
    <m/>
    <s v="x"/>
    <s v="x"/>
    <s v="na"/>
    <s v="NRD"/>
    <s v="na"/>
    <s v="na"/>
    <s v="na"/>
    <s v="na"/>
    <s v="na"/>
    <s v="na"/>
    <s v="na"/>
    <s v="na"/>
  </r>
  <r>
    <n v="3804"/>
    <x v="85"/>
    <m/>
    <x v="14"/>
    <x v="3"/>
    <x v="0"/>
    <m/>
    <m/>
    <m/>
    <m/>
    <m/>
    <m/>
    <m/>
    <m/>
    <m/>
    <m/>
    <m/>
    <m/>
    <s v="x"/>
    <s v="x"/>
    <s v="na"/>
    <s v="NRD"/>
    <s v="na"/>
    <s v="na"/>
    <s v="na"/>
    <s v="na"/>
    <s v="na"/>
    <s v="na"/>
    <s v="na"/>
    <s v="na"/>
  </r>
  <r>
    <n v="3805"/>
    <x v="85"/>
    <m/>
    <x v="14"/>
    <x v="3"/>
    <x v="0"/>
    <m/>
    <m/>
    <m/>
    <m/>
    <m/>
    <m/>
    <m/>
    <m/>
    <m/>
    <m/>
    <m/>
    <m/>
    <s v="x"/>
    <s v="x"/>
    <s v="na"/>
    <s v="NRD"/>
    <s v="na"/>
    <s v="na"/>
    <s v="na"/>
    <s v="na"/>
    <s v="na"/>
    <s v="na"/>
    <s v="na"/>
    <s v="na"/>
  </r>
  <r>
    <n v="3806"/>
    <x v="85"/>
    <m/>
    <x v="14"/>
    <x v="3"/>
    <x v="0"/>
    <m/>
    <m/>
    <m/>
    <m/>
    <m/>
    <m/>
    <m/>
    <m/>
    <m/>
    <m/>
    <m/>
    <m/>
    <s v="x"/>
    <s v="x"/>
    <s v="na"/>
    <s v="NRD"/>
    <s v="na"/>
    <s v="na"/>
    <s v="na"/>
    <s v="na"/>
    <s v="na"/>
    <s v="na"/>
    <s v="na"/>
    <s v="na"/>
  </r>
  <r>
    <n v="3807"/>
    <x v="85"/>
    <m/>
    <x v="14"/>
    <x v="3"/>
    <x v="0"/>
    <m/>
    <m/>
    <m/>
    <m/>
    <m/>
    <m/>
    <m/>
    <m/>
    <m/>
    <m/>
    <m/>
    <m/>
    <s v="x"/>
    <s v="x"/>
    <s v="na"/>
    <s v="NRD"/>
    <s v="na"/>
    <s v="na"/>
    <s v="na"/>
    <s v="na"/>
    <s v="na"/>
    <s v="na"/>
    <s v="na"/>
    <s v="na"/>
  </r>
  <r>
    <n v="3808"/>
    <x v="85"/>
    <m/>
    <x v="14"/>
    <x v="3"/>
    <x v="0"/>
    <m/>
    <m/>
    <m/>
    <m/>
    <m/>
    <m/>
    <m/>
    <m/>
    <m/>
    <m/>
    <m/>
    <m/>
    <s v="x"/>
    <s v="x"/>
    <s v="na"/>
    <s v="NRD"/>
    <s v="na"/>
    <s v="na"/>
    <s v="na"/>
    <s v="na"/>
    <s v="na"/>
    <s v="na"/>
    <s v="na"/>
    <s v="na"/>
  </r>
  <r>
    <n v="3809"/>
    <x v="85"/>
    <m/>
    <x v="14"/>
    <x v="3"/>
    <x v="0"/>
    <m/>
    <m/>
    <m/>
    <m/>
    <m/>
    <m/>
    <m/>
    <m/>
    <m/>
    <m/>
    <m/>
    <m/>
    <s v="x"/>
    <s v="x"/>
    <s v="na"/>
    <s v="NRD"/>
    <s v="na"/>
    <s v="na"/>
    <s v="na"/>
    <s v="na"/>
    <s v="na"/>
    <s v="na"/>
    <s v="na"/>
    <s v="na"/>
  </r>
  <r>
    <n v="3810"/>
    <x v="85"/>
    <m/>
    <x v="14"/>
    <x v="3"/>
    <x v="0"/>
    <m/>
    <m/>
    <m/>
    <m/>
    <m/>
    <m/>
    <m/>
    <m/>
    <m/>
    <m/>
    <m/>
    <m/>
    <s v="x"/>
    <s v="x"/>
    <s v="na"/>
    <s v="NRD"/>
    <s v="na"/>
    <s v="na"/>
    <s v="na"/>
    <s v="na"/>
    <s v="na"/>
    <s v="na"/>
    <s v="na"/>
    <s v="na"/>
  </r>
  <r>
    <n v="3811"/>
    <x v="85"/>
    <m/>
    <x v="14"/>
    <x v="3"/>
    <x v="0"/>
    <m/>
    <m/>
    <m/>
    <m/>
    <m/>
    <m/>
    <m/>
    <m/>
    <m/>
    <m/>
    <m/>
    <m/>
    <s v="x"/>
    <s v="x"/>
    <s v="na"/>
    <s v="NRD"/>
    <s v="na"/>
    <s v="na"/>
    <s v="na"/>
    <s v="na"/>
    <s v="na"/>
    <s v="na"/>
    <s v="na"/>
    <s v="na"/>
  </r>
  <r>
    <n v="3812"/>
    <x v="85"/>
    <m/>
    <x v="14"/>
    <x v="3"/>
    <x v="0"/>
    <m/>
    <m/>
    <m/>
    <m/>
    <m/>
    <m/>
    <m/>
    <m/>
    <m/>
    <m/>
    <m/>
    <m/>
    <s v="x"/>
    <s v="x"/>
    <s v="na"/>
    <s v="NRD"/>
    <s v="na"/>
    <s v="na"/>
    <s v="na"/>
    <s v="na"/>
    <s v="na"/>
    <s v="na"/>
    <s v="na"/>
    <s v="na"/>
  </r>
  <r>
    <n v="3813"/>
    <x v="85"/>
    <m/>
    <x v="14"/>
    <x v="3"/>
    <x v="0"/>
    <m/>
    <m/>
    <m/>
    <m/>
    <m/>
    <m/>
    <m/>
    <m/>
    <m/>
    <m/>
    <m/>
    <m/>
    <s v="x"/>
    <s v="x"/>
    <s v="na"/>
    <s v="NRD"/>
    <s v="na"/>
    <s v="na"/>
    <s v="na"/>
    <s v="na"/>
    <s v="na"/>
    <s v="na"/>
    <s v="na"/>
    <s v="na"/>
  </r>
  <r>
    <n v="3814"/>
    <x v="85"/>
    <m/>
    <x v="14"/>
    <x v="3"/>
    <x v="0"/>
    <m/>
    <m/>
    <m/>
    <m/>
    <m/>
    <m/>
    <m/>
    <m/>
    <m/>
    <m/>
    <m/>
    <m/>
    <s v="x"/>
    <s v="x"/>
    <s v="na"/>
    <s v="NRD"/>
    <s v="na"/>
    <s v="na"/>
    <s v="na"/>
    <s v="na"/>
    <s v="na"/>
    <s v="na"/>
    <s v="na"/>
    <s v="na"/>
  </r>
  <r>
    <n v="3815"/>
    <x v="85"/>
    <m/>
    <x v="14"/>
    <x v="3"/>
    <x v="0"/>
    <m/>
    <m/>
    <m/>
    <m/>
    <m/>
    <m/>
    <m/>
    <m/>
    <m/>
    <m/>
    <m/>
    <m/>
    <s v="x"/>
    <s v="x"/>
    <s v="na"/>
    <s v="NRD"/>
    <s v="na"/>
    <s v="na"/>
    <s v="na"/>
    <s v="na"/>
    <s v="na"/>
    <s v="na"/>
    <s v="na"/>
    <s v="na"/>
  </r>
  <r>
    <n v="3816"/>
    <x v="85"/>
    <m/>
    <x v="14"/>
    <x v="3"/>
    <x v="0"/>
    <m/>
    <m/>
    <m/>
    <m/>
    <m/>
    <m/>
    <m/>
    <m/>
    <m/>
    <m/>
    <m/>
    <m/>
    <s v="x"/>
    <s v="x"/>
    <s v="na"/>
    <s v="NRD"/>
    <s v="na"/>
    <s v="na"/>
    <s v="na"/>
    <s v="na"/>
    <s v="na"/>
    <s v="na"/>
    <s v="na"/>
    <s v="na"/>
  </r>
  <r>
    <n v="3817"/>
    <x v="85"/>
    <m/>
    <x v="14"/>
    <x v="3"/>
    <x v="0"/>
    <m/>
    <m/>
    <m/>
    <m/>
    <m/>
    <m/>
    <m/>
    <m/>
    <m/>
    <m/>
    <m/>
    <m/>
    <s v="x"/>
    <s v="x"/>
    <s v="na"/>
    <s v="NRD"/>
    <s v="na"/>
    <s v="na"/>
    <s v="na"/>
    <s v="na"/>
    <s v="na"/>
    <s v="na"/>
    <s v="na"/>
    <s v="na"/>
  </r>
  <r>
    <n v="3818"/>
    <x v="85"/>
    <m/>
    <x v="14"/>
    <x v="3"/>
    <x v="0"/>
    <m/>
    <m/>
    <m/>
    <m/>
    <m/>
    <m/>
    <m/>
    <m/>
    <m/>
    <m/>
    <m/>
    <m/>
    <s v="x"/>
    <s v="x"/>
    <s v="na"/>
    <s v="NRD"/>
    <s v="na"/>
    <s v="na"/>
    <s v="na"/>
    <s v="na"/>
    <s v="na"/>
    <s v="na"/>
    <s v="na"/>
    <s v="na"/>
  </r>
  <r>
    <n v="3819"/>
    <x v="85"/>
    <m/>
    <x v="14"/>
    <x v="3"/>
    <x v="0"/>
    <m/>
    <m/>
    <m/>
    <m/>
    <m/>
    <m/>
    <m/>
    <m/>
    <m/>
    <m/>
    <m/>
    <m/>
    <s v="x"/>
    <s v="x"/>
    <s v="na"/>
    <s v="NRD"/>
    <s v="na"/>
    <s v="na"/>
    <s v="na"/>
    <s v="na"/>
    <s v="na"/>
    <s v="na"/>
    <s v="na"/>
    <s v="na"/>
  </r>
  <r>
    <n v="3820"/>
    <x v="85"/>
    <m/>
    <x v="14"/>
    <x v="3"/>
    <x v="0"/>
    <m/>
    <m/>
    <m/>
    <m/>
    <m/>
    <m/>
    <m/>
    <m/>
    <m/>
    <m/>
    <m/>
    <m/>
    <s v="x"/>
    <s v="x"/>
    <s v="na"/>
    <s v="NRD"/>
    <s v="na"/>
    <s v="na"/>
    <s v="na"/>
    <s v="na"/>
    <s v="na"/>
    <s v="na"/>
    <s v="na"/>
    <s v="na"/>
  </r>
  <r>
    <n v="3821"/>
    <x v="85"/>
    <m/>
    <x v="14"/>
    <x v="3"/>
    <x v="0"/>
    <m/>
    <m/>
    <m/>
    <m/>
    <m/>
    <m/>
    <m/>
    <m/>
    <m/>
    <m/>
    <m/>
    <m/>
    <s v="x"/>
    <s v="x"/>
    <s v="na"/>
    <s v="NRD"/>
    <s v="na"/>
    <s v="na"/>
    <s v="na"/>
    <s v="na"/>
    <s v="na"/>
    <s v="na"/>
    <s v="na"/>
    <s v="na"/>
  </r>
  <r>
    <n v="3822"/>
    <x v="85"/>
    <m/>
    <x v="14"/>
    <x v="3"/>
    <x v="0"/>
    <m/>
    <m/>
    <m/>
    <m/>
    <m/>
    <m/>
    <m/>
    <m/>
    <m/>
    <m/>
    <m/>
    <m/>
    <s v="x"/>
    <s v="x"/>
    <s v="na"/>
    <s v="NRD"/>
    <s v="na"/>
    <s v="na"/>
    <s v="na"/>
    <s v="na"/>
    <s v="na"/>
    <s v="na"/>
    <s v="na"/>
    <s v="na"/>
  </r>
  <r>
    <n v="3823"/>
    <x v="85"/>
    <m/>
    <x v="14"/>
    <x v="3"/>
    <x v="0"/>
    <m/>
    <m/>
    <m/>
    <m/>
    <m/>
    <m/>
    <m/>
    <m/>
    <m/>
    <m/>
    <m/>
    <m/>
    <s v="x"/>
    <s v="x"/>
    <s v="na"/>
    <s v="NRD"/>
    <s v="na"/>
    <s v="na"/>
    <s v="na"/>
    <s v="na"/>
    <s v="na"/>
    <s v="na"/>
    <s v="na"/>
    <s v="na"/>
  </r>
  <r>
    <n v="3824"/>
    <x v="85"/>
    <m/>
    <x v="14"/>
    <x v="3"/>
    <x v="0"/>
    <m/>
    <m/>
    <m/>
    <m/>
    <m/>
    <m/>
    <m/>
    <m/>
    <m/>
    <m/>
    <m/>
    <m/>
    <s v="x"/>
    <s v="x"/>
    <s v="na"/>
    <s v="NRD"/>
    <s v="na"/>
    <s v="na"/>
    <s v="na"/>
    <s v="na"/>
    <s v="na"/>
    <s v="na"/>
    <s v="na"/>
    <s v="na"/>
  </r>
  <r>
    <n v="3825"/>
    <x v="85"/>
    <m/>
    <x v="14"/>
    <x v="3"/>
    <x v="0"/>
    <m/>
    <m/>
    <m/>
    <m/>
    <m/>
    <m/>
    <m/>
    <m/>
    <m/>
    <m/>
    <m/>
    <m/>
    <s v="x"/>
    <s v="x"/>
    <s v="na"/>
    <s v="NRD"/>
    <s v="na"/>
    <s v="na"/>
    <s v="na"/>
    <s v="na"/>
    <s v="na"/>
    <s v="na"/>
    <s v="na"/>
    <s v="na"/>
  </r>
  <r>
    <n v="3826"/>
    <x v="85"/>
    <m/>
    <x v="14"/>
    <x v="3"/>
    <x v="0"/>
    <m/>
    <m/>
    <m/>
    <m/>
    <m/>
    <m/>
    <m/>
    <m/>
    <m/>
    <m/>
    <m/>
    <m/>
    <s v="x"/>
    <s v="x"/>
    <s v="na"/>
    <s v="NRD"/>
    <s v="na"/>
    <s v="na"/>
    <s v="na"/>
    <s v="na"/>
    <s v="na"/>
    <s v="na"/>
    <s v="na"/>
    <s v="na"/>
  </r>
  <r>
    <n v="3827"/>
    <x v="85"/>
    <m/>
    <x v="14"/>
    <x v="3"/>
    <x v="0"/>
    <m/>
    <m/>
    <m/>
    <m/>
    <m/>
    <m/>
    <m/>
    <m/>
    <m/>
    <m/>
    <m/>
    <m/>
    <s v="x"/>
    <s v="x"/>
    <s v="na"/>
    <s v="NRD"/>
    <s v="na"/>
    <s v="na"/>
    <s v="na"/>
    <s v="na"/>
    <s v="na"/>
    <s v="na"/>
    <s v="na"/>
    <s v="na"/>
  </r>
  <r>
    <n v="3828"/>
    <x v="85"/>
    <m/>
    <x v="14"/>
    <x v="3"/>
    <x v="0"/>
    <m/>
    <m/>
    <m/>
    <m/>
    <m/>
    <m/>
    <m/>
    <m/>
    <m/>
    <m/>
    <m/>
    <m/>
    <s v="x"/>
    <s v="x"/>
    <s v="na"/>
    <s v="NRD"/>
    <s v="na"/>
    <s v="na"/>
    <s v="na"/>
    <s v="na"/>
    <s v="na"/>
    <s v="na"/>
    <s v="na"/>
    <s v="na"/>
  </r>
  <r>
    <n v="3829"/>
    <x v="85"/>
    <m/>
    <x v="14"/>
    <x v="3"/>
    <x v="0"/>
    <m/>
    <m/>
    <m/>
    <m/>
    <m/>
    <m/>
    <m/>
    <m/>
    <m/>
    <m/>
    <m/>
    <m/>
    <s v="x"/>
    <s v="x"/>
    <s v="na"/>
    <s v="NRD"/>
    <s v="na"/>
    <s v="na"/>
    <s v="na"/>
    <s v="na"/>
    <s v="na"/>
    <s v="na"/>
    <s v="na"/>
    <s v="na"/>
  </r>
  <r>
    <n v="3830"/>
    <x v="85"/>
    <m/>
    <x v="14"/>
    <x v="3"/>
    <x v="0"/>
    <m/>
    <m/>
    <m/>
    <m/>
    <m/>
    <m/>
    <m/>
    <m/>
    <m/>
    <m/>
    <m/>
    <m/>
    <s v="x"/>
    <s v="x"/>
    <s v="na"/>
    <s v="NRD"/>
    <s v="na"/>
    <s v="na"/>
    <s v="na"/>
    <s v="na"/>
    <s v="na"/>
    <s v="na"/>
    <s v="na"/>
    <s v="na"/>
  </r>
  <r>
    <n v="3831"/>
    <x v="85"/>
    <m/>
    <x v="14"/>
    <x v="3"/>
    <x v="0"/>
    <m/>
    <m/>
    <m/>
    <m/>
    <m/>
    <m/>
    <m/>
    <m/>
    <m/>
    <m/>
    <m/>
    <m/>
    <s v="x"/>
    <s v="x"/>
    <s v="na"/>
    <s v="NRD"/>
    <s v="na"/>
    <s v="na"/>
    <s v="na"/>
    <s v="na"/>
    <s v="na"/>
    <s v="na"/>
    <s v="na"/>
    <s v="na"/>
  </r>
  <r>
    <n v="3832"/>
    <x v="85"/>
    <m/>
    <x v="14"/>
    <x v="3"/>
    <x v="0"/>
    <m/>
    <m/>
    <m/>
    <m/>
    <m/>
    <m/>
    <m/>
    <m/>
    <m/>
    <m/>
    <m/>
    <m/>
    <s v="x"/>
    <s v="x"/>
    <s v="na"/>
    <s v="NRD"/>
    <s v="na"/>
    <s v="na"/>
    <s v="na"/>
    <s v="na"/>
    <s v="na"/>
    <s v="na"/>
    <s v="na"/>
    <s v="na"/>
  </r>
  <r>
    <n v="3833"/>
    <x v="85"/>
    <m/>
    <x v="14"/>
    <x v="3"/>
    <x v="0"/>
    <m/>
    <m/>
    <m/>
    <m/>
    <m/>
    <m/>
    <m/>
    <m/>
    <m/>
    <m/>
    <m/>
    <m/>
    <s v="x"/>
    <s v="x"/>
    <s v="na"/>
    <s v="NRD"/>
    <s v="na"/>
    <s v="na"/>
    <s v="na"/>
    <s v="na"/>
    <s v="na"/>
    <s v="na"/>
    <s v="na"/>
    <s v="na"/>
  </r>
  <r>
    <n v="3834"/>
    <x v="85"/>
    <m/>
    <x v="14"/>
    <x v="3"/>
    <x v="0"/>
    <m/>
    <m/>
    <m/>
    <m/>
    <m/>
    <m/>
    <m/>
    <m/>
    <m/>
    <m/>
    <m/>
    <m/>
    <s v="x"/>
    <s v="x"/>
    <s v="na"/>
    <s v="NRD"/>
    <s v="na"/>
    <s v="na"/>
    <s v="na"/>
    <s v="na"/>
    <s v="na"/>
    <s v="na"/>
    <s v="na"/>
    <s v="na"/>
  </r>
  <r>
    <n v="3835"/>
    <x v="85"/>
    <m/>
    <x v="14"/>
    <x v="3"/>
    <x v="0"/>
    <m/>
    <m/>
    <m/>
    <m/>
    <m/>
    <m/>
    <m/>
    <m/>
    <m/>
    <m/>
    <m/>
    <m/>
    <s v="x"/>
    <s v="x"/>
    <s v="na"/>
    <s v="NRD"/>
    <s v="na"/>
    <s v="na"/>
    <s v="na"/>
    <s v="na"/>
    <s v="na"/>
    <s v="na"/>
    <s v="na"/>
    <s v="na"/>
  </r>
  <r>
    <n v="3836"/>
    <x v="85"/>
    <m/>
    <x v="14"/>
    <x v="3"/>
    <x v="0"/>
    <m/>
    <m/>
    <m/>
    <m/>
    <m/>
    <m/>
    <m/>
    <m/>
    <m/>
    <m/>
    <m/>
    <m/>
    <s v="x"/>
    <s v="x"/>
    <s v="na"/>
    <s v="NRD"/>
    <s v="na"/>
    <s v="na"/>
    <s v="na"/>
    <s v="na"/>
    <s v="na"/>
    <s v="na"/>
    <s v="na"/>
    <s v="na"/>
  </r>
  <r>
    <n v="3837"/>
    <x v="85"/>
    <m/>
    <x v="14"/>
    <x v="3"/>
    <x v="0"/>
    <m/>
    <m/>
    <m/>
    <m/>
    <m/>
    <m/>
    <m/>
    <m/>
    <m/>
    <m/>
    <m/>
    <m/>
    <s v="x"/>
    <s v="x"/>
    <s v="na"/>
    <s v="NRD"/>
    <s v="na"/>
    <s v="na"/>
    <s v="na"/>
    <s v="na"/>
    <s v="na"/>
    <s v="na"/>
    <s v="na"/>
    <s v="na"/>
  </r>
  <r>
    <n v="3838"/>
    <x v="85"/>
    <m/>
    <x v="14"/>
    <x v="3"/>
    <x v="0"/>
    <m/>
    <m/>
    <m/>
    <m/>
    <m/>
    <m/>
    <m/>
    <m/>
    <m/>
    <m/>
    <m/>
    <m/>
    <s v="x"/>
    <s v="x"/>
    <s v="na"/>
    <s v="NRD"/>
    <s v="na"/>
    <s v="na"/>
    <s v="na"/>
    <s v="na"/>
    <s v="na"/>
    <s v="na"/>
    <s v="na"/>
    <s v="na"/>
  </r>
  <r>
    <n v="3839"/>
    <x v="85"/>
    <m/>
    <x v="14"/>
    <x v="3"/>
    <x v="0"/>
    <m/>
    <m/>
    <m/>
    <m/>
    <m/>
    <m/>
    <m/>
    <m/>
    <m/>
    <m/>
    <m/>
    <m/>
    <s v="x"/>
    <s v="x"/>
    <s v="na"/>
    <s v="NRD"/>
    <s v="na"/>
    <s v="na"/>
    <s v="na"/>
    <s v="na"/>
    <s v="na"/>
    <s v="na"/>
    <s v="na"/>
    <s v="na"/>
  </r>
  <r>
    <n v="3840"/>
    <x v="85"/>
    <m/>
    <x v="14"/>
    <x v="3"/>
    <x v="0"/>
    <m/>
    <m/>
    <m/>
    <m/>
    <m/>
    <m/>
    <m/>
    <m/>
    <m/>
    <m/>
    <m/>
    <m/>
    <s v="x"/>
    <s v="x"/>
    <s v="na"/>
    <s v="NRD"/>
    <s v="na"/>
    <s v="na"/>
    <s v="na"/>
    <s v="na"/>
    <s v="na"/>
    <s v="na"/>
    <s v="na"/>
    <s v="na"/>
  </r>
  <r>
    <n v="3841"/>
    <x v="85"/>
    <m/>
    <x v="14"/>
    <x v="3"/>
    <x v="0"/>
    <m/>
    <m/>
    <m/>
    <m/>
    <m/>
    <m/>
    <m/>
    <m/>
    <m/>
    <m/>
    <m/>
    <m/>
    <s v="x"/>
    <s v="x"/>
    <s v="na"/>
    <s v="NRD"/>
    <s v="na"/>
    <s v="na"/>
    <s v="na"/>
    <s v="na"/>
    <s v="na"/>
    <s v="na"/>
    <s v="na"/>
    <s v="na"/>
  </r>
  <r>
    <n v="3842"/>
    <x v="85"/>
    <m/>
    <x v="14"/>
    <x v="3"/>
    <x v="0"/>
    <m/>
    <m/>
    <m/>
    <m/>
    <m/>
    <m/>
    <m/>
    <m/>
    <m/>
    <m/>
    <m/>
    <m/>
    <s v="x"/>
    <s v="x"/>
    <s v="na"/>
    <s v="NRD"/>
    <s v="na"/>
    <s v="na"/>
    <s v="na"/>
    <s v="na"/>
    <s v="na"/>
    <s v="na"/>
    <s v="na"/>
    <s v="na"/>
  </r>
  <r>
    <n v="3843"/>
    <x v="85"/>
    <m/>
    <x v="14"/>
    <x v="3"/>
    <x v="0"/>
    <m/>
    <m/>
    <m/>
    <m/>
    <m/>
    <m/>
    <m/>
    <m/>
    <m/>
    <m/>
    <m/>
    <m/>
    <s v="x"/>
    <s v="x"/>
    <s v="na"/>
    <s v="NRD"/>
    <s v="na"/>
    <s v="na"/>
    <s v="na"/>
    <s v="na"/>
    <s v="na"/>
    <s v="na"/>
    <s v="na"/>
    <s v="na"/>
  </r>
  <r>
    <n v="3844"/>
    <x v="85"/>
    <m/>
    <x v="14"/>
    <x v="3"/>
    <x v="0"/>
    <m/>
    <m/>
    <m/>
    <m/>
    <m/>
    <m/>
    <m/>
    <m/>
    <m/>
    <m/>
    <m/>
    <m/>
    <s v="x"/>
    <s v="x"/>
    <s v="na"/>
    <s v="NRD"/>
    <s v="na"/>
    <s v="na"/>
    <s v="na"/>
    <s v="na"/>
    <s v="na"/>
    <s v="na"/>
    <s v="na"/>
    <s v="na"/>
  </r>
  <r>
    <n v="3845"/>
    <x v="85"/>
    <m/>
    <x v="14"/>
    <x v="3"/>
    <x v="0"/>
    <m/>
    <m/>
    <m/>
    <m/>
    <m/>
    <m/>
    <m/>
    <m/>
    <m/>
    <m/>
    <m/>
    <m/>
    <s v="x"/>
    <s v="x"/>
    <s v="na"/>
    <s v="NRD"/>
    <s v="na"/>
    <s v="na"/>
    <s v="na"/>
    <s v="na"/>
    <s v="na"/>
    <s v="na"/>
    <s v="na"/>
    <s v="na"/>
  </r>
  <r>
    <n v="3846"/>
    <x v="85"/>
    <m/>
    <x v="14"/>
    <x v="3"/>
    <x v="0"/>
    <m/>
    <m/>
    <m/>
    <m/>
    <m/>
    <m/>
    <m/>
    <m/>
    <m/>
    <m/>
    <m/>
    <m/>
    <s v="x"/>
    <s v="x"/>
    <s v="na"/>
    <s v="NRD"/>
    <s v="na"/>
    <s v="na"/>
    <s v="na"/>
    <s v="na"/>
    <s v="na"/>
    <s v="na"/>
    <s v="na"/>
    <s v="na"/>
  </r>
  <r>
    <n v="3847"/>
    <x v="85"/>
    <m/>
    <x v="14"/>
    <x v="3"/>
    <x v="0"/>
    <m/>
    <m/>
    <m/>
    <m/>
    <m/>
    <m/>
    <m/>
    <m/>
    <m/>
    <m/>
    <m/>
    <m/>
    <s v="x"/>
    <s v="x"/>
    <s v="na"/>
    <s v="NRD"/>
    <s v="na"/>
    <s v="na"/>
    <s v="na"/>
    <s v="na"/>
    <s v="na"/>
    <s v="na"/>
    <s v="na"/>
    <s v="na"/>
  </r>
  <r>
    <n v="3848"/>
    <x v="85"/>
    <m/>
    <x v="14"/>
    <x v="3"/>
    <x v="0"/>
    <m/>
    <m/>
    <m/>
    <m/>
    <m/>
    <m/>
    <m/>
    <m/>
    <m/>
    <m/>
    <m/>
    <m/>
    <s v="x"/>
    <s v="x"/>
    <s v="na"/>
    <s v="NRD"/>
    <s v="na"/>
    <s v="na"/>
    <s v="na"/>
    <s v="na"/>
    <s v="na"/>
    <s v="na"/>
    <s v="na"/>
    <s v="na"/>
  </r>
  <r>
    <n v="3849"/>
    <x v="85"/>
    <m/>
    <x v="14"/>
    <x v="3"/>
    <x v="0"/>
    <m/>
    <m/>
    <m/>
    <m/>
    <m/>
    <m/>
    <m/>
    <m/>
    <m/>
    <m/>
    <m/>
    <m/>
    <s v="x"/>
    <s v="x"/>
    <s v="na"/>
    <s v="NRD"/>
    <s v="na"/>
    <s v="na"/>
    <s v="na"/>
    <s v="na"/>
    <s v="na"/>
    <s v="na"/>
    <s v="na"/>
    <s v="na"/>
  </r>
  <r>
    <n v="3850"/>
    <x v="85"/>
    <m/>
    <x v="14"/>
    <x v="3"/>
    <x v="0"/>
    <m/>
    <m/>
    <m/>
    <m/>
    <m/>
    <m/>
    <m/>
    <m/>
    <m/>
    <m/>
    <m/>
    <m/>
    <s v="x"/>
    <s v="x"/>
    <s v="na"/>
    <s v="NRD"/>
    <s v="na"/>
    <s v="na"/>
    <s v="na"/>
    <s v="na"/>
    <s v="na"/>
    <s v="na"/>
    <s v="na"/>
    <s v="na"/>
  </r>
  <r>
    <n v="3851"/>
    <x v="85"/>
    <m/>
    <x v="14"/>
    <x v="3"/>
    <x v="0"/>
    <m/>
    <m/>
    <m/>
    <m/>
    <m/>
    <m/>
    <m/>
    <m/>
    <m/>
    <m/>
    <m/>
    <m/>
    <s v="x"/>
    <s v="x"/>
    <s v="na"/>
    <s v="NRD"/>
    <s v="na"/>
    <s v="na"/>
    <s v="na"/>
    <s v="na"/>
    <s v="na"/>
    <s v="na"/>
    <s v="na"/>
    <s v="na"/>
  </r>
  <r>
    <n v="3852"/>
    <x v="85"/>
    <m/>
    <x v="14"/>
    <x v="3"/>
    <x v="0"/>
    <m/>
    <m/>
    <m/>
    <m/>
    <m/>
    <m/>
    <m/>
    <m/>
    <m/>
    <m/>
    <m/>
    <m/>
    <s v="x"/>
    <s v="x"/>
    <s v="na"/>
    <s v="NRD"/>
    <s v="na"/>
    <s v="na"/>
    <s v="na"/>
    <s v="na"/>
    <s v="na"/>
    <s v="na"/>
    <s v="na"/>
    <s v="na"/>
  </r>
  <r>
    <n v="3853"/>
    <x v="85"/>
    <m/>
    <x v="14"/>
    <x v="3"/>
    <x v="0"/>
    <m/>
    <m/>
    <m/>
    <m/>
    <m/>
    <m/>
    <m/>
    <m/>
    <m/>
    <m/>
    <m/>
    <m/>
    <s v="x"/>
    <s v="x"/>
    <s v="na"/>
    <s v="NRD"/>
    <s v="na"/>
    <s v="na"/>
    <s v="na"/>
    <s v="na"/>
    <s v="na"/>
    <s v="na"/>
    <s v="na"/>
    <s v="na"/>
  </r>
  <r>
    <n v="3854"/>
    <x v="85"/>
    <m/>
    <x v="14"/>
    <x v="3"/>
    <x v="0"/>
    <m/>
    <m/>
    <m/>
    <m/>
    <m/>
    <m/>
    <m/>
    <m/>
    <m/>
    <m/>
    <m/>
    <m/>
    <s v="x"/>
    <s v="x"/>
    <s v="na"/>
    <s v="NRD"/>
    <s v="na"/>
    <s v="na"/>
    <s v="na"/>
    <s v="na"/>
    <s v="na"/>
    <s v="na"/>
    <s v="na"/>
    <s v="na"/>
  </r>
  <r>
    <n v="3855"/>
    <x v="85"/>
    <m/>
    <x v="14"/>
    <x v="3"/>
    <x v="0"/>
    <m/>
    <m/>
    <m/>
    <m/>
    <m/>
    <m/>
    <m/>
    <m/>
    <m/>
    <m/>
    <m/>
    <m/>
    <s v="x"/>
    <s v="x"/>
    <s v="na"/>
    <s v="NRD"/>
    <s v="na"/>
    <s v="na"/>
    <s v="na"/>
    <s v="na"/>
    <s v="na"/>
    <s v="na"/>
    <s v="na"/>
    <s v="na"/>
  </r>
  <r>
    <n v="3856"/>
    <x v="85"/>
    <m/>
    <x v="14"/>
    <x v="3"/>
    <x v="0"/>
    <m/>
    <m/>
    <m/>
    <m/>
    <m/>
    <m/>
    <m/>
    <m/>
    <m/>
    <m/>
    <m/>
    <m/>
    <s v="x"/>
    <s v="x"/>
    <s v="na"/>
    <s v="NRD"/>
    <s v="na"/>
    <s v="na"/>
    <s v="na"/>
    <s v="na"/>
    <s v="na"/>
    <s v="na"/>
    <s v="na"/>
    <s v="na"/>
  </r>
  <r>
    <n v="3857"/>
    <x v="85"/>
    <m/>
    <x v="14"/>
    <x v="3"/>
    <x v="0"/>
    <m/>
    <m/>
    <m/>
    <m/>
    <m/>
    <m/>
    <m/>
    <m/>
    <m/>
    <m/>
    <m/>
    <m/>
    <s v="x"/>
    <s v="x"/>
    <s v="na"/>
    <s v="NRD"/>
    <s v="na"/>
    <s v="na"/>
    <s v="na"/>
    <s v="na"/>
    <s v="na"/>
    <s v="na"/>
    <s v="na"/>
    <s v="na"/>
  </r>
  <r>
    <n v="3858"/>
    <x v="85"/>
    <m/>
    <x v="14"/>
    <x v="3"/>
    <x v="0"/>
    <m/>
    <m/>
    <m/>
    <m/>
    <m/>
    <m/>
    <m/>
    <m/>
    <m/>
    <m/>
    <m/>
    <m/>
    <s v="x"/>
    <s v="x"/>
    <s v="na"/>
    <s v="NRD"/>
    <s v="na"/>
    <s v="na"/>
    <s v="na"/>
    <s v="na"/>
    <s v="na"/>
    <s v="na"/>
    <s v="na"/>
    <s v="na"/>
  </r>
  <r>
    <n v="3859"/>
    <x v="85"/>
    <m/>
    <x v="14"/>
    <x v="3"/>
    <x v="0"/>
    <m/>
    <m/>
    <m/>
    <m/>
    <m/>
    <m/>
    <m/>
    <m/>
    <m/>
    <m/>
    <m/>
    <m/>
    <s v="x"/>
    <s v="x"/>
    <s v="na"/>
    <s v="NRD"/>
    <s v="na"/>
    <s v="na"/>
    <s v="na"/>
    <s v="na"/>
    <s v="na"/>
    <s v="na"/>
    <s v="na"/>
    <s v="na"/>
  </r>
  <r>
    <n v="3860"/>
    <x v="85"/>
    <m/>
    <x v="14"/>
    <x v="3"/>
    <x v="0"/>
    <m/>
    <m/>
    <m/>
    <m/>
    <m/>
    <m/>
    <m/>
    <m/>
    <m/>
    <m/>
    <m/>
    <m/>
    <s v="x"/>
    <s v="x"/>
    <s v="na"/>
    <s v="NRD"/>
    <s v="na"/>
    <s v="na"/>
    <s v="na"/>
    <s v="na"/>
    <s v="na"/>
    <s v="na"/>
    <s v="na"/>
    <s v="na"/>
  </r>
  <r>
    <n v="3861"/>
    <x v="85"/>
    <m/>
    <x v="14"/>
    <x v="3"/>
    <x v="0"/>
    <m/>
    <m/>
    <m/>
    <m/>
    <m/>
    <m/>
    <m/>
    <m/>
    <m/>
    <m/>
    <m/>
    <m/>
    <s v="x"/>
    <s v="x"/>
    <s v="na"/>
    <s v="NRD"/>
    <s v="na"/>
    <s v="na"/>
    <s v="na"/>
    <s v="na"/>
    <s v="na"/>
    <s v="na"/>
    <s v="na"/>
    <s v="na"/>
  </r>
  <r>
    <n v="3862"/>
    <x v="85"/>
    <m/>
    <x v="14"/>
    <x v="3"/>
    <x v="0"/>
    <m/>
    <m/>
    <m/>
    <m/>
    <m/>
    <m/>
    <m/>
    <m/>
    <m/>
    <m/>
    <m/>
    <m/>
    <s v="x"/>
    <s v="x"/>
    <s v="na"/>
    <s v="NRD"/>
    <s v="na"/>
    <s v="na"/>
    <s v="na"/>
    <s v="na"/>
    <s v="na"/>
    <s v="na"/>
    <s v="na"/>
    <s v="na"/>
  </r>
  <r>
    <n v="3863"/>
    <x v="85"/>
    <m/>
    <x v="14"/>
    <x v="3"/>
    <x v="0"/>
    <m/>
    <m/>
    <m/>
    <m/>
    <m/>
    <m/>
    <m/>
    <m/>
    <m/>
    <m/>
    <m/>
    <m/>
    <s v="x"/>
    <s v="x"/>
    <s v="na"/>
    <s v="NRD"/>
    <s v="na"/>
    <s v="na"/>
    <s v="na"/>
    <s v="na"/>
    <s v="na"/>
    <s v="na"/>
    <s v="na"/>
    <s v="na"/>
  </r>
  <r>
    <n v="3864"/>
    <x v="85"/>
    <m/>
    <x v="14"/>
    <x v="3"/>
    <x v="0"/>
    <m/>
    <m/>
    <m/>
    <m/>
    <m/>
    <m/>
    <m/>
    <m/>
    <m/>
    <m/>
    <m/>
    <m/>
    <s v="x"/>
    <s v="x"/>
    <s v="na"/>
    <s v="NRD"/>
    <s v="na"/>
    <s v="na"/>
    <s v="na"/>
    <s v="na"/>
    <s v="na"/>
    <s v="na"/>
    <s v="na"/>
    <s v="na"/>
  </r>
  <r>
    <n v="3865"/>
    <x v="85"/>
    <m/>
    <x v="14"/>
    <x v="3"/>
    <x v="0"/>
    <m/>
    <m/>
    <m/>
    <m/>
    <m/>
    <m/>
    <m/>
    <m/>
    <m/>
    <m/>
    <m/>
    <m/>
    <s v="x"/>
    <s v="x"/>
    <s v="na"/>
    <s v="NRD"/>
    <s v="na"/>
    <s v="na"/>
    <s v="na"/>
    <s v="na"/>
    <s v="na"/>
    <s v="na"/>
    <s v="na"/>
    <s v="na"/>
  </r>
  <r>
    <n v="3866"/>
    <x v="85"/>
    <m/>
    <x v="14"/>
    <x v="3"/>
    <x v="0"/>
    <m/>
    <m/>
    <m/>
    <m/>
    <m/>
    <m/>
    <m/>
    <m/>
    <m/>
    <m/>
    <m/>
    <m/>
    <s v="x"/>
    <s v="x"/>
    <s v="na"/>
    <s v="NRD"/>
    <s v="na"/>
    <s v="na"/>
    <s v="na"/>
    <s v="na"/>
    <s v="na"/>
    <s v="na"/>
    <s v="na"/>
    <s v="na"/>
  </r>
  <r>
    <n v="3867"/>
    <x v="85"/>
    <m/>
    <x v="14"/>
    <x v="3"/>
    <x v="0"/>
    <m/>
    <m/>
    <m/>
    <m/>
    <m/>
    <m/>
    <m/>
    <m/>
    <m/>
    <m/>
    <m/>
    <m/>
    <s v="x"/>
    <s v="x"/>
    <s v="na"/>
    <s v="NRD"/>
    <s v="na"/>
    <s v="na"/>
    <s v="na"/>
    <s v="na"/>
    <s v="na"/>
    <s v="na"/>
    <s v="na"/>
    <s v="na"/>
  </r>
  <r>
    <n v="3868"/>
    <x v="85"/>
    <m/>
    <x v="14"/>
    <x v="3"/>
    <x v="0"/>
    <m/>
    <m/>
    <m/>
    <m/>
    <m/>
    <m/>
    <m/>
    <m/>
    <m/>
    <m/>
    <m/>
    <m/>
    <s v="x"/>
    <s v="x"/>
    <s v="na"/>
    <s v="NRD"/>
    <s v="na"/>
    <s v="na"/>
    <s v="na"/>
    <s v="na"/>
    <s v="na"/>
    <s v="na"/>
    <s v="na"/>
    <s v="na"/>
  </r>
  <r>
    <n v="3869"/>
    <x v="85"/>
    <m/>
    <x v="14"/>
    <x v="3"/>
    <x v="0"/>
    <m/>
    <m/>
    <m/>
    <m/>
    <m/>
    <m/>
    <m/>
    <m/>
    <m/>
    <m/>
    <m/>
    <m/>
    <s v="x"/>
    <s v="x"/>
    <s v="na"/>
    <s v="NRD"/>
    <s v="na"/>
    <s v="na"/>
    <s v="na"/>
    <s v="na"/>
    <s v="na"/>
    <s v="na"/>
    <s v="na"/>
    <s v="na"/>
  </r>
  <r>
    <n v="3870"/>
    <x v="85"/>
    <m/>
    <x v="14"/>
    <x v="3"/>
    <x v="0"/>
    <m/>
    <m/>
    <m/>
    <m/>
    <m/>
    <m/>
    <m/>
    <m/>
    <m/>
    <m/>
    <m/>
    <m/>
    <s v="x"/>
    <s v="x"/>
    <s v="na"/>
    <s v="NRD"/>
    <s v="na"/>
    <s v="na"/>
    <s v="na"/>
    <s v="na"/>
    <s v="na"/>
    <s v="na"/>
    <s v="na"/>
    <s v="na"/>
  </r>
  <r>
    <n v="3871"/>
    <x v="85"/>
    <m/>
    <x v="14"/>
    <x v="3"/>
    <x v="0"/>
    <m/>
    <m/>
    <m/>
    <m/>
    <m/>
    <m/>
    <m/>
    <m/>
    <m/>
    <m/>
    <m/>
    <m/>
    <s v="x"/>
    <s v="x"/>
    <s v="na"/>
    <s v="NRD"/>
    <s v="na"/>
    <s v="na"/>
    <s v="na"/>
    <s v="na"/>
    <s v="na"/>
    <s v="na"/>
    <s v="na"/>
    <s v="na"/>
  </r>
  <r>
    <n v="3872"/>
    <x v="85"/>
    <m/>
    <x v="14"/>
    <x v="3"/>
    <x v="0"/>
    <m/>
    <m/>
    <m/>
    <m/>
    <m/>
    <m/>
    <m/>
    <m/>
    <m/>
    <m/>
    <m/>
    <m/>
    <s v="x"/>
    <s v="x"/>
    <s v="na"/>
    <s v="NRD"/>
    <s v="na"/>
    <s v="na"/>
    <s v="na"/>
    <s v="na"/>
    <s v="na"/>
    <s v="na"/>
    <s v="na"/>
    <s v="na"/>
  </r>
  <r>
    <n v="3873"/>
    <x v="85"/>
    <m/>
    <x v="14"/>
    <x v="3"/>
    <x v="0"/>
    <m/>
    <m/>
    <m/>
    <m/>
    <m/>
    <m/>
    <m/>
    <m/>
    <m/>
    <m/>
    <m/>
    <m/>
    <s v="x"/>
    <s v="x"/>
    <s v="na"/>
    <s v="NRD"/>
    <s v="na"/>
    <s v="na"/>
    <s v="na"/>
    <s v="na"/>
    <s v="na"/>
    <s v="na"/>
    <s v="na"/>
    <s v="na"/>
  </r>
  <r>
    <n v="3874"/>
    <x v="85"/>
    <m/>
    <x v="14"/>
    <x v="3"/>
    <x v="0"/>
    <m/>
    <m/>
    <m/>
    <m/>
    <m/>
    <m/>
    <m/>
    <m/>
    <m/>
    <m/>
    <m/>
    <m/>
    <s v="x"/>
    <s v="x"/>
    <s v="na"/>
    <s v="NRD"/>
    <s v="na"/>
    <s v="na"/>
    <s v="na"/>
    <s v="na"/>
    <s v="na"/>
    <s v="na"/>
    <s v="na"/>
    <s v="na"/>
  </r>
  <r>
    <n v="3875"/>
    <x v="85"/>
    <m/>
    <x v="14"/>
    <x v="3"/>
    <x v="0"/>
    <m/>
    <m/>
    <m/>
    <m/>
    <m/>
    <m/>
    <m/>
    <m/>
    <m/>
    <m/>
    <m/>
    <m/>
    <s v="x"/>
    <s v="x"/>
    <s v="na"/>
    <s v="NRD"/>
    <s v="na"/>
    <s v="na"/>
    <s v="na"/>
    <s v="na"/>
    <s v="na"/>
    <s v="na"/>
    <s v="na"/>
    <s v="na"/>
  </r>
  <r>
    <n v="3876"/>
    <x v="85"/>
    <m/>
    <x v="14"/>
    <x v="3"/>
    <x v="0"/>
    <m/>
    <m/>
    <m/>
    <m/>
    <m/>
    <m/>
    <m/>
    <m/>
    <m/>
    <m/>
    <m/>
    <m/>
    <s v="x"/>
    <s v="x"/>
    <s v="na"/>
    <s v="NRD"/>
    <s v="na"/>
    <s v="na"/>
    <s v="na"/>
    <s v="na"/>
    <s v="na"/>
    <s v="na"/>
    <s v="na"/>
    <s v="na"/>
  </r>
  <r>
    <n v="3877"/>
    <x v="85"/>
    <m/>
    <x v="14"/>
    <x v="3"/>
    <x v="0"/>
    <m/>
    <m/>
    <m/>
    <m/>
    <m/>
    <m/>
    <m/>
    <m/>
    <m/>
    <m/>
    <m/>
    <m/>
    <s v="x"/>
    <s v="x"/>
    <s v="na"/>
    <s v="NRD"/>
    <s v="na"/>
    <s v="na"/>
    <s v="na"/>
    <s v="na"/>
    <s v="na"/>
    <s v="na"/>
    <s v="na"/>
    <s v="na"/>
  </r>
  <r>
    <n v="3878"/>
    <x v="85"/>
    <m/>
    <x v="14"/>
    <x v="3"/>
    <x v="0"/>
    <m/>
    <m/>
    <m/>
    <m/>
    <m/>
    <m/>
    <m/>
    <m/>
    <m/>
    <m/>
    <m/>
    <m/>
    <s v="x"/>
    <s v="x"/>
    <s v="na"/>
    <s v="NRD"/>
    <s v="na"/>
    <s v="na"/>
    <s v="na"/>
    <s v="na"/>
    <s v="na"/>
    <s v="na"/>
    <s v="na"/>
    <s v="na"/>
  </r>
  <r>
    <n v="3879"/>
    <x v="85"/>
    <m/>
    <x v="14"/>
    <x v="3"/>
    <x v="0"/>
    <m/>
    <m/>
    <m/>
    <m/>
    <m/>
    <m/>
    <m/>
    <m/>
    <m/>
    <m/>
    <m/>
    <m/>
    <s v="x"/>
    <s v="x"/>
    <s v="na"/>
    <s v="NRD"/>
    <s v="na"/>
    <s v="na"/>
    <s v="na"/>
    <s v="na"/>
    <s v="na"/>
    <s v="na"/>
    <s v="na"/>
    <s v="na"/>
  </r>
  <r>
    <n v="3880"/>
    <x v="85"/>
    <m/>
    <x v="14"/>
    <x v="3"/>
    <x v="0"/>
    <m/>
    <m/>
    <m/>
    <m/>
    <m/>
    <m/>
    <m/>
    <m/>
    <m/>
    <m/>
    <m/>
    <m/>
    <s v="x"/>
    <s v="x"/>
    <s v="na"/>
    <s v="NRD"/>
    <s v="na"/>
    <s v="na"/>
    <s v="na"/>
    <s v="na"/>
    <s v="na"/>
    <s v="na"/>
    <s v="na"/>
    <s v="na"/>
  </r>
  <r>
    <n v="3881"/>
    <x v="85"/>
    <m/>
    <x v="14"/>
    <x v="3"/>
    <x v="0"/>
    <m/>
    <m/>
    <m/>
    <m/>
    <m/>
    <m/>
    <m/>
    <m/>
    <m/>
    <m/>
    <m/>
    <m/>
    <s v="x"/>
    <s v="x"/>
    <s v="na"/>
    <s v="NRD"/>
    <s v="na"/>
    <s v="na"/>
    <s v="na"/>
    <s v="na"/>
    <s v="na"/>
    <s v="na"/>
    <s v="na"/>
    <s v="na"/>
  </r>
  <r>
    <n v="3882"/>
    <x v="85"/>
    <m/>
    <x v="14"/>
    <x v="3"/>
    <x v="0"/>
    <m/>
    <m/>
    <m/>
    <m/>
    <m/>
    <m/>
    <m/>
    <m/>
    <m/>
    <m/>
    <m/>
    <m/>
    <s v="x"/>
    <s v="x"/>
    <s v="na"/>
    <s v="NRD"/>
    <s v="na"/>
    <s v="na"/>
    <s v="na"/>
    <s v="na"/>
    <s v="na"/>
    <s v="na"/>
    <s v="na"/>
    <s v="na"/>
  </r>
  <r>
    <n v="3883"/>
    <x v="85"/>
    <m/>
    <x v="14"/>
    <x v="3"/>
    <x v="0"/>
    <m/>
    <m/>
    <m/>
    <m/>
    <m/>
    <m/>
    <m/>
    <m/>
    <m/>
    <m/>
    <m/>
    <m/>
    <s v="x"/>
    <s v="x"/>
    <s v="na"/>
    <s v="NRD"/>
    <s v="na"/>
    <s v="na"/>
    <s v="na"/>
    <s v="na"/>
    <s v="na"/>
    <s v="na"/>
    <s v="na"/>
    <s v="na"/>
  </r>
  <r>
    <n v="3884"/>
    <x v="85"/>
    <m/>
    <x v="14"/>
    <x v="3"/>
    <x v="0"/>
    <m/>
    <m/>
    <m/>
    <m/>
    <m/>
    <m/>
    <m/>
    <m/>
    <m/>
    <m/>
    <m/>
    <m/>
    <s v="x"/>
    <s v="x"/>
    <s v="na"/>
    <s v="NRD"/>
    <s v="na"/>
    <s v="na"/>
    <s v="na"/>
    <s v="na"/>
    <s v="na"/>
    <s v="na"/>
    <s v="na"/>
    <s v="na"/>
  </r>
  <r>
    <n v="3885"/>
    <x v="85"/>
    <m/>
    <x v="14"/>
    <x v="3"/>
    <x v="0"/>
    <m/>
    <m/>
    <m/>
    <m/>
    <m/>
    <m/>
    <m/>
    <m/>
    <m/>
    <m/>
    <m/>
    <m/>
    <s v="x"/>
    <s v="x"/>
    <s v="na"/>
    <s v="NRD"/>
    <s v="na"/>
    <s v="na"/>
    <s v="na"/>
    <s v="na"/>
    <s v="na"/>
    <s v="na"/>
    <s v="na"/>
    <s v="na"/>
  </r>
  <r>
    <n v="3886"/>
    <x v="85"/>
    <m/>
    <x v="14"/>
    <x v="3"/>
    <x v="0"/>
    <m/>
    <m/>
    <m/>
    <m/>
    <m/>
    <m/>
    <m/>
    <m/>
    <m/>
    <m/>
    <m/>
    <m/>
    <s v="x"/>
    <s v="x"/>
    <s v="na"/>
    <s v="NRD"/>
    <s v="na"/>
    <s v="na"/>
    <s v="na"/>
    <s v="na"/>
    <s v="na"/>
    <s v="na"/>
    <s v="na"/>
    <s v="na"/>
  </r>
  <r>
    <n v="3887"/>
    <x v="85"/>
    <m/>
    <x v="14"/>
    <x v="3"/>
    <x v="0"/>
    <m/>
    <m/>
    <m/>
    <m/>
    <m/>
    <m/>
    <m/>
    <m/>
    <m/>
    <m/>
    <m/>
    <m/>
    <s v="x"/>
    <s v="x"/>
    <s v="na"/>
    <s v="NRD"/>
    <s v="na"/>
    <s v="na"/>
    <s v="na"/>
    <s v="na"/>
    <s v="na"/>
    <s v="na"/>
    <s v="na"/>
    <s v="na"/>
  </r>
  <r>
    <n v="3888"/>
    <x v="85"/>
    <m/>
    <x v="14"/>
    <x v="3"/>
    <x v="0"/>
    <m/>
    <m/>
    <m/>
    <m/>
    <m/>
    <m/>
    <m/>
    <m/>
    <m/>
    <m/>
    <m/>
    <m/>
    <s v="x"/>
    <s v="x"/>
    <s v="na"/>
    <s v="NRD"/>
    <s v="na"/>
    <s v="na"/>
    <s v="na"/>
    <s v="na"/>
    <s v="na"/>
    <s v="na"/>
    <s v="na"/>
    <s v="na"/>
  </r>
  <r>
    <n v="3889"/>
    <x v="85"/>
    <m/>
    <x v="14"/>
    <x v="3"/>
    <x v="0"/>
    <m/>
    <m/>
    <m/>
    <m/>
    <m/>
    <m/>
    <m/>
    <m/>
    <m/>
    <m/>
    <m/>
    <m/>
    <s v="x"/>
    <s v="x"/>
    <s v="na"/>
    <s v="NRD"/>
    <s v="na"/>
    <s v="na"/>
    <s v="na"/>
    <s v="na"/>
    <s v="na"/>
    <s v="na"/>
    <s v="na"/>
    <s v="na"/>
  </r>
  <r>
    <n v="3890"/>
    <x v="85"/>
    <m/>
    <x v="14"/>
    <x v="3"/>
    <x v="0"/>
    <m/>
    <m/>
    <m/>
    <m/>
    <m/>
    <m/>
    <m/>
    <m/>
    <m/>
    <m/>
    <m/>
    <m/>
    <s v="x"/>
    <s v="x"/>
    <s v="na"/>
    <s v="NRD"/>
    <s v="na"/>
    <s v="na"/>
    <s v="na"/>
    <s v="na"/>
    <s v="na"/>
    <s v="na"/>
    <s v="na"/>
    <s v="na"/>
  </r>
  <r>
    <n v="3891"/>
    <x v="85"/>
    <m/>
    <x v="14"/>
    <x v="3"/>
    <x v="0"/>
    <m/>
    <m/>
    <m/>
    <m/>
    <m/>
    <m/>
    <m/>
    <m/>
    <m/>
    <m/>
    <m/>
    <m/>
    <s v="x"/>
    <s v="x"/>
    <s v="na"/>
    <s v="NRD"/>
    <s v="na"/>
    <s v="na"/>
    <s v="na"/>
    <s v="na"/>
    <s v="na"/>
    <s v="na"/>
    <s v="na"/>
    <s v="na"/>
  </r>
  <r>
    <n v="3892"/>
    <x v="85"/>
    <m/>
    <x v="14"/>
    <x v="3"/>
    <x v="0"/>
    <m/>
    <m/>
    <m/>
    <m/>
    <m/>
    <m/>
    <m/>
    <m/>
    <m/>
    <m/>
    <m/>
    <m/>
    <s v="x"/>
    <s v="x"/>
    <s v="na"/>
    <s v="NRD"/>
    <s v="na"/>
    <s v="na"/>
    <s v="na"/>
    <s v="na"/>
    <s v="na"/>
    <s v="na"/>
    <s v="na"/>
    <s v="na"/>
  </r>
  <r>
    <n v="3893"/>
    <x v="85"/>
    <m/>
    <x v="14"/>
    <x v="3"/>
    <x v="0"/>
    <m/>
    <m/>
    <m/>
    <m/>
    <m/>
    <m/>
    <m/>
    <m/>
    <m/>
    <m/>
    <m/>
    <m/>
    <s v="x"/>
    <s v="x"/>
    <s v="na"/>
    <s v="NRD"/>
    <s v="na"/>
    <s v="na"/>
    <s v="na"/>
    <s v="na"/>
    <s v="na"/>
    <s v="na"/>
    <s v="na"/>
    <s v="na"/>
  </r>
  <r>
    <n v="3894"/>
    <x v="85"/>
    <m/>
    <x v="14"/>
    <x v="3"/>
    <x v="0"/>
    <m/>
    <m/>
    <m/>
    <m/>
    <m/>
    <m/>
    <m/>
    <m/>
    <m/>
    <m/>
    <m/>
    <m/>
    <s v="x"/>
    <s v="x"/>
    <s v="na"/>
    <s v="NRD"/>
    <s v="na"/>
    <s v="na"/>
    <s v="na"/>
    <s v="na"/>
    <s v="na"/>
    <s v="na"/>
    <s v="na"/>
    <s v="na"/>
  </r>
  <r>
    <n v="3895"/>
    <x v="85"/>
    <m/>
    <x v="14"/>
    <x v="3"/>
    <x v="0"/>
    <m/>
    <m/>
    <m/>
    <m/>
    <m/>
    <m/>
    <m/>
    <m/>
    <m/>
    <m/>
    <m/>
    <m/>
    <s v="x"/>
    <s v="x"/>
    <s v="na"/>
    <s v="NRD"/>
    <s v="na"/>
    <s v="na"/>
    <s v="na"/>
    <s v="na"/>
    <s v="na"/>
    <s v="na"/>
    <s v="na"/>
    <s v="na"/>
  </r>
  <r>
    <n v="3896"/>
    <x v="85"/>
    <m/>
    <x v="14"/>
    <x v="3"/>
    <x v="0"/>
    <m/>
    <m/>
    <m/>
    <m/>
    <m/>
    <m/>
    <m/>
    <m/>
    <m/>
    <m/>
    <m/>
    <m/>
    <s v="x"/>
    <s v="x"/>
    <s v="na"/>
    <s v="NRD"/>
    <s v="na"/>
    <s v="na"/>
    <s v="na"/>
    <s v="na"/>
    <s v="na"/>
    <s v="na"/>
    <s v="na"/>
    <s v="na"/>
  </r>
  <r>
    <n v="3897"/>
    <x v="85"/>
    <m/>
    <x v="14"/>
    <x v="3"/>
    <x v="0"/>
    <m/>
    <m/>
    <m/>
    <m/>
    <m/>
    <m/>
    <m/>
    <m/>
    <m/>
    <m/>
    <m/>
    <m/>
    <s v="x"/>
    <s v="x"/>
    <s v="na"/>
    <s v="NRD"/>
    <s v="na"/>
    <s v="na"/>
    <s v="na"/>
    <s v="na"/>
    <s v="na"/>
    <s v="na"/>
    <s v="na"/>
    <s v="na"/>
  </r>
  <r>
    <n v="3898"/>
    <x v="85"/>
    <m/>
    <x v="14"/>
    <x v="3"/>
    <x v="0"/>
    <m/>
    <m/>
    <m/>
    <m/>
    <m/>
    <m/>
    <m/>
    <m/>
    <m/>
    <m/>
    <m/>
    <m/>
    <s v="x"/>
    <s v="x"/>
    <s v="na"/>
    <s v="NRD"/>
    <s v="na"/>
    <s v="na"/>
    <s v="na"/>
    <s v="na"/>
    <s v="na"/>
    <s v="na"/>
    <s v="na"/>
    <s v="na"/>
  </r>
  <r>
    <n v="3899"/>
    <x v="85"/>
    <m/>
    <x v="14"/>
    <x v="3"/>
    <x v="0"/>
    <m/>
    <m/>
    <m/>
    <m/>
    <m/>
    <m/>
    <m/>
    <m/>
    <m/>
    <m/>
    <m/>
    <m/>
    <s v="x"/>
    <s v="x"/>
    <s v="na"/>
    <s v="NRD"/>
    <s v="na"/>
    <s v="na"/>
    <s v="na"/>
    <s v="na"/>
    <s v="na"/>
    <s v="na"/>
    <s v="na"/>
    <s v="na"/>
  </r>
  <r>
    <n v="3900"/>
    <x v="85"/>
    <m/>
    <x v="14"/>
    <x v="3"/>
    <x v="0"/>
    <m/>
    <m/>
    <m/>
    <m/>
    <m/>
    <m/>
    <m/>
    <m/>
    <m/>
    <m/>
    <m/>
    <m/>
    <s v="x"/>
    <s v="x"/>
    <s v="na"/>
    <s v="NRD"/>
    <s v="na"/>
    <s v="na"/>
    <s v="na"/>
    <s v="na"/>
    <s v="na"/>
    <s v="na"/>
    <s v="na"/>
    <s v="na"/>
  </r>
  <r>
    <n v="3901"/>
    <x v="85"/>
    <m/>
    <x v="14"/>
    <x v="3"/>
    <x v="0"/>
    <m/>
    <m/>
    <m/>
    <m/>
    <m/>
    <m/>
    <m/>
    <m/>
    <m/>
    <m/>
    <m/>
    <m/>
    <s v="x"/>
    <s v="x"/>
    <s v="na"/>
    <s v="NRD"/>
    <s v="na"/>
    <s v="na"/>
    <s v="na"/>
    <s v="na"/>
    <s v="na"/>
    <s v="na"/>
    <s v="na"/>
    <s v="na"/>
  </r>
  <r>
    <n v="3902"/>
    <x v="85"/>
    <m/>
    <x v="14"/>
    <x v="3"/>
    <x v="0"/>
    <m/>
    <m/>
    <m/>
    <m/>
    <m/>
    <m/>
    <m/>
    <m/>
    <m/>
    <m/>
    <m/>
    <m/>
    <s v="x"/>
    <s v="x"/>
    <s v="na"/>
    <s v="NRD"/>
    <s v="na"/>
    <s v="na"/>
    <s v="na"/>
    <s v="na"/>
    <s v="na"/>
    <s v="na"/>
    <s v="na"/>
    <s v="na"/>
  </r>
  <r>
    <n v="3903"/>
    <x v="85"/>
    <m/>
    <x v="14"/>
    <x v="3"/>
    <x v="0"/>
    <m/>
    <m/>
    <m/>
    <m/>
    <m/>
    <m/>
    <m/>
    <m/>
    <m/>
    <m/>
    <m/>
    <m/>
    <s v="x"/>
    <s v="x"/>
    <s v="na"/>
    <s v="NRD"/>
    <s v="na"/>
    <s v="na"/>
    <s v="na"/>
    <s v="na"/>
    <s v="na"/>
    <s v="na"/>
    <s v="na"/>
    <s v="na"/>
  </r>
  <r>
    <n v="3904"/>
    <x v="85"/>
    <m/>
    <x v="14"/>
    <x v="3"/>
    <x v="0"/>
    <m/>
    <m/>
    <m/>
    <m/>
    <m/>
    <m/>
    <m/>
    <m/>
    <m/>
    <m/>
    <m/>
    <m/>
    <s v="x"/>
    <s v="x"/>
    <s v="na"/>
    <s v="NRD"/>
    <s v="na"/>
    <s v="na"/>
    <s v="na"/>
    <s v="na"/>
    <s v="na"/>
    <s v="na"/>
    <s v="na"/>
    <s v="na"/>
  </r>
  <r>
    <n v="3905"/>
    <x v="85"/>
    <m/>
    <x v="14"/>
    <x v="3"/>
    <x v="0"/>
    <m/>
    <m/>
    <m/>
    <m/>
    <m/>
    <m/>
    <m/>
    <m/>
    <m/>
    <m/>
    <m/>
    <m/>
    <s v="x"/>
    <s v="x"/>
    <s v="na"/>
    <s v="NRD"/>
    <s v="na"/>
    <s v="na"/>
    <s v="na"/>
    <s v="na"/>
    <s v="na"/>
    <s v="na"/>
    <s v="na"/>
    <s v="na"/>
  </r>
  <r>
    <n v="3906"/>
    <x v="85"/>
    <m/>
    <x v="14"/>
    <x v="3"/>
    <x v="0"/>
    <m/>
    <m/>
    <m/>
    <m/>
    <m/>
    <m/>
    <m/>
    <m/>
    <m/>
    <m/>
    <m/>
    <m/>
    <s v="x"/>
    <s v="x"/>
    <s v="na"/>
    <s v="NRD"/>
    <s v="na"/>
    <s v="na"/>
    <s v="na"/>
    <s v="na"/>
    <s v="na"/>
    <s v="na"/>
    <s v="na"/>
    <s v="na"/>
  </r>
  <r>
    <n v="3907"/>
    <x v="85"/>
    <m/>
    <x v="14"/>
    <x v="3"/>
    <x v="0"/>
    <m/>
    <m/>
    <m/>
    <m/>
    <m/>
    <m/>
    <m/>
    <m/>
    <m/>
    <m/>
    <m/>
    <m/>
    <s v="x"/>
    <s v="x"/>
    <s v="na"/>
    <s v="NRD"/>
    <s v="na"/>
    <s v="na"/>
    <s v="na"/>
    <s v="na"/>
    <s v="na"/>
    <s v="na"/>
    <s v="na"/>
    <s v="na"/>
  </r>
  <r>
    <n v="3908"/>
    <x v="85"/>
    <m/>
    <x v="14"/>
    <x v="3"/>
    <x v="0"/>
    <m/>
    <m/>
    <m/>
    <m/>
    <m/>
    <m/>
    <m/>
    <m/>
    <m/>
    <m/>
    <m/>
    <m/>
    <s v="x"/>
    <s v="x"/>
    <s v="na"/>
    <s v="NRD"/>
    <s v="na"/>
    <s v="na"/>
    <s v="na"/>
    <s v="na"/>
    <s v="na"/>
    <s v="na"/>
    <s v="na"/>
    <s v="na"/>
  </r>
  <r>
    <n v="3909"/>
    <x v="85"/>
    <m/>
    <x v="14"/>
    <x v="3"/>
    <x v="0"/>
    <m/>
    <m/>
    <m/>
    <m/>
    <m/>
    <m/>
    <m/>
    <m/>
    <m/>
    <m/>
    <m/>
    <m/>
    <s v="x"/>
    <s v="x"/>
    <s v="na"/>
    <s v="NRD"/>
    <s v="na"/>
    <s v="na"/>
    <s v="na"/>
    <s v="na"/>
    <s v="na"/>
    <s v="na"/>
    <s v="na"/>
    <s v="na"/>
  </r>
  <r>
    <n v="3910"/>
    <x v="85"/>
    <m/>
    <x v="14"/>
    <x v="3"/>
    <x v="0"/>
    <m/>
    <m/>
    <m/>
    <m/>
    <m/>
    <m/>
    <m/>
    <m/>
    <m/>
    <m/>
    <m/>
    <m/>
    <s v="x"/>
    <s v="x"/>
    <s v="na"/>
    <s v="NRD"/>
    <s v="na"/>
    <s v="na"/>
    <s v="na"/>
    <s v="na"/>
    <s v="na"/>
    <s v="na"/>
    <s v="na"/>
    <s v="na"/>
  </r>
  <r>
    <n v="3911"/>
    <x v="85"/>
    <m/>
    <x v="14"/>
    <x v="3"/>
    <x v="0"/>
    <m/>
    <m/>
    <m/>
    <m/>
    <m/>
    <m/>
    <m/>
    <m/>
    <m/>
    <m/>
    <m/>
    <m/>
    <s v="x"/>
    <s v="x"/>
    <s v="na"/>
    <s v="NRD"/>
    <s v="na"/>
    <s v="na"/>
    <s v="na"/>
    <s v="na"/>
    <s v="na"/>
    <s v="na"/>
    <s v="na"/>
    <s v="na"/>
  </r>
  <r>
    <n v="3912"/>
    <x v="85"/>
    <m/>
    <x v="14"/>
    <x v="3"/>
    <x v="0"/>
    <m/>
    <m/>
    <m/>
    <m/>
    <m/>
    <m/>
    <m/>
    <m/>
    <m/>
    <m/>
    <m/>
    <m/>
    <s v="x"/>
    <s v="x"/>
    <s v="na"/>
    <s v="NRD"/>
    <s v="na"/>
    <s v="na"/>
    <s v="na"/>
    <s v="na"/>
    <s v="na"/>
    <s v="na"/>
    <s v="na"/>
    <s v="na"/>
  </r>
  <r>
    <n v="3913"/>
    <x v="85"/>
    <m/>
    <x v="14"/>
    <x v="3"/>
    <x v="0"/>
    <m/>
    <m/>
    <m/>
    <m/>
    <m/>
    <m/>
    <m/>
    <m/>
    <m/>
    <m/>
    <m/>
    <m/>
    <s v="x"/>
    <s v="x"/>
    <s v="na"/>
    <s v="NRD"/>
    <s v="na"/>
    <s v="na"/>
    <s v="na"/>
    <s v="na"/>
    <s v="na"/>
    <s v="na"/>
    <s v="na"/>
    <s v="na"/>
  </r>
  <r>
    <n v="3914"/>
    <x v="85"/>
    <m/>
    <x v="14"/>
    <x v="3"/>
    <x v="0"/>
    <m/>
    <m/>
    <m/>
    <m/>
    <m/>
    <m/>
    <m/>
    <m/>
    <m/>
    <m/>
    <m/>
    <m/>
    <s v="x"/>
    <s v="x"/>
    <s v="na"/>
    <s v="NRD"/>
    <s v="na"/>
    <s v="na"/>
    <s v="na"/>
    <s v="na"/>
    <s v="na"/>
    <s v="na"/>
    <s v="na"/>
    <s v="na"/>
  </r>
  <r>
    <n v="3915"/>
    <x v="85"/>
    <m/>
    <x v="14"/>
    <x v="3"/>
    <x v="0"/>
    <m/>
    <m/>
    <m/>
    <m/>
    <m/>
    <m/>
    <m/>
    <m/>
    <m/>
    <m/>
    <m/>
    <m/>
    <s v="x"/>
    <s v="x"/>
    <s v="na"/>
    <s v="NRD"/>
    <s v="na"/>
    <s v="na"/>
    <s v="na"/>
    <s v="na"/>
    <s v="na"/>
    <s v="na"/>
    <s v="na"/>
    <s v="na"/>
  </r>
  <r>
    <n v="3916"/>
    <x v="85"/>
    <m/>
    <x v="14"/>
    <x v="3"/>
    <x v="0"/>
    <m/>
    <m/>
    <m/>
    <m/>
    <m/>
    <m/>
    <m/>
    <m/>
    <m/>
    <m/>
    <m/>
    <m/>
    <s v="x"/>
    <s v="x"/>
    <s v="na"/>
    <s v="NRD"/>
    <s v="na"/>
    <s v="na"/>
    <s v="na"/>
    <s v="na"/>
    <s v="na"/>
    <s v="na"/>
    <s v="na"/>
    <s v="na"/>
  </r>
  <r>
    <n v="3917"/>
    <x v="85"/>
    <m/>
    <x v="14"/>
    <x v="3"/>
    <x v="0"/>
    <m/>
    <m/>
    <m/>
    <m/>
    <m/>
    <m/>
    <m/>
    <m/>
    <m/>
    <m/>
    <m/>
    <m/>
    <s v="x"/>
    <s v="x"/>
    <s v="na"/>
    <s v="NRD"/>
    <s v="na"/>
    <s v="na"/>
    <s v="na"/>
    <s v="na"/>
    <s v="na"/>
    <s v="na"/>
    <s v="na"/>
    <s v="na"/>
  </r>
  <r>
    <n v="3918"/>
    <x v="85"/>
    <m/>
    <x v="14"/>
    <x v="3"/>
    <x v="0"/>
    <m/>
    <m/>
    <m/>
    <m/>
    <m/>
    <m/>
    <m/>
    <m/>
    <m/>
    <m/>
    <m/>
    <m/>
    <s v="x"/>
    <s v="x"/>
    <s v="na"/>
    <s v="NRD"/>
    <s v="na"/>
    <s v="na"/>
    <s v="na"/>
    <s v="na"/>
    <s v="na"/>
    <s v="na"/>
    <s v="na"/>
    <s v="na"/>
  </r>
  <r>
    <n v="3919"/>
    <x v="85"/>
    <m/>
    <x v="14"/>
    <x v="3"/>
    <x v="0"/>
    <m/>
    <m/>
    <m/>
    <m/>
    <m/>
    <m/>
    <m/>
    <m/>
    <m/>
    <m/>
    <m/>
    <m/>
    <s v="x"/>
    <s v="x"/>
    <s v="na"/>
    <s v="NRD"/>
    <s v="na"/>
    <s v="na"/>
    <s v="na"/>
    <s v="na"/>
    <s v="na"/>
    <s v="na"/>
    <s v="na"/>
    <s v="na"/>
  </r>
  <r>
    <n v="3920"/>
    <x v="85"/>
    <m/>
    <x v="14"/>
    <x v="3"/>
    <x v="0"/>
    <m/>
    <m/>
    <m/>
    <m/>
    <m/>
    <m/>
    <m/>
    <m/>
    <m/>
    <m/>
    <m/>
    <m/>
    <s v="x"/>
    <s v="x"/>
    <s v="na"/>
    <s v="NRD"/>
    <s v="na"/>
    <s v="na"/>
    <s v="na"/>
    <s v="na"/>
    <s v="na"/>
    <s v="na"/>
    <s v="na"/>
    <s v="na"/>
  </r>
  <r>
    <n v="3921"/>
    <x v="85"/>
    <m/>
    <x v="14"/>
    <x v="3"/>
    <x v="0"/>
    <m/>
    <m/>
    <m/>
    <m/>
    <m/>
    <m/>
    <m/>
    <m/>
    <m/>
    <m/>
    <m/>
    <m/>
    <s v="x"/>
    <s v="x"/>
    <s v="na"/>
    <s v="NRD"/>
    <s v="na"/>
    <s v="na"/>
    <s v="na"/>
    <s v="na"/>
    <s v="na"/>
    <s v="na"/>
    <s v="na"/>
    <s v="na"/>
  </r>
  <r>
    <n v="3922"/>
    <x v="85"/>
    <m/>
    <x v="14"/>
    <x v="3"/>
    <x v="0"/>
    <m/>
    <m/>
    <m/>
    <m/>
    <m/>
    <m/>
    <m/>
    <m/>
    <m/>
    <m/>
    <m/>
    <m/>
    <s v="x"/>
    <s v="x"/>
    <s v="na"/>
    <s v="NRD"/>
    <s v="na"/>
    <s v="na"/>
    <s v="na"/>
    <s v="na"/>
    <s v="na"/>
    <s v="na"/>
    <s v="na"/>
    <s v="na"/>
  </r>
  <r>
    <n v="3923"/>
    <x v="85"/>
    <m/>
    <x v="14"/>
    <x v="3"/>
    <x v="0"/>
    <m/>
    <m/>
    <m/>
    <m/>
    <m/>
    <m/>
    <m/>
    <m/>
    <m/>
    <m/>
    <m/>
    <m/>
    <s v="x"/>
    <s v="x"/>
    <s v="na"/>
    <s v="NRD"/>
    <s v="na"/>
    <s v="na"/>
    <s v="na"/>
    <s v="na"/>
    <s v="na"/>
    <s v="na"/>
    <s v="na"/>
    <s v="na"/>
  </r>
  <r>
    <n v="3924"/>
    <x v="85"/>
    <m/>
    <x v="14"/>
    <x v="3"/>
    <x v="0"/>
    <m/>
    <m/>
    <m/>
    <m/>
    <m/>
    <m/>
    <m/>
    <m/>
    <m/>
    <m/>
    <m/>
    <m/>
    <s v="x"/>
    <s v="x"/>
    <s v="na"/>
    <s v="NRD"/>
    <s v="na"/>
    <s v="na"/>
    <s v="na"/>
    <s v="na"/>
    <s v="na"/>
    <s v="na"/>
    <s v="na"/>
    <s v="na"/>
  </r>
  <r>
    <n v="3925"/>
    <x v="85"/>
    <m/>
    <x v="14"/>
    <x v="3"/>
    <x v="0"/>
    <m/>
    <m/>
    <m/>
    <m/>
    <m/>
    <m/>
    <m/>
    <m/>
    <m/>
    <m/>
    <m/>
    <m/>
    <s v="x"/>
    <s v="x"/>
    <s v="na"/>
    <s v="NRD"/>
    <s v="na"/>
    <s v="na"/>
    <s v="na"/>
    <s v="na"/>
    <s v="na"/>
    <s v="na"/>
    <s v="na"/>
    <s v="na"/>
  </r>
  <r>
    <n v="3926"/>
    <x v="85"/>
    <m/>
    <x v="14"/>
    <x v="3"/>
    <x v="0"/>
    <m/>
    <m/>
    <m/>
    <m/>
    <m/>
    <m/>
    <m/>
    <m/>
    <m/>
    <m/>
    <m/>
    <m/>
    <s v="x"/>
    <s v="x"/>
    <s v="na"/>
    <s v="NRD"/>
    <s v="na"/>
    <s v="na"/>
    <s v="na"/>
    <s v="na"/>
    <s v="na"/>
    <s v="na"/>
    <s v="na"/>
    <s v="na"/>
  </r>
  <r>
    <n v="3927"/>
    <x v="85"/>
    <m/>
    <x v="14"/>
    <x v="3"/>
    <x v="0"/>
    <m/>
    <m/>
    <m/>
    <m/>
    <m/>
    <m/>
    <m/>
    <m/>
    <m/>
    <m/>
    <m/>
    <m/>
    <s v="x"/>
    <s v="x"/>
    <s v="na"/>
    <s v="NRD"/>
    <s v="na"/>
    <s v="na"/>
    <s v="na"/>
    <s v="na"/>
    <s v="na"/>
    <s v="na"/>
    <s v="na"/>
    <s v="na"/>
  </r>
  <r>
    <n v="3928"/>
    <x v="85"/>
    <m/>
    <x v="14"/>
    <x v="3"/>
    <x v="0"/>
    <m/>
    <m/>
    <m/>
    <m/>
    <m/>
    <m/>
    <m/>
    <m/>
    <m/>
    <m/>
    <m/>
    <m/>
    <s v="x"/>
    <s v="x"/>
    <s v="na"/>
    <s v="NRD"/>
    <s v="na"/>
    <s v="na"/>
    <s v="na"/>
    <s v="na"/>
    <s v="na"/>
    <s v="na"/>
    <s v="na"/>
    <s v="na"/>
  </r>
  <r>
    <n v="3929"/>
    <x v="85"/>
    <m/>
    <x v="14"/>
    <x v="3"/>
    <x v="0"/>
    <m/>
    <m/>
    <m/>
    <m/>
    <m/>
    <m/>
    <m/>
    <m/>
    <m/>
    <m/>
    <m/>
    <m/>
    <s v="x"/>
    <s v="x"/>
    <s v="na"/>
    <s v="NRD"/>
    <s v="na"/>
    <s v="na"/>
    <s v="na"/>
    <s v="na"/>
    <s v="na"/>
    <s v="na"/>
    <s v="na"/>
    <s v="na"/>
  </r>
  <r>
    <n v="3930"/>
    <x v="85"/>
    <m/>
    <x v="14"/>
    <x v="3"/>
    <x v="0"/>
    <m/>
    <m/>
    <m/>
    <m/>
    <m/>
    <m/>
    <m/>
    <m/>
    <m/>
    <m/>
    <m/>
    <m/>
    <s v="x"/>
    <s v="x"/>
    <s v="na"/>
    <s v="NRD"/>
    <s v="na"/>
    <s v="na"/>
    <s v="na"/>
    <s v="na"/>
    <s v="na"/>
    <s v="na"/>
    <s v="na"/>
    <s v="na"/>
  </r>
  <r>
    <n v="3931"/>
    <x v="85"/>
    <m/>
    <x v="14"/>
    <x v="3"/>
    <x v="0"/>
    <m/>
    <m/>
    <m/>
    <m/>
    <m/>
    <m/>
    <m/>
    <m/>
    <m/>
    <m/>
    <m/>
    <m/>
    <s v="x"/>
    <s v="x"/>
    <s v="na"/>
    <s v="NRD"/>
    <s v="na"/>
    <s v="na"/>
    <s v="na"/>
    <s v="na"/>
    <s v="na"/>
    <s v="na"/>
    <s v="na"/>
    <s v="na"/>
  </r>
  <r>
    <n v="3932"/>
    <x v="85"/>
    <m/>
    <x v="14"/>
    <x v="3"/>
    <x v="0"/>
    <m/>
    <m/>
    <m/>
    <m/>
    <m/>
    <m/>
    <m/>
    <m/>
    <m/>
    <m/>
    <m/>
    <m/>
    <s v="x"/>
    <s v="x"/>
    <s v="na"/>
    <s v="NRD"/>
    <s v="na"/>
    <s v="na"/>
    <s v="na"/>
    <s v="na"/>
    <s v="na"/>
    <s v="na"/>
    <s v="na"/>
    <s v="na"/>
  </r>
  <r>
    <n v="3933"/>
    <x v="85"/>
    <m/>
    <x v="14"/>
    <x v="3"/>
    <x v="0"/>
    <m/>
    <m/>
    <m/>
    <m/>
    <m/>
    <m/>
    <m/>
    <m/>
    <m/>
    <m/>
    <m/>
    <m/>
    <s v="x"/>
    <s v="x"/>
    <s v="na"/>
    <s v="NRD"/>
    <s v="na"/>
    <s v="na"/>
    <s v="na"/>
    <s v="na"/>
    <s v="na"/>
    <s v="na"/>
    <s v="na"/>
    <s v="na"/>
  </r>
  <r>
    <n v="3934"/>
    <x v="85"/>
    <m/>
    <x v="14"/>
    <x v="3"/>
    <x v="0"/>
    <m/>
    <m/>
    <m/>
    <m/>
    <m/>
    <m/>
    <m/>
    <m/>
    <m/>
    <m/>
    <m/>
    <m/>
    <s v="x"/>
    <s v="x"/>
    <s v="na"/>
    <s v="NRD"/>
    <s v="na"/>
    <s v="na"/>
    <s v="na"/>
    <s v="na"/>
    <s v="na"/>
    <s v="na"/>
    <s v="na"/>
    <s v="na"/>
  </r>
  <r>
    <n v="3935"/>
    <x v="85"/>
    <m/>
    <x v="14"/>
    <x v="3"/>
    <x v="0"/>
    <m/>
    <m/>
    <m/>
    <m/>
    <m/>
    <m/>
    <m/>
    <m/>
    <m/>
    <m/>
    <m/>
    <m/>
    <s v="x"/>
    <s v="x"/>
    <s v="na"/>
    <s v="NRD"/>
    <s v="na"/>
    <s v="na"/>
    <s v="na"/>
    <s v="na"/>
    <s v="na"/>
    <s v="na"/>
    <s v="na"/>
    <s v="na"/>
  </r>
  <r>
    <n v="3936"/>
    <x v="85"/>
    <m/>
    <x v="14"/>
    <x v="3"/>
    <x v="0"/>
    <m/>
    <m/>
    <m/>
    <m/>
    <m/>
    <m/>
    <m/>
    <m/>
    <m/>
    <m/>
    <m/>
    <m/>
    <s v="x"/>
    <s v="x"/>
    <s v="na"/>
    <s v="NRD"/>
    <s v="na"/>
    <s v="na"/>
    <s v="na"/>
    <s v="na"/>
    <s v="na"/>
    <s v="na"/>
    <s v="na"/>
    <s v="na"/>
  </r>
  <r>
    <n v="3937"/>
    <x v="85"/>
    <m/>
    <x v="14"/>
    <x v="3"/>
    <x v="0"/>
    <m/>
    <m/>
    <m/>
    <m/>
    <m/>
    <m/>
    <m/>
    <m/>
    <m/>
    <m/>
    <m/>
    <m/>
    <s v="x"/>
    <s v="x"/>
    <s v="na"/>
    <s v="NRD"/>
    <s v="na"/>
    <s v="na"/>
    <s v="na"/>
    <s v="na"/>
    <s v="na"/>
    <s v="na"/>
    <s v="na"/>
    <s v="na"/>
  </r>
  <r>
    <n v="3938"/>
    <x v="85"/>
    <m/>
    <x v="14"/>
    <x v="3"/>
    <x v="0"/>
    <m/>
    <m/>
    <m/>
    <m/>
    <m/>
    <m/>
    <m/>
    <m/>
    <m/>
    <m/>
    <m/>
    <m/>
    <s v="x"/>
    <s v="x"/>
    <s v="na"/>
    <s v="NRD"/>
    <s v="na"/>
    <s v="na"/>
    <s v="na"/>
    <s v="na"/>
    <s v="na"/>
    <s v="na"/>
    <s v="na"/>
    <s v="na"/>
  </r>
  <r>
    <n v="3939"/>
    <x v="85"/>
    <m/>
    <x v="14"/>
    <x v="3"/>
    <x v="0"/>
    <m/>
    <m/>
    <m/>
    <m/>
    <m/>
    <m/>
    <m/>
    <m/>
    <m/>
    <m/>
    <m/>
    <m/>
    <s v="x"/>
    <s v="x"/>
    <s v="na"/>
    <s v="NRD"/>
    <s v="na"/>
    <s v="na"/>
    <s v="na"/>
    <s v="na"/>
    <s v="na"/>
    <s v="na"/>
    <s v="na"/>
    <s v="na"/>
  </r>
  <r>
    <n v="3940"/>
    <x v="85"/>
    <m/>
    <x v="14"/>
    <x v="3"/>
    <x v="0"/>
    <m/>
    <m/>
    <m/>
    <m/>
    <m/>
    <m/>
    <m/>
    <m/>
    <m/>
    <m/>
    <m/>
    <m/>
    <s v="x"/>
    <s v="x"/>
    <s v="na"/>
    <s v="NRD"/>
    <s v="na"/>
    <s v="na"/>
    <s v="na"/>
    <s v="na"/>
    <s v="na"/>
    <s v="na"/>
    <s v="na"/>
    <s v="na"/>
  </r>
  <r>
    <n v="3941"/>
    <x v="85"/>
    <m/>
    <x v="14"/>
    <x v="3"/>
    <x v="0"/>
    <m/>
    <m/>
    <m/>
    <m/>
    <m/>
    <m/>
    <m/>
    <m/>
    <m/>
    <m/>
    <m/>
    <m/>
    <s v="x"/>
    <s v="x"/>
    <s v="na"/>
    <s v="NRD"/>
    <s v="na"/>
    <s v="na"/>
    <s v="na"/>
    <s v="na"/>
    <s v="na"/>
    <s v="na"/>
    <s v="na"/>
    <s v="na"/>
  </r>
  <r>
    <n v="3942"/>
    <x v="85"/>
    <m/>
    <x v="14"/>
    <x v="3"/>
    <x v="0"/>
    <m/>
    <m/>
    <m/>
    <m/>
    <m/>
    <m/>
    <m/>
    <m/>
    <m/>
    <m/>
    <m/>
    <m/>
    <s v="x"/>
    <s v="x"/>
    <s v="na"/>
    <s v="NRD"/>
    <s v="na"/>
    <s v="na"/>
    <s v="na"/>
    <s v="na"/>
    <s v="na"/>
    <s v="na"/>
    <s v="na"/>
    <s v="na"/>
  </r>
  <r>
    <n v="3943"/>
    <x v="85"/>
    <m/>
    <x v="14"/>
    <x v="3"/>
    <x v="0"/>
    <m/>
    <m/>
    <m/>
    <m/>
    <m/>
    <m/>
    <m/>
    <m/>
    <m/>
    <m/>
    <m/>
    <m/>
    <s v="x"/>
    <s v="x"/>
    <s v="na"/>
    <s v="NRD"/>
    <s v="na"/>
    <s v="na"/>
    <s v="na"/>
    <s v="na"/>
    <s v="na"/>
    <s v="na"/>
    <s v="na"/>
    <s v="na"/>
  </r>
  <r>
    <n v="3944"/>
    <x v="85"/>
    <m/>
    <x v="14"/>
    <x v="3"/>
    <x v="0"/>
    <m/>
    <m/>
    <m/>
    <m/>
    <m/>
    <m/>
    <m/>
    <m/>
    <m/>
    <m/>
    <m/>
    <m/>
    <s v="x"/>
    <s v="x"/>
    <s v="na"/>
    <s v="NRD"/>
    <s v="na"/>
    <s v="na"/>
    <s v="na"/>
    <s v="na"/>
    <s v="na"/>
    <s v="na"/>
    <s v="na"/>
    <s v="na"/>
  </r>
  <r>
    <n v="3945"/>
    <x v="85"/>
    <m/>
    <x v="14"/>
    <x v="3"/>
    <x v="0"/>
    <m/>
    <m/>
    <m/>
    <m/>
    <m/>
    <m/>
    <m/>
    <m/>
    <m/>
    <m/>
    <m/>
    <m/>
    <s v="x"/>
    <s v="x"/>
    <s v="na"/>
    <s v="NRD"/>
    <s v="na"/>
    <s v="na"/>
    <s v="na"/>
    <s v="na"/>
    <s v="na"/>
    <s v="na"/>
    <s v="na"/>
    <s v="na"/>
  </r>
  <r>
    <n v="3946"/>
    <x v="85"/>
    <m/>
    <x v="14"/>
    <x v="3"/>
    <x v="0"/>
    <m/>
    <m/>
    <m/>
    <m/>
    <m/>
    <m/>
    <m/>
    <m/>
    <m/>
    <m/>
    <m/>
    <m/>
    <s v="x"/>
    <s v="x"/>
    <s v="na"/>
    <s v="NRD"/>
    <s v="na"/>
    <s v="na"/>
    <s v="na"/>
    <s v="na"/>
    <s v="na"/>
    <s v="na"/>
    <s v="na"/>
    <s v="na"/>
  </r>
  <r>
    <n v="3947"/>
    <x v="85"/>
    <m/>
    <x v="14"/>
    <x v="3"/>
    <x v="0"/>
    <m/>
    <m/>
    <m/>
    <m/>
    <m/>
    <m/>
    <m/>
    <m/>
    <m/>
    <m/>
    <m/>
    <m/>
    <s v="x"/>
    <s v="x"/>
    <s v="na"/>
    <s v="NRD"/>
    <s v="na"/>
    <s v="na"/>
    <s v="na"/>
    <s v="na"/>
    <s v="na"/>
    <s v="na"/>
    <s v="na"/>
    <s v="na"/>
  </r>
  <r>
    <n v="3948"/>
    <x v="85"/>
    <m/>
    <x v="14"/>
    <x v="3"/>
    <x v="0"/>
    <m/>
    <m/>
    <m/>
    <m/>
    <m/>
    <m/>
    <m/>
    <m/>
    <m/>
    <m/>
    <m/>
    <m/>
    <s v="x"/>
    <s v="x"/>
    <s v="na"/>
    <s v="NRD"/>
    <s v="na"/>
    <s v="na"/>
    <s v="na"/>
    <s v="na"/>
    <s v="na"/>
    <s v="na"/>
    <s v="na"/>
    <s v="na"/>
  </r>
  <r>
    <n v="3949"/>
    <x v="85"/>
    <m/>
    <x v="14"/>
    <x v="3"/>
    <x v="0"/>
    <m/>
    <m/>
    <m/>
    <m/>
    <m/>
    <m/>
    <m/>
    <m/>
    <m/>
    <m/>
    <m/>
    <m/>
    <s v="x"/>
    <s v="x"/>
    <s v="na"/>
    <s v="NRD"/>
    <s v="na"/>
    <s v="na"/>
    <s v="na"/>
    <s v="na"/>
    <s v="na"/>
    <s v="na"/>
    <s v="na"/>
    <s v="na"/>
  </r>
  <r>
    <n v="3950"/>
    <x v="85"/>
    <m/>
    <x v="14"/>
    <x v="3"/>
    <x v="0"/>
    <m/>
    <m/>
    <m/>
    <m/>
    <m/>
    <m/>
    <m/>
    <m/>
    <m/>
    <m/>
    <m/>
    <m/>
    <s v="x"/>
    <s v="x"/>
    <s v="na"/>
    <s v="NRD"/>
    <s v="na"/>
    <s v="na"/>
    <s v="na"/>
    <s v="na"/>
    <s v="na"/>
    <s v="na"/>
    <s v="na"/>
    <s v="na"/>
  </r>
  <r>
    <n v="3951"/>
    <x v="85"/>
    <m/>
    <x v="14"/>
    <x v="3"/>
    <x v="0"/>
    <m/>
    <m/>
    <m/>
    <m/>
    <m/>
    <m/>
    <m/>
    <m/>
    <m/>
    <m/>
    <m/>
    <m/>
    <s v="x"/>
    <s v="x"/>
    <s v="na"/>
    <s v="NRD"/>
    <s v="na"/>
    <s v="na"/>
    <s v="na"/>
    <s v="na"/>
    <s v="na"/>
    <s v="na"/>
    <s v="na"/>
    <s v="na"/>
  </r>
  <r>
    <n v="3952"/>
    <x v="85"/>
    <m/>
    <x v="14"/>
    <x v="3"/>
    <x v="0"/>
    <m/>
    <m/>
    <m/>
    <m/>
    <m/>
    <m/>
    <m/>
    <m/>
    <m/>
    <m/>
    <m/>
    <m/>
    <s v="x"/>
    <s v="x"/>
    <s v="na"/>
    <s v="NRD"/>
    <s v="na"/>
    <s v="na"/>
    <s v="na"/>
    <s v="na"/>
    <s v="na"/>
    <s v="na"/>
    <s v="na"/>
    <s v="na"/>
  </r>
  <r>
    <n v="3953"/>
    <x v="85"/>
    <m/>
    <x v="14"/>
    <x v="3"/>
    <x v="0"/>
    <m/>
    <m/>
    <m/>
    <m/>
    <m/>
    <m/>
    <m/>
    <m/>
    <m/>
    <m/>
    <m/>
    <m/>
    <s v="x"/>
    <s v="x"/>
    <s v="na"/>
    <s v="NRD"/>
    <s v="na"/>
    <s v="na"/>
    <s v="na"/>
    <s v="na"/>
    <s v="na"/>
    <s v="na"/>
    <s v="na"/>
    <s v="na"/>
  </r>
  <r>
    <n v="3954"/>
    <x v="85"/>
    <m/>
    <x v="14"/>
    <x v="3"/>
    <x v="0"/>
    <m/>
    <m/>
    <m/>
    <m/>
    <m/>
    <m/>
    <m/>
    <m/>
    <m/>
    <m/>
    <m/>
    <m/>
    <s v="x"/>
    <s v="x"/>
    <s v="na"/>
    <s v="NRD"/>
    <s v="na"/>
    <s v="na"/>
    <s v="na"/>
    <s v="na"/>
    <s v="na"/>
    <s v="na"/>
    <s v="na"/>
    <s v="na"/>
  </r>
  <r>
    <n v="3955"/>
    <x v="85"/>
    <m/>
    <x v="14"/>
    <x v="3"/>
    <x v="0"/>
    <m/>
    <m/>
    <m/>
    <m/>
    <m/>
    <m/>
    <m/>
    <m/>
    <m/>
    <m/>
    <m/>
    <m/>
    <s v="x"/>
    <s v="x"/>
    <s v="na"/>
    <s v="NRD"/>
    <s v="na"/>
    <s v="na"/>
    <s v="na"/>
    <s v="na"/>
    <s v="na"/>
    <s v="na"/>
    <s v="na"/>
    <s v="na"/>
  </r>
  <r>
    <n v="3956"/>
    <x v="85"/>
    <m/>
    <x v="14"/>
    <x v="3"/>
    <x v="0"/>
    <m/>
    <m/>
    <m/>
    <m/>
    <m/>
    <m/>
    <m/>
    <m/>
    <m/>
    <m/>
    <m/>
    <m/>
    <s v="x"/>
    <s v="x"/>
    <s v="na"/>
    <s v="NRD"/>
    <s v="na"/>
    <s v="na"/>
    <s v="na"/>
    <s v="na"/>
    <s v="na"/>
    <s v="na"/>
    <s v="na"/>
    <s v="na"/>
  </r>
  <r>
    <n v="3957"/>
    <x v="85"/>
    <m/>
    <x v="14"/>
    <x v="3"/>
    <x v="0"/>
    <m/>
    <m/>
    <m/>
    <m/>
    <m/>
    <m/>
    <m/>
    <m/>
    <m/>
    <m/>
    <m/>
    <m/>
    <s v="x"/>
    <s v="x"/>
    <s v="na"/>
    <s v="NRD"/>
    <s v="na"/>
    <s v="na"/>
    <s v="na"/>
    <s v="na"/>
    <s v="na"/>
    <s v="na"/>
    <s v="na"/>
    <s v="na"/>
  </r>
  <r>
    <n v="3958"/>
    <x v="85"/>
    <m/>
    <x v="14"/>
    <x v="3"/>
    <x v="0"/>
    <m/>
    <m/>
    <m/>
    <m/>
    <m/>
    <m/>
    <m/>
    <m/>
    <m/>
    <m/>
    <m/>
    <m/>
    <s v="x"/>
    <s v="x"/>
    <s v="na"/>
    <s v="NRD"/>
    <s v="na"/>
    <s v="na"/>
    <s v="na"/>
    <s v="na"/>
    <s v="na"/>
    <s v="na"/>
    <s v="na"/>
    <s v="na"/>
  </r>
  <r>
    <n v="3959"/>
    <x v="85"/>
    <m/>
    <x v="14"/>
    <x v="3"/>
    <x v="0"/>
    <m/>
    <m/>
    <m/>
    <m/>
    <m/>
    <m/>
    <m/>
    <m/>
    <m/>
    <m/>
    <m/>
    <m/>
    <s v="x"/>
    <s v="x"/>
    <s v="na"/>
    <s v="NRD"/>
    <s v="na"/>
    <s v="na"/>
    <s v="na"/>
    <s v="na"/>
    <s v="na"/>
    <s v="na"/>
    <s v="na"/>
    <s v="na"/>
  </r>
  <r>
    <n v="3960"/>
    <x v="85"/>
    <m/>
    <x v="14"/>
    <x v="3"/>
    <x v="0"/>
    <m/>
    <m/>
    <m/>
    <m/>
    <m/>
    <m/>
    <m/>
    <m/>
    <m/>
    <m/>
    <m/>
    <m/>
    <s v="x"/>
    <s v="x"/>
    <s v="na"/>
    <s v="NRD"/>
    <s v="na"/>
    <s v="na"/>
    <s v="na"/>
    <s v="na"/>
    <s v="na"/>
    <s v="na"/>
    <s v="na"/>
    <s v="na"/>
  </r>
  <r>
    <n v="3961"/>
    <x v="85"/>
    <m/>
    <x v="14"/>
    <x v="3"/>
    <x v="0"/>
    <m/>
    <m/>
    <m/>
    <m/>
    <m/>
    <m/>
    <m/>
    <m/>
    <m/>
    <m/>
    <m/>
    <m/>
    <s v="x"/>
    <s v="x"/>
    <s v="na"/>
    <s v="NRD"/>
    <s v="na"/>
    <s v="na"/>
    <s v="na"/>
    <s v="na"/>
    <s v="na"/>
    <s v="na"/>
    <s v="na"/>
    <s v="na"/>
  </r>
  <r>
    <n v="3962"/>
    <x v="85"/>
    <m/>
    <x v="14"/>
    <x v="3"/>
    <x v="0"/>
    <m/>
    <m/>
    <m/>
    <m/>
    <m/>
    <m/>
    <m/>
    <m/>
    <m/>
    <m/>
    <m/>
    <m/>
    <s v="x"/>
    <s v="x"/>
    <s v="na"/>
    <s v="NRD"/>
    <s v="na"/>
    <s v="na"/>
    <s v="na"/>
    <s v="na"/>
    <s v="na"/>
    <s v="na"/>
    <s v="na"/>
    <s v="na"/>
  </r>
  <r>
    <n v="3963"/>
    <x v="85"/>
    <m/>
    <x v="14"/>
    <x v="3"/>
    <x v="0"/>
    <m/>
    <m/>
    <m/>
    <m/>
    <m/>
    <m/>
    <m/>
    <m/>
    <m/>
    <m/>
    <m/>
    <m/>
    <s v="x"/>
    <s v="x"/>
    <s v="na"/>
    <s v="NRD"/>
    <s v="na"/>
    <s v="na"/>
    <s v="na"/>
    <s v="na"/>
    <s v="na"/>
    <s v="na"/>
    <s v="na"/>
    <s v="na"/>
  </r>
  <r>
    <n v="3964"/>
    <x v="85"/>
    <m/>
    <x v="14"/>
    <x v="3"/>
    <x v="0"/>
    <m/>
    <m/>
    <m/>
    <m/>
    <m/>
    <m/>
    <m/>
    <m/>
    <m/>
    <m/>
    <m/>
    <m/>
    <s v="x"/>
    <s v="x"/>
    <s v="na"/>
    <s v="NRD"/>
    <s v="na"/>
    <s v="na"/>
    <s v="na"/>
    <s v="na"/>
    <s v="na"/>
    <s v="na"/>
    <s v="na"/>
    <s v="na"/>
  </r>
  <r>
    <n v="3965"/>
    <x v="85"/>
    <m/>
    <x v="14"/>
    <x v="3"/>
    <x v="0"/>
    <m/>
    <m/>
    <m/>
    <m/>
    <m/>
    <m/>
    <m/>
    <m/>
    <m/>
    <m/>
    <m/>
    <m/>
    <s v="x"/>
    <s v="x"/>
    <s v="na"/>
    <s v="NRD"/>
    <s v="na"/>
    <s v="na"/>
    <s v="na"/>
    <s v="na"/>
    <s v="na"/>
    <s v="na"/>
    <s v="na"/>
    <s v="na"/>
  </r>
  <r>
    <n v="3966"/>
    <x v="85"/>
    <m/>
    <x v="14"/>
    <x v="3"/>
    <x v="0"/>
    <m/>
    <m/>
    <m/>
    <m/>
    <m/>
    <m/>
    <m/>
    <m/>
    <m/>
    <m/>
    <m/>
    <m/>
    <s v="x"/>
    <s v="x"/>
    <s v="na"/>
    <s v="NRD"/>
    <s v="na"/>
    <s v="na"/>
    <s v="na"/>
    <s v="na"/>
    <s v="na"/>
    <s v="na"/>
    <s v="na"/>
    <s v="na"/>
  </r>
  <r>
    <n v="3967"/>
    <x v="85"/>
    <m/>
    <x v="14"/>
    <x v="3"/>
    <x v="0"/>
    <m/>
    <m/>
    <m/>
    <m/>
    <m/>
    <m/>
    <m/>
    <m/>
    <m/>
    <m/>
    <m/>
    <m/>
    <s v="x"/>
    <s v="x"/>
    <s v="na"/>
    <s v="NRD"/>
    <s v="na"/>
    <s v="na"/>
    <s v="na"/>
    <s v="na"/>
    <s v="na"/>
    <s v="na"/>
    <s v="na"/>
    <s v="na"/>
  </r>
  <r>
    <n v="3968"/>
    <x v="85"/>
    <m/>
    <x v="14"/>
    <x v="3"/>
    <x v="0"/>
    <m/>
    <m/>
    <m/>
    <m/>
    <m/>
    <m/>
    <m/>
    <m/>
    <m/>
    <m/>
    <m/>
    <m/>
    <s v="x"/>
    <s v="x"/>
    <s v="na"/>
    <s v="NRD"/>
    <s v="na"/>
    <s v="na"/>
    <s v="na"/>
    <s v="na"/>
    <s v="na"/>
    <s v="na"/>
    <s v="na"/>
    <s v="na"/>
  </r>
  <r>
    <n v="3969"/>
    <x v="85"/>
    <m/>
    <x v="14"/>
    <x v="3"/>
    <x v="0"/>
    <m/>
    <m/>
    <m/>
    <m/>
    <m/>
    <m/>
    <m/>
    <m/>
    <m/>
    <m/>
    <m/>
    <m/>
    <s v="x"/>
    <s v="x"/>
    <s v="na"/>
    <s v="NRD"/>
    <s v="na"/>
    <s v="na"/>
    <s v="na"/>
    <s v="na"/>
    <s v="na"/>
    <s v="na"/>
    <s v="na"/>
    <s v="na"/>
  </r>
  <r>
    <n v="3970"/>
    <x v="85"/>
    <m/>
    <x v="14"/>
    <x v="3"/>
    <x v="0"/>
    <m/>
    <m/>
    <m/>
    <m/>
    <m/>
    <m/>
    <m/>
    <m/>
    <m/>
    <m/>
    <m/>
    <m/>
    <s v="x"/>
    <s v="x"/>
    <s v="na"/>
    <s v="NRD"/>
    <s v="na"/>
    <s v="na"/>
    <s v="na"/>
    <s v="na"/>
    <s v="na"/>
    <s v="na"/>
    <s v="na"/>
    <s v="na"/>
  </r>
  <r>
    <n v="3971"/>
    <x v="85"/>
    <m/>
    <x v="14"/>
    <x v="3"/>
    <x v="0"/>
    <m/>
    <m/>
    <m/>
    <m/>
    <m/>
    <m/>
    <m/>
    <m/>
    <m/>
    <m/>
    <m/>
    <m/>
    <s v="x"/>
    <s v="x"/>
    <s v="na"/>
    <s v="NRD"/>
    <s v="na"/>
    <s v="na"/>
    <s v="na"/>
    <s v="na"/>
    <s v="na"/>
    <s v="na"/>
    <s v="na"/>
    <s v="na"/>
  </r>
  <r>
    <n v="3972"/>
    <x v="85"/>
    <m/>
    <x v="14"/>
    <x v="3"/>
    <x v="0"/>
    <m/>
    <m/>
    <m/>
    <m/>
    <m/>
    <m/>
    <m/>
    <m/>
    <m/>
    <m/>
    <m/>
    <m/>
    <s v="x"/>
    <s v="x"/>
    <s v="na"/>
    <s v="NRD"/>
    <s v="na"/>
    <s v="na"/>
    <s v="na"/>
    <s v="na"/>
    <s v="na"/>
    <s v="na"/>
    <s v="na"/>
    <s v="na"/>
  </r>
  <r>
    <n v="3973"/>
    <x v="85"/>
    <m/>
    <x v="14"/>
    <x v="3"/>
    <x v="0"/>
    <m/>
    <m/>
    <m/>
    <m/>
    <m/>
    <m/>
    <m/>
    <m/>
    <m/>
    <m/>
    <m/>
    <m/>
    <s v="x"/>
    <s v="x"/>
    <s v="na"/>
    <s v="NRD"/>
    <s v="na"/>
    <s v="na"/>
    <s v="na"/>
    <s v="na"/>
    <s v="na"/>
    <s v="na"/>
    <s v="na"/>
    <s v="na"/>
  </r>
  <r>
    <n v="3974"/>
    <x v="85"/>
    <m/>
    <x v="14"/>
    <x v="3"/>
    <x v="0"/>
    <m/>
    <m/>
    <m/>
    <m/>
    <m/>
    <m/>
    <m/>
    <m/>
    <m/>
    <m/>
    <m/>
    <m/>
    <s v="x"/>
    <s v="x"/>
    <s v="na"/>
    <s v="NRD"/>
    <s v="na"/>
    <s v="na"/>
    <s v="na"/>
    <s v="na"/>
    <s v="na"/>
    <s v="na"/>
    <s v="na"/>
    <s v="na"/>
  </r>
  <r>
    <n v="3975"/>
    <x v="85"/>
    <m/>
    <x v="14"/>
    <x v="3"/>
    <x v="0"/>
    <m/>
    <m/>
    <m/>
    <m/>
    <m/>
    <m/>
    <m/>
    <m/>
    <m/>
    <m/>
    <m/>
    <m/>
    <s v="x"/>
    <s v="x"/>
    <s v="na"/>
    <s v="NRD"/>
    <s v="na"/>
    <s v="na"/>
    <s v="na"/>
    <s v="na"/>
    <s v="na"/>
    <s v="na"/>
    <s v="na"/>
    <s v="na"/>
  </r>
  <r>
    <n v="3976"/>
    <x v="85"/>
    <m/>
    <x v="14"/>
    <x v="3"/>
    <x v="0"/>
    <m/>
    <m/>
    <m/>
    <m/>
    <m/>
    <m/>
    <m/>
    <m/>
    <m/>
    <m/>
    <m/>
    <m/>
    <s v="x"/>
    <s v="x"/>
    <s v="na"/>
    <s v="NRD"/>
    <s v="na"/>
    <s v="na"/>
    <s v="na"/>
    <s v="na"/>
    <s v="na"/>
    <s v="na"/>
    <s v="na"/>
    <s v="na"/>
  </r>
  <r>
    <n v="3977"/>
    <x v="85"/>
    <m/>
    <x v="14"/>
    <x v="3"/>
    <x v="0"/>
    <m/>
    <m/>
    <m/>
    <m/>
    <m/>
    <m/>
    <m/>
    <m/>
    <m/>
    <m/>
    <m/>
    <m/>
    <s v="x"/>
    <s v="x"/>
    <s v="na"/>
    <s v="NRD"/>
    <s v="na"/>
    <s v="na"/>
    <s v="na"/>
    <s v="na"/>
    <s v="na"/>
    <s v="na"/>
    <s v="na"/>
    <s v="na"/>
  </r>
  <r>
    <n v="3978"/>
    <x v="85"/>
    <m/>
    <x v="14"/>
    <x v="3"/>
    <x v="0"/>
    <m/>
    <m/>
    <m/>
    <m/>
    <m/>
    <m/>
    <m/>
    <m/>
    <m/>
    <m/>
    <m/>
    <m/>
    <s v="x"/>
    <s v="x"/>
    <s v="na"/>
    <s v="NRD"/>
    <s v="na"/>
    <s v="na"/>
    <s v="na"/>
    <s v="na"/>
    <s v="na"/>
    <s v="na"/>
    <s v="na"/>
    <s v="na"/>
  </r>
  <r>
    <n v="3979"/>
    <x v="85"/>
    <m/>
    <x v="14"/>
    <x v="3"/>
    <x v="0"/>
    <m/>
    <m/>
    <m/>
    <m/>
    <m/>
    <m/>
    <m/>
    <m/>
    <m/>
    <m/>
    <m/>
    <m/>
    <s v="x"/>
    <s v="x"/>
    <s v="na"/>
    <s v="NRD"/>
    <s v="na"/>
    <s v="na"/>
    <s v="na"/>
    <s v="na"/>
    <s v="na"/>
    <s v="na"/>
    <s v="na"/>
    <s v="na"/>
  </r>
  <r>
    <n v="3980"/>
    <x v="85"/>
    <m/>
    <x v="14"/>
    <x v="3"/>
    <x v="0"/>
    <m/>
    <m/>
    <m/>
    <m/>
    <m/>
    <m/>
    <m/>
    <m/>
    <m/>
    <m/>
    <m/>
    <m/>
    <s v="x"/>
    <s v="x"/>
    <s v="na"/>
    <s v="NRD"/>
    <s v="na"/>
    <s v="na"/>
    <s v="na"/>
    <s v="na"/>
    <s v="na"/>
    <s v="na"/>
    <s v="na"/>
    <s v="na"/>
  </r>
  <r>
    <n v="3981"/>
    <x v="85"/>
    <m/>
    <x v="14"/>
    <x v="3"/>
    <x v="0"/>
    <m/>
    <m/>
    <m/>
    <m/>
    <m/>
    <m/>
    <m/>
    <m/>
    <m/>
    <m/>
    <m/>
    <m/>
    <s v="x"/>
    <s v="x"/>
    <s v="na"/>
    <s v="NRD"/>
    <s v="na"/>
    <s v="na"/>
    <s v="na"/>
    <s v="na"/>
    <s v="na"/>
    <s v="na"/>
    <s v="na"/>
    <s v="na"/>
  </r>
  <r>
    <n v="3982"/>
    <x v="85"/>
    <m/>
    <x v="14"/>
    <x v="3"/>
    <x v="0"/>
    <m/>
    <m/>
    <m/>
    <m/>
    <m/>
    <m/>
    <m/>
    <m/>
    <m/>
    <m/>
    <m/>
    <m/>
    <s v="x"/>
    <s v="x"/>
    <s v="na"/>
    <s v="NRD"/>
    <s v="na"/>
    <s v="na"/>
    <s v="na"/>
    <s v="na"/>
    <s v="na"/>
    <s v="na"/>
    <s v="na"/>
    <s v="na"/>
  </r>
  <r>
    <n v="3983"/>
    <x v="85"/>
    <m/>
    <x v="14"/>
    <x v="3"/>
    <x v="0"/>
    <m/>
    <m/>
    <m/>
    <m/>
    <m/>
    <m/>
    <m/>
    <m/>
    <m/>
    <m/>
    <m/>
    <m/>
    <s v="x"/>
    <s v="x"/>
    <s v="na"/>
    <s v="NRD"/>
    <s v="na"/>
    <s v="na"/>
    <s v="na"/>
    <s v="na"/>
    <s v="na"/>
    <s v="na"/>
    <s v="na"/>
    <s v="na"/>
  </r>
  <r>
    <n v="3984"/>
    <x v="85"/>
    <m/>
    <x v="14"/>
    <x v="3"/>
    <x v="0"/>
    <m/>
    <m/>
    <m/>
    <m/>
    <m/>
    <m/>
    <m/>
    <m/>
    <m/>
    <m/>
    <m/>
    <m/>
    <s v="x"/>
    <s v="x"/>
    <s v="na"/>
    <s v="NRD"/>
    <s v="na"/>
    <s v="na"/>
    <s v="na"/>
    <s v="na"/>
    <s v="na"/>
    <s v="na"/>
    <s v="na"/>
    <s v="na"/>
  </r>
  <r>
    <n v="3985"/>
    <x v="85"/>
    <m/>
    <x v="14"/>
    <x v="3"/>
    <x v="0"/>
    <m/>
    <m/>
    <m/>
    <m/>
    <m/>
    <m/>
    <m/>
    <m/>
    <m/>
    <m/>
    <m/>
    <m/>
    <s v="x"/>
    <s v="x"/>
    <s v="na"/>
    <s v="NRD"/>
    <s v="na"/>
    <s v="na"/>
    <s v="na"/>
    <s v="na"/>
    <s v="na"/>
    <s v="na"/>
    <s v="na"/>
    <s v="na"/>
  </r>
  <r>
    <n v="3986"/>
    <x v="85"/>
    <m/>
    <x v="14"/>
    <x v="3"/>
    <x v="0"/>
    <m/>
    <m/>
    <m/>
    <m/>
    <m/>
    <m/>
    <m/>
    <m/>
    <m/>
    <m/>
    <m/>
    <m/>
    <s v="x"/>
    <s v="x"/>
    <s v="na"/>
    <s v="NRD"/>
    <s v="na"/>
    <s v="na"/>
    <s v="na"/>
    <s v="na"/>
    <s v="na"/>
    <s v="na"/>
    <s v="na"/>
    <s v="na"/>
  </r>
  <r>
    <n v="3987"/>
    <x v="85"/>
    <m/>
    <x v="14"/>
    <x v="3"/>
    <x v="0"/>
    <m/>
    <m/>
    <m/>
    <m/>
    <m/>
    <m/>
    <m/>
    <m/>
    <m/>
    <m/>
    <m/>
    <m/>
    <s v="x"/>
    <s v="x"/>
    <s v="na"/>
    <s v="NRD"/>
    <s v="na"/>
    <s v="na"/>
    <s v="na"/>
    <s v="na"/>
    <s v="na"/>
    <s v="na"/>
    <s v="na"/>
    <s v="na"/>
  </r>
  <r>
    <n v="3988"/>
    <x v="85"/>
    <m/>
    <x v="14"/>
    <x v="3"/>
    <x v="0"/>
    <m/>
    <m/>
    <m/>
    <m/>
    <m/>
    <m/>
    <m/>
    <m/>
    <m/>
    <m/>
    <m/>
    <m/>
    <s v="x"/>
    <s v="x"/>
    <s v="na"/>
    <s v="NRD"/>
    <s v="na"/>
    <s v="na"/>
    <s v="na"/>
    <s v="na"/>
    <s v="na"/>
    <s v="na"/>
    <s v="na"/>
    <s v="na"/>
  </r>
  <r>
    <n v="3989"/>
    <x v="85"/>
    <m/>
    <x v="14"/>
    <x v="3"/>
    <x v="0"/>
    <m/>
    <m/>
    <m/>
    <m/>
    <m/>
    <m/>
    <m/>
    <m/>
    <m/>
    <m/>
    <m/>
    <m/>
    <s v="x"/>
    <s v="x"/>
    <s v="na"/>
    <s v="NRD"/>
    <s v="na"/>
    <s v="na"/>
    <s v="na"/>
    <s v="na"/>
    <s v="na"/>
    <s v="na"/>
    <s v="na"/>
    <s v="na"/>
  </r>
  <r>
    <n v="3990"/>
    <x v="85"/>
    <m/>
    <x v="14"/>
    <x v="3"/>
    <x v="0"/>
    <m/>
    <m/>
    <m/>
    <m/>
    <m/>
    <m/>
    <m/>
    <m/>
    <m/>
    <m/>
    <m/>
    <m/>
    <s v="x"/>
    <s v="x"/>
    <s v="na"/>
    <s v="NRD"/>
    <s v="na"/>
    <s v="na"/>
    <s v="na"/>
    <s v="na"/>
    <s v="na"/>
    <s v="na"/>
    <s v="na"/>
    <s v="na"/>
  </r>
  <r>
    <n v="3991"/>
    <x v="85"/>
    <m/>
    <x v="14"/>
    <x v="3"/>
    <x v="0"/>
    <m/>
    <m/>
    <m/>
    <m/>
    <m/>
    <m/>
    <m/>
    <m/>
    <m/>
    <m/>
    <m/>
    <m/>
    <s v="x"/>
    <s v="x"/>
    <s v="na"/>
    <s v="NRD"/>
    <s v="na"/>
    <s v="na"/>
    <s v="na"/>
    <s v="na"/>
    <s v="na"/>
    <s v="na"/>
    <s v="na"/>
    <s v="na"/>
  </r>
  <r>
    <n v="3992"/>
    <x v="85"/>
    <m/>
    <x v="14"/>
    <x v="3"/>
    <x v="0"/>
    <m/>
    <m/>
    <m/>
    <m/>
    <m/>
    <m/>
    <m/>
    <m/>
    <m/>
    <m/>
    <m/>
    <m/>
    <s v="x"/>
    <s v="x"/>
    <s v="na"/>
    <s v="NRD"/>
    <s v="na"/>
    <s v="na"/>
    <s v="na"/>
    <s v="na"/>
    <s v="na"/>
    <s v="na"/>
    <s v="na"/>
    <s v="na"/>
  </r>
  <r>
    <n v="3993"/>
    <x v="85"/>
    <m/>
    <x v="14"/>
    <x v="3"/>
    <x v="0"/>
    <m/>
    <m/>
    <m/>
    <m/>
    <m/>
    <m/>
    <m/>
    <m/>
    <m/>
    <m/>
    <m/>
    <m/>
    <s v="x"/>
    <s v="x"/>
    <s v="na"/>
    <s v="NRD"/>
    <s v="na"/>
    <s v="na"/>
    <s v="na"/>
    <s v="na"/>
    <s v="na"/>
    <s v="na"/>
    <s v="na"/>
    <s v="na"/>
  </r>
  <r>
    <n v="3994"/>
    <x v="85"/>
    <m/>
    <x v="14"/>
    <x v="3"/>
    <x v="0"/>
    <m/>
    <m/>
    <m/>
    <m/>
    <m/>
    <m/>
    <m/>
    <m/>
    <m/>
    <m/>
    <m/>
    <m/>
    <s v="x"/>
    <s v="x"/>
    <s v="na"/>
    <s v="NRD"/>
    <s v="na"/>
    <s v="na"/>
    <s v="na"/>
    <s v="na"/>
    <s v="na"/>
    <s v="na"/>
    <s v="na"/>
    <s v="na"/>
  </r>
  <r>
    <n v="3995"/>
    <x v="85"/>
    <m/>
    <x v="14"/>
    <x v="3"/>
    <x v="0"/>
    <m/>
    <m/>
    <m/>
    <m/>
    <m/>
    <m/>
    <m/>
    <m/>
    <m/>
    <m/>
    <m/>
    <m/>
    <s v="x"/>
    <s v="x"/>
    <s v="na"/>
    <s v="NRD"/>
    <s v="na"/>
    <s v="na"/>
    <s v="na"/>
    <s v="na"/>
    <s v="na"/>
    <s v="na"/>
    <s v="na"/>
    <s v="na"/>
  </r>
  <r>
    <n v="3996"/>
    <x v="85"/>
    <m/>
    <x v="14"/>
    <x v="3"/>
    <x v="0"/>
    <m/>
    <m/>
    <m/>
    <m/>
    <m/>
    <m/>
    <m/>
    <m/>
    <m/>
    <m/>
    <m/>
    <m/>
    <s v="x"/>
    <s v="x"/>
    <s v="na"/>
    <s v="NRD"/>
    <s v="na"/>
    <s v="na"/>
    <s v="na"/>
    <s v="na"/>
    <s v="na"/>
    <s v="na"/>
    <s v="na"/>
    <s v="na"/>
  </r>
  <r>
    <n v="3997"/>
    <x v="85"/>
    <m/>
    <x v="14"/>
    <x v="3"/>
    <x v="0"/>
    <m/>
    <m/>
    <m/>
    <m/>
    <m/>
    <m/>
    <m/>
    <m/>
    <m/>
    <m/>
    <m/>
    <m/>
    <s v="x"/>
    <s v="x"/>
    <s v="na"/>
    <s v="NRD"/>
    <s v="na"/>
    <s v="na"/>
    <s v="na"/>
    <s v="na"/>
    <s v="na"/>
    <s v="na"/>
    <s v="na"/>
    <s v="na"/>
  </r>
  <r>
    <n v="3998"/>
    <x v="85"/>
    <m/>
    <x v="14"/>
    <x v="3"/>
    <x v="0"/>
    <m/>
    <m/>
    <m/>
    <m/>
    <m/>
    <m/>
    <m/>
    <m/>
    <m/>
    <m/>
    <m/>
    <m/>
    <s v="x"/>
    <s v="x"/>
    <s v="na"/>
    <s v="NRD"/>
    <s v="na"/>
    <s v="na"/>
    <s v="na"/>
    <s v="na"/>
    <s v="na"/>
    <s v="na"/>
    <s v="na"/>
    <s v="na"/>
  </r>
  <r>
    <n v="3999"/>
    <x v="85"/>
    <m/>
    <x v="14"/>
    <x v="3"/>
    <x v="0"/>
    <m/>
    <m/>
    <m/>
    <m/>
    <m/>
    <m/>
    <m/>
    <m/>
    <m/>
    <m/>
    <m/>
    <m/>
    <s v="x"/>
    <s v="x"/>
    <s v="na"/>
    <s v="NRD"/>
    <s v="na"/>
    <s v="na"/>
    <s v="na"/>
    <s v="na"/>
    <s v="na"/>
    <s v="na"/>
    <s v="na"/>
    <s v="na"/>
  </r>
  <r>
    <n v="4000"/>
    <x v="85"/>
    <m/>
    <x v="14"/>
    <x v="3"/>
    <x v="0"/>
    <m/>
    <m/>
    <m/>
    <m/>
    <m/>
    <m/>
    <m/>
    <m/>
    <m/>
    <m/>
    <m/>
    <m/>
    <s v="x"/>
    <s v="x"/>
    <s v="na"/>
    <s v="NRD"/>
    <s v="na"/>
    <s v="na"/>
    <s v="na"/>
    <s v="na"/>
    <s v="na"/>
    <s v="na"/>
    <s v="na"/>
    <s v="na"/>
  </r>
  <r>
    <n v="4001"/>
    <x v="85"/>
    <m/>
    <x v="14"/>
    <x v="3"/>
    <x v="0"/>
    <m/>
    <m/>
    <m/>
    <m/>
    <m/>
    <m/>
    <m/>
    <m/>
    <m/>
    <m/>
    <m/>
    <m/>
    <s v="x"/>
    <s v="x"/>
    <s v="na"/>
    <s v="NRD"/>
    <s v="na"/>
    <s v="na"/>
    <s v="na"/>
    <s v="na"/>
    <s v="na"/>
    <s v="na"/>
    <s v="na"/>
    <s v="na"/>
  </r>
  <r>
    <n v="4002"/>
    <x v="85"/>
    <m/>
    <x v="14"/>
    <x v="3"/>
    <x v="0"/>
    <m/>
    <m/>
    <m/>
    <m/>
    <m/>
    <m/>
    <m/>
    <m/>
    <m/>
    <m/>
    <m/>
    <m/>
    <s v="x"/>
    <s v="x"/>
    <s v="na"/>
    <s v="NRD"/>
    <s v="na"/>
    <s v="na"/>
    <s v="na"/>
    <s v="na"/>
    <s v="na"/>
    <s v="na"/>
    <s v="na"/>
    <s v="na"/>
  </r>
  <r>
    <n v="4003"/>
    <x v="85"/>
    <m/>
    <x v="14"/>
    <x v="3"/>
    <x v="0"/>
    <m/>
    <m/>
    <m/>
    <m/>
    <m/>
    <m/>
    <m/>
    <m/>
    <m/>
    <m/>
    <m/>
    <m/>
    <s v="x"/>
    <s v="x"/>
    <s v="na"/>
    <s v="NRD"/>
    <s v="na"/>
    <s v="na"/>
    <s v="na"/>
    <s v="na"/>
    <s v="na"/>
    <s v="na"/>
    <s v="na"/>
    <s v="na"/>
  </r>
  <r>
    <n v="4004"/>
    <x v="85"/>
    <m/>
    <x v="14"/>
    <x v="3"/>
    <x v="0"/>
    <m/>
    <m/>
    <m/>
    <m/>
    <m/>
    <m/>
    <m/>
    <m/>
    <m/>
    <m/>
    <m/>
    <m/>
    <s v="x"/>
    <s v="x"/>
    <s v="na"/>
    <s v="NRD"/>
    <s v="na"/>
    <s v="na"/>
    <s v="na"/>
    <s v="na"/>
    <s v="na"/>
    <s v="na"/>
    <s v="na"/>
    <s v="na"/>
  </r>
  <r>
    <n v="4005"/>
    <x v="85"/>
    <m/>
    <x v="14"/>
    <x v="3"/>
    <x v="0"/>
    <m/>
    <m/>
    <m/>
    <m/>
    <m/>
    <m/>
    <m/>
    <m/>
    <m/>
    <m/>
    <m/>
    <m/>
    <s v="x"/>
    <s v="x"/>
    <s v="na"/>
    <s v="NRD"/>
    <s v="na"/>
    <s v="na"/>
    <s v="na"/>
    <s v="na"/>
    <s v="na"/>
    <s v="na"/>
    <s v="na"/>
    <s v="na"/>
  </r>
  <r>
    <n v="4006"/>
    <x v="85"/>
    <m/>
    <x v="14"/>
    <x v="3"/>
    <x v="0"/>
    <m/>
    <m/>
    <m/>
    <m/>
    <m/>
    <m/>
    <m/>
    <m/>
    <m/>
    <m/>
    <m/>
    <m/>
    <s v="x"/>
    <s v="x"/>
    <s v="na"/>
    <s v="NRD"/>
    <s v="na"/>
    <s v="na"/>
    <s v="na"/>
    <s v="na"/>
    <s v="na"/>
    <s v="na"/>
    <s v="na"/>
    <s v="na"/>
  </r>
  <r>
    <n v="4007"/>
    <x v="85"/>
    <m/>
    <x v="14"/>
    <x v="3"/>
    <x v="0"/>
    <m/>
    <m/>
    <m/>
    <m/>
    <m/>
    <m/>
    <m/>
    <m/>
    <m/>
    <m/>
    <m/>
    <m/>
    <s v="x"/>
    <s v="x"/>
    <s v="na"/>
    <s v="NRD"/>
    <s v="na"/>
    <s v="na"/>
    <s v="na"/>
    <s v="na"/>
    <s v="na"/>
    <s v="na"/>
    <s v="na"/>
    <s v="na"/>
  </r>
  <r>
    <n v="4008"/>
    <x v="85"/>
    <m/>
    <x v="14"/>
    <x v="3"/>
    <x v="0"/>
    <m/>
    <m/>
    <m/>
    <m/>
    <m/>
    <m/>
    <m/>
    <m/>
    <m/>
    <m/>
    <m/>
    <m/>
    <s v="x"/>
    <s v="x"/>
    <s v="na"/>
    <s v="NRD"/>
    <s v="na"/>
    <s v="na"/>
    <s v="na"/>
    <s v="na"/>
    <s v="na"/>
    <s v="na"/>
    <s v="na"/>
    <s v="na"/>
  </r>
  <r>
    <n v="4009"/>
    <x v="85"/>
    <m/>
    <x v="14"/>
    <x v="3"/>
    <x v="0"/>
    <m/>
    <m/>
    <m/>
    <m/>
    <m/>
    <m/>
    <m/>
    <m/>
    <m/>
    <m/>
    <m/>
    <m/>
    <s v="x"/>
    <s v="x"/>
    <s v="na"/>
    <s v="NRD"/>
    <s v="na"/>
    <s v="na"/>
    <s v="na"/>
    <s v="na"/>
    <s v="na"/>
    <s v="na"/>
    <s v="na"/>
    <s v="na"/>
  </r>
  <r>
    <n v="4010"/>
    <x v="85"/>
    <m/>
    <x v="14"/>
    <x v="3"/>
    <x v="0"/>
    <m/>
    <m/>
    <m/>
    <m/>
    <m/>
    <m/>
    <m/>
    <m/>
    <m/>
    <m/>
    <m/>
    <m/>
    <s v="x"/>
    <s v="x"/>
    <s v="na"/>
    <s v="NRD"/>
    <s v="na"/>
    <s v="na"/>
    <s v="na"/>
    <s v="na"/>
    <s v="na"/>
    <s v="na"/>
    <s v="na"/>
    <s v="na"/>
  </r>
  <r>
    <n v="4011"/>
    <x v="85"/>
    <m/>
    <x v="14"/>
    <x v="3"/>
    <x v="0"/>
    <m/>
    <m/>
    <m/>
    <m/>
    <m/>
    <m/>
    <m/>
    <m/>
    <m/>
    <m/>
    <m/>
    <m/>
    <s v="x"/>
    <s v="x"/>
    <s v="na"/>
    <s v="NRD"/>
    <s v="na"/>
    <s v="na"/>
    <s v="na"/>
    <s v="na"/>
    <s v="na"/>
    <s v="na"/>
    <s v="na"/>
    <s v="na"/>
  </r>
  <r>
    <n v="4012"/>
    <x v="85"/>
    <m/>
    <x v="14"/>
    <x v="3"/>
    <x v="0"/>
    <m/>
    <m/>
    <m/>
    <m/>
    <m/>
    <m/>
    <m/>
    <m/>
    <m/>
    <m/>
    <m/>
    <m/>
    <s v="x"/>
    <s v="x"/>
    <s v="na"/>
    <s v="NRD"/>
    <s v="na"/>
    <s v="na"/>
    <s v="na"/>
    <s v="na"/>
    <s v="na"/>
    <s v="na"/>
    <s v="na"/>
    <s v="na"/>
  </r>
  <r>
    <n v="4013"/>
    <x v="85"/>
    <m/>
    <x v="14"/>
    <x v="3"/>
    <x v="0"/>
    <m/>
    <m/>
    <m/>
    <m/>
    <m/>
    <m/>
    <m/>
    <m/>
    <m/>
    <m/>
    <m/>
    <m/>
    <s v="x"/>
    <s v="x"/>
    <s v="na"/>
    <s v="NRD"/>
    <s v="na"/>
    <s v="na"/>
    <s v="na"/>
    <s v="na"/>
    <s v="na"/>
    <s v="na"/>
    <s v="na"/>
    <s v="na"/>
  </r>
  <r>
    <n v="4014"/>
    <x v="85"/>
    <m/>
    <x v="14"/>
    <x v="3"/>
    <x v="0"/>
    <m/>
    <m/>
    <m/>
    <m/>
    <m/>
    <m/>
    <m/>
    <m/>
    <m/>
    <m/>
    <m/>
    <m/>
    <s v="x"/>
    <s v="x"/>
    <s v="na"/>
    <s v="NRD"/>
    <s v="na"/>
    <s v="na"/>
    <s v="na"/>
    <s v="na"/>
    <s v="na"/>
    <s v="na"/>
    <s v="na"/>
    <s v="na"/>
  </r>
  <r>
    <n v="4015"/>
    <x v="85"/>
    <m/>
    <x v="14"/>
    <x v="3"/>
    <x v="0"/>
    <m/>
    <m/>
    <m/>
    <m/>
    <m/>
    <m/>
    <m/>
    <m/>
    <m/>
    <m/>
    <m/>
    <m/>
    <s v="x"/>
    <s v="x"/>
    <s v="na"/>
    <s v="NRD"/>
    <s v="na"/>
    <s v="na"/>
    <s v="na"/>
    <s v="na"/>
    <s v="na"/>
    <s v="na"/>
    <s v="na"/>
    <s v="na"/>
  </r>
  <r>
    <n v="4016"/>
    <x v="85"/>
    <m/>
    <x v="14"/>
    <x v="3"/>
    <x v="0"/>
    <m/>
    <m/>
    <m/>
    <m/>
    <m/>
    <m/>
    <m/>
    <m/>
    <m/>
    <m/>
    <m/>
    <m/>
    <s v="x"/>
    <s v="x"/>
    <s v="na"/>
    <s v="NRD"/>
    <s v="na"/>
    <s v="na"/>
    <s v="na"/>
    <s v="na"/>
    <s v="na"/>
    <s v="na"/>
    <s v="na"/>
    <s v="na"/>
  </r>
  <r>
    <n v="4017"/>
    <x v="85"/>
    <m/>
    <x v="14"/>
    <x v="3"/>
    <x v="0"/>
    <m/>
    <m/>
    <m/>
    <m/>
    <m/>
    <m/>
    <m/>
    <m/>
    <m/>
    <m/>
    <m/>
    <m/>
    <s v="x"/>
    <s v="x"/>
    <s v="na"/>
    <s v="NRD"/>
    <s v="na"/>
    <s v="na"/>
    <s v="na"/>
    <s v="na"/>
    <s v="na"/>
    <s v="na"/>
    <s v="na"/>
    <s v="na"/>
  </r>
  <r>
    <n v="4018"/>
    <x v="85"/>
    <m/>
    <x v="14"/>
    <x v="3"/>
    <x v="0"/>
    <m/>
    <m/>
    <m/>
    <m/>
    <m/>
    <m/>
    <m/>
    <m/>
    <m/>
    <m/>
    <m/>
    <m/>
    <s v="x"/>
    <s v="x"/>
    <s v="na"/>
    <s v="NRD"/>
    <s v="na"/>
    <s v="na"/>
    <s v="na"/>
    <s v="na"/>
    <s v="na"/>
    <s v="na"/>
    <s v="na"/>
    <s v="na"/>
  </r>
  <r>
    <n v="4019"/>
    <x v="85"/>
    <m/>
    <x v="14"/>
    <x v="3"/>
    <x v="0"/>
    <m/>
    <m/>
    <m/>
    <m/>
    <m/>
    <m/>
    <m/>
    <m/>
    <m/>
    <m/>
    <m/>
    <m/>
    <s v="x"/>
    <s v="x"/>
    <s v="na"/>
    <s v="NRD"/>
    <s v="na"/>
    <s v="na"/>
    <s v="na"/>
    <s v="na"/>
    <s v="na"/>
    <s v="na"/>
    <s v="na"/>
    <s v="na"/>
  </r>
  <r>
    <n v="4020"/>
    <x v="85"/>
    <m/>
    <x v="14"/>
    <x v="3"/>
    <x v="0"/>
    <m/>
    <m/>
    <m/>
    <m/>
    <m/>
    <m/>
    <m/>
    <m/>
    <m/>
    <m/>
    <m/>
    <m/>
    <s v="x"/>
    <s v="x"/>
    <s v="na"/>
    <s v="NRD"/>
    <s v="na"/>
    <s v="na"/>
    <s v="na"/>
    <s v="na"/>
    <s v="na"/>
    <s v="na"/>
    <s v="na"/>
    <s v="na"/>
  </r>
  <r>
    <n v="4021"/>
    <x v="85"/>
    <m/>
    <x v="14"/>
    <x v="3"/>
    <x v="0"/>
    <m/>
    <m/>
    <m/>
    <m/>
    <m/>
    <m/>
    <m/>
    <m/>
    <m/>
    <m/>
    <m/>
    <m/>
    <s v="x"/>
    <s v="x"/>
    <s v="na"/>
    <s v="NRD"/>
    <s v="na"/>
    <s v="na"/>
    <s v="na"/>
    <s v="na"/>
    <s v="na"/>
    <s v="na"/>
    <s v="na"/>
    <s v="na"/>
  </r>
  <r>
    <n v="4022"/>
    <x v="85"/>
    <m/>
    <x v="14"/>
    <x v="3"/>
    <x v="0"/>
    <m/>
    <m/>
    <m/>
    <m/>
    <m/>
    <m/>
    <m/>
    <m/>
    <m/>
    <m/>
    <m/>
    <m/>
    <s v="x"/>
    <s v="x"/>
    <s v="na"/>
    <s v="NRD"/>
    <s v="na"/>
    <s v="na"/>
    <s v="na"/>
    <s v="na"/>
    <s v="na"/>
    <s v="na"/>
    <s v="na"/>
    <s v="na"/>
  </r>
  <r>
    <n v="4023"/>
    <x v="85"/>
    <m/>
    <x v="14"/>
    <x v="3"/>
    <x v="0"/>
    <m/>
    <m/>
    <m/>
    <m/>
    <m/>
    <m/>
    <m/>
    <m/>
    <m/>
    <m/>
    <m/>
    <m/>
    <s v="x"/>
    <s v="x"/>
    <s v="na"/>
    <s v="NRD"/>
    <s v="na"/>
    <s v="na"/>
    <s v="na"/>
    <s v="na"/>
    <s v="na"/>
    <s v="na"/>
    <s v="na"/>
    <s v="na"/>
  </r>
  <r>
    <n v="4024"/>
    <x v="85"/>
    <m/>
    <x v="14"/>
    <x v="3"/>
    <x v="0"/>
    <m/>
    <m/>
    <m/>
    <m/>
    <m/>
    <m/>
    <m/>
    <m/>
    <m/>
    <m/>
    <m/>
    <m/>
    <s v="x"/>
    <s v="x"/>
    <s v="na"/>
    <s v="NRD"/>
    <s v="na"/>
    <s v="na"/>
    <s v="na"/>
    <s v="na"/>
    <s v="na"/>
    <s v="na"/>
    <s v="na"/>
    <s v="na"/>
  </r>
  <r>
    <n v="4025"/>
    <x v="85"/>
    <m/>
    <x v="14"/>
    <x v="3"/>
    <x v="0"/>
    <m/>
    <m/>
    <m/>
    <m/>
    <m/>
    <m/>
    <m/>
    <m/>
    <m/>
    <m/>
    <m/>
    <m/>
    <s v="x"/>
    <s v="x"/>
    <s v="na"/>
    <s v="NRD"/>
    <s v="na"/>
    <s v="na"/>
    <s v="na"/>
    <s v="na"/>
    <s v="na"/>
    <s v="na"/>
    <s v="na"/>
    <s v="na"/>
  </r>
  <r>
    <n v="4026"/>
    <x v="85"/>
    <m/>
    <x v="14"/>
    <x v="3"/>
    <x v="0"/>
    <m/>
    <m/>
    <m/>
    <m/>
    <m/>
    <m/>
    <m/>
    <m/>
    <m/>
    <m/>
    <m/>
    <m/>
    <s v="x"/>
    <s v="x"/>
    <s v="na"/>
    <s v="NRD"/>
    <s v="na"/>
    <s v="na"/>
    <s v="na"/>
    <s v="na"/>
    <s v="na"/>
    <s v="na"/>
    <s v="na"/>
    <s v="na"/>
  </r>
  <r>
    <n v="4027"/>
    <x v="85"/>
    <m/>
    <x v="14"/>
    <x v="3"/>
    <x v="0"/>
    <m/>
    <m/>
    <m/>
    <m/>
    <m/>
    <m/>
    <m/>
    <m/>
    <m/>
    <m/>
    <m/>
    <m/>
    <s v="x"/>
    <s v="x"/>
    <s v="na"/>
    <s v="NRD"/>
    <s v="na"/>
    <s v="na"/>
    <s v="na"/>
    <s v="na"/>
    <s v="na"/>
    <s v="na"/>
    <s v="na"/>
    <s v="na"/>
  </r>
  <r>
    <n v="4028"/>
    <x v="85"/>
    <m/>
    <x v="14"/>
    <x v="3"/>
    <x v="0"/>
    <m/>
    <m/>
    <m/>
    <m/>
    <m/>
    <m/>
    <m/>
    <m/>
    <m/>
    <m/>
    <m/>
    <m/>
    <s v="x"/>
    <s v="x"/>
    <s v="na"/>
    <s v="NRD"/>
    <s v="na"/>
    <s v="na"/>
    <s v="na"/>
    <s v="na"/>
    <s v="na"/>
    <s v="na"/>
    <s v="na"/>
    <s v="na"/>
  </r>
  <r>
    <n v="4029"/>
    <x v="85"/>
    <m/>
    <x v="14"/>
    <x v="3"/>
    <x v="0"/>
    <m/>
    <m/>
    <m/>
    <m/>
    <m/>
    <m/>
    <m/>
    <m/>
    <m/>
    <m/>
    <m/>
    <m/>
    <s v="x"/>
    <s v="x"/>
    <s v="na"/>
    <s v="NRD"/>
    <s v="na"/>
    <s v="na"/>
    <s v="na"/>
    <s v="na"/>
    <s v="na"/>
    <s v="na"/>
    <s v="na"/>
    <s v="na"/>
  </r>
  <r>
    <n v="4030"/>
    <x v="85"/>
    <m/>
    <x v="14"/>
    <x v="3"/>
    <x v="0"/>
    <m/>
    <m/>
    <m/>
    <m/>
    <m/>
    <m/>
    <m/>
    <m/>
    <m/>
    <m/>
    <m/>
    <m/>
    <s v="x"/>
    <s v="x"/>
    <s v="na"/>
    <s v="NRD"/>
    <s v="na"/>
    <s v="na"/>
    <s v="na"/>
    <s v="na"/>
    <s v="na"/>
    <s v="na"/>
    <s v="na"/>
    <s v="na"/>
  </r>
  <r>
    <n v="4031"/>
    <x v="85"/>
    <m/>
    <x v="14"/>
    <x v="3"/>
    <x v="0"/>
    <m/>
    <m/>
    <m/>
    <m/>
    <m/>
    <m/>
    <m/>
    <m/>
    <m/>
    <m/>
    <m/>
    <m/>
    <s v="x"/>
    <s v="x"/>
    <s v="na"/>
    <s v="NRD"/>
    <s v="na"/>
    <s v="na"/>
    <s v="na"/>
    <s v="na"/>
    <s v="na"/>
    <s v="na"/>
    <s v="na"/>
    <s v="na"/>
  </r>
  <r>
    <n v="4032"/>
    <x v="85"/>
    <m/>
    <x v="14"/>
    <x v="3"/>
    <x v="0"/>
    <m/>
    <m/>
    <m/>
    <m/>
    <m/>
    <m/>
    <m/>
    <m/>
    <m/>
    <m/>
    <m/>
    <m/>
    <s v="x"/>
    <s v="x"/>
    <s v="na"/>
    <s v="NRD"/>
    <s v="na"/>
    <s v="na"/>
    <s v="na"/>
    <s v="na"/>
    <s v="na"/>
    <s v="na"/>
    <s v="na"/>
    <s v="na"/>
  </r>
  <r>
    <n v="4033"/>
    <x v="85"/>
    <m/>
    <x v="14"/>
    <x v="3"/>
    <x v="0"/>
    <m/>
    <m/>
    <m/>
    <m/>
    <m/>
    <m/>
    <m/>
    <m/>
    <m/>
    <m/>
    <m/>
    <m/>
    <s v="x"/>
    <s v="x"/>
    <s v="na"/>
    <s v="NRD"/>
    <s v="na"/>
    <s v="na"/>
    <s v="na"/>
    <s v="na"/>
    <s v="na"/>
    <s v="na"/>
    <s v="na"/>
    <s v="na"/>
  </r>
  <r>
    <n v="4034"/>
    <x v="85"/>
    <m/>
    <x v="14"/>
    <x v="3"/>
    <x v="0"/>
    <m/>
    <m/>
    <m/>
    <m/>
    <m/>
    <m/>
    <m/>
    <m/>
    <m/>
    <m/>
    <m/>
    <m/>
    <s v="x"/>
    <s v="x"/>
    <s v="na"/>
    <s v="NRD"/>
    <s v="na"/>
    <s v="na"/>
    <s v="na"/>
    <s v="na"/>
    <s v="na"/>
    <s v="na"/>
    <s v="na"/>
    <s v="na"/>
  </r>
  <r>
    <n v="4035"/>
    <x v="85"/>
    <m/>
    <x v="14"/>
    <x v="3"/>
    <x v="0"/>
    <m/>
    <m/>
    <m/>
    <m/>
    <m/>
    <m/>
    <m/>
    <m/>
    <m/>
    <m/>
    <m/>
    <m/>
    <s v="x"/>
    <s v="x"/>
    <s v="na"/>
    <s v="NRD"/>
    <s v="na"/>
    <s v="na"/>
    <s v="na"/>
    <s v="na"/>
    <s v="na"/>
    <s v="na"/>
    <s v="na"/>
    <s v="na"/>
  </r>
  <r>
    <n v="4036"/>
    <x v="85"/>
    <m/>
    <x v="14"/>
    <x v="3"/>
    <x v="0"/>
    <m/>
    <m/>
    <m/>
    <m/>
    <m/>
    <m/>
    <m/>
    <m/>
    <m/>
    <m/>
    <m/>
    <m/>
    <s v="x"/>
    <s v="x"/>
    <s v="na"/>
    <s v="NRD"/>
    <s v="na"/>
    <s v="na"/>
    <s v="na"/>
    <s v="na"/>
    <s v="na"/>
    <s v="na"/>
    <s v="na"/>
    <s v="na"/>
  </r>
  <r>
    <n v="4037"/>
    <x v="85"/>
    <m/>
    <x v="14"/>
    <x v="3"/>
    <x v="0"/>
    <m/>
    <m/>
    <m/>
    <m/>
    <m/>
    <m/>
    <m/>
    <m/>
    <m/>
    <m/>
    <m/>
    <m/>
    <s v="x"/>
    <s v="x"/>
    <s v="na"/>
    <s v="NRD"/>
    <s v="na"/>
    <s v="na"/>
    <s v="na"/>
    <s v="na"/>
    <s v="na"/>
    <s v="na"/>
    <s v="na"/>
    <s v="na"/>
  </r>
  <r>
    <n v="4038"/>
    <x v="85"/>
    <m/>
    <x v="14"/>
    <x v="3"/>
    <x v="0"/>
    <m/>
    <m/>
    <m/>
    <m/>
    <m/>
    <m/>
    <m/>
    <m/>
    <m/>
    <m/>
    <m/>
    <m/>
    <s v="x"/>
    <s v="x"/>
    <s v="na"/>
    <s v="NRD"/>
    <s v="na"/>
    <s v="na"/>
    <s v="na"/>
    <s v="na"/>
    <s v="na"/>
    <s v="na"/>
    <s v="na"/>
    <s v="na"/>
  </r>
  <r>
    <n v="4039"/>
    <x v="85"/>
    <m/>
    <x v="14"/>
    <x v="3"/>
    <x v="0"/>
    <m/>
    <m/>
    <m/>
    <m/>
    <m/>
    <m/>
    <m/>
    <m/>
    <m/>
    <m/>
    <m/>
    <m/>
    <s v="x"/>
    <s v="x"/>
    <s v="na"/>
    <s v="NRD"/>
    <s v="na"/>
    <s v="na"/>
    <s v="na"/>
    <s v="na"/>
    <s v="na"/>
    <s v="na"/>
    <s v="na"/>
    <s v="na"/>
  </r>
  <r>
    <n v="4040"/>
    <x v="85"/>
    <m/>
    <x v="14"/>
    <x v="3"/>
    <x v="0"/>
    <m/>
    <m/>
    <m/>
    <m/>
    <m/>
    <m/>
    <m/>
    <m/>
    <m/>
    <m/>
    <m/>
    <m/>
    <s v="x"/>
    <s v="x"/>
    <s v="na"/>
    <s v="NRD"/>
    <s v="na"/>
    <s v="na"/>
    <s v="na"/>
    <s v="na"/>
    <s v="na"/>
    <s v="na"/>
    <s v="na"/>
    <s v="na"/>
  </r>
  <r>
    <n v="4041"/>
    <x v="85"/>
    <m/>
    <x v="14"/>
    <x v="3"/>
    <x v="0"/>
    <m/>
    <m/>
    <m/>
    <m/>
    <m/>
    <m/>
    <m/>
    <m/>
    <m/>
    <m/>
    <m/>
    <m/>
    <s v="x"/>
    <s v="x"/>
    <s v="na"/>
    <s v="NRD"/>
    <s v="na"/>
    <s v="na"/>
    <s v="na"/>
    <s v="na"/>
    <s v="na"/>
    <s v="na"/>
    <s v="na"/>
    <s v="na"/>
  </r>
  <r>
    <n v="4042"/>
    <x v="85"/>
    <m/>
    <x v="14"/>
    <x v="3"/>
    <x v="0"/>
    <m/>
    <m/>
    <m/>
    <m/>
    <m/>
    <m/>
    <m/>
    <m/>
    <m/>
    <m/>
    <m/>
    <m/>
    <s v="x"/>
    <s v="x"/>
    <s v="na"/>
    <s v="NRD"/>
    <s v="na"/>
    <s v="na"/>
    <s v="na"/>
    <s v="na"/>
    <s v="na"/>
    <s v="na"/>
    <s v="na"/>
    <s v="na"/>
  </r>
  <r>
    <n v="4043"/>
    <x v="85"/>
    <m/>
    <x v="14"/>
    <x v="3"/>
    <x v="0"/>
    <m/>
    <m/>
    <m/>
    <m/>
    <m/>
    <m/>
    <m/>
    <m/>
    <m/>
    <m/>
    <m/>
    <m/>
    <s v="x"/>
    <s v="x"/>
    <s v="na"/>
    <s v="NRD"/>
    <s v="na"/>
    <s v="na"/>
    <s v="na"/>
    <s v="na"/>
    <s v="na"/>
    <s v="na"/>
    <s v="na"/>
    <s v="na"/>
  </r>
  <r>
    <n v="4044"/>
    <x v="85"/>
    <m/>
    <x v="14"/>
    <x v="3"/>
    <x v="0"/>
    <m/>
    <m/>
    <m/>
    <m/>
    <m/>
    <m/>
    <m/>
    <m/>
    <m/>
    <m/>
    <m/>
    <m/>
    <s v="x"/>
    <s v="x"/>
    <s v="na"/>
    <s v="NRD"/>
    <s v="na"/>
    <s v="na"/>
    <s v="na"/>
    <s v="na"/>
    <s v="na"/>
    <s v="na"/>
    <s v="na"/>
    <s v="na"/>
  </r>
  <r>
    <n v="4045"/>
    <x v="85"/>
    <m/>
    <x v="14"/>
    <x v="3"/>
    <x v="0"/>
    <m/>
    <m/>
    <m/>
    <m/>
    <m/>
    <m/>
    <m/>
    <m/>
    <m/>
    <m/>
    <m/>
    <m/>
    <s v="x"/>
    <s v="x"/>
    <s v="na"/>
    <s v="NRD"/>
    <s v="na"/>
    <s v="na"/>
    <s v="na"/>
    <s v="na"/>
    <s v="na"/>
    <s v="na"/>
    <s v="na"/>
    <s v="na"/>
  </r>
  <r>
    <n v="4046"/>
    <x v="85"/>
    <m/>
    <x v="14"/>
    <x v="3"/>
    <x v="0"/>
    <m/>
    <m/>
    <m/>
    <m/>
    <m/>
    <m/>
    <m/>
    <m/>
    <m/>
    <m/>
    <m/>
    <m/>
    <s v="x"/>
    <s v="x"/>
    <s v="na"/>
    <s v="NRD"/>
    <s v="na"/>
    <s v="na"/>
    <s v="na"/>
    <s v="na"/>
    <s v="na"/>
    <s v="na"/>
    <s v="na"/>
    <s v="na"/>
  </r>
  <r>
    <n v="4047"/>
    <x v="85"/>
    <m/>
    <x v="14"/>
    <x v="3"/>
    <x v="0"/>
    <m/>
    <m/>
    <m/>
    <m/>
    <m/>
    <m/>
    <m/>
    <m/>
    <m/>
    <m/>
    <m/>
    <m/>
    <s v="x"/>
    <s v="x"/>
    <s v="na"/>
    <s v="NRD"/>
    <s v="na"/>
    <s v="na"/>
    <s v="na"/>
    <s v="na"/>
    <s v="na"/>
    <s v="na"/>
    <s v="na"/>
    <s v="na"/>
  </r>
  <r>
    <n v="4048"/>
    <x v="85"/>
    <m/>
    <x v="14"/>
    <x v="3"/>
    <x v="0"/>
    <m/>
    <m/>
    <m/>
    <m/>
    <m/>
    <m/>
    <m/>
    <m/>
    <m/>
    <m/>
    <m/>
    <m/>
    <s v="x"/>
    <s v="x"/>
    <s v="na"/>
    <s v="NRD"/>
    <s v="na"/>
    <s v="na"/>
    <s v="na"/>
    <s v="na"/>
    <s v="na"/>
    <s v="na"/>
    <s v="na"/>
    <s v="na"/>
  </r>
  <r>
    <n v="4049"/>
    <x v="85"/>
    <m/>
    <x v="14"/>
    <x v="3"/>
    <x v="0"/>
    <m/>
    <m/>
    <m/>
    <m/>
    <m/>
    <m/>
    <m/>
    <m/>
    <m/>
    <m/>
    <m/>
    <m/>
    <s v="x"/>
    <s v="x"/>
    <s v="na"/>
    <s v="NRD"/>
    <s v="na"/>
    <s v="na"/>
    <s v="na"/>
    <s v="na"/>
    <s v="na"/>
    <s v="na"/>
    <s v="na"/>
    <s v="na"/>
  </r>
  <r>
    <n v="4050"/>
    <x v="85"/>
    <m/>
    <x v="14"/>
    <x v="3"/>
    <x v="0"/>
    <m/>
    <m/>
    <m/>
    <m/>
    <m/>
    <m/>
    <m/>
    <m/>
    <m/>
    <m/>
    <m/>
    <m/>
    <s v="x"/>
    <s v="x"/>
    <s v="na"/>
    <s v="NRD"/>
    <s v="na"/>
    <s v="na"/>
    <s v="na"/>
    <s v="na"/>
    <s v="na"/>
    <s v="na"/>
    <s v="na"/>
    <s v="na"/>
  </r>
  <r>
    <n v="4051"/>
    <x v="85"/>
    <m/>
    <x v="14"/>
    <x v="3"/>
    <x v="0"/>
    <m/>
    <m/>
    <m/>
    <m/>
    <m/>
    <m/>
    <m/>
    <m/>
    <m/>
    <m/>
    <m/>
    <m/>
    <s v="x"/>
    <s v="x"/>
    <s v="na"/>
    <s v="NRD"/>
    <s v="na"/>
    <s v="na"/>
    <s v="na"/>
    <s v="na"/>
    <s v="na"/>
    <s v="na"/>
    <s v="na"/>
    <s v="na"/>
  </r>
  <r>
    <n v="4052"/>
    <x v="85"/>
    <m/>
    <x v="14"/>
    <x v="3"/>
    <x v="0"/>
    <m/>
    <m/>
    <m/>
    <m/>
    <m/>
    <m/>
    <m/>
    <m/>
    <m/>
    <m/>
    <m/>
    <m/>
    <s v="x"/>
    <s v="x"/>
    <s v="na"/>
    <s v="NRD"/>
    <s v="na"/>
    <s v="na"/>
    <s v="na"/>
    <s v="na"/>
    <s v="na"/>
    <s v="na"/>
    <s v="na"/>
    <s v="na"/>
  </r>
  <r>
    <n v="4053"/>
    <x v="85"/>
    <m/>
    <x v="14"/>
    <x v="3"/>
    <x v="0"/>
    <m/>
    <m/>
    <m/>
    <m/>
    <m/>
    <m/>
    <m/>
    <m/>
    <m/>
    <m/>
    <m/>
    <m/>
    <s v="x"/>
    <s v="x"/>
    <s v="na"/>
    <s v="NRD"/>
    <s v="na"/>
    <s v="na"/>
    <s v="na"/>
    <s v="na"/>
    <s v="na"/>
    <s v="na"/>
    <s v="na"/>
    <s v="na"/>
  </r>
  <r>
    <n v="4054"/>
    <x v="85"/>
    <m/>
    <x v="14"/>
    <x v="3"/>
    <x v="0"/>
    <m/>
    <m/>
    <m/>
    <m/>
    <m/>
    <m/>
    <m/>
    <m/>
    <m/>
    <m/>
    <m/>
    <m/>
    <s v="x"/>
    <s v="x"/>
    <s v="na"/>
    <s v="NRD"/>
    <s v="na"/>
    <s v="na"/>
    <s v="na"/>
    <s v="na"/>
    <s v="na"/>
    <s v="na"/>
    <s v="na"/>
    <s v="na"/>
  </r>
  <r>
    <n v="4055"/>
    <x v="85"/>
    <m/>
    <x v="14"/>
    <x v="3"/>
    <x v="0"/>
    <m/>
    <m/>
    <m/>
    <m/>
    <m/>
    <m/>
    <m/>
    <m/>
    <m/>
    <m/>
    <m/>
    <m/>
    <s v="x"/>
    <s v="x"/>
    <s v="na"/>
    <s v="NRD"/>
    <s v="na"/>
    <s v="na"/>
    <s v="na"/>
    <s v="na"/>
    <s v="na"/>
    <s v="na"/>
    <s v="na"/>
    <s v="na"/>
  </r>
  <r>
    <n v="4056"/>
    <x v="85"/>
    <m/>
    <x v="14"/>
    <x v="3"/>
    <x v="0"/>
    <m/>
    <m/>
    <m/>
    <m/>
    <m/>
    <m/>
    <m/>
    <m/>
    <m/>
    <m/>
    <m/>
    <m/>
    <s v="x"/>
    <s v="x"/>
    <s v="na"/>
    <s v="NRD"/>
    <s v="na"/>
    <s v="na"/>
    <s v="na"/>
    <s v="na"/>
    <s v="na"/>
    <s v="na"/>
    <s v="na"/>
    <s v="na"/>
  </r>
  <r>
    <n v="4057"/>
    <x v="85"/>
    <m/>
    <x v="14"/>
    <x v="3"/>
    <x v="0"/>
    <m/>
    <m/>
    <m/>
    <m/>
    <m/>
    <m/>
    <m/>
    <m/>
    <m/>
    <m/>
    <m/>
    <m/>
    <s v="x"/>
    <s v="x"/>
    <s v="na"/>
    <s v="NRD"/>
    <s v="na"/>
    <s v="na"/>
    <s v="na"/>
    <s v="na"/>
    <s v="na"/>
    <s v="na"/>
    <s v="na"/>
    <s v="na"/>
  </r>
  <r>
    <n v="4058"/>
    <x v="85"/>
    <m/>
    <x v="14"/>
    <x v="3"/>
    <x v="0"/>
    <m/>
    <m/>
    <m/>
    <m/>
    <m/>
    <m/>
    <m/>
    <m/>
    <m/>
    <m/>
    <m/>
    <m/>
    <s v="x"/>
    <s v="x"/>
    <s v="na"/>
    <s v="NRD"/>
    <s v="na"/>
    <s v="na"/>
    <s v="na"/>
    <s v="na"/>
    <s v="na"/>
    <s v="na"/>
    <s v="na"/>
    <s v="na"/>
  </r>
  <r>
    <n v="4059"/>
    <x v="85"/>
    <m/>
    <x v="14"/>
    <x v="3"/>
    <x v="0"/>
    <m/>
    <m/>
    <m/>
    <m/>
    <m/>
    <m/>
    <m/>
    <m/>
    <m/>
    <m/>
    <m/>
    <m/>
    <s v="x"/>
    <s v="x"/>
    <s v="na"/>
    <s v="NRD"/>
    <s v="na"/>
    <s v="na"/>
    <s v="na"/>
    <s v="na"/>
    <s v="na"/>
    <s v="na"/>
    <s v="na"/>
    <s v="na"/>
  </r>
  <r>
    <n v="4060"/>
    <x v="85"/>
    <m/>
    <x v="14"/>
    <x v="3"/>
    <x v="0"/>
    <m/>
    <m/>
    <m/>
    <m/>
    <m/>
    <m/>
    <m/>
    <m/>
    <m/>
    <m/>
    <m/>
    <m/>
    <s v="x"/>
    <s v="x"/>
    <s v="na"/>
    <s v="NRD"/>
    <s v="na"/>
    <s v="na"/>
    <s v="na"/>
    <s v="na"/>
    <s v="na"/>
    <s v="na"/>
    <s v="na"/>
    <s v="na"/>
  </r>
  <r>
    <n v="4061"/>
    <x v="85"/>
    <m/>
    <x v="14"/>
    <x v="3"/>
    <x v="0"/>
    <m/>
    <m/>
    <m/>
    <m/>
    <m/>
    <m/>
    <m/>
    <m/>
    <m/>
    <m/>
    <m/>
    <m/>
    <s v="x"/>
    <s v="x"/>
    <s v="na"/>
    <s v="NRD"/>
    <s v="na"/>
    <s v="na"/>
    <s v="na"/>
    <s v="na"/>
    <s v="na"/>
    <s v="na"/>
    <s v="na"/>
    <s v="na"/>
  </r>
  <r>
    <n v="4062"/>
    <x v="85"/>
    <m/>
    <x v="14"/>
    <x v="3"/>
    <x v="0"/>
    <m/>
    <m/>
    <m/>
    <m/>
    <m/>
    <m/>
    <m/>
    <m/>
    <m/>
    <m/>
    <m/>
    <m/>
    <s v="x"/>
    <s v="x"/>
    <s v="na"/>
    <s v="NRD"/>
    <s v="na"/>
    <s v="na"/>
    <s v="na"/>
    <s v="na"/>
    <s v="na"/>
    <s v="na"/>
    <s v="na"/>
    <s v="na"/>
  </r>
  <r>
    <n v="4063"/>
    <x v="85"/>
    <m/>
    <x v="14"/>
    <x v="3"/>
    <x v="0"/>
    <m/>
    <m/>
    <m/>
    <m/>
    <m/>
    <m/>
    <m/>
    <m/>
    <m/>
    <m/>
    <m/>
    <m/>
    <s v="x"/>
    <s v="x"/>
    <s v="na"/>
    <s v="NRD"/>
    <s v="na"/>
    <s v="na"/>
    <s v="na"/>
    <s v="na"/>
    <s v="na"/>
    <s v="na"/>
    <s v="na"/>
    <s v="na"/>
  </r>
  <r>
    <n v="4064"/>
    <x v="85"/>
    <m/>
    <x v="14"/>
    <x v="3"/>
    <x v="0"/>
    <m/>
    <m/>
    <m/>
    <m/>
    <m/>
    <m/>
    <m/>
    <m/>
    <m/>
    <m/>
    <m/>
    <m/>
    <s v="x"/>
    <s v="x"/>
    <s v="na"/>
    <s v="NRD"/>
    <s v="na"/>
    <s v="na"/>
    <s v="na"/>
    <s v="na"/>
    <s v="na"/>
    <s v="na"/>
    <s v="na"/>
    <s v="na"/>
  </r>
  <r>
    <n v="4065"/>
    <x v="85"/>
    <m/>
    <x v="14"/>
    <x v="3"/>
    <x v="0"/>
    <m/>
    <m/>
    <m/>
    <m/>
    <m/>
    <m/>
    <m/>
    <m/>
    <m/>
    <m/>
    <m/>
    <m/>
    <s v="x"/>
    <s v="x"/>
    <s v="na"/>
    <s v="NRD"/>
    <s v="na"/>
    <s v="na"/>
    <s v="na"/>
    <s v="na"/>
    <s v="na"/>
    <s v="na"/>
    <s v="na"/>
    <s v="na"/>
  </r>
  <r>
    <n v="4066"/>
    <x v="85"/>
    <m/>
    <x v="14"/>
    <x v="3"/>
    <x v="0"/>
    <m/>
    <m/>
    <m/>
    <m/>
    <m/>
    <m/>
    <m/>
    <m/>
    <m/>
    <m/>
    <m/>
    <m/>
    <s v="x"/>
    <s v="x"/>
    <s v="na"/>
    <s v="NRD"/>
    <s v="na"/>
    <s v="na"/>
    <s v="na"/>
    <s v="na"/>
    <s v="na"/>
    <s v="na"/>
    <s v="na"/>
    <s v="na"/>
  </r>
  <r>
    <n v="4067"/>
    <x v="85"/>
    <m/>
    <x v="14"/>
    <x v="3"/>
    <x v="0"/>
    <m/>
    <m/>
    <m/>
    <m/>
    <m/>
    <m/>
    <m/>
    <m/>
    <m/>
    <m/>
    <m/>
    <m/>
    <s v="x"/>
    <s v="x"/>
    <s v="na"/>
    <s v="NRD"/>
    <s v="na"/>
    <s v="na"/>
    <s v="na"/>
    <s v="na"/>
    <s v="na"/>
    <s v="na"/>
    <s v="na"/>
    <s v="na"/>
  </r>
  <r>
    <n v="4068"/>
    <x v="85"/>
    <m/>
    <x v="14"/>
    <x v="3"/>
    <x v="0"/>
    <m/>
    <m/>
    <m/>
    <m/>
    <m/>
    <m/>
    <m/>
    <m/>
    <m/>
    <m/>
    <m/>
    <m/>
    <s v="x"/>
    <s v="x"/>
    <s v="na"/>
    <s v="NRD"/>
    <s v="na"/>
    <s v="na"/>
    <s v="na"/>
    <s v="na"/>
    <s v="na"/>
    <s v="na"/>
    <s v="na"/>
    <s v="na"/>
  </r>
  <r>
    <n v="4069"/>
    <x v="85"/>
    <m/>
    <x v="14"/>
    <x v="3"/>
    <x v="0"/>
    <m/>
    <m/>
    <m/>
    <m/>
    <m/>
    <m/>
    <m/>
    <m/>
    <m/>
    <m/>
    <m/>
    <m/>
    <s v="x"/>
    <s v="x"/>
    <s v="na"/>
    <s v="NRD"/>
    <s v="na"/>
    <s v="na"/>
    <s v="na"/>
    <s v="na"/>
    <s v="na"/>
    <s v="na"/>
    <s v="na"/>
    <s v="na"/>
  </r>
  <r>
    <n v="4070"/>
    <x v="85"/>
    <m/>
    <x v="14"/>
    <x v="3"/>
    <x v="0"/>
    <m/>
    <m/>
    <m/>
    <m/>
    <m/>
    <m/>
    <m/>
    <m/>
    <m/>
    <m/>
    <m/>
    <m/>
    <s v="x"/>
    <s v="x"/>
    <s v="na"/>
    <s v="NRD"/>
    <s v="na"/>
    <s v="na"/>
    <s v="na"/>
    <s v="na"/>
    <s v="na"/>
    <s v="na"/>
    <s v="na"/>
    <s v="na"/>
  </r>
  <r>
    <n v="4071"/>
    <x v="85"/>
    <m/>
    <x v="14"/>
    <x v="3"/>
    <x v="0"/>
    <m/>
    <m/>
    <m/>
    <m/>
    <m/>
    <m/>
    <m/>
    <m/>
    <m/>
    <m/>
    <m/>
    <m/>
    <s v="x"/>
    <s v="x"/>
    <s v="na"/>
    <s v="NRD"/>
    <s v="na"/>
    <s v="na"/>
    <s v="na"/>
    <s v="na"/>
    <s v="na"/>
    <s v="na"/>
    <s v="na"/>
    <s v="na"/>
  </r>
  <r>
    <n v="4072"/>
    <x v="85"/>
    <m/>
    <x v="14"/>
    <x v="3"/>
    <x v="0"/>
    <m/>
    <m/>
    <m/>
    <m/>
    <m/>
    <m/>
    <m/>
    <m/>
    <m/>
    <m/>
    <m/>
    <m/>
    <s v="x"/>
    <s v="x"/>
    <s v="na"/>
    <s v="NRD"/>
    <s v="na"/>
    <s v="na"/>
    <s v="na"/>
    <s v="na"/>
    <s v="na"/>
    <s v="na"/>
    <s v="na"/>
    <s v="na"/>
  </r>
  <r>
    <n v="4073"/>
    <x v="85"/>
    <m/>
    <x v="14"/>
    <x v="3"/>
    <x v="0"/>
    <m/>
    <m/>
    <m/>
    <m/>
    <m/>
    <m/>
    <m/>
    <m/>
    <m/>
    <m/>
    <m/>
    <m/>
    <s v="x"/>
    <s v="x"/>
    <s v="na"/>
    <s v="NRD"/>
    <s v="na"/>
    <s v="na"/>
    <s v="na"/>
    <s v="na"/>
    <s v="na"/>
    <s v="na"/>
    <s v="na"/>
    <s v="na"/>
  </r>
  <r>
    <n v="4074"/>
    <x v="85"/>
    <m/>
    <x v="14"/>
    <x v="3"/>
    <x v="0"/>
    <m/>
    <m/>
    <m/>
    <m/>
    <m/>
    <m/>
    <m/>
    <m/>
    <m/>
    <m/>
    <m/>
    <m/>
    <s v="x"/>
    <s v="x"/>
    <s v="na"/>
    <s v="NRD"/>
    <s v="na"/>
    <s v="na"/>
    <s v="na"/>
    <s v="na"/>
    <s v="na"/>
    <s v="na"/>
    <s v="na"/>
    <s v="na"/>
  </r>
  <r>
    <n v="4075"/>
    <x v="85"/>
    <m/>
    <x v="14"/>
    <x v="3"/>
    <x v="0"/>
    <m/>
    <m/>
    <m/>
    <m/>
    <m/>
    <m/>
    <m/>
    <m/>
    <m/>
    <m/>
    <m/>
    <m/>
    <s v="x"/>
    <s v="x"/>
    <s v="na"/>
    <s v="NRD"/>
    <s v="na"/>
    <s v="na"/>
    <s v="na"/>
    <s v="na"/>
    <s v="na"/>
    <s v="na"/>
    <s v="na"/>
    <s v="na"/>
  </r>
  <r>
    <n v="4076"/>
    <x v="85"/>
    <m/>
    <x v="14"/>
    <x v="3"/>
    <x v="0"/>
    <m/>
    <m/>
    <m/>
    <m/>
    <m/>
    <m/>
    <m/>
    <m/>
    <m/>
    <m/>
    <m/>
    <m/>
    <s v="x"/>
    <s v="x"/>
    <s v="na"/>
    <s v="NRD"/>
    <s v="na"/>
    <s v="na"/>
    <s v="na"/>
    <s v="na"/>
    <s v="na"/>
    <s v="na"/>
    <s v="na"/>
    <s v="na"/>
  </r>
  <r>
    <n v="4077"/>
    <x v="85"/>
    <m/>
    <x v="14"/>
    <x v="3"/>
    <x v="0"/>
    <m/>
    <m/>
    <m/>
    <m/>
    <m/>
    <m/>
    <m/>
    <m/>
    <m/>
    <m/>
    <m/>
    <m/>
    <s v="x"/>
    <s v="x"/>
    <s v="na"/>
    <s v="NRD"/>
    <s v="na"/>
    <s v="na"/>
    <s v="na"/>
    <s v="na"/>
    <s v="na"/>
    <s v="na"/>
    <s v="na"/>
    <s v="na"/>
  </r>
  <r>
    <n v="4078"/>
    <x v="85"/>
    <m/>
    <x v="14"/>
    <x v="3"/>
    <x v="0"/>
    <m/>
    <m/>
    <m/>
    <m/>
    <m/>
    <m/>
    <m/>
    <m/>
    <m/>
    <m/>
    <m/>
    <m/>
    <s v="x"/>
    <s v="x"/>
    <s v="na"/>
    <s v="NRD"/>
    <s v="na"/>
    <s v="na"/>
    <s v="na"/>
    <s v="na"/>
    <s v="na"/>
    <s v="na"/>
    <s v="na"/>
    <s v="na"/>
  </r>
  <r>
    <n v="4079"/>
    <x v="85"/>
    <m/>
    <x v="14"/>
    <x v="3"/>
    <x v="0"/>
    <m/>
    <m/>
    <m/>
    <m/>
    <m/>
    <m/>
    <m/>
    <m/>
    <m/>
    <m/>
    <m/>
    <m/>
    <s v="x"/>
    <s v="x"/>
    <s v="na"/>
    <s v="NRD"/>
    <s v="na"/>
    <s v="na"/>
    <s v="na"/>
    <s v="na"/>
    <s v="na"/>
    <s v="na"/>
    <s v="na"/>
    <s v="na"/>
  </r>
  <r>
    <n v="4080"/>
    <x v="85"/>
    <m/>
    <x v="14"/>
    <x v="3"/>
    <x v="0"/>
    <m/>
    <m/>
    <m/>
    <m/>
    <m/>
    <m/>
    <m/>
    <m/>
    <m/>
    <m/>
    <m/>
    <m/>
    <s v="x"/>
    <s v="x"/>
    <s v="na"/>
    <s v="NRD"/>
    <s v="na"/>
    <s v="na"/>
    <s v="na"/>
    <s v="na"/>
    <s v="na"/>
    <s v="na"/>
    <s v="na"/>
    <s v="na"/>
  </r>
  <r>
    <n v="4081"/>
    <x v="85"/>
    <m/>
    <x v="14"/>
    <x v="3"/>
    <x v="0"/>
    <m/>
    <m/>
    <m/>
    <m/>
    <m/>
    <m/>
    <m/>
    <m/>
    <m/>
    <m/>
    <m/>
    <m/>
    <s v="x"/>
    <s v="x"/>
    <s v="na"/>
    <s v="NRD"/>
    <s v="na"/>
    <s v="na"/>
    <s v="na"/>
    <s v="na"/>
    <s v="na"/>
    <s v="na"/>
    <s v="na"/>
    <s v="na"/>
  </r>
  <r>
    <n v="4082"/>
    <x v="85"/>
    <m/>
    <x v="14"/>
    <x v="3"/>
    <x v="0"/>
    <m/>
    <m/>
    <m/>
    <m/>
    <m/>
    <m/>
    <m/>
    <m/>
    <m/>
    <m/>
    <m/>
    <m/>
    <s v="x"/>
    <s v="x"/>
    <s v="na"/>
    <s v="NRD"/>
    <s v="na"/>
    <s v="na"/>
    <s v="na"/>
    <s v="na"/>
    <s v="na"/>
    <s v="na"/>
    <s v="na"/>
    <s v="na"/>
  </r>
  <r>
    <n v="4083"/>
    <x v="85"/>
    <m/>
    <x v="14"/>
    <x v="3"/>
    <x v="0"/>
    <m/>
    <m/>
    <m/>
    <m/>
    <m/>
    <m/>
    <m/>
    <m/>
    <m/>
    <m/>
    <m/>
    <m/>
    <s v="x"/>
    <s v="x"/>
    <s v="na"/>
    <s v="NRD"/>
    <s v="na"/>
    <s v="na"/>
    <s v="na"/>
    <s v="na"/>
    <s v="na"/>
    <s v="na"/>
    <s v="na"/>
    <s v="na"/>
  </r>
  <r>
    <n v="4084"/>
    <x v="85"/>
    <m/>
    <x v="14"/>
    <x v="3"/>
    <x v="0"/>
    <m/>
    <m/>
    <m/>
    <m/>
    <m/>
    <m/>
    <m/>
    <m/>
    <m/>
    <m/>
    <m/>
    <m/>
    <s v="x"/>
    <s v="x"/>
    <s v="na"/>
    <s v="NRD"/>
    <s v="na"/>
    <s v="na"/>
    <s v="na"/>
    <s v="na"/>
    <s v="na"/>
    <s v="na"/>
    <s v="na"/>
    <s v="na"/>
  </r>
  <r>
    <n v="4085"/>
    <x v="85"/>
    <m/>
    <x v="14"/>
    <x v="3"/>
    <x v="0"/>
    <m/>
    <m/>
    <m/>
    <m/>
    <m/>
    <m/>
    <m/>
    <m/>
    <m/>
    <m/>
    <m/>
    <m/>
    <s v="x"/>
    <s v="x"/>
    <s v="na"/>
    <s v="NRD"/>
    <s v="na"/>
    <s v="na"/>
    <s v="na"/>
    <s v="na"/>
    <s v="na"/>
    <s v="na"/>
    <s v="na"/>
    <s v="na"/>
  </r>
  <r>
    <n v="4086"/>
    <x v="85"/>
    <m/>
    <x v="14"/>
    <x v="3"/>
    <x v="0"/>
    <m/>
    <m/>
    <m/>
    <m/>
    <m/>
    <m/>
    <m/>
    <m/>
    <m/>
    <m/>
    <m/>
    <m/>
    <s v="x"/>
    <s v="x"/>
    <s v="na"/>
    <s v="NRD"/>
    <s v="na"/>
    <s v="na"/>
    <s v="na"/>
    <s v="na"/>
    <s v="na"/>
    <s v="na"/>
    <s v="na"/>
    <s v="na"/>
  </r>
  <r>
    <n v="4087"/>
    <x v="85"/>
    <m/>
    <x v="14"/>
    <x v="3"/>
    <x v="0"/>
    <m/>
    <m/>
    <m/>
    <m/>
    <m/>
    <m/>
    <m/>
    <m/>
    <m/>
    <m/>
    <m/>
    <m/>
    <s v="x"/>
    <s v="x"/>
    <s v="na"/>
    <s v="NRD"/>
    <s v="na"/>
    <s v="na"/>
    <s v="na"/>
    <s v="na"/>
    <s v="na"/>
    <s v="na"/>
    <s v="na"/>
    <s v="na"/>
  </r>
  <r>
    <n v="4088"/>
    <x v="85"/>
    <m/>
    <x v="14"/>
    <x v="3"/>
    <x v="0"/>
    <m/>
    <m/>
    <m/>
    <m/>
    <m/>
    <m/>
    <m/>
    <m/>
    <m/>
    <m/>
    <m/>
    <m/>
    <s v="x"/>
    <s v="x"/>
    <s v="na"/>
    <s v="NRD"/>
    <s v="na"/>
    <s v="na"/>
    <s v="na"/>
    <s v="na"/>
    <s v="na"/>
    <s v="na"/>
    <s v="na"/>
    <s v="na"/>
  </r>
  <r>
    <n v="4089"/>
    <x v="85"/>
    <m/>
    <x v="14"/>
    <x v="3"/>
    <x v="0"/>
    <m/>
    <m/>
    <m/>
    <m/>
    <m/>
    <m/>
    <m/>
    <m/>
    <m/>
    <m/>
    <m/>
    <m/>
    <s v="x"/>
    <s v="x"/>
    <s v="na"/>
    <s v="NRD"/>
    <s v="na"/>
    <s v="na"/>
    <s v="na"/>
    <s v="na"/>
    <s v="na"/>
    <s v="na"/>
    <s v="na"/>
    <s v="na"/>
  </r>
  <r>
    <n v="4090"/>
    <x v="85"/>
    <m/>
    <x v="14"/>
    <x v="3"/>
    <x v="0"/>
    <m/>
    <m/>
    <m/>
    <m/>
    <m/>
    <m/>
    <m/>
    <m/>
    <m/>
    <m/>
    <m/>
    <m/>
    <s v="x"/>
    <s v="x"/>
    <s v="na"/>
    <s v="NRD"/>
    <s v="na"/>
    <s v="na"/>
    <s v="na"/>
    <s v="na"/>
    <s v="na"/>
    <s v="na"/>
    <s v="na"/>
    <s v="na"/>
  </r>
  <r>
    <n v="4091"/>
    <x v="85"/>
    <m/>
    <x v="14"/>
    <x v="3"/>
    <x v="0"/>
    <m/>
    <m/>
    <m/>
    <m/>
    <m/>
    <m/>
    <m/>
    <m/>
    <m/>
    <m/>
    <m/>
    <m/>
    <s v="x"/>
    <s v="x"/>
    <s v="na"/>
    <s v="NRD"/>
    <s v="na"/>
    <s v="na"/>
    <s v="na"/>
    <s v="na"/>
    <s v="na"/>
    <s v="na"/>
    <s v="na"/>
    <s v="na"/>
  </r>
  <r>
    <n v="4092"/>
    <x v="85"/>
    <m/>
    <x v="14"/>
    <x v="3"/>
    <x v="0"/>
    <m/>
    <m/>
    <m/>
    <m/>
    <m/>
    <m/>
    <m/>
    <m/>
    <m/>
    <m/>
    <m/>
    <m/>
    <s v="x"/>
    <s v="x"/>
    <s v="na"/>
    <s v="NRD"/>
    <s v="na"/>
    <s v="na"/>
    <s v="na"/>
    <s v="na"/>
    <s v="na"/>
    <s v="na"/>
    <s v="na"/>
    <s v="na"/>
  </r>
  <r>
    <n v="4093"/>
    <x v="85"/>
    <m/>
    <x v="14"/>
    <x v="3"/>
    <x v="0"/>
    <m/>
    <m/>
    <m/>
    <m/>
    <m/>
    <m/>
    <m/>
    <m/>
    <m/>
    <m/>
    <m/>
    <m/>
    <s v="x"/>
    <s v="x"/>
    <s v="na"/>
    <s v="NRD"/>
    <s v="na"/>
    <s v="na"/>
    <s v="na"/>
    <s v="na"/>
    <s v="na"/>
    <s v="na"/>
    <s v="na"/>
    <s v="na"/>
  </r>
  <r>
    <n v="4094"/>
    <x v="85"/>
    <m/>
    <x v="14"/>
    <x v="3"/>
    <x v="0"/>
    <m/>
    <m/>
    <m/>
    <m/>
    <m/>
    <m/>
    <m/>
    <m/>
    <m/>
    <m/>
    <m/>
    <m/>
    <s v="x"/>
    <s v="x"/>
    <s v="na"/>
    <s v="NRD"/>
    <s v="na"/>
    <s v="na"/>
    <s v="na"/>
    <s v="na"/>
    <s v="na"/>
    <s v="na"/>
    <s v="na"/>
    <s v="na"/>
  </r>
  <r>
    <n v="4095"/>
    <x v="85"/>
    <m/>
    <x v="14"/>
    <x v="3"/>
    <x v="0"/>
    <m/>
    <m/>
    <m/>
    <m/>
    <m/>
    <m/>
    <m/>
    <m/>
    <m/>
    <m/>
    <m/>
    <m/>
    <s v="x"/>
    <s v="x"/>
    <s v="na"/>
    <s v="NRD"/>
    <s v="na"/>
    <s v="na"/>
    <s v="na"/>
    <s v="na"/>
    <s v="na"/>
    <s v="na"/>
    <s v="na"/>
    <s v="na"/>
  </r>
  <r>
    <n v="4096"/>
    <x v="85"/>
    <m/>
    <x v="14"/>
    <x v="3"/>
    <x v="0"/>
    <m/>
    <m/>
    <m/>
    <m/>
    <m/>
    <m/>
    <m/>
    <m/>
    <m/>
    <m/>
    <m/>
    <m/>
    <s v="x"/>
    <s v="x"/>
    <s v="na"/>
    <s v="NRD"/>
    <s v="na"/>
    <s v="na"/>
    <s v="na"/>
    <s v="na"/>
    <s v="na"/>
    <s v="na"/>
    <s v="na"/>
    <s v="na"/>
  </r>
  <r>
    <n v="4097"/>
    <x v="85"/>
    <m/>
    <x v="14"/>
    <x v="3"/>
    <x v="0"/>
    <m/>
    <m/>
    <m/>
    <m/>
    <m/>
    <m/>
    <m/>
    <m/>
    <m/>
    <m/>
    <m/>
    <m/>
    <s v="x"/>
    <s v="x"/>
    <s v="na"/>
    <s v="NRD"/>
    <s v="na"/>
    <s v="na"/>
    <s v="na"/>
    <s v="na"/>
    <s v="na"/>
    <s v="na"/>
    <s v="na"/>
    <s v="na"/>
  </r>
  <r>
    <n v="4098"/>
    <x v="85"/>
    <m/>
    <x v="14"/>
    <x v="3"/>
    <x v="0"/>
    <m/>
    <m/>
    <m/>
    <m/>
    <m/>
    <m/>
    <m/>
    <m/>
    <m/>
    <m/>
    <m/>
    <m/>
    <s v="x"/>
    <s v="x"/>
    <s v="na"/>
    <s v="NRD"/>
    <s v="na"/>
    <s v="na"/>
    <s v="na"/>
    <s v="na"/>
    <s v="na"/>
    <s v="na"/>
    <s v="na"/>
    <s v="na"/>
  </r>
  <r>
    <n v="4099"/>
    <x v="85"/>
    <m/>
    <x v="14"/>
    <x v="3"/>
    <x v="0"/>
    <m/>
    <m/>
    <m/>
    <m/>
    <m/>
    <m/>
    <m/>
    <m/>
    <m/>
    <m/>
    <m/>
    <m/>
    <s v="x"/>
    <s v="x"/>
    <s v="na"/>
    <s v="NRD"/>
    <s v="na"/>
    <s v="na"/>
    <s v="na"/>
    <s v="na"/>
    <s v="na"/>
    <s v="na"/>
    <s v="na"/>
    <s v="na"/>
  </r>
  <r>
    <n v="4100"/>
    <x v="85"/>
    <m/>
    <x v="14"/>
    <x v="3"/>
    <x v="0"/>
    <m/>
    <m/>
    <m/>
    <m/>
    <m/>
    <m/>
    <m/>
    <m/>
    <m/>
    <m/>
    <m/>
    <m/>
    <s v="x"/>
    <s v="x"/>
    <s v="na"/>
    <s v="NRD"/>
    <s v="na"/>
    <s v="na"/>
    <s v="na"/>
    <s v="na"/>
    <s v="na"/>
    <s v="na"/>
    <s v="na"/>
    <s v="na"/>
  </r>
  <r>
    <n v="4101"/>
    <x v="85"/>
    <m/>
    <x v="14"/>
    <x v="3"/>
    <x v="0"/>
    <m/>
    <m/>
    <m/>
    <m/>
    <m/>
    <m/>
    <m/>
    <m/>
    <m/>
    <m/>
    <m/>
    <m/>
    <s v="x"/>
    <s v="x"/>
    <s v="na"/>
    <s v="NRD"/>
    <s v="na"/>
    <s v="na"/>
    <s v="na"/>
    <s v="na"/>
    <s v="na"/>
    <s v="na"/>
    <s v="na"/>
    <s v="na"/>
  </r>
  <r>
    <n v="4102"/>
    <x v="85"/>
    <m/>
    <x v="14"/>
    <x v="3"/>
    <x v="0"/>
    <m/>
    <m/>
    <m/>
    <m/>
    <m/>
    <m/>
    <m/>
    <m/>
    <m/>
    <m/>
    <m/>
    <m/>
    <s v="x"/>
    <s v="x"/>
    <s v="na"/>
    <s v="NRD"/>
    <s v="na"/>
    <s v="na"/>
    <s v="na"/>
    <s v="na"/>
    <s v="na"/>
    <s v="na"/>
    <s v="na"/>
    <s v="na"/>
  </r>
  <r>
    <n v="4103"/>
    <x v="85"/>
    <m/>
    <x v="14"/>
    <x v="3"/>
    <x v="0"/>
    <m/>
    <m/>
    <m/>
    <m/>
    <m/>
    <m/>
    <m/>
    <m/>
    <m/>
    <m/>
    <m/>
    <m/>
    <s v="x"/>
    <s v="x"/>
    <s v="na"/>
    <s v="NRD"/>
    <s v="na"/>
    <s v="na"/>
    <s v="na"/>
    <s v="na"/>
    <s v="na"/>
    <s v="na"/>
    <s v="na"/>
    <s v="na"/>
  </r>
  <r>
    <n v="4104"/>
    <x v="85"/>
    <m/>
    <x v="14"/>
    <x v="3"/>
    <x v="0"/>
    <m/>
    <m/>
    <m/>
    <m/>
    <m/>
    <m/>
    <m/>
    <m/>
    <m/>
    <m/>
    <m/>
    <m/>
    <s v="x"/>
    <s v="x"/>
    <s v="na"/>
    <s v="NRD"/>
    <s v="na"/>
    <s v="na"/>
    <s v="na"/>
    <s v="na"/>
    <s v="na"/>
    <s v="na"/>
    <s v="na"/>
    <s v="na"/>
  </r>
  <r>
    <n v="4105"/>
    <x v="85"/>
    <m/>
    <x v="14"/>
    <x v="3"/>
    <x v="0"/>
    <m/>
    <m/>
    <m/>
    <m/>
    <m/>
    <m/>
    <m/>
    <m/>
    <m/>
    <m/>
    <m/>
    <m/>
    <s v="x"/>
    <s v="x"/>
    <s v="na"/>
    <s v="NRD"/>
    <s v="na"/>
    <s v="na"/>
    <s v="na"/>
    <s v="na"/>
    <s v="na"/>
    <s v="na"/>
    <s v="na"/>
    <s v="na"/>
  </r>
  <r>
    <n v="4106"/>
    <x v="85"/>
    <m/>
    <x v="14"/>
    <x v="3"/>
    <x v="0"/>
    <m/>
    <m/>
    <m/>
    <m/>
    <m/>
    <m/>
    <m/>
    <m/>
    <m/>
    <m/>
    <m/>
    <m/>
    <s v="x"/>
    <s v="x"/>
    <s v="na"/>
    <s v="NRD"/>
    <s v="na"/>
    <s v="na"/>
    <s v="na"/>
    <s v="na"/>
    <s v="na"/>
    <s v="na"/>
    <s v="na"/>
    <s v="na"/>
  </r>
  <r>
    <n v="4107"/>
    <x v="85"/>
    <m/>
    <x v="14"/>
    <x v="3"/>
    <x v="0"/>
    <m/>
    <m/>
    <m/>
    <m/>
    <m/>
    <m/>
    <m/>
    <m/>
    <m/>
    <m/>
    <m/>
    <m/>
    <s v="x"/>
    <s v="x"/>
    <s v="na"/>
    <s v="NRD"/>
    <s v="na"/>
    <s v="na"/>
    <s v="na"/>
    <s v="na"/>
    <s v="na"/>
    <s v="na"/>
    <s v="na"/>
    <s v="na"/>
  </r>
  <r>
    <n v="4108"/>
    <x v="85"/>
    <m/>
    <x v="14"/>
    <x v="3"/>
    <x v="0"/>
    <m/>
    <m/>
    <m/>
    <m/>
    <m/>
    <m/>
    <m/>
    <m/>
    <m/>
    <m/>
    <m/>
    <m/>
    <s v="x"/>
    <s v="x"/>
    <s v="na"/>
    <s v="NRD"/>
    <s v="na"/>
    <s v="na"/>
    <s v="na"/>
    <s v="na"/>
    <s v="na"/>
    <s v="na"/>
    <s v="na"/>
    <s v="na"/>
  </r>
  <r>
    <n v="4109"/>
    <x v="85"/>
    <m/>
    <x v="14"/>
    <x v="3"/>
    <x v="0"/>
    <m/>
    <m/>
    <m/>
    <m/>
    <m/>
    <m/>
    <m/>
    <m/>
    <m/>
    <m/>
    <m/>
    <m/>
    <s v="x"/>
    <s v="x"/>
    <s v="na"/>
    <s v="NRD"/>
    <s v="na"/>
    <s v="na"/>
    <s v="na"/>
    <s v="na"/>
    <s v="na"/>
    <s v="na"/>
    <s v="na"/>
    <s v="na"/>
  </r>
  <r>
    <n v="4110"/>
    <x v="85"/>
    <m/>
    <x v="14"/>
    <x v="3"/>
    <x v="0"/>
    <m/>
    <m/>
    <m/>
    <m/>
    <m/>
    <m/>
    <m/>
    <m/>
    <m/>
    <m/>
    <m/>
    <m/>
    <s v="x"/>
    <s v="x"/>
    <s v="na"/>
    <s v="NRD"/>
    <s v="na"/>
    <s v="na"/>
    <s v="na"/>
    <s v="na"/>
    <s v="na"/>
    <s v="na"/>
    <s v="na"/>
    <s v="na"/>
  </r>
  <r>
    <n v="4111"/>
    <x v="85"/>
    <m/>
    <x v="14"/>
    <x v="3"/>
    <x v="0"/>
    <m/>
    <m/>
    <m/>
    <m/>
    <m/>
    <m/>
    <m/>
    <m/>
    <m/>
    <m/>
    <m/>
    <m/>
    <s v="x"/>
    <s v="x"/>
    <s v="na"/>
    <s v="NRD"/>
    <s v="na"/>
    <s v="na"/>
    <s v="na"/>
    <s v="na"/>
    <s v="na"/>
    <s v="na"/>
    <s v="na"/>
    <s v="na"/>
  </r>
  <r>
    <n v="4112"/>
    <x v="85"/>
    <m/>
    <x v="14"/>
    <x v="3"/>
    <x v="0"/>
    <m/>
    <m/>
    <m/>
    <m/>
    <m/>
    <m/>
    <m/>
    <m/>
    <m/>
    <m/>
    <m/>
    <m/>
    <s v="x"/>
    <s v="x"/>
    <s v="na"/>
    <s v="NRD"/>
    <s v="na"/>
    <s v="na"/>
    <s v="na"/>
    <s v="na"/>
    <s v="na"/>
    <s v="na"/>
    <s v="na"/>
    <s v="na"/>
  </r>
  <r>
    <n v="4113"/>
    <x v="85"/>
    <m/>
    <x v="14"/>
    <x v="3"/>
    <x v="0"/>
    <m/>
    <m/>
    <m/>
    <m/>
    <m/>
    <m/>
    <m/>
    <m/>
    <m/>
    <m/>
    <m/>
    <m/>
    <s v="x"/>
    <s v="x"/>
    <s v="na"/>
    <s v="NRD"/>
    <s v="na"/>
    <s v="na"/>
    <s v="na"/>
    <s v="na"/>
    <s v="na"/>
    <s v="na"/>
    <s v="na"/>
    <s v="na"/>
  </r>
  <r>
    <n v="4114"/>
    <x v="85"/>
    <m/>
    <x v="14"/>
    <x v="3"/>
    <x v="0"/>
    <m/>
    <m/>
    <m/>
    <m/>
    <m/>
    <m/>
    <m/>
    <m/>
    <m/>
    <m/>
    <m/>
    <m/>
    <s v="x"/>
    <s v="x"/>
    <s v="na"/>
    <s v="NRD"/>
    <s v="na"/>
    <s v="na"/>
    <s v="na"/>
    <s v="na"/>
    <s v="na"/>
    <s v="na"/>
    <s v="na"/>
    <s v="na"/>
  </r>
  <r>
    <n v="4115"/>
    <x v="85"/>
    <m/>
    <x v="14"/>
    <x v="3"/>
    <x v="0"/>
    <m/>
    <m/>
    <m/>
    <m/>
    <m/>
    <m/>
    <m/>
    <m/>
    <m/>
    <m/>
    <m/>
    <m/>
    <s v="x"/>
    <s v="x"/>
    <s v="na"/>
    <s v="NRD"/>
    <s v="na"/>
    <s v="na"/>
    <s v="na"/>
    <s v="na"/>
    <s v="na"/>
    <s v="na"/>
    <s v="na"/>
    <s v="na"/>
  </r>
  <r>
    <n v="4116"/>
    <x v="85"/>
    <m/>
    <x v="14"/>
    <x v="3"/>
    <x v="0"/>
    <m/>
    <m/>
    <m/>
    <m/>
    <m/>
    <m/>
    <m/>
    <m/>
    <m/>
    <m/>
    <m/>
    <m/>
    <s v="x"/>
    <s v="x"/>
    <s v="na"/>
    <s v="NRD"/>
    <s v="na"/>
    <s v="na"/>
    <s v="na"/>
    <s v="na"/>
    <s v="na"/>
    <s v="na"/>
    <s v="na"/>
    <s v="na"/>
  </r>
  <r>
    <n v="4117"/>
    <x v="85"/>
    <m/>
    <x v="14"/>
    <x v="3"/>
    <x v="0"/>
    <m/>
    <m/>
    <m/>
    <m/>
    <m/>
    <m/>
    <m/>
    <m/>
    <m/>
    <m/>
    <m/>
    <m/>
    <s v="x"/>
    <s v="x"/>
    <s v="na"/>
    <s v="NRD"/>
    <s v="na"/>
    <s v="na"/>
    <s v="na"/>
    <s v="na"/>
    <s v="na"/>
    <s v="na"/>
    <s v="na"/>
    <s v="na"/>
  </r>
  <r>
    <n v="4118"/>
    <x v="85"/>
    <m/>
    <x v="14"/>
    <x v="3"/>
    <x v="0"/>
    <m/>
    <m/>
    <m/>
    <m/>
    <m/>
    <m/>
    <m/>
    <m/>
    <m/>
    <m/>
    <m/>
    <m/>
    <s v="x"/>
    <s v="x"/>
    <s v="na"/>
    <s v="NRD"/>
    <s v="na"/>
    <s v="na"/>
    <s v="na"/>
    <s v="na"/>
    <s v="na"/>
    <s v="na"/>
    <s v="na"/>
    <s v="na"/>
  </r>
  <r>
    <n v="4119"/>
    <x v="85"/>
    <m/>
    <x v="14"/>
    <x v="3"/>
    <x v="0"/>
    <m/>
    <m/>
    <m/>
    <m/>
    <m/>
    <m/>
    <m/>
    <m/>
    <m/>
    <m/>
    <m/>
    <m/>
    <s v="x"/>
    <s v="x"/>
    <s v="na"/>
    <s v="NRD"/>
    <s v="na"/>
    <s v="na"/>
    <s v="na"/>
    <s v="na"/>
    <s v="na"/>
    <s v="na"/>
    <s v="na"/>
    <s v="na"/>
  </r>
  <r>
    <n v="4120"/>
    <x v="85"/>
    <m/>
    <x v="14"/>
    <x v="3"/>
    <x v="0"/>
    <m/>
    <m/>
    <m/>
    <m/>
    <m/>
    <m/>
    <m/>
    <m/>
    <m/>
    <m/>
    <m/>
    <m/>
    <s v="x"/>
    <s v="x"/>
    <s v="na"/>
    <s v="NRD"/>
    <s v="na"/>
    <s v="na"/>
    <s v="na"/>
    <s v="na"/>
    <s v="na"/>
    <s v="na"/>
    <s v="na"/>
    <s v="na"/>
  </r>
  <r>
    <n v="4121"/>
    <x v="85"/>
    <m/>
    <x v="14"/>
    <x v="3"/>
    <x v="0"/>
    <m/>
    <m/>
    <m/>
    <m/>
    <m/>
    <m/>
    <m/>
    <m/>
    <m/>
    <m/>
    <m/>
    <m/>
    <s v="x"/>
    <s v="x"/>
    <s v="na"/>
    <s v="NRD"/>
    <s v="na"/>
    <s v="na"/>
    <s v="na"/>
    <s v="na"/>
    <s v="na"/>
    <s v="na"/>
    <s v="na"/>
    <s v="na"/>
  </r>
  <r>
    <n v="4122"/>
    <x v="85"/>
    <m/>
    <x v="14"/>
    <x v="3"/>
    <x v="0"/>
    <m/>
    <m/>
    <m/>
    <m/>
    <m/>
    <m/>
    <m/>
    <m/>
    <m/>
    <m/>
    <m/>
    <m/>
    <s v="x"/>
    <s v="x"/>
    <s v="na"/>
    <s v="NRD"/>
    <s v="na"/>
    <s v="na"/>
    <s v="na"/>
    <s v="na"/>
    <s v="na"/>
    <s v="na"/>
    <s v="na"/>
    <s v="na"/>
  </r>
  <r>
    <n v="4123"/>
    <x v="85"/>
    <m/>
    <x v="14"/>
    <x v="3"/>
    <x v="0"/>
    <m/>
    <m/>
    <m/>
    <m/>
    <m/>
    <m/>
    <m/>
    <m/>
    <m/>
    <m/>
    <m/>
    <m/>
    <s v="x"/>
    <s v="x"/>
    <s v="na"/>
    <s v="NRD"/>
    <s v="na"/>
    <s v="na"/>
    <s v="na"/>
    <s v="na"/>
    <s v="na"/>
    <s v="na"/>
    <s v="na"/>
    <s v="na"/>
  </r>
  <r>
    <n v="4124"/>
    <x v="85"/>
    <m/>
    <x v="14"/>
    <x v="3"/>
    <x v="0"/>
    <m/>
    <m/>
    <m/>
    <m/>
    <m/>
    <m/>
    <m/>
    <m/>
    <m/>
    <m/>
    <m/>
    <m/>
    <s v="x"/>
    <s v="x"/>
    <s v="na"/>
    <s v="NRD"/>
    <s v="na"/>
    <s v="na"/>
    <s v="na"/>
    <s v="na"/>
    <s v="na"/>
    <s v="na"/>
    <s v="na"/>
    <s v="na"/>
  </r>
  <r>
    <n v="4125"/>
    <x v="85"/>
    <m/>
    <x v="14"/>
    <x v="3"/>
    <x v="0"/>
    <m/>
    <m/>
    <m/>
    <m/>
    <m/>
    <m/>
    <m/>
    <m/>
    <m/>
    <m/>
    <m/>
    <m/>
    <s v="x"/>
    <s v="x"/>
    <s v="na"/>
    <s v="NRD"/>
    <s v="na"/>
    <s v="na"/>
    <s v="na"/>
    <s v="na"/>
    <s v="na"/>
    <s v="na"/>
    <s v="na"/>
    <s v="na"/>
  </r>
  <r>
    <n v="4126"/>
    <x v="85"/>
    <m/>
    <x v="14"/>
    <x v="3"/>
    <x v="0"/>
    <m/>
    <m/>
    <m/>
    <m/>
    <m/>
    <m/>
    <m/>
    <m/>
    <m/>
    <m/>
    <m/>
    <m/>
    <s v="x"/>
    <s v="x"/>
    <s v="na"/>
    <s v="NRD"/>
    <s v="na"/>
    <s v="na"/>
    <s v="na"/>
    <s v="na"/>
    <s v="na"/>
    <s v="na"/>
    <s v="na"/>
    <s v="na"/>
  </r>
  <r>
    <n v="4127"/>
    <x v="85"/>
    <m/>
    <x v="14"/>
    <x v="3"/>
    <x v="0"/>
    <m/>
    <m/>
    <m/>
    <m/>
    <m/>
    <m/>
    <m/>
    <m/>
    <m/>
    <m/>
    <m/>
    <m/>
    <s v="x"/>
    <s v="x"/>
    <s v="na"/>
    <s v="NRD"/>
    <s v="na"/>
    <s v="na"/>
    <s v="na"/>
    <s v="na"/>
    <s v="na"/>
    <s v="na"/>
    <s v="na"/>
    <s v="na"/>
  </r>
  <r>
    <n v="4128"/>
    <x v="85"/>
    <m/>
    <x v="14"/>
    <x v="3"/>
    <x v="0"/>
    <m/>
    <m/>
    <m/>
    <m/>
    <m/>
    <m/>
    <m/>
    <m/>
    <m/>
    <m/>
    <m/>
    <m/>
    <s v="x"/>
    <s v="x"/>
    <s v="na"/>
    <s v="NRD"/>
    <s v="na"/>
    <s v="na"/>
    <s v="na"/>
    <s v="na"/>
    <s v="na"/>
    <s v="na"/>
    <s v="na"/>
    <s v="na"/>
  </r>
  <r>
    <n v="4129"/>
    <x v="85"/>
    <m/>
    <x v="14"/>
    <x v="3"/>
    <x v="0"/>
    <m/>
    <m/>
    <m/>
    <m/>
    <m/>
    <m/>
    <m/>
    <m/>
    <m/>
    <m/>
    <m/>
    <m/>
    <s v="x"/>
    <s v="x"/>
    <s v="na"/>
    <s v="NRD"/>
    <s v="na"/>
    <s v="na"/>
    <s v="na"/>
    <s v="na"/>
    <s v="na"/>
    <s v="na"/>
    <s v="na"/>
    <s v="na"/>
  </r>
  <r>
    <n v="4130"/>
    <x v="85"/>
    <m/>
    <x v="14"/>
    <x v="3"/>
    <x v="0"/>
    <m/>
    <m/>
    <m/>
    <m/>
    <m/>
    <m/>
    <m/>
    <m/>
    <m/>
    <m/>
    <m/>
    <m/>
    <s v="x"/>
    <s v="x"/>
    <s v="na"/>
    <s v="NRD"/>
    <s v="na"/>
    <s v="na"/>
    <s v="na"/>
    <s v="na"/>
    <s v="na"/>
    <s v="na"/>
    <s v="na"/>
    <s v="na"/>
  </r>
  <r>
    <n v="4131"/>
    <x v="85"/>
    <m/>
    <x v="14"/>
    <x v="3"/>
    <x v="0"/>
    <m/>
    <m/>
    <m/>
    <m/>
    <m/>
    <m/>
    <m/>
    <m/>
    <m/>
    <m/>
    <m/>
    <m/>
    <s v="x"/>
    <s v="x"/>
    <s v="na"/>
    <s v="NRD"/>
    <s v="na"/>
    <s v="na"/>
    <s v="na"/>
    <s v="na"/>
    <s v="na"/>
    <s v="na"/>
    <s v="na"/>
    <s v="na"/>
  </r>
  <r>
    <n v="4132"/>
    <x v="85"/>
    <m/>
    <x v="14"/>
    <x v="3"/>
    <x v="0"/>
    <m/>
    <m/>
    <m/>
    <m/>
    <m/>
    <m/>
    <m/>
    <m/>
    <m/>
    <m/>
    <m/>
    <m/>
    <s v="x"/>
    <s v="x"/>
    <s v="na"/>
    <s v="NRD"/>
    <s v="na"/>
    <s v="na"/>
    <s v="na"/>
    <s v="na"/>
    <s v="na"/>
    <s v="na"/>
    <s v="na"/>
    <s v="na"/>
  </r>
  <r>
    <n v="4133"/>
    <x v="85"/>
    <m/>
    <x v="14"/>
    <x v="3"/>
    <x v="0"/>
    <m/>
    <m/>
    <m/>
    <m/>
    <m/>
    <m/>
    <m/>
    <m/>
    <m/>
    <m/>
    <m/>
    <m/>
    <s v="x"/>
    <s v="x"/>
    <s v="na"/>
    <s v="NRD"/>
    <s v="na"/>
    <s v="na"/>
    <s v="na"/>
    <s v="na"/>
    <s v="na"/>
    <s v="na"/>
    <s v="na"/>
    <s v="na"/>
  </r>
  <r>
    <n v="4134"/>
    <x v="85"/>
    <m/>
    <x v="14"/>
    <x v="3"/>
    <x v="0"/>
    <m/>
    <m/>
    <m/>
    <m/>
    <m/>
    <m/>
    <m/>
    <m/>
    <m/>
    <m/>
    <m/>
    <m/>
    <s v="x"/>
    <s v="x"/>
    <s v="na"/>
    <s v="NRD"/>
    <s v="na"/>
    <s v="na"/>
    <s v="na"/>
    <s v="na"/>
    <s v="na"/>
    <s v="na"/>
    <s v="na"/>
    <s v="na"/>
  </r>
  <r>
    <n v="4135"/>
    <x v="85"/>
    <m/>
    <x v="14"/>
    <x v="3"/>
    <x v="0"/>
    <m/>
    <m/>
    <m/>
    <m/>
    <m/>
    <m/>
    <m/>
    <m/>
    <m/>
    <m/>
    <m/>
    <m/>
    <s v="x"/>
    <s v="x"/>
    <s v="na"/>
    <s v="NRD"/>
    <s v="na"/>
    <s v="na"/>
    <s v="na"/>
    <s v="na"/>
    <s v="na"/>
    <s v="na"/>
    <s v="na"/>
    <s v="na"/>
  </r>
  <r>
    <n v="4136"/>
    <x v="85"/>
    <m/>
    <x v="14"/>
    <x v="3"/>
    <x v="0"/>
    <m/>
    <m/>
    <m/>
    <m/>
    <m/>
    <m/>
    <m/>
    <m/>
    <m/>
    <m/>
    <m/>
    <m/>
    <s v="x"/>
    <s v="x"/>
    <s v="na"/>
    <s v="NRD"/>
    <s v="na"/>
    <s v="na"/>
    <s v="na"/>
    <s v="na"/>
    <s v="na"/>
    <s v="na"/>
    <s v="na"/>
    <s v="na"/>
  </r>
  <r>
    <n v="4137"/>
    <x v="85"/>
    <m/>
    <x v="14"/>
    <x v="3"/>
    <x v="0"/>
    <m/>
    <m/>
    <m/>
    <m/>
    <m/>
    <m/>
    <m/>
    <m/>
    <m/>
    <m/>
    <m/>
    <m/>
    <s v="x"/>
    <s v="x"/>
    <s v="na"/>
    <s v="NRD"/>
    <s v="na"/>
    <s v="na"/>
    <s v="na"/>
    <s v="na"/>
    <s v="na"/>
    <s v="na"/>
    <s v="na"/>
    <s v="na"/>
  </r>
  <r>
    <n v="4138"/>
    <x v="85"/>
    <m/>
    <x v="14"/>
    <x v="3"/>
    <x v="0"/>
    <m/>
    <m/>
    <m/>
    <m/>
    <m/>
    <m/>
    <m/>
    <m/>
    <m/>
    <m/>
    <m/>
    <m/>
    <s v="x"/>
    <s v="x"/>
    <s v="na"/>
    <s v="NRD"/>
    <s v="na"/>
    <s v="na"/>
    <s v="na"/>
    <s v="na"/>
    <s v="na"/>
    <s v="na"/>
    <s v="na"/>
    <s v="na"/>
  </r>
  <r>
    <n v="4139"/>
    <x v="85"/>
    <m/>
    <x v="14"/>
    <x v="3"/>
    <x v="0"/>
    <m/>
    <m/>
    <m/>
    <m/>
    <m/>
    <m/>
    <m/>
    <m/>
    <m/>
    <m/>
    <m/>
    <m/>
    <s v="x"/>
    <s v="x"/>
    <s v="na"/>
    <s v="NRD"/>
    <s v="na"/>
    <s v="na"/>
    <s v="na"/>
    <s v="na"/>
    <s v="na"/>
    <s v="na"/>
    <s v="na"/>
    <s v="na"/>
  </r>
  <r>
    <n v="4140"/>
    <x v="85"/>
    <m/>
    <x v="14"/>
    <x v="3"/>
    <x v="0"/>
    <m/>
    <m/>
    <m/>
    <m/>
    <m/>
    <m/>
    <m/>
    <m/>
    <m/>
    <m/>
    <m/>
    <m/>
    <s v="x"/>
    <s v="x"/>
    <s v="na"/>
    <s v="NRD"/>
    <s v="na"/>
    <s v="na"/>
    <s v="na"/>
    <s v="na"/>
    <s v="na"/>
    <s v="na"/>
    <s v="na"/>
    <s v="na"/>
  </r>
  <r>
    <n v="4141"/>
    <x v="85"/>
    <m/>
    <x v="14"/>
    <x v="3"/>
    <x v="0"/>
    <m/>
    <m/>
    <m/>
    <m/>
    <m/>
    <m/>
    <m/>
    <m/>
    <m/>
    <m/>
    <m/>
    <m/>
    <s v="x"/>
    <s v="x"/>
    <s v="na"/>
    <s v="NRD"/>
    <s v="na"/>
    <s v="na"/>
    <s v="na"/>
    <s v="na"/>
    <s v="na"/>
    <s v="na"/>
    <s v="na"/>
    <s v="na"/>
  </r>
  <r>
    <n v="4142"/>
    <x v="85"/>
    <m/>
    <x v="14"/>
    <x v="3"/>
    <x v="0"/>
    <m/>
    <m/>
    <m/>
    <m/>
    <m/>
    <m/>
    <m/>
    <m/>
    <m/>
    <m/>
    <m/>
    <m/>
    <s v="x"/>
    <s v="x"/>
    <s v="na"/>
    <s v="NRD"/>
    <s v="na"/>
    <s v="na"/>
    <s v="na"/>
    <s v="na"/>
    <s v="na"/>
    <s v="na"/>
    <s v="na"/>
    <s v="na"/>
  </r>
  <r>
    <n v="4143"/>
    <x v="85"/>
    <m/>
    <x v="14"/>
    <x v="3"/>
    <x v="0"/>
    <m/>
    <m/>
    <m/>
    <m/>
    <m/>
    <m/>
    <m/>
    <m/>
    <m/>
    <m/>
    <m/>
    <m/>
    <s v="x"/>
    <s v="x"/>
    <s v="na"/>
    <s v="NRD"/>
    <s v="na"/>
    <s v="na"/>
    <s v="na"/>
    <s v="na"/>
    <s v="na"/>
    <s v="na"/>
    <s v="na"/>
    <s v="na"/>
  </r>
  <r>
    <n v="4144"/>
    <x v="85"/>
    <m/>
    <x v="14"/>
    <x v="3"/>
    <x v="0"/>
    <m/>
    <m/>
    <m/>
    <m/>
    <m/>
    <m/>
    <m/>
    <m/>
    <m/>
    <m/>
    <m/>
    <m/>
    <s v="x"/>
    <s v="x"/>
    <s v="na"/>
    <s v="NRD"/>
    <s v="na"/>
    <s v="na"/>
    <s v="na"/>
    <s v="na"/>
    <s v="na"/>
    <s v="na"/>
    <s v="na"/>
    <s v="na"/>
  </r>
  <r>
    <n v="4145"/>
    <x v="85"/>
    <m/>
    <x v="14"/>
    <x v="3"/>
    <x v="0"/>
    <m/>
    <m/>
    <m/>
    <m/>
    <m/>
    <m/>
    <m/>
    <m/>
    <m/>
    <m/>
    <m/>
    <m/>
    <s v="x"/>
    <s v="x"/>
    <s v="na"/>
    <s v="NRD"/>
    <s v="na"/>
    <s v="na"/>
    <s v="na"/>
    <s v="na"/>
    <s v="na"/>
    <s v="na"/>
    <s v="na"/>
    <s v="na"/>
  </r>
  <r>
    <n v="4146"/>
    <x v="85"/>
    <m/>
    <x v="14"/>
    <x v="3"/>
    <x v="0"/>
    <m/>
    <m/>
    <m/>
    <m/>
    <m/>
    <m/>
    <m/>
    <m/>
    <m/>
    <m/>
    <m/>
    <m/>
    <s v="x"/>
    <s v="x"/>
    <s v="na"/>
    <s v="NRD"/>
    <s v="na"/>
    <s v="na"/>
    <s v="na"/>
    <s v="na"/>
    <s v="na"/>
    <s v="na"/>
    <s v="na"/>
    <s v="na"/>
  </r>
  <r>
    <n v="4147"/>
    <x v="85"/>
    <m/>
    <x v="14"/>
    <x v="3"/>
    <x v="0"/>
    <m/>
    <m/>
    <m/>
    <m/>
    <m/>
    <m/>
    <m/>
    <m/>
    <m/>
    <m/>
    <m/>
    <m/>
    <s v="x"/>
    <s v="x"/>
    <s v="na"/>
    <s v="NRD"/>
    <s v="na"/>
    <s v="na"/>
    <s v="na"/>
    <s v="na"/>
    <s v="na"/>
    <s v="na"/>
    <s v="na"/>
    <s v="na"/>
  </r>
  <r>
    <n v="4148"/>
    <x v="85"/>
    <m/>
    <x v="14"/>
    <x v="3"/>
    <x v="0"/>
    <m/>
    <m/>
    <m/>
    <m/>
    <m/>
    <m/>
    <m/>
    <m/>
    <m/>
    <m/>
    <m/>
    <m/>
    <s v="x"/>
    <s v="x"/>
    <s v="na"/>
    <s v="NRD"/>
    <s v="na"/>
    <s v="na"/>
    <s v="na"/>
    <s v="na"/>
    <s v="na"/>
    <s v="na"/>
    <s v="na"/>
    <s v="na"/>
  </r>
  <r>
    <n v="4149"/>
    <x v="85"/>
    <m/>
    <x v="14"/>
    <x v="3"/>
    <x v="0"/>
    <m/>
    <m/>
    <m/>
    <m/>
    <m/>
    <m/>
    <m/>
    <m/>
    <m/>
    <m/>
    <m/>
    <m/>
    <s v="x"/>
    <s v="x"/>
    <s v="na"/>
    <s v="NRD"/>
    <s v="na"/>
    <s v="na"/>
    <s v="na"/>
    <s v="na"/>
    <s v="na"/>
    <s v="na"/>
    <s v="na"/>
    <s v="na"/>
  </r>
  <r>
    <n v="4150"/>
    <x v="85"/>
    <m/>
    <x v="14"/>
    <x v="3"/>
    <x v="0"/>
    <m/>
    <m/>
    <m/>
    <m/>
    <m/>
    <m/>
    <m/>
    <m/>
    <m/>
    <m/>
    <m/>
    <m/>
    <s v="x"/>
    <s v="x"/>
    <s v="na"/>
    <s v="NRD"/>
    <s v="na"/>
    <s v="na"/>
    <s v="na"/>
    <s v="na"/>
    <s v="na"/>
    <s v="na"/>
    <s v="na"/>
    <s v="na"/>
  </r>
  <r>
    <n v="4151"/>
    <x v="85"/>
    <m/>
    <x v="14"/>
    <x v="3"/>
    <x v="0"/>
    <m/>
    <m/>
    <m/>
    <m/>
    <m/>
    <m/>
    <m/>
    <m/>
    <m/>
    <m/>
    <m/>
    <m/>
    <s v="x"/>
    <s v="x"/>
    <s v="na"/>
    <s v="NRD"/>
    <s v="na"/>
    <s v="na"/>
    <s v="na"/>
    <s v="na"/>
    <s v="na"/>
    <s v="na"/>
    <s v="na"/>
    <s v="na"/>
  </r>
  <r>
    <n v="4152"/>
    <x v="85"/>
    <m/>
    <x v="14"/>
    <x v="3"/>
    <x v="0"/>
    <m/>
    <m/>
    <m/>
    <m/>
    <m/>
    <m/>
    <m/>
    <m/>
    <m/>
    <m/>
    <m/>
    <m/>
    <s v="x"/>
    <s v="x"/>
    <s v="na"/>
    <s v="NRD"/>
    <s v="na"/>
    <s v="na"/>
    <s v="na"/>
    <s v="na"/>
    <s v="na"/>
    <s v="na"/>
    <s v="na"/>
    <s v="na"/>
  </r>
  <r>
    <n v="4153"/>
    <x v="85"/>
    <m/>
    <x v="14"/>
    <x v="3"/>
    <x v="0"/>
    <m/>
    <m/>
    <m/>
    <m/>
    <m/>
    <m/>
    <m/>
    <m/>
    <m/>
    <m/>
    <m/>
    <m/>
    <s v="x"/>
    <s v="x"/>
    <s v="na"/>
    <s v="NRD"/>
    <s v="na"/>
    <s v="na"/>
    <s v="na"/>
    <s v="na"/>
    <s v="na"/>
    <s v="na"/>
    <s v="na"/>
    <s v="na"/>
  </r>
  <r>
    <n v="4154"/>
    <x v="85"/>
    <m/>
    <x v="14"/>
    <x v="3"/>
    <x v="0"/>
    <m/>
    <m/>
    <m/>
    <m/>
    <m/>
    <m/>
    <m/>
    <m/>
    <m/>
    <m/>
    <m/>
    <m/>
    <s v="x"/>
    <s v="x"/>
    <s v="na"/>
    <s v="NRD"/>
    <s v="na"/>
    <s v="na"/>
    <s v="na"/>
    <s v="na"/>
    <s v="na"/>
    <s v="na"/>
    <s v="na"/>
    <s v="na"/>
  </r>
  <r>
    <n v="4155"/>
    <x v="85"/>
    <m/>
    <x v="14"/>
    <x v="3"/>
    <x v="0"/>
    <m/>
    <m/>
    <m/>
    <m/>
    <m/>
    <m/>
    <m/>
    <m/>
    <m/>
    <m/>
    <m/>
    <m/>
    <s v="x"/>
    <s v="x"/>
    <s v="na"/>
    <s v="NRD"/>
    <s v="na"/>
    <s v="na"/>
    <s v="na"/>
    <s v="na"/>
    <s v="na"/>
    <s v="na"/>
    <s v="na"/>
    <s v="na"/>
  </r>
  <r>
    <n v="4156"/>
    <x v="85"/>
    <m/>
    <x v="14"/>
    <x v="3"/>
    <x v="0"/>
    <m/>
    <m/>
    <m/>
    <m/>
    <m/>
    <m/>
    <m/>
    <m/>
    <m/>
    <m/>
    <m/>
    <m/>
    <s v="x"/>
    <s v="x"/>
    <s v="na"/>
    <s v="NRD"/>
    <s v="na"/>
    <s v="na"/>
    <s v="na"/>
    <s v="na"/>
    <s v="na"/>
    <s v="na"/>
    <s v="na"/>
    <s v="na"/>
  </r>
  <r>
    <n v="4157"/>
    <x v="85"/>
    <m/>
    <x v="14"/>
    <x v="3"/>
    <x v="0"/>
    <m/>
    <m/>
    <m/>
    <m/>
    <m/>
    <m/>
    <m/>
    <m/>
    <m/>
    <m/>
    <m/>
    <m/>
    <s v="x"/>
    <s v="x"/>
    <s v="na"/>
    <s v="NRD"/>
    <s v="na"/>
    <s v="na"/>
    <s v="na"/>
    <s v="na"/>
    <s v="na"/>
    <s v="na"/>
    <s v="na"/>
    <s v="na"/>
  </r>
  <r>
    <n v="4158"/>
    <x v="85"/>
    <m/>
    <x v="14"/>
    <x v="3"/>
    <x v="0"/>
    <m/>
    <m/>
    <m/>
    <m/>
    <m/>
    <m/>
    <m/>
    <m/>
    <m/>
    <m/>
    <m/>
    <m/>
    <s v="x"/>
    <s v="x"/>
    <s v="na"/>
    <s v="NRD"/>
    <s v="na"/>
    <s v="na"/>
    <s v="na"/>
    <s v="na"/>
    <s v="na"/>
    <s v="na"/>
    <s v="na"/>
    <s v="na"/>
  </r>
  <r>
    <n v="4159"/>
    <x v="85"/>
    <m/>
    <x v="14"/>
    <x v="3"/>
    <x v="0"/>
    <m/>
    <m/>
    <m/>
    <m/>
    <m/>
    <m/>
    <m/>
    <m/>
    <m/>
    <m/>
    <m/>
    <m/>
    <s v="x"/>
    <s v="x"/>
    <s v="na"/>
    <s v="NRD"/>
    <s v="na"/>
    <s v="na"/>
    <s v="na"/>
    <s v="na"/>
    <s v="na"/>
    <s v="na"/>
    <s v="na"/>
    <s v="na"/>
  </r>
  <r>
    <n v="4160"/>
    <x v="85"/>
    <m/>
    <x v="14"/>
    <x v="3"/>
    <x v="0"/>
    <m/>
    <m/>
    <m/>
    <m/>
    <m/>
    <m/>
    <m/>
    <m/>
    <m/>
    <m/>
    <m/>
    <m/>
    <s v="x"/>
    <s v="x"/>
    <s v="na"/>
    <s v="NRD"/>
    <s v="na"/>
    <s v="na"/>
    <s v="na"/>
    <s v="na"/>
    <s v="na"/>
    <s v="na"/>
    <s v="na"/>
    <s v="na"/>
  </r>
  <r>
    <n v="4161"/>
    <x v="85"/>
    <m/>
    <x v="14"/>
    <x v="3"/>
    <x v="0"/>
    <m/>
    <m/>
    <m/>
    <m/>
    <m/>
    <m/>
    <m/>
    <m/>
    <m/>
    <m/>
    <m/>
    <m/>
    <s v="x"/>
    <s v="x"/>
    <s v="na"/>
    <s v="NRD"/>
    <s v="na"/>
    <s v="na"/>
    <s v="na"/>
    <s v="na"/>
    <s v="na"/>
    <s v="na"/>
    <s v="na"/>
    <s v="na"/>
  </r>
  <r>
    <n v="4162"/>
    <x v="85"/>
    <m/>
    <x v="14"/>
    <x v="3"/>
    <x v="0"/>
    <m/>
    <m/>
    <m/>
    <m/>
    <m/>
    <m/>
    <m/>
    <m/>
    <m/>
    <m/>
    <m/>
    <m/>
    <s v="x"/>
    <s v="x"/>
    <s v="na"/>
    <s v="NRD"/>
    <s v="na"/>
    <s v="na"/>
    <s v="na"/>
    <s v="na"/>
    <s v="na"/>
    <s v="na"/>
    <s v="na"/>
    <s v="na"/>
  </r>
  <r>
    <n v="4163"/>
    <x v="85"/>
    <m/>
    <x v="14"/>
    <x v="3"/>
    <x v="0"/>
    <m/>
    <m/>
    <m/>
    <m/>
    <m/>
    <m/>
    <m/>
    <m/>
    <m/>
    <m/>
    <m/>
    <m/>
    <s v="x"/>
    <s v="x"/>
    <s v="na"/>
    <s v="NRD"/>
    <s v="na"/>
    <s v="na"/>
    <s v="na"/>
    <s v="na"/>
    <s v="na"/>
    <s v="na"/>
    <s v="na"/>
    <s v="na"/>
  </r>
  <r>
    <n v="4164"/>
    <x v="85"/>
    <m/>
    <x v="14"/>
    <x v="3"/>
    <x v="0"/>
    <m/>
    <m/>
    <m/>
    <m/>
    <m/>
    <m/>
    <m/>
    <m/>
    <m/>
    <m/>
    <m/>
    <m/>
    <s v="x"/>
    <s v="x"/>
    <s v="na"/>
    <s v="NRD"/>
    <s v="na"/>
    <s v="na"/>
    <s v="na"/>
    <s v="na"/>
    <s v="na"/>
    <s v="na"/>
    <s v="na"/>
    <s v="na"/>
  </r>
  <r>
    <n v="4165"/>
    <x v="85"/>
    <m/>
    <x v="14"/>
    <x v="3"/>
    <x v="0"/>
    <m/>
    <m/>
    <m/>
    <m/>
    <m/>
    <m/>
    <m/>
    <m/>
    <m/>
    <m/>
    <m/>
    <m/>
    <s v="x"/>
    <s v="x"/>
    <s v="na"/>
    <s v="NRD"/>
    <s v="na"/>
    <s v="na"/>
    <s v="na"/>
    <s v="na"/>
    <s v="na"/>
    <s v="na"/>
    <s v="na"/>
    <s v="na"/>
  </r>
  <r>
    <n v="4166"/>
    <x v="85"/>
    <m/>
    <x v="14"/>
    <x v="3"/>
    <x v="0"/>
    <m/>
    <m/>
    <m/>
    <m/>
    <m/>
    <m/>
    <m/>
    <m/>
    <m/>
    <m/>
    <m/>
    <m/>
    <s v="x"/>
    <s v="x"/>
    <s v="na"/>
    <s v="NRD"/>
    <s v="na"/>
    <s v="na"/>
    <s v="na"/>
    <s v="na"/>
    <s v="na"/>
    <s v="na"/>
    <s v="na"/>
    <s v="na"/>
  </r>
  <r>
    <n v="4167"/>
    <x v="85"/>
    <m/>
    <x v="14"/>
    <x v="3"/>
    <x v="0"/>
    <m/>
    <m/>
    <m/>
    <m/>
    <m/>
    <m/>
    <m/>
    <m/>
    <m/>
    <m/>
    <m/>
    <m/>
    <s v="x"/>
    <s v="x"/>
    <s v="na"/>
    <s v="NRD"/>
    <s v="na"/>
    <s v="na"/>
    <s v="na"/>
    <s v="na"/>
    <s v="na"/>
    <s v="na"/>
    <s v="na"/>
    <s v="na"/>
  </r>
  <r>
    <n v="4168"/>
    <x v="85"/>
    <m/>
    <x v="14"/>
    <x v="3"/>
    <x v="0"/>
    <m/>
    <m/>
    <m/>
    <m/>
    <m/>
    <m/>
    <m/>
    <m/>
    <m/>
    <m/>
    <m/>
    <m/>
    <s v="x"/>
    <s v="x"/>
    <s v="na"/>
    <s v="NRD"/>
    <s v="na"/>
    <s v="na"/>
    <s v="na"/>
    <s v="na"/>
    <s v="na"/>
    <s v="na"/>
    <s v="na"/>
    <s v="na"/>
  </r>
  <r>
    <n v="4169"/>
    <x v="85"/>
    <m/>
    <x v="14"/>
    <x v="3"/>
    <x v="0"/>
    <m/>
    <m/>
    <m/>
    <m/>
    <m/>
    <m/>
    <m/>
    <m/>
    <m/>
    <m/>
    <m/>
    <m/>
    <s v="x"/>
    <s v="x"/>
    <s v="na"/>
    <s v="NRD"/>
    <s v="na"/>
    <s v="na"/>
    <s v="na"/>
    <s v="na"/>
    <s v="na"/>
    <s v="na"/>
    <s v="na"/>
    <s v="na"/>
  </r>
  <r>
    <n v="4170"/>
    <x v="85"/>
    <m/>
    <x v="14"/>
    <x v="3"/>
    <x v="0"/>
    <m/>
    <m/>
    <m/>
    <m/>
    <m/>
    <m/>
    <m/>
    <m/>
    <m/>
    <m/>
    <m/>
    <m/>
    <s v="x"/>
    <s v="x"/>
    <s v="na"/>
    <s v="NRD"/>
    <s v="na"/>
    <s v="na"/>
    <s v="na"/>
    <s v="na"/>
    <s v="na"/>
    <s v="na"/>
    <s v="na"/>
    <s v="na"/>
  </r>
  <r>
    <n v="4171"/>
    <x v="85"/>
    <m/>
    <x v="14"/>
    <x v="3"/>
    <x v="0"/>
    <m/>
    <m/>
    <m/>
    <m/>
    <m/>
    <m/>
    <m/>
    <m/>
    <m/>
    <m/>
    <m/>
    <m/>
    <s v="x"/>
    <s v="x"/>
    <s v="na"/>
    <s v="NRD"/>
    <s v="na"/>
    <s v="na"/>
    <s v="na"/>
    <s v="na"/>
    <s v="na"/>
    <s v="na"/>
    <s v="na"/>
    <s v="na"/>
  </r>
  <r>
    <n v="4172"/>
    <x v="85"/>
    <m/>
    <x v="14"/>
    <x v="3"/>
    <x v="0"/>
    <m/>
    <m/>
    <m/>
    <m/>
    <m/>
    <m/>
    <m/>
    <m/>
    <m/>
    <m/>
    <m/>
    <m/>
    <s v="x"/>
    <s v="x"/>
    <s v="na"/>
    <s v="NRD"/>
    <s v="na"/>
    <s v="na"/>
    <s v="na"/>
    <s v="na"/>
    <s v="na"/>
    <s v="na"/>
    <s v="na"/>
    <s v="na"/>
  </r>
  <r>
    <n v="4173"/>
    <x v="85"/>
    <m/>
    <x v="14"/>
    <x v="3"/>
    <x v="0"/>
    <m/>
    <m/>
    <m/>
    <m/>
    <m/>
    <m/>
    <m/>
    <m/>
    <m/>
    <m/>
    <m/>
    <m/>
    <s v="x"/>
    <s v="x"/>
    <s v="na"/>
    <s v="NRD"/>
    <s v="na"/>
    <s v="na"/>
    <s v="na"/>
    <s v="na"/>
    <s v="na"/>
    <s v="na"/>
    <s v="na"/>
    <s v="na"/>
  </r>
  <r>
    <n v="4174"/>
    <x v="85"/>
    <m/>
    <x v="14"/>
    <x v="3"/>
    <x v="0"/>
    <m/>
    <m/>
    <m/>
    <m/>
    <m/>
    <m/>
    <m/>
    <m/>
    <m/>
    <m/>
    <m/>
    <m/>
    <s v="x"/>
    <s v="x"/>
    <s v="na"/>
    <s v="NRD"/>
    <s v="na"/>
    <s v="na"/>
    <s v="na"/>
    <s v="na"/>
    <s v="na"/>
    <s v="na"/>
    <s v="na"/>
    <s v="na"/>
  </r>
  <r>
    <n v="4175"/>
    <x v="85"/>
    <m/>
    <x v="14"/>
    <x v="3"/>
    <x v="0"/>
    <m/>
    <m/>
    <m/>
    <m/>
    <m/>
    <m/>
    <m/>
    <m/>
    <m/>
    <m/>
    <m/>
    <m/>
    <s v="x"/>
    <s v="x"/>
    <s v="na"/>
    <s v="NRD"/>
    <s v="na"/>
    <s v="na"/>
    <s v="na"/>
    <s v="na"/>
    <s v="na"/>
    <s v="na"/>
    <s v="na"/>
    <s v="na"/>
  </r>
  <r>
    <n v="4176"/>
    <x v="85"/>
    <m/>
    <x v="14"/>
    <x v="3"/>
    <x v="0"/>
    <m/>
    <m/>
    <m/>
    <m/>
    <m/>
    <m/>
    <m/>
    <m/>
    <m/>
    <m/>
    <m/>
    <m/>
    <s v="x"/>
    <s v="x"/>
    <s v="na"/>
    <s v="NRD"/>
    <s v="na"/>
    <s v="na"/>
    <s v="na"/>
    <s v="na"/>
    <s v="na"/>
    <s v="na"/>
    <s v="na"/>
    <s v="na"/>
  </r>
  <r>
    <n v="4177"/>
    <x v="85"/>
    <m/>
    <x v="14"/>
    <x v="3"/>
    <x v="0"/>
    <m/>
    <m/>
    <m/>
    <m/>
    <m/>
    <m/>
    <m/>
    <m/>
    <m/>
    <m/>
    <m/>
    <m/>
    <s v="x"/>
    <s v="x"/>
    <s v="na"/>
    <s v="NRD"/>
    <s v="na"/>
    <s v="na"/>
    <s v="na"/>
    <s v="na"/>
    <s v="na"/>
    <s v="na"/>
    <s v="na"/>
    <s v="na"/>
  </r>
  <r>
    <n v="4178"/>
    <x v="85"/>
    <m/>
    <x v="14"/>
    <x v="3"/>
    <x v="0"/>
    <m/>
    <m/>
    <m/>
    <m/>
    <m/>
    <m/>
    <m/>
    <m/>
    <m/>
    <m/>
    <m/>
    <m/>
    <s v="x"/>
    <s v="x"/>
    <s v="na"/>
    <s v="NRD"/>
    <s v="na"/>
    <s v="na"/>
    <s v="na"/>
    <s v="na"/>
    <s v="na"/>
    <s v="na"/>
    <s v="na"/>
    <s v="na"/>
  </r>
  <r>
    <n v="4179"/>
    <x v="85"/>
    <m/>
    <x v="14"/>
    <x v="3"/>
    <x v="0"/>
    <m/>
    <m/>
    <m/>
    <m/>
    <m/>
    <m/>
    <m/>
    <m/>
    <m/>
    <m/>
    <m/>
    <m/>
    <s v="x"/>
    <s v="x"/>
    <s v="na"/>
    <s v="NRD"/>
    <s v="na"/>
    <s v="na"/>
    <s v="na"/>
    <s v="na"/>
    <s v="na"/>
    <s v="na"/>
    <s v="na"/>
    <s v="na"/>
  </r>
  <r>
    <n v="4180"/>
    <x v="85"/>
    <m/>
    <x v="14"/>
    <x v="3"/>
    <x v="0"/>
    <m/>
    <m/>
    <m/>
    <m/>
    <m/>
    <m/>
    <m/>
    <m/>
    <m/>
    <m/>
    <m/>
    <m/>
    <s v="x"/>
    <s v="x"/>
    <s v="na"/>
    <s v="NRD"/>
    <s v="na"/>
    <s v="na"/>
    <s v="na"/>
    <s v="na"/>
    <s v="na"/>
    <s v="na"/>
    <s v="na"/>
    <s v="na"/>
  </r>
  <r>
    <n v="4181"/>
    <x v="85"/>
    <m/>
    <x v="14"/>
    <x v="3"/>
    <x v="0"/>
    <m/>
    <m/>
    <m/>
    <m/>
    <m/>
    <m/>
    <m/>
    <m/>
    <m/>
    <m/>
    <m/>
    <m/>
    <s v="x"/>
    <s v="x"/>
    <s v="na"/>
    <s v="NRD"/>
    <s v="na"/>
    <s v="na"/>
    <s v="na"/>
    <s v="na"/>
    <s v="na"/>
    <s v="na"/>
    <s v="na"/>
    <s v="na"/>
  </r>
  <r>
    <n v="4182"/>
    <x v="85"/>
    <m/>
    <x v="14"/>
    <x v="3"/>
    <x v="0"/>
    <m/>
    <m/>
    <m/>
    <m/>
    <m/>
    <m/>
    <m/>
    <m/>
    <m/>
    <m/>
    <m/>
    <m/>
    <s v="x"/>
    <s v="x"/>
    <s v="na"/>
    <s v="NRD"/>
    <s v="na"/>
    <s v="na"/>
    <s v="na"/>
    <s v="na"/>
    <s v="na"/>
    <s v="na"/>
    <s v="na"/>
    <s v="na"/>
  </r>
  <r>
    <n v="4183"/>
    <x v="85"/>
    <m/>
    <x v="14"/>
    <x v="3"/>
    <x v="0"/>
    <m/>
    <m/>
    <m/>
    <m/>
    <m/>
    <m/>
    <m/>
    <m/>
    <m/>
    <m/>
    <m/>
    <m/>
    <s v="x"/>
    <s v="x"/>
    <s v="na"/>
    <s v="NRD"/>
    <s v="na"/>
    <s v="na"/>
    <s v="na"/>
    <s v="na"/>
    <s v="na"/>
    <s v="na"/>
    <s v="na"/>
    <s v="na"/>
  </r>
  <r>
    <n v="4184"/>
    <x v="85"/>
    <m/>
    <x v="14"/>
    <x v="3"/>
    <x v="0"/>
    <m/>
    <m/>
    <m/>
    <m/>
    <m/>
    <m/>
    <m/>
    <m/>
    <m/>
    <m/>
    <m/>
    <m/>
    <s v="x"/>
    <s v="x"/>
    <s v="na"/>
    <s v="NRD"/>
    <s v="na"/>
    <s v="na"/>
    <s v="na"/>
    <s v="na"/>
    <s v="na"/>
    <s v="na"/>
    <s v="na"/>
    <s v="na"/>
  </r>
  <r>
    <n v="4185"/>
    <x v="85"/>
    <m/>
    <x v="14"/>
    <x v="3"/>
    <x v="0"/>
    <m/>
    <m/>
    <m/>
    <m/>
    <m/>
    <m/>
    <m/>
    <m/>
    <m/>
    <m/>
    <m/>
    <m/>
    <s v="x"/>
    <s v="x"/>
    <s v="na"/>
    <s v="NRD"/>
    <s v="na"/>
    <s v="na"/>
    <s v="na"/>
    <s v="na"/>
    <s v="na"/>
    <s v="na"/>
    <s v="na"/>
    <s v="na"/>
  </r>
  <r>
    <n v="4186"/>
    <x v="85"/>
    <m/>
    <x v="14"/>
    <x v="3"/>
    <x v="0"/>
    <m/>
    <m/>
    <m/>
    <m/>
    <m/>
    <m/>
    <m/>
    <m/>
    <m/>
    <m/>
    <m/>
    <m/>
    <s v="x"/>
    <s v="x"/>
    <s v="na"/>
    <s v="NRD"/>
    <s v="na"/>
    <s v="na"/>
    <s v="na"/>
    <s v="na"/>
    <s v="na"/>
    <s v="na"/>
    <s v="na"/>
    <s v="na"/>
  </r>
  <r>
    <n v="4187"/>
    <x v="85"/>
    <m/>
    <x v="14"/>
    <x v="3"/>
    <x v="0"/>
    <m/>
    <m/>
    <m/>
    <m/>
    <m/>
    <m/>
    <m/>
    <m/>
    <m/>
    <m/>
    <m/>
    <m/>
    <s v="x"/>
    <s v="x"/>
    <s v="na"/>
    <s v="NRD"/>
    <s v="na"/>
    <s v="na"/>
    <s v="na"/>
    <s v="na"/>
    <s v="na"/>
    <s v="na"/>
    <s v="na"/>
    <s v="na"/>
  </r>
  <r>
    <n v="4188"/>
    <x v="85"/>
    <m/>
    <x v="14"/>
    <x v="3"/>
    <x v="0"/>
    <m/>
    <m/>
    <m/>
    <m/>
    <m/>
    <m/>
    <m/>
    <m/>
    <m/>
    <m/>
    <m/>
    <m/>
    <s v="x"/>
    <s v="x"/>
    <s v="na"/>
    <s v="NRD"/>
    <s v="na"/>
    <s v="na"/>
    <s v="na"/>
    <s v="na"/>
    <s v="na"/>
    <s v="na"/>
    <s v="na"/>
    <s v="na"/>
  </r>
  <r>
    <n v="4189"/>
    <x v="85"/>
    <m/>
    <x v="14"/>
    <x v="3"/>
    <x v="0"/>
    <m/>
    <m/>
    <m/>
    <m/>
    <m/>
    <m/>
    <m/>
    <m/>
    <m/>
    <m/>
    <m/>
    <m/>
    <s v="x"/>
    <s v="x"/>
    <s v="na"/>
    <s v="NRD"/>
    <s v="na"/>
    <s v="na"/>
    <s v="na"/>
    <s v="na"/>
    <s v="na"/>
    <s v="na"/>
    <s v="na"/>
    <s v="na"/>
  </r>
  <r>
    <n v="4190"/>
    <x v="85"/>
    <m/>
    <x v="14"/>
    <x v="3"/>
    <x v="0"/>
    <m/>
    <m/>
    <m/>
    <m/>
    <m/>
    <m/>
    <m/>
    <m/>
    <m/>
    <m/>
    <m/>
    <m/>
    <s v="x"/>
    <s v="x"/>
    <s v="na"/>
    <s v="NRD"/>
    <s v="na"/>
    <s v="na"/>
    <s v="na"/>
    <s v="na"/>
    <s v="na"/>
    <s v="na"/>
    <s v="na"/>
    <s v="na"/>
  </r>
  <r>
    <n v="4191"/>
    <x v="85"/>
    <m/>
    <x v="14"/>
    <x v="3"/>
    <x v="0"/>
    <m/>
    <m/>
    <m/>
    <m/>
    <m/>
    <m/>
    <m/>
    <m/>
    <m/>
    <m/>
    <m/>
    <m/>
    <s v="x"/>
    <s v="x"/>
    <s v="na"/>
    <s v="NRD"/>
    <s v="na"/>
    <s v="na"/>
    <s v="na"/>
    <s v="na"/>
    <s v="na"/>
    <s v="na"/>
    <s v="na"/>
    <s v="na"/>
  </r>
  <r>
    <n v="4192"/>
    <x v="85"/>
    <m/>
    <x v="14"/>
    <x v="3"/>
    <x v="0"/>
    <m/>
    <m/>
    <m/>
    <m/>
    <m/>
    <m/>
    <m/>
    <m/>
    <m/>
    <m/>
    <m/>
    <m/>
    <s v="x"/>
    <s v="x"/>
    <s v="na"/>
    <s v="NRD"/>
    <s v="na"/>
    <s v="na"/>
    <s v="na"/>
    <s v="na"/>
    <s v="na"/>
    <s v="na"/>
    <s v="na"/>
    <s v="na"/>
  </r>
  <r>
    <n v="4193"/>
    <x v="85"/>
    <m/>
    <x v="14"/>
    <x v="3"/>
    <x v="0"/>
    <m/>
    <m/>
    <m/>
    <m/>
    <m/>
    <m/>
    <m/>
    <m/>
    <m/>
    <m/>
    <m/>
    <m/>
    <s v="x"/>
    <s v="x"/>
    <s v="na"/>
    <s v="NRD"/>
    <s v="na"/>
    <s v="na"/>
    <s v="na"/>
    <s v="na"/>
    <s v="na"/>
    <s v="na"/>
    <s v="na"/>
    <s v="na"/>
  </r>
  <r>
    <n v="4194"/>
    <x v="85"/>
    <m/>
    <x v="14"/>
    <x v="3"/>
    <x v="0"/>
    <m/>
    <m/>
    <m/>
    <m/>
    <m/>
    <m/>
    <m/>
    <m/>
    <m/>
    <m/>
    <m/>
    <m/>
    <s v="x"/>
    <s v="x"/>
    <s v="na"/>
    <s v="NRD"/>
    <s v="na"/>
    <s v="na"/>
    <s v="na"/>
    <s v="na"/>
    <s v="na"/>
    <s v="na"/>
    <s v="na"/>
    <s v="na"/>
  </r>
  <r>
    <n v="4195"/>
    <x v="85"/>
    <m/>
    <x v="14"/>
    <x v="3"/>
    <x v="0"/>
    <m/>
    <m/>
    <m/>
    <m/>
    <m/>
    <m/>
    <m/>
    <m/>
    <m/>
    <m/>
    <m/>
    <m/>
    <s v="x"/>
    <s v="x"/>
    <s v="na"/>
    <s v="NRD"/>
    <s v="na"/>
    <s v="na"/>
    <s v="na"/>
    <s v="na"/>
    <s v="na"/>
    <s v="na"/>
    <s v="na"/>
    <s v="na"/>
  </r>
  <r>
    <n v="4196"/>
    <x v="85"/>
    <m/>
    <x v="14"/>
    <x v="3"/>
    <x v="0"/>
    <m/>
    <m/>
    <m/>
    <m/>
    <m/>
    <m/>
    <m/>
    <m/>
    <m/>
    <m/>
    <m/>
    <m/>
    <s v="x"/>
    <s v="x"/>
    <s v="na"/>
    <s v="NRD"/>
    <s v="na"/>
    <s v="na"/>
    <s v="na"/>
    <s v="na"/>
    <s v="na"/>
    <s v="na"/>
    <s v="na"/>
    <s v="na"/>
  </r>
  <r>
    <n v="4197"/>
    <x v="85"/>
    <m/>
    <x v="14"/>
    <x v="3"/>
    <x v="0"/>
    <m/>
    <m/>
    <m/>
    <m/>
    <m/>
    <m/>
    <m/>
    <m/>
    <m/>
    <m/>
    <m/>
    <m/>
    <s v="x"/>
    <s v="x"/>
    <s v="na"/>
    <s v="NRD"/>
    <s v="na"/>
    <s v="na"/>
    <s v="na"/>
    <s v="na"/>
    <s v="na"/>
    <s v="na"/>
    <s v="na"/>
    <s v="na"/>
  </r>
  <r>
    <n v="4198"/>
    <x v="85"/>
    <m/>
    <x v="14"/>
    <x v="3"/>
    <x v="0"/>
    <m/>
    <m/>
    <m/>
    <m/>
    <m/>
    <m/>
    <m/>
    <m/>
    <m/>
    <m/>
    <m/>
    <m/>
    <s v="x"/>
    <s v="x"/>
    <s v="na"/>
    <s v="NRD"/>
    <s v="na"/>
    <s v="na"/>
    <s v="na"/>
    <s v="na"/>
    <s v="na"/>
    <s v="na"/>
    <s v="na"/>
    <s v="na"/>
  </r>
  <r>
    <n v="4199"/>
    <x v="85"/>
    <m/>
    <x v="14"/>
    <x v="3"/>
    <x v="0"/>
    <m/>
    <m/>
    <m/>
    <m/>
    <m/>
    <m/>
    <m/>
    <m/>
    <m/>
    <m/>
    <m/>
    <m/>
    <s v="x"/>
    <s v="x"/>
    <s v="na"/>
    <s v="NRD"/>
    <s v="na"/>
    <s v="na"/>
    <s v="na"/>
    <s v="na"/>
    <s v="na"/>
    <s v="na"/>
    <s v="na"/>
    <s v="na"/>
  </r>
  <r>
    <n v="4200"/>
    <x v="85"/>
    <m/>
    <x v="14"/>
    <x v="3"/>
    <x v="0"/>
    <m/>
    <m/>
    <m/>
    <m/>
    <m/>
    <m/>
    <m/>
    <m/>
    <m/>
    <m/>
    <m/>
    <m/>
    <s v="x"/>
    <s v="x"/>
    <s v="na"/>
    <s v="NRD"/>
    <s v="na"/>
    <s v="na"/>
    <s v="na"/>
    <s v="na"/>
    <s v="na"/>
    <s v="na"/>
    <s v="na"/>
    <s v="na"/>
  </r>
  <r>
    <n v="4201"/>
    <x v="85"/>
    <m/>
    <x v="14"/>
    <x v="3"/>
    <x v="0"/>
    <m/>
    <m/>
    <m/>
    <m/>
    <m/>
    <m/>
    <m/>
    <m/>
    <m/>
    <m/>
    <m/>
    <m/>
    <s v="x"/>
    <s v="x"/>
    <s v="na"/>
    <s v="NRD"/>
    <s v="na"/>
    <s v="na"/>
    <s v="na"/>
    <s v="na"/>
    <s v="na"/>
    <s v="na"/>
    <s v="na"/>
    <s v="na"/>
  </r>
  <r>
    <n v="4202"/>
    <x v="85"/>
    <m/>
    <x v="14"/>
    <x v="3"/>
    <x v="0"/>
    <m/>
    <m/>
    <m/>
    <m/>
    <m/>
    <m/>
    <m/>
    <m/>
    <m/>
    <m/>
    <m/>
    <m/>
    <s v="x"/>
    <s v="x"/>
    <s v="na"/>
    <s v="NRD"/>
    <s v="na"/>
    <s v="na"/>
    <s v="na"/>
    <s v="na"/>
    <s v="na"/>
    <s v="na"/>
    <s v="na"/>
    <s v="na"/>
  </r>
  <r>
    <n v="4203"/>
    <x v="85"/>
    <m/>
    <x v="14"/>
    <x v="3"/>
    <x v="0"/>
    <m/>
    <m/>
    <m/>
    <m/>
    <m/>
    <m/>
    <m/>
    <m/>
    <m/>
    <m/>
    <m/>
    <m/>
    <s v="x"/>
    <s v="x"/>
    <s v="na"/>
    <s v="NRD"/>
    <s v="na"/>
    <s v="na"/>
    <s v="na"/>
    <s v="na"/>
    <s v="na"/>
    <s v="na"/>
    <s v="na"/>
    <s v="na"/>
  </r>
  <r>
    <n v="4204"/>
    <x v="85"/>
    <m/>
    <x v="14"/>
    <x v="3"/>
    <x v="0"/>
    <m/>
    <m/>
    <m/>
    <m/>
    <m/>
    <m/>
    <m/>
    <m/>
    <m/>
    <m/>
    <m/>
    <m/>
    <s v="x"/>
    <s v="x"/>
    <s v="na"/>
    <s v="NRD"/>
    <s v="na"/>
    <s v="na"/>
    <s v="na"/>
    <s v="na"/>
    <s v="na"/>
    <s v="na"/>
    <s v="na"/>
    <s v="na"/>
  </r>
  <r>
    <n v="4205"/>
    <x v="85"/>
    <m/>
    <x v="14"/>
    <x v="3"/>
    <x v="0"/>
    <m/>
    <m/>
    <m/>
    <m/>
    <m/>
    <m/>
    <m/>
    <m/>
    <m/>
    <m/>
    <m/>
    <m/>
    <s v="x"/>
    <s v="x"/>
    <s v="na"/>
    <s v="NRD"/>
    <s v="na"/>
    <s v="na"/>
    <s v="na"/>
    <s v="na"/>
    <s v="na"/>
    <s v="na"/>
    <s v="na"/>
    <s v="na"/>
  </r>
  <r>
    <n v="4206"/>
    <x v="85"/>
    <m/>
    <x v="14"/>
    <x v="3"/>
    <x v="0"/>
    <m/>
    <m/>
    <m/>
    <m/>
    <m/>
    <m/>
    <m/>
    <m/>
    <m/>
    <m/>
    <m/>
    <m/>
    <s v="x"/>
    <s v="x"/>
    <s v="na"/>
    <s v="NRD"/>
    <s v="na"/>
    <s v="na"/>
    <s v="na"/>
    <s v="na"/>
    <s v="na"/>
    <s v="na"/>
    <s v="na"/>
    <s v="na"/>
  </r>
  <r>
    <n v="4207"/>
    <x v="85"/>
    <m/>
    <x v="14"/>
    <x v="3"/>
    <x v="0"/>
    <m/>
    <m/>
    <m/>
    <m/>
    <m/>
    <m/>
    <m/>
    <m/>
    <m/>
    <m/>
    <m/>
    <m/>
    <s v="x"/>
    <s v="x"/>
    <s v="na"/>
    <s v="NRD"/>
    <s v="na"/>
    <s v="na"/>
    <s v="na"/>
    <s v="na"/>
    <s v="na"/>
    <s v="na"/>
    <s v="na"/>
    <s v="na"/>
  </r>
  <r>
    <n v="4208"/>
    <x v="85"/>
    <m/>
    <x v="14"/>
    <x v="3"/>
    <x v="0"/>
    <m/>
    <m/>
    <m/>
    <m/>
    <m/>
    <m/>
    <m/>
    <m/>
    <m/>
    <m/>
    <m/>
    <m/>
    <s v="x"/>
    <s v="x"/>
    <s v="na"/>
    <s v="NRD"/>
    <s v="na"/>
    <s v="na"/>
    <s v="na"/>
    <s v="na"/>
    <s v="na"/>
    <s v="na"/>
    <s v="na"/>
    <s v="na"/>
  </r>
  <r>
    <n v="4209"/>
    <x v="85"/>
    <m/>
    <x v="14"/>
    <x v="3"/>
    <x v="0"/>
    <m/>
    <m/>
    <m/>
    <m/>
    <m/>
    <m/>
    <m/>
    <m/>
    <m/>
    <m/>
    <m/>
    <m/>
    <s v="x"/>
    <s v="x"/>
    <s v="na"/>
    <s v="NRD"/>
    <s v="na"/>
    <s v="na"/>
    <s v="na"/>
    <s v="na"/>
    <s v="na"/>
    <s v="na"/>
    <s v="na"/>
    <s v="na"/>
  </r>
  <r>
    <n v="4210"/>
    <x v="85"/>
    <m/>
    <x v="14"/>
    <x v="3"/>
    <x v="0"/>
    <m/>
    <m/>
    <m/>
    <m/>
    <m/>
    <m/>
    <m/>
    <m/>
    <m/>
    <m/>
    <m/>
    <m/>
    <s v="x"/>
    <s v="x"/>
    <s v="na"/>
    <s v="NRD"/>
    <s v="na"/>
    <s v="na"/>
    <s v="na"/>
    <s v="na"/>
    <s v="na"/>
    <s v="na"/>
    <s v="na"/>
    <s v="na"/>
  </r>
  <r>
    <n v="4211"/>
    <x v="85"/>
    <m/>
    <x v="14"/>
    <x v="3"/>
    <x v="0"/>
    <m/>
    <m/>
    <m/>
    <m/>
    <m/>
    <m/>
    <m/>
    <m/>
    <m/>
    <m/>
    <m/>
    <m/>
    <s v="x"/>
    <s v="x"/>
    <s v="na"/>
    <s v="NRD"/>
    <s v="na"/>
    <s v="na"/>
    <s v="na"/>
    <s v="na"/>
    <s v="na"/>
    <s v="na"/>
    <s v="na"/>
    <s v="na"/>
  </r>
  <r>
    <n v="4212"/>
    <x v="85"/>
    <m/>
    <x v="14"/>
    <x v="3"/>
    <x v="0"/>
    <m/>
    <m/>
    <m/>
    <m/>
    <m/>
    <m/>
    <m/>
    <m/>
    <m/>
    <m/>
    <m/>
    <m/>
    <s v="x"/>
    <s v="x"/>
    <s v="na"/>
    <s v="NRD"/>
    <s v="na"/>
    <s v="na"/>
    <s v="na"/>
    <s v="na"/>
    <s v="na"/>
    <s v="na"/>
    <s v="na"/>
    <s v="na"/>
  </r>
  <r>
    <n v="4213"/>
    <x v="85"/>
    <m/>
    <x v="14"/>
    <x v="3"/>
    <x v="0"/>
    <m/>
    <m/>
    <m/>
    <m/>
    <m/>
    <m/>
    <m/>
    <m/>
    <m/>
    <m/>
    <m/>
    <m/>
    <s v="x"/>
    <s v="x"/>
    <s v="na"/>
    <s v="NRD"/>
    <s v="na"/>
    <s v="na"/>
    <s v="na"/>
    <s v="na"/>
    <s v="na"/>
    <s v="na"/>
    <s v="na"/>
    <s v="na"/>
  </r>
  <r>
    <n v="4214"/>
    <x v="85"/>
    <m/>
    <x v="14"/>
    <x v="3"/>
    <x v="0"/>
    <m/>
    <m/>
    <m/>
    <m/>
    <m/>
    <m/>
    <m/>
    <m/>
    <m/>
    <m/>
    <m/>
    <m/>
    <s v="x"/>
    <s v="x"/>
    <s v="na"/>
    <s v="NRD"/>
    <s v="na"/>
    <s v="na"/>
    <s v="na"/>
    <s v="na"/>
    <s v="na"/>
    <s v="na"/>
    <s v="na"/>
    <s v="na"/>
  </r>
  <r>
    <n v="4215"/>
    <x v="85"/>
    <m/>
    <x v="14"/>
    <x v="3"/>
    <x v="0"/>
    <m/>
    <m/>
    <m/>
    <m/>
    <m/>
    <m/>
    <m/>
    <m/>
    <m/>
    <m/>
    <m/>
    <m/>
    <s v="x"/>
    <s v="x"/>
    <s v="na"/>
    <s v="NRD"/>
    <s v="na"/>
    <s v="na"/>
    <s v="na"/>
    <s v="na"/>
    <s v="na"/>
    <s v="na"/>
    <s v="na"/>
    <s v="na"/>
  </r>
  <r>
    <n v="4216"/>
    <x v="85"/>
    <m/>
    <x v="14"/>
    <x v="3"/>
    <x v="0"/>
    <m/>
    <m/>
    <m/>
    <m/>
    <m/>
    <m/>
    <m/>
    <m/>
    <m/>
    <m/>
    <m/>
    <m/>
    <s v="x"/>
    <s v="x"/>
    <s v="na"/>
    <s v="NRD"/>
    <s v="na"/>
    <s v="na"/>
    <s v="na"/>
    <s v="na"/>
    <s v="na"/>
    <s v="na"/>
    <s v="na"/>
    <s v="na"/>
  </r>
  <r>
    <n v="4217"/>
    <x v="85"/>
    <m/>
    <x v="14"/>
    <x v="3"/>
    <x v="0"/>
    <m/>
    <m/>
    <m/>
    <m/>
    <m/>
    <m/>
    <m/>
    <m/>
    <m/>
    <m/>
    <m/>
    <m/>
    <s v="x"/>
    <s v="x"/>
    <s v="na"/>
    <s v="NRD"/>
    <s v="na"/>
    <s v="na"/>
    <s v="na"/>
    <s v="na"/>
    <s v="na"/>
    <s v="na"/>
    <s v="na"/>
    <s v="na"/>
  </r>
  <r>
    <n v="4218"/>
    <x v="85"/>
    <m/>
    <x v="14"/>
    <x v="3"/>
    <x v="0"/>
    <m/>
    <m/>
    <m/>
    <m/>
    <m/>
    <m/>
    <m/>
    <m/>
    <m/>
    <m/>
    <m/>
    <m/>
    <s v="x"/>
    <s v="x"/>
    <s v="na"/>
    <s v="NRD"/>
    <s v="na"/>
    <s v="na"/>
    <s v="na"/>
    <s v="na"/>
    <s v="na"/>
    <s v="na"/>
    <s v="na"/>
    <s v="na"/>
  </r>
  <r>
    <n v="4219"/>
    <x v="85"/>
    <m/>
    <x v="14"/>
    <x v="3"/>
    <x v="0"/>
    <m/>
    <m/>
    <m/>
    <m/>
    <m/>
    <m/>
    <m/>
    <m/>
    <m/>
    <m/>
    <m/>
    <m/>
    <s v="x"/>
    <s v="x"/>
    <s v="na"/>
    <s v="NRD"/>
    <s v="na"/>
    <s v="na"/>
    <s v="na"/>
    <s v="na"/>
    <s v="na"/>
    <s v="na"/>
    <s v="na"/>
    <s v="na"/>
  </r>
  <r>
    <n v="4220"/>
    <x v="85"/>
    <m/>
    <x v="14"/>
    <x v="3"/>
    <x v="0"/>
    <m/>
    <m/>
    <m/>
    <m/>
    <m/>
    <m/>
    <m/>
    <m/>
    <m/>
    <m/>
    <m/>
    <m/>
    <s v="x"/>
    <s v="x"/>
    <s v="na"/>
    <s v="NRD"/>
    <s v="na"/>
    <s v="na"/>
    <s v="na"/>
    <s v="na"/>
    <s v="na"/>
    <s v="na"/>
    <s v="na"/>
    <s v="na"/>
  </r>
  <r>
    <n v="4221"/>
    <x v="85"/>
    <m/>
    <x v="14"/>
    <x v="3"/>
    <x v="0"/>
    <m/>
    <m/>
    <m/>
    <m/>
    <m/>
    <m/>
    <m/>
    <m/>
    <m/>
    <m/>
    <m/>
    <m/>
    <s v="x"/>
    <s v="x"/>
    <s v="na"/>
    <s v="NRD"/>
    <s v="na"/>
    <s v="na"/>
    <s v="na"/>
    <s v="na"/>
    <s v="na"/>
    <s v="na"/>
    <s v="na"/>
    <s v="na"/>
  </r>
  <r>
    <n v="4222"/>
    <x v="85"/>
    <m/>
    <x v="14"/>
    <x v="3"/>
    <x v="0"/>
    <m/>
    <m/>
    <m/>
    <m/>
    <m/>
    <m/>
    <m/>
    <m/>
    <m/>
    <m/>
    <m/>
    <m/>
    <s v="x"/>
    <s v="x"/>
    <s v="na"/>
    <s v="NRD"/>
    <s v="na"/>
    <s v="na"/>
    <s v="na"/>
    <s v="na"/>
    <s v="na"/>
    <s v="na"/>
    <s v="na"/>
    <s v="na"/>
  </r>
  <r>
    <n v="4223"/>
    <x v="85"/>
    <m/>
    <x v="14"/>
    <x v="3"/>
    <x v="0"/>
    <m/>
    <m/>
    <m/>
    <m/>
    <m/>
    <m/>
    <m/>
    <m/>
    <m/>
    <m/>
    <m/>
    <m/>
    <s v="x"/>
    <s v="x"/>
    <s v="na"/>
    <s v="NRD"/>
    <s v="na"/>
    <s v="na"/>
    <s v="na"/>
    <s v="na"/>
    <s v="na"/>
    <s v="na"/>
    <s v="na"/>
    <s v="na"/>
  </r>
  <r>
    <n v="4224"/>
    <x v="85"/>
    <m/>
    <x v="14"/>
    <x v="3"/>
    <x v="0"/>
    <m/>
    <m/>
    <m/>
    <m/>
    <m/>
    <m/>
    <m/>
    <m/>
    <m/>
    <m/>
    <m/>
    <m/>
    <s v="x"/>
    <s v="x"/>
    <s v="na"/>
    <s v="NRD"/>
    <s v="na"/>
    <s v="na"/>
    <s v="na"/>
    <s v="na"/>
    <s v="na"/>
    <s v="na"/>
    <s v="na"/>
    <s v="na"/>
  </r>
  <r>
    <n v="4225"/>
    <x v="85"/>
    <m/>
    <x v="14"/>
    <x v="3"/>
    <x v="0"/>
    <m/>
    <m/>
    <m/>
    <m/>
    <m/>
    <m/>
    <m/>
    <m/>
    <m/>
    <m/>
    <m/>
    <m/>
    <s v="x"/>
    <s v="x"/>
    <s v="na"/>
    <s v="NRD"/>
    <s v="na"/>
    <s v="na"/>
    <s v="na"/>
    <s v="na"/>
    <s v="na"/>
    <s v="na"/>
    <s v="na"/>
    <s v="na"/>
  </r>
  <r>
    <n v="4226"/>
    <x v="85"/>
    <m/>
    <x v="14"/>
    <x v="3"/>
    <x v="0"/>
    <m/>
    <m/>
    <m/>
    <m/>
    <m/>
    <m/>
    <m/>
    <m/>
    <m/>
    <m/>
    <m/>
    <m/>
    <s v="x"/>
    <s v="x"/>
    <s v="na"/>
    <s v="NRD"/>
    <s v="na"/>
    <s v="na"/>
    <s v="na"/>
    <s v="na"/>
    <s v="na"/>
    <s v="na"/>
    <s v="na"/>
    <s v="na"/>
  </r>
  <r>
    <n v="4227"/>
    <x v="85"/>
    <m/>
    <x v="14"/>
    <x v="3"/>
    <x v="0"/>
    <m/>
    <m/>
    <m/>
    <m/>
    <m/>
    <m/>
    <m/>
    <m/>
    <m/>
    <m/>
    <m/>
    <m/>
    <s v="x"/>
    <s v="x"/>
    <s v="na"/>
    <s v="NRD"/>
    <s v="na"/>
    <s v="na"/>
    <s v="na"/>
    <s v="na"/>
    <s v="na"/>
    <s v="na"/>
    <s v="na"/>
    <s v="na"/>
  </r>
  <r>
    <n v="4228"/>
    <x v="85"/>
    <m/>
    <x v="14"/>
    <x v="3"/>
    <x v="0"/>
    <m/>
    <m/>
    <m/>
    <m/>
    <m/>
    <m/>
    <m/>
    <m/>
    <m/>
    <m/>
    <m/>
    <m/>
    <s v="x"/>
    <s v="x"/>
    <s v="na"/>
    <s v="NRD"/>
    <s v="na"/>
    <s v="na"/>
    <s v="na"/>
    <s v="na"/>
    <s v="na"/>
    <s v="na"/>
    <s v="na"/>
    <s v="na"/>
  </r>
  <r>
    <n v="4229"/>
    <x v="85"/>
    <m/>
    <x v="14"/>
    <x v="3"/>
    <x v="0"/>
    <m/>
    <m/>
    <m/>
    <m/>
    <m/>
    <m/>
    <m/>
    <m/>
    <m/>
    <m/>
    <m/>
    <m/>
    <s v="x"/>
    <s v="x"/>
    <s v="na"/>
    <s v="NRD"/>
    <s v="na"/>
    <s v="na"/>
    <s v="na"/>
    <s v="na"/>
    <s v="na"/>
    <s v="na"/>
    <s v="na"/>
    <s v="na"/>
  </r>
  <r>
    <n v="4230"/>
    <x v="85"/>
    <m/>
    <x v="14"/>
    <x v="3"/>
    <x v="0"/>
    <m/>
    <m/>
    <m/>
    <m/>
    <m/>
    <m/>
    <m/>
    <m/>
    <m/>
    <m/>
    <m/>
    <m/>
    <s v="x"/>
    <s v="x"/>
    <s v="na"/>
    <s v="NRD"/>
    <s v="na"/>
    <s v="na"/>
    <s v="na"/>
    <s v="na"/>
    <s v="na"/>
    <s v="na"/>
    <s v="na"/>
    <s v="na"/>
  </r>
  <r>
    <n v="4231"/>
    <x v="85"/>
    <m/>
    <x v="14"/>
    <x v="3"/>
    <x v="0"/>
    <m/>
    <m/>
    <m/>
    <m/>
    <m/>
    <m/>
    <m/>
    <m/>
    <m/>
    <m/>
    <m/>
    <m/>
    <s v="x"/>
    <s v="x"/>
    <s v="na"/>
    <s v="NRD"/>
    <s v="na"/>
    <s v="na"/>
    <s v="na"/>
    <s v="na"/>
    <s v="na"/>
    <s v="na"/>
    <s v="na"/>
    <s v="na"/>
  </r>
  <r>
    <n v="4232"/>
    <x v="85"/>
    <m/>
    <x v="14"/>
    <x v="3"/>
    <x v="0"/>
    <m/>
    <m/>
    <m/>
    <m/>
    <m/>
    <m/>
    <m/>
    <m/>
    <m/>
    <m/>
    <m/>
    <m/>
    <s v="x"/>
    <s v="x"/>
    <s v="na"/>
    <s v="NRD"/>
    <s v="na"/>
    <s v="na"/>
    <s v="na"/>
    <s v="na"/>
    <s v="na"/>
    <s v="na"/>
    <s v="na"/>
    <s v="na"/>
  </r>
  <r>
    <n v="4233"/>
    <x v="85"/>
    <m/>
    <x v="14"/>
    <x v="3"/>
    <x v="0"/>
    <m/>
    <m/>
    <m/>
    <m/>
    <m/>
    <m/>
    <m/>
    <m/>
    <m/>
    <m/>
    <m/>
    <m/>
    <s v="x"/>
    <s v="x"/>
    <s v="na"/>
    <s v="NRD"/>
    <s v="na"/>
    <s v="na"/>
    <s v="na"/>
    <s v="na"/>
    <s v="na"/>
    <s v="na"/>
    <s v="na"/>
    <s v="na"/>
  </r>
  <r>
    <n v="4234"/>
    <x v="85"/>
    <m/>
    <x v="14"/>
    <x v="3"/>
    <x v="0"/>
    <m/>
    <m/>
    <m/>
    <m/>
    <m/>
    <m/>
    <m/>
    <m/>
    <m/>
    <m/>
    <m/>
    <m/>
    <s v="x"/>
    <s v="x"/>
    <s v="na"/>
    <s v="NRD"/>
    <s v="na"/>
    <s v="na"/>
    <s v="na"/>
    <s v="na"/>
    <s v="na"/>
    <s v="na"/>
    <s v="na"/>
    <s v="na"/>
  </r>
  <r>
    <n v="4235"/>
    <x v="85"/>
    <m/>
    <x v="14"/>
    <x v="3"/>
    <x v="0"/>
    <m/>
    <m/>
    <m/>
    <m/>
    <m/>
    <m/>
    <m/>
    <m/>
    <m/>
    <m/>
    <m/>
    <m/>
    <s v="x"/>
    <s v="x"/>
    <s v="na"/>
    <s v="NRD"/>
    <s v="na"/>
    <s v="na"/>
    <s v="na"/>
    <s v="na"/>
    <s v="na"/>
    <s v="na"/>
    <s v="na"/>
    <s v="na"/>
  </r>
  <r>
    <n v="4236"/>
    <x v="85"/>
    <m/>
    <x v="14"/>
    <x v="3"/>
    <x v="0"/>
    <m/>
    <m/>
    <m/>
    <m/>
    <m/>
    <m/>
    <m/>
    <m/>
    <m/>
    <m/>
    <m/>
    <m/>
    <s v="x"/>
    <s v="x"/>
    <s v="na"/>
    <s v="NRD"/>
    <s v="na"/>
    <s v="na"/>
    <s v="na"/>
    <s v="na"/>
    <s v="na"/>
    <s v="na"/>
    <s v="na"/>
    <s v="na"/>
  </r>
  <r>
    <n v="4237"/>
    <x v="85"/>
    <m/>
    <x v="14"/>
    <x v="3"/>
    <x v="0"/>
    <m/>
    <m/>
    <m/>
    <m/>
    <m/>
    <m/>
    <m/>
    <m/>
    <m/>
    <m/>
    <m/>
    <m/>
    <s v="x"/>
    <s v="x"/>
    <s v="na"/>
    <s v="NRD"/>
    <s v="na"/>
    <s v="na"/>
    <s v="na"/>
    <s v="na"/>
    <s v="na"/>
    <s v="na"/>
    <s v="na"/>
    <s v="na"/>
  </r>
  <r>
    <n v="4238"/>
    <x v="85"/>
    <m/>
    <x v="14"/>
    <x v="3"/>
    <x v="0"/>
    <m/>
    <m/>
    <m/>
    <m/>
    <m/>
    <m/>
    <m/>
    <m/>
    <m/>
    <m/>
    <m/>
    <m/>
    <s v="x"/>
    <s v="x"/>
    <s v="na"/>
    <s v="NRD"/>
    <s v="na"/>
    <s v="na"/>
    <s v="na"/>
    <s v="na"/>
    <s v="na"/>
    <s v="na"/>
    <s v="na"/>
    <s v="na"/>
  </r>
  <r>
    <n v="4239"/>
    <x v="85"/>
    <m/>
    <x v="14"/>
    <x v="3"/>
    <x v="0"/>
    <m/>
    <m/>
    <m/>
    <m/>
    <m/>
    <m/>
    <m/>
    <m/>
    <m/>
    <m/>
    <m/>
    <m/>
    <s v="x"/>
    <s v="x"/>
    <s v="na"/>
    <s v="NRD"/>
    <s v="na"/>
    <s v="na"/>
    <s v="na"/>
    <s v="na"/>
    <s v="na"/>
    <s v="na"/>
    <s v="na"/>
    <s v="na"/>
  </r>
  <r>
    <n v="4240"/>
    <x v="85"/>
    <m/>
    <x v="14"/>
    <x v="3"/>
    <x v="0"/>
    <m/>
    <m/>
    <m/>
    <m/>
    <m/>
    <m/>
    <m/>
    <m/>
    <m/>
    <m/>
    <m/>
    <m/>
    <s v="x"/>
    <s v="x"/>
    <s v="na"/>
    <s v="NRD"/>
    <s v="na"/>
    <s v="na"/>
    <s v="na"/>
    <s v="na"/>
    <s v="na"/>
    <s v="na"/>
    <s v="na"/>
    <s v="na"/>
  </r>
  <r>
    <n v="4241"/>
    <x v="85"/>
    <m/>
    <x v="14"/>
    <x v="3"/>
    <x v="0"/>
    <m/>
    <m/>
    <m/>
    <m/>
    <m/>
    <m/>
    <m/>
    <m/>
    <m/>
    <m/>
    <m/>
    <m/>
    <s v="x"/>
    <s v="x"/>
    <s v="na"/>
    <s v="NRD"/>
    <s v="na"/>
    <s v="na"/>
    <s v="na"/>
    <s v="na"/>
    <s v="na"/>
    <s v="na"/>
    <s v="na"/>
    <s v="na"/>
  </r>
  <r>
    <n v="4242"/>
    <x v="85"/>
    <m/>
    <x v="14"/>
    <x v="3"/>
    <x v="0"/>
    <m/>
    <m/>
    <m/>
    <m/>
    <m/>
    <m/>
    <m/>
    <m/>
    <m/>
    <m/>
    <m/>
    <m/>
    <s v="x"/>
    <s v="x"/>
    <s v="na"/>
    <s v="NRD"/>
    <s v="na"/>
    <s v="na"/>
    <s v="na"/>
    <s v="na"/>
    <s v="na"/>
    <s v="na"/>
    <s v="na"/>
    <s v="na"/>
  </r>
  <r>
    <n v="4243"/>
    <x v="85"/>
    <m/>
    <x v="14"/>
    <x v="3"/>
    <x v="0"/>
    <m/>
    <m/>
    <m/>
    <m/>
    <m/>
    <m/>
    <m/>
    <m/>
    <m/>
    <m/>
    <m/>
    <m/>
    <s v="x"/>
    <s v="x"/>
    <s v="na"/>
    <s v="NRD"/>
    <s v="na"/>
    <s v="na"/>
    <s v="na"/>
    <s v="na"/>
    <s v="na"/>
    <s v="na"/>
    <s v="na"/>
    <s v="na"/>
  </r>
  <r>
    <n v="4244"/>
    <x v="85"/>
    <m/>
    <x v="14"/>
    <x v="3"/>
    <x v="0"/>
    <m/>
    <m/>
    <m/>
    <m/>
    <m/>
    <m/>
    <m/>
    <m/>
    <m/>
    <m/>
    <m/>
    <m/>
    <s v="x"/>
    <s v="x"/>
    <s v="na"/>
    <s v="NRD"/>
    <s v="na"/>
    <s v="na"/>
    <s v="na"/>
    <s v="na"/>
    <s v="na"/>
    <s v="na"/>
    <s v="na"/>
    <s v="na"/>
  </r>
  <r>
    <n v="4245"/>
    <x v="85"/>
    <m/>
    <x v="14"/>
    <x v="3"/>
    <x v="0"/>
    <m/>
    <m/>
    <m/>
    <m/>
    <m/>
    <m/>
    <m/>
    <m/>
    <m/>
    <m/>
    <m/>
    <m/>
    <s v="x"/>
    <s v="x"/>
    <s v="na"/>
    <s v="NRD"/>
    <s v="na"/>
    <s v="na"/>
    <s v="na"/>
    <s v="na"/>
    <s v="na"/>
    <s v="na"/>
    <s v="na"/>
    <s v="na"/>
  </r>
  <r>
    <n v="4246"/>
    <x v="85"/>
    <m/>
    <x v="14"/>
    <x v="3"/>
    <x v="0"/>
    <m/>
    <m/>
    <m/>
    <m/>
    <m/>
    <m/>
    <m/>
    <m/>
    <m/>
    <m/>
    <m/>
    <m/>
    <s v="x"/>
    <s v="x"/>
    <s v="na"/>
    <s v="NRD"/>
    <s v="na"/>
    <s v="na"/>
    <s v="na"/>
    <s v="na"/>
    <s v="na"/>
    <s v="na"/>
    <s v="na"/>
    <s v="na"/>
  </r>
  <r>
    <n v="4247"/>
    <x v="85"/>
    <m/>
    <x v="14"/>
    <x v="3"/>
    <x v="0"/>
    <m/>
    <m/>
    <m/>
    <m/>
    <m/>
    <m/>
    <m/>
    <m/>
    <m/>
    <m/>
    <m/>
    <m/>
    <s v="x"/>
    <s v="x"/>
    <s v="na"/>
    <s v="NRD"/>
    <s v="na"/>
    <s v="na"/>
    <s v="na"/>
    <s v="na"/>
    <s v="na"/>
    <s v="na"/>
    <s v="na"/>
    <s v="na"/>
  </r>
  <r>
    <n v="4248"/>
    <x v="85"/>
    <m/>
    <x v="14"/>
    <x v="3"/>
    <x v="0"/>
    <m/>
    <m/>
    <m/>
    <m/>
    <m/>
    <m/>
    <m/>
    <m/>
    <m/>
    <m/>
    <m/>
    <m/>
    <s v="x"/>
    <s v="x"/>
    <s v="na"/>
    <s v="NRD"/>
    <s v="na"/>
    <s v="na"/>
    <s v="na"/>
    <s v="na"/>
    <s v="na"/>
    <s v="na"/>
    <s v="na"/>
    <s v="na"/>
  </r>
  <r>
    <n v="4249"/>
    <x v="85"/>
    <m/>
    <x v="14"/>
    <x v="3"/>
    <x v="0"/>
    <m/>
    <m/>
    <m/>
    <m/>
    <m/>
    <m/>
    <m/>
    <m/>
    <m/>
    <m/>
    <m/>
    <m/>
    <s v="x"/>
    <s v="x"/>
    <s v="na"/>
    <s v="NRD"/>
    <s v="na"/>
    <s v="na"/>
    <s v="na"/>
    <s v="na"/>
    <s v="na"/>
    <s v="na"/>
    <s v="na"/>
    <s v="na"/>
  </r>
  <r>
    <n v="4250"/>
    <x v="85"/>
    <m/>
    <x v="14"/>
    <x v="3"/>
    <x v="0"/>
    <m/>
    <m/>
    <m/>
    <m/>
    <m/>
    <m/>
    <m/>
    <m/>
    <m/>
    <m/>
    <m/>
    <m/>
    <s v="x"/>
    <s v="x"/>
    <s v="na"/>
    <s v="NRD"/>
    <s v="na"/>
    <s v="na"/>
    <s v="na"/>
    <s v="na"/>
    <s v="na"/>
    <s v="na"/>
    <s v="na"/>
    <s v="na"/>
  </r>
  <r>
    <n v="4251"/>
    <x v="85"/>
    <m/>
    <x v="14"/>
    <x v="3"/>
    <x v="0"/>
    <m/>
    <m/>
    <m/>
    <m/>
    <m/>
    <m/>
    <m/>
    <m/>
    <m/>
    <m/>
    <m/>
    <m/>
    <s v="x"/>
    <s v="x"/>
    <s v="na"/>
    <s v="NRD"/>
    <s v="na"/>
    <s v="na"/>
    <s v="na"/>
    <s v="na"/>
    <s v="na"/>
    <s v="na"/>
    <s v="na"/>
    <s v="na"/>
  </r>
  <r>
    <n v="4252"/>
    <x v="85"/>
    <m/>
    <x v="14"/>
    <x v="3"/>
    <x v="0"/>
    <m/>
    <m/>
    <m/>
    <m/>
    <m/>
    <m/>
    <m/>
    <m/>
    <m/>
    <m/>
    <m/>
    <m/>
    <s v="x"/>
    <s v="x"/>
    <s v="na"/>
    <s v="NRD"/>
    <s v="na"/>
    <s v="na"/>
    <s v="na"/>
    <s v="na"/>
    <s v="na"/>
    <s v="na"/>
    <s v="na"/>
    <s v="na"/>
  </r>
  <r>
    <n v="4253"/>
    <x v="85"/>
    <m/>
    <x v="14"/>
    <x v="3"/>
    <x v="0"/>
    <m/>
    <m/>
    <m/>
    <m/>
    <m/>
    <m/>
    <m/>
    <m/>
    <m/>
    <m/>
    <m/>
    <m/>
    <s v="x"/>
    <s v="x"/>
    <s v="na"/>
    <s v="NRD"/>
    <s v="na"/>
    <s v="na"/>
    <s v="na"/>
    <s v="na"/>
    <s v="na"/>
    <s v="na"/>
    <s v="na"/>
    <s v="na"/>
  </r>
  <r>
    <n v="4254"/>
    <x v="85"/>
    <m/>
    <x v="14"/>
    <x v="3"/>
    <x v="0"/>
    <m/>
    <m/>
    <m/>
    <m/>
    <m/>
    <m/>
    <m/>
    <m/>
    <m/>
    <m/>
    <m/>
    <m/>
    <s v="x"/>
    <s v="x"/>
    <s v="na"/>
    <s v="NRD"/>
    <s v="na"/>
    <s v="na"/>
    <s v="na"/>
    <s v="na"/>
    <s v="na"/>
    <s v="na"/>
    <s v="na"/>
    <s v="na"/>
  </r>
  <r>
    <n v="4255"/>
    <x v="85"/>
    <m/>
    <x v="14"/>
    <x v="3"/>
    <x v="0"/>
    <m/>
    <m/>
    <m/>
    <m/>
    <m/>
    <m/>
    <m/>
    <m/>
    <m/>
    <m/>
    <m/>
    <m/>
    <s v="x"/>
    <s v="x"/>
    <s v="na"/>
    <s v="NRD"/>
    <s v="na"/>
    <s v="na"/>
    <s v="na"/>
    <s v="na"/>
    <s v="na"/>
    <s v="na"/>
    <s v="na"/>
    <s v="na"/>
  </r>
  <r>
    <n v="4256"/>
    <x v="85"/>
    <m/>
    <x v="14"/>
    <x v="3"/>
    <x v="0"/>
    <m/>
    <m/>
    <m/>
    <m/>
    <m/>
    <m/>
    <m/>
    <m/>
    <m/>
    <m/>
    <m/>
    <m/>
    <s v="x"/>
    <s v="x"/>
    <s v="na"/>
    <s v="NRD"/>
    <s v="na"/>
    <s v="na"/>
    <s v="na"/>
    <s v="na"/>
    <s v="na"/>
    <s v="na"/>
    <s v="na"/>
    <s v="na"/>
  </r>
  <r>
    <n v="4257"/>
    <x v="85"/>
    <m/>
    <x v="14"/>
    <x v="3"/>
    <x v="0"/>
    <m/>
    <m/>
    <m/>
    <m/>
    <m/>
    <m/>
    <m/>
    <m/>
    <m/>
    <m/>
    <m/>
    <m/>
    <s v="x"/>
    <s v="x"/>
    <s v="na"/>
    <s v="NRD"/>
    <s v="na"/>
    <s v="na"/>
    <s v="na"/>
    <s v="na"/>
    <s v="na"/>
    <s v="na"/>
    <s v="na"/>
    <s v="na"/>
  </r>
  <r>
    <n v="4258"/>
    <x v="85"/>
    <m/>
    <x v="14"/>
    <x v="3"/>
    <x v="0"/>
    <m/>
    <m/>
    <m/>
    <m/>
    <m/>
    <m/>
    <m/>
    <m/>
    <m/>
    <m/>
    <m/>
    <m/>
    <s v="x"/>
    <s v="x"/>
    <s v="na"/>
    <s v="NRD"/>
    <s v="na"/>
    <s v="na"/>
    <s v="na"/>
    <s v="na"/>
    <s v="na"/>
    <s v="na"/>
    <s v="na"/>
    <s v="na"/>
  </r>
  <r>
    <n v="4259"/>
    <x v="85"/>
    <m/>
    <x v="14"/>
    <x v="3"/>
    <x v="0"/>
    <m/>
    <m/>
    <m/>
    <m/>
    <m/>
    <m/>
    <m/>
    <m/>
    <m/>
    <m/>
    <m/>
    <m/>
    <s v="x"/>
    <s v="x"/>
    <s v="na"/>
    <s v="NRD"/>
    <s v="na"/>
    <s v="na"/>
    <s v="na"/>
    <s v="na"/>
    <s v="na"/>
    <s v="na"/>
    <s v="na"/>
    <s v="na"/>
  </r>
  <r>
    <n v="4260"/>
    <x v="85"/>
    <m/>
    <x v="14"/>
    <x v="3"/>
    <x v="0"/>
    <m/>
    <m/>
    <m/>
    <m/>
    <m/>
    <m/>
    <m/>
    <m/>
    <m/>
    <m/>
    <m/>
    <m/>
    <s v="x"/>
    <s v="x"/>
    <s v="na"/>
    <s v="NRD"/>
    <s v="na"/>
    <s v="na"/>
    <s v="na"/>
    <s v="na"/>
    <s v="na"/>
    <s v="na"/>
    <s v="na"/>
    <s v="na"/>
  </r>
  <r>
    <n v="4261"/>
    <x v="85"/>
    <m/>
    <x v="14"/>
    <x v="3"/>
    <x v="0"/>
    <m/>
    <m/>
    <m/>
    <m/>
    <m/>
    <m/>
    <m/>
    <m/>
    <m/>
    <m/>
    <m/>
    <m/>
    <s v="x"/>
    <s v="x"/>
    <s v="na"/>
    <s v="NRD"/>
    <s v="na"/>
    <s v="na"/>
    <s v="na"/>
    <s v="na"/>
    <s v="na"/>
    <s v="na"/>
    <s v="na"/>
    <s v="na"/>
  </r>
  <r>
    <n v="4262"/>
    <x v="85"/>
    <m/>
    <x v="14"/>
    <x v="3"/>
    <x v="0"/>
    <m/>
    <m/>
    <m/>
    <m/>
    <m/>
    <m/>
    <m/>
    <m/>
    <m/>
    <m/>
    <m/>
    <m/>
    <s v="x"/>
    <s v="x"/>
    <s v="na"/>
    <s v="NRD"/>
    <s v="na"/>
    <s v="na"/>
    <s v="na"/>
    <s v="na"/>
    <s v="na"/>
    <s v="na"/>
    <s v="na"/>
    <s v="na"/>
  </r>
  <r>
    <n v="4263"/>
    <x v="85"/>
    <m/>
    <x v="14"/>
    <x v="3"/>
    <x v="0"/>
    <m/>
    <m/>
    <m/>
    <m/>
    <m/>
    <m/>
    <m/>
    <m/>
    <m/>
    <m/>
    <m/>
    <m/>
    <s v="x"/>
    <s v="x"/>
    <s v="na"/>
    <s v="NRD"/>
    <s v="na"/>
    <s v="na"/>
    <s v="na"/>
    <s v="na"/>
    <s v="na"/>
    <s v="na"/>
    <s v="na"/>
    <s v="na"/>
  </r>
  <r>
    <n v="4264"/>
    <x v="85"/>
    <m/>
    <x v="14"/>
    <x v="3"/>
    <x v="0"/>
    <m/>
    <m/>
    <m/>
    <m/>
    <m/>
    <m/>
    <m/>
    <m/>
    <m/>
    <m/>
    <m/>
    <m/>
    <s v="x"/>
    <s v="x"/>
    <s v="na"/>
    <s v="NRD"/>
    <s v="na"/>
    <s v="na"/>
    <s v="na"/>
    <s v="na"/>
    <s v="na"/>
    <s v="na"/>
    <s v="na"/>
    <s v="na"/>
  </r>
  <r>
    <n v="4265"/>
    <x v="85"/>
    <m/>
    <x v="14"/>
    <x v="3"/>
    <x v="0"/>
    <m/>
    <m/>
    <m/>
    <m/>
    <m/>
    <m/>
    <m/>
    <m/>
    <m/>
    <m/>
    <m/>
    <m/>
    <s v="x"/>
    <s v="x"/>
    <s v="na"/>
    <s v="NRD"/>
    <s v="na"/>
    <s v="na"/>
    <s v="na"/>
    <s v="na"/>
    <s v="na"/>
    <s v="na"/>
    <s v="na"/>
    <s v="na"/>
  </r>
  <r>
    <n v="4266"/>
    <x v="85"/>
    <m/>
    <x v="14"/>
    <x v="3"/>
    <x v="0"/>
    <m/>
    <m/>
    <m/>
    <m/>
    <m/>
    <m/>
    <m/>
    <m/>
    <m/>
    <m/>
    <m/>
    <m/>
    <s v="x"/>
    <s v="x"/>
    <s v="na"/>
    <s v="NRD"/>
    <s v="na"/>
    <s v="na"/>
    <s v="na"/>
    <s v="na"/>
    <s v="na"/>
    <s v="na"/>
    <s v="na"/>
    <s v="na"/>
  </r>
  <r>
    <n v="4267"/>
    <x v="85"/>
    <m/>
    <x v="14"/>
    <x v="3"/>
    <x v="0"/>
    <m/>
    <m/>
    <m/>
    <m/>
    <m/>
    <m/>
    <m/>
    <m/>
    <m/>
    <m/>
    <m/>
    <m/>
    <s v="x"/>
    <s v="x"/>
    <s v="na"/>
    <s v="NRD"/>
    <s v="na"/>
    <s v="na"/>
    <s v="na"/>
    <s v="na"/>
    <s v="na"/>
    <s v="na"/>
    <s v="na"/>
    <s v="na"/>
  </r>
  <r>
    <n v="4268"/>
    <x v="85"/>
    <m/>
    <x v="14"/>
    <x v="3"/>
    <x v="0"/>
    <m/>
    <m/>
    <m/>
    <m/>
    <m/>
    <m/>
    <m/>
    <m/>
    <m/>
    <m/>
    <m/>
    <m/>
    <s v="x"/>
    <s v="x"/>
    <s v="na"/>
    <s v="NRD"/>
    <s v="na"/>
    <s v="na"/>
    <s v="na"/>
    <s v="na"/>
    <s v="na"/>
    <s v="na"/>
    <s v="na"/>
    <s v="na"/>
  </r>
  <r>
    <n v="4269"/>
    <x v="85"/>
    <m/>
    <x v="14"/>
    <x v="3"/>
    <x v="0"/>
    <m/>
    <m/>
    <m/>
    <m/>
    <m/>
    <m/>
    <m/>
    <m/>
    <m/>
    <m/>
    <m/>
    <m/>
    <s v="x"/>
    <s v="x"/>
    <s v="na"/>
    <s v="NRD"/>
    <s v="na"/>
    <s v="na"/>
    <s v="na"/>
    <s v="na"/>
    <s v="na"/>
    <s v="na"/>
    <s v="na"/>
    <s v="na"/>
  </r>
  <r>
    <n v="4270"/>
    <x v="85"/>
    <m/>
    <x v="14"/>
    <x v="3"/>
    <x v="0"/>
    <m/>
    <m/>
    <m/>
    <m/>
    <m/>
    <m/>
    <m/>
    <m/>
    <m/>
    <m/>
    <m/>
    <m/>
    <s v="x"/>
    <s v="x"/>
    <s v="na"/>
    <s v="NRD"/>
    <s v="na"/>
    <s v="na"/>
    <s v="na"/>
    <s v="na"/>
    <s v="na"/>
    <s v="na"/>
    <s v="na"/>
    <s v="na"/>
  </r>
  <r>
    <n v="4271"/>
    <x v="85"/>
    <m/>
    <x v="14"/>
    <x v="3"/>
    <x v="0"/>
    <m/>
    <m/>
    <m/>
    <m/>
    <m/>
    <m/>
    <m/>
    <m/>
    <m/>
    <m/>
    <m/>
    <m/>
    <s v="x"/>
    <s v="x"/>
    <s v="na"/>
    <s v="NRD"/>
    <s v="na"/>
    <s v="na"/>
    <s v="na"/>
    <s v="na"/>
    <s v="na"/>
    <s v="na"/>
    <s v="na"/>
    <s v="na"/>
  </r>
  <r>
    <n v="4272"/>
    <x v="85"/>
    <m/>
    <x v="14"/>
    <x v="3"/>
    <x v="0"/>
    <m/>
    <m/>
    <m/>
    <m/>
    <m/>
    <m/>
    <m/>
    <m/>
    <m/>
    <m/>
    <m/>
    <m/>
    <s v="x"/>
    <s v="x"/>
    <s v="na"/>
    <s v="NRD"/>
    <s v="na"/>
    <s v="na"/>
    <s v="na"/>
    <s v="na"/>
    <s v="na"/>
    <s v="na"/>
    <s v="na"/>
    <s v="na"/>
  </r>
  <r>
    <n v="4273"/>
    <x v="85"/>
    <m/>
    <x v="14"/>
    <x v="3"/>
    <x v="0"/>
    <m/>
    <m/>
    <m/>
    <m/>
    <m/>
    <m/>
    <m/>
    <m/>
    <m/>
    <m/>
    <m/>
    <m/>
    <s v="x"/>
    <s v="x"/>
    <s v="na"/>
    <s v="NRD"/>
    <s v="na"/>
    <s v="na"/>
    <s v="na"/>
    <s v="na"/>
    <s v="na"/>
    <s v="na"/>
    <s v="na"/>
    <s v="na"/>
  </r>
  <r>
    <n v="4274"/>
    <x v="85"/>
    <m/>
    <x v="14"/>
    <x v="3"/>
    <x v="0"/>
    <m/>
    <m/>
    <m/>
    <m/>
    <m/>
    <m/>
    <m/>
    <m/>
    <m/>
    <m/>
    <m/>
    <m/>
    <s v="x"/>
    <s v="x"/>
    <s v="na"/>
    <s v="NRD"/>
    <s v="na"/>
    <s v="na"/>
    <s v="na"/>
    <s v="na"/>
    <s v="na"/>
    <s v="na"/>
    <s v="na"/>
    <s v="na"/>
  </r>
  <r>
    <n v="4275"/>
    <x v="85"/>
    <m/>
    <x v="14"/>
    <x v="3"/>
    <x v="0"/>
    <m/>
    <m/>
    <m/>
    <m/>
    <m/>
    <m/>
    <m/>
    <m/>
    <m/>
    <m/>
    <m/>
    <m/>
    <s v="x"/>
    <s v="x"/>
    <s v="na"/>
    <s v="NRD"/>
    <s v="na"/>
    <s v="na"/>
    <s v="na"/>
    <s v="na"/>
    <s v="na"/>
    <s v="na"/>
    <s v="na"/>
    <s v="na"/>
  </r>
  <r>
    <n v="4276"/>
    <x v="85"/>
    <m/>
    <x v="14"/>
    <x v="3"/>
    <x v="0"/>
    <m/>
    <m/>
    <m/>
    <m/>
    <m/>
    <m/>
    <m/>
    <m/>
    <m/>
    <m/>
    <m/>
    <m/>
    <s v="x"/>
    <s v="x"/>
    <s v="na"/>
    <s v="NRD"/>
    <s v="na"/>
    <s v="na"/>
    <s v="na"/>
    <s v="na"/>
    <s v="na"/>
    <s v="na"/>
    <s v="na"/>
    <s v="na"/>
  </r>
  <r>
    <n v="4277"/>
    <x v="85"/>
    <m/>
    <x v="14"/>
    <x v="3"/>
    <x v="0"/>
    <m/>
    <m/>
    <m/>
    <m/>
    <m/>
    <m/>
    <m/>
    <m/>
    <m/>
    <m/>
    <m/>
    <m/>
    <s v="x"/>
    <s v="x"/>
    <s v="na"/>
    <s v="NRD"/>
    <s v="na"/>
    <s v="na"/>
    <s v="na"/>
    <s v="na"/>
    <s v="na"/>
    <s v="na"/>
    <s v="na"/>
    <s v="na"/>
  </r>
  <r>
    <n v="4278"/>
    <x v="85"/>
    <m/>
    <x v="14"/>
    <x v="3"/>
    <x v="0"/>
    <m/>
    <m/>
    <m/>
    <m/>
    <m/>
    <m/>
    <m/>
    <m/>
    <m/>
    <m/>
    <m/>
    <m/>
    <s v="x"/>
    <s v="x"/>
    <s v="na"/>
    <s v="NRD"/>
    <s v="na"/>
    <s v="na"/>
    <s v="na"/>
    <s v="na"/>
    <s v="na"/>
    <s v="na"/>
    <s v="na"/>
    <s v="na"/>
  </r>
  <r>
    <n v="4279"/>
    <x v="85"/>
    <m/>
    <x v="14"/>
    <x v="3"/>
    <x v="0"/>
    <m/>
    <m/>
    <m/>
    <m/>
    <m/>
    <m/>
    <m/>
    <m/>
    <m/>
    <m/>
    <m/>
    <m/>
    <s v="x"/>
    <s v="x"/>
    <s v="na"/>
    <s v="NRD"/>
    <s v="na"/>
    <s v="na"/>
    <s v="na"/>
    <s v="na"/>
    <s v="na"/>
    <s v="na"/>
    <s v="na"/>
    <s v="na"/>
  </r>
  <r>
    <n v="4280"/>
    <x v="85"/>
    <m/>
    <x v="14"/>
    <x v="3"/>
    <x v="0"/>
    <m/>
    <m/>
    <m/>
    <m/>
    <m/>
    <m/>
    <m/>
    <m/>
    <m/>
    <m/>
    <m/>
    <m/>
    <s v="x"/>
    <s v="x"/>
    <s v="na"/>
    <s v="NRD"/>
    <s v="na"/>
    <s v="na"/>
    <s v="na"/>
    <s v="na"/>
    <s v="na"/>
    <s v="na"/>
    <s v="na"/>
    <s v="na"/>
  </r>
  <r>
    <n v="4281"/>
    <x v="85"/>
    <m/>
    <x v="14"/>
    <x v="3"/>
    <x v="0"/>
    <m/>
    <m/>
    <m/>
    <m/>
    <m/>
    <m/>
    <m/>
    <m/>
    <m/>
    <m/>
    <m/>
    <m/>
    <s v="x"/>
    <s v="x"/>
    <s v="na"/>
    <s v="NRD"/>
    <s v="na"/>
    <s v="na"/>
    <s v="na"/>
    <s v="na"/>
    <s v="na"/>
    <s v="na"/>
    <s v="na"/>
    <s v="na"/>
  </r>
  <r>
    <n v="4282"/>
    <x v="85"/>
    <m/>
    <x v="14"/>
    <x v="3"/>
    <x v="0"/>
    <m/>
    <m/>
    <m/>
    <m/>
    <m/>
    <m/>
    <m/>
    <m/>
    <m/>
    <m/>
    <m/>
    <m/>
    <s v="x"/>
    <s v="x"/>
    <s v="na"/>
    <s v="NRD"/>
    <s v="na"/>
    <s v="na"/>
    <s v="na"/>
    <s v="na"/>
    <s v="na"/>
    <s v="na"/>
    <s v="na"/>
    <s v="na"/>
  </r>
  <r>
    <n v="4283"/>
    <x v="85"/>
    <m/>
    <x v="14"/>
    <x v="3"/>
    <x v="0"/>
    <m/>
    <m/>
    <m/>
    <m/>
    <m/>
    <m/>
    <m/>
    <m/>
    <m/>
    <m/>
    <m/>
    <m/>
    <s v="x"/>
    <s v="x"/>
    <s v="na"/>
    <s v="NRD"/>
    <s v="na"/>
    <s v="na"/>
    <s v="na"/>
    <s v="na"/>
    <s v="na"/>
    <s v="na"/>
    <s v="na"/>
    <s v="na"/>
  </r>
  <r>
    <n v="4284"/>
    <x v="85"/>
    <m/>
    <x v="14"/>
    <x v="3"/>
    <x v="0"/>
    <m/>
    <m/>
    <m/>
    <m/>
    <m/>
    <m/>
    <m/>
    <m/>
    <m/>
    <m/>
    <m/>
    <m/>
    <s v="x"/>
    <s v="x"/>
    <s v="na"/>
    <s v="NRD"/>
    <s v="na"/>
    <s v="na"/>
    <s v="na"/>
    <s v="na"/>
    <s v="na"/>
    <s v="na"/>
    <s v="na"/>
    <s v="na"/>
  </r>
  <r>
    <n v="4285"/>
    <x v="85"/>
    <m/>
    <x v="14"/>
    <x v="3"/>
    <x v="0"/>
    <m/>
    <m/>
    <m/>
    <m/>
    <m/>
    <m/>
    <m/>
    <m/>
    <m/>
    <m/>
    <m/>
    <m/>
    <s v="x"/>
    <s v="x"/>
    <s v="na"/>
    <s v="NRD"/>
    <s v="na"/>
    <s v="na"/>
    <s v="na"/>
    <s v="na"/>
    <s v="na"/>
    <s v="na"/>
    <s v="na"/>
    <s v="na"/>
  </r>
  <r>
    <n v="4286"/>
    <x v="85"/>
    <m/>
    <x v="14"/>
    <x v="3"/>
    <x v="0"/>
    <m/>
    <m/>
    <m/>
    <m/>
    <m/>
    <m/>
    <m/>
    <m/>
    <m/>
    <m/>
    <m/>
    <m/>
    <s v="x"/>
    <s v="x"/>
    <s v="na"/>
    <s v="NRD"/>
    <s v="na"/>
    <s v="na"/>
    <s v="na"/>
    <s v="na"/>
    <s v="na"/>
    <s v="na"/>
    <s v="na"/>
    <s v="na"/>
  </r>
  <r>
    <n v="4287"/>
    <x v="85"/>
    <m/>
    <x v="14"/>
    <x v="3"/>
    <x v="0"/>
    <m/>
    <m/>
    <m/>
    <m/>
    <m/>
    <m/>
    <m/>
    <m/>
    <m/>
    <m/>
    <m/>
    <m/>
    <s v="x"/>
    <s v="x"/>
    <s v="na"/>
    <s v="NRD"/>
    <s v="na"/>
    <s v="na"/>
    <s v="na"/>
    <s v="na"/>
    <s v="na"/>
    <s v="na"/>
    <s v="na"/>
    <s v="na"/>
  </r>
  <r>
    <n v="4288"/>
    <x v="85"/>
    <m/>
    <x v="14"/>
    <x v="3"/>
    <x v="0"/>
    <m/>
    <m/>
    <m/>
    <m/>
    <m/>
    <m/>
    <m/>
    <m/>
    <m/>
    <m/>
    <m/>
    <m/>
    <s v="x"/>
    <s v="x"/>
    <s v="na"/>
    <s v="NRD"/>
    <s v="na"/>
    <s v="na"/>
    <s v="na"/>
    <s v="na"/>
    <s v="na"/>
    <s v="na"/>
    <s v="na"/>
    <s v="na"/>
  </r>
  <r>
    <n v="4289"/>
    <x v="85"/>
    <m/>
    <x v="14"/>
    <x v="3"/>
    <x v="0"/>
    <m/>
    <m/>
    <m/>
    <m/>
    <m/>
    <m/>
    <m/>
    <m/>
    <m/>
    <m/>
    <m/>
    <m/>
    <s v="x"/>
    <s v="x"/>
    <s v="na"/>
    <s v="NRD"/>
    <s v="na"/>
    <s v="na"/>
    <s v="na"/>
    <s v="na"/>
    <s v="na"/>
    <s v="na"/>
    <s v="na"/>
    <s v="na"/>
  </r>
  <r>
    <n v="4290"/>
    <x v="85"/>
    <m/>
    <x v="14"/>
    <x v="3"/>
    <x v="0"/>
    <m/>
    <m/>
    <m/>
    <m/>
    <m/>
    <m/>
    <m/>
    <m/>
    <m/>
    <m/>
    <m/>
    <m/>
    <s v="x"/>
    <s v="x"/>
    <s v="na"/>
    <s v="NRD"/>
    <s v="na"/>
    <s v="na"/>
    <s v="na"/>
    <s v="na"/>
    <s v="na"/>
    <s v="na"/>
    <s v="na"/>
    <s v="na"/>
  </r>
  <r>
    <n v="4291"/>
    <x v="85"/>
    <m/>
    <x v="14"/>
    <x v="3"/>
    <x v="0"/>
    <m/>
    <m/>
    <m/>
    <m/>
    <m/>
    <m/>
    <m/>
    <m/>
    <m/>
    <m/>
    <m/>
    <m/>
    <s v="x"/>
    <s v="x"/>
    <s v="na"/>
    <s v="NRD"/>
    <s v="na"/>
    <s v="na"/>
    <s v="na"/>
    <s v="na"/>
    <s v="na"/>
    <s v="na"/>
    <s v="na"/>
    <s v="na"/>
  </r>
  <r>
    <n v="4292"/>
    <x v="85"/>
    <m/>
    <x v="14"/>
    <x v="3"/>
    <x v="0"/>
    <m/>
    <m/>
    <m/>
    <m/>
    <m/>
    <m/>
    <m/>
    <m/>
    <m/>
    <m/>
    <m/>
    <m/>
    <s v="x"/>
    <s v="x"/>
    <s v="na"/>
    <s v="NRD"/>
    <s v="na"/>
    <s v="na"/>
    <s v="na"/>
    <s v="na"/>
    <s v="na"/>
    <s v="na"/>
    <s v="na"/>
    <s v="na"/>
  </r>
  <r>
    <n v="4293"/>
    <x v="85"/>
    <m/>
    <x v="14"/>
    <x v="3"/>
    <x v="0"/>
    <m/>
    <m/>
    <m/>
    <m/>
    <m/>
    <m/>
    <m/>
    <m/>
    <m/>
    <m/>
    <m/>
    <m/>
    <s v="x"/>
    <s v="x"/>
    <s v="na"/>
    <s v="NRD"/>
    <s v="na"/>
    <s v="na"/>
    <s v="na"/>
    <s v="na"/>
    <s v="na"/>
    <s v="na"/>
    <s v="na"/>
    <s v="na"/>
  </r>
  <r>
    <n v="4294"/>
    <x v="85"/>
    <m/>
    <x v="14"/>
    <x v="3"/>
    <x v="0"/>
    <m/>
    <m/>
    <m/>
    <m/>
    <m/>
    <m/>
    <m/>
    <m/>
    <m/>
    <m/>
    <m/>
    <m/>
    <s v="x"/>
    <s v="x"/>
    <s v="na"/>
    <s v="NRD"/>
    <s v="na"/>
    <s v="na"/>
    <s v="na"/>
    <s v="na"/>
    <s v="na"/>
    <s v="na"/>
    <s v="na"/>
    <s v="na"/>
  </r>
  <r>
    <n v="4295"/>
    <x v="85"/>
    <m/>
    <x v="14"/>
    <x v="3"/>
    <x v="0"/>
    <m/>
    <m/>
    <m/>
    <m/>
    <m/>
    <m/>
    <m/>
    <m/>
    <m/>
    <m/>
    <m/>
    <m/>
    <s v="x"/>
    <s v="x"/>
    <s v="na"/>
    <s v="NRD"/>
    <s v="na"/>
    <s v="na"/>
    <s v="na"/>
    <s v="na"/>
    <s v="na"/>
    <s v="na"/>
    <s v="na"/>
    <s v="na"/>
  </r>
  <r>
    <n v="4296"/>
    <x v="85"/>
    <m/>
    <x v="14"/>
    <x v="3"/>
    <x v="0"/>
    <m/>
    <m/>
    <m/>
    <m/>
    <m/>
    <m/>
    <m/>
    <m/>
    <m/>
    <m/>
    <m/>
    <m/>
    <s v="x"/>
    <s v="x"/>
    <s v="na"/>
    <s v="NRD"/>
    <s v="na"/>
    <s v="na"/>
    <s v="na"/>
    <s v="na"/>
    <s v="na"/>
    <s v="na"/>
    <s v="na"/>
    <s v="na"/>
  </r>
  <r>
    <n v="4297"/>
    <x v="85"/>
    <m/>
    <x v="14"/>
    <x v="3"/>
    <x v="0"/>
    <m/>
    <m/>
    <m/>
    <m/>
    <m/>
    <m/>
    <m/>
    <m/>
    <m/>
    <m/>
    <m/>
    <m/>
    <s v="x"/>
    <s v="x"/>
    <s v="na"/>
    <s v="NRD"/>
    <s v="na"/>
    <s v="na"/>
    <s v="na"/>
    <s v="na"/>
    <s v="na"/>
    <s v="na"/>
    <s v="na"/>
    <s v="na"/>
  </r>
  <r>
    <n v="4298"/>
    <x v="85"/>
    <m/>
    <x v="14"/>
    <x v="3"/>
    <x v="0"/>
    <m/>
    <m/>
    <m/>
    <m/>
    <m/>
    <m/>
    <m/>
    <m/>
    <m/>
    <m/>
    <m/>
    <m/>
    <s v="x"/>
    <s v="x"/>
    <s v="na"/>
    <s v="NRD"/>
    <s v="na"/>
    <s v="na"/>
    <s v="na"/>
    <s v="na"/>
    <s v="na"/>
    <s v="na"/>
    <s v="na"/>
    <s v="na"/>
  </r>
  <r>
    <n v="4299"/>
    <x v="85"/>
    <m/>
    <x v="14"/>
    <x v="3"/>
    <x v="0"/>
    <m/>
    <m/>
    <m/>
    <m/>
    <m/>
    <m/>
    <m/>
    <m/>
    <m/>
    <m/>
    <m/>
    <m/>
    <s v="x"/>
    <s v="x"/>
    <s v="na"/>
    <s v="NRD"/>
    <s v="na"/>
    <s v="na"/>
    <s v="na"/>
    <s v="na"/>
    <s v="na"/>
    <s v="na"/>
    <s v="na"/>
    <s v="na"/>
  </r>
  <r>
    <n v="4300"/>
    <x v="85"/>
    <m/>
    <x v="14"/>
    <x v="3"/>
    <x v="0"/>
    <m/>
    <m/>
    <m/>
    <m/>
    <m/>
    <m/>
    <m/>
    <m/>
    <m/>
    <m/>
    <m/>
    <m/>
    <s v="x"/>
    <s v="x"/>
    <s v="na"/>
    <s v="NRD"/>
    <s v="na"/>
    <s v="na"/>
    <s v="na"/>
    <s v="na"/>
    <s v="na"/>
    <s v="na"/>
    <s v="na"/>
    <s v="na"/>
  </r>
  <r>
    <n v="4301"/>
    <x v="85"/>
    <m/>
    <x v="14"/>
    <x v="3"/>
    <x v="0"/>
    <m/>
    <m/>
    <m/>
    <m/>
    <m/>
    <m/>
    <m/>
    <m/>
    <m/>
    <m/>
    <m/>
    <m/>
    <s v="x"/>
    <s v="x"/>
    <s v="na"/>
    <s v="NRD"/>
    <s v="na"/>
    <s v="na"/>
    <s v="na"/>
    <s v="na"/>
    <s v="na"/>
    <s v="na"/>
    <s v="na"/>
    <s v="na"/>
  </r>
  <r>
    <n v="4302"/>
    <x v="85"/>
    <m/>
    <x v="14"/>
    <x v="3"/>
    <x v="0"/>
    <m/>
    <m/>
    <m/>
    <m/>
    <m/>
    <m/>
    <m/>
    <m/>
    <m/>
    <m/>
    <m/>
    <m/>
    <s v="x"/>
    <s v="x"/>
    <s v="na"/>
    <s v="NRD"/>
    <s v="na"/>
    <s v="na"/>
    <s v="na"/>
    <s v="na"/>
    <s v="na"/>
    <s v="na"/>
    <s v="na"/>
    <s v="na"/>
  </r>
  <r>
    <n v="4303"/>
    <x v="85"/>
    <m/>
    <x v="14"/>
    <x v="3"/>
    <x v="0"/>
    <m/>
    <m/>
    <m/>
    <m/>
    <m/>
    <m/>
    <m/>
    <m/>
    <m/>
    <m/>
    <m/>
    <m/>
    <s v="x"/>
    <s v="x"/>
    <s v="na"/>
    <s v="NRD"/>
    <s v="na"/>
    <s v="na"/>
    <s v="na"/>
    <s v="na"/>
    <s v="na"/>
    <s v="na"/>
    <s v="na"/>
    <s v="na"/>
  </r>
  <r>
    <n v="4304"/>
    <x v="85"/>
    <m/>
    <x v="14"/>
    <x v="3"/>
    <x v="0"/>
    <m/>
    <m/>
    <m/>
    <m/>
    <m/>
    <m/>
    <m/>
    <m/>
    <m/>
    <m/>
    <m/>
    <m/>
    <s v="x"/>
    <s v="x"/>
    <s v="na"/>
    <s v="NRD"/>
    <s v="na"/>
    <s v="na"/>
    <s v="na"/>
    <s v="na"/>
    <s v="na"/>
    <s v="na"/>
    <s v="na"/>
    <s v="na"/>
  </r>
  <r>
    <n v="4305"/>
    <x v="85"/>
    <m/>
    <x v="14"/>
    <x v="3"/>
    <x v="0"/>
    <m/>
    <m/>
    <m/>
    <m/>
    <m/>
    <m/>
    <m/>
    <m/>
    <m/>
    <m/>
    <m/>
    <m/>
    <s v="x"/>
    <s v="x"/>
    <s v="na"/>
    <s v="NRD"/>
    <s v="na"/>
    <s v="na"/>
    <s v="na"/>
    <s v="na"/>
    <s v="na"/>
    <s v="na"/>
    <s v="na"/>
    <s v="na"/>
  </r>
  <r>
    <n v="4306"/>
    <x v="85"/>
    <m/>
    <x v="14"/>
    <x v="3"/>
    <x v="0"/>
    <m/>
    <m/>
    <m/>
    <m/>
    <m/>
    <m/>
    <m/>
    <m/>
    <m/>
    <m/>
    <m/>
    <m/>
    <s v="x"/>
    <s v="x"/>
    <s v="na"/>
    <s v="NRD"/>
    <s v="na"/>
    <s v="na"/>
    <s v="na"/>
    <s v="na"/>
    <s v="na"/>
    <s v="na"/>
    <s v="na"/>
    <s v="na"/>
  </r>
  <r>
    <n v="4307"/>
    <x v="85"/>
    <m/>
    <x v="14"/>
    <x v="3"/>
    <x v="0"/>
    <m/>
    <m/>
    <m/>
    <m/>
    <m/>
    <m/>
    <m/>
    <m/>
    <m/>
    <m/>
    <m/>
    <m/>
    <s v="x"/>
    <s v="x"/>
    <s v="na"/>
    <s v="NRD"/>
    <s v="na"/>
    <s v="na"/>
    <s v="na"/>
    <s v="na"/>
    <s v="na"/>
    <s v="na"/>
    <s v="na"/>
    <s v="na"/>
  </r>
  <r>
    <n v="4308"/>
    <x v="85"/>
    <m/>
    <x v="14"/>
    <x v="3"/>
    <x v="0"/>
    <m/>
    <m/>
    <m/>
    <m/>
    <m/>
    <m/>
    <m/>
    <m/>
    <m/>
    <m/>
    <m/>
    <m/>
    <s v="x"/>
    <s v="x"/>
    <s v="na"/>
    <s v="NRD"/>
    <s v="na"/>
    <s v="na"/>
    <s v="na"/>
    <s v="na"/>
    <s v="na"/>
    <s v="na"/>
    <s v="na"/>
    <s v="na"/>
  </r>
  <r>
    <n v="4309"/>
    <x v="85"/>
    <m/>
    <x v="14"/>
    <x v="3"/>
    <x v="0"/>
    <m/>
    <m/>
    <m/>
    <m/>
    <m/>
    <m/>
    <m/>
    <m/>
    <m/>
    <m/>
    <m/>
    <m/>
    <s v="x"/>
    <s v="x"/>
    <s v="na"/>
    <s v="NRD"/>
    <s v="na"/>
    <s v="na"/>
    <s v="na"/>
    <s v="na"/>
    <s v="na"/>
    <s v="na"/>
    <s v="na"/>
    <s v="na"/>
  </r>
  <r>
    <n v="4310"/>
    <x v="85"/>
    <m/>
    <x v="14"/>
    <x v="3"/>
    <x v="0"/>
    <m/>
    <m/>
    <m/>
    <m/>
    <m/>
    <m/>
    <m/>
    <m/>
    <m/>
    <m/>
    <m/>
    <m/>
    <s v="x"/>
    <s v="x"/>
    <s v="na"/>
    <s v="NRD"/>
    <s v="na"/>
    <s v="na"/>
    <s v="na"/>
    <s v="na"/>
    <s v="na"/>
    <s v="na"/>
    <s v="na"/>
    <s v="na"/>
  </r>
  <r>
    <n v="4311"/>
    <x v="85"/>
    <m/>
    <x v="14"/>
    <x v="3"/>
    <x v="0"/>
    <m/>
    <m/>
    <m/>
    <m/>
    <m/>
    <m/>
    <m/>
    <m/>
    <m/>
    <m/>
    <m/>
    <m/>
    <s v="x"/>
    <s v="x"/>
    <s v="na"/>
    <s v="NRD"/>
    <s v="na"/>
    <s v="na"/>
    <s v="na"/>
    <s v="na"/>
    <s v="na"/>
    <s v="na"/>
    <s v="na"/>
    <s v="na"/>
  </r>
  <r>
    <n v="4312"/>
    <x v="85"/>
    <m/>
    <x v="14"/>
    <x v="3"/>
    <x v="0"/>
    <m/>
    <m/>
    <m/>
    <m/>
    <m/>
    <m/>
    <m/>
    <m/>
    <m/>
    <m/>
    <m/>
    <m/>
    <s v="x"/>
    <s v="x"/>
    <s v="na"/>
    <s v="NRD"/>
    <s v="na"/>
    <s v="na"/>
    <s v="na"/>
    <s v="na"/>
    <s v="na"/>
    <s v="na"/>
    <s v="na"/>
    <s v="na"/>
  </r>
  <r>
    <n v="4313"/>
    <x v="85"/>
    <m/>
    <x v="14"/>
    <x v="3"/>
    <x v="0"/>
    <m/>
    <m/>
    <m/>
    <m/>
    <m/>
    <m/>
    <m/>
    <m/>
    <m/>
    <m/>
    <m/>
    <m/>
    <s v="x"/>
    <s v="x"/>
    <s v="na"/>
    <s v="NRD"/>
    <s v="na"/>
    <s v="na"/>
    <s v="na"/>
    <s v="na"/>
    <s v="na"/>
    <s v="na"/>
    <s v="na"/>
    <s v="na"/>
  </r>
  <r>
    <n v="4314"/>
    <x v="85"/>
    <m/>
    <x v="14"/>
    <x v="3"/>
    <x v="0"/>
    <m/>
    <m/>
    <m/>
    <m/>
    <m/>
    <m/>
    <m/>
    <m/>
    <m/>
    <m/>
    <m/>
    <m/>
    <s v="x"/>
    <s v="x"/>
    <s v="na"/>
    <s v="NRD"/>
    <s v="na"/>
    <s v="na"/>
    <s v="na"/>
    <s v="na"/>
    <s v="na"/>
    <s v="na"/>
    <s v="na"/>
    <s v="na"/>
  </r>
  <r>
    <n v="4315"/>
    <x v="85"/>
    <m/>
    <x v="14"/>
    <x v="3"/>
    <x v="0"/>
    <m/>
    <m/>
    <m/>
    <m/>
    <m/>
    <m/>
    <m/>
    <m/>
    <m/>
    <m/>
    <m/>
    <m/>
    <s v="x"/>
    <s v="x"/>
    <s v="na"/>
    <s v="NRD"/>
    <s v="na"/>
    <s v="na"/>
    <s v="na"/>
    <s v="na"/>
    <s v="na"/>
    <s v="na"/>
    <s v="na"/>
    <s v="na"/>
  </r>
  <r>
    <n v="4316"/>
    <x v="85"/>
    <m/>
    <x v="14"/>
    <x v="3"/>
    <x v="0"/>
    <m/>
    <m/>
    <m/>
    <m/>
    <m/>
    <m/>
    <m/>
    <m/>
    <m/>
    <m/>
    <m/>
    <m/>
    <s v="x"/>
    <s v="x"/>
    <s v="na"/>
    <s v="NRD"/>
    <s v="na"/>
    <s v="na"/>
    <s v="na"/>
    <s v="na"/>
    <s v="na"/>
    <s v="na"/>
    <s v="na"/>
    <s v="na"/>
  </r>
  <r>
    <n v="4317"/>
    <x v="85"/>
    <m/>
    <x v="14"/>
    <x v="3"/>
    <x v="0"/>
    <m/>
    <m/>
    <m/>
    <m/>
    <m/>
    <m/>
    <m/>
    <m/>
    <m/>
    <m/>
    <m/>
    <m/>
    <s v="x"/>
    <s v="x"/>
    <s v="na"/>
    <s v="NRD"/>
    <s v="na"/>
    <s v="na"/>
    <s v="na"/>
    <s v="na"/>
    <s v="na"/>
    <s v="na"/>
    <s v="na"/>
    <s v="na"/>
  </r>
  <r>
    <n v="4318"/>
    <x v="85"/>
    <m/>
    <x v="14"/>
    <x v="3"/>
    <x v="0"/>
    <m/>
    <m/>
    <m/>
    <m/>
    <m/>
    <m/>
    <m/>
    <m/>
    <m/>
    <m/>
    <m/>
    <m/>
    <s v="x"/>
    <s v="x"/>
    <s v="na"/>
    <s v="NRD"/>
    <s v="na"/>
    <s v="na"/>
    <s v="na"/>
    <s v="na"/>
    <s v="na"/>
    <s v="na"/>
    <s v="na"/>
    <s v="na"/>
  </r>
  <r>
    <n v="4319"/>
    <x v="85"/>
    <m/>
    <x v="14"/>
    <x v="3"/>
    <x v="0"/>
    <m/>
    <m/>
    <m/>
    <m/>
    <m/>
    <m/>
    <m/>
    <m/>
    <m/>
    <m/>
    <m/>
    <m/>
    <s v="x"/>
    <s v="x"/>
    <s v="na"/>
    <s v="NRD"/>
    <s v="na"/>
    <s v="na"/>
    <s v="na"/>
    <s v="na"/>
    <s v="na"/>
    <s v="na"/>
    <s v="na"/>
    <s v="na"/>
  </r>
  <r>
    <n v="4320"/>
    <x v="85"/>
    <m/>
    <x v="14"/>
    <x v="3"/>
    <x v="0"/>
    <m/>
    <m/>
    <m/>
    <m/>
    <m/>
    <m/>
    <m/>
    <m/>
    <m/>
    <m/>
    <m/>
    <m/>
    <s v="x"/>
    <s v="x"/>
    <s v="na"/>
    <s v="NRD"/>
    <s v="na"/>
    <s v="na"/>
    <s v="na"/>
    <s v="na"/>
    <s v="na"/>
    <s v="na"/>
    <s v="na"/>
    <s v="na"/>
  </r>
  <r>
    <n v="4321"/>
    <x v="85"/>
    <m/>
    <x v="14"/>
    <x v="3"/>
    <x v="0"/>
    <m/>
    <m/>
    <m/>
    <m/>
    <m/>
    <m/>
    <m/>
    <m/>
    <m/>
    <m/>
    <m/>
    <m/>
    <s v="x"/>
    <s v="x"/>
    <s v="na"/>
    <s v="NRD"/>
    <s v="na"/>
    <s v="na"/>
    <s v="na"/>
    <s v="na"/>
    <s v="na"/>
    <s v="na"/>
    <s v="na"/>
    <s v="na"/>
  </r>
  <r>
    <n v="4322"/>
    <x v="85"/>
    <m/>
    <x v="14"/>
    <x v="3"/>
    <x v="0"/>
    <m/>
    <m/>
    <m/>
    <m/>
    <m/>
    <m/>
    <m/>
    <m/>
    <m/>
    <m/>
    <m/>
    <m/>
    <s v="x"/>
    <s v="x"/>
    <s v="na"/>
    <s v="NRD"/>
    <s v="na"/>
    <s v="na"/>
    <s v="na"/>
    <s v="na"/>
    <s v="na"/>
    <s v="na"/>
    <s v="na"/>
    <s v="na"/>
  </r>
  <r>
    <n v="4323"/>
    <x v="85"/>
    <m/>
    <x v="14"/>
    <x v="3"/>
    <x v="0"/>
    <m/>
    <m/>
    <m/>
    <m/>
    <m/>
    <m/>
    <m/>
    <m/>
    <m/>
    <m/>
    <m/>
    <m/>
    <s v="x"/>
    <s v="x"/>
    <s v="na"/>
    <s v="NRD"/>
    <s v="na"/>
    <s v="na"/>
    <s v="na"/>
    <s v="na"/>
    <s v="na"/>
    <s v="na"/>
    <s v="na"/>
    <s v="na"/>
  </r>
  <r>
    <n v="4324"/>
    <x v="85"/>
    <m/>
    <x v="14"/>
    <x v="3"/>
    <x v="0"/>
    <m/>
    <m/>
    <m/>
    <m/>
    <m/>
    <m/>
    <m/>
    <m/>
    <m/>
    <m/>
    <m/>
    <m/>
    <s v="x"/>
    <s v="x"/>
    <s v="na"/>
    <s v="NRD"/>
    <s v="na"/>
    <s v="na"/>
    <s v="na"/>
    <s v="na"/>
    <s v="na"/>
    <s v="na"/>
    <s v="na"/>
    <s v="na"/>
  </r>
  <r>
    <n v="4325"/>
    <x v="85"/>
    <m/>
    <x v="14"/>
    <x v="3"/>
    <x v="0"/>
    <m/>
    <m/>
    <m/>
    <m/>
    <m/>
    <m/>
    <m/>
    <m/>
    <m/>
    <m/>
    <m/>
    <m/>
    <s v="x"/>
    <s v="x"/>
    <s v="na"/>
    <s v="NRD"/>
    <s v="na"/>
    <s v="na"/>
    <s v="na"/>
    <s v="na"/>
    <s v="na"/>
    <s v="na"/>
    <s v="na"/>
    <s v="na"/>
  </r>
  <r>
    <n v="4326"/>
    <x v="85"/>
    <m/>
    <x v="14"/>
    <x v="3"/>
    <x v="0"/>
    <m/>
    <m/>
    <m/>
    <m/>
    <m/>
    <m/>
    <m/>
    <m/>
    <m/>
    <m/>
    <m/>
    <m/>
    <s v="x"/>
    <s v="x"/>
    <s v="na"/>
    <s v="NRD"/>
    <s v="na"/>
    <s v="na"/>
    <s v="na"/>
    <s v="na"/>
    <s v="na"/>
    <s v="na"/>
    <s v="na"/>
    <s v="na"/>
  </r>
  <r>
    <n v="4327"/>
    <x v="85"/>
    <m/>
    <x v="14"/>
    <x v="3"/>
    <x v="0"/>
    <m/>
    <m/>
    <m/>
    <m/>
    <m/>
    <m/>
    <m/>
    <m/>
    <m/>
    <m/>
    <m/>
    <m/>
    <s v="x"/>
    <s v="x"/>
    <s v="na"/>
    <s v="NRD"/>
    <s v="na"/>
    <s v="na"/>
    <s v="na"/>
    <s v="na"/>
    <s v="na"/>
    <s v="na"/>
    <s v="na"/>
    <s v="na"/>
  </r>
  <r>
    <n v="4328"/>
    <x v="85"/>
    <m/>
    <x v="14"/>
    <x v="3"/>
    <x v="0"/>
    <m/>
    <m/>
    <m/>
    <m/>
    <m/>
    <m/>
    <m/>
    <m/>
    <m/>
    <m/>
    <m/>
    <m/>
    <s v="x"/>
    <s v="x"/>
    <s v="na"/>
    <s v="NRD"/>
    <s v="na"/>
    <s v="na"/>
    <s v="na"/>
    <s v="na"/>
    <s v="na"/>
    <s v="na"/>
    <s v="na"/>
    <s v="na"/>
  </r>
  <r>
    <n v="4329"/>
    <x v="85"/>
    <m/>
    <x v="14"/>
    <x v="3"/>
    <x v="0"/>
    <m/>
    <m/>
    <m/>
    <m/>
    <m/>
    <m/>
    <m/>
    <m/>
    <m/>
    <m/>
    <m/>
    <m/>
    <s v="x"/>
    <s v="x"/>
    <s v="na"/>
    <s v="NRD"/>
    <s v="na"/>
    <s v="na"/>
    <s v="na"/>
    <s v="na"/>
    <s v="na"/>
    <s v="na"/>
    <s v="na"/>
    <s v="na"/>
  </r>
  <r>
    <n v="4330"/>
    <x v="85"/>
    <m/>
    <x v="14"/>
    <x v="3"/>
    <x v="0"/>
    <m/>
    <m/>
    <m/>
    <m/>
    <m/>
    <m/>
    <m/>
    <m/>
    <m/>
    <m/>
    <m/>
    <m/>
    <s v="x"/>
    <s v="x"/>
    <s v="na"/>
    <s v="NRD"/>
    <s v="na"/>
    <s v="na"/>
    <s v="na"/>
    <s v="na"/>
    <s v="na"/>
    <s v="na"/>
    <s v="na"/>
    <s v="na"/>
  </r>
  <r>
    <n v="4331"/>
    <x v="85"/>
    <m/>
    <x v="14"/>
    <x v="3"/>
    <x v="0"/>
    <m/>
    <m/>
    <m/>
    <m/>
    <m/>
    <m/>
    <m/>
    <m/>
    <m/>
    <m/>
    <m/>
    <m/>
    <s v="x"/>
    <s v="x"/>
    <s v="na"/>
    <s v="NRD"/>
    <s v="na"/>
    <s v="na"/>
    <s v="na"/>
    <s v="na"/>
    <s v="na"/>
    <s v="na"/>
    <s v="na"/>
    <s v="na"/>
  </r>
  <r>
    <n v="4332"/>
    <x v="85"/>
    <m/>
    <x v="14"/>
    <x v="3"/>
    <x v="0"/>
    <m/>
    <m/>
    <m/>
    <m/>
    <m/>
    <m/>
    <m/>
    <m/>
    <m/>
    <m/>
    <m/>
    <m/>
    <s v="x"/>
    <s v="x"/>
    <s v="na"/>
    <s v="NRD"/>
    <s v="na"/>
    <s v="na"/>
    <s v="na"/>
    <s v="na"/>
    <s v="na"/>
    <s v="na"/>
    <s v="na"/>
    <s v="na"/>
  </r>
  <r>
    <n v="4333"/>
    <x v="85"/>
    <m/>
    <x v="14"/>
    <x v="3"/>
    <x v="0"/>
    <m/>
    <m/>
    <m/>
    <m/>
    <m/>
    <m/>
    <m/>
    <m/>
    <m/>
    <m/>
    <m/>
    <m/>
    <s v="x"/>
    <s v="x"/>
    <s v="na"/>
    <s v="NRD"/>
    <s v="na"/>
    <s v="na"/>
    <s v="na"/>
    <s v="na"/>
    <s v="na"/>
    <s v="na"/>
    <s v="na"/>
    <s v="na"/>
  </r>
  <r>
    <n v="4334"/>
    <x v="85"/>
    <m/>
    <x v="14"/>
    <x v="3"/>
    <x v="0"/>
    <m/>
    <m/>
    <m/>
    <m/>
    <m/>
    <m/>
    <m/>
    <m/>
    <m/>
    <m/>
    <m/>
    <m/>
    <s v="x"/>
    <s v="x"/>
    <s v="na"/>
    <s v="NRD"/>
    <s v="na"/>
    <s v="na"/>
    <s v="na"/>
    <s v="na"/>
    <s v="na"/>
    <s v="na"/>
    <s v="na"/>
    <s v="na"/>
  </r>
  <r>
    <n v="4335"/>
    <x v="85"/>
    <m/>
    <x v="14"/>
    <x v="3"/>
    <x v="0"/>
    <m/>
    <m/>
    <m/>
    <m/>
    <m/>
    <m/>
    <m/>
    <m/>
    <m/>
    <m/>
    <m/>
    <m/>
    <s v="x"/>
    <s v="x"/>
    <s v="na"/>
    <s v="NRD"/>
    <s v="na"/>
    <s v="na"/>
    <s v="na"/>
    <s v="na"/>
    <s v="na"/>
    <s v="na"/>
    <s v="na"/>
    <s v="na"/>
  </r>
  <r>
    <n v="4336"/>
    <x v="85"/>
    <m/>
    <x v="14"/>
    <x v="3"/>
    <x v="0"/>
    <m/>
    <m/>
    <m/>
    <m/>
    <m/>
    <m/>
    <m/>
    <m/>
    <m/>
    <m/>
    <m/>
    <m/>
    <s v="x"/>
    <s v="x"/>
    <s v="na"/>
    <s v="NRD"/>
    <s v="na"/>
    <s v="na"/>
    <s v="na"/>
    <s v="na"/>
    <s v="na"/>
    <s v="na"/>
    <s v="na"/>
    <s v="na"/>
  </r>
  <r>
    <n v="4337"/>
    <x v="85"/>
    <m/>
    <x v="14"/>
    <x v="3"/>
    <x v="0"/>
    <m/>
    <m/>
    <m/>
    <m/>
    <m/>
    <m/>
    <m/>
    <m/>
    <m/>
    <m/>
    <m/>
    <m/>
    <s v="x"/>
    <s v="x"/>
    <s v="na"/>
    <s v="NRD"/>
    <s v="na"/>
    <s v="na"/>
    <s v="na"/>
    <s v="na"/>
    <s v="na"/>
    <s v="na"/>
    <s v="na"/>
    <s v="na"/>
  </r>
  <r>
    <n v="4338"/>
    <x v="85"/>
    <m/>
    <x v="14"/>
    <x v="3"/>
    <x v="0"/>
    <m/>
    <m/>
    <m/>
    <m/>
    <m/>
    <m/>
    <m/>
    <m/>
    <m/>
    <m/>
    <m/>
    <m/>
    <s v="x"/>
    <s v="x"/>
    <s v="na"/>
    <s v="NRD"/>
    <s v="na"/>
    <s v="na"/>
    <s v="na"/>
    <s v="na"/>
    <s v="na"/>
    <s v="na"/>
    <s v="na"/>
    <s v="na"/>
  </r>
  <r>
    <n v="4339"/>
    <x v="85"/>
    <m/>
    <x v="14"/>
    <x v="3"/>
    <x v="0"/>
    <m/>
    <m/>
    <m/>
    <m/>
    <m/>
    <m/>
    <m/>
    <m/>
    <m/>
    <m/>
    <m/>
    <m/>
    <s v="x"/>
    <s v="x"/>
    <s v="na"/>
    <s v="NRD"/>
    <s v="na"/>
    <s v="na"/>
    <s v="na"/>
    <s v="na"/>
    <s v="na"/>
    <s v="na"/>
    <s v="na"/>
    <s v="na"/>
  </r>
  <r>
    <n v="4340"/>
    <x v="85"/>
    <m/>
    <x v="14"/>
    <x v="3"/>
    <x v="0"/>
    <m/>
    <m/>
    <m/>
    <m/>
    <m/>
    <m/>
    <m/>
    <m/>
    <m/>
    <m/>
    <m/>
    <m/>
    <s v="x"/>
    <s v="x"/>
    <s v="na"/>
    <s v="NRD"/>
    <s v="na"/>
    <s v="na"/>
    <s v="na"/>
    <s v="na"/>
    <s v="na"/>
    <s v="na"/>
    <s v="na"/>
    <s v="na"/>
  </r>
  <r>
    <n v="4341"/>
    <x v="85"/>
    <m/>
    <x v="14"/>
    <x v="3"/>
    <x v="0"/>
    <m/>
    <m/>
    <m/>
    <m/>
    <m/>
    <m/>
    <m/>
    <m/>
    <m/>
    <m/>
    <m/>
    <m/>
    <s v="x"/>
    <s v="x"/>
    <s v="na"/>
    <s v="NRD"/>
    <s v="na"/>
    <s v="na"/>
    <s v="na"/>
    <s v="na"/>
    <s v="na"/>
    <s v="na"/>
    <s v="na"/>
    <s v="na"/>
  </r>
  <r>
    <n v="4342"/>
    <x v="85"/>
    <m/>
    <x v="14"/>
    <x v="3"/>
    <x v="0"/>
    <m/>
    <m/>
    <m/>
    <m/>
    <m/>
    <m/>
    <m/>
    <m/>
    <m/>
    <m/>
    <m/>
    <m/>
    <s v="x"/>
    <s v="x"/>
    <s v="na"/>
    <s v="NRD"/>
    <s v="na"/>
    <s v="na"/>
    <s v="na"/>
    <s v="na"/>
    <s v="na"/>
    <s v="na"/>
    <s v="na"/>
    <s v="na"/>
  </r>
  <r>
    <n v="4343"/>
    <x v="85"/>
    <m/>
    <x v="14"/>
    <x v="3"/>
    <x v="0"/>
    <m/>
    <m/>
    <m/>
    <m/>
    <m/>
    <m/>
    <m/>
    <m/>
    <m/>
    <m/>
    <m/>
    <m/>
    <s v="x"/>
    <s v="x"/>
    <s v="na"/>
    <s v="NRD"/>
    <s v="na"/>
    <s v="na"/>
    <s v="na"/>
    <s v="na"/>
    <s v="na"/>
    <s v="na"/>
    <s v="na"/>
    <s v="na"/>
  </r>
  <r>
    <n v="4344"/>
    <x v="85"/>
    <m/>
    <x v="14"/>
    <x v="3"/>
    <x v="0"/>
    <m/>
    <m/>
    <m/>
    <m/>
    <m/>
    <m/>
    <m/>
    <m/>
    <m/>
    <m/>
    <m/>
    <m/>
    <s v="x"/>
    <s v="x"/>
    <s v="na"/>
    <s v="NRD"/>
    <s v="na"/>
    <s v="na"/>
    <s v="na"/>
    <s v="na"/>
    <s v="na"/>
    <s v="na"/>
    <s v="na"/>
    <s v="na"/>
  </r>
  <r>
    <n v="4345"/>
    <x v="85"/>
    <m/>
    <x v="14"/>
    <x v="3"/>
    <x v="0"/>
    <m/>
    <m/>
    <m/>
    <m/>
    <m/>
    <m/>
    <m/>
    <m/>
    <m/>
    <m/>
    <m/>
    <m/>
    <s v="x"/>
    <s v="x"/>
    <s v="na"/>
    <s v="NRD"/>
    <s v="na"/>
    <s v="na"/>
    <s v="na"/>
    <s v="na"/>
    <s v="na"/>
    <s v="na"/>
    <s v="na"/>
    <s v="na"/>
  </r>
  <r>
    <n v="4346"/>
    <x v="85"/>
    <m/>
    <x v="14"/>
    <x v="3"/>
    <x v="0"/>
    <m/>
    <m/>
    <m/>
    <m/>
    <m/>
    <m/>
    <m/>
    <m/>
    <m/>
    <m/>
    <m/>
    <m/>
    <s v="x"/>
    <s v="x"/>
    <s v="na"/>
    <s v="NRD"/>
    <s v="na"/>
    <s v="na"/>
    <s v="na"/>
    <s v="na"/>
    <s v="na"/>
    <s v="na"/>
    <s v="na"/>
    <s v="na"/>
  </r>
  <r>
    <n v="4347"/>
    <x v="85"/>
    <m/>
    <x v="14"/>
    <x v="3"/>
    <x v="0"/>
    <m/>
    <m/>
    <m/>
    <m/>
    <m/>
    <m/>
    <m/>
    <m/>
    <m/>
    <m/>
    <m/>
    <m/>
    <s v="x"/>
    <s v="x"/>
    <s v="na"/>
    <s v="NRD"/>
    <s v="na"/>
    <s v="na"/>
    <s v="na"/>
    <s v="na"/>
    <s v="na"/>
    <s v="na"/>
    <s v="na"/>
    <s v="na"/>
  </r>
  <r>
    <n v="4348"/>
    <x v="85"/>
    <m/>
    <x v="14"/>
    <x v="3"/>
    <x v="0"/>
    <m/>
    <m/>
    <m/>
    <m/>
    <m/>
    <m/>
    <m/>
    <m/>
    <m/>
    <m/>
    <m/>
    <m/>
    <s v="x"/>
    <s v="x"/>
    <s v="na"/>
    <s v="NRD"/>
    <s v="na"/>
    <s v="na"/>
    <s v="na"/>
    <s v="na"/>
    <s v="na"/>
    <s v="na"/>
    <s v="na"/>
    <s v="na"/>
  </r>
  <r>
    <n v="4349"/>
    <x v="85"/>
    <m/>
    <x v="14"/>
    <x v="3"/>
    <x v="0"/>
    <m/>
    <m/>
    <m/>
    <m/>
    <m/>
    <m/>
    <m/>
    <m/>
    <m/>
    <m/>
    <m/>
    <m/>
    <s v="x"/>
    <s v="x"/>
    <s v="na"/>
    <s v="NRD"/>
    <s v="na"/>
    <s v="na"/>
    <s v="na"/>
    <s v="na"/>
    <s v="na"/>
    <s v="na"/>
    <s v="na"/>
    <s v="na"/>
  </r>
  <r>
    <n v="4350"/>
    <x v="85"/>
    <m/>
    <x v="14"/>
    <x v="3"/>
    <x v="0"/>
    <m/>
    <m/>
    <m/>
    <m/>
    <m/>
    <m/>
    <m/>
    <m/>
    <m/>
    <m/>
    <m/>
    <m/>
    <s v="x"/>
    <s v="x"/>
    <s v="na"/>
    <s v="NRD"/>
    <s v="na"/>
    <s v="na"/>
    <s v="na"/>
    <s v="na"/>
    <s v="na"/>
    <s v="na"/>
    <s v="na"/>
    <s v="na"/>
  </r>
  <r>
    <n v="4351"/>
    <x v="85"/>
    <m/>
    <x v="14"/>
    <x v="3"/>
    <x v="0"/>
    <m/>
    <m/>
    <m/>
    <m/>
    <m/>
    <m/>
    <m/>
    <m/>
    <m/>
    <m/>
    <m/>
    <m/>
    <s v="x"/>
    <s v="x"/>
    <s v="na"/>
    <s v="NRD"/>
    <s v="na"/>
    <s v="na"/>
    <s v="na"/>
    <s v="na"/>
    <s v="na"/>
    <s v="na"/>
    <s v="na"/>
    <s v="na"/>
  </r>
  <r>
    <n v="4352"/>
    <x v="85"/>
    <m/>
    <x v="14"/>
    <x v="3"/>
    <x v="0"/>
    <m/>
    <m/>
    <m/>
    <m/>
    <m/>
    <m/>
    <m/>
    <m/>
    <m/>
    <m/>
    <m/>
    <m/>
    <s v="x"/>
    <s v="x"/>
    <s v="na"/>
    <s v="NRD"/>
    <s v="na"/>
    <s v="na"/>
    <s v="na"/>
    <s v="na"/>
    <s v="na"/>
    <s v="na"/>
    <s v="na"/>
    <s v="na"/>
  </r>
  <r>
    <n v="4353"/>
    <x v="85"/>
    <m/>
    <x v="14"/>
    <x v="3"/>
    <x v="0"/>
    <m/>
    <m/>
    <m/>
    <m/>
    <m/>
    <m/>
    <m/>
    <m/>
    <m/>
    <m/>
    <m/>
    <m/>
    <s v="x"/>
    <s v="x"/>
    <s v="na"/>
    <s v="NRD"/>
    <s v="na"/>
    <s v="na"/>
    <s v="na"/>
    <s v="na"/>
    <s v="na"/>
    <s v="na"/>
    <s v="na"/>
    <s v="na"/>
  </r>
  <r>
    <n v="4354"/>
    <x v="85"/>
    <m/>
    <x v="14"/>
    <x v="3"/>
    <x v="0"/>
    <m/>
    <m/>
    <m/>
    <m/>
    <m/>
    <m/>
    <m/>
    <m/>
    <m/>
    <m/>
    <m/>
    <m/>
    <s v="x"/>
    <s v="x"/>
    <s v="na"/>
    <s v="NRD"/>
    <s v="na"/>
    <s v="na"/>
    <s v="na"/>
    <s v="na"/>
    <s v="na"/>
    <s v="na"/>
    <s v="na"/>
    <s v="na"/>
  </r>
  <r>
    <n v="4355"/>
    <x v="85"/>
    <m/>
    <x v="14"/>
    <x v="3"/>
    <x v="0"/>
    <m/>
    <m/>
    <m/>
    <m/>
    <m/>
    <m/>
    <m/>
    <m/>
    <m/>
    <m/>
    <m/>
    <m/>
    <s v="x"/>
    <s v="x"/>
    <s v="na"/>
    <s v="NRD"/>
    <s v="na"/>
    <s v="na"/>
    <s v="na"/>
    <s v="na"/>
    <s v="na"/>
    <s v="na"/>
    <s v="na"/>
    <s v="na"/>
  </r>
  <r>
    <n v="4356"/>
    <x v="85"/>
    <m/>
    <x v="14"/>
    <x v="3"/>
    <x v="0"/>
    <m/>
    <m/>
    <m/>
    <m/>
    <m/>
    <m/>
    <m/>
    <m/>
    <m/>
    <m/>
    <m/>
    <m/>
    <s v="x"/>
    <s v="x"/>
    <s v="na"/>
    <s v="NRD"/>
    <s v="na"/>
    <s v="na"/>
    <s v="na"/>
    <s v="na"/>
    <s v="na"/>
    <s v="na"/>
    <s v="na"/>
    <s v="na"/>
  </r>
  <r>
    <n v="4357"/>
    <x v="85"/>
    <m/>
    <x v="14"/>
    <x v="3"/>
    <x v="0"/>
    <m/>
    <m/>
    <m/>
    <m/>
    <m/>
    <m/>
    <m/>
    <m/>
    <m/>
    <m/>
    <m/>
    <m/>
    <s v="x"/>
    <s v="x"/>
    <s v="na"/>
    <s v="NRD"/>
    <s v="na"/>
    <s v="na"/>
    <s v="na"/>
    <s v="na"/>
    <s v="na"/>
    <s v="na"/>
    <s v="na"/>
    <s v="na"/>
  </r>
  <r>
    <n v="4358"/>
    <x v="85"/>
    <m/>
    <x v="14"/>
    <x v="3"/>
    <x v="0"/>
    <m/>
    <m/>
    <m/>
    <m/>
    <m/>
    <m/>
    <m/>
    <m/>
    <m/>
    <m/>
    <m/>
    <m/>
    <s v="x"/>
    <s v="x"/>
    <s v="na"/>
    <s v="NRD"/>
    <s v="na"/>
    <s v="na"/>
    <s v="na"/>
    <s v="na"/>
    <s v="na"/>
    <s v="na"/>
    <s v="na"/>
    <s v="na"/>
  </r>
  <r>
    <n v="4359"/>
    <x v="85"/>
    <m/>
    <x v="14"/>
    <x v="3"/>
    <x v="0"/>
    <m/>
    <m/>
    <m/>
    <m/>
    <m/>
    <m/>
    <m/>
    <m/>
    <m/>
    <m/>
    <m/>
    <m/>
    <s v="x"/>
    <s v="x"/>
    <s v="na"/>
    <s v="NRD"/>
    <s v="na"/>
    <s v="na"/>
    <s v="na"/>
    <s v="na"/>
    <s v="na"/>
    <s v="na"/>
    <s v="na"/>
    <s v="na"/>
  </r>
  <r>
    <n v="4360"/>
    <x v="85"/>
    <m/>
    <x v="14"/>
    <x v="3"/>
    <x v="0"/>
    <m/>
    <m/>
    <m/>
    <m/>
    <m/>
    <m/>
    <m/>
    <m/>
    <m/>
    <m/>
    <m/>
    <m/>
    <s v="x"/>
    <s v="x"/>
    <s v="na"/>
    <s v="NRD"/>
    <s v="na"/>
    <s v="na"/>
    <s v="na"/>
    <s v="na"/>
    <s v="na"/>
    <s v="na"/>
    <s v="na"/>
    <s v="na"/>
  </r>
  <r>
    <n v="4361"/>
    <x v="85"/>
    <m/>
    <x v="14"/>
    <x v="3"/>
    <x v="0"/>
    <m/>
    <m/>
    <m/>
    <m/>
    <m/>
    <m/>
    <m/>
    <m/>
    <m/>
    <m/>
    <m/>
    <m/>
    <s v="x"/>
    <s v="x"/>
    <s v="na"/>
    <s v="NRD"/>
    <s v="na"/>
    <s v="na"/>
    <s v="na"/>
    <s v="na"/>
    <s v="na"/>
    <s v="na"/>
    <s v="na"/>
    <s v="na"/>
  </r>
  <r>
    <n v="4362"/>
    <x v="85"/>
    <m/>
    <x v="14"/>
    <x v="3"/>
    <x v="0"/>
    <m/>
    <m/>
    <m/>
    <m/>
    <m/>
    <m/>
    <m/>
    <m/>
    <m/>
    <m/>
    <m/>
    <m/>
    <s v="x"/>
    <s v="x"/>
    <s v="na"/>
    <s v="NRD"/>
    <s v="na"/>
    <s v="na"/>
    <s v="na"/>
    <s v="na"/>
    <s v="na"/>
    <s v="na"/>
    <s v="na"/>
    <s v="na"/>
  </r>
  <r>
    <n v="4363"/>
    <x v="85"/>
    <m/>
    <x v="14"/>
    <x v="3"/>
    <x v="0"/>
    <m/>
    <m/>
    <m/>
    <m/>
    <m/>
    <m/>
    <m/>
    <m/>
    <m/>
    <m/>
    <m/>
    <m/>
    <s v="x"/>
    <s v="x"/>
    <s v="na"/>
    <s v="NRD"/>
    <s v="na"/>
    <s v="na"/>
    <s v="na"/>
    <s v="na"/>
    <s v="na"/>
    <s v="na"/>
    <s v="na"/>
    <s v="na"/>
  </r>
  <r>
    <n v="4364"/>
    <x v="85"/>
    <m/>
    <x v="14"/>
    <x v="3"/>
    <x v="0"/>
    <m/>
    <m/>
    <m/>
    <m/>
    <m/>
    <m/>
    <m/>
    <m/>
    <m/>
    <m/>
    <m/>
    <m/>
    <s v="x"/>
    <s v="x"/>
    <s v="na"/>
    <s v="NRD"/>
    <s v="na"/>
    <s v="na"/>
    <s v="na"/>
    <s v="na"/>
    <s v="na"/>
    <s v="na"/>
    <s v="na"/>
    <s v="na"/>
  </r>
  <r>
    <n v="4365"/>
    <x v="85"/>
    <m/>
    <x v="14"/>
    <x v="3"/>
    <x v="0"/>
    <m/>
    <m/>
    <m/>
    <m/>
    <m/>
    <m/>
    <m/>
    <m/>
    <m/>
    <m/>
    <m/>
    <m/>
    <s v="x"/>
    <s v="x"/>
    <s v="na"/>
    <s v="NRD"/>
    <s v="na"/>
    <s v="na"/>
    <s v="na"/>
    <s v="na"/>
    <s v="na"/>
    <s v="na"/>
    <s v="na"/>
    <s v="na"/>
  </r>
  <r>
    <n v="4366"/>
    <x v="85"/>
    <m/>
    <x v="14"/>
    <x v="3"/>
    <x v="0"/>
    <m/>
    <m/>
    <m/>
    <m/>
    <m/>
    <m/>
    <m/>
    <m/>
    <m/>
    <m/>
    <m/>
    <m/>
    <s v="x"/>
    <s v="x"/>
    <s v="na"/>
    <s v="NRD"/>
    <s v="na"/>
    <s v="na"/>
    <s v="na"/>
    <s v="na"/>
    <s v="na"/>
    <s v="na"/>
    <s v="na"/>
    <s v="na"/>
  </r>
  <r>
    <n v="4367"/>
    <x v="85"/>
    <m/>
    <x v="14"/>
    <x v="3"/>
    <x v="0"/>
    <m/>
    <m/>
    <m/>
    <m/>
    <m/>
    <m/>
    <m/>
    <m/>
    <m/>
    <m/>
    <m/>
    <m/>
    <s v="x"/>
    <s v="x"/>
    <s v="na"/>
    <s v="NRD"/>
    <s v="na"/>
    <s v="na"/>
    <s v="na"/>
    <s v="na"/>
    <s v="na"/>
    <s v="na"/>
    <s v="na"/>
    <s v="na"/>
  </r>
  <r>
    <n v="4368"/>
    <x v="85"/>
    <m/>
    <x v="14"/>
    <x v="3"/>
    <x v="0"/>
    <m/>
    <m/>
    <m/>
    <m/>
    <m/>
    <m/>
    <m/>
    <m/>
    <m/>
    <m/>
    <m/>
    <m/>
    <s v="x"/>
    <s v="x"/>
    <s v="na"/>
    <s v="NRD"/>
    <s v="na"/>
    <s v="na"/>
    <s v="na"/>
    <s v="na"/>
    <s v="na"/>
    <s v="na"/>
    <s v="na"/>
    <s v="na"/>
  </r>
  <r>
    <n v="4369"/>
    <x v="85"/>
    <m/>
    <x v="14"/>
    <x v="3"/>
    <x v="0"/>
    <m/>
    <m/>
    <m/>
    <m/>
    <m/>
    <m/>
    <m/>
    <m/>
    <m/>
    <m/>
    <m/>
    <m/>
    <s v="x"/>
    <s v="x"/>
    <s v="na"/>
    <s v="NRD"/>
    <s v="na"/>
    <s v="na"/>
    <s v="na"/>
    <s v="na"/>
    <s v="na"/>
    <s v="na"/>
    <s v="na"/>
    <s v="na"/>
  </r>
  <r>
    <n v="4370"/>
    <x v="85"/>
    <m/>
    <x v="14"/>
    <x v="3"/>
    <x v="0"/>
    <m/>
    <m/>
    <m/>
    <m/>
    <m/>
    <m/>
    <m/>
    <m/>
    <m/>
    <m/>
    <m/>
    <m/>
    <s v="x"/>
    <s v="x"/>
    <s v="na"/>
    <s v="NRD"/>
    <s v="na"/>
    <s v="na"/>
    <s v="na"/>
    <s v="na"/>
    <s v="na"/>
    <s v="na"/>
    <s v="na"/>
    <s v="na"/>
  </r>
  <r>
    <n v="4371"/>
    <x v="85"/>
    <m/>
    <x v="14"/>
    <x v="3"/>
    <x v="0"/>
    <m/>
    <m/>
    <m/>
    <m/>
    <m/>
    <m/>
    <m/>
    <m/>
    <m/>
    <m/>
    <m/>
    <m/>
    <s v="x"/>
    <s v="x"/>
    <s v="na"/>
    <s v="NRD"/>
    <s v="na"/>
    <s v="na"/>
    <s v="na"/>
    <s v="na"/>
    <s v="na"/>
    <s v="na"/>
    <s v="na"/>
    <s v="na"/>
  </r>
  <r>
    <n v="4372"/>
    <x v="85"/>
    <m/>
    <x v="14"/>
    <x v="3"/>
    <x v="0"/>
    <m/>
    <m/>
    <m/>
    <m/>
    <m/>
    <m/>
    <m/>
    <m/>
    <m/>
    <m/>
    <m/>
    <m/>
    <s v="x"/>
    <s v="x"/>
    <s v="na"/>
    <s v="NRD"/>
    <s v="na"/>
    <s v="na"/>
    <s v="na"/>
    <s v="na"/>
    <s v="na"/>
    <s v="na"/>
    <s v="na"/>
    <s v="na"/>
  </r>
  <r>
    <n v="4373"/>
    <x v="85"/>
    <m/>
    <x v="14"/>
    <x v="3"/>
    <x v="0"/>
    <m/>
    <m/>
    <m/>
    <m/>
    <m/>
    <m/>
    <m/>
    <m/>
    <m/>
    <m/>
    <m/>
    <m/>
    <s v="x"/>
    <s v="x"/>
    <s v="na"/>
    <s v="NRD"/>
    <s v="na"/>
    <s v="na"/>
    <s v="na"/>
    <s v="na"/>
    <s v="na"/>
    <s v="na"/>
    <s v="na"/>
    <s v="na"/>
  </r>
  <r>
    <n v="4374"/>
    <x v="85"/>
    <m/>
    <x v="14"/>
    <x v="3"/>
    <x v="0"/>
    <m/>
    <m/>
    <m/>
    <m/>
    <m/>
    <m/>
    <m/>
    <m/>
    <m/>
    <m/>
    <m/>
    <m/>
    <s v="x"/>
    <s v="x"/>
    <s v="na"/>
    <s v="NRD"/>
    <s v="na"/>
    <s v="na"/>
    <s v="na"/>
    <s v="na"/>
    <s v="na"/>
    <s v="na"/>
    <s v="na"/>
    <s v="na"/>
  </r>
  <r>
    <n v="4375"/>
    <x v="85"/>
    <m/>
    <x v="14"/>
    <x v="3"/>
    <x v="0"/>
    <m/>
    <m/>
    <m/>
    <m/>
    <m/>
    <m/>
    <m/>
    <m/>
    <m/>
    <m/>
    <m/>
    <m/>
    <s v="x"/>
    <s v="x"/>
    <s v="na"/>
    <s v="NRD"/>
    <s v="na"/>
    <s v="na"/>
    <s v="na"/>
    <s v="na"/>
    <s v="na"/>
    <s v="na"/>
    <s v="na"/>
    <s v="na"/>
  </r>
  <r>
    <n v="4376"/>
    <x v="85"/>
    <m/>
    <x v="14"/>
    <x v="3"/>
    <x v="0"/>
    <m/>
    <m/>
    <m/>
    <m/>
    <m/>
    <m/>
    <m/>
    <m/>
    <m/>
    <m/>
    <m/>
    <m/>
    <s v="x"/>
    <s v="x"/>
    <s v="na"/>
    <s v="NRD"/>
    <s v="na"/>
    <s v="na"/>
    <s v="na"/>
    <s v="na"/>
    <s v="na"/>
    <s v="na"/>
    <s v="na"/>
    <s v="na"/>
  </r>
  <r>
    <n v="4377"/>
    <x v="85"/>
    <m/>
    <x v="14"/>
    <x v="3"/>
    <x v="0"/>
    <m/>
    <m/>
    <m/>
    <m/>
    <m/>
    <m/>
    <m/>
    <m/>
    <m/>
    <m/>
    <m/>
    <m/>
    <s v="x"/>
    <s v="x"/>
    <s v="na"/>
    <s v="NRD"/>
    <s v="na"/>
    <s v="na"/>
    <s v="na"/>
    <s v="na"/>
    <s v="na"/>
    <s v="na"/>
    <s v="na"/>
    <s v="na"/>
  </r>
  <r>
    <n v="4378"/>
    <x v="85"/>
    <m/>
    <x v="14"/>
    <x v="3"/>
    <x v="0"/>
    <m/>
    <m/>
    <m/>
    <m/>
    <m/>
    <m/>
    <m/>
    <m/>
    <m/>
    <m/>
    <m/>
    <m/>
    <s v="x"/>
    <s v="x"/>
    <s v="na"/>
    <s v="NRD"/>
    <s v="na"/>
    <s v="na"/>
    <s v="na"/>
    <s v="na"/>
    <s v="na"/>
    <s v="na"/>
    <s v="na"/>
    <s v="na"/>
  </r>
  <r>
    <n v="4379"/>
    <x v="85"/>
    <m/>
    <x v="14"/>
    <x v="3"/>
    <x v="0"/>
    <m/>
    <m/>
    <m/>
    <m/>
    <m/>
    <m/>
    <m/>
    <m/>
    <m/>
    <m/>
    <m/>
    <m/>
    <s v="x"/>
    <s v="x"/>
    <s v="na"/>
    <s v="NRD"/>
    <s v="na"/>
    <s v="na"/>
    <s v="na"/>
    <s v="na"/>
    <s v="na"/>
    <s v="na"/>
    <s v="na"/>
    <s v="na"/>
  </r>
  <r>
    <n v="4380"/>
    <x v="85"/>
    <m/>
    <x v="14"/>
    <x v="3"/>
    <x v="0"/>
    <m/>
    <m/>
    <m/>
    <m/>
    <m/>
    <m/>
    <m/>
    <m/>
    <m/>
    <m/>
    <m/>
    <m/>
    <s v="x"/>
    <s v="x"/>
    <s v="na"/>
    <s v="NRD"/>
    <s v="na"/>
    <s v="na"/>
    <s v="na"/>
    <s v="na"/>
    <s v="na"/>
    <s v="na"/>
    <s v="na"/>
    <s v="na"/>
  </r>
  <r>
    <n v="4381"/>
    <x v="85"/>
    <m/>
    <x v="14"/>
    <x v="3"/>
    <x v="0"/>
    <m/>
    <m/>
    <m/>
    <m/>
    <m/>
    <m/>
    <m/>
    <m/>
    <m/>
    <m/>
    <m/>
    <m/>
    <s v="x"/>
    <s v="x"/>
    <s v="na"/>
    <s v="NRD"/>
    <s v="na"/>
    <s v="na"/>
    <s v="na"/>
    <s v="na"/>
    <s v="na"/>
    <s v="na"/>
    <s v="na"/>
    <s v="na"/>
  </r>
  <r>
    <n v="4382"/>
    <x v="85"/>
    <m/>
    <x v="14"/>
    <x v="3"/>
    <x v="0"/>
    <m/>
    <m/>
    <m/>
    <m/>
    <m/>
    <m/>
    <m/>
    <m/>
    <m/>
    <m/>
    <m/>
    <m/>
    <s v="x"/>
    <s v="x"/>
    <s v="na"/>
    <s v="NRD"/>
    <s v="na"/>
    <s v="na"/>
    <s v="na"/>
    <s v="na"/>
    <s v="na"/>
    <s v="na"/>
    <s v="na"/>
    <s v="na"/>
  </r>
  <r>
    <n v="4383"/>
    <x v="85"/>
    <m/>
    <x v="14"/>
    <x v="3"/>
    <x v="0"/>
    <m/>
    <m/>
    <m/>
    <m/>
    <m/>
    <m/>
    <m/>
    <m/>
    <m/>
    <m/>
    <m/>
    <m/>
    <s v="x"/>
    <s v="x"/>
    <s v="na"/>
    <s v="NRD"/>
    <s v="na"/>
    <s v="na"/>
    <s v="na"/>
    <s v="na"/>
    <s v="na"/>
    <s v="na"/>
    <s v="na"/>
    <s v="na"/>
  </r>
  <r>
    <n v="4384"/>
    <x v="85"/>
    <m/>
    <x v="14"/>
    <x v="3"/>
    <x v="0"/>
    <m/>
    <m/>
    <m/>
    <m/>
    <m/>
    <m/>
    <m/>
    <m/>
    <m/>
    <m/>
    <m/>
    <m/>
    <s v="x"/>
    <s v="x"/>
    <s v="na"/>
    <s v="NRD"/>
    <s v="na"/>
    <s v="na"/>
    <s v="na"/>
    <s v="na"/>
    <s v="na"/>
    <s v="na"/>
    <s v="na"/>
    <s v="na"/>
  </r>
  <r>
    <n v="4385"/>
    <x v="85"/>
    <m/>
    <x v="14"/>
    <x v="3"/>
    <x v="0"/>
    <m/>
    <m/>
    <m/>
    <m/>
    <m/>
    <m/>
    <m/>
    <m/>
    <m/>
    <m/>
    <m/>
    <m/>
    <s v="x"/>
    <s v="x"/>
    <s v="na"/>
    <s v="NRD"/>
    <s v="na"/>
    <s v="na"/>
    <s v="na"/>
    <s v="na"/>
    <s v="na"/>
    <s v="na"/>
    <s v="na"/>
    <s v="na"/>
  </r>
  <r>
    <n v="4386"/>
    <x v="85"/>
    <m/>
    <x v="14"/>
    <x v="3"/>
    <x v="0"/>
    <m/>
    <m/>
    <m/>
    <m/>
    <m/>
    <m/>
    <m/>
    <m/>
    <m/>
    <m/>
    <m/>
    <m/>
    <s v="x"/>
    <s v="x"/>
    <s v="na"/>
    <s v="NRD"/>
    <s v="na"/>
    <s v="na"/>
    <s v="na"/>
    <s v="na"/>
    <s v="na"/>
    <s v="na"/>
    <s v="na"/>
    <s v="na"/>
  </r>
  <r>
    <n v="4387"/>
    <x v="85"/>
    <m/>
    <x v="14"/>
    <x v="3"/>
    <x v="0"/>
    <m/>
    <m/>
    <m/>
    <m/>
    <m/>
    <m/>
    <m/>
    <m/>
    <m/>
    <m/>
    <m/>
    <m/>
    <s v="x"/>
    <s v="x"/>
    <s v="na"/>
    <s v="NRD"/>
    <s v="na"/>
    <s v="na"/>
    <s v="na"/>
    <s v="na"/>
    <s v="na"/>
    <s v="na"/>
    <s v="na"/>
    <s v="na"/>
  </r>
  <r>
    <n v="4388"/>
    <x v="85"/>
    <m/>
    <x v="14"/>
    <x v="3"/>
    <x v="0"/>
    <m/>
    <m/>
    <m/>
    <m/>
    <m/>
    <m/>
    <m/>
    <m/>
    <m/>
    <m/>
    <m/>
    <m/>
    <s v="x"/>
    <s v="x"/>
    <s v="na"/>
    <s v="NRD"/>
    <s v="na"/>
    <s v="na"/>
    <s v="na"/>
    <s v="na"/>
    <s v="na"/>
    <s v="na"/>
    <s v="na"/>
    <s v="na"/>
  </r>
  <r>
    <n v="4389"/>
    <x v="85"/>
    <m/>
    <x v="14"/>
    <x v="3"/>
    <x v="0"/>
    <m/>
    <m/>
    <m/>
    <m/>
    <m/>
    <m/>
    <m/>
    <m/>
    <m/>
    <m/>
    <m/>
    <m/>
    <s v="x"/>
    <s v="x"/>
    <s v="na"/>
    <s v="NRD"/>
    <s v="na"/>
    <s v="na"/>
    <s v="na"/>
    <s v="na"/>
    <s v="na"/>
    <s v="na"/>
    <s v="na"/>
    <s v="na"/>
  </r>
  <r>
    <n v="4390"/>
    <x v="85"/>
    <m/>
    <x v="14"/>
    <x v="3"/>
    <x v="0"/>
    <m/>
    <m/>
    <m/>
    <m/>
    <m/>
    <m/>
    <m/>
    <m/>
    <m/>
    <m/>
    <m/>
    <m/>
    <s v="x"/>
    <s v="x"/>
    <s v="na"/>
    <s v="NRD"/>
    <s v="na"/>
    <s v="na"/>
    <s v="na"/>
    <s v="na"/>
    <s v="na"/>
    <s v="na"/>
    <s v="na"/>
    <s v="na"/>
  </r>
  <r>
    <n v="4391"/>
    <x v="85"/>
    <m/>
    <x v="14"/>
    <x v="3"/>
    <x v="0"/>
    <m/>
    <m/>
    <m/>
    <m/>
    <m/>
    <m/>
    <m/>
    <m/>
    <m/>
    <m/>
    <m/>
    <m/>
    <s v="x"/>
    <s v="x"/>
    <s v="na"/>
    <s v="NRD"/>
    <s v="na"/>
    <s v="na"/>
    <s v="na"/>
    <s v="na"/>
    <s v="na"/>
    <s v="na"/>
    <s v="na"/>
    <s v="na"/>
  </r>
  <r>
    <n v="4392"/>
    <x v="85"/>
    <m/>
    <x v="14"/>
    <x v="3"/>
    <x v="0"/>
    <m/>
    <m/>
    <m/>
    <m/>
    <m/>
    <m/>
    <m/>
    <m/>
    <m/>
    <m/>
    <m/>
    <m/>
    <s v="x"/>
    <s v="x"/>
    <s v="na"/>
    <s v="NRD"/>
    <s v="na"/>
    <s v="na"/>
    <s v="na"/>
    <s v="na"/>
    <s v="na"/>
    <s v="na"/>
    <s v="na"/>
    <s v="na"/>
  </r>
  <r>
    <n v="4393"/>
    <x v="85"/>
    <m/>
    <x v="14"/>
    <x v="3"/>
    <x v="0"/>
    <m/>
    <m/>
    <m/>
    <m/>
    <m/>
    <m/>
    <m/>
    <m/>
    <m/>
    <m/>
    <m/>
    <m/>
    <s v="x"/>
    <s v="x"/>
    <s v="na"/>
    <s v="NRD"/>
    <s v="na"/>
    <s v="na"/>
    <s v="na"/>
    <s v="na"/>
    <s v="na"/>
    <s v="na"/>
    <s v="na"/>
    <s v="na"/>
  </r>
  <r>
    <n v="4394"/>
    <x v="85"/>
    <m/>
    <x v="14"/>
    <x v="3"/>
    <x v="0"/>
    <m/>
    <m/>
    <m/>
    <m/>
    <m/>
    <m/>
    <m/>
    <m/>
    <m/>
    <m/>
    <m/>
    <m/>
    <s v="x"/>
    <s v="x"/>
    <s v="na"/>
    <s v="NRD"/>
    <s v="na"/>
    <s v="na"/>
    <s v="na"/>
    <s v="na"/>
    <s v="na"/>
    <s v="na"/>
    <s v="na"/>
    <s v="na"/>
  </r>
  <r>
    <n v="4395"/>
    <x v="85"/>
    <m/>
    <x v="14"/>
    <x v="3"/>
    <x v="0"/>
    <m/>
    <m/>
    <m/>
    <m/>
    <m/>
    <m/>
    <m/>
    <m/>
    <m/>
    <m/>
    <m/>
    <m/>
    <s v="x"/>
    <s v="x"/>
    <s v="na"/>
    <s v="NRD"/>
    <s v="na"/>
    <s v="na"/>
    <s v="na"/>
    <s v="na"/>
    <s v="na"/>
    <s v="na"/>
    <s v="na"/>
    <s v="na"/>
  </r>
  <r>
    <n v="4396"/>
    <x v="85"/>
    <m/>
    <x v="14"/>
    <x v="3"/>
    <x v="0"/>
    <m/>
    <m/>
    <m/>
    <m/>
    <m/>
    <m/>
    <m/>
    <m/>
    <m/>
    <m/>
    <m/>
    <m/>
    <s v="x"/>
    <s v="x"/>
    <s v="na"/>
    <s v="NRD"/>
    <s v="na"/>
    <s v="na"/>
    <s v="na"/>
    <s v="na"/>
    <s v="na"/>
    <s v="na"/>
    <s v="na"/>
    <s v="na"/>
  </r>
  <r>
    <n v="4397"/>
    <x v="85"/>
    <m/>
    <x v="14"/>
    <x v="3"/>
    <x v="0"/>
    <m/>
    <m/>
    <m/>
    <m/>
    <m/>
    <m/>
    <m/>
    <m/>
    <m/>
    <m/>
    <m/>
    <m/>
    <s v="x"/>
    <s v="x"/>
    <s v="na"/>
    <s v="NRD"/>
    <s v="na"/>
    <s v="na"/>
    <s v="na"/>
    <s v="na"/>
    <s v="na"/>
    <s v="na"/>
    <s v="na"/>
    <s v="na"/>
  </r>
  <r>
    <n v="4398"/>
    <x v="85"/>
    <m/>
    <x v="14"/>
    <x v="3"/>
    <x v="0"/>
    <m/>
    <m/>
    <m/>
    <m/>
    <m/>
    <m/>
    <m/>
    <m/>
    <m/>
    <m/>
    <m/>
    <m/>
    <s v="x"/>
    <s v="x"/>
    <s v="na"/>
    <s v="NRD"/>
    <s v="na"/>
    <s v="na"/>
    <s v="na"/>
    <s v="na"/>
    <s v="na"/>
    <s v="na"/>
    <s v="na"/>
    <s v="na"/>
  </r>
  <r>
    <n v="4399"/>
    <x v="85"/>
    <m/>
    <x v="14"/>
    <x v="3"/>
    <x v="0"/>
    <m/>
    <m/>
    <m/>
    <m/>
    <m/>
    <m/>
    <m/>
    <m/>
    <m/>
    <m/>
    <m/>
    <m/>
    <s v="x"/>
    <s v="x"/>
    <s v="na"/>
    <s v="NRD"/>
    <s v="na"/>
    <s v="na"/>
    <s v="na"/>
    <s v="na"/>
    <s v="na"/>
    <s v="na"/>
    <s v="na"/>
    <s v="na"/>
  </r>
  <r>
    <n v="4400"/>
    <x v="85"/>
    <m/>
    <x v="14"/>
    <x v="3"/>
    <x v="0"/>
    <m/>
    <m/>
    <m/>
    <m/>
    <m/>
    <m/>
    <m/>
    <m/>
    <m/>
    <m/>
    <m/>
    <m/>
    <s v="x"/>
    <s v="x"/>
    <s v="na"/>
    <s v="NRD"/>
    <s v="na"/>
    <s v="na"/>
    <s v="na"/>
    <s v="na"/>
    <s v="na"/>
    <s v="na"/>
    <s v="na"/>
    <s v="na"/>
  </r>
  <r>
    <n v="4401"/>
    <x v="85"/>
    <m/>
    <x v="14"/>
    <x v="3"/>
    <x v="0"/>
    <m/>
    <m/>
    <m/>
    <m/>
    <m/>
    <m/>
    <m/>
    <m/>
    <m/>
    <m/>
    <m/>
    <m/>
    <s v="x"/>
    <s v="x"/>
    <s v="na"/>
    <s v="NRD"/>
    <s v="na"/>
    <s v="na"/>
    <s v="na"/>
    <s v="na"/>
    <s v="na"/>
    <s v="na"/>
    <s v="na"/>
    <s v="na"/>
  </r>
  <r>
    <n v="4402"/>
    <x v="85"/>
    <m/>
    <x v="14"/>
    <x v="3"/>
    <x v="0"/>
    <m/>
    <m/>
    <m/>
    <m/>
    <m/>
    <m/>
    <m/>
    <m/>
    <m/>
    <m/>
    <m/>
    <m/>
    <s v="x"/>
    <s v="x"/>
    <s v="na"/>
    <s v="NRD"/>
    <s v="na"/>
    <s v="na"/>
    <s v="na"/>
    <s v="na"/>
    <s v="na"/>
    <s v="na"/>
    <s v="na"/>
    <s v="na"/>
  </r>
  <r>
    <n v="4403"/>
    <x v="85"/>
    <m/>
    <x v="14"/>
    <x v="3"/>
    <x v="0"/>
    <m/>
    <m/>
    <m/>
    <m/>
    <m/>
    <m/>
    <m/>
    <m/>
    <m/>
    <m/>
    <m/>
    <m/>
    <s v="x"/>
    <s v="x"/>
    <s v="na"/>
    <s v="NRD"/>
    <s v="na"/>
    <s v="na"/>
    <s v="na"/>
    <s v="na"/>
    <s v="na"/>
    <s v="na"/>
    <s v="na"/>
    <s v="na"/>
  </r>
  <r>
    <n v="4404"/>
    <x v="85"/>
    <m/>
    <x v="14"/>
    <x v="3"/>
    <x v="0"/>
    <m/>
    <m/>
    <m/>
    <m/>
    <m/>
    <m/>
    <m/>
    <m/>
    <m/>
    <m/>
    <m/>
    <m/>
    <s v="x"/>
    <s v="x"/>
    <s v="na"/>
    <s v="NRD"/>
    <s v="na"/>
    <s v="na"/>
    <s v="na"/>
    <s v="na"/>
    <s v="na"/>
    <s v="na"/>
    <s v="na"/>
    <s v="na"/>
  </r>
  <r>
    <n v="4405"/>
    <x v="85"/>
    <m/>
    <x v="14"/>
    <x v="3"/>
    <x v="0"/>
    <m/>
    <m/>
    <m/>
    <m/>
    <m/>
    <m/>
    <m/>
    <m/>
    <m/>
    <m/>
    <m/>
    <m/>
    <s v="x"/>
    <s v="x"/>
    <s v="na"/>
    <s v="NRD"/>
    <s v="na"/>
    <s v="na"/>
    <s v="na"/>
    <s v="na"/>
    <s v="na"/>
    <s v="na"/>
    <s v="na"/>
    <s v="na"/>
  </r>
  <r>
    <n v="4406"/>
    <x v="85"/>
    <m/>
    <x v="14"/>
    <x v="3"/>
    <x v="0"/>
    <m/>
    <m/>
    <m/>
    <m/>
    <m/>
    <m/>
    <m/>
    <m/>
    <m/>
    <m/>
    <m/>
    <m/>
    <s v="x"/>
    <s v="x"/>
    <s v="na"/>
    <s v="NRD"/>
    <s v="na"/>
    <s v="na"/>
    <s v="na"/>
    <s v="na"/>
    <s v="na"/>
    <s v="na"/>
    <s v="na"/>
    <s v="na"/>
  </r>
  <r>
    <n v="4407"/>
    <x v="85"/>
    <m/>
    <x v="14"/>
    <x v="3"/>
    <x v="0"/>
    <m/>
    <m/>
    <m/>
    <m/>
    <m/>
    <m/>
    <m/>
    <m/>
    <m/>
    <m/>
    <m/>
    <m/>
    <s v="x"/>
    <s v="x"/>
    <s v="na"/>
    <s v="NRD"/>
    <s v="na"/>
    <s v="na"/>
    <s v="na"/>
    <s v="na"/>
    <s v="na"/>
    <s v="na"/>
    <s v="na"/>
    <s v="na"/>
  </r>
  <r>
    <n v="4408"/>
    <x v="85"/>
    <m/>
    <x v="14"/>
    <x v="3"/>
    <x v="0"/>
    <m/>
    <m/>
    <m/>
    <m/>
    <m/>
    <m/>
    <m/>
    <m/>
    <m/>
    <m/>
    <m/>
    <m/>
    <s v="x"/>
    <s v="x"/>
    <s v="na"/>
    <s v="NRD"/>
    <s v="na"/>
    <s v="na"/>
    <s v="na"/>
    <s v="na"/>
    <s v="na"/>
    <s v="na"/>
    <s v="na"/>
    <s v="na"/>
  </r>
  <r>
    <n v="4409"/>
    <x v="85"/>
    <m/>
    <x v="14"/>
    <x v="3"/>
    <x v="0"/>
    <m/>
    <m/>
    <m/>
    <m/>
    <m/>
    <m/>
    <m/>
    <m/>
    <m/>
    <m/>
    <m/>
    <m/>
    <s v="x"/>
    <s v="x"/>
    <s v="na"/>
    <s v="NRD"/>
    <s v="na"/>
    <s v="na"/>
    <s v="na"/>
    <s v="na"/>
    <s v="na"/>
    <s v="na"/>
    <s v="na"/>
    <s v="na"/>
  </r>
  <r>
    <n v="4410"/>
    <x v="85"/>
    <m/>
    <x v="14"/>
    <x v="3"/>
    <x v="0"/>
    <m/>
    <m/>
    <m/>
    <m/>
    <m/>
    <m/>
    <m/>
    <m/>
    <m/>
    <m/>
    <m/>
    <m/>
    <s v="x"/>
    <s v="x"/>
    <s v="na"/>
    <s v="NRD"/>
    <s v="na"/>
    <s v="na"/>
    <s v="na"/>
    <s v="na"/>
    <s v="na"/>
    <s v="na"/>
    <s v="na"/>
    <s v="na"/>
  </r>
  <r>
    <n v="4411"/>
    <x v="85"/>
    <m/>
    <x v="14"/>
    <x v="3"/>
    <x v="0"/>
    <m/>
    <m/>
    <m/>
    <m/>
    <m/>
    <m/>
    <m/>
    <m/>
    <m/>
    <m/>
    <m/>
    <m/>
    <s v="x"/>
    <s v="x"/>
    <s v="na"/>
    <s v="NRD"/>
    <s v="na"/>
    <s v="na"/>
    <s v="na"/>
    <s v="na"/>
    <s v="na"/>
    <s v="na"/>
    <s v="na"/>
    <s v="na"/>
  </r>
  <r>
    <n v="4412"/>
    <x v="85"/>
    <m/>
    <x v="14"/>
    <x v="3"/>
    <x v="0"/>
    <m/>
    <m/>
    <m/>
    <m/>
    <m/>
    <m/>
    <m/>
    <m/>
    <m/>
    <m/>
    <m/>
    <m/>
    <s v="x"/>
    <s v="x"/>
    <s v="na"/>
    <s v="NRD"/>
    <s v="na"/>
    <s v="na"/>
    <s v="na"/>
    <s v="na"/>
    <s v="na"/>
    <s v="na"/>
    <s v="na"/>
    <s v="na"/>
  </r>
  <r>
    <n v="4413"/>
    <x v="85"/>
    <m/>
    <x v="14"/>
    <x v="3"/>
    <x v="0"/>
    <m/>
    <m/>
    <m/>
    <m/>
    <m/>
    <m/>
    <m/>
    <m/>
    <m/>
    <m/>
    <m/>
    <m/>
    <s v="x"/>
    <s v="x"/>
    <s v="na"/>
    <s v="NRD"/>
    <s v="na"/>
    <s v="na"/>
    <s v="na"/>
    <s v="na"/>
    <s v="na"/>
    <s v="na"/>
    <s v="na"/>
    <s v="na"/>
  </r>
  <r>
    <n v="4414"/>
    <x v="85"/>
    <m/>
    <x v="14"/>
    <x v="3"/>
    <x v="0"/>
    <m/>
    <m/>
    <m/>
    <m/>
    <m/>
    <m/>
    <m/>
    <m/>
    <m/>
    <m/>
    <m/>
    <m/>
    <s v="x"/>
    <s v="x"/>
    <s v="na"/>
    <s v="NRD"/>
    <s v="na"/>
    <s v="na"/>
    <s v="na"/>
    <s v="na"/>
    <s v="na"/>
    <s v="na"/>
    <s v="na"/>
    <s v="na"/>
  </r>
  <r>
    <n v="4415"/>
    <x v="85"/>
    <m/>
    <x v="14"/>
    <x v="3"/>
    <x v="0"/>
    <m/>
    <m/>
    <m/>
    <m/>
    <m/>
    <m/>
    <m/>
    <m/>
    <m/>
    <m/>
    <m/>
    <m/>
    <s v="x"/>
    <s v="x"/>
    <s v="na"/>
    <s v="NRD"/>
    <s v="na"/>
    <s v="na"/>
    <s v="na"/>
    <s v="na"/>
    <s v="na"/>
    <s v="na"/>
    <s v="na"/>
    <s v="na"/>
  </r>
  <r>
    <n v="4416"/>
    <x v="85"/>
    <m/>
    <x v="14"/>
    <x v="3"/>
    <x v="0"/>
    <m/>
    <m/>
    <m/>
    <m/>
    <m/>
    <m/>
    <m/>
    <m/>
    <m/>
    <m/>
    <m/>
    <m/>
    <s v="x"/>
    <s v="x"/>
    <s v="na"/>
    <s v="NRD"/>
    <s v="na"/>
    <s v="na"/>
    <s v="na"/>
    <s v="na"/>
    <s v="na"/>
    <s v="na"/>
    <s v="na"/>
    <s v="na"/>
  </r>
  <r>
    <n v="4417"/>
    <x v="85"/>
    <m/>
    <x v="14"/>
    <x v="3"/>
    <x v="0"/>
    <m/>
    <m/>
    <m/>
    <m/>
    <m/>
    <m/>
    <m/>
    <m/>
    <m/>
    <m/>
    <m/>
    <m/>
    <s v="x"/>
    <s v="x"/>
    <s v="na"/>
    <s v="NRD"/>
    <s v="na"/>
    <s v="na"/>
    <s v="na"/>
    <s v="na"/>
    <s v="na"/>
    <s v="na"/>
    <s v="na"/>
    <s v="na"/>
  </r>
  <r>
    <n v="4418"/>
    <x v="85"/>
    <m/>
    <x v="14"/>
    <x v="3"/>
    <x v="0"/>
    <m/>
    <m/>
    <m/>
    <m/>
    <m/>
    <m/>
    <m/>
    <m/>
    <m/>
    <m/>
    <m/>
    <m/>
    <s v="x"/>
    <s v="x"/>
    <s v="na"/>
    <s v="NRD"/>
    <s v="na"/>
    <s v="na"/>
    <s v="na"/>
    <s v="na"/>
    <s v="na"/>
    <s v="na"/>
    <s v="na"/>
    <s v="na"/>
  </r>
  <r>
    <n v="4419"/>
    <x v="85"/>
    <m/>
    <x v="14"/>
    <x v="3"/>
    <x v="0"/>
    <m/>
    <m/>
    <m/>
    <m/>
    <m/>
    <m/>
    <m/>
    <m/>
    <m/>
    <m/>
    <m/>
    <m/>
    <s v="x"/>
    <s v="x"/>
    <s v="na"/>
    <s v="NRD"/>
    <s v="na"/>
    <s v="na"/>
    <s v="na"/>
    <s v="na"/>
    <s v="na"/>
    <s v="na"/>
    <s v="na"/>
    <s v="na"/>
  </r>
  <r>
    <n v="4420"/>
    <x v="85"/>
    <m/>
    <x v="14"/>
    <x v="3"/>
    <x v="0"/>
    <m/>
    <m/>
    <m/>
    <m/>
    <m/>
    <m/>
    <m/>
    <m/>
    <m/>
    <m/>
    <m/>
    <m/>
    <s v="x"/>
    <s v="x"/>
    <s v="na"/>
    <s v="NRD"/>
    <s v="na"/>
    <s v="na"/>
    <s v="na"/>
    <s v="na"/>
    <s v="na"/>
    <s v="na"/>
    <s v="na"/>
    <s v="na"/>
  </r>
  <r>
    <n v="4421"/>
    <x v="85"/>
    <m/>
    <x v="14"/>
    <x v="3"/>
    <x v="0"/>
    <m/>
    <m/>
    <m/>
    <m/>
    <m/>
    <m/>
    <m/>
    <m/>
    <m/>
    <m/>
    <m/>
    <m/>
    <s v="x"/>
    <s v="x"/>
    <s v="na"/>
    <s v="NRD"/>
    <s v="na"/>
    <s v="na"/>
    <s v="na"/>
    <s v="na"/>
    <s v="na"/>
    <s v="na"/>
    <s v="na"/>
    <s v="na"/>
  </r>
  <r>
    <n v="4422"/>
    <x v="85"/>
    <m/>
    <x v="14"/>
    <x v="3"/>
    <x v="0"/>
    <m/>
    <m/>
    <m/>
    <m/>
    <m/>
    <m/>
    <m/>
    <m/>
    <m/>
    <m/>
    <m/>
    <m/>
    <s v="x"/>
    <s v="x"/>
    <s v="na"/>
    <s v="NRD"/>
    <s v="na"/>
    <s v="na"/>
    <s v="na"/>
    <s v="na"/>
    <s v="na"/>
    <s v="na"/>
    <s v="na"/>
    <s v="na"/>
  </r>
  <r>
    <n v="4423"/>
    <x v="85"/>
    <m/>
    <x v="14"/>
    <x v="3"/>
    <x v="0"/>
    <m/>
    <m/>
    <m/>
    <m/>
    <m/>
    <m/>
    <m/>
    <m/>
    <m/>
    <m/>
    <m/>
    <m/>
    <s v="x"/>
    <s v="x"/>
    <s v="na"/>
    <s v="NRD"/>
    <s v="na"/>
    <s v="na"/>
    <s v="na"/>
    <s v="na"/>
    <s v="na"/>
    <s v="na"/>
    <s v="na"/>
    <s v="na"/>
  </r>
  <r>
    <n v="4424"/>
    <x v="85"/>
    <m/>
    <x v="14"/>
    <x v="3"/>
    <x v="0"/>
    <m/>
    <m/>
    <m/>
    <m/>
    <m/>
    <m/>
    <m/>
    <m/>
    <m/>
    <m/>
    <m/>
    <m/>
    <s v="x"/>
    <s v="x"/>
    <s v="na"/>
    <s v="NRD"/>
    <s v="na"/>
    <s v="na"/>
    <s v="na"/>
    <s v="na"/>
    <s v="na"/>
    <s v="na"/>
    <s v="na"/>
    <s v="na"/>
  </r>
  <r>
    <n v="4425"/>
    <x v="85"/>
    <m/>
    <x v="14"/>
    <x v="3"/>
    <x v="0"/>
    <m/>
    <m/>
    <m/>
    <m/>
    <m/>
    <m/>
    <m/>
    <m/>
    <m/>
    <m/>
    <m/>
    <m/>
    <s v="x"/>
    <s v="x"/>
    <s v="na"/>
    <s v="NRD"/>
    <s v="na"/>
    <s v="na"/>
    <s v="na"/>
    <s v="na"/>
    <s v="na"/>
    <s v="na"/>
    <s v="na"/>
    <s v="na"/>
  </r>
  <r>
    <n v="4426"/>
    <x v="85"/>
    <m/>
    <x v="14"/>
    <x v="3"/>
    <x v="0"/>
    <m/>
    <m/>
    <m/>
    <m/>
    <m/>
    <m/>
    <m/>
    <m/>
    <m/>
    <m/>
    <m/>
    <m/>
    <s v="x"/>
    <s v="x"/>
    <s v="na"/>
    <s v="NRD"/>
    <s v="na"/>
    <s v="na"/>
    <s v="na"/>
    <s v="na"/>
    <s v="na"/>
    <s v="na"/>
    <s v="na"/>
    <s v="na"/>
  </r>
  <r>
    <n v="4427"/>
    <x v="85"/>
    <m/>
    <x v="14"/>
    <x v="3"/>
    <x v="0"/>
    <m/>
    <m/>
    <m/>
    <m/>
    <m/>
    <m/>
    <m/>
    <m/>
    <m/>
    <m/>
    <m/>
    <m/>
    <s v="x"/>
    <s v="x"/>
    <s v="na"/>
    <s v="NRD"/>
    <s v="na"/>
    <s v="na"/>
    <s v="na"/>
    <s v="na"/>
    <s v="na"/>
    <s v="na"/>
    <s v="na"/>
    <s v="na"/>
  </r>
  <r>
    <n v="4428"/>
    <x v="85"/>
    <m/>
    <x v="14"/>
    <x v="3"/>
    <x v="0"/>
    <m/>
    <m/>
    <m/>
    <m/>
    <m/>
    <m/>
    <m/>
    <m/>
    <m/>
    <m/>
    <m/>
    <m/>
    <s v="x"/>
    <s v="x"/>
    <s v="na"/>
    <s v="NRD"/>
    <s v="na"/>
    <s v="na"/>
    <s v="na"/>
    <s v="na"/>
    <s v="na"/>
    <s v="na"/>
    <s v="na"/>
    <s v="na"/>
  </r>
  <r>
    <n v="4429"/>
    <x v="85"/>
    <m/>
    <x v="14"/>
    <x v="3"/>
    <x v="0"/>
    <m/>
    <m/>
    <m/>
    <m/>
    <m/>
    <m/>
    <m/>
    <m/>
    <m/>
    <m/>
    <m/>
    <m/>
    <s v="x"/>
    <s v="x"/>
    <s v="na"/>
    <s v="NRD"/>
    <s v="na"/>
    <s v="na"/>
    <s v="na"/>
    <s v="na"/>
    <s v="na"/>
    <s v="na"/>
    <s v="na"/>
    <s v="na"/>
  </r>
  <r>
    <n v="4430"/>
    <x v="85"/>
    <m/>
    <x v="14"/>
    <x v="3"/>
    <x v="0"/>
    <m/>
    <m/>
    <m/>
    <m/>
    <m/>
    <m/>
    <m/>
    <m/>
    <m/>
    <m/>
    <m/>
    <m/>
    <s v="x"/>
    <s v="x"/>
    <s v="na"/>
    <s v="NRD"/>
    <s v="na"/>
    <s v="na"/>
    <s v="na"/>
    <s v="na"/>
    <s v="na"/>
    <s v="na"/>
    <s v="na"/>
    <s v="na"/>
  </r>
  <r>
    <n v="4431"/>
    <x v="85"/>
    <m/>
    <x v="14"/>
    <x v="3"/>
    <x v="0"/>
    <m/>
    <m/>
    <m/>
    <m/>
    <m/>
    <m/>
    <m/>
    <m/>
    <m/>
    <m/>
    <m/>
    <m/>
    <s v="x"/>
    <s v="x"/>
    <s v="na"/>
    <s v="NRD"/>
    <s v="na"/>
    <s v="na"/>
    <s v="na"/>
    <s v="na"/>
    <s v="na"/>
    <s v="na"/>
    <s v="na"/>
    <s v="na"/>
  </r>
  <r>
    <n v="4432"/>
    <x v="85"/>
    <m/>
    <x v="14"/>
    <x v="3"/>
    <x v="0"/>
    <m/>
    <m/>
    <m/>
    <m/>
    <m/>
    <m/>
    <m/>
    <m/>
    <m/>
    <m/>
    <m/>
    <m/>
    <s v="x"/>
    <s v="x"/>
    <s v="na"/>
    <s v="NRD"/>
    <s v="na"/>
    <s v="na"/>
    <s v="na"/>
    <s v="na"/>
    <s v="na"/>
    <s v="na"/>
    <s v="na"/>
    <s v="na"/>
  </r>
  <r>
    <n v="4433"/>
    <x v="85"/>
    <m/>
    <x v="14"/>
    <x v="3"/>
    <x v="0"/>
    <m/>
    <m/>
    <m/>
    <m/>
    <m/>
    <m/>
    <m/>
    <m/>
    <m/>
    <m/>
    <m/>
    <m/>
    <s v="x"/>
    <s v="x"/>
    <s v="na"/>
    <s v="NRD"/>
    <s v="na"/>
    <s v="na"/>
    <s v="na"/>
    <s v="na"/>
    <s v="na"/>
    <s v="na"/>
    <s v="na"/>
    <s v="na"/>
  </r>
  <r>
    <n v="4434"/>
    <x v="85"/>
    <m/>
    <x v="14"/>
    <x v="3"/>
    <x v="0"/>
    <m/>
    <m/>
    <m/>
    <m/>
    <m/>
    <m/>
    <m/>
    <m/>
    <m/>
    <m/>
    <m/>
    <m/>
    <s v="x"/>
    <s v="x"/>
    <s v="na"/>
    <s v="NRD"/>
    <s v="na"/>
    <s v="na"/>
    <s v="na"/>
    <s v="na"/>
    <s v="na"/>
    <s v="na"/>
    <s v="na"/>
    <s v="na"/>
  </r>
  <r>
    <n v="4435"/>
    <x v="85"/>
    <m/>
    <x v="14"/>
    <x v="3"/>
    <x v="0"/>
    <m/>
    <m/>
    <m/>
    <m/>
    <m/>
    <m/>
    <m/>
    <m/>
    <m/>
    <m/>
    <m/>
    <m/>
    <s v="x"/>
    <s v="x"/>
    <s v="na"/>
    <s v="NRD"/>
    <s v="na"/>
    <s v="na"/>
    <s v="na"/>
    <s v="na"/>
    <s v="na"/>
    <s v="na"/>
    <s v="na"/>
    <s v="na"/>
  </r>
  <r>
    <n v="4436"/>
    <x v="85"/>
    <m/>
    <x v="14"/>
    <x v="3"/>
    <x v="0"/>
    <m/>
    <m/>
    <m/>
    <m/>
    <m/>
    <m/>
    <m/>
    <m/>
    <m/>
    <m/>
    <m/>
    <m/>
    <s v="x"/>
    <s v="x"/>
    <s v="na"/>
    <s v="NRD"/>
    <s v="na"/>
    <s v="na"/>
    <s v="na"/>
    <s v="na"/>
    <s v="na"/>
    <s v="na"/>
    <s v="na"/>
    <s v="na"/>
  </r>
  <r>
    <n v="4437"/>
    <x v="85"/>
    <m/>
    <x v="14"/>
    <x v="3"/>
    <x v="0"/>
    <m/>
    <m/>
    <m/>
    <m/>
    <m/>
    <m/>
    <m/>
    <m/>
    <m/>
    <m/>
    <m/>
    <m/>
    <s v="x"/>
    <s v="x"/>
    <s v="na"/>
    <s v="NRD"/>
    <s v="na"/>
    <s v="na"/>
    <s v="na"/>
    <s v="na"/>
    <s v="na"/>
    <s v="na"/>
    <s v="na"/>
    <s v="na"/>
  </r>
  <r>
    <n v="4438"/>
    <x v="85"/>
    <m/>
    <x v="14"/>
    <x v="3"/>
    <x v="0"/>
    <m/>
    <m/>
    <m/>
    <m/>
    <m/>
    <m/>
    <m/>
    <m/>
    <m/>
    <m/>
    <m/>
    <m/>
    <s v="x"/>
    <s v="x"/>
    <s v="na"/>
    <s v="NRD"/>
    <s v="na"/>
    <s v="na"/>
    <s v="na"/>
    <s v="na"/>
    <s v="na"/>
    <s v="na"/>
    <s v="na"/>
    <s v="na"/>
  </r>
  <r>
    <n v="4439"/>
    <x v="85"/>
    <m/>
    <x v="14"/>
    <x v="3"/>
    <x v="0"/>
    <m/>
    <m/>
    <m/>
    <m/>
    <m/>
    <m/>
    <m/>
    <m/>
    <m/>
    <m/>
    <m/>
    <m/>
    <s v="x"/>
    <s v="x"/>
    <s v="na"/>
    <s v="NRD"/>
    <s v="na"/>
    <s v="na"/>
    <s v="na"/>
    <s v="na"/>
    <s v="na"/>
    <s v="na"/>
    <s v="na"/>
    <s v="na"/>
  </r>
  <r>
    <n v="4440"/>
    <x v="85"/>
    <m/>
    <x v="14"/>
    <x v="3"/>
    <x v="0"/>
    <m/>
    <m/>
    <m/>
    <m/>
    <m/>
    <m/>
    <m/>
    <m/>
    <m/>
    <m/>
    <m/>
    <m/>
    <s v="x"/>
    <s v="x"/>
    <s v="na"/>
    <s v="NRD"/>
    <s v="na"/>
    <s v="na"/>
    <s v="na"/>
    <s v="na"/>
    <s v="na"/>
    <s v="na"/>
    <s v="na"/>
    <s v="na"/>
  </r>
  <r>
    <n v="4441"/>
    <x v="85"/>
    <m/>
    <x v="14"/>
    <x v="3"/>
    <x v="0"/>
    <m/>
    <m/>
    <m/>
    <m/>
    <m/>
    <m/>
    <m/>
    <m/>
    <m/>
    <m/>
    <m/>
    <m/>
    <s v="x"/>
    <s v="x"/>
    <s v="na"/>
    <s v="NRD"/>
    <s v="na"/>
    <s v="na"/>
    <s v="na"/>
    <s v="na"/>
    <s v="na"/>
    <s v="na"/>
    <s v="na"/>
    <s v="na"/>
  </r>
  <r>
    <n v="4442"/>
    <x v="85"/>
    <m/>
    <x v="14"/>
    <x v="3"/>
    <x v="0"/>
    <m/>
    <m/>
    <m/>
    <m/>
    <m/>
    <m/>
    <m/>
    <m/>
    <m/>
    <m/>
    <m/>
    <m/>
    <s v="x"/>
    <s v="x"/>
    <s v="na"/>
    <s v="NRD"/>
    <s v="na"/>
    <s v="na"/>
    <s v="na"/>
    <s v="na"/>
    <s v="na"/>
    <s v="na"/>
    <s v="na"/>
    <s v="na"/>
  </r>
  <r>
    <n v="4443"/>
    <x v="85"/>
    <m/>
    <x v="14"/>
    <x v="3"/>
    <x v="0"/>
    <m/>
    <m/>
    <m/>
    <m/>
    <m/>
    <m/>
    <m/>
    <m/>
    <m/>
    <m/>
    <m/>
    <m/>
    <s v="x"/>
    <s v="x"/>
    <s v="na"/>
    <s v="NRD"/>
    <s v="na"/>
    <s v="na"/>
    <s v="na"/>
    <s v="na"/>
    <s v="na"/>
    <s v="na"/>
    <s v="na"/>
    <s v="na"/>
  </r>
  <r>
    <n v="4444"/>
    <x v="85"/>
    <m/>
    <x v="14"/>
    <x v="3"/>
    <x v="0"/>
    <m/>
    <m/>
    <m/>
    <m/>
    <m/>
    <m/>
    <m/>
    <m/>
    <m/>
    <m/>
    <m/>
    <m/>
    <s v="x"/>
    <s v="x"/>
    <s v="na"/>
    <s v="NRD"/>
    <s v="na"/>
    <s v="na"/>
    <s v="na"/>
    <s v="na"/>
    <s v="na"/>
    <s v="na"/>
    <s v="na"/>
    <s v="na"/>
  </r>
  <r>
    <n v="4445"/>
    <x v="85"/>
    <m/>
    <x v="14"/>
    <x v="3"/>
    <x v="0"/>
    <m/>
    <m/>
    <m/>
    <m/>
    <m/>
    <m/>
    <m/>
    <m/>
    <m/>
    <m/>
    <m/>
    <m/>
    <s v="x"/>
    <s v="x"/>
    <s v="na"/>
    <s v="NRD"/>
    <s v="na"/>
    <s v="na"/>
    <s v="na"/>
    <s v="na"/>
    <s v="na"/>
    <s v="na"/>
    <s v="na"/>
    <s v="na"/>
  </r>
  <r>
    <n v="4446"/>
    <x v="85"/>
    <m/>
    <x v="14"/>
    <x v="3"/>
    <x v="0"/>
    <m/>
    <m/>
    <m/>
    <m/>
    <m/>
    <m/>
    <m/>
    <m/>
    <m/>
    <m/>
    <m/>
    <m/>
    <s v="x"/>
    <s v="x"/>
    <s v="na"/>
    <s v="NRD"/>
    <s v="na"/>
    <s v="na"/>
    <s v="na"/>
    <s v="na"/>
    <s v="na"/>
    <s v="na"/>
    <s v="na"/>
    <s v="na"/>
  </r>
  <r>
    <n v="4447"/>
    <x v="85"/>
    <m/>
    <x v="14"/>
    <x v="3"/>
    <x v="0"/>
    <m/>
    <m/>
    <m/>
    <m/>
    <m/>
    <m/>
    <m/>
    <m/>
    <m/>
    <m/>
    <m/>
    <m/>
    <s v="x"/>
    <s v="x"/>
    <s v="na"/>
    <s v="NRD"/>
    <s v="na"/>
    <s v="na"/>
    <s v="na"/>
    <s v="na"/>
    <s v="na"/>
    <s v="na"/>
    <s v="na"/>
    <s v="na"/>
  </r>
  <r>
    <n v="4448"/>
    <x v="85"/>
    <m/>
    <x v="14"/>
    <x v="3"/>
    <x v="0"/>
    <m/>
    <m/>
    <m/>
    <m/>
    <m/>
    <m/>
    <m/>
    <m/>
    <m/>
    <m/>
    <m/>
    <m/>
    <s v="x"/>
    <s v="x"/>
    <s v="na"/>
    <s v="NRD"/>
    <s v="na"/>
    <s v="na"/>
    <s v="na"/>
    <s v="na"/>
    <s v="na"/>
    <s v="na"/>
    <s v="na"/>
    <s v="na"/>
  </r>
  <r>
    <n v="4449"/>
    <x v="85"/>
    <m/>
    <x v="14"/>
    <x v="3"/>
    <x v="0"/>
    <m/>
    <m/>
    <m/>
    <m/>
    <m/>
    <m/>
    <m/>
    <m/>
    <m/>
    <m/>
    <m/>
    <m/>
    <s v="x"/>
    <s v="x"/>
    <s v="na"/>
    <s v="NRD"/>
    <s v="na"/>
    <s v="na"/>
    <s v="na"/>
    <s v="na"/>
    <s v="na"/>
    <s v="na"/>
    <s v="na"/>
    <s v="na"/>
  </r>
  <r>
    <n v="4450"/>
    <x v="85"/>
    <m/>
    <x v="14"/>
    <x v="3"/>
    <x v="0"/>
    <m/>
    <m/>
    <m/>
    <m/>
    <m/>
    <m/>
    <m/>
    <m/>
    <m/>
    <m/>
    <m/>
    <m/>
    <s v="x"/>
    <s v="x"/>
    <s v="na"/>
    <s v="NRD"/>
    <s v="na"/>
    <s v="na"/>
    <s v="na"/>
    <s v="na"/>
    <s v="na"/>
    <s v="na"/>
    <s v="na"/>
    <s v="na"/>
  </r>
  <r>
    <n v="4451"/>
    <x v="85"/>
    <m/>
    <x v="14"/>
    <x v="3"/>
    <x v="0"/>
    <m/>
    <m/>
    <m/>
    <m/>
    <m/>
    <m/>
    <m/>
    <m/>
    <m/>
    <m/>
    <m/>
    <m/>
    <s v="x"/>
    <s v="x"/>
    <s v="na"/>
    <s v="NRD"/>
    <s v="na"/>
    <s v="na"/>
    <s v="na"/>
    <s v="na"/>
    <s v="na"/>
    <s v="na"/>
    <s v="na"/>
    <s v="na"/>
  </r>
  <r>
    <n v="4452"/>
    <x v="85"/>
    <m/>
    <x v="14"/>
    <x v="3"/>
    <x v="0"/>
    <m/>
    <m/>
    <m/>
    <m/>
    <m/>
    <m/>
    <m/>
    <m/>
    <m/>
    <m/>
    <m/>
    <m/>
    <s v="x"/>
    <s v="x"/>
    <s v="na"/>
    <s v="NRD"/>
    <s v="na"/>
    <s v="na"/>
    <s v="na"/>
    <s v="na"/>
    <s v="na"/>
    <s v="na"/>
    <s v="na"/>
    <s v="na"/>
  </r>
  <r>
    <n v="4453"/>
    <x v="85"/>
    <m/>
    <x v="14"/>
    <x v="3"/>
    <x v="0"/>
    <m/>
    <m/>
    <m/>
    <m/>
    <m/>
    <m/>
    <m/>
    <m/>
    <m/>
    <m/>
    <m/>
    <m/>
    <s v="x"/>
    <s v="x"/>
    <s v="na"/>
    <s v="NRD"/>
    <s v="na"/>
    <s v="na"/>
    <s v="na"/>
    <s v="na"/>
    <s v="na"/>
    <s v="na"/>
    <s v="na"/>
    <s v="na"/>
  </r>
  <r>
    <n v="4454"/>
    <x v="85"/>
    <m/>
    <x v="14"/>
    <x v="3"/>
    <x v="0"/>
    <m/>
    <m/>
    <m/>
    <m/>
    <m/>
    <m/>
    <m/>
    <m/>
    <m/>
    <m/>
    <m/>
    <m/>
    <s v="x"/>
    <s v="x"/>
    <s v="na"/>
    <s v="NRD"/>
    <s v="na"/>
    <s v="na"/>
    <s v="na"/>
    <s v="na"/>
    <s v="na"/>
    <s v="na"/>
    <s v="na"/>
    <s v="na"/>
  </r>
  <r>
    <n v="4455"/>
    <x v="85"/>
    <m/>
    <x v="14"/>
    <x v="3"/>
    <x v="0"/>
    <m/>
    <m/>
    <m/>
    <m/>
    <m/>
    <m/>
    <m/>
    <m/>
    <m/>
    <m/>
    <m/>
    <m/>
    <s v="x"/>
    <s v="x"/>
    <s v="na"/>
    <s v="NRD"/>
    <s v="na"/>
    <s v="na"/>
    <s v="na"/>
    <s v="na"/>
    <s v="na"/>
    <s v="na"/>
    <s v="na"/>
    <s v="na"/>
  </r>
  <r>
    <n v="4456"/>
    <x v="85"/>
    <m/>
    <x v="14"/>
    <x v="3"/>
    <x v="0"/>
    <m/>
    <m/>
    <m/>
    <m/>
    <m/>
    <m/>
    <m/>
    <m/>
    <m/>
    <m/>
    <m/>
    <m/>
    <s v="x"/>
    <s v="x"/>
    <s v="na"/>
    <s v="NRD"/>
    <s v="na"/>
    <s v="na"/>
    <s v="na"/>
    <s v="na"/>
    <s v="na"/>
    <s v="na"/>
    <s v="na"/>
    <s v="na"/>
  </r>
  <r>
    <n v="4457"/>
    <x v="85"/>
    <m/>
    <x v="14"/>
    <x v="3"/>
    <x v="0"/>
    <m/>
    <m/>
    <m/>
    <m/>
    <m/>
    <m/>
    <m/>
    <m/>
    <m/>
    <m/>
    <m/>
    <m/>
    <s v="x"/>
    <s v="x"/>
    <s v="na"/>
    <s v="NRD"/>
    <s v="na"/>
    <s v="na"/>
    <s v="na"/>
    <s v="na"/>
    <s v="na"/>
    <s v="na"/>
    <s v="na"/>
    <s v="na"/>
  </r>
  <r>
    <n v="4458"/>
    <x v="85"/>
    <m/>
    <x v="14"/>
    <x v="3"/>
    <x v="0"/>
    <m/>
    <m/>
    <m/>
    <m/>
    <m/>
    <m/>
    <m/>
    <m/>
    <m/>
    <m/>
    <m/>
    <m/>
    <s v="x"/>
    <s v="x"/>
    <s v="na"/>
    <s v="NRD"/>
    <s v="na"/>
    <s v="na"/>
    <s v="na"/>
    <s v="na"/>
    <s v="na"/>
    <s v="na"/>
    <s v="na"/>
    <s v="na"/>
  </r>
  <r>
    <n v="4459"/>
    <x v="85"/>
    <m/>
    <x v="14"/>
    <x v="3"/>
    <x v="0"/>
    <m/>
    <m/>
    <m/>
    <m/>
    <m/>
    <m/>
    <m/>
    <m/>
    <m/>
    <m/>
    <m/>
    <m/>
    <s v="x"/>
    <s v="x"/>
    <s v="na"/>
    <s v="NRD"/>
    <s v="na"/>
    <s v="na"/>
    <s v="na"/>
    <s v="na"/>
    <s v="na"/>
    <s v="na"/>
    <s v="na"/>
    <s v="na"/>
  </r>
  <r>
    <n v="4460"/>
    <x v="85"/>
    <m/>
    <x v="14"/>
    <x v="3"/>
    <x v="0"/>
    <m/>
    <m/>
    <m/>
    <m/>
    <m/>
    <m/>
    <m/>
    <m/>
    <m/>
    <m/>
    <m/>
    <m/>
    <s v="x"/>
    <s v="x"/>
    <s v="na"/>
    <s v="NRD"/>
    <s v="na"/>
    <s v="na"/>
    <s v="na"/>
    <s v="na"/>
    <s v="na"/>
    <s v="na"/>
    <s v="na"/>
    <s v="na"/>
  </r>
  <r>
    <n v="4461"/>
    <x v="85"/>
    <m/>
    <x v="14"/>
    <x v="3"/>
    <x v="0"/>
    <m/>
    <m/>
    <m/>
    <m/>
    <m/>
    <m/>
    <m/>
    <m/>
    <m/>
    <m/>
    <m/>
    <m/>
    <s v="x"/>
    <s v="x"/>
    <s v="na"/>
    <s v="NRD"/>
    <s v="na"/>
    <s v="na"/>
    <s v="na"/>
    <s v="na"/>
    <s v="na"/>
    <s v="na"/>
    <s v="na"/>
    <s v="na"/>
  </r>
  <r>
    <n v="4462"/>
    <x v="85"/>
    <m/>
    <x v="14"/>
    <x v="3"/>
    <x v="0"/>
    <m/>
    <m/>
    <m/>
    <m/>
    <m/>
    <m/>
    <m/>
    <m/>
    <m/>
    <m/>
    <m/>
    <m/>
    <s v="x"/>
    <s v="x"/>
    <s v="na"/>
    <s v="NRD"/>
    <s v="na"/>
    <s v="na"/>
    <s v="na"/>
    <s v="na"/>
    <s v="na"/>
    <s v="na"/>
    <s v="na"/>
    <s v="na"/>
  </r>
  <r>
    <n v="4463"/>
    <x v="85"/>
    <m/>
    <x v="14"/>
    <x v="3"/>
    <x v="0"/>
    <m/>
    <m/>
    <m/>
    <m/>
    <m/>
    <m/>
    <m/>
    <m/>
    <m/>
    <m/>
    <m/>
    <m/>
    <s v="x"/>
    <s v="x"/>
    <s v="na"/>
    <s v="NRD"/>
    <s v="na"/>
    <s v="na"/>
    <s v="na"/>
    <s v="na"/>
    <s v="na"/>
    <s v="na"/>
    <s v="na"/>
    <s v="na"/>
  </r>
  <r>
    <n v="4464"/>
    <x v="85"/>
    <m/>
    <x v="14"/>
    <x v="3"/>
    <x v="0"/>
    <m/>
    <m/>
    <m/>
    <m/>
    <m/>
    <m/>
    <m/>
    <m/>
    <m/>
    <m/>
    <m/>
    <m/>
    <s v="x"/>
    <s v="x"/>
    <s v="na"/>
    <s v="NRD"/>
    <s v="na"/>
    <s v="na"/>
    <s v="na"/>
    <s v="na"/>
    <s v="na"/>
    <s v="na"/>
    <s v="na"/>
    <s v="na"/>
  </r>
  <r>
    <n v="4465"/>
    <x v="85"/>
    <m/>
    <x v="14"/>
    <x v="3"/>
    <x v="0"/>
    <m/>
    <m/>
    <m/>
    <m/>
    <m/>
    <m/>
    <m/>
    <m/>
    <m/>
    <m/>
    <m/>
    <m/>
    <s v="x"/>
    <s v="x"/>
    <s v="na"/>
    <s v="NRD"/>
    <s v="na"/>
    <s v="na"/>
    <s v="na"/>
    <s v="na"/>
    <s v="na"/>
    <s v="na"/>
    <s v="na"/>
    <s v="na"/>
  </r>
  <r>
    <n v="4466"/>
    <x v="85"/>
    <m/>
    <x v="14"/>
    <x v="3"/>
    <x v="0"/>
    <m/>
    <m/>
    <m/>
    <m/>
    <m/>
    <m/>
    <m/>
    <m/>
    <m/>
    <m/>
    <m/>
    <m/>
    <s v="x"/>
    <s v="x"/>
    <s v="na"/>
    <s v="NRD"/>
    <s v="na"/>
    <s v="na"/>
    <s v="na"/>
    <s v="na"/>
    <s v="na"/>
    <s v="na"/>
    <s v="na"/>
    <s v="na"/>
  </r>
  <r>
    <n v="4467"/>
    <x v="85"/>
    <m/>
    <x v="14"/>
    <x v="3"/>
    <x v="0"/>
    <m/>
    <m/>
    <m/>
    <m/>
    <m/>
    <m/>
    <m/>
    <m/>
    <m/>
    <m/>
    <m/>
    <m/>
    <s v="x"/>
    <s v="x"/>
    <s v="na"/>
    <s v="NRD"/>
    <s v="na"/>
    <s v="na"/>
    <s v="na"/>
    <s v="na"/>
    <s v="na"/>
    <s v="na"/>
    <s v="na"/>
    <s v="na"/>
  </r>
  <r>
    <n v="4468"/>
    <x v="85"/>
    <m/>
    <x v="14"/>
    <x v="3"/>
    <x v="0"/>
    <m/>
    <m/>
    <m/>
    <m/>
    <m/>
    <m/>
    <m/>
    <m/>
    <m/>
    <m/>
    <m/>
    <m/>
    <s v="x"/>
    <s v="x"/>
    <s v="na"/>
    <s v="NRD"/>
    <s v="na"/>
    <s v="na"/>
    <s v="na"/>
    <s v="na"/>
    <s v="na"/>
    <s v="na"/>
    <s v="na"/>
    <s v="na"/>
  </r>
  <r>
    <n v="4469"/>
    <x v="85"/>
    <m/>
    <x v="14"/>
    <x v="3"/>
    <x v="0"/>
    <m/>
    <m/>
    <m/>
    <m/>
    <m/>
    <m/>
    <m/>
    <m/>
    <m/>
    <m/>
    <m/>
    <m/>
    <s v="x"/>
    <s v="x"/>
    <s v="na"/>
    <s v="NRD"/>
    <s v="na"/>
    <s v="na"/>
    <s v="na"/>
    <s v="na"/>
    <s v="na"/>
    <s v="na"/>
    <s v="na"/>
    <s v="na"/>
  </r>
  <r>
    <n v="4470"/>
    <x v="85"/>
    <m/>
    <x v="14"/>
    <x v="3"/>
    <x v="0"/>
    <m/>
    <m/>
    <m/>
    <m/>
    <m/>
    <m/>
    <m/>
    <m/>
    <m/>
    <m/>
    <m/>
    <m/>
    <s v="x"/>
    <s v="x"/>
    <s v="na"/>
    <s v="NRD"/>
    <s v="na"/>
    <s v="na"/>
    <s v="na"/>
    <s v="na"/>
    <s v="na"/>
    <s v="na"/>
    <s v="na"/>
    <s v="na"/>
  </r>
  <r>
    <n v="4471"/>
    <x v="85"/>
    <m/>
    <x v="14"/>
    <x v="3"/>
    <x v="0"/>
    <m/>
    <m/>
    <m/>
    <m/>
    <m/>
    <m/>
    <m/>
    <m/>
    <m/>
    <m/>
    <m/>
    <m/>
    <s v="x"/>
    <s v="x"/>
    <s v="na"/>
    <s v="NRD"/>
    <s v="na"/>
    <s v="na"/>
    <s v="na"/>
    <s v="na"/>
    <s v="na"/>
    <s v="na"/>
    <s v="na"/>
    <s v="na"/>
  </r>
  <r>
    <n v="4472"/>
    <x v="85"/>
    <m/>
    <x v="14"/>
    <x v="3"/>
    <x v="0"/>
    <m/>
    <m/>
    <m/>
    <m/>
    <m/>
    <m/>
    <m/>
    <m/>
    <m/>
    <m/>
    <m/>
    <m/>
    <s v="x"/>
    <s v="x"/>
    <s v="na"/>
    <s v="NRD"/>
    <s v="na"/>
    <s v="na"/>
    <s v="na"/>
    <s v="na"/>
    <s v="na"/>
    <s v="na"/>
    <s v="na"/>
    <s v="na"/>
  </r>
  <r>
    <n v="4473"/>
    <x v="85"/>
    <m/>
    <x v="14"/>
    <x v="3"/>
    <x v="0"/>
    <m/>
    <m/>
    <m/>
    <m/>
    <m/>
    <m/>
    <m/>
    <m/>
    <m/>
    <m/>
    <m/>
    <m/>
    <s v="x"/>
    <s v="x"/>
    <s v="na"/>
    <s v="NRD"/>
    <s v="na"/>
    <s v="na"/>
    <s v="na"/>
    <s v="na"/>
    <s v="na"/>
    <s v="na"/>
    <s v="na"/>
    <s v="na"/>
  </r>
  <r>
    <n v="4474"/>
    <x v="85"/>
    <m/>
    <x v="14"/>
    <x v="3"/>
    <x v="0"/>
    <m/>
    <m/>
    <m/>
    <m/>
    <m/>
    <m/>
    <m/>
    <m/>
    <m/>
    <m/>
    <m/>
    <m/>
    <s v="x"/>
    <s v="x"/>
    <s v="na"/>
    <s v="NRD"/>
    <s v="na"/>
    <s v="na"/>
    <s v="na"/>
    <s v="na"/>
    <s v="na"/>
    <s v="na"/>
    <s v="na"/>
    <s v="na"/>
  </r>
  <r>
    <n v="4475"/>
    <x v="85"/>
    <m/>
    <x v="14"/>
    <x v="3"/>
    <x v="0"/>
    <m/>
    <m/>
    <m/>
    <m/>
    <m/>
    <m/>
    <m/>
    <m/>
    <m/>
    <m/>
    <m/>
    <m/>
    <s v="x"/>
    <s v="x"/>
    <s v="na"/>
    <s v="NRD"/>
    <s v="na"/>
    <s v="na"/>
    <s v="na"/>
    <s v="na"/>
    <s v="na"/>
    <s v="na"/>
    <s v="na"/>
    <s v="na"/>
  </r>
  <r>
    <n v="4476"/>
    <x v="85"/>
    <m/>
    <x v="14"/>
    <x v="3"/>
    <x v="0"/>
    <m/>
    <m/>
    <m/>
    <m/>
    <m/>
    <m/>
    <m/>
    <m/>
    <m/>
    <m/>
    <m/>
    <m/>
    <s v="x"/>
    <s v="x"/>
    <s v="na"/>
    <s v="NRD"/>
    <s v="na"/>
    <s v="na"/>
    <s v="na"/>
    <s v="na"/>
    <s v="na"/>
    <s v="na"/>
    <s v="na"/>
    <s v="na"/>
  </r>
  <r>
    <n v="4477"/>
    <x v="85"/>
    <m/>
    <x v="14"/>
    <x v="3"/>
    <x v="0"/>
    <m/>
    <m/>
    <m/>
    <m/>
    <m/>
    <m/>
    <m/>
    <m/>
    <m/>
    <m/>
    <m/>
    <m/>
    <s v="x"/>
    <s v="x"/>
    <s v="na"/>
    <s v="NRD"/>
    <s v="na"/>
    <s v="na"/>
    <s v="na"/>
    <s v="na"/>
    <s v="na"/>
    <s v="na"/>
    <s v="na"/>
    <s v="na"/>
  </r>
  <r>
    <n v="4478"/>
    <x v="85"/>
    <m/>
    <x v="14"/>
    <x v="3"/>
    <x v="0"/>
    <m/>
    <m/>
    <m/>
    <m/>
    <m/>
    <m/>
    <m/>
    <m/>
    <m/>
    <m/>
    <m/>
    <m/>
    <s v="x"/>
    <s v="x"/>
    <s v="na"/>
    <s v="NRD"/>
    <s v="na"/>
    <s v="na"/>
    <s v="na"/>
    <s v="na"/>
    <s v="na"/>
    <s v="na"/>
    <s v="na"/>
    <s v="na"/>
  </r>
  <r>
    <n v="4479"/>
    <x v="85"/>
    <m/>
    <x v="14"/>
    <x v="3"/>
    <x v="0"/>
    <m/>
    <m/>
    <m/>
    <m/>
    <m/>
    <m/>
    <m/>
    <m/>
    <m/>
    <m/>
    <m/>
    <m/>
    <s v="x"/>
    <s v="x"/>
    <s v="na"/>
    <s v="NRD"/>
    <s v="na"/>
    <s v="na"/>
    <s v="na"/>
    <s v="na"/>
    <s v="na"/>
    <s v="na"/>
    <s v="na"/>
    <s v="na"/>
  </r>
  <r>
    <n v="4480"/>
    <x v="85"/>
    <m/>
    <x v="14"/>
    <x v="3"/>
    <x v="0"/>
    <m/>
    <m/>
    <m/>
    <m/>
    <m/>
    <m/>
    <m/>
    <m/>
    <m/>
    <m/>
    <m/>
    <m/>
    <s v="x"/>
    <s v="x"/>
    <s v="na"/>
    <s v="NRD"/>
    <s v="na"/>
    <s v="na"/>
    <s v="na"/>
    <s v="na"/>
    <s v="na"/>
    <s v="na"/>
    <s v="na"/>
    <s v="na"/>
  </r>
  <r>
    <n v="4481"/>
    <x v="85"/>
    <m/>
    <x v="14"/>
    <x v="3"/>
    <x v="0"/>
    <m/>
    <m/>
    <m/>
    <m/>
    <m/>
    <m/>
    <m/>
    <m/>
    <m/>
    <m/>
    <m/>
    <m/>
    <s v="x"/>
    <s v="x"/>
    <s v="na"/>
    <s v="NRD"/>
    <s v="na"/>
    <s v="na"/>
    <s v="na"/>
    <s v="na"/>
    <s v="na"/>
    <s v="na"/>
    <s v="na"/>
    <s v="na"/>
  </r>
  <r>
    <n v="4482"/>
    <x v="85"/>
    <m/>
    <x v="14"/>
    <x v="3"/>
    <x v="0"/>
    <m/>
    <m/>
    <m/>
    <m/>
    <m/>
    <m/>
    <m/>
    <m/>
    <m/>
    <m/>
    <m/>
    <m/>
    <s v="x"/>
    <s v="x"/>
    <s v="na"/>
    <s v="NRD"/>
    <s v="na"/>
    <s v="na"/>
    <s v="na"/>
    <s v="na"/>
    <s v="na"/>
    <s v="na"/>
    <s v="na"/>
    <s v="na"/>
  </r>
  <r>
    <n v="4483"/>
    <x v="85"/>
    <m/>
    <x v="14"/>
    <x v="3"/>
    <x v="0"/>
    <m/>
    <m/>
    <m/>
    <m/>
    <m/>
    <m/>
    <m/>
    <m/>
    <m/>
    <m/>
    <m/>
    <m/>
    <s v="x"/>
    <s v="x"/>
    <s v="na"/>
    <s v="NRD"/>
    <s v="na"/>
    <s v="na"/>
    <s v="na"/>
    <s v="na"/>
    <s v="na"/>
    <s v="na"/>
    <s v="na"/>
    <s v="na"/>
  </r>
  <r>
    <n v="4484"/>
    <x v="85"/>
    <m/>
    <x v="14"/>
    <x v="3"/>
    <x v="0"/>
    <m/>
    <m/>
    <m/>
    <m/>
    <m/>
    <m/>
    <m/>
    <m/>
    <m/>
    <m/>
    <m/>
    <m/>
    <s v="x"/>
    <s v="x"/>
    <s v="na"/>
    <s v="NRD"/>
    <s v="na"/>
    <s v="na"/>
    <s v="na"/>
    <s v="na"/>
    <s v="na"/>
    <s v="na"/>
    <s v="na"/>
    <s v="na"/>
  </r>
  <r>
    <n v="4485"/>
    <x v="85"/>
    <m/>
    <x v="14"/>
    <x v="3"/>
    <x v="0"/>
    <m/>
    <m/>
    <m/>
    <m/>
    <m/>
    <m/>
    <m/>
    <m/>
    <m/>
    <m/>
    <m/>
    <m/>
    <s v="x"/>
    <s v="x"/>
    <s v="na"/>
    <s v="NRD"/>
    <s v="na"/>
    <s v="na"/>
    <s v="na"/>
    <s v="na"/>
    <s v="na"/>
    <s v="na"/>
    <s v="na"/>
    <s v="na"/>
  </r>
  <r>
    <n v="4486"/>
    <x v="85"/>
    <m/>
    <x v="14"/>
    <x v="3"/>
    <x v="0"/>
    <m/>
    <m/>
    <m/>
    <m/>
    <m/>
    <m/>
    <m/>
    <m/>
    <m/>
    <m/>
    <m/>
    <m/>
    <s v="x"/>
    <s v="x"/>
    <s v="na"/>
    <s v="NRD"/>
    <s v="na"/>
    <s v="na"/>
    <s v="na"/>
    <s v="na"/>
    <s v="na"/>
    <s v="na"/>
    <s v="na"/>
    <s v="na"/>
  </r>
  <r>
    <n v="4487"/>
    <x v="85"/>
    <m/>
    <x v="14"/>
    <x v="3"/>
    <x v="0"/>
    <m/>
    <m/>
    <m/>
    <m/>
    <m/>
    <m/>
    <m/>
    <m/>
    <m/>
    <m/>
    <m/>
    <m/>
    <s v="x"/>
    <s v="x"/>
    <s v="na"/>
    <s v="NRD"/>
    <s v="na"/>
    <s v="na"/>
    <s v="na"/>
    <s v="na"/>
    <s v="na"/>
    <s v="na"/>
    <s v="na"/>
    <s v="na"/>
  </r>
  <r>
    <n v="4488"/>
    <x v="85"/>
    <m/>
    <x v="14"/>
    <x v="3"/>
    <x v="0"/>
    <m/>
    <m/>
    <m/>
    <m/>
    <m/>
    <m/>
    <m/>
    <m/>
    <m/>
    <m/>
    <m/>
    <m/>
    <s v="x"/>
    <s v="x"/>
    <s v="na"/>
    <s v="NRD"/>
    <s v="na"/>
    <s v="na"/>
    <s v="na"/>
    <s v="na"/>
    <s v="na"/>
    <s v="na"/>
    <s v="na"/>
    <s v="na"/>
  </r>
  <r>
    <n v="4489"/>
    <x v="85"/>
    <m/>
    <x v="14"/>
    <x v="3"/>
    <x v="0"/>
    <m/>
    <m/>
    <m/>
    <m/>
    <m/>
    <m/>
    <m/>
    <m/>
    <m/>
    <m/>
    <m/>
    <m/>
    <s v="x"/>
    <s v="x"/>
    <s v="na"/>
    <s v="NRD"/>
    <s v="na"/>
    <s v="na"/>
    <s v="na"/>
    <s v="na"/>
    <s v="na"/>
    <s v="na"/>
    <s v="na"/>
    <s v="na"/>
  </r>
  <r>
    <n v="4490"/>
    <x v="85"/>
    <m/>
    <x v="14"/>
    <x v="3"/>
    <x v="0"/>
    <m/>
    <m/>
    <m/>
    <m/>
    <m/>
    <m/>
    <m/>
    <m/>
    <m/>
    <m/>
    <m/>
    <m/>
    <s v="x"/>
    <s v="x"/>
    <s v="na"/>
    <s v="NRD"/>
    <s v="na"/>
    <s v="na"/>
    <s v="na"/>
    <s v="na"/>
    <s v="na"/>
    <s v="na"/>
    <s v="na"/>
    <s v="na"/>
  </r>
  <r>
    <n v="4491"/>
    <x v="85"/>
    <m/>
    <x v="14"/>
    <x v="3"/>
    <x v="0"/>
    <m/>
    <m/>
    <m/>
    <m/>
    <m/>
    <m/>
    <m/>
    <m/>
    <m/>
    <m/>
    <m/>
    <m/>
    <s v="x"/>
    <s v="x"/>
    <s v="na"/>
    <s v="NRD"/>
    <s v="na"/>
    <s v="na"/>
    <s v="na"/>
    <s v="na"/>
    <s v="na"/>
    <s v="na"/>
    <s v="na"/>
    <s v="na"/>
  </r>
  <r>
    <n v="4492"/>
    <x v="85"/>
    <m/>
    <x v="14"/>
    <x v="3"/>
    <x v="0"/>
    <m/>
    <m/>
    <m/>
    <m/>
    <m/>
    <m/>
    <m/>
    <m/>
    <m/>
    <m/>
    <m/>
    <m/>
    <s v="x"/>
    <s v="x"/>
    <s v="na"/>
    <s v="NRD"/>
    <s v="na"/>
    <s v="na"/>
    <s v="na"/>
    <s v="na"/>
    <s v="na"/>
    <s v="na"/>
    <s v="na"/>
    <s v="na"/>
  </r>
  <r>
    <n v="4493"/>
    <x v="85"/>
    <m/>
    <x v="14"/>
    <x v="3"/>
    <x v="0"/>
    <m/>
    <m/>
    <m/>
    <m/>
    <m/>
    <m/>
    <m/>
    <m/>
    <m/>
    <m/>
    <m/>
    <m/>
    <s v="x"/>
    <s v="x"/>
    <s v="na"/>
    <s v="NRD"/>
    <s v="na"/>
    <s v="na"/>
    <s v="na"/>
    <s v="na"/>
    <s v="na"/>
    <s v="na"/>
    <s v="na"/>
    <s v="na"/>
  </r>
  <r>
    <n v="4494"/>
    <x v="85"/>
    <m/>
    <x v="14"/>
    <x v="3"/>
    <x v="0"/>
    <m/>
    <m/>
    <m/>
    <m/>
    <m/>
    <m/>
    <m/>
    <m/>
    <m/>
    <m/>
    <m/>
    <m/>
    <s v="x"/>
    <s v="x"/>
    <s v="na"/>
    <s v="NRD"/>
    <s v="na"/>
    <s v="na"/>
    <s v="na"/>
    <s v="na"/>
    <s v="na"/>
    <s v="na"/>
    <s v="na"/>
    <s v="na"/>
  </r>
  <r>
    <n v="4495"/>
    <x v="85"/>
    <m/>
    <x v="14"/>
    <x v="3"/>
    <x v="0"/>
    <m/>
    <m/>
    <m/>
    <m/>
    <m/>
    <m/>
    <m/>
    <m/>
    <m/>
    <m/>
    <m/>
    <m/>
    <s v="x"/>
    <s v="x"/>
    <s v="na"/>
    <s v="NRD"/>
    <s v="na"/>
    <s v="na"/>
    <s v="na"/>
    <s v="na"/>
    <s v="na"/>
    <s v="na"/>
    <s v="na"/>
    <s v="na"/>
  </r>
  <r>
    <n v="4496"/>
    <x v="85"/>
    <m/>
    <x v="14"/>
    <x v="3"/>
    <x v="0"/>
    <m/>
    <m/>
    <m/>
    <m/>
    <m/>
    <m/>
    <m/>
    <m/>
    <m/>
    <m/>
    <m/>
    <m/>
    <s v="x"/>
    <s v="x"/>
    <s v="na"/>
    <s v="NRD"/>
    <s v="na"/>
    <s v="na"/>
    <s v="na"/>
    <s v="na"/>
    <s v="na"/>
    <s v="na"/>
    <s v="na"/>
    <s v="na"/>
  </r>
  <r>
    <n v="4497"/>
    <x v="85"/>
    <m/>
    <x v="14"/>
    <x v="3"/>
    <x v="0"/>
    <m/>
    <m/>
    <m/>
    <m/>
    <m/>
    <m/>
    <m/>
    <m/>
    <m/>
    <m/>
    <m/>
    <m/>
    <s v="x"/>
    <s v="x"/>
    <s v="na"/>
    <s v="NRD"/>
    <s v="na"/>
    <s v="na"/>
    <s v="na"/>
    <s v="na"/>
    <s v="na"/>
    <s v="na"/>
    <s v="na"/>
    <s v="na"/>
  </r>
  <r>
    <n v="4498"/>
    <x v="85"/>
    <m/>
    <x v="14"/>
    <x v="3"/>
    <x v="0"/>
    <m/>
    <m/>
    <m/>
    <m/>
    <m/>
    <m/>
    <m/>
    <m/>
    <m/>
    <m/>
    <m/>
    <m/>
    <s v="x"/>
    <s v="x"/>
    <s v="na"/>
    <s v="NRD"/>
    <s v="na"/>
    <s v="na"/>
    <s v="na"/>
    <s v="na"/>
    <s v="na"/>
    <s v="na"/>
    <s v="na"/>
    <s v="na"/>
  </r>
  <r>
    <n v="4499"/>
    <x v="85"/>
    <m/>
    <x v="14"/>
    <x v="3"/>
    <x v="0"/>
    <m/>
    <m/>
    <m/>
    <m/>
    <m/>
    <m/>
    <m/>
    <m/>
    <m/>
    <m/>
    <m/>
    <m/>
    <s v="x"/>
    <s v="x"/>
    <s v="na"/>
    <s v="NRD"/>
    <s v="na"/>
    <s v="na"/>
    <s v="na"/>
    <s v="na"/>
    <s v="na"/>
    <s v="na"/>
    <s v="na"/>
    <s v="na"/>
  </r>
  <r>
    <n v="4500"/>
    <x v="85"/>
    <m/>
    <x v="14"/>
    <x v="3"/>
    <x v="0"/>
    <m/>
    <m/>
    <m/>
    <m/>
    <m/>
    <m/>
    <m/>
    <m/>
    <m/>
    <m/>
    <m/>
    <m/>
    <s v="x"/>
    <s v="x"/>
    <s v="na"/>
    <s v="NRD"/>
    <s v="na"/>
    <s v="na"/>
    <s v="na"/>
    <s v="na"/>
    <s v="na"/>
    <s v="na"/>
    <s v="na"/>
    <s v="na"/>
  </r>
  <r>
    <n v="4501"/>
    <x v="85"/>
    <m/>
    <x v="14"/>
    <x v="3"/>
    <x v="0"/>
    <m/>
    <m/>
    <m/>
    <m/>
    <m/>
    <m/>
    <m/>
    <m/>
    <m/>
    <m/>
    <m/>
    <m/>
    <s v="x"/>
    <s v="x"/>
    <s v="na"/>
    <s v="NRD"/>
    <s v="na"/>
    <s v="na"/>
    <s v="na"/>
    <s v="na"/>
    <s v="na"/>
    <s v="na"/>
    <s v="na"/>
    <s v="na"/>
  </r>
  <r>
    <n v="4502"/>
    <x v="85"/>
    <m/>
    <x v="14"/>
    <x v="3"/>
    <x v="0"/>
    <m/>
    <m/>
    <m/>
    <m/>
    <m/>
    <m/>
    <m/>
    <m/>
    <m/>
    <m/>
    <m/>
    <m/>
    <s v="x"/>
    <s v="x"/>
    <s v="na"/>
    <s v="NRD"/>
    <s v="na"/>
    <s v="na"/>
    <s v="na"/>
    <s v="na"/>
    <s v="na"/>
    <s v="na"/>
    <s v="na"/>
    <s v="na"/>
  </r>
  <r>
    <n v="4503"/>
    <x v="85"/>
    <m/>
    <x v="14"/>
    <x v="3"/>
    <x v="0"/>
    <m/>
    <m/>
    <m/>
    <m/>
    <m/>
    <m/>
    <m/>
    <m/>
    <m/>
    <m/>
    <m/>
    <m/>
    <s v="x"/>
    <s v="x"/>
    <s v="na"/>
    <s v="NRD"/>
    <s v="na"/>
    <s v="na"/>
    <s v="na"/>
    <s v="na"/>
    <s v="na"/>
    <s v="na"/>
    <s v="na"/>
    <s v="na"/>
  </r>
  <r>
    <n v="4504"/>
    <x v="85"/>
    <m/>
    <x v="14"/>
    <x v="3"/>
    <x v="0"/>
    <m/>
    <m/>
    <m/>
    <m/>
    <m/>
    <m/>
    <m/>
    <m/>
    <m/>
    <m/>
    <m/>
    <m/>
    <s v="x"/>
    <s v="x"/>
    <s v="na"/>
    <s v="NRD"/>
    <s v="na"/>
    <s v="na"/>
    <s v="na"/>
    <s v="na"/>
    <s v="na"/>
    <s v="na"/>
    <s v="na"/>
    <s v="na"/>
  </r>
  <r>
    <n v="4505"/>
    <x v="85"/>
    <m/>
    <x v="14"/>
    <x v="3"/>
    <x v="0"/>
    <m/>
    <m/>
    <m/>
    <m/>
    <m/>
    <m/>
    <m/>
    <m/>
    <m/>
    <m/>
    <m/>
    <m/>
    <s v="x"/>
    <s v="x"/>
    <s v="na"/>
    <s v="NRD"/>
    <s v="na"/>
    <s v="na"/>
    <s v="na"/>
    <s v="na"/>
    <s v="na"/>
    <s v="na"/>
    <s v="na"/>
    <s v="na"/>
  </r>
  <r>
    <n v="4506"/>
    <x v="85"/>
    <m/>
    <x v="14"/>
    <x v="3"/>
    <x v="0"/>
    <m/>
    <m/>
    <m/>
    <m/>
    <m/>
    <m/>
    <m/>
    <m/>
    <m/>
    <m/>
    <m/>
    <m/>
    <s v="x"/>
    <s v="x"/>
    <s v="na"/>
    <s v="NRD"/>
    <s v="na"/>
    <s v="na"/>
    <s v="na"/>
    <s v="na"/>
    <s v="na"/>
    <s v="na"/>
    <s v="na"/>
    <s v="na"/>
  </r>
  <r>
    <n v="4507"/>
    <x v="85"/>
    <m/>
    <x v="14"/>
    <x v="3"/>
    <x v="0"/>
    <m/>
    <m/>
    <m/>
    <m/>
    <m/>
    <m/>
    <m/>
    <m/>
    <m/>
    <m/>
    <m/>
    <m/>
    <s v="x"/>
    <s v="x"/>
    <s v="na"/>
    <s v="NRD"/>
    <s v="na"/>
    <s v="na"/>
    <s v="na"/>
    <s v="na"/>
    <s v="na"/>
    <s v="na"/>
    <s v="na"/>
    <s v="na"/>
  </r>
  <r>
    <n v="4508"/>
    <x v="85"/>
    <m/>
    <x v="14"/>
    <x v="3"/>
    <x v="0"/>
    <m/>
    <m/>
    <m/>
    <m/>
    <m/>
    <m/>
    <m/>
    <m/>
    <m/>
    <m/>
    <m/>
    <m/>
    <s v="x"/>
    <s v="x"/>
    <s v="na"/>
    <s v="NRD"/>
    <s v="na"/>
    <s v="na"/>
    <s v="na"/>
    <s v="na"/>
    <s v="na"/>
    <s v="na"/>
    <s v="na"/>
    <s v="na"/>
  </r>
  <r>
    <n v="4509"/>
    <x v="85"/>
    <m/>
    <x v="14"/>
    <x v="3"/>
    <x v="0"/>
    <m/>
    <m/>
    <m/>
    <m/>
    <m/>
    <m/>
    <m/>
    <m/>
    <m/>
    <m/>
    <m/>
    <m/>
    <s v="x"/>
    <s v="x"/>
    <s v="na"/>
    <s v="NRD"/>
    <s v="na"/>
    <s v="na"/>
    <s v="na"/>
    <s v="na"/>
    <s v="na"/>
    <s v="na"/>
    <s v="na"/>
    <s v="na"/>
  </r>
  <r>
    <n v="4510"/>
    <x v="85"/>
    <m/>
    <x v="14"/>
    <x v="3"/>
    <x v="0"/>
    <m/>
    <m/>
    <m/>
    <m/>
    <m/>
    <m/>
    <m/>
    <m/>
    <m/>
    <m/>
    <m/>
    <m/>
    <s v="x"/>
    <s v="x"/>
    <s v="na"/>
    <s v="NRD"/>
    <s v="na"/>
    <s v="na"/>
    <s v="na"/>
    <s v="na"/>
    <s v="na"/>
    <s v="na"/>
    <s v="na"/>
    <s v="na"/>
  </r>
  <r>
    <n v="4511"/>
    <x v="85"/>
    <m/>
    <x v="14"/>
    <x v="3"/>
    <x v="0"/>
    <m/>
    <m/>
    <m/>
    <m/>
    <m/>
    <m/>
    <m/>
    <m/>
    <m/>
    <m/>
    <m/>
    <m/>
    <s v="x"/>
    <s v="x"/>
    <s v="na"/>
    <s v="NRD"/>
    <s v="na"/>
    <s v="na"/>
    <s v="na"/>
    <s v="na"/>
    <s v="na"/>
    <s v="na"/>
    <s v="na"/>
    <s v="na"/>
  </r>
  <r>
    <n v="4512"/>
    <x v="85"/>
    <m/>
    <x v="14"/>
    <x v="3"/>
    <x v="0"/>
    <m/>
    <m/>
    <m/>
    <m/>
    <m/>
    <m/>
    <m/>
    <m/>
    <m/>
    <m/>
    <m/>
    <m/>
    <s v="x"/>
    <s v="x"/>
    <s v="na"/>
    <s v="NRD"/>
    <s v="na"/>
    <s v="na"/>
    <s v="na"/>
    <s v="na"/>
    <s v="na"/>
    <s v="na"/>
    <s v="na"/>
    <s v="na"/>
  </r>
  <r>
    <n v="4513"/>
    <x v="85"/>
    <m/>
    <x v="14"/>
    <x v="3"/>
    <x v="0"/>
    <m/>
    <m/>
    <m/>
    <m/>
    <m/>
    <m/>
    <m/>
    <m/>
    <m/>
    <m/>
    <m/>
    <m/>
    <s v="x"/>
    <s v="x"/>
    <s v="na"/>
    <s v="NRD"/>
    <s v="na"/>
    <s v="na"/>
    <s v="na"/>
    <s v="na"/>
    <s v="na"/>
    <s v="na"/>
    <s v="na"/>
    <s v="na"/>
  </r>
  <r>
    <n v="4514"/>
    <x v="85"/>
    <m/>
    <x v="14"/>
    <x v="3"/>
    <x v="0"/>
    <m/>
    <m/>
    <m/>
    <m/>
    <m/>
    <m/>
    <m/>
    <m/>
    <m/>
    <m/>
    <m/>
    <m/>
    <s v="x"/>
    <s v="x"/>
    <s v="na"/>
    <s v="NRD"/>
    <s v="na"/>
    <s v="na"/>
    <s v="na"/>
    <s v="na"/>
    <s v="na"/>
    <s v="na"/>
    <s v="na"/>
    <s v="na"/>
  </r>
  <r>
    <n v="4515"/>
    <x v="85"/>
    <m/>
    <x v="14"/>
    <x v="3"/>
    <x v="0"/>
    <m/>
    <m/>
    <m/>
    <m/>
    <m/>
    <m/>
    <m/>
    <m/>
    <m/>
    <m/>
    <m/>
    <m/>
    <s v="x"/>
    <s v="x"/>
    <s v="na"/>
    <s v="NRD"/>
    <s v="na"/>
    <s v="na"/>
    <s v="na"/>
    <s v="na"/>
    <s v="na"/>
    <s v="na"/>
    <s v="na"/>
    <s v="na"/>
  </r>
  <r>
    <n v="4516"/>
    <x v="85"/>
    <m/>
    <x v="14"/>
    <x v="3"/>
    <x v="0"/>
    <m/>
    <m/>
    <m/>
    <m/>
    <m/>
    <m/>
    <m/>
    <m/>
    <m/>
    <m/>
    <m/>
    <m/>
    <s v="x"/>
    <s v="x"/>
    <s v="na"/>
    <s v="NRD"/>
    <s v="na"/>
    <s v="na"/>
    <s v="na"/>
    <s v="na"/>
    <s v="na"/>
    <s v="na"/>
    <s v="na"/>
    <s v="na"/>
  </r>
  <r>
    <n v="4517"/>
    <x v="85"/>
    <m/>
    <x v="14"/>
    <x v="3"/>
    <x v="0"/>
    <m/>
    <m/>
    <m/>
    <m/>
    <m/>
    <m/>
    <m/>
    <m/>
    <m/>
    <m/>
    <m/>
    <m/>
    <s v="x"/>
    <s v="x"/>
    <s v="na"/>
    <s v="NRD"/>
    <s v="na"/>
    <s v="na"/>
    <s v="na"/>
    <s v="na"/>
    <s v="na"/>
    <s v="na"/>
    <s v="na"/>
    <s v="na"/>
  </r>
  <r>
    <n v="4518"/>
    <x v="85"/>
    <m/>
    <x v="14"/>
    <x v="3"/>
    <x v="0"/>
    <m/>
    <m/>
    <m/>
    <m/>
    <m/>
    <m/>
    <m/>
    <m/>
    <m/>
    <m/>
    <m/>
    <m/>
    <s v="x"/>
    <s v="x"/>
    <s v="na"/>
    <s v="NRD"/>
    <s v="na"/>
    <s v="na"/>
    <s v="na"/>
    <s v="na"/>
    <s v="na"/>
    <s v="na"/>
    <s v="na"/>
    <s v="na"/>
  </r>
  <r>
    <n v="4519"/>
    <x v="85"/>
    <m/>
    <x v="14"/>
    <x v="3"/>
    <x v="0"/>
    <m/>
    <m/>
    <m/>
    <m/>
    <m/>
    <m/>
    <m/>
    <m/>
    <m/>
    <m/>
    <m/>
    <m/>
    <s v="x"/>
    <s v="x"/>
    <s v="na"/>
    <s v="NRD"/>
    <s v="na"/>
    <s v="na"/>
    <s v="na"/>
    <s v="na"/>
    <s v="na"/>
    <s v="na"/>
    <s v="na"/>
    <s v="na"/>
  </r>
  <r>
    <n v="4520"/>
    <x v="85"/>
    <m/>
    <x v="14"/>
    <x v="3"/>
    <x v="0"/>
    <m/>
    <m/>
    <m/>
    <m/>
    <m/>
    <m/>
    <m/>
    <m/>
    <m/>
    <m/>
    <m/>
    <m/>
    <s v="x"/>
    <s v="x"/>
    <s v="na"/>
    <s v="NRD"/>
    <s v="na"/>
    <s v="na"/>
    <s v="na"/>
    <s v="na"/>
    <s v="na"/>
    <s v="na"/>
    <s v="na"/>
    <s v="na"/>
  </r>
  <r>
    <n v="4521"/>
    <x v="85"/>
    <m/>
    <x v="14"/>
    <x v="3"/>
    <x v="0"/>
    <m/>
    <m/>
    <m/>
    <m/>
    <m/>
    <m/>
    <m/>
    <m/>
    <m/>
    <m/>
    <m/>
    <m/>
    <s v="x"/>
    <s v="x"/>
    <s v="na"/>
    <s v="NRD"/>
    <s v="na"/>
    <s v="na"/>
    <s v="na"/>
    <s v="na"/>
    <s v="na"/>
    <s v="na"/>
    <s v="na"/>
    <s v="na"/>
  </r>
  <r>
    <n v="4522"/>
    <x v="85"/>
    <m/>
    <x v="14"/>
    <x v="3"/>
    <x v="0"/>
    <m/>
    <m/>
    <m/>
    <m/>
    <m/>
    <m/>
    <m/>
    <m/>
    <m/>
    <m/>
    <m/>
    <m/>
    <s v="x"/>
    <s v="x"/>
    <s v="na"/>
    <s v="NRD"/>
    <s v="na"/>
    <s v="na"/>
    <s v="na"/>
    <s v="na"/>
    <s v="na"/>
    <s v="na"/>
    <s v="na"/>
    <s v="na"/>
  </r>
  <r>
    <n v="4523"/>
    <x v="85"/>
    <m/>
    <x v="14"/>
    <x v="3"/>
    <x v="0"/>
    <m/>
    <m/>
    <m/>
    <m/>
    <m/>
    <m/>
    <m/>
    <m/>
    <m/>
    <m/>
    <m/>
    <m/>
    <s v="x"/>
    <s v="x"/>
    <s v="na"/>
    <s v="NRD"/>
    <s v="na"/>
    <s v="na"/>
    <s v="na"/>
    <s v="na"/>
    <s v="na"/>
    <s v="na"/>
    <s v="na"/>
    <s v="na"/>
  </r>
  <r>
    <n v="4524"/>
    <x v="85"/>
    <m/>
    <x v="14"/>
    <x v="3"/>
    <x v="0"/>
    <m/>
    <m/>
    <m/>
    <m/>
    <m/>
    <m/>
    <m/>
    <m/>
    <m/>
    <m/>
    <m/>
    <m/>
    <s v="x"/>
    <s v="x"/>
    <s v="na"/>
    <s v="NRD"/>
    <s v="na"/>
    <s v="na"/>
    <s v="na"/>
    <s v="na"/>
    <s v="na"/>
    <s v="na"/>
    <s v="na"/>
    <s v="na"/>
  </r>
  <r>
    <n v="4525"/>
    <x v="85"/>
    <m/>
    <x v="14"/>
    <x v="3"/>
    <x v="0"/>
    <m/>
    <m/>
    <m/>
    <m/>
    <m/>
    <m/>
    <m/>
    <m/>
    <m/>
    <m/>
    <m/>
    <m/>
    <s v="x"/>
    <s v="x"/>
    <s v="na"/>
    <s v="NRD"/>
    <s v="na"/>
    <s v="na"/>
    <s v="na"/>
    <s v="na"/>
    <s v="na"/>
    <s v="na"/>
    <s v="na"/>
    <s v="na"/>
  </r>
  <r>
    <n v="4526"/>
    <x v="85"/>
    <m/>
    <x v="14"/>
    <x v="3"/>
    <x v="0"/>
    <m/>
    <m/>
    <m/>
    <m/>
    <m/>
    <m/>
    <m/>
    <m/>
    <m/>
    <m/>
    <m/>
    <m/>
    <s v="x"/>
    <s v="x"/>
    <s v="na"/>
    <s v="NRD"/>
    <s v="na"/>
    <s v="na"/>
    <s v="na"/>
    <s v="na"/>
    <s v="na"/>
    <s v="na"/>
    <s v="na"/>
    <s v="na"/>
  </r>
  <r>
    <n v="4527"/>
    <x v="85"/>
    <m/>
    <x v="14"/>
    <x v="3"/>
    <x v="0"/>
    <m/>
    <m/>
    <m/>
    <m/>
    <m/>
    <m/>
    <m/>
    <m/>
    <m/>
    <m/>
    <m/>
    <m/>
    <s v="x"/>
    <s v="x"/>
    <s v="na"/>
    <s v="NRD"/>
    <s v="na"/>
    <s v="na"/>
    <s v="na"/>
    <s v="na"/>
    <s v="na"/>
    <s v="na"/>
    <s v="na"/>
    <s v="na"/>
  </r>
  <r>
    <n v="4528"/>
    <x v="85"/>
    <m/>
    <x v="14"/>
    <x v="3"/>
    <x v="0"/>
    <m/>
    <m/>
    <m/>
    <m/>
    <m/>
    <m/>
    <m/>
    <m/>
    <m/>
    <m/>
    <m/>
    <m/>
    <s v="x"/>
    <s v="x"/>
    <s v="na"/>
    <s v="NRD"/>
    <s v="na"/>
    <s v="na"/>
    <s v="na"/>
    <s v="na"/>
    <s v="na"/>
    <s v="na"/>
    <s v="na"/>
    <s v="na"/>
  </r>
  <r>
    <n v="4529"/>
    <x v="85"/>
    <m/>
    <x v="14"/>
    <x v="3"/>
    <x v="0"/>
    <m/>
    <m/>
    <m/>
    <m/>
    <m/>
    <m/>
    <m/>
    <m/>
    <m/>
    <m/>
    <m/>
    <m/>
    <s v="x"/>
    <s v="x"/>
    <s v="na"/>
    <s v="NRD"/>
    <s v="na"/>
    <s v="na"/>
    <s v="na"/>
    <s v="na"/>
    <s v="na"/>
    <s v="na"/>
    <s v="na"/>
    <s v="na"/>
  </r>
  <r>
    <n v="4530"/>
    <x v="85"/>
    <m/>
    <x v="14"/>
    <x v="3"/>
    <x v="0"/>
    <m/>
    <m/>
    <m/>
    <m/>
    <m/>
    <m/>
    <m/>
    <m/>
    <m/>
    <m/>
    <m/>
    <m/>
    <s v="x"/>
    <s v="x"/>
    <s v="na"/>
    <s v="NRD"/>
    <s v="na"/>
    <s v="na"/>
    <s v="na"/>
    <s v="na"/>
    <s v="na"/>
    <s v="na"/>
    <s v="na"/>
    <s v="na"/>
  </r>
  <r>
    <n v="4531"/>
    <x v="85"/>
    <m/>
    <x v="14"/>
    <x v="3"/>
    <x v="0"/>
    <m/>
    <m/>
    <m/>
    <m/>
    <m/>
    <m/>
    <m/>
    <m/>
    <m/>
    <m/>
    <m/>
    <m/>
    <s v="x"/>
    <s v="x"/>
    <s v="na"/>
    <s v="NRD"/>
    <s v="na"/>
    <s v="na"/>
    <s v="na"/>
    <s v="na"/>
    <s v="na"/>
    <s v="na"/>
    <s v="na"/>
    <s v="na"/>
  </r>
  <r>
    <n v="4532"/>
    <x v="85"/>
    <m/>
    <x v="14"/>
    <x v="3"/>
    <x v="0"/>
    <m/>
    <m/>
    <m/>
    <m/>
    <m/>
    <m/>
    <m/>
    <m/>
    <m/>
    <m/>
    <m/>
    <m/>
    <s v="x"/>
    <s v="x"/>
    <s v="na"/>
    <s v="NRD"/>
    <s v="na"/>
    <s v="na"/>
    <s v="na"/>
    <s v="na"/>
    <s v="na"/>
    <s v="na"/>
    <s v="na"/>
    <s v="na"/>
  </r>
  <r>
    <n v="4533"/>
    <x v="85"/>
    <m/>
    <x v="14"/>
    <x v="3"/>
    <x v="0"/>
    <m/>
    <m/>
    <m/>
    <m/>
    <m/>
    <m/>
    <m/>
    <m/>
    <m/>
    <m/>
    <m/>
    <m/>
    <s v="x"/>
    <s v="x"/>
    <s v="na"/>
    <s v="NRD"/>
    <s v="na"/>
    <s v="na"/>
    <s v="na"/>
    <s v="na"/>
    <s v="na"/>
    <s v="na"/>
    <s v="na"/>
    <s v="na"/>
  </r>
  <r>
    <n v="4534"/>
    <x v="85"/>
    <m/>
    <x v="14"/>
    <x v="3"/>
    <x v="0"/>
    <m/>
    <m/>
    <m/>
    <m/>
    <m/>
    <m/>
    <m/>
    <m/>
    <m/>
    <m/>
    <m/>
    <m/>
    <s v="x"/>
    <s v="x"/>
    <s v="na"/>
    <s v="NRD"/>
    <s v="na"/>
    <s v="na"/>
    <s v="na"/>
    <s v="na"/>
    <s v="na"/>
    <s v="na"/>
    <s v="na"/>
    <s v="na"/>
  </r>
  <r>
    <n v="4535"/>
    <x v="85"/>
    <m/>
    <x v="14"/>
    <x v="3"/>
    <x v="0"/>
    <m/>
    <m/>
    <m/>
    <m/>
    <m/>
    <m/>
    <m/>
    <m/>
    <m/>
    <m/>
    <m/>
    <m/>
    <s v="x"/>
    <s v="x"/>
    <s v="na"/>
    <s v="NRD"/>
    <s v="na"/>
    <s v="na"/>
    <s v="na"/>
    <s v="na"/>
    <s v="na"/>
    <s v="na"/>
    <s v="na"/>
    <s v="na"/>
  </r>
  <r>
    <n v="4536"/>
    <x v="85"/>
    <m/>
    <x v="14"/>
    <x v="3"/>
    <x v="0"/>
    <m/>
    <m/>
    <m/>
    <m/>
    <m/>
    <m/>
    <m/>
    <m/>
    <m/>
    <m/>
    <m/>
    <m/>
    <s v="x"/>
    <s v="x"/>
    <s v="na"/>
    <s v="NRD"/>
    <s v="na"/>
    <s v="na"/>
    <s v="na"/>
    <s v="na"/>
    <s v="na"/>
    <s v="na"/>
    <s v="na"/>
    <s v="na"/>
  </r>
  <r>
    <n v="4537"/>
    <x v="85"/>
    <m/>
    <x v="14"/>
    <x v="3"/>
    <x v="0"/>
    <m/>
    <m/>
    <m/>
    <m/>
    <m/>
    <m/>
    <m/>
    <m/>
    <m/>
    <m/>
    <m/>
    <m/>
    <s v="x"/>
    <s v="x"/>
    <s v="na"/>
    <s v="NRD"/>
    <s v="na"/>
    <s v="na"/>
    <s v="na"/>
    <s v="na"/>
    <s v="na"/>
    <s v="na"/>
    <s v="na"/>
    <s v="na"/>
  </r>
  <r>
    <n v="4538"/>
    <x v="85"/>
    <m/>
    <x v="14"/>
    <x v="3"/>
    <x v="0"/>
    <m/>
    <m/>
    <m/>
    <m/>
    <m/>
    <m/>
    <m/>
    <m/>
    <m/>
    <m/>
    <m/>
    <m/>
    <s v="x"/>
    <s v="x"/>
    <s v="na"/>
    <s v="NRD"/>
    <s v="na"/>
    <s v="na"/>
    <s v="na"/>
    <s v="na"/>
    <s v="na"/>
    <s v="na"/>
    <s v="na"/>
    <s v="na"/>
  </r>
  <r>
    <n v="4539"/>
    <x v="85"/>
    <m/>
    <x v="14"/>
    <x v="3"/>
    <x v="0"/>
    <m/>
    <m/>
    <m/>
    <m/>
    <m/>
    <m/>
    <m/>
    <m/>
    <m/>
    <m/>
    <m/>
    <m/>
    <s v="x"/>
    <s v="x"/>
    <s v="na"/>
    <s v="NRD"/>
    <s v="na"/>
    <s v="na"/>
    <s v="na"/>
    <s v="na"/>
    <s v="na"/>
    <s v="na"/>
    <s v="na"/>
    <s v="na"/>
  </r>
  <r>
    <n v="4540"/>
    <x v="85"/>
    <m/>
    <x v="14"/>
    <x v="3"/>
    <x v="0"/>
    <m/>
    <m/>
    <m/>
    <m/>
    <m/>
    <m/>
    <m/>
    <m/>
    <m/>
    <m/>
    <m/>
    <m/>
    <s v="x"/>
    <s v="x"/>
    <s v="na"/>
    <s v="NRD"/>
    <s v="na"/>
    <s v="na"/>
    <s v="na"/>
    <s v="na"/>
    <s v="na"/>
    <s v="na"/>
    <s v="na"/>
    <s v="na"/>
  </r>
  <r>
    <n v="4541"/>
    <x v="85"/>
    <m/>
    <x v="14"/>
    <x v="3"/>
    <x v="0"/>
    <m/>
    <m/>
    <m/>
    <m/>
    <m/>
    <m/>
    <m/>
    <m/>
    <m/>
    <m/>
    <m/>
    <m/>
    <s v="x"/>
    <s v="x"/>
    <s v="na"/>
    <s v="NRD"/>
    <s v="na"/>
    <s v="na"/>
    <s v="na"/>
    <s v="na"/>
    <s v="na"/>
    <s v="na"/>
    <s v="na"/>
    <s v="na"/>
  </r>
  <r>
    <n v="4542"/>
    <x v="85"/>
    <m/>
    <x v="14"/>
    <x v="3"/>
    <x v="0"/>
    <m/>
    <m/>
    <m/>
    <m/>
    <m/>
    <m/>
    <m/>
    <m/>
    <m/>
    <m/>
    <m/>
    <m/>
    <s v="x"/>
    <s v="x"/>
    <s v="na"/>
    <s v="NRD"/>
    <s v="na"/>
    <s v="na"/>
    <s v="na"/>
    <s v="na"/>
    <s v="na"/>
    <s v="na"/>
    <s v="na"/>
    <s v="na"/>
  </r>
  <r>
    <n v="4543"/>
    <x v="85"/>
    <m/>
    <x v="14"/>
    <x v="3"/>
    <x v="0"/>
    <m/>
    <m/>
    <m/>
    <m/>
    <m/>
    <m/>
    <m/>
    <m/>
    <m/>
    <m/>
    <m/>
    <m/>
    <s v="x"/>
    <s v="x"/>
    <s v="na"/>
    <s v="NRD"/>
    <s v="na"/>
    <s v="na"/>
    <s v="na"/>
    <s v="na"/>
    <s v="na"/>
    <s v="na"/>
    <s v="na"/>
    <s v="na"/>
  </r>
  <r>
    <n v="4544"/>
    <x v="85"/>
    <m/>
    <x v="14"/>
    <x v="3"/>
    <x v="0"/>
    <m/>
    <m/>
    <m/>
    <m/>
    <m/>
    <m/>
    <m/>
    <m/>
    <m/>
    <m/>
    <m/>
    <m/>
    <s v="x"/>
    <s v="x"/>
    <s v="na"/>
    <s v="NRD"/>
    <s v="na"/>
    <s v="na"/>
    <s v="na"/>
    <s v="na"/>
    <s v="na"/>
    <s v="na"/>
    <s v="na"/>
    <s v="na"/>
  </r>
  <r>
    <n v="4545"/>
    <x v="85"/>
    <m/>
    <x v="14"/>
    <x v="3"/>
    <x v="0"/>
    <m/>
    <m/>
    <m/>
    <m/>
    <m/>
    <m/>
    <m/>
    <m/>
    <m/>
    <m/>
    <m/>
    <m/>
    <s v="x"/>
    <s v="x"/>
    <s v="na"/>
    <s v="NRD"/>
    <s v="na"/>
    <s v="na"/>
    <s v="na"/>
    <s v="na"/>
    <s v="na"/>
    <s v="na"/>
    <s v="na"/>
    <s v="na"/>
  </r>
  <r>
    <n v="4546"/>
    <x v="85"/>
    <m/>
    <x v="14"/>
    <x v="3"/>
    <x v="0"/>
    <m/>
    <m/>
    <m/>
    <m/>
    <m/>
    <m/>
    <m/>
    <m/>
    <m/>
    <m/>
    <m/>
    <m/>
    <s v="x"/>
    <s v="x"/>
    <s v="na"/>
    <s v="NRD"/>
    <s v="na"/>
    <s v="na"/>
    <s v="na"/>
    <s v="na"/>
    <s v="na"/>
    <s v="na"/>
    <s v="na"/>
    <s v="na"/>
  </r>
  <r>
    <n v="4547"/>
    <x v="85"/>
    <m/>
    <x v="14"/>
    <x v="3"/>
    <x v="0"/>
    <m/>
    <m/>
    <m/>
    <m/>
    <m/>
    <m/>
    <m/>
    <m/>
    <m/>
    <m/>
    <m/>
    <m/>
    <s v="x"/>
    <s v="x"/>
    <s v="na"/>
    <s v="NRD"/>
    <s v="na"/>
    <s v="na"/>
    <s v="na"/>
    <s v="na"/>
    <s v="na"/>
    <s v="na"/>
    <s v="na"/>
    <s v="na"/>
  </r>
  <r>
    <n v="4548"/>
    <x v="85"/>
    <m/>
    <x v="14"/>
    <x v="3"/>
    <x v="0"/>
    <m/>
    <m/>
    <m/>
    <m/>
    <m/>
    <m/>
    <m/>
    <m/>
    <m/>
    <m/>
    <m/>
    <m/>
    <s v="x"/>
    <s v="x"/>
    <s v="na"/>
    <s v="NRD"/>
    <s v="na"/>
    <s v="na"/>
    <s v="na"/>
    <s v="na"/>
    <s v="na"/>
    <s v="na"/>
    <s v="na"/>
    <s v="na"/>
  </r>
  <r>
    <n v="4549"/>
    <x v="85"/>
    <m/>
    <x v="14"/>
    <x v="3"/>
    <x v="0"/>
    <m/>
    <m/>
    <m/>
    <m/>
    <m/>
    <m/>
    <m/>
    <m/>
    <m/>
    <m/>
    <m/>
    <m/>
    <s v="x"/>
    <s v="x"/>
    <s v="na"/>
    <s v="NRD"/>
    <s v="na"/>
    <s v="na"/>
    <s v="na"/>
    <s v="na"/>
    <s v="na"/>
    <s v="na"/>
    <s v="na"/>
    <s v="na"/>
  </r>
  <r>
    <n v="4550"/>
    <x v="85"/>
    <m/>
    <x v="14"/>
    <x v="3"/>
    <x v="0"/>
    <m/>
    <m/>
    <m/>
    <m/>
    <m/>
    <m/>
    <m/>
    <m/>
    <m/>
    <m/>
    <m/>
    <m/>
    <s v="x"/>
    <s v="x"/>
    <s v="na"/>
    <s v="NRD"/>
    <s v="na"/>
    <s v="na"/>
    <s v="na"/>
    <s v="na"/>
    <s v="na"/>
    <s v="na"/>
    <s v="na"/>
    <s v="na"/>
  </r>
  <r>
    <n v="4551"/>
    <x v="85"/>
    <m/>
    <x v="14"/>
    <x v="3"/>
    <x v="0"/>
    <m/>
    <m/>
    <m/>
    <m/>
    <m/>
    <m/>
    <m/>
    <m/>
    <m/>
    <m/>
    <m/>
    <m/>
    <s v="x"/>
    <s v="x"/>
    <s v="na"/>
    <s v="NRD"/>
    <s v="na"/>
    <s v="na"/>
    <s v="na"/>
    <s v="na"/>
    <s v="na"/>
    <s v="na"/>
    <s v="na"/>
    <s v="na"/>
  </r>
  <r>
    <n v="4552"/>
    <x v="85"/>
    <m/>
    <x v="14"/>
    <x v="3"/>
    <x v="0"/>
    <m/>
    <m/>
    <m/>
    <m/>
    <m/>
    <m/>
    <m/>
    <m/>
    <m/>
    <m/>
    <m/>
    <m/>
    <s v="x"/>
    <s v="x"/>
    <s v="na"/>
    <s v="NRD"/>
    <s v="na"/>
    <s v="na"/>
    <s v="na"/>
    <s v="na"/>
    <s v="na"/>
    <s v="na"/>
    <s v="na"/>
    <s v="na"/>
  </r>
  <r>
    <n v="4553"/>
    <x v="85"/>
    <m/>
    <x v="14"/>
    <x v="3"/>
    <x v="0"/>
    <m/>
    <m/>
    <m/>
    <m/>
    <m/>
    <m/>
    <m/>
    <m/>
    <m/>
    <m/>
    <m/>
    <m/>
    <s v="x"/>
    <s v="x"/>
    <s v="na"/>
    <s v="NRD"/>
    <s v="na"/>
    <s v="na"/>
    <s v="na"/>
    <s v="na"/>
    <s v="na"/>
    <s v="na"/>
    <s v="na"/>
    <s v="na"/>
  </r>
  <r>
    <n v="4554"/>
    <x v="85"/>
    <m/>
    <x v="14"/>
    <x v="3"/>
    <x v="0"/>
    <m/>
    <m/>
    <m/>
    <m/>
    <m/>
    <m/>
    <m/>
    <m/>
    <m/>
    <m/>
    <m/>
    <m/>
    <s v="x"/>
    <s v="x"/>
    <s v="na"/>
    <s v="NRD"/>
    <s v="na"/>
    <s v="na"/>
    <s v="na"/>
    <s v="na"/>
    <s v="na"/>
    <s v="na"/>
    <s v="na"/>
    <s v="na"/>
  </r>
  <r>
    <n v="4555"/>
    <x v="85"/>
    <m/>
    <x v="14"/>
    <x v="3"/>
    <x v="0"/>
    <m/>
    <m/>
    <m/>
    <m/>
    <m/>
    <m/>
    <m/>
    <m/>
    <m/>
    <m/>
    <m/>
    <m/>
    <s v="x"/>
    <s v="x"/>
    <s v="na"/>
    <s v="NRD"/>
    <s v="na"/>
    <s v="na"/>
    <s v="na"/>
    <s v="na"/>
    <s v="na"/>
    <s v="na"/>
    <s v="na"/>
    <s v="na"/>
  </r>
  <r>
    <n v="4556"/>
    <x v="85"/>
    <m/>
    <x v="14"/>
    <x v="3"/>
    <x v="0"/>
    <m/>
    <m/>
    <m/>
    <m/>
    <m/>
    <m/>
    <m/>
    <m/>
    <m/>
    <m/>
    <m/>
    <m/>
    <s v="x"/>
    <s v="x"/>
    <s v="na"/>
    <s v="NRD"/>
    <s v="na"/>
    <s v="na"/>
    <s v="na"/>
    <s v="na"/>
    <s v="na"/>
    <s v="na"/>
    <s v="na"/>
    <s v="na"/>
  </r>
  <r>
    <n v="4557"/>
    <x v="85"/>
    <m/>
    <x v="14"/>
    <x v="3"/>
    <x v="0"/>
    <m/>
    <m/>
    <m/>
    <m/>
    <m/>
    <m/>
    <m/>
    <m/>
    <m/>
    <m/>
    <m/>
    <m/>
    <s v="x"/>
    <s v="x"/>
    <s v="na"/>
    <s v="NRD"/>
    <s v="na"/>
    <s v="na"/>
    <s v="na"/>
    <s v="na"/>
    <s v="na"/>
    <s v="na"/>
    <s v="na"/>
    <s v="na"/>
  </r>
  <r>
    <n v="4558"/>
    <x v="85"/>
    <m/>
    <x v="14"/>
    <x v="3"/>
    <x v="0"/>
    <m/>
    <m/>
    <m/>
    <m/>
    <m/>
    <m/>
    <m/>
    <m/>
    <m/>
    <m/>
    <m/>
    <m/>
    <s v="x"/>
    <s v="x"/>
    <s v="na"/>
    <s v="NRD"/>
    <s v="na"/>
    <s v="na"/>
    <s v="na"/>
    <s v="na"/>
    <s v="na"/>
    <s v="na"/>
    <s v="na"/>
    <s v="na"/>
  </r>
  <r>
    <n v="4559"/>
    <x v="85"/>
    <m/>
    <x v="14"/>
    <x v="3"/>
    <x v="0"/>
    <m/>
    <m/>
    <m/>
    <m/>
    <m/>
    <m/>
    <m/>
    <m/>
    <m/>
    <m/>
    <m/>
    <m/>
    <s v="x"/>
    <s v="x"/>
    <s v="na"/>
    <s v="NRD"/>
    <s v="na"/>
    <s v="na"/>
    <s v="na"/>
    <s v="na"/>
    <s v="na"/>
    <s v="na"/>
    <s v="na"/>
    <s v="na"/>
  </r>
  <r>
    <n v="4560"/>
    <x v="85"/>
    <m/>
    <x v="14"/>
    <x v="3"/>
    <x v="0"/>
    <m/>
    <m/>
    <m/>
    <m/>
    <m/>
    <m/>
    <m/>
    <m/>
    <m/>
    <m/>
    <m/>
    <m/>
    <s v="x"/>
    <s v="x"/>
    <s v="na"/>
    <s v="NRD"/>
    <s v="na"/>
    <s v="na"/>
    <s v="na"/>
    <s v="na"/>
    <s v="na"/>
    <s v="na"/>
    <s v="na"/>
    <s v="na"/>
  </r>
  <r>
    <n v="4561"/>
    <x v="85"/>
    <m/>
    <x v="14"/>
    <x v="3"/>
    <x v="0"/>
    <m/>
    <m/>
    <m/>
    <m/>
    <m/>
    <m/>
    <m/>
    <m/>
    <m/>
    <m/>
    <m/>
    <m/>
    <s v="x"/>
    <s v="x"/>
    <s v="na"/>
    <s v="NRD"/>
    <s v="na"/>
    <s v="na"/>
    <s v="na"/>
    <s v="na"/>
    <s v="na"/>
    <s v="na"/>
    <s v="na"/>
    <s v="na"/>
  </r>
  <r>
    <n v="4562"/>
    <x v="85"/>
    <m/>
    <x v="14"/>
    <x v="3"/>
    <x v="0"/>
    <m/>
    <m/>
    <m/>
    <m/>
    <m/>
    <m/>
    <m/>
    <m/>
    <m/>
    <m/>
    <m/>
    <m/>
    <s v="x"/>
    <s v="x"/>
    <s v="na"/>
    <s v="NRD"/>
    <s v="na"/>
    <s v="na"/>
    <s v="na"/>
    <s v="na"/>
    <s v="na"/>
    <s v="na"/>
    <s v="na"/>
    <s v="na"/>
  </r>
  <r>
    <n v="4563"/>
    <x v="85"/>
    <m/>
    <x v="14"/>
    <x v="3"/>
    <x v="0"/>
    <m/>
    <m/>
    <m/>
    <m/>
    <m/>
    <m/>
    <m/>
    <m/>
    <m/>
    <m/>
    <m/>
    <m/>
    <s v="x"/>
    <s v="x"/>
    <s v="na"/>
    <s v="NRD"/>
    <s v="na"/>
    <s v="na"/>
    <s v="na"/>
    <s v="na"/>
    <s v="na"/>
    <s v="na"/>
    <s v="na"/>
    <s v="na"/>
  </r>
  <r>
    <n v="4564"/>
    <x v="85"/>
    <m/>
    <x v="14"/>
    <x v="3"/>
    <x v="0"/>
    <m/>
    <m/>
    <m/>
    <m/>
    <m/>
    <m/>
    <m/>
    <m/>
    <m/>
    <m/>
    <m/>
    <m/>
    <s v="x"/>
    <s v="x"/>
    <s v="na"/>
    <s v="NRD"/>
    <s v="na"/>
    <s v="na"/>
    <s v="na"/>
    <s v="na"/>
    <s v="na"/>
    <s v="na"/>
    <s v="na"/>
    <s v="na"/>
  </r>
  <r>
    <n v="4565"/>
    <x v="85"/>
    <m/>
    <x v="14"/>
    <x v="3"/>
    <x v="0"/>
    <m/>
    <m/>
    <m/>
    <m/>
    <m/>
    <m/>
    <m/>
    <m/>
    <m/>
    <m/>
    <m/>
    <m/>
    <s v="x"/>
    <s v="x"/>
    <s v="na"/>
    <s v="NRD"/>
    <s v="na"/>
    <s v="na"/>
    <s v="na"/>
    <s v="na"/>
    <s v="na"/>
    <s v="na"/>
    <s v="na"/>
    <s v="na"/>
  </r>
  <r>
    <n v="4566"/>
    <x v="85"/>
    <m/>
    <x v="14"/>
    <x v="3"/>
    <x v="0"/>
    <m/>
    <m/>
    <m/>
    <m/>
    <m/>
    <m/>
    <m/>
    <m/>
    <m/>
    <m/>
    <m/>
    <m/>
    <s v="x"/>
    <s v="x"/>
    <s v="na"/>
    <s v="NRD"/>
    <s v="na"/>
    <s v="na"/>
    <s v="na"/>
    <s v="na"/>
    <s v="na"/>
    <s v="na"/>
    <s v="na"/>
    <s v="na"/>
  </r>
  <r>
    <n v="4567"/>
    <x v="85"/>
    <m/>
    <x v="14"/>
    <x v="3"/>
    <x v="0"/>
    <m/>
    <m/>
    <m/>
    <m/>
    <m/>
    <m/>
    <m/>
    <m/>
    <m/>
    <m/>
    <m/>
    <m/>
    <s v="x"/>
    <s v="x"/>
    <s v="na"/>
    <s v="NRD"/>
    <s v="na"/>
    <s v="na"/>
    <s v="na"/>
    <s v="na"/>
    <s v="na"/>
    <s v="na"/>
    <s v="na"/>
    <s v="na"/>
  </r>
  <r>
    <n v="4568"/>
    <x v="85"/>
    <m/>
    <x v="14"/>
    <x v="3"/>
    <x v="0"/>
    <m/>
    <m/>
    <m/>
    <m/>
    <m/>
    <m/>
    <m/>
    <m/>
    <m/>
    <m/>
    <m/>
    <m/>
    <s v="x"/>
    <s v="x"/>
    <s v="na"/>
    <s v="NRD"/>
    <s v="na"/>
    <s v="na"/>
    <s v="na"/>
    <s v="na"/>
    <s v="na"/>
    <s v="na"/>
    <s v="na"/>
    <s v="na"/>
  </r>
  <r>
    <n v="4569"/>
    <x v="85"/>
    <m/>
    <x v="14"/>
    <x v="3"/>
    <x v="0"/>
    <m/>
    <m/>
    <m/>
    <m/>
    <m/>
    <m/>
    <m/>
    <m/>
    <m/>
    <m/>
    <m/>
    <m/>
    <s v="x"/>
    <s v="x"/>
    <s v="na"/>
    <s v="NRD"/>
    <s v="na"/>
    <s v="na"/>
    <s v="na"/>
    <s v="na"/>
    <s v="na"/>
    <s v="na"/>
    <s v="na"/>
    <s v="na"/>
  </r>
  <r>
    <n v="4570"/>
    <x v="85"/>
    <m/>
    <x v="14"/>
    <x v="3"/>
    <x v="0"/>
    <m/>
    <m/>
    <m/>
    <m/>
    <m/>
    <m/>
    <m/>
    <m/>
    <m/>
    <m/>
    <m/>
    <m/>
    <s v="x"/>
    <s v="x"/>
    <s v="na"/>
    <s v="NRD"/>
    <s v="na"/>
    <s v="na"/>
    <s v="na"/>
    <s v="na"/>
    <s v="na"/>
    <s v="na"/>
    <s v="na"/>
    <s v="na"/>
  </r>
  <r>
    <n v="4571"/>
    <x v="85"/>
    <m/>
    <x v="14"/>
    <x v="3"/>
    <x v="0"/>
    <m/>
    <m/>
    <m/>
    <m/>
    <m/>
    <m/>
    <m/>
    <m/>
    <m/>
    <m/>
    <m/>
    <m/>
    <s v="x"/>
    <s v="x"/>
    <s v="na"/>
    <s v="NRD"/>
    <s v="na"/>
    <s v="na"/>
    <s v="na"/>
    <s v="na"/>
    <s v="na"/>
    <s v="na"/>
    <s v="na"/>
    <s v="na"/>
  </r>
  <r>
    <n v="4572"/>
    <x v="85"/>
    <m/>
    <x v="14"/>
    <x v="3"/>
    <x v="0"/>
    <m/>
    <m/>
    <m/>
    <m/>
    <m/>
    <m/>
    <m/>
    <m/>
    <m/>
    <m/>
    <m/>
    <m/>
    <s v="x"/>
    <s v="x"/>
    <s v="na"/>
    <s v="NRD"/>
    <s v="na"/>
    <s v="na"/>
    <s v="na"/>
    <s v="na"/>
    <s v="na"/>
    <s v="na"/>
    <s v="na"/>
    <s v="na"/>
  </r>
  <r>
    <n v="4573"/>
    <x v="85"/>
    <m/>
    <x v="14"/>
    <x v="3"/>
    <x v="0"/>
    <m/>
    <m/>
    <m/>
    <m/>
    <m/>
    <m/>
    <m/>
    <m/>
    <m/>
    <m/>
    <m/>
    <m/>
    <s v="x"/>
    <s v="x"/>
    <s v="na"/>
    <s v="NRD"/>
    <s v="na"/>
    <s v="na"/>
    <s v="na"/>
    <s v="na"/>
    <s v="na"/>
    <s v="na"/>
    <s v="na"/>
    <s v="na"/>
  </r>
  <r>
    <n v="4574"/>
    <x v="85"/>
    <m/>
    <x v="14"/>
    <x v="3"/>
    <x v="0"/>
    <m/>
    <m/>
    <m/>
    <m/>
    <m/>
    <m/>
    <m/>
    <m/>
    <m/>
    <m/>
    <m/>
    <m/>
    <s v="x"/>
    <s v="x"/>
    <s v="na"/>
    <s v="NRD"/>
    <s v="na"/>
    <s v="na"/>
    <s v="na"/>
    <s v="na"/>
    <s v="na"/>
    <s v="na"/>
    <s v="na"/>
    <s v="na"/>
  </r>
  <r>
    <n v="4575"/>
    <x v="85"/>
    <m/>
    <x v="14"/>
    <x v="3"/>
    <x v="0"/>
    <m/>
    <m/>
    <m/>
    <m/>
    <m/>
    <m/>
    <m/>
    <m/>
    <m/>
    <m/>
    <m/>
    <m/>
    <s v="x"/>
    <s v="x"/>
    <s v="na"/>
    <s v="NRD"/>
    <s v="na"/>
    <s v="na"/>
    <s v="na"/>
    <s v="na"/>
    <s v="na"/>
    <s v="na"/>
    <s v="na"/>
    <s v="na"/>
  </r>
  <r>
    <n v="4576"/>
    <x v="85"/>
    <m/>
    <x v="14"/>
    <x v="3"/>
    <x v="0"/>
    <m/>
    <m/>
    <m/>
    <m/>
    <m/>
    <m/>
    <m/>
    <m/>
    <m/>
    <m/>
    <m/>
    <m/>
    <s v="x"/>
    <s v="x"/>
    <s v="na"/>
    <s v="NRD"/>
    <s v="na"/>
    <s v="na"/>
    <s v="na"/>
    <s v="na"/>
    <s v="na"/>
    <s v="na"/>
    <s v="na"/>
    <s v="na"/>
  </r>
  <r>
    <n v="4577"/>
    <x v="85"/>
    <m/>
    <x v="14"/>
    <x v="3"/>
    <x v="0"/>
    <m/>
    <m/>
    <m/>
    <m/>
    <m/>
    <m/>
    <m/>
    <m/>
    <m/>
    <m/>
    <m/>
    <m/>
    <s v="x"/>
    <s v="x"/>
    <s v="na"/>
    <s v="NRD"/>
    <s v="na"/>
    <s v="na"/>
    <s v="na"/>
    <s v="na"/>
    <s v="na"/>
    <s v="na"/>
    <s v="na"/>
    <s v="na"/>
  </r>
  <r>
    <n v="4578"/>
    <x v="85"/>
    <m/>
    <x v="14"/>
    <x v="3"/>
    <x v="0"/>
    <m/>
    <m/>
    <m/>
    <m/>
    <m/>
    <m/>
    <m/>
    <m/>
    <m/>
    <m/>
    <m/>
    <m/>
    <s v="x"/>
    <s v="x"/>
    <s v="na"/>
    <s v="NRD"/>
    <s v="na"/>
    <s v="na"/>
    <s v="na"/>
    <s v="na"/>
    <s v="na"/>
    <s v="na"/>
    <s v="na"/>
    <s v="na"/>
  </r>
  <r>
    <n v="4579"/>
    <x v="85"/>
    <m/>
    <x v="14"/>
    <x v="3"/>
    <x v="0"/>
    <m/>
    <m/>
    <m/>
    <m/>
    <m/>
    <m/>
    <m/>
    <m/>
    <m/>
    <m/>
    <m/>
    <m/>
    <s v="x"/>
    <s v="x"/>
    <s v="na"/>
    <s v="NRD"/>
    <s v="na"/>
    <s v="na"/>
    <s v="na"/>
    <s v="na"/>
    <s v="na"/>
    <s v="na"/>
    <s v="na"/>
    <s v="na"/>
  </r>
  <r>
    <n v="4580"/>
    <x v="85"/>
    <m/>
    <x v="14"/>
    <x v="3"/>
    <x v="0"/>
    <m/>
    <m/>
    <m/>
    <m/>
    <m/>
    <m/>
    <m/>
    <m/>
    <m/>
    <m/>
    <m/>
    <m/>
    <s v="x"/>
    <s v="x"/>
    <s v="na"/>
    <s v="NRD"/>
    <s v="na"/>
    <s v="na"/>
    <s v="na"/>
    <s v="na"/>
    <s v="na"/>
    <s v="na"/>
    <s v="na"/>
    <s v="na"/>
  </r>
  <r>
    <n v="4581"/>
    <x v="85"/>
    <m/>
    <x v="14"/>
    <x v="3"/>
    <x v="0"/>
    <m/>
    <m/>
    <m/>
    <m/>
    <m/>
    <m/>
    <m/>
    <m/>
    <m/>
    <m/>
    <m/>
    <m/>
    <s v="x"/>
    <s v="x"/>
    <s v="na"/>
    <s v="NRD"/>
    <s v="na"/>
    <s v="na"/>
    <s v="na"/>
    <s v="na"/>
    <s v="na"/>
    <s v="na"/>
    <s v="na"/>
    <s v="na"/>
  </r>
  <r>
    <n v="4582"/>
    <x v="85"/>
    <m/>
    <x v="14"/>
    <x v="3"/>
    <x v="0"/>
    <m/>
    <m/>
    <m/>
    <m/>
    <m/>
    <m/>
    <m/>
    <m/>
    <m/>
    <m/>
    <m/>
    <m/>
    <s v="x"/>
    <s v="x"/>
    <s v="na"/>
    <s v="NRD"/>
    <s v="na"/>
    <s v="na"/>
    <s v="na"/>
    <s v="na"/>
    <s v="na"/>
    <s v="na"/>
    <s v="na"/>
    <s v="na"/>
  </r>
  <r>
    <n v="4583"/>
    <x v="85"/>
    <m/>
    <x v="14"/>
    <x v="3"/>
    <x v="0"/>
    <m/>
    <m/>
    <m/>
    <m/>
    <m/>
    <m/>
    <m/>
    <m/>
    <m/>
    <m/>
    <m/>
    <m/>
    <s v="x"/>
    <s v="x"/>
    <s v="na"/>
    <s v="NRD"/>
    <s v="na"/>
    <s v="na"/>
    <s v="na"/>
    <s v="na"/>
    <s v="na"/>
    <s v="na"/>
    <s v="na"/>
    <s v="na"/>
  </r>
  <r>
    <n v="4584"/>
    <x v="85"/>
    <m/>
    <x v="14"/>
    <x v="3"/>
    <x v="0"/>
    <m/>
    <m/>
    <m/>
    <m/>
    <m/>
    <m/>
    <m/>
    <m/>
    <m/>
    <m/>
    <m/>
    <m/>
    <s v="x"/>
    <s v="x"/>
    <s v="na"/>
    <s v="NRD"/>
    <s v="na"/>
    <s v="na"/>
    <s v="na"/>
    <s v="na"/>
    <s v="na"/>
    <s v="na"/>
    <s v="na"/>
    <s v="na"/>
  </r>
  <r>
    <n v="4585"/>
    <x v="85"/>
    <m/>
    <x v="14"/>
    <x v="3"/>
    <x v="0"/>
    <m/>
    <m/>
    <m/>
    <m/>
    <m/>
    <m/>
    <m/>
    <m/>
    <m/>
    <m/>
    <m/>
    <m/>
    <s v="x"/>
    <s v="x"/>
    <s v="na"/>
    <s v="NRD"/>
    <s v="na"/>
    <s v="na"/>
    <s v="na"/>
    <s v="na"/>
    <s v="na"/>
    <s v="na"/>
    <s v="na"/>
    <s v="na"/>
  </r>
  <r>
    <n v="4586"/>
    <x v="85"/>
    <m/>
    <x v="14"/>
    <x v="3"/>
    <x v="0"/>
    <m/>
    <m/>
    <m/>
    <m/>
    <m/>
    <m/>
    <m/>
    <m/>
    <m/>
    <m/>
    <m/>
    <m/>
    <s v="x"/>
    <s v="x"/>
    <s v="na"/>
    <s v="NRD"/>
    <s v="na"/>
    <s v="na"/>
    <s v="na"/>
    <s v="na"/>
    <s v="na"/>
    <s v="na"/>
    <s v="na"/>
    <s v="na"/>
  </r>
  <r>
    <n v="4587"/>
    <x v="85"/>
    <m/>
    <x v="14"/>
    <x v="3"/>
    <x v="0"/>
    <m/>
    <m/>
    <m/>
    <m/>
    <m/>
    <m/>
    <m/>
    <m/>
    <m/>
    <m/>
    <m/>
    <m/>
    <s v="x"/>
    <s v="x"/>
    <s v="na"/>
    <s v="NRD"/>
    <s v="na"/>
    <s v="na"/>
    <s v="na"/>
    <s v="na"/>
    <s v="na"/>
    <s v="na"/>
    <s v="na"/>
    <s v="na"/>
  </r>
  <r>
    <n v="4588"/>
    <x v="85"/>
    <m/>
    <x v="14"/>
    <x v="3"/>
    <x v="0"/>
    <m/>
    <m/>
    <m/>
    <m/>
    <m/>
    <m/>
    <m/>
    <m/>
    <m/>
    <m/>
    <m/>
    <m/>
    <s v="x"/>
    <s v="x"/>
    <s v="na"/>
    <s v="NRD"/>
    <s v="na"/>
    <s v="na"/>
    <s v="na"/>
    <s v="na"/>
    <s v="na"/>
    <s v="na"/>
    <s v="na"/>
    <s v="na"/>
  </r>
  <r>
    <n v="4589"/>
    <x v="85"/>
    <m/>
    <x v="14"/>
    <x v="3"/>
    <x v="0"/>
    <m/>
    <m/>
    <m/>
    <m/>
    <m/>
    <m/>
    <m/>
    <m/>
    <m/>
    <m/>
    <m/>
    <m/>
    <s v="x"/>
    <s v="x"/>
    <s v="na"/>
    <s v="NRD"/>
    <s v="na"/>
    <s v="na"/>
    <s v="na"/>
    <s v="na"/>
    <s v="na"/>
    <s v="na"/>
    <s v="na"/>
    <s v="na"/>
  </r>
  <r>
    <n v="4590"/>
    <x v="85"/>
    <m/>
    <x v="14"/>
    <x v="3"/>
    <x v="0"/>
    <m/>
    <m/>
    <m/>
    <m/>
    <m/>
    <m/>
    <m/>
    <m/>
    <m/>
    <m/>
    <m/>
    <m/>
    <s v="x"/>
    <s v="x"/>
    <s v="na"/>
    <s v="NRD"/>
    <s v="na"/>
    <s v="na"/>
    <s v="na"/>
    <s v="na"/>
    <s v="na"/>
    <s v="na"/>
    <s v="na"/>
    <s v="na"/>
  </r>
  <r>
    <n v="4591"/>
    <x v="85"/>
    <m/>
    <x v="14"/>
    <x v="3"/>
    <x v="0"/>
    <m/>
    <m/>
    <m/>
    <m/>
    <m/>
    <m/>
    <m/>
    <m/>
    <m/>
    <m/>
    <m/>
    <m/>
    <s v="x"/>
    <s v="x"/>
    <s v="na"/>
    <s v="NRD"/>
    <s v="na"/>
    <s v="na"/>
    <s v="na"/>
    <s v="na"/>
    <s v="na"/>
    <s v="na"/>
    <s v="na"/>
    <s v="na"/>
  </r>
  <r>
    <n v="4592"/>
    <x v="85"/>
    <m/>
    <x v="14"/>
    <x v="3"/>
    <x v="0"/>
    <m/>
    <m/>
    <m/>
    <m/>
    <m/>
    <m/>
    <m/>
    <m/>
    <m/>
    <m/>
    <m/>
    <m/>
    <s v="x"/>
    <s v="x"/>
    <s v="na"/>
    <s v="NRD"/>
    <s v="na"/>
    <s v="na"/>
    <s v="na"/>
    <s v="na"/>
    <s v="na"/>
    <s v="na"/>
    <s v="na"/>
    <s v="na"/>
  </r>
  <r>
    <n v="4593"/>
    <x v="85"/>
    <m/>
    <x v="14"/>
    <x v="3"/>
    <x v="0"/>
    <m/>
    <m/>
    <m/>
    <m/>
    <m/>
    <m/>
    <m/>
    <m/>
    <m/>
    <m/>
    <m/>
    <m/>
    <s v="x"/>
    <s v="x"/>
    <s v="na"/>
    <s v="NRD"/>
    <s v="na"/>
    <s v="na"/>
    <s v="na"/>
    <s v="na"/>
    <s v="na"/>
    <s v="na"/>
    <s v="na"/>
    <s v="na"/>
  </r>
  <r>
    <n v="4594"/>
    <x v="85"/>
    <m/>
    <x v="14"/>
    <x v="3"/>
    <x v="0"/>
    <m/>
    <m/>
    <m/>
    <m/>
    <m/>
    <m/>
    <m/>
    <m/>
    <m/>
    <m/>
    <m/>
    <m/>
    <s v="x"/>
    <s v="x"/>
    <s v="na"/>
    <s v="NRD"/>
    <s v="na"/>
    <s v="na"/>
    <s v="na"/>
    <s v="na"/>
    <s v="na"/>
    <s v="na"/>
    <s v="na"/>
    <s v="na"/>
  </r>
  <r>
    <n v="4595"/>
    <x v="85"/>
    <m/>
    <x v="14"/>
    <x v="3"/>
    <x v="0"/>
    <m/>
    <m/>
    <m/>
    <m/>
    <m/>
    <m/>
    <m/>
    <m/>
    <m/>
    <m/>
    <m/>
    <m/>
    <s v="x"/>
    <s v="x"/>
    <s v="na"/>
    <s v="NRD"/>
    <s v="na"/>
    <s v="na"/>
    <s v="na"/>
    <s v="na"/>
    <s v="na"/>
    <s v="na"/>
    <s v="na"/>
    <s v="na"/>
  </r>
  <r>
    <n v="4596"/>
    <x v="85"/>
    <m/>
    <x v="14"/>
    <x v="3"/>
    <x v="0"/>
    <m/>
    <m/>
    <m/>
    <m/>
    <m/>
    <m/>
    <m/>
    <m/>
    <m/>
    <m/>
    <m/>
    <m/>
    <s v="x"/>
    <s v="x"/>
    <s v="na"/>
    <s v="NRD"/>
    <s v="na"/>
    <s v="na"/>
    <s v="na"/>
    <s v="na"/>
    <s v="na"/>
    <s v="na"/>
    <s v="na"/>
    <s v="na"/>
  </r>
  <r>
    <n v="4597"/>
    <x v="85"/>
    <m/>
    <x v="14"/>
    <x v="3"/>
    <x v="0"/>
    <m/>
    <m/>
    <m/>
    <m/>
    <m/>
    <m/>
    <m/>
    <m/>
    <m/>
    <m/>
    <m/>
    <m/>
    <s v="x"/>
    <s v="x"/>
    <s v="na"/>
    <s v="NRD"/>
    <s v="na"/>
    <s v="na"/>
    <s v="na"/>
    <s v="na"/>
    <s v="na"/>
    <s v="na"/>
    <s v="na"/>
    <s v="na"/>
  </r>
  <r>
    <n v="4598"/>
    <x v="85"/>
    <m/>
    <x v="14"/>
    <x v="3"/>
    <x v="0"/>
    <m/>
    <m/>
    <m/>
    <m/>
    <m/>
    <m/>
    <m/>
    <m/>
    <m/>
    <m/>
    <m/>
    <m/>
    <s v="x"/>
    <s v="x"/>
    <s v="na"/>
    <s v="NRD"/>
    <s v="na"/>
    <s v="na"/>
    <s v="na"/>
    <s v="na"/>
    <s v="na"/>
    <s v="na"/>
    <s v="na"/>
    <s v="na"/>
  </r>
  <r>
    <n v="4599"/>
    <x v="85"/>
    <m/>
    <x v="14"/>
    <x v="3"/>
    <x v="0"/>
    <m/>
    <m/>
    <m/>
    <m/>
    <m/>
    <m/>
    <m/>
    <m/>
    <m/>
    <m/>
    <m/>
    <m/>
    <s v="x"/>
    <s v="x"/>
    <s v="na"/>
    <s v="NRD"/>
    <s v="na"/>
    <s v="na"/>
    <s v="na"/>
    <s v="na"/>
    <s v="na"/>
    <s v="na"/>
    <s v="na"/>
    <s v="na"/>
  </r>
  <r>
    <n v="4600"/>
    <x v="85"/>
    <m/>
    <x v="14"/>
    <x v="3"/>
    <x v="0"/>
    <m/>
    <m/>
    <m/>
    <m/>
    <m/>
    <m/>
    <m/>
    <m/>
    <m/>
    <m/>
    <m/>
    <m/>
    <s v="x"/>
    <s v="x"/>
    <s v="na"/>
    <s v="NRD"/>
    <s v="na"/>
    <s v="na"/>
    <s v="na"/>
    <s v="na"/>
    <s v="na"/>
    <s v="na"/>
    <s v="na"/>
    <s v="na"/>
  </r>
  <r>
    <n v="4601"/>
    <x v="85"/>
    <m/>
    <x v="14"/>
    <x v="3"/>
    <x v="0"/>
    <m/>
    <m/>
    <m/>
    <m/>
    <m/>
    <m/>
    <m/>
    <m/>
    <m/>
    <m/>
    <m/>
    <m/>
    <s v="x"/>
    <s v="x"/>
    <s v="na"/>
    <s v="NRD"/>
    <s v="na"/>
    <s v="na"/>
    <s v="na"/>
    <s v="na"/>
    <s v="na"/>
    <s v="na"/>
    <s v="na"/>
    <s v="na"/>
  </r>
  <r>
    <n v="4602"/>
    <x v="85"/>
    <m/>
    <x v="14"/>
    <x v="3"/>
    <x v="0"/>
    <m/>
    <m/>
    <m/>
    <m/>
    <m/>
    <m/>
    <m/>
    <m/>
    <m/>
    <m/>
    <m/>
    <m/>
    <s v="x"/>
    <s v="x"/>
    <s v="na"/>
    <s v="NRD"/>
    <s v="na"/>
    <s v="na"/>
    <s v="na"/>
    <s v="na"/>
    <s v="na"/>
    <s v="na"/>
    <s v="na"/>
    <s v="na"/>
  </r>
  <r>
    <n v="4603"/>
    <x v="85"/>
    <m/>
    <x v="14"/>
    <x v="3"/>
    <x v="0"/>
    <m/>
    <m/>
    <m/>
    <m/>
    <m/>
    <m/>
    <m/>
    <m/>
    <m/>
    <m/>
    <m/>
    <m/>
    <s v="x"/>
    <s v="x"/>
    <s v="na"/>
    <s v="NRD"/>
    <s v="na"/>
    <s v="na"/>
    <s v="na"/>
    <s v="na"/>
    <s v="na"/>
    <s v="na"/>
    <s v="na"/>
    <s v="na"/>
  </r>
  <r>
    <n v="4604"/>
    <x v="85"/>
    <m/>
    <x v="14"/>
    <x v="3"/>
    <x v="0"/>
    <m/>
    <m/>
    <m/>
    <m/>
    <m/>
    <m/>
    <m/>
    <m/>
    <m/>
    <m/>
    <m/>
    <m/>
    <s v="x"/>
    <s v="x"/>
    <s v="na"/>
    <s v="NRD"/>
    <s v="na"/>
    <s v="na"/>
    <s v="na"/>
    <s v="na"/>
    <s v="na"/>
    <s v="na"/>
    <s v="na"/>
    <s v="na"/>
  </r>
  <r>
    <n v="4605"/>
    <x v="85"/>
    <m/>
    <x v="14"/>
    <x v="3"/>
    <x v="0"/>
    <m/>
    <m/>
    <m/>
    <m/>
    <m/>
    <m/>
    <m/>
    <m/>
    <m/>
    <m/>
    <m/>
    <m/>
    <s v="x"/>
    <s v="x"/>
    <s v="na"/>
    <s v="NRD"/>
    <s v="na"/>
    <s v="na"/>
    <s v="na"/>
    <s v="na"/>
    <s v="na"/>
    <s v="na"/>
    <s v="na"/>
    <s v="na"/>
  </r>
  <r>
    <n v="4606"/>
    <x v="85"/>
    <m/>
    <x v="14"/>
    <x v="3"/>
    <x v="0"/>
    <m/>
    <m/>
    <m/>
    <m/>
    <m/>
    <m/>
    <m/>
    <m/>
    <m/>
    <m/>
    <m/>
    <m/>
    <s v="x"/>
    <s v="x"/>
    <s v="na"/>
    <s v="NRD"/>
    <s v="na"/>
    <s v="na"/>
    <s v="na"/>
    <s v="na"/>
    <s v="na"/>
    <s v="na"/>
    <s v="na"/>
    <s v="na"/>
  </r>
  <r>
    <n v="4607"/>
    <x v="85"/>
    <m/>
    <x v="14"/>
    <x v="3"/>
    <x v="0"/>
    <m/>
    <m/>
    <m/>
    <m/>
    <m/>
    <m/>
    <m/>
    <m/>
    <m/>
    <m/>
    <m/>
    <m/>
    <s v="x"/>
    <s v="x"/>
    <s v="na"/>
    <s v="NRD"/>
    <s v="na"/>
    <s v="na"/>
    <s v="na"/>
    <s v="na"/>
    <s v="na"/>
    <s v="na"/>
    <s v="na"/>
    <s v="na"/>
  </r>
  <r>
    <n v="4608"/>
    <x v="85"/>
    <m/>
    <x v="14"/>
    <x v="3"/>
    <x v="0"/>
    <m/>
    <m/>
    <m/>
    <m/>
    <m/>
    <m/>
    <m/>
    <m/>
    <m/>
    <m/>
    <m/>
    <m/>
    <s v="x"/>
    <s v="x"/>
    <s v="na"/>
    <s v="NRD"/>
    <s v="na"/>
    <s v="na"/>
    <s v="na"/>
    <s v="na"/>
    <s v="na"/>
    <s v="na"/>
    <s v="na"/>
    <s v="na"/>
  </r>
  <r>
    <n v="4609"/>
    <x v="85"/>
    <m/>
    <x v="14"/>
    <x v="3"/>
    <x v="0"/>
    <m/>
    <m/>
    <m/>
    <m/>
    <m/>
    <m/>
    <m/>
    <m/>
    <m/>
    <m/>
    <m/>
    <m/>
    <s v="x"/>
    <s v="x"/>
    <s v="na"/>
    <s v="NRD"/>
    <s v="na"/>
    <s v="na"/>
    <s v="na"/>
    <s v="na"/>
    <s v="na"/>
    <s v="na"/>
    <s v="na"/>
    <s v="na"/>
  </r>
  <r>
    <n v="4610"/>
    <x v="85"/>
    <m/>
    <x v="14"/>
    <x v="3"/>
    <x v="0"/>
    <m/>
    <m/>
    <m/>
    <m/>
    <m/>
    <m/>
    <m/>
    <m/>
    <m/>
    <m/>
    <m/>
    <m/>
    <s v="x"/>
    <s v="x"/>
    <s v="na"/>
    <s v="NRD"/>
    <s v="na"/>
    <s v="na"/>
    <s v="na"/>
    <s v="na"/>
    <s v="na"/>
    <s v="na"/>
    <s v="na"/>
    <s v="na"/>
  </r>
  <r>
    <n v="4611"/>
    <x v="85"/>
    <m/>
    <x v="14"/>
    <x v="3"/>
    <x v="0"/>
    <m/>
    <m/>
    <m/>
    <m/>
    <m/>
    <m/>
    <m/>
    <m/>
    <m/>
    <m/>
    <m/>
    <m/>
    <s v="x"/>
    <s v="x"/>
    <s v="na"/>
    <s v="NRD"/>
    <s v="na"/>
    <s v="na"/>
    <s v="na"/>
    <s v="na"/>
    <s v="na"/>
    <s v="na"/>
    <s v="na"/>
    <s v="na"/>
  </r>
  <r>
    <n v="4612"/>
    <x v="85"/>
    <m/>
    <x v="14"/>
    <x v="3"/>
    <x v="0"/>
    <m/>
    <m/>
    <m/>
    <m/>
    <m/>
    <m/>
    <m/>
    <m/>
    <m/>
    <m/>
    <m/>
    <m/>
    <s v="x"/>
    <s v="x"/>
    <s v="na"/>
    <s v="NRD"/>
    <s v="na"/>
    <s v="na"/>
    <s v="na"/>
    <s v="na"/>
    <s v="na"/>
    <s v="na"/>
    <s v="na"/>
    <s v="na"/>
  </r>
  <r>
    <n v="4613"/>
    <x v="85"/>
    <m/>
    <x v="14"/>
    <x v="3"/>
    <x v="0"/>
    <m/>
    <m/>
    <m/>
    <m/>
    <m/>
    <m/>
    <m/>
    <m/>
    <m/>
    <m/>
    <m/>
    <m/>
    <s v="x"/>
    <s v="x"/>
    <s v="na"/>
    <s v="NRD"/>
    <s v="na"/>
    <s v="na"/>
    <s v="na"/>
    <s v="na"/>
    <s v="na"/>
    <s v="na"/>
    <s v="na"/>
    <s v="na"/>
  </r>
  <r>
    <n v="4614"/>
    <x v="85"/>
    <m/>
    <x v="14"/>
    <x v="3"/>
    <x v="0"/>
    <m/>
    <m/>
    <m/>
    <m/>
    <m/>
    <m/>
    <m/>
    <m/>
    <m/>
    <m/>
    <m/>
    <m/>
    <s v="x"/>
    <s v="x"/>
    <s v="na"/>
    <s v="NRD"/>
    <s v="na"/>
    <s v="na"/>
    <s v="na"/>
    <s v="na"/>
    <s v="na"/>
    <s v="na"/>
    <s v="na"/>
    <s v="na"/>
  </r>
  <r>
    <n v="4615"/>
    <x v="85"/>
    <m/>
    <x v="14"/>
    <x v="3"/>
    <x v="0"/>
    <m/>
    <m/>
    <m/>
    <m/>
    <m/>
    <m/>
    <m/>
    <m/>
    <m/>
    <m/>
    <m/>
    <m/>
    <s v="x"/>
    <s v="x"/>
    <s v="na"/>
    <s v="NRD"/>
    <s v="na"/>
    <s v="na"/>
    <s v="na"/>
    <s v="na"/>
    <s v="na"/>
    <s v="na"/>
    <s v="na"/>
    <s v="na"/>
  </r>
  <r>
    <n v="4616"/>
    <x v="85"/>
    <m/>
    <x v="14"/>
    <x v="3"/>
    <x v="0"/>
    <m/>
    <m/>
    <m/>
    <m/>
    <m/>
    <m/>
    <m/>
    <m/>
    <m/>
    <m/>
    <m/>
    <m/>
    <s v="x"/>
    <s v="x"/>
    <s v="na"/>
    <s v="NRD"/>
    <s v="na"/>
    <s v="na"/>
    <s v="na"/>
    <s v="na"/>
    <s v="na"/>
    <s v="na"/>
    <s v="na"/>
    <s v="na"/>
  </r>
  <r>
    <n v="4617"/>
    <x v="85"/>
    <m/>
    <x v="14"/>
    <x v="3"/>
    <x v="0"/>
    <m/>
    <m/>
    <m/>
    <m/>
    <m/>
    <m/>
    <m/>
    <m/>
    <m/>
    <m/>
    <m/>
    <m/>
    <s v="x"/>
    <s v="x"/>
    <s v="na"/>
    <s v="NRD"/>
    <s v="na"/>
    <s v="na"/>
    <s v="na"/>
    <s v="na"/>
    <s v="na"/>
    <s v="na"/>
    <s v="na"/>
    <s v="na"/>
  </r>
  <r>
    <n v="4618"/>
    <x v="85"/>
    <m/>
    <x v="14"/>
    <x v="3"/>
    <x v="0"/>
    <m/>
    <m/>
    <m/>
    <m/>
    <m/>
    <m/>
    <m/>
    <m/>
    <m/>
    <m/>
    <m/>
    <m/>
    <s v="x"/>
    <s v="x"/>
    <s v="na"/>
    <s v="NRD"/>
    <s v="na"/>
    <s v="na"/>
    <s v="na"/>
    <s v="na"/>
    <s v="na"/>
    <s v="na"/>
    <s v="na"/>
    <s v="na"/>
  </r>
  <r>
    <n v="4619"/>
    <x v="85"/>
    <m/>
    <x v="14"/>
    <x v="3"/>
    <x v="0"/>
    <m/>
    <m/>
    <m/>
    <m/>
    <m/>
    <m/>
    <m/>
    <m/>
    <m/>
    <m/>
    <m/>
    <m/>
    <s v="x"/>
    <s v="x"/>
    <s v="na"/>
    <s v="NRD"/>
    <s v="na"/>
    <s v="na"/>
    <s v="na"/>
    <s v="na"/>
    <s v="na"/>
    <s v="na"/>
    <s v="na"/>
    <s v="na"/>
  </r>
  <r>
    <n v="4620"/>
    <x v="85"/>
    <m/>
    <x v="14"/>
    <x v="3"/>
    <x v="0"/>
    <m/>
    <m/>
    <m/>
    <m/>
    <m/>
    <m/>
    <m/>
    <m/>
    <m/>
    <m/>
    <m/>
    <m/>
    <s v="x"/>
    <s v="x"/>
    <s v="na"/>
    <s v="NRD"/>
    <s v="na"/>
    <s v="na"/>
    <s v="na"/>
    <s v="na"/>
    <s v="na"/>
    <s v="na"/>
    <s v="na"/>
    <s v="na"/>
  </r>
  <r>
    <n v="4621"/>
    <x v="85"/>
    <m/>
    <x v="14"/>
    <x v="3"/>
    <x v="0"/>
    <m/>
    <m/>
    <m/>
    <m/>
    <m/>
    <m/>
    <m/>
    <m/>
    <m/>
    <m/>
    <m/>
    <m/>
    <s v="x"/>
    <s v="x"/>
    <s v="na"/>
    <s v="NRD"/>
    <s v="na"/>
    <s v="na"/>
    <s v="na"/>
    <s v="na"/>
    <s v="na"/>
    <s v="na"/>
    <s v="na"/>
    <s v="na"/>
  </r>
  <r>
    <n v="4622"/>
    <x v="85"/>
    <m/>
    <x v="14"/>
    <x v="3"/>
    <x v="0"/>
    <m/>
    <m/>
    <m/>
    <m/>
    <m/>
    <m/>
    <m/>
    <m/>
    <m/>
    <m/>
    <m/>
    <m/>
    <s v="x"/>
    <s v="x"/>
    <s v="na"/>
    <s v="NRD"/>
    <s v="na"/>
    <s v="na"/>
    <s v="na"/>
    <s v="na"/>
    <s v="na"/>
    <s v="na"/>
    <s v="na"/>
    <s v="na"/>
  </r>
  <r>
    <n v="4623"/>
    <x v="85"/>
    <m/>
    <x v="14"/>
    <x v="3"/>
    <x v="0"/>
    <m/>
    <m/>
    <m/>
    <m/>
    <m/>
    <m/>
    <m/>
    <m/>
    <m/>
    <m/>
    <m/>
    <m/>
    <s v="x"/>
    <s v="x"/>
    <s v="na"/>
    <s v="NRD"/>
    <s v="na"/>
    <s v="na"/>
    <s v="na"/>
    <s v="na"/>
    <s v="na"/>
    <s v="na"/>
    <s v="na"/>
    <s v="na"/>
  </r>
  <r>
    <n v="4624"/>
    <x v="85"/>
    <m/>
    <x v="14"/>
    <x v="3"/>
    <x v="0"/>
    <m/>
    <m/>
    <m/>
    <m/>
    <m/>
    <m/>
    <m/>
    <m/>
    <m/>
    <m/>
    <m/>
    <m/>
    <s v="x"/>
    <s v="x"/>
    <s v="na"/>
    <s v="NRD"/>
    <s v="na"/>
    <s v="na"/>
    <s v="na"/>
    <s v="na"/>
    <s v="na"/>
    <s v="na"/>
    <s v="na"/>
    <s v="na"/>
  </r>
  <r>
    <n v="4625"/>
    <x v="85"/>
    <m/>
    <x v="14"/>
    <x v="3"/>
    <x v="0"/>
    <m/>
    <m/>
    <m/>
    <m/>
    <m/>
    <m/>
    <m/>
    <m/>
    <m/>
    <m/>
    <m/>
    <m/>
    <s v="x"/>
    <s v="x"/>
    <s v="na"/>
    <s v="NRD"/>
    <s v="na"/>
    <s v="na"/>
    <s v="na"/>
    <s v="na"/>
    <s v="na"/>
    <s v="na"/>
    <s v="na"/>
    <s v="na"/>
  </r>
  <r>
    <n v="4626"/>
    <x v="85"/>
    <m/>
    <x v="14"/>
    <x v="3"/>
    <x v="0"/>
    <m/>
    <m/>
    <m/>
    <m/>
    <m/>
    <m/>
    <m/>
    <m/>
    <m/>
    <m/>
    <m/>
    <m/>
    <s v="x"/>
    <s v="x"/>
    <s v="na"/>
    <s v="NRD"/>
    <s v="na"/>
    <s v="na"/>
    <s v="na"/>
    <s v="na"/>
    <s v="na"/>
    <s v="na"/>
    <s v="na"/>
    <s v="na"/>
  </r>
  <r>
    <n v="4627"/>
    <x v="85"/>
    <m/>
    <x v="14"/>
    <x v="3"/>
    <x v="0"/>
    <m/>
    <m/>
    <m/>
    <m/>
    <m/>
    <m/>
    <m/>
    <m/>
    <m/>
    <m/>
    <m/>
    <m/>
    <s v="x"/>
    <s v="x"/>
    <s v="na"/>
    <s v="NRD"/>
    <s v="na"/>
    <s v="na"/>
    <s v="na"/>
    <s v="na"/>
    <s v="na"/>
    <s v="na"/>
    <s v="na"/>
    <s v="na"/>
  </r>
  <r>
    <n v="4628"/>
    <x v="85"/>
    <m/>
    <x v="14"/>
    <x v="3"/>
    <x v="0"/>
    <m/>
    <m/>
    <m/>
    <m/>
    <m/>
    <m/>
    <m/>
    <m/>
    <m/>
    <m/>
    <m/>
    <m/>
    <s v="x"/>
    <s v="x"/>
    <s v="na"/>
    <s v="NRD"/>
    <s v="na"/>
    <s v="na"/>
    <s v="na"/>
    <s v="na"/>
    <s v="na"/>
    <s v="na"/>
    <s v="na"/>
    <s v="na"/>
  </r>
  <r>
    <n v="4629"/>
    <x v="85"/>
    <m/>
    <x v="14"/>
    <x v="3"/>
    <x v="0"/>
    <m/>
    <m/>
    <m/>
    <m/>
    <m/>
    <m/>
    <m/>
    <m/>
    <m/>
    <m/>
    <m/>
    <m/>
    <s v="x"/>
    <s v="x"/>
    <s v="na"/>
    <s v="NRD"/>
    <s v="na"/>
    <s v="na"/>
    <s v="na"/>
    <s v="na"/>
    <s v="na"/>
    <s v="na"/>
    <s v="na"/>
    <s v="na"/>
  </r>
  <r>
    <n v="4630"/>
    <x v="85"/>
    <m/>
    <x v="14"/>
    <x v="3"/>
    <x v="0"/>
    <m/>
    <m/>
    <m/>
    <m/>
    <m/>
    <m/>
    <m/>
    <m/>
    <m/>
    <m/>
    <m/>
    <m/>
    <s v="x"/>
    <s v="x"/>
    <s v="na"/>
    <s v="NRD"/>
    <s v="na"/>
    <s v="na"/>
    <s v="na"/>
    <s v="na"/>
    <s v="na"/>
    <s v="na"/>
    <s v="na"/>
    <s v="na"/>
  </r>
  <r>
    <n v="4631"/>
    <x v="85"/>
    <m/>
    <x v="14"/>
    <x v="3"/>
    <x v="0"/>
    <m/>
    <m/>
    <m/>
    <m/>
    <m/>
    <m/>
    <m/>
    <m/>
    <m/>
    <m/>
    <m/>
    <m/>
    <s v="x"/>
    <s v="x"/>
    <s v="na"/>
    <s v="NRD"/>
    <s v="na"/>
    <s v="na"/>
    <s v="na"/>
    <s v="na"/>
    <s v="na"/>
    <s v="na"/>
    <s v="na"/>
    <s v="na"/>
  </r>
  <r>
    <n v="4632"/>
    <x v="85"/>
    <m/>
    <x v="14"/>
    <x v="3"/>
    <x v="0"/>
    <m/>
    <m/>
    <m/>
    <m/>
    <m/>
    <m/>
    <m/>
    <m/>
    <m/>
    <m/>
    <m/>
    <m/>
    <s v="x"/>
    <s v="x"/>
    <s v="na"/>
    <s v="NRD"/>
    <s v="na"/>
    <s v="na"/>
    <s v="na"/>
    <s v="na"/>
    <s v="na"/>
    <s v="na"/>
    <s v="na"/>
    <s v="na"/>
  </r>
  <r>
    <n v="4633"/>
    <x v="85"/>
    <m/>
    <x v="14"/>
    <x v="3"/>
    <x v="0"/>
    <m/>
    <m/>
    <m/>
    <m/>
    <m/>
    <m/>
    <m/>
    <m/>
    <m/>
    <m/>
    <m/>
    <m/>
    <s v="x"/>
    <s v="x"/>
    <s v="na"/>
    <s v="NRD"/>
    <s v="na"/>
    <s v="na"/>
    <s v="na"/>
    <s v="na"/>
    <s v="na"/>
    <s v="na"/>
    <s v="na"/>
    <s v="na"/>
  </r>
  <r>
    <n v="4634"/>
    <x v="85"/>
    <m/>
    <x v="14"/>
    <x v="3"/>
    <x v="0"/>
    <m/>
    <m/>
    <m/>
    <m/>
    <m/>
    <m/>
    <m/>
    <m/>
    <m/>
    <m/>
    <m/>
    <m/>
    <s v="x"/>
    <s v="x"/>
    <s v="na"/>
    <s v="NRD"/>
    <s v="na"/>
    <s v="na"/>
    <s v="na"/>
    <s v="na"/>
    <s v="na"/>
    <s v="na"/>
    <s v="na"/>
    <s v="na"/>
  </r>
  <r>
    <n v="4635"/>
    <x v="85"/>
    <m/>
    <x v="14"/>
    <x v="3"/>
    <x v="0"/>
    <m/>
    <m/>
    <m/>
    <m/>
    <m/>
    <m/>
    <m/>
    <m/>
    <m/>
    <m/>
    <m/>
    <m/>
    <s v="x"/>
    <s v="x"/>
    <s v="na"/>
    <s v="NRD"/>
    <s v="na"/>
    <s v="na"/>
    <s v="na"/>
    <s v="na"/>
    <s v="na"/>
    <s v="na"/>
    <s v="na"/>
    <s v="na"/>
  </r>
  <r>
    <n v="4636"/>
    <x v="85"/>
    <m/>
    <x v="14"/>
    <x v="3"/>
    <x v="0"/>
    <m/>
    <m/>
    <m/>
    <m/>
    <m/>
    <m/>
    <m/>
    <m/>
    <m/>
    <m/>
    <m/>
    <m/>
    <s v="x"/>
    <s v="x"/>
    <s v="na"/>
    <s v="NRD"/>
    <s v="na"/>
    <s v="na"/>
    <s v="na"/>
    <s v="na"/>
    <s v="na"/>
    <s v="na"/>
    <s v="na"/>
    <s v="na"/>
  </r>
  <r>
    <n v="4637"/>
    <x v="85"/>
    <m/>
    <x v="14"/>
    <x v="3"/>
    <x v="0"/>
    <m/>
    <m/>
    <m/>
    <m/>
    <m/>
    <m/>
    <m/>
    <m/>
    <m/>
    <m/>
    <m/>
    <m/>
    <s v="x"/>
    <s v="x"/>
    <s v="na"/>
    <s v="NRD"/>
    <s v="na"/>
    <s v="na"/>
    <s v="na"/>
    <s v="na"/>
    <s v="na"/>
    <s v="na"/>
    <s v="na"/>
    <s v="na"/>
  </r>
  <r>
    <n v="4638"/>
    <x v="85"/>
    <m/>
    <x v="14"/>
    <x v="3"/>
    <x v="0"/>
    <m/>
    <m/>
    <m/>
    <m/>
    <m/>
    <m/>
    <m/>
    <m/>
    <m/>
    <m/>
    <m/>
    <m/>
    <s v="x"/>
    <s v="x"/>
    <s v="na"/>
    <s v="NRD"/>
    <s v="na"/>
    <s v="na"/>
    <s v="na"/>
    <s v="na"/>
    <s v="na"/>
    <s v="na"/>
    <s v="na"/>
    <s v="na"/>
  </r>
  <r>
    <n v="4639"/>
    <x v="85"/>
    <m/>
    <x v="14"/>
    <x v="3"/>
    <x v="0"/>
    <m/>
    <m/>
    <m/>
    <m/>
    <m/>
    <m/>
    <m/>
    <m/>
    <m/>
    <m/>
    <m/>
    <m/>
    <s v="x"/>
    <s v="x"/>
    <s v="na"/>
    <s v="NRD"/>
    <s v="na"/>
    <s v="na"/>
    <s v="na"/>
    <s v="na"/>
    <s v="na"/>
    <s v="na"/>
    <s v="na"/>
    <s v="na"/>
  </r>
  <r>
    <n v="4640"/>
    <x v="85"/>
    <m/>
    <x v="14"/>
    <x v="3"/>
    <x v="0"/>
    <m/>
    <m/>
    <m/>
    <m/>
    <m/>
    <m/>
    <m/>
    <m/>
    <m/>
    <m/>
    <m/>
    <m/>
    <s v="x"/>
    <s v="x"/>
    <s v="na"/>
    <s v="NRD"/>
    <s v="na"/>
    <s v="na"/>
    <s v="na"/>
    <s v="na"/>
    <s v="na"/>
    <s v="na"/>
    <s v="na"/>
    <s v="na"/>
  </r>
  <r>
    <n v="4641"/>
    <x v="85"/>
    <m/>
    <x v="14"/>
    <x v="3"/>
    <x v="0"/>
    <m/>
    <m/>
    <m/>
    <m/>
    <m/>
    <m/>
    <m/>
    <m/>
    <m/>
    <m/>
    <m/>
    <m/>
    <s v="x"/>
    <s v="x"/>
    <s v="na"/>
    <s v="NRD"/>
    <s v="na"/>
    <s v="na"/>
    <s v="na"/>
    <s v="na"/>
    <s v="na"/>
    <s v="na"/>
    <s v="na"/>
    <s v="na"/>
  </r>
  <r>
    <n v="4642"/>
    <x v="85"/>
    <m/>
    <x v="14"/>
    <x v="3"/>
    <x v="0"/>
    <m/>
    <m/>
    <m/>
    <m/>
    <m/>
    <m/>
    <m/>
    <m/>
    <m/>
    <m/>
    <m/>
    <m/>
    <s v="x"/>
    <s v="x"/>
    <s v="na"/>
    <s v="NRD"/>
    <s v="na"/>
    <s v="na"/>
    <s v="na"/>
    <s v="na"/>
    <s v="na"/>
    <s v="na"/>
    <s v="na"/>
    <s v="na"/>
  </r>
  <r>
    <n v="4643"/>
    <x v="85"/>
    <m/>
    <x v="14"/>
    <x v="3"/>
    <x v="0"/>
    <m/>
    <m/>
    <m/>
    <m/>
    <m/>
    <m/>
    <m/>
    <m/>
    <m/>
    <m/>
    <m/>
    <m/>
    <s v="x"/>
    <s v="x"/>
    <s v="na"/>
    <s v="NRD"/>
    <s v="na"/>
    <s v="na"/>
    <s v="na"/>
    <s v="na"/>
    <s v="na"/>
    <s v="na"/>
    <s v="na"/>
    <s v="na"/>
  </r>
  <r>
    <n v="4644"/>
    <x v="85"/>
    <m/>
    <x v="14"/>
    <x v="3"/>
    <x v="0"/>
    <m/>
    <m/>
    <m/>
    <m/>
    <m/>
    <m/>
    <m/>
    <m/>
    <m/>
    <m/>
    <m/>
    <m/>
    <s v="x"/>
    <s v="x"/>
    <s v="na"/>
    <s v="NRD"/>
    <s v="na"/>
    <s v="na"/>
    <s v="na"/>
    <s v="na"/>
    <s v="na"/>
    <s v="na"/>
    <s v="na"/>
    <s v="na"/>
  </r>
  <r>
    <n v="4645"/>
    <x v="85"/>
    <m/>
    <x v="14"/>
    <x v="3"/>
    <x v="0"/>
    <m/>
    <m/>
    <m/>
    <m/>
    <m/>
    <m/>
    <m/>
    <m/>
    <m/>
    <m/>
    <m/>
    <m/>
    <s v="x"/>
    <s v="x"/>
    <s v="na"/>
    <s v="NRD"/>
    <s v="na"/>
    <s v="na"/>
    <s v="na"/>
    <s v="na"/>
    <s v="na"/>
    <s v="na"/>
    <s v="na"/>
    <s v="na"/>
  </r>
  <r>
    <n v="4646"/>
    <x v="85"/>
    <m/>
    <x v="14"/>
    <x v="3"/>
    <x v="0"/>
    <m/>
    <m/>
    <m/>
    <m/>
    <m/>
    <m/>
    <m/>
    <m/>
    <m/>
    <m/>
    <m/>
    <m/>
    <s v="x"/>
    <s v="x"/>
    <s v="na"/>
    <s v="NRD"/>
    <s v="na"/>
    <s v="na"/>
    <s v="na"/>
    <s v="na"/>
    <s v="na"/>
    <s v="na"/>
    <s v="na"/>
    <s v="na"/>
  </r>
  <r>
    <n v="4647"/>
    <x v="85"/>
    <m/>
    <x v="14"/>
    <x v="3"/>
    <x v="0"/>
    <m/>
    <m/>
    <m/>
    <m/>
    <m/>
    <m/>
    <m/>
    <m/>
    <m/>
    <m/>
    <m/>
    <m/>
    <s v="x"/>
    <s v="x"/>
    <s v="na"/>
    <s v="NRD"/>
    <s v="na"/>
    <s v="na"/>
    <s v="na"/>
    <s v="na"/>
    <s v="na"/>
    <s v="na"/>
    <s v="na"/>
    <s v="na"/>
  </r>
  <r>
    <n v="4648"/>
    <x v="85"/>
    <m/>
    <x v="14"/>
    <x v="3"/>
    <x v="0"/>
    <m/>
    <m/>
    <m/>
    <m/>
    <m/>
    <m/>
    <m/>
    <m/>
    <m/>
    <m/>
    <m/>
    <m/>
    <s v="x"/>
    <s v="x"/>
    <s v="na"/>
    <s v="NRD"/>
    <s v="na"/>
    <s v="na"/>
    <s v="na"/>
    <s v="na"/>
    <s v="na"/>
    <s v="na"/>
    <s v="na"/>
    <s v="na"/>
  </r>
  <r>
    <n v="4649"/>
    <x v="85"/>
    <m/>
    <x v="14"/>
    <x v="3"/>
    <x v="0"/>
    <m/>
    <m/>
    <m/>
    <m/>
    <m/>
    <m/>
    <m/>
    <m/>
    <m/>
    <m/>
    <m/>
    <m/>
    <s v="x"/>
    <s v="x"/>
    <s v="na"/>
    <s v="NRD"/>
    <s v="na"/>
    <s v="na"/>
    <s v="na"/>
    <s v="na"/>
    <s v="na"/>
    <s v="na"/>
    <s v="na"/>
    <s v="na"/>
  </r>
  <r>
    <n v="4650"/>
    <x v="85"/>
    <m/>
    <x v="14"/>
    <x v="3"/>
    <x v="0"/>
    <m/>
    <m/>
    <m/>
    <m/>
    <m/>
    <m/>
    <m/>
    <m/>
    <m/>
    <m/>
    <m/>
    <m/>
    <s v="x"/>
    <s v="x"/>
    <s v="na"/>
    <s v="NRD"/>
    <s v="na"/>
    <s v="na"/>
    <s v="na"/>
    <s v="na"/>
    <s v="na"/>
    <s v="na"/>
    <s v="na"/>
    <s v="na"/>
  </r>
  <r>
    <n v="4651"/>
    <x v="85"/>
    <m/>
    <x v="14"/>
    <x v="3"/>
    <x v="0"/>
    <m/>
    <m/>
    <m/>
    <m/>
    <m/>
    <m/>
    <m/>
    <m/>
    <m/>
    <m/>
    <m/>
    <m/>
    <s v="x"/>
    <s v="x"/>
    <s v="na"/>
    <s v="NRD"/>
    <s v="na"/>
    <s v="na"/>
    <s v="na"/>
    <s v="na"/>
    <s v="na"/>
    <s v="na"/>
    <s v="na"/>
    <s v="na"/>
  </r>
  <r>
    <n v="4652"/>
    <x v="85"/>
    <m/>
    <x v="14"/>
    <x v="3"/>
    <x v="0"/>
    <m/>
    <m/>
    <m/>
    <m/>
    <m/>
    <m/>
    <m/>
    <m/>
    <m/>
    <m/>
    <m/>
    <m/>
    <s v="x"/>
    <s v="x"/>
    <s v="na"/>
    <s v="NRD"/>
    <s v="na"/>
    <s v="na"/>
    <s v="na"/>
    <s v="na"/>
    <s v="na"/>
    <s v="na"/>
    <s v="na"/>
    <s v="na"/>
  </r>
  <r>
    <n v="4653"/>
    <x v="85"/>
    <m/>
    <x v="14"/>
    <x v="3"/>
    <x v="0"/>
    <m/>
    <m/>
    <m/>
    <m/>
    <m/>
    <m/>
    <m/>
    <m/>
    <m/>
    <m/>
    <m/>
    <m/>
    <s v="x"/>
    <s v="x"/>
    <s v="na"/>
    <s v="NRD"/>
    <s v="na"/>
    <s v="na"/>
    <s v="na"/>
    <s v="na"/>
    <s v="na"/>
    <s v="na"/>
    <s v="na"/>
    <s v="na"/>
  </r>
  <r>
    <n v="4654"/>
    <x v="85"/>
    <m/>
    <x v="14"/>
    <x v="3"/>
    <x v="0"/>
    <m/>
    <m/>
    <m/>
    <m/>
    <m/>
    <m/>
    <m/>
    <m/>
    <m/>
    <m/>
    <m/>
    <m/>
    <s v="x"/>
    <s v="x"/>
    <s v="na"/>
    <s v="NRD"/>
    <s v="na"/>
    <s v="na"/>
    <s v="na"/>
    <s v="na"/>
    <s v="na"/>
    <s v="na"/>
    <s v="na"/>
    <s v="na"/>
  </r>
  <r>
    <n v="4655"/>
    <x v="85"/>
    <m/>
    <x v="14"/>
    <x v="3"/>
    <x v="0"/>
    <m/>
    <m/>
    <m/>
    <m/>
    <m/>
    <m/>
    <m/>
    <m/>
    <m/>
    <m/>
    <m/>
    <m/>
    <s v="x"/>
    <s v="x"/>
    <s v="na"/>
    <s v="NRD"/>
    <s v="na"/>
    <s v="na"/>
    <s v="na"/>
    <s v="na"/>
    <s v="na"/>
    <s v="na"/>
    <s v="na"/>
    <s v="na"/>
  </r>
  <r>
    <n v="4656"/>
    <x v="85"/>
    <m/>
    <x v="14"/>
    <x v="3"/>
    <x v="0"/>
    <m/>
    <m/>
    <m/>
    <m/>
    <m/>
    <m/>
    <m/>
    <m/>
    <m/>
    <m/>
    <m/>
    <m/>
    <s v="x"/>
    <s v="x"/>
    <s v="na"/>
    <s v="NRD"/>
    <s v="na"/>
    <s v="na"/>
    <s v="na"/>
    <s v="na"/>
    <s v="na"/>
    <s v="na"/>
    <s v="na"/>
    <s v="na"/>
  </r>
  <r>
    <n v="4657"/>
    <x v="85"/>
    <m/>
    <x v="14"/>
    <x v="3"/>
    <x v="0"/>
    <m/>
    <m/>
    <m/>
    <m/>
    <m/>
    <m/>
    <m/>
    <m/>
    <m/>
    <m/>
    <m/>
    <m/>
    <s v="x"/>
    <s v="x"/>
    <s v="na"/>
    <s v="NRD"/>
    <s v="na"/>
    <s v="na"/>
    <s v="na"/>
    <s v="na"/>
    <s v="na"/>
    <s v="na"/>
    <s v="na"/>
    <s v="na"/>
  </r>
  <r>
    <n v="4658"/>
    <x v="85"/>
    <m/>
    <x v="14"/>
    <x v="3"/>
    <x v="0"/>
    <m/>
    <m/>
    <m/>
    <m/>
    <m/>
    <m/>
    <m/>
    <m/>
    <m/>
    <m/>
    <m/>
    <m/>
    <s v="x"/>
    <s v="x"/>
    <s v="na"/>
    <s v="NRD"/>
    <s v="na"/>
    <s v="na"/>
    <s v="na"/>
    <s v="na"/>
    <s v="na"/>
    <s v="na"/>
    <s v="na"/>
    <s v="na"/>
  </r>
  <r>
    <n v="4659"/>
    <x v="85"/>
    <m/>
    <x v="14"/>
    <x v="3"/>
    <x v="0"/>
    <m/>
    <m/>
    <m/>
    <m/>
    <m/>
    <m/>
    <m/>
    <m/>
    <m/>
    <m/>
    <m/>
    <m/>
    <s v="x"/>
    <s v="x"/>
    <s v="na"/>
    <s v="NRD"/>
    <s v="na"/>
    <s v="na"/>
    <s v="na"/>
    <s v="na"/>
    <s v="na"/>
    <s v="na"/>
    <s v="na"/>
    <s v="na"/>
  </r>
  <r>
    <n v="4660"/>
    <x v="85"/>
    <m/>
    <x v="14"/>
    <x v="3"/>
    <x v="0"/>
    <m/>
    <m/>
    <m/>
    <m/>
    <m/>
    <m/>
    <m/>
    <m/>
    <m/>
    <m/>
    <m/>
    <m/>
    <s v="x"/>
    <s v="x"/>
    <s v="na"/>
    <s v="NRD"/>
    <s v="na"/>
    <s v="na"/>
    <s v="na"/>
    <s v="na"/>
    <s v="na"/>
    <s v="na"/>
    <s v="na"/>
    <s v="na"/>
  </r>
  <r>
    <n v="4661"/>
    <x v="85"/>
    <m/>
    <x v="14"/>
    <x v="3"/>
    <x v="0"/>
    <m/>
    <m/>
    <m/>
    <m/>
    <m/>
    <m/>
    <m/>
    <m/>
    <m/>
    <m/>
    <m/>
    <m/>
    <s v="x"/>
    <s v="x"/>
    <s v="na"/>
    <s v="NRD"/>
    <s v="na"/>
    <s v="na"/>
    <s v="na"/>
    <s v="na"/>
    <s v="na"/>
    <s v="na"/>
    <s v="na"/>
    <s v="na"/>
  </r>
  <r>
    <n v="4662"/>
    <x v="85"/>
    <m/>
    <x v="14"/>
    <x v="3"/>
    <x v="0"/>
    <m/>
    <m/>
    <m/>
    <m/>
    <m/>
    <m/>
    <m/>
    <m/>
    <m/>
    <m/>
    <m/>
    <m/>
    <s v="x"/>
    <s v="x"/>
    <s v="na"/>
    <s v="NRD"/>
    <s v="na"/>
    <s v="na"/>
    <s v="na"/>
    <s v="na"/>
    <s v="na"/>
    <s v="na"/>
    <s v="na"/>
    <s v="na"/>
  </r>
  <r>
    <n v="4663"/>
    <x v="85"/>
    <m/>
    <x v="14"/>
    <x v="3"/>
    <x v="0"/>
    <m/>
    <m/>
    <m/>
    <m/>
    <m/>
    <m/>
    <m/>
    <m/>
    <m/>
    <m/>
    <m/>
    <m/>
    <s v="x"/>
    <s v="x"/>
    <s v="na"/>
    <s v="NRD"/>
    <s v="na"/>
    <s v="na"/>
    <s v="na"/>
    <s v="na"/>
    <s v="na"/>
    <s v="na"/>
    <s v="na"/>
    <s v="na"/>
  </r>
  <r>
    <n v="4664"/>
    <x v="85"/>
    <m/>
    <x v="14"/>
    <x v="3"/>
    <x v="0"/>
    <m/>
    <m/>
    <m/>
    <m/>
    <m/>
    <m/>
    <m/>
    <m/>
    <m/>
    <m/>
    <m/>
    <m/>
    <s v="x"/>
    <s v="x"/>
    <s v="na"/>
    <s v="NRD"/>
    <s v="na"/>
    <s v="na"/>
    <s v="na"/>
    <s v="na"/>
    <s v="na"/>
    <s v="na"/>
    <s v="na"/>
    <s v="na"/>
  </r>
  <r>
    <n v="4665"/>
    <x v="85"/>
    <m/>
    <x v="14"/>
    <x v="3"/>
    <x v="0"/>
    <m/>
    <m/>
    <m/>
    <m/>
    <m/>
    <m/>
    <m/>
    <m/>
    <m/>
    <m/>
    <m/>
    <m/>
    <s v="x"/>
    <s v="x"/>
    <s v="na"/>
    <s v="NRD"/>
    <s v="na"/>
    <s v="na"/>
    <s v="na"/>
    <s v="na"/>
    <s v="na"/>
    <s v="na"/>
    <s v="na"/>
    <s v="na"/>
  </r>
  <r>
    <n v="4666"/>
    <x v="85"/>
    <m/>
    <x v="14"/>
    <x v="3"/>
    <x v="0"/>
    <m/>
    <m/>
    <m/>
    <m/>
    <m/>
    <m/>
    <m/>
    <m/>
    <m/>
    <m/>
    <m/>
    <m/>
    <s v="x"/>
    <s v="x"/>
    <s v="na"/>
    <s v="NRD"/>
    <s v="na"/>
    <s v="na"/>
    <s v="na"/>
    <s v="na"/>
    <s v="na"/>
    <s v="na"/>
    <s v="na"/>
    <s v="na"/>
  </r>
  <r>
    <n v="4667"/>
    <x v="85"/>
    <m/>
    <x v="14"/>
    <x v="3"/>
    <x v="0"/>
    <m/>
    <m/>
    <m/>
    <m/>
    <m/>
    <m/>
    <m/>
    <m/>
    <m/>
    <m/>
    <m/>
    <m/>
    <s v="x"/>
    <s v="x"/>
    <s v="na"/>
    <s v="NRD"/>
    <s v="na"/>
    <s v="na"/>
    <s v="na"/>
    <s v="na"/>
    <s v="na"/>
    <s v="na"/>
    <s v="na"/>
    <s v="na"/>
  </r>
  <r>
    <n v="4668"/>
    <x v="85"/>
    <m/>
    <x v="14"/>
    <x v="3"/>
    <x v="0"/>
    <m/>
    <m/>
    <m/>
    <m/>
    <m/>
    <m/>
    <m/>
    <m/>
    <m/>
    <m/>
    <m/>
    <m/>
    <s v="x"/>
    <s v="x"/>
    <s v="na"/>
    <s v="NRD"/>
    <s v="na"/>
    <s v="na"/>
    <s v="na"/>
    <s v="na"/>
    <s v="na"/>
    <s v="na"/>
    <s v="na"/>
    <s v="na"/>
  </r>
  <r>
    <n v="4669"/>
    <x v="85"/>
    <m/>
    <x v="14"/>
    <x v="3"/>
    <x v="0"/>
    <m/>
    <m/>
    <m/>
    <m/>
    <m/>
    <m/>
    <m/>
    <m/>
    <m/>
    <m/>
    <m/>
    <m/>
    <s v="x"/>
    <s v="x"/>
    <s v="na"/>
    <s v="NRD"/>
    <s v="na"/>
    <s v="na"/>
    <s v="na"/>
    <s v="na"/>
    <s v="na"/>
    <s v="na"/>
    <s v="na"/>
    <s v="na"/>
  </r>
  <r>
    <n v="4670"/>
    <x v="85"/>
    <m/>
    <x v="14"/>
    <x v="3"/>
    <x v="0"/>
    <m/>
    <m/>
    <m/>
    <m/>
    <m/>
    <m/>
    <m/>
    <m/>
    <m/>
    <m/>
    <m/>
    <m/>
    <s v="x"/>
    <s v="x"/>
    <s v="na"/>
    <s v="NRD"/>
    <s v="na"/>
    <s v="na"/>
    <s v="na"/>
    <s v="na"/>
    <s v="na"/>
    <s v="na"/>
    <s v="na"/>
    <s v="na"/>
  </r>
  <r>
    <n v="4671"/>
    <x v="85"/>
    <m/>
    <x v="14"/>
    <x v="3"/>
    <x v="0"/>
    <m/>
    <m/>
    <m/>
    <m/>
    <m/>
    <m/>
    <m/>
    <m/>
    <m/>
    <m/>
    <m/>
    <m/>
    <s v="x"/>
    <s v="x"/>
    <s v="na"/>
    <s v="NRD"/>
    <s v="na"/>
    <s v="na"/>
    <s v="na"/>
    <s v="na"/>
    <s v="na"/>
    <s v="na"/>
    <s v="na"/>
    <s v="na"/>
  </r>
  <r>
    <n v="4672"/>
    <x v="85"/>
    <m/>
    <x v="14"/>
    <x v="3"/>
    <x v="0"/>
    <m/>
    <m/>
    <m/>
    <m/>
    <m/>
    <m/>
    <m/>
    <m/>
    <m/>
    <m/>
    <m/>
    <m/>
    <s v="x"/>
    <s v="x"/>
    <s v="na"/>
    <s v="NRD"/>
    <s v="na"/>
    <s v="na"/>
    <s v="na"/>
    <s v="na"/>
    <s v="na"/>
    <s v="na"/>
    <s v="na"/>
    <s v="na"/>
  </r>
  <r>
    <n v="4673"/>
    <x v="85"/>
    <m/>
    <x v="14"/>
    <x v="3"/>
    <x v="0"/>
    <m/>
    <m/>
    <m/>
    <m/>
    <m/>
    <m/>
    <m/>
    <m/>
    <m/>
    <m/>
    <m/>
    <m/>
    <s v="x"/>
    <s v="x"/>
    <s v="na"/>
    <s v="NRD"/>
    <s v="na"/>
    <s v="na"/>
    <s v="na"/>
    <s v="na"/>
    <s v="na"/>
    <s v="na"/>
    <s v="na"/>
    <s v="na"/>
  </r>
  <r>
    <n v="4674"/>
    <x v="85"/>
    <m/>
    <x v="14"/>
    <x v="3"/>
    <x v="0"/>
    <m/>
    <m/>
    <m/>
    <m/>
    <m/>
    <m/>
    <m/>
    <m/>
    <m/>
    <m/>
    <m/>
    <m/>
    <s v="x"/>
    <s v="x"/>
    <s v="na"/>
    <s v="NRD"/>
    <s v="na"/>
    <s v="na"/>
    <s v="na"/>
    <s v="na"/>
    <s v="na"/>
    <s v="na"/>
    <s v="na"/>
    <s v="na"/>
  </r>
  <r>
    <n v="4675"/>
    <x v="85"/>
    <m/>
    <x v="14"/>
    <x v="3"/>
    <x v="0"/>
    <m/>
    <m/>
    <m/>
    <m/>
    <m/>
    <m/>
    <m/>
    <m/>
    <m/>
    <m/>
    <m/>
    <m/>
    <s v="x"/>
    <s v="x"/>
    <s v="na"/>
    <s v="NRD"/>
    <s v="na"/>
    <s v="na"/>
    <s v="na"/>
    <s v="na"/>
    <s v="na"/>
    <s v="na"/>
    <s v="na"/>
    <s v="na"/>
  </r>
  <r>
    <n v="4676"/>
    <x v="85"/>
    <m/>
    <x v="14"/>
    <x v="3"/>
    <x v="0"/>
    <m/>
    <m/>
    <m/>
    <m/>
    <m/>
    <m/>
    <m/>
    <m/>
    <m/>
    <m/>
    <m/>
    <m/>
    <s v="x"/>
    <s v="x"/>
    <s v="na"/>
    <s v="NRD"/>
    <s v="na"/>
    <s v="na"/>
    <s v="na"/>
    <s v="na"/>
    <s v="na"/>
    <s v="na"/>
    <s v="na"/>
    <s v="na"/>
  </r>
  <r>
    <n v="4677"/>
    <x v="85"/>
    <m/>
    <x v="14"/>
    <x v="3"/>
    <x v="0"/>
    <m/>
    <m/>
    <m/>
    <m/>
    <m/>
    <m/>
    <m/>
    <m/>
    <m/>
    <m/>
    <m/>
    <m/>
    <s v="x"/>
    <s v="x"/>
    <s v="na"/>
    <s v="NRD"/>
    <s v="na"/>
    <s v="na"/>
    <s v="na"/>
    <s v="na"/>
    <s v="na"/>
    <s v="na"/>
    <s v="na"/>
    <s v="na"/>
  </r>
  <r>
    <n v="4678"/>
    <x v="85"/>
    <m/>
    <x v="14"/>
    <x v="3"/>
    <x v="0"/>
    <m/>
    <m/>
    <m/>
    <m/>
    <m/>
    <m/>
    <m/>
    <m/>
    <m/>
    <m/>
    <m/>
    <m/>
    <s v="x"/>
    <s v="x"/>
    <s v="na"/>
    <s v="NRD"/>
    <s v="na"/>
    <s v="na"/>
    <s v="na"/>
    <s v="na"/>
    <s v="na"/>
    <s v="na"/>
    <s v="na"/>
    <s v="na"/>
  </r>
  <r>
    <n v="4679"/>
    <x v="85"/>
    <m/>
    <x v="14"/>
    <x v="3"/>
    <x v="0"/>
    <m/>
    <m/>
    <m/>
    <m/>
    <m/>
    <m/>
    <m/>
    <m/>
    <m/>
    <m/>
    <m/>
    <m/>
    <s v="x"/>
    <s v="x"/>
    <s v="na"/>
    <s v="NRD"/>
    <s v="na"/>
    <s v="na"/>
    <s v="na"/>
    <s v="na"/>
    <s v="na"/>
    <s v="na"/>
    <s v="na"/>
    <s v="na"/>
  </r>
  <r>
    <n v="4680"/>
    <x v="85"/>
    <m/>
    <x v="14"/>
    <x v="3"/>
    <x v="0"/>
    <m/>
    <m/>
    <m/>
    <m/>
    <m/>
    <m/>
    <m/>
    <m/>
    <m/>
    <m/>
    <m/>
    <m/>
    <s v="x"/>
    <s v="x"/>
    <s v="na"/>
    <s v="NRD"/>
    <s v="na"/>
    <s v="na"/>
    <s v="na"/>
    <s v="na"/>
    <s v="na"/>
    <s v="na"/>
    <s v="na"/>
    <s v="na"/>
  </r>
  <r>
    <n v="4681"/>
    <x v="85"/>
    <m/>
    <x v="14"/>
    <x v="3"/>
    <x v="0"/>
    <m/>
    <m/>
    <m/>
    <m/>
    <m/>
    <m/>
    <m/>
    <m/>
    <m/>
    <m/>
    <m/>
    <m/>
    <s v="x"/>
    <s v="x"/>
    <s v="na"/>
    <s v="NRD"/>
    <s v="na"/>
    <s v="na"/>
    <s v="na"/>
    <s v="na"/>
    <s v="na"/>
    <s v="na"/>
    <s v="na"/>
    <s v="na"/>
  </r>
  <r>
    <n v="4682"/>
    <x v="85"/>
    <m/>
    <x v="14"/>
    <x v="3"/>
    <x v="0"/>
    <m/>
    <m/>
    <m/>
    <m/>
    <m/>
    <m/>
    <m/>
    <m/>
    <m/>
    <m/>
    <m/>
    <m/>
    <s v="x"/>
    <s v="x"/>
    <s v="na"/>
    <s v="NRD"/>
    <s v="na"/>
    <s v="na"/>
    <s v="na"/>
    <s v="na"/>
    <s v="na"/>
    <s v="na"/>
    <s v="na"/>
    <s v="na"/>
  </r>
  <r>
    <n v="4683"/>
    <x v="85"/>
    <m/>
    <x v="14"/>
    <x v="3"/>
    <x v="0"/>
    <m/>
    <m/>
    <m/>
    <m/>
    <m/>
    <m/>
    <m/>
    <m/>
    <m/>
    <m/>
    <m/>
    <m/>
    <s v="x"/>
    <s v="x"/>
    <s v="na"/>
    <s v="NRD"/>
    <s v="na"/>
    <s v="na"/>
    <s v="na"/>
    <s v="na"/>
    <s v="na"/>
    <s v="na"/>
    <s v="na"/>
    <s v="na"/>
  </r>
  <r>
    <n v="4684"/>
    <x v="85"/>
    <m/>
    <x v="14"/>
    <x v="3"/>
    <x v="0"/>
    <m/>
    <m/>
    <m/>
    <m/>
    <m/>
    <m/>
    <m/>
    <m/>
    <m/>
    <m/>
    <m/>
    <m/>
    <s v="x"/>
    <s v="x"/>
    <s v="na"/>
    <s v="NRD"/>
    <s v="na"/>
    <s v="na"/>
    <s v="na"/>
    <s v="na"/>
    <s v="na"/>
    <s v="na"/>
    <s v="na"/>
    <s v="na"/>
  </r>
  <r>
    <n v="4685"/>
    <x v="85"/>
    <m/>
    <x v="14"/>
    <x v="3"/>
    <x v="0"/>
    <m/>
    <m/>
    <m/>
    <m/>
    <m/>
    <m/>
    <m/>
    <m/>
    <m/>
    <m/>
    <m/>
    <m/>
    <s v="x"/>
    <s v="x"/>
    <s v="na"/>
    <s v="NRD"/>
    <s v="na"/>
    <s v="na"/>
    <s v="na"/>
    <s v="na"/>
    <s v="na"/>
    <s v="na"/>
    <s v="na"/>
    <s v="na"/>
  </r>
  <r>
    <n v="4686"/>
    <x v="85"/>
    <m/>
    <x v="14"/>
    <x v="3"/>
    <x v="0"/>
    <m/>
    <m/>
    <m/>
    <m/>
    <m/>
    <m/>
    <m/>
    <m/>
    <m/>
    <m/>
    <m/>
    <m/>
    <s v="x"/>
    <s v="x"/>
    <s v="na"/>
    <s v="NRD"/>
    <s v="na"/>
    <s v="na"/>
    <s v="na"/>
    <s v="na"/>
    <s v="na"/>
    <s v="na"/>
    <s v="na"/>
    <s v="na"/>
  </r>
  <r>
    <n v="4687"/>
    <x v="85"/>
    <m/>
    <x v="14"/>
    <x v="3"/>
    <x v="0"/>
    <m/>
    <m/>
    <m/>
    <m/>
    <m/>
    <m/>
    <m/>
    <m/>
    <m/>
    <m/>
    <m/>
    <m/>
    <s v="x"/>
    <s v="x"/>
    <s v="na"/>
    <s v="NRD"/>
    <s v="na"/>
    <s v="na"/>
    <s v="na"/>
    <s v="na"/>
    <s v="na"/>
    <s v="na"/>
    <s v="na"/>
    <s v="na"/>
  </r>
  <r>
    <n v="4688"/>
    <x v="85"/>
    <m/>
    <x v="14"/>
    <x v="3"/>
    <x v="0"/>
    <m/>
    <m/>
    <m/>
    <m/>
    <m/>
    <m/>
    <m/>
    <m/>
    <m/>
    <m/>
    <m/>
    <m/>
    <s v="x"/>
    <s v="x"/>
    <s v="na"/>
    <s v="NRD"/>
    <s v="na"/>
    <s v="na"/>
    <s v="na"/>
    <s v="na"/>
    <s v="na"/>
    <s v="na"/>
    <s v="na"/>
    <s v="na"/>
  </r>
  <r>
    <n v="4689"/>
    <x v="85"/>
    <m/>
    <x v="14"/>
    <x v="3"/>
    <x v="0"/>
    <m/>
    <m/>
    <m/>
    <m/>
    <m/>
    <m/>
    <m/>
    <m/>
    <m/>
    <m/>
    <m/>
    <m/>
    <s v="x"/>
    <s v="x"/>
    <s v="na"/>
    <s v="NRD"/>
    <s v="na"/>
    <s v="na"/>
    <s v="na"/>
    <s v="na"/>
    <s v="na"/>
    <s v="na"/>
    <s v="na"/>
    <s v="na"/>
  </r>
  <r>
    <n v="4690"/>
    <x v="85"/>
    <m/>
    <x v="14"/>
    <x v="3"/>
    <x v="0"/>
    <m/>
    <m/>
    <m/>
    <m/>
    <m/>
    <m/>
    <m/>
    <m/>
    <m/>
    <m/>
    <m/>
    <m/>
    <s v="x"/>
    <s v="x"/>
    <s v="na"/>
    <s v="NRD"/>
    <s v="na"/>
    <s v="na"/>
    <s v="na"/>
    <s v="na"/>
    <s v="na"/>
    <s v="na"/>
    <s v="na"/>
    <s v="na"/>
  </r>
  <r>
    <n v="4691"/>
    <x v="85"/>
    <m/>
    <x v="14"/>
    <x v="3"/>
    <x v="0"/>
    <m/>
    <m/>
    <m/>
    <m/>
    <m/>
    <m/>
    <m/>
    <m/>
    <m/>
    <m/>
    <m/>
    <m/>
    <s v="x"/>
    <s v="x"/>
    <s v="na"/>
    <s v="NRD"/>
    <s v="na"/>
    <s v="na"/>
    <s v="na"/>
    <s v="na"/>
    <s v="na"/>
    <s v="na"/>
    <s v="na"/>
    <s v="na"/>
  </r>
  <r>
    <n v="4692"/>
    <x v="85"/>
    <m/>
    <x v="14"/>
    <x v="3"/>
    <x v="0"/>
    <m/>
    <m/>
    <m/>
    <m/>
    <m/>
    <m/>
    <m/>
    <m/>
    <m/>
    <m/>
    <m/>
    <m/>
    <s v="x"/>
    <s v="x"/>
    <s v="na"/>
    <s v="NRD"/>
    <s v="na"/>
    <s v="na"/>
    <s v="na"/>
    <s v="na"/>
    <s v="na"/>
    <s v="na"/>
    <s v="na"/>
    <s v="na"/>
  </r>
  <r>
    <n v="4693"/>
    <x v="85"/>
    <m/>
    <x v="14"/>
    <x v="3"/>
    <x v="0"/>
    <m/>
    <m/>
    <m/>
    <m/>
    <m/>
    <m/>
    <m/>
    <m/>
    <m/>
    <m/>
    <m/>
    <m/>
    <s v="x"/>
    <s v="x"/>
    <s v="na"/>
    <s v="NRD"/>
    <s v="na"/>
    <s v="na"/>
    <s v="na"/>
    <s v="na"/>
    <s v="na"/>
    <s v="na"/>
    <s v="na"/>
    <s v="na"/>
  </r>
  <r>
    <n v="4694"/>
    <x v="85"/>
    <m/>
    <x v="14"/>
    <x v="3"/>
    <x v="0"/>
    <m/>
    <m/>
    <m/>
    <m/>
    <m/>
    <m/>
    <m/>
    <m/>
    <m/>
    <m/>
    <m/>
    <m/>
    <s v="x"/>
    <s v="x"/>
    <s v="na"/>
    <s v="NRD"/>
    <s v="na"/>
    <s v="na"/>
    <s v="na"/>
    <s v="na"/>
    <s v="na"/>
    <s v="na"/>
    <s v="na"/>
    <s v="na"/>
  </r>
  <r>
    <n v="4695"/>
    <x v="85"/>
    <m/>
    <x v="14"/>
    <x v="3"/>
    <x v="0"/>
    <m/>
    <m/>
    <m/>
    <m/>
    <m/>
    <m/>
    <m/>
    <m/>
    <m/>
    <m/>
    <m/>
    <m/>
    <s v="x"/>
    <s v="x"/>
    <s v="na"/>
    <s v="NRD"/>
    <s v="na"/>
    <s v="na"/>
    <s v="na"/>
    <s v="na"/>
    <s v="na"/>
    <s v="na"/>
    <s v="na"/>
    <s v="na"/>
  </r>
  <r>
    <n v="4696"/>
    <x v="85"/>
    <m/>
    <x v="14"/>
    <x v="3"/>
    <x v="0"/>
    <m/>
    <m/>
    <m/>
    <m/>
    <m/>
    <m/>
    <m/>
    <m/>
    <m/>
    <m/>
    <m/>
    <m/>
    <s v="x"/>
    <s v="x"/>
    <s v="na"/>
    <s v="NRD"/>
    <s v="na"/>
    <s v="na"/>
    <s v="na"/>
    <s v="na"/>
    <s v="na"/>
    <s v="na"/>
    <s v="na"/>
    <s v="na"/>
  </r>
  <r>
    <n v="4697"/>
    <x v="85"/>
    <m/>
    <x v="14"/>
    <x v="3"/>
    <x v="0"/>
    <m/>
    <m/>
    <m/>
    <m/>
    <m/>
    <m/>
    <m/>
    <m/>
    <m/>
    <m/>
    <m/>
    <m/>
    <s v="x"/>
    <s v="x"/>
    <s v="na"/>
    <s v="NRD"/>
    <s v="na"/>
    <s v="na"/>
    <s v="na"/>
    <s v="na"/>
    <s v="na"/>
    <s v="na"/>
    <s v="na"/>
    <s v="na"/>
  </r>
  <r>
    <n v="4698"/>
    <x v="85"/>
    <m/>
    <x v="14"/>
    <x v="3"/>
    <x v="0"/>
    <m/>
    <m/>
    <m/>
    <m/>
    <m/>
    <m/>
    <m/>
    <m/>
    <m/>
    <m/>
    <m/>
    <m/>
    <s v="x"/>
    <s v="x"/>
    <s v="na"/>
    <s v="NRD"/>
    <s v="na"/>
    <s v="na"/>
    <s v="na"/>
    <s v="na"/>
    <s v="na"/>
    <s v="na"/>
    <s v="na"/>
    <s v="na"/>
  </r>
  <r>
    <n v="4699"/>
    <x v="85"/>
    <m/>
    <x v="14"/>
    <x v="3"/>
    <x v="0"/>
    <m/>
    <m/>
    <m/>
    <m/>
    <m/>
    <m/>
    <m/>
    <m/>
    <m/>
    <m/>
    <m/>
    <m/>
    <s v="x"/>
    <s v="x"/>
    <s v="na"/>
    <s v="NRD"/>
    <s v="na"/>
    <s v="na"/>
    <s v="na"/>
    <s v="na"/>
    <s v="na"/>
    <s v="na"/>
    <s v="na"/>
    <s v="na"/>
  </r>
  <r>
    <n v="4700"/>
    <x v="85"/>
    <m/>
    <x v="14"/>
    <x v="3"/>
    <x v="0"/>
    <m/>
    <m/>
    <m/>
    <m/>
    <m/>
    <m/>
    <m/>
    <m/>
    <m/>
    <m/>
    <m/>
    <m/>
    <s v="x"/>
    <s v="x"/>
    <s v="na"/>
    <s v="NRD"/>
    <s v="na"/>
    <s v="na"/>
    <s v="na"/>
    <s v="na"/>
    <s v="na"/>
    <s v="na"/>
    <s v="na"/>
    <s v="na"/>
  </r>
  <r>
    <n v="4701"/>
    <x v="85"/>
    <m/>
    <x v="14"/>
    <x v="3"/>
    <x v="0"/>
    <m/>
    <m/>
    <m/>
    <m/>
    <m/>
    <m/>
    <m/>
    <m/>
    <m/>
    <m/>
    <m/>
    <m/>
    <s v="x"/>
    <s v="x"/>
    <s v="na"/>
    <s v="NRD"/>
    <s v="na"/>
    <s v="na"/>
    <s v="na"/>
    <s v="na"/>
    <s v="na"/>
    <s v="na"/>
    <s v="na"/>
    <s v="na"/>
  </r>
  <r>
    <n v="4702"/>
    <x v="85"/>
    <m/>
    <x v="14"/>
    <x v="3"/>
    <x v="0"/>
    <m/>
    <m/>
    <m/>
    <m/>
    <m/>
    <m/>
    <m/>
    <m/>
    <m/>
    <m/>
    <m/>
    <m/>
    <s v="x"/>
    <s v="x"/>
    <s v="na"/>
    <s v="NRD"/>
    <s v="na"/>
    <s v="na"/>
    <s v="na"/>
    <s v="na"/>
    <s v="na"/>
    <s v="na"/>
    <s v="na"/>
    <s v="na"/>
  </r>
  <r>
    <n v="4703"/>
    <x v="85"/>
    <m/>
    <x v="14"/>
    <x v="3"/>
    <x v="0"/>
    <m/>
    <m/>
    <m/>
    <m/>
    <m/>
    <m/>
    <m/>
    <m/>
    <m/>
    <m/>
    <m/>
    <m/>
    <s v="x"/>
    <s v="x"/>
    <s v="na"/>
    <s v="NRD"/>
    <s v="na"/>
    <s v="na"/>
    <s v="na"/>
    <s v="na"/>
    <s v="na"/>
    <s v="na"/>
    <s v="na"/>
    <s v="na"/>
  </r>
  <r>
    <n v="4704"/>
    <x v="85"/>
    <m/>
    <x v="14"/>
    <x v="3"/>
    <x v="0"/>
    <m/>
    <m/>
    <m/>
    <m/>
    <m/>
    <m/>
    <m/>
    <m/>
    <m/>
    <m/>
    <m/>
    <m/>
    <s v="x"/>
    <s v="x"/>
    <s v="na"/>
    <s v="NRD"/>
    <s v="na"/>
    <s v="na"/>
    <s v="na"/>
    <s v="na"/>
    <s v="na"/>
    <s v="na"/>
    <s v="na"/>
    <s v="na"/>
  </r>
  <r>
    <n v="4705"/>
    <x v="85"/>
    <m/>
    <x v="14"/>
    <x v="3"/>
    <x v="0"/>
    <m/>
    <m/>
    <m/>
    <m/>
    <m/>
    <m/>
    <m/>
    <m/>
    <m/>
    <m/>
    <m/>
    <m/>
    <s v="x"/>
    <s v="x"/>
    <s v="na"/>
    <s v="NRD"/>
    <s v="na"/>
    <s v="na"/>
    <s v="na"/>
    <s v="na"/>
    <s v="na"/>
    <s v="na"/>
    <s v="na"/>
    <s v="na"/>
  </r>
  <r>
    <n v="4706"/>
    <x v="85"/>
    <m/>
    <x v="14"/>
    <x v="3"/>
    <x v="0"/>
    <m/>
    <m/>
    <m/>
    <m/>
    <m/>
    <m/>
    <m/>
    <m/>
    <m/>
    <m/>
    <m/>
    <m/>
    <s v="x"/>
    <s v="x"/>
    <s v="na"/>
    <s v="NRD"/>
    <s v="na"/>
    <s v="na"/>
    <s v="na"/>
    <s v="na"/>
    <s v="na"/>
    <s v="na"/>
    <s v="na"/>
    <s v="na"/>
  </r>
  <r>
    <n v="4707"/>
    <x v="85"/>
    <m/>
    <x v="14"/>
    <x v="3"/>
    <x v="0"/>
    <m/>
    <m/>
    <m/>
    <m/>
    <m/>
    <m/>
    <m/>
    <m/>
    <m/>
    <m/>
    <m/>
    <m/>
    <s v="x"/>
    <s v="x"/>
    <s v="na"/>
    <s v="NRD"/>
    <s v="na"/>
    <s v="na"/>
    <s v="na"/>
    <s v="na"/>
    <s v="na"/>
    <s v="na"/>
    <s v="na"/>
    <s v="na"/>
  </r>
  <r>
    <n v="4708"/>
    <x v="85"/>
    <m/>
    <x v="14"/>
    <x v="3"/>
    <x v="0"/>
    <m/>
    <m/>
    <m/>
    <m/>
    <m/>
    <m/>
    <m/>
    <m/>
    <m/>
    <m/>
    <m/>
    <m/>
    <s v="x"/>
    <s v="x"/>
    <s v="na"/>
    <s v="NRD"/>
    <s v="na"/>
    <s v="na"/>
    <s v="na"/>
    <s v="na"/>
    <s v="na"/>
    <s v="na"/>
    <s v="na"/>
    <s v="na"/>
  </r>
  <r>
    <n v="4709"/>
    <x v="85"/>
    <m/>
    <x v="14"/>
    <x v="3"/>
    <x v="0"/>
    <m/>
    <m/>
    <m/>
    <m/>
    <m/>
    <m/>
    <m/>
    <m/>
    <m/>
    <m/>
    <m/>
    <m/>
    <s v="x"/>
    <s v="x"/>
    <s v="na"/>
    <s v="NRD"/>
    <s v="na"/>
    <s v="na"/>
    <s v="na"/>
    <s v="na"/>
    <s v="na"/>
    <s v="na"/>
    <s v="na"/>
    <s v="na"/>
  </r>
  <r>
    <n v="4710"/>
    <x v="85"/>
    <m/>
    <x v="14"/>
    <x v="3"/>
    <x v="0"/>
    <m/>
    <m/>
    <m/>
    <m/>
    <m/>
    <m/>
    <m/>
    <m/>
    <m/>
    <m/>
    <m/>
    <m/>
    <s v="x"/>
    <s v="x"/>
    <s v="na"/>
    <s v="NRD"/>
    <s v="na"/>
    <s v="na"/>
    <s v="na"/>
    <s v="na"/>
    <s v="na"/>
    <s v="na"/>
    <s v="na"/>
    <s v="na"/>
  </r>
  <r>
    <n v="4711"/>
    <x v="85"/>
    <m/>
    <x v="14"/>
    <x v="3"/>
    <x v="0"/>
    <m/>
    <m/>
    <m/>
    <m/>
    <m/>
    <m/>
    <m/>
    <m/>
    <m/>
    <m/>
    <m/>
    <m/>
    <s v="x"/>
    <s v="x"/>
    <s v="na"/>
    <s v="NRD"/>
    <s v="na"/>
    <s v="na"/>
    <s v="na"/>
    <s v="na"/>
    <s v="na"/>
    <s v="na"/>
    <s v="na"/>
    <s v="na"/>
  </r>
  <r>
    <n v="4712"/>
    <x v="85"/>
    <m/>
    <x v="14"/>
    <x v="3"/>
    <x v="0"/>
    <m/>
    <m/>
    <m/>
    <m/>
    <m/>
    <m/>
    <m/>
    <m/>
    <m/>
    <m/>
    <m/>
    <m/>
    <s v="x"/>
    <s v="x"/>
    <s v="na"/>
    <s v="NRD"/>
    <s v="na"/>
    <s v="na"/>
    <s v="na"/>
    <s v="na"/>
    <s v="na"/>
    <s v="na"/>
    <s v="na"/>
    <s v="na"/>
  </r>
  <r>
    <n v="4713"/>
    <x v="85"/>
    <m/>
    <x v="14"/>
    <x v="3"/>
    <x v="0"/>
    <m/>
    <m/>
    <m/>
    <m/>
    <m/>
    <m/>
    <m/>
    <m/>
    <m/>
    <m/>
    <m/>
    <m/>
    <s v="x"/>
    <s v="x"/>
    <s v="na"/>
    <s v="NRD"/>
    <s v="na"/>
    <s v="na"/>
    <s v="na"/>
    <s v="na"/>
    <s v="na"/>
    <s v="na"/>
    <s v="na"/>
    <s v="na"/>
  </r>
  <r>
    <n v="4714"/>
    <x v="85"/>
    <m/>
    <x v="14"/>
    <x v="3"/>
    <x v="0"/>
    <m/>
    <m/>
    <m/>
    <m/>
    <m/>
    <m/>
    <m/>
    <m/>
    <m/>
    <m/>
    <m/>
    <m/>
    <s v="x"/>
    <s v="x"/>
    <s v="na"/>
    <s v="NRD"/>
    <s v="na"/>
    <s v="na"/>
    <s v="na"/>
    <s v="na"/>
    <s v="na"/>
    <s v="na"/>
    <s v="na"/>
    <s v="na"/>
  </r>
  <r>
    <n v="4715"/>
    <x v="85"/>
    <m/>
    <x v="14"/>
    <x v="3"/>
    <x v="0"/>
    <m/>
    <m/>
    <m/>
    <m/>
    <m/>
    <m/>
    <m/>
    <m/>
    <m/>
    <m/>
    <m/>
    <m/>
    <s v="x"/>
    <s v="x"/>
    <s v="na"/>
    <s v="NRD"/>
    <s v="na"/>
    <s v="na"/>
    <s v="na"/>
    <s v="na"/>
    <s v="na"/>
    <s v="na"/>
    <s v="na"/>
    <s v="na"/>
  </r>
  <r>
    <n v="4716"/>
    <x v="85"/>
    <m/>
    <x v="14"/>
    <x v="3"/>
    <x v="0"/>
    <m/>
    <m/>
    <m/>
    <m/>
    <m/>
    <m/>
    <m/>
    <m/>
    <m/>
    <m/>
    <m/>
    <m/>
    <s v="x"/>
    <s v="x"/>
    <s v="na"/>
    <s v="NRD"/>
    <s v="na"/>
    <s v="na"/>
    <s v="na"/>
    <s v="na"/>
    <s v="na"/>
    <s v="na"/>
    <s v="na"/>
    <s v="na"/>
  </r>
  <r>
    <n v="4717"/>
    <x v="85"/>
    <m/>
    <x v="14"/>
    <x v="3"/>
    <x v="0"/>
    <m/>
    <m/>
    <m/>
    <m/>
    <m/>
    <m/>
    <m/>
    <m/>
    <m/>
    <m/>
    <m/>
    <m/>
    <s v="x"/>
    <s v="x"/>
    <s v="na"/>
    <s v="NRD"/>
    <s v="na"/>
    <s v="na"/>
    <s v="na"/>
    <s v="na"/>
    <s v="na"/>
    <s v="na"/>
    <s v="na"/>
    <s v="na"/>
  </r>
  <r>
    <n v="4718"/>
    <x v="85"/>
    <m/>
    <x v="14"/>
    <x v="3"/>
    <x v="0"/>
    <m/>
    <m/>
    <m/>
    <m/>
    <m/>
    <m/>
    <m/>
    <m/>
    <m/>
    <m/>
    <m/>
    <m/>
    <s v="x"/>
    <s v="x"/>
    <s v="na"/>
    <s v="NRD"/>
    <s v="na"/>
    <s v="na"/>
    <s v="na"/>
    <s v="na"/>
    <s v="na"/>
    <s v="na"/>
    <s v="na"/>
    <s v="na"/>
  </r>
  <r>
    <n v="4719"/>
    <x v="85"/>
    <m/>
    <x v="14"/>
    <x v="3"/>
    <x v="0"/>
    <m/>
    <m/>
    <m/>
    <m/>
    <m/>
    <m/>
    <m/>
    <m/>
    <m/>
    <m/>
    <m/>
    <m/>
    <s v="x"/>
    <s v="x"/>
    <s v="na"/>
    <s v="NRD"/>
    <s v="na"/>
    <s v="na"/>
    <s v="na"/>
    <s v="na"/>
    <s v="na"/>
    <s v="na"/>
    <s v="na"/>
    <s v="na"/>
  </r>
  <r>
    <n v="4720"/>
    <x v="85"/>
    <m/>
    <x v="14"/>
    <x v="3"/>
    <x v="0"/>
    <m/>
    <m/>
    <m/>
    <m/>
    <m/>
    <m/>
    <m/>
    <m/>
    <m/>
    <m/>
    <m/>
    <m/>
    <s v="x"/>
    <s v="x"/>
    <s v="na"/>
    <s v="NRD"/>
    <s v="na"/>
    <s v="na"/>
    <s v="na"/>
    <s v="na"/>
    <s v="na"/>
    <s v="na"/>
    <s v="na"/>
    <s v="na"/>
  </r>
  <r>
    <n v="4721"/>
    <x v="85"/>
    <m/>
    <x v="14"/>
    <x v="3"/>
    <x v="0"/>
    <m/>
    <m/>
    <m/>
    <m/>
    <m/>
    <m/>
    <m/>
    <m/>
    <m/>
    <m/>
    <m/>
    <m/>
    <s v="x"/>
    <s v="x"/>
    <s v="na"/>
    <s v="NRD"/>
    <s v="na"/>
    <s v="na"/>
    <s v="na"/>
    <s v="na"/>
    <s v="na"/>
    <s v="na"/>
    <s v="na"/>
    <s v="na"/>
  </r>
  <r>
    <n v="4722"/>
    <x v="85"/>
    <m/>
    <x v="14"/>
    <x v="3"/>
    <x v="0"/>
    <m/>
    <m/>
    <m/>
    <m/>
    <m/>
    <m/>
    <m/>
    <m/>
    <m/>
    <m/>
    <m/>
    <m/>
    <s v="x"/>
    <s v="x"/>
    <s v="na"/>
    <s v="NRD"/>
    <s v="na"/>
    <s v="na"/>
    <s v="na"/>
    <s v="na"/>
    <s v="na"/>
    <s v="na"/>
    <s v="na"/>
    <s v="na"/>
  </r>
  <r>
    <n v="4723"/>
    <x v="85"/>
    <m/>
    <x v="14"/>
    <x v="3"/>
    <x v="0"/>
    <m/>
    <m/>
    <m/>
    <m/>
    <m/>
    <m/>
    <m/>
    <m/>
    <m/>
    <m/>
    <m/>
    <m/>
    <s v="x"/>
    <s v="x"/>
    <s v="na"/>
    <s v="NRD"/>
    <s v="na"/>
    <s v="na"/>
    <s v="na"/>
    <s v="na"/>
    <s v="na"/>
    <s v="na"/>
    <s v="na"/>
    <s v="na"/>
  </r>
  <r>
    <n v="4724"/>
    <x v="85"/>
    <m/>
    <x v="14"/>
    <x v="3"/>
    <x v="0"/>
    <m/>
    <m/>
    <m/>
    <m/>
    <m/>
    <m/>
    <m/>
    <m/>
    <m/>
    <m/>
    <m/>
    <m/>
    <s v="x"/>
    <s v="x"/>
    <s v="na"/>
    <s v="NRD"/>
    <s v="na"/>
    <s v="na"/>
    <s v="na"/>
    <s v="na"/>
    <s v="na"/>
    <s v="na"/>
    <s v="na"/>
    <s v="na"/>
  </r>
  <r>
    <n v="4725"/>
    <x v="85"/>
    <m/>
    <x v="14"/>
    <x v="3"/>
    <x v="0"/>
    <m/>
    <m/>
    <m/>
    <m/>
    <m/>
    <m/>
    <m/>
    <m/>
    <m/>
    <m/>
    <m/>
    <m/>
    <s v="x"/>
    <s v="x"/>
    <s v="na"/>
    <s v="NRD"/>
    <s v="na"/>
    <s v="na"/>
    <s v="na"/>
    <s v="na"/>
    <s v="na"/>
    <s v="na"/>
    <s v="na"/>
    <s v="na"/>
  </r>
  <r>
    <n v="4726"/>
    <x v="85"/>
    <m/>
    <x v="14"/>
    <x v="3"/>
    <x v="0"/>
    <m/>
    <m/>
    <m/>
    <m/>
    <m/>
    <m/>
    <m/>
    <m/>
    <m/>
    <m/>
    <m/>
    <m/>
    <s v="x"/>
    <s v="x"/>
    <s v="na"/>
    <s v="NRD"/>
    <s v="na"/>
    <s v="na"/>
    <s v="na"/>
    <s v="na"/>
    <s v="na"/>
    <s v="na"/>
    <s v="na"/>
    <s v="na"/>
  </r>
  <r>
    <n v="4727"/>
    <x v="85"/>
    <m/>
    <x v="14"/>
    <x v="3"/>
    <x v="0"/>
    <m/>
    <m/>
    <m/>
    <m/>
    <m/>
    <m/>
    <m/>
    <m/>
    <m/>
    <m/>
    <m/>
    <m/>
    <s v="x"/>
    <s v="x"/>
    <s v="na"/>
    <s v="NRD"/>
    <s v="na"/>
    <s v="na"/>
    <s v="na"/>
    <s v="na"/>
    <s v="na"/>
    <s v="na"/>
    <s v="na"/>
    <s v="na"/>
  </r>
  <r>
    <n v="4728"/>
    <x v="85"/>
    <m/>
    <x v="14"/>
    <x v="3"/>
    <x v="0"/>
    <m/>
    <m/>
    <m/>
    <m/>
    <m/>
    <m/>
    <m/>
    <m/>
    <m/>
    <m/>
    <m/>
    <m/>
    <s v="x"/>
    <s v="x"/>
    <s v="na"/>
    <s v="NRD"/>
    <s v="na"/>
    <s v="na"/>
    <s v="na"/>
    <s v="na"/>
    <s v="na"/>
    <s v="na"/>
    <s v="na"/>
    <s v="na"/>
  </r>
  <r>
    <n v="4729"/>
    <x v="85"/>
    <m/>
    <x v="14"/>
    <x v="3"/>
    <x v="0"/>
    <m/>
    <m/>
    <m/>
    <m/>
    <m/>
    <m/>
    <m/>
    <m/>
    <m/>
    <m/>
    <m/>
    <m/>
    <s v="x"/>
    <s v="x"/>
    <s v="na"/>
    <s v="NRD"/>
    <s v="na"/>
    <s v="na"/>
    <s v="na"/>
    <s v="na"/>
    <s v="na"/>
    <s v="na"/>
    <s v="na"/>
    <s v="na"/>
  </r>
  <r>
    <n v="4730"/>
    <x v="85"/>
    <m/>
    <x v="14"/>
    <x v="3"/>
    <x v="0"/>
    <m/>
    <m/>
    <m/>
    <m/>
    <m/>
    <m/>
    <m/>
    <m/>
    <m/>
    <m/>
    <m/>
    <m/>
    <s v="x"/>
    <s v="x"/>
    <s v="na"/>
    <s v="NRD"/>
    <s v="na"/>
    <s v="na"/>
    <s v="na"/>
    <s v="na"/>
    <s v="na"/>
    <s v="na"/>
    <s v="na"/>
    <s v="na"/>
  </r>
  <r>
    <n v="4731"/>
    <x v="85"/>
    <m/>
    <x v="14"/>
    <x v="3"/>
    <x v="0"/>
    <m/>
    <m/>
    <m/>
    <m/>
    <m/>
    <m/>
    <m/>
    <m/>
    <m/>
    <m/>
    <m/>
    <m/>
    <s v="x"/>
    <s v="x"/>
    <s v="na"/>
    <s v="NRD"/>
    <s v="na"/>
    <s v="na"/>
    <s v="na"/>
    <s v="na"/>
    <s v="na"/>
    <s v="na"/>
    <s v="na"/>
    <s v="na"/>
  </r>
  <r>
    <n v="4732"/>
    <x v="85"/>
    <m/>
    <x v="14"/>
    <x v="3"/>
    <x v="0"/>
    <m/>
    <m/>
    <m/>
    <m/>
    <m/>
    <m/>
    <m/>
    <m/>
    <m/>
    <m/>
    <m/>
    <m/>
    <s v="x"/>
    <s v="x"/>
    <s v="na"/>
    <s v="NRD"/>
    <s v="na"/>
    <s v="na"/>
    <s v="na"/>
    <s v="na"/>
    <s v="na"/>
    <s v="na"/>
    <s v="na"/>
    <s v="na"/>
  </r>
  <r>
    <n v="4733"/>
    <x v="85"/>
    <m/>
    <x v="14"/>
    <x v="3"/>
    <x v="0"/>
    <m/>
    <m/>
    <m/>
    <m/>
    <m/>
    <m/>
    <m/>
    <m/>
    <m/>
    <m/>
    <m/>
    <m/>
    <s v="x"/>
    <s v="x"/>
    <s v="na"/>
    <s v="NRD"/>
    <s v="na"/>
    <s v="na"/>
    <s v="na"/>
    <s v="na"/>
    <s v="na"/>
    <s v="na"/>
    <s v="na"/>
    <s v="na"/>
  </r>
  <r>
    <n v="4734"/>
    <x v="85"/>
    <m/>
    <x v="14"/>
    <x v="3"/>
    <x v="0"/>
    <m/>
    <m/>
    <m/>
    <m/>
    <m/>
    <m/>
    <m/>
    <m/>
    <m/>
    <m/>
    <m/>
    <m/>
    <s v="x"/>
    <s v="x"/>
    <s v="na"/>
    <s v="NRD"/>
    <s v="na"/>
    <s v="na"/>
    <s v="na"/>
    <s v="na"/>
    <s v="na"/>
    <s v="na"/>
    <s v="na"/>
    <s v="na"/>
  </r>
  <r>
    <n v="4735"/>
    <x v="85"/>
    <m/>
    <x v="14"/>
    <x v="3"/>
    <x v="0"/>
    <m/>
    <m/>
    <m/>
    <m/>
    <m/>
    <m/>
    <m/>
    <m/>
    <m/>
    <m/>
    <m/>
    <m/>
    <s v="x"/>
    <s v="x"/>
    <s v="na"/>
    <s v="NRD"/>
    <s v="na"/>
    <s v="na"/>
    <s v="na"/>
    <s v="na"/>
    <s v="na"/>
    <s v="na"/>
    <s v="na"/>
    <s v="na"/>
  </r>
  <r>
    <n v="4736"/>
    <x v="85"/>
    <m/>
    <x v="14"/>
    <x v="3"/>
    <x v="0"/>
    <m/>
    <m/>
    <m/>
    <m/>
    <m/>
    <m/>
    <m/>
    <m/>
    <m/>
    <m/>
    <m/>
    <m/>
    <s v="x"/>
    <s v="x"/>
    <s v="na"/>
    <s v="NRD"/>
    <s v="na"/>
    <s v="na"/>
    <s v="na"/>
    <s v="na"/>
    <s v="na"/>
    <s v="na"/>
    <s v="na"/>
    <s v="na"/>
  </r>
  <r>
    <n v="4737"/>
    <x v="85"/>
    <m/>
    <x v="14"/>
    <x v="3"/>
    <x v="0"/>
    <m/>
    <m/>
    <m/>
    <m/>
    <m/>
    <m/>
    <m/>
    <m/>
    <m/>
    <m/>
    <m/>
    <m/>
    <s v="x"/>
    <s v="x"/>
    <s v="na"/>
    <s v="NRD"/>
    <s v="na"/>
    <s v="na"/>
    <s v="na"/>
    <s v="na"/>
    <s v="na"/>
    <s v="na"/>
    <s v="na"/>
    <s v="na"/>
  </r>
  <r>
    <n v="4738"/>
    <x v="85"/>
    <m/>
    <x v="14"/>
    <x v="3"/>
    <x v="0"/>
    <m/>
    <m/>
    <m/>
    <m/>
    <m/>
    <m/>
    <m/>
    <m/>
    <m/>
    <m/>
    <m/>
    <m/>
    <s v="x"/>
    <s v="x"/>
    <s v="na"/>
    <s v="NRD"/>
    <s v="na"/>
    <s v="na"/>
    <s v="na"/>
    <s v="na"/>
    <s v="na"/>
    <s v="na"/>
    <s v="na"/>
    <s v="na"/>
  </r>
  <r>
    <n v="4739"/>
    <x v="85"/>
    <m/>
    <x v="14"/>
    <x v="3"/>
    <x v="0"/>
    <m/>
    <m/>
    <m/>
    <m/>
    <m/>
    <m/>
    <m/>
    <m/>
    <m/>
    <m/>
    <m/>
    <m/>
    <s v="x"/>
    <s v="x"/>
    <s v="na"/>
    <s v="NRD"/>
    <s v="na"/>
    <s v="na"/>
    <s v="na"/>
    <s v="na"/>
    <s v="na"/>
    <s v="na"/>
    <s v="na"/>
    <s v="na"/>
  </r>
  <r>
    <n v="4740"/>
    <x v="85"/>
    <m/>
    <x v="14"/>
    <x v="3"/>
    <x v="0"/>
    <m/>
    <m/>
    <m/>
    <m/>
    <m/>
    <m/>
    <m/>
    <m/>
    <m/>
    <m/>
    <m/>
    <m/>
    <s v="x"/>
    <s v="x"/>
    <s v="na"/>
    <s v="NRD"/>
    <s v="na"/>
    <s v="na"/>
    <s v="na"/>
    <s v="na"/>
    <s v="na"/>
    <s v="na"/>
    <s v="na"/>
    <s v="na"/>
  </r>
  <r>
    <n v="4741"/>
    <x v="85"/>
    <m/>
    <x v="14"/>
    <x v="3"/>
    <x v="0"/>
    <m/>
    <m/>
    <m/>
    <m/>
    <m/>
    <m/>
    <m/>
    <m/>
    <m/>
    <m/>
    <m/>
    <m/>
    <s v="x"/>
    <s v="x"/>
    <s v="na"/>
    <s v="NRD"/>
    <s v="na"/>
    <s v="na"/>
    <s v="na"/>
    <s v="na"/>
    <s v="na"/>
    <s v="na"/>
    <s v="na"/>
    <s v="na"/>
  </r>
  <r>
    <n v="4742"/>
    <x v="85"/>
    <m/>
    <x v="14"/>
    <x v="3"/>
    <x v="0"/>
    <m/>
    <m/>
    <m/>
    <m/>
    <m/>
    <m/>
    <m/>
    <m/>
    <m/>
    <m/>
    <m/>
    <m/>
    <s v="x"/>
    <s v="x"/>
    <s v="na"/>
    <s v="NRD"/>
    <s v="na"/>
    <s v="na"/>
    <s v="na"/>
    <s v="na"/>
    <s v="na"/>
    <s v="na"/>
    <s v="na"/>
    <s v="na"/>
  </r>
  <r>
    <n v="4743"/>
    <x v="85"/>
    <m/>
    <x v="14"/>
    <x v="3"/>
    <x v="0"/>
    <m/>
    <m/>
    <m/>
    <m/>
    <m/>
    <m/>
    <m/>
    <m/>
    <m/>
    <m/>
    <m/>
    <m/>
    <s v="x"/>
    <s v="x"/>
    <s v="na"/>
    <s v="NRD"/>
    <s v="na"/>
    <s v="na"/>
    <s v="na"/>
    <s v="na"/>
    <s v="na"/>
    <s v="na"/>
    <s v="na"/>
    <s v="na"/>
  </r>
  <r>
    <n v="4744"/>
    <x v="85"/>
    <m/>
    <x v="14"/>
    <x v="3"/>
    <x v="0"/>
    <m/>
    <m/>
    <m/>
    <m/>
    <m/>
    <m/>
    <m/>
    <m/>
    <m/>
    <m/>
    <m/>
    <m/>
    <s v="x"/>
    <s v="x"/>
    <s v="na"/>
    <s v="NRD"/>
    <s v="na"/>
    <s v="na"/>
    <s v="na"/>
    <s v="na"/>
    <s v="na"/>
    <s v="na"/>
    <s v="na"/>
    <s v="na"/>
  </r>
  <r>
    <n v="4745"/>
    <x v="85"/>
    <m/>
    <x v="14"/>
    <x v="3"/>
    <x v="0"/>
    <m/>
    <m/>
    <m/>
    <m/>
    <m/>
    <m/>
    <m/>
    <m/>
    <m/>
    <m/>
    <m/>
    <m/>
    <s v="x"/>
    <s v="x"/>
    <s v="na"/>
    <s v="NRD"/>
    <s v="na"/>
    <s v="na"/>
    <s v="na"/>
    <s v="na"/>
    <s v="na"/>
    <s v="na"/>
    <s v="na"/>
    <s v="na"/>
  </r>
  <r>
    <n v="4746"/>
    <x v="85"/>
    <m/>
    <x v="14"/>
    <x v="3"/>
    <x v="0"/>
    <m/>
    <m/>
    <m/>
    <m/>
    <m/>
    <m/>
    <m/>
    <m/>
    <m/>
    <m/>
    <m/>
    <m/>
    <s v="x"/>
    <s v="x"/>
    <s v="na"/>
    <s v="NRD"/>
    <s v="na"/>
    <s v="na"/>
    <s v="na"/>
    <s v="na"/>
    <s v="na"/>
    <s v="na"/>
    <s v="na"/>
    <s v="na"/>
  </r>
  <r>
    <n v="4747"/>
    <x v="85"/>
    <m/>
    <x v="14"/>
    <x v="3"/>
    <x v="0"/>
    <m/>
    <m/>
    <m/>
    <m/>
    <m/>
    <m/>
    <m/>
    <m/>
    <m/>
    <m/>
    <m/>
    <m/>
    <s v="x"/>
    <s v="x"/>
    <s v="na"/>
    <s v="NRD"/>
    <s v="na"/>
    <s v="na"/>
    <s v="na"/>
    <s v="na"/>
    <s v="na"/>
    <s v="na"/>
    <s v="na"/>
    <s v="na"/>
  </r>
  <r>
    <n v="4748"/>
    <x v="85"/>
    <m/>
    <x v="14"/>
    <x v="3"/>
    <x v="0"/>
    <m/>
    <m/>
    <m/>
    <m/>
    <m/>
    <m/>
    <m/>
    <m/>
    <m/>
    <m/>
    <m/>
    <m/>
    <s v="x"/>
    <s v="x"/>
    <s v="na"/>
    <s v="NRD"/>
    <s v="na"/>
    <s v="na"/>
    <s v="na"/>
    <s v="na"/>
    <s v="na"/>
    <s v="na"/>
    <s v="na"/>
    <s v="na"/>
  </r>
  <r>
    <n v="4749"/>
    <x v="85"/>
    <m/>
    <x v="14"/>
    <x v="3"/>
    <x v="0"/>
    <m/>
    <m/>
    <m/>
    <m/>
    <m/>
    <m/>
    <m/>
    <m/>
    <m/>
    <m/>
    <m/>
    <m/>
    <s v="x"/>
    <s v="x"/>
    <s v="na"/>
    <s v="NRD"/>
    <s v="na"/>
    <s v="na"/>
    <s v="na"/>
    <s v="na"/>
    <s v="na"/>
    <s v="na"/>
    <s v="na"/>
    <s v="na"/>
  </r>
  <r>
    <n v="4750"/>
    <x v="85"/>
    <m/>
    <x v="14"/>
    <x v="3"/>
    <x v="0"/>
    <m/>
    <m/>
    <m/>
    <m/>
    <m/>
    <m/>
    <m/>
    <m/>
    <m/>
    <m/>
    <m/>
    <m/>
    <s v="x"/>
    <s v="x"/>
    <s v="na"/>
    <s v="NRD"/>
    <s v="na"/>
    <s v="na"/>
    <s v="na"/>
    <s v="na"/>
    <s v="na"/>
    <s v="na"/>
    <s v="na"/>
    <s v="na"/>
  </r>
  <r>
    <n v="4751"/>
    <x v="85"/>
    <m/>
    <x v="14"/>
    <x v="3"/>
    <x v="0"/>
    <m/>
    <m/>
    <m/>
    <m/>
    <m/>
    <m/>
    <m/>
    <m/>
    <m/>
    <m/>
    <m/>
    <m/>
    <s v="x"/>
    <s v="x"/>
    <s v="na"/>
    <s v="NRD"/>
    <s v="na"/>
    <s v="na"/>
    <s v="na"/>
    <s v="na"/>
    <s v="na"/>
    <s v="na"/>
    <s v="na"/>
    <s v="na"/>
  </r>
  <r>
    <n v="4752"/>
    <x v="85"/>
    <m/>
    <x v="14"/>
    <x v="3"/>
    <x v="0"/>
    <m/>
    <m/>
    <m/>
    <m/>
    <m/>
    <m/>
    <m/>
    <m/>
    <m/>
    <m/>
    <m/>
    <m/>
    <s v="x"/>
    <s v="x"/>
    <s v="na"/>
    <s v="NRD"/>
    <s v="na"/>
    <s v="na"/>
    <s v="na"/>
    <s v="na"/>
    <s v="na"/>
    <s v="na"/>
    <s v="na"/>
    <s v="na"/>
  </r>
  <r>
    <n v="4753"/>
    <x v="85"/>
    <m/>
    <x v="14"/>
    <x v="3"/>
    <x v="0"/>
    <m/>
    <m/>
    <m/>
    <m/>
    <m/>
    <m/>
    <m/>
    <m/>
    <m/>
    <m/>
    <m/>
    <m/>
    <s v="x"/>
    <s v="x"/>
    <s v="na"/>
    <s v="NRD"/>
    <s v="na"/>
    <s v="na"/>
    <s v="na"/>
    <s v="na"/>
    <s v="na"/>
    <s v="na"/>
    <s v="na"/>
    <s v="na"/>
  </r>
  <r>
    <n v="4754"/>
    <x v="85"/>
    <m/>
    <x v="14"/>
    <x v="3"/>
    <x v="0"/>
    <m/>
    <m/>
    <m/>
    <m/>
    <m/>
    <m/>
    <m/>
    <m/>
    <m/>
    <m/>
    <m/>
    <m/>
    <s v="x"/>
    <s v="x"/>
    <s v="na"/>
    <s v="NRD"/>
    <s v="na"/>
    <s v="na"/>
    <s v="na"/>
    <s v="na"/>
    <s v="na"/>
    <s v="na"/>
    <s v="na"/>
    <s v="na"/>
  </r>
  <r>
    <n v="4755"/>
    <x v="85"/>
    <m/>
    <x v="14"/>
    <x v="3"/>
    <x v="0"/>
    <m/>
    <m/>
    <m/>
    <m/>
    <m/>
    <m/>
    <m/>
    <m/>
    <m/>
    <m/>
    <m/>
    <m/>
    <s v="x"/>
    <s v="x"/>
    <s v="na"/>
    <s v="NRD"/>
    <s v="na"/>
    <s v="na"/>
    <s v="na"/>
    <s v="na"/>
    <s v="na"/>
    <s v="na"/>
    <s v="na"/>
    <s v="na"/>
  </r>
  <r>
    <n v="4756"/>
    <x v="85"/>
    <m/>
    <x v="14"/>
    <x v="3"/>
    <x v="0"/>
    <m/>
    <m/>
    <m/>
    <m/>
    <m/>
    <m/>
    <m/>
    <m/>
    <m/>
    <m/>
    <m/>
    <m/>
    <s v="x"/>
    <s v="x"/>
    <s v="na"/>
    <s v="NRD"/>
    <s v="na"/>
    <s v="na"/>
    <s v="na"/>
    <s v="na"/>
    <s v="na"/>
    <s v="na"/>
    <s v="na"/>
    <s v="na"/>
  </r>
  <r>
    <n v="4757"/>
    <x v="85"/>
    <m/>
    <x v="14"/>
    <x v="3"/>
    <x v="0"/>
    <m/>
    <m/>
    <m/>
    <m/>
    <m/>
    <m/>
    <m/>
    <m/>
    <m/>
    <m/>
    <m/>
    <m/>
    <s v="x"/>
    <s v="x"/>
    <s v="na"/>
    <s v="NRD"/>
    <s v="na"/>
    <s v="na"/>
    <s v="na"/>
    <s v="na"/>
    <s v="na"/>
    <s v="na"/>
    <s v="na"/>
    <s v="na"/>
  </r>
  <r>
    <n v="4758"/>
    <x v="85"/>
    <m/>
    <x v="14"/>
    <x v="3"/>
    <x v="0"/>
    <m/>
    <m/>
    <m/>
    <m/>
    <m/>
    <m/>
    <m/>
    <m/>
    <m/>
    <m/>
    <m/>
    <m/>
    <s v="x"/>
    <s v="x"/>
    <s v="na"/>
    <s v="NRD"/>
    <s v="na"/>
    <s v="na"/>
    <s v="na"/>
    <s v="na"/>
    <s v="na"/>
    <s v="na"/>
    <s v="na"/>
    <s v="na"/>
  </r>
  <r>
    <n v="4759"/>
    <x v="85"/>
    <m/>
    <x v="14"/>
    <x v="3"/>
    <x v="0"/>
    <m/>
    <m/>
    <m/>
    <m/>
    <m/>
    <m/>
    <m/>
    <m/>
    <m/>
    <m/>
    <m/>
    <m/>
    <s v="x"/>
    <s v="x"/>
    <s v="na"/>
    <s v="NRD"/>
    <s v="na"/>
    <s v="na"/>
    <s v="na"/>
    <s v="na"/>
    <s v="na"/>
    <s v="na"/>
    <s v="na"/>
    <s v="na"/>
  </r>
  <r>
    <n v="4760"/>
    <x v="85"/>
    <m/>
    <x v="14"/>
    <x v="3"/>
    <x v="0"/>
    <m/>
    <m/>
    <m/>
    <m/>
    <m/>
    <m/>
    <m/>
    <m/>
    <m/>
    <m/>
    <m/>
    <m/>
    <s v="x"/>
    <s v="x"/>
    <s v="na"/>
    <s v="NRD"/>
    <s v="na"/>
    <s v="na"/>
    <s v="na"/>
    <s v="na"/>
    <s v="na"/>
    <s v="na"/>
    <s v="na"/>
    <s v="na"/>
  </r>
  <r>
    <n v="4761"/>
    <x v="85"/>
    <m/>
    <x v="14"/>
    <x v="3"/>
    <x v="0"/>
    <m/>
    <m/>
    <m/>
    <m/>
    <m/>
    <m/>
    <m/>
    <m/>
    <m/>
    <m/>
    <m/>
    <m/>
    <s v="x"/>
    <s v="x"/>
    <s v="na"/>
    <s v="NRD"/>
    <s v="na"/>
    <s v="na"/>
    <s v="na"/>
    <s v="na"/>
    <s v="na"/>
    <s v="na"/>
    <s v="na"/>
    <s v="na"/>
  </r>
  <r>
    <n v="4762"/>
    <x v="85"/>
    <m/>
    <x v="14"/>
    <x v="3"/>
    <x v="0"/>
    <m/>
    <m/>
    <m/>
    <m/>
    <m/>
    <m/>
    <m/>
    <m/>
    <m/>
    <m/>
    <m/>
    <m/>
    <s v="x"/>
    <s v="x"/>
    <s v="na"/>
    <s v="NRD"/>
    <s v="na"/>
    <s v="na"/>
    <s v="na"/>
    <s v="na"/>
    <s v="na"/>
    <s v="na"/>
    <s v="na"/>
    <s v="na"/>
  </r>
  <r>
    <n v="4763"/>
    <x v="85"/>
    <m/>
    <x v="14"/>
    <x v="3"/>
    <x v="0"/>
    <m/>
    <m/>
    <m/>
    <m/>
    <m/>
    <m/>
    <m/>
    <m/>
    <m/>
    <m/>
    <m/>
    <m/>
    <s v="x"/>
    <s v="x"/>
    <s v="na"/>
    <s v="NRD"/>
    <s v="na"/>
    <s v="na"/>
    <s v="na"/>
    <s v="na"/>
    <s v="na"/>
    <s v="na"/>
    <s v="na"/>
    <s v="na"/>
  </r>
  <r>
    <n v="4764"/>
    <x v="85"/>
    <m/>
    <x v="14"/>
    <x v="3"/>
    <x v="0"/>
    <m/>
    <m/>
    <m/>
    <m/>
    <m/>
    <m/>
    <m/>
    <m/>
    <m/>
    <m/>
    <m/>
    <m/>
    <s v="x"/>
    <s v="x"/>
    <s v="na"/>
    <s v="NRD"/>
    <s v="na"/>
    <s v="na"/>
    <s v="na"/>
    <s v="na"/>
    <s v="na"/>
    <s v="na"/>
    <s v="na"/>
    <s v="na"/>
  </r>
  <r>
    <n v="4765"/>
    <x v="85"/>
    <m/>
    <x v="14"/>
    <x v="3"/>
    <x v="0"/>
    <m/>
    <m/>
    <m/>
    <m/>
    <m/>
    <m/>
    <m/>
    <m/>
    <m/>
    <m/>
    <m/>
    <m/>
    <s v="x"/>
    <s v="x"/>
    <s v="na"/>
    <s v="NRD"/>
    <s v="na"/>
    <s v="na"/>
    <s v="na"/>
    <s v="na"/>
    <s v="na"/>
    <s v="na"/>
    <s v="na"/>
    <s v="na"/>
  </r>
  <r>
    <n v="4766"/>
    <x v="85"/>
    <m/>
    <x v="14"/>
    <x v="3"/>
    <x v="0"/>
    <m/>
    <m/>
    <m/>
    <m/>
    <m/>
    <m/>
    <m/>
    <m/>
    <m/>
    <m/>
    <m/>
    <m/>
    <s v="x"/>
    <s v="x"/>
    <s v="na"/>
    <s v="NRD"/>
    <s v="na"/>
    <s v="na"/>
    <s v="na"/>
    <s v="na"/>
    <s v="na"/>
    <s v="na"/>
    <s v="na"/>
    <s v="na"/>
  </r>
  <r>
    <n v="4767"/>
    <x v="85"/>
    <m/>
    <x v="14"/>
    <x v="3"/>
    <x v="0"/>
    <m/>
    <m/>
    <m/>
    <m/>
    <m/>
    <m/>
    <m/>
    <m/>
    <m/>
    <m/>
    <m/>
    <m/>
    <s v="x"/>
    <s v="x"/>
    <s v="na"/>
    <s v="NRD"/>
    <s v="na"/>
    <s v="na"/>
    <s v="na"/>
    <s v="na"/>
    <s v="na"/>
    <s v="na"/>
    <s v="na"/>
    <s v="na"/>
  </r>
  <r>
    <n v="4768"/>
    <x v="85"/>
    <m/>
    <x v="14"/>
    <x v="3"/>
    <x v="0"/>
    <m/>
    <m/>
    <m/>
    <m/>
    <m/>
    <m/>
    <m/>
    <m/>
    <m/>
    <m/>
    <m/>
    <m/>
    <s v="x"/>
    <s v="x"/>
    <s v="na"/>
    <s v="NRD"/>
    <s v="na"/>
    <s v="na"/>
    <s v="na"/>
    <s v="na"/>
    <s v="na"/>
    <s v="na"/>
    <s v="na"/>
    <s v="na"/>
  </r>
  <r>
    <n v="4769"/>
    <x v="85"/>
    <m/>
    <x v="14"/>
    <x v="3"/>
    <x v="0"/>
    <m/>
    <m/>
    <m/>
    <m/>
    <m/>
    <m/>
    <m/>
    <m/>
    <m/>
    <m/>
    <m/>
    <m/>
    <s v="x"/>
    <s v="x"/>
    <s v="na"/>
    <s v="NRD"/>
    <s v="na"/>
    <s v="na"/>
    <s v="na"/>
    <s v="na"/>
    <s v="na"/>
    <s v="na"/>
    <s v="na"/>
    <s v="na"/>
  </r>
  <r>
    <n v="4770"/>
    <x v="85"/>
    <m/>
    <x v="14"/>
    <x v="3"/>
    <x v="0"/>
    <m/>
    <m/>
    <m/>
    <m/>
    <m/>
    <m/>
    <m/>
    <m/>
    <m/>
    <m/>
    <m/>
    <m/>
    <s v="x"/>
    <s v="x"/>
    <s v="na"/>
    <s v="NRD"/>
    <s v="na"/>
    <s v="na"/>
    <s v="na"/>
    <s v="na"/>
    <s v="na"/>
    <s v="na"/>
    <s v="na"/>
    <s v="na"/>
  </r>
  <r>
    <n v="4771"/>
    <x v="85"/>
    <m/>
    <x v="14"/>
    <x v="3"/>
    <x v="0"/>
    <m/>
    <m/>
    <m/>
    <m/>
    <m/>
    <m/>
    <m/>
    <m/>
    <m/>
    <m/>
    <m/>
    <m/>
    <s v="x"/>
    <s v="x"/>
    <s v="na"/>
    <s v="NRD"/>
    <s v="na"/>
    <s v="na"/>
    <s v="na"/>
    <s v="na"/>
    <s v="na"/>
    <s v="na"/>
    <s v="na"/>
    <s v="na"/>
  </r>
  <r>
    <n v="4772"/>
    <x v="85"/>
    <m/>
    <x v="14"/>
    <x v="3"/>
    <x v="0"/>
    <m/>
    <m/>
    <m/>
    <m/>
    <m/>
    <m/>
    <m/>
    <m/>
    <m/>
    <m/>
    <m/>
    <m/>
    <s v="x"/>
    <s v="x"/>
    <s v="na"/>
    <s v="NRD"/>
    <s v="na"/>
    <s v="na"/>
    <s v="na"/>
    <s v="na"/>
    <s v="na"/>
    <s v="na"/>
    <s v="na"/>
    <s v="na"/>
  </r>
  <r>
    <n v="4773"/>
    <x v="85"/>
    <m/>
    <x v="14"/>
    <x v="3"/>
    <x v="0"/>
    <m/>
    <m/>
    <m/>
    <m/>
    <m/>
    <m/>
    <m/>
    <m/>
    <m/>
    <m/>
    <m/>
    <m/>
    <s v="x"/>
    <s v="x"/>
    <s v="na"/>
    <s v="NRD"/>
    <s v="na"/>
    <s v="na"/>
    <s v="na"/>
    <s v="na"/>
    <s v="na"/>
    <s v="na"/>
    <s v="na"/>
    <s v="na"/>
  </r>
  <r>
    <n v="4774"/>
    <x v="85"/>
    <m/>
    <x v="14"/>
    <x v="3"/>
    <x v="0"/>
    <m/>
    <m/>
    <m/>
    <m/>
    <m/>
    <m/>
    <m/>
    <m/>
    <m/>
    <m/>
    <m/>
    <m/>
    <s v="x"/>
    <s v="x"/>
    <s v="na"/>
    <s v="NRD"/>
    <s v="na"/>
    <s v="na"/>
    <s v="na"/>
    <s v="na"/>
    <s v="na"/>
    <s v="na"/>
    <s v="na"/>
    <s v="na"/>
  </r>
  <r>
    <n v="4775"/>
    <x v="85"/>
    <m/>
    <x v="14"/>
    <x v="3"/>
    <x v="0"/>
    <m/>
    <m/>
    <m/>
    <m/>
    <m/>
    <m/>
    <m/>
    <m/>
    <m/>
    <m/>
    <m/>
    <m/>
    <s v="x"/>
    <s v="x"/>
    <s v="na"/>
    <s v="NRD"/>
    <s v="na"/>
    <s v="na"/>
    <s v="na"/>
    <s v="na"/>
    <s v="na"/>
    <s v="na"/>
    <s v="na"/>
    <s v="na"/>
  </r>
  <r>
    <n v="4776"/>
    <x v="85"/>
    <m/>
    <x v="14"/>
    <x v="3"/>
    <x v="0"/>
    <m/>
    <m/>
    <m/>
    <m/>
    <m/>
    <m/>
    <m/>
    <m/>
    <m/>
    <m/>
    <m/>
    <m/>
    <s v="x"/>
    <s v="x"/>
    <s v="na"/>
    <s v="NRD"/>
    <s v="na"/>
    <s v="na"/>
    <s v="na"/>
    <s v="na"/>
    <s v="na"/>
    <s v="na"/>
    <s v="na"/>
    <s v="na"/>
  </r>
  <r>
    <n v="4777"/>
    <x v="85"/>
    <m/>
    <x v="14"/>
    <x v="3"/>
    <x v="0"/>
    <m/>
    <m/>
    <m/>
    <m/>
    <m/>
    <m/>
    <m/>
    <m/>
    <m/>
    <m/>
    <m/>
    <m/>
    <s v="x"/>
    <s v="x"/>
    <s v="na"/>
    <s v="NRD"/>
    <s v="na"/>
    <s v="na"/>
    <s v="na"/>
    <s v="na"/>
    <s v="na"/>
    <s v="na"/>
    <s v="na"/>
    <s v="na"/>
  </r>
  <r>
    <n v="4778"/>
    <x v="85"/>
    <m/>
    <x v="14"/>
    <x v="3"/>
    <x v="0"/>
    <m/>
    <m/>
    <m/>
    <m/>
    <m/>
    <m/>
    <m/>
    <m/>
    <m/>
    <m/>
    <m/>
    <m/>
    <s v="x"/>
    <s v="x"/>
    <s v="na"/>
    <s v="NRD"/>
    <s v="na"/>
    <s v="na"/>
    <s v="na"/>
    <s v="na"/>
    <s v="na"/>
    <s v="na"/>
    <s v="na"/>
    <s v="na"/>
  </r>
  <r>
    <n v="4779"/>
    <x v="85"/>
    <m/>
    <x v="14"/>
    <x v="3"/>
    <x v="0"/>
    <m/>
    <m/>
    <m/>
    <m/>
    <m/>
    <m/>
    <m/>
    <m/>
    <m/>
    <m/>
    <m/>
    <m/>
    <s v="x"/>
    <s v="x"/>
    <s v="na"/>
    <s v="NRD"/>
    <s v="na"/>
    <s v="na"/>
    <s v="na"/>
    <s v="na"/>
    <s v="na"/>
    <s v="na"/>
    <s v="na"/>
    <s v="na"/>
  </r>
  <r>
    <n v="4780"/>
    <x v="85"/>
    <m/>
    <x v="14"/>
    <x v="3"/>
    <x v="0"/>
    <m/>
    <m/>
    <m/>
    <m/>
    <m/>
    <m/>
    <m/>
    <m/>
    <m/>
    <m/>
    <m/>
    <m/>
    <s v="x"/>
    <s v="x"/>
    <s v="na"/>
    <s v="NRD"/>
    <s v="na"/>
    <s v="na"/>
    <s v="na"/>
    <s v="na"/>
    <s v="na"/>
    <s v="na"/>
    <s v="na"/>
    <s v="na"/>
  </r>
  <r>
    <n v="4781"/>
    <x v="85"/>
    <m/>
    <x v="14"/>
    <x v="3"/>
    <x v="0"/>
    <m/>
    <m/>
    <m/>
    <m/>
    <m/>
    <m/>
    <m/>
    <m/>
    <m/>
    <m/>
    <m/>
    <m/>
    <s v="x"/>
    <s v="x"/>
    <s v="na"/>
    <s v="NRD"/>
    <s v="na"/>
    <s v="na"/>
    <s v="na"/>
    <s v="na"/>
    <s v="na"/>
    <s v="na"/>
    <s v="na"/>
    <s v="na"/>
  </r>
  <r>
    <n v="4782"/>
    <x v="85"/>
    <m/>
    <x v="14"/>
    <x v="3"/>
    <x v="0"/>
    <m/>
    <m/>
    <m/>
    <m/>
    <m/>
    <m/>
    <m/>
    <m/>
    <m/>
    <m/>
    <m/>
    <m/>
    <s v="x"/>
    <s v="x"/>
    <s v="na"/>
    <s v="NRD"/>
    <s v="na"/>
    <s v="na"/>
    <s v="na"/>
    <s v="na"/>
    <s v="na"/>
    <s v="na"/>
    <s v="na"/>
    <s v="na"/>
  </r>
  <r>
    <n v="4783"/>
    <x v="85"/>
    <m/>
    <x v="14"/>
    <x v="3"/>
    <x v="0"/>
    <m/>
    <m/>
    <m/>
    <m/>
    <m/>
    <m/>
    <m/>
    <m/>
    <m/>
    <m/>
    <m/>
    <m/>
    <s v="x"/>
    <s v="x"/>
    <s v="na"/>
    <s v="NRD"/>
    <s v="na"/>
    <s v="na"/>
    <s v="na"/>
    <s v="na"/>
    <s v="na"/>
    <s v="na"/>
    <s v="na"/>
    <s v="na"/>
  </r>
  <r>
    <n v="4784"/>
    <x v="85"/>
    <m/>
    <x v="14"/>
    <x v="3"/>
    <x v="0"/>
    <m/>
    <m/>
    <m/>
    <m/>
    <m/>
    <m/>
    <m/>
    <m/>
    <m/>
    <m/>
    <m/>
    <m/>
    <s v="x"/>
    <s v="x"/>
    <s v="na"/>
    <s v="NRD"/>
    <s v="na"/>
    <s v="na"/>
    <s v="na"/>
    <s v="na"/>
    <s v="na"/>
    <s v="na"/>
    <s v="na"/>
    <s v="na"/>
  </r>
  <r>
    <n v="4785"/>
    <x v="85"/>
    <m/>
    <x v="14"/>
    <x v="3"/>
    <x v="0"/>
    <m/>
    <m/>
    <m/>
    <m/>
    <m/>
    <m/>
    <m/>
    <m/>
    <m/>
    <m/>
    <m/>
    <m/>
    <s v="x"/>
    <s v="x"/>
    <s v="na"/>
    <s v="NRD"/>
    <s v="na"/>
    <s v="na"/>
    <s v="na"/>
    <s v="na"/>
    <s v="na"/>
    <s v="na"/>
    <s v="na"/>
    <s v="na"/>
  </r>
  <r>
    <n v="4786"/>
    <x v="85"/>
    <m/>
    <x v="14"/>
    <x v="3"/>
    <x v="0"/>
    <m/>
    <m/>
    <m/>
    <m/>
    <m/>
    <m/>
    <m/>
    <m/>
    <m/>
    <m/>
    <m/>
    <m/>
    <s v="x"/>
    <s v="x"/>
    <s v="na"/>
    <s v="NRD"/>
    <s v="na"/>
    <s v="na"/>
    <s v="na"/>
    <s v="na"/>
    <s v="na"/>
    <s v="na"/>
    <s v="na"/>
    <s v="na"/>
  </r>
  <r>
    <n v="4787"/>
    <x v="85"/>
    <m/>
    <x v="14"/>
    <x v="3"/>
    <x v="0"/>
    <m/>
    <m/>
    <m/>
    <m/>
    <m/>
    <m/>
    <m/>
    <m/>
    <m/>
    <m/>
    <m/>
    <m/>
    <s v="x"/>
    <s v="x"/>
    <s v="na"/>
    <s v="NRD"/>
    <s v="na"/>
    <s v="na"/>
    <s v="na"/>
    <s v="na"/>
    <s v="na"/>
    <s v="na"/>
    <s v="na"/>
    <s v="na"/>
  </r>
  <r>
    <n v="4788"/>
    <x v="85"/>
    <m/>
    <x v="14"/>
    <x v="3"/>
    <x v="0"/>
    <m/>
    <m/>
    <m/>
    <m/>
    <m/>
    <m/>
    <m/>
    <m/>
    <m/>
    <m/>
    <m/>
    <m/>
    <s v="x"/>
    <s v="x"/>
    <s v="na"/>
    <s v="NRD"/>
    <s v="na"/>
    <s v="na"/>
    <s v="na"/>
    <s v="na"/>
    <s v="na"/>
    <s v="na"/>
    <s v="na"/>
    <s v="na"/>
  </r>
  <r>
    <n v="4789"/>
    <x v="85"/>
    <m/>
    <x v="14"/>
    <x v="3"/>
    <x v="0"/>
    <m/>
    <m/>
    <m/>
    <m/>
    <m/>
    <m/>
    <m/>
    <m/>
    <m/>
    <m/>
    <m/>
    <m/>
    <s v="x"/>
    <s v="x"/>
    <s v="na"/>
    <s v="NRD"/>
    <s v="na"/>
    <s v="na"/>
    <s v="na"/>
    <s v="na"/>
    <s v="na"/>
    <s v="na"/>
    <s v="na"/>
    <s v="na"/>
  </r>
  <r>
    <n v="4790"/>
    <x v="85"/>
    <m/>
    <x v="14"/>
    <x v="3"/>
    <x v="0"/>
    <m/>
    <m/>
    <m/>
    <m/>
    <m/>
    <m/>
    <m/>
    <m/>
    <m/>
    <m/>
    <m/>
    <m/>
    <s v="x"/>
    <s v="x"/>
    <s v="na"/>
    <s v="NRD"/>
    <s v="na"/>
    <s v="na"/>
    <s v="na"/>
    <s v="na"/>
    <s v="na"/>
    <s v="na"/>
    <s v="na"/>
    <s v="na"/>
  </r>
  <r>
    <n v="4791"/>
    <x v="85"/>
    <m/>
    <x v="14"/>
    <x v="3"/>
    <x v="0"/>
    <m/>
    <m/>
    <m/>
    <m/>
    <m/>
    <m/>
    <m/>
    <m/>
    <m/>
    <m/>
    <m/>
    <m/>
    <s v="x"/>
    <s v="x"/>
    <s v="na"/>
    <s v="NRD"/>
    <s v="na"/>
    <s v="na"/>
    <s v="na"/>
    <s v="na"/>
    <s v="na"/>
    <s v="na"/>
    <s v="na"/>
    <s v="na"/>
  </r>
  <r>
    <n v="4792"/>
    <x v="85"/>
    <m/>
    <x v="14"/>
    <x v="3"/>
    <x v="0"/>
    <m/>
    <m/>
    <m/>
    <m/>
    <m/>
    <m/>
    <m/>
    <m/>
    <m/>
    <m/>
    <m/>
    <m/>
    <s v="x"/>
    <s v="x"/>
    <s v="na"/>
    <s v="NRD"/>
    <s v="na"/>
    <s v="na"/>
    <s v="na"/>
    <s v="na"/>
    <s v="na"/>
    <s v="na"/>
    <s v="na"/>
    <s v="na"/>
  </r>
  <r>
    <n v="4793"/>
    <x v="85"/>
    <m/>
    <x v="14"/>
    <x v="3"/>
    <x v="0"/>
    <m/>
    <m/>
    <m/>
    <m/>
    <m/>
    <m/>
    <m/>
    <m/>
    <m/>
    <m/>
    <m/>
    <m/>
    <s v="x"/>
    <s v="x"/>
    <s v="na"/>
    <s v="NRD"/>
    <s v="na"/>
    <s v="na"/>
    <s v="na"/>
    <s v="na"/>
    <s v="na"/>
    <s v="na"/>
    <s v="na"/>
    <s v="na"/>
  </r>
  <r>
    <n v="4794"/>
    <x v="85"/>
    <m/>
    <x v="14"/>
    <x v="3"/>
    <x v="0"/>
    <m/>
    <m/>
    <m/>
    <m/>
    <m/>
    <m/>
    <m/>
    <m/>
    <m/>
    <m/>
    <m/>
    <m/>
    <s v="x"/>
    <s v="x"/>
    <s v="na"/>
    <s v="NRD"/>
    <s v="na"/>
    <s v="na"/>
    <s v="na"/>
    <s v="na"/>
    <s v="na"/>
    <s v="na"/>
    <s v="na"/>
    <s v="na"/>
  </r>
  <r>
    <n v="4795"/>
    <x v="85"/>
    <m/>
    <x v="14"/>
    <x v="3"/>
    <x v="0"/>
    <m/>
    <m/>
    <m/>
    <m/>
    <m/>
    <m/>
    <m/>
    <m/>
    <m/>
    <m/>
    <m/>
    <m/>
    <s v="x"/>
    <s v="x"/>
    <s v="na"/>
    <s v="NRD"/>
    <s v="na"/>
    <s v="na"/>
    <s v="na"/>
    <s v="na"/>
    <s v="na"/>
    <s v="na"/>
    <s v="na"/>
    <s v="na"/>
  </r>
  <r>
    <n v="4796"/>
    <x v="85"/>
    <m/>
    <x v="14"/>
    <x v="3"/>
    <x v="0"/>
    <m/>
    <m/>
    <m/>
    <m/>
    <m/>
    <m/>
    <m/>
    <m/>
    <m/>
    <m/>
    <m/>
    <m/>
    <s v="x"/>
    <s v="x"/>
    <s v="na"/>
    <s v="NRD"/>
    <s v="na"/>
    <s v="na"/>
    <s v="na"/>
    <s v="na"/>
    <s v="na"/>
    <s v="na"/>
    <s v="na"/>
    <s v="na"/>
  </r>
  <r>
    <n v="4797"/>
    <x v="85"/>
    <m/>
    <x v="14"/>
    <x v="3"/>
    <x v="0"/>
    <m/>
    <m/>
    <m/>
    <m/>
    <m/>
    <m/>
    <m/>
    <m/>
    <m/>
    <m/>
    <m/>
    <m/>
    <s v="x"/>
    <s v="x"/>
    <s v="na"/>
    <s v="NRD"/>
    <s v="na"/>
    <s v="na"/>
    <s v="na"/>
    <s v="na"/>
    <s v="na"/>
    <s v="na"/>
    <s v="na"/>
    <s v="na"/>
  </r>
  <r>
    <n v="4798"/>
    <x v="85"/>
    <m/>
    <x v="14"/>
    <x v="3"/>
    <x v="0"/>
    <m/>
    <m/>
    <m/>
    <m/>
    <m/>
    <m/>
    <m/>
    <m/>
    <m/>
    <m/>
    <m/>
    <m/>
    <s v="x"/>
    <s v="x"/>
    <s v="na"/>
    <s v="NRD"/>
    <s v="na"/>
    <s v="na"/>
    <s v="na"/>
    <s v="na"/>
    <s v="na"/>
    <s v="na"/>
    <s v="na"/>
    <s v="na"/>
  </r>
  <r>
    <n v="4799"/>
    <x v="85"/>
    <m/>
    <x v="14"/>
    <x v="3"/>
    <x v="0"/>
    <m/>
    <m/>
    <m/>
    <m/>
    <m/>
    <m/>
    <m/>
    <m/>
    <m/>
    <m/>
    <m/>
    <m/>
    <s v="x"/>
    <s v="x"/>
    <s v="na"/>
    <s v="NRD"/>
    <s v="na"/>
    <s v="na"/>
    <s v="na"/>
    <s v="na"/>
    <s v="na"/>
    <s v="na"/>
    <s v="na"/>
    <s v="na"/>
  </r>
  <r>
    <n v="4800"/>
    <x v="85"/>
    <m/>
    <x v="14"/>
    <x v="3"/>
    <x v="0"/>
    <m/>
    <m/>
    <m/>
    <m/>
    <m/>
    <m/>
    <m/>
    <m/>
    <m/>
    <m/>
    <m/>
    <m/>
    <s v="x"/>
    <s v="x"/>
    <s v="na"/>
    <s v="NRD"/>
    <s v="na"/>
    <s v="na"/>
    <s v="na"/>
    <s v="na"/>
    <s v="na"/>
    <s v="na"/>
    <s v="na"/>
    <s v="na"/>
  </r>
  <r>
    <n v="4801"/>
    <x v="85"/>
    <m/>
    <x v="14"/>
    <x v="3"/>
    <x v="0"/>
    <m/>
    <m/>
    <m/>
    <m/>
    <m/>
    <m/>
    <m/>
    <m/>
    <m/>
    <m/>
    <m/>
    <m/>
    <s v="x"/>
    <s v="x"/>
    <s v="na"/>
    <s v="NRD"/>
    <s v="na"/>
    <s v="na"/>
    <s v="na"/>
    <s v="na"/>
    <s v="na"/>
    <s v="na"/>
    <s v="na"/>
    <s v="na"/>
  </r>
  <r>
    <n v="4802"/>
    <x v="85"/>
    <m/>
    <x v="14"/>
    <x v="3"/>
    <x v="0"/>
    <m/>
    <m/>
    <m/>
    <m/>
    <m/>
    <m/>
    <m/>
    <m/>
    <m/>
    <m/>
    <m/>
    <m/>
    <s v="x"/>
    <s v="x"/>
    <s v="na"/>
    <s v="NRD"/>
    <s v="na"/>
    <s v="na"/>
    <s v="na"/>
    <s v="na"/>
    <s v="na"/>
    <s v="na"/>
    <s v="na"/>
    <s v="na"/>
  </r>
  <r>
    <n v="4803"/>
    <x v="85"/>
    <m/>
    <x v="14"/>
    <x v="3"/>
    <x v="0"/>
    <m/>
    <m/>
    <m/>
    <m/>
    <m/>
    <m/>
    <m/>
    <m/>
    <m/>
    <m/>
    <m/>
    <m/>
    <s v="x"/>
    <s v="x"/>
    <s v="na"/>
    <s v="NRD"/>
    <s v="na"/>
    <s v="na"/>
    <s v="na"/>
    <s v="na"/>
    <s v="na"/>
    <s v="na"/>
    <s v="na"/>
    <s v="na"/>
  </r>
  <r>
    <n v="4804"/>
    <x v="85"/>
    <m/>
    <x v="14"/>
    <x v="3"/>
    <x v="0"/>
    <m/>
    <m/>
    <m/>
    <m/>
    <m/>
    <m/>
    <m/>
    <m/>
    <m/>
    <m/>
    <m/>
    <m/>
    <s v="x"/>
    <s v="x"/>
    <s v="na"/>
    <s v="NRD"/>
    <s v="na"/>
    <s v="na"/>
    <s v="na"/>
    <s v="na"/>
    <s v="na"/>
    <s v="na"/>
    <s v="na"/>
    <s v="na"/>
  </r>
  <r>
    <n v="4805"/>
    <x v="85"/>
    <m/>
    <x v="14"/>
    <x v="3"/>
    <x v="0"/>
    <m/>
    <m/>
    <m/>
    <m/>
    <m/>
    <m/>
    <m/>
    <m/>
    <m/>
    <m/>
    <m/>
    <m/>
    <s v="x"/>
    <s v="x"/>
    <s v="na"/>
    <s v="NRD"/>
    <s v="na"/>
    <s v="na"/>
    <s v="na"/>
    <s v="na"/>
    <s v="na"/>
    <s v="na"/>
    <s v="na"/>
    <s v="na"/>
  </r>
  <r>
    <n v="4806"/>
    <x v="85"/>
    <m/>
    <x v="14"/>
    <x v="3"/>
    <x v="0"/>
    <m/>
    <m/>
    <m/>
    <m/>
    <m/>
    <m/>
    <m/>
    <m/>
    <m/>
    <m/>
    <m/>
    <m/>
    <s v="x"/>
    <s v="x"/>
    <s v="na"/>
    <s v="NRD"/>
    <s v="na"/>
    <s v="na"/>
    <s v="na"/>
    <s v="na"/>
    <s v="na"/>
    <s v="na"/>
    <s v="na"/>
    <s v="na"/>
  </r>
  <r>
    <n v="4807"/>
    <x v="85"/>
    <m/>
    <x v="14"/>
    <x v="3"/>
    <x v="0"/>
    <m/>
    <m/>
    <m/>
    <m/>
    <m/>
    <m/>
    <m/>
    <m/>
    <m/>
    <m/>
    <m/>
    <m/>
    <s v="x"/>
    <s v="x"/>
    <s v="na"/>
    <s v="NRD"/>
    <s v="na"/>
    <s v="na"/>
    <s v="na"/>
    <s v="na"/>
    <s v="na"/>
    <s v="na"/>
    <s v="na"/>
    <s v="na"/>
  </r>
  <r>
    <n v="4808"/>
    <x v="85"/>
    <m/>
    <x v="14"/>
    <x v="3"/>
    <x v="0"/>
    <m/>
    <m/>
    <m/>
    <m/>
    <m/>
    <m/>
    <m/>
    <m/>
    <m/>
    <m/>
    <m/>
    <m/>
    <s v="x"/>
    <s v="x"/>
    <s v="na"/>
    <s v="NRD"/>
    <s v="na"/>
    <s v="na"/>
    <s v="na"/>
    <s v="na"/>
    <s v="na"/>
    <s v="na"/>
    <s v="na"/>
    <s v="na"/>
  </r>
  <r>
    <n v="4809"/>
    <x v="85"/>
    <m/>
    <x v="14"/>
    <x v="3"/>
    <x v="0"/>
    <m/>
    <m/>
    <m/>
    <m/>
    <m/>
    <m/>
    <m/>
    <m/>
    <m/>
    <m/>
    <m/>
    <m/>
    <s v="x"/>
    <s v="x"/>
    <s v="na"/>
    <s v="NRD"/>
    <s v="na"/>
    <s v="na"/>
    <s v="na"/>
    <s v="na"/>
    <s v="na"/>
    <s v="na"/>
    <s v="na"/>
    <s v="na"/>
  </r>
  <r>
    <n v="4810"/>
    <x v="85"/>
    <m/>
    <x v="14"/>
    <x v="3"/>
    <x v="0"/>
    <m/>
    <m/>
    <m/>
    <m/>
    <m/>
    <m/>
    <m/>
    <m/>
    <m/>
    <m/>
    <m/>
    <m/>
    <s v="x"/>
    <s v="x"/>
    <s v="na"/>
    <s v="NRD"/>
    <s v="na"/>
    <s v="na"/>
    <s v="na"/>
    <s v="na"/>
    <s v="na"/>
    <s v="na"/>
    <s v="na"/>
    <s v="na"/>
  </r>
  <r>
    <n v="4811"/>
    <x v="85"/>
    <m/>
    <x v="14"/>
    <x v="3"/>
    <x v="0"/>
    <m/>
    <m/>
    <m/>
    <m/>
    <m/>
    <m/>
    <m/>
    <m/>
    <m/>
    <m/>
    <m/>
    <m/>
    <s v="x"/>
    <s v="x"/>
    <s v="na"/>
    <s v="NRD"/>
    <s v="na"/>
    <s v="na"/>
    <s v="na"/>
    <s v="na"/>
    <s v="na"/>
    <s v="na"/>
    <s v="na"/>
    <s v="na"/>
  </r>
  <r>
    <n v="4812"/>
    <x v="85"/>
    <m/>
    <x v="14"/>
    <x v="3"/>
    <x v="0"/>
    <m/>
    <m/>
    <m/>
    <m/>
    <m/>
    <m/>
    <m/>
    <m/>
    <m/>
    <m/>
    <m/>
    <m/>
    <s v="x"/>
    <s v="x"/>
    <s v="na"/>
    <s v="NRD"/>
    <s v="na"/>
    <s v="na"/>
    <s v="na"/>
    <s v="na"/>
    <s v="na"/>
    <s v="na"/>
    <s v="na"/>
    <s v="na"/>
  </r>
  <r>
    <n v="4813"/>
    <x v="85"/>
    <m/>
    <x v="14"/>
    <x v="3"/>
    <x v="0"/>
    <m/>
    <m/>
    <m/>
    <m/>
    <m/>
    <m/>
    <m/>
    <m/>
    <m/>
    <m/>
    <m/>
    <m/>
    <s v="x"/>
    <s v="x"/>
    <s v="na"/>
    <s v="NRD"/>
    <s v="na"/>
    <s v="na"/>
    <s v="na"/>
    <s v="na"/>
    <s v="na"/>
    <s v="na"/>
    <s v="na"/>
    <s v="na"/>
  </r>
  <r>
    <n v="4814"/>
    <x v="85"/>
    <m/>
    <x v="14"/>
    <x v="3"/>
    <x v="0"/>
    <m/>
    <m/>
    <m/>
    <m/>
    <m/>
    <m/>
    <m/>
    <m/>
    <m/>
    <m/>
    <m/>
    <m/>
    <s v="x"/>
    <s v="x"/>
    <s v="na"/>
    <s v="NRD"/>
    <s v="na"/>
    <s v="na"/>
    <s v="na"/>
    <s v="na"/>
    <s v="na"/>
    <s v="na"/>
    <s v="na"/>
    <s v="na"/>
  </r>
  <r>
    <n v="4815"/>
    <x v="85"/>
    <m/>
    <x v="14"/>
    <x v="3"/>
    <x v="0"/>
    <m/>
    <m/>
    <m/>
    <m/>
    <m/>
    <m/>
    <m/>
    <m/>
    <m/>
    <m/>
    <m/>
    <m/>
    <s v="x"/>
    <s v="x"/>
    <s v="na"/>
    <s v="NRD"/>
    <s v="na"/>
    <s v="na"/>
    <s v="na"/>
    <s v="na"/>
    <s v="na"/>
    <s v="na"/>
    <s v="na"/>
    <s v="na"/>
  </r>
  <r>
    <n v="4816"/>
    <x v="85"/>
    <m/>
    <x v="14"/>
    <x v="3"/>
    <x v="0"/>
    <m/>
    <m/>
    <m/>
    <m/>
    <m/>
    <m/>
    <m/>
    <m/>
    <m/>
    <m/>
    <m/>
    <m/>
    <s v="x"/>
    <s v="x"/>
    <s v="na"/>
    <s v="NRD"/>
    <s v="na"/>
    <s v="na"/>
    <s v="na"/>
    <s v="na"/>
    <s v="na"/>
    <s v="na"/>
    <s v="na"/>
    <s v="na"/>
  </r>
  <r>
    <n v="4817"/>
    <x v="85"/>
    <m/>
    <x v="14"/>
    <x v="3"/>
    <x v="0"/>
    <m/>
    <m/>
    <m/>
    <m/>
    <m/>
    <m/>
    <m/>
    <m/>
    <m/>
    <m/>
    <m/>
    <m/>
    <s v="x"/>
    <s v="x"/>
    <s v="na"/>
    <s v="NRD"/>
    <s v="na"/>
    <s v="na"/>
    <s v="na"/>
    <s v="na"/>
    <s v="na"/>
    <s v="na"/>
    <s v="na"/>
    <s v="na"/>
  </r>
  <r>
    <n v="4818"/>
    <x v="85"/>
    <m/>
    <x v="14"/>
    <x v="3"/>
    <x v="0"/>
    <m/>
    <m/>
    <m/>
    <m/>
    <m/>
    <m/>
    <m/>
    <m/>
    <m/>
    <m/>
    <m/>
    <m/>
    <s v="x"/>
    <s v="x"/>
    <s v="na"/>
    <s v="NRD"/>
    <s v="na"/>
    <s v="na"/>
    <s v="na"/>
    <s v="na"/>
    <s v="na"/>
    <s v="na"/>
    <s v="na"/>
    <s v="na"/>
  </r>
  <r>
    <n v="4819"/>
    <x v="85"/>
    <m/>
    <x v="14"/>
    <x v="3"/>
    <x v="0"/>
    <m/>
    <m/>
    <m/>
    <m/>
    <m/>
    <m/>
    <m/>
    <m/>
    <m/>
    <m/>
    <m/>
    <m/>
    <s v="x"/>
    <s v="x"/>
    <s v="na"/>
    <s v="NRD"/>
    <s v="na"/>
    <s v="na"/>
    <s v="na"/>
    <s v="na"/>
    <s v="na"/>
    <s v="na"/>
    <s v="na"/>
    <s v="na"/>
  </r>
  <r>
    <n v="4820"/>
    <x v="85"/>
    <m/>
    <x v="14"/>
    <x v="3"/>
    <x v="0"/>
    <m/>
    <m/>
    <m/>
    <m/>
    <m/>
    <m/>
    <m/>
    <m/>
    <m/>
    <m/>
    <m/>
    <m/>
    <s v="x"/>
    <s v="x"/>
    <s v="na"/>
    <s v="NRD"/>
    <s v="na"/>
    <s v="na"/>
    <s v="na"/>
    <s v="na"/>
    <s v="na"/>
    <s v="na"/>
    <s v="na"/>
    <s v="na"/>
  </r>
  <r>
    <n v="4821"/>
    <x v="85"/>
    <m/>
    <x v="14"/>
    <x v="3"/>
    <x v="0"/>
    <m/>
    <m/>
    <m/>
    <m/>
    <m/>
    <m/>
    <m/>
    <m/>
    <m/>
    <m/>
    <m/>
    <m/>
    <s v="x"/>
    <s v="x"/>
    <s v="na"/>
    <s v="NRD"/>
    <s v="na"/>
    <s v="na"/>
    <s v="na"/>
    <s v="na"/>
    <s v="na"/>
    <s v="na"/>
    <s v="na"/>
    <s v="na"/>
  </r>
  <r>
    <n v="4822"/>
    <x v="85"/>
    <m/>
    <x v="14"/>
    <x v="3"/>
    <x v="0"/>
    <m/>
    <m/>
    <m/>
    <m/>
    <m/>
    <m/>
    <m/>
    <m/>
    <m/>
    <m/>
    <m/>
    <m/>
    <s v="x"/>
    <s v="x"/>
    <s v="na"/>
    <s v="NRD"/>
    <s v="na"/>
    <s v="na"/>
    <s v="na"/>
    <s v="na"/>
    <s v="na"/>
    <s v="na"/>
    <s v="na"/>
    <s v="na"/>
  </r>
  <r>
    <n v="4823"/>
    <x v="85"/>
    <m/>
    <x v="14"/>
    <x v="3"/>
    <x v="0"/>
    <m/>
    <m/>
    <m/>
    <m/>
    <m/>
    <m/>
    <m/>
    <m/>
    <m/>
    <m/>
    <m/>
    <m/>
    <s v="x"/>
    <s v="x"/>
    <s v="na"/>
    <s v="NRD"/>
    <s v="na"/>
    <s v="na"/>
    <s v="na"/>
    <s v="na"/>
    <s v="na"/>
    <s v="na"/>
    <s v="na"/>
    <s v="na"/>
  </r>
  <r>
    <n v="4824"/>
    <x v="85"/>
    <m/>
    <x v="14"/>
    <x v="3"/>
    <x v="0"/>
    <m/>
    <m/>
    <m/>
    <m/>
    <m/>
    <m/>
    <m/>
    <m/>
    <m/>
    <m/>
    <m/>
    <m/>
    <s v="x"/>
    <s v="x"/>
    <s v="na"/>
    <s v="NRD"/>
    <s v="na"/>
    <s v="na"/>
    <s v="na"/>
    <s v="na"/>
    <s v="na"/>
    <s v="na"/>
    <s v="na"/>
    <s v="na"/>
  </r>
  <r>
    <n v="4825"/>
    <x v="85"/>
    <m/>
    <x v="14"/>
    <x v="3"/>
    <x v="0"/>
    <m/>
    <m/>
    <m/>
    <m/>
    <m/>
    <m/>
    <m/>
    <m/>
    <m/>
    <m/>
    <m/>
    <m/>
    <s v="x"/>
    <s v="x"/>
    <s v="na"/>
    <s v="NRD"/>
    <s v="na"/>
    <s v="na"/>
    <s v="na"/>
    <s v="na"/>
    <s v="na"/>
    <s v="na"/>
    <s v="na"/>
    <s v="na"/>
  </r>
  <r>
    <n v="4826"/>
    <x v="85"/>
    <m/>
    <x v="14"/>
    <x v="3"/>
    <x v="0"/>
    <m/>
    <m/>
    <m/>
    <m/>
    <m/>
    <m/>
    <m/>
    <m/>
    <m/>
    <m/>
    <m/>
    <m/>
    <s v="x"/>
    <s v="x"/>
    <s v="na"/>
    <s v="NRD"/>
    <s v="na"/>
    <s v="na"/>
    <s v="na"/>
    <s v="na"/>
    <s v="na"/>
    <s v="na"/>
    <s v="na"/>
    <s v="na"/>
  </r>
  <r>
    <n v="4827"/>
    <x v="85"/>
    <m/>
    <x v="14"/>
    <x v="3"/>
    <x v="0"/>
    <m/>
    <m/>
    <m/>
    <m/>
    <m/>
    <m/>
    <m/>
    <m/>
    <m/>
    <m/>
    <m/>
    <m/>
    <s v="x"/>
    <s v="x"/>
    <s v="na"/>
    <s v="NRD"/>
    <s v="na"/>
    <s v="na"/>
    <s v="na"/>
    <s v="na"/>
    <s v="na"/>
    <s v="na"/>
    <s v="na"/>
    <s v="na"/>
  </r>
  <r>
    <n v="4828"/>
    <x v="85"/>
    <m/>
    <x v="14"/>
    <x v="3"/>
    <x v="0"/>
    <m/>
    <m/>
    <m/>
    <m/>
    <m/>
    <m/>
    <m/>
    <m/>
    <m/>
    <m/>
    <m/>
    <m/>
    <s v="x"/>
    <s v="x"/>
    <s v="na"/>
    <s v="NRD"/>
    <s v="na"/>
    <s v="na"/>
    <s v="na"/>
    <s v="na"/>
    <s v="na"/>
    <s v="na"/>
    <s v="na"/>
    <s v="na"/>
  </r>
  <r>
    <n v="4829"/>
    <x v="85"/>
    <m/>
    <x v="14"/>
    <x v="3"/>
    <x v="0"/>
    <m/>
    <m/>
    <m/>
    <m/>
    <m/>
    <m/>
    <m/>
    <m/>
    <m/>
    <m/>
    <m/>
    <m/>
    <s v="x"/>
    <s v="x"/>
    <s v="na"/>
    <s v="NRD"/>
    <s v="na"/>
    <s v="na"/>
    <s v="na"/>
    <s v="na"/>
    <s v="na"/>
    <s v="na"/>
    <s v="na"/>
    <s v="na"/>
  </r>
  <r>
    <n v="4830"/>
    <x v="85"/>
    <m/>
    <x v="14"/>
    <x v="3"/>
    <x v="0"/>
    <m/>
    <m/>
    <m/>
    <m/>
    <m/>
    <m/>
    <m/>
    <m/>
    <m/>
    <m/>
    <m/>
    <m/>
    <s v="x"/>
    <s v="x"/>
    <s v="na"/>
    <s v="NRD"/>
    <s v="na"/>
    <s v="na"/>
    <s v="na"/>
    <s v="na"/>
    <s v="na"/>
    <s v="na"/>
    <s v="na"/>
    <s v="na"/>
  </r>
  <r>
    <n v="4831"/>
    <x v="85"/>
    <m/>
    <x v="14"/>
    <x v="3"/>
    <x v="0"/>
    <m/>
    <m/>
    <m/>
    <m/>
    <m/>
    <m/>
    <m/>
    <m/>
    <m/>
    <m/>
    <m/>
    <m/>
    <s v="x"/>
    <s v="x"/>
    <s v="na"/>
    <s v="NRD"/>
    <s v="na"/>
    <s v="na"/>
    <s v="na"/>
    <s v="na"/>
    <s v="na"/>
    <s v="na"/>
    <s v="na"/>
    <s v="na"/>
  </r>
  <r>
    <n v="4832"/>
    <x v="85"/>
    <m/>
    <x v="14"/>
    <x v="3"/>
    <x v="0"/>
    <m/>
    <m/>
    <m/>
    <m/>
    <m/>
    <m/>
    <m/>
    <m/>
    <m/>
    <m/>
    <m/>
    <m/>
    <s v="x"/>
    <s v="x"/>
    <s v="na"/>
    <s v="NRD"/>
    <s v="na"/>
    <s v="na"/>
    <s v="na"/>
    <s v="na"/>
    <s v="na"/>
    <s v="na"/>
    <s v="na"/>
    <s v="na"/>
  </r>
  <r>
    <n v="4833"/>
    <x v="85"/>
    <m/>
    <x v="14"/>
    <x v="3"/>
    <x v="0"/>
    <m/>
    <m/>
    <m/>
    <m/>
    <m/>
    <m/>
    <m/>
    <m/>
    <m/>
    <m/>
    <m/>
    <m/>
    <s v="x"/>
    <s v="x"/>
    <s v="na"/>
    <s v="NRD"/>
    <s v="na"/>
    <s v="na"/>
    <s v="na"/>
    <s v="na"/>
    <s v="na"/>
    <s v="na"/>
    <s v="na"/>
    <s v="na"/>
  </r>
  <r>
    <n v="4834"/>
    <x v="85"/>
    <m/>
    <x v="14"/>
    <x v="3"/>
    <x v="0"/>
    <m/>
    <m/>
    <m/>
    <m/>
    <m/>
    <m/>
    <m/>
    <m/>
    <m/>
    <m/>
    <m/>
    <m/>
    <s v="x"/>
    <s v="x"/>
    <s v="na"/>
    <s v="NRD"/>
    <s v="na"/>
    <s v="na"/>
    <s v="na"/>
    <s v="na"/>
    <s v="na"/>
    <s v="na"/>
    <s v="na"/>
    <s v="na"/>
  </r>
  <r>
    <n v="4835"/>
    <x v="85"/>
    <m/>
    <x v="14"/>
    <x v="3"/>
    <x v="0"/>
    <m/>
    <m/>
    <m/>
    <m/>
    <m/>
    <m/>
    <m/>
    <m/>
    <m/>
    <m/>
    <m/>
    <m/>
    <s v="x"/>
    <s v="x"/>
    <s v="na"/>
    <s v="NRD"/>
    <s v="na"/>
    <s v="na"/>
    <s v="na"/>
    <s v="na"/>
    <s v="na"/>
    <s v="na"/>
    <s v="na"/>
    <s v="na"/>
  </r>
  <r>
    <n v="4836"/>
    <x v="85"/>
    <m/>
    <x v="14"/>
    <x v="3"/>
    <x v="0"/>
    <m/>
    <m/>
    <m/>
    <m/>
    <m/>
    <m/>
    <m/>
    <m/>
    <m/>
    <m/>
    <m/>
    <m/>
    <s v="x"/>
    <s v="x"/>
    <s v="na"/>
    <s v="NRD"/>
    <s v="na"/>
    <s v="na"/>
    <s v="na"/>
    <s v="na"/>
    <s v="na"/>
    <s v="na"/>
    <s v="na"/>
    <s v="na"/>
  </r>
  <r>
    <n v="4837"/>
    <x v="85"/>
    <m/>
    <x v="14"/>
    <x v="3"/>
    <x v="0"/>
    <m/>
    <m/>
    <m/>
    <m/>
    <m/>
    <m/>
    <m/>
    <m/>
    <m/>
    <m/>
    <m/>
    <m/>
    <s v="x"/>
    <s v="x"/>
    <s v="na"/>
    <s v="NRD"/>
    <s v="na"/>
    <s v="na"/>
    <s v="na"/>
    <s v="na"/>
    <s v="na"/>
    <s v="na"/>
    <s v="na"/>
    <s v="na"/>
  </r>
  <r>
    <n v="4838"/>
    <x v="85"/>
    <m/>
    <x v="14"/>
    <x v="3"/>
    <x v="0"/>
    <m/>
    <m/>
    <m/>
    <m/>
    <m/>
    <m/>
    <m/>
    <m/>
    <m/>
    <m/>
    <m/>
    <m/>
    <s v="x"/>
    <s v="x"/>
    <s v="na"/>
    <s v="NRD"/>
    <s v="na"/>
    <s v="na"/>
    <s v="na"/>
    <s v="na"/>
    <s v="na"/>
    <s v="na"/>
    <s v="na"/>
    <s v="na"/>
  </r>
  <r>
    <n v="4839"/>
    <x v="85"/>
    <m/>
    <x v="14"/>
    <x v="3"/>
    <x v="0"/>
    <m/>
    <m/>
    <m/>
    <m/>
    <m/>
    <m/>
    <m/>
    <m/>
    <m/>
    <m/>
    <m/>
    <m/>
    <s v="x"/>
    <s v="x"/>
    <s v="na"/>
    <s v="NRD"/>
    <s v="na"/>
    <s v="na"/>
    <s v="na"/>
    <s v="na"/>
    <s v="na"/>
    <s v="na"/>
    <s v="na"/>
    <s v="na"/>
  </r>
  <r>
    <n v="4840"/>
    <x v="85"/>
    <m/>
    <x v="14"/>
    <x v="3"/>
    <x v="0"/>
    <m/>
    <m/>
    <m/>
    <m/>
    <m/>
    <m/>
    <m/>
    <m/>
    <m/>
    <m/>
    <m/>
    <m/>
    <s v="x"/>
    <s v="x"/>
    <s v="na"/>
    <s v="NRD"/>
    <s v="na"/>
    <s v="na"/>
    <s v="na"/>
    <s v="na"/>
    <s v="na"/>
    <s v="na"/>
    <s v="na"/>
    <s v="na"/>
  </r>
  <r>
    <n v="4841"/>
    <x v="85"/>
    <m/>
    <x v="14"/>
    <x v="3"/>
    <x v="0"/>
    <m/>
    <m/>
    <m/>
    <m/>
    <m/>
    <m/>
    <m/>
    <m/>
    <m/>
    <m/>
    <m/>
    <m/>
    <s v="x"/>
    <s v="x"/>
    <s v="na"/>
    <s v="NRD"/>
    <s v="na"/>
    <s v="na"/>
    <s v="na"/>
    <s v="na"/>
    <s v="na"/>
    <s v="na"/>
    <s v="na"/>
    <s v="na"/>
  </r>
  <r>
    <n v="4842"/>
    <x v="85"/>
    <m/>
    <x v="14"/>
    <x v="3"/>
    <x v="0"/>
    <m/>
    <m/>
    <m/>
    <m/>
    <m/>
    <m/>
    <m/>
    <m/>
    <m/>
    <m/>
    <m/>
    <m/>
    <s v="x"/>
    <s v="x"/>
    <s v="na"/>
    <s v="NRD"/>
    <s v="na"/>
    <s v="na"/>
    <s v="na"/>
    <s v="na"/>
    <s v="na"/>
    <s v="na"/>
    <s v="na"/>
    <s v="na"/>
  </r>
  <r>
    <n v="4843"/>
    <x v="85"/>
    <m/>
    <x v="14"/>
    <x v="3"/>
    <x v="0"/>
    <m/>
    <m/>
    <m/>
    <m/>
    <m/>
    <m/>
    <m/>
    <m/>
    <m/>
    <m/>
    <m/>
    <m/>
    <s v="x"/>
    <s v="x"/>
    <s v="na"/>
    <s v="NRD"/>
    <s v="na"/>
    <s v="na"/>
    <s v="na"/>
    <s v="na"/>
    <s v="na"/>
    <s v="na"/>
    <s v="na"/>
    <s v="na"/>
  </r>
  <r>
    <n v="4844"/>
    <x v="85"/>
    <m/>
    <x v="14"/>
    <x v="3"/>
    <x v="0"/>
    <m/>
    <m/>
    <m/>
    <m/>
    <m/>
    <m/>
    <m/>
    <m/>
    <m/>
    <m/>
    <m/>
    <m/>
    <s v="x"/>
    <s v="x"/>
    <s v="na"/>
    <s v="NRD"/>
    <s v="na"/>
    <s v="na"/>
    <s v="na"/>
    <s v="na"/>
    <s v="na"/>
    <s v="na"/>
    <s v="na"/>
    <s v="na"/>
  </r>
  <r>
    <n v="4845"/>
    <x v="85"/>
    <m/>
    <x v="14"/>
    <x v="3"/>
    <x v="0"/>
    <m/>
    <m/>
    <m/>
    <m/>
    <m/>
    <m/>
    <m/>
    <m/>
    <m/>
    <m/>
    <m/>
    <m/>
    <s v="x"/>
    <s v="x"/>
    <s v="na"/>
    <s v="NRD"/>
    <s v="na"/>
    <s v="na"/>
    <s v="na"/>
    <s v="na"/>
    <s v="na"/>
    <s v="na"/>
    <s v="na"/>
    <s v="na"/>
  </r>
  <r>
    <n v="4846"/>
    <x v="85"/>
    <m/>
    <x v="14"/>
    <x v="3"/>
    <x v="0"/>
    <m/>
    <m/>
    <m/>
    <m/>
    <m/>
    <m/>
    <m/>
    <m/>
    <m/>
    <m/>
    <m/>
    <m/>
    <s v="x"/>
    <s v="x"/>
    <s v="na"/>
    <s v="NRD"/>
    <s v="na"/>
    <s v="na"/>
    <s v="na"/>
    <s v="na"/>
    <s v="na"/>
    <s v="na"/>
    <s v="na"/>
    <s v="na"/>
  </r>
  <r>
    <n v="4847"/>
    <x v="85"/>
    <m/>
    <x v="14"/>
    <x v="3"/>
    <x v="0"/>
    <m/>
    <m/>
    <m/>
    <m/>
    <m/>
    <m/>
    <m/>
    <m/>
    <m/>
    <m/>
    <m/>
    <m/>
    <s v="x"/>
    <s v="x"/>
    <s v="na"/>
    <s v="NRD"/>
    <s v="na"/>
    <s v="na"/>
    <s v="na"/>
    <s v="na"/>
    <s v="na"/>
    <s v="na"/>
    <s v="na"/>
    <s v="na"/>
  </r>
  <r>
    <n v="4848"/>
    <x v="85"/>
    <m/>
    <x v="14"/>
    <x v="3"/>
    <x v="0"/>
    <m/>
    <m/>
    <m/>
    <m/>
    <m/>
    <m/>
    <m/>
    <m/>
    <m/>
    <m/>
    <m/>
    <m/>
    <s v="x"/>
    <s v="x"/>
    <s v="na"/>
    <s v="NRD"/>
    <s v="na"/>
    <s v="na"/>
    <s v="na"/>
    <s v="na"/>
    <s v="na"/>
    <s v="na"/>
    <s v="na"/>
    <s v="na"/>
  </r>
  <r>
    <n v="4849"/>
    <x v="85"/>
    <m/>
    <x v="14"/>
    <x v="3"/>
    <x v="0"/>
    <m/>
    <m/>
    <m/>
    <m/>
    <m/>
    <m/>
    <m/>
    <m/>
    <m/>
    <m/>
    <m/>
    <m/>
    <s v="x"/>
    <s v="x"/>
    <s v="na"/>
    <s v="NRD"/>
    <s v="na"/>
    <s v="na"/>
    <s v="na"/>
    <s v="na"/>
    <s v="na"/>
    <s v="na"/>
    <s v="na"/>
    <s v="na"/>
  </r>
  <r>
    <n v="4850"/>
    <x v="85"/>
    <m/>
    <x v="14"/>
    <x v="3"/>
    <x v="0"/>
    <m/>
    <m/>
    <m/>
    <m/>
    <m/>
    <m/>
    <m/>
    <m/>
    <m/>
    <m/>
    <m/>
    <m/>
    <s v="x"/>
    <s v="x"/>
    <s v="na"/>
    <s v="NRD"/>
    <s v="na"/>
    <s v="na"/>
    <s v="na"/>
    <s v="na"/>
    <s v="na"/>
    <s v="na"/>
    <s v="na"/>
    <s v="na"/>
  </r>
  <r>
    <n v="4851"/>
    <x v="85"/>
    <m/>
    <x v="14"/>
    <x v="3"/>
    <x v="0"/>
    <m/>
    <m/>
    <m/>
    <m/>
    <m/>
    <m/>
    <m/>
    <m/>
    <m/>
    <m/>
    <m/>
    <m/>
    <s v="x"/>
    <s v="x"/>
    <s v="na"/>
    <s v="NRD"/>
    <s v="na"/>
    <s v="na"/>
    <s v="na"/>
    <s v="na"/>
    <s v="na"/>
    <s v="na"/>
    <s v="na"/>
    <s v="na"/>
  </r>
  <r>
    <n v="4852"/>
    <x v="85"/>
    <m/>
    <x v="14"/>
    <x v="3"/>
    <x v="0"/>
    <m/>
    <m/>
    <m/>
    <m/>
    <m/>
    <m/>
    <m/>
    <m/>
    <m/>
    <m/>
    <m/>
    <m/>
    <s v="x"/>
    <s v="x"/>
    <s v="na"/>
    <s v="NRD"/>
    <s v="na"/>
    <s v="na"/>
    <s v="na"/>
    <s v="na"/>
    <s v="na"/>
    <s v="na"/>
    <s v="na"/>
    <s v="na"/>
  </r>
  <r>
    <n v="4853"/>
    <x v="85"/>
    <m/>
    <x v="14"/>
    <x v="3"/>
    <x v="0"/>
    <m/>
    <m/>
    <m/>
    <m/>
    <m/>
    <m/>
    <m/>
    <m/>
    <m/>
    <m/>
    <m/>
    <m/>
    <s v="x"/>
    <s v="x"/>
    <s v="na"/>
    <s v="NRD"/>
    <s v="na"/>
    <s v="na"/>
    <s v="na"/>
    <s v="na"/>
    <s v="na"/>
    <s v="na"/>
    <s v="na"/>
    <s v="na"/>
  </r>
  <r>
    <n v="4854"/>
    <x v="85"/>
    <m/>
    <x v="14"/>
    <x v="3"/>
    <x v="0"/>
    <m/>
    <m/>
    <m/>
    <m/>
    <m/>
    <m/>
    <m/>
    <m/>
    <m/>
    <m/>
    <m/>
    <m/>
    <s v="x"/>
    <s v="x"/>
    <s v="na"/>
    <s v="NRD"/>
    <s v="na"/>
    <s v="na"/>
    <s v="na"/>
    <s v="na"/>
    <s v="na"/>
    <s v="na"/>
    <s v="na"/>
    <s v="na"/>
  </r>
  <r>
    <n v="4855"/>
    <x v="85"/>
    <m/>
    <x v="14"/>
    <x v="3"/>
    <x v="0"/>
    <m/>
    <m/>
    <m/>
    <m/>
    <m/>
    <m/>
    <m/>
    <m/>
    <m/>
    <m/>
    <m/>
    <m/>
    <s v="x"/>
    <s v="x"/>
    <s v="na"/>
    <s v="NRD"/>
    <s v="na"/>
    <s v="na"/>
    <s v="na"/>
    <s v="na"/>
    <s v="na"/>
    <s v="na"/>
    <s v="na"/>
    <s v="na"/>
  </r>
  <r>
    <n v="4856"/>
    <x v="85"/>
    <m/>
    <x v="14"/>
    <x v="3"/>
    <x v="0"/>
    <m/>
    <m/>
    <m/>
    <m/>
    <m/>
    <m/>
    <m/>
    <m/>
    <m/>
    <m/>
    <m/>
    <m/>
    <s v="x"/>
    <s v="x"/>
    <s v="na"/>
    <s v="NRD"/>
    <s v="na"/>
    <s v="na"/>
    <s v="na"/>
    <s v="na"/>
    <s v="na"/>
    <s v="na"/>
    <s v="na"/>
    <s v="na"/>
  </r>
  <r>
    <n v="4857"/>
    <x v="85"/>
    <m/>
    <x v="14"/>
    <x v="3"/>
    <x v="0"/>
    <m/>
    <m/>
    <m/>
    <m/>
    <m/>
    <m/>
    <m/>
    <m/>
    <m/>
    <m/>
    <m/>
    <m/>
    <s v="x"/>
    <s v="x"/>
    <s v="na"/>
    <s v="NRD"/>
    <s v="na"/>
    <s v="na"/>
    <s v="na"/>
    <s v="na"/>
    <s v="na"/>
    <s v="na"/>
    <s v="na"/>
    <s v="na"/>
  </r>
  <r>
    <n v="4858"/>
    <x v="85"/>
    <m/>
    <x v="14"/>
    <x v="3"/>
    <x v="0"/>
    <m/>
    <m/>
    <m/>
    <m/>
    <m/>
    <m/>
    <m/>
    <m/>
    <m/>
    <m/>
    <m/>
    <m/>
    <s v="x"/>
    <s v="x"/>
    <s v="na"/>
    <s v="NRD"/>
    <s v="na"/>
    <s v="na"/>
    <s v="na"/>
    <s v="na"/>
    <s v="na"/>
    <s v="na"/>
    <s v="na"/>
    <s v="na"/>
  </r>
  <r>
    <n v="4859"/>
    <x v="85"/>
    <m/>
    <x v="14"/>
    <x v="3"/>
    <x v="0"/>
    <m/>
    <m/>
    <m/>
    <m/>
    <m/>
    <m/>
    <m/>
    <m/>
    <m/>
    <m/>
    <m/>
    <m/>
    <s v="x"/>
    <s v="x"/>
    <s v="na"/>
    <s v="NRD"/>
    <s v="na"/>
    <s v="na"/>
    <s v="na"/>
    <s v="na"/>
    <s v="na"/>
    <s v="na"/>
    <s v="na"/>
    <s v="na"/>
  </r>
  <r>
    <n v="4860"/>
    <x v="85"/>
    <m/>
    <x v="14"/>
    <x v="3"/>
    <x v="0"/>
    <m/>
    <m/>
    <m/>
    <m/>
    <m/>
    <m/>
    <m/>
    <m/>
    <m/>
    <m/>
    <m/>
    <m/>
    <s v="x"/>
    <s v="x"/>
    <s v="na"/>
    <s v="NRD"/>
    <s v="na"/>
    <s v="na"/>
    <s v="na"/>
    <s v="na"/>
    <s v="na"/>
    <s v="na"/>
    <s v="na"/>
    <s v="na"/>
  </r>
  <r>
    <n v="4861"/>
    <x v="85"/>
    <m/>
    <x v="14"/>
    <x v="3"/>
    <x v="0"/>
    <m/>
    <m/>
    <m/>
    <m/>
    <m/>
    <m/>
    <m/>
    <m/>
    <m/>
    <m/>
    <m/>
    <m/>
    <s v="x"/>
    <s v="x"/>
    <s v="na"/>
    <s v="NRD"/>
    <s v="na"/>
    <s v="na"/>
    <s v="na"/>
    <s v="na"/>
    <s v="na"/>
    <s v="na"/>
    <s v="na"/>
    <s v="na"/>
  </r>
  <r>
    <n v="4862"/>
    <x v="85"/>
    <m/>
    <x v="14"/>
    <x v="3"/>
    <x v="0"/>
    <m/>
    <m/>
    <m/>
    <m/>
    <m/>
    <m/>
    <m/>
    <m/>
    <m/>
    <m/>
    <m/>
    <m/>
    <s v="x"/>
    <s v="x"/>
    <s v="na"/>
    <s v="NRD"/>
    <s v="na"/>
    <s v="na"/>
    <s v="na"/>
    <s v="na"/>
    <s v="na"/>
    <s v="na"/>
    <s v="na"/>
    <s v="na"/>
  </r>
  <r>
    <n v="4863"/>
    <x v="85"/>
    <m/>
    <x v="14"/>
    <x v="3"/>
    <x v="0"/>
    <m/>
    <m/>
    <m/>
    <m/>
    <m/>
    <m/>
    <m/>
    <m/>
    <m/>
    <m/>
    <m/>
    <m/>
    <s v="x"/>
    <s v="x"/>
    <s v="na"/>
    <s v="NRD"/>
    <s v="na"/>
    <s v="na"/>
    <s v="na"/>
    <s v="na"/>
    <s v="na"/>
    <s v="na"/>
    <s v="na"/>
    <s v="na"/>
  </r>
  <r>
    <n v="4864"/>
    <x v="85"/>
    <m/>
    <x v="14"/>
    <x v="3"/>
    <x v="0"/>
    <m/>
    <m/>
    <m/>
    <m/>
    <m/>
    <m/>
    <m/>
    <m/>
    <m/>
    <m/>
    <m/>
    <m/>
    <s v="x"/>
    <s v="x"/>
    <s v="na"/>
    <s v="NRD"/>
    <s v="na"/>
    <s v="na"/>
    <s v="na"/>
    <s v="na"/>
    <s v="na"/>
    <s v="na"/>
    <s v="na"/>
    <s v="na"/>
  </r>
  <r>
    <n v="4865"/>
    <x v="85"/>
    <m/>
    <x v="14"/>
    <x v="3"/>
    <x v="0"/>
    <m/>
    <m/>
    <m/>
    <m/>
    <m/>
    <m/>
    <m/>
    <m/>
    <m/>
    <m/>
    <m/>
    <m/>
    <s v="x"/>
    <s v="x"/>
    <s v="na"/>
    <s v="NRD"/>
    <s v="na"/>
    <s v="na"/>
    <s v="na"/>
    <s v="na"/>
    <s v="na"/>
    <s v="na"/>
    <s v="na"/>
    <s v="na"/>
  </r>
  <r>
    <n v="4866"/>
    <x v="85"/>
    <m/>
    <x v="14"/>
    <x v="3"/>
    <x v="0"/>
    <m/>
    <m/>
    <m/>
    <m/>
    <m/>
    <m/>
    <m/>
    <m/>
    <m/>
    <m/>
    <m/>
    <m/>
    <s v="x"/>
    <s v="x"/>
    <s v="na"/>
    <s v="NRD"/>
    <s v="na"/>
    <s v="na"/>
    <s v="na"/>
    <s v="na"/>
    <s v="na"/>
    <s v="na"/>
    <s v="na"/>
    <s v="na"/>
  </r>
  <r>
    <n v="4867"/>
    <x v="85"/>
    <m/>
    <x v="14"/>
    <x v="3"/>
    <x v="0"/>
    <m/>
    <m/>
    <m/>
    <m/>
    <m/>
    <m/>
    <m/>
    <m/>
    <m/>
    <m/>
    <m/>
    <m/>
    <s v="x"/>
    <s v="x"/>
    <s v="na"/>
    <s v="NRD"/>
    <s v="na"/>
    <s v="na"/>
    <s v="na"/>
    <s v="na"/>
    <s v="na"/>
    <s v="na"/>
    <s v="na"/>
    <s v="na"/>
  </r>
  <r>
    <n v="4868"/>
    <x v="85"/>
    <m/>
    <x v="14"/>
    <x v="3"/>
    <x v="0"/>
    <m/>
    <m/>
    <m/>
    <m/>
    <m/>
    <m/>
    <m/>
    <m/>
    <m/>
    <m/>
    <m/>
    <m/>
    <s v="x"/>
    <s v="x"/>
    <s v="na"/>
    <s v="NRD"/>
    <s v="na"/>
    <s v="na"/>
    <s v="na"/>
    <s v="na"/>
    <s v="na"/>
    <s v="na"/>
    <s v="na"/>
    <s v="na"/>
  </r>
  <r>
    <n v="4869"/>
    <x v="85"/>
    <m/>
    <x v="14"/>
    <x v="3"/>
    <x v="0"/>
    <m/>
    <m/>
    <m/>
    <m/>
    <m/>
    <m/>
    <m/>
    <m/>
    <m/>
    <m/>
    <m/>
    <m/>
    <s v="x"/>
    <s v="x"/>
    <s v="na"/>
    <s v="NRD"/>
    <s v="na"/>
    <s v="na"/>
    <s v="na"/>
    <s v="na"/>
    <s v="na"/>
    <s v="na"/>
    <s v="na"/>
    <s v="na"/>
  </r>
  <r>
    <n v="4870"/>
    <x v="85"/>
    <m/>
    <x v="14"/>
    <x v="3"/>
    <x v="0"/>
    <m/>
    <m/>
    <m/>
    <m/>
    <m/>
    <m/>
    <m/>
    <m/>
    <m/>
    <m/>
    <m/>
    <m/>
    <s v="x"/>
    <s v="x"/>
    <s v="na"/>
    <s v="NRD"/>
    <s v="na"/>
    <s v="na"/>
    <s v="na"/>
    <s v="na"/>
    <s v="na"/>
    <s v="na"/>
    <s v="na"/>
    <s v="na"/>
  </r>
  <r>
    <n v="4871"/>
    <x v="85"/>
    <m/>
    <x v="14"/>
    <x v="3"/>
    <x v="0"/>
    <m/>
    <m/>
    <m/>
    <m/>
    <m/>
    <m/>
    <m/>
    <m/>
    <m/>
    <m/>
    <m/>
    <m/>
    <s v="x"/>
    <s v="x"/>
    <s v="na"/>
    <s v="NRD"/>
    <s v="na"/>
    <s v="na"/>
    <s v="na"/>
    <s v="na"/>
    <s v="na"/>
    <s v="na"/>
    <s v="na"/>
    <s v="na"/>
  </r>
  <r>
    <n v="4872"/>
    <x v="85"/>
    <m/>
    <x v="14"/>
    <x v="3"/>
    <x v="0"/>
    <m/>
    <m/>
    <m/>
    <m/>
    <m/>
    <m/>
    <m/>
    <m/>
    <m/>
    <m/>
    <m/>
    <m/>
    <s v="x"/>
    <s v="x"/>
    <s v="na"/>
    <s v="NRD"/>
    <s v="na"/>
    <s v="na"/>
    <s v="na"/>
    <s v="na"/>
    <s v="na"/>
    <s v="na"/>
    <s v="na"/>
    <s v="na"/>
  </r>
  <r>
    <n v="4873"/>
    <x v="85"/>
    <m/>
    <x v="14"/>
    <x v="3"/>
    <x v="0"/>
    <m/>
    <m/>
    <m/>
    <m/>
    <m/>
    <m/>
    <m/>
    <m/>
    <m/>
    <m/>
    <m/>
    <m/>
    <s v="x"/>
    <s v="x"/>
    <s v="na"/>
    <s v="NRD"/>
    <s v="na"/>
    <s v="na"/>
    <s v="na"/>
    <s v="na"/>
    <s v="na"/>
    <s v="na"/>
    <s v="na"/>
    <s v="na"/>
  </r>
  <r>
    <n v="4874"/>
    <x v="85"/>
    <m/>
    <x v="14"/>
    <x v="3"/>
    <x v="0"/>
    <m/>
    <m/>
    <m/>
    <m/>
    <m/>
    <m/>
    <m/>
    <m/>
    <m/>
    <m/>
    <m/>
    <m/>
    <s v="x"/>
    <s v="x"/>
    <s v="na"/>
    <s v="NRD"/>
    <s v="na"/>
    <s v="na"/>
    <s v="na"/>
    <s v="na"/>
    <s v="na"/>
    <s v="na"/>
    <s v="na"/>
    <s v="na"/>
  </r>
  <r>
    <n v="4875"/>
    <x v="85"/>
    <m/>
    <x v="14"/>
    <x v="3"/>
    <x v="0"/>
    <m/>
    <m/>
    <m/>
    <m/>
    <m/>
    <m/>
    <m/>
    <m/>
    <m/>
    <m/>
    <m/>
    <m/>
    <s v="x"/>
    <s v="x"/>
    <s v="na"/>
    <s v="NRD"/>
    <s v="na"/>
    <s v="na"/>
    <s v="na"/>
    <s v="na"/>
    <s v="na"/>
    <s v="na"/>
    <s v="na"/>
    <s v="na"/>
  </r>
  <r>
    <n v="4876"/>
    <x v="85"/>
    <m/>
    <x v="14"/>
    <x v="3"/>
    <x v="0"/>
    <m/>
    <m/>
    <m/>
    <m/>
    <m/>
    <m/>
    <m/>
    <m/>
    <m/>
    <m/>
    <m/>
    <m/>
    <s v="x"/>
    <s v="x"/>
    <s v="na"/>
    <s v="NRD"/>
    <s v="na"/>
    <s v="na"/>
    <s v="na"/>
    <s v="na"/>
    <s v="na"/>
    <s v="na"/>
    <s v="na"/>
    <s v="na"/>
  </r>
  <r>
    <n v="4877"/>
    <x v="85"/>
    <m/>
    <x v="14"/>
    <x v="3"/>
    <x v="0"/>
    <m/>
    <m/>
    <m/>
    <m/>
    <m/>
    <m/>
    <m/>
    <m/>
    <m/>
    <m/>
    <m/>
    <m/>
    <s v="x"/>
    <s v="x"/>
    <s v="na"/>
    <s v="NRD"/>
    <s v="na"/>
    <s v="na"/>
    <s v="na"/>
    <s v="na"/>
    <s v="na"/>
    <s v="na"/>
    <s v="na"/>
    <s v="na"/>
  </r>
  <r>
    <n v="4878"/>
    <x v="85"/>
    <m/>
    <x v="14"/>
    <x v="3"/>
    <x v="0"/>
    <m/>
    <m/>
    <m/>
    <m/>
    <m/>
    <m/>
    <m/>
    <m/>
    <m/>
    <m/>
    <m/>
    <m/>
    <s v="x"/>
    <s v="x"/>
    <s v="na"/>
    <s v="NRD"/>
    <s v="na"/>
    <s v="na"/>
    <s v="na"/>
    <s v="na"/>
    <s v="na"/>
    <s v="na"/>
    <s v="na"/>
    <s v="na"/>
  </r>
  <r>
    <n v="4879"/>
    <x v="85"/>
    <m/>
    <x v="14"/>
    <x v="3"/>
    <x v="0"/>
    <m/>
    <m/>
    <m/>
    <m/>
    <m/>
    <m/>
    <m/>
    <m/>
    <m/>
    <m/>
    <m/>
    <m/>
    <s v="x"/>
    <s v="x"/>
    <s v="na"/>
    <s v="NRD"/>
    <s v="na"/>
    <s v="na"/>
    <s v="na"/>
    <s v="na"/>
    <s v="na"/>
    <s v="na"/>
    <s v="na"/>
    <s v="na"/>
  </r>
  <r>
    <n v="4880"/>
    <x v="85"/>
    <m/>
    <x v="14"/>
    <x v="3"/>
    <x v="0"/>
    <m/>
    <m/>
    <m/>
    <m/>
    <m/>
    <m/>
    <m/>
    <m/>
    <m/>
    <m/>
    <m/>
    <m/>
    <s v="x"/>
    <s v="x"/>
    <s v="na"/>
    <s v="NRD"/>
    <s v="na"/>
    <s v="na"/>
    <s v="na"/>
    <s v="na"/>
    <s v="na"/>
    <s v="na"/>
    <s v="na"/>
    <s v="na"/>
  </r>
  <r>
    <n v="4881"/>
    <x v="85"/>
    <m/>
    <x v="14"/>
    <x v="3"/>
    <x v="0"/>
    <m/>
    <m/>
    <m/>
    <m/>
    <m/>
    <m/>
    <m/>
    <m/>
    <m/>
    <m/>
    <m/>
    <m/>
    <s v="x"/>
    <s v="x"/>
    <s v="na"/>
    <s v="NRD"/>
    <s v="na"/>
    <s v="na"/>
    <s v="na"/>
    <s v="na"/>
    <s v="na"/>
    <s v="na"/>
    <s v="na"/>
    <s v="na"/>
  </r>
  <r>
    <n v="4882"/>
    <x v="85"/>
    <m/>
    <x v="14"/>
    <x v="3"/>
    <x v="0"/>
    <m/>
    <m/>
    <m/>
    <m/>
    <m/>
    <m/>
    <m/>
    <m/>
    <m/>
    <m/>
    <m/>
    <m/>
    <s v="x"/>
    <s v="x"/>
    <s v="na"/>
    <s v="NRD"/>
    <s v="na"/>
    <s v="na"/>
    <s v="na"/>
    <s v="na"/>
    <s v="na"/>
    <s v="na"/>
    <s v="na"/>
    <s v="na"/>
  </r>
  <r>
    <n v="4883"/>
    <x v="85"/>
    <m/>
    <x v="14"/>
    <x v="3"/>
    <x v="0"/>
    <m/>
    <m/>
    <m/>
    <m/>
    <m/>
    <m/>
    <m/>
    <m/>
    <m/>
    <m/>
    <m/>
    <m/>
    <s v="x"/>
    <s v="x"/>
    <s v="na"/>
    <s v="NRD"/>
    <s v="na"/>
    <s v="na"/>
    <s v="na"/>
    <s v="na"/>
    <s v="na"/>
    <s v="na"/>
    <s v="na"/>
    <s v="na"/>
  </r>
  <r>
    <n v="4884"/>
    <x v="85"/>
    <m/>
    <x v="14"/>
    <x v="3"/>
    <x v="0"/>
    <m/>
    <m/>
    <m/>
    <m/>
    <m/>
    <m/>
    <m/>
    <m/>
    <m/>
    <m/>
    <m/>
    <m/>
    <s v="x"/>
    <s v="x"/>
    <s v="na"/>
    <s v="NRD"/>
    <s v="na"/>
    <s v="na"/>
    <s v="na"/>
    <s v="na"/>
    <s v="na"/>
    <s v="na"/>
    <s v="na"/>
    <s v="na"/>
  </r>
  <r>
    <n v="4885"/>
    <x v="85"/>
    <m/>
    <x v="14"/>
    <x v="3"/>
    <x v="0"/>
    <m/>
    <m/>
    <m/>
    <m/>
    <m/>
    <m/>
    <m/>
    <m/>
    <m/>
    <m/>
    <m/>
    <m/>
    <s v="x"/>
    <s v="x"/>
    <s v="na"/>
    <s v="NRD"/>
    <s v="na"/>
    <s v="na"/>
    <s v="na"/>
    <s v="na"/>
    <s v="na"/>
    <s v="na"/>
    <s v="na"/>
    <s v="na"/>
  </r>
  <r>
    <n v="4886"/>
    <x v="85"/>
    <m/>
    <x v="14"/>
    <x v="3"/>
    <x v="0"/>
    <m/>
    <m/>
    <m/>
    <m/>
    <m/>
    <m/>
    <m/>
    <m/>
    <m/>
    <m/>
    <m/>
    <m/>
    <s v="x"/>
    <s v="x"/>
    <s v="na"/>
    <s v="NRD"/>
    <s v="na"/>
    <s v="na"/>
    <s v="na"/>
    <s v="na"/>
    <s v="na"/>
    <s v="na"/>
    <s v="na"/>
    <s v="na"/>
  </r>
  <r>
    <n v="4887"/>
    <x v="85"/>
    <m/>
    <x v="14"/>
    <x v="3"/>
    <x v="0"/>
    <m/>
    <m/>
    <m/>
    <m/>
    <m/>
    <m/>
    <m/>
    <m/>
    <m/>
    <m/>
    <m/>
    <m/>
    <s v="x"/>
    <s v="x"/>
    <s v="na"/>
    <s v="NRD"/>
    <s v="na"/>
    <s v="na"/>
    <s v="na"/>
    <s v="na"/>
    <s v="na"/>
    <s v="na"/>
    <s v="na"/>
    <s v="na"/>
  </r>
  <r>
    <n v="4888"/>
    <x v="85"/>
    <m/>
    <x v="14"/>
    <x v="3"/>
    <x v="0"/>
    <m/>
    <m/>
    <m/>
    <m/>
    <m/>
    <m/>
    <m/>
    <m/>
    <m/>
    <m/>
    <m/>
    <m/>
    <s v="x"/>
    <s v="x"/>
    <s v="na"/>
    <s v="NRD"/>
    <s v="na"/>
    <s v="na"/>
    <s v="na"/>
    <s v="na"/>
    <s v="na"/>
    <s v="na"/>
    <s v="na"/>
    <s v="na"/>
  </r>
  <r>
    <n v="4889"/>
    <x v="85"/>
    <m/>
    <x v="14"/>
    <x v="3"/>
    <x v="0"/>
    <m/>
    <m/>
    <m/>
    <m/>
    <m/>
    <m/>
    <m/>
    <m/>
    <m/>
    <m/>
    <m/>
    <m/>
    <s v="x"/>
    <s v="x"/>
    <s v="na"/>
    <s v="NRD"/>
    <s v="na"/>
    <s v="na"/>
    <s v="na"/>
    <s v="na"/>
    <s v="na"/>
    <s v="na"/>
    <s v="na"/>
    <s v="na"/>
  </r>
  <r>
    <n v="4890"/>
    <x v="85"/>
    <m/>
    <x v="14"/>
    <x v="3"/>
    <x v="0"/>
    <m/>
    <m/>
    <m/>
    <m/>
    <m/>
    <m/>
    <m/>
    <m/>
    <m/>
    <m/>
    <m/>
    <m/>
    <s v="x"/>
    <s v="x"/>
    <s v="na"/>
    <s v="NRD"/>
    <s v="na"/>
    <s v="na"/>
    <s v="na"/>
    <s v="na"/>
    <s v="na"/>
    <s v="na"/>
    <s v="na"/>
    <s v="na"/>
  </r>
  <r>
    <n v="4891"/>
    <x v="85"/>
    <m/>
    <x v="14"/>
    <x v="3"/>
    <x v="0"/>
    <m/>
    <m/>
    <m/>
    <m/>
    <m/>
    <m/>
    <m/>
    <m/>
    <m/>
    <m/>
    <m/>
    <m/>
    <s v="x"/>
    <s v="x"/>
    <s v="na"/>
    <s v="NRD"/>
    <s v="na"/>
    <s v="na"/>
    <s v="na"/>
    <s v="na"/>
    <s v="na"/>
    <s v="na"/>
    <s v="na"/>
    <s v="na"/>
  </r>
  <r>
    <n v="4892"/>
    <x v="85"/>
    <m/>
    <x v="14"/>
    <x v="3"/>
    <x v="0"/>
    <m/>
    <m/>
    <m/>
    <m/>
    <m/>
    <m/>
    <m/>
    <m/>
    <m/>
    <m/>
    <m/>
    <m/>
    <s v="x"/>
    <s v="x"/>
    <s v="na"/>
    <s v="NRD"/>
    <s v="na"/>
    <s v="na"/>
    <s v="na"/>
    <s v="na"/>
    <s v="na"/>
    <s v="na"/>
    <s v="na"/>
    <s v="na"/>
  </r>
  <r>
    <n v="4893"/>
    <x v="85"/>
    <m/>
    <x v="14"/>
    <x v="3"/>
    <x v="0"/>
    <m/>
    <m/>
    <m/>
    <m/>
    <m/>
    <m/>
    <m/>
    <m/>
    <m/>
    <m/>
    <m/>
    <m/>
    <s v="x"/>
    <s v="x"/>
    <s v="na"/>
    <s v="NRD"/>
    <s v="na"/>
    <s v="na"/>
    <s v="na"/>
    <s v="na"/>
    <s v="na"/>
    <s v="na"/>
    <s v="na"/>
    <s v="na"/>
  </r>
  <r>
    <n v="4894"/>
    <x v="85"/>
    <m/>
    <x v="14"/>
    <x v="3"/>
    <x v="0"/>
    <m/>
    <m/>
    <m/>
    <m/>
    <m/>
    <m/>
    <m/>
    <m/>
    <m/>
    <m/>
    <m/>
    <m/>
    <s v="x"/>
    <s v="x"/>
    <s v="na"/>
    <s v="NRD"/>
    <s v="na"/>
    <s v="na"/>
    <s v="na"/>
    <s v="na"/>
    <s v="na"/>
    <s v="na"/>
    <s v="na"/>
    <s v="na"/>
  </r>
  <r>
    <n v="4895"/>
    <x v="85"/>
    <m/>
    <x v="14"/>
    <x v="3"/>
    <x v="0"/>
    <m/>
    <m/>
    <m/>
    <m/>
    <m/>
    <m/>
    <m/>
    <m/>
    <m/>
    <m/>
    <m/>
    <m/>
    <s v="x"/>
    <s v="x"/>
    <s v="na"/>
    <s v="NRD"/>
    <s v="na"/>
    <s v="na"/>
    <s v="na"/>
    <s v="na"/>
    <s v="na"/>
    <s v="na"/>
    <s v="na"/>
    <s v="na"/>
  </r>
  <r>
    <n v="4896"/>
    <x v="85"/>
    <m/>
    <x v="14"/>
    <x v="3"/>
    <x v="0"/>
    <m/>
    <m/>
    <m/>
    <m/>
    <m/>
    <m/>
    <m/>
    <m/>
    <m/>
    <m/>
    <m/>
    <m/>
    <s v="x"/>
    <s v="x"/>
    <s v="na"/>
    <s v="NRD"/>
    <s v="na"/>
    <s v="na"/>
    <s v="na"/>
    <s v="na"/>
    <s v="na"/>
    <s v="na"/>
    <s v="na"/>
    <s v="na"/>
  </r>
  <r>
    <n v="4897"/>
    <x v="85"/>
    <m/>
    <x v="14"/>
    <x v="3"/>
    <x v="0"/>
    <m/>
    <m/>
    <m/>
    <m/>
    <m/>
    <m/>
    <m/>
    <m/>
    <m/>
    <m/>
    <m/>
    <m/>
    <s v="x"/>
    <s v="x"/>
    <s v="na"/>
    <s v="NRD"/>
    <s v="na"/>
    <s v="na"/>
    <s v="na"/>
    <s v="na"/>
    <s v="na"/>
    <s v="na"/>
    <s v="na"/>
    <s v="na"/>
  </r>
  <r>
    <n v="4898"/>
    <x v="85"/>
    <m/>
    <x v="14"/>
    <x v="3"/>
    <x v="0"/>
    <m/>
    <m/>
    <m/>
    <m/>
    <m/>
    <m/>
    <m/>
    <m/>
    <m/>
    <m/>
    <m/>
    <m/>
    <s v="x"/>
    <s v="x"/>
    <s v="na"/>
    <s v="NRD"/>
    <s v="na"/>
    <s v="na"/>
    <s v="na"/>
    <s v="na"/>
    <s v="na"/>
    <s v="na"/>
    <s v="na"/>
    <s v="na"/>
  </r>
  <r>
    <n v="4899"/>
    <x v="85"/>
    <m/>
    <x v="14"/>
    <x v="3"/>
    <x v="0"/>
    <m/>
    <m/>
    <m/>
    <m/>
    <m/>
    <m/>
    <m/>
    <m/>
    <m/>
    <m/>
    <m/>
    <m/>
    <s v="x"/>
    <s v="x"/>
    <s v="na"/>
    <s v="NRD"/>
    <s v="na"/>
    <s v="na"/>
    <s v="na"/>
    <s v="na"/>
    <s v="na"/>
    <s v="na"/>
    <s v="na"/>
    <s v="na"/>
  </r>
  <r>
    <n v="4900"/>
    <x v="85"/>
    <m/>
    <x v="14"/>
    <x v="3"/>
    <x v="0"/>
    <m/>
    <m/>
    <m/>
    <m/>
    <m/>
    <m/>
    <m/>
    <m/>
    <m/>
    <m/>
    <m/>
    <m/>
    <s v="x"/>
    <s v="x"/>
    <s v="na"/>
    <s v="NRD"/>
    <s v="na"/>
    <s v="na"/>
    <s v="na"/>
    <s v="na"/>
    <s v="na"/>
    <s v="na"/>
    <s v="na"/>
    <s v="na"/>
  </r>
  <r>
    <n v="4901"/>
    <x v="85"/>
    <m/>
    <x v="14"/>
    <x v="3"/>
    <x v="0"/>
    <m/>
    <m/>
    <m/>
    <m/>
    <m/>
    <m/>
    <m/>
    <m/>
    <m/>
    <m/>
    <m/>
    <m/>
    <s v="x"/>
    <s v="x"/>
    <s v="na"/>
    <s v="NRD"/>
    <s v="na"/>
    <s v="na"/>
    <s v="na"/>
    <s v="na"/>
    <s v="na"/>
    <s v="na"/>
    <s v="na"/>
    <s v="na"/>
  </r>
  <r>
    <n v="4902"/>
    <x v="85"/>
    <m/>
    <x v="14"/>
    <x v="3"/>
    <x v="0"/>
    <m/>
    <m/>
    <m/>
    <m/>
    <m/>
    <m/>
    <m/>
    <m/>
    <m/>
    <m/>
    <m/>
    <m/>
    <s v="x"/>
    <s v="x"/>
    <s v="na"/>
    <s v="NRD"/>
    <s v="na"/>
    <s v="na"/>
    <s v="na"/>
    <s v="na"/>
    <s v="na"/>
    <s v="na"/>
    <s v="na"/>
    <s v="na"/>
  </r>
  <r>
    <n v="4903"/>
    <x v="85"/>
    <m/>
    <x v="14"/>
    <x v="3"/>
    <x v="0"/>
    <m/>
    <m/>
    <m/>
    <m/>
    <m/>
    <m/>
    <m/>
    <m/>
    <m/>
    <m/>
    <m/>
    <m/>
    <s v="x"/>
    <s v="x"/>
    <s v="na"/>
    <s v="NRD"/>
    <s v="na"/>
    <s v="na"/>
    <s v="na"/>
    <s v="na"/>
    <s v="na"/>
    <s v="na"/>
    <s v="na"/>
    <s v="na"/>
  </r>
  <r>
    <n v="4904"/>
    <x v="85"/>
    <m/>
    <x v="14"/>
    <x v="3"/>
    <x v="0"/>
    <m/>
    <m/>
    <m/>
    <m/>
    <m/>
    <m/>
    <m/>
    <m/>
    <m/>
    <m/>
    <m/>
    <m/>
    <s v="x"/>
    <s v="x"/>
    <s v="na"/>
    <s v="NRD"/>
    <s v="na"/>
    <s v="na"/>
    <s v="na"/>
    <s v="na"/>
    <s v="na"/>
    <s v="na"/>
    <s v="na"/>
    <s v="na"/>
  </r>
  <r>
    <n v="4905"/>
    <x v="85"/>
    <m/>
    <x v="14"/>
    <x v="3"/>
    <x v="0"/>
    <m/>
    <m/>
    <m/>
    <m/>
    <m/>
    <m/>
    <m/>
    <m/>
    <m/>
    <m/>
    <m/>
    <m/>
    <s v="x"/>
    <s v="x"/>
    <s v="na"/>
    <s v="NRD"/>
    <s v="na"/>
    <s v="na"/>
    <s v="na"/>
    <s v="na"/>
    <s v="na"/>
    <s v="na"/>
    <s v="na"/>
    <s v="na"/>
  </r>
  <r>
    <n v="4906"/>
    <x v="85"/>
    <m/>
    <x v="14"/>
    <x v="3"/>
    <x v="0"/>
    <m/>
    <m/>
    <m/>
    <m/>
    <m/>
    <m/>
    <m/>
    <m/>
    <m/>
    <m/>
    <m/>
    <m/>
    <s v="x"/>
    <s v="x"/>
    <s v="na"/>
    <s v="NRD"/>
    <s v="na"/>
    <s v="na"/>
    <s v="na"/>
    <s v="na"/>
    <s v="na"/>
    <s v="na"/>
    <s v="na"/>
    <s v="na"/>
  </r>
  <r>
    <n v="4907"/>
    <x v="85"/>
    <m/>
    <x v="14"/>
    <x v="3"/>
    <x v="0"/>
    <m/>
    <m/>
    <m/>
    <m/>
    <m/>
    <m/>
    <m/>
    <m/>
    <m/>
    <m/>
    <m/>
    <m/>
    <s v="x"/>
    <s v="x"/>
    <s v="na"/>
    <s v="NRD"/>
    <s v="na"/>
    <s v="na"/>
    <s v="na"/>
    <s v="na"/>
    <s v="na"/>
    <s v="na"/>
    <s v="na"/>
    <s v="na"/>
  </r>
  <r>
    <n v="4908"/>
    <x v="85"/>
    <m/>
    <x v="14"/>
    <x v="3"/>
    <x v="0"/>
    <m/>
    <m/>
    <m/>
    <m/>
    <m/>
    <m/>
    <m/>
    <m/>
    <m/>
    <m/>
    <m/>
    <m/>
    <s v="x"/>
    <s v="x"/>
    <s v="na"/>
    <s v="NRD"/>
    <s v="na"/>
    <s v="na"/>
    <s v="na"/>
    <s v="na"/>
    <s v="na"/>
    <s v="na"/>
    <s v="na"/>
    <s v="na"/>
  </r>
  <r>
    <n v="4909"/>
    <x v="85"/>
    <m/>
    <x v="14"/>
    <x v="3"/>
    <x v="0"/>
    <m/>
    <m/>
    <m/>
    <m/>
    <m/>
    <m/>
    <m/>
    <m/>
    <m/>
    <m/>
    <m/>
    <m/>
    <s v="x"/>
    <s v="x"/>
    <s v="na"/>
    <s v="NRD"/>
    <s v="na"/>
    <s v="na"/>
    <s v="na"/>
    <s v="na"/>
    <s v="na"/>
    <s v="na"/>
    <s v="na"/>
    <s v="na"/>
  </r>
  <r>
    <n v="4910"/>
    <x v="85"/>
    <m/>
    <x v="14"/>
    <x v="3"/>
    <x v="0"/>
    <m/>
    <m/>
    <m/>
    <m/>
    <m/>
    <m/>
    <m/>
    <m/>
    <m/>
    <m/>
    <m/>
    <m/>
    <s v="x"/>
    <s v="x"/>
    <s v="na"/>
    <s v="NRD"/>
    <s v="na"/>
    <s v="na"/>
    <s v="na"/>
    <s v="na"/>
    <s v="na"/>
    <s v="na"/>
    <s v="na"/>
    <s v="na"/>
  </r>
  <r>
    <n v="4911"/>
    <x v="85"/>
    <m/>
    <x v="14"/>
    <x v="3"/>
    <x v="0"/>
    <m/>
    <m/>
    <m/>
    <m/>
    <m/>
    <m/>
    <m/>
    <m/>
    <m/>
    <m/>
    <m/>
    <m/>
    <s v="x"/>
    <s v="x"/>
    <s v="na"/>
    <s v="NRD"/>
    <s v="na"/>
    <s v="na"/>
    <s v="na"/>
    <s v="na"/>
    <s v="na"/>
    <s v="na"/>
    <s v="na"/>
    <s v="na"/>
  </r>
  <r>
    <n v="4912"/>
    <x v="85"/>
    <m/>
    <x v="14"/>
    <x v="3"/>
    <x v="0"/>
    <m/>
    <m/>
    <m/>
    <m/>
    <m/>
    <m/>
    <m/>
    <m/>
    <m/>
    <m/>
    <m/>
    <m/>
    <s v="x"/>
    <s v="x"/>
    <s v="na"/>
    <s v="NRD"/>
    <s v="na"/>
    <s v="na"/>
    <s v="na"/>
    <s v="na"/>
    <s v="na"/>
    <s v="na"/>
    <s v="na"/>
    <s v="na"/>
  </r>
  <r>
    <n v="4913"/>
    <x v="85"/>
    <m/>
    <x v="14"/>
    <x v="3"/>
    <x v="0"/>
    <m/>
    <m/>
    <m/>
    <m/>
    <m/>
    <m/>
    <m/>
    <m/>
    <m/>
    <m/>
    <m/>
    <m/>
    <s v="x"/>
    <s v="x"/>
    <s v="na"/>
    <s v="NRD"/>
    <s v="na"/>
    <s v="na"/>
    <s v="na"/>
    <s v="na"/>
    <s v="na"/>
    <s v="na"/>
    <s v="na"/>
    <s v="na"/>
  </r>
  <r>
    <n v="4914"/>
    <x v="85"/>
    <m/>
    <x v="14"/>
    <x v="3"/>
    <x v="0"/>
    <m/>
    <m/>
    <m/>
    <m/>
    <m/>
    <m/>
    <m/>
    <m/>
    <m/>
    <m/>
    <m/>
    <m/>
    <s v="x"/>
    <s v="x"/>
    <s v="na"/>
    <s v="NRD"/>
    <s v="na"/>
    <s v="na"/>
    <s v="na"/>
    <s v="na"/>
    <s v="na"/>
    <s v="na"/>
    <s v="na"/>
    <s v="na"/>
  </r>
  <r>
    <n v="4915"/>
    <x v="85"/>
    <m/>
    <x v="14"/>
    <x v="3"/>
    <x v="0"/>
    <m/>
    <m/>
    <m/>
    <m/>
    <m/>
    <m/>
    <m/>
    <m/>
    <m/>
    <m/>
    <m/>
    <m/>
    <s v="x"/>
    <s v="x"/>
    <s v="na"/>
    <s v="NRD"/>
    <s v="na"/>
    <s v="na"/>
    <s v="na"/>
    <s v="na"/>
    <s v="na"/>
    <s v="na"/>
    <s v="na"/>
    <s v="na"/>
  </r>
  <r>
    <n v="4916"/>
    <x v="85"/>
    <m/>
    <x v="14"/>
    <x v="3"/>
    <x v="0"/>
    <m/>
    <m/>
    <m/>
    <m/>
    <m/>
    <m/>
    <m/>
    <m/>
    <m/>
    <m/>
    <m/>
    <m/>
    <s v="x"/>
    <s v="x"/>
    <s v="na"/>
    <s v="NRD"/>
    <s v="na"/>
    <s v="na"/>
    <s v="na"/>
    <s v="na"/>
    <s v="na"/>
    <s v="na"/>
    <s v="na"/>
    <s v="na"/>
  </r>
  <r>
    <n v="4917"/>
    <x v="85"/>
    <m/>
    <x v="14"/>
    <x v="3"/>
    <x v="0"/>
    <m/>
    <m/>
    <m/>
    <m/>
    <m/>
    <m/>
    <m/>
    <m/>
    <m/>
    <m/>
    <m/>
    <m/>
    <s v="x"/>
    <s v="x"/>
    <s v="na"/>
    <s v="NRD"/>
    <s v="na"/>
    <s v="na"/>
    <s v="na"/>
    <s v="na"/>
    <s v="na"/>
    <s v="na"/>
    <s v="na"/>
    <s v="na"/>
  </r>
  <r>
    <n v="4918"/>
    <x v="85"/>
    <m/>
    <x v="14"/>
    <x v="3"/>
    <x v="0"/>
    <m/>
    <m/>
    <m/>
    <m/>
    <m/>
    <m/>
    <m/>
    <m/>
    <m/>
    <m/>
    <m/>
    <m/>
    <s v="x"/>
    <s v="x"/>
    <s v="na"/>
    <s v="NRD"/>
    <s v="na"/>
    <s v="na"/>
    <s v="na"/>
    <s v="na"/>
    <s v="na"/>
    <s v="na"/>
    <s v="na"/>
    <s v="na"/>
  </r>
  <r>
    <n v="4919"/>
    <x v="85"/>
    <m/>
    <x v="14"/>
    <x v="3"/>
    <x v="0"/>
    <m/>
    <m/>
    <m/>
    <m/>
    <m/>
    <m/>
    <m/>
    <m/>
    <m/>
    <m/>
    <m/>
    <m/>
    <s v="x"/>
    <s v="x"/>
    <s v="na"/>
    <s v="NRD"/>
    <s v="na"/>
    <s v="na"/>
    <s v="na"/>
    <s v="na"/>
    <s v="na"/>
    <s v="na"/>
    <s v="na"/>
    <s v="na"/>
  </r>
  <r>
    <n v="4920"/>
    <x v="85"/>
    <m/>
    <x v="14"/>
    <x v="3"/>
    <x v="0"/>
    <m/>
    <m/>
    <m/>
    <m/>
    <m/>
    <m/>
    <m/>
    <m/>
    <m/>
    <m/>
    <m/>
    <m/>
    <s v="x"/>
    <s v="x"/>
    <s v="na"/>
    <s v="NRD"/>
    <s v="na"/>
    <s v="na"/>
    <s v="na"/>
    <s v="na"/>
    <s v="na"/>
    <s v="na"/>
    <s v="na"/>
    <s v="na"/>
  </r>
  <r>
    <n v="4921"/>
    <x v="85"/>
    <m/>
    <x v="14"/>
    <x v="3"/>
    <x v="0"/>
    <m/>
    <m/>
    <m/>
    <m/>
    <m/>
    <m/>
    <m/>
    <m/>
    <m/>
    <m/>
    <m/>
    <m/>
    <s v="x"/>
    <s v="x"/>
    <s v="na"/>
    <s v="NRD"/>
    <s v="na"/>
    <s v="na"/>
    <s v="na"/>
    <s v="na"/>
    <s v="na"/>
    <s v="na"/>
    <s v="na"/>
    <s v="na"/>
  </r>
  <r>
    <n v="4922"/>
    <x v="85"/>
    <m/>
    <x v="14"/>
    <x v="3"/>
    <x v="0"/>
    <m/>
    <m/>
    <m/>
    <m/>
    <m/>
    <m/>
    <m/>
    <m/>
    <m/>
    <m/>
    <m/>
    <m/>
    <s v="x"/>
    <s v="x"/>
    <s v="na"/>
    <s v="NRD"/>
    <s v="na"/>
    <s v="na"/>
    <s v="na"/>
    <s v="na"/>
    <s v="na"/>
    <s v="na"/>
    <s v="na"/>
    <s v="na"/>
  </r>
  <r>
    <n v="4923"/>
    <x v="85"/>
    <m/>
    <x v="14"/>
    <x v="3"/>
    <x v="0"/>
    <m/>
    <m/>
    <m/>
    <m/>
    <m/>
    <m/>
    <m/>
    <m/>
    <m/>
    <m/>
    <m/>
    <m/>
    <s v="x"/>
    <s v="x"/>
    <s v="na"/>
    <s v="NRD"/>
    <s v="na"/>
    <s v="na"/>
    <s v="na"/>
    <s v="na"/>
    <s v="na"/>
    <s v="na"/>
    <s v="na"/>
    <s v="na"/>
  </r>
  <r>
    <n v="4924"/>
    <x v="85"/>
    <m/>
    <x v="14"/>
    <x v="3"/>
    <x v="0"/>
    <m/>
    <m/>
    <m/>
    <m/>
    <m/>
    <m/>
    <m/>
    <m/>
    <m/>
    <m/>
    <m/>
    <m/>
    <s v="x"/>
    <s v="x"/>
    <s v="na"/>
    <s v="NRD"/>
    <s v="na"/>
    <s v="na"/>
    <s v="na"/>
    <s v="na"/>
    <s v="na"/>
    <s v="na"/>
    <s v="na"/>
    <s v="na"/>
  </r>
  <r>
    <n v="4925"/>
    <x v="85"/>
    <m/>
    <x v="14"/>
    <x v="3"/>
    <x v="0"/>
    <m/>
    <m/>
    <m/>
    <m/>
    <m/>
    <m/>
    <m/>
    <m/>
    <m/>
    <m/>
    <m/>
    <m/>
    <s v="x"/>
    <s v="x"/>
    <s v="na"/>
    <s v="NRD"/>
    <s v="na"/>
    <s v="na"/>
    <s v="na"/>
    <s v="na"/>
    <s v="na"/>
    <s v="na"/>
    <s v="na"/>
    <s v="na"/>
  </r>
  <r>
    <n v="4926"/>
    <x v="85"/>
    <m/>
    <x v="14"/>
    <x v="3"/>
    <x v="0"/>
    <m/>
    <m/>
    <m/>
    <m/>
    <m/>
    <m/>
    <m/>
    <m/>
    <m/>
    <m/>
    <m/>
    <m/>
    <s v="x"/>
    <s v="x"/>
    <s v="na"/>
    <s v="NRD"/>
    <s v="na"/>
    <s v="na"/>
    <s v="na"/>
    <s v="na"/>
    <s v="na"/>
    <s v="na"/>
    <s v="na"/>
    <s v="na"/>
  </r>
  <r>
    <n v="4927"/>
    <x v="85"/>
    <m/>
    <x v="14"/>
    <x v="3"/>
    <x v="0"/>
    <m/>
    <m/>
    <m/>
    <m/>
    <m/>
    <m/>
    <m/>
    <m/>
    <m/>
    <m/>
    <m/>
    <m/>
    <s v="x"/>
    <s v="x"/>
    <s v="na"/>
    <s v="NRD"/>
    <s v="na"/>
    <s v="na"/>
    <s v="na"/>
    <s v="na"/>
    <s v="na"/>
    <s v="na"/>
    <s v="na"/>
    <s v="na"/>
  </r>
  <r>
    <n v="4928"/>
    <x v="85"/>
    <m/>
    <x v="14"/>
    <x v="3"/>
    <x v="0"/>
    <m/>
    <m/>
    <m/>
    <m/>
    <m/>
    <m/>
    <m/>
    <m/>
    <m/>
    <m/>
    <m/>
    <m/>
    <s v="x"/>
    <s v="x"/>
    <s v="na"/>
    <s v="NRD"/>
    <s v="na"/>
    <s v="na"/>
    <s v="na"/>
    <s v="na"/>
    <s v="na"/>
    <s v="na"/>
    <s v="na"/>
    <s v="na"/>
  </r>
  <r>
    <n v="4929"/>
    <x v="85"/>
    <m/>
    <x v="14"/>
    <x v="3"/>
    <x v="0"/>
    <m/>
    <m/>
    <m/>
    <m/>
    <m/>
    <m/>
    <m/>
    <m/>
    <m/>
    <m/>
    <m/>
    <m/>
    <s v="x"/>
    <s v="x"/>
    <s v="na"/>
    <s v="NRD"/>
    <s v="na"/>
    <s v="na"/>
    <s v="na"/>
    <s v="na"/>
    <s v="na"/>
    <s v="na"/>
    <s v="na"/>
    <s v="na"/>
  </r>
  <r>
    <n v="4930"/>
    <x v="85"/>
    <m/>
    <x v="14"/>
    <x v="3"/>
    <x v="0"/>
    <m/>
    <m/>
    <m/>
    <m/>
    <m/>
    <m/>
    <m/>
    <m/>
    <m/>
    <m/>
    <m/>
    <m/>
    <s v="x"/>
    <s v="x"/>
    <s v="na"/>
    <s v="NRD"/>
    <s v="na"/>
    <s v="na"/>
    <s v="na"/>
    <s v="na"/>
    <s v="na"/>
    <s v="na"/>
    <s v="na"/>
    <s v="na"/>
  </r>
  <r>
    <n v="4931"/>
    <x v="85"/>
    <m/>
    <x v="14"/>
    <x v="3"/>
    <x v="0"/>
    <m/>
    <m/>
    <m/>
    <m/>
    <m/>
    <m/>
    <m/>
    <m/>
    <m/>
    <m/>
    <m/>
    <m/>
    <s v="x"/>
    <s v="x"/>
    <s v="na"/>
    <s v="NRD"/>
    <s v="na"/>
    <s v="na"/>
    <s v="na"/>
    <s v="na"/>
    <s v="na"/>
    <s v="na"/>
    <s v="na"/>
    <s v="na"/>
  </r>
  <r>
    <n v="4932"/>
    <x v="85"/>
    <m/>
    <x v="14"/>
    <x v="3"/>
    <x v="0"/>
    <m/>
    <m/>
    <m/>
    <m/>
    <m/>
    <m/>
    <m/>
    <m/>
    <m/>
    <m/>
    <m/>
    <m/>
    <s v="x"/>
    <s v="x"/>
    <s v="na"/>
    <s v="NRD"/>
    <s v="na"/>
    <s v="na"/>
    <s v="na"/>
    <s v="na"/>
    <s v="na"/>
    <s v="na"/>
    <s v="na"/>
    <s v="na"/>
  </r>
  <r>
    <n v="4933"/>
    <x v="85"/>
    <m/>
    <x v="14"/>
    <x v="3"/>
    <x v="0"/>
    <m/>
    <m/>
    <m/>
    <m/>
    <m/>
    <m/>
    <m/>
    <m/>
    <m/>
    <m/>
    <m/>
    <m/>
    <s v="x"/>
    <s v="x"/>
    <s v="na"/>
    <s v="NRD"/>
    <s v="na"/>
    <s v="na"/>
    <s v="na"/>
    <s v="na"/>
    <s v="na"/>
    <s v="na"/>
    <s v="na"/>
    <s v="na"/>
  </r>
  <r>
    <n v="4934"/>
    <x v="85"/>
    <m/>
    <x v="14"/>
    <x v="3"/>
    <x v="0"/>
    <m/>
    <m/>
    <m/>
    <m/>
    <m/>
    <m/>
    <m/>
    <m/>
    <m/>
    <m/>
    <m/>
    <m/>
    <s v="x"/>
    <s v="x"/>
    <s v="na"/>
    <s v="NRD"/>
    <s v="na"/>
    <s v="na"/>
    <s v="na"/>
    <s v="na"/>
    <s v="na"/>
    <s v="na"/>
    <s v="na"/>
    <s v="na"/>
  </r>
  <r>
    <n v="4935"/>
    <x v="85"/>
    <m/>
    <x v="14"/>
    <x v="3"/>
    <x v="0"/>
    <m/>
    <m/>
    <m/>
    <m/>
    <m/>
    <m/>
    <m/>
    <m/>
    <m/>
    <m/>
    <m/>
    <m/>
    <s v="x"/>
    <s v="x"/>
    <s v="na"/>
    <s v="NRD"/>
    <s v="na"/>
    <s v="na"/>
    <s v="na"/>
    <s v="na"/>
    <s v="na"/>
    <s v="na"/>
    <s v="na"/>
    <s v="na"/>
  </r>
  <r>
    <n v="4936"/>
    <x v="85"/>
    <m/>
    <x v="14"/>
    <x v="3"/>
    <x v="0"/>
    <m/>
    <m/>
    <m/>
    <m/>
    <m/>
    <m/>
    <m/>
    <m/>
    <m/>
    <m/>
    <m/>
    <m/>
    <s v="x"/>
    <s v="x"/>
    <s v="na"/>
    <s v="NRD"/>
    <s v="na"/>
    <s v="na"/>
    <s v="na"/>
    <s v="na"/>
    <s v="na"/>
    <s v="na"/>
    <s v="na"/>
    <s v="na"/>
  </r>
  <r>
    <n v="4937"/>
    <x v="85"/>
    <m/>
    <x v="14"/>
    <x v="3"/>
    <x v="0"/>
    <m/>
    <m/>
    <m/>
    <m/>
    <m/>
    <m/>
    <m/>
    <m/>
    <m/>
    <m/>
    <m/>
    <m/>
    <s v="x"/>
    <s v="x"/>
    <s v="na"/>
    <s v="NRD"/>
    <s v="na"/>
    <s v="na"/>
    <s v="na"/>
    <s v="na"/>
    <s v="na"/>
    <s v="na"/>
    <s v="na"/>
    <s v="na"/>
  </r>
  <r>
    <n v="4938"/>
    <x v="85"/>
    <m/>
    <x v="14"/>
    <x v="3"/>
    <x v="0"/>
    <m/>
    <m/>
    <m/>
    <m/>
    <m/>
    <m/>
    <m/>
    <m/>
    <m/>
    <m/>
    <m/>
    <m/>
    <s v="x"/>
    <s v="x"/>
    <s v="na"/>
    <s v="NRD"/>
    <s v="na"/>
    <s v="na"/>
    <s v="na"/>
    <s v="na"/>
    <s v="na"/>
    <s v="na"/>
    <s v="na"/>
    <s v="na"/>
  </r>
  <r>
    <n v="4939"/>
    <x v="85"/>
    <m/>
    <x v="14"/>
    <x v="3"/>
    <x v="0"/>
    <m/>
    <m/>
    <m/>
    <m/>
    <m/>
    <m/>
    <m/>
    <m/>
    <m/>
    <m/>
    <m/>
    <m/>
    <s v="x"/>
    <s v="x"/>
    <s v="na"/>
    <s v="NRD"/>
    <s v="na"/>
    <s v="na"/>
    <s v="na"/>
    <s v="na"/>
    <s v="na"/>
    <s v="na"/>
    <s v="na"/>
    <s v="na"/>
  </r>
  <r>
    <n v="4940"/>
    <x v="85"/>
    <m/>
    <x v="14"/>
    <x v="3"/>
    <x v="0"/>
    <m/>
    <m/>
    <m/>
    <m/>
    <m/>
    <m/>
    <m/>
    <m/>
    <m/>
    <m/>
    <m/>
    <m/>
    <s v="x"/>
    <s v="x"/>
    <s v="na"/>
    <s v="NRD"/>
    <s v="na"/>
    <s v="na"/>
    <s v="na"/>
    <s v="na"/>
    <s v="na"/>
    <s v="na"/>
    <s v="na"/>
    <s v="na"/>
  </r>
  <r>
    <n v="4941"/>
    <x v="85"/>
    <m/>
    <x v="14"/>
    <x v="3"/>
    <x v="0"/>
    <m/>
    <m/>
    <m/>
    <m/>
    <m/>
    <m/>
    <m/>
    <m/>
    <m/>
    <m/>
    <m/>
    <m/>
    <s v="x"/>
    <s v="x"/>
    <s v="na"/>
    <s v="NRD"/>
    <s v="na"/>
    <s v="na"/>
    <s v="na"/>
    <s v="na"/>
    <s v="na"/>
    <s v="na"/>
    <s v="na"/>
    <s v="na"/>
  </r>
  <r>
    <n v="4942"/>
    <x v="85"/>
    <m/>
    <x v="14"/>
    <x v="3"/>
    <x v="0"/>
    <m/>
    <m/>
    <m/>
    <m/>
    <m/>
    <m/>
    <m/>
    <m/>
    <m/>
    <m/>
    <m/>
    <m/>
    <s v="x"/>
    <s v="x"/>
    <s v="na"/>
    <s v="NRD"/>
    <s v="na"/>
    <s v="na"/>
    <s v="na"/>
    <s v="na"/>
    <s v="na"/>
    <s v="na"/>
    <s v="na"/>
    <s v="na"/>
  </r>
  <r>
    <n v="4943"/>
    <x v="85"/>
    <m/>
    <x v="14"/>
    <x v="3"/>
    <x v="0"/>
    <m/>
    <m/>
    <m/>
    <m/>
    <m/>
    <m/>
    <m/>
    <m/>
    <m/>
    <m/>
    <m/>
    <m/>
    <s v="x"/>
    <s v="x"/>
    <s v="na"/>
    <s v="NRD"/>
    <s v="na"/>
    <s v="na"/>
    <s v="na"/>
    <s v="na"/>
    <s v="na"/>
    <s v="na"/>
    <s v="na"/>
    <s v="na"/>
  </r>
  <r>
    <n v="4944"/>
    <x v="85"/>
    <m/>
    <x v="14"/>
    <x v="3"/>
    <x v="0"/>
    <m/>
    <m/>
    <m/>
    <m/>
    <m/>
    <m/>
    <m/>
    <m/>
    <m/>
    <m/>
    <m/>
    <m/>
    <s v="x"/>
    <s v="x"/>
    <s v="na"/>
    <s v="NRD"/>
    <s v="na"/>
    <s v="na"/>
    <s v="na"/>
    <s v="na"/>
    <s v="na"/>
    <s v="na"/>
    <s v="na"/>
    <s v="na"/>
  </r>
  <r>
    <n v="4945"/>
    <x v="85"/>
    <m/>
    <x v="14"/>
    <x v="3"/>
    <x v="0"/>
    <m/>
    <m/>
    <m/>
    <m/>
    <m/>
    <m/>
    <m/>
    <m/>
    <m/>
    <m/>
    <m/>
    <m/>
    <s v="x"/>
    <s v="x"/>
    <s v="na"/>
    <s v="NRD"/>
    <s v="na"/>
    <s v="na"/>
    <s v="na"/>
    <s v="na"/>
    <s v="na"/>
    <s v="na"/>
    <s v="na"/>
    <s v="na"/>
  </r>
  <r>
    <n v="4946"/>
    <x v="85"/>
    <m/>
    <x v="14"/>
    <x v="3"/>
    <x v="0"/>
    <m/>
    <m/>
    <m/>
    <m/>
    <m/>
    <m/>
    <m/>
    <m/>
    <m/>
    <m/>
    <m/>
    <m/>
    <s v="x"/>
    <s v="x"/>
    <s v="na"/>
    <s v="NRD"/>
    <s v="na"/>
    <s v="na"/>
    <s v="na"/>
    <s v="na"/>
    <s v="na"/>
    <s v="na"/>
    <s v="na"/>
    <s v="na"/>
  </r>
  <r>
    <n v="4947"/>
    <x v="85"/>
    <m/>
    <x v="14"/>
    <x v="3"/>
    <x v="0"/>
    <m/>
    <m/>
    <m/>
    <m/>
    <m/>
    <m/>
    <m/>
    <m/>
    <m/>
    <m/>
    <m/>
    <m/>
    <s v="x"/>
    <s v="x"/>
    <s v="na"/>
    <s v="NRD"/>
    <s v="na"/>
    <s v="na"/>
    <s v="na"/>
    <s v="na"/>
    <s v="na"/>
    <s v="na"/>
    <s v="na"/>
    <s v="na"/>
  </r>
  <r>
    <n v="4948"/>
    <x v="85"/>
    <m/>
    <x v="14"/>
    <x v="3"/>
    <x v="0"/>
    <m/>
    <m/>
    <m/>
    <m/>
    <m/>
    <m/>
    <m/>
    <m/>
    <m/>
    <m/>
    <m/>
    <m/>
    <s v="x"/>
    <s v="x"/>
    <s v="na"/>
    <s v="NRD"/>
    <s v="na"/>
    <s v="na"/>
    <s v="na"/>
    <s v="na"/>
    <s v="na"/>
    <s v="na"/>
    <s v="na"/>
    <s v="na"/>
  </r>
  <r>
    <n v="4949"/>
    <x v="85"/>
    <m/>
    <x v="14"/>
    <x v="3"/>
    <x v="0"/>
    <m/>
    <m/>
    <m/>
    <m/>
    <m/>
    <m/>
    <m/>
    <m/>
    <m/>
    <m/>
    <m/>
    <m/>
    <s v="x"/>
    <s v="x"/>
    <s v="na"/>
    <s v="NRD"/>
    <s v="na"/>
    <s v="na"/>
    <s v="na"/>
    <s v="na"/>
    <s v="na"/>
    <s v="na"/>
    <s v="na"/>
    <s v="na"/>
  </r>
  <r>
    <n v="4950"/>
    <x v="85"/>
    <m/>
    <x v="14"/>
    <x v="3"/>
    <x v="0"/>
    <m/>
    <m/>
    <m/>
    <m/>
    <m/>
    <m/>
    <m/>
    <m/>
    <m/>
    <m/>
    <m/>
    <m/>
    <s v="x"/>
    <s v="x"/>
    <s v="na"/>
    <s v="NRD"/>
    <s v="na"/>
    <s v="na"/>
    <s v="na"/>
    <s v="na"/>
    <s v="na"/>
    <s v="na"/>
    <s v="na"/>
    <s v="na"/>
  </r>
  <r>
    <n v="4951"/>
    <x v="85"/>
    <m/>
    <x v="14"/>
    <x v="3"/>
    <x v="0"/>
    <m/>
    <m/>
    <m/>
    <m/>
    <m/>
    <m/>
    <m/>
    <m/>
    <m/>
    <m/>
    <m/>
    <m/>
    <s v="x"/>
    <s v="x"/>
    <s v="na"/>
    <s v="NRD"/>
    <s v="na"/>
    <s v="na"/>
    <s v="na"/>
    <s v="na"/>
    <s v="na"/>
    <s v="na"/>
    <s v="na"/>
    <s v="na"/>
  </r>
  <r>
    <n v="4952"/>
    <x v="85"/>
    <m/>
    <x v="14"/>
    <x v="3"/>
    <x v="0"/>
    <m/>
    <m/>
    <m/>
    <m/>
    <m/>
    <m/>
    <m/>
    <m/>
    <m/>
    <m/>
    <m/>
    <m/>
    <s v="x"/>
    <s v="x"/>
    <s v="na"/>
    <s v="NRD"/>
    <s v="na"/>
    <s v="na"/>
    <s v="na"/>
    <s v="na"/>
    <s v="na"/>
    <s v="na"/>
    <s v="na"/>
    <s v="na"/>
  </r>
  <r>
    <n v="4953"/>
    <x v="85"/>
    <m/>
    <x v="14"/>
    <x v="3"/>
    <x v="0"/>
    <m/>
    <m/>
    <m/>
    <m/>
    <m/>
    <m/>
    <m/>
    <m/>
    <m/>
    <m/>
    <m/>
    <m/>
    <s v="x"/>
    <s v="x"/>
    <s v="na"/>
    <s v="NRD"/>
    <s v="na"/>
    <s v="na"/>
    <s v="na"/>
    <s v="na"/>
    <s v="na"/>
    <s v="na"/>
    <s v="na"/>
    <s v="na"/>
  </r>
  <r>
    <n v="4954"/>
    <x v="85"/>
    <m/>
    <x v="14"/>
    <x v="3"/>
    <x v="0"/>
    <m/>
    <m/>
    <m/>
    <m/>
    <m/>
    <m/>
    <m/>
    <m/>
    <m/>
    <m/>
    <m/>
    <m/>
    <s v="x"/>
    <s v="x"/>
    <s v="na"/>
    <s v="NRD"/>
    <s v="na"/>
    <s v="na"/>
    <s v="na"/>
    <s v="na"/>
    <s v="na"/>
    <s v="na"/>
    <s v="na"/>
    <s v="na"/>
  </r>
  <r>
    <n v="4955"/>
    <x v="85"/>
    <m/>
    <x v="14"/>
    <x v="3"/>
    <x v="0"/>
    <m/>
    <m/>
    <m/>
    <m/>
    <m/>
    <m/>
    <m/>
    <m/>
    <m/>
    <m/>
    <m/>
    <m/>
    <s v="x"/>
    <s v="x"/>
    <s v="na"/>
    <s v="NRD"/>
    <s v="na"/>
    <s v="na"/>
    <s v="na"/>
    <s v="na"/>
    <s v="na"/>
    <s v="na"/>
    <s v="na"/>
    <s v="na"/>
  </r>
  <r>
    <n v="4956"/>
    <x v="85"/>
    <m/>
    <x v="14"/>
    <x v="3"/>
    <x v="0"/>
    <m/>
    <m/>
    <m/>
    <m/>
    <m/>
    <m/>
    <m/>
    <m/>
    <m/>
    <m/>
    <m/>
    <m/>
    <s v="x"/>
    <s v="x"/>
    <s v="na"/>
    <s v="NRD"/>
    <s v="na"/>
    <s v="na"/>
    <s v="na"/>
    <s v="na"/>
    <s v="na"/>
    <s v="na"/>
    <s v="na"/>
    <s v="na"/>
  </r>
  <r>
    <n v="4957"/>
    <x v="85"/>
    <m/>
    <x v="14"/>
    <x v="3"/>
    <x v="0"/>
    <m/>
    <m/>
    <m/>
    <m/>
    <m/>
    <m/>
    <m/>
    <m/>
    <m/>
    <m/>
    <m/>
    <m/>
    <s v="x"/>
    <s v="x"/>
    <s v="na"/>
    <s v="NRD"/>
    <s v="na"/>
    <s v="na"/>
    <s v="na"/>
    <s v="na"/>
    <s v="na"/>
    <s v="na"/>
    <s v="na"/>
    <s v="na"/>
  </r>
  <r>
    <n v="4958"/>
    <x v="85"/>
    <m/>
    <x v="14"/>
    <x v="3"/>
    <x v="0"/>
    <m/>
    <m/>
    <m/>
    <m/>
    <m/>
    <m/>
    <m/>
    <m/>
    <m/>
    <m/>
    <m/>
    <m/>
    <s v="x"/>
    <s v="x"/>
    <s v="na"/>
    <s v="NRD"/>
    <s v="na"/>
    <s v="na"/>
    <s v="na"/>
    <s v="na"/>
    <s v="na"/>
    <s v="na"/>
    <s v="na"/>
    <s v="na"/>
  </r>
  <r>
    <n v="4959"/>
    <x v="85"/>
    <m/>
    <x v="14"/>
    <x v="3"/>
    <x v="0"/>
    <m/>
    <m/>
    <m/>
    <m/>
    <m/>
    <m/>
    <m/>
    <m/>
    <m/>
    <m/>
    <m/>
    <m/>
    <s v="x"/>
    <s v="x"/>
    <s v="na"/>
    <s v="NRD"/>
    <s v="na"/>
    <s v="na"/>
    <s v="na"/>
    <s v="na"/>
    <s v="na"/>
    <s v="na"/>
    <s v="na"/>
    <s v="na"/>
  </r>
  <r>
    <n v="4960"/>
    <x v="85"/>
    <m/>
    <x v="14"/>
    <x v="3"/>
    <x v="0"/>
    <m/>
    <m/>
    <m/>
    <m/>
    <m/>
    <m/>
    <m/>
    <m/>
    <m/>
    <m/>
    <m/>
    <m/>
    <s v="x"/>
    <s v="x"/>
    <s v="na"/>
    <s v="NRD"/>
    <s v="na"/>
    <s v="na"/>
    <s v="na"/>
    <s v="na"/>
    <s v="na"/>
    <s v="na"/>
    <s v="na"/>
    <s v="na"/>
  </r>
  <r>
    <n v="4961"/>
    <x v="85"/>
    <m/>
    <x v="14"/>
    <x v="3"/>
    <x v="0"/>
    <m/>
    <m/>
    <m/>
    <m/>
    <m/>
    <m/>
    <m/>
    <m/>
    <m/>
    <m/>
    <m/>
    <m/>
    <s v="x"/>
    <s v="x"/>
    <s v="na"/>
    <s v="NRD"/>
    <s v="na"/>
    <s v="na"/>
    <s v="na"/>
    <s v="na"/>
    <s v="na"/>
    <s v="na"/>
    <s v="na"/>
    <s v="na"/>
  </r>
  <r>
    <n v="4962"/>
    <x v="85"/>
    <m/>
    <x v="14"/>
    <x v="3"/>
    <x v="0"/>
    <m/>
    <m/>
    <m/>
    <m/>
    <m/>
    <m/>
    <m/>
    <m/>
    <m/>
    <m/>
    <m/>
    <m/>
    <s v="x"/>
    <s v="x"/>
    <s v="na"/>
    <s v="NRD"/>
    <s v="na"/>
    <s v="na"/>
    <s v="na"/>
    <s v="na"/>
    <s v="na"/>
    <s v="na"/>
    <s v="na"/>
    <s v="na"/>
  </r>
  <r>
    <n v="4963"/>
    <x v="85"/>
    <m/>
    <x v="14"/>
    <x v="3"/>
    <x v="0"/>
    <m/>
    <m/>
    <m/>
    <m/>
    <m/>
    <m/>
    <m/>
    <m/>
    <m/>
    <m/>
    <m/>
    <m/>
    <s v="x"/>
    <s v="x"/>
    <s v="na"/>
    <s v="NRD"/>
    <s v="na"/>
    <s v="na"/>
    <s v="na"/>
    <s v="na"/>
    <s v="na"/>
    <s v="na"/>
    <s v="na"/>
    <s v="na"/>
  </r>
  <r>
    <n v="4964"/>
    <x v="85"/>
    <m/>
    <x v="14"/>
    <x v="3"/>
    <x v="0"/>
    <m/>
    <m/>
    <m/>
    <m/>
    <m/>
    <m/>
    <m/>
    <m/>
    <m/>
    <m/>
    <m/>
    <m/>
    <s v="x"/>
    <s v="x"/>
    <s v="na"/>
    <s v="NRD"/>
    <s v="na"/>
    <s v="na"/>
    <s v="na"/>
    <s v="na"/>
    <s v="na"/>
    <s v="na"/>
    <s v="na"/>
    <s v="na"/>
  </r>
  <r>
    <n v="4965"/>
    <x v="85"/>
    <m/>
    <x v="14"/>
    <x v="3"/>
    <x v="0"/>
    <m/>
    <m/>
    <m/>
    <m/>
    <m/>
    <m/>
    <m/>
    <m/>
    <m/>
    <m/>
    <m/>
    <m/>
    <s v="x"/>
    <s v="x"/>
    <s v="na"/>
    <s v="NRD"/>
    <s v="na"/>
    <s v="na"/>
    <s v="na"/>
    <s v="na"/>
    <s v="na"/>
    <s v="na"/>
    <s v="na"/>
    <s v="na"/>
  </r>
  <r>
    <n v="4966"/>
    <x v="85"/>
    <m/>
    <x v="14"/>
    <x v="3"/>
    <x v="0"/>
    <m/>
    <m/>
    <m/>
    <m/>
    <m/>
    <m/>
    <m/>
    <m/>
    <m/>
    <m/>
    <m/>
    <m/>
    <s v="x"/>
    <s v="x"/>
    <s v="na"/>
    <s v="NRD"/>
    <s v="na"/>
    <s v="na"/>
    <s v="na"/>
    <s v="na"/>
    <s v="na"/>
    <s v="na"/>
    <s v="na"/>
    <s v="na"/>
  </r>
  <r>
    <n v="4967"/>
    <x v="85"/>
    <m/>
    <x v="14"/>
    <x v="3"/>
    <x v="0"/>
    <m/>
    <m/>
    <m/>
    <m/>
    <m/>
    <m/>
    <m/>
    <m/>
    <m/>
    <m/>
    <m/>
    <m/>
    <s v="x"/>
    <s v="x"/>
    <s v="na"/>
    <s v="NRD"/>
    <s v="na"/>
    <s v="na"/>
    <s v="na"/>
    <s v="na"/>
    <s v="na"/>
    <s v="na"/>
    <s v="na"/>
    <s v="na"/>
  </r>
  <r>
    <n v="4968"/>
    <x v="85"/>
    <m/>
    <x v="14"/>
    <x v="3"/>
    <x v="0"/>
    <m/>
    <m/>
    <m/>
    <m/>
    <m/>
    <m/>
    <m/>
    <m/>
    <m/>
    <m/>
    <m/>
    <m/>
    <s v="x"/>
    <s v="x"/>
    <s v="na"/>
    <s v="NRD"/>
    <s v="na"/>
    <s v="na"/>
    <s v="na"/>
    <s v="na"/>
    <s v="na"/>
    <s v="na"/>
    <s v="na"/>
    <s v="na"/>
  </r>
  <r>
    <n v="4969"/>
    <x v="85"/>
    <m/>
    <x v="14"/>
    <x v="3"/>
    <x v="0"/>
    <m/>
    <m/>
    <m/>
    <m/>
    <m/>
    <m/>
    <m/>
    <m/>
    <m/>
    <m/>
    <m/>
    <m/>
    <s v="x"/>
    <s v="x"/>
    <s v="na"/>
    <s v="NRD"/>
    <s v="na"/>
    <s v="na"/>
    <s v="na"/>
    <s v="na"/>
    <s v="na"/>
    <s v="na"/>
    <s v="na"/>
    <s v="na"/>
  </r>
  <r>
    <n v="4970"/>
    <x v="85"/>
    <m/>
    <x v="14"/>
    <x v="3"/>
    <x v="0"/>
    <m/>
    <m/>
    <m/>
    <m/>
    <m/>
    <m/>
    <m/>
    <m/>
    <m/>
    <m/>
    <m/>
    <m/>
    <s v="x"/>
    <s v="x"/>
    <s v="na"/>
    <s v="NRD"/>
    <s v="na"/>
    <s v="na"/>
    <s v="na"/>
    <s v="na"/>
    <s v="na"/>
    <s v="na"/>
    <s v="na"/>
    <s v="na"/>
  </r>
  <r>
    <n v="4971"/>
    <x v="85"/>
    <m/>
    <x v="14"/>
    <x v="3"/>
    <x v="0"/>
    <m/>
    <m/>
    <m/>
    <m/>
    <m/>
    <m/>
    <m/>
    <m/>
    <m/>
    <m/>
    <m/>
    <m/>
    <s v="x"/>
    <s v="x"/>
    <s v="na"/>
    <s v="NRD"/>
    <s v="na"/>
    <s v="na"/>
    <s v="na"/>
    <s v="na"/>
    <s v="na"/>
    <s v="na"/>
    <s v="na"/>
    <s v="na"/>
  </r>
  <r>
    <n v="4972"/>
    <x v="85"/>
    <m/>
    <x v="14"/>
    <x v="3"/>
    <x v="0"/>
    <m/>
    <m/>
    <m/>
    <m/>
    <m/>
    <m/>
    <m/>
    <m/>
    <m/>
    <m/>
    <m/>
    <m/>
    <s v="x"/>
    <s v="x"/>
    <s v="na"/>
    <s v="NRD"/>
    <s v="na"/>
    <s v="na"/>
    <s v="na"/>
    <s v="na"/>
    <s v="na"/>
    <s v="na"/>
    <s v="na"/>
    <s v="na"/>
  </r>
  <r>
    <n v="4973"/>
    <x v="85"/>
    <m/>
    <x v="14"/>
    <x v="3"/>
    <x v="0"/>
    <m/>
    <m/>
    <m/>
    <m/>
    <m/>
    <m/>
    <m/>
    <m/>
    <m/>
    <m/>
    <m/>
    <m/>
    <s v="x"/>
    <s v="x"/>
    <s v="na"/>
    <s v="NRD"/>
    <s v="na"/>
    <s v="na"/>
    <s v="na"/>
    <s v="na"/>
    <s v="na"/>
    <s v="na"/>
    <s v="na"/>
    <s v="na"/>
  </r>
  <r>
    <n v="4974"/>
    <x v="85"/>
    <m/>
    <x v="14"/>
    <x v="3"/>
    <x v="0"/>
    <m/>
    <m/>
    <m/>
    <m/>
    <m/>
    <m/>
    <m/>
    <m/>
    <m/>
    <m/>
    <m/>
    <m/>
    <s v="x"/>
    <s v="x"/>
    <s v="na"/>
    <s v="NRD"/>
    <s v="na"/>
    <s v="na"/>
    <s v="na"/>
    <s v="na"/>
    <s v="na"/>
    <s v="na"/>
    <s v="na"/>
    <s v="na"/>
  </r>
  <r>
    <n v="4975"/>
    <x v="85"/>
    <m/>
    <x v="14"/>
    <x v="3"/>
    <x v="0"/>
    <m/>
    <m/>
    <m/>
    <m/>
    <m/>
    <m/>
    <m/>
    <m/>
    <m/>
    <m/>
    <m/>
    <m/>
    <s v="x"/>
    <s v="x"/>
    <s v="na"/>
    <s v="NRD"/>
    <s v="na"/>
    <s v="na"/>
    <s v="na"/>
    <s v="na"/>
    <s v="na"/>
    <s v="na"/>
    <s v="na"/>
    <s v="na"/>
  </r>
  <r>
    <n v="4976"/>
    <x v="85"/>
    <m/>
    <x v="14"/>
    <x v="3"/>
    <x v="0"/>
    <m/>
    <m/>
    <m/>
    <m/>
    <m/>
    <m/>
    <m/>
    <m/>
    <m/>
    <m/>
    <m/>
    <m/>
    <s v="x"/>
    <s v="x"/>
    <s v="na"/>
    <s v="NRD"/>
    <s v="na"/>
    <s v="na"/>
    <s v="na"/>
    <s v="na"/>
    <s v="na"/>
    <s v="na"/>
    <s v="na"/>
    <s v="na"/>
  </r>
  <r>
    <n v="4977"/>
    <x v="85"/>
    <m/>
    <x v="14"/>
    <x v="3"/>
    <x v="0"/>
    <m/>
    <m/>
    <m/>
    <m/>
    <m/>
    <m/>
    <m/>
    <m/>
    <m/>
    <m/>
    <m/>
    <m/>
    <s v="x"/>
    <s v="x"/>
    <s v="na"/>
    <s v="NRD"/>
    <s v="na"/>
    <s v="na"/>
    <s v="na"/>
    <s v="na"/>
    <s v="na"/>
    <s v="na"/>
    <s v="na"/>
    <s v="na"/>
  </r>
  <r>
    <n v="4978"/>
    <x v="85"/>
    <m/>
    <x v="14"/>
    <x v="3"/>
    <x v="0"/>
    <m/>
    <m/>
    <m/>
    <m/>
    <m/>
    <m/>
    <m/>
    <m/>
    <m/>
    <m/>
    <m/>
    <m/>
    <s v="x"/>
    <s v="x"/>
    <s v="na"/>
    <s v="NRD"/>
    <s v="na"/>
    <s v="na"/>
    <s v="na"/>
    <s v="na"/>
    <s v="na"/>
    <s v="na"/>
    <s v="na"/>
    <s v="na"/>
  </r>
  <r>
    <n v="4979"/>
    <x v="85"/>
    <m/>
    <x v="14"/>
    <x v="3"/>
    <x v="0"/>
    <m/>
    <m/>
    <m/>
    <m/>
    <m/>
    <m/>
    <m/>
    <m/>
    <m/>
    <m/>
    <m/>
    <m/>
    <s v="x"/>
    <s v="x"/>
    <s v="na"/>
    <s v="NRD"/>
    <s v="na"/>
    <s v="na"/>
    <s v="na"/>
    <s v="na"/>
    <s v="na"/>
    <s v="na"/>
    <s v="na"/>
    <s v="na"/>
  </r>
  <r>
    <n v="4980"/>
    <x v="85"/>
    <m/>
    <x v="14"/>
    <x v="3"/>
    <x v="0"/>
    <m/>
    <m/>
    <m/>
    <m/>
    <m/>
    <m/>
    <m/>
    <m/>
    <m/>
    <m/>
    <m/>
    <m/>
    <s v="x"/>
    <s v="x"/>
    <s v="na"/>
    <s v="NRD"/>
    <s v="na"/>
    <s v="na"/>
    <s v="na"/>
    <s v="na"/>
    <s v="na"/>
    <s v="na"/>
    <s v="na"/>
    <s v="na"/>
  </r>
  <r>
    <n v="4981"/>
    <x v="85"/>
    <m/>
    <x v="14"/>
    <x v="3"/>
    <x v="0"/>
    <m/>
    <m/>
    <m/>
    <m/>
    <m/>
    <m/>
    <m/>
    <m/>
    <m/>
    <m/>
    <m/>
    <m/>
    <s v="x"/>
    <s v="x"/>
    <s v="na"/>
    <s v="NRD"/>
    <s v="na"/>
    <s v="na"/>
    <s v="na"/>
    <s v="na"/>
    <s v="na"/>
    <s v="na"/>
    <s v="na"/>
    <s v="na"/>
  </r>
  <r>
    <n v="4982"/>
    <x v="85"/>
    <m/>
    <x v="14"/>
    <x v="3"/>
    <x v="0"/>
    <m/>
    <m/>
    <m/>
    <m/>
    <m/>
    <m/>
    <m/>
    <m/>
    <m/>
    <m/>
    <m/>
    <m/>
    <s v="x"/>
    <s v="x"/>
    <s v="na"/>
    <s v="NRD"/>
    <s v="na"/>
    <s v="na"/>
    <s v="na"/>
    <s v="na"/>
    <s v="na"/>
    <s v="na"/>
    <s v="na"/>
    <s v="na"/>
  </r>
  <r>
    <n v="4983"/>
    <x v="85"/>
    <m/>
    <x v="14"/>
    <x v="3"/>
    <x v="0"/>
    <m/>
    <m/>
    <m/>
    <m/>
    <m/>
    <m/>
    <m/>
    <m/>
    <m/>
    <m/>
    <m/>
    <m/>
    <s v="x"/>
    <s v="x"/>
    <s v="na"/>
    <s v="NRD"/>
    <s v="na"/>
    <s v="na"/>
    <s v="na"/>
    <s v="na"/>
    <s v="na"/>
    <s v="na"/>
    <s v="na"/>
    <s v="na"/>
  </r>
  <r>
    <n v="4984"/>
    <x v="85"/>
    <m/>
    <x v="14"/>
    <x v="3"/>
    <x v="0"/>
    <m/>
    <m/>
    <m/>
    <m/>
    <m/>
    <m/>
    <m/>
    <m/>
    <m/>
    <m/>
    <m/>
    <m/>
    <s v="x"/>
    <s v="x"/>
    <s v="na"/>
    <s v="NRD"/>
    <s v="na"/>
    <s v="na"/>
    <s v="na"/>
    <s v="na"/>
    <s v="na"/>
    <s v="na"/>
    <s v="na"/>
    <s v="na"/>
  </r>
  <r>
    <n v="4985"/>
    <x v="85"/>
    <m/>
    <x v="14"/>
    <x v="3"/>
    <x v="0"/>
    <m/>
    <m/>
    <m/>
    <m/>
    <m/>
    <m/>
    <m/>
    <m/>
    <m/>
    <m/>
    <m/>
    <m/>
    <s v="x"/>
    <s v="x"/>
    <s v="na"/>
    <s v="NRD"/>
    <s v="na"/>
    <s v="na"/>
    <s v="na"/>
    <s v="na"/>
    <s v="na"/>
    <s v="na"/>
    <s v="na"/>
    <s v="na"/>
  </r>
  <r>
    <n v="4986"/>
    <x v="85"/>
    <m/>
    <x v="14"/>
    <x v="3"/>
    <x v="0"/>
    <m/>
    <m/>
    <m/>
    <m/>
    <m/>
    <m/>
    <m/>
    <m/>
    <m/>
    <m/>
    <m/>
    <m/>
    <s v="x"/>
    <s v="x"/>
    <s v="na"/>
    <s v="NRD"/>
    <s v="na"/>
    <s v="na"/>
    <s v="na"/>
    <s v="na"/>
    <s v="na"/>
    <s v="na"/>
    <s v="na"/>
    <s v="na"/>
  </r>
  <r>
    <n v="4987"/>
    <x v="85"/>
    <m/>
    <x v="14"/>
    <x v="3"/>
    <x v="0"/>
    <m/>
    <m/>
    <m/>
    <m/>
    <m/>
    <m/>
    <m/>
    <m/>
    <m/>
    <m/>
    <m/>
    <m/>
    <s v="x"/>
    <s v="x"/>
    <s v="na"/>
    <s v="NRD"/>
    <s v="na"/>
    <s v="na"/>
    <s v="na"/>
    <s v="na"/>
    <s v="na"/>
    <s v="na"/>
    <s v="na"/>
    <s v="na"/>
  </r>
  <r>
    <n v="4988"/>
    <x v="85"/>
    <m/>
    <x v="14"/>
    <x v="3"/>
    <x v="0"/>
    <m/>
    <m/>
    <m/>
    <m/>
    <m/>
    <m/>
    <m/>
    <m/>
    <m/>
    <m/>
    <m/>
    <m/>
    <s v="x"/>
    <s v="x"/>
    <s v="na"/>
    <s v="NRD"/>
    <s v="na"/>
    <s v="na"/>
    <s v="na"/>
    <s v="na"/>
    <s v="na"/>
    <s v="na"/>
    <s v="na"/>
    <s v="na"/>
  </r>
  <r>
    <n v="4989"/>
    <x v="85"/>
    <m/>
    <x v="14"/>
    <x v="3"/>
    <x v="0"/>
    <m/>
    <m/>
    <m/>
    <m/>
    <m/>
    <m/>
    <m/>
    <m/>
    <m/>
    <m/>
    <m/>
    <m/>
    <s v="x"/>
    <s v="x"/>
    <s v="na"/>
    <s v="NRD"/>
    <s v="na"/>
    <s v="na"/>
    <s v="na"/>
    <s v="na"/>
    <s v="na"/>
    <s v="na"/>
    <s v="na"/>
    <s v="na"/>
  </r>
  <r>
    <n v="4990"/>
    <x v="85"/>
    <m/>
    <x v="14"/>
    <x v="3"/>
    <x v="0"/>
    <m/>
    <m/>
    <m/>
    <m/>
    <m/>
    <m/>
    <m/>
    <m/>
    <m/>
    <m/>
    <m/>
    <m/>
    <s v="x"/>
    <s v="x"/>
    <s v="na"/>
    <s v="NRD"/>
    <s v="na"/>
    <s v="na"/>
    <s v="na"/>
    <s v="na"/>
    <s v="na"/>
    <s v="na"/>
    <s v="na"/>
    <s v="na"/>
  </r>
  <r>
    <n v="4991"/>
    <x v="85"/>
    <m/>
    <x v="14"/>
    <x v="3"/>
    <x v="0"/>
    <m/>
    <m/>
    <m/>
    <m/>
    <m/>
    <m/>
    <m/>
    <m/>
    <m/>
    <m/>
    <m/>
    <m/>
    <s v="x"/>
    <s v="x"/>
    <s v="na"/>
    <s v="NRD"/>
    <s v="na"/>
    <s v="na"/>
    <s v="na"/>
    <s v="na"/>
    <s v="na"/>
    <s v="na"/>
    <s v="na"/>
    <s v="na"/>
  </r>
  <r>
    <n v="4992"/>
    <x v="85"/>
    <m/>
    <x v="14"/>
    <x v="3"/>
    <x v="0"/>
    <m/>
    <m/>
    <m/>
    <m/>
    <m/>
    <m/>
    <m/>
    <m/>
    <m/>
    <m/>
    <m/>
    <m/>
    <s v="x"/>
    <s v="x"/>
    <s v="na"/>
    <s v="NRD"/>
    <s v="na"/>
    <s v="na"/>
    <s v="na"/>
    <s v="na"/>
    <s v="na"/>
    <s v="na"/>
    <s v="na"/>
    <s v="na"/>
  </r>
  <r>
    <n v="4993"/>
    <x v="85"/>
    <m/>
    <x v="14"/>
    <x v="3"/>
    <x v="0"/>
    <m/>
    <m/>
    <m/>
    <m/>
    <m/>
    <m/>
    <m/>
    <m/>
    <m/>
    <m/>
    <m/>
    <m/>
    <s v="x"/>
    <s v="x"/>
    <s v="na"/>
    <s v="NRD"/>
    <s v="na"/>
    <s v="na"/>
    <s v="na"/>
    <s v="na"/>
    <s v="na"/>
    <s v="na"/>
    <s v="na"/>
    <s v="na"/>
  </r>
  <r>
    <n v="4994"/>
    <x v="85"/>
    <m/>
    <x v="14"/>
    <x v="3"/>
    <x v="0"/>
    <m/>
    <m/>
    <m/>
    <m/>
    <m/>
    <m/>
    <m/>
    <m/>
    <m/>
    <m/>
    <m/>
    <m/>
    <s v="x"/>
    <s v="x"/>
    <s v="na"/>
    <s v="NRD"/>
    <s v="na"/>
    <s v="na"/>
    <s v="na"/>
    <s v="na"/>
    <s v="na"/>
    <s v="na"/>
    <s v="na"/>
    <s v="na"/>
  </r>
  <r>
    <n v="4995"/>
    <x v="85"/>
    <m/>
    <x v="14"/>
    <x v="3"/>
    <x v="0"/>
    <m/>
    <m/>
    <m/>
    <m/>
    <m/>
    <m/>
    <m/>
    <m/>
    <m/>
    <m/>
    <m/>
    <m/>
    <s v="x"/>
    <s v="x"/>
    <s v="na"/>
    <s v="NRD"/>
    <s v="na"/>
    <s v="na"/>
    <s v="na"/>
    <s v="na"/>
    <s v="na"/>
    <s v="na"/>
    <s v="na"/>
    <s v="na"/>
  </r>
  <r>
    <n v="4996"/>
    <x v="85"/>
    <m/>
    <x v="14"/>
    <x v="3"/>
    <x v="0"/>
    <m/>
    <m/>
    <m/>
    <m/>
    <m/>
    <m/>
    <m/>
    <m/>
    <m/>
    <m/>
    <m/>
    <m/>
    <s v="x"/>
    <s v="x"/>
    <s v="na"/>
    <s v="NRD"/>
    <s v="na"/>
    <s v="na"/>
    <s v="na"/>
    <s v="na"/>
    <s v="na"/>
    <s v="na"/>
    <s v="na"/>
    <s v="na"/>
  </r>
  <r>
    <n v="4997"/>
    <x v="85"/>
    <m/>
    <x v="14"/>
    <x v="3"/>
    <x v="0"/>
    <m/>
    <m/>
    <m/>
    <m/>
    <m/>
    <m/>
    <m/>
    <m/>
    <m/>
    <m/>
    <m/>
    <m/>
    <s v="x"/>
    <s v="x"/>
    <s v="na"/>
    <s v="NRD"/>
    <s v="na"/>
    <s v="na"/>
    <s v="na"/>
    <s v="na"/>
    <s v="na"/>
    <s v="na"/>
    <s v="na"/>
    <s v="na"/>
  </r>
  <r>
    <n v="4998"/>
    <x v="85"/>
    <m/>
    <x v="14"/>
    <x v="3"/>
    <x v="0"/>
    <m/>
    <m/>
    <m/>
    <m/>
    <m/>
    <m/>
    <m/>
    <m/>
    <m/>
    <m/>
    <m/>
    <m/>
    <s v="x"/>
    <s v="x"/>
    <s v="na"/>
    <s v="NRD"/>
    <s v="na"/>
    <s v="na"/>
    <s v="na"/>
    <s v="na"/>
    <s v="na"/>
    <s v="na"/>
    <s v="na"/>
    <s v="na"/>
  </r>
  <r>
    <n v="4999"/>
    <x v="85"/>
    <m/>
    <x v="14"/>
    <x v="3"/>
    <x v="0"/>
    <m/>
    <m/>
    <m/>
    <m/>
    <m/>
    <m/>
    <m/>
    <m/>
    <m/>
    <m/>
    <m/>
    <m/>
    <s v="x"/>
    <s v="x"/>
    <s v="na"/>
    <s v="NRD"/>
    <s v="na"/>
    <s v="na"/>
    <s v="na"/>
    <s v="na"/>
    <s v="na"/>
    <s v="na"/>
    <s v="na"/>
    <s v="na"/>
  </r>
  <r>
    <n v="5000"/>
    <x v="85"/>
    <m/>
    <x v="14"/>
    <x v="3"/>
    <x v="0"/>
    <m/>
    <m/>
    <m/>
    <m/>
    <m/>
    <m/>
    <m/>
    <m/>
    <m/>
    <m/>
    <m/>
    <m/>
    <s v="x"/>
    <s v="x"/>
    <s v="na"/>
    <s v="NRD"/>
    <s v="na"/>
    <s v="na"/>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Y4:AD290"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2"/>
  </rowFields>
  <rowItems count="285">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x v="16"/>
      <x/>
    </i>
    <i r="1" i="1">
      <x v="1"/>
    </i>
    <i r="1" i="2">
      <x v="2"/>
    </i>
    <i>
      <x v="17"/>
      <x/>
    </i>
    <i r="1" i="1">
      <x v="1"/>
    </i>
    <i r="1" i="2">
      <x v="2"/>
    </i>
    <i>
      <x v="18"/>
      <x/>
    </i>
    <i r="1" i="1">
      <x v="1"/>
    </i>
    <i r="1" i="2">
      <x v="2"/>
    </i>
    <i>
      <x v="19"/>
      <x/>
    </i>
    <i r="1" i="1">
      <x v="1"/>
    </i>
    <i r="1" i="2">
      <x v="2"/>
    </i>
    <i>
      <x v="20"/>
      <x/>
    </i>
    <i r="1" i="1">
      <x v="1"/>
    </i>
    <i r="1" i="2">
      <x v="2"/>
    </i>
    <i>
      <x v="21"/>
      <x/>
    </i>
    <i r="1" i="1">
      <x v="1"/>
    </i>
    <i r="1" i="2">
      <x v="2"/>
    </i>
    <i>
      <x v="22"/>
      <x/>
    </i>
    <i r="1" i="1">
      <x v="1"/>
    </i>
    <i r="1" i="2">
      <x v="2"/>
    </i>
    <i>
      <x v="23"/>
      <x/>
    </i>
    <i r="1" i="1">
      <x v="1"/>
    </i>
    <i r="1" i="2">
      <x v="2"/>
    </i>
    <i>
      <x v="24"/>
      <x/>
    </i>
    <i r="1" i="1">
      <x v="1"/>
    </i>
    <i r="1" i="2">
      <x v="2"/>
    </i>
    <i>
      <x v="25"/>
      <x/>
    </i>
    <i r="1" i="1">
      <x v="1"/>
    </i>
    <i r="1" i="2">
      <x v="2"/>
    </i>
    <i>
      <x v="26"/>
      <x/>
    </i>
    <i r="1" i="1">
      <x v="1"/>
    </i>
    <i r="1" i="2">
      <x v="2"/>
    </i>
    <i>
      <x v="27"/>
      <x/>
    </i>
    <i r="1" i="1">
      <x v="1"/>
    </i>
    <i r="1" i="2">
      <x v="2"/>
    </i>
    <i>
      <x v="28"/>
      <x/>
    </i>
    <i r="1" i="1">
      <x v="1"/>
    </i>
    <i r="1" i="2">
      <x v="2"/>
    </i>
    <i>
      <x v="29"/>
      <x/>
    </i>
    <i r="1" i="1">
      <x v="1"/>
    </i>
    <i r="1" i="2">
      <x v="2"/>
    </i>
    <i>
      <x v="30"/>
      <x/>
    </i>
    <i r="1" i="1">
      <x v="1"/>
    </i>
    <i r="1" i="2">
      <x v="2"/>
    </i>
    <i>
      <x v="31"/>
      <x/>
    </i>
    <i r="1" i="1">
      <x v="1"/>
    </i>
    <i r="1" i="2">
      <x v="2"/>
    </i>
    <i>
      <x v="32"/>
      <x/>
    </i>
    <i r="1" i="1">
      <x v="1"/>
    </i>
    <i r="1" i="2">
      <x v="2"/>
    </i>
    <i>
      <x v="33"/>
      <x/>
    </i>
    <i r="1" i="1">
      <x v="1"/>
    </i>
    <i r="1" i="2">
      <x v="2"/>
    </i>
    <i>
      <x v="34"/>
      <x/>
    </i>
    <i r="1" i="1">
      <x v="1"/>
    </i>
    <i r="1" i="2">
      <x v="2"/>
    </i>
    <i>
      <x v="35"/>
      <x/>
    </i>
    <i r="1" i="1">
      <x v="1"/>
    </i>
    <i r="1" i="2">
      <x v="2"/>
    </i>
    <i>
      <x v="36"/>
      <x/>
    </i>
    <i r="1" i="1">
      <x v="1"/>
    </i>
    <i r="1" i="2">
      <x v="2"/>
    </i>
    <i>
      <x v="37"/>
      <x/>
    </i>
    <i r="1" i="1">
      <x v="1"/>
    </i>
    <i r="1" i="2">
      <x v="2"/>
    </i>
    <i>
      <x v="38"/>
      <x/>
    </i>
    <i r="1" i="1">
      <x v="1"/>
    </i>
    <i r="1" i="2">
      <x v="2"/>
    </i>
    <i>
      <x v="39"/>
      <x/>
    </i>
    <i r="1" i="1">
      <x v="1"/>
    </i>
    <i r="1" i="2">
      <x v="2"/>
    </i>
    <i>
      <x v="40"/>
      <x/>
    </i>
    <i r="1" i="1">
      <x v="1"/>
    </i>
    <i r="1" i="2">
      <x v="2"/>
    </i>
    <i>
      <x v="41"/>
      <x/>
    </i>
    <i r="1" i="1">
      <x v="1"/>
    </i>
    <i r="1" i="2">
      <x v="2"/>
    </i>
    <i>
      <x v="42"/>
      <x/>
    </i>
    <i r="1" i="1">
      <x v="1"/>
    </i>
    <i r="1" i="2">
      <x v="2"/>
    </i>
    <i>
      <x v="43"/>
      <x/>
    </i>
    <i r="1" i="1">
      <x v="1"/>
    </i>
    <i r="1" i="2">
      <x v="2"/>
    </i>
    <i>
      <x v="44"/>
      <x/>
    </i>
    <i r="1" i="1">
      <x v="1"/>
    </i>
    <i r="1" i="2">
      <x v="2"/>
    </i>
    <i>
      <x v="45"/>
      <x/>
    </i>
    <i r="1" i="1">
      <x v="1"/>
    </i>
    <i r="1" i="2">
      <x v="2"/>
    </i>
    <i>
      <x v="46"/>
      <x/>
    </i>
    <i r="1" i="1">
      <x v="1"/>
    </i>
    <i r="1" i="2">
      <x v="2"/>
    </i>
    <i>
      <x v="47"/>
      <x/>
    </i>
    <i r="1" i="1">
      <x v="1"/>
    </i>
    <i r="1" i="2">
      <x v="2"/>
    </i>
    <i>
      <x v="48"/>
      <x/>
    </i>
    <i r="1" i="1">
      <x v="1"/>
    </i>
    <i r="1" i="2">
      <x v="2"/>
    </i>
    <i>
      <x v="49"/>
      <x/>
    </i>
    <i r="1" i="1">
      <x v="1"/>
    </i>
    <i r="1" i="2">
      <x v="2"/>
    </i>
    <i>
      <x v="50"/>
      <x/>
    </i>
    <i r="1" i="1">
      <x v="1"/>
    </i>
    <i r="1" i="2">
      <x v="2"/>
    </i>
    <i>
      <x v="51"/>
      <x/>
    </i>
    <i r="1" i="1">
      <x v="1"/>
    </i>
    <i r="1" i="2">
      <x v="2"/>
    </i>
    <i>
      <x v="52"/>
      <x/>
    </i>
    <i r="1" i="1">
      <x v="1"/>
    </i>
    <i r="1" i="2">
      <x v="2"/>
    </i>
    <i>
      <x v="53"/>
      <x/>
    </i>
    <i r="1" i="1">
      <x v="1"/>
    </i>
    <i r="1" i="2">
      <x v="2"/>
    </i>
    <i>
      <x v="54"/>
      <x/>
    </i>
    <i r="1" i="1">
      <x v="1"/>
    </i>
    <i r="1" i="2">
      <x v="2"/>
    </i>
    <i>
      <x v="55"/>
      <x/>
    </i>
    <i r="1" i="1">
      <x v="1"/>
    </i>
    <i r="1" i="2">
      <x v="2"/>
    </i>
    <i>
      <x v="56"/>
      <x/>
    </i>
    <i r="1" i="1">
      <x v="1"/>
    </i>
    <i r="1" i="2">
      <x v="2"/>
    </i>
    <i>
      <x v="57"/>
      <x/>
    </i>
    <i r="1" i="1">
      <x v="1"/>
    </i>
    <i r="1" i="2">
      <x v="2"/>
    </i>
    <i>
      <x v="58"/>
      <x/>
    </i>
    <i r="1" i="1">
      <x v="1"/>
    </i>
    <i r="1" i="2">
      <x v="2"/>
    </i>
    <i>
      <x v="59"/>
      <x/>
    </i>
    <i r="1" i="1">
      <x v="1"/>
    </i>
    <i r="1" i="2">
      <x v="2"/>
    </i>
    <i>
      <x v="60"/>
      <x/>
    </i>
    <i r="1" i="1">
      <x v="1"/>
    </i>
    <i r="1" i="2">
      <x v="2"/>
    </i>
    <i>
      <x v="61"/>
      <x/>
    </i>
    <i r="1" i="1">
      <x v="1"/>
    </i>
    <i r="1" i="2">
      <x v="2"/>
    </i>
    <i>
      <x v="62"/>
      <x/>
    </i>
    <i r="1" i="1">
      <x v="1"/>
    </i>
    <i r="1" i="2">
      <x v="2"/>
    </i>
    <i>
      <x v="63"/>
      <x/>
    </i>
    <i r="1" i="1">
      <x v="1"/>
    </i>
    <i r="1" i="2">
      <x v="2"/>
    </i>
    <i>
      <x v="64"/>
      <x/>
    </i>
    <i r="1" i="1">
      <x v="1"/>
    </i>
    <i r="1" i="2">
      <x v="2"/>
    </i>
    <i>
      <x v="65"/>
      <x/>
    </i>
    <i r="1" i="1">
      <x v="1"/>
    </i>
    <i r="1" i="2">
      <x v="2"/>
    </i>
    <i>
      <x v="66"/>
      <x/>
    </i>
    <i r="1" i="1">
      <x v="1"/>
    </i>
    <i r="1" i="2">
      <x v="2"/>
    </i>
    <i>
      <x v="67"/>
      <x/>
    </i>
    <i r="1" i="1">
      <x v="1"/>
    </i>
    <i r="1" i="2">
      <x v="2"/>
    </i>
    <i>
      <x v="68"/>
      <x/>
    </i>
    <i r="1" i="1">
      <x v="1"/>
    </i>
    <i r="1" i="2">
      <x v="2"/>
    </i>
    <i>
      <x v="69"/>
      <x/>
    </i>
    <i r="1" i="1">
      <x v="1"/>
    </i>
    <i r="1" i="2">
      <x v="2"/>
    </i>
    <i>
      <x v="70"/>
      <x/>
    </i>
    <i r="1" i="1">
      <x v="1"/>
    </i>
    <i r="1" i="2">
      <x v="2"/>
    </i>
    <i>
      <x v="71"/>
      <x/>
    </i>
    <i r="1" i="1">
      <x v="1"/>
    </i>
    <i r="1" i="2">
      <x v="2"/>
    </i>
    <i>
      <x v="72"/>
      <x/>
    </i>
    <i r="1" i="1">
      <x v="1"/>
    </i>
    <i r="1" i="2">
      <x v="2"/>
    </i>
    <i>
      <x v="73"/>
      <x/>
    </i>
    <i r="1" i="1">
      <x v="1"/>
    </i>
    <i r="1" i="2">
      <x v="2"/>
    </i>
    <i>
      <x v="74"/>
      <x/>
    </i>
    <i r="1" i="1">
      <x v="1"/>
    </i>
    <i r="1" i="2">
      <x v="2"/>
    </i>
    <i>
      <x v="75"/>
      <x/>
    </i>
    <i r="1" i="1">
      <x v="1"/>
    </i>
    <i r="1" i="2">
      <x v="2"/>
    </i>
    <i>
      <x v="76"/>
      <x/>
    </i>
    <i r="1" i="1">
      <x v="1"/>
    </i>
    <i r="1" i="2">
      <x v="2"/>
    </i>
    <i>
      <x v="77"/>
      <x/>
    </i>
    <i r="1" i="1">
      <x v="1"/>
    </i>
    <i r="1" i="2">
      <x v="2"/>
    </i>
    <i>
      <x v="78"/>
      <x/>
    </i>
    <i r="1" i="1">
      <x v="1"/>
    </i>
    <i r="1" i="2">
      <x v="2"/>
    </i>
    <i>
      <x v="79"/>
      <x/>
    </i>
    <i r="1" i="1">
      <x v="1"/>
    </i>
    <i r="1" i="2">
      <x v="2"/>
    </i>
    <i>
      <x v="80"/>
      <x/>
    </i>
    <i r="1" i="1">
      <x v="1"/>
    </i>
    <i r="1" i="2">
      <x v="2"/>
    </i>
    <i>
      <x v="81"/>
      <x/>
    </i>
    <i r="1" i="1">
      <x v="1"/>
    </i>
    <i r="1" i="2">
      <x v="2"/>
    </i>
    <i>
      <x v="82"/>
      <x/>
    </i>
    <i r="1" i="1">
      <x v="1"/>
    </i>
    <i r="1" i="2">
      <x v="2"/>
    </i>
    <i>
      <x v="83"/>
      <x/>
    </i>
    <i r="1" i="1">
      <x v="1"/>
    </i>
    <i r="1" i="2">
      <x v="2"/>
    </i>
    <i>
      <x v="84"/>
      <x/>
    </i>
    <i r="1" i="1">
      <x v="1"/>
    </i>
    <i r="1" i="2">
      <x v="2"/>
    </i>
    <i>
      <x v="85"/>
      <x/>
    </i>
    <i r="1" i="1">
      <x v="1"/>
    </i>
    <i r="1" i="2">
      <x v="2"/>
    </i>
    <i>
      <x v="86"/>
      <x/>
    </i>
    <i r="1" i="1">
      <x v="1"/>
    </i>
    <i r="1" i="2">
      <x v="2"/>
    </i>
    <i>
      <x v="87"/>
      <x/>
    </i>
    <i r="1" i="1">
      <x v="1"/>
    </i>
    <i r="1" i="2">
      <x v="2"/>
    </i>
    <i>
      <x v="88"/>
      <x/>
    </i>
    <i r="1" i="1">
      <x v="1"/>
    </i>
    <i r="1" i="2">
      <x v="2"/>
    </i>
    <i>
      <x v="89"/>
      <x/>
    </i>
    <i r="1" i="1">
      <x v="1"/>
    </i>
    <i r="1" i="2">
      <x v="2"/>
    </i>
    <i>
      <x v="90"/>
      <x/>
    </i>
    <i r="1" i="1">
      <x v="1"/>
    </i>
    <i r="1" i="2">
      <x v="2"/>
    </i>
    <i>
      <x v="91"/>
      <x/>
    </i>
    <i r="1" i="1">
      <x v="1"/>
    </i>
    <i r="1" i="2">
      <x v="2"/>
    </i>
    <i>
      <x v="92"/>
      <x/>
    </i>
    <i r="1" i="1">
      <x v="1"/>
    </i>
    <i r="1" i="2">
      <x v="2"/>
    </i>
    <i>
      <x v="93"/>
      <x/>
    </i>
    <i r="1" i="1">
      <x v="1"/>
    </i>
    <i r="1" i="2">
      <x v="2"/>
    </i>
    <i t="grand">
      <x/>
    </i>
    <i t="grand" i="1">
      <x/>
    </i>
    <i t="grand" i="2">
      <x/>
    </i>
  </rowItems>
  <colFields count="1">
    <field x="1"/>
  </colFields>
  <colItems count="4">
    <i>
      <x v="1"/>
    </i>
    <i>
      <x v="2"/>
    </i>
    <i>
      <x v="3"/>
    </i>
    <i t="grand">
      <x/>
    </i>
  </colItems>
  <dataFields count="3">
    <dataField name="Sum of SOrad" fld="55" baseField="0" baseItem="0"/>
    <dataField name="Sum of SOno" fld="56" baseField="0" baseItem="0"/>
    <dataField name="Sum of SOrecap" fld="57" baseField="0" baseItem="0"/>
  </dataFields>
  <formats count="3">
    <format dxfId="21">
      <pivotArea grandCol="1" outline="0" fieldPosition="0"/>
    </format>
    <format dxfId="20">
      <pivotArea type="topRight" dataOnly="0" labelOnly="1" outline="0" fieldPosition="0"/>
    </format>
    <format dxfId="19">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0"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L4:P100" firstHeaderRow="1" firstDataRow="2" firstDataCol="1"/>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t="grand">
      <x/>
    </i>
  </rowItems>
  <colFields count="1">
    <field x="1"/>
  </colFields>
  <colItems count="4">
    <i>
      <x v="1"/>
    </i>
    <i>
      <x v="2"/>
    </i>
    <i>
      <x v="3"/>
    </i>
    <i t="grand">
      <x/>
    </i>
  </colItems>
  <dataFields count="1">
    <dataField name="Average of 3 Revs (s)" fld="5" subtotal="average" baseField="0" baseItem="0" numFmtId="165"/>
  </dataFields>
  <formats count="4">
    <format dxfId="6">
      <pivotArea grandCol="1" outline="0" fieldPosition="0"/>
    </format>
    <format dxfId="5">
      <pivotArea type="topRight" dataOnly="0" labelOnly="1" outline="0" fieldPosition="0"/>
    </format>
    <format dxfId="4">
      <pivotArea dataOnly="0" labelOnly="1" grandCol="1" outline="0" fieldPosition="0"/>
    </format>
    <format dxfId="3">
      <pivotArea outline="0" collapsedLevelsAreSubtotals="1"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9"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4:E100" firstHeaderRow="1" firstDataRow="2" firstDataCol="1"/>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t="grand">
      <x/>
    </i>
  </rowItems>
  <colFields count="1">
    <field x="1"/>
  </colFields>
  <colItems count="4">
    <i>
      <x v="1"/>
    </i>
    <i>
      <x v="2"/>
    </i>
    <i>
      <x v="3"/>
    </i>
    <i t="grand">
      <x/>
    </i>
  </colItems>
  <dataFields count="1">
    <dataField name="Sum of Active Time (min)" fld="9" baseField="0" baseItem="0"/>
  </dataFields>
  <formats count="3">
    <format dxfId="9">
      <pivotArea grandCol="1" outline="0" fieldPosition="0"/>
    </format>
    <format dxfId="8">
      <pivotArea type="topRight" dataOnly="0" labelOnly="1" outline="0" fieldPosition="0"/>
    </format>
    <format dxfId="7">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1" cacheId="128"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M4:T24" firstHeaderRow="1" firstDataRow="2" firstDataCol="1"/>
  <pivotFields count="30">
    <pivotField compact="0" outline="0" showAll="0" defaultSubtotal="0"/>
    <pivotField compact="0" outline="0" showAll="0" defaultSubtotal="0"/>
    <pivotField compact="0" outline="0" showAll="0" defaultSubtotal="0"/>
    <pivotField axis="axisCol" compact="0" outline="0" showAll="0" defaultSubtotal="0">
      <items count="15">
        <item h="1" x="14"/>
        <item x="1"/>
        <item x="4"/>
        <item x="7"/>
        <item h="1" x="0"/>
        <item h="1" x="6"/>
        <item h="1" x="3"/>
        <item h="1" x="2"/>
        <item h="1" x="5"/>
        <item x="10"/>
        <item h="1" x="9"/>
        <item x="12"/>
        <item x="13"/>
        <item h="1" x="8"/>
        <item h="1" x="11"/>
      </items>
    </pivotField>
    <pivotField compact="0" outline="0" showAll="0" defaultSubtotal="0"/>
    <pivotField axis="axisRow" dataField="1" compact="0" outline="0" showAll="0" sortType="ascending" defaultSubtotal="0">
      <items count="34">
        <item m="1" x="18"/>
        <item m="1" x="21"/>
        <item m="1" x="26"/>
        <item x="15"/>
        <item m="1" x="27"/>
        <item x="14"/>
        <item x="8"/>
        <item m="1" x="24"/>
        <item x="13"/>
        <item m="1" x="29"/>
        <item m="1" x="28"/>
        <item x="11"/>
        <item m="1" x="20"/>
        <item x="7"/>
        <item m="1" x="25"/>
        <item x="16"/>
        <item x="6"/>
        <item m="1" x="19"/>
        <item x="17"/>
        <item x="10"/>
        <item m="1" x="33"/>
        <item x="12"/>
        <item x="2"/>
        <item m="1" x="31"/>
        <item m="1" x="30"/>
        <item x="1"/>
        <item x="5"/>
        <item m="1" x="32"/>
        <item x="4"/>
        <item x="9"/>
        <item m="1" x="23"/>
        <item m="1" x="22"/>
        <item x="3"/>
        <item x="0"/>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5"/>
  </rowFields>
  <rowItems count="19">
    <i>
      <x v="3"/>
    </i>
    <i>
      <x v="5"/>
    </i>
    <i>
      <x v="6"/>
    </i>
    <i>
      <x v="8"/>
    </i>
    <i>
      <x v="11"/>
    </i>
    <i>
      <x v="13"/>
    </i>
    <i>
      <x v="15"/>
    </i>
    <i>
      <x v="16"/>
    </i>
    <i>
      <x v="18"/>
    </i>
    <i>
      <x v="19"/>
    </i>
    <i>
      <x v="21"/>
    </i>
    <i>
      <x v="22"/>
    </i>
    <i>
      <x v="25"/>
    </i>
    <i>
      <x v="26"/>
    </i>
    <i>
      <x v="28"/>
    </i>
    <i>
      <x v="29"/>
    </i>
    <i>
      <x v="32"/>
    </i>
    <i>
      <x v="33"/>
    </i>
    <i t="grand">
      <x/>
    </i>
  </rowItems>
  <colFields count="1">
    <field x="3"/>
  </colFields>
  <colItems count="7">
    <i>
      <x v="1"/>
    </i>
    <i>
      <x v="2"/>
    </i>
    <i>
      <x v="3"/>
    </i>
    <i>
      <x v="9"/>
    </i>
    <i>
      <x v="11"/>
    </i>
    <i>
      <x v="12"/>
    </i>
    <i t="grand">
      <x/>
    </i>
  </colItems>
  <dataFields count="1">
    <dataField name="Count of Channel" fld="5" subtotal="count" baseField="0" baseItem="0"/>
  </dataFields>
  <formats count="2">
    <format dxfId="1">
      <pivotArea type="origin" dataOnly="0" labelOnly="1" outline="0" fieldPosition="0"/>
    </format>
    <format dxfId="0">
      <pivotArea dataOnly="0" labelOnly="1" grandRow="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3"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4:F290"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2"/>
  </rowFields>
  <rowItems count="285">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x v="16"/>
      <x/>
    </i>
    <i r="1" i="1">
      <x v="1"/>
    </i>
    <i r="1" i="2">
      <x v="2"/>
    </i>
    <i>
      <x v="17"/>
      <x/>
    </i>
    <i r="1" i="1">
      <x v="1"/>
    </i>
    <i r="1" i="2">
      <x v="2"/>
    </i>
    <i>
      <x v="18"/>
      <x/>
    </i>
    <i r="1" i="1">
      <x v="1"/>
    </i>
    <i r="1" i="2">
      <x v="2"/>
    </i>
    <i>
      <x v="19"/>
      <x/>
    </i>
    <i r="1" i="1">
      <x v="1"/>
    </i>
    <i r="1" i="2">
      <x v="2"/>
    </i>
    <i>
      <x v="20"/>
      <x/>
    </i>
    <i r="1" i="1">
      <x v="1"/>
    </i>
    <i r="1" i="2">
      <x v="2"/>
    </i>
    <i>
      <x v="21"/>
      <x/>
    </i>
    <i r="1" i="1">
      <x v="1"/>
    </i>
    <i r="1" i="2">
      <x v="2"/>
    </i>
    <i>
      <x v="22"/>
      <x/>
    </i>
    <i r="1" i="1">
      <x v="1"/>
    </i>
    <i r="1" i="2">
      <x v="2"/>
    </i>
    <i>
      <x v="23"/>
      <x/>
    </i>
    <i r="1" i="1">
      <x v="1"/>
    </i>
    <i r="1" i="2">
      <x v="2"/>
    </i>
    <i>
      <x v="24"/>
      <x/>
    </i>
    <i r="1" i="1">
      <x v="1"/>
    </i>
    <i r="1" i="2">
      <x v="2"/>
    </i>
    <i>
      <x v="25"/>
      <x/>
    </i>
    <i r="1" i="1">
      <x v="1"/>
    </i>
    <i r="1" i="2">
      <x v="2"/>
    </i>
    <i>
      <x v="26"/>
      <x/>
    </i>
    <i r="1" i="1">
      <x v="1"/>
    </i>
    <i r="1" i="2">
      <x v="2"/>
    </i>
    <i>
      <x v="27"/>
      <x/>
    </i>
    <i r="1" i="1">
      <x v="1"/>
    </i>
    <i r="1" i="2">
      <x v="2"/>
    </i>
    <i>
      <x v="28"/>
      <x/>
    </i>
    <i r="1" i="1">
      <x v="1"/>
    </i>
    <i r="1" i="2">
      <x v="2"/>
    </i>
    <i>
      <x v="29"/>
      <x/>
    </i>
    <i r="1" i="1">
      <x v="1"/>
    </i>
    <i r="1" i="2">
      <x v="2"/>
    </i>
    <i>
      <x v="30"/>
      <x/>
    </i>
    <i r="1" i="1">
      <x v="1"/>
    </i>
    <i r="1" i="2">
      <x v="2"/>
    </i>
    <i>
      <x v="31"/>
      <x/>
    </i>
    <i r="1" i="1">
      <x v="1"/>
    </i>
    <i r="1" i="2">
      <x v="2"/>
    </i>
    <i>
      <x v="32"/>
      <x/>
    </i>
    <i r="1" i="1">
      <x v="1"/>
    </i>
    <i r="1" i="2">
      <x v="2"/>
    </i>
    <i>
      <x v="33"/>
      <x/>
    </i>
    <i r="1" i="1">
      <x v="1"/>
    </i>
    <i r="1" i="2">
      <x v="2"/>
    </i>
    <i>
      <x v="34"/>
      <x/>
    </i>
    <i r="1" i="1">
      <x v="1"/>
    </i>
    <i r="1" i="2">
      <x v="2"/>
    </i>
    <i>
      <x v="35"/>
      <x/>
    </i>
    <i r="1" i="1">
      <x v="1"/>
    </i>
    <i r="1" i="2">
      <x v="2"/>
    </i>
    <i>
      <x v="36"/>
      <x/>
    </i>
    <i r="1" i="1">
      <x v="1"/>
    </i>
    <i r="1" i="2">
      <x v="2"/>
    </i>
    <i>
      <x v="37"/>
      <x/>
    </i>
    <i r="1" i="1">
      <x v="1"/>
    </i>
    <i r="1" i="2">
      <x v="2"/>
    </i>
    <i>
      <x v="38"/>
      <x/>
    </i>
    <i r="1" i="1">
      <x v="1"/>
    </i>
    <i r="1" i="2">
      <x v="2"/>
    </i>
    <i>
      <x v="39"/>
      <x/>
    </i>
    <i r="1" i="1">
      <x v="1"/>
    </i>
    <i r="1" i="2">
      <x v="2"/>
    </i>
    <i>
      <x v="40"/>
      <x/>
    </i>
    <i r="1" i="1">
      <x v="1"/>
    </i>
    <i r="1" i="2">
      <x v="2"/>
    </i>
    <i>
      <x v="41"/>
      <x/>
    </i>
    <i r="1" i="1">
      <x v="1"/>
    </i>
    <i r="1" i="2">
      <x v="2"/>
    </i>
    <i>
      <x v="42"/>
      <x/>
    </i>
    <i r="1" i="1">
      <x v="1"/>
    </i>
    <i r="1" i="2">
      <x v="2"/>
    </i>
    <i>
      <x v="43"/>
      <x/>
    </i>
    <i r="1" i="1">
      <x v="1"/>
    </i>
    <i r="1" i="2">
      <x v="2"/>
    </i>
    <i>
      <x v="44"/>
      <x/>
    </i>
    <i r="1" i="1">
      <x v="1"/>
    </i>
    <i r="1" i="2">
      <x v="2"/>
    </i>
    <i>
      <x v="45"/>
      <x/>
    </i>
    <i r="1" i="1">
      <x v="1"/>
    </i>
    <i r="1" i="2">
      <x v="2"/>
    </i>
    <i>
      <x v="46"/>
      <x/>
    </i>
    <i r="1" i="1">
      <x v="1"/>
    </i>
    <i r="1" i="2">
      <x v="2"/>
    </i>
    <i>
      <x v="47"/>
      <x/>
    </i>
    <i r="1" i="1">
      <x v="1"/>
    </i>
    <i r="1" i="2">
      <x v="2"/>
    </i>
    <i>
      <x v="48"/>
      <x/>
    </i>
    <i r="1" i="1">
      <x v="1"/>
    </i>
    <i r="1" i="2">
      <x v="2"/>
    </i>
    <i>
      <x v="49"/>
      <x/>
    </i>
    <i r="1" i="1">
      <x v="1"/>
    </i>
    <i r="1" i="2">
      <x v="2"/>
    </i>
    <i>
      <x v="50"/>
      <x/>
    </i>
    <i r="1" i="1">
      <x v="1"/>
    </i>
    <i r="1" i="2">
      <x v="2"/>
    </i>
    <i>
      <x v="51"/>
      <x/>
    </i>
    <i r="1" i="1">
      <x v="1"/>
    </i>
    <i r="1" i="2">
      <x v="2"/>
    </i>
    <i>
      <x v="52"/>
      <x/>
    </i>
    <i r="1" i="1">
      <x v="1"/>
    </i>
    <i r="1" i="2">
      <x v="2"/>
    </i>
    <i>
      <x v="53"/>
      <x/>
    </i>
    <i r="1" i="1">
      <x v="1"/>
    </i>
    <i r="1" i="2">
      <x v="2"/>
    </i>
    <i>
      <x v="54"/>
      <x/>
    </i>
    <i r="1" i="1">
      <x v="1"/>
    </i>
    <i r="1" i="2">
      <x v="2"/>
    </i>
    <i>
      <x v="55"/>
      <x/>
    </i>
    <i r="1" i="1">
      <x v="1"/>
    </i>
    <i r="1" i="2">
      <x v="2"/>
    </i>
    <i>
      <x v="56"/>
      <x/>
    </i>
    <i r="1" i="1">
      <x v="1"/>
    </i>
    <i r="1" i="2">
      <x v="2"/>
    </i>
    <i>
      <x v="57"/>
      <x/>
    </i>
    <i r="1" i="1">
      <x v="1"/>
    </i>
    <i r="1" i="2">
      <x v="2"/>
    </i>
    <i>
      <x v="58"/>
      <x/>
    </i>
    <i r="1" i="1">
      <x v="1"/>
    </i>
    <i r="1" i="2">
      <x v="2"/>
    </i>
    <i>
      <x v="59"/>
      <x/>
    </i>
    <i r="1" i="1">
      <x v="1"/>
    </i>
    <i r="1" i="2">
      <x v="2"/>
    </i>
    <i>
      <x v="60"/>
      <x/>
    </i>
    <i r="1" i="1">
      <x v="1"/>
    </i>
    <i r="1" i="2">
      <x v="2"/>
    </i>
    <i>
      <x v="61"/>
      <x/>
    </i>
    <i r="1" i="1">
      <x v="1"/>
    </i>
    <i r="1" i="2">
      <x v="2"/>
    </i>
    <i>
      <x v="62"/>
      <x/>
    </i>
    <i r="1" i="1">
      <x v="1"/>
    </i>
    <i r="1" i="2">
      <x v="2"/>
    </i>
    <i>
      <x v="63"/>
      <x/>
    </i>
    <i r="1" i="1">
      <x v="1"/>
    </i>
    <i r="1" i="2">
      <x v="2"/>
    </i>
    <i>
      <x v="64"/>
      <x/>
    </i>
    <i r="1" i="1">
      <x v="1"/>
    </i>
    <i r="1" i="2">
      <x v="2"/>
    </i>
    <i>
      <x v="65"/>
      <x/>
    </i>
    <i r="1" i="1">
      <x v="1"/>
    </i>
    <i r="1" i="2">
      <x v="2"/>
    </i>
    <i>
      <x v="66"/>
      <x/>
    </i>
    <i r="1" i="1">
      <x v="1"/>
    </i>
    <i r="1" i="2">
      <x v="2"/>
    </i>
    <i>
      <x v="67"/>
      <x/>
    </i>
    <i r="1" i="1">
      <x v="1"/>
    </i>
    <i r="1" i="2">
      <x v="2"/>
    </i>
    <i>
      <x v="68"/>
      <x/>
    </i>
    <i r="1" i="1">
      <x v="1"/>
    </i>
    <i r="1" i="2">
      <x v="2"/>
    </i>
    <i>
      <x v="69"/>
      <x/>
    </i>
    <i r="1" i="1">
      <x v="1"/>
    </i>
    <i r="1" i="2">
      <x v="2"/>
    </i>
    <i>
      <x v="70"/>
      <x/>
    </i>
    <i r="1" i="1">
      <x v="1"/>
    </i>
    <i r="1" i="2">
      <x v="2"/>
    </i>
    <i>
      <x v="71"/>
      <x/>
    </i>
    <i r="1" i="1">
      <x v="1"/>
    </i>
    <i r="1" i="2">
      <x v="2"/>
    </i>
    <i>
      <x v="72"/>
      <x/>
    </i>
    <i r="1" i="1">
      <x v="1"/>
    </i>
    <i r="1" i="2">
      <x v="2"/>
    </i>
    <i>
      <x v="73"/>
      <x/>
    </i>
    <i r="1" i="1">
      <x v="1"/>
    </i>
    <i r="1" i="2">
      <x v="2"/>
    </i>
    <i>
      <x v="74"/>
      <x/>
    </i>
    <i r="1" i="1">
      <x v="1"/>
    </i>
    <i r="1" i="2">
      <x v="2"/>
    </i>
    <i>
      <x v="75"/>
      <x/>
    </i>
    <i r="1" i="1">
      <x v="1"/>
    </i>
    <i r="1" i="2">
      <x v="2"/>
    </i>
    <i>
      <x v="76"/>
      <x/>
    </i>
    <i r="1" i="1">
      <x v="1"/>
    </i>
    <i r="1" i="2">
      <x v="2"/>
    </i>
    <i>
      <x v="77"/>
      <x/>
    </i>
    <i r="1" i="1">
      <x v="1"/>
    </i>
    <i r="1" i="2">
      <x v="2"/>
    </i>
    <i>
      <x v="78"/>
      <x/>
    </i>
    <i r="1" i="1">
      <x v="1"/>
    </i>
    <i r="1" i="2">
      <x v="2"/>
    </i>
    <i>
      <x v="79"/>
      <x/>
    </i>
    <i r="1" i="1">
      <x v="1"/>
    </i>
    <i r="1" i="2">
      <x v="2"/>
    </i>
    <i>
      <x v="80"/>
      <x/>
    </i>
    <i r="1" i="1">
      <x v="1"/>
    </i>
    <i r="1" i="2">
      <x v="2"/>
    </i>
    <i>
      <x v="81"/>
      <x/>
    </i>
    <i r="1" i="1">
      <x v="1"/>
    </i>
    <i r="1" i="2">
      <x v="2"/>
    </i>
    <i>
      <x v="82"/>
      <x/>
    </i>
    <i r="1" i="1">
      <x v="1"/>
    </i>
    <i r="1" i="2">
      <x v="2"/>
    </i>
    <i>
      <x v="83"/>
      <x/>
    </i>
    <i r="1" i="1">
      <x v="1"/>
    </i>
    <i r="1" i="2">
      <x v="2"/>
    </i>
    <i>
      <x v="84"/>
      <x/>
    </i>
    <i r="1" i="1">
      <x v="1"/>
    </i>
    <i r="1" i="2">
      <x v="2"/>
    </i>
    <i>
      <x v="85"/>
      <x/>
    </i>
    <i r="1" i="1">
      <x v="1"/>
    </i>
    <i r="1" i="2">
      <x v="2"/>
    </i>
    <i>
      <x v="86"/>
      <x/>
    </i>
    <i r="1" i="1">
      <x v="1"/>
    </i>
    <i r="1" i="2">
      <x v="2"/>
    </i>
    <i>
      <x v="87"/>
      <x/>
    </i>
    <i r="1" i="1">
      <x v="1"/>
    </i>
    <i r="1" i="2">
      <x v="2"/>
    </i>
    <i>
      <x v="88"/>
      <x/>
    </i>
    <i r="1" i="1">
      <x v="1"/>
    </i>
    <i r="1" i="2">
      <x v="2"/>
    </i>
    <i>
      <x v="89"/>
      <x/>
    </i>
    <i r="1" i="1">
      <x v="1"/>
    </i>
    <i r="1" i="2">
      <x v="2"/>
    </i>
    <i>
      <x v="90"/>
      <x/>
    </i>
    <i r="1" i="1">
      <x v="1"/>
    </i>
    <i r="1" i="2">
      <x v="2"/>
    </i>
    <i>
      <x v="91"/>
      <x/>
    </i>
    <i r="1" i="1">
      <x v="1"/>
    </i>
    <i r="1" i="2">
      <x v="2"/>
    </i>
    <i>
      <x v="92"/>
      <x/>
    </i>
    <i r="1" i="1">
      <x v="1"/>
    </i>
    <i r="1" i="2">
      <x v="2"/>
    </i>
    <i>
      <x v="93"/>
      <x/>
    </i>
    <i r="1" i="1">
      <x v="1"/>
    </i>
    <i r="1" i="2">
      <x v="2"/>
    </i>
    <i t="grand">
      <x/>
    </i>
    <i t="grand" i="1">
      <x/>
    </i>
    <i t="grand" i="2">
      <x/>
    </i>
  </rowItems>
  <colFields count="1">
    <field x="1"/>
  </colFields>
  <colItems count="4">
    <i>
      <x v="1"/>
    </i>
    <i>
      <x v="2"/>
    </i>
    <i>
      <x v="3"/>
    </i>
    <i t="grand">
      <x/>
    </i>
  </colItems>
  <dataFields count="3">
    <dataField name="Sum of CNlgrad" fld="49" baseField="0" baseItem="1"/>
    <dataField name="Sum of CNlgNo" fld="50" baseField="0" baseItem="7"/>
    <dataField name="Sum of CNlgRecap" fld="51" baseField="0" baseItem="7"/>
  </dataFields>
  <formats count="3">
    <format dxfId="24">
      <pivotArea grandCol="1" outline="0" fieldPosition="0"/>
    </format>
    <format dxfId="23">
      <pivotArea type="topRight" dataOnly="0" labelOnly="1" outline="0" fieldPosition="0"/>
    </format>
    <format dxfId="22">
      <pivotArea dataOnly="0" labelOnly="1" grandCol="1"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5"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M4:R290"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2"/>
  </rowFields>
  <rowItems count="285">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x v="16"/>
      <x/>
    </i>
    <i r="1" i="1">
      <x v="1"/>
    </i>
    <i r="1" i="2">
      <x v="2"/>
    </i>
    <i>
      <x v="17"/>
      <x/>
    </i>
    <i r="1" i="1">
      <x v="1"/>
    </i>
    <i r="1" i="2">
      <x v="2"/>
    </i>
    <i>
      <x v="18"/>
      <x/>
    </i>
    <i r="1" i="1">
      <x v="1"/>
    </i>
    <i r="1" i="2">
      <x v="2"/>
    </i>
    <i>
      <x v="19"/>
      <x/>
    </i>
    <i r="1" i="1">
      <x v="1"/>
    </i>
    <i r="1" i="2">
      <x v="2"/>
    </i>
    <i>
      <x v="20"/>
      <x/>
    </i>
    <i r="1" i="1">
      <x v="1"/>
    </i>
    <i r="1" i="2">
      <x v="2"/>
    </i>
    <i>
      <x v="21"/>
      <x/>
    </i>
    <i r="1" i="1">
      <x v="1"/>
    </i>
    <i r="1" i="2">
      <x v="2"/>
    </i>
    <i>
      <x v="22"/>
      <x/>
    </i>
    <i r="1" i="1">
      <x v="1"/>
    </i>
    <i r="1" i="2">
      <x v="2"/>
    </i>
    <i>
      <x v="23"/>
      <x/>
    </i>
    <i r="1" i="1">
      <x v="1"/>
    </i>
    <i r="1" i="2">
      <x v="2"/>
    </i>
    <i>
      <x v="24"/>
      <x/>
    </i>
    <i r="1" i="1">
      <x v="1"/>
    </i>
    <i r="1" i="2">
      <x v="2"/>
    </i>
    <i>
      <x v="25"/>
      <x/>
    </i>
    <i r="1" i="1">
      <x v="1"/>
    </i>
    <i r="1" i="2">
      <x v="2"/>
    </i>
    <i>
      <x v="26"/>
      <x/>
    </i>
    <i r="1" i="1">
      <x v="1"/>
    </i>
    <i r="1" i="2">
      <x v="2"/>
    </i>
    <i>
      <x v="27"/>
      <x/>
    </i>
    <i r="1" i="1">
      <x v="1"/>
    </i>
    <i r="1" i="2">
      <x v="2"/>
    </i>
    <i>
      <x v="28"/>
      <x/>
    </i>
    <i r="1" i="1">
      <x v="1"/>
    </i>
    <i r="1" i="2">
      <x v="2"/>
    </i>
    <i>
      <x v="29"/>
      <x/>
    </i>
    <i r="1" i="1">
      <x v="1"/>
    </i>
    <i r="1" i="2">
      <x v="2"/>
    </i>
    <i>
      <x v="30"/>
      <x/>
    </i>
    <i r="1" i="1">
      <x v="1"/>
    </i>
    <i r="1" i="2">
      <x v="2"/>
    </i>
    <i>
      <x v="31"/>
      <x/>
    </i>
    <i r="1" i="1">
      <x v="1"/>
    </i>
    <i r="1" i="2">
      <x v="2"/>
    </i>
    <i>
      <x v="32"/>
      <x/>
    </i>
    <i r="1" i="1">
      <x v="1"/>
    </i>
    <i r="1" i="2">
      <x v="2"/>
    </i>
    <i>
      <x v="33"/>
      <x/>
    </i>
    <i r="1" i="1">
      <x v="1"/>
    </i>
    <i r="1" i="2">
      <x v="2"/>
    </i>
    <i>
      <x v="34"/>
      <x/>
    </i>
    <i r="1" i="1">
      <x v="1"/>
    </i>
    <i r="1" i="2">
      <x v="2"/>
    </i>
    <i>
      <x v="35"/>
      <x/>
    </i>
    <i r="1" i="1">
      <x v="1"/>
    </i>
    <i r="1" i="2">
      <x v="2"/>
    </i>
    <i>
      <x v="36"/>
      <x/>
    </i>
    <i r="1" i="1">
      <x v="1"/>
    </i>
    <i r="1" i="2">
      <x v="2"/>
    </i>
    <i>
      <x v="37"/>
      <x/>
    </i>
    <i r="1" i="1">
      <x v="1"/>
    </i>
    <i r="1" i="2">
      <x v="2"/>
    </i>
    <i>
      <x v="38"/>
      <x/>
    </i>
    <i r="1" i="1">
      <x v="1"/>
    </i>
    <i r="1" i="2">
      <x v="2"/>
    </i>
    <i>
      <x v="39"/>
      <x/>
    </i>
    <i r="1" i="1">
      <x v="1"/>
    </i>
    <i r="1" i="2">
      <x v="2"/>
    </i>
    <i>
      <x v="40"/>
      <x/>
    </i>
    <i r="1" i="1">
      <x v="1"/>
    </i>
    <i r="1" i="2">
      <x v="2"/>
    </i>
    <i>
      <x v="41"/>
      <x/>
    </i>
    <i r="1" i="1">
      <x v="1"/>
    </i>
    <i r="1" i="2">
      <x v="2"/>
    </i>
    <i>
      <x v="42"/>
      <x/>
    </i>
    <i r="1" i="1">
      <x v="1"/>
    </i>
    <i r="1" i="2">
      <x v="2"/>
    </i>
    <i>
      <x v="43"/>
      <x/>
    </i>
    <i r="1" i="1">
      <x v="1"/>
    </i>
    <i r="1" i="2">
      <x v="2"/>
    </i>
    <i>
      <x v="44"/>
      <x/>
    </i>
    <i r="1" i="1">
      <x v="1"/>
    </i>
    <i r="1" i="2">
      <x v="2"/>
    </i>
    <i>
      <x v="45"/>
      <x/>
    </i>
    <i r="1" i="1">
      <x v="1"/>
    </i>
    <i r="1" i="2">
      <x v="2"/>
    </i>
    <i>
      <x v="46"/>
      <x/>
    </i>
    <i r="1" i="1">
      <x v="1"/>
    </i>
    <i r="1" i="2">
      <x v="2"/>
    </i>
    <i>
      <x v="47"/>
      <x/>
    </i>
    <i r="1" i="1">
      <x v="1"/>
    </i>
    <i r="1" i="2">
      <x v="2"/>
    </i>
    <i>
      <x v="48"/>
      <x/>
    </i>
    <i r="1" i="1">
      <x v="1"/>
    </i>
    <i r="1" i="2">
      <x v="2"/>
    </i>
    <i>
      <x v="49"/>
      <x/>
    </i>
    <i r="1" i="1">
      <x v="1"/>
    </i>
    <i r="1" i="2">
      <x v="2"/>
    </i>
    <i>
      <x v="50"/>
      <x/>
    </i>
    <i r="1" i="1">
      <x v="1"/>
    </i>
    <i r="1" i="2">
      <x v="2"/>
    </i>
    <i>
      <x v="51"/>
      <x/>
    </i>
    <i r="1" i="1">
      <x v="1"/>
    </i>
    <i r="1" i="2">
      <x v="2"/>
    </i>
    <i>
      <x v="52"/>
      <x/>
    </i>
    <i r="1" i="1">
      <x v="1"/>
    </i>
    <i r="1" i="2">
      <x v="2"/>
    </i>
    <i>
      <x v="53"/>
      <x/>
    </i>
    <i r="1" i="1">
      <x v="1"/>
    </i>
    <i r="1" i="2">
      <x v="2"/>
    </i>
    <i>
      <x v="54"/>
      <x/>
    </i>
    <i r="1" i="1">
      <x v="1"/>
    </i>
    <i r="1" i="2">
      <x v="2"/>
    </i>
    <i>
      <x v="55"/>
      <x/>
    </i>
    <i r="1" i="1">
      <x v="1"/>
    </i>
    <i r="1" i="2">
      <x v="2"/>
    </i>
    <i>
      <x v="56"/>
      <x/>
    </i>
    <i r="1" i="1">
      <x v="1"/>
    </i>
    <i r="1" i="2">
      <x v="2"/>
    </i>
    <i>
      <x v="57"/>
      <x/>
    </i>
    <i r="1" i="1">
      <x v="1"/>
    </i>
    <i r="1" i="2">
      <x v="2"/>
    </i>
    <i>
      <x v="58"/>
      <x/>
    </i>
    <i r="1" i="1">
      <x v="1"/>
    </i>
    <i r="1" i="2">
      <x v="2"/>
    </i>
    <i>
      <x v="59"/>
      <x/>
    </i>
    <i r="1" i="1">
      <x v="1"/>
    </i>
    <i r="1" i="2">
      <x v="2"/>
    </i>
    <i>
      <x v="60"/>
      <x/>
    </i>
    <i r="1" i="1">
      <x v="1"/>
    </i>
    <i r="1" i="2">
      <x v="2"/>
    </i>
    <i>
      <x v="61"/>
      <x/>
    </i>
    <i r="1" i="1">
      <x v="1"/>
    </i>
    <i r="1" i="2">
      <x v="2"/>
    </i>
    <i>
      <x v="62"/>
      <x/>
    </i>
    <i r="1" i="1">
      <x v="1"/>
    </i>
    <i r="1" i="2">
      <x v="2"/>
    </i>
    <i>
      <x v="63"/>
      <x/>
    </i>
    <i r="1" i="1">
      <x v="1"/>
    </i>
    <i r="1" i="2">
      <x v="2"/>
    </i>
    <i>
      <x v="64"/>
      <x/>
    </i>
    <i r="1" i="1">
      <x v="1"/>
    </i>
    <i r="1" i="2">
      <x v="2"/>
    </i>
    <i>
      <x v="65"/>
      <x/>
    </i>
    <i r="1" i="1">
      <x v="1"/>
    </i>
    <i r="1" i="2">
      <x v="2"/>
    </i>
    <i>
      <x v="66"/>
      <x/>
    </i>
    <i r="1" i="1">
      <x v="1"/>
    </i>
    <i r="1" i="2">
      <x v="2"/>
    </i>
    <i>
      <x v="67"/>
      <x/>
    </i>
    <i r="1" i="1">
      <x v="1"/>
    </i>
    <i r="1" i="2">
      <x v="2"/>
    </i>
    <i>
      <x v="68"/>
      <x/>
    </i>
    <i r="1" i="1">
      <x v="1"/>
    </i>
    <i r="1" i="2">
      <x v="2"/>
    </i>
    <i>
      <x v="69"/>
      <x/>
    </i>
    <i r="1" i="1">
      <x v="1"/>
    </i>
    <i r="1" i="2">
      <x v="2"/>
    </i>
    <i>
      <x v="70"/>
      <x/>
    </i>
    <i r="1" i="1">
      <x v="1"/>
    </i>
    <i r="1" i="2">
      <x v="2"/>
    </i>
    <i>
      <x v="71"/>
      <x/>
    </i>
    <i r="1" i="1">
      <x v="1"/>
    </i>
    <i r="1" i="2">
      <x v="2"/>
    </i>
    <i>
      <x v="72"/>
      <x/>
    </i>
    <i r="1" i="1">
      <x v="1"/>
    </i>
    <i r="1" i="2">
      <x v="2"/>
    </i>
    <i>
      <x v="73"/>
      <x/>
    </i>
    <i r="1" i="1">
      <x v="1"/>
    </i>
    <i r="1" i="2">
      <x v="2"/>
    </i>
    <i>
      <x v="74"/>
      <x/>
    </i>
    <i r="1" i="1">
      <x v="1"/>
    </i>
    <i r="1" i="2">
      <x v="2"/>
    </i>
    <i>
      <x v="75"/>
      <x/>
    </i>
    <i r="1" i="1">
      <x v="1"/>
    </i>
    <i r="1" i="2">
      <x v="2"/>
    </i>
    <i>
      <x v="76"/>
      <x/>
    </i>
    <i r="1" i="1">
      <x v="1"/>
    </i>
    <i r="1" i="2">
      <x v="2"/>
    </i>
    <i>
      <x v="77"/>
      <x/>
    </i>
    <i r="1" i="1">
      <x v="1"/>
    </i>
    <i r="1" i="2">
      <x v="2"/>
    </i>
    <i>
      <x v="78"/>
      <x/>
    </i>
    <i r="1" i="1">
      <x v="1"/>
    </i>
    <i r="1" i="2">
      <x v="2"/>
    </i>
    <i>
      <x v="79"/>
      <x/>
    </i>
    <i r="1" i="1">
      <x v="1"/>
    </i>
    <i r="1" i="2">
      <x v="2"/>
    </i>
    <i>
      <x v="80"/>
      <x/>
    </i>
    <i r="1" i="1">
      <x v="1"/>
    </i>
    <i r="1" i="2">
      <x v="2"/>
    </i>
    <i>
      <x v="81"/>
      <x/>
    </i>
    <i r="1" i="1">
      <x v="1"/>
    </i>
    <i r="1" i="2">
      <x v="2"/>
    </i>
    <i>
      <x v="82"/>
      <x/>
    </i>
    <i r="1" i="1">
      <x v="1"/>
    </i>
    <i r="1" i="2">
      <x v="2"/>
    </i>
    <i>
      <x v="83"/>
      <x/>
    </i>
    <i r="1" i="1">
      <x v="1"/>
    </i>
    <i r="1" i="2">
      <x v="2"/>
    </i>
    <i>
      <x v="84"/>
      <x/>
    </i>
    <i r="1" i="1">
      <x v="1"/>
    </i>
    <i r="1" i="2">
      <x v="2"/>
    </i>
    <i>
      <x v="85"/>
      <x/>
    </i>
    <i r="1" i="1">
      <x v="1"/>
    </i>
    <i r="1" i="2">
      <x v="2"/>
    </i>
    <i>
      <x v="86"/>
      <x/>
    </i>
    <i r="1" i="1">
      <x v="1"/>
    </i>
    <i r="1" i="2">
      <x v="2"/>
    </i>
    <i>
      <x v="87"/>
      <x/>
    </i>
    <i r="1" i="1">
      <x v="1"/>
    </i>
    <i r="1" i="2">
      <x v="2"/>
    </i>
    <i>
      <x v="88"/>
      <x/>
    </i>
    <i r="1" i="1">
      <x v="1"/>
    </i>
    <i r="1" i="2">
      <x v="2"/>
    </i>
    <i>
      <x v="89"/>
      <x/>
    </i>
    <i r="1" i="1">
      <x v="1"/>
    </i>
    <i r="1" i="2">
      <x v="2"/>
    </i>
    <i>
      <x v="90"/>
      <x/>
    </i>
    <i r="1" i="1">
      <x v="1"/>
    </i>
    <i r="1" i="2">
      <x v="2"/>
    </i>
    <i>
      <x v="91"/>
      <x/>
    </i>
    <i r="1" i="1">
      <x v="1"/>
    </i>
    <i r="1" i="2">
      <x v="2"/>
    </i>
    <i>
      <x v="92"/>
      <x/>
    </i>
    <i r="1" i="1">
      <x v="1"/>
    </i>
    <i r="1" i="2">
      <x v="2"/>
    </i>
    <i>
      <x v="93"/>
      <x/>
    </i>
    <i r="1" i="1">
      <x v="1"/>
    </i>
    <i r="1" i="2">
      <x v="2"/>
    </i>
    <i t="grand">
      <x/>
    </i>
    <i t="grand" i="1">
      <x/>
    </i>
    <i t="grand" i="2">
      <x/>
    </i>
  </rowItems>
  <colFields count="1">
    <field x="1"/>
  </colFields>
  <colItems count="4">
    <i>
      <x v="1"/>
    </i>
    <i>
      <x v="2"/>
    </i>
    <i>
      <x v="3"/>
    </i>
    <i t="grand">
      <x/>
    </i>
  </colItems>
  <dataFields count="3">
    <dataField name="Sum of CNsmradio" fld="52" baseField="0" baseItem="1"/>
    <dataField name="Sum of CNsmno" fld="53" baseField="0" baseItem="1"/>
    <dataField name="Sum of CNsmrecap" fld="54" baseField="0" baseItem="1"/>
  </dataFields>
  <formats count="3">
    <format dxfId="27">
      <pivotArea grandCol="1" outline="0" fieldPosition="0"/>
    </format>
    <format dxfId="26">
      <pivotArea type="topRight" dataOnly="0" labelOnly="1" outline="0" fieldPosition="0"/>
    </format>
    <format dxfId="2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4"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I4:BN385"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0"/>
    <field x="-2"/>
  </rowFields>
  <rowItems count="380">
    <i>
      <x/>
      <x/>
    </i>
    <i r="1" i="1">
      <x v="1"/>
    </i>
    <i r="1" i="2">
      <x v="2"/>
    </i>
    <i r="1" i="3">
      <x v="3"/>
    </i>
    <i>
      <x v="1"/>
      <x/>
    </i>
    <i r="1" i="1">
      <x v="1"/>
    </i>
    <i r="1" i="2">
      <x v="2"/>
    </i>
    <i r="1" i="3">
      <x v="3"/>
    </i>
    <i>
      <x v="2"/>
      <x/>
    </i>
    <i r="1" i="1">
      <x v="1"/>
    </i>
    <i r="1" i="2">
      <x v="2"/>
    </i>
    <i r="1" i="3">
      <x v="3"/>
    </i>
    <i>
      <x v="3"/>
      <x/>
    </i>
    <i r="1" i="1">
      <x v="1"/>
    </i>
    <i r="1" i="2">
      <x v="2"/>
    </i>
    <i r="1" i="3">
      <x v="3"/>
    </i>
    <i>
      <x v="4"/>
      <x/>
    </i>
    <i r="1" i="1">
      <x v="1"/>
    </i>
    <i r="1" i="2">
      <x v="2"/>
    </i>
    <i r="1" i="3">
      <x v="3"/>
    </i>
    <i>
      <x v="5"/>
      <x/>
    </i>
    <i r="1" i="1">
      <x v="1"/>
    </i>
    <i r="1" i="2">
      <x v="2"/>
    </i>
    <i r="1" i="3">
      <x v="3"/>
    </i>
    <i>
      <x v="6"/>
      <x/>
    </i>
    <i r="1" i="1">
      <x v="1"/>
    </i>
    <i r="1" i="2">
      <x v="2"/>
    </i>
    <i r="1" i="3">
      <x v="3"/>
    </i>
    <i>
      <x v="7"/>
      <x/>
    </i>
    <i r="1" i="1">
      <x v="1"/>
    </i>
    <i r="1" i="2">
      <x v="2"/>
    </i>
    <i r="1" i="3">
      <x v="3"/>
    </i>
    <i>
      <x v="8"/>
      <x/>
    </i>
    <i r="1" i="1">
      <x v="1"/>
    </i>
    <i r="1" i="2">
      <x v="2"/>
    </i>
    <i r="1" i="3">
      <x v="3"/>
    </i>
    <i>
      <x v="9"/>
      <x/>
    </i>
    <i r="1" i="1">
      <x v="1"/>
    </i>
    <i r="1" i="2">
      <x v="2"/>
    </i>
    <i r="1" i="3">
      <x v="3"/>
    </i>
    <i>
      <x v="10"/>
      <x/>
    </i>
    <i r="1" i="1">
      <x v="1"/>
    </i>
    <i r="1" i="2">
      <x v="2"/>
    </i>
    <i r="1" i="3">
      <x v="3"/>
    </i>
    <i>
      <x v="11"/>
      <x/>
    </i>
    <i r="1" i="1">
      <x v="1"/>
    </i>
    <i r="1" i="2">
      <x v="2"/>
    </i>
    <i r="1" i="3">
      <x v="3"/>
    </i>
    <i>
      <x v="12"/>
      <x/>
    </i>
    <i r="1" i="1">
      <x v="1"/>
    </i>
    <i r="1" i="2">
      <x v="2"/>
    </i>
    <i r="1" i="3">
      <x v="3"/>
    </i>
    <i>
      <x v="13"/>
      <x/>
    </i>
    <i r="1" i="1">
      <x v="1"/>
    </i>
    <i r="1" i="2">
      <x v="2"/>
    </i>
    <i r="1" i="3">
      <x v="3"/>
    </i>
    <i>
      <x v="14"/>
      <x/>
    </i>
    <i r="1" i="1">
      <x v="1"/>
    </i>
    <i r="1" i="2">
      <x v="2"/>
    </i>
    <i r="1" i="3">
      <x v="3"/>
    </i>
    <i>
      <x v="15"/>
      <x/>
    </i>
    <i r="1" i="1">
      <x v="1"/>
    </i>
    <i r="1" i="2">
      <x v="2"/>
    </i>
    <i r="1" i="3">
      <x v="3"/>
    </i>
    <i>
      <x v="16"/>
      <x/>
    </i>
    <i r="1" i="1">
      <x v="1"/>
    </i>
    <i r="1" i="2">
      <x v="2"/>
    </i>
    <i r="1" i="3">
      <x v="3"/>
    </i>
    <i>
      <x v="17"/>
      <x/>
    </i>
    <i r="1" i="1">
      <x v="1"/>
    </i>
    <i r="1" i="2">
      <x v="2"/>
    </i>
    <i r="1" i="3">
      <x v="3"/>
    </i>
    <i>
      <x v="18"/>
      <x/>
    </i>
    <i r="1" i="1">
      <x v="1"/>
    </i>
    <i r="1" i="2">
      <x v="2"/>
    </i>
    <i r="1" i="3">
      <x v="3"/>
    </i>
    <i>
      <x v="19"/>
      <x/>
    </i>
    <i r="1" i="1">
      <x v="1"/>
    </i>
    <i r="1" i="2">
      <x v="2"/>
    </i>
    <i r="1" i="3">
      <x v="3"/>
    </i>
    <i>
      <x v="20"/>
      <x/>
    </i>
    <i r="1" i="1">
      <x v="1"/>
    </i>
    <i r="1" i="2">
      <x v="2"/>
    </i>
    <i r="1" i="3">
      <x v="3"/>
    </i>
    <i>
      <x v="21"/>
      <x/>
    </i>
    <i r="1" i="1">
      <x v="1"/>
    </i>
    <i r="1" i="2">
      <x v="2"/>
    </i>
    <i r="1" i="3">
      <x v="3"/>
    </i>
    <i>
      <x v="22"/>
      <x/>
    </i>
    <i r="1" i="1">
      <x v="1"/>
    </i>
    <i r="1" i="2">
      <x v="2"/>
    </i>
    <i r="1" i="3">
      <x v="3"/>
    </i>
    <i>
      <x v="23"/>
      <x/>
    </i>
    <i r="1" i="1">
      <x v="1"/>
    </i>
    <i r="1" i="2">
      <x v="2"/>
    </i>
    <i r="1" i="3">
      <x v="3"/>
    </i>
    <i>
      <x v="24"/>
      <x/>
    </i>
    <i r="1" i="1">
      <x v="1"/>
    </i>
    <i r="1" i="2">
      <x v="2"/>
    </i>
    <i r="1" i="3">
      <x v="3"/>
    </i>
    <i>
      <x v="25"/>
      <x/>
    </i>
    <i r="1" i="1">
      <x v="1"/>
    </i>
    <i r="1" i="2">
      <x v="2"/>
    </i>
    <i r="1" i="3">
      <x v="3"/>
    </i>
    <i>
      <x v="26"/>
      <x/>
    </i>
    <i r="1" i="1">
      <x v="1"/>
    </i>
    <i r="1" i="2">
      <x v="2"/>
    </i>
    <i r="1" i="3">
      <x v="3"/>
    </i>
    <i>
      <x v="27"/>
      <x/>
    </i>
    <i r="1" i="1">
      <x v="1"/>
    </i>
    <i r="1" i="2">
      <x v="2"/>
    </i>
    <i r="1" i="3">
      <x v="3"/>
    </i>
    <i>
      <x v="28"/>
      <x/>
    </i>
    <i r="1" i="1">
      <x v="1"/>
    </i>
    <i r="1" i="2">
      <x v="2"/>
    </i>
    <i r="1" i="3">
      <x v="3"/>
    </i>
    <i>
      <x v="29"/>
      <x/>
    </i>
    <i r="1" i="1">
      <x v="1"/>
    </i>
    <i r="1" i="2">
      <x v="2"/>
    </i>
    <i r="1" i="3">
      <x v="3"/>
    </i>
    <i>
      <x v="30"/>
      <x/>
    </i>
    <i r="1" i="1">
      <x v="1"/>
    </i>
    <i r="1" i="2">
      <x v="2"/>
    </i>
    <i r="1" i="3">
      <x v="3"/>
    </i>
    <i>
      <x v="31"/>
      <x/>
    </i>
    <i r="1" i="1">
      <x v="1"/>
    </i>
    <i r="1" i="2">
      <x v="2"/>
    </i>
    <i r="1" i="3">
      <x v="3"/>
    </i>
    <i>
      <x v="32"/>
      <x/>
    </i>
    <i r="1" i="1">
      <x v="1"/>
    </i>
    <i r="1" i="2">
      <x v="2"/>
    </i>
    <i r="1" i="3">
      <x v="3"/>
    </i>
    <i>
      <x v="33"/>
      <x/>
    </i>
    <i r="1" i="1">
      <x v="1"/>
    </i>
    <i r="1" i="2">
      <x v="2"/>
    </i>
    <i r="1" i="3">
      <x v="3"/>
    </i>
    <i>
      <x v="34"/>
      <x/>
    </i>
    <i r="1" i="1">
      <x v="1"/>
    </i>
    <i r="1" i="2">
      <x v="2"/>
    </i>
    <i r="1" i="3">
      <x v="3"/>
    </i>
    <i>
      <x v="35"/>
      <x/>
    </i>
    <i r="1" i="1">
      <x v="1"/>
    </i>
    <i r="1" i="2">
      <x v="2"/>
    </i>
    <i r="1" i="3">
      <x v="3"/>
    </i>
    <i>
      <x v="36"/>
      <x/>
    </i>
    <i r="1" i="1">
      <x v="1"/>
    </i>
    <i r="1" i="2">
      <x v="2"/>
    </i>
    <i r="1" i="3">
      <x v="3"/>
    </i>
    <i>
      <x v="37"/>
      <x/>
    </i>
    <i r="1" i="1">
      <x v="1"/>
    </i>
    <i r="1" i="2">
      <x v="2"/>
    </i>
    <i r="1" i="3">
      <x v="3"/>
    </i>
    <i>
      <x v="38"/>
      <x/>
    </i>
    <i r="1" i="1">
      <x v="1"/>
    </i>
    <i r="1" i="2">
      <x v="2"/>
    </i>
    <i r="1" i="3">
      <x v="3"/>
    </i>
    <i>
      <x v="39"/>
      <x/>
    </i>
    <i r="1" i="1">
      <x v="1"/>
    </i>
    <i r="1" i="2">
      <x v="2"/>
    </i>
    <i r="1" i="3">
      <x v="3"/>
    </i>
    <i>
      <x v="40"/>
      <x/>
    </i>
    <i r="1" i="1">
      <x v="1"/>
    </i>
    <i r="1" i="2">
      <x v="2"/>
    </i>
    <i r="1" i="3">
      <x v="3"/>
    </i>
    <i>
      <x v="41"/>
      <x/>
    </i>
    <i r="1" i="1">
      <x v="1"/>
    </i>
    <i r="1" i="2">
      <x v="2"/>
    </i>
    <i r="1" i="3">
      <x v="3"/>
    </i>
    <i>
      <x v="42"/>
      <x/>
    </i>
    <i r="1" i="1">
      <x v="1"/>
    </i>
    <i r="1" i="2">
      <x v="2"/>
    </i>
    <i r="1" i="3">
      <x v="3"/>
    </i>
    <i>
      <x v="43"/>
      <x/>
    </i>
    <i r="1" i="1">
      <x v="1"/>
    </i>
    <i r="1" i="2">
      <x v="2"/>
    </i>
    <i r="1" i="3">
      <x v="3"/>
    </i>
    <i>
      <x v="44"/>
      <x/>
    </i>
    <i r="1" i="1">
      <x v="1"/>
    </i>
    <i r="1" i="2">
      <x v="2"/>
    </i>
    <i r="1" i="3">
      <x v="3"/>
    </i>
    <i>
      <x v="45"/>
      <x/>
    </i>
    <i r="1" i="1">
      <x v="1"/>
    </i>
    <i r="1" i="2">
      <x v="2"/>
    </i>
    <i r="1" i="3">
      <x v="3"/>
    </i>
    <i>
      <x v="46"/>
      <x/>
    </i>
    <i r="1" i="1">
      <x v="1"/>
    </i>
    <i r="1" i="2">
      <x v="2"/>
    </i>
    <i r="1" i="3">
      <x v="3"/>
    </i>
    <i>
      <x v="47"/>
      <x/>
    </i>
    <i r="1" i="1">
      <x v="1"/>
    </i>
    <i r="1" i="2">
      <x v="2"/>
    </i>
    <i r="1" i="3">
      <x v="3"/>
    </i>
    <i>
      <x v="48"/>
      <x/>
    </i>
    <i r="1" i="1">
      <x v="1"/>
    </i>
    <i r="1" i="2">
      <x v="2"/>
    </i>
    <i r="1" i="3">
      <x v="3"/>
    </i>
    <i>
      <x v="49"/>
      <x/>
    </i>
    <i r="1" i="1">
      <x v="1"/>
    </i>
    <i r="1" i="2">
      <x v="2"/>
    </i>
    <i r="1" i="3">
      <x v="3"/>
    </i>
    <i>
      <x v="50"/>
      <x/>
    </i>
    <i r="1" i="1">
      <x v="1"/>
    </i>
    <i r="1" i="2">
      <x v="2"/>
    </i>
    <i r="1" i="3">
      <x v="3"/>
    </i>
    <i>
      <x v="51"/>
      <x/>
    </i>
    <i r="1" i="1">
      <x v="1"/>
    </i>
    <i r="1" i="2">
      <x v="2"/>
    </i>
    <i r="1" i="3">
      <x v="3"/>
    </i>
    <i>
      <x v="52"/>
      <x/>
    </i>
    <i r="1" i="1">
      <x v="1"/>
    </i>
    <i r="1" i="2">
      <x v="2"/>
    </i>
    <i r="1" i="3">
      <x v="3"/>
    </i>
    <i>
      <x v="53"/>
      <x/>
    </i>
    <i r="1" i="1">
      <x v="1"/>
    </i>
    <i r="1" i="2">
      <x v="2"/>
    </i>
    <i r="1" i="3">
      <x v="3"/>
    </i>
    <i>
      <x v="54"/>
      <x/>
    </i>
    <i r="1" i="1">
      <x v="1"/>
    </i>
    <i r="1" i="2">
      <x v="2"/>
    </i>
    <i r="1" i="3">
      <x v="3"/>
    </i>
    <i>
      <x v="55"/>
      <x/>
    </i>
    <i r="1" i="1">
      <x v="1"/>
    </i>
    <i r="1" i="2">
      <x v="2"/>
    </i>
    <i r="1" i="3">
      <x v="3"/>
    </i>
    <i>
      <x v="56"/>
      <x/>
    </i>
    <i r="1" i="1">
      <x v="1"/>
    </i>
    <i r="1" i="2">
      <x v="2"/>
    </i>
    <i r="1" i="3">
      <x v="3"/>
    </i>
    <i>
      <x v="57"/>
      <x/>
    </i>
    <i r="1" i="1">
      <x v="1"/>
    </i>
    <i r="1" i="2">
      <x v="2"/>
    </i>
    <i r="1" i="3">
      <x v="3"/>
    </i>
    <i>
      <x v="58"/>
      <x/>
    </i>
    <i r="1" i="1">
      <x v="1"/>
    </i>
    <i r="1" i="2">
      <x v="2"/>
    </i>
    <i r="1" i="3">
      <x v="3"/>
    </i>
    <i>
      <x v="59"/>
      <x/>
    </i>
    <i r="1" i="1">
      <x v="1"/>
    </i>
    <i r="1" i="2">
      <x v="2"/>
    </i>
    <i r="1" i="3">
      <x v="3"/>
    </i>
    <i>
      <x v="60"/>
      <x/>
    </i>
    <i r="1" i="1">
      <x v="1"/>
    </i>
    <i r="1" i="2">
      <x v="2"/>
    </i>
    <i r="1" i="3">
      <x v="3"/>
    </i>
    <i>
      <x v="61"/>
      <x/>
    </i>
    <i r="1" i="1">
      <x v="1"/>
    </i>
    <i r="1" i="2">
      <x v="2"/>
    </i>
    <i r="1" i="3">
      <x v="3"/>
    </i>
    <i>
      <x v="62"/>
      <x/>
    </i>
    <i r="1" i="1">
      <x v="1"/>
    </i>
    <i r="1" i="2">
      <x v="2"/>
    </i>
    <i r="1" i="3">
      <x v="3"/>
    </i>
    <i>
      <x v="63"/>
      <x/>
    </i>
    <i r="1" i="1">
      <x v="1"/>
    </i>
    <i r="1" i="2">
      <x v="2"/>
    </i>
    <i r="1" i="3">
      <x v="3"/>
    </i>
    <i>
      <x v="64"/>
      <x/>
    </i>
    <i r="1" i="1">
      <x v="1"/>
    </i>
    <i r="1" i="2">
      <x v="2"/>
    </i>
    <i r="1" i="3">
      <x v="3"/>
    </i>
    <i>
      <x v="65"/>
      <x/>
    </i>
    <i r="1" i="1">
      <x v="1"/>
    </i>
    <i r="1" i="2">
      <x v="2"/>
    </i>
    <i r="1" i="3">
      <x v="3"/>
    </i>
    <i>
      <x v="66"/>
      <x/>
    </i>
    <i r="1" i="1">
      <x v="1"/>
    </i>
    <i r="1" i="2">
      <x v="2"/>
    </i>
    <i r="1" i="3">
      <x v="3"/>
    </i>
    <i>
      <x v="67"/>
      <x/>
    </i>
    <i r="1" i="1">
      <x v="1"/>
    </i>
    <i r="1" i="2">
      <x v="2"/>
    </i>
    <i r="1" i="3">
      <x v="3"/>
    </i>
    <i>
      <x v="68"/>
      <x/>
    </i>
    <i r="1" i="1">
      <x v="1"/>
    </i>
    <i r="1" i="2">
      <x v="2"/>
    </i>
    <i r="1" i="3">
      <x v="3"/>
    </i>
    <i>
      <x v="69"/>
      <x/>
    </i>
    <i r="1" i="1">
      <x v="1"/>
    </i>
    <i r="1" i="2">
      <x v="2"/>
    </i>
    <i r="1" i="3">
      <x v="3"/>
    </i>
    <i>
      <x v="70"/>
      <x/>
    </i>
    <i r="1" i="1">
      <x v="1"/>
    </i>
    <i r="1" i="2">
      <x v="2"/>
    </i>
    <i r="1" i="3">
      <x v="3"/>
    </i>
    <i>
      <x v="71"/>
      <x/>
    </i>
    <i r="1" i="1">
      <x v="1"/>
    </i>
    <i r="1" i="2">
      <x v="2"/>
    </i>
    <i r="1" i="3">
      <x v="3"/>
    </i>
    <i>
      <x v="72"/>
      <x/>
    </i>
    <i r="1" i="1">
      <x v="1"/>
    </i>
    <i r="1" i="2">
      <x v="2"/>
    </i>
    <i r="1" i="3">
      <x v="3"/>
    </i>
    <i>
      <x v="73"/>
      <x/>
    </i>
    <i r="1" i="1">
      <x v="1"/>
    </i>
    <i r="1" i="2">
      <x v="2"/>
    </i>
    <i r="1" i="3">
      <x v="3"/>
    </i>
    <i>
      <x v="74"/>
      <x/>
    </i>
    <i r="1" i="1">
      <x v="1"/>
    </i>
    <i r="1" i="2">
      <x v="2"/>
    </i>
    <i r="1" i="3">
      <x v="3"/>
    </i>
    <i>
      <x v="75"/>
      <x/>
    </i>
    <i r="1" i="1">
      <x v="1"/>
    </i>
    <i r="1" i="2">
      <x v="2"/>
    </i>
    <i r="1" i="3">
      <x v="3"/>
    </i>
    <i>
      <x v="76"/>
      <x/>
    </i>
    <i r="1" i="1">
      <x v="1"/>
    </i>
    <i r="1" i="2">
      <x v="2"/>
    </i>
    <i r="1" i="3">
      <x v="3"/>
    </i>
    <i>
      <x v="77"/>
      <x/>
    </i>
    <i r="1" i="1">
      <x v="1"/>
    </i>
    <i r="1" i="2">
      <x v="2"/>
    </i>
    <i r="1" i="3">
      <x v="3"/>
    </i>
    <i>
      <x v="78"/>
      <x/>
    </i>
    <i r="1" i="1">
      <x v="1"/>
    </i>
    <i r="1" i="2">
      <x v="2"/>
    </i>
    <i r="1" i="3">
      <x v="3"/>
    </i>
    <i>
      <x v="79"/>
      <x/>
    </i>
    <i r="1" i="1">
      <x v="1"/>
    </i>
    <i r="1" i="2">
      <x v="2"/>
    </i>
    <i r="1" i="3">
      <x v="3"/>
    </i>
    <i>
      <x v="80"/>
      <x/>
    </i>
    <i r="1" i="1">
      <x v="1"/>
    </i>
    <i r="1" i="2">
      <x v="2"/>
    </i>
    <i r="1" i="3">
      <x v="3"/>
    </i>
    <i>
      <x v="81"/>
      <x/>
    </i>
    <i r="1" i="1">
      <x v="1"/>
    </i>
    <i r="1" i="2">
      <x v="2"/>
    </i>
    <i r="1" i="3">
      <x v="3"/>
    </i>
    <i>
      <x v="82"/>
      <x/>
    </i>
    <i r="1" i="1">
      <x v="1"/>
    </i>
    <i r="1" i="2">
      <x v="2"/>
    </i>
    <i r="1" i="3">
      <x v="3"/>
    </i>
    <i>
      <x v="83"/>
      <x/>
    </i>
    <i r="1" i="1">
      <x v="1"/>
    </i>
    <i r="1" i="2">
      <x v="2"/>
    </i>
    <i r="1" i="3">
      <x v="3"/>
    </i>
    <i>
      <x v="84"/>
      <x/>
    </i>
    <i r="1" i="1">
      <x v="1"/>
    </i>
    <i r="1" i="2">
      <x v="2"/>
    </i>
    <i r="1" i="3">
      <x v="3"/>
    </i>
    <i>
      <x v="85"/>
      <x/>
    </i>
    <i r="1" i="1">
      <x v="1"/>
    </i>
    <i r="1" i="2">
      <x v="2"/>
    </i>
    <i r="1" i="3">
      <x v="3"/>
    </i>
    <i>
      <x v="86"/>
      <x/>
    </i>
    <i r="1" i="1">
      <x v="1"/>
    </i>
    <i r="1" i="2">
      <x v="2"/>
    </i>
    <i r="1" i="3">
      <x v="3"/>
    </i>
    <i>
      <x v="87"/>
      <x/>
    </i>
    <i r="1" i="1">
      <x v="1"/>
    </i>
    <i r="1" i="2">
      <x v="2"/>
    </i>
    <i r="1" i="3">
      <x v="3"/>
    </i>
    <i>
      <x v="88"/>
      <x/>
    </i>
    <i r="1" i="1">
      <x v="1"/>
    </i>
    <i r="1" i="2">
      <x v="2"/>
    </i>
    <i r="1" i="3">
      <x v="3"/>
    </i>
    <i>
      <x v="89"/>
      <x/>
    </i>
    <i r="1" i="1">
      <x v="1"/>
    </i>
    <i r="1" i="2">
      <x v="2"/>
    </i>
    <i r="1" i="3">
      <x v="3"/>
    </i>
    <i>
      <x v="90"/>
      <x/>
    </i>
    <i r="1" i="1">
      <x v="1"/>
    </i>
    <i r="1" i="2">
      <x v="2"/>
    </i>
    <i r="1" i="3">
      <x v="3"/>
    </i>
    <i>
      <x v="91"/>
      <x/>
    </i>
    <i r="1" i="1">
      <x v="1"/>
    </i>
    <i r="1" i="2">
      <x v="2"/>
    </i>
    <i r="1" i="3">
      <x v="3"/>
    </i>
    <i>
      <x v="92"/>
      <x/>
    </i>
    <i r="1" i="1">
      <x v="1"/>
    </i>
    <i r="1" i="2">
      <x v="2"/>
    </i>
    <i r="1" i="3">
      <x v="3"/>
    </i>
    <i>
      <x v="93"/>
      <x/>
    </i>
    <i r="1" i="1">
      <x v="1"/>
    </i>
    <i r="1" i="2">
      <x v="2"/>
    </i>
    <i r="1" i="3">
      <x v="3"/>
    </i>
    <i t="grand">
      <x/>
    </i>
    <i t="grand" i="1">
      <x/>
    </i>
    <i t="grand" i="2">
      <x/>
    </i>
    <i t="grand" i="3">
      <x/>
    </i>
  </rowItems>
  <colFields count="1">
    <field x="1"/>
  </colFields>
  <colItems count="4">
    <i>
      <x v="1"/>
    </i>
    <i>
      <x v="2"/>
    </i>
    <i>
      <x v="3"/>
    </i>
    <i t="grand">
      <x/>
    </i>
  </colItems>
  <dataFields count="4">
    <dataField name="Sum of COrad" fld="65" baseField="0" baseItem="9"/>
    <dataField name="Sum of COno" fld="66" baseField="0" baseItem="9"/>
    <dataField name="Sum of COrecap" fld="67" baseField="0" baseItem="9"/>
    <dataField name="Sum of COjack" fld="68" baseField="0" baseItem="9"/>
  </dataFields>
  <formats count="3">
    <format dxfId="30">
      <pivotArea grandCol="1" outline="0" fieldPosition="0"/>
    </format>
    <format dxfId="29">
      <pivotArea type="topRight" dataOnly="0" labelOnly="1" outline="0" fieldPosition="0"/>
    </format>
    <format dxfId="28">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3"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W4:BB290"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2"/>
  </rowFields>
  <rowItems count="285">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x v="16"/>
      <x/>
    </i>
    <i r="1" i="1">
      <x v="1"/>
    </i>
    <i r="1" i="2">
      <x v="2"/>
    </i>
    <i>
      <x v="17"/>
      <x/>
    </i>
    <i r="1" i="1">
      <x v="1"/>
    </i>
    <i r="1" i="2">
      <x v="2"/>
    </i>
    <i>
      <x v="18"/>
      <x/>
    </i>
    <i r="1" i="1">
      <x v="1"/>
    </i>
    <i r="1" i="2">
      <x v="2"/>
    </i>
    <i>
      <x v="19"/>
      <x/>
    </i>
    <i r="1" i="1">
      <x v="1"/>
    </i>
    <i r="1" i="2">
      <x v="2"/>
    </i>
    <i>
      <x v="20"/>
      <x/>
    </i>
    <i r="1" i="1">
      <x v="1"/>
    </i>
    <i r="1" i="2">
      <x v="2"/>
    </i>
    <i>
      <x v="21"/>
      <x/>
    </i>
    <i r="1" i="1">
      <x v="1"/>
    </i>
    <i r="1" i="2">
      <x v="2"/>
    </i>
    <i>
      <x v="22"/>
      <x/>
    </i>
    <i r="1" i="1">
      <x v="1"/>
    </i>
    <i r="1" i="2">
      <x v="2"/>
    </i>
    <i>
      <x v="23"/>
      <x/>
    </i>
    <i r="1" i="1">
      <x v="1"/>
    </i>
    <i r="1" i="2">
      <x v="2"/>
    </i>
    <i>
      <x v="24"/>
      <x/>
    </i>
    <i r="1" i="1">
      <x v="1"/>
    </i>
    <i r="1" i="2">
      <x v="2"/>
    </i>
    <i>
      <x v="25"/>
      <x/>
    </i>
    <i r="1" i="1">
      <x v="1"/>
    </i>
    <i r="1" i="2">
      <x v="2"/>
    </i>
    <i>
      <x v="26"/>
      <x/>
    </i>
    <i r="1" i="1">
      <x v="1"/>
    </i>
    <i r="1" i="2">
      <x v="2"/>
    </i>
    <i>
      <x v="27"/>
      <x/>
    </i>
    <i r="1" i="1">
      <x v="1"/>
    </i>
    <i r="1" i="2">
      <x v="2"/>
    </i>
    <i>
      <x v="28"/>
      <x/>
    </i>
    <i r="1" i="1">
      <x v="1"/>
    </i>
    <i r="1" i="2">
      <x v="2"/>
    </i>
    <i>
      <x v="29"/>
      <x/>
    </i>
    <i r="1" i="1">
      <x v="1"/>
    </i>
    <i r="1" i="2">
      <x v="2"/>
    </i>
    <i>
      <x v="30"/>
      <x/>
    </i>
    <i r="1" i="1">
      <x v="1"/>
    </i>
    <i r="1" i="2">
      <x v="2"/>
    </i>
    <i>
      <x v="31"/>
      <x/>
    </i>
    <i r="1" i="1">
      <x v="1"/>
    </i>
    <i r="1" i="2">
      <x v="2"/>
    </i>
    <i>
      <x v="32"/>
      <x/>
    </i>
    <i r="1" i="1">
      <x v="1"/>
    </i>
    <i r="1" i="2">
      <x v="2"/>
    </i>
    <i>
      <x v="33"/>
      <x/>
    </i>
    <i r="1" i="1">
      <x v="1"/>
    </i>
    <i r="1" i="2">
      <x v="2"/>
    </i>
    <i>
      <x v="34"/>
      <x/>
    </i>
    <i r="1" i="1">
      <x v="1"/>
    </i>
    <i r="1" i="2">
      <x v="2"/>
    </i>
    <i>
      <x v="35"/>
      <x/>
    </i>
    <i r="1" i="1">
      <x v="1"/>
    </i>
    <i r="1" i="2">
      <x v="2"/>
    </i>
    <i>
      <x v="36"/>
      <x/>
    </i>
    <i r="1" i="1">
      <x v="1"/>
    </i>
    <i r="1" i="2">
      <x v="2"/>
    </i>
    <i>
      <x v="37"/>
      <x/>
    </i>
    <i r="1" i="1">
      <x v="1"/>
    </i>
    <i r="1" i="2">
      <x v="2"/>
    </i>
    <i>
      <x v="38"/>
      <x/>
    </i>
    <i r="1" i="1">
      <x v="1"/>
    </i>
    <i r="1" i="2">
      <x v="2"/>
    </i>
    <i>
      <x v="39"/>
      <x/>
    </i>
    <i r="1" i="1">
      <x v="1"/>
    </i>
    <i r="1" i="2">
      <x v="2"/>
    </i>
    <i>
      <x v="40"/>
      <x/>
    </i>
    <i r="1" i="1">
      <x v="1"/>
    </i>
    <i r="1" i="2">
      <x v="2"/>
    </i>
    <i>
      <x v="41"/>
      <x/>
    </i>
    <i r="1" i="1">
      <x v="1"/>
    </i>
    <i r="1" i="2">
      <x v="2"/>
    </i>
    <i>
      <x v="42"/>
      <x/>
    </i>
    <i r="1" i="1">
      <x v="1"/>
    </i>
    <i r="1" i="2">
      <x v="2"/>
    </i>
    <i>
      <x v="43"/>
      <x/>
    </i>
    <i r="1" i="1">
      <x v="1"/>
    </i>
    <i r="1" i="2">
      <x v="2"/>
    </i>
    <i>
      <x v="44"/>
      <x/>
    </i>
    <i r="1" i="1">
      <x v="1"/>
    </i>
    <i r="1" i="2">
      <x v="2"/>
    </i>
    <i>
      <x v="45"/>
      <x/>
    </i>
    <i r="1" i="1">
      <x v="1"/>
    </i>
    <i r="1" i="2">
      <x v="2"/>
    </i>
    <i>
      <x v="46"/>
      <x/>
    </i>
    <i r="1" i="1">
      <x v="1"/>
    </i>
    <i r="1" i="2">
      <x v="2"/>
    </i>
    <i>
      <x v="47"/>
      <x/>
    </i>
    <i r="1" i="1">
      <x v="1"/>
    </i>
    <i r="1" i="2">
      <x v="2"/>
    </i>
    <i>
      <x v="48"/>
      <x/>
    </i>
    <i r="1" i="1">
      <x v="1"/>
    </i>
    <i r="1" i="2">
      <x v="2"/>
    </i>
    <i>
      <x v="49"/>
      <x/>
    </i>
    <i r="1" i="1">
      <x v="1"/>
    </i>
    <i r="1" i="2">
      <x v="2"/>
    </i>
    <i>
      <x v="50"/>
      <x/>
    </i>
    <i r="1" i="1">
      <x v="1"/>
    </i>
    <i r="1" i="2">
      <x v="2"/>
    </i>
    <i>
      <x v="51"/>
      <x/>
    </i>
    <i r="1" i="1">
      <x v="1"/>
    </i>
    <i r="1" i="2">
      <x v="2"/>
    </i>
    <i>
      <x v="52"/>
      <x/>
    </i>
    <i r="1" i="1">
      <x v="1"/>
    </i>
    <i r="1" i="2">
      <x v="2"/>
    </i>
    <i>
      <x v="53"/>
      <x/>
    </i>
    <i r="1" i="1">
      <x v="1"/>
    </i>
    <i r="1" i="2">
      <x v="2"/>
    </i>
    <i>
      <x v="54"/>
      <x/>
    </i>
    <i r="1" i="1">
      <x v="1"/>
    </i>
    <i r="1" i="2">
      <x v="2"/>
    </i>
    <i>
      <x v="55"/>
      <x/>
    </i>
    <i r="1" i="1">
      <x v="1"/>
    </i>
    <i r="1" i="2">
      <x v="2"/>
    </i>
    <i>
      <x v="56"/>
      <x/>
    </i>
    <i r="1" i="1">
      <x v="1"/>
    </i>
    <i r="1" i="2">
      <x v="2"/>
    </i>
    <i>
      <x v="57"/>
      <x/>
    </i>
    <i r="1" i="1">
      <x v="1"/>
    </i>
    <i r="1" i="2">
      <x v="2"/>
    </i>
    <i>
      <x v="58"/>
      <x/>
    </i>
    <i r="1" i="1">
      <x v="1"/>
    </i>
    <i r="1" i="2">
      <x v="2"/>
    </i>
    <i>
      <x v="59"/>
      <x/>
    </i>
    <i r="1" i="1">
      <x v="1"/>
    </i>
    <i r="1" i="2">
      <x v="2"/>
    </i>
    <i>
      <x v="60"/>
      <x/>
    </i>
    <i r="1" i="1">
      <x v="1"/>
    </i>
    <i r="1" i="2">
      <x v="2"/>
    </i>
    <i>
      <x v="61"/>
      <x/>
    </i>
    <i r="1" i="1">
      <x v="1"/>
    </i>
    <i r="1" i="2">
      <x v="2"/>
    </i>
    <i>
      <x v="62"/>
      <x/>
    </i>
    <i r="1" i="1">
      <x v="1"/>
    </i>
    <i r="1" i="2">
      <x v="2"/>
    </i>
    <i>
      <x v="63"/>
      <x/>
    </i>
    <i r="1" i="1">
      <x v="1"/>
    </i>
    <i r="1" i="2">
      <x v="2"/>
    </i>
    <i>
      <x v="64"/>
      <x/>
    </i>
    <i r="1" i="1">
      <x v="1"/>
    </i>
    <i r="1" i="2">
      <x v="2"/>
    </i>
    <i>
      <x v="65"/>
      <x/>
    </i>
    <i r="1" i="1">
      <x v="1"/>
    </i>
    <i r="1" i="2">
      <x v="2"/>
    </i>
    <i>
      <x v="66"/>
      <x/>
    </i>
    <i r="1" i="1">
      <x v="1"/>
    </i>
    <i r="1" i="2">
      <x v="2"/>
    </i>
    <i>
      <x v="67"/>
      <x/>
    </i>
    <i r="1" i="1">
      <x v="1"/>
    </i>
    <i r="1" i="2">
      <x v="2"/>
    </i>
    <i>
      <x v="68"/>
      <x/>
    </i>
    <i r="1" i="1">
      <x v="1"/>
    </i>
    <i r="1" i="2">
      <x v="2"/>
    </i>
    <i>
      <x v="69"/>
      <x/>
    </i>
    <i r="1" i="1">
      <x v="1"/>
    </i>
    <i r="1" i="2">
      <x v="2"/>
    </i>
    <i>
      <x v="70"/>
      <x/>
    </i>
    <i r="1" i="1">
      <x v="1"/>
    </i>
    <i r="1" i="2">
      <x v="2"/>
    </i>
    <i>
      <x v="71"/>
      <x/>
    </i>
    <i r="1" i="1">
      <x v="1"/>
    </i>
    <i r="1" i="2">
      <x v="2"/>
    </i>
    <i>
      <x v="72"/>
      <x/>
    </i>
    <i r="1" i="1">
      <x v="1"/>
    </i>
    <i r="1" i="2">
      <x v="2"/>
    </i>
    <i>
      <x v="73"/>
      <x/>
    </i>
    <i r="1" i="1">
      <x v="1"/>
    </i>
    <i r="1" i="2">
      <x v="2"/>
    </i>
    <i>
      <x v="74"/>
      <x/>
    </i>
    <i r="1" i="1">
      <x v="1"/>
    </i>
    <i r="1" i="2">
      <x v="2"/>
    </i>
    <i>
      <x v="75"/>
      <x/>
    </i>
    <i r="1" i="1">
      <x v="1"/>
    </i>
    <i r="1" i="2">
      <x v="2"/>
    </i>
    <i>
      <x v="76"/>
      <x/>
    </i>
    <i r="1" i="1">
      <x v="1"/>
    </i>
    <i r="1" i="2">
      <x v="2"/>
    </i>
    <i>
      <x v="77"/>
      <x/>
    </i>
    <i r="1" i="1">
      <x v="1"/>
    </i>
    <i r="1" i="2">
      <x v="2"/>
    </i>
    <i>
      <x v="78"/>
      <x/>
    </i>
    <i r="1" i="1">
      <x v="1"/>
    </i>
    <i r="1" i="2">
      <x v="2"/>
    </i>
    <i>
      <x v="79"/>
      <x/>
    </i>
    <i r="1" i="1">
      <x v="1"/>
    </i>
    <i r="1" i="2">
      <x v="2"/>
    </i>
    <i>
      <x v="80"/>
      <x/>
    </i>
    <i r="1" i="1">
      <x v="1"/>
    </i>
    <i r="1" i="2">
      <x v="2"/>
    </i>
    <i>
      <x v="81"/>
      <x/>
    </i>
    <i r="1" i="1">
      <x v="1"/>
    </i>
    <i r="1" i="2">
      <x v="2"/>
    </i>
    <i>
      <x v="82"/>
      <x/>
    </i>
    <i r="1" i="1">
      <x v="1"/>
    </i>
    <i r="1" i="2">
      <x v="2"/>
    </i>
    <i>
      <x v="83"/>
      <x/>
    </i>
    <i r="1" i="1">
      <x v="1"/>
    </i>
    <i r="1" i="2">
      <x v="2"/>
    </i>
    <i>
      <x v="84"/>
      <x/>
    </i>
    <i r="1" i="1">
      <x v="1"/>
    </i>
    <i r="1" i="2">
      <x v="2"/>
    </i>
    <i>
      <x v="85"/>
      <x/>
    </i>
    <i r="1" i="1">
      <x v="1"/>
    </i>
    <i r="1" i="2">
      <x v="2"/>
    </i>
    <i>
      <x v="86"/>
      <x/>
    </i>
    <i r="1" i="1">
      <x v="1"/>
    </i>
    <i r="1" i="2">
      <x v="2"/>
    </i>
    <i>
      <x v="87"/>
      <x/>
    </i>
    <i r="1" i="1">
      <x v="1"/>
    </i>
    <i r="1" i="2">
      <x v="2"/>
    </i>
    <i>
      <x v="88"/>
      <x/>
    </i>
    <i r="1" i="1">
      <x v="1"/>
    </i>
    <i r="1" i="2">
      <x v="2"/>
    </i>
    <i>
      <x v="89"/>
      <x/>
    </i>
    <i r="1" i="1">
      <x v="1"/>
    </i>
    <i r="1" i="2">
      <x v="2"/>
    </i>
    <i>
      <x v="90"/>
      <x/>
    </i>
    <i r="1" i="1">
      <x v="1"/>
    </i>
    <i r="1" i="2">
      <x v="2"/>
    </i>
    <i>
      <x v="91"/>
      <x/>
    </i>
    <i r="1" i="1">
      <x v="1"/>
    </i>
    <i r="1" i="2">
      <x v="2"/>
    </i>
    <i>
      <x v="92"/>
      <x/>
    </i>
    <i r="1" i="1">
      <x v="1"/>
    </i>
    <i r="1" i="2">
      <x v="2"/>
    </i>
    <i>
      <x v="93"/>
      <x/>
    </i>
    <i r="1" i="1">
      <x v="1"/>
    </i>
    <i r="1" i="2">
      <x v="2"/>
    </i>
    <i t="grand">
      <x/>
    </i>
    <i t="grand" i="1">
      <x/>
    </i>
    <i t="grand" i="2">
      <x/>
    </i>
  </rowItems>
  <colFields count="1">
    <field x="1"/>
  </colFields>
  <colItems count="4">
    <i>
      <x v="1"/>
    </i>
    <i>
      <x v="2"/>
    </i>
    <i>
      <x v="3"/>
    </i>
    <i t="grand">
      <x/>
    </i>
  </colItems>
  <dataFields count="3">
    <dataField name="Sum of CMrad" fld="62" baseField="0" baseItem="2"/>
    <dataField name="Sum of CMno" fld="63" baseField="0" baseItem="2"/>
    <dataField name="Sum of CMrecap" fld="64" baseField="0" baseItem="2"/>
  </dataFields>
  <formats count="3">
    <format dxfId="33">
      <pivotArea grandCol="1" outline="0" fieldPosition="0"/>
    </format>
    <format dxfId="32">
      <pivotArea type="topRight" dataOnly="0" labelOnly="1" outline="0" fieldPosition="0"/>
    </format>
    <format dxfId="31">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127" dataOnRows="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K4:AP290" firstHeaderRow="1" firstDataRow="2" firstDataCol="2"/>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2"/>
  </rowFields>
  <rowItems count="285">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x v="16"/>
      <x/>
    </i>
    <i r="1" i="1">
      <x v="1"/>
    </i>
    <i r="1" i="2">
      <x v="2"/>
    </i>
    <i>
      <x v="17"/>
      <x/>
    </i>
    <i r="1" i="1">
      <x v="1"/>
    </i>
    <i r="1" i="2">
      <x v="2"/>
    </i>
    <i>
      <x v="18"/>
      <x/>
    </i>
    <i r="1" i="1">
      <x v="1"/>
    </i>
    <i r="1" i="2">
      <x v="2"/>
    </i>
    <i>
      <x v="19"/>
      <x/>
    </i>
    <i r="1" i="1">
      <x v="1"/>
    </i>
    <i r="1" i="2">
      <x v="2"/>
    </i>
    <i>
      <x v="20"/>
      <x/>
    </i>
    <i r="1" i="1">
      <x v="1"/>
    </i>
    <i r="1" i="2">
      <x v="2"/>
    </i>
    <i>
      <x v="21"/>
      <x/>
    </i>
    <i r="1" i="1">
      <x v="1"/>
    </i>
    <i r="1" i="2">
      <x v="2"/>
    </i>
    <i>
      <x v="22"/>
      <x/>
    </i>
    <i r="1" i="1">
      <x v="1"/>
    </i>
    <i r="1" i="2">
      <x v="2"/>
    </i>
    <i>
      <x v="23"/>
      <x/>
    </i>
    <i r="1" i="1">
      <x v="1"/>
    </i>
    <i r="1" i="2">
      <x v="2"/>
    </i>
    <i>
      <x v="24"/>
      <x/>
    </i>
    <i r="1" i="1">
      <x v="1"/>
    </i>
    <i r="1" i="2">
      <x v="2"/>
    </i>
    <i>
      <x v="25"/>
      <x/>
    </i>
    <i r="1" i="1">
      <x v="1"/>
    </i>
    <i r="1" i="2">
      <x v="2"/>
    </i>
    <i>
      <x v="26"/>
      <x/>
    </i>
    <i r="1" i="1">
      <x v="1"/>
    </i>
    <i r="1" i="2">
      <x v="2"/>
    </i>
    <i>
      <x v="27"/>
      <x/>
    </i>
    <i r="1" i="1">
      <x v="1"/>
    </i>
    <i r="1" i="2">
      <x v="2"/>
    </i>
    <i>
      <x v="28"/>
      <x/>
    </i>
    <i r="1" i="1">
      <x v="1"/>
    </i>
    <i r="1" i="2">
      <x v="2"/>
    </i>
    <i>
      <x v="29"/>
      <x/>
    </i>
    <i r="1" i="1">
      <x v="1"/>
    </i>
    <i r="1" i="2">
      <x v="2"/>
    </i>
    <i>
      <x v="30"/>
      <x/>
    </i>
    <i r="1" i="1">
      <x v="1"/>
    </i>
    <i r="1" i="2">
      <x v="2"/>
    </i>
    <i>
      <x v="31"/>
      <x/>
    </i>
    <i r="1" i="1">
      <x v="1"/>
    </i>
    <i r="1" i="2">
      <x v="2"/>
    </i>
    <i>
      <x v="32"/>
      <x/>
    </i>
    <i r="1" i="1">
      <x v="1"/>
    </i>
    <i r="1" i="2">
      <x v="2"/>
    </i>
    <i>
      <x v="33"/>
      <x/>
    </i>
    <i r="1" i="1">
      <x v="1"/>
    </i>
    <i r="1" i="2">
      <x v="2"/>
    </i>
    <i>
      <x v="34"/>
      <x/>
    </i>
    <i r="1" i="1">
      <x v="1"/>
    </i>
    <i r="1" i="2">
      <x v="2"/>
    </i>
    <i>
      <x v="35"/>
      <x/>
    </i>
    <i r="1" i="1">
      <x v="1"/>
    </i>
    <i r="1" i="2">
      <x v="2"/>
    </i>
    <i>
      <x v="36"/>
      <x/>
    </i>
    <i r="1" i="1">
      <x v="1"/>
    </i>
    <i r="1" i="2">
      <x v="2"/>
    </i>
    <i>
      <x v="37"/>
      <x/>
    </i>
    <i r="1" i="1">
      <x v="1"/>
    </i>
    <i r="1" i="2">
      <x v="2"/>
    </i>
    <i>
      <x v="38"/>
      <x/>
    </i>
    <i r="1" i="1">
      <x v="1"/>
    </i>
    <i r="1" i="2">
      <x v="2"/>
    </i>
    <i>
      <x v="39"/>
      <x/>
    </i>
    <i r="1" i="1">
      <x v="1"/>
    </i>
    <i r="1" i="2">
      <x v="2"/>
    </i>
    <i>
      <x v="40"/>
      <x/>
    </i>
    <i r="1" i="1">
      <x v="1"/>
    </i>
    <i r="1" i="2">
      <x v="2"/>
    </i>
    <i>
      <x v="41"/>
      <x/>
    </i>
    <i r="1" i="1">
      <x v="1"/>
    </i>
    <i r="1" i="2">
      <x v="2"/>
    </i>
    <i>
      <x v="42"/>
      <x/>
    </i>
    <i r="1" i="1">
      <x v="1"/>
    </i>
    <i r="1" i="2">
      <x v="2"/>
    </i>
    <i>
      <x v="43"/>
      <x/>
    </i>
    <i r="1" i="1">
      <x v="1"/>
    </i>
    <i r="1" i="2">
      <x v="2"/>
    </i>
    <i>
      <x v="44"/>
      <x/>
    </i>
    <i r="1" i="1">
      <x v="1"/>
    </i>
    <i r="1" i="2">
      <x v="2"/>
    </i>
    <i>
      <x v="45"/>
      <x/>
    </i>
    <i r="1" i="1">
      <x v="1"/>
    </i>
    <i r="1" i="2">
      <x v="2"/>
    </i>
    <i>
      <x v="46"/>
      <x/>
    </i>
    <i r="1" i="1">
      <x v="1"/>
    </i>
    <i r="1" i="2">
      <x v="2"/>
    </i>
    <i>
      <x v="47"/>
      <x/>
    </i>
    <i r="1" i="1">
      <x v="1"/>
    </i>
    <i r="1" i="2">
      <x v="2"/>
    </i>
    <i>
      <x v="48"/>
      <x/>
    </i>
    <i r="1" i="1">
      <x v="1"/>
    </i>
    <i r="1" i="2">
      <x v="2"/>
    </i>
    <i>
      <x v="49"/>
      <x/>
    </i>
    <i r="1" i="1">
      <x v="1"/>
    </i>
    <i r="1" i="2">
      <x v="2"/>
    </i>
    <i>
      <x v="50"/>
      <x/>
    </i>
    <i r="1" i="1">
      <x v="1"/>
    </i>
    <i r="1" i="2">
      <x v="2"/>
    </i>
    <i>
      <x v="51"/>
      <x/>
    </i>
    <i r="1" i="1">
      <x v="1"/>
    </i>
    <i r="1" i="2">
      <x v="2"/>
    </i>
    <i>
      <x v="52"/>
      <x/>
    </i>
    <i r="1" i="1">
      <x v="1"/>
    </i>
    <i r="1" i="2">
      <x v="2"/>
    </i>
    <i>
      <x v="53"/>
      <x/>
    </i>
    <i r="1" i="1">
      <x v="1"/>
    </i>
    <i r="1" i="2">
      <x v="2"/>
    </i>
    <i>
      <x v="54"/>
      <x/>
    </i>
    <i r="1" i="1">
      <x v="1"/>
    </i>
    <i r="1" i="2">
      <x v="2"/>
    </i>
    <i>
      <x v="55"/>
      <x/>
    </i>
    <i r="1" i="1">
      <x v="1"/>
    </i>
    <i r="1" i="2">
      <x v="2"/>
    </i>
    <i>
      <x v="56"/>
      <x/>
    </i>
    <i r="1" i="1">
      <x v="1"/>
    </i>
    <i r="1" i="2">
      <x v="2"/>
    </i>
    <i>
      <x v="57"/>
      <x/>
    </i>
    <i r="1" i="1">
      <x v="1"/>
    </i>
    <i r="1" i="2">
      <x v="2"/>
    </i>
    <i>
      <x v="58"/>
      <x/>
    </i>
    <i r="1" i="1">
      <x v="1"/>
    </i>
    <i r="1" i="2">
      <x v="2"/>
    </i>
    <i>
      <x v="59"/>
      <x/>
    </i>
    <i r="1" i="1">
      <x v="1"/>
    </i>
    <i r="1" i="2">
      <x v="2"/>
    </i>
    <i>
      <x v="60"/>
      <x/>
    </i>
    <i r="1" i="1">
      <x v="1"/>
    </i>
    <i r="1" i="2">
      <x v="2"/>
    </i>
    <i>
      <x v="61"/>
      <x/>
    </i>
    <i r="1" i="1">
      <x v="1"/>
    </i>
    <i r="1" i="2">
      <x v="2"/>
    </i>
    <i>
      <x v="62"/>
      <x/>
    </i>
    <i r="1" i="1">
      <x v="1"/>
    </i>
    <i r="1" i="2">
      <x v="2"/>
    </i>
    <i>
      <x v="63"/>
      <x/>
    </i>
    <i r="1" i="1">
      <x v="1"/>
    </i>
    <i r="1" i="2">
      <x v="2"/>
    </i>
    <i>
      <x v="64"/>
      <x/>
    </i>
    <i r="1" i="1">
      <x v="1"/>
    </i>
    <i r="1" i="2">
      <x v="2"/>
    </i>
    <i>
      <x v="65"/>
      <x/>
    </i>
    <i r="1" i="1">
      <x v="1"/>
    </i>
    <i r="1" i="2">
      <x v="2"/>
    </i>
    <i>
      <x v="66"/>
      <x/>
    </i>
    <i r="1" i="1">
      <x v="1"/>
    </i>
    <i r="1" i="2">
      <x v="2"/>
    </i>
    <i>
      <x v="67"/>
      <x/>
    </i>
    <i r="1" i="1">
      <x v="1"/>
    </i>
    <i r="1" i="2">
      <x v="2"/>
    </i>
    <i>
      <x v="68"/>
      <x/>
    </i>
    <i r="1" i="1">
      <x v="1"/>
    </i>
    <i r="1" i="2">
      <x v="2"/>
    </i>
    <i>
      <x v="69"/>
      <x/>
    </i>
    <i r="1" i="1">
      <x v="1"/>
    </i>
    <i r="1" i="2">
      <x v="2"/>
    </i>
    <i>
      <x v="70"/>
      <x/>
    </i>
    <i r="1" i="1">
      <x v="1"/>
    </i>
    <i r="1" i="2">
      <x v="2"/>
    </i>
    <i>
      <x v="71"/>
      <x/>
    </i>
    <i r="1" i="1">
      <x v="1"/>
    </i>
    <i r="1" i="2">
      <x v="2"/>
    </i>
    <i>
      <x v="72"/>
      <x/>
    </i>
    <i r="1" i="1">
      <x v="1"/>
    </i>
    <i r="1" i="2">
      <x v="2"/>
    </i>
    <i>
      <x v="73"/>
      <x/>
    </i>
    <i r="1" i="1">
      <x v="1"/>
    </i>
    <i r="1" i="2">
      <x v="2"/>
    </i>
    <i>
      <x v="74"/>
      <x/>
    </i>
    <i r="1" i="1">
      <x v="1"/>
    </i>
    <i r="1" i="2">
      <x v="2"/>
    </i>
    <i>
      <x v="75"/>
      <x/>
    </i>
    <i r="1" i="1">
      <x v="1"/>
    </i>
    <i r="1" i="2">
      <x v="2"/>
    </i>
    <i>
      <x v="76"/>
      <x/>
    </i>
    <i r="1" i="1">
      <x v="1"/>
    </i>
    <i r="1" i="2">
      <x v="2"/>
    </i>
    <i>
      <x v="77"/>
      <x/>
    </i>
    <i r="1" i="1">
      <x v="1"/>
    </i>
    <i r="1" i="2">
      <x v="2"/>
    </i>
    <i>
      <x v="78"/>
      <x/>
    </i>
    <i r="1" i="1">
      <x v="1"/>
    </i>
    <i r="1" i="2">
      <x v="2"/>
    </i>
    <i>
      <x v="79"/>
      <x/>
    </i>
    <i r="1" i="1">
      <x v="1"/>
    </i>
    <i r="1" i="2">
      <x v="2"/>
    </i>
    <i>
      <x v="80"/>
      <x/>
    </i>
    <i r="1" i="1">
      <x v="1"/>
    </i>
    <i r="1" i="2">
      <x v="2"/>
    </i>
    <i>
      <x v="81"/>
      <x/>
    </i>
    <i r="1" i="1">
      <x v="1"/>
    </i>
    <i r="1" i="2">
      <x v="2"/>
    </i>
    <i>
      <x v="82"/>
      <x/>
    </i>
    <i r="1" i="1">
      <x v="1"/>
    </i>
    <i r="1" i="2">
      <x v="2"/>
    </i>
    <i>
      <x v="83"/>
      <x/>
    </i>
    <i r="1" i="1">
      <x v="1"/>
    </i>
    <i r="1" i="2">
      <x v="2"/>
    </i>
    <i>
      <x v="84"/>
      <x/>
    </i>
    <i r="1" i="1">
      <x v="1"/>
    </i>
    <i r="1" i="2">
      <x v="2"/>
    </i>
    <i>
      <x v="85"/>
      <x/>
    </i>
    <i r="1" i="1">
      <x v="1"/>
    </i>
    <i r="1" i="2">
      <x v="2"/>
    </i>
    <i>
      <x v="86"/>
      <x/>
    </i>
    <i r="1" i="1">
      <x v="1"/>
    </i>
    <i r="1" i="2">
      <x v="2"/>
    </i>
    <i>
      <x v="87"/>
      <x/>
    </i>
    <i r="1" i="1">
      <x v="1"/>
    </i>
    <i r="1" i="2">
      <x v="2"/>
    </i>
    <i>
      <x v="88"/>
      <x/>
    </i>
    <i r="1" i="1">
      <x v="1"/>
    </i>
    <i r="1" i="2">
      <x v="2"/>
    </i>
    <i>
      <x v="89"/>
      <x/>
    </i>
    <i r="1" i="1">
      <x v="1"/>
    </i>
    <i r="1" i="2">
      <x v="2"/>
    </i>
    <i>
      <x v="90"/>
      <x/>
    </i>
    <i r="1" i="1">
      <x v="1"/>
    </i>
    <i r="1" i="2">
      <x v="2"/>
    </i>
    <i>
      <x v="91"/>
      <x/>
    </i>
    <i r="1" i="1">
      <x v="1"/>
    </i>
    <i r="1" i="2">
      <x v="2"/>
    </i>
    <i>
      <x v="92"/>
      <x/>
    </i>
    <i r="1" i="1">
      <x v="1"/>
    </i>
    <i r="1" i="2">
      <x v="2"/>
    </i>
    <i>
      <x v="93"/>
      <x/>
    </i>
    <i r="1" i="1">
      <x v="1"/>
    </i>
    <i r="1" i="2">
      <x v="2"/>
    </i>
    <i t="grand">
      <x/>
    </i>
    <i t="grand" i="1">
      <x/>
    </i>
    <i t="grand" i="2">
      <x/>
    </i>
  </rowItems>
  <colFields count="1">
    <field x="1"/>
  </colFields>
  <colItems count="4">
    <i>
      <x v="1"/>
    </i>
    <i>
      <x v="2"/>
    </i>
    <i>
      <x v="3"/>
    </i>
    <i t="grand">
      <x/>
    </i>
  </colItems>
  <dataFields count="3">
    <dataField name="Sum of PKrad" fld="59" baseField="0" baseItem="3"/>
    <dataField name="Sum of PKno" fld="60" baseField="0" baseItem="3"/>
    <dataField name="Sum of PKrecap" fld="61" baseField="0" baseItem="3"/>
  </dataFields>
  <formats count="3">
    <format dxfId="36">
      <pivotArea grandCol="1" outline="0" fieldPosition="0"/>
    </format>
    <format dxfId="35">
      <pivotArea type="topRight" dataOnly="0" labelOnly="1" outline="0" fieldPosition="0"/>
    </format>
    <format dxfId="34">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128"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4:K91" firstHeaderRow="1" firstDataRow="3" firstDataCol="1"/>
  <pivotFields count="30">
    <pivotField compact="0" outline="0" showAll="0" defaultSubtotal="0"/>
    <pivotField axis="axisRow" compact="0" outline="0" showAll="0" defaultSubtotal="0">
      <items count="90">
        <item x="85"/>
        <item m="1" x="86"/>
        <item m="1" x="89"/>
        <item x="1"/>
        <item x="2"/>
        <item x="3"/>
        <item x="4"/>
        <item x="5"/>
        <item x="6"/>
        <item x="7"/>
        <item x="8"/>
        <item x="9"/>
        <item x="10"/>
        <item x="11"/>
        <item x="12"/>
        <item x="13"/>
        <item x="14"/>
        <item x="15"/>
        <item m="1" x="88"/>
        <item m="1" x="87"/>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0"/>
        <item x="67"/>
        <item x="68"/>
        <item x="69"/>
        <item x="70"/>
        <item x="71"/>
        <item x="72"/>
        <item x="73"/>
        <item x="74"/>
        <item x="75"/>
        <item x="76"/>
        <item x="77"/>
        <item x="78"/>
        <item x="79"/>
        <item x="80"/>
        <item x="81"/>
        <item x="82"/>
        <item x="83"/>
        <item x="84"/>
      </items>
    </pivotField>
    <pivotField compact="0" outline="0" showAll="0" defaultSubtotal="0"/>
    <pivotField axis="axisCol" compact="0" outline="0" showAll="0" defaultSubtotal="0">
      <items count="15">
        <item h="1" x="14"/>
        <item x="1"/>
        <item x="4"/>
        <item x="7"/>
        <item h="1" x="0"/>
        <item h="1" x="6"/>
        <item h="1" x="3"/>
        <item h="1" x="2"/>
        <item h="1" x="5"/>
        <item x="10"/>
        <item h="1" x="9"/>
        <item x="12"/>
        <item x="13"/>
        <item h="1" x="8"/>
        <item h="1" x="11"/>
      </items>
    </pivotField>
    <pivotField axis="axisCol" compact="0" outline="0" showAll="0" defaultSubtotal="0">
      <items count="5">
        <item x="0"/>
        <item x="1"/>
        <item h="1" x="2"/>
        <item h="1" x="3"/>
        <item h="1" m="1" x="4"/>
      </items>
    </pivotField>
    <pivotField dataField="1"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1"/>
  </rowFields>
  <rowItems count="85">
    <i>
      <x v="3"/>
    </i>
    <i>
      <x v="4"/>
    </i>
    <i>
      <x v="5"/>
    </i>
    <i>
      <x v="6"/>
    </i>
    <i>
      <x v="7"/>
    </i>
    <i>
      <x v="8"/>
    </i>
    <i>
      <x v="9"/>
    </i>
    <i>
      <x v="10"/>
    </i>
    <i>
      <x v="11"/>
    </i>
    <i>
      <x v="12"/>
    </i>
    <i>
      <x v="13"/>
    </i>
    <i>
      <x v="14"/>
    </i>
    <i>
      <x v="15"/>
    </i>
    <i>
      <x v="16"/>
    </i>
    <i>
      <x v="17"/>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2"/>
    </i>
    <i>
      <x v="73"/>
    </i>
    <i>
      <x v="74"/>
    </i>
    <i>
      <x v="75"/>
    </i>
    <i>
      <x v="76"/>
    </i>
    <i>
      <x v="77"/>
    </i>
    <i>
      <x v="78"/>
    </i>
    <i>
      <x v="79"/>
    </i>
    <i>
      <x v="80"/>
    </i>
    <i>
      <x v="81"/>
    </i>
    <i>
      <x v="82"/>
    </i>
    <i>
      <x v="83"/>
    </i>
    <i>
      <x v="84"/>
    </i>
    <i>
      <x v="85"/>
    </i>
    <i>
      <x v="86"/>
    </i>
    <i>
      <x v="87"/>
    </i>
    <i>
      <x v="88"/>
    </i>
    <i>
      <x v="89"/>
    </i>
    <i t="grand">
      <x/>
    </i>
  </rowItems>
  <colFields count="2">
    <field x="3"/>
    <field x="4"/>
  </colFields>
  <colItems count="10">
    <i>
      <x v="1"/>
      <x/>
    </i>
    <i>
      <x v="2"/>
      <x/>
    </i>
    <i r="1">
      <x v="1"/>
    </i>
    <i>
      <x v="3"/>
      <x/>
    </i>
    <i r="1">
      <x v="1"/>
    </i>
    <i>
      <x v="9"/>
      <x/>
    </i>
    <i>
      <x v="11"/>
      <x/>
    </i>
    <i>
      <x v="12"/>
      <x/>
    </i>
    <i r="1">
      <x v="1"/>
    </i>
    <i t="grand">
      <x/>
    </i>
  </colItems>
  <dataFields count="1">
    <dataField name="Count of Channel" fld="5" subtotal="count" baseField="0" baseItem="0"/>
  </dataFields>
  <formats count="2">
    <format dxfId="17">
      <pivotArea type="origin" dataOnly="0" labelOnly="1" outline="0" fieldPosition="0"/>
    </format>
    <format dxfId="16">
      <pivotArea dataOnly="0" labelOnly="1" grandRow="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8" cacheId="127" dataPosition="0" applyNumberFormats="0" applyBorderFormats="0" applyFontFormats="0" applyPatternFormats="0" applyAlignmentFormats="0" applyWidthHeightFormats="1" dataCaption="Data" updatedVersion="4" minRefreshableVersion="3" asteriskTotals="1" showMemberPropertyTips="0" itemPrintTitles="1" createdVersion="4" indent="0" compact="0" compactData="0" gridDropZones="1">
  <location ref="J5:AP102" firstHeaderRow="1" firstDataRow="3" firstDataCol="1"/>
  <pivotFields count="69">
    <pivotField axis="axisRow" compact="0" outline="0" subtotalTop="0" showAll="0" includeNewItemsInFilter="1" sortType="ascending">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m="1" x="117"/>
        <item m="1" x="111"/>
        <item m="1" x="105"/>
        <item m="1" x="99"/>
        <item m="1" x="116"/>
        <item m="1" x="110"/>
        <item m="1" x="104"/>
        <item m="1" x="98"/>
        <item m="1" x="115"/>
        <item m="1" x="109"/>
        <item m="1" x="103"/>
        <item m="1" x="97"/>
        <item m="1" x="114"/>
        <item m="1" x="108"/>
        <item m="1" x="102"/>
        <item m="1" x="96"/>
        <item m="1" x="113"/>
        <item m="1" x="107"/>
        <item m="1" x="101"/>
        <item m="1" x="95"/>
        <item m="1" x="112"/>
        <item m="1" x="106"/>
        <item m="1" x="100"/>
        <item h="1" x="94"/>
        <item t="default"/>
      </items>
    </pivotField>
    <pivotField axis="axisCol" compact="0" outline="0" showAll="0" defaultSubtotal="0">
      <items count="4">
        <item h="1" x="3"/>
        <item x="0"/>
        <item x="2"/>
        <item x="1"/>
      </items>
    </pivotField>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t="grand">
      <x/>
    </i>
  </rowItems>
  <colFields count="2">
    <field x="-2"/>
    <field x="1"/>
  </colFields>
  <colItems count="32">
    <i>
      <x/>
      <x v="1"/>
    </i>
    <i r="1">
      <x v="2"/>
    </i>
    <i r="1">
      <x v="3"/>
    </i>
    <i i="1">
      <x v="1"/>
      <x v="1"/>
    </i>
    <i r="1" i="1">
      <x v="2"/>
    </i>
    <i r="1" i="1">
      <x v="3"/>
    </i>
    <i i="2">
      <x v="2"/>
      <x v="1"/>
    </i>
    <i r="1" i="2">
      <x v="2"/>
    </i>
    <i r="1" i="2">
      <x v="3"/>
    </i>
    <i i="3">
      <x v="3"/>
      <x v="1"/>
    </i>
    <i r="1" i="3">
      <x v="2"/>
    </i>
    <i r="1" i="3">
      <x v="3"/>
    </i>
    <i i="4">
      <x v="4"/>
      <x v="1"/>
    </i>
    <i r="1" i="4">
      <x v="2"/>
    </i>
    <i r="1" i="4">
      <x v="3"/>
    </i>
    <i i="5">
      <x v="5"/>
      <x v="1"/>
    </i>
    <i r="1" i="5">
      <x v="2"/>
    </i>
    <i r="1" i="5">
      <x v="3"/>
    </i>
    <i i="6">
      <x v="6"/>
      <x v="1"/>
    </i>
    <i r="1" i="6">
      <x v="2"/>
    </i>
    <i r="1" i="6">
      <x v="3"/>
    </i>
    <i i="7">
      <x v="7"/>
      <x v="1"/>
    </i>
    <i r="1" i="7">
      <x v="2"/>
    </i>
    <i r="1" i="7">
      <x v="3"/>
    </i>
    <i t="grand">
      <x/>
    </i>
    <i t="grand" i="1">
      <x/>
    </i>
    <i t="grand" i="2">
      <x/>
    </i>
    <i t="grand" i="3">
      <x/>
    </i>
    <i t="grand" i="4">
      <x/>
    </i>
    <i t="grand" i="5">
      <x/>
    </i>
    <i t="grand" i="6">
      <x/>
    </i>
    <i t="grand" i="7">
      <x/>
    </i>
  </colItems>
  <dataFields count="8">
    <dataField name="Sum of RW" fld="36" baseField="0" baseItem="0"/>
    <dataField name="Sum of HW" fld="37" baseField="0" baseItem="0"/>
    <dataField name="Sum of RT" fld="38" baseField="0" baseItem="0"/>
    <dataField name="Sum of AG" fld="39" baseField="0" baseItem="0"/>
    <dataField name="Sum of LS" fld="40" baseField="0" baseItem="0"/>
    <dataField name="Sum of DV" fld="41" baseField="0" baseItem="0"/>
    <dataField name="Sum of BU" fld="42" baseField="0" baseItem="0"/>
    <dataField name="Sum of TotalOther" fld="43" baseField="0" baseItem="2"/>
  </dataFields>
  <formats count="3">
    <format dxfId="12">
      <pivotArea grandCol="1" outline="0" fieldPosition="0"/>
    </format>
    <format dxfId="11">
      <pivotArea type="topRight" dataOnly="0" labelOnly="1" outline="0" fieldPosition="0"/>
    </format>
    <format dxfId="1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6" cacheId="128"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C155" firstHeaderRow="1" firstDataRow="1" firstDataCol="2"/>
  <pivotFields count="30">
    <pivotField compact="0" outline="0" showAll="0" defaultSubtotal="0"/>
    <pivotField compact="0" outline="0" showAll="0" defaultSubtotal="0"/>
    <pivotField compact="0" outline="0" showAll="0" defaultSubtotal="0"/>
    <pivotField axis="axisRow" dataField="1" compact="0" outline="0" showAll="0" sortType="ascending" defaultSubtotal="0">
      <items count="15">
        <item x="9"/>
        <item x="11"/>
        <item x="10"/>
        <item x="1"/>
        <item x="4"/>
        <item x="13"/>
        <item x="6"/>
        <item x="2"/>
        <item x="5"/>
        <item x="12"/>
        <item x="0"/>
        <item x="3"/>
        <item x="7"/>
        <item x="8"/>
        <item h="1" x="14"/>
      </items>
    </pivotField>
    <pivotField compact="0" outline="0" showAll="0" defaultSubtotal="0"/>
    <pivotField compact="0" outline="0" showAll="0" defaultSubtotal="0"/>
    <pivotField compact="0" outline="0" subtotalTop="0" showAll="0" includeNewItemsInFilter="1"/>
    <pivotField dataField="1" compact="0" outline="0" showAll="0"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2"/>
  </rowFields>
  <rowItems count="150">
    <i>
      <x/>
      <x/>
    </i>
    <i r="1" i="1">
      <x v="1"/>
    </i>
    <i r="1" i="2">
      <x v="2"/>
    </i>
    <i r="1" i="3">
      <x v="3"/>
    </i>
    <i r="1" i="4">
      <x v="4"/>
    </i>
    <i r="1" i="5">
      <x v="5"/>
    </i>
    <i r="1" i="6">
      <x v="6"/>
    </i>
    <i r="1" i="7">
      <x v="7"/>
    </i>
    <i r="1" i="8">
      <x v="8"/>
    </i>
    <i r="1" i="9">
      <x v="9"/>
    </i>
    <i>
      <x v="1"/>
      <x/>
    </i>
    <i r="1" i="1">
      <x v="1"/>
    </i>
    <i r="1" i="2">
      <x v="2"/>
    </i>
    <i r="1" i="3">
      <x v="3"/>
    </i>
    <i r="1" i="4">
      <x v="4"/>
    </i>
    <i r="1" i="5">
      <x v="5"/>
    </i>
    <i r="1" i="6">
      <x v="6"/>
    </i>
    <i r="1" i="7">
      <x v="7"/>
    </i>
    <i r="1" i="8">
      <x v="8"/>
    </i>
    <i r="1" i="9">
      <x v="9"/>
    </i>
    <i>
      <x v="2"/>
      <x/>
    </i>
    <i r="1" i="1">
      <x v="1"/>
    </i>
    <i r="1" i="2">
      <x v="2"/>
    </i>
    <i r="1" i="3">
      <x v="3"/>
    </i>
    <i r="1" i="4">
      <x v="4"/>
    </i>
    <i r="1" i="5">
      <x v="5"/>
    </i>
    <i r="1" i="6">
      <x v="6"/>
    </i>
    <i r="1" i="7">
      <x v="7"/>
    </i>
    <i r="1" i="8">
      <x v="8"/>
    </i>
    <i r="1" i="9">
      <x v="9"/>
    </i>
    <i>
      <x v="3"/>
      <x/>
    </i>
    <i r="1" i="1">
      <x v="1"/>
    </i>
    <i r="1" i="2">
      <x v="2"/>
    </i>
    <i r="1" i="3">
      <x v="3"/>
    </i>
    <i r="1" i="4">
      <x v="4"/>
    </i>
    <i r="1" i="5">
      <x v="5"/>
    </i>
    <i r="1" i="6">
      <x v="6"/>
    </i>
    <i r="1" i="7">
      <x v="7"/>
    </i>
    <i r="1" i="8">
      <x v="8"/>
    </i>
    <i r="1" i="9">
      <x v="9"/>
    </i>
    <i>
      <x v="4"/>
      <x/>
    </i>
    <i r="1" i="1">
      <x v="1"/>
    </i>
    <i r="1" i="2">
      <x v="2"/>
    </i>
    <i r="1" i="3">
      <x v="3"/>
    </i>
    <i r="1" i="4">
      <x v="4"/>
    </i>
    <i r="1" i="5">
      <x v="5"/>
    </i>
    <i r="1" i="6">
      <x v="6"/>
    </i>
    <i r="1" i="7">
      <x v="7"/>
    </i>
    <i r="1" i="8">
      <x v="8"/>
    </i>
    <i r="1" i="9">
      <x v="9"/>
    </i>
    <i>
      <x v="5"/>
      <x/>
    </i>
    <i r="1" i="1">
      <x v="1"/>
    </i>
    <i r="1" i="2">
      <x v="2"/>
    </i>
    <i r="1" i="3">
      <x v="3"/>
    </i>
    <i r="1" i="4">
      <x v="4"/>
    </i>
    <i r="1" i="5">
      <x v="5"/>
    </i>
    <i r="1" i="6">
      <x v="6"/>
    </i>
    <i r="1" i="7">
      <x v="7"/>
    </i>
    <i r="1" i="8">
      <x v="8"/>
    </i>
    <i r="1" i="9">
      <x v="9"/>
    </i>
    <i>
      <x v="6"/>
      <x/>
    </i>
    <i r="1" i="1">
      <x v="1"/>
    </i>
    <i r="1" i="2">
      <x v="2"/>
    </i>
    <i r="1" i="3">
      <x v="3"/>
    </i>
    <i r="1" i="4">
      <x v="4"/>
    </i>
    <i r="1" i="5">
      <x v="5"/>
    </i>
    <i r="1" i="6">
      <x v="6"/>
    </i>
    <i r="1" i="7">
      <x v="7"/>
    </i>
    <i r="1" i="8">
      <x v="8"/>
    </i>
    <i r="1" i="9">
      <x v="9"/>
    </i>
    <i>
      <x v="7"/>
      <x/>
    </i>
    <i r="1" i="1">
      <x v="1"/>
    </i>
    <i r="1" i="2">
      <x v="2"/>
    </i>
    <i r="1" i="3">
      <x v="3"/>
    </i>
    <i r="1" i="4">
      <x v="4"/>
    </i>
    <i r="1" i="5">
      <x v="5"/>
    </i>
    <i r="1" i="6">
      <x v="6"/>
    </i>
    <i r="1" i="7">
      <x v="7"/>
    </i>
    <i r="1" i="8">
      <x v="8"/>
    </i>
    <i r="1" i="9">
      <x v="9"/>
    </i>
    <i>
      <x v="8"/>
      <x/>
    </i>
    <i r="1" i="1">
      <x v="1"/>
    </i>
    <i r="1" i="2">
      <x v="2"/>
    </i>
    <i r="1" i="3">
      <x v="3"/>
    </i>
    <i r="1" i="4">
      <x v="4"/>
    </i>
    <i r="1" i="5">
      <x v="5"/>
    </i>
    <i r="1" i="6">
      <x v="6"/>
    </i>
    <i r="1" i="7">
      <x v="7"/>
    </i>
    <i r="1" i="8">
      <x v="8"/>
    </i>
    <i r="1" i="9">
      <x v="9"/>
    </i>
    <i>
      <x v="9"/>
      <x/>
    </i>
    <i r="1" i="1">
      <x v="1"/>
    </i>
    <i r="1" i="2">
      <x v="2"/>
    </i>
    <i r="1" i="3">
      <x v="3"/>
    </i>
    <i r="1" i="4">
      <x v="4"/>
    </i>
    <i r="1" i="5">
      <x v="5"/>
    </i>
    <i r="1" i="6">
      <x v="6"/>
    </i>
    <i r="1" i="7">
      <x v="7"/>
    </i>
    <i r="1" i="8">
      <x v="8"/>
    </i>
    <i r="1" i="9">
      <x v="9"/>
    </i>
    <i>
      <x v="10"/>
      <x/>
    </i>
    <i r="1" i="1">
      <x v="1"/>
    </i>
    <i r="1" i="2">
      <x v="2"/>
    </i>
    <i r="1" i="3">
      <x v="3"/>
    </i>
    <i r="1" i="4">
      <x v="4"/>
    </i>
    <i r="1" i="5">
      <x v="5"/>
    </i>
    <i r="1" i="6">
      <x v="6"/>
    </i>
    <i r="1" i="7">
      <x v="7"/>
    </i>
    <i r="1" i="8">
      <x v="8"/>
    </i>
    <i r="1" i="9">
      <x v="9"/>
    </i>
    <i>
      <x v="11"/>
      <x/>
    </i>
    <i r="1" i="1">
      <x v="1"/>
    </i>
    <i r="1" i="2">
      <x v="2"/>
    </i>
    <i r="1" i="3">
      <x v="3"/>
    </i>
    <i r="1" i="4">
      <x v="4"/>
    </i>
    <i r="1" i="5">
      <x v="5"/>
    </i>
    <i r="1" i="6">
      <x v="6"/>
    </i>
    <i r="1" i="7">
      <x v="7"/>
    </i>
    <i r="1" i="8">
      <x v="8"/>
    </i>
    <i r="1" i="9">
      <x v="9"/>
    </i>
    <i>
      <x v="12"/>
      <x/>
    </i>
    <i r="1" i="1">
      <x v="1"/>
    </i>
    <i r="1" i="2">
      <x v="2"/>
    </i>
    <i r="1" i="3">
      <x v="3"/>
    </i>
    <i r="1" i="4">
      <x v="4"/>
    </i>
    <i r="1" i="5">
      <x v="5"/>
    </i>
    <i r="1" i="6">
      <x v="6"/>
    </i>
    <i r="1" i="7">
      <x v="7"/>
    </i>
    <i r="1" i="8">
      <x v="8"/>
    </i>
    <i r="1" i="9">
      <x v="9"/>
    </i>
    <i>
      <x v="13"/>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rowItems>
  <colItems count="1">
    <i/>
  </colItems>
  <dataFields count="10">
    <dataField name="Count of Species" fld="3" subtotal="count" baseField="0" baseItem="0"/>
    <dataField name="Count of Vial_No" fld="7" subtotal="count" baseField="0" baseItem="0"/>
    <dataField name="Count of MEF" fld="8" subtotal="count" baseField="0" baseItem="0"/>
    <dataField name="Count of FL" fld="9" subtotal="count" baseField="0" baseItem="0"/>
    <dataField name="Min of FL2" fld="9" subtotal="min" baseField="3" baseItem="1"/>
    <dataField name="Max of FL3" fld="9" subtotal="max" baseField="3" baseItem="1"/>
    <dataField name="Average of FL4" fld="9" subtotal="average" baseField="3" baseItem="1"/>
    <dataField name="Min of MEF2" fld="8" subtotal="min" baseField="3" baseItem="1"/>
    <dataField name="Max of MEF3" fld="8" subtotal="max" baseField="3" baseItem="1"/>
    <dataField name="Average of MEF4" fld="8" subtotal="average" baseField="3" baseItem="1"/>
  </dataFields>
  <formats count="3">
    <format dxfId="15">
      <pivotArea type="origin" dataOnly="0" labelOnly="1" outline="0" fieldPosition="0"/>
    </format>
    <format dxfId="14">
      <pivotArea dataOnly="0" labelOnly="1" grandRow="1" outline="0" fieldPosition="0"/>
    </format>
    <format dxfId="13">
      <pivotArea outline="0" collapsedLevelsAreSubtotals="1"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BS890"/>
  <sheetViews>
    <sheetView tabSelected="1" zoomScale="90" zoomScaleNormal="90" workbookViewId="0">
      <selection activeCell="A31" sqref="A31"/>
    </sheetView>
  </sheetViews>
  <sheetFormatPr defaultColWidth="9.140625" defaultRowHeight="12.75" x14ac:dyDescent="0.2"/>
  <cols>
    <col min="1" max="1" width="12.28515625" style="112" customWidth="1"/>
    <col min="2" max="2" width="7.85546875" style="481" customWidth="1"/>
    <col min="3" max="3" width="15.140625" style="118" customWidth="1"/>
    <col min="4" max="5" width="6.42578125" style="115" customWidth="1"/>
    <col min="6" max="6" width="6.85546875" style="118" customWidth="1"/>
    <col min="7" max="7" width="5.7109375" style="478" customWidth="1"/>
    <col min="8" max="8" width="6.140625" style="118" customWidth="1"/>
    <col min="9" max="9" width="7.5703125" style="118" customWidth="1"/>
    <col min="10" max="10" width="9.5703125" style="482" customWidth="1"/>
    <col min="11" max="13" width="6.7109375" style="110" customWidth="1"/>
    <col min="14" max="14" width="9" style="428" bestFit="1" customWidth="1"/>
    <col min="15" max="17" width="6.7109375" style="110" customWidth="1"/>
    <col min="18" max="18" width="10.140625" style="428" bestFit="1" customWidth="1"/>
    <col min="19" max="21" width="6.7109375" style="110" customWidth="1"/>
    <col min="22" max="22" width="6.7109375" style="483" customWidth="1"/>
    <col min="23" max="23" width="7.7109375" style="428" bestFit="1" customWidth="1"/>
    <col min="24" max="25" width="6.7109375" style="110" customWidth="1"/>
    <col min="26" max="26" width="6.7109375" style="483" customWidth="1"/>
    <col min="27" max="27" width="7.5703125" style="428" bestFit="1" customWidth="1"/>
    <col min="28" max="30" width="6.7109375" style="110" customWidth="1"/>
    <col min="31" max="31" width="7.85546875" style="428" bestFit="1" customWidth="1"/>
    <col min="32" max="35" width="6.7109375" style="110" customWidth="1"/>
    <col min="36" max="36" width="7.7109375" style="428" bestFit="1" customWidth="1"/>
    <col min="37" max="43" width="4.5703125" style="110" customWidth="1"/>
    <col min="44" max="44" width="5.85546875" style="428" customWidth="1"/>
    <col min="45" max="45" width="61.5703125" style="10" customWidth="1"/>
    <col min="46" max="46" width="49.85546875" style="129" customWidth="1"/>
    <col min="47" max="47" width="21.5703125" style="10" customWidth="1"/>
    <col min="48" max="48" width="22.140625" style="129" customWidth="1"/>
    <col min="49" max="49" width="26.28515625" style="10" customWidth="1"/>
    <col min="50" max="50" width="9.85546875" style="416" customWidth="1"/>
    <col min="51" max="51" width="7.28515625" style="416" bestFit="1" customWidth="1"/>
    <col min="52" max="52" width="10.28515625" style="416" bestFit="1" customWidth="1"/>
    <col min="53" max="53" width="10.85546875" style="416" bestFit="1" customWidth="1"/>
    <col min="54" max="54" width="8.42578125" style="417" bestFit="1" customWidth="1"/>
    <col min="55" max="55" width="11.42578125" style="416" bestFit="1" customWidth="1"/>
    <col min="56" max="56" width="6.28515625" style="416" bestFit="1" customWidth="1"/>
    <col min="57" max="57" width="5.7109375" style="416" bestFit="1" customWidth="1"/>
    <col min="58" max="58" width="8.28515625" style="416" bestFit="1" customWidth="1"/>
    <col min="59" max="59" width="7.140625" style="416" bestFit="1" customWidth="1"/>
    <col min="60" max="60" width="6.140625" style="416" bestFit="1" customWidth="1"/>
    <col min="61" max="61" width="5.5703125" style="416" bestFit="1" customWidth="1"/>
    <col min="62" max="62" width="8.140625" style="416" bestFit="1" customWidth="1"/>
    <col min="63" max="63" width="6.42578125" style="416" bestFit="1" customWidth="1"/>
    <col min="64" max="64" width="5.85546875" style="416" bestFit="1" customWidth="1"/>
    <col min="65" max="65" width="8.42578125" style="416" bestFit="1" customWidth="1"/>
    <col min="66" max="66" width="6.28515625" style="416" bestFit="1" customWidth="1"/>
    <col min="67" max="67" width="5.7109375" style="416" bestFit="1" customWidth="1"/>
    <col min="68" max="68" width="8.28515625" style="416" bestFit="1" customWidth="1"/>
    <col min="69" max="69" width="7.140625" style="416" bestFit="1" customWidth="1"/>
    <col min="70" max="16384" width="9.140625" style="10"/>
  </cols>
  <sheetData>
    <row r="1" spans="1:71" ht="13.5" customHeight="1" x14ac:dyDescent="0.2">
      <c r="B1" s="113"/>
      <c r="C1" s="114"/>
      <c r="F1" s="114"/>
      <c r="G1" s="253"/>
      <c r="H1" s="114"/>
      <c r="J1" s="415"/>
      <c r="K1" s="543" t="s">
        <v>202</v>
      </c>
      <c r="L1" s="543"/>
      <c r="M1" s="543"/>
      <c r="N1" s="543"/>
      <c r="O1" s="545" t="s">
        <v>203</v>
      </c>
      <c r="P1" s="546"/>
      <c r="Q1" s="546"/>
      <c r="R1" s="547"/>
      <c r="S1" s="543" t="s">
        <v>25</v>
      </c>
      <c r="T1" s="543"/>
      <c r="U1" s="543"/>
      <c r="V1" s="543"/>
      <c r="W1" s="543"/>
      <c r="X1" s="543" t="s">
        <v>24</v>
      </c>
      <c r="Y1" s="543"/>
      <c r="Z1" s="543"/>
      <c r="AA1" s="543"/>
      <c r="AB1" s="543" t="s">
        <v>23</v>
      </c>
      <c r="AC1" s="543"/>
      <c r="AD1" s="543"/>
      <c r="AE1" s="543"/>
      <c r="AF1" s="543" t="s">
        <v>22</v>
      </c>
      <c r="AG1" s="543"/>
      <c r="AH1" s="543"/>
      <c r="AI1" s="543"/>
      <c r="AJ1" s="543"/>
      <c r="AK1" s="544" t="s">
        <v>28</v>
      </c>
      <c r="AL1" s="544"/>
      <c r="AM1" s="544"/>
      <c r="AN1" s="544"/>
      <c r="AO1" s="544"/>
      <c r="AP1" s="544"/>
      <c r="AQ1" s="544"/>
      <c r="AR1" s="544"/>
      <c r="AT1" s="223"/>
      <c r="AU1" s="116"/>
      <c r="AV1" s="127"/>
      <c r="AW1" s="116"/>
      <c r="AX1" s="151" t="s">
        <v>139</v>
      </c>
    </row>
    <row r="2" spans="1:71" s="124" customFormat="1" ht="26.45" customHeight="1" thickBot="1" x14ac:dyDescent="0.25">
      <c r="A2" s="119" t="s">
        <v>3</v>
      </c>
      <c r="B2" s="120" t="s">
        <v>99</v>
      </c>
      <c r="C2" s="121" t="s">
        <v>100</v>
      </c>
      <c r="D2" s="122" t="s">
        <v>101</v>
      </c>
      <c r="E2" s="122" t="s">
        <v>102</v>
      </c>
      <c r="F2" s="123" t="s">
        <v>103</v>
      </c>
      <c r="G2" s="254" t="s">
        <v>271</v>
      </c>
      <c r="H2" s="123" t="s">
        <v>197</v>
      </c>
      <c r="I2" s="123" t="s">
        <v>198</v>
      </c>
      <c r="J2" s="418" t="s">
        <v>107</v>
      </c>
      <c r="K2" s="126" t="s">
        <v>98</v>
      </c>
      <c r="L2" s="126" t="s">
        <v>27</v>
      </c>
      <c r="M2" s="126" t="s">
        <v>10</v>
      </c>
      <c r="N2" s="419" t="s">
        <v>199</v>
      </c>
      <c r="O2" s="126" t="s">
        <v>98</v>
      </c>
      <c r="P2" s="126" t="s">
        <v>27</v>
      </c>
      <c r="Q2" s="126" t="s">
        <v>10</v>
      </c>
      <c r="R2" s="419" t="s">
        <v>200</v>
      </c>
      <c r="S2" s="126" t="s">
        <v>98</v>
      </c>
      <c r="T2" s="126" t="s">
        <v>27</v>
      </c>
      <c r="U2" s="126" t="s">
        <v>10</v>
      </c>
      <c r="V2" s="126" t="s">
        <v>0</v>
      </c>
      <c r="W2" s="419" t="s">
        <v>14</v>
      </c>
      <c r="X2" s="126" t="s">
        <v>98</v>
      </c>
      <c r="Y2" s="126" t="s">
        <v>27</v>
      </c>
      <c r="Z2" s="126" t="s">
        <v>10</v>
      </c>
      <c r="AA2" s="419" t="s">
        <v>26</v>
      </c>
      <c r="AB2" s="126" t="s">
        <v>98</v>
      </c>
      <c r="AC2" s="126" t="s">
        <v>27</v>
      </c>
      <c r="AD2" s="126" t="s">
        <v>10</v>
      </c>
      <c r="AE2" s="419" t="s">
        <v>1</v>
      </c>
      <c r="AF2" s="126" t="s">
        <v>98</v>
      </c>
      <c r="AG2" s="126" t="s">
        <v>27</v>
      </c>
      <c r="AH2" s="126" t="s">
        <v>10</v>
      </c>
      <c r="AI2" s="126" t="s">
        <v>0</v>
      </c>
      <c r="AJ2" s="419" t="s">
        <v>4</v>
      </c>
      <c r="AK2" s="126" t="s">
        <v>88</v>
      </c>
      <c r="AL2" s="126" t="s">
        <v>90</v>
      </c>
      <c r="AM2" s="126" t="s">
        <v>75</v>
      </c>
      <c r="AN2" s="126" t="s">
        <v>97</v>
      </c>
      <c r="AO2" s="126" t="s">
        <v>91</v>
      </c>
      <c r="AP2" s="126" t="s">
        <v>87</v>
      </c>
      <c r="AQ2" s="126" t="s">
        <v>195</v>
      </c>
      <c r="AR2" s="420" t="s">
        <v>201</v>
      </c>
      <c r="AS2" s="130" t="s">
        <v>196</v>
      </c>
      <c r="AT2" s="131" t="s">
        <v>76</v>
      </c>
      <c r="AU2" s="130" t="s">
        <v>29</v>
      </c>
      <c r="AV2" s="131" t="s">
        <v>30</v>
      </c>
      <c r="AW2" s="130" t="s">
        <v>561</v>
      </c>
      <c r="AX2" s="421" t="s">
        <v>212</v>
      </c>
      <c r="AY2" s="421" t="s">
        <v>213</v>
      </c>
      <c r="AZ2" s="421" t="s">
        <v>214</v>
      </c>
      <c r="BA2" s="421" t="s">
        <v>215</v>
      </c>
      <c r="BB2" s="422" t="s">
        <v>216</v>
      </c>
      <c r="BC2" s="421" t="s">
        <v>217</v>
      </c>
      <c r="BD2" s="421" t="s">
        <v>32</v>
      </c>
      <c r="BE2" s="421" t="s">
        <v>33</v>
      </c>
      <c r="BF2" s="421" t="s">
        <v>35</v>
      </c>
      <c r="BG2" s="421" t="s">
        <v>34</v>
      </c>
      <c r="BH2" s="421" t="s">
        <v>36</v>
      </c>
      <c r="BI2" s="421" t="s">
        <v>37</v>
      </c>
      <c r="BJ2" s="421" t="s">
        <v>38</v>
      </c>
      <c r="BK2" s="421" t="s">
        <v>39</v>
      </c>
      <c r="BL2" s="421" t="s">
        <v>40</v>
      </c>
      <c r="BM2" s="421" t="s">
        <v>41</v>
      </c>
      <c r="BN2" s="421" t="s">
        <v>42</v>
      </c>
      <c r="BO2" s="421" t="s">
        <v>43</v>
      </c>
      <c r="BP2" s="421" t="s">
        <v>45</v>
      </c>
      <c r="BQ2" s="421" t="s">
        <v>44</v>
      </c>
      <c r="BR2" s="130"/>
      <c r="BS2" s="130"/>
    </row>
    <row r="3" spans="1:71" s="116" customFormat="1" ht="12.75" customHeight="1" x14ac:dyDescent="0.2">
      <c r="A3" s="102">
        <v>41796</v>
      </c>
      <c r="B3" s="319">
        <v>1</v>
      </c>
      <c r="C3" s="114" t="s">
        <v>303</v>
      </c>
      <c r="D3" s="423">
        <v>0.57986111111111105</v>
      </c>
      <c r="E3" s="423">
        <v>0.92361111111111116</v>
      </c>
      <c r="F3" s="424">
        <v>60</v>
      </c>
      <c r="G3" s="425">
        <v>8</v>
      </c>
      <c r="H3" s="424"/>
      <c r="I3" s="390">
        <v>9.42</v>
      </c>
      <c r="J3" s="426">
        <f t="shared" ref="J3:J66" si="0">(E3-D3)*24*60</f>
        <v>495.00000000000023</v>
      </c>
      <c r="K3" s="117"/>
      <c r="L3" s="117"/>
      <c r="M3" s="117"/>
      <c r="N3" s="427">
        <f t="shared" ref="N3:N66" si="1">SUM(K3:M3)</f>
        <v>0</v>
      </c>
      <c r="O3" s="103"/>
      <c r="P3" s="103"/>
      <c r="Q3" s="103"/>
      <c r="R3" s="428">
        <f t="shared" ref="R3:R66" si="2">SUM(O3:Q3)</f>
        <v>0</v>
      </c>
      <c r="S3" s="117"/>
      <c r="T3" s="117"/>
      <c r="U3" s="117"/>
      <c r="V3" s="429"/>
      <c r="W3" s="428">
        <f>SUM(S3:V3)</f>
        <v>0</v>
      </c>
      <c r="X3" s="117"/>
      <c r="Y3" s="117"/>
      <c r="Z3" s="429"/>
      <c r="AA3" s="428">
        <f>SUM(X3:Z3)</f>
        <v>0</v>
      </c>
      <c r="AB3" s="117"/>
      <c r="AC3" s="117"/>
      <c r="AD3" s="117"/>
      <c r="AE3" s="428">
        <f>SUM(AB3:AD3)</f>
        <v>0</v>
      </c>
      <c r="AF3" s="117"/>
      <c r="AG3" s="117"/>
      <c r="AH3" s="117"/>
      <c r="AI3" s="117"/>
      <c r="AJ3" s="428">
        <f>SUM(AF3:AI3)</f>
        <v>0</v>
      </c>
      <c r="AK3" s="430"/>
      <c r="AL3" s="430"/>
      <c r="AM3" s="430"/>
      <c r="AN3" s="430"/>
      <c r="AO3" s="430"/>
      <c r="AP3" s="430"/>
      <c r="AQ3" s="430"/>
      <c r="AR3" s="431">
        <f>SUM(AK3:AQ3)</f>
        <v>0</v>
      </c>
      <c r="AS3" s="238" t="s">
        <v>272</v>
      </c>
      <c r="AT3" s="432" t="s">
        <v>273</v>
      </c>
      <c r="AU3" s="100" t="s">
        <v>274</v>
      </c>
      <c r="AV3" s="128" t="s">
        <v>309</v>
      </c>
      <c r="AW3" s="100" t="s">
        <v>562</v>
      </c>
      <c r="AX3" s="433">
        <f>K3</f>
        <v>0</v>
      </c>
      <c r="AY3" s="433">
        <f>L3</f>
        <v>0</v>
      </c>
      <c r="AZ3" s="433">
        <f>M3</f>
        <v>0</v>
      </c>
      <c r="BA3" s="433">
        <f t="shared" ref="BA3:BA66" si="3">O3</f>
        <v>0</v>
      </c>
      <c r="BB3" s="433">
        <f t="shared" ref="BB3:BB66" si="4">P3</f>
        <v>0</v>
      </c>
      <c r="BC3" s="433">
        <f t="shared" ref="BC3:BC66" si="5">Q3</f>
        <v>0</v>
      </c>
      <c r="BD3" s="433">
        <f>S3</f>
        <v>0</v>
      </c>
      <c r="BE3" s="433">
        <f t="shared" ref="BE3:BG3" si="6">T3</f>
        <v>0</v>
      </c>
      <c r="BF3" s="433">
        <f t="shared" si="6"/>
        <v>0</v>
      </c>
      <c r="BG3" s="433">
        <f t="shared" si="6"/>
        <v>0</v>
      </c>
      <c r="BH3" s="433">
        <f>X3</f>
        <v>0</v>
      </c>
      <c r="BI3" s="433">
        <f t="shared" ref="BI3:BJ3" si="7">Y3</f>
        <v>0</v>
      </c>
      <c r="BJ3" s="433">
        <f t="shared" si="7"/>
        <v>0</v>
      </c>
      <c r="BK3" s="433">
        <f>AB3</f>
        <v>0</v>
      </c>
      <c r="BL3" s="433">
        <f t="shared" ref="BL3:BM3" si="8">AC3</f>
        <v>0</v>
      </c>
      <c r="BM3" s="433">
        <f t="shared" si="8"/>
        <v>0</v>
      </c>
      <c r="BN3" s="433">
        <f>AF3</f>
        <v>0</v>
      </c>
      <c r="BO3" s="433">
        <f t="shared" ref="BO3:BQ3" si="9">AG3</f>
        <v>0</v>
      </c>
      <c r="BP3" s="433">
        <f t="shared" si="9"/>
        <v>0</v>
      </c>
      <c r="BQ3" s="433">
        <f t="shared" si="9"/>
        <v>0</v>
      </c>
    </row>
    <row r="4" spans="1:71" s="291" customFormat="1" x14ac:dyDescent="0.2">
      <c r="A4" s="317">
        <v>41796</v>
      </c>
      <c r="B4" s="318">
        <v>1</v>
      </c>
      <c r="C4" s="320" t="s">
        <v>304</v>
      </c>
      <c r="D4" s="321">
        <v>0.92361111111111116</v>
      </c>
      <c r="E4" s="321">
        <v>0.92708333333333337</v>
      </c>
      <c r="F4" s="434">
        <v>58</v>
      </c>
      <c r="G4" s="435"/>
      <c r="H4" s="434"/>
      <c r="I4" s="436"/>
      <c r="J4" s="437">
        <f t="shared" si="0"/>
        <v>4.9999999999999822</v>
      </c>
      <c r="K4" s="285"/>
      <c r="L4" s="285"/>
      <c r="M4" s="285"/>
      <c r="N4" s="438">
        <f t="shared" si="1"/>
        <v>0</v>
      </c>
      <c r="O4" s="285"/>
      <c r="P4" s="285"/>
      <c r="Q4" s="285"/>
      <c r="R4" s="439">
        <f t="shared" si="2"/>
        <v>0</v>
      </c>
      <c r="S4" s="285"/>
      <c r="T4" s="285"/>
      <c r="U4" s="285"/>
      <c r="V4" s="440"/>
      <c r="W4" s="439">
        <f t="shared" ref="W4:W67" si="10">SUM(S4:V4)</f>
        <v>0</v>
      </c>
      <c r="X4" s="285"/>
      <c r="Y4" s="285"/>
      <c r="Z4" s="440"/>
      <c r="AA4" s="439">
        <f t="shared" ref="AA4:AA67" si="11">SUM(X4:Z4)</f>
        <v>0</v>
      </c>
      <c r="AB4" s="285"/>
      <c r="AC4" s="285"/>
      <c r="AD4" s="285"/>
      <c r="AE4" s="439">
        <f t="shared" ref="AE4:AE67" si="12">SUM(AB4:AD4)</f>
        <v>0</v>
      </c>
      <c r="AF4" s="285"/>
      <c r="AG4" s="285"/>
      <c r="AH4" s="285"/>
      <c r="AI4" s="285"/>
      <c r="AJ4" s="439">
        <f t="shared" ref="AJ4:AJ67" si="13">SUM(AF4:AI4)</f>
        <v>0</v>
      </c>
      <c r="AK4" s="340"/>
      <c r="AL4" s="340"/>
      <c r="AM4" s="340"/>
      <c r="AN4" s="340"/>
      <c r="AO4" s="340"/>
      <c r="AP4" s="340"/>
      <c r="AQ4" s="340"/>
      <c r="AR4" s="441">
        <f t="shared" ref="AR4:AR67" si="14">SUM(AK4:AQ4)</f>
        <v>0</v>
      </c>
      <c r="AT4" s="442" t="s">
        <v>273</v>
      </c>
      <c r="AU4" s="289" t="s">
        <v>274</v>
      </c>
      <c r="AV4" s="313" t="s">
        <v>309</v>
      </c>
      <c r="AW4" s="289" t="s">
        <v>562</v>
      </c>
      <c r="AX4" s="443">
        <f t="shared" ref="AX4:AX67" si="15">K4</f>
        <v>0</v>
      </c>
      <c r="AY4" s="443">
        <f t="shared" ref="AY4:AY67" si="16">L4</f>
        <v>0</v>
      </c>
      <c r="AZ4" s="443">
        <f t="shared" ref="AZ4:AZ67" si="17">M4</f>
        <v>0</v>
      </c>
      <c r="BA4" s="443">
        <f t="shared" si="3"/>
        <v>0</v>
      </c>
      <c r="BB4" s="443">
        <f t="shared" si="4"/>
        <v>0</v>
      </c>
      <c r="BC4" s="443">
        <f t="shared" si="5"/>
        <v>0</v>
      </c>
      <c r="BD4" s="443">
        <f t="shared" ref="BD4:BD67" si="18">S4</f>
        <v>0</v>
      </c>
      <c r="BE4" s="443">
        <f t="shared" ref="BE4:BE67" si="19">T4</f>
        <v>0</v>
      </c>
      <c r="BF4" s="443">
        <f t="shared" ref="BF4:BF67" si="20">U4</f>
        <v>0</v>
      </c>
      <c r="BG4" s="443">
        <f t="shared" ref="BG4:BG67" si="21">V4</f>
        <v>0</v>
      </c>
      <c r="BH4" s="443">
        <f t="shared" ref="BH4:BH67" si="22">X4</f>
        <v>0</v>
      </c>
      <c r="BI4" s="443">
        <f t="shared" ref="BI4:BI67" si="23">Y4</f>
        <v>0</v>
      </c>
      <c r="BJ4" s="443">
        <f t="shared" ref="BJ4:BJ67" si="24">Z4</f>
        <v>0</v>
      </c>
      <c r="BK4" s="443">
        <f t="shared" ref="BK4:BK67" si="25">AB4</f>
        <v>0</v>
      </c>
      <c r="BL4" s="443">
        <f t="shared" ref="BL4:BL67" si="26">AC4</f>
        <v>0</v>
      </c>
      <c r="BM4" s="443">
        <f t="shared" ref="BM4:BM67" si="27">AD4</f>
        <v>0</v>
      </c>
      <c r="BN4" s="443">
        <f t="shared" ref="BN4:BN67" si="28">AF4</f>
        <v>0</v>
      </c>
      <c r="BO4" s="443">
        <f t="shared" ref="BO4:BO67" si="29">AG4</f>
        <v>0</v>
      </c>
      <c r="BP4" s="443">
        <f t="shared" ref="BP4:BP67" si="30">AH4</f>
        <v>0</v>
      </c>
      <c r="BQ4" s="443">
        <f t="shared" ref="BQ4:BQ67" si="31">AI4</f>
        <v>0</v>
      </c>
    </row>
    <row r="5" spans="1:71" x14ac:dyDescent="0.2">
      <c r="A5" s="102">
        <v>41797</v>
      </c>
      <c r="B5" s="319">
        <v>1</v>
      </c>
      <c r="C5" s="118" t="s">
        <v>302</v>
      </c>
      <c r="D5" s="111">
        <v>0.3833333333333333</v>
      </c>
      <c r="E5" s="111">
        <v>0.67361111111111116</v>
      </c>
      <c r="F5" s="444">
        <v>53</v>
      </c>
      <c r="G5" s="445">
        <v>7.5</v>
      </c>
      <c r="H5" s="444"/>
      <c r="I5" s="390"/>
      <c r="J5" s="426">
        <f t="shared" si="0"/>
        <v>418.00000000000011</v>
      </c>
      <c r="K5" s="103"/>
      <c r="L5" s="103"/>
      <c r="M5" s="103"/>
      <c r="N5" s="427">
        <f t="shared" si="1"/>
        <v>0</v>
      </c>
      <c r="O5" s="103"/>
      <c r="P5" s="103"/>
      <c r="Q5" s="103"/>
      <c r="R5" s="428">
        <f t="shared" si="2"/>
        <v>0</v>
      </c>
      <c r="S5" s="103"/>
      <c r="T5" s="103"/>
      <c r="U5" s="103"/>
      <c r="V5" s="125"/>
      <c r="W5" s="428">
        <f t="shared" si="10"/>
        <v>0</v>
      </c>
      <c r="X5" s="103"/>
      <c r="Y5" s="103"/>
      <c r="Z5" s="125"/>
      <c r="AA5" s="428">
        <f t="shared" si="11"/>
        <v>0</v>
      </c>
      <c r="AB5" s="103"/>
      <c r="AC5" s="103"/>
      <c r="AD5" s="103"/>
      <c r="AE5" s="428">
        <f t="shared" si="12"/>
        <v>0</v>
      </c>
      <c r="AF5" s="103"/>
      <c r="AG5" s="103"/>
      <c r="AH5" s="103"/>
      <c r="AI5" s="103"/>
      <c r="AJ5" s="428">
        <f t="shared" si="13"/>
        <v>0</v>
      </c>
      <c r="AK5" s="446"/>
      <c r="AL5" s="446"/>
      <c r="AM5" s="446">
        <v>1</v>
      </c>
      <c r="AN5" s="446"/>
      <c r="AO5" s="446"/>
      <c r="AP5" s="446"/>
      <c r="AQ5" s="446"/>
      <c r="AR5" s="431">
        <f t="shared" si="14"/>
        <v>1</v>
      </c>
      <c r="AT5" s="432" t="s">
        <v>310</v>
      </c>
      <c r="AU5" s="100" t="s">
        <v>309</v>
      </c>
      <c r="AV5" s="128" t="s">
        <v>331</v>
      </c>
      <c r="AW5" s="100" t="s">
        <v>563</v>
      </c>
      <c r="AX5" s="433">
        <f t="shared" si="15"/>
        <v>0</v>
      </c>
      <c r="AY5" s="433">
        <f t="shared" si="16"/>
        <v>0</v>
      </c>
      <c r="AZ5" s="433">
        <f t="shared" si="17"/>
        <v>0</v>
      </c>
      <c r="BA5" s="433">
        <f t="shared" si="3"/>
        <v>0</v>
      </c>
      <c r="BB5" s="433">
        <f t="shared" si="4"/>
        <v>0</v>
      </c>
      <c r="BC5" s="433">
        <f t="shared" si="5"/>
        <v>0</v>
      </c>
      <c r="BD5" s="433">
        <f t="shared" si="18"/>
        <v>0</v>
      </c>
      <c r="BE5" s="433">
        <f t="shared" si="19"/>
        <v>0</v>
      </c>
      <c r="BF5" s="433">
        <f t="shared" si="20"/>
        <v>0</v>
      </c>
      <c r="BG5" s="433">
        <f t="shared" si="21"/>
        <v>0</v>
      </c>
      <c r="BH5" s="433">
        <f t="shared" si="22"/>
        <v>0</v>
      </c>
      <c r="BI5" s="433">
        <f t="shared" si="23"/>
        <v>0</v>
      </c>
      <c r="BJ5" s="433">
        <f t="shared" si="24"/>
        <v>0</v>
      </c>
      <c r="BK5" s="433">
        <f t="shared" si="25"/>
        <v>0</v>
      </c>
      <c r="BL5" s="433">
        <f t="shared" si="26"/>
        <v>0</v>
      </c>
      <c r="BM5" s="433">
        <f t="shared" si="27"/>
        <v>0</v>
      </c>
      <c r="BN5" s="433">
        <f t="shared" si="28"/>
        <v>0</v>
      </c>
      <c r="BO5" s="433">
        <f t="shared" si="29"/>
        <v>0</v>
      </c>
      <c r="BP5" s="433">
        <f t="shared" si="30"/>
        <v>0</v>
      </c>
      <c r="BQ5" s="433">
        <f t="shared" si="31"/>
        <v>0</v>
      </c>
    </row>
    <row r="6" spans="1:71" x14ac:dyDescent="0.2">
      <c r="A6" s="102">
        <v>41797</v>
      </c>
      <c r="B6" s="319">
        <v>1</v>
      </c>
      <c r="C6" s="118" t="s">
        <v>308</v>
      </c>
      <c r="D6" s="111">
        <v>0.71319444444444446</v>
      </c>
      <c r="E6" s="111">
        <v>0.80555555555555547</v>
      </c>
      <c r="F6" s="444">
        <v>68</v>
      </c>
      <c r="G6" s="445"/>
      <c r="H6" s="444"/>
      <c r="I6" s="390"/>
      <c r="J6" s="426">
        <f t="shared" si="0"/>
        <v>132.99999999999986</v>
      </c>
      <c r="K6" s="103"/>
      <c r="L6" s="103"/>
      <c r="M6" s="103"/>
      <c r="N6" s="427">
        <f t="shared" si="1"/>
        <v>0</v>
      </c>
      <c r="O6" s="103"/>
      <c r="P6" s="103"/>
      <c r="Q6" s="103"/>
      <c r="R6" s="428">
        <f t="shared" si="2"/>
        <v>0</v>
      </c>
      <c r="S6" s="103"/>
      <c r="T6" s="103"/>
      <c r="U6" s="103"/>
      <c r="V6" s="125"/>
      <c r="W6" s="428">
        <f t="shared" si="10"/>
        <v>0</v>
      </c>
      <c r="X6" s="103"/>
      <c r="Y6" s="103"/>
      <c r="Z6" s="125"/>
      <c r="AA6" s="428">
        <f t="shared" si="11"/>
        <v>0</v>
      </c>
      <c r="AB6" s="103"/>
      <c r="AC6" s="103"/>
      <c r="AD6" s="103"/>
      <c r="AE6" s="428">
        <f t="shared" si="12"/>
        <v>0</v>
      </c>
      <c r="AF6" s="103"/>
      <c r="AG6" s="103"/>
      <c r="AH6" s="103"/>
      <c r="AI6" s="103"/>
      <c r="AJ6" s="428">
        <f t="shared" si="13"/>
        <v>0</v>
      </c>
      <c r="AK6" s="446"/>
      <c r="AL6" s="446"/>
      <c r="AM6" s="446">
        <v>1</v>
      </c>
      <c r="AN6" s="446"/>
      <c r="AO6" s="446"/>
      <c r="AP6" s="446"/>
      <c r="AQ6" s="446"/>
      <c r="AR6" s="431">
        <f t="shared" si="14"/>
        <v>1</v>
      </c>
      <c r="AS6" s="10" t="s">
        <v>305</v>
      </c>
      <c r="AT6" s="432"/>
      <c r="AU6" s="100" t="s">
        <v>330</v>
      </c>
      <c r="AV6" s="128" t="s">
        <v>331</v>
      </c>
      <c r="AW6" s="100" t="s">
        <v>563</v>
      </c>
      <c r="AX6" s="433">
        <f t="shared" si="15"/>
        <v>0</v>
      </c>
      <c r="AY6" s="433">
        <f t="shared" si="16"/>
        <v>0</v>
      </c>
      <c r="AZ6" s="433">
        <f t="shared" si="17"/>
        <v>0</v>
      </c>
      <c r="BA6" s="433">
        <f t="shared" si="3"/>
        <v>0</v>
      </c>
      <c r="BB6" s="433">
        <f t="shared" si="4"/>
        <v>0</v>
      </c>
      <c r="BC6" s="433">
        <f t="shared" si="5"/>
        <v>0</v>
      </c>
      <c r="BD6" s="433">
        <f t="shared" si="18"/>
        <v>0</v>
      </c>
      <c r="BE6" s="433">
        <f t="shared" si="19"/>
        <v>0</v>
      </c>
      <c r="BF6" s="433">
        <f t="shared" si="20"/>
        <v>0</v>
      </c>
      <c r="BG6" s="433">
        <f t="shared" si="21"/>
        <v>0</v>
      </c>
      <c r="BH6" s="433">
        <f t="shared" si="22"/>
        <v>0</v>
      </c>
      <c r="BI6" s="433">
        <f t="shared" si="23"/>
        <v>0</v>
      </c>
      <c r="BJ6" s="433">
        <f t="shared" si="24"/>
        <v>0</v>
      </c>
      <c r="BK6" s="433">
        <f t="shared" si="25"/>
        <v>0</v>
      </c>
      <c r="BL6" s="433">
        <f t="shared" si="26"/>
        <v>0</v>
      </c>
      <c r="BM6" s="433">
        <f t="shared" si="27"/>
        <v>0</v>
      </c>
      <c r="BN6" s="433">
        <f t="shared" si="28"/>
        <v>0</v>
      </c>
      <c r="BO6" s="433">
        <f t="shared" si="29"/>
        <v>0</v>
      </c>
      <c r="BP6" s="433">
        <f t="shared" si="30"/>
        <v>0</v>
      </c>
      <c r="BQ6" s="433">
        <f t="shared" si="31"/>
        <v>0</v>
      </c>
    </row>
    <row r="7" spans="1:71" s="291" customFormat="1" x14ac:dyDescent="0.2">
      <c r="A7" s="317">
        <v>41797</v>
      </c>
      <c r="B7" s="318">
        <v>1</v>
      </c>
      <c r="C7" s="320" t="s">
        <v>304</v>
      </c>
      <c r="D7" s="321">
        <v>0.80555555555555547</v>
      </c>
      <c r="E7" s="321">
        <v>0.89583333333333337</v>
      </c>
      <c r="F7" s="434">
        <v>69</v>
      </c>
      <c r="G7" s="435">
        <v>8</v>
      </c>
      <c r="H7" s="434"/>
      <c r="I7" s="436"/>
      <c r="J7" s="437">
        <f t="shared" si="0"/>
        <v>130.00000000000017</v>
      </c>
      <c r="K7" s="285"/>
      <c r="L7" s="285"/>
      <c r="M7" s="285"/>
      <c r="N7" s="438">
        <f t="shared" si="1"/>
        <v>0</v>
      </c>
      <c r="O7" s="285"/>
      <c r="P7" s="285"/>
      <c r="Q7" s="285"/>
      <c r="R7" s="439">
        <f t="shared" si="2"/>
        <v>0</v>
      </c>
      <c r="S7" s="285"/>
      <c r="T7" s="285"/>
      <c r="U7" s="285"/>
      <c r="V7" s="440"/>
      <c r="W7" s="439">
        <f t="shared" si="10"/>
        <v>0</v>
      </c>
      <c r="X7" s="285"/>
      <c r="Y7" s="285"/>
      <c r="Z7" s="440"/>
      <c r="AA7" s="439">
        <f t="shared" si="11"/>
        <v>0</v>
      </c>
      <c r="AB7" s="285"/>
      <c r="AC7" s="285"/>
      <c r="AD7" s="285"/>
      <c r="AE7" s="439">
        <f t="shared" si="12"/>
        <v>0</v>
      </c>
      <c r="AF7" s="285"/>
      <c r="AG7" s="285"/>
      <c r="AH7" s="285"/>
      <c r="AI7" s="285"/>
      <c r="AJ7" s="439">
        <f t="shared" si="13"/>
        <v>0</v>
      </c>
      <c r="AK7" s="340"/>
      <c r="AL7" s="340"/>
      <c r="AM7" s="340"/>
      <c r="AN7" s="340"/>
      <c r="AO7" s="340"/>
      <c r="AP7" s="340"/>
      <c r="AQ7" s="340"/>
      <c r="AR7" s="441">
        <f t="shared" si="14"/>
        <v>0</v>
      </c>
      <c r="AT7" s="313" t="s">
        <v>273</v>
      </c>
      <c r="AU7" s="289" t="s">
        <v>330</v>
      </c>
      <c r="AV7" s="313" t="s">
        <v>331</v>
      </c>
      <c r="AW7" s="289" t="s">
        <v>563</v>
      </c>
      <c r="AX7" s="443">
        <f t="shared" si="15"/>
        <v>0</v>
      </c>
      <c r="AY7" s="443">
        <f t="shared" si="16"/>
        <v>0</v>
      </c>
      <c r="AZ7" s="443">
        <f t="shared" si="17"/>
        <v>0</v>
      </c>
      <c r="BA7" s="443">
        <f t="shared" si="3"/>
        <v>0</v>
      </c>
      <c r="BB7" s="443">
        <f t="shared" si="4"/>
        <v>0</v>
      </c>
      <c r="BC7" s="443">
        <f t="shared" si="5"/>
        <v>0</v>
      </c>
      <c r="BD7" s="443">
        <f t="shared" si="18"/>
        <v>0</v>
      </c>
      <c r="BE7" s="443">
        <f t="shared" si="19"/>
        <v>0</v>
      </c>
      <c r="BF7" s="443">
        <f t="shared" si="20"/>
        <v>0</v>
      </c>
      <c r="BG7" s="443">
        <f t="shared" si="21"/>
        <v>0</v>
      </c>
      <c r="BH7" s="443">
        <f t="shared" si="22"/>
        <v>0</v>
      </c>
      <c r="BI7" s="443">
        <f t="shared" si="23"/>
        <v>0</v>
      </c>
      <c r="BJ7" s="443">
        <f t="shared" si="24"/>
        <v>0</v>
      </c>
      <c r="BK7" s="443">
        <f t="shared" si="25"/>
        <v>0</v>
      </c>
      <c r="BL7" s="443">
        <f t="shared" si="26"/>
        <v>0</v>
      </c>
      <c r="BM7" s="443">
        <f t="shared" si="27"/>
        <v>0</v>
      </c>
      <c r="BN7" s="443">
        <f t="shared" si="28"/>
        <v>0</v>
      </c>
      <c r="BO7" s="443">
        <f t="shared" si="29"/>
        <v>0</v>
      </c>
      <c r="BP7" s="443">
        <f t="shared" si="30"/>
        <v>0</v>
      </c>
      <c r="BQ7" s="443">
        <f t="shared" si="31"/>
        <v>0</v>
      </c>
    </row>
    <row r="8" spans="1:71" s="314" customFormat="1" x14ac:dyDescent="0.2">
      <c r="A8" s="447">
        <v>41798</v>
      </c>
      <c r="B8" s="448">
        <v>1</v>
      </c>
      <c r="C8" s="449" t="s">
        <v>302</v>
      </c>
      <c r="D8" s="450">
        <v>0.37291666666666662</v>
      </c>
      <c r="E8" s="450">
        <v>0.92708333333333337</v>
      </c>
      <c r="F8" s="451">
        <v>67</v>
      </c>
      <c r="G8" s="452">
        <v>7.5</v>
      </c>
      <c r="H8" s="451"/>
      <c r="I8" s="453"/>
      <c r="J8" s="454">
        <f t="shared" si="0"/>
        <v>798</v>
      </c>
      <c r="K8" s="296"/>
      <c r="L8" s="296"/>
      <c r="M8" s="296"/>
      <c r="N8" s="455">
        <f t="shared" si="1"/>
        <v>0</v>
      </c>
      <c r="O8" s="296"/>
      <c r="P8" s="296"/>
      <c r="Q8" s="296"/>
      <c r="R8" s="456">
        <f t="shared" si="2"/>
        <v>0</v>
      </c>
      <c r="S8" s="296"/>
      <c r="T8" s="296"/>
      <c r="U8" s="296"/>
      <c r="V8" s="457"/>
      <c r="W8" s="456">
        <f t="shared" si="10"/>
        <v>0</v>
      </c>
      <c r="X8" s="296"/>
      <c r="Y8" s="296"/>
      <c r="Z8" s="457"/>
      <c r="AA8" s="456">
        <f t="shared" si="11"/>
        <v>0</v>
      </c>
      <c r="AB8" s="296"/>
      <c r="AC8" s="296"/>
      <c r="AD8" s="296"/>
      <c r="AE8" s="456">
        <f t="shared" si="12"/>
        <v>0</v>
      </c>
      <c r="AF8" s="296"/>
      <c r="AG8" s="296"/>
      <c r="AH8" s="296"/>
      <c r="AI8" s="296"/>
      <c r="AJ8" s="456">
        <f t="shared" si="13"/>
        <v>0</v>
      </c>
      <c r="AK8" s="458"/>
      <c r="AL8" s="458"/>
      <c r="AM8" s="458"/>
      <c r="AN8" s="458"/>
      <c r="AO8" s="458"/>
      <c r="AP8" s="458"/>
      <c r="AQ8" s="458"/>
      <c r="AR8" s="459">
        <f t="shared" si="14"/>
        <v>0</v>
      </c>
      <c r="AT8" s="315" t="s">
        <v>273</v>
      </c>
      <c r="AU8" s="300" t="s">
        <v>321</v>
      </c>
      <c r="AV8" s="315" t="s">
        <v>331</v>
      </c>
      <c r="AW8" s="300" t="s">
        <v>564</v>
      </c>
      <c r="AX8" s="460">
        <f t="shared" si="15"/>
        <v>0</v>
      </c>
      <c r="AY8" s="460">
        <f t="shared" si="16"/>
        <v>0</v>
      </c>
      <c r="AZ8" s="460">
        <f t="shared" si="17"/>
        <v>0</v>
      </c>
      <c r="BA8" s="460">
        <f t="shared" si="3"/>
        <v>0</v>
      </c>
      <c r="BB8" s="460">
        <f t="shared" si="4"/>
        <v>0</v>
      </c>
      <c r="BC8" s="460">
        <f t="shared" si="5"/>
        <v>0</v>
      </c>
      <c r="BD8" s="460">
        <f t="shared" si="18"/>
        <v>0</v>
      </c>
      <c r="BE8" s="460">
        <f t="shared" si="19"/>
        <v>0</v>
      </c>
      <c r="BF8" s="460">
        <f t="shared" si="20"/>
        <v>0</v>
      </c>
      <c r="BG8" s="460">
        <f t="shared" si="21"/>
        <v>0</v>
      </c>
      <c r="BH8" s="460">
        <f t="shared" si="22"/>
        <v>0</v>
      </c>
      <c r="BI8" s="460">
        <f t="shared" si="23"/>
        <v>0</v>
      </c>
      <c r="BJ8" s="460">
        <f t="shared" si="24"/>
        <v>0</v>
      </c>
      <c r="BK8" s="460">
        <f t="shared" si="25"/>
        <v>0</v>
      </c>
      <c r="BL8" s="460">
        <f t="shared" si="26"/>
        <v>0</v>
      </c>
      <c r="BM8" s="460">
        <f t="shared" si="27"/>
        <v>0</v>
      </c>
      <c r="BN8" s="460">
        <f t="shared" si="28"/>
        <v>0</v>
      </c>
      <c r="BO8" s="460">
        <f t="shared" si="29"/>
        <v>0</v>
      </c>
      <c r="BP8" s="460">
        <f t="shared" si="30"/>
        <v>0</v>
      </c>
      <c r="BQ8" s="460">
        <f t="shared" si="31"/>
        <v>0</v>
      </c>
    </row>
    <row r="9" spans="1:71" x14ac:dyDescent="0.2">
      <c r="A9" s="102">
        <v>41799</v>
      </c>
      <c r="B9" s="319">
        <v>1</v>
      </c>
      <c r="C9" s="118" t="s">
        <v>302</v>
      </c>
      <c r="D9" s="111">
        <v>0.37847222222222227</v>
      </c>
      <c r="E9" s="111">
        <v>0.91666666666666663</v>
      </c>
      <c r="F9" s="444">
        <v>59</v>
      </c>
      <c r="G9" s="445">
        <v>6</v>
      </c>
      <c r="H9" s="444"/>
      <c r="I9" s="390"/>
      <c r="J9" s="426">
        <f t="shared" si="0"/>
        <v>775</v>
      </c>
      <c r="K9" s="103"/>
      <c r="L9" s="103"/>
      <c r="M9" s="103"/>
      <c r="N9" s="427">
        <f t="shared" si="1"/>
        <v>0</v>
      </c>
      <c r="O9" s="103"/>
      <c r="P9" s="103"/>
      <c r="Q9" s="103"/>
      <c r="R9" s="428">
        <f t="shared" si="2"/>
        <v>0</v>
      </c>
      <c r="S9" s="103"/>
      <c r="T9" s="103"/>
      <c r="U9" s="103"/>
      <c r="V9" s="125"/>
      <c r="W9" s="428">
        <f t="shared" si="10"/>
        <v>0</v>
      </c>
      <c r="X9" s="103"/>
      <c r="Y9" s="103"/>
      <c r="Z9" s="125"/>
      <c r="AA9" s="428">
        <f t="shared" si="11"/>
        <v>0</v>
      </c>
      <c r="AB9" s="103"/>
      <c r="AC9" s="103"/>
      <c r="AD9" s="103"/>
      <c r="AE9" s="428">
        <f t="shared" si="12"/>
        <v>0</v>
      </c>
      <c r="AF9" s="103"/>
      <c r="AG9" s="103"/>
      <c r="AH9" s="103"/>
      <c r="AI9" s="103"/>
      <c r="AJ9" s="428">
        <f t="shared" si="13"/>
        <v>0</v>
      </c>
      <c r="AK9" s="446"/>
      <c r="AL9" s="446"/>
      <c r="AM9" s="446"/>
      <c r="AN9" s="446"/>
      <c r="AO9" s="446"/>
      <c r="AP9" s="446"/>
      <c r="AQ9" s="446"/>
      <c r="AR9" s="431">
        <f t="shared" si="14"/>
        <v>0</v>
      </c>
      <c r="AT9" s="128" t="s">
        <v>273</v>
      </c>
      <c r="AU9" s="100" t="s">
        <v>325</v>
      </c>
      <c r="AV9" s="128" t="s">
        <v>331</v>
      </c>
      <c r="AW9" s="100" t="s">
        <v>565</v>
      </c>
      <c r="AX9" s="433">
        <f t="shared" si="15"/>
        <v>0</v>
      </c>
      <c r="AY9" s="433">
        <f t="shared" si="16"/>
        <v>0</v>
      </c>
      <c r="AZ9" s="433">
        <f t="shared" si="17"/>
        <v>0</v>
      </c>
      <c r="BA9" s="433">
        <f t="shared" si="3"/>
        <v>0</v>
      </c>
      <c r="BB9" s="433">
        <f t="shared" si="4"/>
        <v>0</v>
      </c>
      <c r="BC9" s="433">
        <f t="shared" si="5"/>
        <v>0</v>
      </c>
      <c r="BD9" s="433">
        <f t="shared" si="18"/>
        <v>0</v>
      </c>
      <c r="BE9" s="433">
        <f t="shared" si="19"/>
        <v>0</v>
      </c>
      <c r="BF9" s="433">
        <f t="shared" si="20"/>
        <v>0</v>
      </c>
      <c r="BG9" s="433">
        <f t="shared" si="21"/>
        <v>0</v>
      </c>
      <c r="BH9" s="433">
        <f t="shared" si="22"/>
        <v>0</v>
      </c>
      <c r="BI9" s="433">
        <f t="shared" si="23"/>
        <v>0</v>
      </c>
      <c r="BJ9" s="433">
        <f t="shared" si="24"/>
        <v>0</v>
      </c>
      <c r="BK9" s="433">
        <f t="shared" si="25"/>
        <v>0</v>
      </c>
      <c r="BL9" s="433">
        <f t="shared" si="26"/>
        <v>0</v>
      </c>
      <c r="BM9" s="433">
        <f t="shared" si="27"/>
        <v>0</v>
      </c>
      <c r="BN9" s="433">
        <f t="shared" si="28"/>
        <v>0</v>
      </c>
      <c r="BO9" s="433">
        <f t="shared" si="29"/>
        <v>0</v>
      </c>
      <c r="BP9" s="433">
        <f t="shared" si="30"/>
        <v>0</v>
      </c>
      <c r="BQ9" s="433">
        <f t="shared" si="31"/>
        <v>0</v>
      </c>
    </row>
    <row r="10" spans="1:71" x14ac:dyDescent="0.2">
      <c r="A10" s="102">
        <v>41799</v>
      </c>
      <c r="B10" s="319">
        <v>1</v>
      </c>
      <c r="C10" s="118" t="s">
        <v>326</v>
      </c>
      <c r="D10" s="111">
        <v>0.91666666666666663</v>
      </c>
      <c r="E10" s="111">
        <v>0.92361111111111116</v>
      </c>
      <c r="F10" s="444"/>
      <c r="G10" s="445">
        <v>9</v>
      </c>
      <c r="H10" s="444"/>
      <c r="I10" s="390"/>
      <c r="J10" s="426">
        <f t="shared" si="0"/>
        <v>10.000000000000124</v>
      </c>
      <c r="K10" s="103"/>
      <c r="L10" s="103"/>
      <c r="M10" s="103"/>
      <c r="N10" s="427">
        <f t="shared" si="1"/>
        <v>0</v>
      </c>
      <c r="O10" s="103"/>
      <c r="P10" s="103"/>
      <c r="Q10" s="103"/>
      <c r="R10" s="428">
        <f t="shared" si="2"/>
        <v>0</v>
      </c>
      <c r="S10" s="103"/>
      <c r="T10" s="103"/>
      <c r="U10" s="103"/>
      <c r="V10" s="125"/>
      <c r="W10" s="428">
        <f t="shared" si="10"/>
        <v>0</v>
      </c>
      <c r="X10" s="103"/>
      <c r="Y10" s="103"/>
      <c r="Z10" s="125"/>
      <c r="AA10" s="428">
        <f t="shared" si="11"/>
        <v>0</v>
      </c>
      <c r="AB10" s="103"/>
      <c r="AC10" s="103"/>
      <c r="AD10" s="103"/>
      <c r="AE10" s="428">
        <f t="shared" si="12"/>
        <v>0</v>
      </c>
      <c r="AF10" s="103"/>
      <c r="AG10" s="103"/>
      <c r="AH10" s="103"/>
      <c r="AI10" s="103"/>
      <c r="AJ10" s="428">
        <f t="shared" si="13"/>
        <v>0</v>
      </c>
      <c r="AK10" s="446"/>
      <c r="AL10" s="446"/>
      <c r="AM10" s="446"/>
      <c r="AN10" s="446"/>
      <c r="AO10" s="446"/>
      <c r="AP10" s="446"/>
      <c r="AQ10" s="446"/>
      <c r="AR10" s="431">
        <f t="shared" si="14"/>
        <v>0</v>
      </c>
      <c r="AT10" s="128" t="s">
        <v>273</v>
      </c>
      <c r="AU10" s="100" t="s">
        <v>328</v>
      </c>
      <c r="AV10" s="128" t="s">
        <v>331</v>
      </c>
      <c r="AW10" s="100" t="s">
        <v>565</v>
      </c>
      <c r="AX10" s="433">
        <f t="shared" si="15"/>
        <v>0</v>
      </c>
      <c r="AY10" s="433">
        <f t="shared" si="16"/>
        <v>0</v>
      </c>
      <c r="AZ10" s="433">
        <f t="shared" si="17"/>
        <v>0</v>
      </c>
      <c r="BA10" s="433">
        <f t="shared" si="3"/>
        <v>0</v>
      </c>
      <c r="BB10" s="433">
        <f t="shared" si="4"/>
        <v>0</v>
      </c>
      <c r="BC10" s="433">
        <f t="shared" si="5"/>
        <v>0</v>
      </c>
      <c r="BD10" s="433">
        <f t="shared" si="18"/>
        <v>0</v>
      </c>
      <c r="BE10" s="433">
        <f t="shared" si="19"/>
        <v>0</v>
      </c>
      <c r="BF10" s="433">
        <f t="shared" si="20"/>
        <v>0</v>
      </c>
      <c r="BG10" s="433">
        <f t="shared" si="21"/>
        <v>0</v>
      </c>
      <c r="BH10" s="433">
        <f t="shared" si="22"/>
        <v>0</v>
      </c>
      <c r="BI10" s="433">
        <f t="shared" si="23"/>
        <v>0</v>
      </c>
      <c r="BJ10" s="433">
        <f t="shared" si="24"/>
        <v>0</v>
      </c>
      <c r="BK10" s="433">
        <f t="shared" si="25"/>
        <v>0</v>
      </c>
      <c r="BL10" s="433">
        <f t="shared" si="26"/>
        <v>0</v>
      </c>
      <c r="BM10" s="433">
        <f t="shared" si="27"/>
        <v>0</v>
      </c>
      <c r="BN10" s="433">
        <f t="shared" si="28"/>
        <v>0</v>
      </c>
      <c r="BO10" s="433">
        <f t="shared" si="29"/>
        <v>0</v>
      </c>
      <c r="BP10" s="433">
        <f t="shared" si="30"/>
        <v>0</v>
      </c>
      <c r="BQ10" s="433">
        <f t="shared" si="31"/>
        <v>0</v>
      </c>
    </row>
    <row r="11" spans="1:71" x14ac:dyDescent="0.2">
      <c r="A11" s="102">
        <v>41799</v>
      </c>
      <c r="B11" s="319">
        <v>3</v>
      </c>
      <c r="C11" s="118" t="s">
        <v>302</v>
      </c>
      <c r="D11" s="111">
        <v>0.71180555555555547</v>
      </c>
      <c r="E11" s="111">
        <v>0.71527777777777779</v>
      </c>
      <c r="F11" s="444">
        <v>43</v>
      </c>
      <c r="G11" s="445"/>
      <c r="H11" s="444"/>
      <c r="I11" s="390"/>
      <c r="J11" s="426">
        <f t="shared" si="0"/>
        <v>5.0000000000001421</v>
      </c>
      <c r="K11" s="103"/>
      <c r="L11" s="103"/>
      <c r="M11" s="103"/>
      <c r="N11" s="427">
        <f t="shared" si="1"/>
        <v>0</v>
      </c>
      <c r="O11" s="103"/>
      <c r="P11" s="103"/>
      <c r="Q11" s="103"/>
      <c r="R11" s="428">
        <f t="shared" si="2"/>
        <v>0</v>
      </c>
      <c r="S11" s="103"/>
      <c r="T11" s="103"/>
      <c r="U11" s="103"/>
      <c r="V11" s="125"/>
      <c r="W11" s="428">
        <f t="shared" si="10"/>
        <v>0</v>
      </c>
      <c r="X11" s="103"/>
      <c r="Y11" s="103"/>
      <c r="Z11" s="125"/>
      <c r="AA11" s="428">
        <f t="shared" si="11"/>
        <v>0</v>
      </c>
      <c r="AB11" s="103"/>
      <c r="AC11" s="103"/>
      <c r="AD11" s="103"/>
      <c r="AE11" s="428">
        <f t="shared" si="12"/>
        <v>0</v>
      </c>
      <c r="AF11" s="103"/>
      <c r="AG11" s="103"/>
      <c r="AH11" s="103"/>
      <c r="AI11" s="103"/>
      <c r="AJ11" s="428">
        <f t="shared" si="13"/>
        <v>0</v>
      </c>
      <c r="AK11" s="446"/>
      <c r="AL11" s="446"/>
      <c r="AM11" s="446"/>
      <c r="AN11" s="446"/>
      <c r="AO11" s="446"/>
      <c r="AP11" s="446"/>
      <c r="AQ11" s="446"/>
      <c r="AR11" s="431">
        <f t="shared" si="14"/>
        <v>0</v>
      </c>
      <c r="AS11" s="10" t="s">
        <v>327</v>
      </c>
      <c r="AT11" s="128" t="s">
        <v>273</v>
      </c>
      <c r="AU11" s="100" t="s">
        <v>325</v>
      </c>
      <c r="AV11" s="128" t="s">
        <v>331</v>
      </c>
      <c r="AW11" s="100" t="s">
        <v>565</v>
      </c>
      <c r="AX11" s="433">
        <f t="shared" si="15"/>
        <v>0</v>
      </c>
      <c r="AY11" s="433">
        <f t="shared" si="16"/>
        <v>0</v>
      </c>
      <c r="AZ11" s="433">
        <f t="shared" si="17"/>
        <v>0</v>
      </c>
      <c r="BA11" s="433">
        <f t="shared" si="3"/>
        <v>0</v>
      </c>
      <c r="BB11" s="433">
        <f t="shared" si="4"/>
        <v>0</v>
      </c>
      <c r="BC11" s="433">
        <f t="shared" si="5"/>
        <v>0</v>
      </c>
      <c r="BD11" s="433">
        <f t="shared" si="18"/>
        <v>0</v>
      </c>
      <c r="BE11" s="433">
        <f t="shared" si="19"/>
        <v>0</v>
      </c>
      <c r="BF11" s="433">
        <f t="shared" si="20"/>
        <v>0</v>
      </c>
      <c r="BG11" s="433">
        <f t="shared" si="21"/>
        <v>0</v>
      </c>
      <c r="BH11" s="433">
        <f t="shared" si="22"/>
        <v>0</v>
      </c>
      <c r="BI11" s="433">
        <f t="shared" si="23"/>
        <v>0</v>
      </c>
      <c r="BJ11" s="433">
        <f t="shared" si="24"/>
        <v>0</v>
      </c>
      <c r="BK11" s="433">
        <f t="shared" si="25"/>
        <v>0</v>
      </c>
      <c r="BL11" s="433">
        <f t="shared" si="26"/>
        <v>0</v>
      </c>
      <c r="BM11" s="433">
        <f t="shared" si="27"/>
        <v>0</v>
      </c>
      <c r="BN11" s="433">
        <f t="shared" si="28"/>
        <v>0</v>
      </c>
      <c r="BO11" s="433">
        <f t="shared" si="29"/>
        <v>0</v>
      </c>
      <c r="BP11" s="433">
        <f t="shared" si="30"/>
        <v>0</v>
      </c>
      <c r="BQ11" s="433">
        <f t="shared" si="31"/>
        <v>0</v>
      </c>
    </row>
    <row r="12" spans="1:71" s="291" customFormat="1" x14ac:dyDescent="0.2">
      <c r="A12" s="317">
        <v>41799</v>
      </c>
      <c r="B12" s="318">
        <v>3</v>
      </c>
      <c r="C12" s="320" t="s">
        <v>326</v>
      </c>
      <c r="D12" s="321">
        <v>0.71527777777777779</v>
      </c>
      <c r="E12" s="321">
        <v>0.91319444444444453</v>
      </c>
      <c r="F12" s="434">
        <v>43</v>
      </c>
      <c r="G12" s="435"/>
      <c r="H12" s="434"/>
      <c r="I12" s="436"/>
      <c r="J12" s="437">
        <f t="shared" si="0"/>
        <v>285.00000000000011</v>
      </c>
      <c r="K12" s="285"/>
      <c r="L12" s="285"/>
      <c r="M12" s="285"/>
      <c r="N12" s="438">
        <f t="shared" si="1"/>
        <v>0</v>
      </c>
      <c r="O12" s="285"/>
      <c r="P12" s="285"/>
      <c r="Q12" s="285"/>
      <c r="R12" s="439">
        <f t="shared" si="2"/>
        <v>0</v>
      </c>
      <c r="S12" s="285"/>
      <c r="T12" s="285"/>
      <c r="U12" s="285"/>
      <c r="V12" s="440"/>
      <c r="W12" s="439">
        <f t="shared" si="10"/>
        <v>0</v>
      </c>
      <c r="X12" s="285"/>
      <c r="Y12" s="285"/>
      <c r="Z12" s="440"/>
      <c r="AA12" s="439">
        <f t="shared" si="11"/>
        <v>0</v>
      </c>
      <c r="AB12" s="285"/>
      <c r="AC12" s="285"/>
      <c r="AD12" s="285"/>
      <c r="AE12" s="439">
        <f t="shared" si="12"/>
        <v>0</v>
      </c>
      <c r="AF12" s="285"/>
      <c r="AG12" s="285"/>
      <c r="AH12" s="285"/>
      <c r="AI12" s="285"/>
      <c r="AJ12" s="439">
        <f t="shared" si="13"/>
        <v>0</v>
      </c>
      <c r="AK12" s="340"/>
      <c r="AL12" s="340"/>
      <c r="AM12" s="340"/>
      <c r="AN12" s="340"/>
      <c r="AO12" s="340"/>
      <c r="AP12" s="340"/>
      <c r="AQ12" s="340"/>
      <c r="AR12" s="441">
        <f t="shared" si="14"/>
        <v>0</v>
      </c>
      <c r="AT12" s="313" t="s">
        <v>273</v>
      </c>
      <c r="AU12" s="289" t="s">
        <v>328</v>
      </c>
      <c r="AV12" s="313" t="s">
        <v>331</v>
      </c>
      <c r="AW12" s="289" t="s">
        <v>565</v>
      </c>
      <c r="AX12" s="443">
        <f t="shared" si="15"/>
        <v>0</v>
      </c>
      <c r="AY12" s="443">
        <f t="shared" si="16"/>
        <v>0</v>
      </c>
      <c r="AZ12" s="443">
        <f t="shared" si="17"/>
        <v>0</v>
      </c>
      <c r="BA12" s="443">
        <f t="shared" si="3"/>
        <v>0</v>
      </c>
      <c r="BB12" s="443">
        <f t="shared" si="4"/>
        <v>0</v>
      </c>
      <c r="BC12" s="443">
        <f t="shared" si="5"/>
        <v>0</v>
      </c>
      <c r="BD12" s="443">
        <f t="shared" si="18"/>
        <v>0</v>
      </c>
      <c r="BE12" s="443">
        <f t="shared" si="19"/>
        <v>0</v>
      </c>
      <c r="BF12" s="443">
        <f t="shared" si="20"/>
        <v>0</v>
      </c>
      <c r="BG12" s="443">
        <f t="shared" si="21"/>
        <v>0</v>
      </c>
      <c r="BH12" s="443">
        <f t="shared" si="22"/>
        <v>0</v>
      </c>
      <c r="BI12" s="443">
        <f t="shared" si="23"/>
        <v>0</v>
      </c>
      <c r="BJ12" s="443">
        <f t="shared" si="24"/>
        <v>0</v>
      </c>
      <c r="BK12" s="443">
        <f t="shared" si="25"/>
        <v>0</v>
      </c>
      <c r="BL12" s="443">
        <f t="shared" si="26"/>
        <v>0</v>
      </c>
      <c r="BM12" s="443">
        <f t="shared" si="27"/>
        <v>0</v>
      </c>
      <c r="BN12" s="443">
        <f t="shared" si="28"/>
        <v>0</v>
      </c>
      <c r="BO12" s="443">
        <f t="shared" si="29"/>
        <v>0</v>
      </c>
      <c r="BP12" s="443">
        <f t="shared" si="30"/>
        <v>0</v>
      </c>
      <c r="BQ12" s="443">
        <f t="shared" si="31"/>
        <v>0</v>
      </c>
    </row>
    <row r="13" spans="1:71" x14ac:dyDescent="0.2">
      <c r="A13" s="102">
        <v>41800</v>
      </c>
      <c r="B13" s="319">
        <v>1</v>
      </c>
      <c r="C13" s="118" t="s">
        <v>342</v>
      </c>
      <c r="D13" s="111">
        <v>0.40625</v>
      </c>
      <c r="E13" s="111">
        <v>0.95833333333333337</v>
      </c>
      <c r="F13" s="444">
        <v>55</v>
      </c>
      <c r="G13" s="445">
        <v>7</v>
      </c>
      <c r="H13" s="444"/>
      <c r="I13" s="390"/>
      <c r="J13" s="426">
        <f t="shared" si="0"/>
        <v>795</v>
      </c>
      <c r="K13" s="103"/>
      <c r="L13" s="103"/>
      <c r="M13" s="103"/>
      <c r="N13" s="427">
        <f t="shared" si="1"/>
        <v>0</v>
      </c>
      <c r="O13" s="103"/>
      <c r="P13" s="103"/>
      <c r="Q13" s="103"/>
      <c r="R13" s="428">
        <f t="shared" si="2"/>
        <v>0</v>
      </c>
      <c r="S13" s="103"/>
      <c r="T13" s="103"/>
      <c r="U13" s="103"/>
      <c r="V13" s="125"/>
      <c r="W13" s="428">
        <f t="shared" si="10"/>
        <v>0</v>
      </c>
      <c r="X13" s="103"/>
      <c r="Y13" s="103"/>
      <c r="Z13" s="125"/>
      <c r="AA13" s="428">
        <f t="shared" si="11"/>
        <v>0</v>
      </c>
      <c r="AB13" s="103"/>
      <c r="AC13" s="103"/>
      <c r="AD13" s="103"/>
      <c r="AE13" s="428">
        <f t="shared" si="12"/>
        <v>0</v>
      </c>
      <c r="AF13" s="103"/>
      <c r="AG13" s="103"/>
      <c r="AH13" s="103"/>
      <c r="AI13" s="103"/>
      <c r="AJ13" s="428">
        <f t="shared" si="13"/>
        <v>0</v>
      </c>
      <c r="AK13" s="446"/>
      <c r="AL13" s="446"/>
      <c r="AM13" s="446"/>
      <c r="AN13" s="446"/>
      <c r="AO13" s="446"/>
      <c r="AP13" s="446"/>
      <c r="AQ13" s="446"/>
      <c r="AR13" s="431">
        <f t="shared" si="14"/>
        <v>0</v>
      </c>
      <c r="AS13" s="10" t="s">
        <v>333</v>
      </c>
      <c r="AT13" s="128" t="s">
        <v>335</v>
      </c>
      <c r="AU13" s="100" t="s">
        <v>542</v>
      </c>
      <c r="AV13" s="128" t="s">
        <v>532</v>
      </c>
      <c r="AW13" s="100" t="s">
        <v>566</v>
      </c>
      <c r="AX13" s="433">
        <f t="shared" si="15"/>
        <v>0</v>
      </c>
      <c r="AY13" s="433">
        <f t="shared" si="16"/>
        <v>0</v>
      </c>
      <c r="AZ13" s="433">
        <f t="shared" si="17"/>
        <v>0</v>
      </c>
      <c r="BA13" s="433">
        <f t="shared" si="3"/>
        <v>0</v>
      </c>
      <c r="BB13" s="433">
        <f t="shared" si="4"/>
        <v>0</v>
      </c>
      <c r="BC13" s="433">
        <f t="shared" si="5"/>
        <v>0</v>
      </c>
      <c r="BD13" s="433">
        <f t="shared" si="18"/>
        <v>0</v>
      </c>
      <c r="BE13" s="433">
        <f t="shared" si="19"/>
        <v>0</v>
      </c>
      <c r="BF13" s="433">
        <f t="shared" si="20"/>
        <v>0</v>
      </c>
      <c r="BG13" s="433">
        <f t="shared" si="21"/>
        <v>0</v>
      </c>
      <c r="BH13" s="433">
        <f t="shared" si="22"/>
        <v>0</v>
      </c>
      <c r="BI13" s="433">
        <f t="shared" si="23"/>
        <v>0</v>
      </c>
      <c r="BJ13" s="433">
        <f t="shared" si="24"/>
        <v>0</v>
      </c>
      <c r="BK13" s="433">
        <f t="shared" si="25"/>
        <v>0</v>
      </c>
      <c r="BL13" s="433">
        <f t="shared" si="26"/>
        <v>0</v>
      </c>
      <c r="BM13" s="433">
        <f t="shared" si="27"/>
        <v>0</v>
      </c>
      <c r="BN13" s="433">
        <f t="shared" si="28"/>
        <v>0</v>
      </c>
      <c r="BO13" s="433">
        <f t="shared" si="29"/>
        <v>0</v>
      </c>
      <c r="BP13" s="433">
        <f t="shared" si="30"/>
        <v>0</v>
      </c>
      <c r="BQ13" s="433">
        <f t="shared" si="31"/>
        <v>0</v>
      </c>
    </row>
    <row r="14" spans="1:71" s="291" customFormat="1" x14ac:dyDescent="0.2">
      <c r="A14" s="317">
        <v>41800</v>
      </c>
      <c r="B14" s="318">
        <v>3</v>
      </c>
      <c r="C14" s="320" t="s">
        <v>334</v>
      </c>
      <c r="D14" s="321">
        <v>0.39583333333333331</v>
      </c>
      <c r="E14" s="321">
        <v>0.96875</v>
      </c>
      <c r="F14" s="434">
        <v>41</v>
      </c>
      <c r="G14" s="435">
        <v>8</v>
      </c>
      <c r="H14" s="434"/>
      <c r="I14" s="436"/>
      <c r="J14" s="437">
        <f t="shared" si="0"/>
        <v>825.00000000000011</v>
      </c>
      <c r="K14" s="285"/>
      <c r="L14" s="285"/>
      <c r="M14" s="285"/>
      <c r="N14" s="438">
        <f t="shared" si="1"/>
        <v>0</v>
      </c>
      <c r="O14" s="285"/>
      <c r="P14" s="285"/>
      <c r="Q14" s="285"/>
      <c r="R14" s="439">
        <f t="shared" si="2"/>
        <v>0</v>
      </c>
      <c r="S14" s="285"/>
      <c r="T14" s="285"/>
      <c r="U14" s="285"/>
      <c r="V14" s="440"/>
      <c r="W14" s="439">
        <f t="shared" si="10"/>
        <v>0</v>
      </c>
      <c r="X14" s="285"/>
      <c r="Y14" s="285"/>
      <c r="Z14" s="440"/>
      <c r="AA14" s="439">
        <f t="shared" si="11"/>
        <v>0</v>
      </c>
      <c r="AB14" s="285"/>
      <c r="AC14" s="285"/>
      <c r="AD14" s="285"/>
      <c r="AE14" s="439">
        <f t="shared" si="12"/>
        <v>0</v>
      </c>
      <c r="AF14" s="285"/>
      <c r="AG14" s="285"/>
      <c r="AH14" s="285"/>
      <c r="AI14" s="285"/>
      <c r="AJ14" s="439">
        <f t="shared" si="13"/>
        <v>0</v>
      </c>
      <c r="AK14" s="340"/>
      <c r="AL14" s="340"/>
      <c r="AM14" s="340"/>
      <c r="AN14" s="340"/>
      <c r="AO14" s="340"/>
      <c r="AP14" s="340"/>
      <c r="AQ14" s="340"/>
      <c r="AR14" s="441">
        <f t="shared" si="14"/>
        <v>0</v>
      </c>
      <c r="AT14" s="313" t="s">
        <v>336</v>
      </c>
      <c r="AU14" s="289" t="s">
        <v>542</v>
      </c>
      <c r="AV14" s="313" t="s">
        <v>532</v>
      </c>
      <c r="AW14" s="289" t="s">
        <v>566</v>
      </c>
      <c r="AX14" s="443">
        <f t="shared" si="15"/>
        <v>0</v>
      </c>
      <c r="AY14" s="443">
        <f t="shared" si="16"/>
        <v>0</v>
      </c>
      <c r="AZ14" s="443">
        <f t="shared" si="17"/>
        <v>0</v>
      </c>
      <c r="BA14" s="443">
        <f t="shared" si="3"/>
        <v>0</v>
      </c>
      <c r="BB14" s="443">
        <f t="shared" si="4"/>
        <v>0</v>
      </c>
      <c r="BC14" s="443">
        <f t="shared" si="5"/>
        <v>0</v>
      </c>
      <c r="BD14" s="443">
        <f t="shared" si="18"/>
        <v>0</v>
      </c>
      <c r="BE14" s="443">
        <f t="shared" si="19"/>
        <v>0</v>
      </c>
      <c r="BF14" s="443">
        <f t="shared" si="20"/>
        <v>0</v>
      </c>
      <c r="BG14" s="443">
        <f t="shared" si="21"/>
        <v>0</v>
      </c>
      <c r="BH14" s="443">
        <f t="shared" si="22"/>
        <v>0</v>
      </c>
      <c r="BI14" s="443">
        <f t="shared" si="23"/>
        <v>0</v>
      </c>
      <c r="BJ14" s="443">
        <f t="shared" si="24"/>
        <v>0</v>
      </c>
      <c r="BK14" s="443">
        <f t="shared" si="25"/>
        <v>0</v>
      </c>
      <c r="BL14" s="443">
        <f t="shared" si="26"/>
        <v>0</v>
      </c>
      <c r="BM14" s="443">
        <f t="shared" si="27"/>
        <v>0</v>
      </c>
      <c r="BN14" s="443">
        <f t="shared" si="28"/>
        <v>0</v>
      </c>
      <c r="BO14" s="443">
        <f t="shared" si="29"/>
        <v>0</v>
      </c>
      <c r="BP14" s="443">
        <f t="shared" si="30"/>
        <v>0</v>
      </c>
      <c r="BQ14" s="443">
        <f t="shared" si="31"/>
        <v>0</v>
      </c>
    </row>
    <row r="15" spans="1:71" x14ac:dyDescent="0.2">
      <c r="A15" s="102">
        <v>41801</v>
      </c>
      <c r="B15" s="319">
        <v>1</v>
      </c>
      <c r="C15" s="118" t="s">
        <v>343</v>
      </c>
      <c r="D15" s="111">
        <v>0.3923611111111111</v>
      </c>
      <c r="E15" s="111">
        <v>0.39513888888888887</v>
      </c>
      <c r="F15" s="444">
        <v>55</v>
      </c>
      <c r="G15" s="445">
        <v>7</v>
      </c>
      <c r="H15" s="444"/>
      <c r="I15" s="390"/>
      <c r="J15" s="426">
        <f t="shared" si="0"/>
        <v>3.9999999999999858</v>
      </c>
      <c r="K15" s="103"/>
      <c r="L15" s="103"/>
      <c r="M15" s="103"/>
      <c r="N15" s="427">
        <f t="shared" si="1"/>
        <v>0</v>
      </c>
      <c r="O15" s="103"/>
      <c r="P15" s="103"/>
      <c r="Q15" s="103"/>
      <c r="R15" s="428">
        <f t="shared" si="2"/>
        <v>0</v>
      </c>
      <c r="S15" s="103"/>
      <c r="T15" s="103"/>
      <c r="U15" s="103"/>
      <c r="V15" s="125"/>
      <c r="W15" s="428">
        <f t="shared" si="10"/>
        <v>0</v>
      </c>
      <c r="X15" s="103"/>
      <c r="Y15" s="103"/>
      <c r="Z15" s="125"/>
      <c r="AA15" s="428">
        <f t="shared" si="11"/>
        <v>0</v>
      </c>
      <c r="AB15" s="103"/>
      <c r="AC15" s="103"/>
      <c r="AD15" s="103"/>
      <c r="AE15" s="428">
        <f t="shared" si="12"/>
        <v>0</v>
      </c>
      <c r="AF15" s="103"/>
      <c r="AG15" s="103"/>
      <c r="AH15" s="103"/>
      <c r="AI15" s="103"/>
      <c r="AJ15" s="428">
        <f t="shared" si="13"/>
        <v>0</v>
      </c>
      <c r="AK15" s="446"/>
      <c r="AL15" s="446"/>
      <c r="AM15" s="446"/>
      <c r="AN15" s="446"/>
      <c r="AO15" s="446"/>
      <c r="AP15" s="446"/>
      <c r="AQ15" s="446"/>
      <c r="AR15" s="431">
        <f t="shared" si="14"/>
        <v>0</v>
      </c>
      <c r="AT15" s="128"/>
      <c r="AU15" s="100" t="s">
        <v>545</v>
      </c>
      <c r="AV15" s="128" t="s">
        <v>532</v>
      </c>
      <c r="AW15" s="100" t="s">
        <v>567</v>
      </c>
      <c r="AX15" s="433">
        <f t="shared" si="15"/>
        <v>0</v>
      </c>
      <c r="AY15" s="433">
        <f t="shared" si="16"/>
        <v>0</v>
      </c>
      <c r="AZ15" s="433">
        <f t="shared" si="17"/>
        <v>0</v>
      </c>
      <c r="BA15" s="433">
        <f t="shared" si="3"/>
        <v>0</v>
      </c>
      <c r="BB15" s="433">
        <f t="shared" si="4"/>
        <v>0</v>
      </c>
      <c r="BC15" s="433">
        <f t="shared" si="5"/>
        <v>0</v>
      </c>
      <c r="BD15" s="433">
        <f t="shared" si="18"/>
        <v>0</v>
      </c>
      <c r="BE15" s="433">
        <f t="shared" si="19"/>
        <v>0</v>
      </c>
      <c r="BF15" s="433">
        <f t="shared" si="20"/>
        <v>0</v>
      </c>
      <c r="BG15" s="433">
        <f t="shared" si="21"/>
        <v>0</v>
      </c>
      <c r="BH15" s="433">
        <f t="shared" si="22"/>
        <v>0</v>
      </c>
      <c r="BI15" s="433">
        <f t="shared" si="23"/>
        <v>0</v>
      </c>
      <c r="BJ15" s="433">
        <f t="shared" si="24"/>
        <v>0</v>
      </c>
      <c r="BK15" s="433">
        <f t="shared" si="25"/>
        <v>0</v>
      </c>
      <c r="BL15" s="433">
        <f t="shared" si="26"/>
        <v>0</v>
      </c>
      <c r="BM15" s="433">
        <f t="shared" si="27"/>
        <v>0</v>
      </c>
      <c r="BN15" s="433">
        <f t="shared" si="28"/>
        <v>0</v>
      </c>
      <c r="BO15" s="433">
        <f t="shared" si="29"/>
        <v>0</v>
      </c>
      <c r="BP15" s="433">
        <f t="shared" si="30"/>
        <v>0</v>
      </c>
      <c r="BQ15" s="433">
        <f t="shared" si="31"/>
        <v>0</v>
      </c>
    </row>
    <row r="16" spans="1:71" x14ac:dyDescent="0.2">
      <c r="A16" s="102">
        <v>41801</v>
      </c>
      <c r="B16" s="319">
        <v>1</v>
      </c>
      <c r="C16" s="118" t="s">
        <v>337</v>
      </c>
      <c r="D16" s="111">
        <v>0.39513888888888887</v>
      </c>
      <c r="E16" s="111">
        <v>0.75347222222222221</v>
      </c>
      <c r="F16" s="444"/>
      <c r="G16" s="445"/>
      <c r="H16" s="444"/>
      <c r="I16" s="390"/>
      <c r="J16" s="426">
        <f t="shared" si="0"/>
        <v>516</v>
      </c>
      <c r="K16" s="103"/>
      <c r="L16" s="103"/>
      <c r="M16" s="103"/>
      <c r="N16" s="427">
        <f t="shared" si="1"/>
        <v>0</v>
      </c>
      <c r="O16" s="103"/>
      <c r="P16" s="103"/>
      <c r="Q16" s="103"/>
      <c r="R16" s="428">
        <f t="shared" si="2"/>
        <v>0</v>
      </c>
      <c r="S16" s="103"/>
      <c r="T16" s="103"/>
      <c r="U16" s="103"/>
      <c r="V16" s="125"/>
      <c r="W16" s="428">
        <f t="shared" si="10"/>
        <v>0</v>
      </c>
      <c r="X16" s="103"/>
      <c r="Y16" s="103"/>
      <c r="Z16" s="125"/>
      <c r="AA16" s="428">
        <f t="shared" si="11"/>
        <v>0</v>
      </c>
      <c r="AB16" s="103"/>
      <c r="AC16" s="103"/>
      <c r="AD16" s="103"/>
      <c r="AE16" s="428">
        <f t="shared" si="12"/>
        <v>0</v>
      </c>
      <c r="AF16" s="103"/>
      <c r="AG16" s="103"/>
      <c r="AH16" s="103"/>
      <c r="AI16" s="103"/>
      <c r="AJ16" s="428">
        <f t="shared" si="13"/>
        <v>0</v>
      </c>
      <c r="AK16" s="446"/>
      <c r="AL16" s="446"/>
      <c r="AM16" s="446"/>
      <c r="AN16" s="446"/>
      <c r="AO16" s="446"/>
      <c r="AP16" s="446"/>
      <c r="AQ16" s="446"/>
      <c r="AR16" s="431">
        <f t="shared" si="14"/>
        <v>0</v>
      </c>
      <c r="AT16" s="128" t="s">
        <v>338</v>
      </c>
      <c r="AU16" s="100" t="s">
        <v>545</v>
      </c>
      <c r="AV16" s="128" t="s">
        <v>532</v>
      </c>
      <c r="AW16" s="100" t="s">
        <v>567</v>
      </c>
      <c r="AX16" s="433">
        <f t="shared" si="15"/>
        <v>0</v>
      </c>
      <c r="AY16" s="433">
        <f t="shared" si="16"/>
        <v>0</v>
      </c>
      <c r="AZ16" s="433">
        <f t="shared" si="17"/>
        <v>0</v>
      </c>
      <c r="BA16" s="433">
        <f t="shared" si="3"/>
        <v>0</v>
      </c>
      <c r="BB16" s="433">
        <f t="shared" si="4"/>
        <v>0</v>
      </c>
      <c r="BC16" s="433">
        <f t="shared" si="5"/>
        <v>0</v>
      </c>
      <c r="BD16" s="433">
        <f t="shared" si="18"/>
        <v>0</v>
      </c>
      <c r="BE16" s="433">
        <f t="shared" si="19"/>
        <v>0</v>
      </c>
      <c r="BF16" s="433">
        <f t="shared" si="20"/>
        <v>0</v>
      </c>
      <c r="BG16" s="433">
        <f t="shared" si="21"/>
        <v>0</v>
      </c>
      <c r="BH16" s="433">
        <f t="shared" si="22"/>
        <v>0</v>
      </c>
      <c r="BI16" s="433">
        <f t="shared" si="23"/>
        <v>0</v>
      </c>
      <c r="BJ16" s="433">
        <f t="shared" si="24"/>
        <v>0</v>
      </c>
      <c r="BK16" s="433">
        <f t="shared" si="25"/>
        <v>0</v>
      </c>
      <c r="BL16" s="433">
        <f t="shared" si="26"/>
        <v>0</v>
      </c>
      <c r="BM16" s="433">
        <f t="shared" si="27"/>
        <v>0</v>
      </c>
      <c r="BN16" s="433">
        <f t="shared" si="28"/>
        <v>0</v>
      </c>
      <c r="BO16" s="433">
        <f t="shared" si="29"/>
        <v>0</v>
      </c>
      <c r="BP16" s="433">
        <f t="shared" si="30"/>
        <v>0</v>
      </c>
      <c r="BQ16" s="433">
        <f t="shared" si="31"/>
        <v>0</v>
      </c>
    </row>
    <row r="17" spans="1:69" x14ac:dyDescent="0.2">
      <c r="A17" s="102">
        <v>41801</v>
      </c>
      <c r="B17" s="319">
        <v>1</v>
      </c>
      <c r="C17" s="118" t="s">
        <v>344</v>
      </c>
      <c r="D17" s="111">
        <v>0.75347222222222221</v>
      </c>
      <c r="E17" s="111">
        <v>0.88541666666666663</v>
      </c>
      <c r="F17" s="444">
        <v>55</v>
      </c>
      <c r="G17" s="445">
        <v>7</v>
      </c>
      <c r="H17" s="444"/>
      <c r="I17" s="390"/>
      <c r="J17" s="426">
        <f t="shared" si="0"/>
        <v>189.99999999999997</v>
      </c>
      <c r="K17" s="103"/>
      <c r="L17" s="103"/>
      <c r="M17" s="103"/>
      <c r="N17" s="427">
        <f t="shared" si="1"/>
        <v>0</v>
      </c>
      <c r="O17" s="103"/>
      <c r="P17" s="103"/>
      <c r="Q17" s="103"/>
      <c r="R17" s="428">
        <f t="shared" si="2"/>
        <v>0</v>
      </c>
      <c r="S17" s="103"/>
      <c r="T17" s="103"/>
      <c r="U17" s="103"/>
      <c r="V17" s="125"/>
      <c r="W17" s="428">
        <f t="shared" si="10"/>
        <v>0</v>
      </c>
      <c r="X17" s="103"/>
      <c r="Y17" s="103"/>
      <c r="Z17" s="125"/>
      <c r="AA17" s="428">
        <f t="shared" si="11"/>
        <v>0</v>
      </c>
      <c r="AB17" s="103"/>
      <c r="AC17" s="103"/>
      <c r="AD17" s="103"/>
      <c r="AE17" s="428">
        <f t="shared" si="12"/>
        <v>0</v>
      </c>
      <c r="AF17" s="103"/>
      <c r="AG17" s="103"/>
      <c r="AH17" s="103"/>
      <c r="AI17" s="103"/>
      <c r="AJ17" s="428">
        <f t="shared" si="13"/>
        <v>0</v>
      </c>
      <c r="AK17" s="446"/>
      <c r="AL17" s="446"/>
      <c r="AM17" s="446"/>
      <c r="AN17" s="446"/>
      <c r="AO17" s="446"/>
      <c r="AP17" s="446"/>
      <c r="AQ17" s="446"/>
      <c r="AR17" s="431">
        <f t="shared" si="14"/>
        <v>0</v>
      </c>
      <c r="AS17" s="10" t="s">
        <v>339</v>
      </c>
      <c r="AT17" s="128" t="s">
        <v>273</v>
      </c>
      <c r="AU17" s="100" t="s">
        <v>348</v>
      </c>
      <c r="AV17" s="128" t="s">
        <v>532</v>
      </c>
      <c r="AW17" s="100" t="s">
        <v>567</v>
      </c>
      <c r="AX17" s="433">
        <f t="shared" si="15"/>
        <v>0</v>
      </c>
      <c r="AY17" s="433">
        <f t="shared" si="16"/>
        <v>0</v>
      </c>
      <c r="AZ17" s="433">
        <f t="shared" si="17"/>
        <v>0</v>
      </c>
      <c r="BA17" s="433">
        <f t="shared" si="3"/>
        <v>0</v>
      </c>
      <c r="BB17" s="433">
        <f t="shared" si="4"/>
        <v>0</v>
      </c>
      <c r="BC17" s="433">
        <f t="shared" si="5"/>
        <v>0</v>
      </c>
      <c r="BD17" s="433">
        <f t="shared" si="18"/>
        <v>0</v>
      </c>
      <c r="BE17" s="433">
        <f t="shared" si="19"/>
        <v>0</v>
      </c>
      <c r="BF17" s="433">
        <f t="shared" si="20"/>
        <v>0</v>
      </c>
      <c r="BG17" s="433">
        <f t="shared" si="21"/>
        <v>0</v>
      </c>
      <c r="BH17" s="433">
        <f t="shared" si="22"/>
        <v>0</v>
      </c>
      <c r="BI17" s="433">
        <f t="shared" si="23"/>
        <v>0</v>
      </c>
      <c r="BJ17" s="433">
        <f t="shared" si="24"/>
        <v>0</v>
      </c>
      <c r="BK17" s="433">
        <f t="shared" si="25"/>
        <v>0</v>
      </c>
      <c r="BL17" s="433">
        <f t="shared" si="26"/>
        <v>0</v>
      </c>
      <c r="BM17" s="433">
        <f t="shared" si="27"/>
        <v>0</v>
      </c>
      <c r="BN17" s="433">
        <f t="shared" si="28"/>
        <v>0</v>
      </c>
      <c r="BO17" s="433">
        <f t="shared" si="29"/>
        <v>0</v>
      </c>
      <c r="BP17" s="433">
        <f t="shared" si="30"/>
        <v>0</v>
      </c>
      <c r="BQ17" s="433">
        <f t="shared" si="31"/>
        <v>0</v>
      </c>
    </row>
    <row r="18" spans="1:69" x14ac:dyDescent="0.2">
      <c r="A18" s="102">
        <v>41801</v>
      </c>
      <c r="B18" s="319">
        <v>1</v>
      </c>
      <c r="C18" s="118" t="s">
        <v>345</v>
      </c>
      <c r="D18" s="111">
        <v>0.88541666666666663</v>
      </c>
      <c r="E18" s="111">
        <v>0.96180555555555547</v>
      </c>
      <c r="F18" s="444"/>
      <c r="G18" s="445"/>
      <c r="H18" s="444"/>
      <c r="I18" s="390"/>
      <c r="J18" s="426">
        <f t="shared" si="0"/>
        <v>109.99999999999993</v>
      </c>
      <c r="K18" s="103"/>
      <c r="L18" s="103"/>
      <c r="M18" s="103"/>
      <c r="N18" s="427">
        <f t="shared" si="1"/>
        <v>0</v>
      </c>
      <c r="O18" s="103"/>
      <c r="P18" s="103"/>
      <c r="Q18" s="103"/>
      <c r="R18" s="428">
        <f t="shared" si="2"/>
        <v>0</v>
      </c>
      <c r="S18" s="103"/>
      <c r="T18" s="103"/>
      <c r="U18" s="103"/>
      <c r="V18" s="125"/>
      <c r="W18" s="428">
        <f t="shared" si="10"/>
        <v>0</v>
      </c>
      <c r="X18" s="103"/>
      <c r="Y18" s="103"/>
      <c r="Z18" s="125"/>
      <c r="AA18" s="428">
        <f t="shared" si="11"/>
        <v>0</v>
      </c>
      <c r="AB18" s="103"/>
      <c r="AC18" s="103"/>
      <c r="AD18" s="103"/>
      <c r="AE18" s="428">
        <f t="shared" si="12"/>
        <v>0</v>
      </c>
      <c r="AF18" s="103"/>
      <c r="AG18" s="103"/>
      <c r="AH18" s="103"/>
      <c r="AI18" s="103"/>
      <c r="AJ18" s="428">
        <f t="shared" si="13"/>
        <v>0</v>
      </c>
      <c r="AK18" s="446"/>
      <c r="AL18" s="446"/>
      <c r="AM18" s="446"/>
      <c r="AN18" s="446"/>
      <c r="AO18" s="446"/>
      <c r="AP18" s="446"/>
      <c r="AQ18" s="446"/>
      <c r="AR18" s="431">
        <f t="shared" si="14"/>
        <v>0</v>
      </c>
      <c r="AT18" s="128" t="s">
        <v>340</v>
      </c>
      <c r="AU18" s="100" t="s">
        <v>348</v>
      </c>
      <c r="AV18" s="128" t="s">
        <v>532</v>
      </c>
      <c r="AW18" s="100" t="s">
        <v>567</v>
      </c>
      <c r="AX18" s="433">
        <f t="shared" si="15"/>
        <v>0</v>
      </c>
      <c r="AY18" s="433">
        <f t="shared" si="16"/>
        <v>0</v>
      </c>
      <c r="AZ18" s="433">
        <f t="shared" si="17"/>
        <v>0</v>
      </c>
      <c r="BA18" s="433">
        <f t="shared" si="3"/>
        <v>0</v>
      </c>
      <c r="BB18" s="433">
        <f t="shared" si="4"/>
        <v>0</v>
      </c>
      <c r="BC18" s="433">
        <f t="shared" si="5"/>
        <v>0</v>
      </c>
      <c r="BD18" s="433">
        <f t="shared" si="18"/>
        <v>0</v>
      </c>
      <c r="BE18" s="433">
        <f t="shared" si="19"/>
        <v>0</v>
      </c>
      <c r="BF18" s="433">
        <f t="shared" si="20"/>
        <v>0</v>
      </c>
      <c r="BG18" s="433">
        <f t="shared" si="21"/>
        <v>0</v>
      </c>
      <c r="BH18" s="433">
        <f t="shared" si="22"/>
        <v>0</v>
      </c>
      <c r="BI18" s="433">
        <f t="shared" si="23"/>
        <v>0</v>
      </c>
      <c r="BJ18" s="433">
        <f t="shared" si="24"/>
        <v>0</v>
      </c>
      <c r="BK18" s="433">
        <f t="shared" si="25"/>
        <v>0</v>
      </c>
      <c r="BL18" s="433">
        <f t="shared" si="26"/>
        <v>0</v>
      </c>
      <c r="BM18" s="433">
        <f t="shared" si="27"/>
        <v>0</v>
      </c>
      <c r="BN18" s="433">
        <f t="shared" si="28"/>
        <v>0</v>
      </c>
      <c r="BO18" s="433">
        <f t="shared" si="29"/>
        <v>0</v>
      </c>
      <c r="BP18" s="433">
        <f t="shared" si="30"/>
        <v>0</v>
      </c>
      <c r="BQ18" s="433">
        <f t="shared" si="31"/>
        <v>0</v>
      </c>
    </row>
    <row r="19" spans="1:69" x14ac:dyDescent="0.2">
      <c r="A19" s="102">
        <v>41801</v>
      </c>
      <c r="B19" s="319">
        <v>3</v>
      </c>
      <c r="C19" s="118" t="s">
        <v>343</v>
      </c>
      <c r="D19" s="111">
        <v>0.38541666666666669</v>
      </c>
      <c r="E19" s="111">
        <v>0.3888888888888889</v>
      </c>
      <c r="F19" s="444">
        <v>39</v>
      </c>
      <c r="G19" s="445">
        <v>7</v>
      </c>
      <c r="H19" s="444"/>
      <c r="I19" s="390"/>
      <c r="J19" s="426">
        <f t="shared" si="0"/>
        <v>4.9999999999999822</v>
      </c>
      <c r="K19" s="103"/>
      <c r="L19" s="103"/>
      <c r="M19" s="103"/>
      <c r="N19" s="427">
        <f t="shared" si="1"/>
        <v>0</v>
      </c>
      <c r="O19" s="103"/>
      <c r="P19" s="103"/>
      <c r="Q19" s="103"/>
      <c r="R19" s="428">
        <f t="shared" si="2"/>
        <v>0</v>
      </c>
      <c r="S19" s="103"/>
      <c r="T19" s="103"/>
      <c r="U19" s="103"/>
      <c r="V19" s="125"/>
      <c r="W19" s="428">
        <f t="shared" si="10"/>
        <v>0</v>
      </c>
      <c r="X19" s="103"/>
      <c r="Y19" s="103"/>
      <c r="Z19" s="125"/>
      <c r="AA19" s="428">
        <f t="shared" si="11"/>
        <v>0</v>
      </c>
      <c r="AB19" s="103"/>
      <c r="AC19" s="103"/>
      <c r="AD19" s="103"/>
      <c r="AE19" s="428">
        <f t="shared" si="12"/>
        <v>0</v>
      </c>
      <c r="AF19" s="103"/>
      <c r="AG19" s="103"/>
      <c r="AH19" s="103"/>
      <c r="AI19" s="103"/>
      <c r="AJ19" s="428">
        <f t="shared" si="13"/>
        <v>0</v>
      </c>
      <c r="AK19" s="446"/>
      <c r="AL19" s="446"/>
      <c r="AM19" s="446"/>
      <c r="AN19" s="446"/>
      <c r="AO19" s="446"/>
      <c r="AP19" s="446"/>
      <c r="AQ19" s="446"/>
      <c r="AR19" s="431">
        <f t="shared" si="14"/>
        <v>0</v>
      </c>
      <c r="AS19" s="10" t="s">
        <v>341</v>
      </c>
      <c r="AT19" s="128"/>
      <c r="AU19" s="100" t="s">
        <v>348</v>
      </c>
      <c r="AV19" s="128" t="s">
        <v>532</v>
      </c>
      <c r="AW19" s="100" t="s">
        <v>567</v>
      </c>
      <c r="AX19" s="433">
        <f t="shared" si="15"/>
        <v>0</v>
      </c>
      <c r="AY19" s="433">
        <f t="shared" si="16"/>
        <v>0</v>
      </c>
      <c r="AZ19" s="433">
        <f t="shared" si="17"/>
        <v>0</v>
      </c>
      <c r="BA19" s="433">
        <f t="shared" si="3"/>
        <v>0</v>
      </c>
      <c r="BB19" s="433">
        <f t="shared" si="4"/>
        <v>0</v>
      </c>
      <c r="BC19" s="433">
        <f t="shared" si="5"/>
        <v>0</v>
      </c>
      <c r="BD19" s="433">
        <f t="shared" si="18"/>
        <v>0</v>
      </c>
      <c r="BE19" s="433">
        <f t="shared" si="19"/>
        <v>0</v>
      </c>
      <c r="BF19" s="433">
        <f t="shared" si="20"/>
        <v>0</v>
      </c>
      <c r="BG19" s="433">
        <f t="shared" si="21"/>
        <v>0</v>
      </c>
      <c r="BH19" s="433">
        <f t="shared" si="22"/>
        <v>0</v>
      </c>
      <c r="BI19" s="433">
        <f t="shared" si="23"/>
        <v>0</v>
      </c>
      <c r="BJ19" s="433">
        <f t="shared" si="24"/>
        <v>0</v>
      </c>
      <c r="BK19" s="433">
        <f t="shared" si="25"/>
        <v>0</v>
      </c>
      <c r="BL19" s="433">
        <f t="shared" si="26"/>
        <v>0</v>
      </c>
      <c r="BM19" s="433">
        <f t="shared" si="27"/>
        <v>0</v>
      </c>
      <c r="BN19" s="433">
        <f t="shared" si="28"/>
        <v>0</v>
      </c>
      <c r="BO19" s="433">
        <f t="shared" si="29"/>
        <v>0</v>
      </c>
      <c r="BP19" s="433">
        <f t="shared" si="30"/>
        <v>0</v>
      </c>
      <c r="BQ19" s="433">
        <f t="shared" si="31"/>
        <v>0</v>
      </c>
    </row>
    <row r="20" spans="1:69" x14ac:dyDescent="0.2">
      <c r="A20" s="102">
        <v>41801</v>
      </c>
      <c r="B20" s="319">
        <v>3</v>
      </c>
      <c r="C20" s="118" t="s">
        <v>513</v>
      </c>
      <c r="D20" s="111">
        <v>0.3888888888888889</v>
      </c>
      <c r="E20" s="111">
        <v>0.63194444444444442</v>
      </c>
      <c r="F20" s="444">
        <v>50</v>
      </c>
      <c r="G20" s="445">
        <v>8</v>
      </c>
      <c r="H20" s="444"/>
      <c r="I20" s="390"/>
      <c r="J20" s="426">
        <f t="shared" si="0"/>
        <v>349.99999999999994</v>
      </c>
      <c r="K20" s="103">
        <v>1</v>
      </c>
      <c r="L20" s="103"/>
      <c r="M20" s="103"/>
      <c r="N20" s="427">
        <f t="shared" si="1"/>
        <v>1</v>
      </c>
      <c r="O20" s="103"/>
      <c r="P20" s="103"/>
      <c r="Q20" s="103"/>
      <c r="R20" s="428">
        <f t="shared" si="2"/>
        <v>0</v>
      </c>
      <c r="S20" s="103"/>
      <c r="T20" s="103"/>
      <c r="U20" s="103"/>
      <c r="V20" s="125"/>
      <c r="W20" s="428">
        <f t="shared" si="10"/>
        <v>0</v>
      </c>
      <c r="X20" s="103"/>
      <c r="Y20" s="103"/>
      <c r="Z20" s="125"/>
      <c r="AA20" s="428">
        <f t="shared" si="11"/>
        <v>0</v>
      </c>
      <c r="AB20" s="103"/>
      <c r="AC20" s="103"/>
      <c r="AD20" s="103"/>
      <c r="AE20" s="428">
        <f t="shared" si="12"/>
        <v>0</v>
      </c>
      <c r="AF20" s="103"/>
      <c r="AG20" s="103"/>
      <c r="AH20" s="103"/>
      <c r="AI20" s="103"/>
      <c r="AJ20" s="428">
        <f t="shared" si="13"/>
        <v>0</v>
      </c>
      <c r="AK20" s="446"/>
      <c r="AL20" s="446"/>
      <c r="AM20" s="446"/>
      <c r="AN20" s="446"/>
      <c r="AO20" s="446"/>
      <c r="AP20" s="446"/>
      <c r="AQ20" s="446"/>
      <c r="AR20" s="431">
        <f t="shared" si="14"/>
        <v>0</v>
      </c>
      <c r="AT20" s="128"/>
      <c r="AU20" s="100" t="s">
        <v>553</v>
      </c>
      <c r="AV20" s="128" t="s">
        <v>532</v>
      </c>
      <c r="AW20" s="100" t="s">
        <v>567</v>
      </c>
      <c r="AX20" s="433">
        <f t="shared" si="15"/>
        <v>1</v>
      </c>
      <c r="AY20" s="433">
        <f t="shared" si="16"/>
        <v>0</v>
      </c>
      <c r="AZ20" s="433">
        <f t="shared" si="17"/>
        <v>0</v>
      </c>
      <c r="BA20" s="433">
        <f t="shared" si="3"/>
        <v>0</v>
      </c>
      <c r="BB20" s="433">
        <f t="shared" si="4"/>
        <v>0</v>
      </c>
      <c r="BC20" s="433">
        <f t="shared" si="5"/>
        <v>0</v>
      </c>
      <c r="BD20" s="433">
        <f t="shared" si="18"/>
        <v>0</v>
      </c>
      <c r="BE20" s="433">
        <f t="shared" si="19"/>
        <v>0</v>
      </c>
      <c r="BF20" s="433">
        <f t="shared" si="20"/>
        <v>0</v>
      </c>
      <c r="BG20" s="433">
        <f t="shared" si="21"/>
        <v>0</v>
      </c>
      <c r="BH20" s="433">
        <f t="shared" si="22"/>
        <v>0</v>
      </c>
      <c r="BI20" s="433">
        <f t="shared" si="23"/>
        <v>0</v>
      </c>
      <c r="BJ20" s="433">
        <f t="shared" si="24"/>
        <v>0</v>
      </c>
      <c r="BK20" s="433">
        <f t="shared" si="25"/>
        <v>0</v>
      </c>
      <c r="BL20" s="433">
        <f t="shared" si="26"/>
        <v>0</v>
      </c>
      <c r="BM20" s="433">
        <f t="shared" si="27"/>
        <v>0</v>
      </c>
      <c r="BN20" s="433">
        <f t="shared" si="28"/>
        <v>0</v>
      </c>
      <c r="BO20" s="433">
        <f t="shared" si="29"/>
        <v>0</v>
      </c>
      <c r="BP20" s="433">
        <f t="shared" si="30"/>
        <v>0</v>
      </c>
      <c r="BQ20" s="433">
        <f t="shared" si="31"/>
        <v>0</v>
      </c>
    </row>
    <row r="21" spans="1:69" x14ac:dyDescent="0.2">
      <c r="A21" s="102">
        <v>41801</v>
      </c>
      <c r="B21" s="319">
        <v>3</v>
      </c>
      <c r="C21" s="118" t="s">
        <v>337</v>
      </c>
      <c r="D21" s="111">
        <v>0.63194444444444442</v>
      </c>
      <c r="E21" s="111">
        <v>0.74305555555555547</v>
      </c>
      <c r="F21" s="444"/>
      <c r="G21" s="445"/>
      <c r="H21" s="444"/>
      <c r="I21" s="390"/>
      <c r="J21" s="426">
        <f t="shared" si="0"/>
        <v>159.99999999999991</v>
      </c>
      <c r="K21" s="103"/>
      <c r="L21" s="103"/>
      <c r="M21" s="103"/>
      <c r="N21" s="427">
        <f t="shared" si="1"/>
        <v>0</v>
      </c>
      <c r="O21" s="103"/>
      <c r="P21" s="103"/>
      <c r="Q21" s="103"/>
      <c r="R21" s="428">
        <f t="shared" si="2"/>
        <v>0</v>
      </c>
      <c r="S21" s="103"/>
      <c r="T21" s="103"/>
      <c r="U21" s="103"/>
      <c r="V21" s="125"/>
      <c r="W21" s="428">
        <f t="shared" si="10"/>
        <v>0</v>
      </c>
      <c r="X21" s="103"/>
      <c r="Y21" s="103"/>
      <c r="Z21" s="125"/>
      <c r="AA21" s="428">
        <f t="shared" si="11"/>
        <v>0</v>
      </c>
      <c r="AB21" s="103"/>
      <c r="AC21" s="103"/>
      <c r="AD21" s="103"/>
      <c r="AE21" s="428">
        <f t="shared" si="12"/>
        <v>0</v>
      </c>
      <c r="AF21" s="103"/>
      <c r="AG21" s="103"/>
      <c r="AH21" s="103"/>
      <c r="AI21" s="103"/>
      <c r="AJ21" s="428">
        <f t="shared" si="13"/>
        <v>0</v>
      </c>
      <c r="AK21" s="446"/>
      <c r="AL21" s="446"/>
      <c r="AM21" s="446">
        <v>1</v>
      </c>
      <c r="AN21" s="446"/>
      <c r="AO21" s="446"/>
      <c r="AP21" s="446"/>
      <c r="AQ21" s="446"/>
      <c r="AR21" s="431">
        <f t="shared" si="14"/>
        <v>1</v>
      </c>
      <c r="AT21" s="128" t="s">
        <v>346</v>
      </c>
      <c r="AU21" s="100" t="s">
        <v>545</v>
      </c>
      <c r="AV21" s="128" t="s">
        <v>532</v>
      </c>
      <c r="AW21" s="100" t="s">
        <v>567</v>
      </c>
      <c r="AX21" s="433">
        <f t="shared" si="15"/>
        <v>0</v>
      </c>
      <c r="AY21" s="433">
        <f t="shared" si="16"/>
        <v>0</v>
      </c>
      <c r="AZ21" s="433">
        <f t="shared" si="17"/>
        <v>0</v>
      </c>
      <c r="BA21" s="433">
        <f t="shared" si="3"/>
        <v>0</v>
      </c>
      <c r="BB21" s="433">
        <f t="shared" si="4"/>
        <v>0</v>
      </c>
      <c r="BC21" s="433">
        <f t="shared" si="5"/>
        <v>0</v>
      </c>
      <c r="BD21" s="433">
        <f t="shared" si="18"/>
        <v>0</v>
      </c>
      <c r="BE21" s="433">
        <f t="shared" si="19"/>
        <v>0</v>
      </c>
      <c r="BF21" s="433">
        <f t="shared" si="20"/>
        <v>0</v>
      </c>
      <c r="BG21" s="433">
        <f t="shared" si="21"/>
        <v>0</v>
      </c>
      <c r="BH21" s="433">
        <f t="shared" si="22"/>
        <v>0</v>
      </c>
      <c r="BI21" s="433">
        <f t="shared" si="23"/>
        <v>0</v>
      </c>
      <c r="BJ21" s="433">
        <f t="shared" si="24"/>
        <v>0</v>
      </c>
      <c r="BK21" s="433">
        <f t="shared" si="25"/>
        <v>0</v>
      </c>
      <c r="BL21" s="433">
        <f t="shared" si="26"/>
        <v>0</v>
      </c>
      <c r="BM21" s="433">
        <f t="shared" si="27"/>
        <v>0</v>
      </c>
      <c r="BN21" s="433">
        <f t="shared" si="28"/>
        <v>0</v>
      </c>
      <c r="BO21" s="433">
        <f t="shared" si="29"/>
        <v>0</v>
      </c>
      <c r="BP21" s="433">
        <f t="shared" si="30"/>
        <v>0</v>
      </c>
      <c r="BQ21" s="433">
        <f t="shared" si="31"/>
        <v>0</v>
      </c>
    </row>
    <row r="22" spans="1:69" x14ac:dyDescent="0.2">
      <c r="A22" s="102">
        <v>41801</v>
      </c>
      <c r="B22" s="319">
        <v>3</v>
      </c>
      <c r="C22" s="118" t="s">
        <v>344</v>
      </c>
      <c r="D22" s="111">
        <v>0.74305555555555547</v>
      </c>
      <c r="E22" s="111">
        <v>0.86458333333333337</v>
      </c>
      <c r="F22" s="444">
        <v>43</v>
      </c>
      <c r="G22" s="445">
        <v>8</v>
      </c>
      <c r="H22" s="444"/>
      <c r="I22" s="390"/>
      <c r="J22" s="426">
        <f t="shared" si="0"/>
        <v>175.00000000000017</v>
      </c>
      <c r="K22" s="103">
        <v>1</v>
      </c>
      <c r="L22" s="103"/>
      <c r="M22" s="103"/>
      <c r="N22" s="427">
        <f t="shared" si="1"/>
        <v>1</v>
      </c>
      <c r="O22" s="103"/>
      <c r="P22" s="103"/>
      <c r="Q22" s="103"/>
      <c r="R22" s="428">
        <f t="shared" si="2"/>
        <v>0</v>
      </c>
      <c r="S22" s="103"/>
      <c r="T22" s="103"/>
      <c r="U22" s="103"/>
      <c r="V22" s="125"/>
      <c r="W22" s="428">
        <f t="shared" si="10"/>
        <v>0</v>
      </c>
      <c r="X22" s="103"/>
      <c r="Y22" s="103"/>
      <c r="Z22" s="125"/>
      <c r="AA22" s="428">
        <f t="shared" si="11"/>
        <v>0</v>
      </c>
      <c r="AB22" s="103"/>
      <c r="AC22" s="103"/>
      <c r="AD22" s="103"/>
      <c r="AE22" s="428">
        <f t="shared" si="12"/>
        <v>0</v>
      </c>
      <c r="AF22" s="103"/>
      <c r="AG22" s="103"/>
      <c r="AH22" s="103"/>
      <c r="AI22" s="103"/>
      <c r="AJ22" s="428">
        <f t="shared" si="13"/>
        <v>0</v>
      </c>
      <c r="AK22" s="446"/>
      <c r="AL22" s="446"/>
      <c r="AM22" s="446">
        <v>1</v>
      </c>
      <c r="AN22" s="446"/>
      <c r="AO22" s="446"/>
      <c r="AP22" s="446"/>
      <c r="AQ22" s="446"/>
      <c r="AR22" s="431">
        <f t="shared" si="14"/>
        <v>1</v>
      </c>
      <c r="AT22" s="128" t="s">
        <v>347</v>
      </c>
      <c r="AU22" s="100" t="s">
        <v>348</v>
      </c>
      <c r="AV22" s="128" t="s">
        <v>532</v>
      </c>
      <c r="AW22" s="100" t="s">
        <v>567</v>
      </c>
      <c r="AX22" s="433">
        <f t="shared" si="15"/>
        <v>1</v>
      </c>
      <c r="AY22" s="433">
        <f t="shared" si="16"/>
        <v>0</v>
      </c>
      <c r="AZ22" s="433">
        <f t="shared" si="17"/>
        <v>0</v>
      </c>
      <c r="BA22" s="433">
        <f t="shared" si="3"/>
        <v>0</v>
      </c>
      <c r="BB22" s="433">
        <f t="shared" si="4"/>
        <v>0</v>
      </c>
      <c r="BC22" s="433">
        <f t="shared" si="5"/>
        <v>0</v>
      </c>
      <c r="BD22" s="433">
        <f t="shared" si="18"/>
        <v>0</v>
      </c>
      <c r="BE22" s="433">
        <f t="shared" si="19"/>
        <v>0</v>
      </c>
      <c r="BF22" s="433">
        <f t="shared" si="20"/>
        <v>0</v>
      </c>
      <c r="BG22" s="433">
        <f t="shared" si="21"/>
        <v>0</v>
      </c>
      <c r="BH22" s="433">
        <f t="shared" si="22"/>
        <v>0</v>
      </c>
      <c r="BI22" s="433">
        <f t="shared" si="23"/>
        <v>0</v>
      </c>
      <c r="BJ22" s="433">
        <f t="shared" si="24"/>
        <v>0</v>
      </c>
      <c r="BK22" s="433">
        <f t="shared" si="25"/>
        <v>0</v>
      </c>
      <c r="BL22" s="433">
        <f t="shared" si="26"/>
        <v>0</v>
      </c>
      <c r="BM22" s="433">
        <f t="shared" si="27"/>
        <v>0</v>
      </c>
      <c r="BN22" s="433">
        <f t="shared" si="28"/>
        <v>0</v>
      </c>
      <c r="BO22" s="433">
        <f t="shared" si="29"/>
        <v>0</v>
      </c>
      <c r="BP22" s="433">
        <f t="shared" si="30"/>
        <v>0</v>
      </c>
      <c r="BQ22" s="433">
        <f t="shared" si="31"/>
        <v>0</v>
      </c>
    </row>
    <row r="23" spans="1:69" s="291" customFormat="1" x14ac:dyDescent="0.2">
      <c r="A23" s="317">
        <v>41801</v>
      </c>
      <c r="B23" s="318">
        <v>3</v>
      </c>
      <c r="C23" s="320" t="s">
        <v>345</v>
      </c>
      <c r="D23" s="321">
        <v>0.86458333333333337</v>
      </c>
      <c r="E23" s="321">
        <v>0.98333333333333339</v>
      </c>
      <c r="F23" s="434"/>
      <c r="G23" s="435"/>
      <c r="H23" s="434"/>
      <c r="I23" s="436"/>
      <c r="J23" s="437">
        <f t="shared" si="0"/>
        <v>171.00000000000003</v>
      </c>
      <c r="K23" s="285"/>
      <c r="L23" s="285"/>
      <c r="M23" s="285"/>
      <c r="N23" s="438">
        <f t="shared" si="1"/>
        <v>0</v>
      </c>
      <c r="O23" s="285"/>
      <c r="P23" s="285"/>
      <c r="Q23" s="285"/>
      <c r="R23" s="439">
        <f t="shared" si="2"/>
        <v>0</v>
      </c>
      <c r="S23" s="285"/>
      <c r="T23" s="285"/>
      <c r="U23" s="285"/>
      <c r="V23" s="440"/>
      <c r="W23" s="439">
        <f t="shared" si="10"/>
        <v>0</v>
      </c>
      <c r="X23" s="285"/>
      <c r="Y23" s="285"/>
      <c r="Z23" s="440"/>
      <c r="AA23" s="439">
        <f t="shared" si="11"/>
        <v>0</v>
      </c>
      <c r="AB23" s="285"/>
      <c r="AC23" s="285"/>
      <c r="AD23" s="285"/>
      <c r="AE23" s="439">
        <f t="shared" si="12"/>
        <v>0</v>
      </c>
      <c r="AF23" s="285"/>
      <c r="AG23" s="285"/>
      <c r="AH23" s="285"/>
      <c r="AI23" s="285"/>
      <c r="AJ23" s="439">
        <f t="shared" si="13"/>
        <v>0</v>
      </c>
      <c r="AK23" s="340"/>
      <c r="AL23" s="340">
        <v>1</v>
      </c>
      <c r="AM23" s="340"/>
      <c r="AN23" s="340"/>
      <c r="AO23" s="340"/>
      <c r="AP23" s="340"/>
      <c r="AQ23" s="340"/>
      <c r="AR23" s="441">
        <f t="shared" si="14"/>
        <v>1</v>
      </c>
      <c r="AT23" s="313" t="s">
        <v>349</v>
      </c>
      <c r="AU23" s="289" t="s">
        <v>348</v>
      </c>
      <c r="AV23" s="313" t="s">
        <v>532</v>
      </c>
      <c r="AW23" s="289" t="s">
        <v>567</v>
      </c>
      <c r="AX23" s="443">
        <f t="shared" si="15"/>
        <v>0</v>
      </c>
      <c r="AY23" s="443">
        <f t="shared" si="16"/>
        <v>0</v>
      </c>
      <c r="AZ23" s="443">
        <f t="shared" si="17"/>
        <v>0</v>
      </c>
      <c r="BA23" s="443">
        <f t="shared" si="3"/>
        <v>0</v>
      </c>
      <c r="BB23" s="443">
        <f t="shared" si="4"/>
        <v>0</v>
      </c>
      <c r="BC23" s="443">
        <f t="shared" si="5"/>
        <v>0</v>
      </c>
      <c r="BD23" s="443">
        <f t="shared" si="18"/>
        <v>0</v>
      </c>
      <c r="BE23" s="443">
        <f t="shared" si="19"/>
        <v>0</v>
      </c>
      <c r="BF23" s="443">
        <f t="shared" si="20"/>
        <v>0</v>
      </c>
      <c r="BG23" s="443">
        <f t="shared" si="21"/>
        <v>0</v>
      </c>
      <c r="BH23" s="443">
        <f t="shared" si="22"/>
        <v>0</v>
      </c>
      <c r="BI23" s="443">
        <f t="shared" si="23"/>
        <v>0</v>
      </c>
      <c r="BJ23" s="443">
        <f t="shared" si="24"/>
        <v>0</v>
      </c>
      <c r="BK23" s="443">
        <f t="shared" si="25"/>
        <v>0</v>
      </c>
      <c r="BL23" s="443">
        <f t="shared" si="26"/>
        <v>0</v>
      </c>
      <c r="BM23" s="443">
        <f t="shared" si="27"/>
        <v>0</v>
      </c>
      <c r="BN23" s="443">
        <f t="shared" si="28"/>
        <v>0</v>
      </c>
      <c r="BO23" s="443">
        <f t="shared" si="29"/>
        <v>0</v>
      </c>
      <c r="BP23" s="443">
        <f t="shared" si="30"/>
        <v>0</v>
      </c>
      <c r="BQ23" s="443">
        <f t="shared" si="31"/>
        <v>0</v>
      </c>
    </row>
    <row r="24" spans="1:69" x14ac:dyDescent="0.2">
      <c r="A24" s="102">
        <v>41802</v>
      </c>
      <c r="B24" s="319">
        <v>1</v>
      </c>
      <c r="C24" s="118" t="s">
        <v>350</v>
      </c>
      <c r="D24" s="111">
        <v>0.29236111111111113</v>
      </c>
      <c r="E24" s="111">
        <v>0.29236111111111113</v>
      </c>
      <c r="F24" s="444">
        <v>52</v>
      </c>
      <c r="G24" s="445">
        <v>6</v>
      </c>
      <c r="H24" s="444"/>
      <c r="I24" s="390">
        <v>39.700000000000003</v>
      </c>
      <c r="J24" s="426">
        <f t="shared" si="0"/>
        <v>0</v>
      </c>
      <c r="K24" s="103"/>
      <c r="L24" s="103"/>
      <c r="M24" s="103"/>
      <c r="N24" s="427">
        <f t="shared" si="1"/>
        <v>0</v>
      </c>
      <c r="O24" s="103"/>
      <c r="P24" s="103"/>
      <c r="Q24" s="103"/>
      <c r="R24" s="428">
        <f t="shared" si="2"/>
        <v>0</v>
      </c>
      <c r="S24" s="103"/>
      <c r="T24" s="103"/>
      <c r="U24" s="103"/>
      <c r="V24" s="125"/>
      <c r="W24" s="428">
        <f t="shared" si="10"/>
        <v>0</v>
      </c>
      <c r="X24" s="103"/>
      <c r="Y24" s="103"/>
      <c r="Z24" s="125"/>
      <c r="AA24" s="428">
        <f t="shared" si="11"/>
        <v>0</v>
      </c>
      <c r="AB24" s="103"/>
      <c r="AC24" s="103"/>
      <c r="AD24" s="103"/>
      <c r="AE24" s="428">
        <f t="shared" si="12"/>
        <v>0</v>
      </c>
      <c r="AF24" s="103"/>
      <c r="AG24" s="103"/>
      <c r="AH24" s="103"/>
      <c r="AI24" s="103"/>
      <c r="AJ24" s="428">
        <f t="shared" si="13"/>
        <v>0</v>
      </c>
      <c r="AK24" s="446"/>
      <c r="AL24" s="446"/>
      <c r="AM24" s="446"/>
      <c r="AN24" s="446"/>
      <c r="AO24" s="446"/>
      <c r="AP24" s="446"/>
      <c r="AQ24" s="446"/>
      <c r="AR24" s="431">
        <f t="shared" si="14"/>
        <v>0</v>
      </c>
      <c r="AT24" s="128" t="s">
        <v>351</v>
      </c>
      <c r="AU24" s="100" t="s">
        <v>352</v>
      </c>
      <c r="AV24" s="128" t="s">
        <v>532</v>
      </c>
      <c r="AW24" s="100" t="s">
        <v>570</v>
      </c>
      <c r="AX24" s="433">
        <f t="shared" si="15"/>
        <v>0</v>
      </c>
      <c r="AY24" s="433">
        <f t="shared" si="16"/>
        <v>0</v>
      </c>
      <c r="AZ24" s="433">
        <f t="shared" si="17"/>
        <v>0</v>
      </c>
      <c r="BA24" s="433">
        <f t="shared" si="3"/>
        <v>0</v>
      </c>
      <c r="BB24" s="433">
        <f t="shared" si="4"/>
        <v>0</v>
      </c>
      <c r="BC24" s="433">
        <f t="shared" si="5"/>
        <v>0</v>
      </c>
      <c r="BD24" s="433">
        <f t="shared" si="18"/>
        <v>0</v>
      </c>
      <c r="BE24" s="433">
        <f t="shared" si="19"/>
        <v>0</v>
      </c>
      <c r="BF24" s="433">
        <f t="shared" si="20"/>
        <v>0</v>
      </c>
      <c r="BG24" s="433">
        <f t="shared" si="21"/>
        <v>0</v>
      </c>
      <c r="BH24" s="433">
        <f t="shared" si="22"/>
        <v>0</v>
      </c>
      <c r="BI24" s="433">
        <f t="shared" si="23"/>
        <v>0</v>
      </c>
      <c r="BJ24" s="433">
        <f t="shared" si="24"/>
        <v>0</v>
      </c>
      <c r="BK24" s="433">
        <f t="shared" si="25"/>
        <v>0</v>
      </c>
      <c r="BL24" s="433">
        <f t="shared" si="26"/>
        <v>0</v>
      </c>
      <c r="BM24" s="433">
        <f t="shared" si="27"/>
        <v>0</v>
      </c>
      <c r="BN24" s="433">
        <f t="shared" si="28"/>
        <v>0</v>
      </c>
      <c r="BO24" s="433">
        <f t="shared" si="29"/>
        <v>0</v>
      </c>
      <c r="BP24" s="433">
        <f t="shared" si="30"/>
        <v>0</v>
      </c>
      <c r="BQ24" s="433">
        <f t="shared" si="31"/>
        <v>0</v>
      </c>
    </row>
    <row r="25" spans="1:69" x14ac:dyDescent="0.2">
      <c r="A25" s="102">
        <v>41802</v>
      </c>
      <c r="B25" s="319">
        <v>1</v>
      </c>
      <c r="C25" s="118" t="s">
        <v>353</v>
      </c>
      <c r="D25" s="111">
        <v>0.29236111111111113</v>
      </c>
      <c r="E25" s="111">
        <v>0.55763888888888891</v>
      </c>
      <c r="F25" s="444">
        <v>53</v>
      </c>
      <c r="G25" s="445">
        <v>6.5</v>
      </c>
      <c r="H25" s="444"/>
      <c r="I25" s="390"/>
      <c r="J25" s="426">
        <f t="shared" si="0"/>
        <v>382</v>
      </c>
      <c r="K25" s="103"/>
      <c r="L25" s="103"/>
      <c r="M25" s="103"/>
      <c r="N25" s="427">
        <f t="shared" si="1"/>
        <v>0</v>
      </c>
      <c r="O25" s="103"/>
      <c r="P25" s="103"/>
      <c r="Q25" s="103"/>
      <c r="R25" s="428">
        <f t="shared" si="2"/>
        <v>0</v>
      </c>
      <c r="S25" s="103"/>
      <c r="T25" s="103"/>
      <c r="U25" s="103"/>
      <c r="V25" s="125"/>
      <c r="W25" s="428">
        <f t="shared" si="10"/>
        <v>0</v>
      </c>
      <c r="X25" s="103"/>
      <c r="Y25" s="103"/>
      <c r="Z25" s="125"/>
      <c r="AA25" s="428">
        <f t="shared" si="11"/>
        <v>0</v>
      </c>
      <c r="AB25" s="103"/>
      <c r="AC25" s="103"/>
      <c r="AD25" s="103"/>
      <c r="AE25" s="428">
        <f t="shared" si="12"/>
        <v>0</v>
      </c>
      <c r="AF25" s="103"/>
      <c r="AG25" s="103"/>
      <c r="AH25" s="103"/>
      <c r="AI25" s="103"/>
      <c r="AJ25" s="428">
        <f t="shared" si="13"/>
        <v>0</v>
      </c>
      <c r="AK25" s="446"/>
      <c r="AL25" s="446"/>
      <c r="AM25" s="446"/>
      <c r="AN25" s="446"/>
      <c r="AO25" s="446"/>
      <c r="AP25" s="446"/>
      <c r="AQ25" s="446"/>
      <c r="AR25" s="431">
        <f t="shared" si="14"/>
        <v>0</v>
      </c>
      <c r="AT25" s="128" t="s">
        <v>354</v>
      </c>
      <c r="AU25" s="100" t="s">
        <v>546</v>
      </c>
      <c r="AV25" s="128" t="s">
        <v>532</v>
      </c>
      <c r="AW25" s="100" t="s">
        <v>570</v>
      </c>
      <c r="AX25" s="433">
        <f t="shared" si="15"/>
        <v>0</v>
      </c>
      <c r="AY25" s="433">
        <f t="shared" si="16"/>
        <v>0</v>
      </c>
      <c r="AZ25" s="433">
        <f t="shared" si="17"/>
        <v>0</v>
      </c>
      <c r="BA25" s="433">
        <f t="shared" si="3"/>
        <v>0</v>
      </c>
      <c r="BB25" s="433">
        <f t="shared" si="4"/>
        <v>0</v>
      </c>
      <c r="BC25" s="433">
        <f t="shared" si="5"/>
        <v>0</v>
      </c>
      <c r="BD25" s="433">
        <f t="shared" si="18"/>
        <v>0</v>
      </c>
      <c r="BE25" s="433">
        <f t="shared" si="19"/>
        <v>0</v>
      </c>
      <c r="BF25" s="433">
        <f t="shared" si="20"/>
        <v>0</v>
      </c>
      <c r="BG25" s="433">
        <f t="shared" si="21"/>
        <v>0</v>
      </c>
      <c r="BH25" s="433">
        <f t="shared" si="22"/>
        <v>0</v>
      </c>
      <c r="BI25" s="433">
        <f t="shared" si="23"/>
        <v>0</v>
      </c>
      <c r="BJ25" s="433">
        <f t="shared" si="24"/>
        <v>0</v>
      </c>
      <c r="BK25" s="433">
        <f t="shared" si="25"/>
        <v>0</v>
      </c>
      <c r="BL25" s="433">
        <f t="shared" si="26"/>
        <v>0</v>
      </c>
      <c r="BM25" s="433">
        <f t="shared" si="27"/>
        <v>0</v>
      </c>
      <c r="BN25" s="433">
        <f t="shared" si="28"/>
        <v>0</v>
      </c>
      <c r="BO25" s="433">
        <f t="shared" si="29"/>
        <v>0</v>
      </c>
      <c r="BP25" s="433">
        <f t="shared" si="30"/>
        <v>0</v>
      </c>
      <c r="BQ25" s="433">
        <f t="shared" si="31"/>
        <v>0</v>
      </c>
    </row>
    <row r="26" spans="1:69" x14ac:dyDescent="0.2">
      <c r="A26" s="102">
        <v>41802</v>
      </c>
      <c r="B26" s="319">
        <v>1</v>
      </c>
      <c r="C26" s="118" t="s">
        <v>355</v>
      </c>
      <c r="D26" s="111">
        <v>0.55763888888888891</v>
      </c>
      <c r="E26" s="111">
        <v>0.625</v>
      </c>
      <c r="F26" s="444">
        <v>61</v>
      </c>
      <c r="G26" s="445">
        <v>7</v>
      </c>
      <c r="H26" s="444"/>
      <c r="I26" s="390"/>
      <c r="J26" s="426">
        <f t="shared" si="0"/>
        <v>96.999999999999972</v>
      </c>
      <c r="K26" s="103"/>
      <c r="L26" s="103"/>
      <c r="M26" s="103"/>
      <c r="N26" s="427">
        <f t="shared" si="1"/>
        <v>0</v>
      </c>
      <c r="O26" s="103"/>
      <c r="P26" s="103"/>
      <c r="Q26" s="103"/>
      <c r="R26" s="428">
        <f t="shared" si="2"/>
        <v>0</v>
      </c>
      <c r="S26" s="103"/>
      <c r="T26" s="103"/>
      <c r="U26" s="103"/>
      <c r="V26" s="125"/>
      <c r="W26" s="428">
        <f t="shared" si="10"/>
        <v>0</v>
      </c>
      <c r="X26" s="103"/>
      <c r="Y26" s="103"/>
      <c r="Z26" s="125"/>
      <c r="AA26" s="428">
        <f t="shared" si="11"/>
        <v>0</v>
      </c>
      <c r="AB26" s="103"/>
      <c r="AC26" s="103"/>
      <c r="AD26" s="103"/>
      <c r="AE26" s="428">
        <f t="shared" si="12"/>
        <v>0</v>
      </c>
      <c r="AF26" s="103"/>
      <c r="AG26" s="103"/>
      <c r="AH26" s="103"/>
      <c r="AI26" s="103"/>
      <c r="AJ26" s="428">
        <f t="shared" si="13"/>
        <v>0</v>
      </c>
      <c r="AK26" s="446"/>
      <c r="AL26" s="446"/>
      <c r="AM26" s="446"/>
      <c r="AN26" s="446"/>
      <c r="AO26" s="446"/>
      <c r="AP26" s="446"/>
      <c r="AQ26" s="446"/>
      <c r="AR26" s="431">
        <f t="shared" si="14"/>
        <v>0</v>
      </c>
      <c r="AS26" s="10" t="s">
        <v>356</v>
      </c>
      <c r="AT26" s="128" t="s">
        <v>357</v>
      </c>
      <c r="AU26" s="100" t="s">
        <v>352</v>
      </c>
      <c r="AV26" s="128" t="s">
        <v>532</v>
      </c>
      <c r="AW26" s="100" t="s">
        <v>570</v>
      </c>
      <c r="AX26" s="433">
        <f t="shared" si="15"/>
        <v>0</v>
      </c>
      <c r="AY26" s="433">
        <f t="shared" si="16"/>
        <v>0</v>
      </c>
      <c r="AZ26" s="433">
        <f t="shared" si="17"/>
        <v>0</v>
      </c>
      <c r="BA26" s="433">
        <f t="shared" si="3"/>
        <v>0</v>
      </c>
      <c r="BB26" s="433">
        <f t="shared" si="4"/>
        <v>0</v>
      </c>
      <c r="BC26" s="433">
        <f t="shared" si="5"/>
        <v>0</v>
      </c>
      <c r="BD26" s="433">
        <f t="shared" si="18"/>
        <v>0</v>
      </c>
      <c r="BE26" s="433">
        <f t="shared" si="19"/>
        <v>0</v>
      </c>
      <c r="BF26" s="433">
        <f t="shared" si="20"/>
        <v>0</v>
      </c>
      <c r="BG26" s="433">
        <f t="shared" si="21"/>
        <v>0</v>
      </c>
      <c r="BH26" s="433">
        <f t="shared" si="22"/>
        <v>0</v>
      </c>
      <c r="BI26" s="433">
        <f t="shared" si="23"/>
        <v>0</v>
      </c>
      <c r="BJ26" s="433">
        <f t="shared" si="24"/>
        <v>0</v>
      </c>
      <c r="BK26" s="433">
        <f t="shared" si="25"/>
        <v>0</v>
      </c>
      <c r="BL26" s="433">
        <f t="shared" si="26"/>
        <v>0</v>
      </c>
      <c r="BM26" s="433">
        <f t="shared" si="27"/>
        <v>0</v>
      </c>
      <c r="BN26" s="433">
        <f t="shared" si="28"/>
        <v>0</v>
      </c>
      <c r="BO26" s="433">
        <f t="shared" si="29"/>
        <v>0</v>
      </c>
      <c r="BP26" s="433">
        <f t="shared" si="30"/>
        <v>0</v>
      </c>
      <c r="BQ26" s="433">
        <f t="shared" si="31"/>
        <v>0</v>
      </c>
    </row>
    <row r="27" spans="1:69" x14ac:dyDescent="0.2">
      <c r="A27" s="102">
        <v>41802</v>
      </c>
      <c r="B27" s="319">
        <v>1</v>
      </c>
      <c r="C27" s="118" t="s">
        <v>358</v>
      </c>
      <c r="D27" s="111">
        <v>0.625</v>
      </c>
      <c r="E27" s="111">
        <v>0.7583333333333333</v>
      </c>
      <c r="F27" s="444">
        <v>61</v>
      </c>
      <c r="G27" s="445">
        <v>8</v>
      </c>
      <c r="H27" s="444"/>
      <c r="I27" s="390"/>
      <c r="J27" s="426">
        <f t="shared" si="0"/>
        <v>191.99999999999994</v>
      </c>
      <c r="K27" s="103"/>
      <c r="L27" s="103"/>
      <c r="M27" s="103"/>
      <c r="N27" s="427">
        <f t="shared" si="1"/>
        <v>0</v>
      </c>
      <c r="O27" s="103"/>
      <c r="P27" s="103"/>
      <c r="Q27" s="103"/>
      <c r="R27" s="428">
        <f t="shared" si="2"/>
        <v>0</v>
      </c>
      <c r="S27" s="103"/>
      <c r="T27" s="103"/>
      <c r="U27" s="103"/>
      <c r="V27" s="125"/>
      <c r="W27" s="428">
        <f t="shared" si="10"/>
        <v>0</v>
      </c>
      <c r="X27" s="103"/>
      <c r="Y27" s="103"/>
      <c r="Z27" s="125"/>
      <c r="AA27" s="428">
        <f t="shared" si="11"/>
        <v>0</v>
      </c>
      <c r="AB27" s="103"/>
      <c r="AC27" s="103"/>
      <c r="AD27" s="103"/>
      <c r="AE27" s="428">
        <f t="shared" si="12"/>
        <v>0</v>
      </c>
      <c r="AF27" s="103"/>
      <c r="AG27" s="103"/>
      <c r="AH27" s="103"/>
      <c r="AI27" s="103"/>
      <c r="AJ27" s="428">
        <f t="shared" si="13"/>
        <v>0</v>
      </c>
      <c r="AK27" s="446"/>
      <c r="AL27" s="446"/>
      <c r="AM27" s="446"/>
      <c r="AN27" s="446"/>
      <c r="AO27" s="446"/>
      <c r="AP27" s="446"/>
      <c r="AQ27" s="446"/>
      <c r="AR27" s="431">
        <f t="shared" si="14"/>
        <v>0</v>
      </c>
      <c r="AS27" s="10" t="s">
        <v>359</v>
      </c>
      <c r="AT27" s="128" t="s">
        <v>273</v>
      </c>
      <c r="AU27" s="100" t="s">
        <v>352</v>
      </c>
      <c r="AV27" s="128" t="s">
        <v>532</v>
      </c>
      <c r="AW27" s="100" t="s">
        <v>570</v>
      </c>
      <c r="AX27" s="433">
        <f t="shared" si="15"/>
        <v>0</v>
      </c>
      <c r="AY27" s="433">
        <f t="shared" si="16"/>
        <v>0</v>
      </c>
      <c r="AZ27" s="433">
        <f t="shared" si="17"/>
        <v>0</v>
      </c>
      <c r="BA27" s="433">
        <f t="shared" si="3"/>
        <v>0</v>
      </c>
      <c r="BB27" s="433">
        <f t="shared" si="4"/>
        <v>0</v>
      </c>
      <c r="BC27" s="433">
        <f t="shared" si="5"/>
        <v>0</v>
      </c>
      <c r="BD27" s="433">
        <f t="shared" si="18"/>
        <v>0</v>
      </c>
      <c r="BE27" s="433">
        <f t="shared" si="19"/>
        <v>0</v>
      </c>
      <c r="BF27" s="433">
        <f t="shared" si="20"/>
        <v>0</v>
      </c>
      <c r="BG27" s="433">
        <f t="shared" si="21"/>
        <v>0</v>
      </c>
      <c r="BH27" s="433">
        <f t="shared" si="22"/>
        <v>0</v>
      </c>
      <c r="BI27" s="433">
        <f t="shared" si="23"/>
        <v>0</v>
      </c>
      <c r="BJ27" s="433">
        <f t="shared" si="24"/>
        <v>0</v>
      </c>
      <c r="BK27" s="433">
        <f t="shared" si="25"/>
        <v>0</v>
      </c>
      <c r="BL27" s="433">
        <f t="shared" si="26"/>
        <v>0</v>
      </c>
      <c r="BM27" s="433">
        <f t="shared" si="27"/>
        <v>0</v>
      </c>
      <c r="BN27" s="433">
        <f t="shared" si="28"/>
        <v>0</v>
      </c>
      <c r="BO27" s="433">
        <f t="shared" si="29"/>
        <v>0</v>
      </c>
      <c r="BP27" s="433">
        <f t="shared" si="30"/>
        <v>0</v>
      </c>
      <c r="BQ27" s="433">
        <f t="shared" si="31"/>
        <v>0</v>
      </c>
    </row>
    <row r="28" spans="1:69" x14ac:dyDescent="0.2">
      <c r="A28" s="102">
        <v>41802</v>
      </c>
      <c r="B28" s="319">
        <v>1</v>
      </c>
      <c r="C28" s="118" t="s">
        <v>360</v>
      </c>
      <c r="D28" s="111">
        <v>0.7583333333333333</v>
      </c>
      <c r="E28" s="111">
        <v>0.8965277777777777</v>
      </c>
      <c r="F28" s="444">
        <v>60</v>
      </c>
      <c r="G28" s="445">
        <v>7</v>
      </c>
      <c r="H28" s="444"/>
      <c r="I28" s="390"/>
      <c r="J28" s="426">
        <f t="shared" si="0"/>
        <v>198.99999999999994</v>
      </c>
      <c r="K28" s="103"/>
      <c r="L28" s="103"/>
      <c r="M28" s="103"/>
      <c r="N28" s="427">
        <f t="shared" si="1"/>
        <v>0</v>
      </c>
      <c r="O28" s="103"/>
      <c r="P28" s="103"/>
      <c r="Q28" s="103"/>
      <c r="R28" s="428">
        <f t="shared" si="2"/>
        <v>0</v>
      </c>
      <c r="S28" s="103"/>
      <c r="T28" s="103"/>
      <c r="U28" s="103"/>
      <c r="V28" s="125"/>
      <c r="W28" s="428">
        <f t="shared" si="10"/>
        <v>0</v>
      </c>
      <c r="X28" s="103"/>
      <c r="Y28" s="103"/>
      <c r="Z28" s="125"/>
      <c r="AA28" s="428">
        <f t="shared" si="11"/>
        <v>0</v>
      </c>
      <c r="AB28" s="103"/>
      <c r="AC28" s="103"/>
      <c r="AD28" s="103"/>
      <c r="AE28" s="428">
        <f t="shared" si="12"/>
        <v>0</v>
      </c>
      <c r="AF28" s="103"/>
      <c r="AG28" s="103"/>
      <c r="AH28" s="103"/>
      <c r="AI28" s="103"/>
      <c r="AJ28" s="428">
        <f t="shared" si="13"/>
        <v>0</v>
      </c>
      <c r="AK28" s="446"/>
      <c r="AL28" s="446"/>
      <c r="AM28" s="446"/>
      <c r="AN28" s="446"/>
      <c r="AO28" s="446"/>
      <c r="AP28" s="446"/>
      <c r="AQ28" s="446"/>
      <c r="AR28" s="431">
        <f t="shared" si="14"/>
        <v>0</v>
      </c>
      <c r="AT28" s="128" t="s">
        <v>361</v>
      </c>
      <c r="AU28" s="100" t="s">
        <v>352</v>
      </c>
      <c r="AV28" s="128" t="s">
        <v>532</v>
      </c>
      <c r="AW28" s="100" t="s">
        <v>570</v>
      </c>
      <c r="AX28" s="433">
        <f t="shared" si="15"/>
        <v>0</v>
      </c>
      <c r="AY28" s="433">
        <f t="shared" si="16"/>
        <v>0</v>
      </c>
      <c r="AZ28" s="433">
        <f t="shared" si="17"/>
        <v>0</v>
      </c>
      <c r="BA28" s="433">
        <f t="shared" si="3"/>
        <v>0</v>
      </c>
      <c r="BB28" s="433">
        <f t="shared" si="4"/>
        <v>0</v>
      </c>
      <c r="BC28" s="433">
        <f t="shared" si="5"/>
        <v>0</v>
      </c>
      <c r="BD28" s="433">
        <f t="shared" si="18"/>
        <v>0</v>
      </c>
      <c r="BE28" s="433">
        <f t="shared" si="19"/>
        <v>0</v>
      </c>
      <c r="BF28" s="433">
        <f t="shared" si="20"/>
        <v>0</v>
      </c>
      <c r="BG28" s="433">
        <f t="shared" si="21"/>
        <v>0</v>
      </c>
      <c r="BH28" s="433">
        <f t="shared" si="22"/>
        <v>0</v>
      </c>
      <c r="BI28" s="433">
        <f t="shared" si="23"/>
        <v>0</v>
      </c>
      <c r="BJ28" s="433">
        <f t="shared" si="24"/>
        <v>0</v>
      </c>
      <c r="BK28" s="433">
        <f t="shared" si="25"/>
        <v>0</v>
      </c>
      <c r="BL28" s="433">
        <f t="shared" si="26"/>
        <v>0</v>
      </c>
      <c r="BM28" s="433">
        <f t="shared" si="27"/>
        <v>0</v>
      </c>
      <c r="BN28" s="433">
        <f t="shared" si="28"/>
        <v>0</v>
      </c>
      <c r="BO28" s="433">
        <f t="shared" si="29"/>
        <v>0</v>
      </c>
      <c r="BP28" s="433">
        <f t="shared" si="30"/>
        <v>0</v>
      </c>
      <c r="BQ28" s="433">
        <f t="shared" si="31"/>
        <v>0</v>
      </c>
    </row>
    <row r="29" spans="1:69" x14ac:dyDescent="0.2">
      <c r="A29" s="102">
        <v>41802</v>
      </c>
      <c r="B29" s="319">
        <v>1</v>
      </c>
      <c r="C29" s="118" t="s">
        <v>362</v>
      </c>
      <c r="D29" s="111">
        <v>0.8965277777777777</v>
      </c>
      <c r="E29" s="111">
        <v>0.99305555555555547</v>
      </c>
      <c r="F29" s="444"/>
      <c r="G29" s="445">
        <v>7</v>
      </c>
      <c r="H29" s="444"/>
      <c r="I29" s="390"/>
      <c r="J29" s="426">
        <f t="shared" si="0"/>
        <v>139</v>
      </c>
      <c r="K29" s="103"/>
      <c r="L29" s="103"/>
      <c r="M29" s="103"/>
      <c r="N29" s="427">
        <f t="shared" si="1"/>
        <v>0</v>
      </c>
      <c r="O29" s="103"/>
      <c r="P29" s="103"/>
      <c r="Q29" s="103"/>
      <c r="R29" s="428">
        <f t="shared" si="2"/>
        <v>0</v>
      </c>
      <c r="S29" s="103"/>
      <c r="T29" s="103"/>
      <c r="U29" s="103"/>
      <c r="V29" s="125"/>
      <c r="W29" s="428">
        <f t="shared" si="10"/>
        <v>0</v>
      </c>
      <c r="X29" s="103"/>
      <c r="Y29" s="103"/>
      <c r="Z29" s="125"/>
      <c r="AA29" s="428">
        <f t="shared" si="11"/>
        <v>0</v>
      </c>
      <c r="AB29" s="103"/>
      <c r="AC29" s="103"/>
      <c r="AD29" s="103"/>
      <c r="AE29" s="428">
        <f t="shared" si="12"/>
        <v>0</v>
      </c>
      <c r="AF29" s="103"/>
      <c r="AG29" s="103"/>
      <c r="AH29" s="103"/>
      <c r="AI29" s="103"/>
      <c r="AJ29" s="428">
        <f t="shared" si="13"/>
        <v>0</v>
      </c>
      <c r="AK29" s="446"/>
      <c r="AL29" s="446"/>
      <c r="AM29" s="446"/>
      <c r="AN29" s="446"/>
      <c r="AO29" s="446"/>
      <c r="AP29" s="446"/>
      <c r="AQ29" s="446"/>
      <c r="AR29" s="431">
        <f t="shared" si="14"/>
        <v>0</v>
      </c>
      <c r="AT29" s="128" t="s">
        <v>363</v>
      </c>
      <c r="AU29" s="100" t="s">
        <v>548</v>
      </c>
      <c r="AV29" s="128" t="s">
        <v>532</v>
      </c>
      <c r="AW29" s="100" t="s">
        <v>570</v>
      </c>
      <c r="AX29" s="433">
        <f t="shared" si="15"/>
        <v>0</v>
      </c>
      <c r="AY29" s="433">
        <f t="shared" si="16"/>
        <v>0</v>
      </c>
      <c r="AZ29" s="433">
        <f t="shared" si="17"/>
        <v>0</v>
      </c>
      <c r="BA29" s="433">
        <f t="shared" si="3"/>
        <v>0</v>
      </c>
      <c r="BB29" s="433">
        <f t="shared" si="4"/>
        <v>0</v>
      </c>
      <c r="BC29" s="433">
        <f t="shared" si="5"/>
        <v>0</v>
      </c>
      <c r="BD29" s="433">
        <f t="shared" si="18"/>
        <v>0</v>
      </c>
      <c r="BE29" s="433">
        <f t="shared" si="19"/>
        <v>0</v>
      </c>
      <c r="BF29" s="433">
        <f t="shared" si="20"/>
        <v>0</v>
      </c>
      <c r="BG29" s="433">
        <f t="shared" si="21"/>
        <v>0</v>
      </c>
      <c r="BH29" s="433">
        <f t="shared" si="22"/>
        <v>0</v>
      </c>
      <c r="BI29" s="433">
        <f t="shared" si="23"/>
        <v>0</v>
      </c>
      <c r="BJ29" s="433">
        <f t="shared" si="24"/>
        <v>0</v>
      </c>
      <c r="BK29" s="433">
        <f t="shared" si="25"/>
        <v>0</v>
      </c>
      <c r="BL29" s="433">
        <f t="shared" si="26"/>
        <v>0</v>
      </c>
      <c r="BM29" s="433">
        <f t="shared" si="27"/>
        <v>0</v>
      </c>
      <c r="BN29" s="433">
        <f t="shared" si="28"/>
        <v>0</v>
      </c>
      <c r="BO29" s="433">
        <f t="shared" si="29"/>
        <v>0</v>
      </c>
      <c r="BP29" s="433">
        <f t="shared" si="30"/>
        <v>0</v>
      </c>
      <c r="BQ29" s="433">
        <f t="shared" si="31"/>
        <v>0</v>
      </c>
    </row>
    <row r="30" spans="1:69" x14ac:dyDescent="0.2">
      <c r="A30" s="102">
        <v>41802</v>
      </c>
      <c r="B30" s="319">
        <v>2</v>
      </c>
      <c r="C30" s="118" t="s">
        <v>398</v>
      </c>
      <c r="D30" s="111">
        <v>0.45347222222222222</v>
      </c>
      <c r="E30" s="111">
        <v>0.53611111111111109</v>
      </c>
      <c r="F30" s="444">
        <v>35</v>
      </c>
      <c r="G30" s="445"/>
      <c r="H30" s="444"/>
      <c r="I30" s="390"/>
      <c r="J30" s="426">
        <f t="shared" si="0"/>
        <v>118.99999999999997</v>
      </c>
      <c r="K30" s="103"/>
      <c r="L30" s="103"/>
      <c r="M30" s="103"/>
      <c r="N30" s="427">
        <f t="shared" si="1"/>
        <v>0</v>
      </c>
      <c r="O30" s="103"/>
      <c r="P30" s="103"/>
      <c r="Q30" s="103"/>
      <c r="R30" s="428">
        <f t="shared" si="2"/>
        <v>0</v>
      </c>
      <c r="S30" s="103"/>
      <c r="T30" s="103"/>
      <c r="U30" s="103"/>
      <c r="V30" s="125"/>
      <c r="W30" s="428">
        <f t="shared" si="10"/>
        <v>0</v>
      </c>
      <c r="X30" s="103"/>
      <c r="Y30" s="103"/>
      <c r="Z30" s="125"/>
      <c r="AA30" s="428">
        <f t="shared" si="11"/>
        <v>0</v>
      </c>
      <c r="AB30" s="103"/>
      <c r="AC30" s="103"/>
      <c r="AD30" s="103"/>
      <c r="AE30" s="428">
        <f t="shared" si="12"/>
        <v>0</v>
      </c>
      <c r="AF30" s="103"/>
      <c r="AG30" s="103"/>
      <c r="AH30" s="103"/>
      <c r="AI30" s="103"/>
      <c r="AJ30" s="428">
        <f t="shared" si="13"/>
        <v>0</v>
      </c>
      <c r="AK30" s="446"/>
      <c r="AL30" s="446"/>
      <c r="AM30" s="446"/>
      <c r="AN30" s="446"/>
      <c r="AO30" s="446"/>
      <c r="AP30" s="446"/>
      <c r="AQ30" s="446"/>
      <c r="AR30" s="431">
        <f t="shared" si="14"/>
        <v>0</v>
      </c>
      <c r="AS30" s="10" t="s">
        <v>399</v>
      </c>
      <c r="AT30" s="128" t="s">
        <v>400</v>
      </c>
      <c r="AU30" s="100" t="s">
        <v>352</v>
      </c>
      <c r="AV30" s="128" t="s">
        <v>532</v>
      </c>
      <c r="AW30" s="100" t="s">
        <v>570</v>
      </c>
      <c r="AX30" s="433">
        <f t="shared" si="15"/>
        <v>0</v>
      </c>
      <c r="AY30" s="433">
        <f t="shared" si="16"/>
        <v>0</v>
      </c>
      <c r="AZ30" s="433">
        <f t="shared" si="17"/>
        <v>0</v>
      </c>
      <c r="BA30" s="433">
        <f t="shared" si="3"/>
        <v>0</v>
      </c>
      <c r="BB30" s="433">
        <f t="shared" si="4"/>
        <v>0</v>
      </c>
      <c r="BC30" s="433">
        <f t="shared" si="5"/>
        <v>0</v>
      </c>
      <c r="BD30" s="433">
        <f t="shared" si="18"/>
        <v>0</v>
      </c>
      <c r="BE30" s="433">
        <f t="shared" si="19"/>
        <v>0</v>
      </c>
      <c r="BF30" s="433">
        <f t="shared" si="20"/>
        <v>0</v>
      </c>
      <c r="BG30" s="433">
        <f t="shared" si="21"/>
        <v>0</v>
      </c>
      <c r="BH30" s="433">
        <f t="shared" si="22"/>
        <v>0</v>
      </c>
      <c r="BI30" s="433">
        <f t="shared" si="23"/>
        <v>0</v>
      </c>
      <c r="BJ30" s="433">
        <f t="shared" si="24"/>
        <v>0</v>
      </c>
      <c r="BK30" s="433">
        <f t="shared" si="25"/>
        <v>0</v>
      </c>
      <c r="BL30" s="433">
        <f t="shared" si="26"/>
        <v>0</v>
      </c>
      <c r="BM30" s="433">
        <f t="shared" si="27"/>
        <v>0</v>
      </c>
      <c r="BN30" s="433">
        <f t="shared" si="28"/>
        <v>0</v>
      </c>
      <c r="BO30" s="433">
        <f t="shared" si="29"/>
        <v>0</v>
      </c>
      <c r="BP30" s="433">
        <f t="shared" si="30"/>
        <v>0</v>
      </c>
      <c r="BQ30" s="433">
        <f t="shared" si="31"/>
        <v>0</v>
      </c>
    </row>
    <row r="31" spans="1:69" x14ac:dyDescent="0.2">
      <c r="A31" s="102">
        <v>41802</v>
      </c>
      <c r="B31" s="319">
        <v>2</v>
      </c>
      <c r="C31" s="118" t="s">
        <v>401</v>
      </c>
      <c r="D31" s="111">
        <v>0.53611111111111109</v>
      </c>
      <c r="E31" s="111">
        <v>0.6381944444444444</v>
      </c>
      <c r="F31" s="444">
        <v>35</v>
      </c>
      <c r="G31" s="445"/>
      <c r="H31" s="444"/>
      <c r="I31" s="390"/>
      <c r="J31" s="426">
        <f t="shared" si="0"/>
        <v>146.99999999999994</v>
      </c>
      <c r="K31" s="103">
        <v>1</v>
      </c>
      <c r="L31" s="103"/>
      <c r="M31" s="103"/>
      <c r="N31" s="427">
        <f t="shared" si="1"/>
        <v>1</v>
      </c>
      <c r="O31" s="103"/>
      <c r="P31" s="103"/>
      <c r="Q31" s="103"/>
      <c r="R31" s="428">
        <f t="shared" si="2"/>
        <v>0</v>
      </c>
      <c r="S31" s="103"/>
      <c r="T31" s="103"/>
      <c r="U31" s="103"/>
      <c r="V31" s="125"/>
      <c r="W31" s="428">
        <f t="shared" si="10"/>
        <v>0</v>
      </c>
      <c r="X31" s="103"/>
      <c r="Y31" s="103"/>
      <c r="Z31" s="125"/>
      <c r="AA31" s="428">
        <f t="shared" si="11"/>
        <v>0</v>
      </c>
      <c r="AB31" s="103"/>
      <c r="AC31" s="103"/>
      <c r="AD31" s="103"/>
      <c r="AE31" s="428">
        <f t="shared" si="12"/>
        <v>0</v>
      </c>
      <c r="AF31" s="103"/>
      <c r="AG31" s="103"/>
      <c r="AH31" s="103"/>
      <c r="AI31" s="103"/>
      <c r="AJ31" s="428">
        <f t="shared" si="13"/>
        <v>0</v>
      </c>
      <c r="AK31" s="446"/>
      <c r="AL31" s="446"/>
      <c r="AM31" s="446"/>
      <c r="AN31" s="446"/>
      <c r="AO31" s="446"/>
      <c r="AP31" s="446"/>
      <c r="AQ31" s="446"/>
      <c r="AR31" s="431">
        <f t="shared" si="14"/>
        <v>0</v>
      </c>
      <c r="AS31" s="10" t="s">
        <v>402</v>
      </c>
      <c r="AT31" s="128"/>
      <c r="AU31" s="100" t="s">
        <v>352</v>
      </c>
      <c r="AV31" s="128" t="s">
        <v>532</v>
      </c>
      <c r="AW31" s="100" t="s">
        <v>570</v>
      </c>
      <c r="AX31" s="433">
        <f t="shared" si="15"/>
        <v>1</v>
      </c>
      <c r="AY31" s="433">
        <f t="shared" si="16"/>
        <v>0</v>
      </c>
      <c r="AZ31" s="433">
        <f t="shared" si="17"/>
        <v>0</v>
      </c>
      <c r="BA31" s="433">
        <f t="shared" si="3"/>
        <v>0</v>
      </c>
      <c r="BB31" s="433">
        <f t="shared" si="4"/>
        <v>0</v>
      </c>
      <c r="BC31" s="433">
        <f t="shared" si="5"/>
        <v>0</v>
      </c>
      <c r="BD31" s="433">
        <f t="shared" si="18"/>
        <v>0</v>
      </c>
      <c r="BE31" s="433">
        <f t="shared" si="19"/>
        <v>0</v>
      </c>
      <c r="BF31" s="433">
        <f t="shared" si="20"/>
        <v>0</v>
      </c>
      <c r="BG31" s="433">
        <f t="shared" si="21"/>
        <v>0</v>
      </c>
      <c r="BH31" s="433">
        <f t="shared" si="22"/>
        <v>0</v>
      </c>
      <c r="BI31" s="433">
        <f t="shared" si="23"/>
        <v>0</v>
      </c>
      <c r="BJ31" s="433">
        <f t="shared" si="24"/>
        <v>0</v>
      </c>
      <c r="BK31" s="433">
        <f t="shared" si="25"/>
        <v>0</v>
      </c>
      <c r="BL31" s="433">
        <f t="shared" si="26"/>
        <v>0</v>
      </c>
      <c r="BM31" s="433">
        <f t="shared" si="27"/>
        <v>0</v>
      </c>
      <c r="BN31" s="433">
        <f t="shared" si="28"/>
        <v>0</v>
      </c>
      <c r="BO31" s="433">
        <f t="shared" si="29"/>
        <v>0</v>
      </c>
      <c r="BP31" s="433">
        <f t="shared" si="30"/>
        <v>0</v>
      </c>
      <c r="BQ31" s="433">
        <f t="shared" si="31"/>
        <v>0</v>
      </c>
    </row>
    <row r="32" spans="1:69" x14ac:dyDescent="0.2">
      <c r="A32" s="102">
        <v>41802</v>
      </c>
      <c r="B32" s="319">
        <v>2</v>
      </c>
      <c r="C32" s="118" t="s">
        <v>358</v>
      </c>
      <c r="D32" s="111">
        <v>0.6381944444444444</v>
      </c>
      <c r="E32" s="111">
        <v>0.76874999999999993</v>
      </c>
      <c r="F32" s="444">
        <v>36</v>
      </c>
      <c r="G32" s="445"/>
      <c r="H32" s="444"/>
      <c r="I32" s="390"/>
      <c r="J32" s="426">
        <f t="shared" si="0"/>
        <v>187.99999999999997</v>
      </c>
      <c r="K32" s="103"/>
      <c r="L32" s="103"/>
      <c r="M32" s="103"/>
      <c r="N32" s="427">
        <f t="shared" si="1"/>
        <v>0</v>
      </c>
      <c r="O32" s="103"/>
      <c r="P32" s="103"/>
      <c r="Q32" s="103"/>
      <c r="R32" s="428">
        <f t="shared" si="2"/>
        <v>0</v>
      </c>
      <c r="S32" s="103"/>
      <c r="T32" s="103"/>
      <c r="U32" s="103"/>
      <c r="V32" s="125"/>
      <c r="W32" s="428">
        <f t="shared" si="10"/>
        <v>0</v>
      </c>
      <c r="X32" s="103"/>
      <c r="Y32" s="103"/>
      <c r="Z32" s="125"/>
      <c r="AA32" s="428">
        <f t="shared" si="11"/>
        <v>0</v>
      </c>
      <c r="AB32" s="103"/>
      <c r="AC32" s="103"/>
      <c r="AD32" s="103"/>
      <c r="AE32" s="428">
        <f t="shared" si="12"/>
        <v>0</v>
      </c>
      <c r="AF32" s="103"/>
      <c r="AG32" s="103"/>
      <c r="AH32" s="103"/>
      <c r="AI32" s="103"/>
      <c r="AJ32" s="428">
        <f t="shared" si="13"/>
        <v>0</v>
      </c>
      <c r="AK32" s="446"/>
      <c r="AL32" s="446"/>
      <c r="AM32" s="446"/>
      <c r="AN32" s="446"/>
      <c r="AO32" s="446"/>
      <c r="AP32" s="446"/>
      <c r="AQ32" s="446"/>
      <c r="AR32" s="431">
        <f t="shared" si="14"/>
        <v>0</v>
      </c>
      <c r="AS32" s="10" t="s">
        <v>403</v>
      </c>
      <c r="AT32" s="128" t="s">
        <v>273</v>
      </c>
      <c r="AU32" s="100" t="s">
        <v>352</v>
      </c>
      <c r="AV32" s="128" t="s">
        <v>532</v>
      </c>
      <c r="AW32" s="100" t="s">
        <v>570</v>
      </c>
      <c r="AX32" s="433">
        <f t="shared" si="15"/>
        <v>0</v>
      </c>
      <c r="AY32" s="433">
        <f t="shared" si="16"/>
        <v>0</v>
      </c>
      <c r="AZ32" s="433">
        <f t="shared" si="17"/>
        <v>0</v>
      </c>
      <c r="BA32" s="433">
        <f t="shared" si="3"/>
        <v>0</v>
      </c>
      <c r="BB32" s="433">
        <f t="shared" si="4"/>
        <v>0</v>
      </c>
      <c r="BC32" s="433">
        <f t="shared" si="5"/>
        <v>0</v>
      </c>
      <c r="BD32" s="433">
        <f t="shared" si="18"/>
        <v>0</v>
      </c>
      <c r="BE32" s="433">
        <f t="shared" si="19"/>
        <v>0</v>
      </c>
      <c r="BF32" s="433">
        <f t="shared" si="20"/>
        <v>0</v>
      </c>
      <c r="BG32" s="433">
        <f t="shared" si="21"/>
        <v>0</v>
      </c>
      <c r="BH32" s="433">
        <f t="shared" si="22"/>
        <v>0</v>
      </c>
      <c r="BI32" s="433">
        <f t="shared" si="23"/>
        <v>0</v>
      </c>
      <c r="BJ32" s="433">
        <f t="shared" si="24"/>
        <v>0</v>
      </c>
      <c r="BK32" s="433">
        <f t="shared" si="25"/>
        <v>0</v>
      </c>
      <c r="BL32" s="433">
        <f t="shared" si="26"/>
        <v>0</v>
      </c>
      <c r="BM32" s="433">
        <f t="shared" si="27"/>
        <v>0</v>
      </c>
      <c r="BN32" s="433">
        <f t="shared" si="28"/>
        <v>0</v>
      </c>
      <c r="BO32" s="433">
        <f t="shared" si="29"/>
        <v>0</v>
      </c>
      <c r="BP32" s="433">
        <f t="shared" si="30"/>
        <v>0</v>
      </c>
      <c r="BQ32" s="433">
        <f t="shared" si="31"/>
        <v>0</v>
      </c>
    </row>
    <row r="33" spans="1:69" x14ac:dyDescent="0.2">
      <c r="A33" s="102">
        <v>41802</v>
      </c>
      <c r="B33" s="319">
        <v>2</v>
      </c>
      <c r="C33" s="118" t="s">
        <v>360</v>
      </c>
      <c r="D33" s="111">
        <v>0.76874999999999993</v>
      </c>
      <c r="E33" s="111">
        <v>0.8881944444444444</v>
      </c>
      <c r="F33" s="444">
        <v>38</v>
      </c>
      <c r="G33" s="445">
        <v>5</v>
      </c>
      <c r="H33" s="444"/>
      <c r="I33" s="390"/>
      <c r="J33" s="426">
        <f t="shared" si="0"/>
        <v>172.00000000000003</v>
      </c>
      <c r="K33" s="103"/>
      <c r="L33" s="103"/>
      <c r="M33" s="103"/>
      <c r="N33" s="427">
        <f t="shared" si="1"/>
        <v>0</v>
      </c>
      <c r="O33" s="103"/>
      <c r="P33" s="103"/>
      <c r="Q33" s="103"/>
      <c r="R33" s="428">
        <f t="shared" si="2"/>
        <v>0</v>
      </c>
      <c r="S33" s="103"/>
      <c r="T33" s="103"/>
      <c r="U33" s="103"/>
      <c r="V33" s="125"/>
      <c r="W33" s="428">
        <f t="shared" si="10"/>
        <v>0</v>
      </c>
      <c r="X33" s="103"/>
      <c r="Y33" s="103"/>
      <c r="Z33" s="125"/>
      <c r="AA33" s="428">
        <f t="shared" si="11"/>
        <v>0</v>
      </c>
      <c r="AB33" s="103"/>
      <c r="AC33" s="103"/>
      <c r="AD33" s="103"/>
      <c r="AE33" s="428">
        <f t="shared" si="12"/>
        <v>0</v>
      </c>
      <c r="AF33" s="103"/>
      <c r="AG33" s="103"/>
      <c r="AH33" s="103"/>
      <c r="AI33" s="103"/>
      <c r="AJ33" s="428">
        <f t="shared" si="13"/>
        <v>0</v>
      </c>
      <c r="AK33" s="446"/>
      <c r="AL33" s="446"/>
      <c r="AM33" s="446"/>
      <c r="AN33" s="446"/>
      <c r="AO33" s="446"/>
      <c r="AP33" s="446"/>
      <c r="AQ33" s="446"/>
      <c r="AR33" s="431">
        <f t="shared" si="14"/>
        <v>0</v>
      </c>
      <c r="AS33" s="10" t="s">
        <v>404</v>
      </c>
      <c r="AT33" s="128" t="s">
        <v>273</v>
      </c>
      <c r="AU33" s="100" t="s">
        <v>549</v>
      </c>
      <c r="AV33" s="128" t="s">
        <v>532</v>
      </c>
      <c r="AW33" s="100" t="s">
        <v>570</v>
      </c>
      <c r="AX33" s="433">
        <f t="shared" si="15"/>
        <v>0</v>
      </c>
      <c r="AY33" s="433">
        <f t="shared" si="16"/>
        <v>0</v>
      </c>
      <c r="AZ33" s="433">
        <f t="shared" si="17"/>
        <v>0</v>
      </c>
      <c r="BA33" s="433">
        <f t="shared" si="3"/>
        <v>0</v>
      </c>
      <c r="BB33" s="433">
        <f t="shared" si="4"/>
        <v>0</v>
      </c>
      <c r="BC33" s="433">
        <f t="shared" si="5"/>
        <v>0</v>
      </c>
      <c r="BD33" s="433">
        <f t="shared" si="18"/>
        <v>0</v>
      </c>
      <c r="BE33" s="433">
        <f t="shared" si="19"/>
        <v>0</v>
      </c>
      <c r="BF33" s="433">
        <f t="shared" si="20"/>
        <v>0</v>
      </c>
      <c r="BG33" s="433">
        <f t="shared" si="21"/>
        <v>0</v>
      </c>
      <c r="BH33" s="433">
        <f t="shared" si="22"/>
        <v>0</v>
      </c>
      <c r="BI33" s="433">
        <f t="shared" si="23"/>
        <v>0</v>
      </c>
      <c r="BJ33" s="433">
        <f t="shared" si="24"/>
        <v>0</v>
      </c>
      <c r="BK33" s="433">
        <f t="shared" si="25"/>
        <v>0</v>
      </c>
      <c r="BL33" s="433">
        <f t="shared" si="26"/>
        <v>0</v>
      </c>
      <c r="BM33" s="433">
        <f t="shared" si="27"/>
        <v>0</v>
      </c>
      <c r="BN33" s="433">
        <f t="shared" si="28"/>
        <v>0</v>
      </c>
      <c r="BO33" s="433">
        <f t="shared" si="29"/>
        <v>0</v>
      </c>
      <c r="BP33" s="433">
        <f t="shared" si="30"/>
        <v>0</v>
      </c>
      <c r="BQ33" s="433">
        <f t="shared" si="31"/>
        <v>0</v>
      </c>
    </row>
    <row r="34" spans="1:69" x14ac:dyDescent="0.2">
      <c r="A34" s="102">
        <v>41802</v>
      </c>
      <c r="B34" s="319">
        <v>2</v>
      </c>
      <c r="C34" s="118" t="s">
        <v>405</v>
      </c>
      <c r="D34" s="111">
        <v>0.8881944444444444</v>
      </c>
      <c r="E34" s="111">
        <v>0.96875</v>
      </c>
      <c r="F34" s="444"/>
      <c r="G34" s="445">
        <v>5</v>
      </c>
      <c r="H34" s="444"/>
      <c r="I34" s="390"/>
      <c r="J34" s="426">
        <f t="shared" si="0"/>
        <v>116.00000000000007</v>
      </c>
      <c r="K34" s="103">
        <v>1</v>
      </c>
      <c r="L34" s="103"/>
      <c r="M34" s="103"/>
      <c r="N34" s="427">
        <f t="shared" si="1"/>
        <v>1</v>
      </c>
      <c r="O34" s="103"/>
      <c r="P34" s="103"/>
      <c r="Q34" s="103"/>
      <c r="R34" s="428">
        <f t="shared" si="2"/>
        <v>0</v>
      </c>
      <c r="S34" s="103"/>
      <c r="T34" s="103"/>
      <c r="U34" s="103"/>
      <c r="V34" s="125"/>
      <c r="W34" s="428">
        <f t="shared" si="10"/>
        <v>0</v>
      </c>
      <c r="X34" s="103"/>
      <c r="Y34" s="103"/>
      <c r="Z34" s="125"/>
      <c r="AA34" s="428">
        <f t="shared" si="11"/>
        <v>0</v>
      </c>
      <c r="AB34" s="103"/>
      <c r="AC34" s="103"/>
      <c r="AD34" s="103"/>
      <c r="AE34" s="428">
        <f t="shared" si="12"/>
        <v>0</v>
      </c>
      <c r="AF34" s="103"/>
      <c r="AG34" s="103"/>
      <c r="AH34" s="103"/>
      <c r="AI34" s="103"/>
      <c r="AJ34" s="428">
        <f t="shared" si="13"/>
        <v>0</v>
      </c>
      <c r="AK34" s="446"/>
      <c r="AL34" s="446"/>
      <c r="AM34" s="446"/>
      <c r="AN34" s="446"/>
      <c r="AO34" s="446"/>
      <c r="AP34" s="446"/>
      <c r="AQ34" s="446"/>
      <c r="AR34" s="431">
        <f t="shared" si="14"/>
        <v>0</v>
      </c>
      <c r="AS34" s="10" t="s">
        <v>407</v>
      </c>
      <c r="AT34" s="128" t="s">
        <v>406</v>
      </c>
      <c r="AU34" s="100" t="s">
        <v>386</v>
      </c>
      <c r="AV34" s="128" t="s">
        <v>532</v>
      </c>
      <c r="AW34" s="100" t="s">
        <v>570</v>
      </c>
      <c r="AX34" s="433">
        <f t="shared" si="15"/>
        <v>1</v>
      </c>
      <c r="AY34" s="433">
        <f t="shared" si="16"/>
        <v>0</v>
      </c>
      <c r="AZ34" s="433">
        <f t="shared" si="17"/>
        <v>0</v>
      </c>
      <c r="BA34" s="433">
        <f t="shared" si="3"/>
        <v>0</v>
      </c>
      <c r="BB34" s="433">
        <f t="shared" si="4"/>
        <v>0</v>
      </c>
      <c r="BC34" s="433">
        <f t="shared" si="5"/>
        <v>0</v>
      </c>
      <c r="BD34" s="433">
        <f t="shared" si="18"/>
        <v>0</v>
      </c>
      <c r="BE34" s="433">
        <f t="shared" si="19"/>
        <v>0</v>
      </c>
      <c r="BF34" s="433">
        <f t="shared" si="20"/>
        <v>0</v>
      </c>
      <c r="BG34" s="433">
        <f t="shared" si="21"/>
        <v>0</v>
      </c>
      <c r="BH34" s="433">
        <f t="shared" si="22"/>
        <v>0</v>
      </c>
      <c r="BI34" s="433">
        <f t="shared" si="23"/>
        <v>0</v>
      </c>
      <c r="BJ34" s="433">
        <f t="shared" si="24"/>
        <v>0</v>
      </c>
      <c r="BK34" s="433">
        <f t="shared" si="25"/>
        <v>0</v>
      </c>
      <c r="BL34" s="433">
        <f t="shared" si="26"/>
        <v>0</v>
      </c>
      <c r="BM34" s="433">
        <f t="shared" si="27"/>
        <v>0</v>
      </c>
      <c r="BN34" s="433">
        <f t="shared" si="28"/>
        <v>0</v>
      </c>
      <c r="BO34" s="433">
        <f t="shared" si="29"/>
        <v>0</v>
      </c>
      <c r="BP34" s="433">
        <f t="shared" si="30"/>
        <v>0</v>
      </c>
      <c r="BQ34" s="433">
        <f t="shared" si="31"/>
        <v>0</v>
      </c>
    </row>
    <row r="35" spans="1:69" x14ac:dyDescent="0.2">
      <c r="A35" s="102">
        <v>41802</v>
      </c>
      <c r="B35" s="319">
        <v>3</v>
      </c>
      <c r="C35" s="118" t="s">
        <v>350</v>
      </c>
      <c r="D35" s="111">
        <v>0.30208333333333331</v>
      </c>
      <c r="E35" s="111">
        <v>0.30624999999999997</v>
      </c>
      <c r="F35" s="444">
        <v>41</v>
      </c>
      <c r="G35" s="445">
        <v>7</v>
      </c>
      <c r="H35" s="444"/>
      <c r="I35" s="390"/>
      <c r="J35" s="426">
        <f t="shared" si="0"/>
        <v>5.9999999999999787</v>
      </c>
      <c r="K35" s="103"/>
      <c r="L35" s="103"/>
      <c r="M35" s="103"/>
      <c r="N35" s="427">
        <f t="shared" si="1"/>
        <v>0</v>
      </c>
      <c r="O35" s="103"/>
      <c r="P35" s="103"/>
      <c r="Q35" s="103"/>
      <c r="R35" s="428">
        <f t="shared" si="2"/>
        <v>0</v>
      </c>
      <c r="S35" s="103"/>
      <c r="T35" s="103"/>
      <c r="U35" s="103"/>
      <c r="V35" s="125"/>
      <c r="W35" s="428">
        <f t="shared" si="10"/>
        <v>0</v>
      </c>
      <c r="X35" s="103"/>
      <c r="Y35" s="103"/>
      <c r="Z35" s="125"/>
      <c r="AA35" s="428">
        <f t="shared" si="11"/>
        <v>0</v>
      </c>
      <c r="AB35" s="103"/>
      <c r="AC35" s="103"/>
      <c r="AD35" s="103"/>
      <c r="AE35" s="428">
        <f t="shared" si="12"/>
        <v>0</v>
      </c>
      <c r="AF35" s="103"/>
      <c r="AG35" s="103"/>
      <c r="AH35" s="103"/>
      <c r="AI35" s="103"/>
      <c r="AJ35" s="428">
        <f t="shared" si="13"/>
        <v>0</v>
      </c>
      <c r="AK35" s="446"/>
      <c r="AL35" s="446"/>
      <c r="AM35" s="446"/>
      <c r="AN35" s="446"/>
      <c r="AO35" s="446"/>
      <c r="AP35" s="446"/>
      <c r="AQ35" s="446"/>
      <c r="AR35" s="431">
        <f t="shared" si="14"/>
        <v>0</v>
      </c>
      <c r="AT35" s="128" t="s">
        <v>273</v>
      </c>
      <c r="AU35" s="100" t="s">
        <v>352</v>
      </c>
      <c r="AV35" s="128" t="s">
        <v>532</v>
      </c>
      <c r="AW35" s="100" t="s">
        <v>570</v>
      </c>
      <c r="AX35" s="433">
        <f t="shared" si="15"/>
        <v>0</v>
      </c>
      <c r="AY35" s="433">
        <f t="shared" si="16"/>
        <v>0</v>
      </c>
      <c r="AZ35" s="433">
        <f t="shared" si="17"/>
        <v>0</v>
      </c>
      <c r="BA35" s="433">
        <f t="shared" si="3"/>
        <v>0</v>
      </c>
      <c r="BB35" s="433">
        <f t="shared" si="4"/>
        <v>0</v>
      </c>
      <c r="BC35" s="433">
        <f t="shared" si="5"/>
        <v>0</v>
      </c>
      <c r="BD35" s="433">
        <f t="shared" si="18"/>
        <v>0</v>
      </c>
      <c r="BE35" s="433">
        <f t="shared" si="19"/>
        <v>0</v>
      </c>
      <c r="BF35" s="433">
        <f t="shared" si="20"/>
        <v>0</v>
      </c>
      <c r="BG35" s="433">
        <f t="shared" si="21"/>
        <v>0</v>
      </c>
      <c r="BH35" s="433">
        <f t="shared" si="22"/>
        <v>0</v>
      </c>
      <c r="BI35" s="433">
        <f t="shared" si="23"/>
        <v>0</v>
      </c>
      <c r="BJ35" s="433">
        <f t="shared" si="24"/>
        <v>0</v>
      </c>
      <c r="BK35" s="433">
        <f t="shared" si="25"/>
        <v>0</v>
      </c>
      <c r="BL35" s="433">
        <f t="shared" si="26"/>
        <v>0</v>
      </c>
      <c r="BM35" s="433">
        <f t="shared" si="27"/>
        <v>0</v>
      </c>
      <c r="BN35" s="433">
        <f t="shared" si="28"/>
        <v>0</v>
      </c>
      <c r="BO35" s="433">
        <f t="shared" si="29"/>
        <v>0</v>
      </c>
      <c r="BP35" s="433">
        <f t="shared" si="30"/>
        <v>0</v>
      </c>
      <c r="BQ35" s="433">
        <f t="shared" si="31"/>
        <v>0</v>
      </c>
    </row>
    <row r="36" spans="1:69" x14ac:dyDescent="0.2">
      <c r="A36" s="102">
        <v>41802</v>
      </c>
      <c r="B36" s="319">
        <v>3</v>
      </c>
      <c r="C36" s="118" t="s">
        <v>337</v>
      </c>
      <c r="D36" s="111">
        <v>0.30624999999999997</v>
      </c>
      <c r="E36" s="111">
        <v>0.39583333333333331</v>
      </c>
      <c r="F36" s="444">
        <v>41</v>
      </c>
      <c r="G36" s="445">
        <v>7.5</v>
      </c>
      <c r="H36" s="444"/>
      <c r="I36" s="390"/>
      <c r="J36" s="426">
        <f t="shared" si="0"/>
        <v>129.00000000000003</v>
      </c>
      <c r="K36" s="103"/>
      <c r="L36" s="103"/>
      <c r="M36" s="103"/>
      <c r="N36" s="427">
        <f t="shared" si="1"/>
        <v>0</v>
      </c>
      <c r="O36" s="103"/>
      <c r="P36" s="103"/>
      <c r="Q36" s="103"/>
      <c r="R36" s="428">
        <f t="shared" si="2"/>
        <v>0</v>
      </c>
      <c r="S36" s="103"/>
      <c r="T36" s="103"/>
      <c r="U36" s="103"/>
      <c r="V36" s="125"/>
      <c r="W36" s="428">
        <f t="shared" si="10"/>
        <v>0</v>
      </c>
      <c r="X36" s="103"/>
      <c r="Y36" s="103"/>
      <c r="Z36" s="125"/>
      <c r="AA36" s="428">
        <f t="shared" si="11"/>
        <v>0</v>
      </c>
      <c r="AB36" s="103"/>
      <c r="AC36" s="103"/>
      <c r="AD36" s="103"/>
      <c r="AE36" s="428">
        <f t="shared" si="12"/>
        <v>0</v>
      </c>
      <c r="AF36" s="103"/>
      <c r="AG36" s="103"/>
      <c r="AH36" s="103"/>
      <c r="AI36" s="103"/>
      <c r="AJ36" s="428">
        <f t="shared" si="13"/>
        <v>0</v>
      </c>
      <c r="AK36" s="446"/>
      <c r="AL36" s="446"/>
      <c r="AM36" s="446"/>
      <c r="AN36" s="446"/>
      <c r="AO36" s="446"/>
      <c r="AP36" s="446"/>
      <c r="AQ36" s="446"/>
      <c r="AR36" s="431">
        <f t="shared" si="14"/>
        <v>0</v>
      </c>
      <c r="AT36" s="128" t="s">
        <v>408</v>
      </c>
      <c r="AU36" s="100" t="s">
        <v>550</v>
      </c>
      <c r="AV36" s="128" t="s">
        <v>532</v>
      </c>
      <c r="AW36" s="100" t="s">
        <v>570</v>
      </c>
      <c r="AX36" s="433">
        <f t="shared" si="15"/>
        <v>0</v>
      </c>
      <c r="AY36" s="433">
        <f t="shared" si="16"/>
        <v>0</v>
      </c>
      <c r="AZ36" s="433">
        <f t="shared" si="17"/>
        <v>0</v>
      </c>
      <c r="BA36" s="433">
        <f t="shared" si="3"/>
        <v>0</v>
      </c>
      <c r="BB36" s="433">
        <f t="shared" si="4"/>
        <v>0</v>
      </c>
      <c r="BC36" s="433">
        <f t="shared" si="5"/>
        <v>0</v>
      </c>
      <c r="BD36" s="433">
        <f t="shared" si="18"/>
        <v>0</v>
      </c>
      <c r="BE36" s="433">
        <f t="shared" si="19"/>
        <v>0</v>
      </c>
      <c r="BF36" s="433">
        <f t="shared" si="20"/>
        <v>0</v>
      </c>
      <c r="BG36" s="433">
        <f t="shared" si="21"/>
        <v>0</v>
      </c>
      <c r="BH36" s="433">
        <f t="shared" si="22"/>
        <v>0</v>
      </c>
      <c r="BI36" s="433">
        <f t="shared" si="23"/>
        <v>0</v>
      </c>
      <c r="BJ36" s="433">
        <f t="shared" si="24"/>
        <v>0</v>
      </c>
      <c r="BK36" s="433">
        <f t="shared" si="25"/>
        <v>0</v>
      </c>
      <c r="BL36" s="433">
        <f t="shared" si="26"/>
        <v>0</v>
      </c>
      <c r="BM36" s="433">
        <f t="shared" si="27"/>
        <v>0</v>
      </c>
      <c r="BN36" s="433">
        <f t="shared" si="28"/>
        <v>0</v>
      </c>
      <c r="BO36" s="433">
        <f t="shared" si="29"/>
        <v>0</v>
      </c>
      <c r="BP36" s="433">
        <f t="shared" si="30"/>
        <v>0</v>
      </c>
      <c r="BQ36" s="433">
        <f t="shared" si="31"/>
        <v>0</v>
      </c>
    </row>
    <row r="37" spans="1:69" x14ac:dyDescent="0.2">
      <c r="A37" s="102">
        <v>41802</v>
      </c>
      <c r="B37" s="319">
        <v>3</v>
      </c>
      <c r="C37" s="118" t="s">
        <v>409</v>
      </c>
      <c r="D37" s="111">
        <v>0.39583333333333331</v>
      </c>
      <c r="E37" s="111">
        <v>0.53680555555555554</v>
      </c>
      <c r="F37" s="444">
        <v>43</v>
      </c>
      <c r="G37" s="445">
        <v>8</v>
      </c>
      <c r="H37" s="444"/>
      <c r="I37" s="390"/>
      <c r="J37" s="426">
        <f t="shared" si="0"/>
        <v>203</v>
      </c>
      <c r="K37" s="103"/>
      <c r="L37" s="103"/>
      <c r="M37" s="103"/>
      <c r="N37" s="427">
        <f t="shared" si="1"/>
        <v>0</v>
      </c>
      <c r="O37" s="103"/>
      <c r="P37" s="103"/>
      <c r="Q37" s="103"/>
      <c r="R37" s="428">
        <f t="shared" si="2"/>
        <v>0</v>
      </c>
      <c r="S37" s="103"/>
      <c r="T37" s="103"/>
      <c r="U37" s="103"/>
      <c r="V37" s="125"/>
      <c r="W37" s="428">
        <f t="shared" si="10"/>
        <v>0</v>
      </c>
      <c r="X37" s="103"/>
      <c r="Y37" s="103"/>
      <c r="Z37" s="125"/>
      <c r="AA37" s="428">
        <f t="shared" si="11"/>
        <v>0</v>
      </c>
      <c r="AB37" s="103"/>
      <c r="AC37" s="103"/>
      <c r="AD37" s="103"/>
      <c r="AE37" s="428">
        <f t="shared" si="12"/>
        <v>0</v>
      </c>
      <c r="AF37" s="103"/>
      <c r="AG37" s="103"/>
      <c r="AH37" s="103"/>
      <c r="AI37" s="103"/>
      <c r="AJ37" s="428">
        <f t="shared" si="13"/>
        <v>0</v>
      </c>
      <c r="AK37" s="446"/>
      <c r="AL37" s="446"/>
      <c r="AM37" s="446"/>
      <c r="AN37" s="446"/>
      <c r="AO37" s="446"/>
      <c r="AP37" s="446"/>
      <c r="AQ37" s="446"/>
      <c r="AR37" s="431">
        <f t="shared" si="14"/>
        <v>0</v>
      </c>
      <c r="AT37" s="128" t="s">
        <v>410</v>
      </c>
      <c r="AU37" s="100" t="s">
        <v>549</v>
      </c>
      <c r="AV37" s="128" t="s">
        <v>532</v>
      </c>
      <c r="AW37" s="100" t="s">
        <v>570</v>
      </c>
      <c r="AX37" s="433">
        <f t="shared" si="15"/>
        <v>0</v>
      </c>
      <c r="AY37" s="433">
        <f t="shared" si="16"/>
        <v>0</v>
      </c>
      <c r="AZ37" s="433">
        <f t="shared" si="17"/>
        <v>0</v>
      </c>
      <c r="BA37" s="433">
        <f t="shared" si="3"/>
        <v>0</v>
      </c>
      <c r="BB37" s="433">
        <f t="shared" si="4"/>
        <v>0</v>
      </c>
      <c r="BC37" s="433">
        <f t="shared" si="5"/>
        <v>0</v>
      </c>
      <c r="BD37" s="433">
        <f t="shared" si="18"/>
        <v>0</v>
      </c>
      <c r="BE37" s="433">
        <f t="shared" si="19"/>
        <v>0</v>
      </c>
      <c r="BF37" s="433">
        <f t="shared" si="20"/>
        <v>0</v>
      </c>
      <c r="BG37" s="433">
        <f t="shared" si="21"/>
        <v>0</v>
      </c>
      <c r="BH37" s="433">
        <f t="shared" si="22"/>
        <v>0</v>
      </c>
      <c r="BI37" s="433">
        <f t="shared" si="23"/>
        <v>0</v>
      </c>
      <c r="BJ37" s="433">
        <f t="shared" si="24"/>
        <v>0</v>
      </c>
      <c r="BK37" s="433">
        <f t="shared" si="25"/>
        <v>0</v>
      </c>
      <c r="BL37" s="433">
        <f t="shared" si="26"/>
        <v>0</v>
      </c>
      <c r="BM37" s="433">
        <f t="shared" si="27"/>
        <v>0</v>
      </c>
      <c r="BN37" s="433">
        <f t="shared" si="28"/>
        <v>0</v>
      </c>
      <c r="BO37" s="433">
        <f t="shared" si="29"/>
        <v>0</v>
      </c>
      <c r="BP37" s="433">
        <f t="shared" si="30"/>
        <v>0</v>
      </c>
      <c r="BQ37" s="433">
        <f t="shared" si="31"/>
        <v>0</v>
      </c>
    </row>
    <row r="38" spans="1:69" x14ac:dyDescent="0.2">
      <c r="A38" s="102">
        <v>41802</v>
      </c>
      <c r="B38" s="319">
        <v>3</v>
      </c>
      <c r="C38" s="118" t="s">
        <v>353</v>
      </c>
      <c r="D38" s="111">
        <v>0.53680555555555554</v>
      </c>
      <c r="E38" s="111">
        <v>0.63750000000000007</v>
      </c>
      <c r="F38" s="444">
        <v>42</v>
      </c>
      <c r="G38" s="445">
        <v>8</v>
      </c>
      <c r="H38" s="444"/>
      <c r="I38" s="390"/>
      <c r="J38" s="426">
        <f t="shared" si="0"/>
        <v>145.00000000000011</v>
      </c>
      <c r="K38" s="103"/>
      <c r="L38" s="103"/>
      <c r="M38" s="103"/>
      <c r="N38" s="427">
        <f t="shared" si="1"/>
        <v>0</v>
      </c>
      <c r="O38" s="103"/>
      <c r="P38" s="103"/>
      <c r="Q38" s="103"/>
      <c r="R38" s="428">
        <f t="shared" si="2"/>
        <v>0</v>
      </c>
      <c r="S38" s="103"/>
      <c r="T38" s="103"/>
      <c r="U38" s="103"/>
      <c r="V38" s="125"/>
      <c r="W38" s="428">
        <f t="shared" si="10"/>
        <v>0</v>
      </c>
      <c r="X38" s="103"/>
      <c r="Y38" s="103"/>
      <c r="Z38" s="125"/>
      <c r="AA38" s="428">
        <f t="shared" si="11"/>
        <v>0</v>
      </c>
      <c r="AB38" s="103"/>
      <c r="AC38" s="103"/>
      <c r="AD38" s="103"/>
      <c r="AE38" s="428">
        <f t="shared" si="12"/>
        <v>0</v>
      </c>
      <c r="AF38" s="103"/>
      <c r="AG38" s="103"/>
      <c r="AH38" s="103"/>
      <c r="AI38" s="103"/>
      <c r="AJ38" s="428">
        <f t="shared" si="13"/>
        <v>0</v>
      </c>
      <c r="AK38" s="446"/>
      <c r="AL38" s="446"/>
      <c r="AM38" s="446"/>
      <c r="AN38" s="446"/>
      <c r="AO38" s="446"/>
      <c r="AP38" s="446"/>
      <c r="AQ38" s="446"/>
      <c r="AR38" s="431">
        <f t="shared" si="14"/>
        <v>0</v>
      </c>
      <c r="AT38" s="128" t="s">
        <v>411</v>
      </c>
      <c r="AU38" s="100" t="s">
        <v>547</v>
      </c>
      <c r="AV38" s="128" t="s">
        <v>532</v>
      </c>
      <c r="AW38" s="100" t="s">
        <v>570</v>
      </c>
      <c r="AX38" s="433">
        <f t="shared" si="15"/>
        <v>0</v>
      </c>
      <c r="AY38" s="433">
        <f t="shared" si="16"/>
        <v>0</v>
      </c>
      <c r="AZ38" s="433">
        <f t="shared" si="17"/>
        <v>0</v>
      </c>
      <c r="BA38" s="433">
        <f t="shared" si="3"/>
        <v>0</v>
      </c>
      <c r="BB38" s="433">
        <f t="shared" si="4"/>
        <v>0</v>
      </c>
      <c r="BC38" s="433">
        <f t="shared" si="5"/>
        <v>0</v>
      </c>
      <c r="BD38" s="433">
        <f t="shared" si="18"/>
        <v>0</v>
      </c>
      <c r="BE38" s="433">
        <f t="shared" si="19"/>
        <v>0</v>
      </c>
      <c r="BF38" s="433">
        <f t="shared" si="20"/>
        <v>0</v>
      </c>
      <c r="BG38" s="433">
        <f t="shared" si="21"/>
        <v>0</v>
      </c>
      <c r="BH38" s="433">
        <f t="shared" si="22"/>
        <v>0</v>
      </c>
      <c r="BI38" s="433">
        <f t="shared" si="23"/>
        <v>0</v>
      </c>
      <c r="BJ38" s="433">
        <f t="shared" si="24"/>
        <v>0</v>
      </c>
      <c r="BK38" s="433">
        <f t="shared" si="25"/>
        <v>0</v>
      </c>
      <c r="BL38" s="433">
        <f t="shared" si="26"/>
        <v>0</v>
      </c>
      <c r="BM38" s="433">
        <f t="shared" si="27"/>
        <v>0</v>
      </c>
      <c r="BN38" s="433">
        <f t="shared" si="28"/>
        <v>0</v>
      </c>
      <c r="BO38" s="433">
        <f t="shared" si="29"/>
        <v>0</v>
      </c>
      <c r="BP38" s="433">
        <f t="shared" si="30"/>
        <v>0</v>
      </c>
      <c r="BQ38" s="433">
        <f t="shared" si="31"/>
        <v>0</v>
      </c>
    </row>
    <row r="39" spans="1:69" x14ac:dyDescent="0.2">
      <c r="A39" s="102">
        <v>41802</v>
      </c>
      <c r="B39" s="319">
        <v>3</v>
      </c>
      <c r="C39" s="118" t="s">
        <v>412</v>
      </c>
      <c r="D39" s="111">
        <v>0.63750000000000007</v>
      </c>
      <c r="E39" s="111">
        <v>0.84305555555555556</v>
      </c>
      <c r="F39" s="444">
        <v>42</v>
      </c>
      <c r="G39" s="445">
        <v>8</v>
      </c>
      <c r="H39" s="444"/>
      <c r="I39" s="390"/>
      <c r="J39" s="426">
        <f t="shared" si="0"/>
        <v>295.99999999999989</v>
      </c>
      <c r="K39" s="103"/>
      <c r="L39" s="103"/>
      <c r="M39" s="103"/>
      <c r="N39" s="427">
        <f t="shared" si="1"/>
        <v>0</v>
      </c>
      <c r="O39" s="103"/>
      <c r="P39" s="103"/>
      <c r="Q39" s="103"/>
      <c r="R39" s="428">
        <f t="shared" si="2"/>
        <v>0</v>
      </c>
      <c r="S39" s="103"/>
      <c r="T39" s="103"/>
      <c r="U39" s="103"/>
      <c r="V39" s="125"/>
      <c r="W39" s="428">
        <f t="shared" si="10"/>
        <v>0</v>
      </c>
      <c r="X39" s="103"/>
      <c r="Y39" s="103"/>
      <c r="Z39" s="125"/>
      <c r="AA39" s="428">
        <f t="shared" si="11"/>
        <v>0</v>
      </c>
      <c r="AB39" s="103"/>
      <c r="AC39" s="103"/>
      <c r="AD39" s="103"/>
      <c r="AE39" s="428">
        <f t="shared" si="12"/>
        <v>0</v>
      </c>
      <c r="AF39" s="103"/>
      <c r="AG39" s="103"/>
      <c r="AH39" s="103"/>
      <c r="AI39" s="103"/>
      <c r="AJ39" s="428">
        <f t="shared" si="13"/>
        <v>0</v>
      </c>
      <c r="AK39" s="446">
        <v>1</v>
      </c>
      <c r="AL39" s="446"/>
      <c r="AM39" s="446"/>
      <c r="AN39" s="446"/>
      <c r="AO39" s="446"/>
      <c r="AP39" s="446"/>
      <c r="AQ39" s="446"/>
      <c r="AR39" s="431">
        <f t="shared" si="14"/>
        <v>1</v>
      </c>
      <c r="AT39" s="128" t="s">
        <v>413</v>
      </c>
      <c r="AU39" s="100" t="s">
        <v>377</v>
      </c>
      <c r="AV39" s="128" t="s">
        <v>532</v>
      </c>
      <c r="AW39" s="100" t="s">
        <v>570</v>
      </c>
      <c r="AX39" s="433">
        <f t="shared" si="15"/>
        <v>0</v>
      </c>
      <c r="AY39" s="433">
        <f t="shared" si="16"/>
        <v>0</v>
      </c>
      <c r="AZ39" s="433">
        <f t="shared" si="17"/>
        <v>0</v>
      </c>
      <c r="BA39" s="433">
        <f t="shared" si="3"/>
        <v>0</v>
      </c>
      <c r="BB39" s="433">
        <f t="shared" si="4"/>
        <v>0</v>
      </c>
      <c r="BC39" s="433">
        <f t="shared" si="5"/>
        <v>0</v>
      </c>
      <c r="BD39" s="433">
        <f t="shared" si="18"/>
        <v>0</v>
      </c>
      <c r="BE39" s="433">
        <f t="shared" si="19"/>
        <v>0</v>
      </c>
      <c r="BF39" s="433">
        <f t="shared" si="20"/>
        <v>0</v>
      </c>
      <c r="BG39" s="433">
        <f t="shared" si="21"/>
        <v>0</v>
      </c>
      <c r="BH39" s="433">
        <f t="shared" si="22"/>
        <v>0</v>
      </c>
      <c r="BI39" s="433">
        <f t="shared" si="23"/>
        <v>0</v>
      </c>
      <c r="BJ39" s="433">
        <f t="shared" si="24"/>
        <v>0</v>
      </c>
      <c r="BK39" s="433">
        <f t="shared" si="25"/>
        <v>0</v>
      </c>
      <c r="BL39" s="433">
        <f t="shared" si="26"/>
        <v>0</v>
      </c>
      <c r="BM39" s="433">
        <f t="shared" si="27"/>
        <v>0</v>
      </c>
      <c r="BN39" s="433">
        <f t="shared" si="28"/>
        <v>0</v>
      </c>
      <c r="BO39" s="433">
        <f t="shared" si="29"/>
        <v>0</v>
      </c>
      <c r="BP39" s="433">
        <f t="shared" si="30"/>
        <v>0</v>
      </c>
      <c r="BQ39" s="433">
        <f t="shared" si="31"/>
        <v>0</v>
      </c>
    </row>
    <row r="40" spans="1:69" x14ac:dyDescent="0.2">
      <c r="A40" s="102">
        <v>41802</v>
      </c>
      <c r="B40" s="319">
        <v>3</v>
      </c>
      <c r="C40" s="118" t="s">
        <v>414</v>
      </c>
      <c r="D40" s="111">
        <v>0.84305555555555556</v>
      </c>
      <c r="E40" s="111">
        <v>0.90486111111111101</v>
      </c>
      <c r="F40" s="444">
        <v>41</v>
      </c>
      <c r="G40" s="445">
        <v>7</v>
      </c>
      <c r="H40" s="444"/>
      <c r="I40" s="390"/>
      <c r="J40" s="426">
        <f t="shared" si="0"/>
        <v>88.999999999999844</v>
      </c>
      <c r="K40" s="103"/>
      <c r="L40" s="103"/>
      <c r="M40" s="103"/>
      <c r="N40" s="427">
        <f t="shared" si="1"/>
        <v>0</v>
      </c>
      <c r="O40" s="103"/>
      <c r="P40" s="103"/>
      <c r="Q40" s="103"/>
      <c r="R40" s="428">
        <f t="shared" si="2"/>
        <v>0</v>
      </c>
      <c r="S40" s="103"/>
      <c r="T40" s="103"/>
      <c r="U40" s="103"/>
      <c r="V40" s="125"/>
      <c r="W40" s="428">
        <f t="shared" si="10"/>
        <v>0</v>
      </c>
      <c r="X40" s="103"/>
      <c r="Y40" s="103"/>
      <c r="Z40" s="125"/>
      <c r="AA40" s="428">
        <f t="shared" si="11"/>
        <v>0</v>
      </c>
      <c r="AB40" s="103"/>
      <c r="AC40" s="103"/>
      <c r="AD40" s="103"/>
      <c r="AE40" s="428">
        <f t="shared" si="12"/>
        <v>0</v>
      </c>
      <c r="AF40" s="103"/>
      <c r="AG40" s="103"/>
      <c r="AH40" s="103"/>
      <c r="AI40" s="103"/>
      <c r="AJ40" s="428">
        <f t="shared" si="13"/>
        <v>0</v>
      </c>
      <c r="AK40" s="446"/>
      <c r="AL40" s="446"/>
      <c r="AM40" s="446"/>
      <c r="AN40" s="446"/>
      <c r="AO40" s="446"/>
      <c r="AP40" s="446"/>
      <c r="AQ40" s="446"/>
      <c r="AR40" s="431">
        <f t="shared" si="14"/>
        <v>0</v>
      </c>
      <c r="AS40" s="10" t="s">
        <v>415</v>
      </c>
      <c r="AT40" s="128" t="s">
        <v>416</v>
      </c>
      <c r="AU40" s="100" t="s">
        <v>549</v>
      </c>
      <c r="AV40" s="128" t="s">
        <v>532</v>
      </c>
      <c r="AW40" s="100" t="s">
        <v>570</v>
      </c>
      <c r="AX40" s="433">
        <f t="shared" si="15"/>
        <v>0</v>
      </c>
      <c r="AY40" s="433">
        <f t="shared" si="16"/>
        <v>0</v>
      </c>
      <c r="AZ40" s="433">
        <f t="shared" si="17"/>
        <v>0</v>
      </c>
      <c r="BA40" s="433">
        <f t="shared" si="3"/>
        <v>0</v>
      </c>
      <c r="BB40" s="433">
        <f t="shared" si="4"/>
        <v>0</v>
      </c>
      <c r="BC40" s="433">
        <f t="shared" si="5"/>
        <v>0</v>
      </c>
      <c r="BD40" s="433">
        <f t="shared" si="18"/>
        <v>0</v>
      </c>
      <c r="BE40" s="433">
        <f t="shared" si="19"/>
        <v>0</v>
      </c>
      <c r="BF40" s="433">
        <f t="shared" si="20"/>
        <v>0</v>
      </c>
      <c r="BG40" s="433">
        <f t="shared" si="21"/>
        <v>0</v>
      </c>
      <c r="BH40" s="433">
        <f t="shared" si="22"/>
        <v>0</v>
      </c>
      <c r="BI40" s="433">
        <f t="shared" si="23"/>
        <v>0</v>
      </c>
      <c r="BJ40" s="433">
        <f t="shared" si="24"/>
        <v>0</v>
      </c>
      <c r="BK40" s="433">
        <f t="shared" si="25"/>
        <v>0</v>
      </c>
      <c r="BL40" s="433">
        <f t="shared" si="26"/>
        <v>0</v>
      </c>
      <c r="BM40" s="433">
        <f t="shared" si="27"/>
        <v>0</v>
      </c>
      <c r="BN40" s="433">
        <f t="shared" si="28"/>
        <v>0</v>
      </c>
      <c r="BO40" s="433">
        <f t="shared" si="29"/>
        <v>0</v>
      </c>
      <c r="BP40" s="433">
        <f t="shared" si="30"/>
        <v>0</v>
      </c>
      <c r="BQ40" s="433">
        <f t="shared" si="31"/>
        <v>0</v>
      </c>
    </row>
    <row r="41" spans="1:69" s="291" customFormat="1" x14ac:dyDescent="0.2">
      <c r="A41" s="317">
        <v>41802</v>
      </c>
      <c r="B41" s="318">
        <v>3</v>
      </c>
      <c r="C41" s="320" t="s">
        <v>362</v>
      </c>
      <c r="D41" s="321">
        <v>0.90486111111111101</v>
      </c>
      <c r="E41" s="321">
        <v>0.95833333333333337</v>
      </c>
      <c r="F41" s="434"/>
      <c r="G41" s="435">
        <v>7</v>
      </c>
      <c r="H41" s="434"/>
      <c r="I41" s="436"/>
      <c r="J41" s="437">
        <f t="shared" si="0"/>
        <v>77.000000000000199</v>
      </c>
      <c r="K41" s="285"/>
      <c r="L41" s="285"/>
      <c r="M41" s="285"/>
      <c r="N41" s="438">
        <f t="shared" si="1"/>
        <v>0</v>
      </c>
      <c r="O41" s="285"/>
      <c r="P41" s="285"/>
      <c r="Q41" s="285"/>
      <c r="R41" s="439">
        <f t="shared" si="2"/>
        <v>0</v>
      </c>
      <c r="S41" s="285"/>
      <c r="T41" s="285"/>
      <c r="U41" s="285"/>
      <c r="V41" s="440"/>
      <c r="W41" s="439">
        <f t="shared" si="10"/>
        <v>0</v>
      </c>
      <c r="X41" s="285"/>
      <c r="Y41" s="285"/>
      <c r="Z41" s="440"/>
      <c r="AA41" s="439">
        <f t="shared" si="11"/>
        <v>0</v>
      </c>
      <c r="AB41" s="285"/>
      <c r="AC41" s="285"/>
      <c r="AD41" s="285"/>
      <c r="AE41" s="439">
        <f t="shared" si="12"/>
        <v>0</v>
      </c>
      <c r="AF41" s="285"/>
      <c r="AG41" s="285"/>
      <c r="AH41" s="285"/>
      <c r="AI41" s="285"/>
      <c r="AJ41" s="439">
        <f t="shared" si="13"/>
        <v>0</v>
      </c>
      <c r="AK41" s="340">
        <v>0</v>
      </c>
      <c r="AL41" s="340"/>
      <c r="AM41" s="340"/>
      <c r="AN41" s="340"/>
      <c r="AO41" s="340"/>
      <c r="AP41" s="340"/>
      <c r="AQ41" s="340"/>
      <c r="AR41" s="441">
        <f t="shared" si="14"/>
        <v>0</v>
      </c>
      <c r="AT41" s="313" t="s">
        <v>417</v>
      </c>
      <c r="AU41" s="289" t="s">
        <v>386</v>
      </c>
      <c r="AV41" s="313" t="s">
        <v>559</v>
      </c>
      <c r="AW41" s="289" t="s">
        <v>570</v>
      </c>
      <c r="AX41" s="443">
        <f t="shared" si="15"/>
        <v>0</v>
      </c>
      <c r="AY41" s="443">
        <f t="shared" si="16"/>
        <v>0</v>
      </c>
      <c r="AZ41" s="443">
        <f t="shared" si="17"/>
        <v>0</v>
      </c>
      <c r="BA41" s="443">
        <f t="shared" si="3"/>
        <v>0</v>
      </c>
      <c r="BB41" s="443">
        <f t="shared" si="4"/>
        <v>0</v>
      </c>
      <c r="BC41" s="443">
        <f t="shared" si="5"/>
        <v>0</v>
      </c>
      <c r="BD41" s="443">
        <f t="shared" si="18"/>
        <v>0</v>
      </c>
      <c r="BE41" s="443">
        <f t="shared" si="19"/>
        <v>0</v>
      </c>
      <c r="BF41" s="443">
        <f t="shared" si="20"/>
        <v>0</v>
      </c>
      <c r="BG41" s="443">
        <f t="shared" si="21"/>
        <v>0</v>
      </c>
      <c r="BH41" s="443">
        <f t="shared" si="22"/>
        <v>0</v>
      </c>
      <c r="BI41" s="443">
        <f t="shared" si="23"/>
        <v>0</v>
      </c>
      <c r="BJ41" s="443">
        <f t="shared" si="24"/>
        <v>0</v>
      </c>
      <c r="BK41" s="443">
        <f t="shared" si="25"/>
        <v>0</v>
      </c>
      <c r="BL41" s="443">
        <f t="shared" si="26"/>
        <v>0</v>
      </c>
      <c r="BM41" s="443">
        <f t="shared" si="27"/>
        <v>0</v>
      </c>
      <c r="BN41" s="443">
        <f t="shared" si="28"/>
        <v>0</v>
      </c>
      <c r="BO41" s="443">
        <f t="shared" si="29"/>
        <v>0</v>
      </c>
      <c r="BP41" s="443">
        <f t="shared" si="30"/>
        <v>0</v>
      </c>
      <c r="BQ41" s="443">
        <f t="shared" si="31"/>
        <v>0</v>
      </c>
    </row>
    <row r="42" spans="1:69" x14ac:dyDescent="0.2">
      <c r="A42" s="102">
        <v>41803</v>
      </c>
      <c r="B42" s="319">
        <v>1</v>
      </c>
      <c r="C42" s="118" t="s">
        <v>418</v>
      </c>
      <c r="D42" s="111">
        <v>0.33333333333333331</v>
      </c>
      <c r="E42" s="111">
        <v>0.33611111111111108</v>
      </c>
      <c r="F42" s="444">
        <v>70</v>
      </c>
      <c r="G42" s="445">
        <v>7</v>
      </c>
      <c r="H42" s="444"/>
      <c r="I42" s="390"/>
      <c r="J42" s="426">
        <f t="shared" si="0"/>
        <v>3.9999999999999858</v>
      </c>
      <c r="K42" s="103"/>
      <c r="L42" s="103"/>
      <c r="M42" s="103"/>
      <c r="N42" s="427">
        <f t="shared" si="1"/>
        <v>0</v>
      </c>
      <c r="O42" s="103"/>
      <c r="P42" s="103"/>
      <c r="Q42" s="103"/>
      <c r="R42" s="428">
        <f t="shared" si="2"/>
        <v>0</v>
      </c>
      <c r="S42" s="103"/>
      <c r="T42" s="103"/>
      <c r="U42" s="103"/>
      <c r="V42" s="125"/>
      <c r="W42" s="428">
        <f t="shared" si="10"/>
        <v>0</v>
      </c>
      <c r="X42" s="103"/>
      <c r="Y42" s="103"/>
      <c r="Z42" s="125"/>
      <c r="AA42" s="428">
        <f t="shared" si="11"/>
        <v>0</v>
      </c>
      <c r="AB42" s="103"/>
      <c r="AC42" s="103"/>
      <c r="AD42" s="103"/>
      <c r="AE42" s="428">
        <f t="shared" si="12"/>
        <v>0</v>
      </c>
      <c r="AF42" s="103"/>
      <c r="AG42" s="103"/>
      <c r="AH42" s="103"/>
      <c r="AI42" s="103"/>
      <c r="AJ42" s="428">
        <f t="shared" si="13"/>
        <v>0</v>
      </c>
      <c r="AK42" s="446"/>
      <c r="AL42" s="446"/>
      <c r="AM42" s="446"/>
      <c r="AN42" s="446"/>
      <c r="AO42" s="446"/>
      <c r="AP42" s="446"/>
      <c r="AQ42" s="446"/>
      <c r="AR42" s="431">
        <f t="shared" si="14"/>
        <v>0</v>
      </c>
      <c r="AS42" s="10" t="s">
        <v>419</v>
      </c>
      <c r="AT42" s="128"/>
      <c r="AU42" s="100" t="s">
        <v>543</v>
      </c>
      <c r="AV42" s="128" t="s">
        <v>532</v>
      </c>
      <c r="AW42" s="100" t="s">
        <v>568</v>
      </c>
      <c r="AX42" s="433">
        <f t="shared" si="15"/>
        <v>0</v>
      </c>
      <c r="AY42" s="433">
        <f t="shared" si="16"/>
        <v>0</v>
      </c>
      <c r="AZ42" s="433">
        <f t="shared" si="17"/>
        <v>0</v>
      </c>
      <c r="BA42" s="433">
        <f t="shared" si="3"/>
        <v>0</v>
      </c>
      <c r="BB42" s="433">
        <f t="shared" si="4"/>
        <v>0</v>
      </c>
      <c r="BC42" s="433">
        <f t="shared" si="5"/>
        <v>0</v>
      </c>
      <c r="BD42" s="433">
        <f t="shared" si="18"/>
        <v>0</v>
      </c>
      <c r="BE42" s="433">
        <f t="shared" si="19"/>
        <v>0</v>
      </c>
      <c r="BF42" s="433">
        <f t="shared" si="20"/>
        <v>0</v>
      </c>
      <c r="BG42" s="433">
        <f t="shared" si="21"/>
        <v>0</v>
      </c>
      <c r="BH42" s="433">
        <f t="shared" si="22"/>
        <v>0</v>
      </c>
      <c r="BI42" s="433">
        <f t="shared" si="23"/>
        <v>0</v>
      </c>
      <c r="BJ42" s="433">
        <f t="shared" si="24"/>
        <v>0</v>
      </c>
      <c r="BK42" s="433">
        <f t="shared" si="25"/>
        <v>0</v>
      </c>
      <c r="BL42" s="433">
        <f t="shared" si="26"/>
        <v>0</v>
      </c>
      <c r="BM42" s="433">
        <f t="shared" si="27"/>
        <v>0</v>
      </c>
      <c r="BN42" s="433">
        <f t="shared" si="28"/>
        <v>0</v>
      </c>
      <c r="BO42" s="433">
        <f t="shared" si="29"/>
        <v>0</v>
      </c>
      <c r="BP42" s="433">
        <f t="shared" si="30"/>
        <v>0</v>
      </c>
      <c r="BQ42" s="433">
        <f t="shared" si="31"/>
        <v>0</v>
      </c>
    </row>
    <row r="43" spans="1:69" x14ac:dyDescent="0.2">
      <c r="A43" s="102">
        <v>41803</v>
      </c>
      <c r="B43" s="319">
        <v>1</v>
      </c>
      <c r="C43" s="118" t="s">
        <v>420</v>
      </c>
      <c r="D43" s="111">
        <v>0.33611111111111108</v>
      </c>
      <c r="E43" s="111">
        <v>0.45833333333333331</v>
      </c>
      <c r="F43" s="444">
        <v>69</v>
      </c>
      <c r="G43" s="445">
        <v>8</v>
      </c>
      <c r="H43" s="444"/>
      <c r="I43" s="390"/>
      <c r="J43" s="426">
        <f t="shared" si="0"/>
        <v>176</v>
      </c>
      <c r="K43" s="103"/>
      <c r="L43" s="103"/>
      <c r="M43" s="103"/>
      <c r="N43" s="427">
        <f t="shared" si="1"/>
        <v>0</v>
      </c>
      <c r="O43" s="103"/>
      <c r="P43" s="103"/>
      <c r="Q43" s="103"/>
      <c r="R43" s="428">
        <f t="shared" si="2"/>
        <v>0</v>
      </c>
      <c r="S43" s="103"/>
      <c r="T43" s="103"/>
      <c r="U43" s="103"/>
      <c r="V43" s="125"/>
      <c r="W43" s="428">
        <f t="shared" si="10"/>
        <v>0</v>
      </c>
      <c r="X43" s="103"/>
      <c r="Y43" s="103"/>
      <c r="Z43" s="125"/>
      <c r="AA43" s="428">
        <f t="shared" si="11"/>
        <v>0</v>
      </c>
      <c r="AB43" s="103"/>
      <c r="AC43" s="103"/>
      <c r="AD43" s="103"/>
      <c r="AE43" s="428">
        <f t="shared" si="12"/>
        <v>0</v>
      </c>
      <c r="AF43" s="103"/>
      <c r="AG43" s="103"/>
      <c r="AH43" s="103"/>
      <c r="AI43" s="103"/>
      <c r="AJ43" s="428">
        <f t="shared" si="13"/>
        <v>0</v>
      </c>
      <c r="AK43" s="446"/>
      <c r="AL43" s="446"/>
      <c r="AM43" s="446"/>
      <c r="AN43" s="446"/>
      <c r="AO43" s="446"/>
      <c r="AP43" s="446"/>
      <c r="AQ43" s="446"/>
      <c r="AR43" s="431">
        <f t="shared" si="14"/>
        <v>0</v>
      </c>
      <c r="AT43" s="128" t="s">
        <v>421</v>
      </c>
      <c r="AU43" s="100" t="s">
        <v>551</v>
      </c>
      <c r="AV43" s="128" t="s">
        <v>532</v>
      </c>
      <c r="AW43" s="100" t="s">
        <v>568</v>
      </c>
      <c r="AX43" s="433">
        <f t="shared" si="15"/>
        <v>0</v>
      </c>
      <c r="AY43" s="433">
        <f t="shared" si="16"/>
        <v>0</v>
      </c>
      <c r="AZ43" s="433">
        <f t="shared" si="17"/>
        <v>0</v>
      </c>
      <c r="BA43" s="433">
        <f t="shared" si="3"/>
        <v>0</v>
      </c>
      <c r="BB43" s="433">
        <f t="shared" si="4"/>
        <v>0</v>
      </c>
      <c r="BC43" s="433">
        <f t="shared" si="5"/>
        <v>0</v>
      </c>
      <c r="BD43" s="433">
        <f t="shared" si="18"/>
        <v>0</v>
      </c>
      <c r="BE43" s="433">
        <f t="shared" si="19"/>
        <v>0</v>
      </c>
      <c r="BF43" s="433">
        <f t="shared" si="20"/>
        <v>0</v>
      </c>
      <c r="BG43" s="433">
        <f t="shared" si="21"/>
        <v>0</v>
      </c>
      <c r="BH43" s="433">
        <f t="shared" si="22"/>
        <v>0</v>
      </c>
      <c r="BI43" s="433">
        <f t="shared" si="23"/>
        <v>0</v>
      </c>
      <c r="BJ43" s="433">
        <f t="shared" si="24"/>
        <v>0</v>
      </c>
      <c r="BK43" s="433">
        <f t="shared" si="25"/>
        <v>0</v>
      </c>
      <c r="BL43" s="433">
        <f t="shared" si="26"/>
        <v>0</v>
      </c>
      <c r="BM43" s="433">
        <f t="shared" si="27"/>
        <v>0</v>
      </c>
      <c r="BN43" s="433">
        <f t="shared" si="28"/>
        <v>0</v>
      </c>
      <c r="BO43" s="433">
        <f t="shared" si="29"/>
        <v>0</v>
      </c>
      <c r="BP43" s="433">
        <f t="shared" si="30"/>
        <v>0</v>
      </c>
      <c r="BQ43" s="433">
        <f t="shared" si="31"/>
        <v>0</v>
      </c>
    </row>
    <row r="44" spans="1:69" x14ac:dyDescent="0.2">
      <c r="A44" s="102">
        <v>41803</v>
      </c>
      <c r="B44" s="319">
        <v>1</v>
      </c>
      <c r="C44" s="118" t="s">
        <v>422</v>
      </c>
      <c r="D44" s="111">
        <v>0.45833333333333331</v>
      </c>
      <c r="E44" s="111">
        <v>0.52569444444444446</v>
      </c>
      <c r="F44" s="444">
        <v>72</v>
      </c>
      <c r="G44" s="445">
        <v>7</v>
      </c>
      <c r="H44" s="444"/>
      <c r="I44" s="390"/>
      <c r="J44" s="426">
        <f t="shared" si="0"/>
        <v>97.000000000000057</v>
      </c>
      <c r="K44" s="103"/>
      <c r="L44" s="103"/>
      <c r="M44" s="103"/>
      <c r="N44" s="427">
        <f t="shared" si="1"/>
        <v>0</v>
      </c>
      <c r="O44" s="103"/>
      <c r="P44" s="103"/>
      <c r="Q44" s="103"/>
      <c r="R44" s="428">
        <f t="shared" si="2"/>
        <v>0</v>
      </c>
      <c r="S44" s="103"/>
      <c r="T44" s="103"/>
      <c r="U44" s="103"/>
      <c r="V44" s="125"/>
      <c r="W44" s="428">
        <f t="shared" si="10"/>
        <v>0</v>
      </c>
      <c r="X44" s="103"/>
      <c r="Y44" s="103"/>
      <c r="Z44" s="125"/>
      <c r="AA44" s="428">
        <f t="shared" si="11"/>
        <v>0</v>
      </c>
      <c r="AB44" s="103"/>
      <c r="AC44" s="103"/>
      <c r="AD44" s="103"/>
      <c r="AE44" s="428">
        <f t="shared" si="12"/>
        <v>0</v>
      </c>
      <c r="AF44" s="103"/>
      <c r="AG44" s="103"/>
      <c r="AH44" s="103"/>
      <c r="AI44" s="103"/>
      <c r="AJ44" s="428">
        <f t="shared" si="13"/>
        <v>0</v>
      </c>
      <c r="AK44" s="446"/>
      <c r="AL44" s="446"/>
      <c r="AM44" s="446"/>
      <c r="AN44" s="446"/>
      <c r="AO44" s="446"/>
      <c r="AP44" s="446"/>
      <c r="AQ44" s="446"/>
      <c r="AR44" s="431">
        <f t="shared" si="14"/>
        <v>0</v>
      </c>
      <c r="AS44" s="10" t="s">
        <v>423</v>
      </c>
      <c r="AT44" s="128" t="s">
        <v>424</v>
      </c>
      <c r="AU44" s="100" t="s">
        <v>394</v>
      </c>
      <c r="AV44" s="128" t="s">
        <v>532</v>
      </c>
      <c r="AW44" s="100" t="s">
        <v>568</v>
      </c>
      <c r="AX44" s="433">
        <f t="shared" si="15"/>
        <v>0</v>
      </c>
      <c r="AY44" s="433">
        <f t="shared" si="16"/>
        <v>0</v>
      </c>
      <c r="AZ44" s="433">
        <f t="shared" si="17"/>
        <v>0</v>
      </c>
      <c r="BA44" s="433">
        <f t="shared" si="3"/>
        <v>0</v>
      </c>
      <c r="BB44" s="433">
        <f t="shared" si="4"/>
        <v>0</v>
      </c>
      <c r="BC44" s="433">
        <f t="shared" si="5"/>
        <v>0</v>
      </c>
      <c r="BD44" s="433">
        <f t="shared" si="18"/>
        <v>0</v>
      </c>
      <c r="BE44" s="433">
        <f t="shared" si="19"/>
        <v>0</v>
      </c>
      <c r="BF44" s="433">
        <f t="shared" si="20"/>
        <v>0</v>
      </c>
      <c r="BG44" s="433">
        <f t="shared" si="21"/>
        <v>0</v>
      </c>
      <c r="BH44" s="433">
        <f t="shared" si="22"/>
        <v>0</v>
      </c>
      <c r="BI44" s="433">
        <f t="shared" si="23"/>
        <v>0</v>
      </c>
      <c r="BJ44" s="433">
        <f t="shared" si="24"/>
        <v>0</v>
      </c>
      <c r="BK44" s="433">
        <f t="shared" si="25"/>
        <v>0</v>
      </c>
      <c r="BL44" s="433">
        <f t="shared" si="26"/>
        <v>0</v>
      </c>
      <c r="BM44" s="433">
        <f t="shared" si="27"/>
        <v>0</v>
      </c>
      <c r="BN44" s="433">
        <f t="shared" si="28"/>
        <v>0</v>
      </c>
      <c r="BO44" s="433">
        <f t="shared" si="29"/>
        <v>0</v>
      </c>
      <c r="BP44" s="433">
        <f t="shared" si="30"/>
        <v>0</v>
      </c>
      <c r="BQ44" s="433">
        <f t="shared" si="31"/>
        <v>0</v>
      </c>
    </row>
    <row r="45" spans="1:69" x14ac:dyDescent="0.2">
      <c r="A45" s="102">
        <v>41803</v>
      </c>
      <c r="B45" s="319">
        <v>1</v>
      </c>
      <c r="C45" s="118" t="s">
        <v>420</v>
      </c>
      <c r="D45" s="111">
        <v>0.52569444444444446</v>
      </c>
      <c r="E45" s="111">
        <v>0.59722222222222221</v>
      </c>
      <c r="F45" s="444">
        <v>72</v>
      </c>
      <c r="G45" s="445">
        <v>7</v>
      </c>
      <c r="H45" s="444"/>
      <c r="I45" s="390"/>
      <c r="J45" s="426">
        <f t="shared" si="0"/>
        <v>102.99999999999996</v>
      </c>
      <c r="K45" s="103"/>
      <c r="L45" s="103"/>
      <c r="M45" s="103"/>
      <c r="N45" s="427">
        <f t="shared" si="1"/>
        <v>0</v>
      </c>
      <c r="O45" s="103"/>
      <c r="P45" s="103"/>
      <c r="Q45" s="103"/>
      <c r="R45" s="428">
        <f t="shared" si="2"/>
        <v>0</v>
      </c>
      <c r="S45" s="103"/>
      <c r="T45" s="103"/>
      <c r="U45" s="103"/>
      <c r="V45" s="125"/>
      <c r="W45" s="428">
        <f t="shared" si="10"/>
        <v>0</v>
      </c>
      <c r="X45" s="103"/>
      <c r="Y45" s="103"/>
      <c r="Z45" s="125"/>
      <c r="AA45" s="428">
        <f t="shared" si="11"/>
        <v>0</v>
      </c>
      <c r="AB45" s="103"/>
      <c r="AC45" s="103"/>
      <c r="AD45" s="103"/>
      <c r="AE45" s="428">
        <f t="shared" si="12"/>
        <v>0</v>
      </c>
      <c r="AF45" s="103"/>
      <c r="AG45" s="103"/>
      <c r="AH45" s="103"/>
      <c r="AI45" s="103"/>
      <c r="AJ45" s="428">
        <f t="shared" si="13"/>
        <v>0</v>
      </c>
      <c r="AK45" s="446"/>
      <c r="AL45" s="446"/>
      <c r="AM45" s="446"/>
      <c r="AN45" s="446"/>
      <c r="AO45" s="446"/>
      <c r="AP45" s="446"/>
      <c r="AQ45" s="446"/>
      <c r="AR45" s="431">
        <f t="shared" si="14"/>
        <v>0</v>
      </c>
      <c r="AS45" s="10" t="s">
        <v>425</v>
      </c>
      <c r="AT45" s="128" t="s">
        <v>426</v>
      </c>
      <c r="AU45" s="100" t="s">
        <v>551</v>
      </c>
      <c r="AV45" s="128" t="s">
        <v>532</v>
      </c>
      <c r="AW45" s="100" t="s">
        <v>568</v>
      </c>
      <c r="AX45" s="433">
        <f t="shared" si="15"/>
        <v>0</v>
      </c>
      <c r="AY45" s="433">
        <f t="shared" si="16"/>
        <v>0</v>
      </c>
      <c r="AZ45" s="433">
        <f t="shared" si="17"/>
        <v>0</v>
      </c>
      <c r="BA45" s="433">
        <f t="shared" si="3"/>
        <v>0</v>
      </c>
      <c r="BB45" s="433">
        <f t="shared" si="4"/>
        <v>0</v>
      </c>
      <c r="BC45" s="433">
        <f t="shared" si="5"/>
        <v>0</v>
      </c>
      <c r="BD45" s="433">
        <f t="shared" si="18"/>
        <v>0</v>
      </c>
      <c r="BE45" s="433">
        <f t="shared" si="19"/>
        <v>0</v>
      </c>
      <c r="BF45" s="433">
        <f t="shared" si="20"/>
        <v>0</v>
      </c>
      <c r="BG45" s="433">
        <f t="shared" si="21"/>
        <v>0</v>
      </c>
      <c r="BH45" s="433">
        <f t="shared" si="22"/>
        <v>0</v>
      </c>
      <c r="BI45" s="433">
        <f t="shared" si="23"/>
        <v>0</v>
      </c>
      <c r="BJ45" s="433">
        <f t="shared" si="24"/>
        <v>0</v>
      </c>
      <c r="BK45" s="433">
        <f t="shared" si="25"/>
        <v>0</v>
      </c>
      <c r="BL45" s="433">
        <f t="shared" si="26"/>
        <v>0</v>
      </c>
      <c r="BM45" s="433">
        <f t="shared" si="27"/>
        <v>0</v>
      </c>
      <c r="BN45" s="433">
        <f t="shared" si="28"/>
        <v>0</v>
      </c>
      <c r="BO45" s="433">
        <f t="shared" si="29"/>
        <v>0</v>
      </c>
      <c r="BP45" s="433">
        <f t="shared" si="30"/>
        <v>0</v>
      </c>
      <c r="BQ45" s="433">
        <f t="shared" si="31"/>
        <v>0</v>
      </c>
    </row>
    <row r="46" spans="1:69" x14ac:dyDescent="0.2">
      <c r="A46" s="102">
        <v>41803</v>
      </c>
      <c r="B46" s="319">
        <v>1</v>
      </c>
      <c r="C46" s="118" t="s">
        <v>427</v>
      </c>
      <c r="D46" s="111">
        <v>0.59722222222222221</v>
      </c>
      <c r="E46" s="111">
        <v>0.68333333333333324</v>
      </c>
      <c r="F46" s="444">
        <v>72</v>
      </c>
      <c r="G46" s="445">
        <v>7.5</v>
      </c>
      <c r="H46" s="444"/>
      <c r="I46" s="390"/>
      <c r="J46" s="426">
        <f t="shared" si="0"/>
        <v>123.99999999999989</v>
      </c>
      <c r="K46" s="103"/>
      <c r="L46" s="103"/>
      <c r="M46" s="103"/>
      <c r="N46" s="427">
        <f t="shared" si="1"/>
        <v>0</v>
      </c>
      <c r="O46" s="103"/>
      <c r="P46" s="103"/>
      <c r="Q46" s="103"/>
      <c r="R46" s="428">
        <f t="shared" si="2"/>
        <v>0</v>
      </c>
      <c r="S46" s="103"/>
      <c r="T46" s="103"/>
      <c r="U46" s="103"/>
      <c r="V46" s="125"/>
      <c r="W46" s="428">
        <f t="shared" si="10"/>
        <v>0</v>
      </c>
      <c r="X46" s="103"/>
      <c r="Y46" s="103"/>
      <c r="Z46" s="125"/>
      <c r="AA46" s="428">
        <f t="shared" si="11"/>
        <v>0</v>
      </c>
      <c r="AB46" s="103"/>
      <c r="AC46" s="103"/>
      <c r="AD46" s="103"/>
      <c r="AE46" s="428">
        <f t="shared" si="12"/>
        <v>0</v>
      </c>
      <c r="AF46" s="103"/>
      <c r="AG46" s="103"/>
      <c r="AH46" s="103"/>
      <c r="AI46" s="103"/>
      <c r="AJ46" s="428">
        <f t="shared" si="13"/>
        <v>0</v>
      </c>
      <c r="AK46" s="446"/>
      <c r="AL46" s="446"/>
      <c r="AM46" s="446"/>
      <c r="AN46" s="446"/>
      <c r="AO46" s="446"/>
      <c r="AP46" s="446"/>
      <c r="AQ46" s="446"/>
      <c r="AR46" s="431">
        <f t="shared" si="14"/>
        <v>0</v>
      </c>
      <c r="AS46" s="10" t="s">
        <v>428</v>
      </c>
      <c r="AT46" s="128"/>
      <c r="AU46" s="100" t="s">
        <v>537</v>
      </c>
      <c r="AV46" s="128" t="s">
        <v>532</v>
      </c>
      <c r="AW46" s="100" t="s">
        <v>568</v>
      </c>
      <c r="AX46" s="433">
        <f t="shared" si="15"/>
        <v>0</v>
      </c>
      <c r="AY46" s="433">
        <f t="shared" si="16"/>
        <v>0</v>
      </c>
      <c r="AZ46" s="433">
        <f t="shared" si="17"/>
        <v>0</v>
      </c>
      <c r="BA46" s="433">
        <f t="shared" si="3"/>
        <v>0</v>
      </c>
      <c r="BB46" s="433">
        <f t="shared" si="4"/>
        <v>0</v>
      </c>
      <c r="BC46" s="433">
        <f t="shared" si="5"/>
        <v>0</v>
      </c>
      <c r="BD46" s="433">
        <f t="shared" si="18"/>
        <v>0</v>
      </c>
      <c r="BE46" s="433">
        <f t="shared" si="19"/>
        <v>0</v>
      </c>
      <c r="BF46" s="433">
        <f t="shared" si="20"/>
        <v>0</v>
      </c>
      <c r="BG46" s="433">
        <f t="shared" si="21"/>
        <v>0</v>
      </c>
      <c r="BH46" s="433">
        <f t="shared" si="22"/>
        <v>0</v>
      </c>
      <c r="BI46" s="433">
        <f t="shared" si="23"/>
        <v>0</v>
      </c>
      <c r="BJ46" s="433">
        <f t="shared" si="24"/>
        <v>0</v>
      </c>
      <c r="BK46" s="433">
        <f t="shared" si="25"/>
        <v>0</v>
      </c>
      <c r="BL46" s="433">
        <f t="shared" si="26"/>
        <v>0</v>
      </c>
      <c r="BM46" s="433">
        <f t="shared" si="27"/>
        <v>0</v>
      </c>
      <c r="BN46" s="433">
        <f t="shared" si="28"/>
        <v>0</v>
      </c>
      <c r="BO46" s="433">
        <f t="shared" si="29"/>
        <v>0</v>
      </c>
      <c r="BP46" s="433">
        <f t="shared" si="30"/>
        <v>0</v>
      </c>
      <c r="BQ46" s="433">
        <f t="shared" si="31"/>
        <v>0</v>
      </c>
    </row>
    <row r="47" spans="1:69" x14ac:dyDescent="0.2">
      <c r="A47" s="102">
        <v>41803</v>
      </c>
      <c r="B47" s="319">
        <v>1</v>
      </c>
      <c r="C47" s="118" t="s">
        <v>429</v>
      </c>
      <c r="D47" s="111">
        <v>0.68333333333333324</v>
      </c>
      <c r="E47" s="111">
        <v>0.7597222222222223</v>
      </c>
      <c r="F47" s="444">
        <v>74</v>
      </c>
      <c r="G47" s="445">
        <v>8</v>
      </c>
      <c r="H47" s="444"/>
      <c r="I47" s="390"/>
      <c r="J47" s="426">
        <f t="shared" si="0"/>
        <v>110.00000000000026</v>
      </c>
      <c r="K47" s="103"/>
      <c r="L47" s="103"/>
      <c r="M47" s="103"/>
      <c r="N47" s="427">
        <f t="shared" si="1"/>
        <v>0</v>
      </c>
      <c r="O47" s="103"/>
      <c r="P47" s="103"/>
      <c r="Q47" s="103"/>
      <c r="R47" s="428">
        <f t="shared" si="2"/>
        <v>0</v>
      </c>
      <c r="S47" s="103"/>
      <c r="T47" s="103"/>
      <c r="U47" s="103"/>
      <c r="V47" s="125"/>
      <c r="W47" s="428">
        <f t="shared" si="10"/>
        <v>0</v>
      </c>
      <c r="X47" s="103"/>
      <c r="Y47" s="103"/>
      <c r="Z47" s="125"/>
      <c r="AA47" s="428">
        <f t="shared" si="11"/>
        <v>0</v>
      </c>
      <c r="AB47" s="103"/>
      <c r="AC47" s="103"/>
      <c r="AD47" s="103"/>
      <c r="AE47" s="428">
        <f t="shared" si="12"/>
        <v>0</v>
      </c>
      <c r="AF47" s="103"/>
      <c r="AG47" s="103"/>
      <c r="AH47" s="103"/>
      <c r="AI47" s="103"/>
      <c r="AJ47" s="428">
        <f t="shared" si="13"/>
        <v>0</v>
      </c>
      <c r="AK47" s="446"/>
      <c r="AL47" s="446"/>
      <c r="AM47" s="446"/>
      <c r="AN47" s="446"/>
      <c r="AO47" s="446"/>
      <c r="AP47" s="446"/>
      <c r="AQ47" s="446"/>
      <c r="AR47" s="431">
        <f t="shared" si="14"/>
        <v>0</v>
      </c>
      <c r="AT47" s="128" t="s">
        <v>430</v>
      </c>
      <c r="AU47" s="100" t="s">
        <v>554</v>
      </c>
      <c r="AV47" s="128" t="s">
        <v>532</v>
      </c>
      <c r="AW47" s="100" t="s">
        <v>568</v>
      </c>
      <c r="AX47" s="433">
        <f t="shared" si="15"/>
        <v>0</v>
      </c>
      <c r="AY47" s="433">
        <f t="shared" si="16"/>
        <v>0</v>
      </c>
      <c r="AZ47" s="433">
        <f t="shared" si="17"/>
        <v>0</v>
      </c>
      <c r="BA47" s="433">
        <f t="shared" si="3"/>
        <v>0</v>
      </c>
      <c r="BB47" s="433">
        <f t="shared" si="4"/>
        <v>0</v>
      </c>
      <c r="BC47" s="433">
        <f t="shared" si="5"/>
        <v>0</v>
      </c>
      <c r="BD47" s="433">
        <f t="shared" si="18"/>
        <v>0</v>
      </c>
      <c r="BE47" s="433">
        <f t="shared" si="19"/>
        <v>0</v>
      </c>
      <c r="BF47" s="433">
        <f t="shared" si="20"/>
        <v>0</v>
      </c>
      <c r="BG47" s="433">
        <f t="shared" si="21"/>
        <v>0</v>
      </c>
      <c r="BH47" s="433">
        <f t="shared" si="22"/>
        <v>0</v>
      </c>
      <c r="BI47" s="433">
        <f t="shared" si="23"/>
        <v>0</v>
      </c>
      <c r="BJ47" s="433">
        <f t="shared" si="24"/>
        <v>0</v>
      </c>
      <c r="BK47" s="433">
        <f t="shared" si="25"/>
        <v>0</v>
      </c>
      <c r="BL47" s="433">
        <f t="shared" si="26"/>
        <v>0</v>
      </c>
      <c r="BM47" s="433">
        <f t="shared" si="27"/>
        <v>0</v>
      </c>
      <c r="BN47" s="433">
        <f t="shared" si="28"/>
        <v>0</v>
      </c>
      <c r="BO47" s="433">
        <f t="shared" si="29"/>
        <v>0</v>
      </c>
      <c r="BP47" s="433">
        <f t="shared" si="30"/>
        <v>0</v>
      </c>
      <c r="BQ47" s="433">
        <f t="shared" si="31"/>
        <v>0</v>
      </c>
    </row>
    <row r="48" spans="1:69" x14ac:dyDescent="0.2">
      <c r="A48" s="102">
        <v>41803</v>
      </c>
      <c r="B48" s="319">
        <v>1</v>
      </c>
      <c r="C48" s="118" t="s">
        <v>422</v>
      </c>
      <c r="D48" s="111">
        <v>0.7597222222222223</v>
      </c>
      <c r="E48" s="111">
        <v>0.86111111111111116</v>
      </c>
      <c r="F48" s="444">
        <v>73</v>
      </c>
      <c r="G48" s="445">
        <v>7</v>
      </c>
      <c r="H48" s="444"/>
      <c r="I48" s="390"/>
      <c r="J48" s="426">
        <f t="shared" si="0"/>
        <v>145.99999999999997</v>
      </c>
      <c r="K48" s="103">
        <v>1</v>
      </c>
      <c r="L48" s="103"/>
      <c r="M48" s="103"/>
      <c r="N48" s="427">
        <f t="shared" si="1"/>
        <v>1</v>
      </c>
      <c r="O48" s="103"/>
      <c r="P48" s="103"/>
      <c r="Q48" s="103"/>
      <c r="R48" s="428">
        <f t="shared" si="2"/>
        <v>0</v>
      </c>
      <c r="S48" s="103"/>
      <c r="T48" s="103"/>
      <c r="U48" s="103"/>
      <c r="V48" s="125"/>
      <c r="W48" s="428">
        <f t="shared" si="10"/>
        <v>0</v>
      </c>
      <c r="X48" s="103"/>
      <c r="Y48" s="103"/>
      <c r="Z48" s="125"/>
      <c r="AA48" s="428">
        <f t="shared" si="11"/>
        <v>0</v>
      </c>
      <c r="AB48" s="103"/>
      <c r="AC48" s="103"/>
      <c r="AD48" s="103"/>
      <c r="AE48" s="428">
        <f t="shared" si="12"/>
        <v>0</v>
      </c>
      <c r="AF48" s="103"/>
      <c r="AG48" s="103"/>
      <c r="AH48" s="103"/>
      <c r="AI48" s="103"/>
      <c r="AJ48" s="428">
        <f t="shared" si="13"/>
        <v>0</v>
      </c>
      <c r="AK48" s="446"/>
      <c r="AL48" s="446"/>
      <c r="AM48" s="446"/>
      <c r="AN48" s="446"/>
      <c r="AO48" s="446"/>
      <c r="AP48" s="446"/>
      <c r="AQ48" s="446"/>
      <c r="AR48" s="431">
        <f t="shared" si="14"/>
        <v>0</v>
      </c>
      <c r="AS48" s="10" t="s">
        <v>431</v>
      </c>
      <c r="AT48" s="128" t="s">
        <v>432</v>
      </c>
      <c r="AU48" s="100" t="s">
        <v>543</v>
      </c>
      <c r="AV48" s="128" t="s">
        <v>532</v>
      </c>
      <c r="AW48" s="100" t="s">
        <v>568</v>
      </c>
      <c r="AX48" s="433">
        <f t="shared" si="15"/>
        <v>1</v>
      </c>
      <c r="AY48" s="433">
        <f t="shared" si="16"/>
        <v>0</v>
      </c>
      <c r="AZ48" s="433">
        <f t="shared" si="17"/>
        <v>0</v>
      </c>
      <c r="BA48" s="433">
        <f t="shared" si="3"/>
        <v>0</v>
      </c>
      <c r="BB48" s="433">
        <f t="shared" si="4"/>
        <v>0</v>
      </c>
      <c r="BC48" s="433">
        <f t="shared" si="5"/>
        <v>0</v>
      </c>
      <c r="BD48" s="433">
        <f t="shared" si="18"/>
        <v>0</v>
      </c>
      <c r="BE48" s="433">
        <f t="shared" si="19"/>
        <v>0</v>
      </c>
      <c r="BF48" s="433">
        <f t="shared" si="20"/>
        <v>0</v>
      </c>
      <c r="BG48" s="433">
        <f t="shared" si="21"/>
        <v>0</v>
      </c>
      <c r="BH48" s="433">
        <f t="shared" si="22"/>
        <v>0</v>
      </c>
      <c r="BI48" s="433">
        <f t="shared" si="23"/>
        <v>0</v>
      </c>
      <c r="BJ48" s="433">
        <f t="shared" si="24"/>
        <v>0</v>
      </c>
      <c r="BK48" s="433">
        <f t="shared" si="25"/>
        <v>0</v>
      </c>
      <c r="BL48" s="433">
        <f t="shared" si="26"/>
        <v>0</v>
      </c>
      <c r="BM48" s="433">
        <f t="shared" si="27"/>
        <v>0</v>
      </c>
      <c r="BN48" s="433">
        <f t="shared" si="28"/>
        <v>0</v>
      </c>
      <c r="BO48" s="433">
        <f t="shared" si="29"/>
        <v>0</v>
      </c>
      <c r="BP48" s="433">
        <f t="shared" si="30"/>
        <v>0</v>
      </c>
      <c r="BQ48" s="433">
        <f t="shared" si="31"/>
        <v>0</v>
      </c>
    </row>
    <row r="49" spans="1:69" x14ac:dyDescent="0.2">
      <c r="A49" s="102">
        <v>41803</v>
      </c>
      <c r="B49" s="319">
        <v>1</v>
      </c>
      <c r="C49" s="118" t="s">
        <v>433</v>
      </c>
      <c r="D49" s="111">
        <v>0.86111111111111116</v>
      </c>
      <c r="E49" s="111">
        <v>0.95347222222222217</v>
      </c>
      <c r="F49" s="444">
        <v>81</v>
      </c>
      <c r="G49" s="445">
        <v>7</v>
      </c>
      <c r="H49" s="444"/>
      <c r="I49" s="390"/>
      <c r="J49" s="426">
        <f t="shared" si="0"/>
        <v>132.99999999999986</v>
      </c>
      <c r="K49" s="103"/>
      <c r="L49" s="103"/>
      <c r="M49" s="103"/>
      <c r="N49" s="427">
        <f t="shared" si="1"/>
        <v>0</v>
      </c>
      <c r="O49" s="103"/>
      <c r="P49" s="103"/>
      <c r="Q49" s="103"/>
      <c r="R49" s="428">
        <f t="shared" si="2"/>
        <v>0</v>
      </c>
      <c r="S49" s="103"/>
      <c r="T49" s="103"/>
      <c r="U49" s="103"/>
      <c r="V49" s="125"/>
      <c r="W49" s="428">
        <f t="shared" si="10"/>
        <v>0</v>
      </c>
      <c r="X49" s="103"/>
      <c r="Y49" s="103"/>
      <c r="Z49" s="125"/>
      <c r="AA49" s="428">
        <f t="shared" si="11"/>
        <v>0</v>
      </c>
      <c r="AB49" s="103"/>
      <c r="AC49" s="103"/>
      <c r="AD49" s="103"/>
      <c r="AE49" s="428">
        <f t="shared" si="12"/>
        <v>0</v>
      </c>
      <c r="AF49" s="103"/>
      <c r="AG49" s="103"/>
      <c r="AH49" s="103"/>
      <c r="AI49" s="103"/>
      <c r="AJ49" s="428">
        <f t="shared" si="13"/>
        <v>0</v>
      </c>
      <c r="AK49" s="446"/>
      <c r="AL49" s="446"/>
      <c r="AM49" s="446"/>
      <c r="AN49" s="446"/>
      <c r="AO49" s="446"/>
      <c r="AP49" s="446"/>
      <c r="AQ49" s="446"/>
      <c r="AR49" s="431">
        <f t="shared" si="14"/>
        <v>0</v>
      </c>
      <c r="AT49" s="128" t="s">
        <v>434</v>
      </c>
      <c r="AU49" s="100" t="s">
        <v>549</v>
      </c>
      <c r="AV49" s="128" t="s">
        <v>532</v>
      </c>
      <c r="AW49" s="100" t="s">
        <v>568</v>
      </c>
      <c r="AX49" s="433">
        <f t="shared" si="15"/>
        <v>0</v>
      </c>
      <c r="AY49" s="433">
        <f t="shared" si="16"/>
        <v>0</v>
      </c>
      <c r="AZ49" s="433">
        <f t="shared" si="17"/>
        <v>0</v>
      </c>
      <c r="BA49" s="433">
        <f t="shared" si="3"/>
        <v>0</v>
      </c>
      <c r="BB49" s="433">
        <f t="shared" si="4"/>
        <v>0</v>
      </c>
      <c r="BC49" s="433">
        <f t="shared" si="5"/>
        <v>0</v>
      </c>
      <c r="BD49" s="433">
        <f t="shared" si="18"/>
        <v>0</v>
      </c>
      <c r="BE49" s="433">
        <f t="shared" si="19"/>
        <v>0</v>
      </c>
      <c r="BF49" s="433">
        <f t="shared" si="20"/>
        <v>0</v>
      </c>
      <c r="BG49" s="433">
        <f t="shared" si="21"/>
        <v>0</v>
      </c>
      <c r="BH49" s="433">
        <f t="shared" si="22"/>
        <v>0</v>
      </c>
      <c r="BI49" s="433">
        <f t="shared" si="23"/>
        <v>0</v>
      </c>
      <c r="BJ49" s="433">
        <f t="shared" si="24"/>
        <v>0</v>
      </c>
      <c r="BK49" s="433">
        <f t="shared" si="25"/>
        <v>0</v>
      </c>
      <c r="BL49" s="433">
        <f t="shared" si="26"/>
        <v>0</v>
      </c>
      <c r="BM49" s="433">
        <f t="shared" si="27"/>
        <v>0</v>
      </c>
      <c r="BN49" s="433">
        <f t="shared" si="28"/>
        <v>0</v>
      </c>
      <c r="BO49" s="433">
        <f t="shared" si="29"/>
        <v>0</v>
      </c>
      <c r="BP49" s="433">
        <f t="shared" si="30"/>
        <v>0</v>
      </c>
      <c r="BQ49" s="433">
        <f t="shared" si="31"/>
        <v>0</v>
      </c>
    </row>
    <row r="50" spans="1:69" x14ac:dyDescent="0.2">
      <c r="A50" s="102">
        <v>41803</v>
      </c>
      <c r="B50" s="319">
        <v>2</v>
      </c>
      <c r="C50" s="118" t="s">
        <v>422</v>
      </c>
      <c r="D50" s="111">
        <v>0.32500000000000001</v>
      </c>
      <c r="E50" s="111">
        <v>0.32847222222222222</v>
      </c>
      <c r="F50" s="444">
        <v>37</v>
      </c>
      <c r="G50" s="445">
        <v>7</v>
      </c>
      <c r="H50" s="444"/>
      <c r="I50" s="390"/>
      <c r="J50" s="426">
        <f t="shared" si="0"/>
        <v>4.9999999999999822</v>
      </c>
      <c r="K50" s="103"/>
      <c r="L50" s="103"/>
      <c r="M50" s="103"/>
      <c r="N50" s="427">
        <f t="shared" si="1"/>
        <v>0</v>
      </c>
      <c r="O50" s="103"/>
      <c r="P50" s="103"/>
      <c r="Q50" s="103"/>
      <c r="R50" s="428">
        <f t="shared" si="2"/>
        <v>0</v>
      </c>
      <c r="S50" s="103"/>
      <c r="T50" s="103"/>
      <c r="U50" s="103"/>
      <c r="V50" s="125"/>
      <c r="W50" s="428">
        <f t="shared" si="10"/>
        <v>0</v>
      </c>
      <c r="X50" s="103"/>
      <c r="Y50" s="103"/>
      <c r="Z50" s="125"/>
      <c r="AA50" s="428">
        <f t="shared" si="11"/>
        <v>0</v>
      </c>
      <c r="AB50" s="103"/>
      <c r="AC50" s="103"/>
      <c r="AD50" s="103"/>
      <c r="AE50" s="428">
        <f t="shared" si="12"/>
        <v>0</v>
      </c>
      <c r="AF50" s="103"/>
      <c r="AG50" s="103"/>
      <c r="AH50" s="103"/>
      <c r="AI50" s="103"/>
      <c r="AJ50" s="428">
        <f t="shared" si="13"/>
        <v>0</v>
      </c>
      <c r="AK50" s="446"/>
      <c r="AL50" s="446"/>
      <c r="AM50" s="446"/>
      <c r="AN50" s="446"/>
      <c r="AO50" s="446"/>
      <c r="AP50" s="446"/>
      <c r="AQ50" s="446"/>
      <c r="AR50" s="431">
        <f t="shared" si="14"/>
        <v>0</v>
      </c>
      <c r="AS50" s="10" t="s">
        <v>419</v>
      </c>
      <c r="AT50" s="128"/>
      <c r="AU50" s="100" t="s">
        <v>543</v>
      </c>
      <c r="AV50" s="128" t="s">
        <v>532</v>
      </c>
      <c r="AW50" s="100" t="s">
        <v>568</v>
      </c>
      <c r="AX50" s="433">
        <f t="shared" si="15"/>
        <v>0</v>
      </c>
      <c r="AY50" s="433">
        <f t="shared" si="16"/>
        <v>0</v>
      </c>
      <c r="AZ50" s="433">
        <f t="shared" si="17"/>
        <v>0</v>
      </c>
      <c r="BA50" s="433">
        <f t="shared" si="3"/>
        <v>0</v>
      </c>
      <c r="BB50" s="433">
        <f t="shared" si="4"/>
        <v>0</v>
      </c>
      <c r="BC50" s="433">
        <f t="shared" si="5"/>
        <v>0</v>
      </c>
      <c r="BD50" s="433">
        <f t="shared" si="18"/>
        <v>0</v>
      </c>
      <c r="BE50" s="433">
        <f t="shared" si="19"/>
        <v>0</v>
      </c>
      <c r="BF50" s="433">
        <f t="shared" si="20"/>
        <v>0</v>
      </c>
      <c r="BG50" s="433">
        <f t="shared" si="21"/>
        <v>0</v>
      </c>
      <c r="BH50" s="433">
        <f t="shared" si="22"/>
        <v>0</v>
      </c>
      <c r="BI50" s="433">
        <f t="shared" si="23"/>
        <v>0</v>
      </c>
      <c r="BJ50" s="433">
        <f t="shared" si="24"/>
        <v>0</v>
      </c>
      <c r="BK50" s="433">
        <f t="shared" si="25"/>
        <v>0</v>
      </c>
      <c r="BL50" s="433">
        <f t="shared" si="26"/>
        <v>0</v>
      </c>
      <c r="BM50" s="433">
        <f t="shared" si="27"/>
        <v>0</v>
      </c>
      <c r="BN50" s="433">
        <f t="shared" si="28"/>
        <v>0</v>
      </c>
      <c r="BO50" s="433">
        <f t="shared" si="29"/>
        <v>0</v>
      </c>
      <c r="BP50" s="433">
        <f t="shared" si="30"/>
        <v>0</v>
      </c>
      <c r="BQ50" s="433">
        <f t="shared" si="31"/>
        <v>0</v>
      </c>
    </row>
    <row r="51" spans="1:69" x14ac:dyDescent="0.2">
      <c r="A51" s="102">
        <v>41803</v>
      </c>
      <c r="B51" s="319">
        <v>2</v>
      </c>
      <c r="C51" s="118" t="s">
        <v>420</v>
      </c>
      <c r="D51" s="111">
        <v>0.32847222222222222</v>
      </c>
      <c r="E51" s="111">
        <v>0.43055555555555558</v>
      </c>
      <c r="F51" s="444">
        <v>38</v>
      </c>
      <c r="G51" s="445">
        <v>7</v>
      </c>
      <c r="H51" s="444"/>
      <c r="I51" s="390"/>
      <c r="J51" s="426">
        <f t="shared" si="0"/>
        <v>147.00000000000003</v>
      </c>
      <c r="K51" s="103">
        <v>1</v>
      </c>
      <c r="L51" s="103"/>
      <c r="M51" s="103"/>
      <c r="N51" s="427">
        <f t="shared" si="1"/>
        <v>1</v>
      </c>
      <c r="O51" s="103"/>
      <c r="P51" s="103"/>
      <c r="Q51" s="103"/>
      <c r="R51" s="428">
        <f t="shared" si="2"/>
        <v>0</v>
      </c>
      <c r="S51" s="103"/>
      <c r="T51" s="103"/>
      <c r="U51" s="103"/>
      <c r="V51" s="125"/>
      <c r="W51" s="428">
        <f t="shared" si="10"/>
        <v>0</v>
      </c>
      <c r="X51" s="103"/>
      <c r="Y51" s="103"/>
      <c r="Z51" s="125"/>
      <c r="AA51" s="428">
        <f t="shared" si="11"/>
        <v>0</v>
      </c>
      <c r="AB51" s="103"/>
      <c r="AC51" s="103"/>
      <c r="AD51" s="103"/>
      <c r="AE51" s="428">
        <f t="shared" si="12"/>
        <v>0</v>
      </c>
      <c r="AF51" s="103"/>
      <c r="AG51" s="103"/>
      <c r="AH51" s="103"/>
      <c r="AI51" s="103"/>
      <c r="AJ51" s="428">
        <f t="shared" si="13"/>
        <v>0</v>
      </c>
      <c r="AK51" s="446"/>
      <c r="AL51" s="446"/>
      <c r="AM51" s="446"/>
      <c r="AN51" s="446"/>
      <c r="AO51" s="446"/>
      <c r="AP51" s="446"/>
      <c r="AQ51" s="446"/>
      <c r="AR51" s="431">
        <f t="shared" si="14"/>
        <v>0</v>
      </c>
      <c r="AT51" s="128" t="s">
        <v>435</v>
      </c>
      <c r="AU51" s="100" t="s">
        <v>553</v>
      </c>
      <c r="AV51" s="128" t="s">
        <v>532</v>
      </c>
      <c r="AW51" s="100" t="s">
        <v>568</v>
      </c>
      <c r="AX51" s="433">
        <f t="shared" si="15"/>
        <v>1</v>
      </c>
      <c r="AY51" s="433">
        <f t="shared" si="16"/>
        <v>0</v>
      </c>
      <c r="AZ51" s="433">
        <f t="shared" si="17"/>
        <v>0</v>
      </c>
      <c r="BA51" s="433">
        <f t="shared" si="3"/>
        <v>0</v>
      </c>
      <c r="BB51" s="433">
        <f t="shared" si="4"/>
        <v>0</v>
      </c>
      <c r="BC51" s="433">
        <f t="shared" si="5"/>
        <v>0</v>
      </c>
      <c r="BD51" s="433">
        <f t="shared" si="18"/>
        <v>0</v>
      </c>
      <c r="BE51" s="433">
        <f t="shared" si="19"/>
        <v>0</v>
      </c>
      <c r="BF51" s="433">
        <f t="shared" si="20"/>
        <v>0</v>
      </c>
      <c r="BG51" s="433">
        <f t="shared" si="21"/>
        <v>0</v>
      </c>
      <c r="BH51" s="433">
        <f t="shared" si="22"/>
        <v>0</v>
      </c>
      <c r="BI51" s="433">
        <f t="shared" si="23"/>
        <v>0</v>
      </c>
      <c r="BJ51" s="433">
        <f t="shared" si="24"/>
        <v>0</v>
      </c>
      <c r="BK51" s="433">
        <f t="shared" si="25"/>
        <v>0</v>
      </c>
      <c r="BL51" s="433">
        <f t="shared" si="26"/>
        <v>0</v>
      </c>
      <c r="BM51" s="433">
        <f t="shared" si="27"/>
        <v>0</v>
      </c>
      <c r="BN51" s="433">
        <f t="shared" si="28"/>
        <v>0</v>
      </c>
      <c r="BO51" s="433">
        <f t="shared" si="29"/>
        <v>0</v>
      </c>
      <c r="BP51" s="433">
        <f t="shared" si="30"/>
        <v>0</v>
      </c>
      <c r="BQ51" s="433">
        <f t="shared" si="31"/>
        <v>0</v>
      </c>
    </row>
    <row r="52" spans="1:69" x14ac:dyDescent="0.2">
      <c r="A52" s="102">
        <v>41803</v>
      </c>
      <c r="B52" s="319">
        <v>2</v>
      </c>
      <c r="C52" s="118" t="s">
        <v>422</v>
      </c>
      <c r="D52" s="111">
        <v>0.43055555555555558</v>
      </c>
      <c r="E52" s="111">
        <v>0.51874999999999993</v>
      </c>
      <c r="F52" s="444">
        <v>39</v>
      </c>
      <c r="G52" s="445">
        <v>6</v>
      </c>
      <c r="H52" s="444"/>
      <c r="I52" s="390"/>
      <c r="J52" s="426">
        <f t="shared" si="0"/>
        <v>126.99999999999987</v>
      </c>
      <c r="K52" s="103"/>
      <c r="L52" s="103"/>
      <c r="M52" s="103"/>
      <c r="N52" s="427">
        <f t="shared" si="1"/>
        <v>0</v>
      </c>
      <c r="O52" s="103"/>
      <c r="P52" s="103"/>
      <c r="Q52" s="103"/>
      <c r="R52" s="428">
        <f t="shared" si="2"/>
        <v>0</v>
      </c>
      <c r="S52" s="103"/>
      <c r="T52" s="103"/>
      <c r="U52" s="103"/>
      <c r="V52" s="125"/>
      <c r="W52" s="428">
        <f t="shared" si="10"/>
        <v>0</v>
      </c>
      <c r="X52" s="103"/>
      <c r="Y52" s="103"/>
      <c r="Z52" s="125"/>
      <c r="AA52" s="428">
        <f t="shared" si="11"/>
        <v>0</v>
      </c>
      <c r="AB52" s="103"/>
      <c r="AC52" s="103"/>
      <c r="AD52" s="103"/>
      <c r="AE52" s="428">
        <f t="shared" si="12"/>
        <v>0</v>
      </c>
      <c r="AF52" s="103"/>
      <c r="AG52" s="103"/>
      <c r="AH52" s="103"/>
      <c r="AI52" s="103"/>
      <c r="AJ52" s="428">
        <f t="shared" si="13"/>
        <v>0</v>
      </c>
      <c r="AK52" s="446"/>
      <c r="AL52" s="446"/>
      <c r="AM52" s="446"/>
      <c r="AN52" s="446"/>
      <c r="AO52" s="446"/>
      <c r="AP52" s="446"/>
      <c r="AQ52" s="446"/>
      <c r="AR52" s="431">
        <f t="shared" si="14"/>
        <v>0</v>
      </c>
      <c r="AS52" s="10" t="s">
        <v>436</v>
      </c>
      <c r="AT52" s="128" t="s">
        <v>424</v>
      </c>
      <c r="AU52" s="100" t="s">
        <v>543</v>
      </c>
      <c r="AV52" s="128" t="s">
        <v>532</v>
      </c>
      <c r="AW52" s="100" t="s">
        <v>568</v>
      </c>
      <c r="AX52" s="433">
        <f t="shared" si="15"/>
        <v>0</v>
      </c>
      <c r="AY52" s="433">
        <f t="shared" si="16"/>
        <v>0</v>
      </c>
      <c r="AZ52" s="433">
        <f t="shared" si="17"/>
        <v>0</v>
      </c>
      <c r="BA52" s="433">
        <f t="shared" si="3"/>
        <v>0</v>
      </c>
      <c r="BB52" s="433">
        <f t="shared" si="4"/>
        <v>0</v>
      </c>
      <c r="BC52" s="433">
        <f t="shared" si="5"/>
        <v>0</v>
      </c>
      <c r="BD52" s="433">
        <f t="shared" si="18"/>
        <v>0</v>
      </c>
      <c r="BE52" s="433">
        <f t="shared" si="19"/>
        <v>0</v>
      </c>
      <c r="BF52" s="433">
        <f t="shared" si="20"/>
        <v>0</v>
      </c>
      <c r="BG52" s="433">
        <f t="shared" si="21"/>
        <v>0</v>
      </c>
      <c r="BH52" s="433">
        <f t="shared" si="22"/>
        <v>0</v>
      </c>
      <c r="BI52" s="433">
        <f t="shared" si="23"/>
        <v>0</v>
      </c>
      <c r="BJ52" s="433">
        <f t="shared" si="24"/>
        <v>0</v>
      </c>
      <c r="BK52" s="433">
        <f t="shared" si="25"/>
        <v>0</v>
      </c>
      <c r="BL52" s="433">
        <f t="shared" si="26"/>
        <v>0</v>
      </c>
      <c r="BM52" s="433">
        <f t="shared" si="27"/>
        <v>0</v>
      </c>
      <c r="BN52" s="433">
        <f t="shared" si="28"/>
        <v>0</v>
      </c>
      <c r="BO52" s="433">
        <f t="shared" si="29"/>
        <v>0</v>
      </c>
      <c r="BP52" s="433">
        <f t="shared" si="30"/>
        <v>0</v>
      </c>
      <c r="BQ52" s="433">
        <f t="shared" si="31"/>
        <v>0</v>
      </c>
    </row>
    <row r="53" spans="1:69" x14ac:dyDescent="0.2">
      <c r="A53" s="102">
        <v>41803</v>
      </c>
      <c r="B53" s="319">
        <v>2</v>
      </c>
      <c r="C53" s="118" t="s">
        <v>437</v>
      </c>
      <c r="D53" s="111">
        <v>0.51874999999999993</v>
      </c>
      <c r="E53" s="111">
        <v>0.58333333333333337</v>
      </c>
      <c r="F53" s="444">
        <v>37</v>
      </c>
      <c r="G53" s="445">
        <v>7</v>
      </c>
      <c r="H53" s="444"/>
      <c r="I53" s="390"/>
      <c r="J53" s="426">
        <f t="shared" si="0"/>
        <v>93.000000000000142</v>
      </c>
      <c r="K53" s="103"/>
      <c r="L53" s="103"/>
      <c r="M53" s="103"/>
      <c r="N53" s="427">
        <f t="shared" si="1"/>
        <v>0</v>
      </c>
      <c r="O53" s="103"/>
      <c r="P53" s="103"/>
      <c r="Q53" s="103"/>
      <c r="R53" s="428">
        <f t="shared" si="2"/>
        <v>0</v>
      </c>
      <c r="S53" s="103"/>
      <c r="T53" s="103"/>
      <c r="U53" s="103"/>
      <c r="V53" s="125"/>
      <c r="W53" s="428">
        <f t="shared" si="10"/>
        <v>0</v>
      </c>
      <c r="X53" s="103"/>
      <c r="Y53" s="103"/>
      <c r="Z53" s="125"/>
      <c r="AA53" s="428">
        <f t="shared" si="11"/>
        <v>0</v>
      </c>
      <c r="AB53" s="103"/>
      <c r="AC53" s="103"/>
      <c r="AD53" s="103"/>
      <c r="AE53" s="428">
        <f t="shared" si="12"/>
        <v>0</v>
      </c>
      <c r="AF53" s="103"/>
      <c r="AG53" s="103"/>
      <c r="AH53" s="103"/>
      <c r="AI53" s="103"/>
      <c r="AJ53" s="428">
        <f t="shared" si="13"/>
        <v>0</v>
      </c>
      <c r="AK53" s="446"/>
      <c r="AL53" s="446"/>
      <c r="AM53" s="446"/>
      <c r="AN53" s="446"/>
      <c r="AO53" s="446"/>
      <c r="AP53" s="446"/>
      <c r="AQ53" s="446"/>
      <c r="AR53" s="431">
        <f t="shared" si="14"/>
        <v>0</v>
      </c>
      <c r="AS53" s="10" t="s">
        <v>438</v>
      </c>
      <c r="AT53" s="128"/>
      <c r="AU53" s="100" t="s">
        <v>551</v>
      </c>
      <c r="AV53" s="128" t="s">
        <v>532</v>
      </c>
      <c r="AW53" s="100" t="s">
        <v>568</v>
      </c>
      <c r="AX53" s="433">
        <f t="shared" si="15"/>
        <v>0</v>
      </c>
      <c r="AY53" s="433">
        <f t="shared" si="16"/>
        <v>0</v>
      </c>
      <c r="AZ53" s="433">
        <f t="shared" si="17"/>
        <v>0</v>
      </c>
      <c r="BA53" s="433">
        <f t="shared" si="3"/>
        <v>0</v>
      </c>
      <c r="BB53" s="433">
        <f t="shared" si="4"/>
        <v>0</v>
      </c>
      <c r="BC53" s="433">
        <f t="shared" si="5"/>
        <v>0</v>
      </c>
      <c r="BD53" s="433">
        <f t="shared" si="18"/>
        <v>0</v>
      </c>
      <c r="BE53" s="433">
        <f t="shared" si="19"/>
        <v>0</v>
      </c>
      <c r="BF53" s="433">
        <f t="shared" si="20"/>
        <v>0</v>
      </c>
      <c r="BG53" s="433">
        <f t="shared" si="21"/>
        <v>0</v>
      </c>
      <c r="BH53" s="433">
        <f t="shared" si="22"/>
        <v>0</v>
      </c>
      <c r="BI53" s="433">
        <f t="shared" si="23"/>
        <v>0</v>
      </c>
      <c r="BJ53" s="433">
        <f t="shared" si="24"/>
        <v>0</v>
      </c>
      <c r="BK53" s="433">
        <f t="shared" si="25"/>
        <v>0</v>
      </c>
      <c r="BL53" s="433">
        <f t="shared" si="26"/>
        <v>0</v>
      </c>
      <c r="BM53" s="433">
        <f t="shared" si="27"/>
        <v>0</v>
      </c>
      <c r="BN53" s="433">
        <f t="shared" si="28"/>
        <v>0</v>
      </c>
      <c r="BO53" s="433">
        <f t="shared" si="29"/>
        <v>0</v>
      </c>
      <c r="BP53" s="433">
        <f t="shared" si="30"/>
        <v>0</v>
      </c>
      <c r="BQ53" s="433">
        <f t="shared" si="31"/>
        <v>0</v>
      </c>
    </row>
    <row r="54" spans="1:69" x14ac:dyDescent="0.2">
      <c r="A54" s="102">
        <v>41803</v>
      </c>
      <c r="B54" s="319">
        <v>2</v>
      </c>
      <c r="C54" s="118" t="s">
        <v>353</v>
      </c>
      <c r="D54" s="111">
        <v>0.58333333333333337</v>
      </c>
      <c r="E54" s="111">
        <v>0.66319444444444442</v>
      </c>
      <c r="F54" s="444">
        <v>36</v>
      </c>
      <c r="G54" s="445">
        <v>6</v>
      </c>
      <c r="H54" s="444"/>
      <c r="I54" s="390"/>
      <c r="J54" s="426">
        <f t="shared" si="0"/>
        <v>114.99999999999991</v>
      </c>
      <c r="K54" s="103">
        <v>1</v>
      </c>
      <c r="L54" s="103"/>
      <c r="M54" s="103"/>
      <c r="N54" s="427">
        <f t="shared" si="1"/>
        <v>1</v>
      </c>
      <c r="O54" s="103">
        <v>1</v>
      </c>
      <c r="P54" s="103"/>
      <c r="Q54" s="103"/>
      <c r="R54" s="428">
        <f t="shared" si="2"/>
        <v>1</v>
      </c>
      <c r="S54" s="103"/>
      <c r="T54" s="103"/>
      <c r="U54" s="103"/>
      <c r="V54" s="125"/>
      <c r="W54" s="428">
        <f t="shared" si="10"/>
        <v>0</v>
      </c>
      <c r="X54" s="103"/>
      <c r="Y54" s="103"/>
      <c r="Z54" s="125"/>
      <c r="AA54" s="428">
        <f t="shared" si="11"/>
        <v>0</v>
      </c>
      <c r="AB54" s="103"/>
      <c r="AC54" s="103"/>
      <c r="AD54" s="103"/>
      <c r="AE54" s="428">
        <f t="shared" si="12"/>
        <v>0</v>
      </c>
      <c r="AF54" s="103"/>
      <c r="AG54" s="103"/>
      <c r="AH54" s="103"/>
      <c r="AI54" s="103"/>
      <c r="AJ54" s="428">
        <f t="shared" si="13"/>
        <v>0</v>
      </c>
      <c r="AK54" s="446"/>
      <c r="AL54" s="446"/>
      <c r="AM54" s="446"/>
      <c r="AN54" s="446"/>
      <c r="AO54" s="446"/>
      <c r="AP54" s="446"/>
      <c r="AQ54" s="446"/>
      <c r="AR54" s="431">
        <f t="shared" si="14"/>
        <v>0</v>
      </c>
      <c r="AS54" s="10" t="s">
        <v>439</v>
      </c>
      <c r="AT54" s="128"/>
      <c r="AU54" s="100" t="s">
        <v>549</v>
      </c>
      <c r="AV54" s="128" t="s">
        <v>532</v>
      </c>
      <c r="AW54" s="100" t="s">
        <v>568</v>
      </c>
      <c r="AX54" s="433">
        <f t="shared" si="15"/>
        <v>1</v>
      </c>
      <c r="AY54" s="433">
        <f t="shared" si="16"/>
        <v>0</v>
      </c>
      <c r="AZ54" s="433">
        <f t="shared" si="17"/>
        <v>0</v>
      </c>
      <c r="BA54" s="433">
        <f t="shared" si="3"/>
        <v>1</v>
      </c>
      <c r="BB54" s="433">
        <f t="shared" si="4"/>
        <v>0</v>
      </c>
      <c r="BC54" s="433">
        <f t="shared" si="5"/>
        <v>0</v>
      </c>
      <c r="BD54" s="433">
        <f t="shared" si="18"/>
        <v>0</v>
      </c>
      <c r="BE54" s="433">
        <f t="shared" si="19"/>
        <v>0</v>
      </c>
      <c r="BF54" s="433">
        <f t="shared" si="20"/>
        <v>0</v>
      </c>
      <c r="BG54" s="433">
        <f t="shared" si="21"/>
        <v>0</v>
      </c>
      <c r="BH54" s="433">
        <f t="shared" si="22"/>
        <v>0</v>
      </c>
      <c r="BI54" s="433">
        <f t="shared" si="23"/>
        <v>0</v>
      </c>
      <c r="BJ54" s="433">
        <f t="shared" si="24"/>
        <v>0</v>
      </c>
      <c r="BK54" s="433">
        <f t="shared" si="25"/>
        <v>0</v>
      </c>
      <c r="BL54" s="433">
        <f t="shared" si="26"/>
        <v>0</v>
      </c>
      <c r="BM54" s="433">
        <f t="shared" si="27"/>
        <v>0</v>
      </c>
      <c r="BN54" s="433">
        <f t="shared" si="28"/>
        <v>0</v>
      </c>
      <c r="BO54" s="433">
        <f t="shared" si="29"/>
        <v>0</v>
      </c>
      <c r="BP54" s="433">
        <f t="shared" si="30"/>
        <v>0</v>
      </c>
      <c r="BQ54" s="433">
        <f t="shared" si="31"/>
        <v>0</v>
      </c>
    </row>
    <row r="55" spans="1:69" x14ac:dyDescent="0.2">
      <c r="A55" s="102">
        <v>41803</v>
      </c>
      <c r="B55" s="319">
        <v>2</v>
      </c>
      <c r="C55" s="118" t="s">
        <v>440</v>
      </c>
      <c r="D55" s="111">
        <v>0.66319444444444442</v>
      </c>
      <c r="E55" s="111">
        <v>0.75069444444444444</v>
      </c>
      <c r="F55" s="444">
        <v>38</v>
      </c>
      <c r="G55" s="445">
        <v>7</v>
      </c>
      <c r="H55" s="444"/>
      <c r="I55" s="390"/>
      <c r="J55" s="426">
        <f t="shared" si="0"/>
        <v>126.00000000000003</v>
      </c>
      <c r="K55" s="103"/>
      <c r="L55" s="103"/>
      <c r="M55" s="103"/>
      <c r="N55" s="427">
        <f t="shared" si="1"/>
        <v>0</v>
      </c>
      <c r="O55" s="103"/>
      <c r="P55" s="103"/>
      <c r="Q55" s="103"/>
      <c r="R55" s="428">
        <f t="shared" si="2"/>
        <v>0</v>
      </c>
      <c r="S55" s="103"/>
      <c r="T55" s="103"/>
      <c r="U55" s="103"/>
      <c r="V55" s="125"/>
      <c r="W55" s="428">
        <f t="shared" si="10"/>
        <v>0</v>
      </c>
      <c r="X55" s="103"/>
      <c r="Y55" s="103"/>
      <c r="Z55" s="125"/>
      <c r="AA55" s="428">
        <f t="shared" si="11"/>
        <v>0</v>
      </c>
      <c r="AB55" s="103"/>
      <c r="AC55" s="103"/>
      <c r="AD55" s="103"/>
      <c r="AE55" s="428">
        <f t="shared" si="12"/>
        <v>0</v>
      </c>
      <c r="AF55" s="103"/>
      <c r="AG55" s="103"/>
      <c r="AH55" s="103"/>
      <c r="AI55" s="103"/>
      <c r="AJ55" s="428">
        <f t="shared" si="13"/>
        <v>0</v>
      </c>
      <c r="AK55" s="446"/>
      <c r="AL55" s="446"/>
      <c r="AM55" s="446"/>
      <c r="AN55" s="446"/>
      <c r="AO55" s="446"/>
      <c r="AP55" s="446"/>
      <c r="AQ55" s="446"/>
      <c r="AR55" s="431">
        <f t="shared" si="14"/>
        <v>0</v>
      </c>
      <c r="AT55" s="128" t="s">
        <v>441</v>
      </c>
      <c r="AU55" s="100" t="s">
        <v>553</v>
      </c>
      <c r="AV55" s="128" t="s">
        <v>532</v>
      </c>
      <c r="AW55" s="100" t="s">
        <v>568</v>
      </c>
      <c r="AX55" s="433">
        <f t="shared" si="15"/>
        <v>0</v>
      </c>
      <c r="AY55" s="433">
        <f t="shared" si="16"/>
        <v>0</v>
      </c>
      <c r="AZ55" s="433">
        <f t="shared" si="17"/>
        <v>0</v>
      </c>
      <c r="BA55" s="433">
        <f t="shared" si="3"/>
        <v>0</v>
      </c>
      <c r="BB55" s="433">
        <f t="shared" si="4"/>
        <v>0</v>
      </c>
      <c r="BC55" s="433">
        <f t="shared" si="5"/>
        <v>0</v>
      </c>
      <c r="BD55" s="433">
        <f t="shared" si="18"/>
        <v>0</v>
      </c>
      <c r="BE55" s="433">
        <f t="shared" si="19"/>
        <v>0</v>
      </c>
      <c r="BF55" s="433">
        <f t="shared" si="20"/>
        <v>0</v>
      </c>
      <c r="BG55" s="433">
        <f t="shared" si="21"/>
        <v>0</v>
      </c>
      <c r="BH55" s="433">
        <f t="shared" si="22"/>
        <v>0</v>
      </c>
      <c r="BI55" s="433">
        <f t="shared" si="23"/>
        <v>0</v>
      </c>
      <c r="BJ55" s="433">
        <f t="shared" si="24"/>
        <v>0</v>
      </c>
      <c r="BK55" s="433">
        <f t="shared" si="25"/>
        <v>0</v>
      </c>
      <c r="BL55" s="433">
        <f t="shared" si="26"/>
        <v>0</v>
      </c>
      <c r="BM55" s="433">
        <f t="shared" si="27"/>
        <v>0</v>
      </c>
      <c r="BN55" s="433">
        <f t="shared" si="28"/>
        <v>0</v>
      </c>
      <c r="BO55" s="433">
        <f t="shared" si="29"/>
        <v>0</v>
      </c>
      <c r="BP55" s="433">
        <f t="shared" si="30"/>
        <v>0</v>
      </c>
      <c r="BQ55" s="433">
        <f t="shared" si="31"/>
        <v>0</v>
      </c>
    </row>
    <row r="56" spans="1:69" x14ac:dyDescent="0.2">
      <c r="A56" s="102">
        <v>41803</v>
      </c>
      <c r="B56" s="319">
        <v>2</v>
      </c>
      <c r="C56" s="118" t="s">
        <v>422</v>
      </c>
      <c r="D56" s="111">
        <v>0.75069444444444444</v>
      </c>
      <c r="E56" s="111">
        <v>0.84375</v>
      </c>
      <c r="F56" s="444">
        <v>42</v>
      </c>
      <c r="G56" s="445">
        <v>6</v>
      </c>
      <c r="H56" s="444"/>
      <c r="I56" s="390"/>
      <c r="J56" s="426">
        <f t="shared" si="0"/>
        <v>134</v>
      </c>
      <c r="K56" s="103">
        <v>1</v>
      </c>
      <c r="L56" s="103"/>
      <c r="M56" s="103"/>
      <c r="N56" s="427">
        <f t="shared" si="1"/>
        <v>1</v>
      </c>
      <c r="O56" s="103"/>
      <c r="P56" s="103"/>
      <c r="Q56" s="103"/>
      <c r="R56" s="428">
        <f t="shared" si="2"/>
        <v>0</v>
      </c>
      <c r="S56" s="103"/>
      <c r="T56" s="103"/>
      <c r="U56" s="103"/>
      <c r="V56" s="125"/>
      <c r="W56" s="428">
        <f t="shared" si="10"/>
        <v>0</v>
      </c>
      <c r="X56" s="103"/>
      <c r="Y56" s="103"/>
      <c r="Z56" s="125"/>
      <c r="AA56" s="428">
        <f t="shared" si="11"/>
        <v>0</v>
      </c>
      <c r="AB56" s="103"/>
      <c r="AC56" s="103"/>
      <c r="AD56" s="103"/>
      <c r="AE56" s="428">
        <f t="shared" si="12"/>
        <v>0</v>
      </c>
      <c r="AF56" s="103"/>
      <c r="AG56" s="103"/>
      <c r="AH56" s="103"/>
      <c r="AI56" s="103"/>
      <c r="AJ56" s="428">
        <f t="shared" si="13"/>
        <v>0</v>
      </c>
      <c r="AK56" s="446"/>
      <c r="AL56" s="446"/>
      <c r="AM56" s="446"/>
      <c r="AN56" s="446"/>
      <c r="AO56" s="446"/>
      <c r="AP56" s="446"/>
      <c r="AQ56" s="446"/>
      <c r="AR56" s="431">
        <f t="shared" si="14"/>
        <v>0</v>
      </c>
      <c r="AS56" s="10" t="s">
        <v>442</v>
      </c>
      <c r="AT56" s="128" t="s">
        <v>432</v>
      </c>
      <c r="AU56" s="100" t="s">
        <v>394</v>
      </c>
      <c r="AV56" s="128" t="s">
        <v>532</v>
      </c>
      <c r="AW56" s="100" t="s">
        <v>568</v>
      </c>
      <c r="AX56" s="433">
        <f t="shared" si="15"/>
        <v>1</v>
      </c>
      <c r="AY56" s="433">
        <f t="shared" si="16"/>
        <v>0</v>
      </c>
      <c r="AZ56" s="433">
        <f t="shared" si="17"/>
        <v>0</v>
      </c>
      <c r="BA56" s="433">
        <f t="shared" si="3"/>
        <v>0</v>
      </c>
      <c r="BB56" s="433">
        <f t="shared" si="4"/>
        <v>0</v>
      </c>
      <c r="BC56" s="433">
        <f t="shared" si="5"/>
        <v>0</v>
      </c>
      <c r="BD56" s="433">
        <f t="shared" si="18"/>
        <v>0</v>
      </c>
      <c r="BE56" s="433">
        <f t="shared" si="19"/>
        <v>0</v>
      </c>
      <c r="BF56" s="433">
        <f t="shared" si="20"/>
        <v>0</v>
      </c>
      <c r="BG56" s="433">
        <f t="shared" si="21"/>
        <v>0</v>
      </c>
      <c r="BH56" s="433">
        <f t="shared" si="22"/>
        <v>0</v>
      </c>
      <c r="BI56" s="433">
        <f t="shared" si="23"/>
        <v>0</v>
      </c>
      <c r="BJ56" s="433">
        <f t="shared" si="24"/>
        <v>0</v>
      </c>
      <c r="BK56" s="433">
        <f t="shared" si="25"/>
        <v>0</v>
      </c>
      <c r="BL56" s="433">
        <f t="shared" si="26"/>
        <v>0</v>
      </c>
      <c r="BM56" s="433">
        <f t="shared" si="27"/>
        <v>0</v>
      </c>
      <c r="BN56" s="433">
        <f t="shared" si="28"/>
        <v>0</v>
      </c>
      <c r="BO56" s="433">
        <f t="shared" si="29"/>
        <v>0</v>
      </c>
      <c r="BP56" s="433">
        <f t="shared" si="30"/>
        <v>0</v>
      </c>
      <c r="BQ56" s="433">
        <f t="shared" si="31"/>
        <v>0</v>
      </c>
    </row>
    <row r="57" spans="1:69" x14ac:dyDescent="0.2">
      <c r="A57" s="102">
        <v>41803</v>
      </c>
      <c r="B57" s="319">
        <v>2</v>
      </c>
      <c r="C57" s="118" t="s">
        <v>433</v>
      </c>
      <c r="D57" s="111">
        <v>0.84375</v>
      </c>
      <c r="E57" s="111">
        <v>0.94513888888888886</v>
      </c>
      <c r="F57" s="444">
        <v>40</v>
      </c>
      <c r="G57" s="445">
        <v>6</v>
      </c>
      <c r="H57" s="444"/>
      <c r="I57" s="390"/>
      <c r="J57" s="426">
        <f t="shared" si="0"/>
        <v>145.99999999999997</v>
      </c>
      <c r="K57" s="103"/>
      <c r="L57" s="103"/>
      <c r="M57" s="103"/>
      <c r="N57" s="427">
        <f t="shared" si="1"/>
        <v>0</v>
      </c>
      <c r="O57" s="103"/>
      <c r="P57" s="103"/>
      <c r="Q57" s="103"/>
      <c r="R57" s="428">
        <f t="shared" si="2"/>
        <v>0</v>
      </c>
      <c r="S57" s="103"/>
      <c r="T57" s="103"/>
      <c r="U57" s="103"/>
      <c r="V57" s="125"/>
      <c r="W57" s="428">
        <f t="shared" si="10"/>
        <v>0</v>
      </c>
      <c r="X57" s="103"/>
      <c r="Y57" s="103"/>
      <c r="Z57" s="125"/>
      <c r="AA57" s="428">
        <f t="shared" si="11"/>
        <v>0</v>
      </c>
      <c r="AB57" s="103"/>
      <c r="AC57" s="103"/>
      <c r="AD57" s="103"/>
      <c r="AE57" s="428">
        <f t="shared" si="12"/>
        <v>0</v>
      </c>
      <c r="AF57" s="103"/>
      <c r="AG57" s="103"/>
      <c r="AH57" s="103"/>
      <c r="AI57" s="103"/>
      <c r="AJ57" s="428">
        <f t="shared" si="13"/>
        <v>0</v>
      </c>
      <c r="AK57" s="446"/>
      <c r="AL57" s="446"/>
      <c r="AM57" s="446"/>
      <c r="AN57" s="446"/>
      <c r="AO57" s="446"/>
      <c r="AP57" s="446"/>
      <c r="AQ57" s="446"/>
      <c r="AR57" s="431">
        <f t="shared" si="14"/>
        <v>0</v>
      </c>
      <c r="AT57" s="128" t="s">
        <v>443</v>
      </c>
      <c r="AU57" s="100" t="s">
        <v>549</v>
      </c>
      <c r="AV57" s="128" t="s">
        <v>532</v>
      </c>
      <c r="AW57" s="100" t="s">
        <v>568</v>
      </c>
      <c r="AX57" s="433">
        <f t="shared" si="15"/>
        <v>0</v>
      </c>
      <c r="AY57" s="433">
        <f t="shared" si="16"/>
        <v>0</v>
      </c>
      <c r="AZ57" s="433">
        <f t="shared" si="17"/>
        <v>0</v>
      </c>
      <c r="BA57" s="433">
        <f t="shared" si="3"/>
        <v>0</v>
      </c>
      <c r="BB57" s="433">
        <f t="shared" si="4"/>
        <v>0</v>
      </c>
      <c r="BC57" s="433">
        <f t="shared" si="5"/>
        <v>0</v>
      </c>
      <c r="BD57" s="433">
        <f t="shared" si="18"/>
        <v>0</v>
      </c>
      <c r="BE57" s="433">
        <f t="shared" si="19"/>
        <v>0</v>
      </c>
      <c r="BF57" s="433">
        <f t="shared" si="20"/>
        <v>0</v>
      </c>
      <c r="BG57" s="433">
        <f t="shared" si="21"/>
        <v>0</v>
      </c>
      <c r="BH57" s="433">
        <f t="shared" si="22"/>
        <v>0</v>
      </c>
      <c r="BI57" s="433">
        <f t="shared" si="23"/>
        <v>0</v>
      </c>
      <c r="BJ57" s="433">
        <f t="shared" si="24"/>
        <v>0</v>
      </c>
      <c r="BK57" s="433">
        <f t="shared" si="25"/>
        <v>0</v>
      </c>
      <c r="BL57" s="433">
        <f t="shared" si="26"/>
        <v>0</v>
      </c>
      <c r="BM57" s="433">
        <f t="shared" si="27"/>
        <v>0</v>
      </c>
      <c r="BN57" s="433">
        <f t="shared" si="28"/>
        <v>0</v>
      </c>
      <c r="BO57" s="433">
        <f t="shared" si="29"/>
        <v>0</v>
      </c>
      <c r="BP57" s="433">
        <f t="shared" si="30"/>
        <v>0</v>
      </c>
      <c r="BQ57" s="433">
        <f t="shared" si="31"/>
        <v>0</v>
      </c>
    </row>
    <row r="58" spans="1:69" x14ac:dyDescent="0.2">
      <c r="A58" s="102">
        <v>41803</v>
      </c>
      <c r="B58" s="319">
        <v>3</v>
      </c>
      <c r="C58" s="118" t="s">
        <v>422</v>
      </c>
      <c r="D58" s="111">
        <v>0.3125</v>
      </c>
      <c r="E58" s="111">
        <v>0.31736111111111115</v>
      </c>
      <c r="F58" s="444">
        <v>43</v>
      </c>
      <c r="G58" s="445">
        <v>7</v>
      </c>
      <c r="H58" s="444"/>
      <c r="I58" s="390"/>
      <c r="J58" s="426">
        <f t="shared" si="0"/>
        <v>7.0000000000000551</v>
      </c>
      <c r="K58" s="103"/>
      <c r="L58" s="103"/>
      <c r="M58" s="103"/>
      <c r="N58" s="427">
        <f t="shared" si="1"/>
        <v>0</v>
      </c>
      <c r="O58" s="103"/>
      <c r="P58" s="103"/>
      <c r="Q58" s="103"/>
      <c r="R58" s="428">
        <f t="shared" si="2"/>
        <v>0</v>
      </c>
      <c r="S58" s="103"/>
      <c r="T58" s="103"/>
      <c r="U58" s="103"/>
      <c r="V58" s="125"/>
      <c r="W58" s="428">
        <f t="shared" si="10"/>
        <v>0</v>
      </c>
      <c r="X58" s="103"/>
      <c r="Y58" s="103"/>
      <c r="Z58" s="125"/>
      <c r="AA58" s="428">
        <f t="shared" si="11"/>
        <v>0</v>
      </c>
      <c r="AB58" s="103"/>
      <c r="AC58" s="103"/>
      <c r="AD58" s="103"/>
      <c r="AE58" s="428">
        <f t="shared" si="12"/>
        <v>0</v>
      </c>
      <c r="AF58" s="103"/>
      <c r="AG58" s="103"/>
      <c r="AH58" s="103"/>
      <c r="AI58" s="103"/>
      <c r="AJ58" s="428">
        <f t="shared" si="13"/>
        <v>0</v>
      </c>
      <c r="AK58" s="446"/>
      <c r="AL58" s="446"/>
      <c r="AM58" s="446"/>
      <c r="AN58" s="446"/>
      <c r="AO58" s="446"/>
      <c r="AP58" s="446"/>
      <c r="AQ58" s="446"/>
      <c r="AR58" s="431">
        <f t="shared" si="14"/>
        <v>0</v>
      </c>
      <c r="AS58" s="10" t="s">
        <v>444</v>
      </c>
      <c r="AT58" s="128"/>
      <c r="AU58" s="100" t="s">
        <v>543</v>
      </c>
      <c r="AV58" s="128" t="s">
        <v>532</v>
      </c>
      <c r="AW58" s="100" t="s">
        <v>568</v>
      </c>
      <c r="AX58" s="433">
        <f t="shared" si="15"/>
        <v>0</v>
      </c>
      <c r="AY58" s="433">
        <f t="shared" si="16"/>
        <v>0</v>
      </c>
      <c r="AZ58" s="433">
        <f t="shared" si="17"/>
        <v>0</v>
      </c>
      <c r="BA58" s="433">
        <f t="shared" si="3"/>
        <v>0</v>
      </c>
      <c r="BB58" s="433">
        <f t="shared" si="4"/>
        <v>0</v>
      </c>
      <c r="BC58" s="433">
        <f t="shared" si="5"/>
        <v>0</v>
      </c>
      <c r="BD58" s="433">
        <f t="shared" si="18"/>
        <v>0</v>
      </c>
      <c r="BE58" s="433">
        <f t="shared" si="19"/>
        <v>0</v>
      </c>
      <c r="BF58" s="433">
        <f t="shared" si="20"/>
        <v>0</v>
      </c>
      <c r="BG58" s="433">
        <f t="shared" si="21"/>
        <v>0</v>
      </c>
      <c r="BH58" s="433">
        <f t="shared" si="22"/>
        <v>0</v>
      </c>
      <c r="BI58" s="433">
        <f t="shared" si="23"/>
        <v>0</v>
      </c>
      <c r="BJ58" s="433">
        <f t="shared" si="24"/>
        <v>0</v>
      </c>
      <c r="BK58" s="433">
        <f t="shared" si="25"/>
        <v>0</v>
      </c>
      <c r="BL58" s="433">
        <f t="shared" si="26"/>
        <v>0</v>
      </c>
      <c r="BM58" s="433">
        <f t="shared" si="27"/>
        <v>0</v>
      </c>
      <c r="BN58" s="433">
        <f t="shared" si="28"/>
        <v>0</v>
      </c>
      <c r="BO58" s="433">
        <f t="shared" si="29"/>
        <v>0</v>
      </c>
      <c r="BP58" s="433">
        <f t="shared" si="30"/>
        <v>0</v>
      </c>
      <c r="BQ58" s="433">
        <f t="shared" si="31"/>
        <v>0</v>
      </c>
    </row>
    <row r="59" spans="1:69" x14ac:dyDescent="0.2">
      <c r="A59" s="102">
        <v>41803</v>
      </c>
      <c r="B59" s="319">
        <v>3</v>
      </c>
      <c r="C59" s="118" t="s">
        <v>445</v>
      </c>
      <c r="D59" s="111">
        <v>0.31736111111111115</v>
      </c>
      <c r="E59" s="111">
        <v>0.43611111111111112</v>
      </c>
      <c r="F59" s="444">
        <v>40</v>
      </c>
      <c r="G59" s="445">
        <v>7</v>
      </c>
      <c r="H59" s="444"/>
      <c r="I59" s="390"/>
      <c r="J59" s="426">
        <f t="shared" si="0"/>
        <v>170.99999999999994</v>
      </c>
      <c r="K59" s="103"/>
      <c r="L59" s="103"/>
      <c r="M59" s="103"/>
      <c r="N59" s="427">
        <f t="shared" si="1"/>
        <v>0</v>
      </c>
      <c r="O59" s="103"/>
      <c r="P59" s="103"/>
      <c r="Q59" s="103"/>
      <c r="R59" s="428">
        <f t="shared" si="2"/>
        <v>0</v>
      </c>
      <c r="S59" s="103"/>
      <c r="T59" s="103"/>
      <c r="U59" s="103"/>
      <c r="V59" s="125"/>
      <c r="W59" s="428">
        <f t="shared" si="10"/>
        <v>0</v>
      </c>
      <c r="X59" s="103"/>
      <c r="Y59" s="103"/>
      <c r="Z59" s="125"/>
      <c r="AA59" s="428">
        <f t="shared" si="11"/>
        <v>0</v>
      </c>
      <c r="AB59" s="103"/>
      <c r="AC59" s="103"/>
      <c r="AD59" s="103"/>
      <c r="AE59" s="428">
        <f t="shared" si="12"/>
        <v>0</v>
      </c>
      <c r="AF59" s="103"/>
      <c r="AG59" s="103"/>
      <c r="AH59" s="103"/>
      <c r="AI59" s="103"/>
      <c r="AJ59" s="428">
        <f t="shared" si="13"/>
        <v>0</v>
      </c>
      <c r="AK59" s="446"/>
      <c r="AL59" s="446"/>
      <c r="AM59" s="446">
        <v>1</v>
      </c>
      <c r="AN59" s="446"/>
      <c r="AO59" s="446"/>
      <c r="AP59" s="446"/>
      <c r="AQ59" s="446"/>
      <c r="AR59" s="431">
        <f t="shared" si="14"/>
        <v>1</v>
      </c>
      <c r="AS59" s="10" t="s">
        <v>446</v>
      </c>
      <c r="AT59" s="128" t="s">
        <v>447</v>
      </c>
      <c r="AU59" s="100" t="s">
        <v>556</v>
      </c>
      <c r="AV59" s="128" t="s">
        <v>532</v>
      </c>
      <c r="AW59" s="100" t="s">
        <v>568</v>
      </c>
      <c r="AX59" s="433">
        <f t="shared" si="15"/>
        <v>0</v>
      </c>
      <c r="AY59" s="433">
        <f t="shared" si="16"/>
        <v>0</v>
      </c>
      <c r="AZ59" s="433">
        <f t="shared" si="17"/>
        <v>0</v>
      </c>
      <c r="BA59" s="433">
        <f t="shared" si="3"/>
        <v>0</v>
      </c>
      <c r="BB59" s="433">
        <f t="shared" si="4"/>
        <v>0</v>
      </c>
      <c r="BC59" s="433">
        <f t="shared" si="5"/>
        <v>0</v>
      </c>
      <c r="BD59" s="433">
        <f t="shared" si="18"/>
        <v>0</v>
      </c>
      <c r="BE59" s="433">
        <f t="shared" si="19"/>
        <v>0</v>
      </c>
      <c r="BF59" s="433">
        <f t="shared" si="20"/>
        <v>0</v>
      </c>
      <c r="BG59" s="433">
        <f t="shared" si="21"/>
        <v>0</v>
      </c>
      <c r="BH59" s="433">
        <f t="shared" si="22"/>
        <v>0</v>
      </c>
      <c r="BI59" s="433">
        <f t="shared" si="23"/>
        <v>0</v>
      </c>
      <c r="BJ59" s="433">
        <f t="shared" si="24"/>
        <v>0</v>
      </c>
      <c r="BK59" s="433">
        <f t="shared" si="25"/>
        <v>0</v>
      </c>
      <c r="BL59" s="433">
        <f t="shared" si="26"/>
        <v>0</v>
      </c>
      <c r="BM59" s="433">
        <f t="shared" si="27"/>
        <v>0</v>
      </c>
      <c r="BN59" s="433">
        <f t="shared" si="28"/>
        <v>0</v>
      </c>
      <c r="BO59" s="433">
        <f t="shared" si="29"/>
        <v>0</v>
      </c>
      <c r="BP59" s="433">
        <f t="shared" si="30"/>
        <v>0</v>
      </c>
      <c r="BQ59" s="433">
        <f t="shared" si="31"/>
        <v>0</v>
      </c>
    </row>
    <row r="60" spans="1:69" x14ac:dyDescent="0.2">
      <c r="A60" s="102">
        <v>41803</v>
      </c>
      <c r="B60" s="319">
        <v>3</v>
      </c>
      <c r="C60" s="118" t="s">
        <v>448</v>
      </c>
      <c r="D60" s="111">
        <v>0.43611111111111112</v>
      </c>
      <c r="E60" s="111">
        <v>0.50972222222222219</v>
      </c>
      <c r="F60" s="444">
        <v>40</v>
      </c>
      <c r="G60" s="445">
        <v>7</v>
      </c>
      <c r="H60" s="444"/>
      <c r="I60" s="390"/>
      <c r="J60" s="426">
        <f t="shared" si="0"/>
        <v>105.99999999999994</v>
      </c>
      <c r="K60" s="103"/>
      <c r="L60" s="103"/>
      <c r="M60" s="103"/>
      <c r="N60" s="427">
        <f t="shared" si="1"/>
        <v>0</v>
      </c>
      <c r="O60" s="103"/>
      <c r="P60" s="103"/>
      <c r="Q60" s="103"/>
      <c r="R60" s="428">
        <f t="shared" si="2"/>
        <v>0</v>
      </c>
      <c r="S60" s="103"/>
      <c r="T60" s="103"/>
      <c r="U60" s="103"/>
      <c r="V60" s="125"/>
      <c r="W60" s="428">
        <f t="shared" si="10"/>
        <v>0</v>
      </c>
      <c r="X60" s="103"/>
      <c r="Y60" s="103"/>
      <c r="Z60" s="125"/>
      <c r="AA60" s="428">
        <f t="shared" si="11"/>
        <v>0</v>
      </c>
      <c r="AB60" s="103"/>
      <c r="AC60" s="103"/>
      <c r="AD60" s="103"/>
      <c r="AE60" s="428">
        <f t="shared" si="12"/>
        <v>0</v>
      </c>
      <c r="AF60" s="103"/>
      <c r="AG60" s="103"/>
      <c r="AH60" s="103"/>
      <c r="AI60" s="103"/>
      <c r="AJ60" s="428">
        <f t="shared" si="13"/>
        <v>0</v>
      </c>
      <c r="AK60" s="446"/>
      <c r="AL60" s="446"/>
      <c r="AM60" s="446"/>
      <c r="AN60" s="446"/>
      <c r="AO60" s="446"/>
      <c r="AP60" s="446"/>
      <c r="AQ60" s="446"/>
      <c r="AR60" s="431">
        <f t="shared" si="14"/>
        <v>0</v>
      </c>
      <c r="AS60" s="10" t="s">
        <v>449</v>
      </c>
      <c r="AT60" s="128" t="s">
        <v>424</v>
      </c>
      <c r="AU60" s="100" t="s">
        <v>394</v>
      </c>
      <c r="AV60" s="128" t="s">
        <v>532</v>
      </c>
      <c r="AW60" s="100" t="s">
        <v>568</v>
      </c>
      <c r="AX60" s="433">
        <f t="shared" si="15"/>
        <v>0</v>
      </c>
      <c r="AY60" s="433">
        <f t="shared" si="16"/>
        <v>0</v>
      </c>
      <c r="AZ60" s="433">
        <f t="shared" si="17"/>
        <v>0</v>
      </c>
      <c r="BA60" s="433">
        <f t="shared" si="3"/>
        <v>0</v>
      </c>
      <c r="BB60" s="433">
        <f t="shared" si="4"/>
        <v>0</v>
      </c>
      <c r="BC60" s="433">
        <f t="shared" si="5"/>
        <v>0</v>
      </c>
      <c r="BD60" s="433">
        <f t="shared" si="18"/>
        <v>0</v>
      </c>
      <c r="BE60" s="433">
        <f t="shared" si="19"/>
        <v>0</v>
      </c>
      <c r="BF60" s="433">
        <f t="shared" si="20"/>
        <v>0</v>
      </c>
      <c r="BG60" s="433">
        <f t="shared" si="21"/>
        <v>0</v>
      </c>
      <c r="BH60" s="433">
        <f t="shared" si="22"/>
        <v>0</v>
      </c>
      <c r="BI60" s="433">
        <f t="shared" si="23"/>
        <v>0</v>
      </c>
      <c r="BJ60" s="433">
        <f t="shared" si="24"/>
        <v>0</v>
      </c>
      <c r="BK60" s="433">
        <f t="shared" si="25"/>
        <v>0</v>
      </c>
      <c r="BL60" s="433">
        <f t="shared" si="26"/>
        <v>0</v>
      </c>
      <c r="BM60" s="433">
        <f t="shared" si="27"/>
        <v>0</v>
      </c>
      <c r="BN60" s="433">
        <f t="shared" si="28"/>
        <v>0</v>
      </c>
      <c r="BO60" s="433">
        <f t="shared" si="29"/>
        <v>0</v>
      </c>
      <c r="BP60" s="433">
        <f t="shared" si="30"/>
        <v>0</v>
      </c>
      <c r="BQ60" s="433">
        <f t="shared" si="31"/>
        <v>0</v>
      </c>
    </row>
    <row r="61" spans="1:69" x14ac:dyDescent="0.2">
      <c r="A61" s="102">
        <v>41803</v>
      </c>
      <c r="B61" s="319">
        <v>3</v>
      </c>
      <c r="C61" s="118" t="s">
        <v>450</v>
      </c>
      <c r="D61" s="111">
        <v>0.50972222222222219</v>
      </c>
      <c r="E61" s="111">
        <v>0.58680555555555558</v>
      </c>
      <c r="F61" s="444">
        <v>40</v>
      </c>
      <c r="G61" s="445">
        <v>8</v>
      </c>
      <c r="H61" s="444"/>
      <c r="I61" s="390"/>
      <c r="J61" s="426">
        <f t="shared" si="0"/>
        <v>111.00000000000009</v>
      </c>
      <c r="K61" s="103">
        <v>1</v>
      </c>
      <c r="L61" s="103"/>
      <c r="M61" s="103"/>
      <c r="N61" s="427">
        <f t="shared" si="1"/>
        <v>1</v>
      </c>
      <c r="O61" s="103"/>
      <c r="P61" s="103"/>
      <c r="Q61" s="103"/>
      <c r="R61" s="428">
        <f t="shared" si="2"/>
        <v>0</v>
      </c>
      <c r="S61" s="103"/>
      <c r="T61" s="103"/>
      <c r="U61" s="103"/>
      <c r="V61" s="125"/>
      <c r="W61" s="428">
        <f t="shared" si="10"/>
        <v>0</v>
      </c>
      <c r="X61" s="103"/>
      <c r="Y61" s="103"/>
      <c r="Z61" s="125"/>
      <c r="AA61" s="428">
        <f t="shared" si="11"/>
        <v>0</v>
      </c>
      <c r="AB61" s="103"/>
      <c r="AC61" s="103"/>
      <c r="AD61" s="103"/>
      <c r="AE61" s="428">
        <f t="shared" si="12"/>
        <v>0</v>
      </c>
      <c r="AF61" s="103"/>
      <c r="AG61" s="103"/>
      <c r="AH61" s="103"/>
      <c r="AI61" s="103"/>
      <c r="AJ61" s="428">
        <f t="shared" si="13"/>
        <v>0</v>
      </c>
      <c r="AK61" s="446"/>
      <c r="AL61" s="446"/>
      <c r="AM61" s="446"/>
      <c r="AN61" s="446"/>
      <c r="AO61" s="446"/>
      <c r="AP61" s="446"/>
      <c r="AQ61" s="446"/>
      <c r="AR61" s="431">
        <f t="shared" si="14"/>
        <v>0</v>
      </c>
      <c r="AS61" s="10" t="s">
        <v>451</v>
      </c>
      <c r="AT61" s="128" t="s">
        <v>452</v>
      </c>
      <c r="AU61" s="100" t="s">
        <v>394</v>
      </c>
      <c r="AV61" s="128" t="s">
        <v>532</v>
      </c>
      <c r="AW61" s="100" t="s">
        <v>568</v>
      </c>
      <c r="AX61" s="433">
        <f t="shared" si="15"/>
        <v>1</v>
      </c>
      <c r="AY61" s="433">
        <f t="shared" si="16"/>
        <v>0</v>
      </c>
      <c r="AZ61" s="433">
        <f t="shared" si="17"/>
        <v>0</v>
      </c>
      <c r="BA61" s="433">
        <f t="shared" si="3"/>
        <v>0</v>
      </c>
      <c r="BB61" s="433">
        <f t="shared" si="4"/>
        <v>0</v>
      </c>
      <c r="BC61" s="433">
        <f t="shared" si="5"/>
        <v>0</v>
      </c>
      <c r="BD61" s="433">
        <f t="shared" si="18"/>
        <v>0</v>
      </c>
      <c r="BE61" s="433">
        <f t="shared" si="19"/>
        <v>0</v>
      </c>
      <c r="BF61" s="433">
        <f t="shared" si="20"/>
        <v>0</v>
      </c>
      <c r="BG61" s="433">
        <f t="shared" si="21"/>
        <v>0</v>
      </c>
      <c r="BH61" s="433">
        <f t="shared" si="22"/>
        <v>0</v>
      </c>
      <c r="BI61" s="433">
        <f t="shared" si="23"/>
        <v>0</v>
      </c>
      <c r="BJ61" s="433">
        <f t="shared" si="24"/>
        <v>0</v>
      </c>
      <c r="BK61" s="433">
        <f t="shared" si="25"/>
        <v>0</v>
      </c>
      <c r="BL61" s="433">
        <f t="shared" si="26"/>
        <v>0</v>
      </c>
      <c r="BM61" s="433">
        <f t="shared" si="27"/>
        <v>0</v>
      </c>
      <c r="BN61" s="433">
        <f t="shared" si="28"/>
        <v>0</v>
      </c>
      <c r="BO61" s="433">
        <f t="shared" si="29"/>
        <v>0</v>
      </c>
      <c r="BP61" s="433">
        <f t="shared" si="30"/>
        <v>0</v>
      </c>
      <c r="BQ61" s="433">
        <f t="shared" si="31"/>
        <v>0</v>
      </c>
    </row>
    <row r="62" spans="1:69" x14ac:dyDescent="0.2">
      <c r="A62" s="102">
        <v>41803</v>
      </c>
      <c r="B62" s="319">
        <v>3</v>
      </c>
      <c r="C62" s="118" t="s">
        <v>453</v>
      </c>
      <c r="D62" s="111">
        <v>0.58680555555555558</v>
      </c>
      <c r="E62" s="111">
        <v>0.68055555555555547</v>
      </c>
      <c r="F62" s="444">
        <v>41</v>
      </c>
      <c r="G62" s="445">
        <v>8</v>
      </c>
      <c r="H62" s="444"/>
      <c r="I62" s="390"/>
      <c r="J62" s="426">
        <f t="shared" si="0"/>
        <v>134.99999999999983</v>
      </c>
      <c r="K62" s="103"/>
      <c r="L62" s="103"/>
      <c r="M62" s="103"/>
      <c r="N62" s="427">
        <f t="shared" si="1"/>
        <v>0</v>
      </c>
      <c r="O62" s="103"/>
      <c r="P62" s="103"/>
      <c r="Q62" s="103"/>
      <c r="R62" s="428">
        <f t="shared" si="2"/>
        <v>0</v>
      </c>
      <c r="S62" s="103"/>
      <c r="T62" s="103"/>
      <c r="U62" s="103"/>
      <c r="V62" s="125"/>
      <c r="W62" s="428">
        <f t="shared" si="10"/>
        <v>0</v>
      </c>
      <c r="X62" s="103"/>
      <c r="Y62" s="103"/>
      <c r="Z62" s="125"/>
      <c r="AA62" s="428">
        <f t="shared" si="11"/>
        <v>0</v>
      </c>
      <c r="AB62" s="103"/>
      <c r="AC62" s="103"/>
      <c r="AD62" s="103"/>
      <c r="AE62" s="428">
        <f t="shared" si="12"/>
        <v>0</v>
      </c>
      <c r="AF62" s="103"/>
      <c r="AG62" s="103"/>
      <c r="AH62" s="103"/>
      <c r="AI62" s="103"/>
      <c r="AJ62" s="428">
        <f t="shared" si="13"/>
        <v>0</v>
      </c>
      <c r="AK62" s="446"/>
      <c r="AL62" s="446"/>
      <c r="AM62" s="446"/>
      <c r="AN62" s="446"/>
      <c r="AO62" s="446"/>
      <c r="AP62" s="446"/>
      <c r="AQ62" s="446"/>
      <c r="AR62" s="431">
        <f t="shared" si="14"/>
        <v>0</v>
      </c>
      <c r="AS62" s="10" t="s">
        <v>454</v>
      </c>
      <c r="AT62" s="128" t="s">
        <v>455</v>
      </c>
      <c r="AU62" s="100" t="s">
        <v>551</v>
      </c>
      <c r="AV62" s="128" t="s">
        <v>532</v>
      </c>
      <c r="AW62" s="100" t="s">
        <v>568</v>
      </c>
      <c r="AX62" s="433">
        <f t="shared" si="15"/>
        <v>0</v>
      </c>
      <c r="AY62" s="433">
        <f t="shared" si="16"/>
        <v>0</v>
      </c>
      <c r="AZ62" s="433">
        <f t="shared" si="17"/>
        <v>0</v>
      </c>
      <c r="BA62" s="433">
        <f t="shared" si="3"/>
        <v>0</v>
      </c>
      <c r="BB62" s="433">
        <f t="shared" si="4"/>
        <v>0</v>
      </c>
      <c r="BC62" s="433">
        <f t="shared" si="5"/>
        <v>0</v>
      </c>
      <c r="BD62" s="433">
        <f t="shared" si="18"/>
        <v>0</v>
      </c>
      <c r="BE62" s="433">
        <f t="shared" si="19"/>
        <v>0</v>
      </c>
      <c r="BF62" s="433">
        <f t="shared" si="20"/>
        <v>0</v>
      </c>
      <c r="BG62" s="433">
        <f t="shared" si="21"/>
        <v>0</v>
      </c>
      <c r="BH62" s="433">
        <f t="shared" si="22"/>
        <v>0</v>
      </c>
      <c r="BI62" s="433">
        <f t="shared" si="23"/>
        <v>0</v>
      </c>
      <c r="BJ62" s="433">
        <f t="shared" si="24"/>
        <v>0</v>
      </c>
      <c r="BK62" s="433">
        <f t="shared" si="25"/>
        <v>0</v>
      </c>
      <c r="BL62" s="433">
        <f t="shared" si="26"/>
        <v>0</v>
      </c>
      <c r="BM62" s="433">
        <f t="shared" si="27"/>
        <v>0</v>
      </c>
      <c r="BN62" s="433">
        <f t="shared" si="28"/>
        <v>0</v>
      </c>
      <c r="BO62" s="433">
        <f t="shared" si="29"/>
        <v>0</v>
      </c>
      <c r="BP62" s="433">
        <f t="shared" si="30"/>
        <v>0</v>
      </c>
      <c r="BQ62" s="433">
        <f t="shared" si="31"/>
        <v>0</v>
      </c>
    </row>
    <row r="63" spans="1:69" x14ac:dyDescent="0.2">
      <c r="A63" s="102">
        <v>41803</v>
      </c>
      <c r="B63" s="319">
        <v>3</v>
      </c>
      <c r="C63" s="118" t="s">
        <v>456</v>
      </c>
      <c r="D63" s="111">
        <v>0.68055555555555547</v>
      </c>
      <c r="E63" s="111">
        <v>0.76388888888888884</v>
      </c>
      <c r="F63" s="444">
        <v>43</v>
      </c>
      <c r="G63" s="445">
        <v>8</v>
      </c>
      <c r="H63" s="444"/>
      <c r="I63" s="390"/>
      <c r="J63" s="426">
        <f t="shared" si="0"/>
        <v>120.00000000000006</v>
      </c>
      <c r="K63" s="103"/>
      <c r="L63" s="103"/>
      <c r="M63" s="103"/>
      <c r="N63" s="427">
        <f t="shared" si="1"/>
        <v>0</v>
      </c>
      <c r="O63" s="103"/>
      <c r="P63" s="103"/>
      <c r="Q63" s="103"/>
      <c r="R63" s="428">
        <f t="shared" si="2"/>
        <v>0</v>
      </c>
      <c r="S63" s="103"/>
      <c r="T63" s="103"/>
      <c r="U63" s="103"/>
      <c r="V63" s="125"/>
      <c r="W63" s="428">
        <f t="shared" si="10"/>
        <v>0</v>
      </c>
      <c r="X63" s="103"/>
      <c r="Y63" s="103"/>
      <c r="Z63" s="125"/>
      <c r="AA63" s="428">
        <f t="shared" si="11"/>
        <v>0</v>
      </c>
      <c r="AB63" s="103"/>
      <c r="AC63" s="103"/>
      <c r="AD63" s="103"/>
      <c r="AE63" s="428">
        <f t="shared" si="12"/>
        <v>0</v>
      </c>
      <c r="AF63" s="103"/>
      <c r="AG63" s="103"/>
      <c r="AH63" s="103"/>
      <c r="AI63" s="103"/>
      <c r="AJ63" s="428">
        <f t="shared" si="13"/>
        <v>0</v>
      </c>
      <c r="AK63" s="446"/>
      <c r="AL63" s="446"/>
      <c r="AM63" s="446"/>
      <c r="AN63" s="446"/>
      <c r="AO63" s="446"/>
      <c r="AP63" s="446"/>
      <c r="AQ63" s="446"/>
      <c r="AR63" s="431">
        <f t="shared" si="14"/>
        <v>0</v>
      </c>
      <c r="AS63" s="10" t="s">
        <v>457</v>
      </c>
      <c r="AT63" s="128" t="s">
        <v>424</v>
      </c>
      <c r="AU63" s="100" t="s">
        <v>543</v>
      </c>
      <c r="AV63" s="128" t="s">
        <v>532</v>
      </c>
      <c r="AW63" s="100" t="s">
        <v>568</v>
      </c>
      <c r="AX63" s="433">
        <f t="shared" si="15"/>
        <v>0</v>
      </c>
      <c r="AY63" s="433">
        <f t="shared" si="16"/>
        <v>0</v>
      </c>
      <c r="AZ63" s="433">
        <f t="shared" si="17"/>
        <v>0</v>
      </c>
      <c r="BA63" s="433">
        <f t="shared" si="3"/>
        <v>0</v>
      </c>
      <c r="BB63" s="433">
        <f t="shared" si="4"/>
        <v>0</v>
      </c>
      <c r="BC63" s="433">
        <f t="shared" si="5"/>
        <v>0</v>
      </c>
      <c r="BD63" s="433">
        <f t="shared" si="18"/>
        <v>0</v>
      </c>
      <c r="BE63" s="433">
        <f t="shared" si="19"/>
        <v>0</v>
      </c>
      <c r="BF63" s="433">
        <f t="shared" si="20"/>
        <v>0</v>
      </c>
      <c r="BG63" s="433">
        <f t="shared" si="21"/>
        <v>0</v>
      </c>
      <c r="BH63" s="433">
        <f t="shared" si="22"/>
        <v>0</v>
      </c>
      <c r="BI63" s="433">
        <f t="shared" si="23"/>
        <v>0</v>
      </c>
      <c r="BJ63" s="433">
        <f t="shared" si="24"/>
        <v>0</v>
      </c>
      <c r="BK63" s="433">
        <f t="shared" si="25"/>
        <v>0</v>
      </c>
      <c r="BL63" s="433">
        <f t="shared" si="26"/>
        <v>0</v>
      </c>
      <c r="BM63" s="433">
        <f t="shared" si="27"/>
        <v>0</v>
      </c>
      <c r="BN63" s="433">
        <f t="shared" si="28"/>
        <v>0</v>
      </c>
      <c r="BO63" s="433">
        <f t="shared" si="29"/>
        <v>0</v>
      </c>
      <c r="BP63" s="433">
        <f t="shared" si="30"/>
        <v>0</v>
      </c>
      <c r="BQ63" s="433">
        <f t="shared" si="31"/>
        <v>0</v>
      </c>
    </row>
    <row r="64" spans="1:69" x14ac:dyDescent="0.2">
      <c r="A64" s="102">
        <v>41803</v>
      </c>
      <c r="B64" s="319">
        <v>3</v>
      </c>
      <c r="C64" s="118" t="s">
        <v>458</v>
      </c>
      <c r="D64" s="111">
        <v>0.76388888888888884</v>
      </c>
      <c r="E64" s="111">
        <v>0.83888888888888891</v>
      </c>
      <c r="F64" s="444">
        <v>41</v>
      </c>
      <c r="G64" s="445">
        <v>7</v>
      </c>
      <c r="H64" s="444"/>
      <c r="I64" s="390"/>
      <c r="J64" s="426">
        <f t="shared" si="0"/>
        <v>108.0000000000001</v>
      </c>
      <c r="K64" s="103"/>
      <c r="L64" s="103"/>
      <c r="M64" s="103"/>
      <c r="N64" s="427">
        <f t="shared" si="1"/>
        <v>0</v>
      </c>
      <c r="O64" s="103"/>
      <c r="P64" s="103"/>
      <c r="Q64" s="103"/>
      <c r="R64" s="428">
        <f t="shared" si="2"/>
        <v>0</v>
      </c>
      <c r="S64" s="103"/>
      <c r="T64" s="103"/>
      <c r="U64" s="103"/>
      <c r="V64" s="125"/>
      <c r="W64" s="428">
        <f t="shared" si="10"/>
        <v>0</v>
      </c>
      <c r="X64" s="103"/>
      <c r="Y64" s="103"/>
      <c r="Z64" s="125"/>
      <c r="AA64" s="428">
        <f t="shared" si="11"/>
        <v>0</v>
      </c>
      <c r="AB64" s="103"/>
      <c r="AC64" s="103"/>
      <c r="AD64" s="103"/>
      <c r="AE64" s="428">
        <f t="shared" si="12"/>
        <v>0</v>
      </c>
      <c r="AF64" s="103"/>
      <c r="AG64" s="103"/>
      <c r="AH64" s="103"/>
      <c r="AI64" s="103"/>
      <c r="AJ64" s="428">
        <f t="shared" si="13"/>
        <v>0</v>
      </c>
      <c r="AK64" s="446"/>
      <c r="AL64" s="446"/>
      <c r="AM64" s="446"/>
      <c r="AN64" s="446"/>
      <c r="AO64" s="446"/>
      <c r="AP64" s="446"/>
      <c r="AQ64" s="446"/>
      <c r="AR64" s="431">
        <f t="shared" si="14"/>
        <v>0</v>
      </c>
      <c r="AT64" s="128" t="s">
        <v>459</v>
      </c>
      <c r="AU64" s="100" t="s">
        <v>549</v>
      </c>
      <c r="AV64" s="128" t="s">
        <v>532</v>
      </c>
      <c r="AW64" s="100" t="s">
        <v>568</v>
      </c>
      <c r="AX64" s="433">
        <f t="shared" si="15"/>
        <v>0</v>
      </c>
      <c r="AY64" s="433">
        <f t="shared" si="16"/>
        <v>0</v>
      </c>
      <c r="AZ64" s="433">
        <f t="shared" si="17"/>
        <v>0</v>
      </c>
      <c r="BA64" s="433">
        <f t="shared" si="3"/>
        <v>0</v>
      </c>
      <c r="BB64" s="433">
        <f t="shared" si="4"/>
        <v>0</v>
      </c>
      <c r="BC64" s="433">
        <f t="shared" si="5"/>
        <v>0</v>
      </c>
      <c r="BD64" s="433">
        <f t="shared" si="18"/>
        <v>0</v>
      </c>
      <c r="BE64" s="433">
        <f t="shared" si="19"/>
        <v>0</v>
      </c>
      <c r="BF64" s="433">
        <f t="shared" si="20"/>
        <v>0</v>
      </c>
      <c r="BG64" s="433">
        <f t="shared" si="21"/>
        <v>0</v>
      </c>
      <c r="BH64" s="433">
        <f t="shared" si="22"/>
        <v>0</v>
      </c>
      <c r="BI64" s="433">
        <f t="shared" si="23"/>
        <v>0</v>
      </c>
      <c r="BJ64" s="433">
        <f t="shared" si="24"/>
        <v>0</v>
      </c>
      <c r="BK64" s="433">
        <f t="shared" si="25"/>
        <v>0</v>
      </c>
      <c r="BL64" s="433">
        <f t="shared" si="26"/>
        <v>0</v>
      </c>
      <c r="BM64" s="433">
        <f t="shared" si="27"/>
        <v>0</v>
      </c>
      <c r="BN64" s="433">
        <f t="shared" si="28"/>
        <v>0</v>
      </c>
      <c r="BO64" s="433">
        <f t="shared" si="29"/>
        <v>0</v>
      </c>
      <c r="BP64" s="433">
        <f t="shared" si="30"/>
        <v>0</v>
      </c>
      <c r="BQ64" s="433">
        <f t="shared" si="31"/>
        <v>0</v>
      </c>
    </row>
    <row r="65" spans="1:69" s="291" customFormat="1" x14ac:dyDescent="0.2">
      <c r="A65" s="317">
        <v>41803</v>
      </c>
      <c r="B65" s="318">
        <v>3</v>
      </c>
      <c r="C65" s="320" t="s">
        <v>460</v>
      </c>
      <c r="D65" s="321">
        <v>0.83888888888888891</v>
      </c>
      <c r="E65" s="321">
        <v>0.94791666666666663</v>
      </c>
      <c r="F65" s="434">
        <v>42</v>
      </c>
      <c r="G65" s="435">
        <v>7</v>
      </c>
      <c r="H65" s="434"/>
      <c r="I65" s="436"/>
      <c r="J65" s="437">
        <f t="shared" si="0"/>
        <v>156.99999999999991</v>
      </c>
      <c r="K65" s="285"/>
      <c r="L65" s="285"/>
      <c r="M65" s="285"/>
      <c r="N65" s="438">
        <f t="shared" si="1"/>
        <v>0</v>
      </c>
      <c r="O65" s="285"/>
      <c r="P65" s="285"/>
      <c r="Q65" s="285"/>
      <c r="R65" s="439">
        <f t="shared" si="2"/>
        <v>0</v>
      </c>
      <c r="S65" s="285"/>
      <c r="T65" s="285"/>
      <c r="U65" s="285"/>
      <c r="V65" s="440"/>
      <c r="W65" s="439">
        <f t="shared" si="10"/>
        <v>0</v>
      </c>
      <c r="X65" s="285"/>
      <c r="Y65" s="285"/>
      <c r="Z65" s="440"/>
      <c r="AA65" s="439">
        <f t="shared" si="11"/>
        <v>0</v>
      </c>
      <c r="AB65" s="285"/>
      <c r="AC65" s="285"/>
      <c r="AD65" s="285"/>
      <c r="AE65" s="439">
        <f t="shared" si="12"/>
        <v>0</v>
      </c>
      <c r="AF65" s="285"/>
      <c r="AG65" s="285"/>
      <c r="AH65" s="285"/>
      <c r="AI65" s="285"/>
      <c r="AJ65" s="439">
        <f t="shared" si="13"/>
        <v>0</v>
      </c>
      <c r="AK65" s="340"/>
      <c r="AL65" s="340"/>
      <c r="AM65" s="340"/>
      <c r="AN65" s="340"/>
      <c r="AO65" s="340"/>
      <c r="AP65" s="340"/>
      <c r="AQ65" s="340"/>
      <c r="AR65" s="441">
        <f t="shared" si="14"/>
        <v>0</v>
      </c>
      <c r="AT65" s="313" t="s">
        <v>461</v>
      </c>
      <c r="AU65" s="289" t="s">
        <v>553</v>
      </c>
      <c r="AV65" s="313" t="s">
        <v>532</v>
      </c>
      <c r="AW65" s="289" t="s">
        <v>568</v>
      </c>
      <c r="AX65" s="443">
        <f t="shared" si="15"/>
        <v>0</v>
      </c>
      <c r="AY65" s="443">
        <f t="shared" si="16"/>
        <v>0</v>
      </c>
      <c r="AZ65" s="443">
        <f t="shared" si="17"/>
        <v>0</v>
      </c>
      <c r="BA65" s="443">
        <f t="shared" si="3"/>
        <v>0</v>
      </c>
      <c r="BB65" s="443">
        <f t="shared" si="4"/>
        <v>0</v>
      </c>
      <c r="BC65" s="443">
        <f t="shared" si="5"/>
        <v>0</v>
      </c>
      <c r="BD65" s="443">
        <f t="shared" si="18"/>
        <v>0</v>
      </c>
      <c r="BE65" s="443">
        <f t="shared" si="19"/>
        <v>0</v>
      </c>
      <c r="BF65" s="443">
        <f t="shared" si="20"/>
        <v>0</v>
      </c>
      <c r="BG65" s="443">
        <f t="shared" si="21"/>
        <v>0</v>
      </c>
      <c r="BH65" s="443">
        <f t="shared" si="22"/>
        <v>0</v>
      </c>
      <c r="BI65" s="443">
        <f t="shared" si="23"/>
        <v>0</v>
      </c>
      <c r="BJ65" s="443">
        <f t="shared" si="24"/>
        <v>0</v>
      </c>
      <c r="BK65" s="443">
        <f t="shared" si="25"/>
        <v>0</v>
      </c>
      <c r="BL65" s="443">
        <f t="shared" si="26"/>
        <v>0</v>
      </c>
      <c r="BM65" s="443">
        <f t="shared" si="27"/>
        <v>0</v>
      </c>
      <c r="BN65" s="443">
        <f t="shared" si="28"/>
        <v>0</v>
      </c>
      <c r="BO65" s="443">
        <f t="shared" si="29"/>
        <v>0</v>
      </c>
      <c r="BP65" s="443">
        <f t="shared" si="30"/>
        <v>0</v>
      </c>
      <c r="BQ65" s="443">
        <f t="shared" si="31"/>
        <v>0</v>
      </c>
    </row>
    <row r="66" spans="1:69" s="309" customFormat="1" x14ac:dyDescent="0.2">
      <c r="A66" s="461">
        <v>41804</v>
      </c>
      <c r="B66" s="462">
        <v>1</v>
      </c>
      <c r="C66" s="463" t="s">
        <v>437</v>
      </c>
      <c r="D66" s="464">
        <v>0.32291666666666669</v>
      </c>
      <c r="E66" s="464">
        <v>0.32708333333333334</v>
      </c>
      <c r="F66" s="465">
        <v>83</v>
      </c>
      <c r="G66" s="466">
        <v>7</v>
      </c>
      <c r="H66" s="465"/>
      <c r="I66" s="467"/>
      <c r="J66" s="468">
        <f t="shared" si="0"/>
        <v>5.9999999999999787</v>
      </c>
      <c r="K66" s="304"/>
      <c r="L66" s="304"/>
      <c r="M66" s="304"/>
      <c r="N66" s="469">
        <f t="shared" si="1"/>
        <v>0</v>
      </c>
      <c r="O66" s="304"/>
      <c r="P66" s="304"/>
      <c r="Q66" s="304"/>
      <c r="R66" s="470">
        <f t="shared" si="2"/>
        <v>0</v>
      </c>
      <c r="S66" s="304"/>
      <c r="T66" s="304"/>
      <c r="U66" s="304"/>
      <c r="V66" s="471"/>
      <c r="W66" s="470">
        <f t="shared" si="10"/>
        <v>0</v>
      </c>
      <c r="X66" s="304"/>
      <c r="Y66" s="304"/>
      <c r="Z66" s="471"/>
      <c r="AA66" s="470">
        <f t="shared" si="11"/>
        <v>0</v>
      </c>
      <c r="AB66" s="304"/>
      <c r="AC66" s="304"/>
      <c r="AD66" s="304"/>
      <c r="AE66" s="470">
        <f t="shared" si="12"/>
        <v>0</v>
      </c>
      <c r="AF66" s="304"/>
      <c r="AG66" s="304"/>
      <c r="AH66" s="304"/>
      <c r="AI66" s="304"/>
      <c r="AJ66" s="470">
        <f t="shared" si="13"/>
        <v>0</v>
      </c>
      <c r="AK66" s="472"/>
      <c r="AL66" s="472"/>
      <c r="AM66" s="472"/>
      <c r="AN66" s="472"/>
      <c r="AO66" s="472"/>
      <c r="AP66" s="472"/>
      <c r="AQ66" s="472"/>
      <c r="AR66" s="473">
        <f t="shared" si="14"/>
        <v>0</v>
      </c>
      <c r="AT66" s="316" t="s">
        <v>462</v>
      </c>
      <c r="AU66" s="308" t="s">
        <v>536</v>
      </c>
      <c r="AV66" s="128" t="s">
        <v>559</v>
      </c>
      <c r="AW66" s="100" t="s">
        <v>569</v>
      </c>
      <c r="AX66" s="474">
        <f t="shared" si="15"/>
        <v>0</v>
      </c>
      <c r="AY66" s="474">
        <f t="shared" si="16"/>
        <v>0</v>
      </c>
      <c r="AZ66" s="474">
        <f t="shared" si="17"/>
        <v>0</v>
      </c>
      <c r="BA66" s="474">
        <f t="shared" si="3"/>
        <v>0</v>
      </c>
      <c r="BB66" s="474">
        <f t="shared" si="4"/>
        <v>0</v>
      </c>
      <c r="BC66" s="474">
        <f t="shared" si="5"/>
        <v>0</v>
      </c>
      <c r="BD66" s="474">
        <f t="shared" si="18"/>
        <v>0</v>
      </c>
      <c r="BE66" s="474">
        <f t="shared" si="19"/>
        <v>0</v>
      </c>
      <c r="BF66" s="474">
        <f t="shared" si="20"/>
        <v>0</v>
      </c>
      <c r="BG66" s="474">
        <f t="shared" si="21"/>
        <v>0</v>
      </c>
      <c r="BH66" s="474">
        <f t="shared" si="22"/>
        <v>0</v>
      </c>
      <c r="BI66" s="474">
        <f t="shared" si="23"/>
        <v>0</v>
      </c>
      <c r="BJ66" s="474">
        <f t="shared" si="24"/>
        <v>0</v>
      </c>
      <c r="BK66" s="474">
        <f t="shared" si="25"/>
        <v>0</v>
      </c>
      <c r="BL66" s="474">
        <f t="shared" si="26"/>
        <v>0</v>
      </c>
      <c r="BM66" s="474">
        <f t="shared" si="27"/>
        <v>0</v>
      </c>
      <c r="BN66" s="474">
        <f t="shared" si="28"/>
        <v>0</v>
      </c>
      <c r="BO66" s="474">
        <f t="shared" si="29"/>
        <v>0</v>
      </c>
      <c r="BP66" s="474">
        <f t="shared" si="30"/>
        <v>0</v>
      </c>
      <c r="BQ66" s="474">
        <f t="shared" si="31"/>
        <v>0</v>
      </c>
    </row>
    <row r="67" spans="1:69" x14ac:dyDescent="0.2">
      <c r="A67" s="102">
        <v>41804</v>
      </c>
      <c r="B67" s="319">
        <v>1</v>
      </c>
      <c r="C67" s="118" t="s">
        <v>463</v>
      </c>
      <c r="D67" s="111">
        <v>0.32708333333333334</v>
      </c>
      <c r="E67" s="111">
        <v>0.40277777777777773</v>
      </c>
      <c r="F67" s="444">
        <v>93</v>
      </c>
      <c r="G67" s="445">
        <v>7</v>
      </c>
      <c r="H67" s="444"/>
      <c r="I67" s="390"/>
      <c r="J67" s="426">
        <f t="shared" ref="J67:J130" si="32">(E67-D67)*24*60</f>
        <v>108.99999999999993</v>
      </c>
      <c r="K67" s="103"/>
      <c r="L67" s="103"/>
      <c r="M67" s="103"/>
      <c r="N67" s="427">
        <f t="shared" ref="N67:N130" si="33">SUM(K67:M67)</f>
        <v>0</v>
      </c>
      <c r="O67" s="103"/>
      <c r="P67" s="103"/>
      <c r="Q67" s="103"/>
      <c r="R67" s="428">
        <f t="shared" ref="R67:R130" si="34">SUM(O67:Q67)</f>
        <v>0</v>
      </c>
      <c r="S67" s="103"/>
      <c r="T67" s="103"/>
      <c r="U67" s="103"/>
      <c r="V67" s="125"/>
      <c r="W67" s="428">
        <f t="shared" si="10"/>
        <v>0</v>
      </c>
      <c r="X67" s="103"/>
      <c r="Y67" s="103"/>
      <c r="Z67" s="125"/>
      <c r="AA67" s="428">
        <f t="shared" si="11"/>
        <v>0</v>
      </c>
      <c r="AB67" s="103"/>
      <c r="AC67" s="103"/>
      <c r="AD67" s="103"/>
      <c r="AE67" s="428">
        <f t="shared" si="12"/>
        <v>0</v>
      </c>
      <c r="AF67" s="103"/>
      <c r="AG67" s="103"/>
      <c r="AH67" s="103"/>
      <c r="AI67" s="103"/>
      <c r="AJ67" s="428">
        <f t="shared" si="13"/>
        <v>0</v>
      </c>
      <c r="AK67" s="446"/>
      <c r="AL67" s="446"/>
      <c r="AM67" s="446"/>
      <c r="AN67" s="446"/>
      <c r="AO67" s="446"/>
      <c r="AP67" s="446"/>
      <c r="AQ67" s="446"/>
      <c r="AR67" s="431">
        <f t="shared" si="14"/>
        <v>0</v>
      </c>
      <c r="AT67" s="128" t="s">
        <v>464</v>
      </c>
      <c r="AU67" s="100" t="s">
        <v>465</v>
      </c>
      <c r="AV67" s="128" t="s">
        <v>559</v>
      </c>
      <c r="AW67" s="100" t="s">
        <v>569</v>
      </c>
      <c r="AX67" s="433">
        <f t="shared" si="15"/>
        <v>0</v>
      </c>
      <c r="AY67" s="433">
        <f t="shared" si="16"/>
        <v>0</v>
      </c>
      <c r="AZ67" s="433">
        <f t="shared" si="17"/>
        <v>0</v>
      </c>
      <c r="BA67" s="433">
        <f t="shared" ref="BA67:BA130" si="35">O67</f>
        <v>0</v>
      </c>
      <c r="BB67" s="433">
        <f t="shared" ref="BB67:BB130" si="36">P67</f>
        <v>0</v>
      </c>
      <c r="BC67" s="433">
        <f t="shared" ref="BC67:BC130" si="37">Q67</f>
        <v>0</v>
      </c>
      <c r="BD67" s="433">
        <f t="shared" si="18"/>
        <v>0</v>
      </c>
      <c r="BE67" s="433">
        <f t="shared" si="19"/>
        <v>0</v>
      </c>
      <c r="BF67" s="433">
        <f t="shared" si="20"/>
        <v>0</v>
      </c>
      <c r="BG67" s="433">
        <f t="shared" si="21"/>
        <v>0</v>
      </c>
      <c r="BH67" s="433">
        <f t="shared" si="22"/>
        <v>0</v>
      </c>
      <c r="BI67" s="433">
        <f t="shared" si="23"/>
        <v>0</v>
      </c>
      <c r="BJ67" s="433">
        <f t="shared" si="24"/>
        <v>0</v>
      </c>
      <c r="BK67" s="433">
        <f t="shared" si="25"/>
        <v>0</v>
      </c>
      <c r="BL67" s="433">
        <f t="shared" si="26"/>
        <v>0</v>
      </c>
      <c r="BM67" s="433">
        <f t="shared" si="27"/>
        <v>0</v>
      </c>
      <c r="BN67" s="433">
        <f t="shared" si="28"/>
        <v>0</v>
      </c>
      <c r="BO67" s="433">
        <f t="shared" si="29"/>
        <v>0</v>
      </c>
      <c r="BP67" s="433">
        <f t="shared" si="30"/>
        <v>0</v>
      </c>
      <c r="BQ67" s="433">
        <f t="shared" si="31"/>
        <v>0</v>
      </c>
    </row>
    <row r="68" spans="1:69" x14ac:dyDescent="0.2">
      <c r="A68" s="102">
        <v>41804</v>
      </c>
      <c r="B68" s="319">
        <v>1</v>
      </c>
      <c r="C68" s="118" t="s">
        <v>467</v>
      </c>
      <c r="D68" s="111">
        <v>0.40277777777777773</v>
      </c>
      <c r="E68" s="111">
        <v>0.53472222222222221</v>
      </c>
      <c r="F68" s="444">
        <v>85</v>
      </c>
      <c r="G68" s="445">
        <v>8</v>
      </c>
      <c r="H68" s="444"/>
      <c r="I68" s="390"/>
      <c r="J68" s="426">
        <f t="shared" si="32"/>
        <v>190.00000000000006</v>
      </c>
      <c r="K68" s="103">
        <v>1</v>
      </c>
      <c r="L68" s="103"/>
      <c r="M68" s="103"/>
      <c r="N68" s="427">
        <f t="shared" si="33"/>
        <v>1</v>
      </c>
      <c r="O68" s="103"/>
      <c r="P68" s="103"/>
      <c r="Q68" s="103"/>
      <c r="R68" s="428">
        <f t="shared" si="34"/>
        <v>0</v>
      </c>
      <c r="S68" s="103"/>
      <c r="T68" s="103"/>
      <c r="U68" s="103"/>
      <c r="V68" s="125"/>
      <c r="W68" s="428">
        <f t="shared" ref="W68:W131" si="38">SUM(S68:V68)</f>
        <v>0</v>
      </c>
      <c r="X68" s="103"/>
      <c r="Y68" s="103"/>
      <c r="Z68" s="125"/>
      <c r="AA68" s="428">
        <f t="shared" ref="AA68:AA131" si="39">SUM(X68:Z68)</f>
        <v>0</v>
      </c>
      <c r="AB68" s="103"/>
      <c r="AC68" s="103"/>
      <c r="AD68" s="103"/>
      <c r="AE68" s="428">
        <f t="shared" ref="AE68:AE131" si="40">SUM(AB68:AD68)</f>
        <v>0</v>
      </c>
      <c r="AF68" s="103"/>
      <c r="AG68" s="103"/>
      <c r="AH68" s="103"/>
      <c r="AI68" s="103"/>
      <c r="AJ68" s="428">
        <f t="shared" ref="AJ68:AJ131" si="41">SUM(AF68:AI68)</f>
        <v>0</v>
      </c>
      <c r="AK68" s="446"/>
      <c r="AL68" s="446"/>
      <c r="AM68" s="446">
        <v>1</v>
      </c>
      <c r="AN68" s="446"/>
      <c r="AO68" s="446">
        <v>1</v>
      </c>
      <c r="AP68" s="446"/>
      <c r="AQ68" s="446"/>
      <c r="AR68" s="431">
        <f t="shared" ref="AR68:AR131" si="42">SUM(AK68:AQ68)</f>
        <v>2</v>
      </c>
      <c r="AS68" s="10" t="s">
        <v>466</v>
      </c>
      <c r="AT68" s="128"/>
      <c r="AU68" s="100" t="s">
        <v>397</v>
      </c>
      <c r="AV68" s="128" t="s">
        <v>559</v>
      </c>
      <c r="AW68" s="100" t="s">
        <v>569</v>
      </c>
      <c r="AX68" s="433">
        <f t="shared" ref="AX68:AX131" si="43">K68</f>
        <v>1</v>
      </c>
      <c r="AY68" s="433">
        <f t="shared" ref="AY68:AY131" si="44">L68</f>
        <v>0</v>
      </c>
      <c r="AZ68" s="433">
        <f t="shared" ref="AZ68:AZ131" si="45">M68</f>
        <v>0</v>
      </c>
      <c r="BA68" s="433">
        <f t="shared" si="35"/>
        <v>0</v>
      </c>
      <c r="BB68" s="433">
        <f t="shared" si="36"/>
        <v>0</v>
      </c>
      <c r="BC68" s="433">
        <f t="shared" si="37"/>
        <v>0</v>
      </c>
      <c r="BD68" s="433">
        <f t="shared" ref="BD68:BD131" si="46">S68</f>
        <v>0</v>
      </c>
      <c r="BE68" s="433">
        <f t="shared" ref="BE68:BE131" si="47">T68</f>
        <v>0</v>
      </c>
      <c r="BF68" s="433">
        <f t="shared" ref="BF68:BF131" si="48">U68</f>
        <v>0</v>
      </c>
      <c r="BG68" s="433">
        <f t="shared" ref="BG68:BG131" si="49">V68</f>
        <v>0</v>
      </c>
      <c r="BH68" s="433">
        <f t="shared" ref="BH68:BH131" si="50">X68</f>
        <v>0</v>
      </c>
      <c r="BI68" s="433">
        <f t="shared" ref="BI68:BI131" si="51">Y68</f>
        <v>0</v>
      </c>
      <c r="BJ68" s="433">
        <f t="shared" ref="BJ68:BJ131" si="52">Z68</f>
        <v>0</v>
      </c>
      <c r="BK68" s="433">
        <f t="shared" ref="BK68:BK131" si="53">AB68</f>
        <v>0</v>
      </c>
      <c r="BL68" s="433">
        <f t="shared" ref="BL68:BL131" si="54">AC68</f>
        <v>0</v>
      </c>
      <c r="BM68" s="433">
        <f t="shared" ref="BM68:BM131" si="55">AD68</f>
        <v>0</v>
      </c>
      <c r="BN68" s="433">
        <f t="shared" ref="BN68:BN131" si="56">AF68</f>
        <v>0</v>
      </c>
      <c r="BO68" s="433">
        <f t="shared" ref="BO68:BO131" si="57">AG68</f>
        <v>0</v>
      </c>
      <c r="BP68" s="433">
        <f t="shared" ref="BP68:BP131" si="58">AH68</f>
        <v>0</v>
      </c>
      <c r="BQ68" s="433">
        <f t="shared" ref="BQ68:BQ131" si="59">AI68</f>
        <v>0</v>
      </c>
    </row>
    <row r="69" spans="1:69" x14ac:dyDescent="0.2">
      <c r="A69" s="102">
        <v>41804</v>
      </c>
      <c r="B69" s="319">
        <v>1</v>
      </c>
      <c r="C69" s="118" t="s">
        <v>468</v>
      </c>
      <c r="D69" s="111">
        <v>0.53472222222222221</v>
      </c>
      <c r="E69" s="111">
        <v>0.6958333333333333</v>
      </c>
      <c r="F69" s="444">
        <v>66</v>
      </c>
      <c r="G69" s="445">
        <v>9</v>
      </c>
      <c r="H69" s="444"/>
      <c r="I69" s="390"/>
      <c r="J69" s="426">
        <f t="shared" si="32"/>
        <v>231.99999999999997</v>
      </c>
      <c r="K69" s="103"/>
      <c r="L69" s="103"/>
      <c r="M69" s="103"/>
      <c r="N69" s="427">
        <f t="shared" si="33"/>
        <v>0</v>
      </c>
      <c r="O69" s="103"/>
      <c r="P69" s="103"/>
      <c r="Q69" s="103"/>
      <c r="R69" s="428">
        <f t="shared" si="34"/>
        <v>0</v>
      </c>
      <c r="S69" s="103"/>
      <c r="T69" s="103"/>
      <c r="U69" s="103"/>
      <c r="V69" s="125"/>
      <c r="W69" s="428">
        <f t="shared" si="38"/>
        <v>0</v>
      </c>
      <c r="X69" s="103"/>
      <c r="Y69" s="103"/>
      <c r="Z69" s="125"/>
      <c r="AA69" s="428">
        <f t="shared" si="39"/>
        <v>0</v>
      </c>
      <c r="AB69" s="103"/>
      <c r="AC69" s="103"/>
      <c r="AD69" s="103"/>
      <c r="AE69" s="428">
        <f t="shared" si="40"/>
        <v>0</v>
      </c>
      <c r="AF69" s="103"/>
      <c r="AG69" s="103"/>
      <c r="AH69" s="103"/>
      <c r="AI69" s="103"/>
      <c r="AJ69" s="428">
        <f t="shared" si="41"/>
        <v>0</v>
      </c>
      <c r="AK69" s="446"/>
      <c r="AL69" s="446"/>
      <c r="AM69" s="446"/>
      <c r="AN69" s="446"/>
      <c r="AO69" s="446"/>
      <c r="AP69" s="446"/>
      <c r="AQ69" s="446"/>
      <c r="AR69" s="431">
        <f t="shared" si="42"/>
        <v>0</v>
      </c>
      <c r="AT69" s="128"/>
      <c r="AU69" s="100" t="s">
        <v>537</v>
      </c>
      <c r="AV69" s="128" t="s">
        <v>559</v>
      </c>
      <c r="AW69" s="100" t="s">
        <v>569</v>
      </c>
      <c r="AX69" s="433">
        <f t="shared" si="43"/>
        <v>0</v>
      </c>
      <c r="AY69" s="433">
        <f t="shared" si="44"/>
        <v>0</v>
      </c>
      <c r="AZ69" s="433">
        <f t="shared" si="45"/>
        <v>0</v>
      </c>
      <c r="BA69" s="433">
        <f t="shared" si="35"/>
        <v>0</v>
      </c>
      <c r="BB69" s="433">
        <f t="shared" si="36"/>
        <v>0</v>
      </c>
      <c r="BC69" s="433">
        <f t="shared" si="37"/>
        <v>0</v>
      </c>
      <c r="BD69" s="433">
        <f t="shared" si="46"/>
        <v>0</v>
      </c>
      <c r="BE69" s="433">
        <f t="shared" si="47"/>
        <v>0</v>
      </c>
      <c r="BF69" s="433">
        <f t="shared" si="48"/>
        <v>0</v>
      </c>
      <c r="BG69" s="433">
        <f t="shared" si="49"/>
        <v>0</v>
      </c>
      <c r="BH69" s="433">
        <f t="shared" si="50"/>
        <v>0</v>
      </c>
      <c r="BI69" s="433">
        <f t="shared" si="51"/>
        <v>0</v>
      </c>
      <c r="BJ69" s="433">
        <f t="shared" si="52"/>
        <v>0</v>
      </c>
      <c r="BK69" s="433">
        <f t="shared" si="53"/>
        <v>0</v>
      </c>
      <c r="BL69" s="433">
        <f t="shared" si="54"/>
        <v>0</v>
      </c>
      <c r="BM69" s="433">
        <f t="shared" si="55"/>
        <v>0</v>
      </c>
      <c r="BN69" s="433">
        <f t="shared" si="56"/>
        <v>0</v>
      </c>
      <c r="BO69" s="433">
        <f t="shared" si="57"/>
        <v>0</v>
      </c>
      <c r="BP69" s="433">
        <f t="shared" si="58"/>
        <v>0</v>
      </c>
      <c r="BQ69" s="433">
        <f t="shared" si="59"/>
        <v>0</v>
      </c>
    </row>
    <row r="70" spans="1:69" x14ac:dyDescent="0.2">
      <c r="A70" s="102">
        <v>41804</v>
      </c>
      <c r="B70" s="319">
        <v>1</v>
      </c>
      <c r="C70" s="118" t="s">
        <v>468</v>
      </c>
      <c r="D70" s="111">
        <v>0.6958333333333333</v>
      </c>
      <c r="E70" s="111">
        <v>0.73888888888888893</v>
      </c>
      <c r="F70" s="444"/>
      <c r="G70" s="445"/>
      <c r="H70" s="444"/>
      <c r="I70" s="390"/>
      <c r="J70" s="426">
        <f t="shared" si="32"/>
        <v>62.000000000000099</v>
      </c>
      <c r="K70" s="103"/>
      <c r="L70" s="103">
        <v>1</v>
      </c>
      <c r="M70" s="103"/>
      <c r="N70" s="427">
        <f t="shared" si="33"/>
        <v>1</v>
      </c>
      <c r="O70" s="103"/>
      <c r="P70" s="103"/>
      <c r="Q70" s="103"/>
      <c r="R70" s="428">
        <f t="shared" si="34"/>
        <v>0</v>
      </c>
      <c r="S70" s="103"/>
      <c r="T70" s="103"/>
      <c r="U70" s="103"/>
      <c r="V70" s="125"/>
      <c r="W70" s="428">
        <f t="shared" si="38"/>
        <v>0</v>
      </c>
      <c r="X70" s="103"/>
      <c r="Y70" s="103"/>
      <c r="Z70" s="125"/>
      <c r="AA70" s="428">
        <f t="shared" si="39"/>
        <v>0</v>
      </c>
      <c r="AB70" s="103"/>
      <c r="AC70" s="103"/>
      <c r="AD70" s="103"/>
      <c r="AE70" s="428">
        <f t="shared" si="40"/>
        <v>0</v>
      </c>
      <c r="AF70" s="103"/>
      <c r="AG70" s="103"/>
      <c r="AH70" s="103"/>
      <c r="AI70" s="103"/>
      <c r="AJ70" s="428">
        <f t="shared" si="41"/>
        <v>0</v>
      </c>
      <c r="AK70" s="446"/>
      <c r="AL70" s="446"/>
      <c r="AM70" s="446"/>
      <c r="AN70" s="446"/>
      <c r="AO70" s="446"/>
      <c r="AP70" s="446"/>
      <c r="AQ70" s="446"/>
      <c r="AR70" s="431">
        <f t="shared" si="42"/>
        <v>0</v>
      </c>
      <c r="AT70" s="128" t="s">
        <v>558</v>
      </c>
      <c r="AU70" s="100" t="s">
        <v>537</v>
      </c>
      <c r="AV70" s="128" t="s">
        <v>559</v>
      </c>
      <c r="AW70" s="100" t="s">
        <v>569</v>
      </c>
      <c r="AX70" s="433">
        <f t="shared" si="43"/>
        <v>0</v>
      </c>
      <c r="AY70" s="433">
        <f t="shared" si="44"/>
        <v>1</v>
      </c>
      <c r="AZ70" s="433">
        <f t="shared" si="45"/>
        <v>0</v>
      </c>
      <c r="BA70" s="433">
        <f t="shared" si="35"/>
        <v>0</v>
      </c>
      <c r="BB70" s="433">
        <f t="shared" si="36"/>
        <v>0</v>
      </c>
      <c r="BC70" s="433">
        <f t="shared" si="37"/>
        <v>0</v>
      </c>
      <c r="BD70" s="433">
        <f t="shared" si="46"/>
        <v>0</v>
      </c>
      <c r="BE70" s="433">
        <f t="shared" si="47"/>
        <v>0</v>
      </c>
      <c r="BF70" s="433">
        <f t="shared" si="48"/>
        <v>0</v>
      </c>
      <c r="BG70" s="433">
        <f t="shared" si="49"/>
        <v>0</v>
      </c>
      <c r="BH70" s="433">
        <f t="shared" si="50"/>
        <v>0</v>
      </c>
      <c r="BI70" s="433">
        <f t="shared" si="51"/>
        <v>0</v>
      </c>
      <c r="BJ70" s="433">
        <f t="shared" si="52"/>
        <v>0</v>
      </c>
      <c r="BK70" s="433">
        <f t="shared" si="53"/>
        <v>0</v>
      </c>
      <c r="BL70" s="433">
        <f t="shared" si="54"/>
        <v>0</v>
      </c>
      <c r="BM70" s="433">
        <f t="shared" si="55"/>
        <v>0</v>
      </c>
      <c r="BN70" s="433">
        <f t="shared" si="56"/>
        <v>0</v>
      </c>
      <c r="BO70" s="433">
        <f t="shared" si="57"/>
        <v>0</v>
      </c>
      <c r="BP70" s="433">
        <f t="shared" si="58"/>
        <v>0</v>
      </c>
      <c r="BQ70" s="433">
        <f t="shared" si="59"/>
        <v>0</v>
      </c>
    </row>
    <row r="71" spans="1:69" x14ac:dyDescent="0.2">
      <c r="A71" s="102">
        <v>41804</v>
      </c>
      <c r="B71" s="319">
        <v>1</v>
      </c>
      <c r="C71" s="323" t="s">
        <v>470</v>
      </c>
      <c r="D71" s="111">
        <v>0.73888888888888893</v>
      </c>
      <c r="E71" s="111">
        <v>0.78194444444444444</v>
      </c>
      <c r="F71" s="444">
        <v>72</v>
      </c>
      <c r="G71" s="445">
        <v>10</v>
      </c>
      <c r="H71" s="444"/>
      <c r="I71" s="390"/>
      <c r="J71" s="426">
        <f t="shared" si="32"/>
        <v>61.999999999999943</v>
      </c>
      <c r="K71" s="103"/>
      <c r="L71" s="103"/>
      <c r="M71" s="103"/>
      <c r="N71" s="427">
        <f t="shared" si="33"/>
        <v>0</v>
      </c>
      <c r="O71" s="103"/>
      <c r="P71" s="103"/>
      <c r="Q71" s="103"/>
      <c r="R71" s="428">
        <f t="shared" si="34"/>
        <v>0</v>
      </c>
      <c r="S71" s="103"/>
      <c r="T71" s="103"/>
      <c r="U71" s="103"/>
      <c r="V71" s="125"/>
      <c r="W71" s="428">
        <f t="shared" si="38"/>
        <v>0</v>
      </c>
      <c r="X71" s="103"/>
      <c r="Y71" s="103"/>
      <c r="Z71" s="125"/>
      <c r="AA71" s="428">
        <f t="shared" si="39"/>
        <v>0</v>
      </c>
      <c r="AB71" s="103"/>
      <c r="AC71" s="103"/>
      <c r="AD71" s="103"/>
      <c r="AE71" s="428">
        <f t="shared" si="40"/>
        <v>0</v>
      </c>
      <c r="AF71" s="103"/>
      <c r="AG71" s="103"/>
      <c r="AH71" s="103"/>
      <c r="AI71" s="103"/>
      <c r="AJ71" s="428">
        <f t="shared" si="41"/>
        <v>0</v>
      </c>
      <c r="AK71" s="446"/>
      <c r="AL71" s="446"/>
      <c r="AM71" s="446"/>
      <c r="AN71" s="446"/>
      <c r="AO71" s="446"/>
      <c r="AP71" s="446"/>
      <c r="AQ71" s="446"/>
      <c r="AR71" s="431">
        <f t="shared" si="42"/>
        <v>0</v>
      </c>
      <c r="AT71" s="128" t="s">
        <v>471</v>
      </c>
      <c r="AU71" s="100" t="s">
        <v>544</v>
      </c>
      <c r="AV71" s="128" t="s">
        <v>559</v>
      </c>
      <c r="AW71" s="100" t="s">
        <v>569</v>
      </c>
      <c r="AX71" s="433">
        <f t="shared" si="43"/>
        <v>0</v>
      </c>
      <c r="AY71" s="433">
        <f t="shared" si="44"/>
        <v>0</v>
      </c>
      <c r="AZ71" s="433">
        <f t="shared" si="45"/>
        <v>0</v>
      </c>
      <c r="BA71" s="433">
        <f t="shared" si="35"/>
        <v>0</v>
      </c>
      <c r="BB71" s="433">
        <f t="shared" si="36"/>
        <v>0</v>
      </c>
      <c r="BC71" s="433">
        <f t="shared" si="37"/>
        <v>0</v>
      </c>
      <c r="BD71" s="433">
        <f t="shared" si="46"/>
        <v>0</v>
      </c>
      <c r="BE71" s="433">
        <f t="shared" si="47"/>
        <v>0</v>
      </c>
      <c r="BF71" s="433">
        <f t="shared" si="48"/>
        <v>0</v>
      </c>
      <c r="BG71" s="433">
        <f t="shared" si="49"/>
        <v>0</v>
      </c>
      <c r="BH71" s="433">
        <f t="shared" si="50"/>
        <v>0</v>
      </c>
      <c r="BI71" s="433">
        <f t="shared" si="51"/>
        <v>0</v>
      </c>
      <c r="BJ71" s="433">
        <f t="shared" si="52"/>
        <v>0</v>
      </c>
      <c r="BK71" s="433">
        <f t="shared" si="53"/>
        <v>0</v>
      </c>
      <c r="BL71" s="433">
        <f t="shared" si="54"/>
        <v>0</v>
      </c>
      <c r="BM71" s="433">
        <f t="shared" si="55"/>
        <v>0</v>
      </c>
      <c r="BN71" s="433">
        <f t="shared" si="56"/>
        <v>0</v>
      </c>
      <c r="BO71" s="433">
        <f t="shared" si="57"/>
        <v>0</v>
      </c>
      <c r="BP71" s="433">
        <f t="shared" si="58"/>
        <v>0</v>
      </c>
      <c r="BQ71" s="433">
        <f t="shared" si="59"/>
        <v>0</v>
      </c>
    </row>
    <row r="72" spans="1:69" x14ac:dyDescent="0.2">
      <c r="A72" s="102">
        <v>41804</v>
      </c>
      <c r="B72" s="319">
        <v>1</v>
      </c>
      <c r="C72" s="118" t="s">
        <v>472</v>
      </c>
      <c r="D72" s="111">
        <v>0.78194444444444444</v>
      </c>
      <c r="E72" s="111">
        <v>0.88194444444444453</v>
      </c>
      <c r="F72" s="444">
        <v>70</v>
      </c>
      <c r="G72" s="445">
        <v>9</v>
      </c>
      <c r="H72" s="444"/>
      <c r="I72" s="390"/>
      <c r="J72" s="426">
        <f t="shared" si="32"/>
        <v>144.00000000000011</v>
      </c>
      <c r="K72" s="103"/>
      <c r="L72" s="103"/>
      <c r="M72" s="103"/>
      <c r="N72" s="427">
        <f t="shared" si="33"/>
        <v>0</v>
      </c>
      <c r="O72" s="103"/>
      <c r="P72" s="103"/>
      <c r="Q72" s="103"/>
      <c r="R72" s="428">
        <f t="shared" si="34"/>
        <v>0</v>
      </c>
      <c r="S72" s="103"/>
      <c r="T72" s="103"/>
      <c r="U72" s="103"/>
      <c r="V72" s="125"/>
      <c r="W72" s="428">
        <f t="shared" si="38"/>
        <v>0</v>
      </c>
      <c r="X72" s="103"/>
      <c r="Y72" s="103"/>
      <c r="Z72" s="125"/>
      <c r="AA72" s="428">
        <f t="shared" si="39"/>
        <v>0</v>
      </c>
      <c r="AB72" s="103"/>
      <c r="AC72" s="103"/>
      <c r="AD72" s="103"/>
      <c r="AE72" s="428">
        <f t="shared" si="40"/>
        <v>0</v>
      </c>
      <c r="AF72" s="103"/>
      <c r="AG72" s="103"/>
      <c r="AH72" s="103"/>
      <c r="AI72" s="103"/>
      <c r="AJ72" s="428">
        <f t="shared" si="41"/>
        <v>0</v>
      </c>
      <c r="AK72" s="446"/>
      <c r="AL72" s="446"/>
      <c r="AM72" s="446"/>
      <c r="AN72" s="446"/>
      <c r="AO72" s="446"/>
      <c r="AP72" s="446"/>
      <c r="AQ72" s="446"/>
      <c r="AR72" s="431">
        <f t="shared" si="42"/>
        <v>0</v>
      </c>
      <c r="AT72" s="128" t="s">
        <v>473</v>
      </c>
      <c r="AU72" s="100" t="s">
        <v>465</v>
      </c>
      <c r="AV72" s="128" t="s">
        <v>559</v>
      </c>
      <c r="AW72" s="100" t="s">
        <v>569</v>
      </c>
      <c r="AX72" s="433">
        <f t="shared" si="43"/>
        <v>0</v>
      </c>
      <c r="AY72" s="433">
        <f t="shared" si="44"/>
        <v>0</v>
      </c>
      <c r="AZ72" s="433">
        <f t="shared" si="45"/>
        <v>0</v>
      </c>
      <c r="BA72" s="433">
        <f t="shared" si="35"/>
        <v>0</v>
      </c>
      <c r="BB72" s="433">
        <f t="shared" si="36"/>
        <v>0</v>
      </c>
      <c r="BC72" s="433">
        <f t="shared" si="37"/>
        <v>0</v>
      </c>
      <c r="BD72" s="433">
        <f t="shared" si="46"/>
        <v>0</v>
      </c>
      <c r="BE72" s="433">
        <f t="shared" si="47"/>
        <v>0</v>
      </c>
      <c r="BF72" s="433">
        <f t="shared" si="48"/>
        <v>0</v>
      </c>
      <c r="BG72" s="433">
        <f t="shared" si="49"/>
        <v>0</v>
      </c>
      <c r="BH72" s="433">
        <f t="shared" si="50"/>
        <v>0</v>
      </c>
      <c r="BI72" s="433">
        <f t="shared" si="51"/>
        <v>0</v>
      </c>
      <c r="BJ72" s="433">
        <f t="shared" si="52"/>
        <v>0</v>
      </c>
      <c r="BK72" s="433">
        <f t="shared" si="53"/>
        <v>0</v>
      </c>
      <c r="BL72" s="433">
        <f t="shared" si="54"/>
        <v>0</v>
      </c>
      <c r="BM72" s="433">
        <f t="shared" si="55"/>
        <v>0</v>
      </c>
      <c r="BN72" s="433">
        <f t="shared" si="56"/>
        <v>0</v>
      </c>
      <c r="BO72" s="433">
        <f t="shared" si="57"/>
        <v>0</v>
      </c>
      <c r="BP72" s="433">
        <f t="shared" si="58"/>
        <v>0</v>
      </c>
      <c r="BQ72" s="433">
        <f t="shared" si="59"/>
        <v>0</v>
      </c>
    </row>
    <row r="73" spans="1:69" x14ac:dyDescent="0.2">
      <c r="A73" s="102">
        <v>41804</v>
      </c>
      <c r="B73" s="319">
        <v>1</v>
      </c>
      <c r="C73" s="118" t="s">
        <v>474</v>
      </c>
      <c r="D73" s="111">
        <v>0.88194444444444453</v>
      </c>
      <c r="E73" s="111">
        <v>0.95277777777777783</v>
      </c>
      <c r="F73" s="444">
        <v>69</v>
      </c>
      <c r="G73" s="445">
        <v>7</v>
      </c>
      <c r="H73" s="444"/>
      <c r="I73" s="390"/>
      <c r="J73" s="426">
        <f t="shared" si="32"/>
        <v>101.99999999999996</v>
      </c>
      <c r="K73" s="103"/>
      <c r="L73" s="103"/>
      <c r="M73" s="103"/>
      <c r="N73" s="427">
        <f t="shared" si="33"/>
        <v>0</v>
      </c>
      <c r="O73" s="103"/>
      <c r="P73" s="103"/>
      <c r="Q73" s="103"/>
      <c r="R73" s="428">
        <f t="shared" si="34"/>
        <v>0</v>
      </c>
      <c r="S73" s="103"/>
      <c r="T73" s="103"/>
      <c r="U73" s="103"/>
      <c r="V73" s="125"/>
      <c r="W73" s="428">
        <f t="shared" si="38"/>
        <v>0</v>
      </c>
      <c r="X73" s="103"/>
      <c r="Y73" s="103"/>
      <c r="Z73" s="125"/>
      <c r="AA73" s="428">
        <f t="shared" si="39"/>
        <v>0</v>
      </c>
      <c r="AB73" s="103"/>
      <c r="AC73" s="103"/>
      <c r="AD73" s="103"/>
      <c r="AE73" s="428">
        <f t="shared" si="40"/>
        <v>0</v>
      </c>
      <c r="AF73" s="103"/>
      <c r="AG73" s="103"/>
      <c r="AH73" s="103"/>
      <c r="AI73" s="103"/>
      <c r="AJ73" s="428">
        <f t="shared" si="41"/>
        <v>0</v>
      </c>
      <c r="AK73" s="446"/>
      <c r="AL73" s="446"/>
      <c r="AM73" s="446"/>
      <c r="AN73" s="446"/>
      <c r="AO73" s="446"/>
      <c r="AP73" s="446"/>
      <c r="AQ73" s="446"/>
      <c r="AR73" s="431">
        <f t="shared" si="42"/>
        <v>0</v>
      </c>
      <c r="AT73" s="128" t="s">
        <v>475</v>
      </c>
      <c r="AU73" s="100" t="s">
        <v>560</v>
      </c>
      <c r="AV73" s="128" t="s">
        <v>559</v>
      </c>
      <c r="AW73" s="100" t="s">
        <v>569</v>
      </c>
      <c r="AX73" s="433">
        <f t="shared" si="43"/>
        <v>0</v>
      </c>
      <c r="AY73" s="433">
        <f t="shared" si="44"/>
        <v>0</v>
      </c>
      <c r="AZ73" s="433">
        <f t="shared" si="45"/>
        <v>0</v>
      </c>
      <c r="BA73" s="433">
        <f t="shared" si="35"/>
        <v>0</v>
      </c>
      <c r="BB73" s="433">
        <f t="shared" si="36"/>
        <v>0</v>
      </c>
      <c r="BC73" s="433">
        <f t="shared" si="37"/>
        <v>0</v>
      </c>
      <c r="BD73" s="433">
        <f t="shared" si="46"/>
        <v>0</v>
      </c>
      <c r="BE73" s="433">
        <f t="shared" si="47"/>
        <v>0</v>
      </c>
      <c r="BF73" s="433">
        <f t="shared" si="48"/>
        <v>0</v>
      </c>
      <c r="BG73" s="433">
        <f t="shared" si="49"/>
        <v>0</v>
      </c>
      <c r="BH73" s="433">
        <f t="shared" si="50"/>
        <v>0</v>
      </c>
      <c r="BI73" s="433">
        <f t="shared" si="51"/>
        <v>0</v>
      </c>
      <c r="BJ73" s="433">
        <f t="shared" si="52"/>
        <v>0</v>
      </c>
      <c r="BK73" s="433">
        <f t="shared" si="53"/>
        <v>0</v>
      </c>
      <c r="BL73" s="433">
        <f t="shared" si="54"/>
        <v>0</v>
      </c>
      <c r="BM73" s="433">
        <f t="shared" si="55"/>
        <v>0</v>
      </c>
      <c r="BN73" s="433">
        <f t="shared" si="56"/>
        <v>0</v>
      </c>
      <c r="BO73" s="433">
        <f t="shared" si="57"/>
        <v>0</v>
      </c>
      <c r="BP73" s="433">
        <f t="shared" si="58"/>
        <v>0</v>
      </c>
      <c r="BQ73" s="433">
        <f t="shared" si="59"/>
        <v>0</v>
      </c>
    </row>
    <row r="74" spans="1:69" x14ac:dyDescent="0.2">
      <c r="A74" s="102">
        <v>41804</v>
      </c>
      <c r="B74" s="319">
        <v>2</v>
      </c>
      <c r="C74" s="118" t="s">
        <v>437</v>
      </c>
      <c r="D74" s="111">
        <v>0.31527777777777777</v>
      </c>
      <c r="E74" s="111">
        <v>0.31944444444444448</v>
      </c>
      <c r="F74" s="444">
        <v>40</v>
      </c>
      <c r="G74" s="445">
        <v>5</v>
      </c>
      <c r="H74" s="444"/>
      <c r="I74" s="390"/>
      <c r="J74" s="426">
        <f t="shared" si="32"/>
        <v>6.0000000000000586</v>
      </c>
      <c r="K74" s="103"/>
      <c r="L74" s="103"/>
      <c r="M74" s="103"/>
      <c r="N74" s="427">
        <f t="shared" si="33"/>
        <v>0</v>
      </c>
      <c r="O74" s="103"/>
      <c r="P74" s="103"/>
      <c r="Q74" s="103"/>
      <c r="R74" s="428">
        <f t="shared" si="34"/>
        <v>0</v>
      </c>
      <c r="S74" s="103"/>
      <c r="T74" s="103"/>
      <c r="U74" s="103"/>
      <c r="V74" s="125"/>
      <c r="W74" s="428">
        <f t="shared" si="38"/>
        <v>0</v>
      </c>
      <c r="X74" s="103"/>
      <c r="Y74" s="103"/>
      <c r="Z74" s="125"/>
      <c r="AA74" s="428">
        <f t="shared" si="39"/>
        <v>0</v>
      </c>
      <c r="AB74" s="103"/>
      <c r="AC74" s="103"/>
      <c r="AD74" s="103"/>
      <c r="AE74" s="428">
        <f t="shared" si="40"/>
        <v>0</v>
      </c>
      <c r="AF74" s="103"/>
      <c r="AG74" s="103"/>
      <c r="AH74" s="103"/>
      <c r="AI74" s="103"/>
      <c r="AJ74" s="428">
        <f t="shared" si="41"/>
        <v>0</v>
      </c>
      <c r="AK74" s="446"/>
      <c r="AL74" s="446"/>
      <c r="AM74" s="446"/>
      <c r="AN74" s="446"/>
      <c r="AO74" s="446"/>
      <c r="AP74" s="446"/>
      <c r="AQ74" s="446"/>
      <c r="AR74" s="431">
        <f t="shared" si="42"/>
        <v>0</v>
      </c>
      <c r="AT74" s="128" t="s">
        <v>476</v>
      </c>
      <c r="AU74" s="100" t="s">
        <v>536</v>
      </c>
      <c r="AV74" s="128" t="s">
        <v>559</v>
      </c>
      <c r="AW74" s="100" t="s">
        <v>569</v>
      </c>
      <c r="AX74" s="433">
        <f t="shared" si="43"/>
        <v>0</v>
      </c>
      <c r="AY74" s="433">
        <f t="shared" si="44"/>
        <v>0</v>
      </c>
      <c r="AZ74" s="433">
        <f t="shared" si="45"/>
        <v>0</v>
      </c>
      <c r="BA74" s="433">
        <f t="shared" si="35"/>
        <v>0</v>
      </c>
      <c r="BB74" s="433">
        <f t="shared" si="36"/>
        <v>0</v>
      </c>
      <c r="BC74" s="433">
        <f t="shared" si="37"/>
        <v>0</v>
      </c>
      <c r="BD74" s="433">
        <f t="shared" si="46"/>
        <v>0</v>
      </c>
      <c r="BE74" s="433">
        <f t="shared" si="47"/>
        <v>0</v>
      </c>
      <c r="BF74" s="433">
        <f t="shared" si="48"/>
        <v>0</v>
      </c>
      <c r="BG74" s="433">
        <f t="shared" si="49"/>
        <v>0</v>
      </c>
      <c r="BH74" s="433">
        <f t="shared" si="50"/>
        <v>0</v>
      </c>
      <c r="BI74" s="433">
        <f t="shared" si="51"/>
        <v>0</v>
      </c>
      <c r="BJ74" s="433">
        <f t="shared" si="52"/>
        <v>0</v>
      </c>
      <c r="BK74" s="433">
        <f t="shared" si="53"/>
        <v>0</v>
      </c>
      <c r="BL74" s="433">
        <f t="shared" si="54"/>
        <v>0</v>
      </c>
      <c r="BM74" s="433">
        <f t="shared" si="55"/>
        <v>0</v>
      </c>
      <c r="BN74" s="433">
        <f t="shared" si="56"/>
        <v>0</v>
      </c>
      <c r="BO74" s="433">
        <f t="shared" si="57"/>
        <v>0</v>
      </c>
      <c r="BP74" s="433">
        <f t="shared" si="58"/>
        <v>0</v>
      </c>
      <c r="BQ74" s="433">
        <f t="shared" si="59"/>
        <v>0</v>
      </c>
    </row>
    <row r="75" spans="1:69" x14ac:dyDescent="0.2">
      <c r="A75" s="102">
        <v>41804</v>
      </c>
      <c r="B75" s="319">
        <v>2</v>
      </c>
      <c r="C75" s="118" t="s">
        <v>477</v>
      </c>
      <c r="D75" s="111">
        <v>0.31944444444444448</v>
      </c>
      <c r="E75" s="111">
        <v>0.39583333333333331</v>
      </c>
      <c r="F75" s="444">
        <v>39</v>
      </c>
      <c r="G75" s="445">
        <v>5</v>
      </c>
      <c r="H75" s="444"/>
      <c r="I75" s="390"/>
      <c r="J75" s="426">
        <f t="shared" si="32"/>
        <v>109.99999999999993</v>
      </c>
      <c r="K75" s="103"/>
      <c r="L75" s="103"/>
      <c r="M75" s="103"/>
      <c r="N75" s="427">
        <f t="shared" si="33"/>
        <v>0</v>
      </c>
      <c r="O75" s="103"/>
      <c r="P75" s="103"/>
      <c r="Q75" s="103"/>
      <c r="R75" s="428">
        <f t="shared" si="34"/>
        <v>0</v>
      </c>
      <c r="S75" s="103"/>
      <c r="T75" s="103"/>
      <c r="U75" s="103"/>
      <c r="V75" s="125"/>
      <c r="W75" s="428">
        <f t="shared" si="38"/>
        <v>0</v>
      </c>
      <c r="X75" s="103"/>
      <c r="Y75" s="103"/>
      <c r="Z75" s="125"/>
      <c r="AA75" s="428">
        <f t="shared" si="39"/>
        <v>0</v>
      </c>
      <c r="AB75" s="103"/>
      <c r="AC75" s="103"/>
      <c r="AD75" s="103"/>
      <c r="AE75" s="428">
        <f t="shared" si="40"/>
        <v>0</v>
      </c>
      <c r="AF75" s="103"/>
      <c r="AG75" s="103"/>
      <c r="AH75" s="103"/>
      <c r="AI75" s="103"/>
      <c r="AJ75" s="428">
        <f t="shared" si="41"/>
        <v>0</v>
      </c>
      <c r="AK75" s="446"/>
      <c r="AL75" s="446"/>
      <c r="AM75" s="446"/>
      <c r="AN75" s="446"/>
      <c r="AO75" s="446"/>
      <c r="AP75" s="446"/>
      <c r="AQ75" s="446"/>
      <c r="AR75" s="431">
        <f t="shared" si="42"/>
        <v>0</v>
      </c>
      <c r="AS75" s="10" t="s">
        <v>478</v>
      </c>
      <c r="AT75" s="128" t="s">
        <v>424</v>
      </c>
      <c r="AU75" s="100" t="s">
        <v>535</v>
      </c>
      <c r="AV75" s="128" t="s">
        <v>559</v>
      </c>
      <c r="AW75" s="100" t="s">
        <v>569</v>
      </c>
      <c r="AX75" s="433">
        <f t="shared" si="43"/>
        <v>0</v>
      </c>
      <c r="AY75" s="433">
        <f t="shared" si="44"/>
        <v>0</v>
      </c>
      <c r="AZ75" s="433">
        <f t="shared" si="45"/>
        <v>0</v>
      </c>
      <c r="BA75" s="433">
        <f t="shared" si="35"/>
        <v>0</v>
      </c>
      <c r="BB75" s="433">
        <f t="shared" si="36"/>
        <v>0</v>
      </c>
      <c r="BC75" s="433">
        <f t="shared" si="37"/>
        <v>0</v>
      </c>
      <c r="BD75" s="433">
        <f t="shared" si="46"/>
        <v>0</v>
      </c>
      <c r="BE75" s="433">
        <f t="shared" si="47"/>
        <v>0</v>
      </c>
      <c r="BF75" s="433">
        <f t="shared" si="48"/>
        <v>0</v>
      </c>
      <c r="BG75" s="433">
        <f t="shared" si="49"/>
        <v>0</v>
      </c>
      <c r="BH75" s="433">
        <f t="shared" si="50"/>
        <v>0</v>
      </c>
      <c r="BI75" s="433">
        <f t="shared" si="51"/>
        <v>0</v>
      </c>
      <c r="BJ75" s="433">
        <f t="shared" si="52"/>
        <v>0</v>
      </c>
      <c r="BK75" s="433">
        <f t="shared" si="53"/>
        <v>0</v>
      </c>
      <c r="BL75" s="433">
        <f t="shared" si="54"/>
        <v>0</v>
      </c>
      <c r="BM75" s="433">
        <f t="shared" si="55"/>
        <v>0</v>
      </c>
      <c r="BN75" s="433">
        <f t="shared" si="56"/>
        <v>0</v>
      </c>
      <c r="BO75" s="433">
        <f t="shared" si="57"/>
        <v>0</v>
      </c>
      <c r="BP75" s="433">
        <f t="shared" si="58"/>
        <v>0</v>
      </c>
      <c r="BQ75" s="433">
        <f t="shared" si="59"/>
        <v>0</v>
      </c>
    </row>
    <row r="76" spans="1:69" x14ac:dyDescent="0.2">
      <c r="A76" s="102">
        <v>41804</v>
      </c>
      <c r="B76" s="319">
        <v>2</v>
      </c>
      <c r="C76" s="118" t="s">
        <v>445</v>
      </c>
      <c r="D76" s="111">
        <v>0.39583333333333331</v>
      </c>
      <c r="E76" s="111">
        <v>0.51527777777777783</v>
      </c>
      <c r="F76" s="444">
        <v>43</v>
      </c>
      <c r="G76" s="445">
        <v>7</v>
      </c>
      <c r="H76" s="444"/>
      <c r="I76" s="390"/>
      <c r="J76" s="426">
        <f t="shared" si="32"/>
        <v>172.00000000000011</v>
      </c>
      <c r="K76" s="103">
        <v>1</v>
      </c>
      <c r="L76" s="103"/>
      <c r="M76" s="103"/>
      <c r="N76" s="427">
        <f t="shared" si="33"/>
        <v>1</v>
      </c>
      <c r="O76" s="103"/>
      <c r="P76" s="103"/>
      <c r="Q76" s="103"/>
      <c r="R76" s="428">
        <f t="shared" si="34"/>
        <v>0</v>
      </c>
      <c r="S76" s="103"/>
      <c r="T76" s="103"/>
      <c r="U76" s="103"/>
      <c r="V76" s="125"/>
      <c r="W76" s="428">
        <f t="shared" si="38"/>
        <v>0</v>
      </c>
      <c r="X76" s="103"/>
      <c r="Y76" s="103"/>
      <c r="Z76" s="125"/>
      <c r="AA76" s="428">
        <f t="shared" si="39"/>
        <v>0</v>
      </c>
      <c r="AB76" s="103"/>
      <c r="AC76" s="103"/>
      <c r="AD76" s="103"/>
      <c r="AE76" s="428">
        <f t="shared" si="40"/>
        <v>0</v>
      </c>
      <c r="AF76" s="103"/>
      <c r="AG76" s="103"/>
      <c r="AH76" s="103"/>
      <c r="AI76" s="103"/>
      <c r="AJ76" s="428">
        <f t="shared" si="41"/>
        <v>0</v>
      </c>
      <c r="AK76" s="446"/>
      <c r="AL76" s="446"/>
      <c r="AM76" s="446"/>
      <c r="AN76" s="446"/>
      <c r="AO76" s="446"/>
      <c r="AP76" s="446"/>
      <c r="AQ76" s="446"/>
      <c r="AR76" s="431">
        <f t="shared" si="42"/>
        <v>0</v>
      </c>
      <c r="AS76" s="10" t="s">
        <v>479</v>
      </c>
      <c r="AT76" s="128"/>
      <c r="AU76" s="100" t="s">
        <v>534</v>
      </c>
      <c r="AV76" s="128" t="s">
        <v>559</v>
      </c>
      <c r="AW76" s="100" t="s">
        <v>569</v>
      </c>
      <c r="AX76" s="433">
        <f t="shared" si="43"/>
        <v>1</v>
      </c>
      <c r="AY76" s="433">
        <f t="shared" si="44"/>
        <v>0</v>
      </c>
      <c r="AZ76" s="433">
        <f t="shared" si="45"/>
        <v>0</v>
      </c>
      <c r="BA76" s="433">
        <f t="shared" si="35"/>
        <v>0</v>
      </c>
      <c r="BB76" s="433">
        <f t="shared" si="36"/>
        <v>0</v>
      </c>
      <c r="BC76" s="433">
        <f t="shared" si="37"/>
        <v>0</v>
      </c>
      <c r="BD76" s="433">
        <f t="shared" si="46"/>
        <v>0</v>
      </c>
      <c r="BE76" s="433">
        <f t="shared" si="47"/>
        <v>0</v>
      </c>
      <c r="BF76" s="433">
        <f t="shared" si="48"/>
        <v>0</v>
      </c>
      <c r="BG76" s="433">
        <f t="shared" si="49"/>
        <v>0</v>
      </c>
      <c r="BH76" s="433">
        <f t="shared" si="50"/>
        <v>0</v>
      </c>
      <c r="BI76" s="433">
        <f t="shared" si="51"/>
        <v>0</v>
      </c>
      <c r="BJ76" s="433">
        <f t="shared" si="52"/>
        <v>0</v>
      </c>
      <c r="BK76" s="433">
        <f t="shared" si="53"/>
        <v>0</v>
      </c>
      <c r="BL76" s="433">
        <f t="shared" si="54"/>
        <v>0</v>
      </c>
      <c r="BM76" s="433">
        <f t="shared" si="55"/>
        <v>0</v>
      </c>
      <c r="BN76" s="433">
        <f t="shared" si="56"/>
        <v>0</v>
      </c>
      <c r="BO76" s="433">
        <f t="shared" si="57"/>
        <v>0</v>
      </c>
      <c r="BP76" s="433">
        <f t="shared" si="58"/>
        <v>0</v>
      </c>
      <c r="BQ76" s="433">
        <f t="shared" si="59"/>
        <v>0</v>
      </c>
    </row>
    <row r="77" spans="1:69" x14ac:dyDescent="0.2">
      <c r="A77" s="102">
        <v>41804</v>
      </c>
      <c r="B77" s="319">
        <v>2</v>
      </c>
      <c r="C77" s="118" t="s">
        <v>358</v>
      </c>
      <c r="D77" s="111">
        <v>0.51527777777777783</v>
      </c>
      <c r="E77" s="111">
        <v>0.59513888888888888</v>
      </c>
      <c r="F77" s="444">
        <v>45</v>
      </c>
      <c r="G77" s="445">
        <v>8</v>
      </c>
      <c r="H77" s="444"/>
      <c r="I77" s="390"/>
      <c r="J77" s="426">
        <f t="shared" si="32"/>
        <v>114.99999999999991</v>
      </c>
      <c r="K77" s="103">
        <v>1</v>
      </c>
      <c r="L77" s="103"/>
      <c r="M77" s="103"/>
      <c r="N77" s="427">
        <f t="shared" si="33"/>
        <v>1</v>
      </c>
      <c r="O77" s="103"/>
      <c r="P77" s="103"/>
      <c r="Q77" s="103"/>
      <c r="R77" s="428">
        <f t="shared" si="34"/>
        <v>0</v>
      </c>
      <c r="S77" s="103"/>
      <c r="T77" s="103"/>
      <c r="U77" s="103"/>
      <c r="V77" s="125"/>
      <c r="W77" s="428">
        <f t="shared" si="38"/>
        <v>0</v>
      </c>
      <c r="X77" s="103"/>
      <c r="Y77" s="103"/>
      <c r="Z77" s="125"/>
      <c r="AA77" s="428">
        <f t="shared" si="39"/>
        <v>0</v>
      </c>
      <c r="AB77" s="103"/>
      <c r="AC77" s="103"/>
      <c r="AD77" s="103"/>
      <c r="AE77" s="428">
        <f t="shared" si="40"/>
        <v>0</v>
      </c>
      <c r="AF77" s="103"/>
      <c r="AG77" s="103"/>
      <c r="AH77" s="103"/>
      <c r="AI77" s="103"/>
      <c r="AJ77" s="428">
        <f t="shared" si="41"/>
        <v>0</v>
      </c>
      <c r="AK77" s="446"/>
      <c r="AL77" s="446"/>
      <c r="AM77" s="446"/>
      <c r="AN77" s="446"/>
      <c r="AO77" s="446"/>
      <c r="AP77" s="446"/>
      <c r="AQ77" s="446"/>
      <c r="AR77" s="431">
        <f t="shared" si="42"/>
        <v>0</v>
      </c>
      <c r="AT77" s="128" t="s">
        <v>480</v>
      </c>
      <c r="AU77" s="100" t="s">
        <v>535</v>
      </c>
      <c r="AV77" s="128" t="s">
        <v>559</v>
      </c>
      <c r="AW77" s="100" t="s">
        <v>569</v>
      </c>
      <c r="AX77" s="433">
        <f t="shared" si="43"/>
        <v>1</v>
      </c>
      <c r="AY77" s="433">
        <f t="shared" si="44"/>
        <v>0</v>
      </c>
      <c r="AZ77" s="433">
        <f t="shared" si="45"/>
        <v>0</v>
      </c>
      <c r="BA77" s="433">
        <f t="shared" si="35"/>
        <v>0</v>
      </c>
      <c r="BB77" s="433">
        <f t="shared" si="36"/>
        <v>0</v>
      </c>
      <c r="BC77" s="433">
        <f t="shared" si="37"/>
        <v>0</v>
      </c>
      <c r="BD77" s="433">
        <f t="shared" si="46"/>
        <v>0</v>
      </c>
      <c r="BE77" s="433">
        <f t="shared" si="47"/>
        <v>0</v>
      </c>
      <c r="BF77" s="433">
        <f t="shared" si="48"/>
        <v>0</v>
      </c>
      <c r="BG77" s="433">
        <f t="shared" si="49"/>
        <v>0</v>
      </c>
      <c r="BH77" s="433">
        <f t="shared" si="50"/>
        <v>0</v>
      </c>
      <c r="BI77" s="433">
        <f t="shared" si="51"/>
        <v>0</v>
      </c>
      <c r="BJ77" s="433">
        <f t="shared" si="52"/>
        <v>0</v>
      </c>
      <c r="BK77" s="433">
        <f t="shared" si="53"/>
        <v>0</v>
      </c>
      <c r="BL77" s="433">
        <f t="shared" si="54"/>
        <v>0</v>
      </c>
      <c r="BM77" s="433">
        <f t="shared" si="55"/>
        <v>0</v>
      </c>
      <c r="BN77" s="433">
        <f t="shared" si="56"/>
        <v>0</v>
      </c>
      <c r="BO77" s="433">
        <f t="shared" si="57"/>
        <v>0</v>
      </c>
      <c r="BP77" s="433">
        <f t="shared" si="58"/>
        <v>0</v>
      </c>
      <c r="BQ77" s="433">
        <f t="shared" si="59"/>
        <v>0</v>
      </c>
    </row>
    <row r="78" spans="1:69" x14ac:dyDescent="0.2">
      <c r="A78" s="102">
        <v>41804</v>
      </c>
      <c r="B78" s="319">
        <v>2</v>
      </c>
      <c r="C78" s="118" t="s">
        <v>468</v>
      </c>
      <c r="D78" s="111">
        <v>0.59513888888888888</v>
      </c>
      <c r="E78" s="111">
        <v>0.66805555555555562</v>
      </c>
      <c r="F78" s="444">
        <v>48</v>
      </c>
      <c r="G78" s="445">
        <v>8</v>
      </c>
      <c r="H78" s="444"/>
      <c r="I78" s="390"/>
      <c r="J78" s="426">
        <f t="shared" si="32"/>
        <v>105.00000000000011</v>
      </c>
      <c r="K78" s="103">
        <v>1</v>
      </c>
      <c r="L78" s="103"/>
      <c r="M78" s="103"/>
      <c r="N78" s="427">
        <f t="shared" si="33"/>
        <v>1</v>
      </c>
      <c r="O78" s="103"/>
      <c r="P78" s="103"/>
      <c r="Q78" s="103"/>
      <c r="R78" s="428">
        <f t="shared" si="34"/>
        <v>0</v>
      </c>
      <c r="S78" s="103"/>
      <c r="T78" s="103"/>
      <c r="U78" s="103"/>
      <c r="V78" s="125"/>
      <c r="W78" s="428">
        <f t="shared" si="38"/>
        <v>0</v>
      </c>
      <c r="X78" s="103"/>
      <c r="Y78" s="103"/>
      <c r="Z78" s="125"/>
      <c r="AA78" s="428">
        <f t="shared" si="39"/>
        <v>0</v>
      </c>
      <c r="AB78" s="103"/>
      <c r="AC78" s="103"/>
      <c r="AD78" s="103"/>
      <c r="AE78" s="428">
        <f>SUM(AB78:AD78)</f>
        <v>0</v>
      </c>
      <c r="AF78" s="103"/>
      <c r="AG78" s="103"/>
      <c r="AH78" s="103"/>
      <c r="AI78" s="103"/>
      <c r="AJ78" s="428">
        <f t="shared" si="41"/>
        <v>0</v>
      </c>
      <c r="AK78" s="446"/>
      <c r="AL78" s="446"/>
      <c r="AM78" s="446"/>
      <c r="AN78" s="446"/>
      <c r="AO78" s="446"/>
      <c r="AP78" s="446"/>
      <c r="AQ78" s="446"/>
      <c r="AR78" s="431">
        <f t="shared" si="42"/>
        <v>0</v>
      </c>
      <c r="AS78" s="10" t="s">
        <v>481</v>
      </c>
      <c r="AT78" s="128"/>
      <c r="AU78" s="100" t="s">
        <v>536</v>
      </c>
      <c r="AV78" s="128" t="s">
        <v>559</v>
      </c>
      <c r="AW78" s="100" t="s">
        <v>569</v>
      </c>
      <c r="AX78" s="433">
        <f t="shared" si="43"/>
        <v>1</v>
      </c>
      <c r="AY78" s="433">
        <f t="shared" si="44"/>
        <v>0</v>
      </c>
      <c r="AZ78" s="433">
        <f t="shared" si="45"/>
        <v>0</v>
      </c>
      <c r="BA78" s="433">
        <f t="shared" si="35"/>
        <v>0</v>
      </c>
      <c r="BB78" s="433">
        <f t="shared" si="36"/>
        <v>0</v>
      </c>
      <c r="BC78" s="433">
        <f t="shared" si="37"/>
        <v>0</v>
      </c>
      <c r="BD78" s="433">
        <f t="shared" si="46"/>
        <v>0</v>
      </c>
      <c r="BE78" s="433">
        <f t="shared" si="47"/>
        <v>0</v>
      </c>
      <c r="BF78" s="433">
        <f t="shared" si="48"/>
        <v>0</v>
      </c>
      <c r="BG78" s="433">
        <f t="shared" si="49"/>
        <v>0</v>
      </c>
      <c r="BH78" s="433">
        <f t="shared" si="50"/>
        <v>0</v>
      </c>
      <c r="BI78" s="433">
        <f t="shared" si="51"/>
        <v>0</v>
      </c>
      <c r="BJ78" s="433">
        <f t="shared" si="52"/>
        <v>0</v>
      </c>
      <c r="BK78" s="433">
        <f t="shared" si="53"/>
        <v>0</v>
      </c>
      <c r="BL78" s="433">
        <f t="shared" si="54"/>
        <v>0</v>
      </c>
      <c r="BM78" s="433">
        <f t="shared" si="55"/>
        <v>0</v>
      </c>
      <c r="BN78" s="433">
        <f t="shared" si="56"/>
        <v>0</v>
      </c>
      <c r="BO78" s="433">
        <f t="shared" si="57"/>
        <v>0</v>
      </c>
      <c r="BP78" s="433">
        <f t="shared" si="58"/>
        <v>0</v>
      </c>
      <c r="BQ78" s="433">
        <f t="shared" si="59"/>
        <v>0</v>
      </c>
    </row>
    <row r="79" spans="1:69" x14ac:dyDescent="0.2">
      <c r="A79" s="102">
        <v>41804</v>
      </c>
      <c r="B79" s="319">
        <v>2</v>
      </c>
      <c r="C79" s="118" t="s">
        <v>470</v>
      </c>
      <c r="D79" s="111">
        <v>0.66805555555555562</v>
      </c>
      <c r="E79" s="111">
        <v>0.76736111111111116</v>
      </c>
      <c r="F79" s="444">
        <v>44</v>
      </c>
      <c r="G79" s="445">
        <v>8</v>
      </c>
      <c r="H79" s="444"/>
      <c r="I79" s="390"/>
      <c r="J79" s="426">
        <f t="shared" si="32"/>
        <v>142.99999999999997</v>
      </c>
      <c r="K79" s="103">
        <v>1</v>
      </c>
      <c r="L79" s="103"/>
      <c r="M79" s="103"/>
      <c r="N79" s="427">
        <f t="shared" si="33"/>
        <v>1</v>
      </c>
      <c r="O79" s="103"/>
      <c r="P79" s="103"/>
      <c r="Q79" s="103"/>
      <c r="R79" s="428">
        <f t="shared" si="34"/>
        <v>0</v>
      </c>
      <c r="S79" s="103"/>
      <c r="T79" s="103"/>
      <c r="U79" s="103"/>
      <c r="V79" s="125"/>
      <c r="W79" s="428">
        <f t="shared" si="38"/>
        <v>0</v>
      </c>
      <c r="X79" s="103"/>
      <c r="Y79" s="103"/>
      <c r="Z79" s="125"/>
      <c r="AA79" s="428">
        <f t="shared" si="39"/>
        <v>0</v>
      </c>
      <c r="AB79" s="103"/>
      <c r="AC79" s="103"/>
      <c r="AD79" s="103"/>
      <c r="AE79" s="428">
        <f t="shared" si="40"/>
        <v>0</v>
      </c>
      <c r="AF79" s="103"/>
      <c r="AG79" s="103"/>
      <c r="AH79" s="103"/>
      <c r="AI79" s="103"/>
      <c r="AJ79" s="428">
        <f t="shared" si="41"/>
        <v>0</v>
      </c>
      <c r="AK79" s="446"/>
      <c r="AL79" s="446"/>
      <c r="AM79" s="446"/>
      <c r="AN79" s="446"/>
      <c r="AO79" s="446"/>
      <c r="AP79" s="446"/>
      <c r="AQ79" s="446"/>
      <c r="AR79" s="431">
        <f t="shared" si="42"/>
        <v>0</v>
      </c>
      <c r="AT79" s="128" t="s">
        <v>483</v>
      </c>
      <c r="AU79" s="100" t="s">
        <v>465</v>
      </c>
      <c r="AV79" s="128" t="s">
        <v>559</v>
      </c>
      <c r="AW79" s="100" t="s">
        <v>569</v>
      </c>
      <c r="AX79" s="433">
        <f t="shared" si="43"/>
        <v>1</v>
      </c>
      <c r="AY79" s="433">
        <f t="shared" si="44"/>
        <v>0</v>
      </c>
      <c r="AZ79" s="433">
        <f t="shared" si="45"/>
        <v>0</v>
      </c>
      <c r="BA79" s="433">
        <f t="shared" si="35"/>
        <v>0</v>
      </c>
      <c r="BB79" s="433">
        <f t="shared" si="36"/>
        <v>0</v>
      </c>
      <c r="BC79" s="433">
        <f t="shared" si="37"/>
        <v>0</v>
      </c>
      <c r="BD79" s="433">
        <f t="shared" si="46"/>
        <v>0</v>
      </c>
      <c r="BE79" s="433">
        <f t="shared" si="47"/>
        <v>0</v>
      </c>
      <c r="BF79" s="433">
        <f t="shared" si="48"/>
        <v>0</v>
      </c>
      <c r="BG79" s="433">
        <f t="shared" si="49"/>
        <v>0</v>
      </c>
      <c r="BH79" s="433">
        <f t="shared" si="50"/>
        <v>0</v>
      </c>
      <c r="BI79" s="433">
        <f t="shared" si="51"/>
        <v>0</v>
      </c>
      <c r="BJ79" s="433">
        <f t="shared" si="52"/>
        <v>0</v>
      </c>
      <c r="BK79" s="433">
        <f t="shared" si="53"/>
        <v>0</v>
      </c>
      <c r="BL79" s="433">
        <f t="shared" si="54"/>
        <v>0</v>
      </c>
      <c r="BM79" s="433">
        <f t="shared" si="55"/>
        <v>0</v>
      </c>
      <c r="BN79" s="433">
        <f t="shared" si="56"/>
        <v>0</v>
      </c>
      <c r="BO79" s="433">
        <f t="shared" si="57"/>
        <v>0</v>
      </c>
      <c r="BP79" s="433">
        <f t="shared" si="58"/>
        <v>0</v>
      </c>
      <c r="BQ79" s="433">
        <f t="shared" si="59"/>
        <v>0</v>
      </c>
    </row>
    <row r="80" spans="1:69" x14ac:dyDescent="0.2">
      <c r="A80" s="102">
        <v>41804</v>
      </c>
      <c r="B80" s="319">
        <v>2</v>
      </c>
      <c r="C80" s="118" t="s">
        <v>482</v>
      </c>
      <c r="D80" s="111">
        <v>0.76736111111111116</v>
      </c>
      <c r="E80" s="111">
        <v>0.86041666666666661</v>
      </c>
      <c r="F80" s="444">
        <v>42</v>
      </c>
      <c r="G80" s="445">
        <v>8</v>
      </c>
      <c r="H80" s="444"/>
      <c r="I80" s="390"/>
      <c r="J80" s="426">
        <f t="shared" si="32"/>
        <v>133.99999999999983</v>
      </c>
      <c r="K80" s="103">
        <v>2</v>
      </c>
      <c r="L80" s="103"/>
      <c r="M80" s="103"/>
      <c r="N80" s="427">
        <f t="shared" si="33"/>
        <v>2</v>
      </c>
      <c r="O80" s="103"/>
      <c r="P80" s="103"/>
      <c r="Q80" s="103"/>
      <c r="R80" s="428">
        <f t="shared" si="34"/>
        <v>0</v>
      </c>
      <c r="S80" s="103"/>
      <c r="T80" s="103"/>
      <c r="U80" s="103"/>
      <c r="V80" s="125"/>
      <c r="W80" s="428">
        <f t="shared" si="38"/>
        <v>0</v>
      </c>
      <c r="X80" s="103"/>
      <c r="Y80" s="103"/>
      <c r="Z80" s="125"/>
      <c r="AA80" s="428">
        <f t="shared" si="39"/>
        <v>0</v>
      </c>
      <c r="AB80" s="103"/>
      <c r="AC80" s="103"/>
      <c r="AD80" s="103"/>
      <c r="AE80" s="428">
        <f t="shared" si="40"/>
        <v>0</v>
      </c>
      <c r="AF80" s="103"/>
      <c r="AG80" s="103"/>
      <c r="AH80" s="103"/>
      <c r="AI80" s="103"/>
      <c r="AJ80" s="428">
        <f t="shared" si="41"/>
        <v>0</v>
      </c>
      <c r="AK80" s="446"/>
      <c r="AL80" s="446"/>
      <c r="AM80" s="446"/>
      <c r="AN80" s="446"/>
      <c r="AO80" s="446"/>
      <c r="AP80" s="446"/>
      <c r="AQ80" s="446"/>
      <c r="AR80" s="431">
        <f t="shared" si="42"/>
        <v>0</v>
      </c>
      <c r="AT80" s="128" t="s">
        <v>484</v>
      </c>
      <c r="AU80" s="100" t="s">
        <v>465</v>
      </c>
      <c r="AV80" s="128" t="s">
        <v>559</v>
      </c>
      <c r="AW80" s="100" t="s">
        <v>569</v>
      </c>
      <c r="AX80" s="433">
        <f t="shared" si="43"/>
        <v>2</v>
      </c>
      <c r="AY80" s="433">
        <f t="shared" si="44"/>
        <v>0</v>
      </c>
      <c r="AZ80" s="433">
        <f t="shared" si="45"/>
        <v>0</v>
      </c>
      <c r="BA80" s="433">
        <f t="shared" si="35"/>
        <v>0</v>
      </c>
      <c r="BB80" s="433">
        <f t="shared" si="36"/>
        <v>0</v>
      </c>
      <c r="BC80" s="433">
        <f t="shared" si="37"/>
        <v>0</v>
      </c>
      <c r="BD80" s="433">
        <f t="shared" si="46"/>
        <v>0</v>
      </c>
      <c r="BE80" s="433">
        <f t="shared" si="47"/>
        <v>0</v>
      </c>
      <c r="BF80" s="433">
        <f t="shared" si="48"/>
        <v>0</v>
      </c>
      <c r="BG80" s="433">
        <f t="shared" si="49"/>
        <v>0</v>
      </c>
      <c r="BH80" s="433">
        <f t="shared" si="50"/>
        <v>0</v>
      </c>
      <c r="BI80" s="433">
        <f t="shared" si="51"/>
        <v>0</v>
      </c>
      <c r="BJ80" s="433">
        <f t="shared" si="52"/>
        <v>0</v>
      </c>
      <c r="BK80" s="433">
        <f t="shared" si="53"/>
        <v>0</v>
      </c>
      <c r="BL80" s="433">
        <f t="shared" si="54"/>
        <v>0</v>
      </c>
      <c r="BM80" s="433">
        <f t="shared" si="55"/>
        <v>0</v>
      </c>
      <c r="BN80" s="433">
        <f t="shared" si="56"/>
        <v>0</v>
      </c>
      <c r="BO80" s="433">
        <f t="shared" si="57"/>
        <v>0</v>
      </c>
      <c r="BP80" s="433">
        <f t="shared" si="58"/>
        <v>0</v>
      </c>
      <c r="BQ80" s="433">
        <f t="shared" si="59"/>
        <v>0</v>
      </c>
    </row>
    <row r="81" spans="1:69" x14ac:dyDescent="0.2">
      <c r="A81" s="102">
        <v>41804</v>
      </c>
      <c r="B81" s="319">
        <v>2</v>
      </c>
      <c r="C81" s="118" t="s">
        <v>474</v>
      </c>
      <c r="D81" s="111">
        <v>0.86041666666666661</v>
      </c>
      <c r="E81" s="111">
        <v>0.96527777777777779</v>
      </c>
      <c r="F81" s="444">
        <v>39</v>
      </c>
      <c r="G81" s="445">
        <v>8</v>
      </c>
      <c r="H81" s="444"/>
      <c r="I81" s="390"/>
      <c r="J81" s="426">
        <f t="shared" si="32"/>
        <v>151.00000000000011</v>
      </c>
      <c r="K81" s="103"/>
      <c r="L81" s="103"/>
      <c r="M81" s="103"/>
      <c r="N81" s="427">
        <f t="shared" si="33"/>
        <v>0</v>
      </c>
      <c r="O81" s="103"/>
      <c r="P81" s="103"/>
      <c r="Q81" s="103"/>
      <c r="R81" s="428">
        <f t="shared" si="34"/>
        <v>0</v>
      </c>
      <c r="S81" s="103"/>
      <c r="T81" s="103"/>
      <c r="U81" s="103"/>
      <c r="V81" s="125"/>
      <c r="W81" s="428">
        <f t="shared" si="38"/>
        <v>0</v>
      </c>
      <c r="X81" s="103"/>
      <c r="Y81" s="103"/>
      <c r="Z81" s="125"/>
      <c r="AA81" s="428">
        <f t="shared" si="39"/>
        <v>0</v>
      </c>
      <c r="AB81" s="103"/>
      <c r="AC81" s="103"/>
      <c r="AD81" s="103"/>
      <c r="AE81" s="428">
        <f t="shared" si="40"/>
        <v>0</v>
      </c>
      <c r="AF81" s="103"/>
      <c r="AG81" s="103"/>
      <c r="AH81" s="103"/>
      <c r="AI81" s="103"/>
      <c r="AJ81" s="428">
        <f t="shared" si="41"/>
        <v>0</v>
      </c>
      <c r="AK81" s="446"/>
      <c r="AL81" s="446"/>
      <c r="AM81" s="446"/>
      <c r="AN81" s="446"/>
      <c r="AO81" s="446"/>
      <c r="AP81" s="446"/>
      <c r="AQ81" s="446"/>
      <c r="AR81" s="431">
        <f t="shared" si="42"/>
        <v>0</v>
      </c>
      <c r="AT81" s="128" t="s">
        <v>485</v>
      </c>
      <c r="AU81" s="100" t="s">
        <v>560</v>
      </c>
      <c r="AV81" s="128" t="s">
        <v>559</v>
      </c>
      <c r="AW81" s="100" t="s">
        <v>569</v>
      </c>
      <c r="AX81" s="433">
        <f t="shared" si="43"/>
        <v>0</v>
      </c>
      <c r="AY81" s="433">
        <f t="shared" si="44"/>
        <v>0</v>
      </c>
      <c r="AZ81" s="433">
        <f t="shared" si="45"/>
        <v>0</v>
      </c>
      <c r="BA81" s="433">
        <f t="shared" si="35"/>
        <v>0</v>
      </c>
      <c r="BB81" s="433">
        <f t="shared" si="36"/>
        <v>0</v>
      </c>
      <c r="BC81" s="433">
        <f t="shared" si="37"/>
        <v>0</v>
      </c>
      <c r="BD81" s="433">
        <f t="shared" si="46"/>
        <v>0</v>
      </c>
      <c r="BE81" s="433">
        <f t="shared" si="47"/>
        <v>0</v>
      </c>
      <c r="BF81" s="433">
        <f t="shared" si="48"/>
        <v>0</v>
      </c>
      <c r="BG81" s="433">
        <f t="shared" si="49"/>
        <v>0</v>
      </c>
      <c r="BH81" s="433">
        <f t="shared" si="50"/>
        <v>0</v>
      </c>
      <c r="BI81" s="433">
        <f t="shared" si="51"/>
        <v>0</v>
      </c>
      <c r="BJ81" s="433">
        <f t="shared" si="52"/>
        <v>0</v>
      </c>
      <c r="BK81" s="433">
        <f t="shared" si="53"/>
        <v>0</v>
      </c>
      <c r="BL81" s="433">
        <f t="shared" si="54"/>
        <v>0</v>
      </c>
      <c r="BM81" s="433">
        <f t="shared" si="55"/>
        <v>0</v>
      </c>
      <c r="BN81" s="433">
        <f t="shared" si="56"/>
        <v>0</v>
      </c>
      <c r="BO81" s="433">
        <f t="shared" si="57"/>
        <v>0</v>
      </c>
      <c r="BP81" s="433">
        <f t="shared" si="58"/>
        <v>0</v>
      </c>
      <c r="BQ81" s="433">
        <f t="shared" si="59"/>
        <v>0</v>
      </c>
    </row>
    <row r="82" spans="1:69" x14ac:dyDescent="0.2">
      <c r="A82" s="102">
        <v>41804</v>
      </c>
      <c r="B82" s="319">
        <v>3</v>
      </c>
      <c r="C82" s="118" t="s">
        <v>420</v>
      </c>
      <c r="D82" s="111">
        <v>0.30208333333333331</v>
      </c>
      <c r="E82" s="111">
        <v>0.30555555555555552</v>
      </c>
      <c r="F82" s="444">
        <v>42</v>
      </c>
      <c r="G82" s="445">
        <v>8</v>
      </c>
      <c r="H82" s="444"/>
      <c r="I82" s="390"/>
      <c r="J82" s="426">
        <f t="shared" si="32"/>
        <v>4.9999999999999822</v>
      </c>
      <c r="K82" s="103"/>
      <c r="L82" s="103"/>
      <c r="M82" s="103"/>
      <c r="N82" s="427">
        <f t="shared" si="33"/>
        <v>0</v>
      </c>
      <c r="O82" s="103"/>
      <c r="P82" s="103"/>
      <c r="Q82" s="103"/>
      <c r="R82" s="428">
        <f t="shared" si="34"/>
        <v>0</v>
      </c>
      <c r="S82" s="103"/>
      <c r="T82" s="103"/>
      <c r="U82" s="103"/>
      <c r="V82" s="125"/>
      <c r="W82" s="428">
        <f t="shared" si="38"/>
        <v>0</v>
      </c>
      <c r="X82" s="103"/>
      <c r="Y82" s="103"/>
      <c r="Z82" s="125"/>
      <c r="AA82" s="428">
        <f t="shared" si="39"/>
        <v>0</v>
      </c>
      <c r="AB82" s="103"/>
      <c r="AC82" s="103"/>
      <c r="AD82" s="103"/>
      <c r="AE82" s="428">
        <f t="shared" si="40"/>
        <v>0</v>
      </c>
      <c r="AF82" s="103"/>
      <c r="AG82" s="103"/>
      <c r="AH82" s="103"/>
      <c r="AI82" s="103"/>
      <c r="AJ82" s="428">
        <f t="shared" si="41"/>
        <v>0</v>
      </c>
      <c r="AK82" s="446"/>
      <c r="AL82" s="446"/>
      <c r="AM82" s="446"/>
      <c r="AN82" s="446"/>
      <c r="AO82" s="446"/>
      <c r="AP82" s="446"/>
      <c r="AQ82" s="446"/>
      <c r="AR82" s="431">
        <f t="shared" si="42"/>
        <v>0</v>
      </c>
      <c r="AT82" s="128" t="s">
        <v>488</v>
      </c>
      <c r="AU82" s="100" t="s">
        <v>552</v>
      </c>
      <c r="AV82" s="128" t="s">
        <v>559</v>
      </c>
      <c r="AW82" s="100" t="s">
        <v>569</v>
      </c>
      <c r="AX82" s="433">
        <f t="shared" si="43"/>
        <v>0</v>
      </c>
      <c r="AY82" s="433">
        <f t="shared" si="44"/>
        <v>0</v>
      </c>
      <c r="AZ82" s="433">
        <f t="shared" si="45"/>
        <v>0</v>
      </c>
      <c r="BA82" s="433">
        <f t="shared" si="35"/>
        <v>0</v>
      </c>
      <c r="BB82" s="433">
        <f t="shared" si="36"/>
        <v>0</v>
      </c>
      <c r="BC82" s="433">
        <f t="shared" si="37"/>
        <v>0</v>
      </c>
      <c r="BD82" s="433">
        <f t="shared" si="46"/>
        <v>0</v>
      </c>
      <c r="BE82" s="433">
        <f t="shared" si="47"/>
        <v>0</v>
      </c>
      <c r="BF82" s="433">
        <f t="shared" si="48"/>
        <v>0</v>
      </c>
      <c r="BG82" s="433">
        <f t="shared" si="49"/>
        <v>0</v>
      </c>
      <c r="BH82" s="433">
        <f t="shared" si="50"/>
        <v>0</v>
      </c>
      <c r="BI82" s="433">
        <f t="shared" si="51"/>
        <v>0</v>
      </c>
      <c r="BJ82" s="433">
        <f t="shared" si="52"/>
        <v>0</v>
      </c>
      <c r="BK82" s="433">
        <f t="shared" si="53"/>
        <v>0</v>
      </c>
      <c r="BL82" s="433">
        <f t="shared" si="54"/>
        <v>0</v>
      </c>
      <c r="BM82" s="433">
        <f t="shared" si="55"/>
        <v>0</v>
      </c>
      <c r="BN82" s="433">
        <f t="shared" si="56"/>
        <v>0</v>
      </c>
      <c r="BO82" s="433">
        <f t="shared" si="57"/>
        <v>0</v>
      </c>
      <c r="BP82" s="433">
        <f t="shared" si="58"/>
        <v>0</v>
      </c>
      <c r="BQ82" s="433">
        <f t="shared" si="59"/>
        <v>0</v>
      </c>
    </row>
    <row r="83" spans="1:69" x14ac:dyDescent="0.2">
      <c r="A83" s="102">
        <v>41804</v>
      </c>
      <c r="B83" s="319">
        <v>3</v>
      </c>
      <c r="C83" s="118" t="s">
        <v>489</v>
      </c>
      <c r="D83" s="111">
        <v>0.30555555555555552</v>
      </c>
      <c r="E83" s="111">
        <v>0.40763888888888888</v>
      </c>
      <c r="F83" s="444">
        <v>42</v>
      </c>
      <c r="G83" s="445">
        <v>7</v>
      </c>
      <c r="H83" s="444"/>
      <c r="I83" s="390"/>
      <c r="J83" s="426">
        <f t="shared" ref="J83:J92" si="60">(E83-D83)*24*60</f>
        <v>147.00000000000003</v>
      </c>
      <c r="K83" s="103"/>
      <c r="L83" s="103"/>
      <c r="M83" s="103"/>
      <c r="N83" s="427">
        <f t="shared" ref="N83:N92" si="61">SUM(K83:M83)</f>
        <v>0</v>
      </c>
      <c r="O83" s="103"/>
      <c r="P83" s="103"/>
      <c r="Q83" s="103"/>
      <c r="R83" s="428">
        <f t="shared" ref="R83:R92" si="62">SUM(O83:Q83)</f>
        <v>0</v>
      </c>
      <c r="S83" s="103"/>
      <c r="T83" s="103"/>
      <c r="U83" s="103"/>
      <c r="V83" s="125"/>
      <c r="W83" s="428">
        <f t="shared" ref="W83:W92" si="63">SUM(S83:V83)</f>
        <v>0</v>
      </c>
      <c r="X83" s="103"/>
      <c r="Y83" s="103"/>
      <c r="Z83" s="125"/>
      <c r="AA83" s="428">
        <f t="shared" ref="AA83:AA92" si="64">SUM(X83:Z83)</f>
        <v>0</v>
      </c>
      <c r="AB83" s="103"/>
      <c r="AC83" s="103"/>
      <c r="AD83" s="103"/>
      <c r="AE83" s="428">
        <f t="shared" ref="AE83:AE92" si="65">SUM(AB83:AD83)</f>
        <v>0</v>
      </c>
      <c r="AF83" s="103"/>
      <c r="AG83" s="103"/>
      <c r="AH83" s="103"/>
      <c r="AI83" s="103"/>
      <c r="AJ83" s="428">
        <f t="shared" ref="AJ83:AJ92" si="66">SUM(AF83:AI83)</f>
        <v>0</v>
      </c>
      <c r="AK83" s="446"/>
      <c r="AL83" s="446"/>
      <c r="AM83" s="446"/>
      <c r="AN83" s="446"/>
      <c r="AO83" s="446"/>
      <c r="AP83" s="446"/>
      <c r="AQ83" s="446"/>
      <c r="AR83" s="431">
        <f t="shared" ref="AR83:AR92" si="67">SUM(AK83:AQ83)</f>
        <v>0</v>
      </c>
      <c r="AT83" s="128" t="s">
        <v>490</v>
      </c>
      <c r="AU83" s="100" t="s">
        <v>537</v>
      </c>
      <c r="AV83" s="128" t="s">
        <v>559</v>
      </c>
      <c r="AW83" s="100" t="s">
        <v>569</v>
      </c>
      <c r="AX83" s="433">
        <f t="shared" si="43"/>
        <v>0</v>
      </c>
      <c r="AY83" s="433">
        <f t="shared" si="44"/>
        <v>0</v>
      </c>
      <c r="AZ83" s="433">
        <f t="shared" si="45"/>
        <v>0</v>
      </c>
      <c r="BA83" s="433">
        <f t="shared" ref="BA83:BA92" si="68">O83</f>
        <v>0</v>
      </c>
      <c r="BB83" s="433">
        <f t="shared" ref="BB83:BB92" si="69">P83</f>
        <v>0</v>
      </c>
      <c r="BC83" s="433">
        <f t="shared" ref="BC83:BC92" si="70">Q83</f>
        <v>0</v>
      </c>
      <c r="BD83" s="433">
        <f t="shared" ref="BD83:BD92" si="71">S83</f>
        <v>0</v>
      </c>
      <c r="BE83" s="433">
        <f t="shared" ref="BE83:BE92" si="72">T83</f>
        <v>0</v>
      </c>
      <c r="BF83" s="433">
        <f t="shared" ref="BF83:BF92" si="73">U83</f>
        <v>0</v>
      </c>
      <c r="BG83" s="433">
        <f t="shared" ref="BG83:BG92" si="74">V83</f>
        <v>0</v>
      </c>
      <c r="BH83" s="433">
        <f t="shared" ref="BH83:BH92" si="75">X83</f>
        <v>0</v>
      </c>
      <c r="BI83" s="433">
        <f t="shared" ref="BI83:BI92" si="76">Y83</f>
        <v>0</v>
      </c>
      <c r="BJ83" s="433">
        <f t="shared" ref="BJ83:BJ92" si="77">Z83</f>
        <v>0</v>
      </c>
      <c r="BK83" s="433">
        <f t="shared" ref="BK83:BK92" si="78">AB83</f>
        <v>0</v>
      </c>
      <c r="BL83" s="433">
        <f t="shared" ref="BL83:BL92" si="79">AC83</f>
        <v>0</v>
      </c>
      <c r="BM83" s="433">
        <f t="shared" ref="BM83:BM92" si="80">AD83</f>
        <v>0</v>
      </c>
      <c r="BN83" s="433">
        <f t="shared" ref="BN83:BN92" si="81">AF83</f>
        <v>0</v>
      </c>
      <c r="BO83" s="433">
        <f t="shared" ref="BO83:BO92" si="82">AG83</f>
        <v>0</v>
      </c>
      <c r="BP83" s="433">
        <f t="shared" ref="BP83:BP92" si="83">AH83</f>
        <v>0</v>
      </c>
      <c r="BQ83" s="433">
        <f t="shared" ref="BQ83:BQ92" si="84">AI83</f>
        <v>0</v>
      </c>
    </row>
    <row r="84" spans="1:69" x14ac:dyDescent="0.2">
      <c r="A84" s="102">
        <v>41804</v>
      </c>
      <c r="B84" s="319">
        <v>3</v>
      </c>
      <c r="C84" s="118" t="s">
        <v>437</v>
      </c>
      <c r="D84" s="111">
        <v>0.40763888888888888</v>
      </c>
      <c r="E84" s="111">
        <v>0.50486111111111109</v>
      </c>
      <c r="F84" s="444">
        <v>42</v>
      </c>
      <c r="G84" s="445">
        <v>9</v>
      </c>
      <c r="H84" s="444"/>
      <c r="I84" s="390"/>
      <c r="J84" s="426">
        <f t="shared" si="60"/>
        <v>139.99999999999997</v>
      </c>
      <c r="K84" s="103"/>
      <c r="L84" s="103"/>
      <c r="M84" s="103"/>
      <c r="N84" s="427">
        <f t="shared" si="61"/>
        <v>0</v>
      </c>
      <c r="O84" s="103"/>
      <c r="P84" s="103"/>
      <c r="Q84" s="103"/>
      <c r="R84" s="428">
        <f t="shared" si="62"/>
        <v>0</v>
      </c>
      <c r="S84" s="103"/>
      <c r="T84" s="103"/>
      <c r="U84" s="103"/>
      <c r="V84" s="125"/>
      <c r="W84" s="428">
        <f t="shared" si="63"/>
        <v>0</v>
      </c>
      <c r="X84" s="103"/>
      <c r="Y84" s="103"/>
      <c r="Z84" s="125"/>
      <c r="AA84" s="428">
        <f t="shared" si="64"/>
        <v>0</v>
      </c>
      <c r="AB84" s="103"/>
      <c r="AC84" s="103"/>
      <c r="AD84" s="103"/>
      <c r="AE84" s="428">
        <f t="shared" si="65"/>
        <v>0</v>
      </c>
      <c r="AF84" s="103"/>
      <c r="AG84" s="103"/>
      <c r="AH84" s="103"/>
      <c r="AI84" s="103"/>
      <c r="AJ84" s="428">
        <f t="shared" si="66"/>
        <v>0</v>
      </c>
      <c r="AK84" s="446"/>
      <c r="AL84" s="446"/>
      <c r="AM84" s="446"/>
      <c r="AN84" s="446"/>
      <c r="AO84" s="446"/>
      <c r="AP84" s="446"/>
      <c r="AQ84" s="446"/>
      <c r="AR84" s="431">
        <f t="shared" si="67"/>
        <v>0</v>
      </c>
      <c r="AT84" s="128" t="s">
        <v>491</v>
      </c>
      <c r="AU84" s="100" t="s">
        <v>536</v>
      </c>
      <c r="AV84" s="128" t="s">
        <v>559</v>
      </c>
      <c r="AW84" s="100" t="s">
        <v>569</v>
      </c>
      <c r="AX84" s="433">
        <f t="shared" si="43"/>
        <v>0</v>
      </c>
      <c r="AY84" s="433">
        <f t="shared" si="44"/>
        <v>0</v>
      </c>
      <c r="AZ84" s="433">
        <f t="shared" si="45"/>
        <v>0</v>
      </c>
      <c r="BA84" s="433">
        <f t="shared" si="68"/>
        <v>0</v>
      </c>
      <c r="BB84" s="433">
        <f t="shared" si="69"/>
        <v>0</v>
      </c>
      <c r="BC84" s="433">
        <f t="shared" si="70"/>
        <v>0</v>
      </c>
      <c r="BD84" s="433">
        <f t="shared" si="71"/>
        <v>0</v>
      </c>
      <c r="BE84" s="433">
        <f t="shared" si="72"/>
        <v>0</v>
      </c>
      <c r="BF84" s="433">
        <f t="shared" si="73"/>
        <v>0</v>
      </c>
      <c r="BG84" s="433">
        <f t="shared" si="74"/>
        <v>0</v>
      </c>
      <c r="BH84" s="433">
        <f t="shared" si="75"/>
        <v>0</v>
      </c>
      <c r="BI84" s="433">
        <f t="shared" si="76"/>
        <v>0</v>
      </c>
      <c r="BJ84" s="433">
        <f t="shared" si="77"/>
        <v>0</v>
      </c>
      <c r="BK84" s="433">
        <f t="shared" si="78"/>
        <v>0</v>
      </c>
      <c r="BL84" s="433">
        <f t="shared" si="79"/>
        <v>0</v>
      </c>
      <c r="BM84" s="433">
        <f t="shared" si="80"/>
        <v>0</v>
      </c>
      <c r="BN84" s="433">
        <f t="shared" si="81"/>
        <v>0</v>
      </c>
      <c r="BO84" s="433">
        <f t="shared" si="82"/>
        <v>0</v>
      </c>
      <c r="BP84" s="433">
        <f t="shared" si="83"/>
        <v>0</v>
      </c>
      <c r="BQ84" s="433">
        <f t="shared" si="84"/>
        <v>0</v>
      </c>
    </row>
    <row r="85" spans="1:69" x14ac:dyDescent="0.2">
      <c r="A85" s="102">
        <v>41804</v>
      </c>
      <c r="B85" s="319">
        <v>3</v>
      </c>
      <c r="C85" s="118" t="s">
        <v>358</v>
      </c>
      <c r="D85" s="111">
        <v>0.50486111111111109</v>
      </c>
      <c r="E85" s="111">
        <v>0.61458333333333337</v>
      </c>
      <c r="F85" s="444">
        <v>42</v>
      </c>
      <c r="G85" s="445">
        <v>10</v>
      </c>
      <c r="H85" s="444"/>
      <c r="I85" s="390"/>
      <c r="J85" s="426">
        <f t="shared" si="60"/>
        <v>158.00000000000009</v>
      </c>
      <c r="K85" s="103">
        <v>2</v>
      </c>
      <c r="L85" s="103"/>
      <c r="M85" s="103"/>
      <c r="N85" s="427">
        <f t="shared" si="61"/>
        <v>2</v>
      </c>
      <c r="O85" s="103"/>
      <c r="P85" s="103"/>
      <c r="Q85" s="103"/>
      <c r="R85" s="428">
        <f t="shared" si="62"/>
        <v>0</v>
      </c>
      <c r="S85" s="103"/>
      <c r="T85" s="103"/>
      <c r="U85" s="103"/>
      <c r="V85" s="125"/>
      <c r="W85" s="428">
        <f t="shared" si="63"/>
        <v>0</v>
      </c>
      <c r="X85" s="103"/>
      <c r="Y85" s="103"/>
      <c r="Z85" s="125"/>
      <c r="AA85" s="428">
        <f t="shared" si="64"/>
        <v>0</v>
      </c>
      <c r="AB85" s="103"/>
      <c r="AC85" s="103"/>
      <c r="AD85" s="103"/>
      <c r="AE85" s="428">
        <f t="shared" si="65"/>
        <v>0</v>
      </c>
      <c r="AF85" s="103"/>
      <c r="AG85" s="103"/>
      <c r="AH85" s="103"/>
      <c r="AI85" s="103"/>
      <c r="AJ85" s="428">
        <f t="shared" si="66"/>
        <v>0</v>
      </c>
      <c r="AK85" s="446"/>
      <c r="AL85" s="446"/>
      <c r="AM85" s="446"/>
      <c r="AN85" s="446"/>
      <c r="AO85" s="446"/>
      <c r="AP85" s="446"/>
      <c r="AQ85" s="446"/>
      <c r="AR85" s="431">
        <f t="shared" si="67"/>
        <v>0</v>
      </c>
      <c r="AT85" s="128" t="s">
        <v>492</v>
      </c>
      <c r="AU85" s="100" t="s">
        <v>535</v>
      </c>
      <c r="AV85" s="128" t="s">
        <v>559</v>
      </c>
      <c r="AW85" s="100" t="s">
        <v>569</v>
      </c>
      <c r="AX85" s="433">
        <f t="shared" si="43"/>
        <v>2</v>
      </c>
      <c r="AY85" s="433">
        <f t="shared" si="44"/>
        <v>0</v>
      </c>
      <c r="AZ85" s="433">
        <f t="shared" si="45"/>
        <v>0</v>
      </c>
      <c r="BA85" s="433">
        <f t="shared" si="68"/>
        <v>0</v>
      </c>
      <c r="BB85" s="433">
        <f t="shared" si="69"/>
        <v>0</v>
      </c>
      <c r="BC85" s="433">
        <f t="shared" si="70"/>
        <v>0</v>
      </c>
      <c r="BD85" s="433">
        <f t="shared" si="71"/>
        <v>0</v>
      </c>
      <c r="BE85" s="433">
        <f t="shared" si="72"/>
        <v>0</v>
      </c>
      <c r="BF85" s="433">
        <f t="shared" si="73"/>
        <v>0</v>
      </c>
      <c r="BG85" s="433">
        <f t="shared" si="74"/>
        <v>0</v>
      </c>
      <c r="BH85" s="433">
        <f t="shared" si="75"/>
        <v>0</v>
      </c>
      <c r="BI85" s="433">
        <f t="shared" si="76"/>
        <v>0</v>
      </c>
      <c r="BJ85" s="433">
        <f t="shared" si="77"/>
        <v>0</v>
      </c>
      <c r="BK85" s="433">
        <f t="shared" si="78"/>
        <v>0</v>
      </c>
      <c r="BL85" s="433">
        <f t="shared" si="79"/>
        <v>0</v>
      </c>
      <c r="BM85" s="433">
        <f t="shared" si="80"/>
        <v>0</v>
      </c>
      <c r="BN85" s="433">
        <f t="shared" si="81"/>
        <v>0</v>
      </c>
      <c r="BO85" s="433">
        <f t="shared" si="82"/>
        <v>0</v>
      </c>
      <c r="BP85" s="433">
        <f t="shared" si="83"/>
        <v>0</v>
      </c>
      <c r="BQ85" s="433">
        <f t="shared" si="84"/>
        <v>0</v>
      </c>
    </row>
    <row r="86" spans="1:69" x14ac:dyDescent="0.2">
      <c r="A86" s="102">
        <v>41804</v>
      </c>
      <c r="B86" s="319">
        <v>3</v>
      </c>
      <c r="C86" s="118" t="s">
        <v>450</v>
      </c>
      <c r="D86" s="111">
        <v>0.61458333333333337</v>
      </c>
      <c r="E86" s="111">
        <v>0.68402777777777779</v>
      </c>
      <c r="F86" s="444">
        <v>41</v>
      </c>
      <c r="G86" s="445">
        <v>10</v>
      </c>
      <c r="H86" s="444"/>
      <c r="I86" s="390"/>
      <c r="J86" s="426">
        <f t="shared" si="60"/>
        <v>99.999999999999972</v>
      </c>
      <c r="K86" s="103"/>
      <c r="L86" s="103"/>
      <c r="M86" s="103"/>
      <c r="N86" s="427">
        <f t="shared" si="61"/>
        <v>0</v>
      </c>
      <c r="O86" s="103"/>
      <c r="P86" s="103"/>
      <c r="Q86" s="103"/>
      <c r="R86" s="428">
        <f t="shared" si="62"/>
        <v>0</v>
      </c>
      <c r="S86" s="103"/>
      <c r="T86" s="103"/>
      <c r="U86" s="103"/>
      <c r="V86" s="125"/>
      <c r="W86" s="428">
        <f t="shared" si="63"/>
        <v>0</v>
      </c>
      <c r="X86" s="103"/>
      <c r="Y86" s="103"/>
      <c r="Z86" s="125"/>
      <c r="AA86" s="428">
        <f t="shared" si="64"/>
        <v>0</v>
      </c>
      <c r="AB86" s="103"/>
      <c r="AC86" s="103"/>
      <c r="AD86" s="103"/>
      <c r="AE86" s="428">
        <f t="shared" si="65"/>
        <v>0</v>
      </c>
      <c r="AF86" s="103"/>
      <c r="AG86" s="103"/>
      <c r="AH86" s="103"/>
      <c r="AI86" s="103"/>
      <c r="AJ86" s="428">
        <f t="shared" si="66"/>
        <v>0</v>
      </c>
      <c r="AK86" s="446"/>
      <c r="AL86" s="446"/>
      <c r="AM86" s="446"/>
      <c r="AN86" s="446"/>
      <c r="AO86" s="446"/>
      <c r="AP86" s="446"/>
      <c r="AQ86" s="446"/>
      <c r="AR86" s="431">
        <f t="shared" si="67"/>
        <v>0</v>
      </c>
      <c r="AT86" s="128" t="s">
        <v>493</v>
      </c>
      <c r="AU86" s="100" t="s">
        <v>534</v>
      </c>
      <c r="AV86" s="128" t="s">
        <v>559</v>
      </c>
      <c r="AW86" s="100" t="s">
        <v>569</v>
      </c>
      <c r="AX86" s="433">
        <f t="shared" si="43"/>
        <v>0</v>
      </c>
      <c r="AY86" s="433">
        <f t="shared" si="44"/>
        <v>0</v>
      </c>
      <c r="AZ86" s="433">
        <f t="shared" si="45"/>
        <v>0</v>
      </c>
      <c r="BA86" s="433">
        <f t="shared" si="68"/>
        <v>0</v>
      </c>
      <c r="BB86" s="433">
        <f t="shared" si="69"/>
        <v>0</v>
      </c>
      <c r="BC86" s="433">
        <f t="shared" si="70"/>
        <v>0</v>
      </c>
      <c r="BD86" s="433">
        <f t="shared" si="71"/>
        <v>0</v>
      </c>
      <c r="BE86" s="433">
        <f t="shared" si="72"/>
        <v>0</v>
      </c>
      <c r="BF86" s="433">
        <f t="shared" si="73"/>
        <v>0</v>
      </c>
      <c r="BG86" s="433">
        <f t="shared" si="74"/>
        <v>0</v>
      </c>
      <c r="BH86" s="433">
        <f t="shared" si="75"/>
        <v>0</v>
      </c>
      <c r="BI86" s="433">
        <f t="shared" si="76"/>
        <v>0</v>
      </c>
      <c r="BJ86" s="433">
        <f t="shared" si="77"/>
        <v>0</v>
      </c>
      <c r="BK86" s="433">
        <f t="shared" si="78"/>
        <v>0</v>
      </c>
      <c r="BL86" s="433">
        <f t="shared" si="79"/>
        <v>0</v>
      </c>
      <c r="BM86" s="433">
        <f t="shared" si="80"/>
        <v>0</v>
      </c>
      <c r="BN86" s="433">
        <f t="shared" si="81"/>
        <v>0</v>
      </c>
      <c r="BO86" s="433">
        <f t="shared" si="82"/>
        <v>0</v>
      </c>
      <c r="BP86" s="433">
        <f t="shared" si="83"/>
        <v>0</v>
      </c>
      <c r="BQ86" s="433">
        <f t="shared" si="84"/>
        <v>0</v>
      </c>
    </row>
    <row r="87" spans="1:69" x14ac:dyDescent="0.2">
      <c r="A87" s="102">
        <v>41804</v>
      </c>
      <c r="B87" s="319">
        <v>3</v>
      </c>
      <c r="C87" s="118" t="s">
        <v>420</v>
      </c>
      <c r="D87" s="111">
        <v>0.68402777777777779</v>
      </c>
      <c r="E87" s="111">
        <v>0.75277777777777777</v>
      </c>
      <c r="F87" s="444">
        <v>42</v>
      </c>
      <c r="G87" s="445">
        <v>10</v>
      </c>
      <c r="H87" s="444"/>
      <c r="I87" s="390"/>
      <c r="J87" s="426">
        <f t="shared" si="60"/>
        <v>98.999999999999972</v>
      </c>
      <c r="K87" s="103"/>
      <c r="L87" s="103"/>
      <c r="M87" s="103"/>
      <c r="N87" s="427">
        <f t="shared" si="61"/>
        <v>0</v>
      </c>
      <c r="O87" s="103"/>
      <c r="P87" s="103"/>
      <c r="Q87" s="103"/>
      <c r="R87" s="428">
        <f t="shared" si="62"/>
        <v>0</v>
      </c>
      <c r="S87" s="103"/>
      <c r="T87" s="103"/>
      <c r="U87" s="103"/>
      <c r="V87" s="125"/>
      <c r="W87" s="428">
        <f t="shared" si="63"/>
        <v>0</v>
      </c>
      <c r="X87" s="103"/>
      <c r="Y87" s="103"/>
      <c r="Z87" s="125"/>
      <c r="AA87" s="428">
        <f t="shared" si="64"/>
        <v>0</v>
      </c>
      <c r="AB87" s="103"/>
      <c r="AC87" s="103"/>
      <c r="AD87" s="103"/>
      <c r="AE87" s="428">
        <f t="shared" si="65"/>
        <v>0</v>
      </c>
      <c r="AF87" s="103"/>
      <c r="AG87" s="103"/>
      <c r="AH87" s="103"/>
      <c r="AI87" s="103"/>
      <c r="AJ87" s="428">
        <f t="shared" si="66"/>
        <v>0</v>
      </c>
      <c r="AK87" s="446"/>
      <c r="AL87" s="446"/>
      <c r="AM87" s="446"/>
      <c r="AN87" s="446"/>
      <c r="AO87" s="446"/>
      <c r="AP87" s="446"/>
      <c r="AQ87" s="446"/>
      <c r="AR87" s="431">
        <f t="shared" si="67"/>
        <v>0</v>
      </c>
      <c r="AS87" s="10" t="s">
        <v>494</v>
      </c>
      <c r="AT87" s="128" t="s">
        <v>424</v>
      </c>
      <c r="AU87" s="100" t="s">
        <v>552</v>
      </c>
      <c r="AV87" s="128" t="s">
        <v>559</v>
      </c>
      <c r="AW87" s="100" t="s">
        <v>569</v>
      </c>
      <c r="AX87" s="433">
        <f t="shared" si="43"/>
        <v>0</v>
      </c>
      <c r="AY87" s="433">
        <f t="shared" si="44"/>
        <v>0</v>
      </c>
      <c r="AZ87" s="433">
        <f t="shared" si="45"/>
        <v>0</v>
      </c>
      <c r="BA87" s="433">
        <f t="shared" si="68"/>
        <v>0</v>
      </c>
      <c r="BB87" s="433">
        <f t="shared" si="69"/>
        <v>0</v>
      </c>
      <c r="BC87" s="433">
        <f t="shared" si="70"/>
        <v>0</v>
      </c>
      <c r="BD87" s="433">
        <f t="shared" si="71"/>
        <v>0</v>
      </c>
      <c r="BE87" s="433">
        <f t="shared" si="72"/>
        <v>0</v>
      </c>
      <c r="BF87" s="433">
        <f t="shared" si="73"/>
        <v>0</v>
      </c>
      <c r="BG87" s="433">
        <f t="shared" si="74"/>
        <v>0</v>
      </c>
      <c r="BH87" s="433">
        <f t="shared" si="75"/>
        <v>0</v>
      </c>
      <c r="BI87" s="433">
        <f t="shared" si="76"/>
        <v>0</v>
      </c>
      <c r="BJ87" s="433">
        <f t="shared" si="77"/>
        <v>0</v>
      </c>
      <c r="BK87" s="433">
        <f t="shared" si="78"/>
        <v>0</v>
      </c>
      <c r="BL87" s="433">
        <f t="shared" si="79"/>
        <v>0</v>
      </c>
      <c r="BM87" s="433">
        <f t="shared" si="80"/>
        <v>0</v>
      </c>
      <c r="BN87" s="433">
        <f t="shared" si="81"/>
        <v>0</v>
      </c>
      <c r="BO87" s="433">
        <f t="shared" si="82"/>
        <v>0</v>
      </c>
      <c r="BP87" s="433">
        <f t="shared" si="83"/>
        <v>0</v>
      </c>
      <c r="BQ87" s="433">
        <f t="shared" si="84"/>
        <v>0</v>
      </c>
    </row>
    <row r="88" spans="1:69" x14ac:dyDescent="0.2">
      <c r="A88" s="102">
        <v>41804</v>
      </c>
      <c r="B88" s="319">
        <v>3</v>
      </c>
      <c r="C88" s="118" t="s">
        <v>472</v>
      </c>
      <c r="D88" s="111">
        <v>0.75277777777777777</v>
      </c>
      <c r="E88" s="111">
        <v>0.84583333333333333</v>
      </c>
      <c r="F88" s="444">
        <v>42</v>
      </c>
      <c r="G88" s="445">
        <v>11</v>
      </c>
      <c r="H88" s="444"/>
      <c r="I88" s="390"/>
      <c r="J88" s="426">
        <f t="shared" si="60"/>
        <v>134</v>
      </c>
      <c r="K88" s="103">
        <v>1</v>
      </c>
      <c r="L88" s="103"/>
      <c r="M88" s="103"/>
      <c r="N88" s="427">
        <f t="shared" si="61"/>
        <v>1</v>
      </c>
      <c r="O88" s="103"/>
      <c r="P88" s="103"/>
      <c r="Q88" s="103"/>
      <c r="R88" s="428">
        <f t="shared" si="62"/>
        <v>0</v>
      </c>
      <c r="S88" s="103"/>
      <c r="T88" s="103"/>
      <c r="U88" s="103"/>
      <c r="V88" s="125"/>
      <c r="W88" s="428">
        <f t="shared" si="63"/>
        <v>0</v>
      </c>
      <c r="X88" s="103"/>
      <c r="Y88" s="103"/>
      <c r="Z88" s="125"/>
      <c r="AA88" s="428">
        <f t="shared" si="64"/>
        <v>0</v>
      </c>
      <c r="AB88" s="103"/>
      <c r="AC88" s="103"/>
      <c r="AD88" s="103"/>
      <c r="AE88" s="428">
        <f t="shared" si="65"/>
        <v>0</v>
      </c>
      <c r="AF88" s="103"/>
      <c r="AG88" s="103"/>
      <c r="AH88" s="103"/>
      <c r="AI88" s="103"/>
      <c r="AJ88" s="428">
        <f t="shared" si="66"/>
        <v>0</v>
      </c>
      <c r="AK88" s="446"/>
      <c r="AL88" s="446"/>
      <c r="AM88" s="446"/>
      <c r="AN88" s="446"/>
      <c r="AO88" s="446"/>
      <c r="AP88" s="446"/>
      <c r="AQ88" s="446"/>
      <c r="AR88" s="431">
        <f t="shared" si="67"/>
        <v>0</v>
      </c>
      <c r="AT88" s="128" t="s">
        <v>495</v>
      </c>
      <c r="AU88" s="100" t="s">
        <v>538</v>
      </c>
      <c r="AV88" s="128" t="s">
        <v>559</v>
      </c>
      <c r="AW88" s="100" t="s">
        <v>569</v>
      </c>
      <c r="AX88" s="433">
        <f t="shared" si="43"/>
        <v>1</v>
      </c>
      <c r="AY88" s="433">
        <f t="shared" si="44"/>
        <v>0</v>
      </c>
      <c r="AZ88" s="433">
        <f t="shared" si="45"/>
        <v>0</v>
      </c>
      <c r="BA88" s="433">
        <f t="shared" si="68"/>
        <v>0</v>
      </c>
      <c r="BB88" s="433">
        <f t="shared" si="69"/>
        <v>0</v>
      </c>
      <c r="BC88" s="433">
        <f t="shared" si="70"/>
        <v>0</v>
      </c>
      <c r="BD88" s="433">
        <f t="shared" si="71"/>
        <v>0</v>
      </c>
      <c r="BE88" s="433">
        <f t="shared" si="72"/>
        <v>0</v>
      </c>
      <c r="BF88" s="433">
        <f t="shared" si="73"/>
        <v>0</v>
      </c>
      <c r="BG88" s="433">
        <f t="shared" si="74"/>
        <v>0</v>
      </c>
      <c r="BH88" s="433">
        <f t="shared" si="75"/>
        <v>0</v>
      </c>
      <c r="BI88" s="433">
        <f t="shared" si="76"/>
        <v>0</v>
      </c>
      <c r="BJ88" s="433">
        <f t="shared" si="77"/>
        <v>0</v>
      </c>
      <c r="BK88" s="433">
        <f t="shared" si="78"/>
        <v>0</v>
      </c>
      <c r="BL88" s="433">
        <f t="shared" si="79"/>
        <v>0</v>
      </c>
      <c r="BM88" s="433">
        <f t="shared" si="80"/>
        <v>0</v>
      </c>
      <c r="BN88" s="433">
        <f t="shared" si="81"/>
        <v>0</v>
      </c>
      <c r="BO88" s="433">
        <f t="shared" si="82"/>
        <v>0</v>
      </c>
      <c r="BP88" s="433">
        <f t="shared" si="83"/>
        <v>0</v>
      </c>
      <c r="BQ88" s="433">
        <f t="shared" si="84"/>
        <v>0</v>
      </c>
    </row>
    <row r="89" spans="1:69" s="291" customFormat="1" x14ac:dyDescent="0.2">
      <c r="A89" s="317">
        <v>41804</v>
      </c>
      <c r="B89" s="318">
        <v>3</v>
      </c>
      <c r="C89" s="320" t="s">
        <v>486</v>
      </c>
      <c r="D89" s="321">
        <v>0.84583333333333333</v>
      </c>
      <c r="E89" s="321">
        <v>0.9458333333333333</v>
      </c>
      <c r="F89" s="434">
        <v>43</v>
      </c>
      <c r="G89" s="435">
        <v>10</v>
      </c>
      <c r="H89" s="434"/>
      <c r="I89" s="436"/>
      <c r="J89" s="437">
        <f t="shared" si="60"/>
        <v>143.99999999999997</v>
      </c>
      <c r="K89" s="285"/>
      <c r="L89" s="285"/>
      <c r="M89" s="285"/>
      <c r="N89" s="438">
        <f t="shared" si="61"/>
        <v>0</v>
      </c>
      <c r="O89" s="285"/>
      <c r="P89" s="285"/>
      <c r="Q89" s="285"/>
      <c r="R89" s="439">
        <f t="shared" si="62"/>
        <v>0</v>
      </c>
      <c r="S89" s="285"/>
      <c r="T89" s="285"/>
      <c r="U89" s="285"/>
      <c r="V89" s="440"/>
      <c r="W89" s="439">
        <f t="shared" si="63"/>
        <v>0</v>
      </c>
      <c r="X89" s="285"/>
      <c r="Y89" s="285"/>
      <c r="Z89" s="440"/>
      <c r="AA89" s="439">
        <f t="shared" si="64"/>
        <v>0</v>
      </c>
      <c r="AB89" s="285"/>
      <c r="AC89" s="285"/>
      <c r="AD89" s="285"/>
      <c r="AE89" s="439">
        <f t="shared" si="65"/>
        <v>0</v>
      </c>
      <c r="AF89" s="285"/>
      <c r="AG89" s="285"/>
      <c r="AH89" s="285"/>
      <c r="AI89" s="285"/>
      <c r="AJ89" s="439">
        <f t="shared" si="66"/>
        <v>0</v>
      </c>
      <c r="AK89" s="340"/>
      <c r="AL89" s="340"/>
      <c r="AM89" s="340"/>
      <c r="AN89" s="340"/>
      <c r="AO89" s="340"/>
      <c r="AP89" s="340"/>
      <c r="AQ89" s="340"/>
      <c r="AR89" s="441">
        <f t="shared" si="67"/>
        <v>0</v>
      </c>
      <c r="AT89" s="313" t="s">
        <v>487</v>
      </c>
      <c r="AU89" s="289" t="s">
        <v>535</v>
      </c>
      <c r="AV89" s="313" t="s">
        <v>559</v>
      </c>
      <c r="AW89" s="289" t="s">
        <v>569</v>
      </c>
      <c r="AX89" s="443">
        <f t="shared" si="43"/>
        <v>0</v>
      </c>
      <c r="AY89" s="443">
        <f t="shared" si="44"/>
        <v>0</v>
      </c>
      <c r="AZ89" s="443">
        <f t="shared" si="45"/>
        <v>0</v>
      </c>
      <c r="BA89" s="443">
        <f t="shared" si="68"/>
        <v>0</v>
      </c>
      <c r="BB89" s="443">
        <f t="shared" si="69"/>
        <v>0</v>
      </c>
      <c r="BC89" s="443">
        <f t="shared" si="70"/>
        <v>0</v>
      </c>
      <c r="BD89" s="443">
        <f t="shared" si="71"/>
        <v>0</v>
      </c>
      <c r="BE89" s="443">
        <f t="shared" si="72"/>
        <v>0</v>
      </c>
      <c r="BF89" s="443">
        <f t="shared" si="73"/>
        <v>0</v>
      </c>
      <c r="BG89" s="443">
        <f t="shared" si="74"/>
        <v>0</v>
      </c>
      <c r="BH89" s="443">
        <f t="shared" si="75"/>
        <v>0</v>
      </c>
      <c r="BI89" s="443">
        <f t="shared" si="76"/>
        <v>0</v>
      </c>
      <c r="BJ89" s="443">
        <f t="shared" si="77"/>
        <v>0</v>
      </c>
      <c r="BK89" s="443">
        <f t="shared" si="78"/>
        <v>0</v>
      </c>
      <c r="BL89" s="443">
        <f t="shared" si="79"/>
        <v>0</v>
      </c>
      <c r="BM89" s="443">
        <f t="shared" si="80"/>
        <v>0</v>
      </c>
      <c r="BN89" s="443">
        <f t="shared" si="81"/>
        <v>0</v>
      </c>
      <c r="BO89" s="443">
        <f t="shared" si="82"/>
        <v>0</v>
      </c>
      <c r="BP89" s="443">
        <f t="shared" si="83"/>
        <v>0</v>
      </c>
      <c r="BQ89" s="443">
        <f t="shared" si="84"/>
        <v>0</v>
      </c>
    </row>
    <row r="90" spans="1:69" x14ac:dyDescent="0.2">
      <c r="A90" s="102">
        <v>41805</v>
      </c>
      <c r="B90" s="319">
        <v>1</v>
      </c>
      <c r="C90" s="118" t="s">
        <v>572</v>
      </c>
      <c r="D90" s="111">
        <v>0.30694444444444441</v>
      </c>
      <c r="E90" s="111">
        <v>0.45833333333333331</v>
      </c>
      <c r="F90" s="444">
        <v>63</v>
      </c>
      <c r="G90" s="445">
        <v>8</v>
      </c>
      <c r="H90" s="444"/>
      <c r="I90" s="390"/>
      <c r="J90" s="426">
        <f t="shared" si="60"/>
        <v>218.00000000000003</v>
      </c>
      <c r="K90" s="103"/>
      <c r="L90" s="103"/>
      <c r="M90" s="103"/>
      <c r="N90" s="427">
        <f t="shared" si="61"/>
        <v>0</v>
      </c>
      <c r="O90" s="103"/>
      <c r="P90" s="103"/>
      <c r="Q90" s="103"/>
      <c r="R90" s="428">
        <f t="shared" si="62"/>
        <v>0</v>
      </c>
      <c r="S90" s="103"/>
      <c r="T90" s="103"/>
      <c r="U90" s="103"/>
      <c r="V90" s="125"/>
      <c r="W90" s="428">
        <f t="shared" si="63"/>
        <v>0</v>
      </c>
      <c r="X90" s="103"/>
      <c r="Y90" s="103"/>
      <c r="Z90" s="125"/>
      <c r="AA90" s="428">
        <f t="shared" si="64"/>
        <v>0</v>
      </c>
      <c r="AB90" s="103"/>
      <c r="AC90" s="103"/>
      <c r="AD90" s="103"/>
      <c r="AE90" s="428">
        <f t="shared" si="65"/>
        <v>0</v>
      </c>
      <c r="AF90" s="103"/>
      <c r="AG90" s="103"/>
      <c r="AH90" s="103"/>
      <c r="AI90" s="103"/>
      <c r="AJ90" s="428">
        <f t="shared" si="66"/>
        <v>0</v>
      </c>
      <c r="AK90" s="446"/>
      <c r="AL90" s="446"/>
      <c r="AM90" s="446"/>
      <c r="AN90" s="446"/>
      <c r="AO90" s="446"/>
      <c r="AP90" s="446"/>
      <c r="AQ90" s="446"/>
      <c r="AR90" s="431">
        <f t="shared" si="67"/>
        <v>0</v>
      </c>
      <c r="AS90" s="10" t="s">
        <v>573</v>
      </c>
      <c r="AT90" s="128"/>
      <c r="AU90" s="100" t="s">
        <v>599</v>
      </c>
      <c r="AV90" s="128" t="s">
        <v>600</v>
      </c>
      <c r="AW90" s="100" t="s">
        <v>601</v>
      </c>
      <c r="AX90" s="433">
        <f t="shared" si="43"/>
        <v>0</v>
      </c>
      <c r="AY90" s="433">
        <f t="shared" si="44"/>
        <v>0</v>
      </c>
      <c r="AZ90" s="433">
        <f t="shared" si="45"/>
        <v>0</v>
      </c>
      <c r="BA90" s="433">
        <f t="shared" si="68"/>
        <v>0</v>
      </c>
      <c r="BB90" s="433">
        <f t="shared" si="69"/>
        <v>0</v>
      </c>
      <c r="BC90" s="433">
        <f t="shared" si="70"/>
        <v>0</v>
      </c>
      <c r="BD90" s="433">
        <f t="shared" si="71"/>
        <v>0</v>
      </c>
      <c r="BE90" s="433">
        <f t="shared" si="72"/>
        <v>0</v>
      </c>
      <c r="BF90" s="433">
        <f t="shared" si="73"/>
        <v>0</v>
      </c>
      <c r="BG90" s="433">
        <f t="shared" si="74"/>
        <v>0</v>
      </c>
      <c r="BH90" s="433">
        <f t="shared" si="75"/>
        <v>0</v>
      </c>
      <c r="BI90" s="433">
        <f t="shared" si="76"/>
        <v>0</v>
      </c>
      <c r="BJ90" s="433">
        <f t="shared" si="77"/>
        <v>0</v>
      </c>
      <c r="BK90" s="433">
        <f t="shared" si="78"/>
        <v>0</v>
      </c>
      <c r="BL90" s="433">
        <f t="shared" si="79"/>
        <v>0</v>
      </c>
      <c r="BM90" s="433">
        <f t="shared" si="80"/>
        <v>0</v>
      </c>
      <c r="BN90" s="433">
        <f t="shared" si="81"/>
        <v>0</v>
      </c>
      <c r="BO90" s="433">
        <f t="shared" si="82"/>
        <v>0</v>
      </c>
      <c r="BP90" s="433">
        <f t="shared" si="83"/>
        <v>0</v>
      </c>
      <c r="BQ90" s="433">
        <f t="shared" si="84"/>
        <v>0</v>
      </c>
    </row>
    <row r="91" spans="1:69" x14ac:dyDescent="0.2">
      <c r="A91" s="102">
        <v>41805</v>
      </c>
      <c r="B91" s="319">
        <v>1</v>
      </c>
      <c r="C91" s="118" t="s">
        <v>574</v>
      </c>
      <c r="D91" s="111">
        <v>0.45833333333333331</v>
      </c>
      <c r="E91" s="111">
        <v>0.60902777777777783</v>
      </c>
      <c r="F91" s="444">
        <v>59</v>
      </c>
      <c r="G91" s="445">
        <v>8</v>
      </c>
      <c r="H91" s="444"/>
      <c r="I91" s="390"/>
      <c r="J91" s="426">
        <f t="shared" si="60"/>
        <v>217.00000000000011</v>
      </c>
      <c r="K91" s="103"/>
      <c r="L91" s="103"/>
      <c r="M91" s="103"/>
      <c r="N91" s="427">
        <f t="shared" si="61"/>
        <v>0</v>
      </c>
      <c r="O91" s="103"/>
      <c r="P91" s="103"/>
      <c r="Q91" s="103"/>
      <c r="R91" s="428">
        <f t="shared" si="62"/>
        <v>0</v>
      </c>
      <c r="S91" s="103"/>
      <c r="T91" s="103"/>
      <c r="U91" s="103"/>
      <c r="V91" s="125"/>
      <c r="W91" s="428">
        <f t="shared" si="63"/>
        <v>0</v>
      </c>
      <c r="X91" s="103"/>
      <c r="Y91" s="103"/>
      <c r="Z91" s="125"/>
      <c r="AA91" s="428">
        <f t="shared" si="64"/>
        <v>0</v>
      </c>
      <c r="AB91" s="103"/>
      <c r="AC91" s="103"/>
      <c r="AD91" s="103"/>
      <c r="AE91" s="428">
        <f t="shared" si="65"/>
        <v>0</v>
      </c>
      <c r="AF91" s="103"/>
      <c r="AG91" s="103"/>
      <c r="AH91" s="103"/>
      <c r="AI91" s="103"/>
      <c r="AJ91" s="428">
        <f t="shared" si="66"/>
        <v>0</v>
      </c>
      <c r="AK91" s="446"/>
      <c r="AL91" s="446"/>
      <c r="AM91" s="446"/>
      <c r="AN91" s="446"/>
      <c r="AO91" s="446"/>
      <c r="AP91" s="446"/>
      <c r="AQ91" s="446"/>
      <c r="AR91" s="431">
        <f t="shared" si="67"/>
        <v>0</v>
      </c>
      <c r="AT91" s="128" t="s">
        <v>424</v>
      </c>
      <c r="AU91" s="100" t="s">
        <v>532</v>
      </c>
      <c r="AV91" s="128" t="s">
        <v>600</v>
      </c>
      <c r="AW91" s="100" t="s">
        <v>601</v>
      </c>
      <c r="AX91" s="433">
        <f t="shared" si="43"/>
        <v>0</v>
      </c>
      <c r="AY91" s="433">
        <f t="shared" si="44"/>
        <v>0</v>
      </c>
      <c r="AZ91" s="433">
        <f t="shared" si="45"/>
        <v>0</v>
      </c>
      <c r="BA91" s="433">
        <f t="shared" si="68"/>
        <v>0</v>
      </c>
      <c r="BB91" s="433">
        <f t="shared" si="69"/>
        <v>0</v>
      </c>
      <c r="BC91" s="433">
        <f t="shared" si="70"/>
        <v>0</v>
      </c>
      <c r="BD91" s="433">
        <f t="shared" si="71"/>
        <v>0</v>
      </c>
      <c r="BE91" s="433">
        <f t="shared" si="72"/>
        <v>0</v>
      </c>
      <c r="BF91" s="433">
        <f t="shared" si="73"/>
        <v>0</v>
      </c>
      <c r="BG91" s="433">
        <f t="shared" si="74"/>
        <v>0</v>
      </c>
      <c r="BH91" s="433">
        <f t="shared" si="75"/>
        <v>0</v>
      </c>
      <c r="BI91" s="433">
        <f t="shared" si="76"/>
        <v>0</v>
      </c>
      <c r="BJ91" s="433">
        <f t="shared" si="77"/>
        <v>0</v>
      </c>
      <c r="BK91" s="433">
        <f t="shared" si="78"/>
        <v>0</v>
      </c>
      <c r="BL91" s="433">
        <f t="shared" si="79"/>
        <v>0</v>
      </c>
      <c r="BM91" s="433">
        <f t="shared" si="80"/>
        <v>0</v>
      </c>
      <c r="BN91" s="433">
        <f t="shared" si="81"/>
        <v>0</v>
      </c>
      <c r="BO91" s="433">
        <f t="shared" si="82"/>
        <v>0</v>
      </c>
      <c r="BP91" s="433">
        <f t="shared" si="83"/>
        <v>0</v>
      </c>
      <c r="BQ91" s="433">
        <f t="shared" si="84"/>
        <v>0</v>
      </c>
    </row>
    <row r="92" spans="1:69" x14ac:dyDescent="0.2">
      <c r="A92" s="102">
        <v>41805</v>
      </c>
      <c r="B92" s="319">
        <v>1</v>
      </c>
      <c r="C92" s="118" t="s">
        <v>575</v>
      </c>
      <c r="D92" s="111">
        <v>0.60902777777777783</v>
      </c>
      <c r="E92" s="111">
        <v>0.76874999999999993</v>
      </c>
      <c r="F92" s="444">
        <v>60</v>
      </c>
      <c r="G92" s="445">
        <v>9</v>
      </c>
      <c r="H92" s="444"/>
      <c r="I92" s="390"/>
      <c r="J92" s="426">
        <f t="shared" si="60"/>
        <v>229.99999999999983</v>
      </c>
      <c r="K92" s="103"/>
      <c r="L92" s="103"/>
      <c r="M92" s="103"/>
      <c r="N92" s="427">
        <f t="shared" si="61"/>
        <v>0</v>
      </c>
      <c r="O92" s="103"/>
      <c r="P92" s="103"/>
      <c r="Q92" s="103"/>
      <c r="R92" s="428">
        <f t="shared" si="62"/>
        <v>0</v>
      </c>
      <c r="S92" s="103"/>
      <c r="T92" s="103"/>
      <c r="U92" s="103"/>
      <c r="V92" s="125"/>
      <c r="W92" s="428">
        <f t="shared" si="63"/>
        <v>0</v>
      </c>
      <c r="X92" s="103"/>
      <c r="Y92" s="103"/>
      <c r="Z92" s="125"/>
      <c r="AA92" s="428">
        <f t="shared" si="64"/>
        <v>0</v>
      </c>
      <c r="AB92" s="103"/>
      <c r="AC92" s="103"/>
      <c r="AD92" s="103"/>
      <c r="AE92" s="428">
        <f t="shared" si="65"/>
        <v>0</v>
      </c>
      <c r="AF92" s="103"/>
      <c r="AG92" s="103"/>
      <c r="AH92" s="103"/>
      <c r="AI92" s="103"/>
      <c r="AJ92" s="428">
        <f t="shared" si="66"/>
        <v>0</v>
      </c>
      <c r="AK92" s="446"/>
      <c r="AL92" s="446"/>
      <c r="AM92" s="446">
        <v>1</v>
      </c>
      <c r="AN92" s="446"/>
      <c r="AO92" s="446"/>
      <c r="AP92" s="446"/>
      <c r="AQ92" s="446"/>
      <c r="AR92" s="431">
        <f t="shared" si="67"/>
        <v>1</v>
      </c>
      <c r="AT92" s="128"/>
      <c r="AU92" s="100" t="s">
        <v>559</v>
      </c>
      <c r="AV92" s="128" t="s">
        <v>600</v>
      </c>
      <c r="AW92" s="100" t="s">
        <v>601</v>
      </c>
      <c r="AX92" s="433">
        <f t="shared" si="43"/>
        <v>0</v>
      </c>
      <c r="AY92" s="433">
        <f t="shared" si="44"/>
        <v>0</v>
      </c>
      <c r="AZ92" s="433">
        <f t="shared" si="45"/>
        <v>0</v>
      </c>
      <c r="BA92" s="433">
        <f t="shared" si="68"/>
        <v>0</v>
      </c>
      <c r="BB92" s="433">
        <f t="shared" si="69"/>
        <v>0</v>
      </c>
      <c r="BC92" s="433">
        <f t="shared" si="70"/>
        <v>0</v>
      </c>
      <c r="BD92" s="433">
        <f t="shared" si="71"/>
        <v>0</v>
      </c>
      <c r="BE92" s="433">
        <f t="shared" si="72"/>
        <v>0</v>
      </c>
      <c r="BF92" s="433">
        <f t="shared" si="73"/>
        <v>0</v>
      </c>
      <c r="BG92" s="433">
        <f t="shared" si="74"/>
        <v>0</v>
      </c>
      <c r="BH92" s="433">
        <f t="shared" si="75"/>
        <v>0</v>
      </c>
      <c r="BI92" s="433">
        <f t="shared" si="76"/>
        <v>0</v>
      </c>
      <c r="BJ92" s="433">
        <f t="shared" si="77"/>
        <v>0</v>
      </c>
      <c r="BK92" s="433">
        <f t="shared" si="78"/>
        <v>0</v>
      </c>
      <c r="BL92" s="433">
        <f t="shared" si="79"/>
        <v>0</v>
      </c>
      <c r="BM92" s="433">
        <f t="shared" si="80"/>
        <v>0</v>
      </c>
      <c r="BN92" s="433">
        <f t="shared" si="81"/>
        <v>0</v>
      </c>
      <c r="BO92" s="433">
        <f t="shared" si="82"/>
        <v>0</v>
      </c>
      <c r="BP92" s="433">
        <f t="shared" si="83"/>
        <v>0</v>
      </c>
      <c r="BQ92" s="433">
        <f t="shared" si="84"/>
        <v>0</v>
      </c>
    </row>
    <row r="93" spans="1:69" x14ac:dyDescent="0.2">
      <c r="A93" s="102">
        <v>41805</v>
      </c>
      <c r="B93" s="319">
        <v>1</v>
      </c>
      <c r="C93" s="118" t="s">
        <v>576</v>
      </c>
      <c r="D93" s="111">
        <v>0.76874999999999993</v>
      </c>
      <c r="E93" s="111">
        <v>0.96805555555555556</v>
      </c>
      <c r="F93" s="444">
        <v>58</v>
      </c>
      <c r="G93" s="445">
        <v>8</v>
      </c>
      <c r="H93" s="444"/>
      <c r="I93" s="390"/>
      <c r="J93" s="426">
        <f t="shared" si="32"/>
        <v>287.00000000000011</v>
      </c>
      <c r="K93" s="103">
        <v>1</v>
      </c>
      <c r="L93" s="103"/>
      <c r="M93" s="103"/>
      <c r="N93" s="427">
        <f t="shared" si="33"/>
        <v>1</v>
      </c>
      <c r="O93" s="103"/>
      <c r="P93" s="103"/>
      <c r="Q93" s="103"/>
      <c r="R93" s="428">
        <f t="shared" si="34"/>
        <v>0</v>
      </c>
      <c r="S93" s="103"/>
      <c r="T93" s="103"/>
      <c r="U93" s="103"/>
      <c r="V93" s="125"/>
      <c r="W93" s="428">
        <f t="shared" si="38"/>
        <v>0</v>
      </c>
      <c r="X93" s="103"/>
      <c r="Y93" s="103"/>
      <c r="Z93" s="125"/>
      <c r="AA93" s="428">
        <f t="shared" si="39"/>
        <v>0</v>
      </c>
      <c r="AB93" s="103"/>
      <c r="AC93" s="103"/>
      <c r="AD93" s="103"/>
      <c r="AE93" s="428">
        <f t="shared" si="40"/>
        <v>0</v>
      </c>
      <c r="AF93" s="103"/>
      <c r="AG93" s="103"/>
      <c r="AH93" s="103"/>
      <c r="AI93" s="103"/>
      <c r="AJ93" s="428">
        <f t="shared" si="41"/>
        <v>0</v>
      </c>
      <c r="AK93" s="446"/>
      <c r="AL93" s="446"/>
      <c r="AM93" s="446"/>
      <c r="AN93" s="446"/>
      <c r="AO93" s="446"/>
      <c r="AP93" s="446"/>
      <c r="AQ93" s="446"/>
      <c r="AR93" s="431">
        <f t="shared" si="42"/>
        <v>0</v>
      </c>
      <c r="AT93" s="128"/>
      <c r="AU93" s="100" t="s">
        <v>597</v>
      </c>
      <c r="AV93" s="128" t="s">
        <v>600</v>
      </c>
      <c r="AW93" s="100" t="s">
        <v>601</v>
      </c>
      <c r="AX93" s="433">
        <f t="shared" si="43"/>
        <v>1</v>
      </c>
      <c r="AY93" s="433">
        <f t="shared" si="44"/>
        <v>0</v>
      </c>
      <c r="AZ93" s="433">
        <f t="shared" si="45"/>
        <v>0</v>
      </c>
      <c r="BA93" s="433">
        <f t="shared" si="35"/>
        <v>0</v>
      </c>
      <c r="BB93" s="433">
        <f t="shared" si="36"/>
        <v>0</v>
      </c>
      <c r="BC93" s="433">
        <f t="shared" si="37"/>
        <v>0</v>
      </c>
      <c r="BD93" s="433">
        <f t="shared" si="46"/>
        <v>0</v>
      </c>
      <c r="BE93" s="433">
        <f t="shared" si="47"/>
        <v>0</v>
      </c>
      <c r="BF93" s="433">
        <f t="shared" si="48"/>
        <v>0</v>
      </c>
      <c r="BG93" s="433">
        <f t="shared" si="49"/>
        <v>0</v>
      </c>
      <c r="BH93" s="433">
        <f t="shared" si="50"/>
        <v>0</v>
      </c>
      <c r="BI93" s="433">
        <f t="shared" si="51"/>
        <v>0</v>
      </c>
      <c r="BJ93" s="433">
        <f t="shared" si="52"/>
        <v>0</v>
      </c>
      <c r="BK93" s="433">
        <f t="shared" si="53"/>
        <v>0</v>
      </c>
      <c r="BL93" s="433">
        <f t="shared" si="54"/>
        <v>0</v>
      </c>
      <c r="BM93" s="433">
        <f t="shared" si="55"/>
        <v>0</v>
      </c>
      <c r="BN93" s="433">
        <f t="shared" si="56"/>
        <v>0</v>
      </c>
      <c r="BO93" s="433">
        <f t="shared" si="57"/>
        <v>0</v>
      </c>
      <c r="BP93" s="433">
        <f t="shared" si="58"/>
        <v>0</v>
      </c>
      <c r="BQ93" s="433">
        <f t="shared" si="59"/>
        <v>0</v>
      </c>
    </row>
    <row r="94" spans="1:69" x14ac:dyDescent="0.2">
      <c r="A94" s="102">
        <v>41805</v>
      </c>
      <c r="B94" s="319">
        <v>2</v>
      </c>
      <c r="C94" s="118" t="s">
        <v>572</v>
      </c>
      <c r="D94" s="111">
        <v>0.31527777777777777</v>
      </c>
      <c r="E94" s="111">
        <v>0.4513888888888889</v>
      </c>
      <c r="F94" s="444">
        <v>38</v>
      </c>
      <c r="G94" s="445">
        <v>7</v>
      </c>
      <c r="H94" s="444"/>
      <c r="I94" s="390"/>
      <c r="J94" s="426">
        <f>(E94-D94)*24*60</f>
        <v>196.00000000000003</v>
      </c>
      <c r="K94" s="103"/>
      <c r="L94" s="103"/>
      <c r="M94" s="103"/>
      <c r="N94" s="427">
        <f t="shared" si="33"/>
        <v>0</v>
      </c>
      <c r="O94" s="103"/>
      <c r="P94" s="103"/>
      <c r="Q94" s="103"/>
      <c r="R94" s="428">
        <f t="shared" si="34"/>
        <v>0</v>
      </c>
      <c r="S94" s="103"/>
      <c r="T94" s="103"/>
      <c r="U94" s="103"/>
      <c r="V94" s="125"/>
      <c r="W94" s="428">
        <f t="shared" si="38"/>
        <v>0</v>
      </c>
      <c r="X94" s="103"/>
      <c r="Y94" s="103"/>
      <c r="Z94" s="125"/>
      <c r="AA94" s="428">
        <f t="shared" si="39"/>
        <v>0</v>
      </c>
      <c r="AB94" s="103"/>
      <c r="AC94" s="103"/>
      <c r="AD94" s="103"/>
      <c r="AE94" s="428">
        <f t="shared" si="40"/>
        <v>0</v>
      </c>
      <c r="AF94" s="103"/>
      <c r="AG94" s="103"/>
      <c r="AH94" s="103"/>
      <c r="AI94" s="103"/>
      <c r="AJ94" s="428">
        <f t="shared" si="41"/>
        <v>0</v>
      </c>
      <c r="AK94" s="446"/>
      <c r="AL94" s="446"/>
      <c r="AM94" s="446"/>
      <c r="AN94" s="446"/>
      <c r="AO94" s="446"/>
      <c r="AP94" s="446"/>
      <c r="AQ94" s="446"/>
      <c r="AR94" s="431">
        <f t="shared" si="42"/>
        <v>0</v>
      </c>
      <c r="AT94" s="128" t="s">
        <v>579</v>
      </c>
      <c r="AU94" s="100" t="s">
        <v>598</v>
      </c>
      <c r="AV94" s="128" t="s">
        <v>600</v>
      </c>
      <c r="AW94" s="100" t="s">
        <v>601</v>
      </c>
      <c r="AX94" s="433">
        <f t="shared" si="43"/>
        <v>0</v>
      </c>
      <c r="AY94" s="433">
        <f t="shared" si="44"/>
        <v>0</v>
      </c>
      <c r="AZ94" s="433">
        <f t="shared" si="45"/>
        <v>0</v>
      </c>
      <c r="BA94" s="433">
        <f t="shared" si="35"/>
        <v>0</v>
      </c>
      <c r="BB94" s="433">
        <f t="shared" si="36"/>
        <v>0</v>
      </c>
      <c r="BC94" s="433">
        <f t="shared" si="37"/>
        <v>0</v>
      </c>
      <c r="BD94" s="433">
        <f t="shared" si="46"/>
        <v>0</v>
      </c>
      <c r="BE94" s="433">
        <f t="shared" si="47"/>
        <v>0</v>
      </c>
      <c r="BF94" s="433">
        <f t="shared" si="48"/>
        <v>0</v>
      </c>
      <c r="BG94" s="433">
        <f t="shared" si="49"/>
        <v>0</v>
      </c>
      <c r="BH94" s="433">
        <f t="shared" si="50"/>
        <v>0</v>
      </c>
      <c r="BI94" s="433">
        <f t="shared" si="51"/>
        <v>0</v>
      </c>
      <c r="BJ94" s="433">
        <f t="shared" si="52"/>
        <v>0</v>
      </c>
      <c r="BK94" s="433">
        <f t="shared" si="53"/>
        <v>0</v>
      </c>
      <c r="BL94" s="433">
        <f t="shared" si="54"/>
        <v>0</v>
      </c>
      <c r="BM94" s="433">
        <f t="shared" si="55"/>
        <v>0</v>
      </c>
      <c r="BN94" s="433">
        <f t="shared" si="56"/>
        <v>0</v>
      </c>
      <c r="BO94" s="433">
        <f t="shared" si="57"/>
        <v>0</v>
      </c>
      <c r="BP94" s="433">
        <f t="shared" si="58"/>
        <v>0</v>
      </c>
      <c r="BQ94" s="433">
        <f t="shared" si="59"/>
        <v>0</v>
      </c>
    </row>
    <row r="95" spans="1:69" x14ac:dyDescent="0.2">
      <c r="A95" s="102">
        <v>41805</v>
      </c>
      <c r="B95" s="319">
        <v>2</v>
      </c>
      <c r="C95" s="118" t="s">
        <v>574</v>
      </c>
      <c r="D95" s="111">
        <v>0.4513888888888889</v>
      </c>
      <c r="E95" s="111">
        <v>0.60416666666666663</v>
      </c>
      <c r="F95" s="444">
        <v>39</v>
      </c>
      <c r="G95" s="445">
        <v>7</v>
      </c>
      <c r="H95" s="444"/>
      <c r="I95" s="390"/>
      <c r="J95" s="426">
        <f t="shared" si="32"/>
        <v>219.99999999999994</v>
      </c>
      <c r="K95" s="103"/>
      <c r="L95" s="103"/>
      <c r="M95" s="103"/>
      <c r="N95" s="427">
        <f t="shared" si="33"/>
        <v>0</v>
      </c>
      <c r="O95" s="103"/>
      <c r="P95" s="103"/>
      <c r="Q95" s="103"/>
      <c r="R95" s="428">
        <f t="shared" si="34"/>
        <v>0</v>
      </c>
      <c r="S95" s="103"/>
      <c r="T95" s="103"/>
      <c r="U95" s="103"/>
      <c r="V95" s="125"/>
      <c r="W95" s="428">
        <f t="shared" si="38"/>
        <v>0</v>
      </c>
      <c r="X95" s="103"/>
      <c r="Y95" s="103"/>
      <c r="Z95" s="125"/>
      <c r="AA95" s="428">
        <f t="shared" si="39"/>
        <v>0</v>
      </c>
      <c r="AB95" s="103"/>
      <c r="AC95" s="103"/>
      <c r="AD95" s="103"/>
      <c r="AE95" s="428">
        <f t="shared" si="40"/>
        <v>0</v>
      </c>
      <c r="AF95" s="103"/>
      <c r="AG95" s="103"/>
      <c r="AH95" s="103"/>
      <c r="AI95" s="103"/>
      <c r="AJ95" s="428">
        <f t="shared" si="41"/>
        <v>0</v>
      </c>
      <c r="AK95" s="446"/>
      <c r="AL95" s="446"/>
      <c r="AM95" s="446"/>
      <c r="AN95" s="446"/>
      <c r="AO95" s="446"/>
      <c r="AP95" s="446"/>
      <c r="AQ95" s="446"/>
      <c r="AR95" s="431">
        <f t="shared" si="42"/>
        <v>0</v>
      </c>
      <c r="AT95" s="128" t="s">
        <v>424</v>
      </c>
      <c r="AU95" s="100" t="s">
        <v>578</v>
      </c>
      <c r="AV95" s="128" t="s">
        <v>600</v>
      </c>
      <c r="AW95" s="100" t="s">
        <v>601</v>
      </c>
      <c r="AX95" s="433">
        <f t="shared" si="43"/>
        <v>0</v>
      </c>
      <c r="AY95" s="433">
        <f t="shared" si="44"/>
        <v>0</v>
      </c>
      <c r="AZ95" s="433">
        <f t="shared" si="45"/>
        <v>0</v>
      </c>
      <c r="BA95" s="433">
        <f t="shared" si="35"/>
        <v>0</v>
      </c>
      <c r="BB95" s="433">
        <f t="shared" si="36"/>
        <v>0</v>
      </c>
      <c r="BC95" s="433">
        <f t="shared" si="37"/>
        <v>0</v>
      </c>
      <c r="BD95" s="433">
        <f t="shared" si="46"/>
        <v>0</v>
      </c>
      <c r="BE95" s="433">
        <f t="shared" si="47"/>
        <v>0</v>
      </c>
      <c r="BF95" s="433">
        <f t="shared" si="48"/>
        <v>0</v>
      </c>
      <c r="BG95" s="433">
        <f t="shared" si="49"/>
        <v>0</v>
      </c>
      <c r="BH95" s="433">
        <f t="shared" si="50"/>
        <v>0</v>
      </c>
      <c r="BI95" s="433">
        <f t="shared" si="51"/>
        <v>0</v>
      </c>
      <c r="BJ95" s="433">
        <f t="shared" si="52"/>
        <v>0</v>
      </c>
      <c r="BK95" s="433">
        <f t="shared" si="53"/>
        <v>0</v>
      </c>
      <c r="BL95" s="433">
        <f t="shared" si="54"/>
        <v>0</v>
      </c>
      <c r="BM95" s="433">
        <f t="shared" si="55"/>
        <v>0</v>
      </c>
      <c r="BN95" s="433">
        <f t="shared" si="56"/>
        <v>0</v>
      </c>
      <c r="BO95" s="433">
        <f t="shared" si="57"/>
        <v>0</v>
      </c>
      <c r="BP95" s="433">
        <f t="shared" si="58"/>
        <v>0</v>
      </c>
      <c r="BQ95" s="433">
        <f t="shared" si="59"/>
        <v>0</v>
      </c>
    </row>
    <row r="96" spans="1:69" x14ac:dyDescent="0.2">
      <c r="A96" s="102">
        <v>41805</v>
      </c>
      <c r="B96" s="319">
        <v>2</v>
      </c>
      <c r="C96" s="118" t="s">
        <v>575</v>
      </c>
      <c r="D96" s="111">
        <v>0.60416666666666663</v>
      </c>
      <c r="E96" s="111">
        <v>0.75416666666666676</v>
      </c>
      <c r="F96" s="444">
        <v>38</v>
      </c>
      <c r="G96" s="445">
        <v>8</v>
      </c>
      <c r="H96" s="444"/>
      <c r="I96" s="390"/>
      <c r="J96" s="426">
        <f>(E96-D96)*24*60</f>
        <v>216.0000000000002</v>
      </c>
      <c r="K96" s="103">
        <v>1</v>
      </c>
      <c r="L96" s="103"/>
      <c r="M96" s="103"/>
      <c r="N96" s="427">
        <f t="shared" si="33"/>
        <v>1</v>
      </c>
      <c r="O96" s="103"/>
      <c r="P96" s="103"/>
      <c r="Q96" s="103"/>
      <c r="R96" s="428">
        <f t="shared" si="34"/>
        <v>0</v>
      </c>
      <c r="S96" s="103"/>
      <c r="T96" s="103"/>
      <c r="U96" s="103"/>
      <c r="V96" s="125"/>
      <c r="W96" s="428">
        <f t="shared" si="38"/>
        <v>0</v>
      </c>
      <c r="X96" s="103"/>
      <c r="Y96" s="103"/>
      <c r="Z96" s="125"/>
      <c r="AA96" s="428">
        <f t="shared" si="39"/>
        <v>0</v>
      </c>
      <c r="AB96" s="103"/>
      <c r="AC96" s="103"/>
      <c r="AD96" s="103"/>
      <c r="AE96" s="428">
        <f t="shared" si="40"/>
        <v>0</v>
      </c>
      <c r="AF96" s="103"/>
      <c r="AG96" s="103"/>
      <c r="AH96" s="103"/>
      <c r="AI96" s="103"/>
      <c r="AJ96" s="428">
        <f t="shared" si="41"/>
        <v>0</v>
      </c>
      <c r="AK96" s="446"/>
      <c r="AL96" s="446"/>
      <c r="AM96" s="446"/>
      <c r="AN96" s="446"/>
      <c r="AO96" s="446"/>
      <c r="AP96" s="446"/>
      <c r="AQ96" s="446"/>
      <c r="AR96" s="431">
        <f t="shared" si="42"/>
        <v>0</v>
      </c>
      <c r="AT96" s="128" t="s">
        <v>580</v>
      </c>
      <c r="AU96" s="100" t="s">
        <v>598</v>
      </c>
      <c r="AV96" s="128" t="s">
        <v>600</v>
      </c>
      <c r="AW96" s="100" t="s">
        <v>601</v>
      </c>
      <c r="AX96" s="433">
        <f t="shared" si="43"/>
        <v>1</v>
      </c>
      <c r="AY96" s="433">
        <f t="shared" si="44"/>
        <v>0</v>
      </c>
      <c r="AZ96" s="433">
        <f t="shared" si="45"/>
        <v>0</v>
      </c>
      <c r="BA96" s="433">
        <f t="shared" si="35"/>
        <v>0</v>
      </c>
      <c r="BB96" s="433">
        <f t="shared" si="36"/>
        <v>0</v>
      </c>
      <c r="BC96" s="433">
        <f t="shared" si="37"/>
        <v>0</v>
      </c>
      <c r="BD96" s="433">
        <f t="shared" si="46"/>
        <v>0</v>
      </c>
      <c r="BE96" s="433">
        <f t="shared" si="47"/>
        <v>0</v>
      </c>
      <c r="BF96" s="433">
        <f t="shared" si="48"/>
        <v>0</v>
      </c>
      <c r="BG96" s="433">
        <f t="shared" si="49"/>
        <v>0</v>
      </c>
      <c r="BH96" s="433">
        <f t="shared" si="50"/>
        <v>0</v>
      </c>
      <c r="BI96" s="433">
        <f t="shared" si="51"/>
        <v>0</v>
      </c>
      <c r="BJ96" s="433">
        <f t="shared" si="52"/>
        <v>0</v>
      </c>
      <c r="BK96" s="433">
        <f t="shared" si="53"/>
        <v>0</v>
      </c>
      <c r="BL96" s="433">
        <f t="shared" si="54"/>
        <v>0</v>
      </c>
      <c r="BM96" s="433">
        <f t="shared" si="55"/>
        <v>0</v>
      </c>
      <c r="BN96" s="433">
        <f t="shared" si="56"/>
        <v>0</v>
      </c>
      <c r="BO96" s="433">
        <f t="shared" si="57"/>
        <v>0</v>
      </c>
      <c r="BP96" s="433">
        <f t="shared" si="58"/>
        <v>0</v>
      </c>
      <c r="BQ96" s="433">
        <f t="shared" si="59"/>
        <v>0</v>
      </c>
    </row>
    <row r="97" spans="1:69" x14ac:dyDescent="0.2">
      <c r="A97" s="102">
        <v>41805</v>
      </c>
      <c r="B97" s="319">
        <v>2</v>
      </c>
      <c r="C97" s="118" t="s">
        <v>577</v>
      </c>
      <c r="D97" s="111">
        <v>0.75416666666666676</v>
      </c>
      <c r="E97" s="111">
        <v>0.97569444444444453</v>
      </c>
      <c r="F97" s="444">
        <v>36</v>
      </c>
      <c r="G97" s="445">
        <v>7</v>
      </c>
      <c r="H97" s="444"/>
      <c r="I97" s="390"/>
      <c r="J97" s="426">
        <f>(E97-D97)*24*60</f>
        <v>319</v>
      </c>
      <c r="K97" s="103">
        <v>1</v>
      </c>
      <c r="L97" s="103"/>
      <c r="M97" s="103"/>
      <c r="N97" s="427">
        <f t="shared" si="33"/>
        <v>1</v>
      </c>
      <c r="O97" s="103"/>
      <c r="P97" s="103"/>
      <c r="Q97" s="103"/>
      <c r="R97" s="428">
        <f t="shared" si="34"/>
        <v>0</v>
      </c>
      <c r="S97" s="103"/>
      <c r="T97" s="103"/>
      <c r="U97" s="103"/>
      <c r="V97" s="125"/>
      <c r="W97" s="428">
        <f t="shared" si="38"/>
        <v>0</v>
      </c>
      <c r="X97" s="103"/>
      <c r="Y97" s="103"/>
      <c r="Z97" s="125"/>
      <c r="AA97" s="428">
        <f t="shared" si="39"/>
        <v>0</v>
      </c>
      <c r="AB97" s="103"/>
      <c r="AC97" s="103"/>
      <c r="AD97" s="103"/>
      <c r="AE97" s="428">
        <f t="shared" si="40"/>
        <v>0</v>
      </c>
      <c r="AF97" s="103"/>
      <c r="AG97" s="103"/>
      <c r="AH97" s="103"/>
      <c r="AI97" s="103"/>
      <c r="AJ97" s="428">
        <f t="shared" si="41"/>
        <v>0</v>
      </c>
      <c r="AK97" s="446"/>
      <c r="AL97" s="446"/>
      <c r="AM97" s="446"/>
      <c r="AN97" s="446"/>
      <c r="AO97" s="446"/>
      <c r="AP97" s="446"/>
      <c r="AQ97" s="446"/>
      <c r="AR97" s="431">
        <f t="shared" si="42"/>
        <v>0</v>
      </c>
      <c r="AT97" s="128"/>
      <c r="AU97" s="100" t="s">
        <v>578</v>
      </c>
      <c r="AV97" s="128" t="s">
        <v>600</v>
      </c>
      <c r="AW97" s="100" t="s">
        <v>601</v>
      </c>
      <c r="AX97" s="433">
        <f t="shared" si="43"/>
        <v>1</v>
      </c>
      <c r="AY97" s="433">
        <f t="shared" si="44"/>
        <v>0</v>
      </c>
      <c r="AZ97" s="433">
        <f t="shared" si="45"/>
        <v>0</v>
      </c>
      <c r="BA97" s="433">
        <f t="shared" si="35"/>
        <v>0</v>
      </c>
      <c r="BB97" s="433">
        <f t="shared" si="36"/>
        <v>0</v>
      </c>
      <c r="BC97" s="433">
        <f t="shared" si="37"/>
        <v>0</v>
      </c>
      <c r="BD97" s="433">
        <f t="shared" si="46"/>
        <v>0</v>
      </c>
      <c r="BE97" s="433">
        <f t="shared" si="47"/>
        <v>0</v>
      </c>
      <c r="BF97" s="433">
        <f t="shared" si="48"/>
        <v>0</v>
      </c>
      <c r="BG97" s="433">
        <f t="shared" si="49"/>
        <v>0</v>
      </c>
      <c r="BH97" s="433">
        <f t="shared" si="50"/>
        <v>0</v>
      </c>
      <c r="BI97" s="433">
        <f t="shared" si="51"/>
        <v>0</v>
      </c>
      <c r="BJ97" s="433">
        <f t="shared" si="52"/>
        <v>0</v>
      </c>
      <c r="BK97" s="433">
        <f t="shared" si="53"/>
        <v>0</v>
      </c>
      <c r="BL97" s="433">
        <f t="shared" si="54"/>
        <v>0</v>
      </c>
      <c r="BM97" s="433">
        <f t="shared" si="55"/>
        <v>0</v>
      </c>
      <c r="BN97" s="433">
        <f t="shared" si="56"/>
        <v>0</v>
      </c>
      <c r="BO97" s="433">
        <f t="shared" si="57"/>
        <v>0</v>
      </c>
      <c r="BP97" s="433">
        <f t="shared" si="58"/>
        <v>0</v>
      </c>
      <c r="BQ97" s="433">
        <f t="shared" si="59"/>
        <v>0</v>
      </c>
    </row>
    <row r="98" spans="1:69" x14ac:dyDescent="0.2">
      <c r="A98" s="102">
        <v>41805</v>
      </c>
      <c r="B98" s="319">
        <v>3</v>
      </c>
      <c r="C98" s="118" t="s">
        <v>581</v>
      </c>
      <c r="D98" s="111">
        <v>0.30763888888888891</v>
      </c>
      <c r="E98" s="111">
        <v>0.45833333333333331</v>
      </c>
      <c r="F98" s="444">
        <v>40</v>
      </c>
      <c r="G98" s="445">
        <v>10</v>
      </c>
      <c r="H98" s="444"/>
      <c r="I98" s="390"/>
      <c r="J98" s="426">
        <f>(E98-D98)*24*60</f>
        <v>216.99999999999994</v>
      </c>
      <c r="K98" s="103"/>
      <c r="L98" s="103"/>
      <c r="M98" s="103"/>
      <c r="N98" s="427">
        <f t="shared" si="33"/>
        <v>0</v>
      </c>
      <c r="O98" s="103"/>
      <c r="P98" s="103"/>
      <c r="Q98" s="103"/>
      <c r="R98" s="428">
        <f t="shared" si="34"/>
        <v>0</v>
      </c>
      <c r="S98" s="103"/>
      <c r="T98" s="103"/>
      <c r="U98" s="103"/>
      <c r="V98" s="125"/>
      <c r="W98" s="428">
        <f t="shared" si="38"/>
        <v>0</v>
      </c>
      <c r="X98" s="103"/>
      <c r="Y98" s="103"/>
      <c r="Z98" s="125"/>
      <c r="AA98" s="428">
        <f t="shared" si="39"/>
        <v>0</v>
      </c>
      <c r="AB98" s="103"/>
      <c r="AC98" s="103"/>
      <c r="AD98" s="103"/>
      <c r="AE98" s="428">
        <f t="shared" si="40"/>
        <v>0</v>
      </c>
      <c r="AF98" s="103"/>
      <c r="AG98" s="103"/>
      <c r="AH98" s="103"/>
      <c r="AI98" s="103"/>
      <c r="AJ98" s="428">
        <f t="shared" si="41"/>
        <v>0</v>
      </c>
      <c r="AK98" s="446"/>
      <c r="AL98" s="446"/>
      <c r="AM98" s="446"/>
      <c r="AN98" s="446"/>
      <c r="AO98" s="446"/>
      <c r="AP98" s="446"/>
      <c r="AQ98" s="446"/>
      <c r="AR98" s="431">
        <f t="shared" si="42"/>
        <v>0</v>
      </c>
      <c r="AS98" s="10" t="s">
        <v>582</v>
      </c>
      <c r="AT98" s="128"/>
      <c r="AU98" s="100" t="s">
        <v>544</v>
      </c>
      <c r="AV98" s="128" t="s">
        <v>600</v>
      </c>
      <c r="AW98" s="100" t="s">
        <v>601</v>
      </c>
      <c r="AX98" s="433">
        <f t="shared" si="43"/>
        <v>0</v>
      </c>
      <c r="AY98" s="433">
        <f t="shared" si="44"/>
        <v>0</v>
      </c>
      <c r="AZ98" s="433">
        <f t="shared" si="45"/>
        <v>0</v>
      </c>
      <c r="BA98" s="433">
        <f t="shared" si="35"/>
        <v>0</v>
      </c>
      <c r="BB98" s="433">
        <f t="shared" si="36"/>
        <v>0</v>
      </c>
      <c r="BC98" s="433">
        <f t="shared" si="37"/>
        <v>0</v>
      </c>
      <c r="BD98" s="433">
        <f t="shared" si="46"/>
        <v>0</v>
      </c>
      <c r="BE98" s="433">
        <f t="shared" si="47"/>
        <v>0</v>
      </c>
      <c r="BF98" s="433">
        <f t="shared" si="48"/>
        <v>0</v>
      </c>
      <c r="BG98" s="433">
        <f t="shared" si="49"/>
        <v>0</v>
      </c>
      <c r="BH98" s="433">
        <f t="shared" si="50"/>
        <v>0</v>
      </c>
      <c r="BI98" s="433">
        <f t="shared" si="51"/>
        <v>0</v>
      </c>
      <c r="BJ98" s="433">
        <f t="shared" si="52"/>
        <v>0</v>
      </c>
      <c r="BK98" s="433">
        <f t="shared" si="53"/>
        <v>0</v>
      </c>
      <c r="BL98" s="433">
        <f t="shared" si="54"/>
        <v>0</v>
      </c>
      <c r="BM98" s="433">
        <f t="shared" si="55"/>
        <v>0</v>
      </c>
      <c r="BN98" s="433">
        <f t="shared" si="56"/>
        <v>0</v>
      </c>
      <c r="BO98" s="433">
        <f t="shared" si="57"/>
        <v>0</v>
      </c>
      <c r="BP98" s="433">
        <f t="shared" si="58"/>
        <v>0</v>
      </c>
      <c r="BQ98" s="433">
        <f t="shared" si="59"/>
        <v>0</v>
      </c>
    </row>
    <row r="99" spans="1:69" x14ac:dyDescent="0.2">
      <c r="A99" s="102">
        <v>41805</v>
      </c>
      <c r="B99" s="319">
        <v>3</v>
      </c>
      <c r="C99" s="118" t="s">
        <v>583</v>
      </c>
      <c r="D99" s="111">
        <v>0.45833333333333331</v>
      </c>
      <c r="E99" s="111">
        <v>0.61597222222222225</v>
      </c>
      <c r="F99" s="444">
        <v>39</v>
      </c>
      <c r="G99" s="445">
        <v>8</v>
      </c>
      <c r="H99" s="444"/>
      <c r="I99" s="390"/>
      <c r="J99" s="426">
        <f t="shared" si="32"/>
        <v>227.00000000000009</v>
      </c>
      <c r="K99" s="103"/>
      <c r="L99" s="103"/>
      <c r="M99" s="103"/>
      <c r="N99" s="427">
        <f t="shared" si="33"/>
        <v>0</v>
      </c>
      <c r="O99" s="103"/>
      <c r="P99" s="103"/>
      <c r="Q99" s="103"/>
      <c r="R99" s="428">
        <f t="shared" si="34"/>
        <v>0</v>
      </c>
      <c r="S99" s="103"/>
      <c r="T99" s="103"/>
      <c r="U99" s="103"/>
      <c r="V99" s="125"/>
      <c r="W99" s="428">
        <f t="shared" si="38"/>
        <v>0</v>
      </c>
      <c r="X99" s="103"/>
      <c r="Y99" s="103"/>
      <c r="Z99" s="125"/>
      <c r="AA99" s="428">
        <f t="shared" si="39"/>
        <v>0</v>
      </c>
      <c r="AB99" s="103"/>
      <c r="AC99" s="103"/>
      <c r="AD99" s="103"/>
      <c r="AE99" s="428">
        <f t="shared" si="40"/>
        <v>0</v>
      </c>
      <c r="AF99" s="103"/>
      <c r="AG99" s="103"/>
      <c r="AH99" s="103"/>
      <c r="AI99" s="103"/>
      <c r="AJ99" s="428">
        <f t="shared" si="41"/>
        <v>0</v>
      </c>
      <c r="AK99" s="446"/>
      <c r="AL99" s="446"/>
      <c r="AM99" s="446"/>
      <c r="AN99" s="446"/>
      <c r="AO99" s="446"/>
      <c r="AP99" s="446"/>
      <c r="AQ99" s="446"/>
      <c r="AR99" s="431">
        <f t="shared" si="42"/>
        <v>0</v>
      </c>
      <c r="AS99" s="10" t="s">
        <v>424</v>
      </c>
      <c r="AT99" s="128" t="s">
        <v>584</v>
      </c>
      <c r="AU99" s="100" t="s">
        <v>532</v>
      </c>
      <c r="AV99" s="128" t="s">
        <v>600</v>
      </c>
      <c r="AW99" s="100" t="s">
        <v>601</v>
      </c>
      <c r="AX99" s="433">
        <f t="shared" si="43"/>
        <v>0</v>
      </c>
      <c r="AY99" s="433">
        <f t="shared" si="44"/>
        <v>0</v>
      </c>
      <c r="AZ99" s="433">
        <f t="shared" si="45"/>
        <v>0</v>
      </c>
      <c r="BA99" s="433">
        <f t="shared" si="35"/>
        <v>0</v>
      </c>
      <c r="BB99" s="433">
        <f t="shared" si="36"/>
        <v>0</v>
      </c>
      <c r="BC99" s="433">
        <f t="shared" si="37"/>
        <v>0</v>
      </c>
      <c r="BD99" s="433">
        <f t="shared" si="46"/>
        <v>0</v>
      </c>
      <c r="BE99" s="433">
        <f t="shared" si="47"/>
        <v>0</v>
      </c>
      <c r="BF99" s="433">
        <f t="shared" si="48"/>
        <v>0</v>
      </c>
      <c r="BG99" s="433">
        <f t="shared" si="49"/>
        <v>0</v>
      </c>
      <c r="BH99" s="433">
        <f t="shared" si="50"/>
        <v>0</v>
      </c>
      <c r="BI99" s="433">
        <f t="shared" si="51"/>
        <v>0</v>
      </c>
      <c r="BJ99" s="433">
        <f t="shared" si="52"/>
        <v>0</v>
      </c>
      <c r="BK99" s="433">
        <f t="shared" si="53"/>
        <v>0</v>
      </c>
      <c r="BL99" s="433">
        <f t="shared" si="54"/>
        <v>0</v>
      </c>
      <c r="BM99" s="433">
        <f t="shared" si="55"/>
        <v>0</v>
      </c>
      <c r="BN99" s="433">
        <f t="shared" si="56"/>
        <v>0</v>
      </c>
      <c r="BO99" s="433">
        <f t="shared" si="57"/>
        <v>0</v>
      </c>
      <c r="BP99" s="433">
        <f t="shared" si="58"/>
        <v>0</v>
      </c>
      <c r="BQ99" s="433">
        <f t="shared" si="59"/>
        <v>0</v>
      </c>
    </row>
    <row r="100" spans="1:69" x14ac:dyDescent="0.2">
      <c r="A100" s="102">
        <v>41805</v>
      </c>
      <c r="B100" s="319">
        <v>3</v>
      </c>
      <c r="C100" s="118" t="s">
        <v>585</v>
      </c>
      <c r="D100" s="111">
        <v>0.61597222222222225</v>
      </c>
      <c r="E100" s="111">
        <v>0.78263888888888899</v>
      </c>
      <c r="F100" s="444">
        <v>40</v>
      </c>
      <c r="G100" s="445">
        <v>10</v>
      </c>
      <c r="H100" s="444"/>
      <c r="I100" s="390"/>
      <c r="J100" s="426">
        <f t="shared" si="32"/>
        <v>240.00000000000011</v>
      </c>
      <c r="K100" s="103"/>
      <c r="L100" s="103"/>
      <c r="M100" s="103"/>
      <c r="N100" s="427">
        <f t="shared" si="33"/>
        <v>0</v>
      </c>
      <c r="O100" s="103"/>
      <c r="P100" s="103"/>
      <c r="Q100" s="103"/>
      <c r="R100" s="428">
        <f t="shared" si="34"/>
        <v>0</v>
      </c>
      <c r="S100" s="103"/>
      <c r="T100" s="103"/>
      <c r="U100" s="103"/>
      <c r="V100" s="125"/>
      <c r="W100" s="428">
        <f t="shared" si="38"/>
        <v>0</v>
      </c>
      <c r="X100" s="103"/>
      <c r="Y100" s="103"/>
      <c r="Z100" s="125"/>
      <c r="AA100" s="428">
        <f t="shared" si="39"/>
        <v>0</v>
      </c>
      <c r="AB100" s="103"/>
      <c r="AC100" s="103"/>
      <c r="AD100" s="103"/>
      <c r="AE100" s="428">
        <f t="shared" si="40"/>
        <v>0</v>
      </c>
      <c r="AF100" s="103"/>
      <c r="AG100" s="103"/>
      <c r="AH100" s="103"/>
      <c r="AI100" s="103"/>
      <c r="AJ100" s="428">
        <f t="shared" si="41"/>
        <v>0</v>
      </c>
      <c r="AK100" s="446"/>
      <c r="AL100" s="446"/>
      <c r="AM100" s="446"/>
      <c r="AN100" s="446"/>
      <c r="AO100" s="446"/>
      <c r="AP100" s="446"/>
      <c r="AQ100" s="446"/>
      <c r="AR100" s="431">
        <f t="shared" si="42"/>
        <v>0</v>
      </c>
      <c r="AS100" s="10" t="s">
        <v>586</v>
      </c>
      <c r="AT100" s="128" t="s">
        <v>587</v>
      </c>
      <c r="AU100" s="100" t="s">
        <v>597</v>
      </c>
      <c r="AV100" s="128" t="s">
        <v>600</v>
      </c>
      <c r="AW100" s="100" t="s">
        <v>601</v>
      </c>
      <c r="AX100" s="433">
        <f t="shared" si="43"/>
        <v>0</v>
      </c>
      <c r="AY100" s="433">
        <f t="shared" si="44"/>
        <v>0</v>
      </c>
      <c r="AZ100" s="433">
        <f t="shared" si="45"/>
        <v>0</v>
      </c>
      <c r="BA100" s="433">
        <f t="shared" si="35"/>
        <v>0</v>
      </c>
      <c r="BB100" s="433">
        <f t="shared" si="36"/>
        <v>0</v>
      </c>
      <c r="BC100" s="433">
        <f t="shared" si="37"/>
        <v>0</v>
      </c>
      <c r="BD100" s="433">
        <f t="shared" si="46"/>
        <v>0</v>
      </c>
      <c r="BE100" s="433">
        <f t="shared" si="47"/>
        <v>0</v>
      </c>
      <c r="BF100" s="433">
        <f t="shared" si="48"/>
        <v>0</v>
      </c>
      <c r="BG100" s="433">
        <f t="shared" si="49"/>
        <v>0</v>
      </c>
      <c r="BH100" s="433">
        <f t="shared" si="50"/>
        <v>0</v>
      </c>
      <c r="BI100" s="433">
        <f t="shared" si="51"/>
        <v>0</v>
      </c>
      <c r="BJ100" s="433">
        <f t="shared" si="52"/>
        <v>0</v>
      </c>
      <c r="BK100" s="433">
        <f t="shared" si="53"/>
        <v>0</v>
      </c>
      <c r="BL100" s="433">
        <f t="shared" si="54"/>
        <v>0</v>
      </c>
      <c r="BM100" s="433">
        <f t="shared" si="55"/>
        <v>0</v>
      </c>
      <c r="BN100" s="433">
        <f t="shared" si="56"/>
        <v>0</v>
      </c>
      <c r="BO100" s="433">
        <f t="shared" si="57"/>
        <v>0</v>
      </c>
      <c r="BP100" s="433">
        <f t="shared" si="58"/>
        <v>0</v>
      </c>
      <c r="BQ100" s="433">
        <f t="shared" si="59"/>
        <v>0</v>
      </c>
    </row>
    <row r="101" spans="1:69" s="291" customFormat="1" x14ac:dyDescent="0.2">
      <c r="A101" s="317">
        <v>41805</v>
      </c>
      <c r="B101" s="318">
        <v>3</v>
      </c>
      <c r="C101" s="320" t="s">
        <v>588</v>
      </c>
      <c r="D101" s="321">
        <v>0.78263888888888899</v>
      </c>
      <c r="E101" s="321">
        <v>0.9604166666666667</v>
      </c>
      <c r="F101" s="434">
        <v>38</v>
      </c>
      <c r="G101" s="435">
        <v>9</v>
      </c>
      <c r="H101" s="434"/>
      <c r="I101" s="436"/>
      <c r="J101" s="437">
        <f t="shared" si="32"/>
        <v>255.99999999999989</v>
      </c>
      <c r="K101" s="285"/>
      <c r="L101" s="285"/>
      <c r="M101" s="285"/>
      <c r="N101" s="438">
        <f t="shared" si="33"/>
        <v>0</v>
      </c>
      <c r="O101" s="285"/>
      <c r="P101" s="285"/>
      <c r="Q101" s="285"/>
      <c r="R101" s="439">
        <f t="shared" si="34"/>
        <v>0</v>
      </c>
      <c r="S101" s="285"/>
      <c r="T101" s="285"/>
      <c r="U101" s="285"/>
      <c r="V101" s="440"/>
      <c r="W101" s="439">
        <f t="shared" si="38"/>
        <v>0</v>
      </c>
      <c r="X101" s="285"/>
      <c r="Y101" s="285"/>
      <c r="Z101" s="440"/>
      <c r="AA101" s="439">
        <f t="shared" si="39"/>
        <v>0</v>
      </c>
      <c r="AB101" s="285"/>
      <c r="AC101" s="285"/>
      <c r="AD101" s="285"/>
      <c r="AE101" s="439">
        <f t="shared" si="40"/>
        <v>0</v>
      </c>
      <c r="AF101" s="285"/>
      <c r="AG101" s="285"/>
      <c r="AH101" s="285"/>
      <c r="AI101" s="285"/>
      <c r="AJ101" s="439">
        <f t="shared" si="41"/>
        <v>0</v>
      </c>
      <c r="AK101" s="340"/>
      <c r="AL101" s="340"/>
      <c r="AM101" s="340"/>
      <c r="AN101" s="340"/>
      <c r="AO101" s="340"/>
      <c r="AP101" s="340"/>
      <c r="AQ101" s="340"/>
      <c r="AR101" s="441">
        <f t="shared" si="42"/>
        <v>0</v>
      </c>
      <c r="AT101" s="313" t="s">
        <v>424</v>
      </c>
      <c r="AU101" s="289" t="s">
        <v>597</v>
      </c>
      <c r="AV101" s="313" t="s">
        <v>600</v>
      </c>
      <c r="AW101" s="289" t="s">
        <v>601</v>
      </c>
      <c r="AX101" s="443">
        <f t="shared" si="43"/>
        <v>0</v>
      </c>
      <c r="AY101" s="443">
        <f t="shared" si="44"/>
        <v>0</v>
      </c>
      <c r="AZ101" s="443">
        <f t="shared" si="45"/>
        <v>0</v>
      </c>
      <c r="BA101" s="443">
        <f t="shared" si="35"/>
        <v>0</v>
      </c>
      <c r="BB101" s="443">
        <f t="shared" si="36"/>
        <v>0</v>
      </c>
      <c r="BC101" s="443">
        <f t="shared" si="37"/>
        <v>0</v>
      </c>
      <c r="BD101" s="443">
        <f t="shared" si="46"/>
        <v>0</v>
      </c>
      <c r="BE101" s="443">
        <f t="shared" si="47"/>
        <v>0</v>
      </c>
      <c r="BF101" s="443">
        <f t="shared" si="48"/>
        <v>0</v>
      </c>
      <c r="BG101" s="443">
        <f t="shared" si="49"/>
        <v>0</v>
      </c>
      <c r="BH101" s="443">
        <f t="shared" si="50"/>
        <v>0</v>
      </c>
      <c r="BI101" s="443">
        <f t="shared" si="51"/>
        <v>0</v>
      </c>
      <c r="BJ101" s="443">
        <f t="shared" si="52"/>
        <v>0</v>
      </c>
      <c r="BK101" s="443">
        <f t="shared" si="53"/>
        <v>0</v>
      </c>
      <c r="BL101" s="443">
        <f t="shared" si="54"/>
        <v>0</v>
      </c>
      <c r="BM101" s="443">
        <f t="shared" si="55"/>
        <v>0</v>
      </c>
      <c r="BN101" s="443">
        <f t="shared" si="56"/>
        <v>0</v>
      </c>
      <c r="BO101" s="443">
        <f t="shared" si="57"/>
        <v>0</v>
      </c>
      <c r="BP101" s="443">
        <f t="shared" si="58"/>
        <v>0</v>
      </c>
      <c r="BQ101" s="443">
        <f t="shared" si="59"/>
        <v>0</v>
      </c>
    </row>
    <row r="102" spans="1:69" x14ac:dyDescent="0.2">
      <c r="A102" s="102">
        <v>41806</v>
      </c>
      <c r="B102" s="319">
        <v>1</v>
      </c>
      <c r="C102" s="118" t="s">
        <v>486</v>
      </c>
      <c r="D102" s="111">
        <v>0.25694444444444448</v>
      </c>
      <c r="E102" s="111">
        <v>0.44236111111111115</v>
      </c>
      <c r="F102" s="444">
        <v>60</v>
      </c>
      <c r="G102" s="445">
        <v>8</v>
      </c>
      <c r="H102" s="444"/>
      <c r="I102" s="390"/>
      <c r="J102" s="426">
        <f t="shared" si="32"/>
        <v>267</v>
      </c>
      <c r="K102" s="103"/>
      <c r="L102" s="103"/>
      <c r="M102" s="103"/>
      <c r="N102" s="427">
        <f t="shared" si="33"/>
        <v>0</v>
      </c>
      <c r="O102" s="103"/>
      <c r="P102" s="103"/>
      <c r="Q102" s="103"/>
      <c r="R102" s="428">
        <f t="shared" si="34"/>
        <v>0</v>
      </c>
      <c r="S102" s="103"/>
      <c r="T102" s="103"/>
      <c r="U102" s="103"/>
      <c r="V102" s="125"/>
      <c r="W102" s="428">
        <f t="shared" si="38"/>
        <v>0</v>
      </c>
      <c r="X102" s="103"/>
      <c r="Y102" s="103"/>
      <c r="Z102" s="125"/>
      <c r="AA102" s="428">
        <f t="shared" si="39"/>
        <v>0</v>
      </c>
      <c r="AB102" s="103"/>
      <c r="AC102" s="103"/>
      <c r="AD102" s="103"/>
      <c r="AE102" s="428">
        <f t="shared" si="40"/>
        <v>0</v>
      </c>
      <c r="AF102" s="103"/>
      <c r="AG102" s="103"/>
      <c r="AH102" s="103"/>
      <c r="AI102" s="103"/>
      <c r="AJ102" s="428">
        <f t="shared" si="41"/>
        <v>0</v>
      </c>
      <c r="AK102" s="446"/>
      <c r="AL102" s="446"/>
      <c r="AM102" s="446"/>
      <c r="AN102" s="446"/>
      <c r="AO102" s="446"/>
      <c r="AP102" s="446"/>
      <c r="AQ102" s="446"/>
      <c r="AR102" s="431">
        <f t="shared" si="42"/>
        <v>0</v>
      </c>
      <c r="AS102" s="10" t="s">
        <v>602</v>
      </c>
      <c r="AT102" s="128"/>
      <c r="AU102" s="100" t="s">
        <v>649</v>
      </c>
      <c r="AV102" s="128" t="s">
        <v>600</v>
      </c>
      <c r="AW102" s="100" t="s">
        <v>659</v>
      </c>
      <c r="AX102" s="433">
        <f t="shared" si="43"/>
        <v>0</v>
      </c>
      <c r="AY102" s="433">
        <f t="shared" si="44"/>
        <v>0</v>
      </c>
      <c r="AZ102" s="433">
        <f t="shared" si="45"/>
        <v>0</v>
      </c>
      <c r="BA102" s="433">
        <f t="shared" si="35"/>
        <v>0</v>
      </c>
      <c r="BB102" s="433">
        <f t="shared" si="36"/>
        <v>0</v>
      </c>
      <c r="BC102" s="433">
        <f t="shared" si="37"/>
        <v>0</v>
      </c>
      <c r="BD102" s="433">
        <f t="shared" si="46"/>
        <v>0</v>
      </c>
      <c r="BE102" s="433">
        <f t="shared" si="47"/>
        <v>0</v>
      </c>
      <c r="BF102" s="433">
        <f t="shared" si="48"/>
        <v>0</v>
      </c>
      <c r="BG102" s="433">
        <f t="shared" si="49"/>
        <v>0</v>
      </c>
      <c r="BH102" s="433">
        <f t="shared" si="50"/>
        <v>0</v>
      </c>
      <c r="BI102" s="433">
        <f t="shared" si="51"/>
        <v>0</v>
      </c>
      <c r="BJ102" s="433">
        <f t="shared" si="52"/>
        <v>0</v>
      </c>
      <c r="BK102" s="433">
        <f t="shared" si="53"/>
        <v>0</v>
      </c>
      <c r="BL102" s="433">
        <f t="shared" si="54"/>
        <v>0</v>
      </c>
      <c r="BM102" s="433">
        <f t="shared" si="55"/>
        <v>0</v>
      </c>
      <c r="BN102" s="433">
        <f t="shared" si="56"/>
        <v>0</v>
      </c>
      <c r="BO102" s="433">
        <f t="shared" si="57"/>
        <v>0</v>
      </c>
      <c r="BP102" s="433">
        <f t="shared" si="58"/>
        <v>0</v>
      </c>
      <c r="BQ102" s="433">
        <f t="shared" si="59"/>
        <v>0</v>
      </c>
    </row>
    <row r="103" spans="1:69" x14ac:dyDescent="0.2">
      <c r="A103" s="102">
        <v>41806</v>
      </c>
      <c r="B103" s="319">
        <v>1</v>
      </c>
      <c r="C103" s="118" t="s">
        <v>603</v>
      </c>
      <c r="D103" s="111">
        <v>0.44236111111111115</v>
      </c>
      <c r="E103" s="111">
        <v>0.45555555555555555</v>
      </c>
      <c r="F103" s="444">
        <v>42</v>
      </c>
      <c r="G103" s="445">
        <v>7.5</v>
      </c>
      <c r="H103" s="444"/>
      <c r="I103" s="390"/>
      <c r="J103" s="426">
        <f t="shared" si="32"/>
        <v>18.999999999999932</v>
      </c>
      <c r="K103" s="103"/>
      <c r="L103" s="103"/>
      <c r="M103" s="103"/>
      <c r="N103" s="427">
        <f t="shared" si="33"/>
        <v>0</v>
      </c>
      <c r="O103" s="103"/>
      <c r="P103" s="103"/>
      <c r="Q103" s="103"/>
      <c r="R103" s="428">
        <f t="shared" si="34"/>
        <v>0</v>
      </c>
      <c r="S103" s="103"/>
      <c r="T103" s="103"/>
      <c r="U103" s="103"/>
      <c r="V103" s="125"/>
      <c r="W103" s="428">
        <f t="shared" si="38"/>
        <v>0</v>
      </c>
      <c r="X103" s="103"/>
      <c r="Y103" s="103"/>
      <c r="Z103" s="125"/>
      <c r="AA103" s="428">
        <f t="shared" si="39"/>
        <v>0</v>
      </c>
      <c r="AB103" s="103"/>
      <c r="AC103" s="103"/>
      <c r="AD103" s="103"/>
      <c r="AE103" s="428">
        <f t="shared" si="40"/>
        <v>0</v>
      </c>
      <c r="AF103" s="103"/>
      <c r="AG103" s="103"/>
      <c r="AH103" s="103"/>
      <c r="AI103" s="103"/>
      <c r="AJ103" s="428">
        <f t="shared" si="41"/>
        <v>0</v>
      </c>
      <c r="AK103" s="446"/>
      <c r="AL103" s="446"/>
      <c r="AM103" s="446"/>
      <c r="AN103" s="446"/>
      <c r="AO103" s="446"/>
      <c r="AP103" s="446"/>
      <c r="AQ103" s="446"/>
      <c r="AR103" s="431">
        <f t="shared" si="42"/>
        <v>0</v>
      </c>
      <c r="AS103" s="10" t="s">
        <v>604</v>
      </c>
      <c r="AT103" s="128" t="s">
        <v>605</v>
      </c>
      <c r="AU103" s="100" t="s">
        <v>650</v>
      </c>
      <c r="AV103" s="128" t="s">
        <v>600</v>
      </c>
      <c r="AW103" s="100" t="s">
        <v>659</v>
      </c>
      <c r="AX103" s="433">
        <f t="shared" si="43"/>
        <v>0</v>
      </c>
      <c r="AY103" s="433">
        <f t="shared" si="44"/>
        <v>0</v>
      </c>
      <c r="AZ103" s="433">
        <f t="shared" si="45"/>
        <v>0</v>
      </c>
      <c r="BA103" s="433">
        <f t="shared" si="35"/>
        <v>0</v>
      </c>
      <c r="BB103" s="433">
        <f t="shared" si="36"/>
        <v>0</v>
      </c>
      <c r="BC103" s="433">
        <f t="shared" si="37"/>
        <v>0</v>
      </c>
      <c r="BD103" s="433">
        <f t="shared" si="46"/>
        <v>0</v>
      </c>
      <c r="BE103" s="433">
        <f t="shared" si="47"/>
        <v>0</v>
      </c>
      <c r="BF103" s="433">
        <f t="shared" si="48"/>
        <v>0</v>
      </c>
      <c r="BG103" s="433">
        <f t="shared" si="49"/>
        <v>0</v>
      </c>
      <c r="BH103" s="433">
        <f t="shared" si="50"/>
        <v>0</v>
      </c>
      <c r="BI103" s="433">
        <f t="shared" si="51"/>
        <v>0</v>
      </c>
      <c r="BJ103" s="433">
        <f t="shared" si="52"/>
        <v>0</v>
      </c>
      <c r="BK103" s="433">
        <f t="shared" si="53"/>
        <v>0</v>
      </c>
      <c r="BL103" s="433">
        <f t="shared" si="54"/>
        <v>0</v>
      </c>
      <c r="BM103" s="433">
        <f t="shared" si="55"/>
        <v>0</v>
      </c>
      <c r="BN103" s="433">
        <f t="shared" si="56"/>
        <v>0</v>
      </c>
      <c r="BO103" s="433">
        <f t="shared" si="57"/>
        <v>0</v>
      </c>
      <c r="BP103" s="433">
        <f t="shared" si="58"/>
        <v>0</v>
      </c>
      <c r="BQ103" s="433">
        <f t="shared" si="59"/>
        <v>0</v>
      </c>
    </row>
    <row r="104" spans="1:69" x14ac:dyDescent="0.2">
      <c r="A104" s="102">
        <v>41806</v>
      </c>
      <c r="B104" s="319">
        <v>1</v>
      </c>
      <c r="C104" s="118" t="s">
        <v>606</v>
      </c>
      <c r="D104" s="111">
        <v>0.45555555555555555</v>
      </c>
      <c r="E104" s="111">
        <v>0.53541666666666665</v>
      </c>
      <c r="F104" s="444">
        <v>55</v>
      </c>
      <c r="G104" s="445">
        <v>9</v>
      </c>
      <c r="H104" s="444"/>
      <c r="I104" s="390"/>
      <c r="J104" s="426">
        <f t="shared" si="32"/>
        <v>114.99999999999999</v>
      </c>
      <c r="K104" s="103"/>
      <c r="L104" s="103"/>
      <c r="M104" s="103"/>
      <c r="N104" s="427">
        <f t="shared" si="33"/>
        <v>0</v>
      </c>
      <c r="O104" s="103"/>
      <c r="P104" s="103"/>
      <c r="Q104" s="103"/>
      <c r="R104" s="428">
        <f t="shared" si="34"/>
        <v>0</v>
      </c>
      <c r="S104" s="103"/>
      <c r="T104" s="103"/>
      <c r="U104" s="103"/>
      <c r="V104" s="125"/>
      <c r="W104" s="428">
        <f t="shared" si="38"/>
        <v>0</v>
      </c>
      <c r="X104" s="103"/>
      <c r="Y104" s="103"/>
      <c r="Z104" s="125"/>
      <c r="AA104" s="428">
        <f t="shared" si="39"/>
        <v>0</v>
      </c>
      <c r="AB104" s="103"/>
      <c r="AC104" s="103"/>
      <c r="AD104" s="103"/>
      <c r="AE104" s="428">
        <f t="shared" si="40"/>
        <v>0</v>
      </c>
      <c r="AF104" s="103"/>
      <c r="AG104" s="103"/>
      <c r="AH104" s="103"/>
      <c r="AI104" s="103"/>
      <c r="AJ104" s="428">
        <f t="shared" si="41"/>
        <v>0</v>
      </c>
      <c r="AK104" s="446"/>
      <c r="AL104" s="446"/>
      <c r="AM104" s="446"/>
      <c r="AN104" s="446"/>
      <c r="AO104" s="446"/>
      <c r="AP104" s="446"/>
      <c r="AQ104" s="446"/>
      <c r="AR104" s="431">
        <f t="shared" si="42"/>
        <v>0</v>
      </c>
      <c r="AS104" s="10" t="s">
        <v>653</v>
      </c>
      <c r="AT104" s="128" t="s">
        <v>654</v>
      </c>
      <c r="AU104" s="100" t="s">
        <v>651</v>
      </c>
      <c r="AV104" s="128" t="s">
        <v>600</v>
      </c>
      <c r="AW104" s="100" t="s">
        <v>659</v>
      </c>
      <c r="AX104" s="433">
        <f t="shared" si="43"/>
        <v>0</v>
      </c>
      <c r="AY104" s="433">
        <f t="shared" si="44"/>
        <v>0</v>
      </c>
      <c r="AZ104" s="433">
        <f t="shared" si="45"/>
        <v>0</v>
      </c>
      <c r="BA104" s="433">
        <f t="shared" si="35"/>
        <v>0</v>
      </c>
      <c r="BB104" s="433">
        <f t="shared" si="36"/>
        <v>0</v>
      </c>
      <c r="BC104" s="433">
        <f t="shared" si="37"/>
        <v>0</v>
      </c>
      <c r="BD104" s="433">
        <f t="shared" si="46"/>
        <v>0</v>
      </c>
      <c r="BE104" s="433">
        <f t="shared" si="47"/>
        <v>0</v>
      </c>
      <c r="BF104" s="433">
        <f t="shared" si="48"/>
        <v>0</v>
      </c>
      <c r="BG104" s="433">
        <f t="shared" si="49"/>
        <v>0</v>
      </c>
      <c r="BH104" s="433">
        <f t="shared" si="50"/>
        <v>0</v>
      </c>
      <c r="BI104" s="433">
        <f t="shared" si="51"/>
        <v>0</v>
      </c>
      <c r="BJ104" s="433">
        <f t="shared" si="52"/>
        <v>0</v>
      </c>
      <c r="BK104" s="433">
        <f t="shared" si="53"/>
        <v>0</v>
      </c>
      <c r="BL104" s="433">
        <f t="shared" si="54"/>
        <v>0</v>
      </c>
      <c r="BM104" s="433">
        <f t="shared" si="55"/>
        <v>0</v>
      </c>
      <c r="BN104" s="433">
        <f t="shared" si="56"/>
        <v>0</v>
      </c>
      <c r="BO104" s="433">
        <f t="shared" si="57"/>
        <v>0</v>
      </c>
      <c r="BP104" s="433">
        <f t="shared" si="58"/>
        <v>0</v>
      </c>
      <c r="BQ104" s="433">
        <f t="shared" si="59"/>
        <v>0</v>
      </c>
    </row>
    <row r="105" spans="1:69" x14ac:dyDescent="0.2">
      <c r="A105" s="102">
        <v>41806</v>
      </c>
      <c r="B105" s="319">
        <v>1</v>
      </c>
      <c r="C105" s="118" t="s">
        <v>474</v>
      </c>
      <c r="D105" s="111">
        <v>0.53541666666666665</v>
      </c>
      <c r="E105" s="111">
        <v>0.65555555555555556</v>
      </c>
      <c r="F105" s="444">
        <v>59</v>
      </c>
      <c r="G105" s="445">
        <v>7</v>
      </c>
      <c r="H105" s="444"/>
      <c r="I105" s="390"/>
      <c r="J105" s="426">
        <f t="shared" si="32"/>
        <v>173.00000000000003</v>
      </c>
      <c r="K105" s="103">
        <v>1</v>
      </c>
      <c r="L105" s="103"/>
      <c r="M105" s="103"/>
      <c r="N105" s="427">
        <f t="shared" si="33"/>
        <v>1</v>
      </c>
      <c r="O105" s="103"/>
      <c r="P105" s="103"/>
      <c r="Q105" s="103"/>
      <c r="R105" s="428">
        <f t="shared" si="34"/>
        <v>0</v>
      </c>
      <c r="S105" s="103"/>
      <c r="T105" s="103"/>
      <c r="U105" s="103"/>
      <c r="V105" s="125"/>
      <c r="W105" s="428">
        <f t="shared" si="38"/>
        <v>0</v>
      </c>
      <c r="X105" s="103"/>
      <c r="Y105" s="103"/>
      <c r="Z105" s="125"/>
      <c r="AA105" s="428">
        <f t="shared" si="39"/>
        <v>0</v>
      </c>
      <c r="AB105" s="103"/>
      <c r="AC105" s="103"/>
      <c r="AD105" s="103"/>
      <c r="AE105" s="428">
        <f t="shared" si="40"/>
        <v>0</v>
      </c>
      <c r="AF105" s="103"/>
      <c r="AG105" s="103"/>
      <c r="AH105" s="103"/>
      <c r="AI105" s="103"/>
      <c r="AJ105" s="428">
        <f t="shared" si="41"/>
        <v>0</v>
      </c>
      <c r="AK105" s="446"/>
      <c r="AL105" s="446"/>
      <c r="AM105" s="446"/>
      <c r="AN105" s="446"/>
      <c r="AO105" s="446"/>
      <c r="AP105" s="446"/>
      <c r="AQ105" s="446"/>
      <c r="AR105" s="431">
        <f t="shared" si="42"/>
        <v>0</v>
      </c>
      <c r="AT105" s="128" t="s">
        <v>607</v>
      </c>
      <c r="AU105" s="100" t="s">
        <v>559</v>
      </c>
      <c r="AV105" s="128" t="s">
        <v>600</v>
      </c>
      <c r="AW105" s="100" t="s">
        <v>659</v>
      </c>
      <c r="AX105" s="433">
        <f t="shared" si="43"/>
        <v>1</v>
      </c>
      <c r="AY105" s="433">
        <f t="shared" si="44"/>
        <v>0</v>
      </c>
      <c r="AZ105" s="433">
        <f t="shared" si="45"/>
        <v>0</v>
      </c>
      <c r="BA105" s="433">
        <f t="shared" si="35"/>
        <v>0</v>
      </c>
      <c r="BB105" s="433">
        <f t="shared" si="36"/>
        <v>0</v>
      </c>
      <c r="BC105" s="433">
        <f t="shared" si="37"/>
        <v>0</v>
      </c>
      <c r="BD105" s="433">
        <f t="shared" si="46"/>
        <v>0</v>
      </c>
      <c r="BE105" s="433">
        <f t="shared" si="47"/>
        <v>0</v>
      </c>
      <c r="BF105" s="433">
        <f t="shared" si="48"/>
        <v>0</v>
      </c>
      <c r="BG105" s="433">
        <f t="shared" si="49"/>
        <v>0</v>
      </c>
      <c r="BH105" s="433">
        <f t="shared" si="50"/>
        <v>0</v>
      </c>
      <c r="BI105" s="433">
        <f t="shared" si="51"/>
        <v>0</v>
      </c>
      <c r="BJ105" s="433">
        <f t="shared" si="52"/>
        <v>0</v>
      </c>
      <c r="BK105" s="433">
        <f t="shared" si="53"/>
        <v>0</v>
      </c>
      <c r="BL105" s="433">
        <f t="shared" si="54"/>
        <v>0</v>
      </c>
      <c r="BM105" s="433">
        <f t="shared" si="55"/>
        <v>0</v>
      </c>
      <c r="BN105" s="433">
        <f t="shared" si="56"/>
        <v>0</v>
      </c>
      <c r="BO105" s="433">
        <f t="shared" si="57"/>
        <v>0</v>
      </c>
      <c r="BP105" s="433">
        <f t="shared" si="58"/>
        <v>0</v>
      </c>
      <c r="BQ105" s="433">
        <f t="shared" si="59"/>
        <v>0</v>
      </c>
    </row>
    <row r="106" spans="1:69" x14ac:dyDescent="0.2">
      <c r="A106" s="102">
        <v>41806</v>
      </c>
      <c r="B106" s="319">
        <v>1</v>
      </c>
      <c r="C106" s="118" t="s">
        <v>608</v>
      </c>
      <c r="D106" s="111">
        <v>0.65555555555555556</v>
      </c>
      <c r="E106" s="111">
        <v>0.71666666666666667</v>
      </c>
      <c r="F106" s="444">
        <v>54</v>
      </c>
      <c r="G106" s="445">
        <v>8</v>
      </c>
      <c r="H106" s="444"/>
      <c r="I106" s="390"/>
      <c r="J106" s="426">
        <f t="shared" si="32"/>
        <v>88</v>
      </c>
      <c r="K106" s="103">
        <v>1</v>
      </c>
      <c r="L106" s="103"/>
      <c r="M106" s="103"/>
      <c r="N106" s="427">
        <f t="shared" si="33"/>
        <v>1</v>
      </c>
      <c r="O106" s="103"/>
      <c r="P106" s="103"/>
      <c r="Q106" s="103"/>
      <c r="R106" s="428">
        <f t="shared" si="34"/>
        <v>0</v>
      </c>
      <c r="S106" s="103"/>
      <c r="T106" s="103"/>
      <c r="U106" s="103"/>
      <c r="V106" s="125"/>
      <c r="W106" s="428">
        <f t="shared" si="38"/>
        <v>0</v>
      </c>
      <c r="X106" s="103"/>
      <c r="Y106" s="103"/>
      <c r="Z106" s="125"/>
      <c r="AA106" s="428">
        <f t="shared" si="39"/>
        <v>0</v>
      </c>
      <c r="AB106" s="103"/>
      <c r="AC106" s="103"/>
      <c r="AD106" s="103"/>
      <c r="AE106" s="428">
        <f t="shared" si="40"/>
        <v>0</v>
      </c>
      <c r="AF106" s="103"/>
      <c r="AG106" s="103"/>
      <c r="AH106" s="103"/>
      <c r="AI106" s="103"/>
      <c r="AJ106" s="428">
        <f t="shared" si="41"/>
        <v>0</v>
      </c>
      <c r="AK106" s="446"/>
      <c r="AL106" s="446"/>
      <c r="AM106" s="446"/>
      <c r="AN106" s="446"/>
      <c r="AO106" s="446"/>
      <c r="AP106" s="446"/>
      <c r="AQ106" s="446"/>
      <c r="AR106" s="431">
        <f t="shared" si="42"/>
        <v>0</v>
      </c>
      <c r="AS106" s="10" t="s">
        <v>609</v>
      </c>
      <c r="AT106" s="128"/>
      <c r="AU106" s="100" t="s">
        <v>649</v>
      </c>
      <c r="AV106" s="128" t="s">
        <v>600</v>
      </c>
      <c r="AW106" s="100" t="s">
        <v>659</v>
      </c>
      <c r="AX106" s="433">
        <f t="shared" si="43"/>
        <v>1</v>
      </c>
      <c r="AY106" s="433">
        <f t="shared" si="44"/>
        <v>0</v>
      </c>
      <c r="AZ106" s="433">
        <f t="shared" si="45"/>
        <v>0</v>
      </c>
      <c r="BA106" s="433">
        <f t="shared" si="35"/>
        <v>0</v>
      </c>
      <c r="BB106" s="433">
        <f t="shared" si="36"/>
        <v>0</v>
      </c>
      <c r="BC106" s="433">
        <f t="shared" si="37"/>
        <v>0</v>
      </c>
      <c r="BD106" s="433">
        <f t="shared" si="46"/>
        <v>0</v>
      </c>
      <c r="BE106" s="433">
        <f t="shared" si="47"/>
        <v>0</v>
      </c>
      <c r="BF106" s="433">
        <f t="shared" si="48"/>
        <v>0</v>
      </c>
      <c r="BG106" s="433">
        <f t="shared" si="49"/>
        <v>0</v>
      </c>
      <c r="BH106" s="433">
        <f t="shared" si="50"/>
        <v>0</v>
      </c>
      <c r="BI106" s="433">
        <f t="shared" si="51"/>
        <v>0</v>
      </c>
      <c r="BJ106" s="433">
        <f t="shared" si="52"/>
        <v>0</v>
      </c>
      <c r="BK106" s="433">
        <f t="shared" si="53"/>
        <v>0</v>
      </c>
      <c r="BL106" s="433">
        <f t="shared" si="54"/>
        <v>0</v>
      </c>
      <c r="BM106" s="433">
        <f t="shared" si="55"/>
        <v>0</v>
      </c>
      <c r="BN106" s="433">
        <f t="shared" si="56"/>
        <v>0</v>
      </c>
      <c r="BO106" s="433">
        <f t="shared" si="57"/>
        <v>0</v>
      </c>
      <c r="BP106" s="433">
        <f t="shared" si="58"/>
        <v>0</v>
      </c>
      <c r="BQ106" s="433">
        <f t="shared" si="59"/>
        <v>0</v>
      </c>
    </row>
    <row r="107" spans="1:69" x14ac:dyDescent="0.2">
      <c r="A107" s="102">
        <v>41806</v>
      </c>
      <c r="B107" s="319">
        <v>1</v>
      </c>
      <c r="C107" s="118" t="s">
        <v>608</v>
      </c>
      <c r="D107" s="111">
        <v>0.71666666666666667</v>
      </c>
      <c r="E107" s="111">
        <v>0.86041666666666661</v>
      </c>
      <c r="F107" s="444">
        <v>54</v>
      </c>
      <c r="G107" s="445">
        <v>8</v>
      </c>
      <c r="H107" s="444"/>
      <c r="I107" s="390"/>
      <c r="J107" s="426">
        <f>((E107-D107)*24*60)-30</f>
        <v>176.99999999999991</v>
      </c>
      <c r="K107" s="103"/>
      <c r="L107" s="103"/>
      <c r="M107" s="103"/>
      <c r="N107" s="427">
        <f t="shared" si="33"/>
        <v>0</v>
      </c>
      <c r="O107" s="103"/>
      <c r="P107" s="103"/>
      <c r="Q107" s="103"/>
      <c r="R107" s="428">
        <f t="shared" si="34"/>
        <v>0</v>
      </c>
      <c r="S107" s="103"/>
      <c r="T107" s="103"/>
      <c r="U107" s="103"/>
      <c r="V107" s="125"/>
      <c r="W107" s="428">
        <f t="shared" si="38"/>
        <v>0</v>
      </c>
      <c r="X107" s="103"/>
      <c r="Y107" s="103"/>
      <c r="Z107" s="125"/>
      <c r="AA107" s="428">
        <f t="shared" si="39"/>
        <v>0</v>
      </c>
      <c r="AB107" s="103"/>
      <c r="AC107" s="103"/>
      <c r="AD107" s="103"/>
      <c r="AE107" s="428">
        <f t="shared" si="40"/>
        <v>0</v>
      </c>
      <c r="AF107" s="103"/>
      <c r="AG107" s="103"/>
      <c r="AH107" s="103"/>
      <c r="AI107" s="103"/>
      <c r="AJ107" s="428">
        <f t="shared" si="41"/>
        <v>0</v>
      </c>
      <c r="AK107" s="446"/>
      <c r="AL107" s="446"/>
      <c r="AM107" s="446"/>
      <c r="AN107" s="446"/>
      <c r="AO107" s="446"/>
      <c r="AP107" s="446"/>
      <c r="AQ107" s="446"/>
      <c r="AR107" s="431">
        <f t="shared" si="42"/>
        <v>0</v>
      </c>
      <c r="AS107" s="10" t="s">
        <v>655</v>
      </c>
      <c r="AT107" s="128"/>
      <c r="AU107" s="100" t="s">
        <v>649</v>
      </c>
      <c r="AV107" s="128" t="s">
        <v>600</v>
      </c>
      <c r="AW107" s="100" t="s">
        <v>659</v>
      </c>
      <c r="AX107" s="433">
        <f t="shared" si="43"/>
        <v>0</v>
      </c>
      <c r="AY107" s="433">
        <f t="shared" si="44"/>
        <v>0</v>
      </c>
      <c r="AZ107" s="433">
        <f t="shared" si="45"/>
        <v>0</v>
      </c>
      <c r="BA107" s="433">
        <f t="shared" si="35"/>
        <v>0</v>
      </c>
      <c r="BB107" s="433">
        <f t="shared" si="36"/>
        <v>0</v>
      </c>
      <c r="BC107" s="433">
        <f t="shared" si="37"/>
        <v>0</v>
      </c>
      <c r="BD107" s="433">
        <f t="shared" si="46"/>
        <v>0</v>
      </c>
      <c r="BE107" s="433">
        <f t="shared" si="47"/>
        <v>0</v>
      </c>
      <c r="BF107" s="433">
        <f t="shared" si="48"/>
        <v>0</v>
      </c>
      <c r="BG107" s="433">
        <f t="shared" si="49"/>
        <v>0</v>
      </c>
      <c r="BH107" s="433">
        <f t="shared" si="50"/>
        <v>0</v>
      </c>
      <c r="BI107" s="433">
        <f t="shared" si="51"/>
        <v>0</v>
      </c>
      <c r="BJ107" s="433">
        <f t="shared" si="52"/>
        <v>0</v>
      </c>
      <c r="BK107" s="433">
        <f t="shared" si="53"/>
        <v>0</v>
      </c>
      <c r="BL107" s="433">
        <f t="shared" si="54"/>
        <v>0</v>
      </c>
      <c r="BM107" s="433">
        <f t="shared" si="55"/>
        <v>0</v>
      </c>
      <c r="BN107" s="433">
        <f t="shared" si="56"/>
        <v>0</v>
      </c>
      <c r="BO107" s="433">
        <f t="shared" si="57"/>
        <v>0</v>
      </c>
      <c r="BP107" s="433">
        <f t="shared" si="58"/>
        <v>0</v>
      </c>
      <c r="BQ107" s="433">
        <f t="shared" si="59"/>
        <v>0</v>
      </c>
    </row>
    <row r="108" spans="1:69" x14ac:dyDescent="0.2">
      <c r="A108" s="102">
        <v>41806</v>
      </c>
      <c r="B108" s="319">
        <v>1</v>
      </c>
      <c r="C108" s="118" t="s">
        <v>610</v>
      </c>
      <c r="D108" s="111">
        <v>0.86041666666666661</v>
      </c>
      <c r="E108" s="111">
        <v>0.95347222222222217</v>
      </c>
      <c r="F108" s="444">
        <v>55</v>
      </c>
      <c r="G108" s="445">
        <v>7</v>
      </c>
      <c r="H108" s="444"/>
      <c r="I108" s="390"/>
      <c r="J108" s="426">
        <f t="shared" si="32"/>
        <v>134</v>
      </c>
      <c r="K108" s="103">
        <v>1</v>
      </c>
      <c r="L108" s="103">
        <v>1</v>
      </c>
      <c r="M108" s="103"/>
      <c r="N108" s="427">
        <f t="shared" si="33"/>
        <v>2</v>
      </c>
      <c r="O108" s="103"/>
      <c r="P108" s="103"/>
      <c r="Q108" s="103"/>
      <c r="R108" s="428">
        <f t="shared" si="34"/>
        <v>0</v>
      </c>
      <c r="S108" s="103"/>
      <c r="T108" s="103"/>
      <c r="U108" s="103"/>
      <c r="V108" s="125"/>
      <c r="W108" s="428">
        <f t="shared" si="38"/>
        <v>0</v>
      </c>
      <c r="X108" s="103"/>
      <c r="Y108" s="103"/>
      <c r="Z108" s="125"/>
      <c r="AA108" s="428">
        <f t="shared" si="39"/>
        <v>0</v>
      </c>
      <c r="AB108" s="103"/>
      <c r="AC108" s="103"/>
      <c r="AD108" s="103"/>
      <c r="AE108" s="428">
        <f t="shared" si="40"/>
        <v>0</v>
      </c>
      <c r="AF108" s="103"/>
      <c r="AG108" s="103"/>
      <c r="AH108" s="103"/>
      <c r="AI108" s="103"/>
      <c r="AJ108" s="428">
        <f t="shared" si="41"/>
        <v>0</v>
      </c>
      <c r="AK108" s="446"/>
      <c r="AL108" s="446"/>
      <c r="AM108" s="446"/>
      <c r="AN108" s="446"/>
      <c r="AO108" s="446"/>
      <c r="AP108" s="446"/>
      <c r="AQ108" s="446"/>
      <c r="AR108" s="431">
        <f t="shared" si="42"/>
        <v>0</v>
      </c>
      <c r="AT108" s="128" t="s">
        <v>656</v>
      </c>
      <c r="AU108" s="100" t="s">
        <v>600</v>
      </c>
      <c r="AV108" s="128" t="s">
        <v>600</v>
      </c>
      <c r="AW108" s="100" t="s">
        <v>659</v>
      </c>
      <c r="AX108" s="433">
        <f t="shared" si="43"/>
        <v>1</v>
      </c>
      <c r="AY108" s="433">
        <f t="shared" si="44"/>
        <v>1</v>
      </c>
      <c r="AZ108" s="433">
        <f t="shared" si="45"/>
        <v>0</v>
      </c>
      <c r="BA108" s="433">
        <f t="shared" si="35"/>
        <v>0</v>
      </c>
      <c r="BB108" s="433">
        <f t="shared" si="36"/>
        <v>0</v>
      </c>
      <c r="BC108" s="433">
        <f t="shared" si="37"/>
        <v>0</v>
      </c>
      <c r="BD108" s="433">
        <f t="shared" si="46"/>
        <v>0</v>
      </c>
      <c r="BE108" s="433">
        <f t="shared" si="47"/>
        <v>0</v>
      </c>
      <c r="BF108" s="433">
        <f t="shared" si="48"/>
        <v>0</v>
      </c>
      <c r="BG108" s="433">
        <f t="shared" si="49"/>
        <v>0</v>
      </c>
      <c r="BH108" s="433">
        <f t="shared" si="50"/>
        <v>0</v>
      </c>
      <c r="BI108" s="433">
        <f t="shared" si="51"/>
        <v>0</v>
      </c>
      <c r="BJ108" s="433">
        <f t="shared" si="52"/>
        <v>0</v>
      </c>
      <c r="BK108" s="433">
        <f t="shared" si="53"/>
        <v>0</v>
      </c>
      <c r="BL108" s="433">
        <f t="shared" si="54"/>
        <v>0</v>
      </c>
      <c r="BM108" s="433">
        <f t="shared" si="55"/>
        <v>0</v>
      </c>
      <c r="BN108" s="433">
        <f t="shared" si="56"/>
        <v>0</v>
      </c>
      <c r="BO108" s="433">
        <f t="shared" si="57"/>
        <v>0</v>
      </c>
      <c r="BP108" s="433">
        <f t="shared" si="58"/>
        <v>0</v>
      </c>
      <c r="BQ108" s="433">
        <f t="shared" si="59"/>
        <v>0</v>
      </c>
    </row>
    <row r="109" spans="1:69" s="11" customFormat="1" x14ac:dyDescent="0.2">
      <c r="A109" s="102">
        <v>41806</v>
      </c>
      <c r="B109" s="319">
        <v>1</v>
      </c>
      <c r="C109" s="118" t="s">
        <v>611</v>
      </c>
      <c r="D109" s="111">
        <v>0.95347222222222217</v>
      </c>
      <c r="E109" s="111">
        <v>1</v>
      </c>
      <c r="F109" s="444"/>
      <c r="G109" s="445"/>
      <c r="H109" s="444"/>
      <c r="I109" s="390"/>
      <c r="J109" s="475">
        <f t="shared" si="32"/>
        <v>67.000000000000085</v>
      </c>
      <c r="K109" s="103"/>
      <c r="L109" s="103"/>
      <c r="M109" s="103"/>
      <c r="N109" s="427">
        <f t="shared" si="33"/>
        <v>0</v>
      </c>
      <c r="O109" s="103"/>
      <c r="P109" s="103"/>
      <c r="Q109" s="103"/>
      <c r="R109" s="428">
        <f t="shared" si="34"/>
        <v>0</v>
      </c>
      <c r="S109" s="103"/>
      <c r="T109" s="103"/>
      <c r="U109" s="103"/>
      <c r="V109" s="125"/>
      <c r="W109" s="428">
        <f t="shared" si="38"/>
        <v>0</v>
      </c>
      <c r="X109" s="103"/>
      <c r="Y109" s="103"/>
      <c r="Z109" s="125"/>
      <c r="AA109" s="428">
        <f t="shared" si="39"/>
        <v>0</v>
      </c>
      <c r="AB109" s="103"/>
      <c r="AC109" s="103"/>
      <c r="AD109" s="103"/>
      <c r="AE109" s="428">
        <f t="shared" si="40"/>
        <v>0</v>
      </c>
      <c r="AF109" s="103"/>
      <c r="AG109" s="103"/>
      <c r="AH109" s="103"/>
      <c r="AI109" s="103"/>
      <c r="AJ109" s="428">
        <f t="shared" si="41"/>
        <v>0</v>
      </c>
      <c r="AK109" s="446"/>
      <c r="AL109" s="446"/>
      <c r="AM109" s="446"/>
      <c r="AN109" s="446"/>
      <c r="AO109" s="446"/>
      <c r="AP109" s="446"/>
      <c r="AQ109" s="446"/>
      <c r="AR109" s="431">
        <f t="shared" si="42"/>
        <v>0</v>
      </c>
      <c r="AT109" s="128" t="s">
        <v>652</v>
      </c>
      <c r="AU109" s="100" t="s">
        <v>651</v>
      </c>
      <c r="AV109" s="128" t="s">
        <v>600</v>
      </c>
      <c r="AW109" s="100" t="s">
        <v>659</v>
      </c>
      <c r="AX109" s="476">
        <f t="shared" si="43"/>
        <v>0</v>
      </c>
      <c r="AY109" s="476">
        <f t="shared" si="44"/>
        <v>0</v>
      </c>
      <c r="AZ109" s="476">
        <f t="shared" si="45"/>
        <v>0</v>
      </c>
      <c r="BA109" s="433">
        <f t="shared" si="35"/>
        <v>0</v>
      </c>
      <c r="BB109" s="433">
        <f t="shared" si="36"/>
        <v>0</v>
      </c>
      <c r="BC109" s="433">
        <f t="shared" si="37"/>
        <v>0</v>
      </c>
      <c r="BD109" s="433">
        <f t="shared" si="46"/>
        <v>0</v>
      </c>
      <c r="BE109" s="433">
        <f t="shared" si="47"/>
        <v>0</v>
      </c>
      <c r="BF109" s="433">
        <f t="shared" si="48"/>
        <v>0</v>
      </c>
      <c r="BG109" s="433">
        <f t="shared" si="49"/>
        <v>0</v>
      </c>
      <c r="BH109" s="433">
        <f t="shared" si="50"/>
        <v>0</v>
      </c>
      <c r="BI109" s="433">
        <f t="shared" si="51"/>
        <v>0</v>
      </c>
      <c r="BJ109" s="433">
        <f t="shared" si="52"/>
        <v>0</v>
      </c>
      <c r="BK109" s="433">
        <f t="shared" si="53"/>
        <v>0</v>
      </c>
      <c r="BL109" s="433">
        <f t="shared" si="54"/>
        <v>0</v>
      </c>
      <c r="BM109" s="433">
        <f t="shared" si="55"/>
        <v>0</v>
      </c>
      <c r="BN109" s="433">
        <f t="shared" si="56"/>
        <v>0</v>
      </c>
      <c r="BO109" s="433">
        <f t="shared" si="57"/>
        <v>0</v>
      </c>
      <c r="BP109" s="433">
        <f t="shared" si="58"/>
        <v>0</v>
      </c>
      <c r="BQ109" s="433">
        <f t="shared" si="59"/>
        <v>0</v>
      </c>
    </row>
    <row r="110" spans="1:69" s="11" customFormat="1" x14ac:dyDescent="0.2">
      <c r="A110" s="102">
        <v>41807</v>
      </c>
      <c r="B110" s="319">
        <v>1</v>
      </c>
      <c r="C110" s="118" t="s">
        <v>611</v>
      </c>
      <c r="D110" s="111">
        <v>0</v>
      </c>
      <c r="E110" s="111">
        <v>3.7499999999999999E-2</v>
      </c>
      <c r="F110" s="444">
        <v>54</v>
      </c>
      <c r="G110" s="445">
        <v>8</v>
      </c>
      <c r="H110" s="444"/>
      <c r="I110" s="390"/>
      <c r="J110" s="475">
        <f t="shared" si="32"/>
        <v>53.999999999999993</v>
      </c>
      <c r="K110" s="103">
        <v>3</v>
      </c>
      <c r="L110" s="103"/>
      <c r="M110" s="103"/>
      <c r="N110" s="427">
        <f t="shared" si="33"/>
        <v>3</v>
      </c>
      <c r="O110" s="103"/>
      <c r="P110" s="103"/>
      <c r="Q110" s="103"/>
      <c r="R110" s="428">
        <f t="shared" si="34"/>
        <v>0</v>
      </c>
      <c r="S110" s="103"/>
      <c r="T110" s="103"/>
      <c r="U110" s="103"/>
      <c r="V110" s="125"/>
      <c r="W110" s="428">
        <f t="shared" si="38"/>
        <v>0</v>
      </c>
      <c r="X110" s="103"/>
      <c r="Y110" s="103"/>
      <c r="Z110" s="125"/>
      <c r="AA110" s="428">
        <f t="shared" si="39"/>
        <v>0</v>
      </c>
      <c r="AB110" s="103"/>
      <c r="AC110" s="103"/>
      <c r="AD110" s="103"/>
      <c r="AE110" s="428">
        <f t="shared" si="40"/>
        <v>0</v>
      </c>
      <c r="AF110" s="103"/>
      <c r="AG110" s="103"/>
      <c r="AH110" s="103"/>
      <c r="AI110" s="103"/>
      <c r="AJ110" s="428">
        <f t="shared" si="41"/>
        <v>0</v>
      </c>
      <c r="AK110" s="446"/>
      <c r="AL110" s="446"/>
      <c r="AM110" s="446"/>
      <c r="AN110" s="446"/>
      <c r="AO110" s="446"/>
      <c r="AP110" s="446"/>
      <c r="AQ110" s="446"/>
      <c r="AR110" s="431">
        <f t="shared" si="42"/>
        <v>0</v>
      </c>
      <c r="AS110" s="11" t="s">
        <v>612</v>
      </c>
      <c r="AT110" s="128" t="s">
        <v>613</v>
      </c>
      <c r="AU110" s="100" t="s">
        <v>651</v>
      </c>
      <c r="AV110" s="128" t="s">
        <v>600</v>
      </c>
      <c r="AW110" s="100" t="s">
        <v>659</v>
      </c>
      <c r="AX110" s="476">
        <f t="shared" si="43"/>
        <v>3</v>
      </c>
      <c r="AY110" s="476">
        <f t="shared" si="44"/>
        <v>0</v>
      </c>
      <c r="AZ110" s="476">
        <f t="shared" si="45"/>
        <v>0</v>
      </c>
      <c r="BA110" s="433">
        <f t="shared" si="35"/>
        <v>0</v>
      </c>
      <c r="BB110" s="433">
        <f t="shared" si="36"/>
        <v>0</v>
      </c>
      <c r="BC110" s="433">
        <f t="shared" si="37"/>
        <v>0</v>
      </c>
      <c r="BD110" s="433">
        <f t="shared" si="46"/>
        <v>0</v>
      </c>
      <c r="BE110" s="433">
        <f t="shared" si="47"/>
        <v>0</v>
      </c>
      <c r="BF110" s="433">
        <f t="shared" si="48"/>
        <v>0</v>
      </c>
      <c r="BG110" s="433">
        <f t="shared" si="49"/>
        <v>0</v>
      </c>
      <c r="BH110" s="433">
        <f t="shared" si="50"/>
        <v>0</v>
      </c>
      <c r="BI110" s="433">
        <f t="shared" si="51"/>
        <v>0</v>
      </c>
      <c r="BJ110" s="433">
        <f t="shared" si="52"/>
        <v>0</v>
      </c>
      <c r="BK110" s="433">
        <f t="shared" si="53"/>
        <v>0</v>
      </c>
      <c r="BL110" s="433">
        <f t="shared" si="54"/>
        <v>0</v>
      </c>
      <c r="BM110" s="433">
        <f t="shared" si="55"/>
        <v>0</v>
      </c>
      <c r="BN110" s="433">
        <f t="shared" si="56"/>
        <v>0</v>
      </c>
      <c r="BO110" s="433">
        <f t="shared" si="57"/>
        <v>0</v>
      </c>
      <c r="BP110" s="433">
        <f t="shared" si="58"/>
        <v>0</v>
      </c>
      <c r="BQ110" s="433">
        <f t="shared" si="59"/>
        <v>0</v>
      </c>
    </row>
    <row r="111" spans="1:69" x14ac:dyDescent="0.2">
      <c r="A111" s="102">
        <v>41806</v>
      </c>
      <c r="B111" s="319">
        <v>2</v>
      </c>
      <c r="C111" s="118" t="s">
        <v>486</v>
      </c>
      <c r="D111" s="111">
        <v>0.2673611111111111</v>
      </c>
      <c r="E111" s="111">
        <v>0.3659722222222222</v>
      </c>
      <c r="F111" s="444">
        <v>36</v>
      </c>
      <c r="G111" s="445">
        <v>8</v>
      </c>
      <c r="H111" s="444"/>
      <c r="I111" s="390"/>
      <c r="J111" s="426">
        <f t="shared" si="32"/>
        <v>141.99999999999997</v>
      </c>
      <c r="K111" s="103"/>
      <c r="L111" s="103"/>
      <c r="M111" s="103"/>
      <c r="N111" s="427">
        <f t="shared" si="33"/>
        <v>0</v>
      </c>
      <c r="O111" s="103"/>
      <c r="P111" s="103"/>
      <c r="Q111" s="103"/>
      <c r="R111" s="428">
        <f t="shared" si="34"/>
        <v>0</v>
      </c>
      <c r="S111" s="103"/>
      <c r="T111" s="103"/>
      <c r="U111" s="103"/>
      <c r="V111" s="125"/>
      <c r="W111" s="428">
        <f t="shared" si="38"/>
        <v>0</v>
      </c>
      <c r="X111" s="103"/>
      <c r="Y111" s="103"/>
      <c r="Z111" s="125"/>
      <c r="AA111" s="428">
        <f t="shared" si="39"/>
        <v>0</v>
      </c>
      <c r="AB111" s="103"/>
      <c r="AC111" s="103"/>
      <c r="AD111" s="103"/>
      <c r="AE111" s="428">
        <f t="shared" si="40"/>
        <v>0</v>
      </c>
      <c r="AF111" s="103"/>
      <c r="AG111" s="103"/>
      <c r="AH111" s="103"/>
      <c r="AI111" s="103"/>
      <c r="AJ111" s="428">
        <f t="shared" si="41"/>
        <v>0</v>
      </c>
      <c r="AK111" s="446"/>
      <c r="AL111" s="446"/>
      <c r="AM111" s="446"/>
      <c r="AN111" s="446"/>
      <c r="AO111" s="446"/>
      <c r="AP111" s="446"/>
      <c r="AQ111" s="446"/>
      <c r="AR111" s="431">
        <f t="shared" si="42"/>
        <v>0</v>
      </c>
      <c r="AS111" s="10" t="s">
        <v>419</v>
      </c>
      <c r="AT111" s="128"/>
      <c r="AU111" s="100" t="s">
        <v>649</v>
      </c>
      <c r="AV111" s="128" t="s">
        <v>600</v>
      </c>
      <c r="AW111" s="100" t="s">
        <v>659</v>
      </c>
      <c r="AX111" s="433">
        <f t="shared" si="43"/>
        <v>0</v>
      </c>
      <c r="AY111" s="433">
        <f t="shared" si="44"/>
        <v>0</v>
      </c>
      <c r="AZ111" s="433">
        <f t="shared" si="45"/>
        <v>0</v>
      </c>
      <c r="BA111" s="433">
        <f t="shared" si="35"/>
        <v>0</v>
      </c>
      <c r="BB111" s="433">
        <f t="shared" si="36"/>
        <v>0</v>
      </c>
      <c r="BC111" s="433">
        <f t="shared" si="37"/>
        <v>0</v>
      </c>
      <c r="BD111" s="433">
        <f t="shared" si="46"/>
        <v>0</v>
      </c>
      <c r="BE111" s="433">
        <f t="shared" si="47"/>
        <v>0</v>
      </c>
      <c r="BF111" s="433">
        <f t="shared" si="48"/>
        <v>0</v>
      </c>
      <c r="BG111" s="433">
        <f t="shared" si="49"/>
        <v>0</v>
      </c>
      <c r="BH111" s="433">
        <f t="shared" si="50"/>
        <v>0</v>
      </c>
      <c r="BI111" s="433">
        <f t="shared" si="51"/>
        <v>0</v>
      </c>
      <c r="BJ111" s="433">
        <f t="shared" si="52"/>
        <v>0</v>
      </c>
      <c r="BK111" s="433">
        <f t="shared" si="53"/>
        <v>0</v>
      </c>
      <c r="BL111" s="433">
        <f t="shared" si="54"/>
        <v>0</v>
      </c>
      <c r="BM111" s="433">
        <f t="shared" si="55"/>
        <v>0</v>
      </c>
      <c r="BN111" s="433">
        <f t="shared" si="56"/>
        <v>0</v>
      </c>
      <c r="BO111" s="433">
        <f t="shared" si="57"/>
        <v>0</v>
      </c>
      <c r="BP111" s="433">
        <f t="shared" si="58"/>
        <v>0</v>
      </c>
      <c r="BQ111" s="433">
        <f t="shared" si="59"/>
        <v>0</v>
      </c>
    </row>
    <row r="112" spans="1:69" x14ac:dyDescent="0.2">
      <c r="A112" s="102">
        <v>41806</v>
      </c>
      <c r="B112" s="319">
        <v>2</v>
      </c>
      <c r="C112" s="118" t="s">
        <v>614</v>
      </c>
      <c r="D112" s="111">
        <v>0.3659722222222222</v>
      </c>
      <c r="E112" s="111">
        <v>0.45277777777777778</v>
      </c>
      <c r="F112" s="444">
        <v>33</v>
      </c>
      <c r="G112" s="445">
        <v>8</v>
      </c>
      <c r="H112" s="444"/>
      <c r="I112" s="390"/>
      <c r="J112" s="426">
        <f t="shared" si="32"/>
        <v>125.00000000000003</v>
      </c>
      <c r="K112" s="103"/>
      <c r="L112" s="103"/>
      <c r="M112" s="103"/>
      <c r="N112" s="427">
        <f t="shared" si="33"/>
        <v>0</v>
      </c>
      <c r="O112" s="103"/>
      <c r="P112" s="103"/>
      <c r="Q112" s="103"/>
      <c r="R112" s="428">
        <f t="shared" si="34"/>
        <v>0</v>
      </c>
      <c r="S112" s="103"/>
      <c r="T112" s="103"/>
      <c r="U112" s="103"/>
      <c r="V112" s="125"/>
      <c r="W112" s="428">
        <f t="shared" si="38"/>
        <v>0</v>
      </c>
      <c r="X112" s="103"/>
      <c r="Y112" s="103"/>
      <c r="Z112" s="125"/>
      <c r="AA112" s="428">
        <f t="shared" si="39"/>
        <v>0</v>
      </c>
      <c r="AB112" s="103"/>
      <c r="AC112" s="103"/>
      <c r="AD112" s="103"/>
      <c r="AE112" s="428">
        <f t="shared" si="40"/>
        <v>0</v>
      </c>
      <c r="AF112" s="103"/>
      <c r="AG112" s="103"/>
      <c r="AH112" s="103"/>
      <c r="AI112" s="103"/>
      <c r="AJ112" s="428">
        <f t="shared" si="41"/>
        <v>0</v>
      </c>
      <c r="AK112" s="446"/>
      <c r="AL112" s="446"/>
      <c r="AM112" s="446"/>
      <c r="AN112" s="446"/>
      <c r="AO112" s="446"/>
      <c r="AP112" s="446"/>
      <c r="AQ112" s="446"/>
      <c r="AR112" s="431">
        <f t="shared" si="42"/>
        <v>0</v>
      </c>
      <c r="AT112" s="128" t="s">
        <v>615</v>
      </c>
      <c r="AU112" s="100" t="s">
        <v>559</v>
      </c>
      <c r="AV112" s="128" t="s">
        <v>600</v>
      </c>
      <c r="AW112" s="100" t="s">
        <v>659</v>
      </c>
      <c r="AX112" s="433">
        <f t="shared" si="43"/>
        <v>0</v>
      </c>
      <c r="AY112" s="433">
        <f t="shared" si="44"/>
        <v>0</v>
      </c>
      <c r="AZ112" s="433">
        <f t="shared" si="45"/>
        <v>0</v>
      </c>
      <c r="BA112" s="433">
        <f t="shared" si="35"/>
        <v>0</v>
      </c>
      <c r="BB112" s="433">
        <f t="shared" si="36"/>
        <v>0</v>
      </c>
      <c r="BC112" s="433">
        <f t="shared" si="37"/>
        <v>0</v>
      </c>
      <c r="BD112" s="433">
        <f t="shared" si="46"/>
        <v>0</v>
      </c>
      <c r="BE112" s="433">
        <f t="shared" si="47"/>
        <v>0</v>
      </c>
      <c r="BF112" s="433">
        <f t="shared" si="48"/>
        <v>0</v>
      </c>
      <c r="BG112" s="433">
        <f t="shared" si="49"/>
        <v>0</v>
      </c>
      <c r="BH112" s="433">
        <f t="shared" si="50"/>
        <v>0</v>
      </c>
      <c r="BI112" s="433">
        <f t="shared" si="51"/>
        <v>0</v>
      </c>
      <c r="BJ112" s="433">
        <f t="shared" si="52"/>
        <v>0</v>
      </c>
      <c r="BK112" s="433">
        <f t="shared" si="53"/>
        <v>0</v>
      </c>
      <c r="BL112" s="433">
        <f t="shared" si="54"/>
        <v>0</v>
      </c>
      <c r="BM112" s="433">
        <f t="shared" si="55"/>
        <v>0</v>
      </c>
      <c r="BN112" s="433">
        <f t="shared" si="56"/>
        <v>0</v>
      </c>
      <c r="BO112" s="433">
        <f t="shared" si="57"/>
        <v>0</v>
      </c>
      <c r="BP112" s="433">
        <f t="shared" si="58"/>
        <v>0</v>
      </c>
      <c r="BQ112" s="433">
        <f t="shared" si="59"/>
        <v>0</v>
      </c>
    </row>
    <row r="113" spans="1:69" x14ac:dyDescent="0.2">
      <c r="A113" s="102">
        <v>41806</v>
      </c>
      <c r="B113" s="319">
        <v>2</v>
      </c>
      <c r="C113" s="323" t="s">
        <v>616</v>
      </c>
      <c r="D113" s="111">
        <v>0.45277777777777778</v>
      </c>
      <c r="E113" s="111">
        <v>0.52847222222222223</v>
      </c>
      <c r="F113" s="444">
        <v>35</v>
      </c>
      <c r="G113" s="445">
        <v>8</v>
      </c>
      <c r="H113" s="444"/>
      <c r="I113" s="390"/>
      <c r="J113" s="426">
        <f t="shared" si="32"/>
        <v>109.00000000000001</v>
      </c>
      <c r="K113" s="103"/>
      <c r="L113" s="103"/>
      <c r="M113" s="103"/>
      <c r="N113" s="427">
        <f t="shared" si="33"/>
        <v>0</v>
      </c>
      <c r="O113" s="103"/>
      <c r="P113" s="103"/>
      <c r="Q113" s="103"/>
      <c r="R113" s="428">
        <f t="shared" si="34"/>
        <v>0</v>
      </c>
      <c r="S113" s="103"/>
      <c r="T113" s="103"/>
      <c r="U113" s="103"/>
      <c r="V113" s="125"/>
      <c r="W113" s="428">
        <f t="shared" si="38"/>
        <v>0</v>
      </c>
      <c r="X113" s="103"/>
      <c r="Y113" s="103"/>
      <c r="Z113" s="125"/>
      <c r="AA113" s="428">
        <f t="shared" si="39"/>
        <v>0</v>
      </c>
      <c r="AB113" s="103"/>
      <c r="AC113" s="103"/>
      <c r="AD113" s="103"/>
      <c r="AE113" s="428">
        <f t="shared" si="40"/>
        <v>0</v>
      </c>
      <c r="AF113" s="103"/>
      <c r="AG113" s="103"/>
      <c r="AH113" s="103"/>
      <c r="AI113" s="103"/>
      <c r="AJ113" s="428">
        <f t="shared" si="41"/>
        <v>0</v>
      </c>
      <c r="AK113" s="446"/>
      <c r="AL113" s="446"/>
      <c r="AM113" s="446"/>
      <c r="AN113" s="446"/>
      <c r="AO113" s="446"/>
      <c r="AP113" s="446"/>
      <c r="AQ113" s="446"/>
      <c r="AR113" s="431">
        <f t="shared" si="42"/>
        <v>0</v>
      </c>
      <c r="AT113" s="128" t="s">
        <v>617</v>
      </c>
      <c r="AU113" s="100" t="s">
        <v>618</v>
      </c>
      <c r="AV113" s="128" t="s">
        <v>600</v>
      </c>
      <c r="AW113" s="100" t="s">
        <v>659</v>
      </c>
      <c r="AX113" s="433">
        <f t="shared" si="43"/>
        <v>0</v>
      </c>
      <c r="AY113" s="433">
        <f t="shared" si="44"/>
        <v>0</v>
      </c>
      <c r="AZ113" s="433">
        <f t="shared" si="45"/>
        <v>0</v>
      </c>
      <c r="BA113" s="433">
        <f t="shared" si="35"/>
        <v>0</v>
      </c>
      <c r="BB113" s="433">
        <f t="shared" si="36"/>
        <v>0</v>
      </c>
      <c r="BC113" s="433">
        <f t="shared" si="37"/>
        <v>0</v>
      </c>
      <c r="BD113" s="433">
        <f t="shared" si="46"/>
        <v>0</v>
      </c>
      <c r="BE113" s="433">
        <f t="shared" si="47"/>
        <v>0</v>
      </c>
      <c r="BF113" s="433">
        <f t="shared" si="48"/>
        <v>0</v>
      </c>
      <c r="BG113" s="433">
        <f t="shared" si="49"/>
        <v>0</v>
      </c>
      <c r="BH113" s="433">
        <f t="shared" si="50"/>
        <v>0</v>
      </c>
      <c r="BI113" s="433">
        <f t="shared" si="51"/>
        <v>0</v>
      </c>
      <c r="BJ113" s="433">
        <f t="shared" si="52"/>
        <v>0</v>
      </c>
      <c r="BK113" s="433">
        <f t="shared" si="53"/>
        <v>0</v>
      </c>
      <c r="BL113" s="433">
        <f t="shared" si="54"/>
        <v>0</v>
      </c>
      <c r="BM113" s="433">
        <f t="shared" si="55"/>
        <v>0</v>
      </c>
      <c r="BN113" s="433">
        <f t="shared" si="56"/>
        <v>0</v>
      </c>
      <c r="BO113" s="433">
        <f t="shared" si="57"/>
        <v>0</v>
      </c>
      <c r="BP113" s="433">
        <f t="shared" si="58"/>
        <v>0</v>
      </c>
      <c r="BQ113" s="433">
        <f t="shared" si="59"/>
        <v>0</v>
      </c>
    </row>
    <row r="114" spans="1:69" x14ac:dyDescent="0.2">
      <c r="A114" s="102">
        <v>41806</v>
      </c>
      <c r="B114" s="319">
        <v>2</v>
      </c>
      <c r="C114" s="118" t="s">
        <v>610</v>
      </c>
      <c r="D114" s="111">
        <v>0.52847222222222223</v>
      </c>
      <c r="E114" s="111">
        <v>0.61388888888888882</v>
      </c>
      <c r="F114" s="444">
        <v>33</v>
      </c>
      <c r="G114" s="445">
        <v>9</v>
      </c>
      <c r="H114" s="444"/>
      <c r="I114" s="390"/>
      <c r="J114" s="426">
        <f t="shared" si="32"/>
        <v>122.99999999999989</v>
      </c>
      <c r="K114" s="103"/>
      <c r="L114" s="103"/>
      <c r="M114" s="103"/>
      <c r="N114" s="427">
        <f t="shared" si="33"/>
        <v>0</v>
      </c>
      <c r="O114" s="103"/>
      <c r="P114" s="103"/>
      <c r="Q114" s="103"/>
      <c r="R114" s="428">
        <f t="shared" si="34"/>
        <v>0</v>
      </c>
      <c r="S114" s="103"/>
      <c r="T114" s="103"/>
      <c r="U114" s="103"/>
      <c r="V114" s="125"/>
      <c r="W114" s="428">
        <f t="shared" si="38"/>
        <v>0</v>
      </c>
      <c r="X114" s="103"/>
      <c r="Y114" s="103"/>
      <c r="Z114" s="125"/>
      <c r="AA114" s="428">
        <f t="shared" si="39"/>
        <v>0</v>
      </c>
      <c r="AB114" s="103"/>
      <c r="AC114" s="103"/>
      <c r="AD114" s="103"/>
      <c r="AE114" s="428">
        <f t="shared" si="40"/>
        <v>0</v>
      </c>
      <c r="AF114" s="103"/>
      <c r="AG114" s="103"/>
      <c r="AH114" s="103"/>
      <c r="AI114" s="103"/>
      <c r="AJ114" s="428">
        <f t="shared" si="41"/>
        <v>0</v>
      </c>
      <c r="AK114" s="446"/>
      <c r="AL114" s="446"/>
      <c r="AM114" s="446"/>
      <c r="AN114" s="446"/>
      <c r="AO114" s="446"/>
      <c r="AP114" s="446"/>
      <c r="AQ114" s="446"/>
      <c r="AR114" s="431">
        <f t="shared" si="42"/>
        <v>0</v>
      </c>
      <c r="AS114" s="10" t="s">
        <v>619</v>
      </c>
      <c r="AT114" s="128" t="s">
        <v>620</v>
      </c>
      <c r="AU114" s="100" t="s">
        <v>559</v>
      </c>
      <c r="AV114" s="128" t="s">
        <v>600</v>
      </c>
      <c r="AW114" s="100" t="s">
        <v>659</v>
      </c>
      <c r="AX114" s="433">
        <f t="shared" si="43"/>
        <v>0</v>
      </c>
      <c r="AY114" s="433">
        <f t="shared" si="44"/>
        <v>0</v>
      </c>
      <c r="AZ114" s="433">
        <f t="shared" si="45"/>
        <v>0</v>
      </c>
      <c r="BA114" s="433">
        <f t="shared" si="35"/>
        <v>0</v>
      </c>
      <c r="BB114" s="433">
        <f t="shared" si="36"/>
        <v>0</v>
      </c>
      <c r="BC114" s="433">
        <f t="shared" si="37"/>
        <v>0</v>
      </c>
      <c r="BD114" s="433">
        <f t="shared" si="46"/>
        <v>0</v>
      </c>
      <c r="BE114" s="433">
        <f t="shared" si="47"/>
        <v>0</v>
      </c>
      <c r="BF114" s="433">
        <f t="shared" si="48"/>
        <v>0</v>
      </c>
      <c r="BG114" s="433">
        <f t="shared" si="49"/>
        <v>0</v>
      </c>
      <c r="BH114" s="433">
        <f t="shared" si="50"/>
        <v>0</v>
      </c>
      <c r="BI114" s="433">
        <f t="shared" si="51"/>
        <v>0</v>
      </c>
      <c r="BJ114" s="433">
        <f t="shared" si="52"/>
        <v>0</v>
      </c>
      <c r="BK114" s="433">
        <f t="shared" si="53"/>
        <v>0</v>
      </c>
      <c r="BL114" s="433">
        <f t="shared" si="54"/>
        <v>0</v>
      </c>
      <c r="BM114" s="433">
        <f t="shared" si="55"/>
        <v>0</v>
      </c>
      <c r="BN114" s="433">
        <f t="shared" si="56"/>
        <v>0</v>
      </c>
      <c r="BO114" s="433">
        <f t="shared" si="57"/>
        <v>0</v>
      </c>
      <c r="BP114" s="433">
        <f t="shared" si="58"/>
        <v>0</v>
      </c>
      <c r="BQ114" s="433">
        <f t="shared" si="59"/>
        <v>0</v>
      </c>
    </row>
    <row r="115" spans="1:69" x14ac:dyDescent="0.2">
      <c r="A115" s="102">
        <v>41806</v>
      </c>
      <c r="B115" s="319">
        <v>2</v>
      </c>
      <c r="C115" s="118" t="s">
        <v>486</v>
      </c>
      <c r="D115" s="111">
        <v>0.61388888888888882</v>
      </c>
      <c r="E115" s="111">
        <v>0.71180555555555547</v>
      </c>
      <c r="F115" s="444">
        <v>34</v>
      </c>
      <c r="G115" s="445">
        <v>8</v>
      </c>
      <c r="H115" s="444"/>
      <c r="I115" s="390"/>
      <c r="J115" s="426">
        <f t="shared" si="32"/>
        <v>140.99999999999997</v>
      </c>
      <c r="K115" s="103"/>
      <c r="L115" s="103"/>
      <c r="M115" s="103"/>
      <c r="N115" s="427">
        <f t="shared" si="33"/>
        <v>0</v>
      </c>
      <c r="O115" s="103"/>
      <c r="P115" s="103"/>
      <c r="Q115" s="103"/>
      <c r="R115" s="428">
        <f t="shared" si="34"/>
        <v>0</v>
      </c>
      <c r="S115" s="103"/>
      <c r="T115" s="103"/>
      <c r="U115" s="103"/>
      <c r="V115" s="125"/>
      <c r="W115" s="428">
        <f t="shared" si="38"/>
        <v>0</v>
      </c>
      <c r="X115" s="103"/>
      <c r="Y115" s="103"/>
      <c r="Z115" s="125"/>
      <c r="AA115" s="428">
        <f t="shared" si="39"/>
        <v>0</v>
      </c>
      <c r="AB115" s="103"/>
      <c r="AC115" s="103"/>
      <c r="AD115" s="103"/>
      <c r="AE115" s="428">
        <f t="shared" si="40"/>
        <v>0</v>
      </c>
      <c r="AF115" s="103"/>
      <c r="AG115" s="103"/>
      <c r="AH115" s="103"/>
      <c r="AI115" s="103"/>
      <c r="AJ115" s="428">
        <f t="shared" si="41"/>
        <v>0</v>
      </c>
      <c r="AK115" s="446"/>
      <c r="AL115" s="446"/>
      <c r="AM115" s="446"/>
      <c r="AN115" s="446"/>
      <c r="AO115" s="446"/>
      <c r="AP115" s="446"/>
      <c r="AQ115" s="446"/>
      <c r="AR115" s="431">
        <f t="shared" si="42"/>
        <v>0</v>
      </c>
      <c r="AT115" s="128" t="s">
        <v>424</v>
      </c>
      <c r="AU115" s="100" t="s">
        <v>596</v>
      </c>
      <c r="AV115" s="128" t="s">
        <v>600</v>
      </c>
      <c r="AW115" s="100" t="s">
        <v>659</v>
      </c>
      <c r="AX115" s="433">
        <f t="shared" si="43"/>
        <v>0</v>
      </c>
      <c r="AY115" s="433">
        <f t="shared" si="44"/>
        <v>0</v>
      </c>
      <c r="AZ115" s="433">
        <f t="shared" si="45"/>
        <v>0</v>
      </c>
      <c r="BA115" s="433">
        <f t="shared" si="35"/>
        <v>0</v>
      </c>
      <c r="BB115" s="433">
        <f t="shared" si="36"/>
        <v>0</v>
      </c>
      <c r="BC115" s="433">
        <f t="shared" si="37"/>
        <v>0</v>
      </c>
      <c r="BD115" s="433">
        <f t="shared" si="46"/>
        <v>0</v>
      </c>
      <c r="BE115" s="433">
        <f t="shared" si="47"/>
        <v>0</v>
      </c>
      <c r="BF115" s="433">
        <f t="shared" si="48"/>
        <v>0</v>
      </c>
      <c r="BG115" s="433">
        <f t="shared" si="49"/>
        <v>0</v>
      </c>
      <c r="BH115" s="433">
        <f t="shared" si="50"/>
        <v>0</v>
      </c>
      <c r="BI115" s="433">
        <f t="shared" si="51"/>
        <v>0</v>
      </c>
      <c r="BJ115" s="433">
        <f t="shared" si="52"/>
        <v>0</v>
      </c>
      <c r="BK115" s="433">
        <f t="shared" si="53"/>
        <v>0</v>
      </c>
      <c r="BL115" s="433">
        <f t="shared" si="54"/>
        <v>0</v>
      </c>
      <c r="BM115" s="433">
        <f t="shared" si="55"/>
        <v>0</v>
      </c>
      <c r="BN115" s="433">
        <f t="shared" si="56"/>
        <v>0</v>
      </c>
      <c r="BO115" s="433">
        <f t="shared" si="57"/>
        <v>0</v>
      </c>
      <c r="BP115" s="433">
        <f t="shared" si="58"/>
        <v>0</v>
      </c>
      <c r="BQ115" s="433">
        <f t="shared" si="59"/>
        <v>0</v>
      </c>
    </row>
    <row r="116" spans="1:69" x14ac:dyDescent="0.2">
      <c r="A116" s="102">
        <v>41806</v>
      </c>
      <c r="B116" s="319">
        <v>2</v>
      </c>
      <c r="C116" s="118" t="s">
        <v>486</v>
      </c>
      <c r="D116" s="111">
        <v>0.71180555555555547</v>
      </c>
      <c r="E116" s="111">
        <v>0.8041666666666667</v>
      </c>
      <c r="F116" s="444">
        <v>32</v>
      </c>
      <c r="G116" s="445">
        <v>8</v>
      </c>
      <c r="H116" s="444"/>
      <c r="I116" s="390"/>
      <c r="J116" s="426">
        <f t="shared" si="32"/>
        <v>133.00000000000017</v>
      </c>
      <c r="K116" s="103">
        <v>1</v>
      </c>
      <c r="L116" s="103"/>
      <c r="M116" s="103"/>
      <c r="N116" s="427">
        <f t="shared" si="33"/>
        <v>1</v>
      </c>
      <c r="O116" s="103"/>
      <c r="P116" s="103"/>
      <c r="Q116" s="103"/>
      <c r="R116" s="428">
        <f t="shared" si="34"/>
        <v>0</v>
      </c>
      <c r="S116" s="103"/>
      <c r="T116" s="103"/>
      <c r="U116" s="103"/>
      <c r="V116" s="125"/>
      <c r="W116" s="428">
        <f t="shared" si="38"/>
        <v>0</v>
      </c>
      <c r="X116" s="103"/>
      <c r="Y116" s="103"/>
      <c r="Z116" s="125"/>
      <c r="AA116" s="428">
        <f t="shared" si="39"/>
        <v>0</v>
      </c>
      <c r="AB116" s="103"/>
      <c r="AC116" s="103"/>
      <c r="AD116" s="103"/>
      <c r="AE116" s="428">
        <f t="shared" si="40"/>
        <v>0</v>
      </c>
      <c r="AF116" s="103"/>
      <c r="AG116" s="103"/>
      <c r="AH116" s="103"/>
      <c r="AI116" s="103"/>
      <c r="AJ116" s="428">
        <f t="shared" si="41"/>
        <v>0</v>
      </c>
      <c r="AK116" s="446"/>
      <c r="AL116" s="446"/>
      <c r="AM116" s="446"/>
      <c r="AN116" s="446"/>
      <c r="AO116" s="446"/>
      <c r="AP116" s="446"/>
      <c r="AQ116" s="446"/>
      <c r="AR116" s="431">
        <f t="shared" si="42"/>
        <v>0</v>
      </c>
      <c r="AT116" s="128" t="s">
        <v>621</v>
      </c>
      <c r="AU116" s="100" t="s">
        <v>649</v>
      </c>
      <c r="AV116" s="128" t="s">
        <v>600</v>
      </c>
      <c r="AW116" s="100" t="s">
        <v>659</v>
      </c>
      <c r="AX116" s="433">
        <f t="shared" si="43"/>
        <v>1</v>
      </c>
      <c r="AY116" s="433">
        <f t="shared" si="44"/>
        <v>0</v>
      </c>
      <c r="AZ116" s="433">
        <f t="shared" si="45"/>
        <v>0</v>
      </c>
      <c r="BA116" s="433">
        <f t="shared" si="35"/>
        <v>0</v>
      </c>
      <c r="BB116" s="433">
        <f t="shared" si="36"/>
        <v>0</v>
      </c>
      <c r="BC116" s="433">
        <f t="shared" si="37"/>
        <v>0</v>
      </c>
      <c r="BD116" s="433">
        <f t="shared" si="46"/>
        <v>0</v>
      </c>
      <c r="BE116" s="433">
        <f t="shared" si="47"/>
        <v>0</v>
      </c>
      <c r="BF116" s="433">
        <f t="shared" si="48"/>
        <v>0</v>
      </c>
      <c r="BG116" s="433">
        <f t="shared" si="49"/>
        <v>0</v>
      </c>
      <c r="BH116" s="433">
        <f t="shared" si="50"/>
        <v>0</v>
      </c>
      <c r="BI116" s="433">
        <f t="shared" si="51"/>
        <v>0</v>
      </c>
      <c r="BJ116" s="433">
        <f t="shared" si="52"/>
        <v>0</v>
      </c>
      <c r="BK116" s="433">
        <f t="shared" si="53"/>
        <v>0</v>
      </c>
      <c r="BL116" s="433">
        <f t="shared" si="54"/>
        <v>0</v>
      </c>
      <c r="BM116" s="433">
        <f t="shared" si="55"/>
        <v>0</v>
      </c>
      <c r="BN116" s="433">
        <f t="shared" si="56"/>
        <v>0</v>
      </c>
      <c r="BO116" s="433">
        <f t="shared" si="57"/>
        <v>0</v>
      </c>
      <c r="BP116" s="433">
        <f t="shared" si="58"/>
        <v>0</v>
      </c>
      <c r="BQ116" s="433">
        <f t="shared" si="59"/>
        <v>0</v>
      </c>
    </row>
    <row r="117" spans="1:69" x14ac:dyDescent="0.2">
      <c r="A117" s="102">
        <v>41806</v>
      </c>
      <c r="B117" s="319">
        <v>2</v>
      </c>
      <c r="C117" s="118" t="s">
        <v>622</v>
      </c>
      <c r="D117" s="111">
        <v>0.8041666666666667</v>
      </c>
      <c r="E117" s="111">
        <v>0.96388888888888891</v>
      </c>
      <c r="F117" s="444">
        <v>33</v>
      </c>
      <c r="G117" s="445">
        <v>7</v>
      </c>
      <c r="H117" s="444"/>
      <c r="I117" s="390"/>
      <c r="J117" s="426">
        <f t="shared" si="32"/>
        <v>229.99999999999997</v>
      </c>
      <c r="K117" s="103"/>
      <c r="L117" s="103"/>
      <c r="M117" s="103"/>
      <c r="N117" s="427">
        <f t="shared" si="33"/>
        <v>0</v>
      </c>
      <c r="O117" s="103"/>
      <c r="P117" s="103"/>
      <c r="Q117" s="103"/>
      <c r="R117" s="428">
        <f t="shared" si="34"/>
        <v>0</v>
      </c>
      <c r="S117" s="103"/>
      <c r="T117" s="103"/>
      <c r="U117" s="103"/>
      <c r="V117" s="125"/>
      <c r="W117" s="428">
        <f t="shared" si="38"/>
        <v>0</v>
      </c>
      <c r="X117" s="103"/>
      <c r="Y117" s="103"/>
      <c r="Z117" s="125"/>
      <c r="AA117" s="428">
        <f t="shared" si="39"/>
        <v>0</v>
      </c>
      <c r="AB117" s="103"/>
      <c r="AC117" s="103"/>
      <c r="AD117" s="103"/>
      <c r="AE117" s="428">
        <f t="shared" si="40"/>
        <v>0</v>
      </c>
      <c r="AF117" s="103"/>
      <c r="AG117" s="103"/>
      <c r="AH117" s="103"/>
      <c r="AI117" s="103"/>
      <c r="AJ117" s="428">
        <f t="shared" si="41"/>
        <v>0</v>
      </c>
      <c r="AK117" s="446"/>
      <c r="AL117" s="446"/>
      <c r="AM117" s="446"/>
      <c r="AN117" s="446"/>
      <c r="AO117" s="446"/>
      <c r="AP117" s="446"/>
      <c r="AQ117" s="446"/>
      <c r="AR117" s="431">
        <f t="shared" si="42"/>
        <v>0</v>
      </c>
      <c r="AS117" s="10" t="s">
        <v>623</v>
      </c>
      <c r="AT117" s="128" t="s">
        <v>424</v>
      </c>
      <c r="AU117" s="100" t="s">
        <v>618</v>
      </c>
      <c r="AV117" s="128" t="s">
        <v>600</v>
      </c>
      <c r="AW117" s="100" t="s">
        <v>659</v>
      </c>
      <c r="AX117" s="433">
        <f t="shared" si="43"/>
        <v>0</v>
      </c>
      <c r="AY117" s="433">
        <f t="shared" si="44"/>
        <v>0</v>
      </c>
      <c r="AZ117" s="433">
        <f t="shared" si="45"/>
        <v>0</v>
      </c>
      <c r="BA117" s="433">
        <f t="shared" si="35"/>
        <v>0</v>
      </c>
      <c r="BB117" s="433">
        <f t="shared" si="36"/>
        <v>0</v>
      </c>
      <c r="BC117" s="433">
        <f t="shared" si="37"/>
        <v>0</v>
      </c>
      <c r="BD117" s="433">
        <f t="shared" si="46"/>
        <v>0</v>
      </c>
      <c r="BE117" s="433">
        <f t="shared" si="47"/>
        <v>0</v>
      </c>
      <c r="BF117" s="433">
        <f t="shared" si="48"/>
        <v>0</v>
      </c>
      <c r="BG117" s="433">
        <f t="shared" si="49"/>
        <v>0</v>
      </c>
      <c r="BH117" s="433">
        <f t="shared" si="50"/>
        <v>0</v>
      </c>
      <c r="BI117" s="433">
        <f t="shared" si="51"/>
        <v>0</v>
      </c>
      <c r="BJ117" s="433">
        <f t="shared" si="52"/>
        <v>0</v>
      </c>
      <c r="BK117" s="433">
        <f t="shared" si="53"/>
        <v>0</v>
      </c>
      <c r="BL117" s="433">
        <f t="shared" si="54"/>
        <v>0</v>
      </c>
      <c r="BM117" s="433">
        <f t="shared" si="55"/>
        <v>0</v>
      </c>
      <c r="BN117" s="433">
        <f t="shared" si="56"/>
        <v>0</v>
      </c>
      <c r="BO117" s="433">
        <f t="shared" si="57"/>
        <v>0</v>
      </c>
      <c r="BP117" s="433">
        <f t="shared" si="58"/>
        <v>0</v>
      </c>
      <c r="BQ117" s="433">
        <f t="shared" si="59"/>
        <v>0</v>
      </c>
    </row>
    <row r="118" spans="1:69" x14ac:dyDescent="0.2">
      <c r="A118" s="102">
        <v>41806</v>
      </c>
      <c r="B118" s="319">
        <v>3</v>
      </c>
      <c r="C118" s="118" t="s">
        <v>486</v>
      </c>
      <c r="D118" s="111">
        <v>0.24722222222222223</v>
      </c>
      <c r="E118" s="111">
        <v>0.41805555555555557</v>
      </c>
      <c r="F118" s="444">
        <v>38</v>
      </c>
      <c r="G118" s="445">
        <v>10</v>
      </c>
      <c r="H118" s="444"/>
      <c r="I118" s="390"/>
      <c r="J118" s="426">
        <f t="shared" si="32"/>
        <v>245.99999999999997</v>
      </c>
      <c r="K118" s="103"/>
      <c r="L118" s="103"/>
      <c r="M118" s="103"/>
      <c r="N118" s="427">
        <f t="shared" si="33"/>
        <v>0</v>
      </c>
      <c r="O118" s="103"/>
      <c r="P118" s="103"/>
      <c r="Q118" s="103"/>
      <c r="R118" s="428">
        <f t="shared" si="34"/>
        <v>0</v>
      </c>
      <c r="S118" s="103"/>
      <c r="T118" s="103"/>
      <c r="U118" s="103"/>
      <c r="V118" s="125"/>
      <c r="W118" s="428">
        <f t="shared" si="38"/>
        <v>0</v>
      </c>
      <c r="X118" s="103"/>
      <c r="Y118" s="103"/>
      <c r="Z118" s="125"/>
      <c r="AA118" s="428">
        <f t="shared" si="39"/>
        <v>0</v>
      </c>
      <c r="AB118" s="103"/>
      <c r="AC118" s="103"/>
      <c r="AD118" s="103"/>
      <c r="AE118" s="428">
        <f t="shared" si="40"/>
        <v>0</v>
      </c>
      <c r="AF118" s="103"/>
      <c r="AG118" s="103"/>
      <c r="AH118" s="103"/>
      <c r="AI118" s="103"/>
      <c r="AJ118" s="428">
        <f t="shared" si="41"/>
        <v>0</v>
      </c>
      <c r="AK118" s="446"/>
      <c r="AL118" s="446"/>
      <c r="AM118" s="446"/>
      <c r="AN118" s="446"/>
      <c r="AO118" s="446"/>
      <c r="AP118" s="446"/>
      <c r="AQ118" s="446"/>
      <c r="AR118" s="431">
        <f t="shared" si="42"/>
        <v>0</v>
      </c>
      <c r="AS118" s="10" t="s">
        <v>624</v>
      </c>
      <c r="AT118" s="128"/>
      <c r="AU118" s="100" t="s">
        <v>596</v>
      </c>
      <c r="AV118" s="128" t="s">
        <v>600</v>
      </c>
      <c r="AW118" s="100" t="s">
        <v>659</v>
      </c>
      <c r="AX118" s="433">
        <f t="shared" si="43"/>
        <v>0</v>
      </c>
      <c r="AY118" s="433">
        <f t="shared" si="44"/>
        <v>0</v>
      </c>
      <c r="AZ118" s="433">
        <f t="shared" si="45"/>
        <v>0</v>
      </c>
      <c r="BA118" s="433">
        <f t="shared" si="35"/>
        <v>0</v>
      </c>
      <c r="BB118" s="433">
        <f t="shared" si="36"/>
        <v>0</v>
      </c>
      <c r="BC118" s="433">
        <f t="shared" si="37"/>
        <v>0</v>
      </c>
      <c r="BD118" s="433">
        <f t="shared" si="46"/>
        <v>0</v>
      </c>
      <c r="BE118" s="433">
        <f t="shared" si="47"/>
        <v>0</v>
      </c>
      <c r="BF118" s="433">
        <f t="shared" si="48"/>
        <v>0</v>
      </c>
      <c r="BG118" s="433">
        <f t="shared" si="49"/>
        <v>0</v>
      </c>
      <c r="BH118" s="433">
        <f t="shared" si="50"/>
        <v>0</v>
      </c>
      <c r="BI118" s="433">
        <f t="shared" si="51"/>
        <v>0</v>
      </c>
      <c r="BJ118" s="433">
        <f t="shared" si="52"/>
        <v>0</v>
      </c>
      <c r="BK118" s="433">
        <f t="shared" si="53"/>
        <v>0</v>
      </c>
      <c r="BL118" s="433">
        <f t="shared" si="54"/>
        <v>0</v>
      </c>
      <c r="BM118" s="433">
        <f t="shared" si="55"/>
        <v>0</v>
      </c>
      <c r="BN118" s="433">
        <f t="shared" si="56"/>
        <v>0</v>
      </c>
      <c r="BO118" s="433">
        <f t="shared" si="57"/>
        <v>0</v>
      </c>
      <c r="BP118" s="433">
        <f t="shared" si="58"/>
        <v>0</v>
      </c>
      <c r="BQ118" s="433">
        <f t="shared" si="59"/>
        <v>0</v>
      </c>
    </row>
    <row r="119" spans="1:69" x14ac:dyDescent="0.2">
      <c r="A119" s="102">
        <v>41806</v>
      </c>
      <c r="B119" s="319">
        <v>3</v>
      </c>
      <c r="C119" s="118" t="s">
        <v>625</v>
      </c>
      <c r="D119" s="111">
        <v>0.41805555555555557</v>
      </c>
      <c r="E119" s="111">
        <v>0.47222222222222227</v>
      </c>
      <c r="F119" s="444">
        <v>36</v>
      </c>
      <c r="G119" s="445">
        <v>10</v>
      </c>
      <c r="H119" s="444"/>
      <c r="I119" s="390"/>
      <c r="J119" s="426">
        <f t="shared" si="32"/>
        <v>78.000000000000043</v>
      </c>
      <c r="K119" s="103"/>
      <c r="L119" s="103"/>
      <c r="M119" s="103"/>
      <c r="N119" s="427">
        <f t="shared" si="33"/>
        <v>0</v>
      </c>
      <c r="O119" s="103"/>
      <c r="P119" s="103"/>
      <c r="Q119" s="103"/>
      <c r="R119" s="428">
        <f t="shared" si="34"/>
        <v>0</v>
      </c>
      <c r="S119" s="103"/>
      <c r="T119" s="103"/>
      <c r="U119" s="103"/>
      <c r="V119" s="125"/>
      <c r="W119" s="428">
        <f t="shared" si="38"/>
        <v>0</v>
      </c>
      <c r="X119" s="103"/>
      <c r="Y119" s="103"/>
      <c r="Z119" s="125"/>
      <c r="AA119" s="428">
        <f t="shared" si="39"/>
        <v>0</v>
      </c>
      <c r="AB119" s="103"/>
      <c r="AC119" s="103"/>
      <c r="AD119" s="103"/>
      <c r="AE119" s="428">
        <f t="shared" si="40"/>
        <v>0</v>
      </c>
      <c r="AF119" s="103"/>
      <c r="AG119" s="103"/>
      <c r="AH119" s="103"/>
      <c r="AI119" s="103"/>
      <c r="AJ119" s="428">
        <f t="shared" si="41"/>
        <v>0</v>
      </c>
      <c r="AK119" s="446"/>
      <c r="AL119" s="446"/>
      <c r="AM119" s="446"/>
      <c r="AN119" s="446"/>
      <c r="AO119" s="446"/>
      <c r="AP119" s="446"/>
      <c r="AQ119" s="446"/>
      <c r="AR119" s="431">
        <f t="shared" si="42"/>
        <v>0</v>
      </c>
      <c r="AS119" s="10" t="s">
        <v>626</v>
      </c>
      <c r="AT119" s="128" t="s">
        <v>424</v>
      </c>
      <c r="AU119" s="100" t="s">
        <v>618</v>
      </c>
      <c r="AV119" s="128" t="s">
        <v>600</v>
      </c>
      <c r="AW119" s="100" t="s">
        <v>659</v>
      </c>
      <c r="AX119" s="433">
        <f t="shared" si="43"/>
        <v>0</v>
      </c>
      <c r="AY119" s="433">
        <f t="shared" si="44"/>
        <v>0</v>
      </c>
      <c r="AZ119" s="433">
        <f t="shared" si="45"/>
        <v>0</v>
      </c>
      <c r="BA119" s="433">
        <f t="shared" si="35"/>
        <v>0</v>
      </c>
      <c r="BB119" s="433">
        <f t="shared" si="36"/>
        <v>0</v>
      </c>
      <c r="BC119" s="433">
        <f t="shared" si="37"/>
        <v>0</v>
      </c>
      <c r="BD119" s="433">
        <f t="shared" si="46"/>
        <v>0</v>
      </c>
      <c r="BE119" s="433">
        <f t="shared" si="47"/>
        <v>0</v>
      </c>
      <c r="BF119" s="433">
        <f t="shared" si="48"/>
        <v>0</v>
      </c>
      <c r="BG119" s="433">
        <f t="shared" si="49"/>
        <v>0</v>
      </c>
      <c r="BH119" s="433">
        <f t="shared" si="50"/>
        <v>0</v>
      </c>
      <c r="BI119" s="433">
        <f t="shared" si="51"/>
        <v>0</v>
      </c>
      <c r="BJ119" s="433">
        <f t="shared" si="52"/>
        <v>0</v>
      </c>
      <c r="BK119" s="433">
        <f t="shared" si="53"/>
        <v>0</v>
      </c>
      <c r="BL119" s="433">
        <f t="shared" si="54"/>
        <v>0</v>
      </c>
      <c r="BM119" s="433">
        <f t="shared" si="55"/>
        <v>0</v>
      </c>
      <c r="BN119" s="433">
        <f t="shared" si="56"/>
        <v>0</v>
      </c>
      <c r="BO119" s="433">
        <f t="shared" si="57"/>
        <v>0</v>
      </c>
      <c r="BP119" s="433">
        <f t="shared" si="58"/>
        <v>0</v>
      </c>
      <c r="BQ119" s="433">
        <f t="shared" si="59"/>
        <v>0</v>
      </c>
    </row>
    <row r="120" spans="1:69" x14ac:dyDescent="0.2">
      <c r="A120" s="102">
        <v>41806</v>
      </c>
      <c r="B120" s="319">
        <v>3</v>
      </c>
      <c r="C120" s="118" t="s">
        <v>622</v>
      </c>
      <c r="D120" s="111">
        <v>0.47222222222222227</v>
      </c>
      <c r="E120" s="111">
        <v>0.55208333333333337</v>
      </c>
      <c r="F120" s="444">
        <v>35</v>
      </c>
      <c r="G120" s="445">
        <v>10</v>
      </c>
      <c r="H120" s="444"/>
      <c r="I120" s="390"/>
      <c r="J120" s="426">
        <f t="shared" si="32"/>
        <v>114.99999999999999</v>
      </c>
      <c r="K120" s="103"/>
      <c r="L120" s="103"/>
      <c r="M120" s="103"/>
      <c r="N120" s="427">
        <f t="shared" si="33"/>
        <v>0</v>
      </c>
      <c r="O120" s="103"/>
      <c r="P120" s="103"/>
      <c r="Q120" s="103"/>
      <c r="R120" s="428">
        <f t="shared" si="34"/>
        <v>0</v>
      </c>
      <c r="S120" s="103"/>
      <c r="T120" s="103"/>
      <c r="U120" s="103"/>
      <c r="V120" s="125"/>
      <c r="W120" s="428">
        <f t="shared" si="38"/>
        <v>0</v>
      </c>
      <c r="X120" s="103"/>
      <c r="Y120" s="103"/>
      <c r="Z120" s="125"/>
      <c r="AA120" s="428">
        <f t="shared" si="39"/>
        <v>0</v>
      </c>
      <c r="AB120" s="103"/>
      <c r="AC120" s="103"/>
      <c r="AD120" s="103"/>
      <c r="AE120" s="428">
        <f t="shared" si="40"/>
        <v>0</v>
      </c>
      <c r="AF120" s="103"/>
      <c r="AG120" s="103"/>
      <c r="AH120" s="103"/>
      <c r="AI120" s="103"/>
      <c r="AJ120" s="428">
        <f t="shared" si="41"/>
        <v>0</v>
      </c>
      <c r="AK120" s="446"/>
      <c r="AL120" s="446"/>
      <c r="AM120" s="446"/>
      <c r="AN120" s="446"/>
      <c r="AO120" s="446"/>
      <c r="AP120" s="446"/>
      <c r="AQ120" s="446"/>
      <c r="AR120" s="431">
        <f t="shared" si="42"/>
        <v>0</v>
      </c>
      <c r="AS120" s="10" t="s">
        <v>624</v>
      </c>
      <c r="AT120" s="128" t="s">
        <v>657</v>
      </c>
      <c r="AU120" s="100" t="s">
        <v>618</v>
      </c>
      <c r="AV120" s="128" t="s">
        <v>600</v>
      </c>
      <c r="AW120" s="100" t="s">
        <v>659</v>
      </c>
      <c r="AX120" s="433">
        <f t="shared" si="43"/>
        <v>0</v>
      </c>
      <c r="AY120" s="433">
        <f t="shared" si="44"/>
        <v>0</v>
      </c>
      <c r="AZ120" s="433">
        <f t="shared" si="45"/>
        <v>0</v>
      </c>
      <c r="BA120" s="433">
        <f t="shared" si="35"/>
        <v>0</v>
      </c>
      <c r="BB120" s="433">
        <f t="shared" si="36"/>
        <v>0</v>
      </c>
      <c r="BC120" s="433">
        <f t="shared" si="37"/>
        <v>0</v>
      </c>
      <c r="BD120" s="433">
        <f t="shared" si="46"/>
        <v>0</v>
      </c>
      <c r="BE120" s="433">
        <f t="shared" si="47"/>
        <v>0</v>
      </c>
      <c r="BF120" s="433">
        <f t="shared" si="48"/>
        <v>0</v>
      </c>
      <c r="BG120" s="433">
        <f t="shared" si="49"/>
        <v>0</v>
      </c>
      <c r="BH120" s="433">
        <f t="shared" si="50"/>
        <v>0</v>
      </c>
      <c r="BI120" s="433">
        <f t="shared" si="51"/>
        <v>0</v>
      </c>
      <c r="BJ120" s="433">
        <f t="shared" si="52"/>
        <v>0</v>
      </c>
      <c r="BK120" s="433">
        <f t="shared" si="53"/>
        <v>0</v>
      </c>
      <c r="BL120" s="433">
        <f t="shared" si="54"/>
        <v>0</v>
      </c>
      <c r="BM120" s="433">
        <f t="shared" si="55"/>
        <v>0</v>
      </c>
      <c r="BN120" s="433">
        <f t="shared" si="56"/>
        <v>0</v>
      </c>
      <c r="BO120" s="433">
        <f t="shared" si="57"/>
        <v>0</v>
      </c>
      <c r="BP120" s="433">
        <f t="shared" si="58"/>
        <v>0</v>
      </c>
      <c r="BQ120" s="433">
        <f t="shared" si="59"/>
        <v>0</v>
      </c>
    </row>
    <row r="121" spans="1:69" x14ac:dyDescent="0.2">
      <c r="A121" s="102">
        <v>41806</v>
      </c>
      <c r="B121" s="319">
        <v>3</v>
      </c>
      <c r="C121" s="118" t="s">
        <v>610</v>
      </c>
      <c r="D121" s="111">
        <v>0.55208333333333337</v>
      </c>
      <c r="E121" s="111">
        <v>0.67708333333333337</v>
      </c>
      <c r="F121" s="444">
        <v>35</v>
      </c>
      <c r="G121" s="445">
        <v>9</v>
      </c>
      <c r="H121" s="444"/>
      <c r="I121" s="390"/>
      <c r="J121" s="426">
        <f t="shared" si="32"/>
        <v>180</v>
      </c>
      <c r="K121" s="103"/>
      <c r="L121" s="103"/>
      <c r="M121" s="103"/>
      <c r="N121" s="427">
        <f t="shared" si="33"/>
        <v>0</v>
      </c>
      <c r="O121" s="103"/>
      <c r="P121" s="103"/>
      <c r="Q121" s="103"/>
      <c r="R121" s="428">
        <f t="shared" si="34"/>
        <v>0</v>
      </c>
      <c r="S121" s="103"/>
      <c r="T121" s="103"/>
      <c r="U121" s="103"/>
      <c r="V121" s="125"/>
      <c r="W121" s="428">
        <f t="shared" si="38"/>
        <v>0</v>
      </c>
      <c r="X121" s="103"/>
      <c r="Y121" s="103"/>
      <c r="Z121" s="125"/>
      <c r="AA121" s="428">
        <f t="shared" si="39"/>
        <v>0</v>
      </c>
      <c r="AB121" s="103"/>
      <c r="AC121" s="103"/>
      <c r="AD121" s="103"/>
      <c r="AE121" s="428">
        <f t="shared" si="40"/>
        <v>0</v>
      </c>
      <c r="AF121" s="103"/>
      <c r="AG121" s="103"/>
      <c r="AH121" s="103"/>
      <c r="AI121" s="103"/>
      <c r="AJ121" s="428">
        <f t="shared" si="41"/>
        <v>0</v>
      </c>
      <c r="AK121" s="446"/>
      <c r="AL121" s="446"/>
      <c r="AM121" s="446"/>
      <c r="AN121" s="446"/>
      <c r="AO121" s="446"/>
      <c r="AP121" s="446"/>
      <c r="AQ121" s="446"/>
      <c r="AR121" s="431">
        <f t="shared" si="42"/>
        <v>0</v>
      </c>
      <c r="AT121" s="128" t="s">
        <v>627</v>
      </c>
      <c r="AU121" s="100" t="s">
        <v>559</v>
      </c>
      <c r="AV121" s="128" t="s">
        <v>600</v>
      </c>
      <c r="AW121" s="100" t="s">
        <v>659</v>
      </c>
      <c r="AX121" s="433">
        <f t="shared" si="43"/>
        <v>0</v>
      </c>
      <c r="AY121" s="433">
        <f t="shared" si="44"/>
        <v>0</v>
      </c>
      <c r="AZ121" s="433">
        <f t="shared" si="45"/>
        <v>0</v>
      </c>
      <c r="BA121" s="433">
        <f t="shared" si="35"/>
        <v>0</v>
      </c>
      <c r="BB121" s="433">
        <f t="shared" si="36"/>
        <v>0</v>
      </c>
      <c r="BC121" s="433">
        <f t="shared" si="37"/>
        <v>0</v>
      </c>
      <c r="BD121" s="433">
        <f t="shared" si="46"/>
        <v>0</v>
      </c>
      <c r="BE121" s="433">
        <f t="shared" si="47"/>
        <v>0</v>
      </c>
      <c r="BF121" s="433">
        <f t="shared" si="48"/>
        <v>0</v>
      </c>
      <c r="BG121" s="433">
        <f t="shared" si="49"/>
        <v>0</v>
      </c>
      <c r="BH121" s="433">
        <f t="shared" si="50"/>
        <v>0</v>
      </c>
      <c r="BI121" s="433">
        <f t="shared" si="51"/>
        <v>0</v>
      </c>
      <c r="BJ121" s="433">
        <f t="shared" si="52"/>
        <v>0</v>
      </c>
      <c r="BK121" s="433">
        <f t="shared" si="53"/>
        <v>0</v>
      </c>
      <c r="BL121" s="433">
        <f t="shared" si="54"/>
        <v>0</v>
      </c>
      <c r="BM121" s="433">
        <f t="shared" si="55"/>
        <v>0</v>
      </c>
      <c r="BN121" s="433">
        <f t="shared" si="56"/>
        <v>0</v>
      </c>
      <c r="BO121" s="433">
        <f t="shared" si="57"/>
        <v>0</v>
      </c>
      <c r="BP121" s="433">
        <f t="shared" si="58"/>
        <v>0</v>
      </c>
      <c r="BQ121" s="433">
        <f t="shared" si="59"/>
        <v>0</v>
      </c>
    </row>
    <row r="122" spans="1:69" x14ac:dyDescent="0.2">
      <c r="A122" s="102">
        <v>41806</v>
      </c>
      <c r="B122" s="319">
        <v>3</v>
      </c>
      <c r="C122" s="118" t="s">
        <v>486</v>
      </c>
      <c r="D122" s="111">
        <v>0.67708333333333337</v>
      </c>
      <c r="E122" s="111">
        <v>0.74722222222222223</v>
      </c>
      <c r="F122" s="444">
        <v>39</v>
      </c>
      <c r="G122" s="445">
        <v>10</v>
      </c>
      <c r="H122" s="444"/>
      <c r="I122" s="390"/>
      <c r="J122" s="426">
        <f t="shared" ref="J122:J123" si="85">(E122-D122)*24*60</f>
        <v>100.99999999999996</v>
      </c>
      <c r="K122" s="103"/>
      <c r="L122" s="103"/>
      <c r="M122" s="103"/>
      <c r="N122" s="427">
        <f t="shared" ref="N122:N123" si="86">SUM(K122:M122)</f>
        <v>0</v>
      </c>
      <c r="O122" s="103"/>
      <c r="P122" s="103"/>
      <c r="Q122" s="103"/>
      <c r="R122" s="428">
        <f t="shared" ref="R122:R123" si="87">SUM(O122:Q122)</f>
        <v>0</v>
      </c>
      <c r="S122" s="103"/>
      <c r="T122" s="103"/>
      <c r="U122" s="103"/>
      <c r="V122" s="125"/>
      <c r="W122" s="428">
        <f t="shared" ref="W122:W123" si="88">SUM(S122:V122)</f>
        <v>0</v>
      </c>
      <c r="X122" s="103"/>
      <c r="Y122" s="103"/>
      <c r="Z122" s="125"/>
      <c r="AA122" s="428">
        <f t="shared" ref="AA122:AA123" si="89">SUM(X122:Z122)</f>
        <v>0</v>
      </c>
      <c r="AB122" s="103"/>
      <c r="AC122" s="103"/>
      <c r="AD122" s="103"/>
      <c r="AE122" s="428">
        <f t="shared" ref="AE122:AE123" si="90">SUM(AB122:AD122)</f>
        <v>0</v>
      </c>
      <c r="AF122" s="103"/>
      <c r="AG122" s="103"/>
      <c r="AH122" s="103"/>
      <c r="AI122" s="103"/>
      <c r="AJ122" s="428">
        <f t="shared" ref="AJ122:AJ123" si="91">SUM(AF122:AI122)</f>
        <v>0</v>
      </c>
      <c r="AK122" s="446"/>
      <c r="AL122" s="446"/>
      <c r="AM122" s="446"/>
      <c r="AN122" s="446"/>
      <c r="AO122" s="446"/>
      <c r="AP122" s="446"/>
      <c r="AQ122" s="446"/>
      <c r="AR122" s="431">
        <f t="shared" ref="AR122:AR123" si="92">SUM(AK122:AQ122)</f>
        <v>0</v>
      </c>
      <c r="AS122" s="10" t="s">
        <v>628</v>
      </c>
      <c r="AT122" s="128" t="s">
        <v>629</v>
      </c>
      <c r="AU122" s="100" t="s">
        <v>649</v>
      </c>
      <c r="AV122" s="128" t="s">
        <v>600</v>
      </c>
      <c r="AW122" s="100" t="s">
        <v>659</v>
      </c>
      <c r="AX122" s="433">
        <f t="shared" ref="AX122:AX123" si="93">K122</f>
        <v>0</v>
      </c>
      <c r="AY122" s="433">
        <f t="shared" ref="AY122:AY123" si="94">L122</f>
        <v>0</v>
      </c>
      <c r="AZ122" s="433">
        <f t="shared" ref="AZ122:AZ123" si="95">M122</f>
        <v>0</v>
      </c>
      <c r="BA122" s="433">
        <f t="shared" ref="BA122:BA123" si="96">O122</f>
        <v>0</v>
      </c>
      <c r="BB122" s="433">
        <f t="shared" ref="BB122:BB123" si="97">P122</f>
        <v>0</v>
      </c>
      <c r="BC122" s="433">
        <f t="shared" ref="BC122:BC123" si="98">Q122</f>
        <v>0</v>
      </c>
      <c r="BD122" s="433">
        <f t="shared" ref="BD122:BD123" si="99">S122</f>
        <v>0</v>
      </c>
      <c r="BE122" s="433">
        <f t="shared" ref="BE122:BE123" si="100">T122</f>
        <v>0</v>
      </c>
      <c r="BF122" s="433">
        <f t="shared" ref="BF122:BF123" si="101">U122</f>
        <v>0</v>
      </c>
      <c r="BG122" s="433">
        <f t="shared" ref="BG122:BG123" si="102">V122</f>
        <v>0</v>
      </c>
      <c r="BH122" s="433">
        <f t="shared" ref="BH122:BH123" si="103">X122</f>
        <v>0</v>
      </c>
      <c r="BI122" s="433">
        <f t="shared" ref="BI122:BI123" si="104">Y122</f>
        <v>0</v>
      </c>
      <c r="BJ122" s="433">
        <f t="shared" ref="BJ122:BJ123" si="105">Z122</f>
        <v>0</v>
      </c>
      <c r="BK122" s="433">
        <f t="shared" ref="BK122:BK123" si="106">AB122</f>
        <v>0</v>
      </c>
      <c r="BL122" s="433">
        <f t="shared" ref="BL122:BL123" si="107">AC122</f>
        <v>0</v>
      </c>
      <c r="BM122" s="433">
        <f t="shared" ref="BM122:BM123" si="108">AD122</f>
        <v>0</v>
      </c>
      <c r="BN122" s="433">
        <f t="shared" ref="BN122:BN123" si="109">AF122</f>
        <v>0</v>
      </c>
      <c r="BO122" s="433">
        <f t="shared" ref="BO122:BO123" si="110">AG122</f>
        <v>0</v>
      </c>
      <c r="BP122" s="433">
        <f t="shared" ref="BP122:BP123" si="111">AH122</f>
        <v>0</v>
      </c>
      <c r="BQ122" s="433">
        <f t="shared" ref="BQ122:BQ123" si="112">AI122</f>
        <v>0</v>
      </c>
    </row>
    <row r="123" spans="1:69" x14ac:dyDescent="0.2">
      <c r="A123" s="102">
        <v>41806</v>
      </c>
      <c r="B123" s="319">
        <v>3</v>
      </c>
      <c r="C123" s="118" t="s">
        <v>610</v>
      </c>
      <c r="D123" s="111">
        <v>0.74722222222222223</v>
      </c>
      <c r="E123" s="111">
        <v>0.83819444444444446</v>
      </c>
      <c r="F123" s="444">
        <v>44</v>
      </c>
      <c r="G123" s="445">
        <v>9</v>
      </c>
      <c r="H123" s="444"/>
      <c r="I123" s="390"/>
      <c r="J123" s="426">
        <f t="shared" si="85"/>
        <v>131</v>
      </c>
      <c r="K123" s="103"/>
      <c r="L123" s="103"/>
      <c r="M123" s="103"/>
      <c r="N123" s="427">
        <f t="shared" si="86"/>
        <v>0</v>
      </c>
      <c r="O123" s="103"/>
      <c r="P123" s="103"/>
      <c r="Q123" s="103"/>
      <c r="R123" s="428">
        <f t="shared" si="87"/>
        <v>0</v>
      </c>
      <c r="S123" s="103"/>
      <c r="T123" s="103"/>
      <c r="U123" s="103"/>
      <c r="V123" s="125"/>
      <c r="W123" s="428">
        <f t="shared" si="88"/>
        <v>0</v>
      </c>
      <c r="X123" s="103"/>
      <c r="Y123" s="103"/>
      <c r="Z123" s="125"/>
      <c r="AA123" s="428">
        <f t="shared" si="89"/>
        <v>0</v>
      </c>
      <c r="AB123" s="103"/>
      <c r="AC123" s="103"/>
      <c r="AD123" s="103"/>
      <c r="AE123" s="428">
        <f t="shared" si="90"/>
        <v>0</v>
      </c>
      <c r="AF123" s="103"/>
      <c r="AG123" s="103"/>
      <c r="AH123" s="103"/>
      <c r="AI123" s="103"/>
      <c r="AJ123" s="428">
        <f t="shared" si="91"/>
        <v>0</v>
      </c>
      <c r="AK123" s="446"/>
      <c r="AL123" s="446"/>
      <c r="AM123" s="446"/>
      <c r="AN123" s="446"/>
      <c r="AO123" s="446"/>
      <c r="AP123" s="446"/>
      <c r="AQ123" s="446"/>
      <c r="AR123" s="431">
        <f t="shared" si="92"/>
        <v>0</v>
      </c>
      <c r="AS123" s="10" t="s">
        <v>658</v>
      </c>
      <c r="AT123" s="128"/>
      <c r="AU123" s="100" t="s">
        <v>559</v>
      </c>
      <c r="AV123" s="128" t="s">
        <v>600</v>
      </c>
      <c r="AW123" s="100" t="s">
        <v>659</v>
      </c>
      <c r="AX123" s="433">
        <f t="shared" si="93"/>
        <v>0</v>
      </c>
      <c r="AY123" s="433">
        <f t="shared" si="94"/>
        <v>0</v>
      </c>
      <c r="AZ123" s="433">
        <f t="shared" si="95"/>
        <v>0</v>
      </c>
      <c r="BA123" s="433">
        <f t="shared" si="96"/>
        <v>0</v>
      </c>
      <c r="BB123" s="433">
        <f t="shared" si="97"/>
        <v>0</v>
      </c>
      <c r="BC123" s="433">
        <f t="shared" si="98"/>
        <v>0</v>
      </c>
      <c r="BD123" s="433">
        <f t="shared" si="99"/>
        <v>0</v>
      </c>
      <c r="BE123" s="433">
        <f t="shared" si="100"/>
        <v>0</v>
      </c>
      <c r="BF123" s="433">
        <f t="shared" si="101"/>
        <v>0</v>
      </c>
      <c r="BG123" s="433">
        <f t="shared" si="102"/>
        <v>0</v>
      </c>
      <c r="BH123" s="433">
        <f t="shared" si="103"/>
        <v>0</v>
      </c>
      <c r="BI123" s="433">
        <f t="shared" si="104"/>
        <v>0</v>
      </c>
      <c r="BJ123" s="433">
        <f t="shared" si="105"/>
        <v>0</v>
      </c>
      <c r="BK123" s="433">
        <f t="shared" si="106"/>
        <v>0</v>
      </c>
      <c r="BL123" s="433">
        <f t="shared" si="107"/>
        <v>0</v>
      </c>
      <c r="BM123" s="433">
        <f t="shared" si="108"/>
        <v>0</v>
      </c>
      <c r="BN123" s="433">
        <f t="shared" si="109"/>
        <v>0</v>
      </c>
      <c r="BO123" s="433">
        <f t="shared" si="110"/>
        <v>0</v>
      </c>
      <c r="BP123" s="433">
        <f t="shared" si="111"/>
        <v>0</v>
      </c>
      <c r="BQ123" s="433">
        <f t="shared" si="112"/>
        <v>0</v>
      </c>
    </row>
    <row r="124" spans="1:69" s="291" customFormat="1" x14ac:dyDescent="0.2">
      <c r="A124" s="317">
        <v>41806</v>
      </c>
      <c r="B124" s="318">
        <v>3</v>
      </c>
      <c r="C124" s="320" t="s">
        <v>630</v>
      </c>
      <c r="D124" s="321">
        <v>0.92847222222222225</v>
      </c>
      <c r="E124" s="321">
        <v>0.99930555555555556</v>
      </c>
      <c r="F124" s="434">
        <v>35</v>
      </c>
      <c r="G124" s="435">
        <v>10</v>
      </c>
      <c r="H124" s="434"/>
      <c r="I124" s="436"/>
      <c r="J124" s="437">
        <f t="shared" si="32"/>
        <v>101.99999999999996</v>
      </c>
      <c r="K124" s="285"/>
      <c r="L124" s="285"/>
      <c r="M124" s="285"/>
      <c r="N124" s="438">
        <f t="shared" si="33"/>
        <v>0</v>
      </c>
      <c r="O124" s="285"/>
      <c r="P124" s="285"/>
      <c r="Q124" s="285"/>
      <c r="R124" s="439">
        <f t="shared" si="34"/>
        <v>0</v>
      </c>
      <c r="S124" s="285"/>
      <c r="T124" s="285"/>
      <c r="U124" s="285"/>
      <c r="V124" s="440"/>
      <c r="W124" s="439">
        <f t="shared" si="38"/>
        <v>0</v>
      </c>
      <c r="X124" s="285"/>
      <c r="Y124" s="285"/>
      <c r="Z124" s="440"/>
      <c r="AA124" s="439">
        <f t="shared" si="39"/>
        <v>0</v>
      </c>
      <c r="AB124" s="285"/>
      <c r="AC124" s="285"/>
      <c r="AD124" s="285"/>
      <c r="AE124" s="439">
        <f t="shared" si="40"/>
        <v>0</v>
      </c>
      <c r="AF124" s="285"/>
      <c r="AG124" s="285"/>
      <c r="AH124" s="285"/>
      <c r="AI124" s="285"/>
      <c r="AJ124" s="439">
        <f t="shared" si="41"/>
        <v>0</v>
      </c>
      <c r="AK124" s="340"/>
      <c r="AL124" s="340"/>
      <c r="AM124" s="340"/>
      <c r="AN124" s="340"/>
      <c r="AO124" s="340"/>
      <c r="AP124" s="340"/>
      <c r="AQ124" s="340"/>
      <c r="AR124" s="441">
        <f t="shared" si="42"/>
        <v>0</v>
      </c>
      <c r="AS124" s="291" t="s">
        <v>631</v>
      </c>
      <c r="AT124" s="313" t="s">
        <v>424</v>
      </c>
      <c r="AU124" s="289" t="s">
        <v>651</v>
      </c>
      <c r="AV124" s="313" t="s">
        <v>600</v>
      </c>
      <c r="AW124" s="289" t="s">
        <v>659</v>
      </c>
      <c r="AX124" s="443">
        <f t="shared" si="43"/>
        <v>0</v>
      </c>
      <c r="AY124" s="443">
        <f t="shared" si="44"/>
        <v>0</v>
      </c>
      <c r="AZ124" s="443">
        <f t="shared" si="45"/>
        <v>0</v>
      </c>
      <c r="BA124" s="443">
        <f t="shared" si="35"/>
        <v>0</v>
      </c>
      <c r="BB124" s="443">
        <f t="shared" si="36"/>
        <v>0</v>
      </c>
      <c r="BC124" s="443">
        <f t="shared" si="37"/>
        <v>0</v>
      </c>
      <c r="BD124" s="443">
        <f t="shared" si="46"/>
        <v>0</v>
      </c>
      <c r="BE124" s="443">
        <f t="shared" si="47"/>
        <v>0</v>
      </c>
      <c r="BF124" s="443">
        <f t="shared" si="48"/>
        <v>0</v>
      </c>
      <c r="BG124" s="443">
        <f t="shared" si="49"/>
        <v>0</v>
      </c>
      <c r="BH124" s="443">
        <f t="shared" si="50"/>
        <v>0</v>
      </c>
      <c r="BI124" s="443">
        <f t="shared" si="51"/>
        <v>0</v>
      </c>
      <c r="BJ124" s="443">
        <f t="shared" si="52"/>
        <v>0</v>
      </c>
      <c r="BK124" s="443">
        <f t="shared" si="53"/>
        <v>0</v>
      </c>
      <c r="BL124" s="443">
        <f t="shared" si="54"/>
        <v>0</v>
      </c>
      <c r="BM124" s="443">
        <f t="shared" si="55"/>
        <v>0</v>
      </c>
      <c r="BN124" s="443">
        <f t="shared" si="56"/>
        <v>0</v>
      </c>
      <c r="BO124" s="443">
        <f t="shared" si="57"/>
        <v>0</v>
      </c>
      <c r="BP124" s="443">
        <f t="shared" si="58"/>
        <v>0</v>
      </c>
      <c r="BQ124" s="443">
        <f t="shared" si="59"/>
        <v>0</v>
      </c>
    </row>
    <row r="125" spans="1:69" x14ac:dyDescent="0.2">
      <c r="A125" s="102">
        <v>41807</v>
      </c>
      <c r="B125" s="319">
        <v>1</v>
      </c>
      <c r="C125" s="118" t="s">
        <v>486</v>
      </c>
      <c r="D125" s="111">
        <v>0.25555555555555559</v>
      </c>
      <c r="E125" s="111">
        <v>0.34791666666666665</v>
      </c>
      <c r="F125" s="444">
        <v>49</v>
      </c>
      <c r="G125" s="445">
        <v>7</v>
      </c>
      <c r="H125" s="444"/>
      <c r="I125" s="390"/>
      <c r="J125" s="426">
        <f t="shared" si="32"/>
        <v>132.99999999999991</v>
      </c>
      <c r="K125" s="103">
        <v>1</v>
      </c>
      <c r="L125" s="103"/>
      <c r="M125" s="103"/>
      <c r="N125" s="427">
        <f t="shared" si="33"/>
        <v>1</v>
      </c>
      <c r="O125" s="103"/>
      <c r="P125" s="103"/>
      <c r="Q125" s="103"/>
      <c r="R125" s="428">
        <f t="shared" si="34"/>
        <v>0</v>
      </c>
      <c r="S125" s="103"/>
      <c r="T125" s="103"/>
      <c r="U125" s="103"/>
      <c r="V125" s="125"/>
      <c r="W125" s="428">
        <f t="shared" si="38"/>
        <v>0</v>
      </c>
      <c r="X125" s="103"/>
      <c r="Y125" s="103"/>
      <c r="Z125" s="125"/>
      <c r="AA125" s="428">
        <f t="shared" si="39"/>
        <v>0</v>
      </c>
      <c r="AB125" s="103"/>
      <c r="AC125" s="103"/>
      <c r="AD125" s="103"/>
      <c r="AE125" s="428">
        <f t="shared" si="40"/>
        <v>0</v>
      </c>
      <c r="AF125" s="103"/>
      <c r="AG125" s="103"/>
      <c r="AH125" s="103"/>
      <c r="AI125" s="103"/>
      <c r="AJ125" s="428">
        <f t="shared" si="41"/>
        <v>0</v>
      </c>
      <c r="AK125" s="446"/>
      <c r="AL125" s="446"/>
      <c r="AM125" s="446"/>
      <c r="AN125" s="446"/>
      <c r="AO125" s="446"/>
      <c r="AP125" s="446"/>
      <c r="AQ125" s="446"/>
      <c r="AR125" s="431">
        <f t="shared" si="42"/>
        <v>0</v>
      </c>
      <c r="AS125" s="10" t="s">
        <v>660</v>
      </c>
      <c r="AT125" s="128"/>
      <c r="AU125" s="100" t="s">
        <v>648</v>
      </c>
      <c r="AV125" s="128" t="s">
        <v>724</v>
      </c>
      <c r="AW125" s="100" t="s">
        <v>727</v>
      </c>
      <c r="AX125" s="433">
        <f t="shared" si="43"/>
        <v>1</v>
      </c>
      <c r="AY125" s="433">
        <f t="shared" si="44"/>
        <v>0</v>
      </c>
      <c r="AZ125" s="433">
        <f t="shared" si="45"/>
        <v>0</v>
      </c>
      <c r="BA125" s="433">
        <f t="shared" si="35"/>
        <v>0</v>
      </c>
      <c r="BB125" s="433">
        <f t="shared" si="36"/>
        <v>0</v>
      </c>
      <c r="BC125" s="433">
        <f t="shared" si="37"/>
        <v>0</v>
      </c>
      <c r="BD125" s="433">
        <f t="shared" si="46"/>
        <v>0</v>
      </c>
      <c r="BE125" s="433">
        <f t="shared" si="47"/>
        <v>0</v>
      </c>
      <c r="BF125" s="433">
        <f t="shared" si="48"/>
        <v>0</v>
      </c>
      <c r="BG125" s="433">
        <f t="shared" si="49"/>
        <v>0</v>
      </c>
      <c r="BH125" s="433">
        <f t="shared" si="50"/>
        <v>0</v>
      </c>
      <c r="BI125" s="433">
        <f t="shared" si="51"/>
        <v>0</v>
      </c>
      <c r="BJ125" s="433">
        <f t="shared" si="52"/>
        <v>0</v>
      </c>
      <c r="BK125" s="433">
        <f t="shared" si="53"/>
        <v>0</v>
      </c>
      <c r="BL125" s="433">
        <f t="shared" si="54"/>
        <v>0</v>
      </c>
      <c r="BM125" s="433">
        <f t="shared" si="55"/>
        <v>0</v>
      </c>
      <c r="BN125" s="433">
        <f t="shared" si="56"/>
        <v>0</v>
      </c>
      <c r="BO125" s="433">
        <f t="shared" si="57"/>
        <v>0</v>
      </c>
      <c r="BP125" s="433">
        <f t="shared" si="58"/>
        <v>0</v>
      </c>
      <c r="BQ125" s="433">
        <f t="shared" si="59"/>
        <v>0</v>
      </c>
    </row>
    <row r="126" spans="1:69" x14ac:dyDescent="0.2">
      <c r="A126" s="102">
        <v>41807</v>
      </c>
      <c r="B126" s="319">
        <v>1</v>
      </c>
      <c r="C126" s="118" t="s">
        <v>610</v>
      </c>
      <c r="D126" s="111">
        <v>0.4055555555555555</v>
      </c>
      <c r="E126" s="111">
        <v>0.4770833333333333</v>
      </c>
      <c r="F126" s="444">
        <v>46</v>
      </c>
      <c r="G126" s="445">
        <v>7</v>
      </c>
      <c r="H126" s="444"/>
      <c r="I126" s="390"/>
      <c r="J126" s="426">
        <f t="shared" si="32"/>
        <v>103.00000000000003</v>
      </c>
      <c r="K126" s="103">
        <v>2</v>
      </c>
      <c r="L126" s="103"/>
      <c r="M126" s="103"/>
      <c r="N126" s="427">
        <f t="shared" si="33"/>
        <v>2</v>
      </c>
      <c r="O126" s="103"/>
      <c r="P126" s="103"/>
      <c r="Q126" s="103"/>
      <c r="R126" s="428">
        <f t="shared" si="34"/>
        <v>0</v>
      </c>
      <c r="S126" s="103"/>
      <c r="T126" s="103"/>
      <c r="U126" s="103"/>
      <c r="V126" s="125"/>
      <c r="W126" s="428">
        <f t="shared" si="38"/>
        <v>0</v>
      </c>
      <c r="X126" s="103"/>
      <c r="Y126" s="103"/>
      <c r="Z126" s="125"/>
      <c r="AA126" s="428">
        <f t="shared" si="39"/>
        <v>0</v>
      </c>
      <c r="AB126" s="103"/>
      <c r="AC126" s="103"/>
      <c r="AD126" s="103"/>
      <c r="AE126" s="428">
        <f t="shared" si="40"/>
        <v>0</v>
      </c>
      <c r="AF126" s="103"/>
      <c r="AG126" s="103"/>
      <c r="AH126" s="103"/>
      <c r="AI126" s="103"/>
      <c r="AJ126" s="428">
        <f t="shared" si="41"/>
        <v>0</v>
      </c>
      <c r="AK126" s="446"/>
      <c r="AL126" s="446"/>
      <c r="AM126" s="446"/>
      <c r="AN126" s="446"/>
      <c r="AO126" s="446"/>
      <c r="AP126" s="446"/>
      <c r="AQ126" s="446"/>
      <c r="AR126" s="431">
        <f t="shared" si="42"/>
        <v>0</v>
      </c>
      <c r="AS126" s="10" t="s">
        <v>661</v>
      </c>
      <c r="AT126" s="128"/>
      <c r="AU126" s="100" t="s">
        <v>600</v>
      </c>
      <c r="AV126" s="128" t="s">
        <v>724</v>
      </c>
      <c r="AW126" s="100" t="s">
        <v>727</v>
      </c>
      <c r="AX126" s="433">
        <f t="shared" si="43"/>
        <v>2</v>
      </c>
      <c r="AY126" s="433">
        <f t="shared" si="44"/>
        <v>0</v>
      </c>
      <c r="AZ126" s="433">
        <f t="shared" si="45"/>
        <v>0</v>
      </c>
      <c r="BA126" s="433">
        <f t="shared" si="35"/>
        <v>0</v>
      </c>
      <c r="BB126" s="433">
        <f t="shared" si="36"/>
        <v>0</v>
      </c>
      <c r="BC126" s="433">
        <f t="shared" si="37"/>
        <v>0</v>
      </c>
      <c r="BD126" s="433">
        <f t="shared" si="46"/>
        <v>0</v>
      </c>
      <c r="BE126" s="433">
        <f t="shared" si="47"/>
        <v>0</v>
      </c>
      <c r="BF126" s="433">
        <f t="shared" si="48"/>
        <v>0</v>
      </c>
      <c r="BG126" s="433">
        <f t="shared" si="49"/>
        <v>0</v>
      </c>
      <c r="BH126" s="433">
        <f t="shared" si="50"/>
        <v>0</v>
      </c>
      <c r="BI126" s="433">
        <f t="shared" si="51"/>
        <v>0</v>
      </c>
      <c r="BJ126" s="433">
        <f t="shared" si="52"/>
        <v>0</v>
      </c>
      <c r="BK126" s="433">
        <f t="shared" si="53"/>
        <v>0</v>
      </c>
      <c r="BL126" s="433">
        <f t="shared" si="54"/>
        <v>0</v>
      </c>
      <c r="BM126" s="433">
        <f t="shared" si="55"/>
        <v>0</v>
      </c>
      <c r="BN126" s="433">
        <f t="shared" si="56"/>
        <v>0</v>
      </c>
      <c r="BO126" s="433">
        <f t="shared" si="57"/>
        <v>0</v>
      </c>
      <c r="BP126" s="433">
        <f t="shared" si="58"/>
        <v>0</v>
      </c>
      <c r="BQ126" s="433">
        <f t="shared" si="59"/>
        <v>0</v>
      </c>
    </row>
    <row r="127" spans="1:69" x14ac:dyDescent="0.2">
      <c r="A127" s="102">
        <v>41807</v>
      </c>
      <c r="B127" s="319">
        <v>1</v>
      </c>
      <c r="C127" s="118" t="s">
        <v>662</v>
      </c>
      <c r="D127" s="111">
        <v>0.4770833333333333</v>
      </c>
      <c r="E127" s="111">
        <v>0.64027777777777783</v>
      </c>
      <c r="F127" s="444">
        <v>48</v>
      </c>
      <c r="G127" s="445">
        <v>8</v>
      </c>
      <c r="H127" s="444"/>
      <c r="I127" s="390"/>
      <c r="J127" s="426">
        <f t="shared" si="32"/>
        <v>235.00000000000011</v>
      </c>
      <c r="K127" s="103">
        <v>3</v>
      </c>
      <c r="L127" s="103"/>
      <c r="M127" s="103"/>
      <c r="N127" s="427">
        <f t="shared" si="33"/>
        <v>3</v>
      </c>
      <c r="O127" s="103"/>
      <c r="P127" s="103"/>
      <c r="Q127" s="103"/>
      <c r="R127" s="428">
        <f t="shared" si="34"/>
        <v>0</v>
      </c>
      <c r="S127" s="103"/>
      <c r="T127" s="103"/>
      <c r="U127" s="103"/>
      <c r="V127" s="125"/>
      <c r="W127" s="428">
        <f t="shared" si="38"/>
        <v>0</v>
      </c>
      <c r="X127" s="103"/>
      <c r="Y127" s="103"/>
      <c r="Z127" s="125"/>
      <c r="AA127" s="428">
        <f t="shared" si="39"/>
        <v>0</v>
      </c>
      <c r="AB127" s="103"/>
      <c r="AC127" s="103"/>
      <c r="AD127" s="103"/>
      <c r="AE127" s="428">
        <f t="shared" si="40"/>
        <v>0</v>
      </c>
      <c r="AF127" s="103"/>
      <c r="AG127" s="103"/>
      <c r="AH127" s="103"/>
      <c r="AI127" s="103"/>
      <c r="AJ127" s="428">
        <f t="shared" si="41"/>
        <v>0</v>
      </c>
      <c r="AK127" s="446"/>
      <c r="AL127" s="446"/>
      <c r="AM127" s="446"/>
      <c r="AN127" s="446"/>
      <c r="AO127" s="446"/>
      <c r="AP127" s="446"/>
      <c r="AQ127" s="446"/>
      <c r="AR127" s="431">
        <f t="shared" si="42"/>
        <v>0</v>
      </c>
      <c r="AS127" s="10" t="s">
        <v>663</v>
      </c>
      <c r="AT127" s="128" t="s">
        <v>664</v>
      </c>
      <c r="AU127" s="100" t="s">
        <v>670</v>
      </c>
      <c r="AV127" s="128" t="s">
        <v>724</v>
      </c>
      <c r="AW127" s="100" t="s">
        <v>727</v>
      </c>
      <c r="AX127" s="433">
        <f t="shared" si="43"/>
        <v>3</v>
      </c>
      <c r="AY127" s="433">
        <f t="shared" si="44"/>
        <v>0</v>
      </c>
      <c r="AZ127" s="433">
        <f t="shared" si="45"/>
        <v>0</v>
      </c>
      <c r="BA127" s="433">
        <f t="shared" si="35"/>
        <v>0</v>
      </c>
      <c r="BB127" s="433">
        <f t="shared" si="36"/>
        <v>0</v>
      </c>
      <c r="BC127" s="433">
        <f t="shared" si="37"/>
        <v>0</v>
      </c>
      <c r="BD127" s="433">
        <f t="shared" si="46"/>
        <v>0</v>
      </c>
      <c r="BE127" s="433">
        <f t="shared" si="47"/>
        <v>0</v>
      </c>
      <c r="BF127" s="433">
        <f t="shared" si="48"/>
        <v>0</v>
      </c>
      <c r="BG127" s="433">
        <f t="shared" si="49"/>
        <v>0</v>
      </c>
      <c r="BH127" s="433">
        <f t="shared" si="50"/>
        <v>0</v>
      </c>
      <c r="BI127" s="433">
        <f t="shared" si="51"/>
        <v>0</v>
      </c>
      <c r="BJ127" s="433">
        <f t="shared" si="52"/>
        <v>0</v>
      </c>
      <c r="BK127" s="433">
        <f t="shared" si="53"/>
        <v>0</v>
      </c>
      <c r="BL127" s="433">
        <f t="shared" si="54"/>
        <v>0</v>
      </c>
      <c r="BM127" s="433">
        <f t="shared" si="55"/>
        <v>0</v>
      </c>
      <c r="BN127" s="433">
        <f t="shared" si="56"/>
        <v>0</v>
      </c>
      <c r="BO127" s="433">
        <f t="shared" si="57"/>
        <v>0</v>
      </c>
      <c r="BP127" s="433">
        <f t="shared" si="58"/>
        <v>0</v>
      </c>
      <c r="BQ127" s="433">
        <f t="shared" si="59"/>
        <v>0</v>
      </c>
    </row>
    <row r="128" spans="1:69" x14ac:dyDescent="0.2">
      <c r="A128" s="102">
        <v>41807</v>
      </c>
      <c r="B128" s="319">
        <v>1</v>
      </c>
      <c r="C128" s="118" t="s">
        <v>610</v>
      </c>
      <c r="D128" s="111">
        <v>0.64027777777777783</v>
      </c>
      <c r="E128" s="111">
        <v>0.73055555555555562</v>
      </c>
      <c r="F128" s="444">
        <v>49</v>
      </c>
      <c r="G128" s="445">
        <v>7</v>
      </c>
      <c r="H128" s="444"/>
      <c r="I128" s="390"/>
      <c r="J128" s="426">
        <f t="shared" si="32"/>
        <v>130.00000000000003</v>
      </c>
      <c r="K128" s="103">
        <v>2</v>
      </c>
      <c r="L128" s="103"/>
      <c r="M128" s="103"/>
      <c r="N128" s="427">
        <f t="shared" si="33"/>
        <v>2</v>
      </c>
      <c r="O128" s="103"/>
      <c r="P128" s="103"/>
      <c r="Q128" s="103"/>
      <c r="R128" s="428">
        <f t="shared" si="34"/>
        <v>0</v>
      </c>
      <c r="S128" s="103"/>
      <c r="T128" s="103"/>
      <c r="U128" s="103"/>
      <c r="V128" s="125"/>
      <c r="W128" s="428">
        <f t="shared" si="38"/>
        <v>0</v>
      </c>
      <c r="X128" s="103"/>
      <c r="Y128" s="103"/>
      <c r="Z128" s="125"/>
      <c r="AA128" s="428">
        <f t="shared" si="39"/>
        <v>0</v>
      </c>
      <c r="AB128" s="103"/>
      <c r="AC128" s="103"/>
      <c r="AD128" s="103"/>
      <c r="AE128" s="428">
        <f t="shared" si="40"/>
        <v>0</v>
      </c>
      <c r="AF128" s="103"/>
      <c r="AG128" s="103"/>
      <c r="AH128" s="103"/>
      <c r="AI128" s="103"/>
      <c r="AJ128" s="428">
        <f t="shared" si="41"/>
        <v>0</v>
      </c>
      <c r="AK128" s="446"/>
      <c r="AL128" s="446"/>
      <c r="AM128" s="446"/>
      <c r="AN128" s="446"/>
      <c r="AO128" s="446"/>
      <c r="AP128" s="446"/>
      <c r="AQ128" s="446"/>
      <c r="AR128" s="431">
        <f t="shared" si="42"/>
        <v>0</v>
      </c>
      <c r="AT128" s="128"/>
      <c r="AU128" s="100" t="s">
        <v>600</v>
      </c>
      <c r="AV128" s="128" t="s">
        <v>724</v>
      </c>
      <c r="AW128" s="100" t="s">
        <v>727</v>
      </c>
      <c r="AX128" s="433">
        <f t="shared" si="43"/>
        <v>2</v>
      </c>
      <c r="AY128" s="433">
        <f t="shared" si="44"/>
        <v>0</v>
      </c>
      <c r="AZ128" s="433">
        <f t="shared" si="45"/>
        <v>0</v>
      </c>
      <c r="BA128" s="433">
        <f t="shared" si="35"/>
        <v>0</v>
      </c>
      <c r="BB128" s="433">
        <f t="shared" si="36"/>
        <v>0</v>
      </c>
      <c r="BC128" s="433">
        <f t="shared" si="37"/>
        <v>0</v>
      </c>
      <c r="BD128" s="433">
        <f t="shared" si="46"/>
        <v>0</v>
      </c>
      <c r="BE128" s="433">
        <f t="shared" si="47"/>
        <v>0</v>
      </c>
      <c r="BF128" s="433">
        <f t="shared" si="48"/>
        <v>0</v>
      </c>
      <c r="BG128" s="433">
        <f t="shared" si="49"/>
        <v>0</v>
      </c>
      <c r="BH128" s="433">
        <f t="shared" si="50"/>
        <v>0</v>
      </c>
      <c r="BI128" s="433">
        <f t="shared" si="51"/>
        <v>0</v>
      </c>
      <c r="BJ128" s="433">
        <f t="shared" si="52"/>
        <v>0</v>
      </c>
      <c r="BK128" s="433">
        <f t="shared" si="53"/>
        <v>0</v>
      </c>
      <c r="BL128" s="433">
        <f t="shared" si="54"/>
        <v>0</v>
      </c>
      <c r="BM128" s="433">
        <f t="shared" si="55"/>
        <v>0</v>
      </c>
      <c r="BN128" s="433">
        <f t="shared" si="56"/>
        <v>0</v>
      </c>
      <c r="BO128" s="433">
        <f t="shared" si="57"/>
        <v>0</v>
      </c>
      <c r="BP128" s="433">
        <f t="shared" si="58"/>
        <v>0</v>
      </c>
      <c r="BQ128" s="433">
        <f t="shared" si="59"/>
        <v>0</v>
      </c>
    </row>
    <row r="129" spans="1:69" x14ac:dyDescent="0.2">
      <c r="A129" s="102">
        <v>41807</v>
      </c>
      <c r="B129" s="319">
        <v>1</v>
      </c>
      <c r="C129" s="118" t="s">
        <v>665</v>
      </c>
      <c r="D129" s="111">
        <v>0.73055555555555562</v>
      </c>
      <c r="E129" s="111">
        <v>0.75</v>
      </c>
      <c r="F129" s="444">
        <v>38</v>
      </c>
      <c r="G129" s="445">
        <v>7</v>
      </c>
      <c r="H129" s="444"/>
      <c r="I129" s="390"/>
      <c r="J129" s="426">
        <f t="shared" si="32"/>
        <v>27.999999999999901</v>
      </c>
      <c r="K129" s="103">
        <v>1</v>
      </c>
      <c r="L129" s="103"/>
      <c r="M129" s="103"/>
      <c r="N129" s="427">
        <f t="shared" si="33"/>
        <v>1</v>
      </c>
      <c r="O129" s="103"/>
      <c r="P129" s="103"/>
      <c r="Q129" s="103"/>
      <c r="R129" s="428">
        <f t="shared" si="34"/>
        <v>0</v>
      </c>
      <c r="S129" s="103"/>
      <c r="T129" s="103"/>
      <c r="U129" s="103"/>
      <c r="V129" s="125"/>
      <c r="W129" s="428">
        <f t="shared" si="38"/>
        <v>0</v>
      </c>
      <c r="X129" s="103"/>
      <c r="Y129" s="103"/>
      <c r="Z129" s="125"/>
      <c r="AA129" s="428">
        <f t="shared" si="39"/>
        <v>0</v>
      </c>
      <c r="AB129" s="103"/>
      <c r="AC129" s="103"/>
      <c r="AD129" s="103"/>
      <c r="AE129" s="428">
        <f t="shared" si="40"/>
        <v>0</v>
      </c>
      <c r="AF129" s="103"/>
      <c r="AG129" s="103"/>
      <c r="AH129" s="103"/>
      <c r="AI129" s="103"/>
      <c r="AJ129" s="428">
        <f t="shared" si="41"/>
        <v>0</v>
      </c>
      <c r="AK129" s="446"/>
      <c r="AL129" s="446"/>
      <c r="AM129" s="446"/>
      <c r="AN129" s="446"/>
      <c r="AO129" s="446"/>
      <c r="AP129" s="446"/>
      <c r="AQ129" s="446"/>
      <c r="AR129" s="431">
        <f t="shared" si="42"/>
        <v>0</v>
      </c>
      <c r="AS129" s="10" t="s">
        <v>666</v>
      </c>
      <c r="AT129" s="128" t="s">
        <v>667</v>
      </c>
      <c r="AU129" s="100" t="s">
        <v>600</v>
      </c>
      <c r="AV129" s="128" t="s">
        <v>724</v>
      </c>
      <c r="AW129" s="100" t="s">
        <v>727</v>
      </c>
      <c r="AX129" s="433">
        <f t="shared" si="43"/>
        <v>1</v>
      </c>
      <c r="AY129" s="433">
        <f t="shared" si="44"/>
        <v>0</v>
      </c>
      <c r="AZ129" s="433">
        <f t="shared" si="45"/>
        <v>0</v>
      </c>
      <c r="BA129" s="433">
        <f t="shared" si="35"/>
        <v>0</v>
      </c>
      <c r="BB129" s="433">
        <f t="shared" si="36"/>
        <v>0</v>
      </c>
      <c r="BC129" s="433">
        <f t="shared" si="37"/>
        <v>0</v>
      </c>
      <c r="BD129" s="433">
        <f t="shared" si="46"/>
        <v>0</v>
      </c>
      <c r="BE129" s="433">
        <f t="shared" si="47"/>
        <v>0</v>
      </c>
      <c r="BF129" s="433">
        <f t="shared" si="48"/>
        <v>0</v>
      </c>
      <c r="BG129" s="433">
        <f t="shared" si="49"/>
        <v>0</v>
      </c>
      <c r="BH129" s="433">
        <f t="shared" si="50"/>
        <v>0</v>
      </c>
      <c r="BI129" s="433">
        <f t="shared" si="51"/>
        <v>0</v>
      </c>
      <c r="BJ129" s="433">
        <f t="shared" si="52"/>
        <v>0</v>
      </c>
      <c r="BK129" s="433">
        <f t="shared" si="53"/>
        <v>0</v>
      </c>
      <c r="BL129" s="433">
        <f t="shared" si="54"/>
        <v>0</v>
      </c>
      <c r="BM129" s="433">
        <f t="shared" si="55"/>
        <v>0</v>
      </c>
      <c r="BN129" s="433">
        <f t="shared" si="56"/>
        <v>0</v>
      </c>
      <c r="BO129" s="433">
        <f t="shared" si="57"/>
        <v>0</v>
      </c>
      <c r="BP129" s="433">
        <f t="shared" si="58"/>
        <v>0</v>
      </c>
      <c r="BQ129" s="433">
        <f t="shared" si="59"/>
        <v>0</v>
      </c>
    </row>
    <row r="130" spans="1:69" x14ac:dyDescent="0.2">
      <c r="A130" s="102">
        <v>41807</v>
      </c>
      <c r="B130" s="319">
        <v>1</v>
      </c>
      <c r="C130" s="118" t="s">
        <v>665</v>
      </c>
      <c r="D130" s="111">
        <v>0.80555555555555547</v>
      </c>
      <c r="E130" s="111">
        <v>0.82500000000000007</v>
      </c>
      <c r="F130" s="444">
        <v>38</v>
      </c>
      <c r="G130" s="445">
        <v>7</v>
      </c>
      <c r="H130" s="444"/>
      <c r="I130" s="390"/>
      <c r="J130" s="426">
        <f t="shared" si="32"/>
        <v>28.00000000000022</v>
      </c>
      <c r="K130" s="103">
        <v>1</v>
      </c>
      <c r="L130" s="103"/>
      <c r="M130" s="103"/>
      <c r="N130" s="427">
        <f t="shared" si="33"/>
        <v>1</v>
      </c>
      <c r="O130" s="103"/>
      <c r="P130" s="103"/>
      <c r="Q130" s="103"/>
      <c r="R130" s="428">
        <f t="shared" si="34"/>
        <v>0</v>
      </c>
      <c r="S130" s="103"/>
      <c r="T130" s="103"/>
      <c r="U130" s="103"/>
      <c r="V130" s="125"/>
      <c r="W130" s="428">
        <f t="shared" si="38"/>
        <v>0</v>
      </c>
      <c r="X130" s="103"/>
      <c r="Y130" s="103"/>
      <c r="Z130" s="125"/>
      <c r="AA130" s="428">
        <f t="shared" si="39"/>
        <v>0</v>
      </c>
      <c r="AB130" s="103"/>
      <c r="AC130" s="103"/>
      <c r="AD130" s="103"/>
      <c r="AE130" s="428">
        <f t="shared" si="40"/>
        <v>0</v>
      </c>
      <c r="AF130" s="103"/>
      <c r="AG130" s="103"/>
      <c r="AH130" s="103"/>
      <c r="AI130" s="103"/>
      <c r="AJ130" s="428">
        <f t="shared" si="41"/>
        <v>0</v>
      </c>
      <c r="AK130" s="446"/>
      <c r="AL130" s="446"/>
      <c r="AM130" s="446"/>
      <c r="AN130" s="446"/>
      <c r="AO130" s="446"/>
      <c r="AP130" s="446"/>
      <c r="AQ130" s="446"/>
      <c r="AR130" s="431">
        <f t="shared" si="42"/>
        <v>0</v>
      </c>
      <c r="AT130" s="128"/>
      <c r="AU130" s="100" t="s">
        <v>600</v>
      </c>
      <c r="AV130" s="128" t="s">
        <v>724</v>
      </c>
      <c r="AW130" s="100" t="s">
        <v>727</v>
      </c>
      <c r="AX130" s="433">
        <f t="shared" si="43"/>
        <v>1</v>
      </c>
      <c r="AY130" s="433">
        <f t="shared" si="44"/>
        <v>0</v>
      </c>
      <c r="AZ130" s="433">
        <f t="shared" si="45"/>
        <v>0</v>
      </c>
      <c r="BA130" s="433">
        <f t="shared" si="35"/>
        <v>0</v>
      </c>
      <c r="BB130" s="433">
        <f t="shared" si="36"/>
        <v>0</v>
      </c>
      <c r="BC130" s="433">
        <f t="shared" si="37"/>
        <v>0</v>
      </c>
      <c r="BD130" s="433">
        <f t="shared" si="46"/>
        <v>0</v>
      </c>
      <c r="BE130" s="433">
        <f t="shared" si="47"/>
        <v>0</v>
      </c>
      <c r="BF130" s="433">
        <f t="shared" si="48"/>
        <v>0</v>
      </c>
      <c r="BG130" s="433">
        <f t="shared" si="49"/>
        <v>0</v>
      </c>
      <c r="BH130" s="433">
        <f t="shared" si="50"/>
        <v>0</v>
      </c>
      <c r="BI130" s="433">
        <f t="shared" si="51"/>
        <v>0</v>
      </c>
      <c r="BJ130" s="433">
        <f t="shared" si="52"/>
        <v>0</v>
      </c>
      <c r="BK130" s="433">
        <f t="shared" si="53"/>
        <v>0</v>
      </c>
      <c r="BL130" s="433">
        <f t="shared" si="54"/>
        <v>0</v>
      </c>
      <c r="BM130" s="433">
        <f t="shared" si="55"/>
        <v>0</v>
      </c>
      <c r="BN130" s="433">
        <f t="shared" si="56"/>
        <v>0</v>
      </c>
      <c r="BO130" s="433">
        <f t="shared" si="57"/>
        <v>0</v>
      </c>
      <c r="BP130" s="433">
        <f t="shared" si="58"/>
        <v>0</v>
      </c>
      <c r="BQ130" s="433">
        <f t="shared" si="59"/>
        <v>0</v>
      </c>
    </row>
    <row r="131" spans="1:69" x14ac:dyDescent="0.2">
      <c r="A131" s="102">
        <v>41807</v>
      </c>
      <c r="B131" s="319">
        <v>1</v>
      </c>
      <c r="C131" s="118" t="s">
        <v>606</v>
      </c>
      <c r="D131" s="111">
        <v>0.82500000000000007</v>
      </c>
      <c r="E131" s="111">
        <v>0.98472222222222217</v>
      </c>
      <c r="F131" s="444">
        <v>51</v>
      </c>
      <c r="G131" s="445">
        <v>8</v>
      </c>
      <c r="H131" s="444"/>
      <c r="I131" s="390"/>
      <c r="J131" s="426">
        <f t="shared" ref="J131:J194" si="113">(E131-D131)*24*60</f>
        <v>229.99999999999983</v>
      </c>
      <c r="K131" s="103">
        <v>3</v>
      </c>
      <c r="L131" s="103"/>
      <c r="M131" s="103"/>
      <c r="N131" s="427">
        <f t="shared" ref="N131:N194" si="114">SUM(K131:M131)</f>
        <v>3</v>
      </c>
      <c r="O131" s="103"/>
      <c r="P131" s="103"/>
      <c r="Q131" s="103"/>
      <c r="R131" s="428">
        <f t="shared" ref="R131:R194" si="115">SUM(O131:Q131)</f>
        <v>0</v>
      </c>
      <c r="S131" s="103"/>
      <c r="T131" s="103"/>
      <c r="U131" s="103"/>
      <c r="V131" s="125"/>
      <c r="W131" s="428">
        <f t="shared" si="38"/>
        <v>0</v>
      </c>
      <c r="X131" s="103"/>
      <c r="Y131" s="103"/>
      <c r="Z131" s="125"/>
      <c r="AA131" s="428">
        <f t="shared" si="39"/>
        <v>0</v>
      </c>
      <c r="AB131" s="103"/>
      <c r="AC131" s="103"/>
      <c r="AD131" s="103"/>
      <c r="AE131" s="428">
        <f t="shared" si="40"/>
        <v>0</v>
      </c>
      <c r="AF131" s="103"/>
      <c r="AG131" s="103"/>
      <c r="AH131" s="103"/>
      <c r="AI131" s="103"/>
      <c r="AJ131" s="428">
        <f t="shared" si="41"/>
        <v>0</v>
      </c>
      <c r="AK131" s="446"/>
      <c r="AL131" s="446"/>
      <c r="AM131" s="446"/>
      <c r="AN131" s="446"/>
      <c r="AO131" s="446"/>
      <c r="AP131" s="446"/>
      <c r="AQ131" s="446"/>
      <c r="AR131" s="431">
        <f t="shared" si="42"/>
        <v>0</v>
      </c>
      <c r="AS131" s="10" t="s">
        <v>668</v>
      </c>
      <c r="AT131" s="128" t="s">
        <v>669</v>
      </c>
      <c r="AU131" s="100" t="s">
        <v>670</v>
      </c>
      <c r="AV131" s="128" t="s">
        <v>724</v>
      </c>
      <c r="AW131" s="100" t="s">
        <v>727</v>
      </c>
      <c r="AX131" s="433">
        <f t="shared" si="43"/>
        <v>3</v>
      </c>
      <c r="AY131" s="433">
        <f t="shared" si="44"/>
        <v>0</v>
      </c>
      <c r="AZ131" s="433">
        <f t="shared" si="45"/>
        <v>0</v>
      </c>
      <c r="BA131" s="433">
        <f t="shared" ref="BA131:BA194" si="116">O131</f>
        <v>0</v>
      </c>
      <c r="BB131" s="433">
        <f t="shared" ref="BB131:BB194" si="117">P131</f>
        <v>0</v>
      </c>
      <c r="BC131" s="433">
        <f t="shared" ref="BC131:BC194" si="118">Q131</f>
        <v>0</v>
      </c>
      <c r="BD131" s="433">
        <f t="shared" si="46"/>
        <v>0</v>
      </c>
      <c r="BE131" s="433">
        <f t="shared" si="47"/>
        <v>0</v>
      </c>
      <c r="BF131" s="433">
        <f t="shared" si="48"/>
        <v>0</v>
      </c>
      <c r="BG131" s="433">
        <f t="shared" si="49"/>
        <v>0</v>
      </c>
      <c r="BH131" s="433">
        <f t="shared" si="50"/>
        <v>0</v>
      </c>
      <c r="BI131" s="433">
        <f t="shared" si="51"/>
        <v>0</v>
      </c>
      <c r="BJ131" s="433">
        <f t="shared" si="52"/>
        <v>0</v>
      </c>
      <c r="BK131" s="433">
        <f t="shared" si="53"/>
        <v>0</v>
      </c>
      <c r="BL131" s="433">
        <f t="shared" si="54"/>
        <v>0</v>
      </c>
      <c r="BM131" s="433">
        <f t="shared" si="55"/>
        <v>0</v>
      </c>
      <c r="BN131" s="433">
        <f t="shared" si="56"/>
        <v>0</v>
      </c>
      <c r="BO131" s="433">
        <f t="shared" si="57"/>
        <v>0</v>
      </c>
      <c r="BP131" s="433">
        <f t="shared" si="58"/>
        <v>0</v>
      </c>
      <c r="BQ131" s="433">
        <f t="shared" si="59"/>
        <v>0</v>
      </c>
    </row>
    <row r="132" spans="1:69" x14ac:dyDescent="0.2">
      <c r="A132" s="102">
        <v>41807</v>
      </c>
      <c r="B132" s="319">
        <v>2</v>
      </c>
      <c r="C132" s="118" t="s">
        <v>486</v>
      </c>
      <c r="D132" s="111">
        <v>0.27083333333333331</v>
      </c>
      <c r="E132" s="111">
        <v>0.32916666666666666</v>
      </c>
      <c r="F132" s="444">
        <v>38</v>
      </c>
      <c r="G132" s="445">
        <v>7</v>
      </c>
      <c r="H132" s="444"/>
      <c r="I132" s="390"/>
      <c r="J132" s="426">
        <f t="shared" si="113"/>
        <v>84.000000000000028</v>
      </c>
      <c r="K132" s="103"/>
      <c r="L132" s="103"/>
      <c r="M132" s="103"/>
      <c r="N132" s="427">
        <f t="shared" si="114"/>
        <v>0</v>
      </c>
      <c r="O132" s="103"/>
      <c r="P132" s="103"/>
      <c r="Q132" s="103"/>
      <c r="R132" s="428">
        <f t="shared" si="115"/>
        <v>0</v>
      </c>
      <c r="S132" s="103"/>
      <c r="T132" s="103"/>
      <c r="U132" s="103"/>
      <c r="V132" s="125"/>
      <c r="W132" s="428">
        <f t="shared" ref="W132:W195" si="119">SUM(S132:V132)</f>
        <v>0</v>
      </c>
      <c r="X132" s="103"/>
      <c r="Y132" s="103"/>
      <c r="Z132" s="125"/>
      <c r="AA132" s="428">
        <f t="shared" ref="AA132:AA195" si="120">SUM(X132:Z132)</f>
        <v>0</v>
      </c>
      <c r="AB132" s="103"/>
      <c r="AC132" s="103"/>
      <c r="AD132" s="103"/>
      <c r="AE132" s="428">
        <f t="shared" ref="AE132:AE195" si="121">SUM(AB132:AD132)</f>
        <v>0</v>
      </c>
      <c r="AF132" s="103"/>
      <c r="AG132" s="103"/>
      <c r="AH132" s="103"/>
      <c r="AI132" s="103"/>
      <c r="AJ132" s="428">
        <f t="shared" ref="AJ132:AJ195" si="122">SUM(AF132:AI132)</f>
        <v>0</v>
      </c>
      <c r="AK132" s="446"/>
      <c r="AL132" s="446"/>
      <c r="AM132" s="446"/>
      <c r="AN132" s="446"/>
      <c r="AO132" s="446"/>
      <c r="AP132" s="446"/>
      <c r="AQ132" s="446"/>
      <c r="AR132" s="431">
        <f t="shared" ref="AR132:AR195" si="123">SUM(AK132:AQ132)</f>
        <v>0</v>
      </c>
      <c r="AS132" s="10" t="s">
        <v>671</v>
      </c>
      <c r="AT132" s="128"/>
      <c r="AU132" s="100" t="s">
        <v>674</v>
      </c>
      <c r="AV132" s="128" t="s">
        <v>724</v>
      </c>
      <c r="AW132" s="100" t="s">
        <v>727</v>
      </c>
      <c r="AX132" s="433">
        <f t="shared" ref="AX132:AX195" si="124">K132</f>
        <v>0</v>
      </c>
      <c r="AY132" s="433">
        <f t="shared" ref="AY132:AY195" si="125">L132</f>
        <v>0</v>
      </c>
      <c r="AZ132" s="433">
        <f t="shared" ref="AZ132:AZ195" si="126">M132</f>
        <v>0</v>
      </c>
      <c r="BA132" s="433">
        <f t="shared" si="116"/>
        <v>0</v>
      </c>
      <c r="BB132" s="433">
        <f t="shared" si="117"/>
        <v>0</v>
      </c>
      <c r="BC132" s="433">
        <f t="shared" si="118"/>
        <v>0</v>
      </c>
      <c r="BD132" s="433">
        <f t="shared" ref="BD132:BD195" si="127">S132</f>
        <v>0</v>
      </c>
      <c r="BE132" s="433">
        <f t="shared" ref="BE132:BE195" si="128">T132</f>
        <v>0</v>
      </c>
      <c r="BF132" s="433">
        <f t="shared" ref="BF132:BF195" si="129">U132</f>
        <v>0</v>
      </c>
      <c r="BG132" s="433">
        <f t="shared" ref="BG132:BG195" si="130">V132</f>
        <v>0</v>
      </c>
      <c r="BH132" s="433">
        <f t="shared" ref="BH132:BH195" si="131">X132</f>
        <v>0</v>
      </c>
      <c r="BI132" s="433">
        <f t="shared" ref="BI132:BI195" si="132">Y132</f>
        <v>0</v>
      </c>
      <c r="BJ132" s="433">
        <f t="shared" ref="BJ132:BJ195" si="133">Z132</f>
        <v>0</v>
      </c>
      <c r="BK132" s="433">
        <f t="shared" ref="BK132:BK195" si="134">AB132</f>
        <v>0</v>
      </c>
      <c r="BL132" s="433">
        <f t="shared" ref="BL132:BL195" si="135">AC132</f>
        <v>0</v>
      </c>
      <c r="BM132" s="433">
        <f t="shared" ref="BM132:BM195" si="136">AD132</f>
        <v>0</v>
      </c>
      <c r="BN132" s="433">
        <f t="shared" ref="BN132:BN195" si="137">AF132</f>
        <v>0</v>
      </c>
      <c r="BO132" s="433">
        <f t="shared" ref="BO132:BO195" si="138">AG132</f>
        <v>0</v>
      </c>
      <c r="BP132" s="433">
        <f t="shared" ref="BP132:BP195" si="139">AH132</f>
        <v>0</v>
      </c>
      <c r="BQ132" s="433">
        <f t="shared" ref="BQ132:BQ195" si="140">AI132</f>
        <v>0</v>
      </c>
    </row>
    <row r="133" spans="1:69" x14ac:dyDescent="0.2">
      <c r="A133" s="102">
        <v>41807</v>
      </c>
      <c r="B133" s="319">
        <v>2</v>
      </c>
      <c r="C133" s="118" t="s">
        <v>610</v>
      </c>
      <c r="D133" s="111">
        <v>0.32916666666666666</v>
      </c>
      <c r="E133" s="111">
        <v>0.48958333333333331</v>
      </c>
      <c r="F133" s="444">
        <v>32</v>
      </c>
      <c r="G133" s="445">
        <v>7</v>
      </c>
      <c r="H133" s="444"/>
      <c r="I133" s="390"/>
      <c r="J133" s="426">
        <f t="shared" si="113"/>
        <v>230.99999999999997</v>
      </c>
      <c r="K133" s="103"/>
      <c r="L133" s="103"/>
      <c r="M133" s="103"/>
      <c r="N133" s="427">
        <f t="shared" si="114"/>
        <v>0</v>
      </c>
      <c r="O133" s="103"/>
      <c r="P133" s="103"/>
      <c r="Q133" s="103"/>
      <c r="R133" s="428">
        <f t="shared" si="115"/>
        <v>0</v>
      </c>
      <c r="S133" s="103"/>
      <c r="T133" s="103"/>
      <c r="U133" s="103"/>
      <c r="V133" s="125"/>
      <c r="W133" s="428">
        <f t="shared" si="119"/>
        <v>0</v>
      </c>
      <c r="X133" s="103"/>
      <c r="Y133" s="103"/>
      <c r="Z133" s="125"/>
      <c r="AA133" s="428">
        <f t="shared" si="120"/>
        <v>0</v>
      </c>
      <c r="AB133" s="103"/>
      <c r="AC133" s="103"/>
      <c r="AD133" s="103"/>
      <c r="AE133" s="428">
        <f t="shared" si="121"/>
        <v>0</v>
      </c>
      <c r="AF133" s="103"/>
      <c r="AG133" s="103"/>
      <c r="AH133" s="103"/>
      <c r="AI133" s="103"/>
      <c r="AJ133" s="428">
        <f t="shared" si="122"/>
        <v>0</v>
      </c>
      <c r="AK133" s="446"/>
      <c r="AL133" s="446"/>
      <c r="AM133" s="446"/>
      <c r="AN133" s="446"/>
      <c r="AO133" s="446"/>
      <c r="AP133" s="446"/>
      <c r="AQ133" s="446"/>
      <c r="AR133" s="431">
        <f t="shared" si="123"/>
        <v>0</v>
      </c>
      <c r="AS133" s="10" t="s">
        <v>672</v>
      </c>
      <c r="AT133" s="128"/>
      <c r="AU133" s="100" t="s">
        <v>600</v>
      </c>
      <c r="AV133" s="128" t="s">
        <v>724</v>
      </c>
      <c r="AW133" s="100" t="s">
        <v>727</v>
      </c>
      <c r="AX133" s="433">
        <f t="shared" si="124"/>
        <v>0</v>
      </c>
      <c r="AY133" s="433">
        <f t="shared" si="125"/>
        <v>0</v>
      </c>
      <c r="AZ133" s="433">
        <f t="shared" si="126"/>
        <v>0</v>
      </c>
      <c r="BA133" s="433">
        <f t="shared" si="116"/>
        <v>0</v>
      </c>
      <c r="BB133" s="433">
        <f t="shared" si="117"/>
        <v>0</v>
      </c>
      <c r="BC133" s="433">
        <f t="shared" si="118"/>
        <v>0</v>
      </c>
      <c r="BD133" s="433">
        <f t="shared" si="127"/>
        <v>0</v>
      </c>
      <c r="BE133" s="433">
        <f t="shared" si="128"/>
        <v>0</v>
      </c>
      <c r="BF133" s="433">
        <f t="shared" si="129"/>
        <v>0</v>
      </c>
      <c r="BG133" s="433">
        <f t="shared" si="130"/>
        <v>0</v>
      </c>
      <c r="BH133" s="433">
        <f t="shared" si="131"/>
        <v>0</v>
      </c>
      <c r="BI133" s="433">
        <f t="shared" si="132"/>
        <v>0</v>
      </c>
      <c r="BJ133" s="433">
        <f t="shared" si="133"/>
        <v>0</v>
      </c>
      <c r="BK133" s="433">
        <f t="shared" si="134"/>
        <v>0</v>
      </c>
      <c r="BL133" s="433">
        <f t="shared" si="135"/>
        <v>0</v>
      </c>
      <c r="BM133" s="433">
        <f t="shared" si="136"/>
        <v>0</v>
      </c>
      <c r="BN133" s="433">
        <f t="shared" si="137"/>
        <v>0</v>
      </c>
      <c r="BO133" s="433">
        <f t="shared" si="138"/>
        <v>0</v>
      </c>
      <c r="BP133" s="433">
        <f t="shared" si="139"/>
        <v>0</v>
      </c>
      <c r="BQ133" s="433">
        <f t="shared" si="140"/>
        <v>0</v>
      </c>
    </row>
    <row r="134" spans="1:69" x14ac:dyDescent="0.2">
      <c r="A134" s="102">
        <v>41807</v>
      </c>
      <c r="B134" s="319">
        <v>2</v>
      </c>
      <c r="C134" s="118" t="s">
        <v>673</v>
      </c>
      <c r="D134" s="111">
        <v>0.48958333333333331</v>
      </c>
      <c r="E134" s="111">
        <v>0.67013888888888884</v>
      </c>
      <c r="F134" s="445">
        <f>(33+32)/2</f>
        <v>32.5</v>
      </c>
      <c r="G134" s="445">
        <v>11</v>
      </c>
      <c r="H134" s="444"/>
      <c r="I134" s="390"/>
      <c r="J134" s="426">
        <f t="shared" si="113"/>
        <v>259.99999999999994</v>
      </c>
      <c r="K134" s="103"/>
      <c r="L134" s="103"/>
      <c r="M134" s="103"/>
      <c r="N134" s="427">
        <f t="shared" si="114"/>
        <v>0</v>
      </c>
      <c r="O134" s="103"/>
      <c r="P134" s="103"/>
      <c r="Q134" s="103"/>
      <c r="R134" s="428">
        <f t="shared" si="115"/>
        <v>0</v>
      </c>
      <c r="S134" s="103"/>
      <c r="T134" s="103"/>
      <c r="U134" s="103"/>
      <c r="V134" s="125"/>
      <c r="W134" s="428">
        <f t="shared" si="119"/>
        <v>0</v>
      </c>
      <c r="X134" s="103"/>
      <c r="Y134" s="103"/>
      <c r="Z134" s="125"/>
      <c r="AA134" s="428">
        <f t="shared" si="120"/>
        <v>0</v>
      </c>
      <c r="AB134" s="103"/>
      <c r="AC134" s="103"/>
      <c r="AD134" s="103"/>
      <c r="AE134" s="428">
        <f t="shared" si="121"/>
        <v>0</v>
      </c>
      <c r="AF134" s="103"/>
      <c r="AG134" s="103"/>
      <c r="AH134" s="103"/>
      <c r="AI134" s="103"/>
      <c r="AJ134" s="428">
        <f t="shared" si="122"/>
        <v>0</v>
      </c>
      <c r="AK134" s="446"/>
      <c r="AL134" s="446"/>
      <c r="AM134" s="446"/>
      <c r="AN134" s="446"/>
      <c r="AO134" s="446"/>
      <c r="AP134" s="446"/>
      <c r="AQ134" s="446"/>
      <c r="AR134" s="431">
        <f t="shared" si="123"/>
        <v>0</v>
      </c>
      <c r="AS134" s="10" t="s">
        <v>725</v>
      </c>
      <c r="AT134" s="128" t="s">
        <v>726</v>
      </c>
      <c r="AU134" s="100" t="s">
        <v>675</v>
      </c>
      <c r="AV134" s="128" t="s">
        <v>724</v>
      </c>
      <c r="AW134" s="100" t="s">
        <v>727</v>
      </c>
      <c r="AX134" s="433">
        <f t="shared" si="124"/>
        <v>0</v>
      </c>
      <c r="AY134" s="433">
        <f t="shared" si="125"/>
        <v>0</v>
      </c>
      <c r="AZ134" s="433">
        <f t="shared" si="126"/>
        <v>0</v>
      </c>
      <c r="BA134" s="433">
        <f t="shared" si="116"/>
        <v>0</v>
      </c>
      <c r="BB134" s="433">
        <f t="shared" si="117"/>
        <v>0</v>
      </c>
      <c r="BC134" s="433">
        <f t="shared" si="118"/>
        <v>0</v>
      </c>
      <c r="BD134" s="433">
        <f t="shared" si="127"/>
        <v>0</v>
      </c>
      <c r="BE134" s="433">
        <f t="shared" si="128"/>
        <v>0</v>
      </c>
      <c r="BF134" s="433">
        <f t="shared" si="129"/>
        <v>0</v>
      </c>
      <c r="BG134" s="433">
        <f t="shared" si="130"/>
        <v>0</v>
      </c>
      <c r="BH134" s="433">
        <f t="shared" si="131"/>
        <v>0</v>
      </c>
      <c r="BI134" s="433">
        <f t="shared" si="132"/>
        <v>0</v>
      </c>
      <c r="BJ134" s="433">
        <f t="shared" si="133"/>
        <v>0</v>
      </c>
      <c r="BK134" s="433">
        <f t="shared" si="134"/>
        <v>0</v>
      </c>
      <c r="BL134" s="433">
        <f t="shared" si="135"/>
        <v>0</v>
      </c>
      <c r="BM134" s="433">
        <f t="shared" si="136"/>
        <v>0</v>
      </c>
      <c r="BN134" s="433">
        <f t="shared" si="137"/>
        <v>0</v>
      </c>
      <c r="BO134" s="433">
        <f t="shared" si="138"/>
        <v>0</v>
      </c>
      <c r="BP134" s="433">
        <f t="shared" si="139"/>
        <v>0</v>
      </c>
      <c r="BQ134" s="433">
        <f t="shared" si="140"/>
        <v>0</v>
      </c>
    </row>
    <row r="135" spans="1:69" x14ac:dyDescent="0.2">
      <c r="A135" s="102">
        <v>41807</v>
      </c>
      <c r="B135" s="319">
        <v>2</v>
      </c>
      <c r="C135" s="118" t="s">
        <v>610</v>
      </c>
      <c r="D135" s="111">
        <v>0.67013888888888884</v>
      </c>
      <c r="E135" s="111">
        <v>0.70486111111111116</v>
      </c>
      <c r="F135" s="444">
        <v>40</v>
      </c>
      <c r="G135" s="445">
        <v>9</v>
      </c>
      <c r="H135" s="444"/>
      <c r="I135" s="390"/>
      <c r="J135" s="426">
        <f t="shared" si="113"/>
        <v>50.000000000000142</v>
      </c>
      <c r="K135" s="103">
        <v>1</v>
      </c>
      <c r="L135" s="103"/>
      <c r="M135" s="103"/>
      <c r="N135" s="427">
        <f t="shared" si="114"/>
        <v>1</v>
      </c>
      <c r="O135" s="103"/>
      <c r="P135" s="103"/>
      <c r="Q135" s="103"/>
      <c r="R135" s="428">
        <f t="shared" si="115"/>
        <v>0</v>
      </c>
      <c r="S135" s="103"/>
      <c r="T135" s="103"/>
      <c r="U135" s="103"/>
      <c r="V135" s="125"/>
      <c r="W135" s="428">
        <f t="shared" si="119"/>
        <v>0</v>
      </c>
      <c r="X135" s="103"/>
      <c r="Y135" s="103"/>
      <c r="Z135" s="125"/>
      <c r="AA135" s="428">
        <f t="shared" si="120"/>
        <v>0</v>
      </c>
      <c r="AB135" s="103"/>
      <c r="AC135" s="103"/>
      <c r="AD135" s="103"/>
      <c r="AE135" s="428">
        <f t="shared" si="121"/>
        <v>0</v>
      </c>
      <c r="AF135" s="103"/>
      <c r="AG135" s="103"/>
      <c r="AH135" s="103"/>
      <c r="AI135" s="103"/>
      <c r="AJ135" s="428">
        <f t="shared" si="122"/>
        <v>0</v>
      </c>
      <c r="AK135" s="446"/>
      <c r="AL135" s="446"/>
      <c r="AM135" s="446"/>
      <c r="AN135" s="446"/>
      <c r="AO135" s="446"/>
      <c r="AP135" s="446"/>
      <c r="AQ135" s="446"/>
      <c r="AR135" s="431">
        <f t="shared" si="123"/>
        <v>0</v>
      </c>
      <c r="AS135" s="10" t="s">
        <v>676</v>
      </c>
      <c r="AT135" s="128"/>
      <c r="AU135" s="100" t="s">
        <v>600</v>
      </c>
      <c r="AV135" s="128" t="s">
        <v>724</v>
      </c>
      <c r="AW135" s="100" t="s">
        <v>727</v>
      </c>
      <c r="AX135" s="433">
        <f t="shared" si="124"/>
        <v>1</v>
      </c>
      <c r="AY135" s="433">
        <f t="shared" si="125"/>
        <v>0</v>
      </c>
      <c r="AZ135" s="433">
        <f t="shared" si="126"/>
        <v>0</v>
      </c>
      <c r="BA135" s="433">
        <f t="shared" si="116"/>
        <v>0</v>
      </c>
      <c r="BB135" s="433">
        <f t="shared" si="117"/>
        <v>0</v>
      </c>
      <c r="BC135" s="433">
        <f t="shared" si="118"/>
        <v>0</v>
      </c>
      <c r="BD135" s="433">
        <f t="shared" si="127"/>
        <v>0</v>
      </c>
      <c r="BE135" s="433">
        <f t="shared" si="128"/>
        <v>0</v>
      </c>
      <c r="BF135" s="433">
        <f t="shared" si="129"/>
        <v>0</v>
      </c>
      <c r="BG135" s="433">
        <f t="shared" si="130"/>
        <v>0</v>
      </c>
      <c r="BH135" s="433">
        <f t="shared" si="131"/>
        <v>0</v>
      </c>
      <c r="BI135" s="433">
        <f t="shared" si="132"/>
        <v>0</v>
      </c>
      <c r="BJ135" s="433">
        <f t="shared" si="133"/>
        <v>0</v>
      </c>
      <c r="BK135" s="433">
        <f t="shared" si="134"/>
        <v>0</v>
      </c>
      <c r="BL135" s="433">
        <f t="shared" si="135"/>
        <v>0</v>
      </c>
      <c r="BM135" s="433">
        <f t="shared" si="136"/>
        <v>0</v>
      </c>
      <c r="BN135" s="433">
        <f t="shared" si="137"/>
        <v>0</v>
      </c>
      <c r="BO135" s="433">
        <f t="shared" si="138"/>
        <v>0</v>
      </c>
      <c r="BP135" s="433">
        <f t="shared" si="139"/>
        <v>0</v>
      </c>
      <c r="BQ135" s="433">
        <f t="shared" si="140"/>
        <v>0</v>
      </c>
    </row>
    <row r="136" spans="1:69" x14ac:dyDescent="0.2">
      <c r="A136" s="102">
        <v>41807</v>
      </c>
      <c r="B136" s="319">
        <v>2</v>
      </c>
      <c r="C136" s="118" t="s">
        <v>622</v>
      </c>
      <c r="D136" s="111">
        <v>0.76041666666666663</v>
      </c>
      <c r="E136" s="111">
        <v>0.96180555555555547</v>
      </c>
      <c r="F136" s="444">
        <v>34</v>
      </c>
      <c r="G136" s="445">
        <v>10</v>
      </c>
      <c r="H136" s="444"/>
      <c r="I136" s="390"/>
      <c r="J136" s="426">
        <f t="shared" si="113"/>
        <v>289.99999999999994</v>
      </c>
      <c r="K136" s="103"/>
      <c r="L136" s="103"/>
      <c r="M136" s="103"/>
      <c r="N136" s="427">
        <f t="shared" si="114"/>
        <v>0</v>
      </c>
      <c r="O136" s="103"/>
      <c r="P136" s="103"/>
      <c r="Q136" s="103"/>
      <c r="R136" s="428">
        <f t="shared" si="115"/>
        <v>0</v>
      </c>
      <c r="S136" s="103"/>
      <c r="T136" s="103"/>
      <c r="U136" s="103"/>
      <c r="V136" s="125"/>
      <c r="W136" s="428">
        <f t="shared" si="119"/>
        <v>0</v>
      </c>
      <c r="X136" s="103"/>
      <c r="Y136" s="103"/>
      <c r="Z136" s="125"/>
      <c r="AA136" s="428">
        <f t="shared" si="120"/>
        <v>0</v>
      </c>
      <c r="AB136" s="103"/>
      <c r="AC136" s="103"/>
      <c r="AD136" s="103"/>
      <c r="AE136" s="428">
        <f t="shared" si="121"/>
        <v>0</v>
      </c>
      <c r="AF136" s="103"/>
      <c r="AG136" s="103"/>
      <c r="AH136" s="103"/>
      <c r="AI136" s="103"/>
      <c r="AJ136" s="428">
        <f t="shared" si="122"/>
        <v>0</v>
      </c>
      <c r="AK136" s="446"/>
      <c r="AL136" s="446"/>
      <c r="AM136" s="446"/>
      <c r="AN136" s="446"/>
      <c r="AO136" s="446"/>
      <c r="AP136" s="446"/>
      <c r="AQ136" s="446"/>
      <c r="AR136" s="431">
        <f t="shared" si="123"/>
        <v>0</v>
      </c>
      <c r="AS136" s="10" t="s">
        <v>677</v>
      </c>
      <c r="AT136" s="128" t="s">
        <v>424</v>
      </c>
      <c r="AU136" s="100" t="s">
        <v>675</v>
      </c>
      <c r="AV136" s="128" t="s">
        <v>724</v>
      </c>
      <c r="AW136" s="100" t="s">
        <v>727</v>
      </c>
      <c r="AX136" s="433">
        <f t="shared" si="124"/>
        <v>0</v>
      </c>
      <c r="AY136" s="433">
        <f t="shared" si="125"/>
        <v>0</v>
      </c>
      <c r="AZ136" s="433">
        <f t="shared" si="126"/>
        <v>0</v>
      </c>
      <c r="BA136" s="433">
        <f t="shared" si="116"/>
        <v>0</v>
      </c>
      <c r="BB136" s="433">
        <f t="shared" si="117"/>
        <v>0</v>
      </c>
      <c r="BC136" s="433">
        <f t="shared" si="118"/>
        <v>0</v>
      </c>
      <c r="BD136" s="433">
        <f t="shared" si="127"/>
        <v>0</v>
      </c>
      <c r="BE136" s="433">
        <f t="shared" si="128"/>
        <v>0</v>
      </c>
      <c r="BF136" s="433">
        <f t="shared" si="129"/>
        <v>0</v>
      </c>
      <c r="BG136" s="433">
        <f t="shared" si="130"/>
        <v>0</v>
      </c>
      <c r="BH136" s="433">
        <f t="shared" si="131"/>
        <v>0</v>
      </c>
      <c r="BI136" s="433">
        <f t="shared" si="132"/>
        <v>0</v>
      </c>
      <c r="BJ136" s="433">
        <f t="shared" si="133"/>
        <v>0</v>
      </c>
      <c r="BK136" s="433">
        <f t="shared" si="134"/>
        <v>0</v>
      </c>
      <c r="BL136" s="433">
        <f t="shared" si="135"/>
        <v>0</v>
      </c>
      <c r="BM136" s="433">
        <f t="shared" si="136"/>
        <v>0</v>
      </c>
      <c r="BN136" s="433">
        <f t="shared" si="137"/>
        <v>0</v>
      </c>
      <c r="BO136" s="433">
        <f t="shared" si="138"/>
        <v>0</v>
      </c>
      <c r="BP136" s="433">
        <f t="shared" si="139"/>
        <v>0</v>
      </c>
      <c r="BQ136" s="433">
        <f t="shared" si="140"/>
        <v>0</v>
      </c>
    </row>
    <row r="137" spans="1:69" x14ac:dyDescent="0.2">
      <c r="A137" s="102">
        <v>41807</v>
      </c>
      <c r="B137" s="319">
        <v>3</v>
      </c>
      <c r="C137" s="118" t="s">
        <v>486</v>
      </c>
      <c r="D137" s="111">
        <v>0.24374999999999999</v>
      </c>
      <c r="E137" s="111">
        <v>0.32013888888888892</v>
      </c>
      <c r="F137" s="444">
        <v>34</v>
      </c>
      <c r="G137" s="445">
        <v>10</v>
      </c>
      <c r="H137" s="444"/>
      <c r="I137" s="390"/>
      <c r="J137" s="426">
        <f t="shared" si="113"/>
        <v>110.00000000000004</v>
      </c>
      <c r="K137" s="103"/>
      <c r="L137" s="103"/>
      <c r="M137" s="103"/>
      <c r="N137" s="427">
        <f t="shared" si="114"/>
        <v>0</v>
      </c>
      <c r="O137" s="103"/>
      <c r="P137" s="103"/>
      <c r="Q137" s="103"/>
      <c r="R137" s="428">
        <f t="shared" si="115"/>
        <v>0</v>
      </c>
      <c r="S137" s="103"/>
      <c r="T137" s="103"/>
      <c r="U137" s="103"/>
      <c r="V137" s="125"/>
      <c r="W137" s="428">
        <f t="shared" si="119"/>
        <v>0</v>
      </c>
      <c r="X137" s="103"/>
      <c r="Y137" s="103"/>
      <c r="Z137" s="125"/>
      <c r="AA137" s="428">
        <f t="shared" si="120"/>
        <v>0</v>
      </c>
      <c r="AB137" s="103"/>
      <c r="AC137" s="103"/>
      <c r="AD137" s="103"/>
      <c r="AE137" s="428">
        <f t="shared" si="121"/>
        <v>0</v>
      </c>
      <c r="AF137" s="103"/>
      <c r="AG137" s="103"/>
      <c r="AH137" s="103"/>
      <c r="AI137" s="103"/>
      <c r="AJ137" s="428">
        <f t="shared" si="122"/>
        <v>0</v>
      </c>
      <c r="AK137" s="446"/>
      <c r="AL137" s="446"/>
      <c r="AM137" s="446"/>
      <c r="AN137" s="446"/>
      <c r="AO137" s="446"/>
      <c r="AP137" s="446"/>
      <c r="AQ137" s="446"/>
      <c r="AR137" s="431">
        <f t="shared" si="123"/>
        <v>0</v>
      </c>
      <c r="AS137" s="10" t="s">
        <v>678</v>
      </c>
      <c r="AT137" s="128"/>
      <c r="AU137" s="100" t="s">
        <v>674</v>
      </c>
      <c r="AV137" s="128" t="s">
        <v>724</v>
      </c>
      <c r="AW137" s="100" t="s">
        <v>727</v>
      </c>
      <c r="AX137" s="433">
        <f t="shared" si="124"/>
        <v>0</v>
      </c>
      <c r="AY137" s="433">
        <f t="shared" si="125"/>
        <v>0</v>
      </c>
      <c r="AZ137" s="433">
        <f t="shared" si="126"/>
        <v>0</v>
      </c>
      <c r="BA137" s="433">
        <f t="shared" si="116"/>
        <v>0</v>
      </c>
      <c r="BB137" s="433">
        <f t="shared" si="117"/>
        <v>0</v>
      </c>
      <c r="BC137" s="433">
        <f t="shared" si="118"/>
        <v>0</v>
      </c>
      <c r="BD137" s="433">
        <f t="shared" si="127"/>
        <v>0</v>
      </c>
      <c r="BE137" s="433">
        <f t="shared" si="128"/>
        <v>0</v>
      </c>
      <c r="BF137" s="433">
        <f t="shared" si="129"/>
        <v>0</v>
      </c>
      <c r="BG137" s="433">
        <f t="shared" si="130"/>
        <v>0</v>
      </c>
      <c r="BH137" s="433">
        <f t="shared" si="131"/>
        <v>0</v>
      </c>
      <c r="BI137" s="433">
        <f t="shared" si="132"/>
        <v>0</v>
      </c>
      <c r="BJ137" s="433">
        <f t="shared" si="133"/>
        <v>0</v>
      </c>
      <c r="BK137" s="433">
        <f t="shared" si="134"/>
        <v>0</v>
      </c>
      <c r="BL137" s="433">
        <f t="shared" si="135"/>
        <v>0</v>
      </c>
      <c r="BM137" s="433">
        <f t="shared" si="136"/>
        <v>0</v>
      </c>
      <c r="BN137" s="433">
        <f t="shared" si="137"/>
        <v>0</v>
      </c>
      <c r="BO137" s="433">
        <f t="shared" si="138"/>
        <v>0</v>
      </c>
      <c r="BP137" s="433">
        <f t="shared" si="139"/>
        <v>0</v>
      </c>
      <c r="BQ137" s="433">
        <f t="shared" si="140"/>
        <v>0</v>
      </c>
    </row>
    <row r="138" spans="1:69" x14ac:dyDescent="0.2">
      <c r="A138" s="102">
        <v>41807</v>
      </c>
      <c r="B138" s="319">
        <v>3</v>
      </c>
      <c r="C138" s="118" t="s">
        <v>610</v>
      </c>
      <c r="D138" s="111">
        <v>0.32013888888888892</v>
      </c>
      <c r="E138" s="111">
        <v>0.51736111111111105</v>
      </c>
      <c r="F138" s="444">
        <v>36</v>
      </c>
      <c r="G138" s="445">
        <v>9</v>
      </c>
      <c r="H138" s="444"/>
      <c r="I138" s="390"/>
      <c r="J138" s="426">
        <f t="shared" si="113"/>
        <v>283.99999999999983</v>
      </c>
      <c r="K138" s="103">
        <v>1</v>
      </c>
      <c r="L138" s="103"/>
      <c r="M138" s="103"/>
      <c r="N138" s="427">
        <f t="shared" si="114"/>
        <v>1</v>
      </c>
      <c r="O138" s="103"/>
      <c r="P138" s="103"/>
      <c r="Q138" s="103"/>
      <c r="R138" s="428">
        <f t="shared" si="115"/>
        <v>0</v>
      </c>
      <c r="S138" s="103"/>
      <c r="T138" s="103"/>
      <c r="U138" s="103"/>
      <c r="V138" s="125"/>
      <c r="W138" s="428">
        <f t="shared" si="119"/>
        <v>0</v>
      </c>
      <c r="X138" s="103"/>
      <c r="Y138" s="103"/>
      <c r="Z138" s="125"/>
      <c r="AA138" s="428">
        <f t="shared" si="120"/>
        <v>0</v>
      </c>
      <c r="AB138" s="103"/>
      <c r="AC138" s="103"/>
      <c r="AD138" s="103"/>
      <c r="AE138" s="428">
        <f t="shared" si="121"/>
        <v>0</v>
      </c>
      <c r="AF138" s="103"/>
      <c r="AG138" s="103">
        <v>0</v>
      </c>
      <c r="AH138" s="103"/>
      <c r="AI138" s="103"/>
      <c r="AJ138" s="428">
        <f t="shared" si="122"/>
        <v>0</v>
      </c>
      <c r="AK138" s="446"/>
      <c r="AL138" s="446"/>
      <c r="AM138" s="446"/>
      <c r="AN138" s="446"/>
      <c r="AO138" s="446"/>
      <c r="AP138" s="446"/>
      <c r="AQ138" s="446"/>
      <c r="AR138" s="431">
        <f t="shared" si="123"/>
        <v>0</v>
      </c>
      <c r="AT138" s="128" t="s">
        <v>679</v>
      </c>
      <c r="AU138" s="100" t="s">
        <v>600</v>
      </c>
      <c r="AV138" s="128" t="s">
        <v>724</v>
      </c>
      <c r="AW138" s="100" t="s">
        <v>727</v>
      </c>
      <c r="AX138" s="433">
        <f t="shared" si="124"/>
        <v>1</v>
      </c>
      <c r="AY138" s="433">
        <f t="shared" si="125"/>
        <v>0</v>
      </c>
      <c r="AZ138" s="433">
        <f t="shared" si="126"/>
        <v>0</v>
      </c>
      <c r="BA138" s="433">
        <f t="shared" si="116"/>
        <v>0</v>
      </c>
      <c r="BB138" s="433">
        <f t="shared" si="117"/>
        <v>0</v>
      </c>
      <c r="BC138" s="433">
        <f t="shared" si="118"/>
        <v>0</v>
      </c>
      <c r="BD138" s="433">
        <f t="shared" si="127"/>
        <v>0</v>
      </c>
      <c r="BE138" s="433">
        <f t="shared" si="128"/>
        <v>0</v>
      </c>
      <c r="BF138" s="433">
        <f t="shared" si="129"/>
        <v>0</v>
      </c>
      <c r="BG138" s="433">
        <f t="shared" si="130"/>
        <v>0</v>
      </c>
      <c r="BH138" s="433">
        <f t="shared" si="131"/>
        <v>0</v>
      </c>
      <c r="BI138" s="433">
        <f t="shared" si="132"/>
        <v>0</v>
      </c>
      <c r="BJ138" s="433">
        <f t="shared" si="133"/>
        <v>0</v>
      </c>
      <c r="BK138" s="433">
        <f t="shared" si="134"/>
        <v>0</v>
      </c>
      <c r="BL138" s="433">
        <f t="shared" si="135"/>
        <v>0</v>
      </c>
      <c r="BM138" s="433">
        <f t="shared" si="136"/>
        <v>0</v>
      </c>
      <c r="BN138" s="433">
        <f t="shared" si="137"/>
        <v>0</v>
      </c>
      <c r="BO138" s="433">
        <f t="shared" si="138"/>
        <v>0</v>
      </c>
      <c r="BP138" s="433">
        <f t="shared" si="139"/>
        <v>0</v>
      </c>
      <c r="BQ138" s="433">
        <f t="shared" si="140"/>
        <v>0</v>
      </c>
    </row>
    <row r="139" spans="1:69" x14ac:dyDescent="0.2">
      <c r="A139" s="102">
        <v>41807</v>
      </c>
      <c r="B139" s="319">
        <v>3</v>
      </c>
      <c r="C139" s="118" t="s">
        <v>622</v>
      </c>
      <c r="D139" s="111">
        <v>0.51736111111111105</v>
      </c>
      <c r="E139" s="111">
        <v>0.65208333333333335</v>
      </c>
      <c r="F139" s="444">
        <v>40</v>
      </c>
      <c r="G139" s="445">
        <v>9</v>
      </c>
      <c r="H139" s="444"/>
      <c r="I139" s="390"/>
      <c r="J139" s="426">
        <f t="shared" si="113"/>
        <v>194.00000000000011</v>
      </c>
      <c r="K139" s="103"/>
      <c r="L139" s="103"/>
      <c r="M139" s="103"/>
      <c r="N139" s="427">
        <f t="shared" si="114"/>
        <v>0</v>
      </c>
      <c r="O139" s="103"/>
      <c r="P139" s="103"/>
      <c r="Q139" s="103"/>
      <c r="R139" s="428">
        <f t="shared" si="115"/>
        <v>0</v>
      </c>
      <c r="S139" s="103"/>
      <c r="T139" s="103"/>
      <c r="U139" s="103"/>
      <c r="V139" s="125"/>
      <c r="W139" s="428">
        <f t="shared" si="119"/>
        <v>0</v>
      </c>
      <c r="X139" s="103"/>
      <c r="Y139" s="103"/>
      <c r="Z139" s="125"/>
      <c r="AA139" s="428">
        <f t="shared" si="120"/>
        <v>0</v>
      </c>
      <c r="AB139" s="103"/>
      <c r="AC139" s="103"/>
      <c r="AD139" s="103"/>
      <c r="AE139" s="428">
        <f t="shared" si="121"/>
        <v>0</v>
      </c>
      <c r="AF139" s="103"/>
      <c r="AG139" s="103"/>
      <c r="AH139" s="103"/>
      <c r="AI139" s="103"/>
      <c r="AJ139" s="428">
        <f t="shared" si="122"/>
        <v>0</v>
      </c>
      <c r="AK139" s="446"/>
      <c r="AL139" s="446"/>
      <c r="AM139" s="446"/>
      <c r="AN139" s="446"/>
      <c r="AO139" s="446"/>
      <c r="AP139" s="446"/>
      <c r="AQ139" s="446"/>
      <c r="AR139" s="431">
        <f t="shared" si="123"/>
        <v>0</v>
      </c>
      <c r="AS139" s="10" t="s">
        <v>680</v>
      </c>
      <c r="AT139" s="128"/>
      <c r="AU139" s="100" t="s">
        <v>675</v>
      </c>
      <c r="AV139" s="128" t="s">
        <v>724</v>
      </c>
      <c r="AW139" s="100" t="s">
        <v>727</v>
      </c>
      <c r="AX139" s="433">
        <f t="shared" si="124"/>
        <v>0</v>
      </c>
      <c r="AY139" s="433">
        <f t="shared" si="125"/>
        <v>0</v>
      </c>
      <c r="AZ139" s="433">
        <f t="shared" si="126"/>
        <v>0</v>
      </c>
      <c r="BA139" s="433">
        <f t="shared" si="116"/>
        <v>0</v>
      </c>
      <c r="BB139" s="433">
        <f t="shared" si="117"/>
        <v>0</v>
      </c>
      <c r="BC139" s="433">
        <f t="shared" si="118"/>
        <v>0</v>
      </c>
      <c r="BD139" s="433">
        <f t="shared" si="127"/>
        <v>0</v>
      </c>
      <c r="BE139" s="433">
        <f t="shared" si="128"/>
        <v>0</v>
      </c>
      <c r="BF139" s="433">
        <f t="shared" si="129"/>
        <v>0</v>
      </c>
      <c r="BG139" s="433">
        <f t="shared" si="130"/>
        <v>0</v>
      </c>
      <c r="BH139" s="433">
        <f t="shared" si="131"/>
        <v>0</v>
      </c>
      <c r="BI139" s="433">
        <f t="shared" si="132"/>
        <v>0</v>
      </c>
      <c r="BJ139" s="433">
        <f t="shared" si="133"/>
        <v>0</v>
      </c>
      <c r="BK139" s="433">
        <f t="shared" si="134"/>
        <v>0</v>
      </c>
      <c r="BL139" s="433">
        <f t="shared" si="135"/>
        <v>0</v>
      </c>
      <c r="BM139" s="433">
        <f t="shared" si="136"/>
        <v>0</v>
      </c>
      <c r="BN139" s="433">
        <f t="shared" si="137"/>
        <v>0</v>
      </c>
      <c r="BO139" s="433">
        <f t="shared" si="138"/>
        <v>0</v>
      </c>
      <c r="BP139" s="433">
        <f t="shared" si="139"/>
        <v>0</v>
      </c>
      <c r="BQ139" s="433">
        <f t="shared" si="140"/>
        <v>0</v>
      </c>
    </row>
    <row r="140" spans="1:69" x14ac:dyDescent="0.2">
      <c r="A140" s="102">
        <v>41807</v>
      </c>
      <c r="B140" s="319">
        <v>3</v>
      </c>
      <c r="C140" s="118" t="s">
        <v>610</v>
      </c>
      <c r="D140" s="111">
        <v>0.65208333333333335</v>
      </c>
      <c r="E140" s="111">
        <v>0.78263888888888899</v>
      </c>
      <c r="F140" s="444">
        <v>37</v>
      </c>
      <c r="G140" s="445">
        <v>9</v>
      </c>
      <c r="H140" s="444"/>
      <c r="I140" s="390"/>
      <c r="J140" s="426">
        <f t="shared" si="113"/>
        <v>188.00000000000014</v>
      </c>
      <c r="K140" s="103"/>
      <c r="L140" s="103"/>
      <c r="M140" s="103"/>
      <c r="N140" s="427">
        <f t="shared" si="114"/>
        <v>0</v>
      </c>
      <c r="O140" s="103"/>
      <c r="P140" s="103"/>
      <c r="Q140" s="103"/>
      <c r="R140" s="428">
        <f t="shared" si="115"/>
        <v>0</v>
      </c>
      <c r="S140" s="103"/>
      <c r="T140" s="103"/>
      <c r="U140" s="103"/>
      <c r="V140" s="125"/>
      <c r="W140" s="428">
        <f t="shared" si="119"/>
        <v>0</v>
      </c>
      <c r="X140" s="103"/>
      <c r="Y140" s="103"/>
      <c r="Z140" s="125"/>
      <c r="AA140" s="428">
        <f t="shared" si="120"/>
        <v>0</v>
      </c>
      <c r="AB140" s="103"/>
      <c r="AC140" s="103"/>
      <c r="AD140" s="103"/>
      <c r="AE140" s="428">
        <f t="shared" si="121"/>
        <v>0</v>
      </c>
      <c r="AF140" s="103"/>
      <c r="AG140" s="103"/>
      <c r="AH140" s="103"/>
      <c r="AI140" s="103"/>
      <c r="AJ140" s="428">
        <f t="shared" si="122"/>
        <v>0</v>
      </c>
      <c r="AK140" s="446"/>
      <c r="AL140" s="446"/>
      <c r="AM140" s="446"/>
      <c r="AN140" s="446"/>
      <c r="AO140" s="446"/>
      <c r="AP140" s="446"/>
      <c r="AQ140" s="446"/>
      <c r="AR140" s="431">
        <f t="shared" si="123"/>
        <v>0</v>
      </c>
      <c r="AS140" s="10" t="s">
        <v>681</v>
      </c>
      <c r="AT140" s="128" t="s">
        <v>424</v>
      </c>
      <c r="AU140" s="100" t="s">
        <v>600</v>
      </c>
      <c r="AV140" s="128" t="s">
        <v>724</v>
      </c>
      <c r="AW140" s="100" t="s">
        <v>727</v>
      </c>
      <c r="AX140" s="433">
        <f t="shared" si="124"/>
        <v>0</v>
      </c>
      <c r="AY140" s="433">
        <f t="shared" si="125"/>
        <v>0</v>
      </c>
      <c r="AZ140" s="433">
        <f t="shared" si="126"/>
        <v>0</v>
      </c>
      <c r="BA140" s="433">
        <f t="shared" si="116"/>
        <v>0</v>
      </c>
      <c r="BB140" s="433">
        <f t="shared" si="117"/>
        <v>0</v>
      </c>
      <c r="BC140" s="433">
        <f t="shared" si="118"/>
        <v>0</v>
      </c>
      <c r="BD140" s="433">
        <f t="shared" si="127"/>
        <v>0</v>
      </c>
      <c r="BE140" s="433">
        <f t="shared" si="128"/>
        <v>0</v>
      </c>
      <c r="BF140" s="433">
        <f t="shared" si="129"/>
        <v>0</v>
      </c>
      <c r="BG140" s="433">
        <f t="shared" si="130"/>
        <v>0</v>
      </c>
      <c r="BH140" s="433">
        <f t="shared" si="131"/>
        <v>0</v>
      </c>
      <c r="BI140" s="433">
        <f t="shared" si="132"/>
        <v>0</v>
      </c>
      <c r="BJ140" s="433">
        <f t="shared" si="133"/>
        <v>0</v>
      </c>
      <c r="BK140" s="433">
        <f t="shared" si="134"/>
        <v>0</v>
      </c>
      <c r="BL140" s="433">
        <f t="shared" si="135"/>
        <v>0</v>
      </c>
      <c r="BM140" s="433">
        <f t="shared" si="136"/>
        <v>0</v>
      </c>
      <c r="BN140" s="433">
        <f t="shared" si="137"/>
        <v>0</v>
      </c>
      <c r="BO140" s="433">
        <f t="shared" si="138"/>
        <v>0</v>
      </c>
      <c r="BP140" s="433">
        <f t="shared" si="139"/>
        <v>0</v>
      </c>
      <c r="BQ140" s="433">
        <f t="shared" si="140"/>
        <v>0</v>
      </c>
    </row>
    <row r="141" spans="1:69" s="291" customFormat="1" x14ac:dyDescent="0.2">
      <c r="A141" s="317">
        <v>41807</v>
      </c>
      <c r="B141" s="318">
        <v>3</v>
      </c>
      <c r="C141" s="320" t="s">
        <v>630</v>
      </c>
      <c r="D141" s="321">
        <v>0.78263888888888899</v>
      </c>
      <c r="E141" s="321">
        <v>0.94930555555555562</v>
      </c>
      <c r="F141" s="434">
        <v>41</v>
      </c>
      <c r="G141" s="435">
        <v>9</v>
      </c>
      <c r="H141" s="434"/>
      <c r="I141" s="436"/>
      <c r="J141" s="437">
        <f t="shared" si="113"/>
        <v>239.99999999999994</v>
      </c>
      <c r="K141" s="285"/>
      <c r="L141" s="285"/>
      <c r="M141" s="285"/>
      <c r="N141" s="438">
        <f t="shared" si="114"/>
        <v>0</v>
      </c>
      <c r="O141" s="285"/>
      <c r="P141" s="285"/>
      <c r="Q141" s="285"/>
      <c r="R141" s="439">
        <f t="shared" si="115"/>
        <v>0</v>
      </c>
      <c r="S141" s="285"/>
      <c r="T141" s="285"/>
      <c r="U141" s="285"/>
      <c r="V141" s="440"/>
      <c r="W141" s="439">
        <f t="shared" si="119"/>
        <v>0</v>
      </c>
      <c r="X141" s="285"/>
      <c r="Y141" s="285"/>
      <c r="Z141" s="440"/>
      <c r="AA141" s="439">
        <f t="shared" si="120"/>
        <v>0</v>
      </c>
      <c r="AB141" s="285"/>
      <c r="AC141" s="285"/>
      <c r="AD141" s="285"/>
      <c r="AE141" s="439">
        <f t="shared" si="121"/>
        <v>0</v>
      </c>
      <c r="AF141" s="285"/>
      <c r="AG141" s="285"/>
      <c r="AH141" s="285"/>
      <c r="AI141" s="285"/>
      <c r="AJ141" s="439">
        <f t="shared" si="122"/>
        <v>0</v>
      </c>
      <c r="AK141" s="340"/>
      <c r="AL141" s="340"/>
      <c r="AM141" s="340"/>
      <c r="AN141" s="340"/>
      <c r="AO141" s="340"/>
      <c r="AP141" s="340"/>
      <c r="AQ141" s="340"/>
      <c r="AR141" s="441">
        <f t="shared" si="123"/>
        <v>0</v>
      </c>
      <c r="AS141" s="291" t="s">
        <v>682</v>
      </c>
      <c r="AT141" s="313"/>
      <c r="AU141" s="289" t="s">
        <v>675</v>
      </c>
      <c r="AV141" s="313" t="s">
        <v>724</v>
      </c>
      <c r="AW141" s="289" t="s">
        <v>727</v>
      </c>
      <c r="AX141" s="443">
        <f t="shared" si="124"/>
        <v>0</v>
      </c>
      <c r="AY141" s="443">
        <f t="shared" si="125"/>
        <v>0</v>
      </c>
      <c r="AZ141" s="443">
        <f t="shared" si="126"/>
        <v>0</v>
      </c>
      <c r="BA141" s="443">
        <f t="shared" si="116"/>
        <v>0</v>
      </c>
      <c r="BB141" s="443">
        <f t="shared" si="117"/>
        <v>0</v>
      </c>
      <c r="BC141" s="443">
        <f t="shared" si="118"/>
        <v>0</v>
      </c>
      <c r="BD141" s="443">
        <f t="shared" si="127"/>
        <v>0</v>
      </c>
      <c r="BE141" s="443">
        <f t="shared" si="128"/>
        <v>0</v>
      </c>
      <c r="BF141" s="443">
        <f t="shared" si="129"/>
        <v>0</v>
      </c>
      <c r="BG141" s="443">
        <f t="shared" si="130"/>
        <v>0</v>
      </c>
      <c r="BH141" s="443">
        <f t="shared" si="131"/>
        <v>0</v>
      </c>
      <c r="BI141" s="443">
        <f t="shared" si="132"/>
        <v>0</v>
      </c>
      <c r="BJ141" s="443">
        <f t="shared" si="133"/>
        <v>0</v>
      </c>
      <c r="BK141" s="443">
        <f t="shared" si="134"/>
        <v>0</v>
      </c>
      <c r="BL141" s="443">
        <f t="shared" si="135"/>
        <v>0</v>
      </c>
      <c r="BM141" s="443">
        <f t="shared" si="136"/>
        <v>0</v>
      </c>
      <c r="BN141" s="443">
        <f t="shared" si="137"/>
        <v>0</v>
      </c>
      <c r="BO141" s="443">
        <f t="shared" si="138"/>
        <v>0</v>
      </c>
      <c r="BP141" s="443">
        <f t="shared" si="139"/>
        <v>0</v>
      </c>
      <c r="BQ141" s="443">
        <f t="shared" si="140"/>
        <v>0</v>
      </c>
    </row>
    <row r="142" spans="1:69" x14ac:dyDescent="0.2">
      <c r="A142" s="102">
        <v>41808</v>
      </c>
      <c r="B142" s="319">
        <v>1</v>
      </c>
      <c r="C142" s="118" t="s">
        <v>729</v>
      </c>
      <c r="D142" s="111">
        <v>0.23750000000000002</v>
      </c>
      <c r="E142" s="111">
        <v>0.38541666666666669</v>
      </c>
      <c r="F142" s="444">
        <v>45</v>
      </c>
      <c r="G142" s="445">
        <v>8</v>
      </c>
      <c r="H142" s="444"/>
      <c r="I142" s="390"/>
      <c r="J142" s="426">
        <f t="shared" si="113"/>
        <v>213</v>
      </c>
      <c r="K142" s="103">
        <v>2</v>
      </c>
      <c r="L142" s="103"/>
      <c r="M142" s="103"/>
      <c r="N142" s="427">
        <f t="shared" si="114"/>
        <v>2</v>
      </c>
      <c r="O142" s="103"/>
      <c r="P142" s="103"/>
      <c r="Q142" s="103"/>
      <c r="R142" s="428">
        <f t="shared" si="115"/>
        <v>0</v>
      </c>
      <c r="S142" s="103"/>
      <c r="T142" s="103"/>
      <c r="U142" s="103"/>
      <c r="V142" s="125"/>
      <c r="W142" s="428">
        <f t="shared" si="119"/>
        <v>0</v>
      </c>
      <c r="X142" s="103"/>
      <c r="Y142" s="103"/>
      <c r="Z142" s="125"/>
      <c r="AA142" s="428">
        <f t="shared" si="120"/>
        <v>0</v>
      </c>
      <c r="AB142" s="103"/>
      <c r="AC142" s="103"/>
      <c r="AD142" s="103"/>
      <c r="AE142" s="428">
        <f t="shared" si="121"/>
        <v>0</v>
      </c>
      <c r="AF142" s="103"/>
      <c r="AG142" s="103"/>
      <c r="AH142" s="103"/>
      <c r="AI142" s="103"/>
      <c r="AJ142" s="428">
        <f t="shared" si="122"/>
        <v>0</v>
      </c>
      <c r="AK142" s="446"/>
      <c r="AL142" s="446"/>
      <c r="AM142" s="446"/>
      <c r="AN142" s="446"/>
      <c r="AO142" s="446"/>
      <c r="AP142" s="446"/>
      <c r="AQ142" s="446"/>
      <c r="AR142" s="431">
        <f t="shared" si="123"/>
        <v>0</v>
      </c>
      <c r="AS142" s="10" t="s">
        <v>730</v>
      </c>
      <c r="AT142" s="128"/>
      <c r="AU142" s="100" t="s">
        <v>734</v>
      </c>
      <c r="AV142" s="128" t="s">
        <v>797</v>
      </c>
      <c r="AW142" s="100" t="s">
        <v>800</v>
      </c>
      <c r="AX142" s="433">
        <f t="shared" si="124"/>
        <v>2</v>
      </c>
      <c r="AY142" s="433">
        <f t="shared" si="125"/>
        <v>0</v>
      </c>
      <c r="AZ142" s="433">
        <f t="shared" si="126"/>
        <v>0</v>
      </c>
      <c r="BA142" s="433">
        <f t="shared" si="116"/>
        <v>0</v>
      </c>
      <c r="BB142" s="433">
        <f t="shared" si="117"/>
        <v>0</v>
      </c>
      <c r="BC142" s="433">
        <f t="shared" si="118"/>
        <v>0</v>
      </c>
      <c r="BD142" s="433">
        <f t="shared" si="127"/>
        <v>0</v>
      </c>
      <c r="BE142" s="433">
        <f t="shared" si="128"/>
        <v>0</v>
      </c>
      <c r="BF142" s="433">
        <f t="shared" si="129"/>
        <v>0</v>
      </c>
      <c r="BG142" s="433">
        <f t="shared" si="130"/>
        <v>0</v>
      </c>
      <c r="BH142" s="433">
        <f t="shared" si="131"/>
        <v>0</v>
      </c>
      <c r="BI142" s="433">
        <f t="shared" si="132"/>
        <v>0</v>
      </c>
      <c r="BJ142" s="433">
        <f t="shared" si="133"/>
        <v>0</v>
      </c>
      <c r="BK142" s="433">
        <f t="shared" si="134"/>
        <v>0</v>
      </c>
      <c r="BL142" s="433">
        <f t="shared" si="135"/>
        <v>0</v>
      </c>
      <c r="BM142" s="433">
        <f t="shared" si="136"/>
        <v>0</v>
      </c>
      <c r="BN142" s="433">
        <f t="shared" si="137"/>
        <v>0</v>
      </c>
      <c r="BO142" s="433">
        <f t="shared" si="138"/>
        <v>0</v>
      </c>
      <c r="BP142" s="433">
        <f t="shared" si="139"/>
        <v>0</v>
      </c>
      <c r="BQ142" s="433">
        <f t="shared" si="140"/>
        <v>0</v>
      </c>
    </row>
    <row r="143" spans="1:69" x14ac:dyDescent="0.2">
      <c r="A143" s="102">
        <v>41808</v>
      </c>
      <c r="B143" s="319">
        <v>1</v>
      </c>
      <c r="C143" s="118" t="s">
        <v>731</v>
      </c>
      <c r="D143" s="111">
        <v>0.38541666666666669</v>
      </c>
      <c r="E143" s="111">
        <v>0.51388888888888895</v>
      </c>
      <c r="F143" s="444">
        <v>45</v>
      </c>
      <c r="G143" s="445">
        <v>7</v>
      </c>
      <c r="H143" s="444"/>
      <c r="I143" s="390"/>
      <c r="J143" s="426">
        <f t="shared" si="113"/>
        <v>185.00000000000006</v>
      </c>
      <c r="K143" s="103">
        <v>3</v>
      </c>
      <c r="L143" s="103"/>
      <c r="M143" s="103"/>
      <c r="N143" s="427">
        <f t="shared" si="114"/>
        <v>3</v>
      </c>
      <c r="O143" s="103"/>
      <c r="P143" s="103"/>
      <c r="Q143" s="103"/>
      <c r="R143" s="428">
        <f t="shared" si="115"/>
        <v>0</v>
      </c>
      <c r="S143" s="103"/>
      <c r="T143" s="103"/>
      <c r="U143" s="103"/>
      <c r="V143" s="125"/>
      <c r="W143" s="428">
        <f t="shared" si="119"/>
        <v>0</v>
      </c>
      <c r="X143" s="103"/>
      <c r="Y143" s="103"/>
      <c r="Z143" s="125"/>
      <c r="AA143" s="428">
        <f t="shared" si="120"/>
        <v>0</v>
      </c>
      <c r="AB143" s="103"/>
      <c r="AC143" s="103"/>
      <c r="AD143" s="103"/>
      <c r="AE143" s="428">
        <f t="shared" si="121"/>
        <v>0</v>
      </c>
      <c r="AF143" s="103"/>
      <c r="AG143" s="103"/>
      <c r="AH143" s="103"/>
      <c r="AI143" s="103"/>
      <c r="AJ143" s="428">
        <f t="shared" si="122"/>
        <v>0</v>
      </c>
      <c r="AK143" s="446"/>
      <c r="AL143" s="446"/>
      <c r="AM143" s="446"/>
      <c r="AN143" s="446"/>
      <c r="AO143" s="446"/>
      <c r="AP143" s="446"/>
      <c r="AQ143" s="446"/>
      <c r="AR143" s="431">
        <f t="shared" si="123"/>
        <v>0</v>
      </c>
      <c r="AT143" s="128"/>
      <c r="AU143" s="100" t="s">
        <v>735</v>
      </c>
      <c r="AV143" s="128" t="s">
        <v>797</v>
      </c>
      <c r="AW143" s="100" t="s">
        <v>800</v>
      </c>
      <c r="AX143" s="433">
        <f t="shared" si="124"/>
        <v>3</v>
      </c>
      <c r="AY143" s="433">
        <f t="shared" si="125"/>
        <v>0</v>
      </c>
      <c r="AZ143" s="433">
        <f t="shared" si="126"/>
        <v>0</v>
      </c>
      <c r="BA143" s="433">
        <f t="shared" si="116"/>
        <v>0</v>
      </c>
      <c r="BB143" s="433">
        <f t="shared" si="117"/>
        <v>0</v>
      </c>
      <c r="BC143" s="433">
        <f t="shared" si="118"/>
        <v>0</v>
      </c>
      <c r="BD143" s="433">
        <f t="shared" si="127"/>
        <v>0</v>
      </c>
      <c r="BE143" s="433">
        <f t="shared" si="128"/>
        <v>0</v>
      </c>
      <c r="BF143" s="433">
        <f t="shared" si="129"/>
        <v>0</v>
      </c>
      <c r="BG143" s="433">
        <f t="shared" si="130"/>
        <v>0</v>
      </c>
      <c r="BH143" s="433">
        <f t="shared" si="131"/>
        <v>0</v>
      </c>
      <c r="BI143" s="433">
        <f t="shared" si="132"/>
        <v>0</v>
      </c>
      <c r="BJ143" s="433">
        <f t="shared" si="133"/>
        <v>0</v>
      </c>
      <c r="BK143" s="433">
        <f t="shared" si="134"/>
        <v>0</v>
      </c>
      <c r="BL143" s="433">
        <f t="shared" si="135"/>
        <v>0</v>
      </c>
      <c r="BM143" s="433">
        <f t="shared" si="136"/>
        <v>0</v>
      </c>
      <c r="BN143" s="433">
        <f t="shared" si="137"/>
        <v>0</v>
      </c>
      <c r="BO143" s="433">
        <f t="shared" si="138"/>
        <v>0</v>
      </c>
      <c r="BP143" s="433">
        <f t="shared" si="139"/>
        <v>0</v>
      </c>
      <c r="BQ143" s="433">
        <f t="shared" si="140"/>
        <v>0</v>
      </c>
    </row>
    <row r="144" spans="1:69" x14ac:dyDescent="0.2">
      <c r="A144" s="102">
        <v>41808</v>
      </c>
      <c r="B144" s="319">
        <v>1</v>
      </c>
      <c r="C144" s="118" t="s">
        <v>732</v>
      </c>
      <c r="D144" s="111">
        <v>0.51388888888888895</v>
      </c>
      <c r="E144" s="111">
        <v>0.70138888888888884</v>
      </c>
      <c r="F144" s="444">
        <v>44</v>
      </c>
      <c r="G144" s="445">
        <v>7</v>
      </c>
      <c r="H144" s="444"/>
      <c r="I144" s="390"/>
      <c r="J144" s="426">
        <f t="shared" si="113"/>
        <v>269.99999999999983</v>
      </c>
      <c r="K144" s="103">
        <v>4</v>
      </c>
      <c r="L144" s="103"/>
      <c r="M144" s="103"/>
      <c r="N144" s="427">
        <f t="shared" si="114"/>
        <v>4</v>
      </c>
      <c r="O144" s="103"/>
      <c r="P144" s="103"/>
      <c r="Q144" s="103"/>
      <c r="R144" s="428">
        <f t="shared" si="115"/>
        <v>0</v>
      </c>
      <c r="S144" s="103"/>
      <c r="T144" s="103"/>
      <c r="U144" s="103"/>
      <c r="V144" s="125"/>
      <c r="W144" s="428">
        <f t="shared" si="119"/>
        <v>0</v>
      </c>
      <c r="X144" s="103"/>
      <c r="Y144" s="103"/>
      <c r="Z144" s="125"/>
      <c r="AA144" s="428">
        <f t="shared" si="120"/>
        <v>0</v>
      </c>
      <c r="AB144" s="103"/>
      <c r="AC144" s="103"/>
      <c r="AD144" s="103"/>
      <c r="AE144" s="428">
        <f t="shared" si="121"/>
        <v>0</v>
      </c>
      <c r="AF144" s="103"/>
      <c r="AG144" s="103"/>
      <c r="AH144" s="103"/>
      <c r="AI144" s="103"/>
      <c r="AJ144" s="428">
        <f t="shared" si="122"/>
        <v>0</v>
      </c>
      <c r="AK144" s="446"/>
      <c r="AL144" s="446"/>
      <c r="AM144" s="446"/>
      <c r="AN144" s="446"/>
      <c r="AO144" s="446"/>
      <c r="AP144" s="446"/>
      <c r="AQ144" s="446"/>
      <c r="AR144" s="431">
        <f t="shared" si="123"/>
        <v>0</v>
      </c>
      <c r="AT144" s="128" t="s">
        <v>733</v>
      </c>
      <c r="AU144" s="100" t="s">
        <v>795</v>
      </c>
      <c r="AV144" s="128" t="s">
        <v>797</v>
      </c>
      <c r="AW144" s="100" t="s">
        <v>800</v>
      </c>
      <c r="AX144" s="433">
        <f t="shared" si="124"/>
        <v>4</v>
      </c>
      <c r="AY144" s="433">
        <f t="shared" si="125"/>
        <v>0</v>
      </c>
      <c r="AZ144" s="433">
        <f t="shared" si="126"/>
        <v>0</v>
      </c>
      <c r="BA144" s="433">
        <f t="shared" si="116"/>
        <v>0</v>
      </c>
      <c r="BB144" s="433">
        <f t="shared" si="117"/>
        <v>0</v>
      </c>
      <c r="BC144" s="433">
        <f t="shared" si="118"/>
        <v>0</v>
      </c>
      <c r="BD144" s="433">
        <f t="shared" si="127"/>
        <v>0</v>
      </c>
      <c r="BE144" s="433">
        <f t="shared" si="128"/>
        <v>0</v>
      </c>
      <c r="BF144" s="433">
        <f t="shared" si="129"/>
        <v>0</v>
      </c>
      <c r="BG144" s="433">
        <f t="shared" si="130"/>
        <v>0</v>
      </c>
      <c r="BH144" s="433">
        <f t="shared" si="131"/>
        <v>0</v>
      </c>
      <c r="BI144" s="433">
        <f t="shared" si="132"/>
        <v>0</v>
      </c>
      <c r="BJ144" s="433">
        <f t="shared" si="133"/>
        <v>0</v>
      </c>
      <c r="BK144" s="433">
        <f t="shared" si="134"/>
        <v>0</v>
      </c>
      <c r="BL144" s="433">
        <f t="shared" si="135"/>
        <v>0</v>
      </c>
      <c r="BM144" s="433">
        <f t="shared" si="136"/>
        <v>0</v>
      </c>
      <c r="BN144" s="433">
        <f t="shared" si="137"/>
        <v>0</v>
      </c>
      <c r="BO144" s="433">
        <f t="shared" si="138"/>
        <v>0</v>
      </c>
      <c r="BP144" s="433">
        <f t="shared" si="139"/>
        <v>0</v>
      </c>
      <c r="BQ144" s="433">
        <f t="shared" si="140"/>
        <v>0</v>
      </c>
    </row>
    <row r="145" spans="1:69" x14ac:dyDescent="0.2">
      <c r="A145" s="102">
        <v>41808</v>
      </c>
      <c r="B145" s="319">
        <v>1</v>
      </c>
      <c r="C145" s="118" t="s">
        <v>736</v>
      </c>
      <c r="D145" s="111">
        <v>0.70138888888888884</v>
      </c>
      <c r="E145" s="111">
        <v>0.82430555555555562</v>
      </c>
      <c r="F145" s="444">
        <v>43</v>
      </c>
      <c r="G145" s="445">
        <v>8</v>
      </c>
      <c r="H145" s="444"/>
      <c r="I145" s="390"/>
      <c r="J145" s="426">
        <f t="shared" si="113"/>
        <v>177.00000000000017</v>
      </c>
      <c r="K145" s="103">
        <v>3</v>
      </c>
      <c r="L145" s="103"/>
      <c r="M145" s="103"/>
      <c r="N145" s="427">
        <f t="shared" si="114"/>
        <v>3</v>
      </c>
      <c r="O145" s="103"/>
      <c r="P145" s="103">
        <v>1</v>
      </c>
      <c r="Q145" s="103"/>
      <c r="R145" s="428">
        <f t="shared" si="115"/>
        <v>1</v>
      </c>
      <c r="S145" s="103"/>
      <c r="T145" s="103"/>
      <c r="U145" s="103"/>
      <c r="V145" s="125"/>
      <c r="W145" s="428">
        <f t="shared" si="119"/>
        <v>0</v>
      </c>
      <c r="X145" s="103"/>
      <c r="Y145" s="103"/>
      <c r="Z145" s="125"/>
      <c r="AA145" s="428">
        <f t="shared" si="120"/>
        <v>0</v>
      </c>
      <c r="AB145" s="103"/>
      <c r="AC145" s="103"/>
      <c r="AD145" s="103"/>
      <c r="AE145" s="428">
        <f t="shared" si="121"/>
        <v>0</v>
      </c>
      <c r="AF145" s="103"/>
      <c r="AG145" s="103"/>
      <c r="AH145" s="103"/>
      <c r="AI145" s="103"/>
      <c r="AJ145" s="428">
        <f t="shared" si="122"/>
        <v>0</v>
      </c>
      <c r="AK145" s="446"/>
      <c r="AL145" s="446"/>
      <c r="AM145" s="446"/>
      <c r="AN145" s="446"/>
      <c r="AO145" s="446"/>
      <c r="AP145" s="446"/>
      <c r="AQ145" s="446"/>
      <c r="AR145" s="431">
        <f t="shared" si="123"/>
        <v>0</v>
      </c>
      <c r="AT145" s="129" t="s">
        <v>799</v>
      </c>
      <c r="AU145" s="100" t="s">
        <v>735</v>
      </c>
      <c r="AV145" s="128" t="s">
        <v>797</v>
      </c>
      <c r="AW145" s="100" t="s">
        <v>800</v>
      </c>
      <c r="AX145" s="433">
        <f t="shared" si="124"/>
        <v>3</v>
      </c>
      <c r="AY145" s="433">
        <f t="shared" si="125"/>
        <v>0</v>
      </c>
      <c r="AZ145" s="433">
        <f t="shared" si="126"/>
        <v>0</v>
      </c>
      <c r="BA145" s="433">
        <f t="shared" si="116"/>
        <v>0</v>
      </c>
      <c r="BB145" s="433">
        <f t="shared" si="117"/>
        <v>1</v>
      </c>
      <c r="BC145" s="433">
        <f t="shared" si="118"/>
        <v>0</v>
      </c>
      <c r="BD145" s="433">
        <f t="shared" si="127"/>
        <v>0</v>
      </c>
      <c r="BE145" s="433">
        <f t="shared" si="128"/>
        <v>0</v>
      </c>
      <c r="BF145" s="433">
        <f t="shared" si="129"/>
        <v>0</v>
      </c>
      <c r="BG145" s="433">
        <f t="shared" si="130"/>
        <v>0</v>
      </c>
      <c r="BH145" s="433">
        <f t="shared" si="131"/>
        <v>0</v>
      </c>
      <c r="BI145" s="433">
        <f t="shared" si="132"/>
        <v>0</v>
      </c>
      <c r="BJ145" s="433">
        <f t="shared" si="133"/>
        <v>0</v>
      </c>
      <c r="BK145" s="433">
        <f t="shared" si="134"/>
        <v>0</v>
      </c>
      <c r="BL145" s="433">
        <f t="shared" si="135"/>
        <v>0</v>
      </c>
      <c r="BM145" s="433">
        <f t="shared" si="136"/>
        <v>0</v>
      </c>
      <c r="BN145" s="433">
        <f t="shared" si="137"/>
        <v>0</v>
      </c>
      <c r="BO145" s="433">
        <f t="shared" si="138"/>
        <v>0</v>
      </c>
      <c r="BP145" s="433">
        <f t="shared" si="139"/>
        <v>0</v>
      </c>
      <c r="BQ145" s="433">
        <f t="shared" si="140"/>
        <v>0</v>
      </c>
    </row>
    <row r="146" spans="1:69" x14ac:dyDescent="0.2">
      <c r="A146" s="102">
        <v>41808</v>
      </c>
      <c r="B146" s="319">
        <v>1</v>
      </c>
      <c r="C146" s="118" t="s">
        <v>737</v>
      </c>
      <c r="D146" s="111">
        <v>0.82430555555555562</v>
      </c>
      <c r="E146" s="111">
        <v>0.96388888888888891</v>
      </c>
      <c r="F146" s="444">
        <v>45</v>
      </c>
      <c r="G146" s="445">
        <v>7</v>
      </c>
      <c r="H146" s="444"/>
      <c r="I146" s="390">
        <v>49.2</v>
      </c>
      <c r="J146" s="426">
        <f t="shared" si="113"/>
        <v>200.99999999999991</v>
      </c>
      <c r="K146" s="103">
        <v>1</v>
      </c>
      <c r="L146" s="103"/>
      <c r="M146" s="103"/>
      <c r="N146" s="427">
        <f t="shared" si="114"/>
        <v>1</v>
      </c>
      <c r="O146" s="103"/>
      <c r="P146" s="103">
        <v>1</v>
      </c>
      <c r="Q146" s="103"/>
      <c r="R146" s="428">
        <f t="shared" si="115"/>
        <v>1</v>
      </c>
      <c r="S146" s="103"/>
      <c r="T146" s="103"/>
      <c r="U146" s="103"/>
      <c r="V146" s="125"/>
      <c r="W146" s="428">
        <f t="shared" si="119"/>
        <v>0</v>
      </c>
      <c r="X146" s="103"/>
      <c r="Y146" s="103"/>
      <c r="Z146" s="125"/>
      <c r="AA146" s="428">
        <f t="shared" si="120"/>
        <v>0</v>
      </c>
      <c r="AB146" s="103"/>
      <c r="AC146" s="103"/>
      <c r="AD146" s="103"/>
      <c r="AE146" s="428">
        <f t="shared" si="121"/>
        <v>0</v>
      </c>
      <c r="AF146" s="103"/>
      <c r="AG146" s="103"/>
      <c r="AH146" s="103"/>
      <c r="AI146" s="103"/>
      <c r="AJ146" s="428">
        <f t="shared" si="122"/>
        <v>0</v>
      </c>
      <c r="AK146" s="446"/>
      <c r="AL146" s="446"/>
      <c r="AM146" s="446"/>
      <c r="AN146" s="446"/>
      <c r="AO146" s="446"/>
      <c r="AP146" s="446"/>
      <c r="AQ146" s="446"/>
      <c r="AR146" s="431">
        <f t="shared" si="123"/>
        <v>0</v>
      </c>
      <c r="AS146" s="10" t="s">
        <v>738</v>
      </c>
      <c r="AT146" s="128" t="s">
        <v>739</v>
      </c>
      <c r="AU146" s="100" t="s">
        <v>740</v>
      </c>
      <c r="AV146" s="128" t="s">
        <v>797</v>
      </c>
      <c r="AW146" s="100" t="s">
        <v>800</v>
      </c>
      <c r="AX146" s="433">
        <f t="shared" si="124"/>
        <v>1</v>
      </c>
      <c r="AY146" s="433">
        <f t="shared" si="125"/>
        <v>0</v>
      </c>
      <c r="AZ146" s="433">
        <f t="shared" si="126"/>
        <v>0</v>
      </c>
      <c r="BA146" s="433">
        <f t="shared" si="116"/>
        <v>0</v>
      </c>
      <c r="BB146" s="433">
        <f t="shared" si="117"/>
        <v>1</v>
      </c>
      <c r="BC146" s="433">
        <f t="shared" si="118"/>
        <v>0</v>
      </c>
      <c r="BD146" s="433">
        <f t="shared" si="127"/>
        <v>0</v>
      </c>
      <c r="BE146" s="433">
        <f t="shared" si="128"/>
        <v>0</v>
      </c>
      <c r="BF146" s="433">
        <f t="shared" si="129"/>
        <v>0</v>
      </c>
      <c r="BG146" s="433">
        <f t="shared" si="130"/>
        <v>0</v>
      </c>
      <c r="BH146" s="433">
        <f t="shared" si="131"/>
        <v>0</v>
      </c>
      <c r="BI146" s="433">
        <f t="shared" si="132"/>
        <v>0</v>
      </c>
      <c r="BJ146" s="433">
        <f t="shared" si="133"/>
        <v>0</v>
      </c>
      <c r="BK146" s="433">
        <f t="shared" si="134"/>
        <v>0</v>
      </c>
      <c r="BL146" s="433">
        <f t="shared" si="135"/>
        <v>0</v>
      </c>
      <c r="BM146" s="433">
        <f t="shared" si="136"/>
        <v>0</v>
      </c>
      <c r="BN146" s="433">
        <f t="shared" si="137"/>
        <v>0</v>
      </c>
      <c r="BO146" s="433">
        <f t="shared" si="138"/>
        <v>0</v>
      </c>
      <c r="BP146" s="433">
        <f t="shared" si="139"/>
        <v>0</v>
      </c>
      <c r="BQ146" s="433">
        <f t="shared" si="140"/>
        <v>0</v>
      </c>
    </row>
    <row r="147" spans="1:69" x14ac:dyDescent="0.2">
      <c r="A147" s="102">
        <v>41808</v>
      </c>
      <c r="B147" s="319">
        <v>2</v>
      </c>
      <c r="C147" s="118" t="s">
        <v>741</v>
      </c>
      <c r="D147" s="111">
        <v>0.26944444444444443</v>
      </c>
      <c r="E147" s="111">
        <v>0.37222222222222223</v>
      </c>
      <c r="F147" s="444">
        <v>34</v>
      </c>
      <c r="G147" s="445">
        <v>9</v>
      </c>
      <c r="H147" s="444"/>
      <c r="I147" s="390"/>
      <c r="J147" s="426">
        <f t="shared" si="113"/>
        <v>148.00000000000003</v>
      </c>
      <c r="K147" s="103"/>
      <c r="L147" s="103"/>
      <c r="M147" s="103"/>
      <c r="N147" s="427">
        <f t="shared" si="114"/>
        <v>0</v>
      </c>
      <c r="O147" s="103"/>
      <c r="P147" s="103">
        <v>1</v>
      </c>
      <c r="Q147" s="103"/>
      <c r="R147" s="428">
        <f t="shared" si="115"/>
        <v>1</v>
      </c>
      <c r="S147" s="103"/>
      <c r="T147" s="103"/>
      <c r="U147" s="103"/>
      <c r="V147" s="125"/>
      <c r="W147" s="428">
        <f t="shared" si="119"/>
        <v>0</v>
      </c>
      <c r="X147" s="103"/>
      <c r="Y147" s="103"/>
      <c r="Z147" s="125"/>
      <c r="AA147" s="428">
        <f t="shared" si="120"/>
        <v>0</v>
      </c>
      <c r="AB147" s="103"/>
      <c r="AC147" s="103"/>
      <c r="AD147" s="103"/>
      <c r="AE147" s="428">
        <f t="shared" si="121"/>
        <v>0</v>
      </c>
      <c r="AF147" s="103"/>
      <c r="AG147" s="103"/>
      <c r="AH147" s="103"/>
      <c r="AI147" s="103"/>
      <c r="AJ147" s="428">
        <f t="shared" si="122"/>
        <v>0</v>
      </c>
      <c r="AK147" s="446"/>
      <c r="AL147" s="446"/>
      <c r="AM147" s="446"/>
      <c r="AN147" s="446"/>
      <c r="AO147" s="446"/>
      <c r="AP147" s="446"/>
      <c r="AQ147" s="446"/>
      <c r="AR147" s="431">
        <f t="shared" si="123"/>
        <v>0</v>
      </c>
      <c r="AS147" s="10" t="s">
        <v>742</v>
      </c>
      <c r="AT147" s="128" t="s">
        <v>743</v>
      </c>
      <c r="AU147" s="100" t="s">
        <v>734</v>
      </c>
      <c r="AV147" s="128" t="s">
        <v>797</v>
      </c>
      <c r="AW147" s="100" t="s">
        <v>800</v>
      </c>
      <c r="AX147" s="433">
        <f t="shared" si="124"/>
        <v>0</v>
      </c>
      <c r="AY147" s="433">
        <f t="shared" si="125"/>
        <v>0</v>
      </c>
      <c r="AZ147" s="433">
        <f t="shared" si="126"/>
        <v>0</v>
      </c>
      <c r="BA147" s="433">
        <f t="shared" si="116"/>
        <v>0</v>
      </c>
      <c r="BB147" s="433">
        <f t="shared" si="117"/>
        <v>1</v>
      </c>
      <c r="BC147" s="433">
        <f t="shared" si="118"/>
        <v>0</v>
      </c>
      <c r="BD147" s="433">
        <f t="shared" si="127"/>
        <v>0</v>
      </c>
      <c r="BE147" s="433">
        <f t="shared" si="128"/>
        <v>0</v>
      </c>
      <c r="BF147" s="433">
        <f t="shared" si="129"/>
        <v>0</v>
      </c>
      <c r="BG147" s="433">
        <f t="shared" si="130"/>
        <v>0</v>
      </c>
      <c r="BH147" s="433">
        <f t="shared" si="131"/>
        <v>0</v>
      </c>
      <c r="BI147" s="433">
        <f t="shared" si="132"/>
        <v>0</v>
      </c>
      <c r="BJ147" s="433">
        <f t="shared" si="133"/>
        <v>0</v>
      </c>
      <c r="BK147" s="433">
        <f t="shared" si="134"/>
        <v>0</v>
      </c>
      <c r="BL147" s="433">
        <f t="shared" si="135"/>
        <v>0</v>
      </c>
      <c r="BM147" s="433">
        <f t="shared" si="136"/>
        <v>0</v>
      </c>
      <c r="BN147" s="433">
        <f t="shared" si="137"/>
        <v>0</v>
      </c>
      <c r="BO147" s="433">
        <f t="shared" si="138"/>
        <v>0</v>
      </c>
      <c r="BP147" s="433">
        <f t="shared" si="139"/>
        <v>0</v>
      </c>
      <c r="BQ147" s="433">
        <f t="shared" si="140"/>
        <v>0</v>
      </c>
    </row>
    <row r="148" spans="1:69" x14ac:dyDescent="0.2">
      <c r="A148" s="102">
        <v>41808</v>
      </c>
      <c r="B148" s="319">
        <v>2</v>
      </c>
      <c r="C148" s="118" t="s">
        <v>736</v>
      </c>
      <c r="D148" s="111">
        <v>0.37222222222222223</v>
      </c>
      <c r="E148" s="111">
        <v>0.53472222222222221</v>
      </c>
      <c r="F148" s="444">
        <v>36</v>
      </c>
      <c r="G148" s="445">
        <v>10</v>
      </c>
      <c r="H148" s="444"/>
      <c r="I148" s="390"/>
      <c r="J148" s="426">
        <f>((E148-D148)*24*60)-20</f>
        <v>213.99999999999997</v>
      </c>
      <c r="K148" s="103">
        <v>2</v>
      </c>
      <c r="L148" s="103"/>
      <c r="M148" s="103"/>
      <c r="N148" s="427">
        <f t="shared" si="114"/>
        <v>2</v>
      </c>
      <c r="O148" s="103"/>
      <c r="P148" s="103"/>
      <c r="Q148" s="103"/>
      <c r="R148" s="428">
        <f t="shared" si="115"/>
        <v>0</v>
      </c>
      <c r="S148" s="103"/>
      <c r="T148" s="103"/>
      <c r="U148" s="103"/>
      <c r="V148" s="125"/>
      <c r="W148" s="428">
        <f t="shared" si="119"/>
        <v>0</v>
      </c>
      <c r="X148" s="103"/>
      <c r="Y148" s="103"/>
      <c r="Z148" s="125"/>
      <c r="AA148" s="428">
        <f t="shared" si="120"/>
        <v>0</v>
      </c>
      <c r="AB148" s="103"/>
      <c r="AC148" s="103"/>
      <c r="AD148" s="103"/>
      <c r="AE148" s="428">
        <f t="shared" si="121"/>
        <v>0</v>
      </c>
      <c r="AF148" s="103"/>
      <c r="AG148" s="103"/>
      <c r="AH148" s="103"/>
      <c r="AI148" s="103"/>
      <c r="AJ148" s="428">
        <f t="shared" si="122"/>
        <v>0</v>
      </c>
      <c r="AK148" s="446"/>
      <c r="AL148" s="446"/>
      <c r="AM148" s="446"/>
      <c r="AN148" s="446"/>
      <c r="AO148" s="446"/>
      <c r="AP148" s="446"/>
      <c r="AQ148" s="446"/>
      <c r="AR148" s="431">
        <f t="shared" si="123"/>
        <v>0</v>
      </c>
      <c r="AS148" s="10" t="s">
        <v>744</v>
      </c>
      <c r="AT148" s="128"/>
      <c r="AU148" s="100" t="s">
        <v>735</v>
      </c>
      <c r="AV148" s="128" t="s">
        <v>797</v>
      </c>
      <c r="AW148" s="100" t="s">
        <v>800</v>
      </c>
      <c r="AX148" s="433">
        <f t="shared" si="124"/>
        <v>2</v>
      </c>
      <c r="AY148" s="433">
        <f t="shared" si="125"/>
        <v>0</v>
      </c>
      <c r="AZ148" s="433">
        <f t="shared" si="126"/>
        <v>0</v>
      </c>
      <c r="BA148" s="433">
        <f t="shared" si="116"/>
        <v>0</v>
      </c>
      <c r="BB148" s="433">
        <f t="shared" si="117"/>
        <v>0</v>
      </c>
      <c r="BC148" s="433">
        <f t="shared" si="118"/>
        <v>0</v>
      </c>
      <c r="BD148" s="433">
        <f t="shared" si="127"/>
        <v>0</v>
      </c>
      <c r="BE148" s="433">
        <f t="shared" si="128"/>
        <v>0</v>
      </c>
      <c r="BF148" s="433">
        <f t="shared" si="129"/>
        <v>0</v>
      </c>
      <c r="BG148" s="433">
        <f t="shared" si="130"/>
        <v>0</v>
      </c>
      <c r="BH148" s="433">
        <f t="shared" si="131"/>
        <v>0</v>
      </c>
      <c r="BI148" s="433">
        <f t="shared" si="132"/>
        <v>0</v>
      </c>
      <c r="BJ148" s="433">
        <f t="shared" si="133"/>
        <v>0</v>
      </c>
      <c r="BK148" s="433">
        <f t="shared" si="134"/>
        <v>0</v>
      </c>
      <c r="BL148" s="433">
        <f t="shared" si="135"/>
        <v>0</v>
      </c>
      <c r="BM148" s="433">
        <f t="shared" si="136"/>
        <v>0</v>
      </c>
      <c r="BN148" s="433">
        <f t="shared" si="137"/>
        <v>0</v>
      </c>
      <c r="BO148" s="433">
        <f t="shared" si="138"/>
        <v>0</v>
      </c>
      <c r="BP148" s="433">
        <f t="shared" si="139"/>
        <v>0</v>
      </c>
      <c r="BQ148" s="433">
        <f t="shared" si="140"/>
        <v>0</v>
      </c>
    </row>
    <row r="149" spans="1:69" x14ac:dyDescent="0.2">
      <c r="A149" s="102">
        <v>41808</v>
      </c>
      <c r="B149" s="319">
        <v>2</v>
      </c>
      <c r="C149" s="118" t="s">
        <v>737</v>
      </c>
      <c r="D149" s="111">
        <v>0.53472222222222221</v>
      </c>
      <c r="E149" s="111">
        <v>0.68402777777777779</v>
      </c>
      <c r="F149" s="444">
        <v>33</v>
      </c>
      <c r="G149" s="445">
        <v>9</v>
      </c>
      <c r="H149" s="444"/>
      <c r="I149" s="390"/>
      <c r="J149" s="426">
        <f t="shared" si="113"/>
        <v>215.00000000000003</v>
      </c>
      <c r="K149" s="103">
        <v>1</v>
      </c>
      <c r="L149" s="103"/>
      <c r="M149" s="103"/>
      <c r="N149" s="427">
        <f t="shared" si="114"/>
        <v>1</v>
      </c>
      <c r="O149" s="103"/>
      <c r="P149" s="103"/>
      <c r="Q149" s="103"/>
      <c r="R149" s="428">
        <f t="shared" si="115"/>
        <v>0</v>
      </c>
      <c r="S149" s="103"/>
      <c r="T149" s="103"/>
      <c r="U149" s="103"/>
      <c r="V149" s="125"/>
      <c r="W149" s="428">
        <f t="shared" si="119"/>
        <v>0</v>
      </c>
      <c r="X149" s="103"/>
      <c r="Y149" s="103"/>
      <c r="Z149" s="125"/>
      <c r="AA149" s="428">
        <f t="shared" si="120"/>
        <v>0</v>
      </c>
      <c r="AB149" s="103"/>
      <c r="AC149" s="103"/>
      <c r="AD149" s="103"/>
      <c r="AE149" s="428">
        <f t="shared" si="121"/>
        <v>0</v>
      </c>
      <c r="AF149" s="103"/>
      <c r="AG149" s="103"/>
      <c r="AH149" s="103"/>
      <c r="AI149" s="103"/>
      <c r="AJ149" s="428">
        <f t="shared" si="122"/>
        <v>0</v>
      </c>
      <c r="AK149" s="446"/>
      <c r="AL149" s="446"/>
      <c r="AM149" s="446"/>
      <c r="AN149" s="446"/>
      <c r="AO149" s="446"/>
      <c r="AP149" s="446"/>
      <c r="AQ149" s="446"/>
      <c r="AR149" s="431">
        <f t="shared" si="123"/>
        <v>0</v>
      </c>
      <c r="AT149" s="128"/>
      <c r="AU149" s="100" t="s">
        <v>740</v>
      </c>
      <c r="AV149" s="128" t="s">
        <v>797</v>
      </c>
      <c r="AW149" s="100" t="s">
        <v>800</v>
      </c>
      <c r="AX149" s="433">
        <f t="shared" si="124"/>
        <v>1</v>
      </c>
      <c r="AY149" s="433">
        <f t="shared" si="125"/>
        <v>0</v>
      </c>
      <c r="AZ149" s="433">
        <f t="shared" si="126"/>
        <v>0</v>
      </c>
      <c r="BA149" s="433">
        <f t="shared" si="116"/>
        <v>0</v>
      </c>
      <c r="BB149" s="433">
        <f t="shared" si="117"/>
        <v>0</v>
      </c>
      <c r="BC149" s="433">
        <f t="shared" si="118"/>
        <v>0</v>
      </c>
      <c r="BD149" s="433">
        <f t="shared" si="127"/>
        <v>0</v>
      </c>
      <c r="BE149" s="433">
        <f t="shared" si="128"/>
        <v>0</v>
      </c>
      <c r="BF149" s="433">
        <f t="shared" si="129"/>
        <v>0</v>
      </c>
      <c r="BG149" s="433">
        <f t="shared" si="130"/>
        <v>0</v>
      </c>
      <c r="BH149" s="433">
        <f t="shared" si="131"/>
        <v>0</v>
      </c>
      <c r="BI149" s="433">
        <f t="shared" si="132"/>
        <v>0</v>
      </c>
      <c r="BJ149" s="433">
        <f t="shared" si="133"/>
        <v>0</v>
      </c>
      <c r="BK149" s="433">
        <f t="shared" si="134"/>
        <v>0</v>
      </c>
      <c r="BL149" s="433">
        <f t="shared" si="135"/>
        <v>0</v>
      </c>
      <c r="BM149" s="433">
        <f t="shared" si="136"/>
        <v>0</v>
      </c>
      <c r="BN149" s="433">
        <f t="shared" si="137"/>
        <v>0</v>
      </c>
      <c r="BO149" s="433">
        <f t="shared" si="138"/>
        <v>0</v>
      </c>
      <c r="BP149" s="433">
        <f t="shared" si="139"/>
        <v>0</v>
      </c>
      <c r="BQ149" s="433">
        <f t="shared" si="140"/>
        <v>0</v>
      </c>
    </row>
    <row r="150" spans="1:69" x14ac:dyDescent="0.2">
      <c r="A150" s="102">
        <v>41808</v>
      </c>
      <c r="B150" s="319">
        <v>2</v>
      </c>
      <c r="C150" s="323" t="s">
        <v>736</v>
      </c>
      <c r="D150" s="111">
        <v>0.68402777777777779</v>
      </c>
      <c r="E150" s="111">
        <v>0.82916666666666661</v>
      </c>
      <c r="F150" s="444">
        <v>32</v>
      </c>
      <c r="G150" s="445">
        <v>9</v>
      </c>
      <c r="H150" s="444"/>
      <c r="I150" s="390"/>
      <c r="J150" s="426">
        <f t="shared" si="113"/>
        <v>208.99999999999989</v>
      </c>
      <c r="K150" s="103"/>
      <c r="L150" s="103"/>
      <c r="M150" s="103"/>
      <c r="N150" s="427">
        <f t="shared" si="114"/>
        <v>0</v>
      </c>
      <c r="O150" s="103"/>
      <c r="P150" s="103"/>
      <c r="Q150" s="103"/>
      <c r="R150" s="428">
        <f t="shared" si="115"/>
        <v>0</v>
      </c>
      <c r="S150" s="103"/>
      <c r="T150" s="103"/>
      <c r="U150" s="103"/>
      <c r="V150" s="125"/>
      <c r="W150" s="428">
        <f t="shared" si="119"/>
        <v>0</v>
      </c>
      <c r="X150" s="103"/>
      <c r="Y150" s="103"/>
      <c r="Z150" s="125"/>
      <c r="AA150" s="428">
        <f t="shared" si="120"/>
        <v>0</v>
      </c>
      <c r="AB150" s="103"/>
      <c r="AC150" s="103"/>
      <c r="AD150" s="103"/>
      <c r="AE150" s="428">
        <f t="shared" si="121"/>
        <v>0</v>
      </c>
      <c r="AF150" s="103"/>
      <c r="AG150" s="103"/>
      <c r="AH150" s="103"/>
      <c r="AI150" s="103"/>
      <c r="AJ150" s="428">
        <f t="shared" si="122"/>
        <v>0</v>
      </c>
      <c r="AK150" s="446"/>
      <c r="AL150" s="446"/>
      <c r="AM150" s="446"/>
      <c r="AN150" s="446"/>
      <c r="AO150" s="446"/>
      <c r="AP150" s="446"/>
      <c r="AQ150" s="446"/>
      <c r="AR150" s="431">
        <f t="shared" si="123"/>
        <v>0</v>
      </c>
      <c r="AT150" s="128" t="s">
        <v>424</v>
      </c>
      <c r="AU150" s="100" t="s">
        <v>735</v>
      </c>
      <c r="AV150" s="128" t="s">
        <v>797</v>
      </c>
      <c r="AW150" s="100" t="s">
        <v>800</v>
      </c>
      <c r="AX150" s="433">
        <f t="shared" si="124"/>
        <v>0</v>
      </c>
      <c r="AY150" s="433">
        <f t="shared" si="125"/>
        <v>0</v>
      </c>
      <c r="AZ150" s="433">
        <f t="shared" si="126"/>
        <v>0</v>
      </c>
      <c r="BA150" s="433">
        <f t="shared" si="116"/>
        <v>0</v>
      </c>
      <c r="BB150" s="433">
        <f t="shared" si="117"/>
        <v>0</v>
      </c>
      <c r="BC150" s="433">
        <f t="shared" si="118"/>
        <v>0</v>
      </c>
      <c r="BD150" s="433">
        <f t="shared" si="127"/>
        <v>0</v>
      </c>
      <c r="BE150" s="433">
        <f t="shared" si="128"/>
        <v>0</v>
      </c>
      <c r="BF150" s="433">
        <f t="shared" si="129"/>
        <v>0</v>
      </c>
      <c r="BG150" s="433">
        <f t="shared" si="130"/>
        <v>0</v>
      </c>
      <c r="BH150" s="433">
        <f t="shared" si="131"/>
        <v>0</v>
      </c>
      <c r="BI150" s="433">
        <f t="shared" si="132"/>
        <v>0</v>
      </c>
      <c r="BJ150" s="433">
        <f t="shared" si="133"/>
        <v>0</v>
      </c>
      <c r="BK150" s="433">
        <f t="shared" si="134"/>
        <v>0</v>
      </c>
      <c r="BL150" s="433">
        <f t="shared" si="135"/>
        <v>0</v>
      </c>
      <c r="BM150" s="433">
        <f t="shared" si="136"/>
        <v>0</v>
      </c>
      <c r="BN150" s="433">
        <f t="shared" si="137"/>
        <v>0</v>
      </c>
      <c r="BO150" s="433">
        <f t="shared" si="138"/>
        <v>0</v>
      </c>
      <c r="BP150" s="433">
        <f t="shared" si="139"/>
        <v>0</v>
      </c>
      <c r="BQ150" s="433">
        <f t="shared" si="140"/>
        <v>0</v>
      </c>
    </row>
    <row r="151" spans="1:69" x14ac:dyDescent="0.2">
      <c r="A151" s="102">
        <v>41808</v>
      </c>
      <c r="B151" s="319">
        <v>2</v>
      </c>
      <c r="C151" s="118" t="s">
        <v>737</v>
      </c>
      <c r="D151" s="111">
        <v>0.82916666666666661</v>
      </c>
      <c r="E151" s="111">
        <v>0.95277777777777783</v>
      </c>
      <c r="F151" s="444">
        <v>33</v>
      </c>
      <c r="G151" s="445">
        <v>10</v>
      </c>
      <c r="H151" s="444"/>
      <c r="I151" s="390"/>
      <c r="J151" s="426">
        <f t="shared" si="113"/>
        <v>178.00000000000017</v>
      </c>
      <c r="K151" s="103"/>
      <c r="L151" s="103"/>
      <c r="M151" s="103"/>
      <c r="N151" s="427">
        <f t="shared" si="114"/>
        <v>0</v>
      </c>
      <c r="O151" s="103"/>
      <c r="P151" s="103"/>
      <c r="Q151" s="103"/>
      <c r="R151" s="428">
        <f t="shared" si="115"/>
        <v>0</v>
      </c>
      <c r="S151" s="103"/>
      <c r="T151" s="103"/>
      <c r="U151" s="103"/>
      <c r="V151" s="125"/>
      <c r="W151" s="428">
        <f t="shared" si="119"/>
        <v>0</v>
      </c>
      <c r="X151" s="103"/>
      <c r="Y151" s="103"/>
      <c r="Z151" s="125"/>
      <c r="AA151" s="428">
        <f t="shared" si="120"/>
        <v>0</v>
      </c>
      <c r="AB151" s="103"/>
      <c r="AC151" s="103"/>
      <c r="AD151" s="103"/>
      <c r="AE151" s="428">
        <f t="shared" si="121"/>
        <v>0</v>
      </c>
      <c r="AF151" s="103"/>
      <c r="AG151" s="103"/>
      <c r="AH151" s="103"/>
      <c r="AI151" s="103"/>
      <c r="AJ151" s="428">
        <f t="shared" si="122"/>
        <v>0</v>
      </c>
      <c r="AK151" s="446"/>
      <c r="AL151" s="446"/>
      <c r="AM151" s="446"/>
      <c r="AN151" s="446"/>
      <c r="AO151" s="446"/>
      <c r="AP151" s="446"/>
      <c r="AQ151" s="446"/>
      <c r="AR151" s="431">
        <f t="shared" si="123"/>
        <v>0</v>
      </c>
      <c r="AT151" s="128" t="s">
        <v>424</v>
      </c>
      <c r="AU151" s="100" t="s">
        <v>740</v>
      </c>
      <c r="AV151" s="128" t="s">
        <v>797</v>
      </c>
      <c r="AW151" s="100" t="s">
        <v>800</v>
      </c>
      <c r="AX151" s="433">
        <f t="shared" si="124"/>
        <v>0</v>
      </c>
      <c r="AY151" s="433">
        <f t="shared" si="125"/>
        <v>0</v>
      </c>
      <c r="AZ151" s="433">
        <f t="shared" si="126"/>
        <v>0</v>
      </c>
      <c r="BA151" s="433">
        <f t="shared" si="116"/>
        <v>0</v>
      </c>
      <c r="BB151" s="433">
        <f t="shared" si="117"/>
        <v>0</v>
      </c>
      <c r="BC151" s="433">
        <f t="shared" si="118"/>
        <v>0</v>
      </c>
      <c r="BD151" s="433">
        <f t="shared" si="127"/>
        <v>0</v>
      </c>
      <c r="BE151" s="433">
        <f t="shared" si="128"/>
        <v>0</v>
      </c>
      <c r="BF151" s="433">
        <f t="shared" si="129"/>
        <v>0</v>
      </c>
      <c r="BG151" s="433">
        <f t="shared" si="130"/>
        <v>0</v>
      </c>
      <c r="BH151" s="433">
        <f t="shared" si="131"/>
        <v>0</v>
      </c>
      <c r="BI151" s="433">
        <f t="shared" si="132"/>
        <v>0</v>
      </c>
      <c r="BJ151" s="433">
        <f t="shared" si="133"/>
        <v>0</v>
      </c>
      <c r="BK151" s="433">
        <f t="shared" si="134"/>
        <v>0</v>
      </c>
      <c r="BL151" s="433">
        <f t="shared" si="135"/>
        <v>0</v>
      </c>
      <c r="BM151" s="433">
        <f t="shared" si="136"/>
        <v>0</v>
      </c>
      <c r="BN151" s="433">
        <f t="shared" si="137"/>
        <v>0</v>
      </c>
      <c r="BO151" s="433">
        <f t="shared" si="138"/>
        <v>0</v>
      </c>
      <c r="BP151" s="433">
        <f t="shared" si="139"/>
        <v>0</v>
      </c>
      <c r="BQ151" s="433">
        <f t="shared" si="140"/>
        <v>0</v>
      </c>
    </row>
    <row r="152" spans="1:69" x14ac:dyDescent="0.2">
      <c r="A152" s="102">
        <v>41808</v>
      </c>
      <c r="B152" s="319">
        <v>3</v>
      </c>
      <c r="C152" s="118" t="s">
        <v>745</v>
      </c>
      <c r="D152" s="111">
        <v>0.2590277777777778</v>
      </c>
      <c r="E152" s="111">
        <v>0.39374999999999999</v>
      </c>
      <c r="F152" s="444">
        <v>36</v>
      </c>
      <c r="G152" s="445">
        <v>9</v>
      </c>
      <c r="H152" s="444"/>
      <c r="I152" s="390"/>
      <c r="J152" s="426">
        <f t="shared" si="113"/>
        <v>193.99999999999994</v>
      </c>
      <c r="K152" s="103"/>
      <c r="L152" s="103"/>
      <c r="M152" s="103"/>
      <c r="N152" s="427">
        <f t="shared" si="114"/>
        <v>0</v>
      </c>
      <c r="O152" s="103"/>
      <c r="P152" s="103"/>
      <c r="Q152" s="103"/>
      <c r="R152" s="428">
        <f t="shared" si="115"/>
        <v>0</v>
      </c>
      <c r="S152" s="103"/>
      <c r="T152" s="103"/>
      <c r="U152" s="103"/>
      <c r="V152" s="125"/>
      <c r="W152" s="428">
        <f t="shared" si="119"/>
        <v>0</v>
      </c>
      <c r="X152" s="103"/>
      <c r="Y152" s="103"/>
      <c r="Z152" s="125"/>
      <c r="AA152" s="428">
        <f t="shared" si="120"/>
        <v>0</v>
      </c>
      <c r="AB152" s="103"/>
      <c r="AC152" s="103"/>
      <c r="AD152" s="103"/>
      <c r="AE152" s="428">
        <f t="shared" si="121"/>
        <v>0</v>
      </c>
      <c r="AF152" s="103"/>
      <c r="AG152" s="103"/>
      <c r="AH152" s="103"/>
      <c r="AI152" s="103"/>
      <c r="AJ152" s="428">
        <f t="shared" si="122"/>
        <v>0</v>
      </c>
      <c r="AK152" s="446"/>
      <c r="AL152" s="446"/>
      <c r="AM152" s="446"/>
      <c r="AN152" s="446"/>
      <c r="AO152" s="446"/>
      <c r="AP152" s="446"/>
      <c r="AQ152" s="446"/>
      <c r="AR152" s="431">
        <f t="shared" si="123"/>
        <v>0</v>
      </c>
      <c r="AS152" s="10" t="s">
        <v>746</v>
      </c>
      <c r="AT152" s="128"/>
      <c r="AU152" s="100" t="s">
        <v>734</v>
      </c>
      <c r="AV152" s="128" t="s">
        <v>797</v>
      </c>
      <c r="AW152" s="100" t="s">
        <v>800</v>
      </c>
      <c r="AX152" s="433">
        <f t="shared" si="124"/>
        <v>0</v>
      </c>
      <c r="AY152" s="433">
        <f t="shared" si="125"/>
        <v>0</v>
      </c>
      <c r="AZ152" s="433">
        <f t="shared" si="126"/>
        <v>0</v>
      </c>
      <c r="BA152" s="433">
        <f t="shared" si="116"/>
        <v>0</v>
      </c>
      <c r="BB152" s="433">
        <f t="shared" si="117"/>
        <v>0</v>
      </c>
      <c r="BC152" s="433">
        <f t="shared" si="118"/>
        <v>0</v>
      </c>
      <c r="BD152" s="433">
        <f t="shared" si="127"/>
        <v>0</v>
      </c>
      <c r="BE152" s="433">
        <f t="shared" si="128"/>
        <v>0</v>
      </c>
      <c r="BF152" s="433">
        <f t="shared" si="129"/>
        <v>0</v>
      </c>
      <c r="BG152" s="433">
        <f t="shared" si="130"/>
        <v>0</v>
      </c>
      <c r="BH152" s="433">
        <f t="shared" si="131"/>
        <v>0</v>
      </c>
      <c r="BI152" s="433">
        <f t="shared" si="132"/>
        <v>0</v>
      </c>
      <c r="BJ152" s="433">
        <f t="shared" si="133"/>
        <v>0</v>
      </c>
      <c r="BK152" s="433">
        <f t="shared" si="134"/>
        <v>0</v>
      </c>
      <c r="BL152" s="433">
        <f t="shared" si="135"/>
        <v>0</v>
      </c>
      <c r="BM152" s="433">
        <f t="shared" si="136"/>
        <v>0</v>
      </c>
      <c r="BN152" s="433">
        <f t="shared" si="137"/>
        <v>0</v>
      </c>
      <c r="BO152" s="433">
        <f t="shared" si="138"/>
        <v>0</v>
      </c>
      <c r="BP152" s="433">
        <f t="shared" si="139"/>
        <v>0</v>
      </c>
      <c r="BQ152" s="433">
        <f t="shared" si="140"/>
        <v>0</v>
      </c>
    </row>
    <row r="153" spans="1:69" x14ac:dyDescent="0.2">
      <c r="A153" s="102">
        <v>41808</v>
      </c>
      <c r="B153" s="319">
        <v>3</v>
      </c>
      <c r="C153" s="118" t="s">
        <v>736</v>
      </c>
      <c r="D153" s="111">
        <v>0.39374999999999999</v>
      </c>
      <c r="E153" s="111">
        <v>0.49513888888888885</v>
      </c>
      <c r="F153" s="444">
        <v>39</v>
      </c>
      <c r="G153" s="445">
        <v>9</v>
      </c>
      <c r="H153" s="444"/>
      <c r="I153" s="390"/>
      <c r="J153" s="426">
        <f t="shared" si="113"/>
        <v>145.99999999999997</v>
      </c>
      <c r="K153" s="103"/>
      <c r="L153" s="103"/>
      <c r="M153" s="103"/>
      <c r="N153" s="427">
        <f t="shared" si="114"/>
        <v>0</v>
      </c>
      <c r="O153" s="103"/>
      <c r="P153" s="103"/>
      <c r="Q153" s="103"/>
      <c r="R153" s="428">
        <f t="shared" si="115"/>
        <v>0</v>
      </c>
      <c r="S153" s="103"/>
      <c r="T153" s="103"/>
      <c r="U153" s="103"/>
      <c r="V153" s="125"/>
      <c r="W153" s="428">
        <f t="shared" si="119"/>
        <v>0</v>
      </c>
      <c r="X153" s="103"/>
      <c r="Y153" s="103"/>
      <c r="Z153" s="125"/>
      <c r="AA153" s="428">
        <f t="shared" si="120"/>
        <v>0</v>
      </c>
      <c r="AB153" s="103"/>
      <c r="AC153" s="103"/>
      <c r="AD153" s="103"/>
      <c r="AE153" s="428">
        <f t="shared" si="121"/>
        <v>0</v>
      </c>
      <c r="AF153" s="103"/>
      <c r="AG153" s="103"/>
      <c r="AH153" s="103"/>
      <c r="AI153" s="103"/>
      <c r="AJ153" s="428">
        <f t="shared" si="122"/>
        <v>0</v>
      </c>
      <c r="AK153" s="446"/>
      <c r="AL153" s="446"/>
      <c r="AM153" s="446"/>
      <c r="AN153" s="446"/>
      <c r="AO153" s="446"/>
      <c r="AP153" s="446"/>
      <c r="AQ153" s="446"/>
      <c r="AR153" s="431">
        <f t="shared" si="123"/>
        <v>0</v>
      </c>
      <c r="AS153" s="10" t="s">
        <v>747</v>
      </c>
      <c r="AT153" s="128" t="s">
        <v>424</v>
      </c>
      <c r="AU153" s="100" t="s">
        <v>735</v>
      </c>
      <c r="AV153" s="128" t="s">
        <v>797</v>
      </c>
      <c r="AW153" s="100" t="s">
        <v>800</v>
      </c>
      <c r="AX153" s="433">
        <f t="shared" si="124"/>
        <v>0</v>
      </c>
      <c r="AY153" s="433">
        <f t="shared" si="125"/>
        <v>0</v>
      </c>
      <c r="AZ153" s="433">
        <f t="shared" si="126"/>
        <v>0</v>
      </c>
      <c r="BA153" s="433">
        <f t="shared" si="116"/>
        <v>0</v>
      </c>
      <c r="BB153" s="433">
        <f t="shared" si="117"/>
        <v>0</v>
      </c>
      <c r="BC153" s="433">
        <f t="shared" si="118"/>
        <v>0</v>
      </c>
      <c r="BD153" s="433">
        <f t="shared" si="127"/>
        <v>0</v>
      </c>
      <c r="BE153" s="433">
        <f t="shared" si="128"/>
        <v>0</v>
      </c>
      <c r="BF153" s="433">
        <f t="shared" si="129"/>
        <v>0</v>
      </c>
      <c r="BG153" s="433">
        <f t="shared" si="130"/>
        <v>0</v>
      </c>
      <c r="BH153" s="433">
        <f t="shared" si="131"/>
        <v>0</v>
      </c>
      <c r="BI153" s="433">
        <f t="shared" si="132"/>
        <v>0</v>
      </c>
      <c r="BJ153" s="433">
        <f t="shared" si="133"/>
        <v>0</v>
      </c>
      <c r="BK153" s="433">
        <f t="shared" si="134"/>
        <v>0</v>
      </c>
      <c r="BL153" s="433">
        <f t="shared" si="135"/>
        <v>0</v>
      </c>
      <c r="BM153" s="433">
        <f t="shared" si="136"/>
        <v>0</v>
      </c>
      <c r="BN153" s="433">
        <f t="shared" si="137"/>
        <v>0</v>
      </c>
      <c r="BO153" s="433">
        <f t="shared" si="138"/>
        <v>0</v>
      </c>
      <c r="BP153" s="433">
        <f t="shared" si="139"/>
        <v>0</v>
      </c>
      <c r="BQ153" s="433">
        <f t="shared" si="140"/>
        <v>0</v>
      </c>
    </row>
    <row r="154" spans="1:69" x14ac:dyDescent="0.2">
      <c r="A154" s="102">
        <v>41808</v>
      </c>
      <c r="B154" s="319">
        <v>3</v>
      </c>
      <c r="C154" s="118" t="s">
        <v>737</v>
      </c>
      <c r="D154" s="111">
        <v>0.49513888888888885</v>
      </c>
      <c r="E154" s="111">
        <v>0.63055555555555554</v>
      </c>
      <c r="F154" s="444">
        <v>42</v>
      </c>
      <c r="G154" s="445">
        <v>8</v>
      </c>
      <c r="H154" s="444"/>
      <c r="I154" s="390"/>
      <c r="J154" s="426">
        <f t="shared" si="113"/>
        <v>195.00000000000003</v>
      </c>
      <c r="K154" s="103"/>
      <c r="L154" s="103"/>
      <c r="M154" s="103"/>
      <c r="N154" s="427">
        <f t="shared" si="114"/>
        <v>0</v>
      </c>
      <c r="O154" s="103"/>
      <c r="P154" s="103"/>
      <c r="Q154" s="103"/>
      <c r="R154" s="428">
        <f t="shared" si="115"/>
        <v>0</v>
      </c>
      <c r="S154" s="103"/>
      <c r="T154" s="103"/>
      <c r="U154" s="103"/>
      <c r="V154" s="125"/>
      <c r="W154" s="428">
        <f t="shared" si="119"/>
        <v>0</v>
      </c>
      <c r="X154" s="103"/>
      <c r="Y154" s="103"/>
      <c r="Z154" s="125"/>
      <c r="AA154" s="428">
        <f t="shared" si="120"/>
        <v>0</v>
      </c>
      <c r="AB154" s="103"/>
      <c r="AC154" s="103"/>
      <c r="AD154" s="103"/>
      <c r="AE154" s="428">
        <f t="shared" si="121"/>
        <v>0</v>
      </c>
      <c r="AF154" s="103"/>
      <c r="AG154" s="103"/>
      <c r="AH154" s="103"/>
      <c r="AI154" s="103"/>
      <c r="AJ154" s="428">
        <f t="shared" si="122"/>
        <v>0</v>
      </c>
      <c r="AK154" s="446"/>
      <c r="AL154" s="446"/>
      <c r="AM154" s="446"/>
      <c r="AN154" s="446"/>
      <c r="AO154" s="446"/>
      <c r="AP154" s="446"/>
      <c r="AQ154" s="446"/>
      <c r="AR154" s="431">
        <f t="shared" si="123"/>
        <v>0</v>
      </c>
      <c r="AS154" s="10" t="s">
        <v>748</v>
      </c>
      <c r="AT154" s="128" t="s">
        <v>424</v>
      </c>
      <c r="AU154" s="100" t="s">
        <v>740</v>
      </c>
      <c r="AV154" s="128" t="s">
        <v>797</v>
      </c>
      <c r="AW154" s="100" t="s">
        <v>800</v>
      </c>
      <c r="AX154" s="433">
        <f t="shared" si="124"/>
        <v>0</v>
      </c>
      <c r="AY154" s="433">
        <f t="shared" si="125"/>
        <v>0</v>
      </c>
      <c r="AZ154" s="433">
        <f t="shared" si="126"/>
        <v>0</v>
      </c>
      <c r="BA154" s="433">
        <f t="shared" si="116"/>
        <v>0</v>
      </c>
      <c r="BB154" s="433">
        <f t="shared" si="117"/>
        <v>0</v>
      </c>
      <c r="BC154" s="433">
        <f t="shared" si="118"/>
        <v>0</v>
      </c>
      <c r="BD154" s="433">
        <f t="shared" si="127"/>
        <v>0</v>
      </c>
      <c r="BE154" s="433">
        <f t="shared" si="128"/>
        <v>0</v>
      </c>
      <c r="BF154" s="433">
        <f t="shared" si="129"/>
        <v>0</v>
      </c>
      <c r="BG154" s="433">
        <f t="shared" si="130"/>
        <v>0</v>
      </c>
      <c r="BH154" s="433">
        <f t="shared" si="131"/>
        <v>0</v>
      </c>
      <c r="BI154" s="433">
        <f t="shared" si="132"/>
        <v>0</v>
      </c>
      <c r="BJ154" s="433">
        <f t="shared" si="133"/>
        <v>0</v>
      </c>
      <c r="BK154" s="433">
        <f t="shared" si="134"/>
        <v>0</v>
      </c>
      <c r="BL154" s="433">
        <f t="shared" si="135"/>
        <v>0</v>
      </c>
      <c r="BM154" s="433">
        <f t="shared" si="136"/>
        <v>0</v>
      </c>
      <c r="BN154" s="433">
        <f t="shared" si="137"/>
        <v>0</v>
      </c>
      <c r="BO154" s="433">
        <f t="shared" si="138"/>
        <v>0</v>
      </c>
      <c r="BP154" s="433">
        <f t="shared" si="139"/>
        <v>0</v>
      </c>
      <c r="BQ154" s="433">
        <f t="shared" si="140"/>
        <v>0</v>
      </c>
    </row>
    <row r="155" spans="1:69" s="291" customFormat="1" x14ac:dyDescent="0.2">
      <c r="A155" s="317">
        <v>41808</v>
      </c>
      <c r="B155" s="318">
        <v>3</v>
      </c>
      <c r="C155" s="320" t="s">
        <v>749</v>
      </c>
      <c r="D155" s="321">
        <v>0.79722222222222217</v>
      </c>
      <c r="E155" s="321">
        <v>0.97291666666666676</v>
      </c>
      <c r="F155" s="434">
        <v>45</v>
      </c>
      <c r="G155" s="435">
        <v>8</v>
      </c>
      <c r="H155" s="434"/>
      <c r="I155" s="436"/>
      <c r="J155" s="437">
        <f t="shared" si="113"/>
        <v>253.00000000000023</v>
      </c>
      <c r="K155" s="285">
        <v>2</v>
      </c>
      <c r="L155" s="285"/>
      <c r="M155" s="285"/>
      <c r="N155" s="438">
        <f t="shared" si="114"/>
        <v>2</v>
      </c>
      <c r="O155" s="285"/>
      <c r="P155" s="285">
        <v>2</v>
      </c>
      <c r="Q155" s="285"/>
      <c r="R155" s="439">
        <f t="shared" si="115"/>
        <v>2</v>
      </c>
      <c r="S155" s="285"/>
      <c r="T155" s="285"/>
      <c r="U155" s="285"/>
      <c r="V155" s="440"/>
      <c r="W155" s="439">
        <f t="shared" si="119"/>
        <v>0</v>
      </c>
      <c r="X155" s="285"/>
      <c r="Y155" s="285"/>
      <c r="Z155" s="440"/>
      <c r="AA155" s="439">
        <f t="shared" si="120"/>
        <v>0</v>
      </c>
      <c r="AB155" s="285"/>
      <c r="AC155" s="285"/>
      <c r="AD155" s="285"/>
      <c r="AE155" s="439">
        <f t="shared" si="121"/>
        <v>0</v>
      </c>
      <c r="AF155" s="285"/>
      <c r="AG155" s="285"/>
      <c r="AH155" s="285"/>
      <c r="AI155" s="285"/>
      <c r="AJ155" s="439">
        <f t="shared" si="122"/>
        <v>0</v>
      </c>
      <c r="AK155" s="340"/>
      <c r="AL155" s="340"/>
      <c r="AM155" s="340">
        <v>1</v>
      </c>
      <c r="AN155" s="340"/>
      <c r="AO155" s="340"/>
      <c r="AP155" s="340"/>
      <c r="AQ155" s="340"/>
      <c r="AR155" s="441">
        <f t="shared" si="123"/>
        <v>1</v>
      </c>
      <c r="AT155" s="313"/>
      <c r="AU155" s="289" t="s">
        <v>795</v>
      </c>
      <c r="AV155" s="313" t="s">
        <v>797</v>
      </c>
      <c r="AW155" s="289" t="s">
        <v>800</v>
      </c>
      <c r="AX155" s="443">
        <f t="shared" si="124"/>
        <v>2</v>
      </c>
      <c r="AY155" s="443">
        <f t="shared" si="125"/>
        <v>0</v>
      </c>
      <c r="AZ155" s="443">
        <f t="shared" si="126"/>
        <v>0</v>
      </c>
      <c r="BA155" s="443">
        <f t="shared" si="116"/>
        <v>0</v>
      </c>
      <c r="BB155" s="443">
        <f t="shared" si="117"/>
        <v>2</v>
      </c>
      <c r="BC155" s="443">
        <f t="shared" si="118"/>
        <v>0</v>
      </c>
      <c r="BD155" s="443">
        <f t="shared" si="127"/>
        <v>0</v>
      </c>
      <c r="BE155" s="443">
        <f t="shared" si="128"/>
        <v>0</v>
      </c>
      <c r="BF155" s="443">
        <f t="shared" si="129"/>
        <v>0</v>
      </c>
      <c r="BG155" s="443">
        <f t="shared" si="130"/>
        <v>0</v>
      </c>
      <c r="BH155" s="443">
        <f t="shared" si="131"/>
        <v>0</v>
      </c>
      <c r="BI155" s="443">
        <f t="shared" si="132"/>
        <v>0</v>
      </c>
      <c r="BJ155" s="443">
        <f t="shared" si="133"/>
        <v>0</v>
      </c>
      <c r="BK155" s="443">
        <f t="shared" si="134"/>
        <v>0</v>
      </c>
      <c r="BL155" s="443">
        <f t="shared" si="135"/>
        <v>0</v>
      </c>
      <c r="BM155" s="443">
        <f t="shared" si="136"/>
        <v>0</v>
      </c>
      <c r="BN155" s="443">
        <f t="shared" si="137"/>
        <v>0</v>
      </c>
      <c r="BO155" s="443">
        <f t="shared" si="138"/>
        <v>0</v>
      </c>
      <c r="BP155" s="443">
        <f t="shared" si="139"/>
        <v>0</v>
      </c>
      <c r="BQ155" s="443">
        <f t="shared" si="140"/>
        <v>0</v>
      </c>
    </row>
    <row r="156" spans="1:69" x14ac:dyDescent="0.2">
      <c r="A156" s="102">
        <v>41809</v>
      </c>
      <c r="B156" s="319">
        <v>1</v>
      </c>
      <c r="C156" s="118" t="s">
        <v>745</v>
      </c>
      <c r="D156" s="111">
        <v>0.23958333333333334</v>
      </c>
      <c r="E156" s="111">
        <v>0.33333333333333331</v>
      </c>
      <c r="F156" s="444">
        <v>47</v>
      </c>
      <c r="G156" s="445">
        <v>7</v>
      </c>
      <c r="H156" s="444"/>
      <c r="I156" s="390"/>
      <c r="J156" s="426">
        <f t="shared" si="113"/>
        <v>134.99999999999994</v>
      </c>
      <c r="K156" s="103"/>
      <c r="L156" s="103"/>
      <c r="M156" s="103"/>
      <c r="N156" s="427">
        <f t="shared" si="114"/>
        <v>0</v>
      </c>
      <c r="O156" s="103"/>
      <c r="P156" s="103"/>
      <c r="Q156" s="103"/>
      <c r="R156" s="428">
        <f t="shared" si="115"/>
        <v>0</v>
      </c>
      <c r="S156" s="103"/>
      <c r="T156" s="103"/>
      <c r="U156" s="103"/>
      <c r="V156" s="125"/>
      <c r="W156" s="428">
        <f t="shared" si="119"/>
        <v>0</v>
      </c>
      <c r="X156" s="103"/>
      <c r="Y156" s="103"/>
      <c r="Z156" s="125"/>
      <c r="AA156" s="428">
        <f t="shared" si="120"/>
        <v>0</v>
      </c>
      <c r="AB156" s="103"/>
      <c r="AC156" s="103"/>
      <c r="AD156" s="103"/>
      <c r="AE156" s="428">
        <f t="shared" si="121"/>
        <v>0</v>
      </c>
      <c r="AF156" s="103"/>
      <c r="AG156" s="103"/>
      <c r="AH156" s="103"/>
      <c r="AI156" s="103"/>
      <c r="AJ156" s="428">
        <f t="shared" si="122"/>
        <v>0</v>
      </c>
      <c r="AK156" s="446"/>
      <c r="AL156" s="446"/>
      <c r="AM156" s="446"/>
      <c r="AN156" s="446"/>
      <c r="AO156" s="446"/>
      <c r="AP156" s="446"/>
      <c r="AQ156" s="446"/>
      <c r="AR156" s="431">
        <f t="shared" si="123"/>
        <v>0</v>
      </c>
      <c r="AS156" s="10" t="s">
        <v>809</v>
      </c>
      <c r="AT156" s="128"/>
      <c r="AU156" s="100" t="s">
        <v>810</v>
      </c>
      <c r="AV156" s="128" t="s">
        <v>913</v>
      </c>
      <c r="AW156" s="100" t="s">
        <v>918</v>
      </c>
      <c r="AX156" s="433">
        <f t="shared" si="124"/>
        <v>0</v>
      </c>
      <c r="AY156" s="433">
        <f t="shared" si="125"/>
        <v>0</v>
      </c>
      <c r="AZ156" s="433">
        <f t="shared" si="126"/>
        <v>0</v>
      </c>
      <c r="BA156" s="433">
        <f t="shared" si="116"/>
        <v>0</v>
      </c>
      <c r="BB156" s="433">
        <f t="shared" si="117"/>
        <v>0</v>
      </c>
      <c r="BC156" s="433">
        <f t="shared" si="118"/>
        <v>0</v>
      </c>
      <c r="BD156" s="433">
        <f t="shared" si="127"/>
        <v>0</v>
      </c>
      <c r="BE156" s="433">
        <f t="shared" si="128"/>
        <v>0</v>
      </c>
      <c r="BF156" s="433">
        <f t="shared" si="129"/>
        <v>0</v>
      </c>
      <c r="BG156" s="433">
        <f t="shared" si="130"/>
        <v>0</v>
      </c>
      <c r="BH156" s="433">
        <f t="shared" si="131"/>
        <v>0</v>
      </c>
      <c r="BI156" s="433">
        <f t="shared" si="132"/>
        <v>0</v>
      </c>
      <c r="BJ156" s="433">
        <f t="shared" si="133"/>
        <v>0</v>
      </c>
      <c r="BK156" s="433">
        <f t="shared" si="134"/>
        <v>0</v>
      </c>
      <c r="BL156" s="433">
        <f t="shared" si="135"/>
        <v>0</v>
      </c>
      <c r="BM156" s="433">
        <f t="shared" si="136"/>
        <v>0</v>
      </c>
      <c r="BN156" s="433">
        <f t="shared" si="137"/>
        <v>0</v>
      </c>
      <c r="BO156" s="433">
        <f t="shared" si="138"/>
        <v>0</v>
      </c>
      <c r="BP156" s="433">
        <f t="shared" si="139"/>
        <v>0</v>
      </c>
      <c r="BQ156" s="433">
        <f t="shared" si="140"/>
        <v>0</v>
      </c>
    </row>
    <row r="157" spans="1:69" x14ac:dyDescent="0.2">
      <c r="A157" s="102">
        <v>41809</v>
      </c>
      <c r="B157" s="319">
        <v>1</v>
      </c>
      <c r="C157" s="118" t="s">
        <v>745</v>
      </c>
      <c r="D157" s="111">
        <v>0.34027777777777773</v>
      </c>
      <c r="E157" s="111">
        <v>0.39861111111111108</v>
      </c>
      <c r="F157" s="444">
        <v>45</v>
      </c>
      <c r="G157" s="445">
        <v>8</v>
      </c>
      <c r="H157" s="444"/>
      <c r="I157" s="390"/>
      <c r="J157" s="426">
        <f t="shared" si="113"/>
        <v>84.000000000000028</v>
      </c>
      <c r="K157" s="103"/>
      <c r="L157" s="103"/>
      <c r="M157" s="103"/>
      <c r="N157" s="427">
        <f t="shared" si="114"/>
        <v>0</v>
      </c>
      <c r="O157" s="103"/>
      <c r="P157" s="103"/>
      <c r="Q157" s="103"/>
      <c r="R157" s="428">
        <f t="shared" si="115"/>
        <v>0</v>
      </c>
      <c r="S157" s="103"/>
      <c r="T157" s="103"/>
      <c r="U157" s="103"/>
      <c r="V157" s="125"/>
      <c r="W157" s="428">
        <f t="shared" si="119"/>
        <v>0</v>
      </c>
      <c r="X157" s="103"/>
      <c r="Y157" s="103"/>
      <c r="Z157" s="125"/>
      <c r="AA157" s="428">
        <f t="shared" si="120"/>
        <v>0</v>
      </c>
      <c r="AB157" s="103"/>
      <c r="AC157" s="103"/>
      <c r="AD157" s="103"/>
      <c r="AE157" s="428">
        <f t="shared" si="121"/>
        <v>0</v>
      </c>
      <c r="AF157" s="103"/>
      <c r="AG157" s="103"/>
      <c r="AH157" s="103"/>
      <c r="AI157" s="103"/>
      <c r="AJ157" s="428">
        <f t="shared" si="122"/>
        <v>0</v>
      </c>
      <c r="AK157" s="446"/>
      <c r="AL157" s="446"/>
      <c r="AM157" s="446"/>
      <c r="AN157" s="446"/>
      <c r="AO157" s="446"/>
      <c r="AP157" s="446"/>
      <c r="AQ157" s="446"/>
      <c r="AR157" s="431">
        <f t="shared" si="123"/>
        <v>0</v>
      </c>
      <c r="AS157" s="10" t="s">
        <v>811</v>
      </c>
      <c r="AT157" s="128"/>
      <c r="AU157" s="100" t="s">
        <v>810</v>
      </c>
      <c r="AV157" s="128" t="s">
        <v>913</v>
      </c>
      <c r="AW157" s="100" t="s">
        <v>918</v>
      </c>
      <c r="AX157" s="433">
        <f t="shared" si="124"/>
        <v>0</v>
      </c>
      <c r="AY157" s="433">
        <f t="shared" si="125"/>
        <v>0</v>
      </c>
      <c r="AZ157" s="433">
        <f t="shared" si="126"/>
        <v>0</v>
      </c>
      <c r="BA157" s="433">
        <f t="shared" si="116"/>
        <v>0</v>
      </c>
      <c r="BB157" s="433">
        <f t="shared" si="117"/>
        <v>0</v>
      </c>
      <c r="BC157" s="433">
        <f t="shared" si="118"/>
        <v>0</v>
      </c>
      <c r="BD157" s="433">
        <f t="shared" si="127"/>
        <v>0</v>
      </c>
      <c r="BE157" s="433">
        <f t="shared" si="128"/>
        <v>0</v>
      </c>
      <c r="BF157" s="433">
        <f t="shared" si="129"/>
        <v>0</v>
      </c>
      <c r="BG157" s="433">
        <f t="shared" si="130"/>
        <v>0</v>
      </c>
      <c r="BH157" s="433">
        <f t="shared" si="131"/>
        <v>0</v>
      </c>
      <c r="BI157" s="433">
        <f t="shared" si="132"/>
        <v>0</v>
      </c>
      <c r="BJ157" s="433">
        <f t="shared" si="133"/>
        <v>0</v>
      </c>
      <c r="BK157" s="433">
        <f t="shared" si="134"/>
        <v>0</v>
      </c>
      <c r="BL157" s="433">
        <f t="shared" si="135"/>
        <v>0</v>
      </c>
      <c r="BM157" s="433">
        <f t="shared" si="136"/>
        <v>0</v>
      </c>
      <c r="BN157" s="433">
        <f t="shared" si="137"/>
        <v>0</v>
      </c>
      <c r="BO157" s="433">
        <f t="shared" si="138"/>
        <v>0</v>
      </c>
      <c r="BP157" s="433">
        <f t="shared" si="139"/>
        <v>0</v>
      </c>
      <c r="BQ157" s="433">
        <f t="shared" si="140"/>
        <v>0</v>
      </c>
    </row>
    <row r="158" spans="1:69" x14ac:dyDescent="0.2">
      <c r="A158" s="102">
        <v>41809</v>
      </c>
      <c r="B158" s="319">
        <v>1</v>
      </c>
      <c r="C158" s="118" t="s">
        <v>736</v>
      </c>
      <c r="D158" s="111">
        <v>0.39861111111111108</v>
      </c>
      <c r="E158" s="111">
        <v>0.52013888888888882</v>
      </c>
      <c r="F158" s="444">
        <v>45</v>
      </c>
      <c r="G158" s="445">
        <v>7</v>
      </c>
      <c r="H158" s="444"/>
      <c r="I158" s="390"/>
      <c r="J158" s="426">
        <f t="shared" si="113"/>
        <v>174.99999999999994</v>
      </c>
      <c r="K158" s="103">
        <v>1</v>
      </c>
      <c r="L158" s="103"/>
      <c r="M158" s="103"/>
      <c r="N158" s="427">
        <f t="shared" si="114"/>
        <v>1</v>
      </c>
      <c r="O158" s="103"/>
      <c r="P158" s="103"/>
      <c r="Q158" s="103"/>
      <c r="R158" s="428">
        <f t="shared" si="115"/>
        <v>0</v>
      </c>
      <c r="S158" s="103"/>
      <c r="T158" s="103"/>
      <c r="U158" s="103"/>
      <c r="V158" s="125"/>
      <c r="W158" s="428">
        <f t="shared" si="119"/>
        <v>0</v>
      </c>
      <c r="X158" s="103"/>
      <c r="Y158" s="103"/>
      <c r="Z158" s="125"/>
      <c r="AA158" s="428">
        <f t="shared" si="120"/>
        <v>0</v>
      </c>
      <c r="AB158" s="103"/>
      <c r="AC158" s="103"/>
      <c r="AD158" s="103"/>
      <c r="AE158" s="428">
        <f t="shared" si="121"/>
        <v>0</v>
      </c>
      <c r="AF158" s="103"/>
      <c r="AG158" s="103"/>
      <c r="AH158" s="103"/>
      <c r="AI158" s="103"/>
      <c r="AJ158" s="428">
        <f t="shared" si="122"/>
        <v>0</v>
      </c>
      <c r="AK158" s="446"/>
      <c r="AL158" s="446"/>
      <c r="AM158" s="446"/>
      <c r="AN158" s="446"/>
      <c r="AO158" s="446"/>
      <c r="AP158" s="446"/>
      <c r="AQ158" s="446"/>
      <c r="AR158" s="431">
        <f t="shared" si="123"/>
        <v>0</v>
      </c>
      <c r="AT158" s="128"/>
      <c r="AU158" s="100" t="s">
        <v>812</v>
      </c>
      <c r="AV158" s="128" t="s">
        <v>913</v>
      </c>
      <c r="AW158" s="100" t="s">
        <v>918</v>
      </c>
      <c r="AX158" s="433">
        <f t="shared" si="124"/>
        <v>1</v>
      </c>
      <c r="AY158" s="433">
        <f t="shared" si="125"/>
        <v>0</v>
      </c>
      <c r="AZ158" s="433">
        <f t="shared" si="126"/>
        <v>0</v>
      </c>
      <c r="BA158" s="433">
        <f t="shared" si="116"/>
        <v>0</v>
      </c>
      <c r="BB158" s="433">
        <f t="shared" si="117"/>
        <v>0</v>
      </c>
      <c r="BC158" s="433">
        <f t="shared" si="118"/>
        <v>0</v>
      </c>
      <c r="BD158" s="433">
        <f t="shared" si="127"/>
        <v>0</v>
      </c>
      <c r="BE158" s="433">
        <f t="shared" si="128"/>
        <v>0</v>
      </c>
      <c r="BF158" s="433">
        <f t="shared" si="129"/>
        <v>0</v>
      </c>
      <c r="BG158" s="433">
        <f t="shared" si="130"/>
        <v>0</v>
      </c>
      <c r="BH158" s="433">
        <f t="shared" si="131"/>
        <v>0</v>
      </c>
      <c r="BI158" s="433">
        <f t="shared" si="132"/>
        <v>0</v>
      </c>
      <c r="BJ158" s="433">
        <f t="shared" si="133"/>
        <v>0</v>
      </c>
      <c r="BK158" s="433">
        <f t="shared" si="134"/>
        <v>0</v>
      </c>
      <c r="BL158" s="433">
        <f t="shared" si="135"/>
        <v>0</v>
      </c>
      <c r="BM158" s="433">
        <f t="shared" si="136"/>
        <v>0</v>
      </c>
      <c r="BN158" s="433">
        <f t="shared" si="137"/>
        <v>0</v>
      </c>
      <c r="BO158" s="433">
        <f t="shared" si="138"/>
        <v>0</v>
      </c>
      <c r="BP158" s="433">
        <f t="shared" si="139"/>
        <v>0</v>
      </c>
      <c r="BQ158" s="433">
        <f t="shared" si="140"/>
        <v>0</v>
      </c>
    </row>
    <row r="159" spans="1:69" x14ac:dyDescent="0.2">
      <c r="A159" s="102">
        <v>41809</v>
      </c>
      <c r="B159" s="319">
        <v>1</v>
      </c>
      <c r="C159" s="118" t="s">
        <v>814</v>
      </c>
      <c r="D159" s="111">
        <v>0.52013888888888882</v>
      </c>
      <c r="E159" s="111">
        <v>0.56458333333333333</v>
      </c>
      <c r="F159" s="444">
        <v>43</v>
      </c>
      <c r="G159" s="445">
        <v>8</v>
      </c>
      <c r="H159" s="444"/>
      <c r="I159" s="390"/>
      <c r="J159" s="426">
        <f t="shared" si="113"/>
        <v>64.000000000000085</v>
      </c>
      <c r="K159" s="103"/>
      <c r="L159" s="103"/>
      <c r="M159" s="103"/>
      <c r="N159" s="427">
        <f t="shared" si="114"/>
        <v>0</v>
      </c>
      <c r="O159" s="103"/>
      <c r="P159" s="103"/>
      <c r="Q159" s="103"/>
      <c r="R159" s="428">
        <f t="shared" si="115"/>
        <v>0</v>
      </c>
      <c r="S159" s="103"/>
      <c r="T159" s="103"/>
      <c r="U159" s="103"/>
      <c r="V159" s="125"/>
      <c r="W159" s="428">
        <f t="shared" si="119"/>
        <v>0</v>
      </c>
      <c r="X159" s="103"/>
      <c r="Y159" s="103"/>
      <c r="Z159" s="125"/>
      <c r="AA159" s="428">
        <f t="shared" si="120"/>
        <v>0</v>
      </c>
      <c r="AB159" s="103"/>
      <c r="AC159" s="103"/>
      <c r="AD159" s="103"/>
      <c r="AE159" s="428">
        <f t="shared" si="121"/>
        <v>0</v>
      </c>
      <c r="AF159" s="103"/>
      <c r="AG159" s="103"/>
      <c r="AH159" s="103"/>
      <c r="AI159" s="103"/>
      <c r="AJ159" s="428">
        <f t="shared" si="122"/>
        <v>0</v>
      </c>
      <c r="AK159" s="446"/>
      <c r="AL159" s="446"/>
      <c r="AM159" s="446"/>
      <c r="AN159" s="446"/>
      <c r="AO159" s="446"/>
      <c r="AP159" s="446"/>
      <c r="AQ159" s="446"/>
      <c r="AR159" s="431">
        <f t="shared" si="123"/>
        <v>0</v>
      </c>
      <c r="AS159" s="10" t="s">
        <v>915</v>
      </c>
      <c r="AT159" s="128"/>
      <c r="AU159" s="100" t="s">
        <v>813</v>
      </c>
      <c r="AV159" s="128" t="s">
        <v>913</v>
      </c>
      <c r="AW159" s="100" t="s">
        <v>918</v>
      </c>
      <c r="AX159" s="433">
        <f t="shared" si="124"/>
        <v>0</v>
      </c>
      <c r="AY159" s="433">
        <f t="shared" si="125"/>
        <v>0</v>
      </c>
      <c r="AZ159" s="433">
        <f t="shared" si="126"/>
        <v>0</v>
      </c>
      <c r="BA159" s="433">
        <f t="shared" si="116"/>
        <v>0</v>
      </c>
      <c r="BB159" s="433">
        <f t="shared" si="117"/>
        <v>0</v>
      </c>
      <c r="BC159" s="433">
        <f t="shared" si="118"/>
        <v>0</v>
      </c>
      <c r="BD159" s="433">
        <f t="shared" si="127"/>
        <v>0</v>
      </c>
      <c r="BE159" s="433">
        <f t="shared" si="128"/>
        <v>0</v>
      </c>
      <c r="BF159" s="433">
        <f t="shared" si="129"/>
        <v>0</v>
      </c>
      <c r="BG159" s="433">
        <f t="shared" si="130"/>
        <v>0</v>
      </c>
      <c r="BH159" s="433">
        <f t="shared" si="131"/>
        <v>0</v>
      </c>
      <c r="BI159" s="433">
        <f t="shared" si="132"/>
        <v>0</v>
      </c>
      <c r="BJ159" s="433">
        <f t="shared" si="133"/>
        <v>0</v>
      </c>
      <c r="BK159" s="433">
        <f t="shared" si="134"/>
        <v>0</v>
      </c>
      <c r="BL159" s="433">
        <f t="shared" si="135"/>
        <v>0</v>
      </c>
      <c r="BM159" s="433">
        <f t="shared" si="136"/>
        <v>0</v>
      </c>
      <c r="BN159" s="433">
        <f t="shared" si="137"/>
        <v>0</v>
      </c>
      <c r="BO159" s="433">
        <f t="shared" si="138"/>
        <v>0</v>
      </c>
      <c r="BP159" s="433">
        <f t="shared" si="139"/>
        <v>0</v>
      </c>
      <c r="BQ159" s="433">
        <f t="shared" si="140"/>
        <v>0</v>
      </c>
    </row>
    <row r="160" spans="1:69" s="11" customFormat="1" x14ac:dyDescent="0.2">
      <c r="A160" s="102">
        <v>41809</v>
      </c>
      <c r="B160" s="319">
        <v>1</v>
      </c>
      <c r="C160" s="118" t="s">
        <v>815</v>
      </c>
      <c r="D160" s="111">
        <v>0.56458333333333333</v>
      </c>
      <c r="E160" s="111">
        <v>0.70694444444444438</v>
      </c>
      <c r="F160" s="444">
        <v>41</v>
      </c>
      <c r="G160" s="445">
        <v>8</v>
      </c>
      <c r="H160" s="444"/>
      <c r="I160" s="390"/>
      <c r="J160" s="475">
        <f t="shared" si="113"/>
        <v>204.99999999999991</v>
      </c>
      <c r="K160" s="103"/>
      <c r="L160" s="103"/>
      <c r="M160" s="103"/>
      <c r="N160" s="427">
        <f t="shared" si="114"/>
        <v>0</v>
      </c>
      <c r="O160" s="103"/>
      <c r="P160" s="103"/>
      <c r="Q160" s="103"/>
      <c r="R160" s="428">
        <f t="shared" si="115"/>
        <v>0</v>
      </c>
      <c r="S160" s="103"/>
      <c r="T160" s="103"/>
      <c r="U160" s="103"/>
      <c r="V160" s="125"/>
      <c r="W160" s="428">
        <f t="shared" si="119"/>
        <v>0</v>
      </c>
      <c r="X160" s="103"/>
      <c r="Y160" s="103"/>
      <c r="Z160" s="125"/>
      <c r="AA160" s="428">
        <f t="shared" si="120"/>
        <v>0</v>
      </c>
      <c r="AB160" s="103"/>
      <c r="AC160" s="103"/>
      <c r="AD160" s="103"/>
      <c r="AE160" s="428">
        <f t="shared" si="121"/>
        <v>0</v>
      </c>
      <c r="AF160" s="103"/>
      <c r="AG160" s="103"/>
      <c r="AH160" s="103"/>
      <c r="AI160" s="103"/>
      <c r="AJ160" s="428">
        <f t="shared" si="122"/>
        <v>0</v>
      </c>
      <c r="AK160" s="446"/>
      <c r="AL160" s="446"/>
      <c r="AM160" s="446"/>
      <c r="AN160" s="446"/>
      <c r="AO160" s="446"/>
      <c r="AP160" s="446"/>
      <c r="AQ160" s="446"/>
      <c r="AR160" s="431">
        <f t="shared" si="123"/>
        <v>0</v>
      </c>
      <c r="AS160" s="11" t="s">
        <v>914</v>
      </c>
      <c r="AT160" s="128" t="s">
        <v>424</v>
      </c>
      <c r="AU160" s="100" t="s">
        <v>816</v>
      </c>
      <c r="AV160" s="128" t="s">
        <v>913</v>
      </c>
      <c r="AW160" s="100" t="s">
        <v>918</v>
      </c>
      <c r="AX160" s="476">
        <f t="shared" si="124"/>
        <v>0</v>
      </c>
      <c r="AY160" s="476">
        <f t="shared" si="125"/>
        <v>0</v>
      </c>
      <c r="AZ160" s="476">
        <f t="shared" si="126"/>
        <v>0</v>
      </c>
      <c r="BA160" s="433">
        <f t="shared" si="116"/>
        <v>0</v>
      </c>
      <c r="BB160" s="433">
        <f t="shared" si="117"/>
        <v>0</v>
      </c>
      <c r="BC160" s="433">
        <f t="shared" si="118"/>
        <v>0</v>
      </c>
      <c r="BD160" s="433">
        <f t="shared" si="127"/>
        <v>0</v>
      </c>
      <c r="BE160" s="433">
        <f t="shared" si="128"/>
        <v>0</v>
      </c>
      <c r="BF160" s="433">
        <f t="shared" si="129"/>
        <v>0</v>
      </c>
      <c r="BG160" s="433">
        <f t="shared" si="130"/>
        <v>0</v>
      </c>
      <c r="BH160" s="433">
        <f t="shared" si="131"/>
        <v>0</v>
      </c>
      <c r="BI160" s="433">
        <f t="shared" si="132"/>
        <v>0</v>
      </c>
      <c r="BJ160" s="433">
        <f t="shared" si="133"/>
        <v>0</v>
      </c>
      <c r="BK160" s="433">
        <f t="shared" si="134"/>
        <v>0</v>
      </c>
      <c r="BL160" s="433">
        <f t="shared" si="135"/>
        <v>0</v>
      </c>
      <c r="BM160" s="433">
        <f t="shared" si="136"/>
        <v>0</v>
      </c>
      <c r="BN160" s="433">
        <f t="shared" si="137"/>
        <v>0</v>
      </c>
      <c r="BO160" s="433">
        <f t="shared" si="138"/>
        <v>0</v>
      </c>
      <c r="BP160" s="433">
        <f t="shared" si="139"/>
        <v>0</v>
      </c>
      <c r="BQ160" s="433">
        <f t="shared" si="140"/>
        <v>0</v>
      </c>
    </row>
    <row r="161" spans="1:69" s="11" customFormat="1" x14ac:dyDescent="0.2">
      <c r="A161" s="102">
        <v>41809</v>
      </c>
      <c r="B161" s="319">
        <v>1</v>
      </c>
      <c r="C161" s="118" t="s">
        <v>736</v>
      </c>
      <c r="D161" s="111">
        <v>0.70694444444444438</v>
      </c>
      <c r="E161" s="111">
        <v>0.8354166666666667</v>
      </c>
      <c r="F161" s="444">
        <v>40</v>
      </c>
      <c r="G161" s="445">
        <v>8</v>
      </c>
      <c r="H161" s="444"/>
      <c r="I161" s="390"/>
      <c r="J161" s="475">
        <f t="shared" si="113"/>
        <v>185.00000000000014</v>
      </c>
      <c r="K161" s="103"/>
      <c r="L161" s="103"/>
      <c r="M161" s="103"/>
      <c r="N161" s="427">
        <f t="shared" si="114"/>
        <v>0</v>
      </c>
      <c r="O161" s="103"/>
      <c r="P161" s="103"/>
      <c r="Q161" s="103"/>
      <c r="R161" s="428">
        <f t="shared" si="115"/>
        <v>0</v>
      </c>
      <c r="S161" s="103"/>
      <c r="T161" s="103"/>
      <c r="U161" s="103"/>
      <c r="V161" s="125"/>
      <c r="W161" s="428">
        <f t="shared" si="119"/>
        <v>0</v>
      </c>
      <c r="X161" s="103"/>
      <c r="Y161" s="103"/>
      <c r="Z161" s="125"/>
      <c r="AA161" s="428">
        <f t="shared" si="120"/>
        <v>0</v>
      </c>
      <c r="AB161" s="103"/>
      <c r="AC161" s="103"/>
      <c r="AD161" s="103"/>
      <c r="AE161" s="428">
        <f t="shared" si="121"/>
        <v>0</v>
      </c>
      <c r="AF161" s="103"/>
      <c r="AG161" s="103"/>
      <c r="AH161" s="103"/>
      <c r="AI161" s="103"/>
      <c r="AJ161" s="428">
        <f t="shared" si="122"/>
        <v>0</v>
      </c>
      <c r="AK161" s="446"/>
      <c r="AL161" s="446"/>
      <c r="AM161" s="446"/>
      <c r="AN161" s="446"/>
      <c r="AO161" s="446"/>
      <c r="AP161" s="446"/>
      <c r="AQ161" s="446"/>
      <c r="AR161" s="431">
        <f t="shared" si="123"/>
        <v>0</v>
      </c>
      <c r="AT161" s="128" t="s">
        <v>424</v>
      </c>
      <c r="AU161" s="100" t="s">
        <v>812</v>
      </c>
      <c r="AV161" s="128" t="s">
        <v>913</v>
      </c>
      <c r="AW161" s="100" t="s">
        <v>918</v>
      </c>
      <c r="AX161" s="476">
        <f t="shared" si="124"/>
        <v>0</v>
      </c>
      <c r="AY161" s="476">
        <f t="shared" si="125"/>
        <v>0</v>
      </c>
      <c r="AZ161" s="476">
        <f t="shared" si="126"/>
        <v>0</v>
      </c>
      <c r="BA161" s="433">
        <f t="shared" si="116"/>
        <v>0</v>
      </c>
      <c r="BB161" s="433">
        <f t="shared" si="117"/>
        <v>0</v>
      </c>
      <c r="BC161" s="433">
        <f t="shared" si="118"/>
        <v>0</v>
      </c>
      <c r="BD161" s="433">
        <f t="shared" si="127"/>
        <v>0</v>
      </c>
      <c r="BE161" s="433">
        <f t="shared" si="128"/>
        <v>0</v>
      </c>
      <c r="BF161" s="433">
        <f t="shared" si="129"/>
        <v>0</v>
      </c>
      <c r="BG161" s="433">
        <f t="shared" si="130"/>
        <v>0</v>
      </c>
      <c r="BH161" s="433">
        <f t="shared" si="131"/>
        <v>0</v>
      </c>
      <c r="BI161" s="433">
        <f t="shared" si="132"/>
        <v>0</v>
      </c>
      <c r="BJ161" s="433">
        <f t="shared" si="133"/>
        <v>0</v>
      </c>
      <c r="BK161" s="433">
        <f t="shared" si="134"/>
        <v>0</v>
      </c>
      <c r="BL161" s="433">
        <f t="shared" si="135"/>
        <v>0</v>
      </c>
      <c r="BM161" s="433">
        <f t="shared" si="136"/>
        <v>0</v>
      </c>
      <c r="BN161" s="433">
        <f t="shared" si="137"/>
        <v>0</v>
      </c>
      <c r="BO161" s="433">
        <f t="shared" si="138"/>
        <v>0</v>
      </c>
      <c r="BP161" s="433">
        <f t="shared" si="139"/>
        <v>0</v>
      </c>
      <c r="BQ161" s="433">
        <f t="shared" si="140"/>
        <v>0</v>
      </c>
    </row>
    <row r="162" spans="1:69" x14ac:dyDescent="0.2">
      <c r="A162" s="102">
        <v>41809</v>
      </c>
      <c r="B162" s="319">
        <v>1</v>
      </c>
      <c r="C162" s="118" t="s">
        <v>622</v>
      </c>
      <c r="D162" s="111">
        <v>0.8354166666666667</v>
      </c>
      <c r="E162" s="111">
        <v>0.9555555555555556</v>
      </c>
      <c r="F162" s="444">
        <v>39</v>
      </c>
      <c r="G162" s="445">
        <v>7</v>
      </c>
      <c r="H162" s="444"/>
      <c r="I162" s="390"/>
      <c r="J162" s="426">
        <f t="shared" si="113"/>
        <v>173.00000000000003</v>
      </c>
      <c r="K162" s="103"/>
      <c r="L162" s="103"/>
      <c r="M162" s="103"/>
      <c r="N162" s="427">
        <f t="shared" si="114"/>
        <v>0</v>
      </c>
      <c r="O162" s="103"/>
      <c r="P162" s="103"/>
      <c r="Q162" s="103"/>
      <c r="R162" s="428">
        <f t="shared" si="115"/>
        <v>0</v>
      </c>
      <c r="S162" s="103"/>
      <c r="T162" s="103"/>
      <c r="U162" s="103"/>
      <c r="V162" s="125"/>
      <c r="W162" s="428">
        <f t="shared" si="119"/>
        <v>0</v>
      </c>
      <c r="X162" s="103"/>
      <c r="Y162" s="103"/>
      <c r="Z162" s="125"/>
      <c r="AA162" s="428">
        <f t="shared" si="120"/>
        <v>0</v>
      </c>
      <c r="AB162" s="103"/>
      <c r="AC162" s="103"/>
      <c r="AD162" s="103"/>
      <c r="AE162" s="428">
        <f t="shared" si="121"/>
        <v>0</v>
      </c>
      <c r="AF162" s="103"/>
      <c r="AG162" s="103"/>
      <c r="AH162" s="103"/>
      <c r="AI162" s="103"/>
      <c r="AJ162" s="428">
        <f t="shared" si="122"/>
        <v>0</v>
      </c>
      <c r="AK162" s="446"/>
      <c r="AL162" s="446"/>
      <c r="AM162" s="446"/>
      <c r="AN162" s="446"/>
      <c r="AO162" s="446"/>
      <c r="AP162" s="446"/>
      <c r="AQ162" s="446"/>
      <c r="AR162" s="431">
        <f t="shared" si="123"/>
        <v>0</v>
      </c>
      <c r="AT162" s="128" t="s">
        <v>424</v>
      </c>
      <c r="AU162" s="100" t="s">
        <v>816</v>
      </c>
      <c r="AV162" s="128" t="s">
        <v>913</v>
      </c>
      <c r="AW162" s="100" t="s">
        <v>918</v>
      </c>
      <c r="AX162" s="433">
        <f t="shared" si="124"/>
        <v>0</v>
      </c>
      <c r="AY162" s="433">
        <f t="shared" si="125"/>
        <v>0</v>
      </c>
      <c r="AZ162" s="433">
        <f t="shared" si="126"/>
        <v>0</v>
      </c>
      <c r="BA162" s="433">
        <f t="shared" si="116"/>
        <v>0</v>
      </c>
      <c r="BB162" s="433">
        <f t="shared" si="117"/>
        <v>0</v>
      </c>
      <c r="BC162" s="433">
        <f t="shared" si="118"/>
        <v>0</v>
      </c>
      <c r="BD162" s="433">
        <f t="shared" si="127"/>
        <v>0</v>
      </c>
      <c r="BE162" s="433">
        <f t="shared" si="128"/>
        <v>0</v>
      </c>
      <c r="BF162" s="433">
        <f t="shared" si="129"/>
        <v>0</v>
      </c>
      <c r="BG162" s="433">
        <f t="shared" si="130"/>
        <v>0</v>
      </c>
      <c r="BH162" s="433">
        <f t="shared" si="131"/>
        <v>0</v>
      </c>
      <c r="BI162" s="433">
        <f t="shared" si="132"/>
        <v>0</v>
      </c>
      <c r="BJ162" s="433">
        <f t="shared" si="133"/>
        <v>0</v>
      </c>
      <c r="BK162" s="433">
        <f t="shared" si="134"/>
        <v>0</v>
      </c>
      <c r="BL162" s="433">
        <f t="shared" si="135"/>
        <v>0</v>
      </c>
      <c r="BM162" s="433">
        <f t="shared" si="136"/>
        <v>0</v>
      </c>
      <c r="BN162" s="433">
        <f t="shared" si="137"/>
        <v>0</v>
      </c>
      <c r="BO162" s="433">
        <f t="shared" si="138"/>
        <v>0</v>
      </c>
      <c r="BP162" s="433">
        <f t="shared" si="139"/>
        <v>0</v>
      </c>
      <c r="BQ162" s="433">
        <f t="shared" si="140"/>
        <v>0</v>
      </c>
    </row>
    <row r="163" spans="1:69" x14ac:dyDescent="0.2">
      <c r="A163" s="102">
        <v>41809</v>
      </c>
      <c r="B163" s="319">
        <v>2</v>
      </c>
      <c r="C163" s="118" t="s">
        <v>817</v>
      </c>
      <c r="D163" s="111">
        <v>0.26319444444444445</v>
      </c>
      <c r="E163" s="111">
        <v>0.3888888888888889</v>
      </c>
      <c r="F163" s="444">
        <v>46</v>
      </c>
      <c r="G163" s="445">
        <v>8</v>
      </c>
      <c r="H163" s="444"/>
      <c r="I163" s="390"/>
      <c r="J163" s="426">
        <f t="shared" si="113"/>
        <v>181</v>
      </c>
      <c r="K163" s="103"/>
      <c r="L163" s="103"/>
      <c r="M163" s="103"/>
      <c r="N163" s="427">
        <f t="shared" si="114"/>
        <v>0</v>
      </c>
      <c r="O163" s="103"/>
      <c r="P163" s="103"/>
      <c r="Q163" s="103"/>
      <c r="R163" s="428">
        <f t="shared" si="115"/>
        <v>0</v>
      </c>
      <c r="S163" s="103"/>
      <c r="T163" s="103"/>
      <c r="U163" s="103"/>
      <c r="V163" s="125"/>
      <c r="W163" s="428">
        <f t="shared" si="119"/>
        <v>0</v>
      </c>
      <c r="X163" s="103"/>
      <c r="Y163" s="103"/>
      <c r="Z163" s="125"/>
      <c r="AA163" s="428">
        <f t="shared" si="120"/>
        <v>0</v>
      </c>
      <c r="AB163" s="103"/>
      <c r="AC163" s="103"/>
      <c r="AD163" s="103"/>
      <c r="AE163" s="428">
        <f t="shared" si="121"/>
        <v>0</v>
      </c>
      <c r="AF163" s="103"/>
      <c r="AG163" s="103"/>
      <c r="AH163" s="103"/>
      <c r="AI163" s="103"/>
      <c r="AJ163" s="428">
        <f t="shared" si="122"/>
        <v>0</v>
      </c>
      <c r="AK163" s="446"/>
      <c r="AL163" s="446"/>
      <c r="AM163" s="446"/>
      <c r="AN163" s="446"/>
      <c r="AO163" s="446"/>
      <c r="AP163" s="446"/>
      <c r="AQ163" s="446"/>
      <c r="AR163" s="431">
        <f t="shared" si="123"/>
        <v>0</v>
      </c>
      <c r="AT163" s="128" t="s">
        <v>424</v>
      </c>
      <c r="AU163" s="100" t="s">
        <v>810</v>
      </c>
      <c r="AV163" s="128" t="s">
        <v>913</v>
      </c>
      <c r="AW163" s="100" t="s">
        <v>918</v>
      </c>
      <c r="AX163" s="433">
        <f t="shared" si="124"/>
        <v>0</v>
      </c>
      <c r="AY163" s="433">
        <f t="shared" si="125"/>
        <v>0</v>
      </c>
      <c r="AZ163" s="433">
        <f t="shared" si="126"/>
        <v>0</v>
      </c>
      <c r="BA163" s="433">
        <f t="shared" si="116"/>
        <v>0</v>
      </c>
      <c r="BB163" s="433">
        <f t="shared" si="117"/>
        <v>0</v>
      </c>
      <c r="BC163" s="433">
        <f t="shared" si="118"/>
        <v>0</v>
      </c>
      <c r="BD163" s="433">
        <f t="shared" si="127"/>
        <v>0</v>
      </c>
      <c r="BE163" s="433">
        <f t="shared" si="128"/>
        <v>0</v>
      </c>
      <c r="BF163" s="433">
        <f t="shared" si="129"/>
        <v>0</v>
      </c>
      <c r="BG163" s="433">
        <f t="shared" si="130"/>
        <v>0</v>
      </c>
      <c r="BH163" s="433">
        <f t="shared" si="131"/>
        <v>0</v>
      </c>
      <c r="BI163" s="433">
        <f t="shared" si="132"/>
        <v>0</v>
      </c>
      <c r="BJ163" s="433">
        <f t="shared" si="133"/>
        <v>0</v>
      </c>
      <c r="BK163" s="433">
        <f t="shared" si="134"/>
        <v>0</v>
      </c>
      <c r="BL163" s="433">
        <f t="shared" si="135"/>
        <v>0</v>
      </c>
      <c r="BM163" s="433">
        <f t="shared" si="136"/>
        <v>0</v>
      </c>
      <c r="BN163" s="433">
        <f t="shared" si="137"/>
        <v>0</v>
      </c>
      <c r="BO163" s="433">
        <f t="shared" si="138"/>
        <v>0</v>
      </c>
      <c r="BP163" s="433">
        <f t="shared" si="139"/>
        <v>0</v>
      </c>
      <c r="BQ163" s="433">
        <f t="shared" si="140"/>
        <v>0</v>
      </c>
    </row>
    <row r="164" spans="1:69" x14ac:dyDescent="0.2">
      <c r="A164" s="102">
        <v>41809</v>
      </c>
      <c r="B164" s="319">
        <v>2</v>
      </c>
      <c r="C164" s="118" t="s">
        <v>736</v>
      </c>
      <c r="D164" s="111">
        <v>0.3888888888888889</v>
      </c>
      <c r="E164" s="111">
        <v>0.51041666666666663</v>
      </c>
      <c r="F164" s="444">
        <v>34</v>
      </c>
      <c r="G164" s="445">
        <v>9</v>
      </c>
      <c r="H164" s="444"/>
      <c r="I164" s="390"/>
      <c r="J164" s="426">
        <f t="shared" si="113"/>
        <v>174.99999999999994</v>
      </c>
      <c r="K164" s="103"/>
      <c r="L164" s="103"/>
      <c r="M164" s="103"/>
      <c r="N164" s="427">
        <f t="shared" si="114"/>
        <v>0</v>
      </c>
      <c r="O164" s="103"/>
      <c r="P164" s="103"/>
      <c r="Q164" s="103"/>
      <c r="R164" s="428">
        <f t="shared" si="115"/>
        <v>0</v>
      </c>
      <c r="S164" s="103"/>
      <c r="T164" s="103"/>
      <c r="U164" s="103"/>
      <c r="V164" s="125"/>
      <c r="W164" s="428">
        <f t="shared" si="119"/>
        <v>0</v>
      </c>
      <c r="X164" s="103"/>
      <c r="Y164" s="103"/>
      <c r="Z164" s="125"/>
      <c r="AA164" s="428">
        <f t="shared" si="120"/>
        <v>0</v>
      </c>
      <c r="AB164" s="103"/>
      <c r="AC164" s="103"/>
      <c r="AD164" s="103"/>
      <c r="AE164" s="428">
        <f t="shared" si="121"/>
        <v>0</v>
      </c>
      <c r="AF164" s="103"/>
      <c r="AG164" s="103"/>
      <c r="AH164" s="103"/>
      <c r="AI164" s="103"/>
      <c r="AJ164" s="428">
        <f t="shared" si="122"/>
        <v>0</v>
      </c>
      <c r="AK164" s="446"/>
      <c r="AL164" s="446"/>
      <c r="AM164" s="446"/>
      <c r="AN164" s="446"/>
      <c r="AO164" s="446"/>
      <c r="AP164" s="446"/>
      <c r="AQ164" s="446"/>
      <c r="AR164" s="431">
        <f t="shared" si="123"/>
        <v>0</v>
      </c>
      <c r="AT164" s="128" t="s">
        <v>424</v>
      </c>
      <c r="AU164" s="100" t="s">
        <v>797</v>
      </c>
      <c r="AV164" s="128" t="s">
        <v>913</v>
      </c>
      <c r="AW164" s="100" t="s">
        <v>918</v>
      </c>
      <c r="AX164" s="433">
        <f t="shared" si="124"/>
        <v>0</v>
      </c>
      <c r="AY164" s="433">
        <f t="shared" si="125"/>
        <v>0</v>
      </c>
      <c r="AZ164" s="433">
        <f t="shared" si="126"/>
        <v>0</v>
      </c>
      <c r="BA164" s="433">
        <f t="shared" si="116"/>
        <v>0</v>
      </c>
      <c r="BB164" s="433">
        <f t="shared" si="117"/>
        <v>0</v>
      </c>
      <c r="BC164" s="433">
        <f t="shared" si="118"/>
        <v>0</v>
      </c>
      <c r="BD164" s="433">
        <f t="shared" si="127"/>
        <v>0</v>
      </c>
      <c r="BE164" s="433">
        <f t="shared" si="128"/>
        <v>0</v>
      </c>
      <c r="BF164" s="433">
        <f t="shared" si="129"/>
        <v>0</v>
      </c>
      <c r="BG164" s="433">
        <f t="shared" si="130"/>
        <v>0</v>
      </c>
      <c r="BH164" s="433">
        <f t="shared" si="131"/>
        <v>0</v>
      </c>
      <c r="BI164" s="433">
        <f t="shared" si="132"/>
        <v>0</v>
      </c>
      <c r="BJ164" s="433">
        <f t="shared" si="133"/>
        <v>0</v>
      </c>
      <c r="BK164" s="433">
        <f t="shared" si="134"/>
        <v>0</v>
      </c>
      <c r="BL164" s="433">
        <f t="shared" si="135"/>
        <v>0</v>
      </c>
      <c r="BM164" s="433">
        <f t="shared" si="136"/>
        <v>0</v>
      </c>
      <c r="BN164" s="433">
        <f t="shared" si="137"/>
        <v>0</v>
      </c>
      <c r="BO164" s="433">
        <f t="shared" si="138"/>
        <v>0</v>
      </c>
      <c r="BP164" s="433">
        <f t="shared" si="139"/>
        <v>0</v>
      </c>
      <c r="BQ164" s="433">
        <f t="shared" si="140"/>
        <v>0</v>
      </c>
    </row>
    <row r="165" spans="1:69" x14ac:dyDescent="0.2">
      <c r="A165" s="102">
        <v>41809</v>
      </c>
      <c r="B165" s="319">
        <v>2</v>
      </c>
      <c r="C165" s="118" t="s">
        <v>814</v>
      </c>
      <c r="D165" s="111">
        <v>0.51041666666666663</v>
      </c>
      <c r="E165" s="111">
        <v>0.70694444444444438</v>
      </c>
      <c r="F165" s="444">
        <v>31</v>
      </c>
      <c r="G165" s="445">
        <v>10</v>
      </c>
      <c r="H165" s="444"/>
      <c r="I165" s="390"/>
      <c r="J165" s="426">
        <f t="shared" si="113"/>
        <v>282.99999999999994</v>
      </c>
      <c r="K165" s="103"/>
      <c r="L165" s="103"/>
      <c r="M165" s="103"/>
      <c r="N165" s="427">
        <f t="shared" si="114"/>
        <v>0</v>
      </c>
      <c r="O165" s="103"/>
      <c r="P165" s="103"/>
      <c r="Q165" s="103"/>
      <c r="R165" s="428">
        <f t="shared" si="115"/>
        <v>0</v>
      </c>
      <c r="S165" s="103"/>
      <c r="T165" s="103"/>
      <c r="U165" s="103"/>
      <c r="V165" s="125"/>
      <c r="W165" s="428">
        <f t="shared" si="119"/>
        <v>0</v>
      </c>
      <c r="X165" s="103"/>
      <c r="Y165" s="103"/>
      <c r="Z165" s="125"/>
      <c r="AA165" s="428">
        <f t="shared" si="120"/>
        <v>0</v>
      </c>
      <c r="AB165" s="103"/>
      <c r="AC165" s="103"/>
      <c r="AD165" s="103"/>
      <c r="AE165" s="428">
        <f t="shared" si="121"/>
        <v>0</v>
      </c>
      <c r="AF165" s="103"/>
      <c r="AG165" s="103"/>
      <c r="AH165" s="103"/>
      <c r="AI165" s="103"/>
      <c r="AJ165" s="428">
        <f t="shared" si="122"/>
        <v>0</v>
      </c>
      <c r="AK165" s="446"/>
      <c r="AL165" s="446"/>
      <c r="AM165" s="446"/>
      <c r="AN165" s="446"/>
      <c r="AO165" s="446"/>
      <c r="AP165" s="446"/>
      <c r="AQ165" s="446"/>
      <c r="AR165" s="431">
        <f t="shared" si="123"/>
        <v>0</v>
      </c>
      <c r="AT165" s="128" t="s">
        <v>424</v>
      </c>
      <c r="AU165" s="100" t="s">
        <v>816</v>
      </c>
      <c r="AV165" s="128" t="s">
        <v>913</v>
      </c>
      <c r="AW165" s="100" t="s">
        <v>918</v>
      </c>
      <c r="AX165" s="433">
        <f t="shared" si="124"/>
        <v>0</v>
      </c>
      <c r="AY165" s="433">
        <f t="shared" si="125"/>
        <v>0</v>
      </c>
      <c r="AZ165" s="433">
        <f t="shared" si="126"/>
        <v>0</v>
      </c>
      <c r="BA165" s="433">
        <f t="shared" si="116"/>
        <v>0</v>
      </c>
      <c r="BB165" s="433">
        <f t="shared" si="117"/>
        <v>0</v>
      </c>
      <c r="BC165" s="433">
        <f t="shared" si="118"/>
        <v>0</v>
      </c>
      <c r="BD165" s="433">
        <f t="shared" si="127"/>
        <v>0</v>
      </c>
      <c r="BE165" s="433">
        <f t="shared" si="128"/>
        <v>0</v>
      </c>
      <c r="BF165" s="433">
        <f t="shared" si="129"/>
        <v>0</v>
      </c>
      <c r="BG165" s="433">
        <f t="shared" si="130"/>
        <v>0</v>
      </c>
      <c r="BH165" s="433">
        <f t="shared" si="131"/>
        <v>0</v>
      </c>
      <c r="BI165" s="433">
        <f t="shared" si="132"/>
        <v>0</v>
      </c>
      <c r="BJ165" s="433">
        <f t="shared" si="133"/>
        <v>0</v>
      </c>
      <c r="BK165" s="433">
        <f t="shared" si="134"/>
        <v>0</v>
      </c>
      <c r="BL165" s="433">
        <f t="shared" si="135"/>
        <v>0</v>
      </c>
      <c r="BM165" s="433">
        <f t="shared" si="136"/>
        <v>0</v>
      </c>
      <c r="BN165" s="433">
        <f t="shared" si="137"/>
        <v>0</v>
      </c>
      <c r="BO165" s="433">
        <f t="shared" si="138"/>
        <v>0</v>
      </c>
      <c r="BP165" s="433">
        <f t="shared" si="139"/>
        <v>0</v>
      </c>
      <c r="BQ165" s="433">
        <f t="shared" si="140"/>
        <v>0</v>
      </c>
    </row>
    <row r="166" spans="1:69" x14ac:dyDescent="0.2">
      <c r="A166" s="102">
        <v>41809</v>
      </c>
      <c r="B166" s="319">
        <v>2</v>
      </c>
      <c r="C166" s="323" t="s">
        <v>736</v>
      </c>
      <c r="D166" s="111">
        <v>0.70694444444444438</v>
      </c>
      <c r="E166" s="111">
        <v>0.80555555555555547</v>
      </c>
      <c r="F166" s="444">
        <v>32</v>
      </c>
      <c r="G166" s="445">
        <v>10</v>
      </c>
      <c r="H166" s="444"/>
      <c r="I166" s="390"/>
      <c r="J166" s="426">
        <f t="shared" si="113"/>
        <v>141.99999999999997</v>
      </c>
      <c r="K166" s="103"/>
      <c r="L166" s="103"/>
      <c r="M166" s="103"/>
      <c r="N166" s="427">
        <f t="shared" si="114"/>
        <v>0</v>
      </c>
      <c r="O166" s="103"/>
      <c r="P166" s="103"/>
      <c r="Q166" s="103"/>
      <c r="R166" s="428">
        <f t="shared" si="115"/>
        <v>0</v>
      </c>
      <c r="S166" s="103"/>
      <c r="T166" s="103"/>
      <c r="U166" s="103"/>
      <c r="V166" s="125"/>
      <c r="W166" s="428">
        <f t="shared" si="119"/>
        <v>0</v>
      </c>
      <c r="X166" s="103"/>
      <c r="Y166" s="103"/>
      <c r="Z166" s="125"/>
      <c r="AA166" s="428">
        <f t="shared" si="120"/>
        <v>0</v>
      </c>
      <c r="AB166" s="103"/>
      <c r="AC166" s="103"/>
      <c r="AD166" s="103"/>
      <c r="AE166" s="428">
        <f t="shared" si="121"/>
        <v>0</v>
      </c>
      <c r="AF166" s="103"/>
      <c r="AG166" s="103"/>
      <c r="AH166" s="103"/>
      <c r="AI166" s="103"/>
      <c r="AJ166" s="428">
        <f t="shared" si="122"/>
        <v>0</v>
      </c>
      <c r="AK166" s="446"/>
      <c r="AL166" s="446"/>
      <c r="AM166" s="446"/>
      <c r="AN166" s="446"/>
      <c r="AO166" s="446"/>
      <c r="AP166" s="446"/>
      <c r="AQ166" s="446"/>
      <c r="AR166" s="431">
        <f t="shared" si="123"/>
        <v>0</v>
      </c>
      <c r="AT166" s="128" t="s">
        <v>424</v>
      </c>
      <c r="AU166" s="100" t="s">
        <v>812</v>
      </c>
      <c r="AV166" s="128" t="s">
        <v>913</v>
      </c>
      <c r="AW166" s="100" t="s">
        <v>918</v>
      </c>
      <c r="AX166" s="433">
        <f t="shared" si="124"/>
        <v>0</v>
      </c>
      <c r="AY166" s="433">
        <f t="shared" si="125"/>
        <v>0</v>
      </c>
      <c r="AZ166" s="433">
        <f t="shared" si="126"/>
        <v>0</v>
      </c>
      <c r="BA166" s="433">
        <f t="shared" si="116"/>
        <v>0</v>
      </c>
      <c r="BB166" s="433">
        <f t="shared" si="117"/>
        <v>0</v>
      </c>
      <c r="BC166" s="433">
        <f t="shared" si="118"/>
        <v>0</v>
      </c>
      <c r="BD166" s="433">
        <f t="shared" si="127"/>
        <v>0</v>
      </c>
      <c r="BE166" s="433">
        <f t="shared" si="128"/>
        <v>0</v>
      </c>
      <c r="BF166" s="433">
        <f t="shared" si="129"/>
        <v>0</v>
      </c>
      <c r="BG166" s="433">
        <f t="shared" si="130"/>
        <v>0</v>
      </c>
      <c r="BH166" s="433">
        <f t="shared" si="131"/>
        <v>0</v>
      </c>
      <c r="BI166" s="433">
        <f t="shared" si="132"/>
        <v>0</v>
      </c>
      <c r="BJ166" s="433">
        <f t="shared" si="133"/>
        <v>0</v>
      </c>
      <c r="BK166" s="433">
        <f t="shared" si="134"/>
        <v>0</v>
      </c>
      <c r="BL166" s="433">
        <f t="shared" si="135"/>
        <v>0</v>
      </c>
      <c r="BM166" s="433">
        <f t="shared" si="136"/>
        <v>0</v>
      </c>
      <c r="BN166" s="433">
        <f t="shared" si="137"/>
        <v>0</v>
      </c>
      <c r="BO166" s="433">
        <f t="shared" si="138"/>
        <v>0</v>
      </c>
      <c r="BP166" s="433">
        <f t="shared" si="139"/>
        <v>0</v>
      </c>
      <c r="BQ166" s="433">
        <f t="shared" si="140"/>
        <v>0</v>
      </c>
    </row>
    <row r="167" spans="1:69" x14ac:dyDescent="0.2">
      <c r="A167" s="102">
        <v>41809</v>
      </c>
      <c r="B167" s="319">
        <v>2</v>
      </c>
      <c r="C167" s="118" t="s">
        <v>622</v>
      </c>
      <c r="D167" s="111">
        <v>0.80555555555555547</v>
      </c>
      <c r="E167" s="111">
        <v>0.95000000000000007</v>
      </c>
      <c r="F167" s="444">
        <v>33</v>
      </c>
      <c r="G167" s="445">
        <v>10</v>
      </c>
      <c r="H167" s="444"/>
      <c r="I167" s="390"/>
      <c r="J167" s="426">
        <f t="shared" si="113"/>
        <v>208.00000000000023</v>
      </c>
      <c r="K167" s="103"/>
      <c r="L167" s="103"/>
      <c r="M167" s="103"/>
      <c r="N167" s="427">
        <f t="shared" si="114"/>
        <v>0</v>
      </c>
      <c r="O167" s="103"/>
      <c r="P167" s="103"/>
      <c r="Q167" s="103"/>
      <c r="R167" s="428">
        <f t="shared" si="115"/>
        <v>0</v>
      </c>
      <c r="S167" s="103"/>
      <c r="T167" s="103"/>
      <c r="U167" s="103"/>
      <c r="V167" s="125"/>
      <c r="W167" s="428">
        <f t="shared" si="119"/>
        <v>0</v>
      </c>
      <c r="X167" s="103"/>
      <c r="Y167" s="103"/>
      <c r="Z167" s="125"/>
      <c r="AA167" s="428">
        <f t="shared" si="120"/>
        <v>0</v>
      </c>
      <c r="AB167" s="103"/>
      <c r="AC167" s="103"/>
      <c r="AD167" s="103"/>
      <c r="AE167" s="428">
        <f t="shared" si="121"/>
        <v>0</v>
      </c>
      <c r="AF167" s="103"/>
      <c r="AG167" s="103"/>
      <c r="AH167" s="103"/>
      <c r="AI167" s="103"/>
      <c r="AJ167" s="428">
        <f t="shared" si="122"/>
        <v>0</v>
      </c>
      <c r="AK167" s="446"/>
      <c r="AL167" s="446"/>
      <c r="AM167" s="446">
        <v>1</v>
      </c>
      <c r="AN167" s="446"/>
      <c r="AO167" s="446"/>
      <c r="AP167" s="446"/>
      <c r="AQ167" s="446"/>
      <c r="AR167" s="431">
        <f t="shared" si="123"/>
        <v>1</v>
      </c>
      <c r="AT167" s="128"/>
      <c r="AU167" s="100" t="s">
        <v>818</v>
      </c>
      <c r="AV167" s="128" t="s">
        <v>913</v>
      </c>
      <c r="AW167" s="100" t="s">
        <v>918</v>
      </c>
      <c r="AX167" s="433">
        <f t="shared" si="124"/>
        <v>0</v>
      </c>
      <c r="AY167" s="433">
        <f t="shared" si="125"/>
        <v>0</v>
      </c>
      <c r="AZ167" s="433">
        <f t="shared" si="126"/>
        <v>0</v>
      </c>
      <c r="BA167" s="433">
        <f t="shared" si="116"/>
        <v>0</v>
      </c>
      <c r="BB167" s="433">
        <f t="shared" si="117"/>
        <v>0</v>
      </c>
      <c r="BC167" s="433">
        <f t="shared" si="118"/>
        <v>0</v>
      </c>
      <c r="BD167" s="433">
        <f t="shared" si="127"/>
        <v>0</v>
      </c>
      <c r="BE167" s="433">
        <f t="shared" si="128"/>
        <v>0</v>
      </c>
      <c r="BF167" s="433">
        <f t="shared" si="129"/>
        <v>0</v>
      </c>
      <c r="BG167" s="433">
        <f t="shared" si="130"/>
        <v>0</v>
      </c>
      <c r="BH167" s="433">
        <f t="shared" si="131"/>
        <v>0</v>
      </c>
      <c r="BI167" s="433">
        <f t="shared" si="132"/>
        <v>0</v>
      </c>
      <c r="BJ167" s="433">
        <f t="shared" si="133"/>
        <v>0</v>
      </c>
      <c r="BK167" s="433">
        <f t="shared" si="134"/>
        <v>0</v>
      </c>
      <c r="BL167" s="433">
        <f t="shared" si="135"/>
        <v>0</v>
      </c>
      <c r="BM167" s="433">
        <f t="shared" si="136"/>
        <v>0</v>
      </c>
      <c r="BN167" s="433">
        <f t="shared" si="137"/>
        <v>0</v>
      </c>
      <c r="BO167" s="433">
        <f t="shared" si="138"/>
        <v>0</v>
      </c>
      <c r="BP167" s="433">
        <f t="shared" si="139"/>
        <v>0</v>
      </c>
      <c r="BQ167" s="433">
        <f t="shared" si="140"/>
        <v>0</v>
      </c>
    </row>
    <row r="168" spans="1:69" x14ac:dyDescent="0.2">
      <c r="A168" s="102">
        <v>41809</v>
      </c>
      <c r="B168" s="319">
        <v>3</v>
      </c>
      <c r="C168" s="118" t="s">
        <v>745</v>
      </c>
      <c r="D168" s="111">
        <v>0.25138888888888888</v>
      </c>
      <c r="E168" s="111">
        <v>0.37986111111111115</v>
      </c>
      <c r="F168" s="444">
        <v>39</v>
      </c>
      <c r="G168" s="445">
        <v>8</v>
      </c>
      <c r="H168" s="444"/>
      <c r="I168" s="390"/>
      <c r="J168" s="426">
        <f t="shared" si="113"/>
        <v>185.00000000000006</v>
      </c>
      <c r="K168" s="103">
        <v>1</v>
      </c>
      <c r="L168" s="103"/>
      <c r="M168" s="103"/>
      <c r="N168" s="427">
        <f t="shared" si="114"/>
        <v>1</v>
      </c>
      <c r="O168" s="103"/>
      <c r="P168" s="103">
        <v>1</v>
      </c>
      <c r="Q168" s="103"/>
      <c r="R168" s="428">
        <f t="shared" si="115"/>
        <v>1</v>
      </c>
      <c r="S168" s="103"/>
      <c r="T168" s="103"/>
      <c r="U168" s="103"/>
      <c r="V168" s="125"/>
      <c r="W168" s="428">
        <f t="shared" si="119"/>
        <v>0</v>
      </c>
      <c r="X168" s="103"/>
      <c r="Y168" s="103"/>
      <c r="Z168" s="125"/>
      <c r="AA168" s="428">
        <f t="shared" si="120"/>
        <v>0</v>
      </c>
      <c r="AB168" s="103"/>
      <c r="AC168" s="103"/>
      <c r="AD168" s="103"/>
      <c r="AE168" s="428">
        <f t="shared" si="121"/>
        <v>0</v>
      </c>
      <c r="AF168" s="103"/>
      <c r="AG168" s="103"/>
      <c r="AH168" s="103"/>
      <c r="AI168" s="103"/>
      <c r="AJ168" s="428">
        <f t="shared" si="122"/>
        <v>0</v>
      </c>
      <c r="AK168" s="446"/>
      <c r="AL168" s="446"/>
      <c r="AM168" s="446"/>
      <c r="AN168" s="446"/>
      <c r="AO168" s="446"/>
      <c r="AP168" s="446"/>
      <c r="AQ168" s="446"/>
      <c r="AR168" s="431">
        <f t="shared" si="123"/>
        <v>0</v>
      </c>
      <c r="AT168" s="128"/>
      <c r="AU168" s="100" t="s">
        <v>810</v>
      </c>
      <c r="AV168" s="128" t="s">
        <v>913</v>
      </c>
      <c r="AW168" s="100" t="s">
        <v>918</v>
      </c>
      <c r="AX168" s="433">
        <f t="shared" si="124"/>
        <v>1</v>
      </c>
      <c r="AY168" s="433">
        <f t="shared" si="125"/>
        <v>0</v>
      </c>
      <c r="AZ168" s="433">
        <f t="shared" si="126"/>
        <v>0</v>
      </c>
      <c r="BA168" s="433">
        <f t="shared" si="116"/>
        <v>0</v>
      </c>
      <c r="BB168" s="433">
        <f t="shared" si="117"/>
        <v>1</v>
      </c>
      <c r="BC168" s="433">
        <f t="shared" si="118"/>
        <v>0</v>
      </c>
      <c r="BD168" s="433">
        <f t="shared" si="127"/>
        <v>0</v>
      </c>
      <c r="BE168" s="433">
        <f t="shared" si="128"/>
        <v>0</v>
      </c>
      <c r="BF168" s="433">
        <f t="shared" si="129"/>
        <v>0</v>
      </c>
      <c r="BG168" s="433">
        <f t="shared" si="130"/>
        <v>0</v>
      </c>
      <c r="BH168" s="433">
        <f t="shared" si="131"/>
        <v>0</v>
      </c>
      <c r="BI168" s="433">
        <f t="shared" si="132"/>
        <v>0</v>
      </c>
      <c r="BJ168" s="433">
        <f t="shared" si="133"/>
        <v>0</v>
      </c>
      <c r="BK168" s="433">
        <f t="shared" si="134"/>
        <v>0</v>
      </c>
      <c r="BL168" s="433">
        <f t="shared" si="135"/>
        <v>0</v>
      </c>
      <c r="BM168" s="433">
        <f t="shared" si="136"/>
        <v>0</v>
      </c>
      <c r="BN168" s="433">
        <f t="shared" si="137"/>
        <v>0</v>
      </c>
      <c r="BO168" s="433">
        <f t="shared" si="138"/>
        <v>0</v>
      </c>
      <c r="BP168" s="433">
        <f t="shared" si="139"/>
        <v>0</v>
      </c>
      <c r="BQ168" s="433">
        <f t="shared" si="140"/>
        <v>0</v>
      </c>
    </row>
    <row r="169" spans="1:69" x14ac:dyDescent="0.2">
      <c r="A169" s="102">
        <v>41809</v>
      </c>
      <c r="B169" s="319">
        <v>3</v>
      </c>
      <c r="C169" s="118" t="s">
        <v>736</v>
      </c>
      <c r="D169" s="111">
        <v>0.37986111111111115</v>
      </c>
      <c r="E169" s="111">
        <v>0.54513888888888895</v>
      </c>
      <c r="F169" s="444">
        <v>40</v>
      </c>
      <c r="G169" s="445">
        <v>8</v>
      </c>
      <c r="H169" s="444"/>
      <c r="I169" s="390"/>
      <c r="J169" s="426">
        <f t="shared" si="113"/>
        <v>238.00000000000003</v>
      </c>
      <c r="K169" s="103">
        <v>2</v>
      </c>
      <c r="L169" s="103"/>
      <c r="M169" s="103"/>
      <c r="N169" s="427">
        <f t="shared" si="114"/>
        <v>2</v>
      </c>
      <c r="O169" s="103"/>
      <c r="P169" s="103">
        <v>3</v>
      </c>
      <c r="Q169" s="103"/>
      <c r="R169" s="428">
        <f t="shared" si="115"/>
        <v>3</v>
      </c>
      <c r="S169" s="103"/>
      <c r="T169" s="103"/>
      <c r="U169" s="103"/>
      <c r="V169" s="125"/>
      <c r="W169" s="428">
        <f t="shared" si="119"/>
        <v>0</v>
      </c>
      <c r="X169" s="103"/>
      <c r="Y169" s="103"/>
      <c r="Z169" s="125"/>
      <c r="AA169" s="428">
        <f t="shared" si="120"/>
        <v>0</v>
      </c>
      <c r="AB169" s="103"/>
      <c r="AC169" s="103"/>
      <c r="AD169" s="103"/>
      <c r="AE169" s="428">
        <f t="shared" si="121"/>
        <v>0</v>
      </c>
      <c r="AF169" s="103"/>
      <c r="AG169" s="103"/>
      <c r="AH169" s="103"/>
      <c r="AI169" s="103"/>
      <c r="AJ169" s="428">
        <f t="shared" si="122"/>
        <v>0</v>
      </c>
      <c r="AK169" s="446"/>
      <c r="AL169" s="446"/>
      <c r="AM169" s="446"/>
      <c r="AN169" s="446"/>
      <c r="AO169" s="446"/>
      <c r="AP169" s="446">
        <v>2</v>
      </c>
      <c r="AQ169" s="446"/>
      <c r="AR169" s="431">
        <f t="shared" si="123"/>
        <v>2</v>
      </c>
      <c r="AT169" s="128" t="s">
        <v>819</v>
      </c>
      <c r="AU169" s="100" t="s">
        <v>797</v>
      </c>
      <c r="AV169" s="128" t="s">
        <v>913</v>
      </c>
      <c r="AW169" s="100" t="s">
        <v>918</v>
      </c>
      <c r="AX169" s="433">
        <f t="shared" si="124"/>
        <v>2</v>
      </c>
      <c r="AY169" s="433">
        <f t="shared" si="125"/>
        <v>0</v>
      </c>
      <c r="AZ169" s="433">
        <f t="shared" si="126"/>
        <v>0</v>
      </c>
      <c r="BA169" s="433">
        <f t="shared" si="116"/>
        <v>0</v>
      </c>
      <c r="BB169" s="433">
        <f t="shared" si="117"/>
        <v>3</v>
      </c>
      <c r="BC169" s="433">
        <f t="shared" si="118"/>
        <v>0</v>
      </c>
      <c r="BD169" s="433">
        <f t="shared" si="127"/>
        <v>0</v>
      </c>
      <c r="BE169" s="433">
        <f t="shared" si="128"/>
        <v>0</v>
      </c>
      <c r="BF169" s="433">
        <f t="shared" si="129"/>
        <v>0</v>
      </c>
      <c r="BG169" s="433">
        <f t="shared" si="130"/>
        <v>0</v>
      </c>
      <c r="BH169" s="433">
        <f t="shared" si="131"/>
        <v>0</v>
      </c>
      <c r="BI169" s="433">
        <f t="shared" si="132"/>
        <v>0</v>
      </c>
      <c r="BJ169" s="433">
        <f t="shared" si="133"/>
        <v>0</v>
      </c>
      <c r="BK169" s="433">
        <f t="shared" si="134"/>
        <v>0</v>
      </c>
      <c r="BL169" s="433">
        <f t="shared" si="135"/>
        <v>0</v>
      </c>
      <c r="BM169" s="433">
        <f t="shared" si="136"/>
        <v>0</v>
      </c>
      <c r="BN169" s="433">
        <f t="shared" si="137"/>
        <v>0</v>
      </c>
      <c r="BO169" s="433">
        <f t="shared" si="138"/>
        <v>0</v>
      </c>
      <c r="BP169" s="433">
        <f t="shared" si="139"/>
        <v>0</v>
      </c>
      <c r="BQ169" s="433">
        <f t="shared" si="140"/>
        <v>0</v>
      </c>
    </row>
    <row r="170" spans="1:69" x14ac:dyDescent="0.2">
      <c r="A170" s="102">
        <v>41809</v>
      </c>
      <c r="B170" s="319">
        <v>3</v>
      </c>
      <c r="C170" s="118" t="s">
        <v>814</v>
      </c>
      <c r="D170" s="111">
        <v>0.54513888888888895</v>
      </c>
      <c r="E170" s="111">
        <v>0.68333333333333324</v>
      </c>
      <c r="F170" s="444">
        <v>40</v>
      </c>
      <c r="G170" s="445">
        <v>7</v>
      </c>
      <c r="H170" s="444"/>
      <c r="I170" s="390"/>
      <c r="J170" s="426">
        <f t="shared" si="113"/>
        <v>198.99999999999977</v>
      </c>
      <c r="K170" s="103">
        <v>2</v>
      </c>
      <c r="L170" s="103"/>
      <c r="M170" s="103"/>
      <c r="N170" s="427">
        <f t="shared" si="114"/>
        <v>2</v>
      </c>
      <c r="O170" s="103"/>
      <c r="P170" s="103">
        <v>1</v>
      </c>
      <c r="Q170" s="103"/>
      <c r="R170" s="428">
        <f t="shared" si="115"/>
        <v>1</v>
      </c>
      <c r="S170" s="103"/>
      <c r="T170" s="103"/>
      <c r="U170" s="103"/>
      <c r="V170" s="125"/>
      <c r="W170" s="428">
        <f t="shared" si="119"/>
        <v>0</v>
      </c>
      <c r="X170" s="103"/>
      <c r="Y170" s="103"/>
      <c r="Z170" s="125"/>
      <c r="AA170" s="428">
        <f t="shared" si="120"/>
        <v>0</v>
      </c>
      <c r="AB170" s="103"/>
      <c r="AC170" s="103"/>
      <c r="AD170" s="103"/>
      <c r="AE170" s="428">
        <f t="shared" si="121"/>
        <v>0</v>
      </c>
      <c r="AF170" s="103"/>
      <c r="AG170" s="103"/>
      <c r="AH170" s="103"/>
      <c r="AI170" s="103"/>
      <c r="AJ170" s="428">
        <f t="shared" si="122"/>
        <v>0</v>
      </c>
      <c r="AK170" s="446"/>
      <c r="AL170" s="446"/>
      <c r="AM170" s="446"/>
      <c r="AN170" s="446"/>
      <c r="AO170" s="446"/>
      <c r="AP170" s="446"/>
      <c r="AQ170" s="446"/>
      <c r="AR170" s="431">
        <f t="shared" si="123"/>
        <v>0</v>
      </c>
      <c r="AS170" s="10" t="s">
        <v>820</v>
      </c>
      <c r="AT170" s="128"/>
      <c r="AU170" s="100" t="s">
        <v>813</v>
      </c>
      <c r="AV170" s="128" t="s">
        <v>913</v>
      </c>
      <c r="AW170" s="100" t="s">
        <v>918</v>
      </c>
      <c r="AX170" s="433">
        <f t="shared" si="124"/>
        <v>2</v>
      </c>
      <c r="AY170" s="433">
        <f t="shared" si="125"/>
        <v>0</v>
      </c>
      <c r="AZ170" s="433">
        <f t="shared" si="126"/>
        <v>0</v>
      </c>
      <c r="BA170" s="433">
        <f t="shared" si="116"/>
        <v>0</v>
      </c>
      <c r="BB170" s="433">
        <f t="shared" si="117"/>
        <v>1</v>
      </c>
      <c r="BC170" s="433">
        <f t="shared" si="118"/>
        <v>0</v>
      </c>
      <c r="BD170" s="433">
        <f t="shared" si="127"/>
        <v>0</v>
      </c>
      <c r="BE170" s="433">
        <f t="shared" si="128"/>
        <v>0</v>
      </c>
      <c r="BF170" s="433">
        <f t="shared" si="129"/>
        <v>0</v>
      </c>
      <c r="BG170" s="433">
        <f t="shared" si="130"/>
        <v>0</v>
      </c>
      <c r="BH170" s="433">
        <f t="shared" si="131"/>
        <v>0</v>
      </c>
      <c r="BI170" s="433">
        <f t="shared" si="132"/>
        <v>0</v>
      </c>
      <c r="BJ170" s="433">
        <f t="shared" si="133"/>
        <v>0</v>
      </c>
      <c r="BK170" s="433">
        <f t="shared" si="134"/>
        <v>0</v>
      </c>
      <c r="BL170" s="433">
        <f t="shared" si="135"/>
        <v>0</v>
      </c>
      <c r="BM170" s="433">
        <f t="shared" si="136"/>
        <v>0</v>
      </c>
      <c r="BN170" s="433">
        <f t="shared" si="137"/>
        <v>0</v>
      </c>
      <c r="BO170" s="433">
        <f t="shared" si="138"/>
        <v>0</v>
      </c>
      <c r="BP170" s="433">
        <f t="shared" si="139"/>
        <v>0</v>
      </c>
      <c r="BQ170" s="433">
        <f t="shared" si="140"/>
        <v>0</v>
      </c>
    </row>
    <row r="171" spans="1:69" x14ac:dyDescent="0.2">
      <c r="A171" s="102">
        <v>41809</v>
      </c>
      <c r="B171" s="319">
        <v>3</v>
      </c>
      <c r="C171" s="118" t="s">
        <v>815</v>
      </c>
      <c r="D171" s="111">
        <v>0.70000000000000007</v>
      </c>
      <c r="E171" s="111">
        <v>0.70138888888888884</v>
      </c>
      <c r="F171" s="444">
        <v>38</v>
      </c>
      <c r="G171" s="445">
        <v>8</v>
      </c>
      <c r="H171" s="444"/>
      <c r="I171" s="390"/>
      <c r="J171" s="426">
        <f t="shared" si="113"/>
        <v>1.999999999999833</v>
      </c>
      <c r="K171" s="103"/>
      <c r="L171" s="103"/>
      <c r="M171" s="103"/>
      <c r="N171" s="427">
        <f t="shared" si="114"/>
        <v>0</v>
      </c>
      <c r="O171" s="103"/>
      <c r="P171" s="103"/>
      <c r="Q171" s="103"/>
      <c r="R171" s="428">
        <f t="shared" si="115"/>
        <v>0</v>
      </c>
      <c r="S171" s="103"/>
      <c r="T171" s="103"/>
      <c r="U171" s="103"/>
      <c r="V171" s="125"/>
      <c r="W171" s="428">
        <f t="shared" si="119"/>
        <v>0</v>
      </c>
      <c r="X171" s="103"/>
      <c r="Y171" s="103"/>
      <c r="Z171" s="125"/>
      <c r="AA171" s="428">
        <f t="shared" si="120"/>
        <v>0</v>
      </c>
      <c r="AB171" s="103"/>
      <c r="AC171" s="103"/>
      <c r="AD171" s="103"/>
      <c r="AE171" s="428">
        <f t="shared" si="121"/>
        <v>0</v>
      </c>
      <c r="AF171" s="103"/>
      <c r="AG171" s="103"/>
      <c r="AH171" s="103"/>
      <c r="AI171" s="103"/>
      <c r="AJ171" s="428">
        <f t="shared" si="122"/>
        <v>0</v>
      </c>
      <c r="AK171" s="446"/>
      <c r="AL171" s="446"/>
      <c r="AM171" s="446"/>
      <c r="AN171" s="446"/>
      <c r="AO171" s="446"/>
      <c r="AP171" s="446"/>
      <c r="AQ171" s="446"/>
      <c r="AR171" s="431">
        <f t="shared" si="123"/>
        <v>0</v>
      </c>
      <c r="AS171" s="10" t="s">
        <v>821</v>
      </c>
      <c r="AT171" s="128"/>
      <c r="AU171" s="100" t="s">
        <v>813</v>
      </c>
      <c r="AV171" s="128" t="s">
        <v>913</v>
      </c>
      <c r="AW171" s="100" t="s">
        <v>918</v>
      </c>
      <c r="AX171" s="433">
        <f t="shared" si="124"/>
        <v>0</v>
      </c>
      <c r="AY171" s="433">
        <f t="shared" si="125"/>
        <v>0</v>
      </c>
      <c r="AZ171" s="433">
        <f t="shared" si="126"/>
        <v>0</v>
      </c>
      <c r="BA171" s="433">
        <f t="shared" si="116"/>
        <v>0</v>
      </c>
      <c r="BB171" s="433">
        <f t="shared" si="117"/>
        <v>0</v>
      </c>
      <c r="BC171" s="433">
        <f t="shared" si="118"/>
        <v>0</v>
      </c>
      <c r="BD171" s="433">
        <f t="shared" si="127"/>
        <v>0</v>
      </c>
      <c r="BE171" s="433">
        <f t="shared" si="128"/>
        <v>0</v>
      </c>
      <c r="BF171" s="433">
        <f t="shared" si="129"/>
        <v>0</v>
      </c>
      <c r="BG171" s="433">
        <f t="shared" si="130"/>
        <v>0</v>
      </c>
      <c r="BH171" s="433">
        <f t="shared" si="131"/>
        <v>0</v>
      </c>
      <c r="BI171" s="433">
        <f t="shared" si="132"/>
        <v>0</v>
      </c>
      <c r="BJ171" s="433">
        <f t="shared" si="133"/>
        <v>0</v>
      </c>
      <c r="BK171" s="433">
        <f t="shared" si="134"/>
        <v>0</v>
      </c>
      <c r="BL171" s="433">
        <f t="shared" si="135"/>
        <v>0</v>
      </c>
      <c r="BM171" s="433">
        <f t="shared" si="136"/>
        <v>0</v>
      </c>
      <c r="BN171" s="433">
        <f t="shared" si="137"/>
        <v>0</v>
      </c>
      <c r="BO171" s="433">
        <f t="shared" si="138"/>
        <v>0</v>
      </c>
      <c r="BP171" s="433">
        <f t="shared" si="139"/>
        <v>0</v>
      </c>
      <c r="BQ171" s="433">
        <f t="shared" si="140"/>
        <v>0</v>
      </c>
    </row>
    <row r="172" spans="1:69" x14ac:dyDescent="0.2">
      <c r="A172" s="102">
        <v>41809</v>
      </c>
      <c r="B172" s="319">
        <v>3</v>
      </c>
      <c r="C172" s="118" t="s">
        <v>736</v>
      </c>
      <c r="D172" s="111">
        <v>0.70138888888888884</v>
      </c>
      <c r="E172" s="111">
        <v>0.82986111111111116</v>
      </c>
      <c r="F172" s="444">
        <v>39</v>
      </c>
      <c r="G172" s="445">
        <v>8</v>
      </c>
      <c r="H172" s="444"/>
      <c r="I172" s="390"/>
      <c r="J172" s="426">
        <f>((E172-D172)*24*60)-50</f>
        <v>135.00000000000014</v>
      </c>
      <c r="K172" s="103">
        <v>1</v>
      </c>
      <c r="L172" s="103"/>
      <c r="M172" s="103"/>
      <c r="N172" s="427">
        <f t="shared" si="114"/>
        <v>1</v>
      </c>
      <c r="O172" s="103"/>
      <c r="P172" s="103">
        <v>2</v>
      </c>
      <c r="Q172" s="103"/>
      <c r="R172" s="428">
        <f t="shared" si="115"/>
        <v>2</v>
      </c>
      <c r="S172" s="103"/>
      <c r="T172" s="103"/>
      <c r="U172" s="103"/>
      <c r="V172" s="125"/>
      <c r="W172" s="428">
        <f t="shared" si="119"/>
        <v>0</v>
      </c>
      <c r="X172" s="103"/>
      <c r="Y172" s="103"/>
      <c r="Z172" s="125"/>
      <c r="AA172" s="428">
        <f t="shared" si="120"/>
        <v>0</v>
      </c>
      <c r="AB172" s="103"/>
      <c r="AC172" s="103"/>
      <c r="AD172" s="103"/>
      <c r="AE172" s="428">
        <f t="shared" si="121"/>
        <v>0</v>
      </c>
      <c r="AF172" s="103"/>
      <c r="AG172" s="103"/>
      <c r="AH172" s="103"/>
      <c r="AI172" s="103"/>
      <c r="AJ172" s="428">
        <f t="shared" si="122"/>
        <v>0</v>
      </c>
      <c r="AK172" s="446"/>
      <c r="AL172" s="446"/>
      <c r="AM172" s="446"/>
      <c r="AN172" s="446"/>
      <c r="AO172" s="446"/>
      <c r="AP172" s="446"/>
      <c r="AQ172" s="446"/>
      <c r="AR172" s="431">
        <f t="shared" si="123"/>
        <v>0</v>
      </c>
      <c r="AS172" s="10" t="s">
        <v>822</v>
      </c>
      <c r="AT172" s="128" t="s">
        <v>823</v>
      </c>
      <c r="AU172" s="100" t="s">
        <v>797</v>
      </c>
      <c r="AV172" s="128" t="s">
        <v>913</v>
      </c>
      <c r="AW172" s="100" t="s">
        <v>918</v>
      </c>
      <c r="AX172" s="433">
        <f t="shared" si="124"/>
        <v>1</v>
      </c>
      <c r="AY172" s="433">
        <f t="shared" si="125"/>
        <v>0</v>
      </c>
      <c r="AZ172" s="433">
        <f t="shared" si="126"/>
        <v>0</v>
      </c>
      <c r="BA172" s="433">
        <f t="shared" si="116"/>
        <v>0</v>
      </c>
      <c r="BB172" s="433">
        <f t="shared" si="117"/>
        <v>2</v>
      </c>
      <c r="BC172" s="433">
        <f t="shared" si="118"/>
        <v>0</v>
      </c>
      <c r="BD172" s="433">
        <f t="shared" si="127"/>
        <v>0</v>
      </c>
      <c r="BE172" s="433">
        <f t="shared" si="128"/>
        <v>0</v>
      </c>
      <c r="BF172" s="433">
        <f t="shared" si="129"/>
        <v>0</v>
      </c>
      <c r="BG172" s="433">
        <f t="shared" si="130"/>
        <v>0</v>
      </c>
      <c r="BH172" s="433">
        <f t="shared" si="131"/>
        <v>0</v>
      </c>
      <c r="BI172" s="433">
        <f t="shared" si="132"/>
        <v>0</v>
      </c>
      <c r="BJ172" s="433">
        <f t="shared" si="133"/>
        <v>0</v>
      </c>
      <c r="BK172" s="433">
        <f t="shared" si="134"/>
        <v>0</v>
      </c>
      <c r="BL172" s="433">
        <f t="shared" si="135"/>
        <v>0</v>
      </c>
      <c r="BM172" s="433">
        <f t="shared" si="136"/>
        <v>0</v>
      </c>
      <c r="BN172" s="433">
        <f t="shared" si="137"/>
        <v>0</v>
      </c>
      <c r="BO172" s="433">
        <f t="shared" si="138"/>
        <v>0</v>
      </c>
      <c r="BP172" s="433">
        <f t="shared" si="139"/>
        <v>0</v>
      </c>
      <c r="BQ172" s="433">
        <f t="shared" si="140"/>
        <v>0</v>
      </c>
    </row>
    <row r="173" spans="1:69" s="291" customFormat="1" x14ac:dyDescent="0.2">
      <c r="A173" s="317">
        <v>41809</v>
      </c>
      <c r="B173" s="318">
        <v>3</v>
      </c>
      <c r="C173" s="320" t="s">
        <v>630</v>
      </c>
      <c r="D173" s="321">
        <v>0.82986111111111116</v>
      </c>
      <c r="E173" s="321">
        <v>0.96527777777777779</v>
      </c>
      <c r="F173" s="434">
        <v>36</v>
      </c>
      <c r="G173" s="435">
        <v>8</v>
      </c>
      <c r="H173" s="434"/>
      <c r="I173" s="436"/>
      <c r="J173" s="437">
        <f t="shared" si="113"/>
        <v>194.99999999999994</v>
      </c>
      <c r="K173" s="285">
        <v>1</v>
      </c>
      <c r="L173" s="285"/>
      <c r="M173" s="285"/>
      <c r="N173" s="438">
        <f t="shared" si="114"/>
        <v>1</v>
      </c>
      <c r="O173" s="285"/>
      <c r="P173" s="285"/>
      <c r="Q173" s="285"/>
      <c r="R173" s="439">
        <f t="shared" si="115"/>
        <v>0</v>
      </c>
      <c r="S173" s="285"/>
      <c r="T173" s="285"/>
      <c r="U173" s="285"/>
      <c r="V173" s="440"/>
      <c r="W173" s="439">
        <f t="shared" si="119"/>
        <v>0</v>
      </c>
      <c r="X173" s="285"/>
      <c r="Y173" s="285"/>
      <c r="Z173" s="440"/>
      <c r="AA173" s="439">
        <f t="shared" si="120"/>
        <v>0</v>
      </c>
      <c r="AB173" s="285"/>
      <c r="AC173" s="285"/>
      <c r="AD173" s="285"/>
      <c r="AE173" s="439">
        <f t="shared" si="121"/>
        <v>0</v>
      </c>
      <c r="AF173" s="285"/>
      <c r="AG173" s="285"/>
      <c r="AH173" s="285"/>
      <c r="AI173" s="285"/>
      <c r="AJ173" s="439">
        <f t="shared" si="122"/>
        <v>0</v>
      </c>
      <c r="AK173" s="340"/>
      <c r="AL173" s="340"/>
      <c r="AM173" s="340"/>
      <c r="AN173" s="340"/>
      <c r="AO173" s="340"/>
      <c r="AP173" s="340"/>
      <c r="AQ173" s="340"/>
      <c r="AR173" s="441">
        <f t="shared" si="123"/>
        <v>0</v>
      </c>
      <c r="AT173" s="313"/>
      <c r="AU173" s="289" t="s">
        <v>818</v>
      </c>
      <c r="AV173" s="313" t="s">
        <v>913</v>
      </c>
      <c r="AW173" s="289" t="s">
        <v>918</v>
      </c>
      <c r="AX173" s="443">
        <f t="shared" si="124"/>
        <v>1</v>
      </c>
      <c r="AY173" s="443">
        <f t="shared" si="125"/>
        <v>0</v>
      </c>
      <c r="AZ173" s="443">
        <f t="shared" si="126"/>
        <v>0</v>
      </c>
      <c r="BA173" s="443">
        <f t="shared" si="116"/>
        <v>0</v>
      </c>
      <c r="BB173" s="443">
        <f t="shared" si="117"/>
        <v>0</v>
      </c>
      <c r="BC173" s="443">
        <f t="shared" si="118"/>
        <v>0</v>
      </c>
      <c r="BD173" s="443">
        <f t="shared" si="127"/>
        <v>0</v>
      </c>
      <c r="BE173" s="443">
        <f t="shared" si="128"/>
        <v>0</v>
      </c>
      <c r="BF173" s="443">
        <f t="shared" si="129"/>
        <v>0</v>
      </c>
      <c r="BG173" s="443">
        <f t="shared" si="130"/>
        <v>0</v>
      </c>
      <c r="BH173" s="443">
        <f t="shared" si="131"/>
        <v>0</v>
      </c>
      <c r="BI173" s="443">
        <f t="shared" si="132"/>
        <v>0</v>
      </c>
      <c r="BJ173" s="443">
        <f t="shared" si="133"/>
        <v>0</v>
      </c>
      <c r="BK173" s="443">
        <f t="shared" si="134"/>
        <v>0</v>
      </c>
      <c r="BL173" s="443">
        <f t="shared" si="135"/>
        <v>0</v>
      </c>
      <c r="BM173" s="443">
        <f t="shared" si="136"/>
        <v>0</v>
      </c>
      <c r="BN173" s="443">
        <f t="shared" si="137"/>
        <v>0</v>
      </c>
      <c r="BO173" s="443">
        <f t="shared" si="138"/>
        <v>0</v>
      </c>
      <c r="BP173" s="443">
        <f t="shared" si="139"/>
        <v>0</v>
      </c>
      <c r="BQ173" s="443">
        <f t="shared" si="140"/>
        <v>0</v>
      </c>
    </row>
    <row r="174" spans="1:69" x14ac:dyDescent="0.2">
      <c r="A174" s="102">
        <v>41810</v>
      </c>
      <c r="B174" s="319">
        <v>1</v>
      </c>
      <c r="C174" s="118" t="s">
        <v>745</v>
      </c>
      <c r="D174" s="111">
        <v>0.25555555555555559</v>
      </c>
      <c r="E174" s="111">
        <v>0.2951388888888889</v>
      </c>
      <c r="F174" s="444">
        <v>41</v>
      </c>
      <c r="G174" s="445">
        <v>7</v>
      </c>
      <c r="H174" s="444"/>
      <c r="I174" s="390"/>
      <c r="J174" s="426">
        <f t="shared" si="113"/>
        <v>56.999999999999957</v>
      </c>
      <c r="K174" s="103"/>
      <c r="L174" s="103"/>
      <c r="M174" s="103"/>
      <c r="N174" s="427">
        <f t="shared" si="114"/>
        <v>0</v>
      </c>
      <c r="O174" s="103"/>
      <c r="P174" s="103"/>
      <c r="Q174" s="103"/>
      <c r="R174" s="428">
        <f t="shared" si="115"/>
        <v>0</v>
      </c>
      <c r="S174" s="103"/>
      <c r="T174" s="103"/>
      <c r="U174" s="103"/>
      <c r="V174" s="125"/>
      <c r="W174" s="428">
        <f t="shared" si="119"/>
        <v>0</v>
      </c>
      <c r="X174" s="103"/>
      <c r="Y174" s="103"/>
      <c r="Z174" s="125"/>
      <c r="AA174" s="428">
        <f t="shared" si="120"/>
        <v>0</v>
      </c>
      <c r="AB174" s="103"/>
      <c r="AC174" s="103"/>
      <c r="AD174" s="103"/>
      <c r="AE174" s="428">
        <f t="shared" si="121"/>
        <v>0</v>
      </c>
      <c r="AF174" s="103"/>
      <c r="AG174" s="103"/>
      <c r="AH174" s="103"/>
      <c r="AI174" s="103"/>
      <c r="AJ174" s="428">
        <f t="shared" si="122"/>
        <v>0</v>
      </c>
      <c r="AK174" s="446"/>
      <c r="AL174" s="446"/>
      <c r="AM174" s="446"/>
      <c r="AN174" s="446"/>
      <c r="AO174" s="446"/>
      <c r="AP174" s="446"/>
      <c r="AQ174" s="446"/>
      <c r="AR174" s="431">
        <f t="shared" si="123"/>
        <v>0</v>
      </c>
      <c r="AS174" s="10" t="s">
        <v>854</v>
      </c>
      <c r="AT174" s="128" t="s">
        <v>424</v>
      </c>
      <c r="AU174" s="100" t="s">
        <v>855</v>
      </c>
      <c r="AV174" s="128" t="s">
        <v>913</v>
      </c>
      <c r="AW174" s="100" t="s">
        <v>919</v>
      </c>
      <c r="AX174" s="433">
        <f t="shared" si="124"/>
        <v>0</v>
      </c>
      <c r="AY174" s="433">
        <f t="shared" si="125"/>
        <v>0</v>
      </c>
      <c r="AZ174" s="433">
        <f t="shared" si="126"/>
        <v>0</v>
      </c>
      <c r="BA174" s="433">
        <f t="shared" si="116"/>
        <v>0</v>
      </c>
      <c r="BB174" s="433">
        <f t="shared" si="117"/>
        <v>0</v>
      </c>
      <c r="BC174" s="433">
        <f t="shared" si="118"/>
        <v>0</v>
      </c>
      <c r="BD174" s="433">
        <f t="shared" si="127"/>
        <v>0</v>
      </c>
      <c r="BE174" s="433">
        <f t="shared" si="128"/>
        <v>0</v>
      </c>
      <c r="BF174" s="433">
        <f t="shared" si="129"/>
        <v>0</v>
      </c>
      <c r="BG174" s="433">
        <f t="shared" si="130"/>
        <v>0</v>
      </c>
      <c r="BH174" s="433">
        <f t="shared" si="131"/>
        <v>0</v>
      </c>
      <c r="BI174" s="433">
        <f t="shared" si="132"/>
        <v>0</v>
      </c>
      <c r="BJ174" s="433">
        <f t="shared" si="133"/>
        <v>0</v>
      </c>
      <c r="BK174" s="433">
        <f t="shared" si="134"/>
        <v>0</v>
      </c>
      <c r="BL174" s="433">
        <f t="shared" si="135"/>
        <v>0</v>
      </c>
      <c r="BM174" s="433">
        <f t="shared" si="136"/>
        <v>0</v>
      </c>
      <c r="BN174" s="433">
        <f t="shared" si="137"/>
        <v>0</v>
      </c>
      <c r="BO174" s="433">
        <f t="shared" si="138"/>
        <v>0</v>
      </c>
      <c r="BP174" s="433">
        <f t="shared" si="139"/>
        <v>0</v>
      </c>
      <c r="BQ174" s="433">
        <f t="shared" si="140"/>
        <v>0</v>
      </c>
    </row>
    <row r="175" spans="1:69" x14ac:dyDescent="0.2">
      <c r="A175" s="102">
        <v>41810</v>
      </c>
      <c r="B175" s="319">
        <v>1</v>
      </c>
      <c r="C175" s="118" t="s">
        <v>745</v>
      </c>
      <c r="D175" s="111">
        <v>0.31180555555555556</v>
      </c>
      <c r="E175" s="111">
        <v>0.35972222222222222</v>
      </c>
      <c r="F175" s="444">
        <v>43</v>
      </c>
      <c r="G175" s="445">
        <v>7</v>
      </c>
      <c r="H175" s="444"/>
      <c r="I175" s="390"/>
      <c r="J175" s="426">
        <f t="shared" si="113"/>
        <v>69</v>
      </c>
      <c r="K175" s="103">
        <v>1</v>
      </c>
      <c r="L175" s="103"/>
      <c r="M175" s="103"/>
      <c r="N175" s="427">
        <f t="shared" si="114"/>
        <v>1</v>
      </c>
      <c r="O175" s="103">
        <v>1</v>
      </c>
      <c r="P175" s="103"/>
      <c r="Q175" s="103"/>
      <c r="R175" s="428">
        <f t="shared" si="115"/>
        <v>1</v>
      </c>
      <c r="S175" s="103"/>
      <c r="T175" s="103"/>
      <c r="U175" s="103"/>
      <c r="V175" s="125"/>
      <c r="W175" s="428">
        <f t="shared" si="119"/>
        <v>0</v>
      </c>
      <c r="X175" s="103"/>
      <c r="Y175" s="103"/>
      <c r="Z175" s="125"/>
      <c r="AA175" s="428">
        <f t="shared" si="120"/>
        <v>0</v>
      </c>
      <c r="AB175" s="103"/>
      <c r="AC175" s="103"/>
      <c r="AD175" s="103"/>
      <c r="AE175" s="428">
        <f t="shared" si="121"/>
        <v>0</v>
      </c>
      <c r="AF175" s="103"/>
      <c r="AG175" s="103"/>
      <c r="AH175" s="103"/>
      <c r="AI175" s="103"/>
      <c r="AJ175" s="428">
        <f t="shared" si="122"/>
        <v>0</v>
      </c>
      <c r="AK175" s="446"/>
      <c r="AL175" s="446"/>
      <c r="AM175" s="446"/>
      <c r="AN175" s="446"/>
      <c r="AO175" s="446"/>
      <c r="AP175" s="446"/>
      <c r="AQ175" s="446"/>
      <c r="AR175" s="431">
        <f t="shared" si="123"/>
        <v>0</v>
      </c>
      <c r="AS175" s="10" t="s">
        <v>856</v>
      </c>
      <c r="AT175" s="128"/>
      <c r="AU175" s="100" t="s">
        <v>855</v>
      </c>
      <c r="AV175" s="128" t="s">
        <v>913</v>
      </c>
      <c r="AW175" s="100" t="s">
        <v>919</v>
      </c>
      <c r="AX175" s="433">
        <f t="shared" si="124"/>
        <v>1</v>
      </c>
      <c r="AY175" s="433">
        <f t="shared" si="125"/>
        <v>0</v>
      </c>
      <c r="AZ175" s="433">
        <f t="shared" si="126"/>
        <v>0</v>
      </c>
      <c r="BA175" s="433">
        <f t="shared" si="116"/>
        <v>1</v>
      </c>
      <c r="BB175" s="433">
        <f t="shared" si="117"/>
        <v>0</v>
      </c>
      <c r="BC175" s="433">
        <f t="shared" si="118"/>
        <v>0</v>
      </c>
      <c r="BD175" s="433">
        <f t="shared" si="127"/>
        <v>0</v>
      </c>
      <c r="BE175" s="433">
        <f t="shared" si="128"/>
        <v>0</v>
      </c>
      <c r="BF175" s="433">
        <f t="shared" si="129"/>
        <v>0</v>
      </c>
      <c r="BG175" s="433">
        <f t="shared" si="130"/>
        <v>0</v>
      </c>
      <c r="BH175" s="433">
        <f t="shared" si="131"/>
        <v>0</v>
      </c>
      <c r="BI175" s="433">
        <f t="shared" si="132"/>
        <v>0</v>
      </c>
      <c r="BJ175" s="433">
        <f t="shared" si="133"/>
        <v>0</v>
      </c>
      <c r="BK175" s="433">
        <f t="shared" si="134"/>
        <v>0</v>
      </c>
      <c r="BL175" s="433">
        <f t="shared" si="135"/>
        <v>0</v>
      </c>
      <c r="BM175" s="433">
        <f t="shared" si="136"/>
        <v>0</v>
      </c>
      <c r="BN175" s="433">
        <f t="shared" si="137"/>
        <v>0</v>
      </c>
      <c r="BO175" s="433">
        <f t="shared" si="138"/>
        <v>0</v>
      </c>
      <c r="BP175" s="433">
        <f t="shared" si="139"/>
        <v>0</v>
      </c>
      <c r="BQ175" s="433">
        <f t="shared" si="140"/>
        <v>0</v>
      </c>
    </row>
    <row r="176" spans="1:69" x14ac:dyDescent="0.2">
      <c r="A176" s="102">
        <v>41810</v>
      </c>
      <c r="B176" s="319">
        <v>1</v>
      </c>
      <c r="C176" s="118" t="s">
        <v>857</v>
      </c>
      <c r="D176" s="111">
        <v>0.35972222222222222</v>
      </c>
      <c r="E176" s="111">
        <v>0.4861111111111111</v>
      </c>
      <c r="F176" s="444">
        <v>40</v>
      </c>
      <c r="G176" s="445">
        <v>7</v>
      </c>
      <c r="H176" s="444"/>
      <c r="I176" s="390"/>
      <c r="J176" s="426">
        <f t="shared" si="113"/>
        <v>182</v>
      </c>
      <c r="K176" s="103"/>
      <c r="L176" s="103"/>
      <c r="M176" s="103"/>
      <c r="N176" s="427">
        <f t="shared" si="114"/>
        <v>0</v>
      </c>
      <c r="O176" s="103"/>
      <c r="P176" s="103"/>
      <c r="Q176" s="103"/>
      <c r="R176" s="428">
        <f t="shared" si="115"/>
        <v>0</v>
      </c>
      <c r="S176" s="103"/>
      <c r="T176" s="103"/>
      <c r="U176" s="103"/>
      <c r="V176" s="125"/>
      <c r="W176" s="428">
        <f t="shared" si="119"/>
        <v>0</v>
      </c>
      <c r="X176" s="103"/>
      <c r="Y176" s="103"/>
      <c r="Z176" s="125"/>
      <c r="AA176" s="428">
        <f t="shared" si="120"/>
        <v>0</v>
      </c>
      <c r="AB176" s="103"/>
      <c r="AC176" s="103"/>
      <c r="AD176" s="103"/>
      <c r="AE176" s="428">
        <f t="shared" si="121"/>
        <v>0</v>
      </c>
      <c r="AF176" s="103"/>
      <c r="AG176" s="103"/>
      <c r="AH176" s="103"/>
      <c r="AI176" s="103"/>
      <c r="AJ176" s="428">
        <f t="shared" si="122"/>
        <v>0</v>
      </c>
      <c r="AK176" s="446"/>
      <c r="AL176" s="446"/>
      <c r="AM176" s="446"/>
      <c r="AN176" s="446"/>
      <c r="AO176" s="446"/>
      <c r="AP176" s="446"/>
      <c r="AQ176" s="446"/>
      <c r="AR176" s="431">
        <f t="shared" si="123"/>
        <v>0</v>
      </c>
      <c r="AT176" s="128" t="s">
        <v>424</v>
      </c>
      <c r="AU176" s="100" t="s">
        <v>858</v>
      </c>
      <c r="AV176" s="128" t="s">
        <v>913</v>
      </c>
      <c r="AW176" s="100" t="s">
        <v>919</v>
      </c>
      <c r="AX176" s="433">
        <f t="shared" si="124"/>
        <v>0</v>
      </c>
      <c r="AY176" s="433">
        <f t="shared" si="125"/>
        <v>0</v>
      </c>
      <c r="AZ176" s="433">
        <f t="shared" si="126"/>
        <v>0</v>
      </c>
      <c r="BA176" s="433">
        <f t="shared" si="116"/>
        <v>0</v>
      </c>
      <c r="BB176" s="433">
        <f t="shared" si="117"/>
        <v>0</v>
      </c>
      <c r="BC176" s="433">
        <f t="shared" si="118"/>
        <v>0</v>
      </c>
      <c r="BD176" s="433">
        <f t="shared" si="127"/>
        <v>0</v>
      </c>
      <c r="BE176" s="433">
        <f t="shared" si="128"/>
        <v>0</v>
      </c>
      <c r="BF176" s="433">
        <f t="shared" si="129"/>
        <v>0</v>
      </c>
      <c r="BG176" s="433">
        <f t="shared" si="130"/>
        <v>0</v>
      </c>
      <c r="BH176" s="433">
        <f t="shared" si="131"/>
        <v>0</v>
      </c>
      <c r="BI176" s="433">
        <f t="shared" si="132"/>
        <v>0</v>
      </c>
      <c r="BJ176" s="433">
        <f t="shared" si="133"/>
        <v>0</v>
      </c>
      <c r="BK176" s="433">
        <f t="shared" si="134"/>
        <v>0</v>
      </c>
      <c r="BL176" s="433">
        <f t="shared" si="135"/>
        <v>0</v>
      </c>
      <c r="BM176" s="433">
        <f t="shared" si="136"/>
        <v>0</v>
      </c>
      <c r="BN176" s="433">
        <f t="shared" si="137"/>
        <v>0</v>
      </c>
      <c r="BO176" s="433">
        <f t="shared" si="138"/>
        <v>0</v>
      </c>
      <c r="BP176" s="433">
        <f t="shared" si="139"/>
        <v>0</v>
      </c>
      <c r="BQ176" s="433">
        <f t="shared" si="140"/>
        <v>0</v>
      </c>
    </row>
    <row r="177" spans="1:69" x14ac:dyDescent="0.2">
      <c r="A177" s="102">
        <v>41810</v>
      </c>
      <c r="B177" s="319">
        <v>1</v>
      </c>
      <c r="C177" s="118" t="s">
        <v>859</v>
      </c>
      <c r="D177" s="111">
        <v>0.4861111111111111</v>
      </c>
      <c r="E177" s="111">
        <v>0.71527777777777779</v>
      </c>
      <c r="F177" s="444">
        <v>47</v>
      </c>
      <c r="G177" s="445">
        <v>8</v>
      </c>
      <c r="H177" s="444"/>
      <c r="I177" s="390"/>
      <c r="J177" s="426">
        <f>((E177-D177)*24*60)-25</f>
        <v>305</v>
      </c>
      <c r="K177" s="103">
        <v>3</v>
      </c>
      <c r="L177" s="103">
        <v>1</v>
      </c>
      <c r="M177" s="103"/>
      <c r="N177" s="427">
        <f t="shared" si="114"/>
        <v>4</v>
      </c>
      <c r="O177" s="103"/>
      <c r="P177" s="103">
        <v>1</v>
      </c>
      <c r="Q177" s="103"/>
      <c r="R177" s="428">
        <f t="shared" si="115"/>
        <v>1</v>
      </c>
      <c r="S177" s="103"/>
      <c r="T177" s="103"/>
      <c r="U177" s="103"/>
      <c r="V177" s="125"/>
      <c r="W177" s="428">
        <f t="shared" si="119"/>
        <v>0</v>
      </c>
      <c r="X177" s="103"/>
      <c r="Y177" s="103"/>
      <c r="Z177" s="125"/>
      <c r="AA177" s="428">
        <f t="shared" si="120"/>
        <v>0</v>
      </c>
      <c r="AB177" s="103"/>
      <c r="AC177" s="103"/>
      <c r="AD177" s="103"/>
      <c r="AE177" s="428">
        <f t="shared" si="121"/>
        <v>0</v>
      </c>
      <c r="AF177" s="103"/>
      <c r="AG177" s="103"/>
      <c r="AH177" s="103"/>
      <c r="AI177" s="103"/>
      <c r="AJ177" s="428">
        <f t="shared" si="122"/>
        <v>0</v>
      </c>
      <c r="AK177" s="446"/>
      <c r="AL177" s="446"/>
      <c r="AM177" s="446"/>
      <c r="AN177" s="446"/>
      <c r="AO177" s="446"/>
      <c r="AP177" s="446"/>
      <c r="AQ177" s="446"/>
      <c r="AR177" s="431">
        <f t="shared" si="123"/>
        <v>0</v>
      </c>
      <c r="AS177" s="10" t="s">
        <v>860</v>
      </c>
      <c r="AT177" s="128"/>
      <c r="AU177" s="100" t="s">
        <v>861</v>
      </c>
      <c r="AV177" s="128" t="s">
        <v>913</v>
      </c>
      <c r="AW177" s="100" t="s">
        <v>919</v>
      </c>
      <c r="AX177" s="433">
        <f t="shared" si="124"/>
        <v>3</v>
      </c>
      <c r="AY177" s="433">
        <f t="shared" si="125"/>
        <v>1</v>
      </c>
      <c r="AZ177" s="433">
        <f t="shared" si="126"/>
        <v>0</v>
      </c>
      <c r="BA177" s="433">
        <f t="shared" si="116"/>
        <v>0</v>
      </c>
      <c r="BB177" s="433">
        <f t="shared" si="117"/>
        <v>1</v>
      </c>
      <c r="BC177" s="433">
        <f t="shared" si="118"/>
        <v>0</v>
      </c>
      <c r="BD177" s="433">
        <f t="shared" si="127"/>
        <v>0</v>
      </c>
      <c r="BE177" s="433">
        <f t="shared" si="128"/>
        <v>0</v>
      </c>
      <c r="BF177" s="433">
        <f t="shared" si="129"/>
        <v>0</v>
      </c>
      <c r="BG177" s="433">
        <f t="shared" si="130"/>
        <v>0</v>
      </c>
      <c r="BH177" s="433">
        <f t="shared" si="131"/>
        <v>0</v>
      </c>
      <c r="BI177" s="433">
        <f t="shared" si="132"/>
        <v>0</v>
      </c>
      <c r="BJ177" s="433">
        <f t="shared" si="133"/>
        <v>0</v>
      </c>
      <c r="BK177" s="433">
        <f t="shared" si="134"/>
        <v>0</v>
      </c>
      <c r="BL177" s="433">
        <f t="shared" si="135"/>
        <v>0</v>
      </c>
      <c r="BM177" s="433">
        <f t="shared" si="136"/>
        <v>0</v>
      </c>
      <c r="BN177" s="433">
        <f t="shared" si="137"/>
        <v>0</v>
      </c>
      <c r="BO177" s="433">
        <f t="shared" si="138"/>
        <v>0</v>
      </c>
      <c r="BP177" s="433">
        <f t="shared" si="139"/>
        <v>0</v>
      </c>
      <c r="BQ177" s="433">
        <f t="shared" si="140"/>
        <v>0</v>
      </c>
    </row>
    <row r="178" spans="1:69" x14ac:dyDescent="0.2">
      <c r="A178" s="102">
        <v>41810</v>
      </c>
      <c r="B178" s="319">
        <v>1</v>
      </c>
      <c r="C178" s="118" t="s">
        <v>862</v>
      </c>
      <c r="D178" s="111">
        <v>0.71527777777777779</v>
      </c>
      <c r="E178" s="111">
        <v>0.83194444444444438</v>
      </c>
      <c r="F178" s="444">
        <v>49</v>
      </c>
      <c r="G178" s="445">
        <v>8.5</v>
      </c>
      <c r="H178" s="444"/>
      <c r="I178" s="390"/>
      <c r="J178" s="426">
        <f t="shared" si="113"/>
        <v>167.99999999999989</v>
      </c>
      <c r="K178" s="103">
        <v>2</v>
      </c>
      <c r="L178" s="103"/>
      <c r="M178" s="103"/>
      <c r="N178" s="427">
        <f t="shared" si="114"/>
        <v>2</v>
      </c>
      <c r="O178" s="103"/>
      <c r="P178" s="103"/>
      <c r="Q178" s="103"/>
      <c r="R178" s="428">
        <f t="shared" si="115"/>
        <v>0</v>
      </c>
      <c r="S178" s="103"/>
      <c r="T178" s="103"/>
      <c r="U178" s="103"/>
      <c r="V178" s="125"/>
      <c r="W178" s="428">
        <f t="shared" si="119"/>
        <v>0</v>
      </c>
      <c r="X178" s="103"/>
      <c r="Y178" s="103"/>
      <c r="Z178" s="125"/>
      <c r="AA178" s="428">
        <f t="shared" si="120"/>
        <v>0</v>
      </c>
      <c r="AB178" s="103"/>
      <c r="AC178" s="103"/>
      <c r="AD178" s="103"/>
      <c r="AE178" s="428">
        <f t="shared" si="121"/>
        <v>0</v>
      </c>
      <c r="AF178" s="103"/>
      <c r="AG178" s="103"/>
      <c r="AH178" s="103"/>
      <c r="AI178" s="103"/>
      <c r="AJ178" s="428">
        <f t="shared" si="122"/>
        <v>0</v>
      </c>
      <c r="AK178" s="446"/>
      <c r="AL178" s="446"/>
      <c r="AM178" s="446"/>
      <c r="AN178" s="446"/>
      <c r="AO178" s="446"/>
      <c r="AP178" s="446"/>
      <c r="AQ178" s="446"/>
      <c r="AR178" s="431">
        <f t="shared" si="123"/>
        <v>0</v>
      </c>
      <c r="AT178" s="128"/>
      <c r="AU178" s="100" t="s">
        <v>863</v>
      </c>
      <c r="AV178" s="128" t="s">
        <v>913</v>
      </c>
      <c r="AW178" s="100" t="s">
        <v>919</v>
      </c>
      <c r="AX178" s="433">
        <f t="shared" si="124"/>
        <v>2</v>
      </c>
      <c r="AY178" s="433">
        <f t="shared" si="125"/>
        <v>0</v>
      </c>
      <c r="AZ178" s="433">
        <f t="shared" si="126"/>
        <v>0</v>
      </c>
      <c r="BA178" s="433">
        <f t="shared" si="116"/>
        <v>0</v>
      </c>
      <c r="BB178" s="433">
        <f t="shared" si="117"/>
        <v>0</v>
      </c>
      <c r="BC178" s="433">
        <f t="shared" si="118"/>
        <v>0</v>
      </c>
      <c r="BD178" s="433">
        <f t="shared" si="127"/>
        <v>0</v>
      </c>
      <c r="BE178" s="433">
        <f t="shared" si="128"/>
        <v>0</v>
      </c>
      <c r="BF178" s="433">
        <f t="shared" si="129"/>
        <v>0</v>
      </c>
      <c r="BG178" s="433">
        <f t="shared" si="130"/>
        <v>0</v>
      </c>
      <c r="BH178" s="433">
        <f t="shared" si="131"/>
        <v>0</v>
      </c>
      <c r="BI178" s="433">
        <f t="shared" si="132"/>
        <v>0</v>
      </c>
      <c r="BJ178" s="433">
        <f t="shared" si="133"/>
        <v>0</v>
      </c>
      <c r="BK178" s="433">
        <f t="shared" si="134"/>
        <v>0</v>
      </c>
      <c r="BL178" s="433">
        <f t="shared" si="135"/>
        <v>0</v>
      </c>
      <c r="BM178" s="433">
        <f t="shared" si="136"/>
        <v>0</v>
      </c>
      <c r="BN178" s="433">
        <f t="shared" si="137"/>
        <v>0</v>
      </c>
      <c r="BO178" s="433">
        <f t="shared" si="138"/>
        <v>0</v>
      </c>
      <c r="BP178" s="433">
        <f t="shared" si="139"/>
        <v>0</v>
      </c>
      <c r="BQ178" s="433">
        <f t="shared" si="140"/>
        <v>0</v>
      </c>
    </row>
    <row r="179" spans="1:69" x14ac:dyDescent="0.2">
      <c r="A179" s="102">
        <v>41810</v>
      </c>
      <c r="B179" s="319">
        <v>1</v>
      </c>
      <c r="C179" s="118" t="s">
        <v>622</v>
      </c>
      <c r="D179" s="111">
        <v>0.83194444444444438</v>
      </c>
      <c r="E179" s="111">
        <v>0.96736111111111101</v>
      </c>
      <c r="F179" s="444">
        <v>50</v>
      </c>
      <c r="G179" s="445">
        <v>8</v>
      </c>
      <c r="H179" s="444"/>
      <c r="I179" s="390"/>
      <c r="J179" s="426">
        <f t="shared" si="113"/>
        <v>194.99999999999994</v>
      </c>
      <c r="K179" s="103">
        <v>1</v>
      </c>
      <c r="L179" s="103"/>
      <c r="M179" s="103"/>
      <c r="N179" s="427">
        <f t="shared" si="114"/>
        <v>1</v>
      </c>
      <c r="O179" s="103"/>
      <c r="P179" s="103">
        <v>1</v>
      </c>
      <c r="Q179" s="103"/>
      <c r="R179" s="428">
        <f t="shared" si="115"/>
        <v>1</v>
      </c>
      <c r="S179" s="103"/>
      <c r="T179" s="103"/>
      <c r="U179" s="103"/>
      <c r="V179" s="125"/>
      <c r="W179" s="428">
        <f t="shared" si="119"/>
        <v>0</v>
      </c>
      <c r="X179" s="103"/>
      <c r="Y179" s="103"/>
      <c r="Z179" s="125"/>
      <c r="AA179" s="428">
        <f t="shared" si="120"/>
        <v>0</v>
      </c>
      <c r="AB179" s="103"/>
      <c r="AC179" s="103"/>
      <c r="AD179" s="103"/>
      <c r="AE179" s="428">
        <f t="shared" si="121"/>
        <v>0</v>
      </c>
      <c r="AF179" s="103"/>
      <c r="AG179" s="103"/>
      <c r="AH179" s="103"/>
      <c r="AI179" s="103"/>
      <c r="AJ179" s="428">
        <f t="shared" si="122"/>
        <v>0</v>
      </c>
      <c r="AK179" s="446"/>
      <c r="AL179" s="446"/>
      <c r="AM179" s="446"/>
      <c r="AN179" s="446"/>
      <c r="AO179" s="446"/>
      <c r="AP179" s="446"/>
      <c r="AQ179" s="446"/>
      <c r="AR179" s="431">
        <f t="shared" si="123"/>
        <v>0</v>
      </c>
      <c r="AT179" s="128"/>
      <c r="AU179" s="100" t="s">
        <v>864</v>
      </c>
      <c r="AV179" s="128" t="s">
        <v>913</v>
      </c>
      <c r="AW179" s="100" t="s">
        <v>919</v>
      </c>
      <c r="AX179" s="433">
        <f t="shared" si="124"/>
        <v>1</v>
      </c>
      <c r="AY179" s="433">
        <f t="shared" si="125"/>
        <v>0</v>
      </c>
      <c r="AZ179" s="433">
        <f t="shared" si="126"/>
        <v>0</v>
      </c>
      <c r="BA179" s="433">
        <f t="shared" si="116"/>
        <v>0</v>
      </c>
      <c r="BB179" s="433">
        <f t="shared" si="117"/>
        <v>1</v>
      </c>
      <c r="BC179" s="433">
        <f t="shared" si="118"/>
        <v>0</v>
      </c>
      <c r="BD179" s="433">
        <f t="shared" si="127"/>
        <v>0</v>
      </c>
      <c r="BE179" s="433">
        <f t="shared" si="128"/>
        <v>0</v>
      </c>
      <c r="BF179" s="433">
        <f t="shared" si="129"/>
        <v>0</v>
      </c>
      <c r="BG179" s="433">
        <f t="shared" si="130"/>
        <v>0</v>
      </c>
      <c r="BH179" s="433">
        <f t="shared" si="131"/>
        <v>0</v>
      </c>
      <c r="BI179" s="433">
        <f t="shared" si="132"/>
        <v>0</v>
      </c>
      <c r="BJ179" s="433">
        <f t="shared" si="133"/>
        <v>0</v>
      </c>
      <c r="BK179" s="433">
        <f t="shared" si="134"/>
        <v>0</v>
      </c>
      <c r="BL179" s="433">
        <f t="shared" si="135"/>
        <v>0</v>
      </c>
      <c r="BM179" s="433">
        <f t="shared" si="136"/>
        <v>0</v>
      </c>
      <c r="BN179" s="433">
        <f t="shared" si="137"/>
        <v>0</v>
      </c>
      <c r="BO179" s="433">
        <f t="shared" si="138"/>
        <v>0</v>
      </c>
      <c r="BP179" s="433">
        <f t="shared" si="139"/>
        <v>0</v>
      </c>
      <c r="BQ179" s="433">
        <f t="shared" si="140"/>
        <v>0</v>
      </c>
    </row>
    <row r="180" spans="1:69" x14ac:dyDescent="0.2">
      <c r="A180" s="102">
        <v>41810</v>
      </c>
      <c r="B180" s="319">
        <v>2</v>
      </c>
      <c r="C180" s="118" t="s">
        <v>745</v>
      </c>
      <c r="D180" s="111">
        <v>0.28194444444444444</v>
      </c>
      <c r="E180" s="111">
        <v>0.35555555555555557</v>
      </c>
      <c r="F180" s="444">
        <v>33</v>
      </c>
      <c r="G180" s="445">
        <v>8</v>
      </c>
      <c r="H180" s="444"/>
      <c r="I180" s="390"/>
      <c r="J180" s="426">
        <f t="shared" si="113"/>
        <v>106.00000000000003</v>
      </c>
      <c r="K180" s="103"/>
      <c r="L180" s="103"/>
      <c r="M180" s="103"/>
      <c r="N180" s="427">
        <f t="shared" si="114"/>
        <v>0</v>
      </c>
      <c r="O180" s="103"/>
      <c r="P180" s="103"/>
      <c r="Q180" s="103"/>
      <c r="R180" s="428">
        <f t="shared" si="115"/>
        <v>0</v>
      </c>
      <c r="S180" s="103"/>
      <c r="T180" s="103"/>
      <c r="U180" s="103"/>
      <c r="V180" s="125"/>
      <c r="W180" s="428">
        <f t="shared" si="119"/>
        <v>0</v>
      </c>
      <c r="X180" s="103"/>
      <c r="Y180" s="103"/>
      <c r="Z180" s="125"/>
      <c r="AA180" s="428">
        <f t="shared" si="120"/>
        <v>0</v>
      </c>
      <c r="AB180" s="103"/>
      <c r="AC180" s="103"/>
      <c r="AD180" s="103"/>
      <c r="AE180" s="428">
        <f t="shared" si="121"/>
        <v>0</v>
      </c>
      <c r="AF180" s="103"/>
      <c r="AG180" s="103"/>
      <c r="AH180" s="103"/>
      <c r="AI180" s="103"/>
      <c r="AJ180" s="428">
        <f t="shared" si="122"/>
        <v>0</v>
      </c>
      <c r="AK180" s="446"/>
      <c r="AL180" s="446"/>
      <c r="AM180" s="446"/>
      <c r="AN180" s="446"/>
      <c r="AO180" s="446"/>
      <c r="AP180" s="446"/>
      <c r="AQ180" s="446"/>
      <c r="AR180" s="431">
        <f t="shared" si="123"/>
        <v>0</v>
      </c>
      <c r="AS180" s="10" t="s">
        <v>742</v>
      </c>
      <c r="AT180" s="128"/>
      <c r="AU180" s="100" t="s">
        <v>855</v>
      </c>
      <c r="AV180" s="128" t="s">
        <v>913</v>
      </c>
      <c r="AW180" s="100" t="s">
        <v>919</v>
      </c>
      <c r="AX180" s="433">
        <f t="shared" si="124"/>
        <v>0</v>
      </c>
      <c r="AY180" s="433">
        <f t="shared" si="125"/>
        <v>0</v>
      </c>
      <c r="AZ180" s="433">
        <f t="shared" si="126"/>
        <v>0</v>
      </c>
      <c r="BA180" s="433">
        <f t="shared" si="116"/>
        <v>0</v>
      </c>
      <c r="BB180" s="433">
        <f t="shared" si="117"/>
        <v>0</v>
      </c>
      <c r="BC180" s="433">
        <f t="shared" si="118"/>
        <v>0</v>
      </c>
      <c r="BD180" s="433">
        <f t="shared" si="127"/>
        <v>0</v>
      </c>
      <c r="BE180" s="433">
        <f t="shared" si="128"/>
        <v>0</v>
      </c>
      <c r="BF180" s="433">
        <f t="shared" si="129"/>
        <v>0</v>
      </c>
      <c r="BG180" s="433">
        <f t="shared" si="130"/>
        <v>0</v>
      </c>
      <c r="BH180" s="433">
        <f t="shared" si="131"/>
        <v>0</v>
      </c>
      <c r="BI180" s="433">
        <f t="shared" si="132"/>
        <v>0</v>
      </c>
      <c r="BJ180" s="433">
        <f t="shared" si="133"/>
        <v>0</v>
      </c>
      <c r="BK180" s="433">
        <f t="shared" si="134"/>
        <v>0</v>
      </c>
      <c r="BL180" s="433">
        <f t="shared" si="135"/>
        <v>0</v>
      </c>
      <c r="BM180" s="433">
        <f t="shared" si="136"/>
        <v>0</v>
      </c>
      <c r="BN180" s="433">
        <f t="shared" si="137"/>
        <v>0</v>
      </c>
      <c r="BO180" s="433">
        <f t="shared" si="138"/>
        <v>0</v>
      </c>
      <c r="BP180" s="433">
        <f t="shared" si="139"/>
        <v>0</v>
      </c>
      <c r="BQ180" s="433">
        <f t="shared" si="140"/>
        <v>0</v>
      </c>
    </row>
    <row r="181" spans="1:69" x14ac:dyDescent="0.2">
      <c r="A181" s="102">
        <v>41810</v>
      </c>
      <c r="B181" s="319">
        <v>2</v>
      </c>
      <c r="C181" s="118" t="s">
        <v>857</v>
      </c>
      <c r="D181" s="111">
        <v>0.35555555555555557</v>
      </c>
      <c r="E181" s="111">
        <v>0.56597222222222221</v>
      </c>
      <c r="F181" s="444">
        <v>33</v>
      </c>
      <c r="G181" s="445">
        <v>9</v>
      </c>
      <c r="H181" s="444"/>
      <c r="I181" s="390"/>
      <c r="J181" s="426">
        <f t="shared" si="113"/>
        <v>302.99999999999994</v>
      </c>
      <c r="K181" s="103">
        <v>1</v>
      </c>
      <c r="L181" s="103"/>
      <c r="M181" s="103"/>
      <c r="N181" s="427">
        <f t="shared" si="114"/>
        <v>1</v>
      </c>
      <c r="O181" s="103"/>
      <c r="P181" s="103"/>
      <c r="Q181" s="103"/>
      <c r="R181" s="428">
        <f t="shared" si="115"/>
        <v>0</v>
      </c>
      <c r="S181" s="103"/>
      <c r="T181" s="103"/>
      <c r="U181" s="103"/>
      <c r="V181" s="125"/>
      <c r="W181" s="428">
        <f t="shared" si="119"/>
        <v>0</v>
      </c>
      <c r="X181" s="103"/>
      <c r="Y181" s="103"/>
      <c r="Z181" s="125"/>
      <c r="AA181" s="428">
        <f t="shared" si="120"/>
        <v>0</v>
      </c>
      <c r="AB181" s="103"/>
      <c r="AC181" s="103"/>
      <c r="AD181" s="103"/>
      <c r="AE181" s="428">
        <f t="shared" si="121"/>
        <v>0</v>
      </c>
      <c r="AF181" s="103"/>
      <c r="AG181" s="103"/>
      <c r="AH181" s="103"/>
      <c r="AI181" s="103"/>
      <c r="AJ181" s="428">
        <f t="shared" si="122"/>
        <v>0</v>
      </c>
      <c r="AK181" s="446"/>
      <c r="AL181" s="446"/>
      <c r="AM181" s="446"/>
      <c r="AN181" s="446"/>
      <c r="AO181" s="446"/>
      <c r="AP181" s="446"/>
      <c r="AQ181" s="446"/>
      <c r="AR181" s="431">
        <f t="shared" si="123"/>
        <v>0</v>
      </c>
      <c r="AT181" s="128"/>
      <c r="AU181" s="100" t="s">
        <v>858</v>
      </c>
      <c r="AV181" s="128" t="s">
        <v>913</v>
      </c>
      <c r="AW181" s="100" t="s">
        <v>919</v>
      </c>
      <c r="AX181" s="433">
        <f t="shared" si="124"/>
        <v>1</v>
      </c>
      <c r="AY181" s="433">
        <f t="shared" si="125"/>
        <v>0</v>
      </c>
      <c r="AZ181" s="433">
        <f t="shared" si="126"/>
        <v>0</v>
      </c>
      <c r="BA181" s="433">
        <f t="shared" si="116"/>
        <v>0</v>
      </c>
      <c r="BB181" s="433">
        <f t="shared" si="117"/>
        <v>0</v>
      </c>
      <c r="BC181" s="433">
        <f t="shared" si="118"/>
        <v>0</v>
      </c>
      <c r="BD181" s="433">
        <f t="shared" si="127"/>
        <v>0</v>
      </c>
      <c r="BE181" s="433">
        <f t="shared" si="128"/>
        <v>0</v>
      </c>
      <c r="BF181" s="433">
        <f t="shared" si="129"/>
        <v>0</v>
      </c>
      <c r="BG181" s="433">
        <f t="shared" si="130"/>
        <v>0</v>
      </c>
      <c r="BH181" s="433">
        <f t="shared" si="131"/>
        <v>0</v>
      </c>
      <c r="BI181" s="433">
        <f t="shared" si="132"/>
        <v>0</v>
      </c>
      <c r="BJ181" s="433">
        <f t="shared" si="133"/>
        <v>0</v>
      </c>
      <c r="BK181" s="433">
        <f t="shared" si="134"/>
        <v>0</v>
      </c>
      <c r="BL181" s="433">
        <f t="shared" si="135"/>
        <v>0</v>
      </c>
      <c r="BM181" s="433">
        <f t="shared" si="136"/>
        <v>0</v>
      </c>
      <c r="BN181" s="433">
        <f t="shared" si="137"/>
        <v>0</v>
      </c>
      <c r="BO181" s="433">
        <f t="shared" si="138"/>
        <v>0</v>
      </c>
      <c r="BP181" s="433">
        <f t="shared" si="139"/>
        <v>0</v>
      </c>
      <c r="BQ181" s="433">
        <f t="shared" si="140"/>
        <v>0</v>
      </c>
    </row>
    <row r="182" spans="1:69" x14ac:dyDescent="0.2">
      <c r="A182" s="102">
        <v>41810</v>
      </c>
      <c r="B182" s="319">
        <v>2</v>
      </c>
      <c r="C182" s="323" t="s">
        <v>865</v>
      </c>
      <c r="D182" s="111">
        <v>0.56597222222222221</v>
      </c>
      <c r="E182" s="111">
        <v>0.69444444444444453</v>
      </c>
      <c r="F182" s="444">
        <v>30</v>
      </c>
      <c r="G182" s="445">
        <v>11</v>
      </c>
      <c r="H182" s="444"/>
      <c r="I182" s="390"/>
      <c r="J182" s="426">
        <f t="shared" si="113"/>
        <v>185.00000000000014</v>
      </c>
      <c r="K182" s="103"/>
      <c r="L182" s="103"/>
      <c r="M182" s="103"/>
      <c r="N182" s="427">
        <f t="shared" si="114"/>
        <v>0</v>
      </c>
      <c r="O182" s="103"/>
      <c r="P182" s="103"/>
      <c r="Q182" s="103"/>
      <c r="R182" s="428">
        <f t="shared" si="115"/>
        <v>0</v>
      </c>
      <c r="S182" s="103"/>
      <c r="T182" s="103"/>
      <c r="U182" s="103"/>
      <c r="V182" s="125"/>
      <c r="W182" s="428">
        <f t="shared" si="119"/>
        <v>0</v>
      </c>
      <c r="X182" s="103"/>
      <c r="Y182" s="103"/>
      <c r="Z182" s="125"/>
      <c r="AA182" s="428">
        <f t="shared" si="120"/>
        <v>0</v>
      </c>
      <c r="AB182" s="103"/>
      <c r="AC182" s="103"/>
      <c r="AD182" s="103"/>
      <c r="AE182" s="428">
        <f t="shared" si="121"/>
        <v>0</v>
      </c>
      <c r="AF182" s="103"/>
      <c r="AG182" s="103"/>
      <c r="AH182" s="103"/>
      <c r="AI182" s="103"/>
      <c r="AJ182" s="428">
        <f t="shared" si="122"/>
        <v>0</v>
      </c>
      <c r="AK182" s="446"/>
      <c r="AL182" s="446"/>
      <c r="AM182" s="446"/>
      <c r="AN182" s="446"/>
      <c r="AO182" s="446"/>
      <c r="AP182" s="446"/>
      <c r="AQ182" s="446"/>
      <c r="AR182" s="431">
        <f t="shared" si="123"/>
        <v>0</v>
      </c>
      <c r="AT182" s="128"/>
      <c r="AU182" s="100" t="s">
        <v>861</v>
      </c>
      <c r="AV182" s="128" t="s">
        <v>913</v>
      </c>
      <c r="AW182" s="100" t="s">
        <v>919</v>
      </c>
      <c r="AX182" s="433">
        <f t="shared" si="124"/>
        <v>0</v>
      </c>
      <c r="AY182" s="433">
        <f t="shared" si="125"/>
        <v>0</v>
      </c>
      <c r="AZ182" s="433">
        <f t="shared" si="126"/>
        <v>0</v>
      </c>
      <c r="BA182" s="433">
        <f t="shared" si="116"/>
        <v>0</v>
      </c>
      <c r="BB182" s="433">
        <f t="shared" si="117"/>
        <v>0</v>
      </c>
      <c r="BC182" s="433">
        <f t="shared" si="118"/>
        <v>0</v>
      </c>
      <c r="BD182" s="433">
        <f t="shared" si="127"/>
        <v>0</v>
      </c>
      <c r="BE182" s="433">
        <f t="shared" si="128"/>
        <v>0</v>
      </c>
      <c r="BF182" s="433">
        <f t="shared" si="129"/>
        <v>0</v>
      </c>
      <c r="BG182" s="433">
        <f t="shared" si="130"/>
        <v>0</v>
      </c>
      <c r="BH182" s="433">
        <f t="shared" si="131"/>
        <v>0</v>
      </c>
      <c r="BI182" s="433">
        <f t="shared" si="132"/>
        <v>0</v>
      </c>
      <c r="BJ182" s="433">
        <f t="shared" si="133"/>
        <v>0</v>
      </c>
      <c r="BK182" s="433">
        <f t="shared" si="134"/>
        <v>0</v>
      </c>
      <c r="BL182" s="433">
        <f t="shared" si="135"/>
        <v>0</v>
      </c>
      <c r="BM182" s="433">
        <f t="shared" si="136"/>
        <v>0</v>
      </c>
      <c r="BN182" s="433">
        <f t="shared" si="137"/>
        <v>0</v>
      </c>
      <c r="BO182" s="433">
        <f t="shared" si="138"/>
        <v>0</v>
      </c>
      <c r="BP182" s="433">
        <f t="shared" si="139"/>
        <v>0</v>
      </c>
      <c r="BQ182" s="433">
        <f t="shared" si="140"/>
        <v>0</v>
      </c>
    </row>
    <row r="183" spans="1:69" x14ac:dyDescent="0.2">
      <c r="A183" s="102">
        <v>41810</v>
      </c>
      <c r="B183" s="319">
        <v>2</v>
      </c>
      <c r="C183" s="118" t="s">
        <v>862</v>
      </c>
      <c r="D183" s="111">
        <v>0.69444444444444453</v>
      </c>
      <c r="E183" s="111">
        <v>0.8125</v>
      </c>
      <c r="F183" s="444">
        <v>31</v>
      </c>
      <c r="G183" s="445">
        <v>11</v>
      </c>
      <c r="H183" s="444"/>
      <c r="I183" s="390"/>
      <c r="J183" s="426">
        <f t="shared" si="113"/>
        <v>169.99999999999989</v>
      </c>
      <c r="K183" s="103">
        <v>1</v>
      </c>
      <c r="L183" s="103"/>
      <c r="M183" s="103"/>
      <c r="N183" s="427">
        <f t="shared" si="114"/>
        <v>1</v>
      </c>
      <c r="O183" s="103"/>
      <c r="P183" s="103"/>
      <c r="Q183" s="103"/>
      <c r="R183" s="428">
        <f t="shared" si="115"/>
        <v>0</v>
      </c>
      <c r="S183" s="103"/>
      <c r="T183" s="103"/>
      <c r="U183" s="103"/>
      <c r="V183" s="125"/>
      <c r="W183" s="428">
        <f t="shared" si="119"/>
        <v>0</v>
      </c>
      <c r="X183" s="103"/>
      <c r="Y183" s="103"/>
      <c r="Z183" s="125"/>
      <c r="AA183" s="428">
        <f t="shared" si="120"/>
        <v>0</v>
      </c>
      <c r="AB183" s="103"/>
      <c r="AC183" s="103"/>
      <c r="AD183" s="103"/>
      <c r="AE183" s="428">
        <f t="shared" si="121"/>
        <v>0</v>
      </c>
      <c r="AF183" s="103"/>
      <c r="AG183" s="103"/>
      <c r="AH183" s="103"/>
      <c r="AI183" s="103"/>
      <c r="AJ183" s="428">
        <f t="shared" si="122"/>
        <v>0</v>
      </c>
      <c r="AK183" s="446"/>
      <c r="AL183" s="446"/>
      <c r="AM183" s="446"/>
      <c r="AN183" s="446"/>
      <c r="AO183" s="446"/>
      <c r="AP183" s="446"/>
      <c r="AQ183" s="446"/>
      <c r="AR183" s="431">
        <f t="shared" si="123"/>
        <v>0</v>
      </c>
      <c r="AT183" s="128"/>
      <c r="AU183" s="100" t="s">
        <v>863</v>
      </c>
      <c r="AV183" s="128" t="s">
        <v>913</v>
      </c>
      <c r="AW183" s="100" t="s">
        <v>919</v>
      </c>
      <c r="AX183" s="433">
        <f t="shared" si="124"/>
        <v>1</v>
      </c>
      <c r="AY183" s="433">
        <f t="shared" si="125"/>
        <v>0</v>
      </c>
      <c r="AZ183" s="433">
        <f t="shared" si="126"/>
        <v>0</v>
      </c>
      <c r="BA183" s="433">
        <f t="shared" si="116"/>
        <v>0</v>
      </c>
      <c r="BB183" s="433">
        <f t="shared" si="117"/>
        <v>0</v>
      </c>
      <c r="BC183" s="433">
        <f t="shared" si="118"/>
        <v>0</v>
      </c>
      <c r="BD183" s="433">
        <f t="shared" si="127"/>
        <v>0</v>
      </c>
      <c r="BE183" s="433">
        <f t="shared" si="128"/>
        <v>0</v>
      </c>
      <c r="BF183" s="433">
        <f t="shared" si="129"/>
        <v>0</v>
      </c>
      <c r="BG183" s="433">
        <f t="shared" si="130"/>
        <v>0</v>
      </c>
      <c r="BH183" s="433">
        <f t="shared" si="131"/>
        <v>0</v>
      </c>
      <c r="BI183" s="433">
        <f t="shared" si="132"/>
        <v>0</v>
      </c>
      <c r="BJ183" s="433">
        <f t="shared" si="133"/>
        <v>0</v>
      </c>
      <c r="BK183" s="433">
        <f t="shared" si="134"/>
        <v>0</v>
      </c>
      <c r="BL183" s="433">
        <f t="shared" si="135"/>
        <v>0</v>
      </c>
      <c r="BM183" s="433">
        <f t="shared" si="136"/>
        <v>0</v>
      </c>
      <c r="BN183" s="433">
        <f t="shared" si="137"/>
        <v>0</v>
      </c>
      <c r="BO183" s="433">
        <f t="shared" si="138"/>
        <v>0</v>
      </c>
      <c r="BP183" s="433">
        <f t="shared" si="139"/>
        <v>0</v>
      </c>
      <c r="BQ183" s="433">
        <f t="shared" si="140"/>
        <v>0</v>
      </c>
    </row>
    <row r="184" spans="1:69" x14ac:dyDescent="0.2">
      <c r="A184" s="102">
        <v>41810</v>
      </c>
      <c r="B184" s="319">
        <v>2</v>
      </c>
      <c r="C184" s="118" t="s">
        <v>622</v>
      </c>
      <c r="D184" s="111">
        <v>0.8125</v>
      </c>
      <c r="E184" s="111">
        <v>0.95486111111111116</v>
      </c>
      <c r="F184" s="444">
        <v>32</v>
      </c>
      <c r="G184" s="445">
        <v>12</v>
      </c>
      <c r="H184" s="444"/>
      <c r="I184" s="390"/>
      <c r="J184" s="426">
        <f t="shared" si="113"/>
        <v>205.00000000000006</v>
      </c>
      <c r="K184" s="103"/>
      <c r="L184" s="103"/>
      <c r="M184" s="103"/>
      <c r="N184" s="427">
        <f t="shared" si="114"/>
        <v>0</v>
      </c>
      <c r="O184" s="103"/>
      <c r="P184" s="103"/>
      <c r="Q184" s="103"/>
      <c r="R184" s="428">
        <f t="shared" si="115"/>
        <v>0</v>
      </c>
      <c r="S184" s="103"/>
      <c r="T184" s="103"/>
      <c r="U184" s="103"/>
      <c r="V184" s="125"/>
      <c r="W184" s="428">
        <f t="shared" si="119"/>
        <v>0</v>
      </c>
      <c r="X184" s="103"/>
      <c r="Y184" s="103"/>
      <c r="Z184" s="125"/>
      <c r="AA184" s="428">
        <f t="shared" si="120"/>
        <v>0</v>
      </c>
      <c r="AB184" s="103"/>
      <c r="AC184" s="103"/>
      <c r="AD184" s="103"/>
      <c r="AE184" s="428">
        <f t="shared" si="121"/>
        <v>0</v>
      </c>
      <c r="AF184" s="103"/>
      <c r="AG184" s="103"/>
      <c r="AH184" s="103"/>
      <c r="AI184" s="103"/>
      <c r="AJ184" s="428">
        <f t="shared" si="122"/>
        <v>0</v>
      </c>
      <c r="AK184" s="446"/>
      <c r="AL184" s="446"/>
      <c r="AM184" s="446"/>
      <c r="AN184" s="446"/>
      <c r="AO184" s="446"/>
      <c r="AP184" s="446"/>
      <c r="AQ184" s="446"/>
      <c r="AR184" s="431">
        <f t="shared" si="123"/>
        <v>0</v>
      </c>
      <c r="AT184" s="128" t="s">
        <v>424</v>
      </c>
      <c r="AU184" s="100" t="s">
        <v>866</v>
      </c>
      <c r="AV184" s="128" t="s">
        <v>913</v>
      </c>
      <c r="AW184" s="100" t="s">
        <v>919</v>
      </c>
      <c r="AX184" s="433">
        <f t="shared" si="124"/>
        <v>0</v>
      </c>
      <c r="AY184" s="433">
        <f t="shared" si="125"/>
        <v>0</v>
      </c>
      <c r="AZ184" s="433">
        <f t="shared" si="126"/>
        <v>0</v>
      </c>
      <c r="BA184" s="433">
        <f t="shared" si="116"/>
        <v>0</v>
      </c>
      <c r="BB184" s="433">
        <f t="shared" si="117"/>
        <v>0</v>
      </c>
      <c r="BC184" s="433">
        <f t="shared" si="118"/>
        <v>0</v>
      </c>
      <c r="BD184" s="433">
        <f t="shared" si="127"/>
        <v>0</v>
      </c>
      <c r="BE184" s="433">
        <f t="shared" si="128"/>
        <v>0</v>
      </c>
      <c r="BF184" s="433">
        <f t="shared" si="129"/>
        <v>0</v>
      </c>
      <c r="BG184" s="433">
        <f t="shared" si="130"/>
        <v>0</v>
      </c>
      <c r="BH184" s="433">
        <f t="shared" si="131"/>
        <v>0</v>
      </c>
      <c r="BI184" s="433">
        <f t="shared" si="132"/>
        <v>0</v>
      </c>
      <c r="BJ184" s="433">
        <f t="shared" si="133"/>
        <v>0</v>
      </c>
      <c r="BK184" s="433">
        <f t="shared" si="134"/>
        <v>0</v>
      </c>
      <c r="BL184" s="433">
        <f t="shared" si="135"/>
        <v>0</v>
      </c>
      <c r="BM184" s="433">
        <f t="shared" si="136"/>
        <v>0</v>
      </c>
      <c r="BN184" s="433">
        <f t="shared" si="137"/>
        <v>0</v>
      </c>
      <c r="BO184" s="433">
        <f t="shared" si="138"/>
        <v>0</v>
      </c>
      <c r="BP184" s="433">
        <f t="shared" si="139"/>
        <v>0</v>
      </c>
      <c r="BQ184" s="433">
        <f t="shared" si="140"/>
        <v>0</v>
      </c>
    </row>
    <row r="185" spans="1:69" x14ac:dyDescent="0.2">
      <c r="A185" s="102">
        <v>41810</v>
      </c>
      <c r="B185" s="319">
        <v>3</v>
      </c>
      <c r="C185" s="118" t="s">
        <v>745</v>
      </c>
      <c r="D185" s="111">
        <v>0.2673611111111111</v>
      </c>
      <c r="E185" s="111">
        <v>0.36736111111111108</v>
      </c>
      <c r="F185" s="444">
        <v>39</v>
      </c>
      <c r="G185" s="445">
        <v>8</v>
      </c>
      <c r="H185" s="444"/>
      <c r="I185" s="390"/>
      <c r="J185" s="426">
        <f t="shared" si="113"/>
        <v>143.99999999999997</v>
      </c>
      <c r="K185" s="103">
        <v>1</v>
      </c>
      <c r="L185" s="103"/>
      <c r="M185" s="103"/>
      <c r="N185" s="427">
        <f t="shared" si="114"/>
        <v>1</v>
      </c>
      <c r="O185" s="103"/>
      <c r="P185" s="103"/>
      <c r="Q185" s="103"/>
      <c r="R185" s="428">
        <f t="shared" si="115"/>
        <v>0</v>
      </c>
      <c r="S185" s="103"/>
      <c r="T185" s="103"/>
      <c r="U185" s="103"/>
      <c r="V185" s="125"/>
      <c r="W185" s="428">
        <f t="shared" si="119"/>
        <v>0</v>
      </c>
      <c r="X185" s="103"/>
      <c r="Y185" s="103"/>
      <c r="Z185" s="125"/>
      <c r="AA185" s="428">
        <f t="shared" si="120"/>
        <v>0</v>
      </c>
      <c r="AB185" s="103"/>
      <c r="AC185" s="103"/>
      <c r="AD185" s="103"/>
      <c r="AE185" s="428">
        <f t="shared" si="121"/>
        <v>0</v>
      </c>
      <c r="AF185" s="103"/>
      <c r="AG185" s="103"/>
      <c r="AH185" s="103"/>
      <c r="AI185" s="103"/>
      <c r="AJ185" s="428">
        <f t="shared" si="122"/>
        <v>0</v>
      </c>
      <c r="AK185" s="446"/>
      <c r="AL185" s="446"/>
      <c r="AM185" s="446"/>
      <c r="AN185" s="446"/>
      <c r="AO185" s="446"/>
      <c r="AP185" s="446"/>
      <c r="AQ185" s="446"/>
      <c r="AR185" s="431">
        <f t="shared" si="123"/>
        <v>0</v>
      </c>
      <c r="AT185" s="128"/>
      <c r="AU185" s="100" t="s">
        <v>855</v>
      </c>
      <c r="AV185" s="128" t="s">
        <v>913</v>
      </c>
      <c r="AW185" s="100" t="s">
        <v>919</v>
      </c>
      <c r="AX185" s="433">
        <f t="shared" si="124"/>
        <v>1</v>
      </c>
      <c r="AY185" s="433">
        <f t="shared" si="125"/>
        <v>0</v>
      </c>
      <c r="AZ185" s="433">
        <f t="shared" si="126"/>
        <v>0</v>
      </c>
      <c r="BA185" s="433">
        <f t="shared" si="116"/>
        <v>0</v>
      </c>
      <c r="BB185" s="433">
        <f t="shared" si="117"/>
        <v>0</v>
      </c>
      <c r="BC185" s="433">
        <f t="shared" si="118"/>
        <v>0</v>
      </c>
      <c r="BD185" s="433">
        <f t="shared" si="127"/>
        <v>0</v>
      </c>
      <c r="BE185" s="433">
        <f t="shared" si="128"/>
        <v>0</v>
      </c>
      <c r="BF185" s="433">
        <f t="shared" si="129"/>
        <v>0</v>
      </c>
      <c r="BG185" s="433">
        <f t="shared" si="130"/>
        <v>0</v>
      </c>
      <c r="BH185" s="433">
        <f t="shared" si="131"/>
        <v>0</v>
      </c>
      <c r="BI185" s="433">
        <f t="shared" si="132"/>
        <v>0</v>
      </c>
      <c r="BJ185" s="433">
        <f t="shared" si="133"/>
        <v>0</v>
      </c>
      <c r="BK185" s="433">
        <f t="shared" si="134"/>
        <v>0</v>
      </c>
      <c r="BL185" s="433">
        <f t="shared" si="135"/>
        <v>0</v>
      </c>
      <c r="BM185" s="433">
        <f t="shared" si="136"/>
        <v>0</v>
      </c>
      <c r="BN185" s="433">
        <f t="shared" si="137"/>
        <v>0</v>
      </c>
      <c r="BO185" s="433">
        <f t="shared" si="138"/>
        <v>0</v>
      </c>
      <c r="BP185" s="433">
        <f t="shared" si="139"/>
        <v>0</v>
      </c>
      <c r="BQ185" s="433">
        <f t="shared" si="140"/>
        <v>0</v>
      </c>
    </row>
    <row r="186" spans="1:69" x14ac:dyDescent="0.2">
      <c r="A186" s="102">
        <v>41810</v>
      </c>
      <c r="B186" s="319">
        <v>3</v>
      </c>
      <c r="C186" s="118" t="s">
        <v>857</v>
      </c>
      <c r="D186" s="111">
        <v>0.36736111111111108</v>
      </c>
      <c r="E186" s="111">
        <v>0.55763888888888891</v>
      </c>
      <c r="F186" s="444">
        <v>39</v>
      </c>
      <c r="G186" s="445">
        <v>9</v>
      </c>
      <c r="H186" s="444"/>
      <c r="I186" s="390"/>
      <c r="J186" s="426">
        <f t="shared" si="113"/>
        <v>274.00000000000011</v>
      </c>
      <c r="K186" s="103">
        <v>3</v>
      </c>
      <c r="L186" s="103"/>
      <c r="M186" s="103"/>
      <c r="N186" s="427">
        <f t="shared" si="114"/>
        <v>3</v>
      </c>
      <c r="O186" s="103"/>
      <c r="P186" s="103">
        <v>1</v>
      </c>
      <c r="Q186" s="103"/>
      <c r="R186" s="428">
        <f t="shared" si="115"/>
        <v>1</v>
      </c>
      <c r="S186" s="103"/>
      <c r="T186" s="103"/>
      <c r="U186" s="103"/>
      <c r="V186" s="125"/>
      <c r="W186" s="428">
        <f t="shared" si="119"/>
        <v>0</v>
      </c>
      <c r="X186" s="103"/>
      <c r="Y186" s="103"/>
      <c r="Z186" s="125"/>
      <c r="AA186" s="428">
        <f t="shared" si="120"/>
        <v>0</v>
      </c>
      <c r="AB186" s="103"/>
      <c r="AC186" s="103"/>
      <c r="AD186" s="103"/>
      <c r="AE186" s="428">
        <f t="shared" si="121"/>
        <v>0</v>
      </c>
      <c r="AF186" s="103"/>
      <c r="AG186" s="103"/>
      <c r="AH186" s="103"/>
      <c r="AI186" s="103"/>
      <c r="AJ186" s="428">
        <f t="shared" si="122"/>
        <v>0</v>
      </c>
      <c r="AK186" s="446"/>
      <c r="AL186" s="446"/>
      <c r="AM186" s="446"/>
      <c r="AN186" s="446"/>
      <c r="AO186" s="446"/>
      <c r="AP186" s="446"/>
      <c r="AQ186" s="446"/>
      <c r="AR186" s="431">
        <f t="shared" si="123"/>
        <v>0</v>
      </c>
      <c r="AT186" s="128"/>
      <c r="AU186" s="100" t="s">
        <v>858</v>
      </c>
      <c r="AV186" s="128" t="s">
        <v>913</v>
      </c>
      <c r="AW186" s="100" t="s">
        <v>919</v>
      </c>
      <c r="AX186" s="433">
        <f t="shared" si="124"/>
        <v>3</v>
      </c>
      <c r="AY186" s="433">
        <f t="shared" si="125"/>
        <v>0</v>
      </c>
      <c r="AZ186" s="433">
        <f t="shared" si="126"/>
        <v>0</v>
      </c>
      <c r="BA186" s="433">
        <f t="shared" si="116"/>
        <v>0</v>
      </c>
      <c r="BB186" s="433">
        <f t="shared" si="117"/>
        <v>1</v>
      </c>
      <c r="BC186" s="433">
        <f t="shared" si="118"/>
        <v>0</v>
      </c>
      <c r="BD186" s="433">
        <f t="shared" si="127"/>
        <v>0</v>
      </c>
      <c r="BE186" s="433">
        <f t="shared" si="128"/>
        <v>0</v>
      </c>
      <c r="BF186" s="433">
        <f t="shared" si="129"/>
        <v>0</v>
      </c>
      <c r="BG186" s="433">
        <f t="shared" si="130"/>
        <v>0</v>
      </c>
      <c r="BH186" s="433">
        <f t="shared" si="131"/>
        <v>0</v>
      </c>
      <c r="BI186" s="433">
        <f t="shared" si="132"/>
        <v>0</v>
      </c>
      <c r="BJ186" s="433">
        <f t="shared" si="133"/>
        <v>0</v>
      </c>
      <c r="BK186" s="433">
        <f t="shared" si="134"/>
        <v>0</v>
      </c>
      <c r="BL186" s="433">
        <f t="shared" si="135"/>
        <v>0</v>
      </c>
      <c r="BM186" s="433">
        <f t="shared" si="136"/>
        <v>0</v>
      </c>
      <c r="BN186" s="433">
        <f t="shared" si="137"/>
        <v>0</v>
      </c>
      <c r="BO186" s="433">
        <f t="shared" si="138"/>
        <v>0</v>
      </c>
      <c r="BP186" s="433">
        <f t="shared" si="139"/>
        <v>0</v>
      </c>
      <c r="BQ186" s="433">
        <f t="shared" si="140"/>
        <v>0</v>
      </c>
    </row>
    <row r="187" spans="1:69" x14ac:dyDescent="0.2">
      <c r="A187" s="102">
        <v>41810</v>
      </c>
      <c r="B187" s="319">
        <v>3</v>
      </c>
      <c r="C187" s="118" t="s">
        <v>815</v>
      </c>
      <c r="D187" s="111">
        <v>0.55763888888888891</v>
      </c>
      <c r="E187" s="111">
        <v>0.62708333333333333</v>
      </c>
      <c r="F187" s="444">
        <v>40</v>
      </c>
      <c r="G187" s="445">
        <v>8</v>
      </c>
      <c r="H187" s="444"/>
      <c r="I187" s="390"/>
      <c r="J187" s="426">
        <f t="shared" si="113"/>
        <v>99.999999999999972</v>
      </c>
      <c r="K187" s="103"/>
      <c r="L187" s="103"/>
      <c r="M187" s="103"/>
      <c r="N187" s="427">
        <f t="shared" si="114"/>
        <v>0</v>
      </c>
      <c r="O187" s="103"/>
      <c r="P187" s="103">
        <v>1</v>
      </c>
      <c r="Q187" s="103"/>
      <c r="R187" s="428">
        <f t="shared" si="115"/>
        <v>1</v>
      </c>
      <c r="S187" s="103"/>
      <c r="T187" s="103"/>
      <c r="U187" s="103"/>
      <c r="V187" s="125"/>
      <c r="W187" s="428">
        <f t="shared" si="119"/>
        <v>0</v>
      </c>
      <c r="X187" s="103"/>
      <c r="Y187" s="103"/>
      <c r="Z187" s="125"/>
      <c r="AA187" s="428">
        <f t="shared" si="120"/>
        <v>0</v>
      </c>
      <c r="AB187" s="103"/>
      <c r="AC187" s="103"/>
      <c r="AD187" s="103"/>
      <c r="AE187" s="428">
        <f t="shared" si="121"/>
        <v>0</v>
      </c>
      <c r="AF187" s="103"/>
      <c r="AG187" s="103"/>
      <c r="AH187" s="103"/>
      <c r="AI187" s="103"/>
      <c r="AJ187" s="428">
        <f t="shared" si="122"/>
        <v>0</v>
      </c>
      <c r="AK187" s="446"/>
      <c r="AL187" s="446"/>
      <c r="AM187" s="446"/>
      <c r="AN187" s="446"/>
      <c r="AO187" s="446"/>
      <c r="AP187" s="446"/>
      <c r="AQ187" s="446"/>
      <c r="AR187" s="431">
        <f t="shared" si="123"/>
        <v>0</v>
      </c>
      <c r="AT187" s="128"/>
      <c r="AU187" s="100" t="s">
        <v>861</v>
      </c>
      <c r="AV187" s="128" t="s">
        <v>913</v>
      </c>
      <c r="AW187" s="100" t="s">
        <v>919</v>
      </c>
      <c r="AX187" s="433">
        <f t="shared" si="124"/>
        <v>0</v>
      </c>
      <c r="AY187" s="433">
        <f t="shared" si="125"/>
        <v>0</v>
      </c>
      <c r="AZ187" s="433">
        <f t="shared" si="126"/>
        <v>0</v>
      </c>
      <c r="BA187" s="433">
        <f t="shared" si="116"/>
        <v>0</v>
      </c>
      <c r="BB187" s="433">
        <f t="shared" si="117"/>
        <v>1</v>
      </c>
      <c r="BC187" s="433">
        <f t="shared" si="118"/>
        <v>0</v>
      </c>
      <c r="BD187" s="433">
        <f t="shared" si="127"/>
        <v>0</v>
      </c>
      <c r="BE187" s="433">
        <f t="shared" si="128"/>
        <v>0</v>
      </c>
      <c r="BF187" s="433">
        <f t="shared" si="129"/>
        <v>0</v>
      </c>
      <c r="BG187" s="433">
        <f t="shared" si="130"/>
        <v>0</v>
      </c>
      <c r="BH187" s="433">
        <f t="shared" si="131"/>
        <v>0</v>
      </c>
      <c r="BI187" s="433">
        <f t="shared" si="132"/>
        <v>0</v>
      </c>
      <c r="BJ187" s="433">
        <f t="shared" si="133"/>
        <v>0</v>
      </c>
      <c r="BK187" s="433">
        <f t="shared" si="134"/>
        <v>0</v>
      </c>
      <c r="BL187" s="433">
        <f t="shared" si="135"/>
        <v>0</v>
      </c>
      <c r="BM187" s="433">
        <f t="shared" si="136"/>
        <v>0</v>
      </c>
      <c r="BN187" s="433">
        <f t="shared" si="137"/>
        <v>0</v>
      </c>
      <c r="BO187" s="433">
        <f t="shared" si="138"/>
        <v>0</v>
      </c>
      <c r="BP187" s="433">
        <f t="shared" si="139"/>
        <v>0</v>
      </c>
      <c r="BQ187" s="433">
        <f t="shared" si="140"/>
        <v>0</v>
      </c>
    </row>
    <row r="188" spans="1:69" x14ac:dyDescent="0.2">
      <c r="A188" s="102">
        <v>41810</v>
      </c>
      <c r="B188" s="319">
        <v>3</v>
      </c>
      <c r="C188" s="118" t="s">
        <v>859</v>
      </c>
      <c r="D188" s="111">
        <v>0.62708333333333333</v>
      </c>
      <c r="E188" s="111">
        <v>0.68333333333333324</v>
      </c>
      <c r="F188" s="444">
        <v>39</v>
      </c>
      <c r="G188" s="445">
        <v>11</v>
      </c>
      <c r="H188" s="444"/>
      <c r="I188" s="390"/>
      <c r="J188" s="426">
        <f t="shared" si="113"/>
        <v>80.999999999999872</v>
      </c>
      <c r="K188" s="103"/>
      <c r="L188" s="103"/>
      <c r="M188" s="103"/>
      <c r="N188" s="427">
        <f t="shared" si="114"/>
        <v>0</v>
      </c>
      <c r="O188" s="103"/>
      <c r="P188" s="103"/>
      <c r="Q188" s="103"/>
      <c r="R188" s="428">
        <f t="shared" si="115"/>
        <v>0</v>
      </c>
      <c r="S188" s="103"/>
      <c r="T188" s="103"/>
      <c r="U188" s="103"/>
      <c r="V188" s="125"/>
      <c r="W188" s="428">
        <f t="shared" si="119"/>
        <v>0</v>
      </c>
      <c r="X188" s="103"/>
      <c r="Y188" s="103"/>
      <c r="Z188" s="125"/>
      <c r="AA188" s="428">
        <f t="shared" si="120"/>
        <v>0</v>
      </c>
      <c r="AB188" s="103"/>
      <c r="AC188" s="103"/>
      <c r="AD188" s="103"/>
      <c r="AE188" s="428">
        <f t="shared" si="121"/>
        <v>0</v>
      </c>
      <c r="AF188" s="103"/>
      <c r="AG188" s="103"/>
      <c r="AH188" s="103"/>
      <c r="AI188" s="103"/>
      <c r="AJ188" s="428">
        <f t="shared" si="122"/>
        <v>0</v>
      </c>
      <c r="AK188" s="446"/>
      <c r="AL188" s="446"/>
      <c r="AM188" s="446"/>
      <c r="AN188" s="446"/>
      <c r="AO188" s="446"/>
      <c r="AP188" s="446"/>
      <c r="AQ188" s="446"/>
      <c r="AR188" s="431">
        <f t="shared" si="123"/>
        <v>0</v>
      </c>
      <c r="AT188" s="128" t="s">
        <v>424</v>
      </c>
      <c r="AU188" s="100" t="s">
        <v>861</v>
      </c>
      <c r="AV188" s="128" t="s">
        <v>913</v>
      </c>
      <c r="AW188" s="100" t="s">
        <v>919</v>
      </c>
      <c r="AX188" s="433">
        <f t="shared" si="124"/>
        <v>0</v>
      </c>
      <c r="AY188" s="433">
        <f t="shared" si="125"/>
        <v>0</v>
      </c>
      <c r="AZ188" s="433">
        <f t="shared" si="126"/>
        <v>0</v>
      </c>
      <c r="BA188" s="433">
        <f t="shared" si="116"/>
        <v>0</v>
      </c>
      <c r="BB188" s="433">
        <f t="shared" si="117"/>
        <v>0</v>
      </c>
      <c r="BC188" s="433">
        <f t="shared" si="118"/>
        <v>0</v>
      </c>
      <c r="BD188" s="433">
        <f t="shared" si="127"/>
        <v>0</v>
      </c>
      <c r="BE188" s="433">
        <f t="shared" si="128"/>
        <v>0</v>
      </c>
      <c r="BF188" s="433">
        <f t="shared" si="129"/>
        <v>0</v>
      </c>
      <c r="BG188" s="433">
        <f t="shared" si="130"/>
        <v>0</v>
      </c>
      <c r="BH188" s="433">
        <f t="shared" si="131"/>
        <v>0</v>
      </c>
      <c r="BI188" s="433">
        <f t="shared" si="132"/>
        <v>0</v>
      </c>
      <c r="BJ188" s="433">
        <f t="shared" si="133"/>
        <v>0</v>
      </c>
      <c r="BK188" s="433">
        <f t="shared" si="134"/>
        <v>0</v>
      </c>
      <c r="BL188" s="433">
        <f t="shared" si="135"/>
        <v>0</v>
      </c>
      <c r="BM188" s="433">
        <f t="shared" si="136"/>
        <v>0</v>
      </c>
      <c r="BN188" s="433">
        <f t="shared" si="137"/>
        <v>0</v>
      </c>
      <c r="BO188" s="433">
        <f t="shared" si="138"/>
        <v>0</v>
      </c>
      <c r="BP188" s="433">
        <f t="shared" si="139"/>
        <v>0</v>
      </c>
      <c r="BQ188" s="433">
        <f t="shared" si="140"/>
        <v>0</v>
      </c>
    </row>
    <row r="189" spans="1:69" x14ac:dyDescent="0.2">
      <c r="A189" s="102">
        <v>41810</v>
      </c>
      <c r="B189" s="319">
        <v>3</v>
      </c>
      <c r="C189" s="118" t="s">
        <v>862</v>
      </c>
      <c r="D189" s="111">
        <v>0.68333333333333324</v>
      </c>
      <c r="E189" s="111">
        <v>0.80555555555555547</v>
      </c>
      <c r="F189" s="444">
        <v>40</v>
      </c>
      <c r="G189" s="445">
        <v>9</v>
      </c>
      <c r="H189" s="444"/>
      <c r="I189" s="390"/>
      <c r="J189" s="426">
        <f t="shared" si="113"/>
        <v>176</v>
      </c>
      <c r="K189" s="103">
        <v>1</v>
      </c>
      <c r="L189" s="103"/>
      <c r="M189" s="103"/>
      <c r="N189" s="427">
        <f t="shared" si="114"/>
        <v>1</v>
      </c>
      <c r="O189" s="103"/>
      <c r="P189" s="103">
        <v>1</v>
      </c>
      <c r="Q189" s="103"/>
      <c r="R189" s="428">
        <f t="shared" si="115"/>
        <v>1</v>
      </c>
      <c r="S189" s="103"/>
      <c r="T189" s="103"/>
      <c r="U189" s="103"/>
      <c r="V189" s="125"/>
      <c r="W189" s="428">
        <f t="shared" si="119"/>
        <v>0</v>
      </c>
      <c r="X189" s="103"/>
      <c r="Y189" s="103"/>
      <c r="Z189" s="125"/>
      <c r="AA189" s="428">
        <f t="shared" si="120"/>
        <v>0</v>
      </c>
      <c r="AB189" s="103"/>
      <c r="AC189" s="103"/>
      <c r="AD189" s="103"/>
      <c r="AE189" s="428">
        <f t="shared" si="121"/>
        <v>0</v>
      </c>
      <c r="AF189" s="103"/>
      <c r="AG189" s="103"/>
      <c r="AH189" s="103"/>
      <c r="AI189" s="103"/>
      <c r="AJ189" s="428">
        <f t="shared" si="122"/>
        <v>0</v>
      </c>
      <c r="AK189" s="446">
        <v>1</v>
      </c>
      <c r="AL189" s="446"/>
      <c r="AM189" s="446"/>
      <c r="AN189" s="446"/>
      <c r="AO189" s="446"/>
      <c r="AP189" s="446"/>
      <c r="AQ189" s="446"/>
      <c r="AR189" s="431">
        <f t="shared" si="123"/>
        <v>1</v>
      </c>
      <c r="AT189" s="128"/>
      <c r="AU189" s="100" t="s">
        <v>863</v>
      </c>
      <c r="AV189" s="128" t="s">
        <v>913</v>
      </c>
      <c r="AW189" s="100" t="s">
        <v>919</v>
      </c>
      <c r="AX189" s="433">
        <f t="shared" si="124"/>
        <v>1</v>
      </c>
      <c r="AY189" s="433">
        <f t="shared" si="125"/>
        <v>0</v>
      </c>
      <c r="AZ189" s="433">
        <f t="shared" si="126"/>
        <v>0</v>
      </c>
      <c r="BA189" s="433">
        <f t="shared" si="116"/>
        <v>0</v>
      </c>
      <c r="BB189" s="433">
        <f t="shared" si="117"/>
        <v>1</v>
      </c>
      <c r="BC189" s="433">
        <f t="shared" si="118"/>
        <v>0</v>
      </c>
      <c r="BD189" s="433">
        <f t="shared" si="127"/>
        <v>0</v>
      </c>
      <c r="BE189" s="433">
        <f t="shared" si="128"/>
        <v>0</v>
      </c>
      <c r="BF189" s="433">
        <f t="shared" si="129"/>
        <v>0</v>
      </c>
      <c r="BG189" s="433">
        <f t="shared" si="130"/>
        <v>0</v>
      </c>
      <c r="BH189" s="433">
        <f t="shared" si="131"/>
        <v>0</v>
      </c>
      <c r="BI189" s="433">
        <f t="shared" si="132"/>
        <v>0</v>
      </c>
      <c r="BJ189" s="433">
        <f t="shared" si="133"/>
        <v>0</v>
      </c>
      <c r="BK189" s="433">
        <f t="shared" si="134"/>
        <v>0</v>
      </c>
      <c r="BL189" s="433">
        <f t="shared" si="135"/>
        <v>0</v>
      </c>
      <c r="BM189" s="433">
        <f t="shared" si="136"/>
        <v>0</v>
      </c>
      <c r="BN189" s="433">
        <f t="shared" si="137"/>
        <v>0</v>
      </c>
      <c r="BO189" s="433">
        <f t="shared" si="138"/>
        <v>0</v>
      </c>
      <c r="BP189" s="433">
        <f t="shared" si="139"/>
        <v>0</v>
      </c>
      <c r="BQ189" s="433">
        <f t="shared" si="140"/>
        <v>0</v>
      </c>
    </row>
    <row r="190" spans="1:69" s="291" customFormat="1" x14ac:dyDescent="0.2">
      <c r="A190" s="317">
        <v>41810</v>
      </c>
      <c r="B190" s="318">
        <v>3</v>
      </c>
      <c r="C190" s="320" t="s">
        <v>622</v>
      </c>
      <c r="D190" s="321">
        <v>0.80555555555555547</v>
      </c>
      <c r="E190" s="321">
        <v>0.94513888888888886</v>
      </c>
      <c r="F190" s="434">
        <v>40</v>
      </c>
      <c r="G190" s="435">
        <v>9</v>
      </c>
      <c r="H190" s="434"/>
      <c r="I190" s="436"/>
      <c r="J190" s="437">
        <f t="shared" si="113"/>
        <v>201.00000000000009</v>
      </c>
      <c r="K190" s="285">
        <v>2</v>
      </c>
      <c r="L190" s="285"/>
      <c r="M190" s="285"/>
      <c r="N190" s="438">
        <f t="shared" si="114"/>
        <v>2</v>
      </c>
      <c r="O190" s="285"/>
      <c r="P190" s="285"/>
      <c r="Q190" s="285"/>
      <c r="R190" s="439">
        <f t="shared" si="115"/>
        <v>0</v>
      </c>
      <c r="S190" s="285"/>
      <c r="T190" s="285"/>
      <c r="U190" s="285"/>
      <c r="V190" s="440"/>
      <c r="W190" s="439">
        <f t="shared" si="119"/>
        <v>0</v>
      </c>
      <c r="X190" s="285"/>
      <c r="Y190" s="285"/>
      <c r="Z190" s="440"/>
      <c r="AA190" s="439">
        <f t="shared" si="120"/>
        <v>0</v>
      </c>
      <c r="AB190" s="285"/>
      <c r="AC190" s="285"/>
      <c r="AD190" s="285"/>
      <c r="AE190" s="439">
        <f t="shared" si="121"/>
        <v>0</v>
      </c>
      <c r="AF190" s="285"/>
      <c r="AG190" s="285"/>
      <c r="AH190" s="285"/>
      <c r="AI190" s="285"/>
      <c r="AJ190" s="439">
        <f t="shared" si="122"/>
        <v>0</v>
      </c>
      <c r="AK190" s="340"/>
      <c r="AL190" s="340">
        <v>1</v>
      </c>
      <c r="AM190" s="340"/>
      <c r="AN190" s="340"/>
      <c r="AO190" s="340"/>
      <c r="AP190" s="340"/>
      <c r="AQ190" s="340"/>
      <c r="AR190" s="441">
        <f t="shared" si="123"/>
        <v>1</v>
      </c>
      <c r="AT190" s="313"/>
      <c r="AU190" s="289" t="s">
        <v>866</v>
      </c>
      <c r="AV190" s="313" t="s">
        <v>913</v>
      </c>
      <c r="AW190" s="289" t="s">
        <v>919</v>
      </c>
      <c r="AX190" s="443">
        <f t="shared" si="124"/>
        <v>2</v>
      </c>
      <c r="AY190" s="443">
        <f t="shared" si="125"/>
        <v>0</v>
      </c>
      <c r="AZ190" s="443">
        <f t="shared" si="126"/>
        <v>0</v>
      </c>
      <c r="BA190" s="443">
        <f t="shared" si="116"/>
        <v>0</v>
      </c>
      <c r="BB190" s="443">
        <f t="shared" si="117"/>
        <v>0</v>
      </c>
      <c r="BC190" s="443">
        <f t="shared" si="118"/>
        <v>0</v>
      </c>
      <c r="BD190" s="443">
        <f t="shared" si="127"/>
        <v>0</v>
      </c>
      <c r="BE190" s="443">
        <f t="shared" si="128"/>
        <v>0</v>
      </c>
      <c r="BF190" s="443">
        <f t="shared" si="129"/>
        <v>0</v>
      </c>
      <c r="BG190" s="443">
        <f t="shared" si="130"/>
        <v>0</v>
      </c>
      <c r="BH190" s="443">
        <f t="shared" si="131"/>
        <v>0</v>
      </c>
      <c r="BI190" s="443">
        <f t="shared" si="132"/>
        <v>0</v>
      </c>
      <c r="BJ190" s="443">
        <f t="shared" si="133"/>
        <v>0</v>
      </c>
      <c r="BK190" s="443">
        <f t="shared" si="134"/>
        <v>0</v>
      </c>
      <c r="BL190" s="443">
        <f t="shared" si="135"/>
        <v>0</v>
      </c>
      <c r="BM190" s="443">
        <f t="shared" si="136"/>
        <v>0</v>
      </c>
      <c r="BN190" s="443">
        <f t="shared" si="137"/>
        <v>0</v>
      </c>
      <c r="BO190" s="443">
        <f t="shared" si="138"/>
        <v>0</v>
      </c>
      <c r="BP190" s="443">
        <f t="shared" si="139"/>
        <v>0</v>
      </c>
      <c r="BQ190" s="443">
        <f t="shared" si="140"/>
        <v>0</v>
      </c>
    </row>
    <row r="191" spans="1:69" x14ac:dyDescent="0.2">
      <c r="A191" s="102">
        <v>41811</v>
      </c>
      <c r="B191" s="319">
        <v>1</v>
      </c>
      <c r="C191" s="118" t="s">
        <v>952</v>
      </c>
      <c r="D191" s="111">
        <v>0.25</v>
      </c>
      <c r="E191" s="111">
        <v>0.41666666666666669</v>
      </c>
      <c r="F191" s="444">
        <v>50</v>
      </c>
      <c r="G191" s="445">
        <v>7.5</v>
      </c>
      <c r="H191" s="444"/>
      <c r="I191" s="390"/>
      <c r="J191" s="426">
        <f t="shared" si="113"/>
        <v>240</v>
      </c>
      <c r="K191" s="103">
        <v>1</v>
      </c>
      <c r="L191" s="103"/>
      <c r="M191" s="103"/>
      <c r="N191" s="427">
        <f t="shared" si="114"/>
        <v>1</v>
      </c>
      <c r="O191" s="103">
        <v>2</v>
      </c>
      <c r="P191" s="103">
        <v>3</v>
      </c>
      <c r="Q191" s="103"/>
      <c r="R191" s="428">
        <f t="shared" si="115"/>
        <v>5</v>
      </c>
      <c r="S191" s="103"/>
      <c r="T191" s="103"/>
      <c r="U191" s="103"/>
      <c r="V191" s="125"/>
      <c r="W191" s="428">
        <f t="shared" si="119"/>
        <v>0</v>
      </c>
      <c r="X191" s="103"/>
      <c r="Y191" s="103"/>
      <c r="Z191" s="125"/>
      <c r="AA191" s="428">
        <f t="shared" si="120"/>
        <v>0</v>
      </c>
      <c r="AB191" s="103"/>
      <c r="AC191" s="103"/>
      <c r="AD191" s="103"/>
      <c r="AE191" s="428">
        <f t="shared" si="121"/>
        <v>0</v>
      </c>
      <c r="AF191" s="103"/>
      <c r="AG191" s="103"/>
      <c r="AH191" s="103"/>
      <c r="AI191" s="103"/>
      <c r="AJ191" s="428">
        <f t="shared" si="122"/>
        <v>0</v>
      </c>
      <c r="AK191" s="446"/>
      <c r="AL191" s="446"/>
      <c r="AM191" s="446"/>
      <c r="AN191" s="446"/>
      <c r="AO191" s="446"/>
      <c r="AP191" s="446">
        <v>1</v>
      </c>
      <c r="AQ191" s="446"/>
      <c r="AR191" s="431">
        <f t="shared" si="123"/>
        <v>1</v>
      </c>
      <c r="AT191" s="128"/>
      <c r="AU191" s="100" t="s">
        <v>955</v>
      </c>
      <c r="AV191" s="128" t="s">
        <v>934</v>
      </c>
      <c r="AW191" s="100" t="s">
        <v>962</v>
      </c>
      <c r="AX191" s="433">
        <f t="shared" si="124"/>
        <v>1</v>
      </c>
      <c r="AY191" s="433">
        <f t="shared" si="125"/>
        <v>0</v>
      </c>
      <c r="AZ191" s="433">
        <f t="shared" si="126"/>
        <v>0</v>
      </c>
      <c r="BA191" s="433">
        <f t="shared" si="116"/>
        <v>2</v>
      </c>
      <c r="BB191" s="433">
        <f t="shared" si="117"/>
        <v>3</v>
      </c>
      <c r="BC191" s="433">
        <f t="shared" si="118"/>
        <v>0</v>
      </c>
      <c r="BD191" s="433">
        <f t="shared" si="127"/>
        <v>0</v>
      </c>
      <c r="BE191" s="433">
        <f t="shared" si="128"/>
        <v>0</v>
      </c>
      <c r="BF191" s="433">
        <f t="shared" si="129"/>
        <v>0</v>
      </c>
      <c r="BG191" s="433">
        <f t="shared" si="130"/>
        <v>0</v>
      </c>
      <c r="BH191" s="433">
        <f t="shared" si="131"/>
        <v>0</v>
      </c>
      <c r="BI191" s="433">
        <f t="shared" si="132"/>
        <v>0</v>
      </c>
      <c r="BJ191" s="433">
        <f t="shared" si="133"/>
        <v>0</v>
      </c>
      <c r="BK191" s="433">
        <f t="shared" si="134"/>
        <v>0</v>
      </c>
      <c r="BL191" s="433">
        <f t="shared" si="135"/>
        <v>0</v>
      </c>
      <c r="BM191" s="433">
        <f t="shared" si="136"/>
        <v>0</v>
      </c>
      <c r="BN191" s="433">
        <f t="shared" si="137"/>
        <v>0</v>
      </c>
      <c r="BO191" s="433">
        <f t="shared" si="138"/>
        <v>0</v>
      </c>
      <c r="BP191" s="433">
        <f t="shared" si="139"/>
        <v>0</v>
      </c>
      <c r="BQ191" s="433">
        <f t="shared" si="140"/>
        <v>0</v>
      </c>
    </row>
    <row r="192" spans="1:69" x14ac:dyDescent="0.2">
      <c r="A192" s="102">
        <v>41811</v>
      </c>
      <c r="B192" s="319">
        <v>1</v>
      </c>
      <c r="C192" s="118" t="s">
        <v>953</v>
      </c>
      <c r="D192" s="111">
        <v>0.41666666666666669</v>
      </c>
      <c r="E192" s="111">
        <v>0.60138888888888886</v>
      </c>
      <c r="F192" s="444">
        <v>52</v>
      </c>
      <c r="G192" s="445">
        <v>8</v>
      </c>
      <c r="H192" s="444"/>
      <c r="I192" s="390"/>
      <c r="J192" s="426">
        <f t="shared" si="113"/>
        <v>265.99999999999989</v>
      </c>
      <c r="K192" s="103">
        <v>1</v>
      </c>
      <c r="L192" s="103"/>
      <c r="M192" s="103"/>
      <c r="N192" s="427">
        <f t="shared" si="114"/>
        <v>1</v>
      </c>
      <c r="O192" s="103"/>
      <c r="P192" s="103">
        <v>3</v>
      </c>
      <c r="Q192" s="103"/>
      <c r="R192" s="428">
        <f t="shared" si="115"/>
        <v>3</v>
      </c>
      <c r="S192" s="103"/>
      <c r="T192" s="103"/>
      <c r="U192" s="103"/>
      <c r="V192" s="125"/>
      <c r="W192" s="428">
        <f t="shared" si="119"/>
        <v>0</v>
      </c>
      <c r="X192" s="103"/>
      <c r="Y192" s="103"/>
      <c r="Z192" s="125"/>
      <c r="AA192" s="428">
        <f t="shared" si="120"/>
        <v>0</v>
      </c>
      <c r="AB192" s="103"/>
      <c r="AC192" s="103"/>
      <c r="AD192" s="103"/>
      <c r="AE192" s="428">
        <f t="shared" si="121"/>
        <v>0</v>
      </c>
      <c r="AF192" s="103"/>
      <c r="AG192" s="103"/>
      <c r="AH192" s="103"/>
      <c r="AI192" s="103"/>
      <c r="AJ192" s="428">
        <f t="shared" si="122"/>
        <v>0</v>
      </c>
      <c r="AK192" s="446"/>
      <c r="AL192" s="446"/>
      <c r="AM192" s="446"/>
      <c r="AN192" s="446"/>
      <c r="AO192" s="446"/>
      <c r="AP192" s="446"/>
      <c r="AQ192" s="446"/>
      <c r="AR192" s="431">
        <f t="shared" si="123"/>
        <v>0</v>
      </c>
      <c r="AS192" s="10" t="s">
        <v>954</v>
      </c>
      <c r="AT192" s="128"/>
      <c r="AU192" s="100" t="s">
        <v>933</v>
      </c>
      <c r="AV192" s="128" t="s">
        <v>934</v>
      </c>
      <c r="AW192" s="100" t="s">
        <v>962</v>
      </c>
      <c r="AX192" s="433">
        <f t="shared" si="124"/>
        <v>1</v>
      </c>
      <c r="AY192" s="433">
        <f t="shared" si="125"/>
        <v>0</v>
      </c>
      <c r="AZ192" s="433">
        <f t="shared" si="126"/>
        <v>0</v>
      </c>
      <c r="BA192" s="433">
        <f t="shared" si="116"/>
        <v>0</v>
      </c>
      <c r="BB192" s="433">
        <f t="shared" si="117"/>
        <v>3</v>
      </c>
      <c r="BC192" s="433">
        <f t="shared" si="118"/>
        <v>0</v>
      </c>
      <c r="BD192" s="433">
        <f t="shared" si="127"/>
        <v>0</v>
      </c>
      <c r="BE192" s="433">
        <f t="shared" si="128"/>
        <v>0</v>
      </c>
      <c r="BF192" s="433">
        <f t="shared" si="129"/>
        <v>0</v>
      </c>
      <c r="BG192" s="433">
        <f t="shared" si="130"/>
        <v>0</v>
      </c>
      <c r="BH192" s="433">
        <f t="shared" si="131"/>
        <v>0</v>
      </c>
      <c r="BI192" s="433">
        <f t="shared" si="132"/>
        <v>0</v>
      </c>
      <c r="BJ192" s="433">
        <f t="shared" si="133"/>
        <v>0</v>
      </c>
      <c r="BK192" s="433">
        <f t="shared" si="134"/>
        <v>0</v>
      </c>
      <c r="BL192" s="433">
        <f t="shared" si="135"/>
        <v>0</v>
      </c>
      <c r="BM192" s="433">
        <f t="shared" si="136"/>
        <v>0</v>
      </c>
      <c r="BN192" s="433">
        <f t="shared" si="137"/>
        <v>0</v>
      </c>
      <c r="BO192" s="433">
        <f t="shared" si="138"/>
        <v>0</v>
      </c>
      <c r="BP192" s="433">
        <f t="shared" si="139"/>
        <v>0</v>
      </c>
      <c r="BQ192" s="433">
        <f t="shared" si="140"/>
        <v>0</v>
      </c>
    </row>
    <row r="193" spans="1:69" x14ac:dyDescent="0.2">
      <c r="A193" s="102">
        <v>41811</v>
      </c>
      <c r="B193" s="319">
        <v>1</v>
      </c>
      <c r="C193" s="118" t="s">
        <v>956</v>
      </c>
      <c r="D193" s="111">
        <v>0.60138888888888886</v>
      </c>
      <c r="E193" s="111">
        <v>0.78611111111111109</v>
      </c>
      <c r="F193" s="444">
        <v>51</v>
      </c>
      <c r="G193" s="445">
        <v>7</v>
      </c>
      <c r="H193" s="444"/>
      <c r="I193" s="390"/>
      <c r="J193" s="426">
        <f t="shared" si="113"/>
        <v>266</v>
      </c>
      <c r="K193" s="103">
        <v>4</v>
      </c>
      <c r="L193" s="103">
        <v>1</v>
      </c>
      <c r="M193" s="103"/>
      <c r="N193" s="427">
        <f t="shared" si="114"/>
        <v>5</v>
      </c>
      <c r="O193" s="103"/>
      <c r="P193" s="103">
        <v>1</v>
      </c>
      <c r="Q193" s="103"/>
      <c r="R193" s="428">
        <f t="shared" si="115"/>
        <v>1</v>
      </c>
      <c r="S193" s="103"/>
      <c r="T193" s="103"/>
      <c r="U193" s="103"/>
      <c r="V193" s="125"/>
      <c r="W193" s="428">
        <f t="shared" si="119"/>
        <v>0</v>
      </c>
      <c r="X193" s="103"/>
      <c r="Y193" s="103"/>
      <c r="Z193" s="125"/>
      <c r="AA193" s="428">
        <f t="shared" si="120"/>
        <v>0</v>
      </c>
      <c r="AB193" s="103"/>
      <c r="AC193" s="103"/>
      <c r="AD193" s="103"/>
      <c r="AE193" s="428">
        <f t="shared" si="121"/>
        <v>0</v>
      </c>
      <c r="AF193" s="103"/>
      <c r="AG193" s="103"/>
      <c r="AH193" s="103"/>
      <c r="AI193" s="103"/>
      <c r="AJ193" s="428">
        <f t="shared" si="122"/>
        <v>0</v>
      </c>
      <c r="AK193" s="446"/>
      <c r="AL193" s="446"/>
      <c r="AM193" s="446"/>
      <c r="AN193" s="446"/>
      <c r="AO193" s="446"/>
      <c r="AP193" s="446"/>
      <c r="AQ193" s="446"/>
      <c r="AR193" s="431">
        <f t="shared" si="123"/>
        <v>0</v>
      </c>
      <c r="AT193" s="128"/>
      <c r="AU193" s="100" t="s">
        <v>955</v>
      </c>
      <c r="AV193" s="128" t="s">
        <v>934</v>
      </c>
      <c r="AW193" s="100" t="s">
        <v>962</v>
      </c>
      <c r="AX193" s="433">
        <f t="shared" si="124"/>
        <v>4</v>
      </c>
      <c r="AY193" s="433">
        <f t="shared" si="125"/>
        <v>1</v>
      </c>
      <c r="AZ193" s="433">
        <f t="shared" si="126"/>
        <v>0</v>
      </c>
      <c r="BA193" s="433">
        <f t="shared" si="116"/>
        <v>0</v>
      </c>
      <c r="BB193" s="433">
        <f t="shared" si="117"/>
        <v>1</v>
      </c>
      <c r="BC193" s="433">
        <f t="shared" si="118"/>
        <v>0</v>
      </c>
      <c r="BD193" s="433">
        <f t="shared" si="127"/>
        <v>0</v>
      </c>
      <c r="BE193" s="433">
        <f t="shared" si="128"/>
        <v>0</v>
      </c>
      <c r="BF193" s="433">
        <f t="shared" si="129"/>
        <v>0</v>
      </c>
      <c r="BG193" s="433">
        <f t="shared" si="130"/>
        <v>0</v>
      </c>
      <c r="BH193" s="433">
        <f t="shared" si="131"/>
        <v>0</v>
      </c>
      <c r="BI193" s="433">
        <f t="shared" si="132"/>
        <v>0</v>
      </c>
      <c r="BJ193" s="433">
        <f t="shared" si="133"/>
        <v>0</v>
      </c>
      <c r="BK193" s="433">
        <f t="shared" si="134"/>
        <v>0</v>
      </c>
      <c r="BL193" s="433">
        <f t="shared" si="135"/>
        <v>0</v>
      </c>
      <c r="BM193" s="433">
        <f t="shared" si="136"/>
        <v>0</v>
      </c>
      <c r="BN193" s="433">
        <f t="shared" si="137"/>
        <v>0</v>
      </c>
      <c r="BO193" s="433">
        <f t="shared" si="138"/>
        <v>0</v>
      </c>
      <c r="BP193" s="433">
        <f t="shared" si="139"/>
        <v>0</v>
      </c>
      <c r="BQ193" s="433">
        <f t="shared" si="140"/>
        <v>0</v>
      </c>
    </row>
    <row r="194" spans="1:69" x14ac:dyDescent="0.2">
      <c r="A194" s="102">
        <v>41811</v>
      </c>
      <c r="B194" s="319">
        <v>1</v>
      </c>
      <c r="C194" s="118" t="s">
        <v>957</v>
      </c>
      <c r="D194" s="111">
        <v>0.78611111111111109</v>
      </c>
      <c r="E194" s="111">
        <v>0.97777777777777775</v>
      </c>
      <c r="F194" s="444">
        <v>49</v>
      </c>
      <c r="G194" s="445">
        <v>7</v>
      </c>
      <c r="H194" s="444"/>
      <c r="I194" s="390"/>
      <c r="J194" s="426">
        <f t="shared" si="113"/>
        <v>276</v>
      </c>
      <c r="K194" s="103">
        <v>2</v>
      </c>
      <c r="L194" s="103"/>
      <c r="M194" s="103"/>
      <c r="N194" s="427">
        <f t="shared" si="114"/>
        <v>2</v>
      </c>
      <c r="O194" s="103"/>
      <c r="P194" s="103">
        <v>2</v>
      </c>
      <c r="Q194" s="103"/>
      <c r="R194" s="428">
        <f t="shared" si="115"/>
        <v>2</v>
      </c>
      <c r="S194" s="103"/>
      <c r="T194" s="103"/>
      <c r="U194" s="103"/>
      <c r="V194" s="125"/>
      <c r="W194" s="428">
        <f t="shared" si="119"/>
        <v>0</v>
      </c>
      <c r="X194" s="103"/>
      <c r="Y194" s="103"/>
      <c r="Z194" s="125"/>
      <c r="AA194" s="428">
        <f t="shared" si="120"/>
        <v>0</v>
      </c>
      <c r="AB194" s="103"/>
      <c r="AC194" s="103"/>
      <c r="AD194" s="103"/>
      <c r="AE194" s="428">
        <f t="shared" si="121"/>
        <v>0</v>
      </c>
      <c r="AF194" s="103"/>
      <c r="AG194" s="103"/>
      <c r="AH194" s="103"/>
      <c r="AI194" s="103"/>
      <c r="AJ194" s="428">
        <f t="shared" si="122"/>
        <v>0</v>
      </c>
      <c r="AK194" s="446"/>
      <c r="AL194" s="446"/>
      <c r="AM194" s="446"/>
      <c r="AN194" s="446"/>
      <c r="AO194" s="446"/>
      <c r="AP194" s="446"/>
      <c r="AQ194" s="446"/>
      <c r="AR194" s="431">
        <f t="shared" si="123"/>
        <v>0</v>
      </c>
      <c r="AT194" s="128"/>
      <c r="AU194" s="100" t="s">
        <v>933</v>
      </c>
      <c r="AV194" s="128" t="s">
        <v>934</v>
      </c>
      <c r="AW194" s="100" t="s">
        <v>962</v>
      </c>
      <c r="AX194" s="433">
        <f t="shared" si="124"/>
        <v>2</v>
      </c>
      <c r="AY194" s="433">
        <f t="shared" si="125"/>
        <v>0</v>
      </c>
      <c r="AZ194" s="433">
        <f t="shared" si="126"/>
        <v>0</v>
      </c>
      <c r="BA194" s="433">
        <f t="shared" si="116"/>
        <v>0</v>
      </c>
      <c r="BB194" s="433">
        <f t="shared" si="117"/>
        <v>2</v>
      </c>
      <c r="BC194" s="433">
        <f t="shared" si="118"/>
        <v>0</v>
      </c>
      <c r="BD194" s="433">
        <f t="shared" si="127"/>
        <v>0</v>
      </c>
      <c r="BE194" s="433">
        <f t="shared" si="128"/>
        <v>0</v>
      </c>
      <c r="BF194" s="433">
        <f t="shared" si="129"/>
        <v>0</v>
      </c>
      <c r="BG194" s="433">
        <f t="shared" si="130"/>
        <v>0</v>
      </c>
      <c r="BH194" s="433">
        <f t="shared" si="131"/>
        <v>0</v>
      </c>
      <c r="BI194" s="433">
        <f t="shared" si="132"/>
        <v>0</v>
      </c>
      <c r="BJ194" s="433">
        <f t="shared" si="133"/>
        <v>0</v>
      </c>
      <c r="BK194" s="433">
        <f t="shared" si="134"/>
        <v>0</v>
      </c>
      <c r="BL194" s="433">
        <f t="shared" si="135"/>
        <v>0</v>
      </c>
      <c r="BM194" s="433">
        <f t="shared" si="136"/>
        <v>0</v>
      </c>
      <c r="BN194" s="433">
        <f t="shared" si="137"/>
        <v>0</v>
      </c>
      <c r="BO194" s="433">
        <f t="shared" si="138"/>
        <v>0</v>
      </c>
      <c r="BP194" s="433">
        <f t="shared" si="139"/>
        <v>0</v>
      </c>
      <c r="BQ194" s="433">
        <f t="shared" si="140"/>
        <v>0</v>
      </c>
    </row>
    <row r="195" spans="1:69" x14ac:dyDescent="0.2">
      <c r="A195" s="102">
        <v>41811</v>
      </c>
      <c r="B195" s="319">
        <v>2</v>
      </c>
      <c r="C195" s="118" t="s">
        <v>952</v>
      </c>
      <c r="D195" s="111">
        <v>0.26597222222222222</v>
      </c>
      <c r="E195" s="111">
        <v>0.375</v>
      </c>
      <c r="F195" s="444">
        <v>33</v>
      </c>
      <c r="G195" s="445">
        <v>11</v>
      </c>
      <c r="H195" s="444"/>
      <c r="I195" s="390"/>
      <c r="J195" s="426">
        <f t="shared" ref="J195:J258" si="141">(E195-D195)*24*60</f>
        <v>157</v>
      </c>
      <c r="K195" s="103"/>
      <c r="L195" s="103"/>
      <c r="M195" s="103"/>
      <c r="N195" s="427">
        <f t="shared" ref="N195:N258" si="142">SUM(K195:M195)</f>
        <v>0</v>
      </c>
      <c r="O195" s="103"/>
      <c r="P195" s="103"/>
      <c r="Q195" s="103"/>
      <c r="R195" s="428">
        <f t="shared" ref="R195:R258" si="143">SUM(O195:Q195)</f>
        <v>0</v>
      </c>
      <c r="S195" s="103"/>
      <c r="T195" s="103"/>
      <c r="U195" s="103"/>
      <c r="V195" s="125"/>
      <c r="W195" s="428">
        <f t="shared" si="119"/>
        <v>0</v>
      </c>
      <c r="X195" s="103"/>
      <c r="Y195" s="103"/>
      <c r="Z195" s="125"/>
      <c r="AA195" s="428">
        <f t="shared" si="120"/>
        <v>0</v>
      </c>
      <c r="AB195" s="103"/>
      <c r="AC195" s="103"/>
      <c r="AD195" s="103"/>
      <c r="AE195" s="428">
        <f t="shared" si="121"/>
        <v>0</v>
      </c>
      <c r="AF195" s="103"/>
      <c r="AG195" s="103"/>
      <c r="AH195" s="103"/>
      <c r="AI195" s="103"/>
      <c r="AJ195" s="428">
        <f t="shared" si="122"/>
        <v>0</v>
      </c>
      <c r="AK195" s="446"/>
      <c r="AL195" s="446"/>
      <c r="AM195" s="446"/>
      <c r="AN195" s="446"/>
      <c r="AO195" s="446"/>
      <c r="AP195" s="446"/>
      <c r="AQ195" s="446"/>
      <c r="AR195" s="431">
        <f t="shared" si="123"/>
        <v>0</v>
      </c>
      <c r="AT195" s="128" t="s">
        <v>424</v>
      </c>
      <c r="AU195" s="100" t="s">
        <v>960</v>
      </c>
      <c r="AV195" s="128" t="s">
        <v>934</v>
      </c>
      <c r="AW195" s="100" t="s">
        <v>962</v>
      </c>
      <c r="AX195" s="433">
        <f t="shared" si="124"/>
        <v>0</v>
      </c>
      <c r="AY195" s="433">
        <f t="shared" si="125"/>
        <v>0</v>
      </c>
      <c r="AZ195" s="433">
        <f t="shared" si="126"/>
        <v>0</v>
      </c>
      <c r="BA195" s="433">
        <f t="shared" ref="BA195:BA258" si="144">O195</f>
        <v>0</v>
      </c>
      <c r="BB195" s="433">
        <f t="shared" ref="BB195:BB258" si="145">P195</f>
        <v>0</v>
      </c>
      <c r="BC195" s="433">
        <f t="shared" ref="BC195:BC258" si="146">Q195</f>
        <v>0</v>
      </c>
      <c r="BD195" s="433">
        <f t="shared" si="127"/>
        <v>0</v>
      </c>
      <c r="BE195" s="433">
        <f t="shared" si="128"/>
        <v>0</v>
      </c>
      <c r="BF195" s="433">
        <f t="shared" si="129"/>
        <v>0</v>
      </c>
      <c r="BG195" s="433">
        <f t="shared" si="130"/>
        <v>0</v>
      </c>
      <c r="BH195" s="433">
        <f t="shared" si="131"/>
        <v>0</v>
      </c>
      <c r="BI195" s="433">
        <f t="shared" si="132"/>
        <v>0</v>
      </c>
      <c r="BJ195" s="433">
        <f t="shared" si="133"/>
        <v>0</v>
      </c>
      <c r="BK195" s="433">
        <f t="shared" si="134"/>
        <v>0</v>
      </c>
      <c r="BL195" s="433">
        <f t="shared" si="135"/>
        <v>0</v>
      </c>
      <c r="BM195" s="433">
        <f t="shared" si="136"/>
        <v>0</v>
      </c>
      <c r="BN195" s="433">
        <f t="shared" si="137"/>
        <v>0</v>
      </c>
      <c r="BO195" s="433">
        <f t="shared" si="138"/>
        <v>0</v>
      </c>
      <c r="BP195" s="433">
        <f t="shared" si="139"/>
        <v>0</v>
      </c>
      <c r="BQ195" s="433">
        <f t="shared" si="140"/>
        <v>0</v>
      </c>
    </row>
    <row r="196" spans="1:69" x14ac:dyDescent="0.2">
      <c r="A196" s="102">
        <v>41811</v>
      </c>
      <c r="B196" s="319">
        <v>2</v>
      </c>
      <c r="C196" s="118" t="s">
        <v>953</v>
      </c>
      <c r="D196" s="111">
        <v>0.375</v>
      </c>
      <c r="E196" s="111">
        <v>0.5625</v>
      </c>
      <c r="F196" s="444">
        <v>37</v>
      </c>
      <c r="G196" s="445">
        <v>9.5</v>
      </c>
      <c r="H196" s="444"/>
      <c r="I196" s="390">
        <v>61.8</v>
      </c>
      <c r="J196" s="426">
        <f t="shared" si="141"/>
        <v>270</v>
      </c>
      <c r="K196" s="103"/>
      <c r="L196" s="103"/>
      <c r="M196" s="103"/>
      <c r="N196" s="427">
        <f t="shared" si="142"/>
        <v>0</v>
      </c>
      <c r="O196" s="103"/>
      <c r="P196" s="103"/>
      <c r="Q196" s="103"/>
      <c r="R196" s="428">
        <f t="shared" si="143"/>
        <v>0</v>
      </c>
      <c r="S196" s="103"/>
      <c r="T196" s="103"/>
      <c r="U196" s="103"/>
      <c r="V196" s="125"/>
      <c r="W196" s="428">
        <f t="shared" ref="W196:W259" si="147">SUM(S196:V196)</f>
        <v>0</v>
      </c>
      <c r="X196" s="103"/>
      <c r="Y196" s="103"/>
      <c r="Z196" s="125"/>
      <c r="AA196" s="428">
        <f t="shared" ref="AA196:AA259" si="148">SUM(X196:Z196)</f>
        <v>0</v>
      </c>
      <c r="AB196" s="103"/>
      <c r="AC196" s="103"/>
      <c r="AD196" s="103"/>
      <c r="AE196" s="428">
        <f t="shared" ref="AE196:AE259" si="149">SUM(AB196:AD196)</f>
        <v>0</v>
      </c>
      <c r="AF196" s="103"/>
      <c r="AG196" s="103"/>
      <c r="AH196" s="103"/>
      <c r="AI196" s="103"/>
      <c r="AJ196" s="428">
        <f t="shared" ref="AJ196:AJ259" si="150">SUM(AF196:AI196)</f>
        <v>0</v>
      </c>
      <c r="AK196" s="446"/>
      <c r="AL196" s="446"/>
      <c r="AM196" s="446"/>
      <c r="AN196" s="446"/>
      <c r="AO196" s="446"/>
      <c r="AP196" s="446"/>
      <c r="AQ196" s="446"/>
      <c r="AR196" s="431">
        <f t="shared" ref="AR196:AR259" si="151">SUM(AK196:AQ196)</f>
        <v>0</v>
      </c>
      <c r="AT196" s="128" t="s">
        <v>424</v>
      </c>
      <c r="AU196" s="100" t="s">
        <v>933</v>
      </c>
      <c r="AV196" s="128" t="s">
        <v>934</v>
      </c>
      <c r="AW196" s="100" t="s">
        <v>962</v>
      </c>
      <c r="AX196" s="433">
        <f t="shared" ref="AX196:AX259" si="152">K196</f>
        <v>0</v>
      </c>
      <c r="AY196" s="433">
        <f t="shared" ref="AY196:AY259" si="153">L196</f>
        <v>0</v>
      </c>
      <c r="AZ196" s="433">
        <f t="shared" ref="AZ196:AZ259" si="154">M196</f>
        <v>0</v>
      </c>
      <c r="BA196" s="433">
        <f t="shared" si="144"/>
        <v>0</v>
      </c>
      <c r="BB196" s="433">
        <f t="shared" si="145"/>
        <v>0</v>
      </c>
      <c r="BC196" s="433">
        <f t="shared" si="146"/>
        <v>0</v>
      </c>
      <c r="BD196" s="433">
        <f t="shared" ref="BD196:BD259" si="155">S196</f>
        <v>0</v>
      </c>
      <c r="BE196" s="433">
        <f t="shared" ref="BE196:BE259" si="156">T196</f>
        <v>0</v>
      </c>
      <c r="BF196" s="433">
        <f t="shared" ref="BF196:BF259" si="157">U196</f>
        <v>0</v>
      </c>
      <c r="BG196" s="433">
        <f t="shared" ref="BG196:BG259" si="158">V196</f>
        <v>0</v>
      </c>
      <c r="BH196" s="433">
        <f t="shared" ref="BH196:BH259" si="159">X196</f>
        <v>0</v>
      </c>
      <c r="BI196" s="433">
        <f t="shared" ref="BI196:BI259" si="160">Y196</f>
        <v>0</v>
      </c>
      <c r="BJ196" s="433">
        <f t="shared" ref="BJ196:BJ259" si="161">Z196</f>
        <v>0</v>
      </c>
      <c r="BK196" s="433">
        <f t="shared" ref="BK196:BK259" si="162">AB196</f>
        <v>0</v>
      </c>
      <c r="BL196" s="433">
        <f t="shared" ref="BL196:BL259" si="163">AC196</f>
        <v>0</v>
      </c>
      <c r="BM196" s="433">
        <f t="shared" ref="BM196:BM259" si="164">AD196</f>
        <v>0</v>
      </c>
      <c r="BN196" s="433">
        <f t="shared" ref="BN196:BN259" si="165">AF196</f>
        <v>0</v>
      </c>
      <c r="BO196" s="433">
        <f t="shared" ref="BO196:BO259" si="166">AG196</f>
        <v>0</v>
      </c>
      <c r="BP196" s="433">
        <f t="shared" ref="BP196:BP259" si="167">AH196</f>
        <v>0</v>
      </c>
      <c r="BQ196" s="433">
        <f t="shared" ref="BQ196:BQ259" si="168">AI196</f>
        <v>0</v>
      </c>
    </row>
    <row r="197" spans="1:69" x14ac:dyDescent="0.2">
      <c r="A197" s="102">
        <v>41811</v>
      </c>
      <c r="B197" s="319">
        <v>2</v>
      </c>
      <c r="C197" s="118" t="s">
        <v>957</v>
      </c>
      <c r="D197" s="111">
        <v>0.5625</v>
      </c>
      <c r="E197" s="111">
        <v>0.95486111111111116</v>
      </c>
      <c r="F197" s="444">
        <v>34</v>
      </c>
      <c r="G197" s="445">
        <v>9</v>
      </c>
      <c r="H197" s="444"/>
      <c r="I197" s="390"/>
      <c r="J197" s="426">
        <f t="shared" si="141"/>
        <v>565.00000000000011</v>
      </c>
      <c r="K197" s="103"/>
      <c r="L197" s="103"/>
      <c r="M197" s="103"/>
      <c r="N197" s="427">
        <f t="shared" si="142"/>
        <v>0</v>
      </c>
      <c r="O197" s="103"/>
      <c r="P197" s="103"/>
      <c r="Q197" s="103"/>
      <c r="R197" s="428">
        <f t="shared" si="143"/>
        <v>0</v>
      </c>
      <c r="S197" s="103"/>
      <c r="T197" s="103"/>
      <c r="U197" s="103"/>
      <c r="V197" s="125"/>
      <c r="W197" s="428">
        <f t="shared" si="147"/>
        <v>0</v>
      </c>
      <c r="X197" s="103"/>
      <c r="Y197" s="103"/>
      <c r="Z197" s="125"/>
      <c r="AA197" s="428">
        <f t="shared" si="148"/>
        <v>0</v>
      </c>
      <c r="AB197" s="103"/>
      <c r="AC197" s="103"/>
      <c r="AD197" s="103"/>
      <c r="AE197" s="428">
        <f t="shared" si="149"/>
        <v>0</v>
      </c>
      <c r="AF197" s="103"/>
      <c r="AG197" s="103"/>
      <c r="AH197" s="103"/>
      <c r="AI197" s="103"/>
      <c r="AJ197" s="428">
        <f t="shared" si="150"/>
        <v>0</v>
      </c>
      <c r="AK197" s="446"/>
      <c r="AL197" s="446"/>
      <c r="AM197" s="446"/>
      <c r="AN197" s="446"/>
      <c r="AO197" s="446"/>
      <c r="AP197" s="446"/>
      <c r="AQ197" s="446"/>
      <c r="AR197" s="431">
        <f t="shared" si="151"/>
        <v>0</v>
      </c>
      <c r="AT197" s="128" t="s">
        <v>424</v>
      </c>
      <c r="AU197" s="100" t="s">
        <v>933</v>
      </c>
      <c r="AV197" s="128" t="s">
        <v>934</v>
      </c>
      <c r="AW197" s="100" t="s">
        <v>962</v>
      </c>
      <c r="AX197" s="433">
        <f t="shared" si="152"/>
        <v>0</v>
      </c>
      <c r="AY197" s="433">
        <f t="shared" si="153"/>
        <v>0</v>
      </c>
      <c r="AZ197" s="433">
        <f t="shared" si="154"/>
        <v>0</v>
      </c>
      <c r="BA197" s="433">
        <f t="shared" si="144"/>
        <v>0</v>
      </c>
      <c r="BB197" s="433">
        <f t="shared" si="145"/>
        <v>0</v>
      </c>
      <c r="BC197" s="433">
        <f t="shared" si="146"/>
        <v>0</v>
      </c>
      <c r="BD197" s="433">
        <f t="shared" si="155"/>
        <v>0</v>
      </c>
      <c r="BE197" s="433">
        <f t="shared" si="156"/>
        <v>0</v>
      </c>
      <c r="BF197" s="433">
        <f t="shared" si="157"/>
        <v>0</v>
      </c>
      <c r="BG197" s="433">
        <f t="shared" si="158"/>
        <v>0</v>
      </c>
      <c r="BH197" s="433">
        <f t="shared" si="159"/>
        <v>0</v>
      </c>
      <c r="BI197" s="433">
        <f t="shared" si="160"/>
        <v>0</v>
      </c>
      <c r="BJ197" s="433">
        <f t="shared" si="161"/>
        <v>0</v>
      </c>
      <c r="BK197" s="433">
        <f t="shared" si="162"/>
        <v>0</v>
      </c>
      <c r="BL197" s="433">
        <f t="shared" si="163"/>
        <v>0</v>
      </c>
      <c r="BM197" s="433">
        <f t="shared" si="164"/>
        <v>0</v>
      </c>
      <c r="BN197" s="433">
        <f t="shared" si="165"/>
        <v>0</v>
      </c>
      <c r="BO197" s="433">
        <f t="shared" si="166"/>
        <v>0</v>
      </c>
      <c r="BP197" s="433">
        <f t="shared" si="167"/>
        <v>0</v>
      </c>
      <c r="BQ197" s="433">
        <f t="shared" si="168"/>
        <v>0</v>
      </c>
    </row>
    <row r="198" spans="1:69" x14ac:dyDescent="0.2">
      <c r="A198" s="102">
        <v>41811</v>
      </c>
      <c r="B198" s="319">
        <v>3</v>
      </c>
      <c r="C198" s="118" t="s">
        <v>958</v>
      </c>
      <c r="D198" s="111">
        <v>0.25694444444444448</v>
      </c>
      <c r="E198" s="111">
        <v>0.40972222222222227</v>
      </c>
      <c r="F198" s="444">
        <v>39</v>
      </c>
      <c r="G198" s="445">
        <v>8</v>
      </c>
      <c r="H198" s="444"/>
      <c r="I198" s="390"/>
      <c r="J198" s="426">
        <f t="shared" si="141"/>
        <v>220.00000000000003</v>
      </c>
      <c r="K198" s="103">
        <v>3</v>
      </c>
      <c r="L198" s="103"/>
      <c r="M198" s="103"/>
      <c r="N198" s="427">
        <f t="shared" si="142"/>
        <v>3</v>
      </c>
      <c r="O198" s="103"/>
      <c r="P198" s="103"/>
      <c r="Q198" s="103"/>
      <c r="R198" s="428">
        <f t="shared" si="143"/>
        <v>0</v>
      </c>
      <c r="S198" s="103"/>
      <c r="T198" s="103"/>
      <c r="U198" s="103"/>
      <c r="V198" s="125"/>
      <c r="W198" s="428">
        <f t="shared" si="147"/>
        <v>0</v>
      </c>
      <c r="X198" s="103"/>
      <c r="Y198" s="103"/>
      <c r="Z198" s="125"/>
      <c r="AA198" s="428">
        <f t="shared" si="148"/>
        <v>0</v>
      </c>
      <c r="AB198" s="103"/>
      <c r="AC198" s="103"/>
      <c r="AD198" s="103"/>
      <c r="AE198" s="428">
        <f t="shared" si="149"/>
        <v>0</v>
      </c>
      <c r="AF198" s="103"/>
      <c r="AG198" s="103"/>
      <c r="AH198" s="103"/>
      <c r="AI198" s="103"/>
      <c r="AJ198" s="428">
        <f t="shared" si="150"/>
        <v>0</v>
      </c>
      <c r="AK198" s="446">
        <v>2</v>
      </c>
      <c r="AL198" s="446"/>
      <c r="AM198" s="446"/>
      <c r="AN198" s="446"/>
      <c r="AO198" s="446"/>
      <c r="AP198" s="446"/>
      <c r="AQ198" s="446"/>
      <c r="AR198" s="431">
        <f t="shared" si="151"/>
        <v>2</v>
      </c>
      <c r="AT198" s="128"/>
      <c r="AU198" s="100" t="s">
        <v>913</v>
      </c>
      <c r="AV198" s="128" t="s">
        <v>934</v>
      </c>
      <c r="AW198" s="100" t="s">
        <v>962</v>
      </c>
      <c r="AX198" s="433">
        <f t="shared" si="152"/>
        <v>3</v>
      </c>
      <c r="AY198" s="433">
        <f t="shared" si="153"/>
        <v>0</v>
      </c>
      <c r="AZ198" s="433">
        <f t="shared" si="154"/>
        <v>0</v>
      </c>
      <c r="BA198" s="433">
        <f t="shared" si="144"/>
        <v>0</v>
      </c>
      <c r="BB198" s="433">
        <f t="shared" si="145"/>
        <v>0</v>
      </c>
      <c r="BC198" s="433">
        <f t="shared" si="146"/>
        <v>0</v>
      </c>
      <c r="BD198" s="433">
        <f t="shared" si="155"/>
        <v>0</v>
      </c>
      <c r="BE198" s="433">
        <f t="shared" si="156"/>
        <v>0</v>
      </c>
      <c r="BF198" s="433">
        <f t="shared" si="157"/>
        <v>0</v>
      </c>
      <c r="BG198" s="433">
        <f t="shared" si="158"/>
        <v>0</v>
      </c>
      <c r="BH198" s="433">
        <f t="shared" si="159"/>
        <v>0</v>
      </c>
      <c r="BI198" s="433">
        <f t="shared" si="160"/>
        <v>0</v>
      </c>
      <c r="BJ198" s="433">
        <f t="shared" si="161"/>
        <v>0</v>
      </c>
      <c r="BK198" s="433">
        <f t="shared" si="162"/>
        <v>0</v>
      </c>
      <c r="BL198" s="433">
        <f t="shared" si="163"/>
        <v>0</v>
      </c>
      <c r="BM198" s="433">
        <f t="shared" si="164"/>
        <v>0</v>
      </c>
      <c r="BN198" s="433">
        <f t="shared" si="165"/>
        <v>0</v>
      </c>
      <c r="BO198" s="433">
        <f t="shared" si="166"/>
        <v>0</v>
      </c>
      <c r="BP198" s="433">
        <f t="shared" si="167"/>
        <v>0</v>
      </c>
      <c r="BQ198" s="433">
        <f t="shared" si="168"/>
        <v>0</v>
      </c>
    </row>
    <row r="199" spans="1:69" x14ac:dyDescent="0.2">
      <c r="A199" s="102">
        <v>41811</v>
      </c>
      <c r="B199" s="319">
        <v>3</v>
      </c>
      <c r="C199" s="118" t="s">
        <v>630</v>
      </c>
      <c r="D199" s="111">
        <v>0.40972222222222227</v>
      </c>
      <c r="E199" s="111">
        <v>0.59722222222222221</v>
      </c>
      <c r="F199" s="444">
        <v>38</v>
      </c>
      <c r="G199" s="445">
        <v>8</v>
      </c>
      <c r="H199" s="444"/>
      <c r="I199" s="390"/>
      <c r="J199" s="426">
        <f t="shared" si="141"/>
        <v>269.99999999999989</v>
      </c>
      <c r="K199" s="103">
        <v>2</v>
      </c>
      <c r="L199" s="103"/>
      <c r="M199" s="103"/>
      <c r="N199" s="427">
        <f t="shared" si="142"/>
        <v>2</v>
      </c>
      <c r="O199" s="103"/>
      <c r="P199" s="103">
        <v>2</v>
      </c>
      <c r="Q199" s="103"/>
      <c r="R199" s="428">
        <f t="shared" si="143"/>
        <v>2</v>
      </c>
      <c r="S199" s="103"/>
      <c r="T199" s="103"/>
      <c r="U199" s="103"/>
      <c r="V199" s="125"/>
      <c r="W199" s="428">
        <f t="shared" si="147"/>
        <v>0</v>
      </c>
      <c r="X199" s="103"/>
      <c r="Y199" s="103"/>
      <c r="Z199" s="125"/>
      <c r="AA199" s="428">
        <f t="shared" si="148"/>
        <v>0</v>
      </c>
      <c r="AB199" s="103"/>
      <c r="AC199" s="103"/>
      <c r="AD199" s="103"/>
      <c r="AE199" s="428">
        <f t="shared" si="149"/>
        <v>0</v>
      </c>
      <c r="AF199" s="103"/>
      <c r="AG199" s="103"/>
      <c r="AH199" s="103"/>
      <c r="AI199" s="103"/>
      <c r="AJ199" s="428">
        <f t="shared" si="150"/>
        <v>0</v>
      </c>
      <c r="AK199" s="446"/>
      <c r="AL199" s="446"/>
      <c r="AM199" s="446"/>
      <c r="AN199" s="446"/>
      <c r="AO199" s="446"/>
      <c r="AP199" s="446"/>
      <c r="AQ199" s="446"/>
      <c r="AR199" s="431">
        <f t="shared" si="151"/>
        <v>0</v>
      </c>
      <c r="AT199" s="128"/>
      <c r="AU199" s="100" t="s">
        <v>961</v>
      </c>
      <c r="AV199" s="128" t="s">
        <v>934</v>
      </c>
      <c r="AW199" s="100" t="s">
        <v>962</v>
      </c>
      <c r="AX199" s="433">
        <f t="shared" si="152"/>
        <v>2</v>
      </c>
      <c r="AY199" s="433">
        <f t="shared" si="153"/>
        <v>0</v>
      </c>
      <c r="AZ199" s="433">
        <f t="shared" si="154"/>
        <v>0</v>
      </c>
      <c r="BA199" s="433">
        <f t="shared" si="144"/>
        <v>0</v>
      </c>
      <c r="BB199" s="433">
        <f t="shared" si="145"/>
        <v>2</v>
      </c>
      <c r="BC199" s="433">
        <f t="shared" si="146"/>
        <v>0</v>
      </c>
      <c r="BD199" s="433">
        <f t="shared" si="155"/>
        <v>0</v>
      </c>
      <c r="BE199" s="433">
        <f t="shared" si="156"/>
        <v>0</v>
      </c>
      <c r="BF199" s="433">
        <f t="shared" si="157"/>
        <v>0</v>
      </c>
      <c r="BG199" s="433">
        <f t="shared" si="158"/>
        <v>0</v>
      </c>
      <c r="BH199" s="433">
        <f t="shared" si="159"/>
        <v>0</v>
      </c>
      <c r="BI199" s="433">
        <f t="shared" si="160"/>
        <v>0</v>
      </c>
      <c r="BJ199" s="433">
        <f t="shared" si="161"/>
        <v>0</v>
      </c>
      <c r="BK199" s="433">
        <f t="shared" si="162"/>
        <v>0</v>
      </c>
      <c r="BL199" s="433">
        <f t="shared" si="163"/>
        <v>0</v>
      </c>
      <c r="BM199" s="433">
        <f t="shared" si="164"/>
        <v>0</v>
      </c>
      <c r="BN199" s="433">
        <f t="shared" si="165"/>
        <v>0</v>
      </c>
      <c r="BO199" s="433">
        <f t="shared" si="166"/>
        <v>0</v>
      </c>
      <c r="BP199" s="433">
        <f t="shared" si="167"/>
        <v>0</v>
      </c>
      <c r="BQ199" s="433">
        <f t="shared" si="168"/>
        <v>0</v>
      </c>
    </row>
    <row r="200" spans="1:69" x14ac:dyDescent="0.2">
      <c r="A200" s="102">
        <v>41811</v>
      </c>
      <c r="B200" s="319">
        <v>3</v>
      </c>
      <c r="C200" s="118" t="s">
        <v>956</v>
      </c>
      <c r="D200" s="111">
        <v>0.59722222222222221</v>
      </c>
      <c r="E200" s="111">
        <v>0.76041666666666663</v>
      </c>
      <c r="F200" s="444">
        <v>40</v>
      </c>
      <c r="G200" s="445">
        <v>8</v>
      </c>
      <c r="H200" s="444"/>
      <c r="I200" s="390"/>
      <c r="J200" s="426">
        <f t="shared" si="141"/>
        <v>234.99999999999997</v>
      </c>
      <c r="K200" s="103">
        <v>5</v>
      </c>
      <c r="L200" s="103">
        <v>1</v>
      </c>
      <c r="M200" s="103"/>
      <c r="N200" s="427">
        <f t="shared" si="142"/>
        <v>6</v>
      </c>
      <c r="O200" s="103"/>
      <c r="P200" s="103"/>
      <c r="Q200" s="103"/>
      <c r="R200" s="428">
        <f t="shared" si="143"/>
        <v>0</v>
      </c>
      <c r="S200" s="103"/>
      <c r="T200" s="103"/>
      <c r="U200" s="103"/>
      <c r="V200" s="125"/>
      <c r="W200" s="428">
        <f t="shared" si="147"/>
        <v>0</v>
      </c>
      <c r="X200" s="103"/>
      <c r="Y200" s="103"/>
      <c r="Z200" s="125"/>
      <c r="AA200" s="428">
        <f t="shared" si="148"/>
        <v>0</v>
      </c>
      <c r="AB200" s="103"/>
      <c r="AC200" s="103"/>
      <c r="AD200" s="103"/>
      <c r="AE200" s="428">
        <f t="shared" si="149"/>
        <v>0</v>
      </c>
      <c r="AF200" s="103"/>
      <c r="AG200" s="103"/>
      <c r="AH200" s="103"/>
      <c r="AI200" s="103"/>
      <c r="AJ200" s="428">
        <f t="shared" si="150"/>
        <v>0</v>
      </c>
      <c r="AK200" s="446"/>
      <c r="AL200" s="446"/>
      <c r="AM200" s="446"/>
      <c r="AN200" s="446"/>
      <c r="AO200" s="446"/>
      <c r="AP200" s="446"/>
      <c r="AQ200" s="446"/>
      <c r="AR200" s="431">
        <f t="shared" si="151"/>
        <v>0</v>
      </c>
      <c r="AT200" s="128"/>
      <c r="AU200" s="100" t="s">
        <v>955</v>
      </c>
      <c r="AV200" s="128" t="s">
        <v>934</v>
      </c>
      <c r="AW200" s="100" t="s">
        <v>962</v>
      </c>
      <c r="AX200" s="433">
        <f t="shared" si="152"/>
        <v>5</v>
      </c>
      <c r="AY200" s="433">
        <f t="shared" si="153"/>
        <v>1</v>
      </c>
      <c r="AZ200" s="433">
        <f t="shared" si="154"/>
        <v>0</v>
      </c>
      <c r="BA200" s="433">
        <f t="shared" si="144"/>
        <v>0</v>
      </c>
      <c r="BB200" s="433">
        <f t="shared" si="145"/>
        <v>0</v>
      </c>
      <c r="BC200" s="433">
        <f t="shared" si="146"/>
        <v>0</v>
      </c>
      <c r="BD200" s="433">
        <f t="shared" si="155"/>
        <v>0</v>
      </c>
      <c r="BE200" s="433">
        <f t="shared" si="156"/>
        <v>0</v>
      </c>
      <c r="BF200" s="433">
        <f t="shared" si="157"/>
        <v>0</v>
      </c>
      <c r="BG200" s="433">
        <f t="shared" si="158"/>
        <v>0</v>
      </c>
      <c r="BH200" s="433">
        <f t="shared" si="159"/>
        <v>0</v>
      </c>
      <c r="BI200" s="433">
        <f t="shared" si="160"/>
        <v>0</v>
      </c>
      <c r="BJ200" s="433">
        <f t="shared" si="161"/>
        <v>0</v>
      </c>
      <c r="BK200" s="433">
        <f t="shared" si="162"/>
        <v>0</v>
      </c>
      <c r="BL200" s="433">
        <f t="shared" si="163"/>
        <v>0</v>
      </c>
      <c r="BM200" s="433">
        <f t="shared" si="164"/>
        <v>0</v>
      </c>
      <c r="BN200" s="433">
        <f t="shared" si="165"/>
        <v>0</v>
      </c>
      <c r="BO200" s="433">
        <f t="shared" si="166"/>
        <v>0</v>
      </c>
      <c r="BP200" s="433">
        <f t="shared" si="167"/>
        <v>0</v>
      </c>
      <c r="BQ200" s="433">
        <f t="shared" si="168"/>
        <v>0</v>
      </c>
    </row>
    <row r="201" spans="1:69" s="291" customFormat="1" x14ac:dyDescent="0.2">
      <c r="A201" s="317">
        <v>41811</v>
      </c>
      <c r="B201" s="318">
        <v>3</v>
      </c>
      <c r="C201" s="320" t="s">
        <v>959</v>
      </c>
      <c r="D201" s="321">
        <v>0.76041666666666663</v>
      </c>
      <c r="E201" s="321">
        <v>0.96944444444444444</v>
      </c>
      <c r="F201" s="434">
        <v>42</v>
      </c>
      <c r="G201" s="435">
        <v>8</v>
      </c>
      <c r="H201" s="434"/>
      <c r="I201" s="436"/>
      <c r="J201" s="437">
        <f t="shared" si="141"/>
        <v>301.00000000000006</v>
      </c>
      <c r="K201" s="285">
        <v>3</v>
      </c>
      <c r="L201" s="285"/>
      <c r="M201" s="285"/>
      <c r="N201" s="438">
        <f t="shared" si="142"/>
        <v>3</v>
      </c>
      <c r="O201" s="285"/>
      <c r="P201" s="285">
        <v>4</v>
      </c>
      <c r="Q201" s="285"/>
      <c r="R201" s="439">
        <f t="shared" si="143"/>
        <v>4</v>
      </c>
      <c r="S201" s="285"/>
      <c r="T201" s="285"/>
      <c r="U201" s="285"/>
      <c r="V201" s="440"/>
      <c r="W201" s="439">
        <f t="shared" si="147"/>
        <v>0</v>
      </c>
      <c r="X201" s="285"/>
      <c r="Y201" s="285"/>
      <c r="Z201" s="440"/>
      <c r="AA201" s="439">
        <f t="shared" si="148"/>
        <v>0</v>
      </c>
      <c r="AB201" s="285"/>
      <c r="AC201" s="285"/>
      <c r="AD201" s="285"/>
      <c r="AE201" s="439">
        <f t="shared" si="149"/>
        <v>0</v>
      </c>
      <c r="AF201" s="285"/>
      <c r="AG201" s="285"/>
      <c r="AH201" s="285"/>
      <c r="AI201" s="285"/>
      <c r="AJ201" s="439">
        <f t="shared" si="150"/>
        <v>0</v>
      </c>
      <c r="AK201" s="340">
        <v>1</v>
      </c>
      <c r="AL201" s="340"/>
      <c r="AM201" s="340"/>
      <c r="AN201" s="340"/>
      <c r="AO201" s="340"/>
      <c r="AP201" s="340"/>
      <c r="AQ201" s="340"/>
      <c r="AR201" s="441">
        <f t="shared" si="151"/>
        <v>1</v>
      </c>
      <c r="AT201" s="313"/>
      <c r="AU201" s="289" t="s">
        <v>961</v>
      </c>
      <c r="AV201" s="313" t="s">
        <v>934</v>
      </c>
      <c r="AW201" s="289" t="s">
        <v>962</v>
      </c>
      <c r="AX201" s="443">
        <f t="shared" si="152"/>
        <v>3</v>
      </c>
      <c r="AY201" s="443">
        <f t="shared" si="153"/>
        <v>0</v>
      </c>
      <c r="AZ201" s="443">
        <f t="shared" si="154"/>
        <v>0</v>
      </c>
      <c r="BA201" s="443">
        <f t="shared" si="144"/>
        <v>0</v>
      </c>
      <c r="BB201" s="443">
        <f t="shared" si="145"/>
        <v>4</v>
      </c>
      <c r="BC201" s="443">
        <f t="shared" si="146"/>
        <v>0</v>
      </c>
      <c r="BD201" s="443">
        <f t="shared" si="155"/>
        <v>0</v>
      </c>
      <c r="BE201" s="443">
        <f t="shared" si="156"/>
        <v>0</v>
      </c>
      <c r="BF201" s="443">
        <f t="shared" si="157"/>
        <v>0</v>
      </c>
      <c r="BG201" s="443">
        <f t="shared" si="158"/>
        <v>0</v>
      </c>
      <c r="BH201" s="443">
        <f t="shared" si="159"/>
        <v>0</v>
      </c>
      <c r="BI201" s="443">
        <f t="shared" si="160"/>
        <v>0</v>
      </c>
      <c r="BJ201" s="443">
        <f t="shared" si="161"/>
        <v>0</v>
      </c>
      <c r="BK201" s="443">
        <f t="shared" si="162"/>
        <v>0</v>
      </c>
      <c r="BL201" s="443">
        <f t="shared" si="163"/>
        <v>0</v>
      </c>
      <c r="BM201" s="443">
        <f t="shared" si="164"/>
        <v>0</v>
      </c>
      <c r="BN201" s="443">
        <f t="shared" si="165"/>
        <v>0</v>
      </c>
      <c r="BO201" s="443">
        <f t="shared" si="166"/>
        <v>0</v>
      </c>
      <c r="BP201" s="443">
        <f t="shared" si="167"/>
        <v>0</v>
      </c>
      <c r="BQ201" s="443">
        <f t="shared" si="168"/>
        <v>0</v>
      </c>
    </row>
    <row r="202" spans="1:69" x14ac:dyDescent="0.2">
      <c r="A202" s="102">
        <v>41812</v>
      </c>
      <c r="B202" s="319">
        <v>1</v>
      </c>
      <c r="C202" s="118" t="s">
        <v>987</v>
      </c>
      <c r="D202" s="111">
        <v>0.24097222222222223</v>
      </c>
      <c r="E202" s="111">
        <v>0.4368055555555555</v>
      </c>
      <c r="F202" s="444">
        <v>45</v>
      </c>
      <c r="G202" s="445">
        <v>6.5</v>
      </c>
      <c r="H202" s="444"/>
      <c r="I202" s="390"/>
      <c r="J202" s="426">
        <f t="shared" si="141"/>
        <v>281.99999999999989</v>
      </c>
      <c r="K202" s="103"/>
      <c r="L202" s="103"/>
      <c r="M202" s="103"/>
      <c r="N202" s="427">
        <f t="shared" si="142"/>
        <v>0</v>
      </c>
      <c r="O202" s="103"/>
      <c r="P202" s="103"/>
      <c r="Q202" s="103"/>
      <c r="R202" s="428">
        <f t="shared" si="143"/>
        <v>0</v>
      </c>
      <c r="S202" s="103"/>
      <c r="T202" s="103"/>
      <c r="U202" s="103"/>
      <c r="V202" s="125"/>
      <c r="W202" s="428">
        <f t="shared" si="147"/>
        <v>0</v>
      </c>
      <c r="X202" s="103"/>
      <c r="Y202" s="103"/>
      <c r="Z202" s="125"/>
      <c r="AA202" s="428">
        <f t="shared" si="148"/>
        <v>0</v>
      </c>
      <c r="AB202" s="103"/>
      <c r="AC202" s="103"/>
      <c r="AD202" s="103"/>
      <c r="AE202" s="428">
        <f t="shared" si="149"/>
        <v>0</v>
      </c>
      <c r="AF202" s="103"/>
      <c r="AG202" s="103"/>
      <c r="AH202" s="103"/>
      <c r="AI202" s="103"/>
      <c r="AJ202" s="428">
        <f t="shared" si="150"/>
        <v>0</v>
      </c>
      <c r="AK202" s="446"/>
      <c r="AL202" s="446"/>
      <c r="AM202" s="446"/>
      <c r="AN202" s="446"/>
      <c r="AO202" s="446"/>
      <c r="AP202" s="446"/>
      <c r="AQ202" s="446"/>
      <c r="AR202" s="431">
        <f t="shared" si="151"/>
        <v>0</v>
      </c>
      <c r="AT202" s="128" t="s">
        <v>424</v>
      </c>
      <c r="AU202" s="100" t="s">
        <v>991</v>
      </c>
      <c r="AV202" s="128" t="s">
        <v>986</v>
      </c>
      <c r="AW202" s="100" t="s">
        <v>999</v>
      </c>
      <c r="AX202" s="433">
        <f t="shared" si="152"/>
        <v>0</v>
      </c>
      <c r="AY202" s="433">
        <f t="shared" si="153"/>
        <v>0</v>
      </c>
      <c r="AZ202" s="433">
        <f t="shared" si="154"/>
        <v>0</v>
      </c>
      <c r="BA202" s="433">
        <f t="shared" si="144"/>
        <v>0</v>
      </c>
      <c r="BB202" s="433">
        <f t="shared" si="145"/>
        <v>0</v>
      </c>
      <c r="BC202" s="433">
        <f t="shared" si="146"/>
        <v>0</v>
      </c>
      <c r="BD202" s="433">
        <f t="shared" si="155"/>
        <v>0</v>
      </c>
      <c r="BE202" s="433">
        <f t="shared" si="156"/>
        <v>0</v>
      </c>
      <c r="BF202" s="433">
        <f t="shared" si="157"/>
        <v>0</v>
      </c>
      <c r="BG202" s="433">
        <f t="shared" si="158"/>
        <v>0</v>
      </c>
      <c r="BH202" s="433">
        <f t="shared" si="159"/>
        <v>0</v>
      </c>
      <c r="BI202" s="433">
        <f t="shared" si="160"/>
        <v>0</v>
      </c>
      <c r="BJ202" s="433">
        <f t="shared" si="161"/>
        <v>0</v>
      </c>
      <c r="BK202" s="433">
        <f t="shared" si="162"/>
        <v>0</v>
      </c>
      <c r="BL202" s="433">
        <f t="shared" si="163"/>
        <v>0</v>
      </c>
      <c r="BM202" s="433">
        <f t="shared" si="164"/>
        <v>0</v>
      </c>
      <c r="BN202" s="433">
        <f t="shared" si="165"/>
        <v>0</v>
      </c>
      <c r="BO202" s="433">
        <f t="shared" si="166"/>
        <v>0</v>
      </c>
      <c r="BP202" s="433">
        <f t="shared" si="167"/>
        <v>0</v>
      </c>
      <c r="BQ202" s="433">
        <f t="shared" si="168"/>
        <v>0</v>
      </c>
    </row>
    <row r="203" spans="1:69" x14ac:dyDescent="0.2">
      <c r="A203" s="102">
        <v>41812</v>
      </c>
      <c r="B203" s="319">
        <v>1</v>
      </c>
      <c r="C203" s="118" t="s">
        <v>959</v>
      </c>
      <c r="D203" s="111">
        <v>0.4368055555555555</v>
      </c>
      <c r="E203" s="111">
        <v>0.54722222222222217</v>
      </c>
      <c r="F203" s="444">
        <v>48</v>
      </c>
      <c r="G203" s="445">
        <v>7</v>
      </c>
      <c r="H203" s="444"/>
      <c r="I203" s="390"/>
      <c r="J203" s="426">
        <f t="shared" si="141"/>
        <v>159</v>
      </c>
      <c r="K203" s="103"/>
      <c r="L203" s="103"/>
      <c r="M203" s="103"/>
      <c r="N203" s="427">
        <f t="shared" si="142"/>
        <v>0</v>
      </c>
      <c r="O203" s="103"/>
      <c r="P203" s="103"/>
      <c r="Q203" s="103"/>
      <c r="R203" s="428">
        <f t="shared" si="143"/>
        <v>0</v>
      </c>
      <c r="S203" s="103"/>
      <c r="T203" s="103"/>
      <c r="U203" s="103"/>
      <c r="V203" s="125"/>
      <c r="W203" s="428">
        <f t="shared" si="147"/>
        <v>0</v>
      </c>
      <c r="X203" s="103"/>
      <c r="Y203" s="103"/>
      <c r="Z203" s="125"/>
      <c r="AA203" s="428">
        <f t="shared" si="148"/>
        <v>0</v>
      </c>
      <c r="AB203" s="103"/>
      <c r="AC203" s="103"/>
      <c r="AD203" s="103"/>
      <c r="AE203" s="428">
        <f t="shared" si="149"/>
        <v>0</v>
      </c>
      <c r="AF203" s="103"/>
      <c r="AG203" s="103"/>
      <c r="AH203" s="103"/>
      <c r="AI203" s="103"/>
      <c r="AJ203" s="428">
        <f t="shared" si="150"/>
        <v>0</v>
      </c>
      <c r="AK203" s="446"/>
      <c r="AL203" s="446"/>
      <c r="AM203" s="446"/>
      <c r="AN203" s="446"/>
      <c r="AO203" s="446"/>
      <c r="AP203" s="446"/>
      <c r="AQ203" s="446"/>
      <c r="AR203" s="431">
        <f t="shared" si="151"/>
        <v>0</v>
      </c>
      <c r="AS203" s="10" t="s">
        <v>989</v>
      </c>
      <c r="AT203" s="128" t="s">
        <v>424</v>
      </c>
      <c r="AU203" s="100" t="s">
        <v>990</v>
      </c>
      <c r="AV203" s="128" t="s">
        <v>986</v>
      </c>
      <c r="AW203" s="100" t="s">
        <v>999</v>
      </c>
      <c r="AX203" s="433">
        <f t="shared" si="152"/>
        <v>0</v>
      </c>
      <c r="AY203" s="433">
        <f t="shared" si="153"/>
        <v>0</v>
      </c>
      <c r="AZ203" s="433">
        <f t="shared" si="154"/>
        <v>0</v>
      </c>
      <c r="BA203" s="433">
        <f t="shared" si="144"/>
        <v>0</v>
      </c>
      <c r="BB203" s="433">
        <f t="shared" si="145"/>
        <v>0</v>
      </c>
      <c r="BC203" s="433">
        <f t="shared" si="146"/>
        <v>0</v>
      </c>
      <c r="BD203" s="433">
        <f t="shared" si="155"/>
        <v>0</v>
      </c>
      <c r="BE203" s="433">
        <f t="shared" si="156"/>
        <v>0</v>
      </c>
      <c r="BF203" s="433">
        <f t="shared" si="157"/>
        <v>0</v>
      </c>
      <c r="BG203" s="433">
        <f t="shared" si="158"/>
        <v>0</v>
      </c>
      <c r="BH203" s="433">
        <f t="shared" si="159"/>
        <v>0</v>
      </c>
      <c r="BI203" s="433">
        <f t="shared" si="160"/>
        <v>0</v>
      </c>
      <c r="BJ203" s="433">
        <f t="shared" si="161"/>
        <v>0</v>
      </c>
      <c r="BK203" s="433">
        <f t="shared" si="162"/>
        <v>0</v>
      </c>
      <c r="BL203" s="433">
        <f t="shared" si="163"/>
        <v>0</v>
      </c>
      <c r="BM203" s="433">
        <f t="shared" si="164"/>
        <v>0</v>
      </c>
      <c r="BN203" s="433">
        <f t="shared" si="165"/>
        <v>0</v>
      </c>
      <c r="BO203" s="433">
        <f t="shared" si="166"/>
        <v>0</v>
      </c>
      <c r="BP203" s="433">
        <f t="shared" si="167"/>
        <v>0</v>
      </c>
      <c r="BQ203" s="433">
        <f t="shared" si="168"/>
        <v>0</v>
      </c>
    </row>
    <row r="204" spans="1:69" x14ac:dyDescent="0.2">
      <c r="A204" s="102">
        <v>41812</v>
      </c>
      <c r="B204" s="319">
        <v>1</v>
      </c>
      <c r="C204" s="118" t="s">
        <v>959</v>
      </c>
      <c r="D204" s="111">
        <v>0.55208333333333337</v>
      </c>
      <c r="E204" s="111">
        <v>0.6069444444444444</v>
      </c>
      <c r="F204" s="444">
        <v>45</v>
      </c>
      <c r="G204" s="445">
        <v>8</v>
      </c>
      <c r="H204" s="444"/>
      <c r="I204" s="390"/>
      <c r="J204" s="426">
        <f t="shared" si="141"/>
        <v>78.999999999999886</v>
      </c>
      <c r="K204" s="103">
        <v>1</v>
      </c>
      <c r="L204" s="103"/>
      <c r="M204" s="103"/>
      <c r="N204" s="427">
        <f t="shared" si="142"/>
        <v>1</v>
      </c>
      <c r="O204" s="103"/>
      <c r="P204" s="103"/>
      <c r="Q204" s="103"/>
      <c r="R204" s="428">
        <f t="shared" si="143"/>
        <v>0</v>
      </c>
      <c r="S204" s="103"/>
      <c r="T204" s="103"/>
      <c r="U204" s="103"/>
      <c r="V204" s="125"/>
      <c r="W204" s="428">
        <f t="shared" si="147"/>
        <v>0</v>
      </c>
      <c r="X204" s="103"/>
      <c r="Y204" s="103"/>
      <c r="Z204" s="125"/>
      <c r="AA204" s="428">
        <f t="shared" si="148"/>
        <v>0</v>
      </c>
      <c r="AB204" s="103"/>
      <c r="AC204" s="103"/>
      <c r="AD204" s="103"/>
      <c r="AE204" s="428">
        <f t="shared" si="149"/>
        <v>0</v>
      </c>
      <c r="AF204" s="103"/>
      <c r="AG204" s="103"/>
      <c r="AH204" s="103"/>
      <c r="AI204" s="103"/>
      <c r="AJ204" s="428">
        <f t="shared" si="150"/>
        <v>0</v>
      </c>
      <c r="AK204" s="446"/>
      <c r="AL204" s="446"/>
      <c r="AM204" s="446"/>
      <c r="AN204" s="446"/>
      <c r="AO204" s="446"/>
      <c r="AP204" s="446"/>
      <c r="AQ204" s="446"/>
      <c r="AR204" s="431">
        <f t="shared" si="151"/>
        <v>0</v>
      </c>
      <c r="AT204" s="128"/>
      <c r="AU204" s="100" t="s">
        <v>966</v>
      </c>
      <c r="AV204" s="128" t="s">
        <v>986</v>
      </c>
      <c r="AW204" s="100" t="s">
        <v>999</v>
      </c>
      <c r="AX204" s="433">
        <f t="shared" si="152"/>
        <v>1</v>
      </c>
      <c r="AY204" s="433">
        <f t="shared" si="153"/>
        <v>0</v>
      </c>
      <c r="AZ204" s="433">
        <f t="shared" si="154"/>
        <v>0</v>
      </c>
      <c r="BA204" s="433">
        <f t="shared" si="144"/>
        <v>0</v>
      </c>
      <c r="BB204" s="433">
        <f t="shared" si="145"/>
        <v>0</v>
      </c>
      <c r="BC204" s="433">
        <f t="shared" si="146"/>
        <v>0</v>
      </c>
      <c r="BD204" s="433">
        <f t="shared" si="155"/>
        <v>0</v>
      </c>
      <c r="BE204" s="433">
        <f t="shared" si="156"/>
        <v>0</v>
      </c>
      <c r="BF204" s="433">
        <f t="shared" si="157"/>
        <v>0</v>
      </c>
      <c r="BG204" s="433">
        <f t="shared" si="158"/>
        <v>0</v>
      </c>
      <c r="BH204" s="433">
        <f t="shared" si="159"/>
        <v>0</v>
      </c>
      <c r="BI204" s="433">
        <f t="shared" si="160"/>
        <v>0</v>
      </c>
      <c r="BJ204" s="433">
        <f t="shared" si="161"/>
        <v>0</v>
      </c>
      <c r="BK204" s="433">
        <f t="shared" si="162"/>
        <v>0</v>
      </c>
      <c r="BL204" s="433">
        <f t="shared" si="163"/>
        <v>0</v>
      </c>
      <c r="BM204" s="433">
        <f t="shared" si="164"/>
        <v>0</v>
      </c>
      <c r="BN204" s="433">
        <f t="shared" si="165"/>
        <v>0</v>
      </c>
      <c r="BO204" s="433">
        <f t="shared" si="166"/>
        <v>0</v>
      </c>
      <c r="BP204" s="433">
        <f t="shared" si="167"/>
        <v>0</v>
      </c>
      <c r="BQ204" s="433">
        <f t="shared" si="168"/>
        <v>0</v>
      </c>
    </row>
    <row r="205" spans="1:69" x14ac:dyDescent="0.2">
      <c r="A205" s="102">
        <v>41812</v>
      </c>
      <c r="B205" s="319">
        <v>1</v>
      </c>
      <c r="C205" s="118" t="s">
        <v>958</v>
      </c>
      <c r="D205" s="111">
        <v>0.6069444444444444</v>
      </c>
      <c r="E205" s="111">
        <v>0.79513888888888884</v>
      </c>
      <c r="F205" s="444">
        <v>46</v>
      </c>
      <c r="G205" s="445">
        <v>8</v>
      </c>
      <c r="H205" s="444"/>
      <c r="I205" s="390"/>
      <c r="J205" s="426">
        <f>((E205-D205)*24*60)-51</f>
        <v>220</v>
      </c>
      <c r="K205" s="103">
        <v>1</v>
      </c>
      <c r="L205" s="103"/>
      <c r="M205" s="103"/>
      <c r="N205" s="427">
        <f t="shared" si="142"/>
        <v>1</v>
      </c>
      <c r="O205" s="103"/>
      <c r="P205" s="103"/>
      <c r="Q205" s="103"/>
      <c r="R205" s="428">
        <f t="shared" si="143"/>
        <v>0</v>
      </c>
      <c r="S205" s="103"/>
      <c r="T205" s="103"/>
      <c r="U205" s="103"/>
      <c r="V205" s="125"/>
      <c r="W205" s="428">
        <f t="shared" si="147"/>
        <v>0</v>
      </c>
      <c r="X205" s="103"/>
      <c r="Y205" s="103"/>
      <c r="Z205" s="125"/>
      <c r="AA205" s="428">
        <f t="shared" si="148"/>
        <v>0</v>
      </c>
      <c r="AB205" s="103"/>
      <c r="AC205" s="103"/>
      <c r="AD205" s="103"/>
      <c r="AE205" s="428">
        <f t="shared" si="149"/>
        <v>0</v>
      </c>
      <c r="AF205" s="103"/>
      <c r="AG205" s="103"/>
      <c r="AH205" s="103"/>
      <c r="AI205" s="103"/>
      <c r="AJ205" s="428">
        <f t="shared" si="150"/>
        <v>0</v>
      </c>
      <c r="AK205" s="446"/>
      <c r="AL205" s="446"/>
      <c r="AM205" s="446"/>
      <c r="AN205" s="446"/>
      <c r="AO205" s="446"/>
      <c r="AP205" s="446"/>
      <c r="AQ205" s="446"/>
      <c r="AR205" s="431">
        <f t="shared" si="151"/>
        <v>0</v>
      </c>
      <c r="AS205" s="10" t="s">
        <v>992</v>
      </c>
      <c r="AT205" s="128"/>
      <c r="AU205" s="100" t="s">
        <v>934</v>
      </c>
      <c r="AV205" s="128" t="s">
        <v>986</v>
      </c>
      <c r="AW205" s="100" t="s">
        <v>999</v>
      </c>
      <c r="AX205" s="433">
        <f t="shared" si="152"/>
        <v>1</v>
      </c>
      <c r="AY205" s="433">
        <f t="shared" si="153"/>
        <v>0</v>
      </c>
      <c r="AZ205" s="433">
        <f t="shared" si="154"/>
        <v>0</v>
      </c>
      <c r="BA205" s="433">
        <f t="shared" si="144"/>
        <v>0</v>
      </c>
      <c r="BB205" s="433">
        <f t="shared" si="145"/>
        <v>0</v>
      </c>
      <c r="BC205" s="433">
        <f t="shared" si="146"/>
        <v>0</v>
      </c>
      <c r="BD205" s="433">
        <f t="shared" si="155"/>
        <v>0</v>
      </c>
      <c r="BE205" s="433">
        <f t="shared" si="156"/>
        <v>0</v>
      </c>
      <c r="BF205" s="433">
        <f t="shared" si="157"/>
        <v>0</v>
      </c>
      <c r="BG205" s="433">
        <f t="shared" si="158"/>
        <v>0</v>
      </c>
      <c r="BH205" s="433">
        <f t="shared" si="159"/>
        <v>0</v>
      </c>
      <c r="BI205" s="433">
        <f t="shared" si="160"/>
        <v>0</v>
      </c>
      <c r="BJ205" s="433">
        <f t="shared" si="161"/>
        <v>0</v>
      </c>
      <c r="BK205" s="433">
        <f t="shared" si="162"/>
        <v>0</v>
      </c>
      <c r="BL205" s="433">
        <f t="shared" si="163"/>
        <v>0</v>
      </c>
      <c r="BM205" s="433">
        <f t="shared" si="164"/>
        <v>0</v>
      </c>
      <c r="BN205" s="433">
        <f t="shared" si="165"/>
        <v>0</v>
      </c>
      <c r="BO205" s="433">
        <f t="shared" si="166"/>
        <v>0</v>
      </c>
      <c r="BP205" s="433">
        <f t="shared" si="167"/>
        <v>0</v>
      </c>
      <c r="BQ205" s="433">
        <f t="shared" si="168"/>
        <v>0</v>
      </c>
    </row>
    <row r="206" spans="1:69" x14ac:dyDescent="0.2">
      <c r="A206" s="102">
        <v>41812</v>
      </c>
      <c r="B206" s="319">
        <v>1</v>
      </c>
      <c r="C206" s="118" t="s">
        <v>988</v>
      </c>
      <c r="D206" s="111">
        <v>0.79513888888888884</v>
      </c>
      <c r="E206" s="111">
        <v>0.97986111111111107</v>
      </c>
      <c r="F206" s="444">
        <v>48</v>
      </c>
      <c r="G206" s="445">
        <v>8</v>
      </c>
      <c r="H206" s="444"/>
      <c r="I206" s="390"/>
      <c r="J206" s="426">
        <f t="shared" si="141"/>
        <v>266</v>
      </c>
      <c r="K206" s="103">
        <v>1</v>
      </c>
      <c r="L206" s="103"/>
      <c r="M206" s="103"/>
      <c r="N206" s="427">
        <f t="shared" si="142"/>
        <v>1</v>
      </c>
      <c r="O206" s="103"/>
      <c r="P206" s="103">
        <v>1</v>
      </c>
      <c r="Q206" s="103"/>
      <c r="R206" s="428">
        <f t="shared" si="143"/>
        <v>1</v>
      </c>
      <c r="S206" s="103"/>
      <c r="T206" s="103"/>
      <c r="U206" s="103"/>
      <c r="V206" s="125"/>
      <c r="W206" s="428">
        <f t="shared" si="147"/>
        <v>0</v>
      </c>
      <c r="X206" s="103"/>
      <c r="Y206" s="103"/>
      <c r="Z206" s="125"/>
      <c r="AA206" s="428">
        <f t="shared" si="148"/>
        <v>0</v>
      </c>
      <c r="AB206" s="103"/>
      <c r="AC206" s="103"/>
      <c r="AD206" s="103"/>
      <c r="AE206" s="428">
        <f t="shared" si="149"/>
        <v>0</v>
      </c>
      <c r="AF206" s="103"/>
      <c r="AG206" s="103"/>
      <c r="AH206" s="103"/>
      <c r="AI206" s="103"/>
      <c r="AJ206" s="428">
        <f t="shared" si="150"/>
        <v>0</v>
      </c>
      <c r="AK206" s="446"/>
      <c r="AL206" s="446"/>
      <c r="AM206" s="446"/>
      <c r="AN206" s="446"/>
      <c r="AO206" s="446"/>
      <c r="AP206" s="446"/>
      <c r="AQ206" s="446"/>
      <c r="AR206" s="431">
        <f t="shared" si="151"/>
        <v>0</v>
      </c>
      <c r="AT206" s="128"/>
      <c r="AU206" s="100" t="s">
        <v>990</v>
      </c>
      <c r="AV206" s="128" t="s">
        <v>986</v>
      </c>
      <c r="AW206" s="100" t="s">
        <v>999</v>
      </c>
      <c r="AX206" s="433">
        <f t="shared" si="152"/>
        <v>1</v>
      </c>
      <c r="AY206" s="433">
        <f t="shared" si="153"/>
        <v>0</v>
      </c>
      <c r="AZ206" s="433">
        <f t="shared" si="154"/>
        <v>0</v>
      </c>
      <c r="BA206" s="433">
        <f t="shared" si="144"/>
        <v>0</v>
      </c>
      <c r="BB206" s="433">
        <f t="shared" si="145"/>
        <v>1</v>
      </c>
      <c r="BC206" s="433">
        <f t="shared" si="146"/>
        <v>0</v>
      </c>
      <c r="BD206" s="433">
        <f t="shared" si="155"/>
        <v>0</v>
      </c>
      <c r="BE206" s="433">
        <f t="shared" si="156"/>
        <v>0</v>
      </c>
      <c r="BF206" s="433">
        <f t="shared" si="157"/>
        <v>0</v>
      </c>
      <c r="BG206" s="433">
        <f t="shared" si="158"/>
        <v>0</v>
      </c>
      <c r="BH206" s="433">
        <f t="shared" si="159"/>
        <v>0</v>
      </c>
      <c r="BI206" s="433">
        <f t="shared" si="160"/>
        <v>0</v>
      </c>
      <c r="BJ206" s="433">
        <f t="shared" si="161"/>
        <v>0</v>
      </c>
      <c r="BK206" s="433">
        <f t="shared" si="162"/>
        <v>0</v>
      </c>
      <c r="BL206" s="433">
        <f t="shared" si="163"/>
        <v>0</v>
      </c>
      <c r="BM206" s="433">
        <f t="shared" si="164"/>
        <v>0</v>
      </c>
      <c r="BN206" s="433">
        <f t="shared" si="165"/>
        <v>0</v>
      </c>
      <c r="BO206" s="433">
        <f t="shared" si="166"/>
        <v>0</v>
      </c>
      <c r="BP206" s="433">
        <f t="shared" si="167"/>
        <v>0</v>
      </c>
      <c r="BQ206" s="433">
        <f t="shared" si="168"/>
        <v>0</v>
      </c>
    </row>
    <row r="207" spans="1:69" x14ac:dyDescent="0.2">
      <c r="A207" s="102">
        <v>41812</v>
      </c>
      <c r="B207" s="319">
        <v>2</v>
      </c>
      <c r="C207" s="118" t="s">
        <v>993</v>
      </c>
      <c r="D207" s="111">
        <v>0.25208333333333333</v>
      </c>
      <c r="E207" s="111">
        <v>0.43194444444444446</v>
      </c>
      <c r="F207" s="444">
        <v>31</v>
      </c>
      <c r="G207" s="445">
        <v>9</v>
      </c>
      <c r="H207" s="444"/>
      <c r="I207" s="390"/>
      <c r="J207" s="426">
        <f t="shared" si="141"/>
        <v>259.00000000000006</v>
      </c>
      <c r="K207" s="103"/>
      <c r="L207" s="103"/>
      <c r="M207" s="103"/>
      <c r="N207" s="427">
        <f t="shared" si="142"/>
        <v>0</v>
      </c>
      <c r="O207" s="103"/>
      <c r="P207" s="103"/>
      <c r="Q207" s="103"/>
      <c r="R207" s="428">
        <f t="shared" si="143"/>
        <v>0</v>
      </c>
      <c r="S207" s="103"/>
      <c r="T207" s="103"/>
      <c r="U207" s="103"/>
      <c r="V207" s="125"/>
      <c r="W207" s="428">
        <f t="shared" si="147"/>
        <v>0</v>
      </c>
      <c r="X207" s="103"/>
      <c r="Y207" s="103"/>
      <c r="Z207" s="125"/>
      <c r="AA207" s="428">
        <f t="shared" si="148"/>
        <v>0</v>
      </c>
      <c r="AB207" s="103"/>
      <c r="AC207" s="103"/>
      <c r="AD207" s="103"/>
      <c r="AE207" s="428">
        <f t="shared" si="149"/>
        <v>0</v>
      </c>
      <c r="AF207" s="103"/>
      <c r="AG207" s="103"/>
      <c r="AH207" s="103"/>
      <c r="AI207" s="103"/>
      <c r="AJ207" s="428">
        <f t="shared" si="150"/>
        <v>0</v>
      </c>
      <c r="AK207" s="446"/>
      <c r="AL207" s="446"/>
      <c r="AM207" s="446"/>
      <c r="AN207" s="446"/>
      <c r="AO207" s="446"/>
      <c r="AP207" s="446"/>
      <c r="AQ207" s="446"/>
      <c r="AR207" s="431">
        <f t="shared" si="151"/>
        <v>0</v>
      </c>
      <c r="AT207" s="128" t="s">
        <v>424</v>
      </c>
      <c r="AU207" s="100" t="s">
        <v>994</v>
      </c>
      <c r="AV207" s="128" t="s">
        <v>986</v>
      </c>
      <c r="AW207" s="100" t="s">
        <v>999</v>
      </c>
      <c r="AX207" s="433">
        <f t="shared" si="152"/>
        <v>0</v>
      </c>
      <c r="AY207" s="433">
        <f t="shared" si="153"/>
        <v>0</v>
      </c>
      <c r="AZ207" s="433">
        <f t="shared" si="154"/>
        <v>0</v>
      </c>
      <c r="BA207" s="433">
        <f t="shared" si="144"/>
        <v>0</v>
      </c>
      <c r="BB207" s="433">
        <f t="shared" si="145"/>
        <v>0</v>
      </c>
      <c r="BC207" s="433">
        <f t="shared" si="146"/>
        <v>0</v>
      </c>
      <c r="BD207" s="433">
        <f t="shared" si="155"/>
        <v>0</v>
      </c>
      <c r="BE207" s="433">
        <f t="shared" si="156"/>
        <v>0</v>
      </c>
      <c r="BF207" s="433">
        <f t="shared" si="157"/>
        <v>0</v>
      </c>
      <c r="BG207" s="433">
        <f t="shared" si="158"/>
        <v>0</v>
      </c>
      <c r="BH207" s="433">
        <f t="shared" si="159"/>
        <v>0</v>
      </c>
      <c r="BI207" s="433">
        <f t="shared" si="160"/>
        <v>0</v>
      </c>
      <c r="BJ207" s="433">
        <f t="shared" si="161"/>
        <v>0</v>
      </c>
      <c r="BK207" s="433">
        <f t="shared" si="162"/>
        <v>0</v>
      </c>
      <c r="BL207" s="433">
        <f t="shared" si="163"/>
        <v>0</v>
      </c>
      <c r="BM207" s="433">
        <f t="shared" si="164"/>
        <v>0</v>
      </c>
      <c r="BN207" s="433">
        <f t="shared" si="165"/>
        <v>0</v>
      </c>
      <c r="BO207" s="433">
        <f t="shared" si="166"/>
        <v>0</v>
      </c>
      <c r="BP207" s="433">
        <f t="shared" si="167"/>
        <v>0</v>
      </c>
      <c r="BQ207" s="433">
        <f t="shared" si="168"/>
        <v>0</v>
      </c>
    </row>
    <row r="208" spans="1:69" x14ac:dyDescent="0.2">
      <c r="A208" s="102">
        <v>41812</v>
      </c>
      <c r="B208" s="319">
        <v>2</v>
      </c>
      <c r="C208" s="118" t="s">
        <v>959</v>
      </c>
      <c r="D208" s="111">
        <v>0.43194444444444446</v>
      </c>
      <c r="E208" s="111">
        <v>0.59305555555555556</v>
      </c>
      <c r="F208" s="444">
        <v>31</v>
      </c>
      <c r="G208" s="445">
        <v>9</v>
      </c>
      <c r="H208" s="444"/>
      <c r="I208" s="390"/>
      <c r="J208" s="426">
        <f t="shared" si="141"/>
        <v>231.99999999999997</v>
      </c>
      <c r="K208" s="103"/>
      <c r="L208" s="103"/>
      <c r="M208" s="103"/>
      <c r="N208" s="427">
        <f t="shared" si="142"/>
        <v>0</v>
      </c>
      <c r="O208" s="103"/>
      <c r="P208" s="103"/>
      <c r="Q208" s="103"/>
      <c r="R208" s="428">
        <f t="shared" si="143"/>
        <v>0</v>
      </c>
      <c r="S208" s="103"/>
      <c r="T208" s="103"/>
      <c r="U208" s="103"/>
      <c r="V208" s="125"/>
      <c r="W208" s="428">
        <f t="shared" si="147"/>
        <v>0</v>
      </c>
      <c r="X208" s="103"/>
      <c r="Y208" s="103"/>
      <c r="Z208" s="125"/>
      <c r="AA208" s="428">
        <f t="shared" si="148"/>
        <v>0</v>
      </c>
      <c r="AB208" s="103"/>
      <c r="AC208" s="103"/>
      <c r="AD208" s="103"/>
      <c r="AE208" s="428">
        <f t="shared" si="149"/>
        <v>0</v>
      </c>
      <c r="AF208" s="103"/>
      <c r="AG208" s="103"/>
      <c r="AH208" s="103"/>
      <c r="AI208" s="103"/>
      <c r="AJ208" s="428">
        <f t="shared" si="150"/>
        <v>0</v>
      </c>
      <c r="AK208" s="446"/>
      <c r="AL208" s="446"/>
      <c r="AM208" s="446"/>
      <c r="AN208" s="446"/>
      <c r="AO208" s="446"/>
      <c r="AP208" s="446"/>
      <c r="AQ208" s="446"/>
      <c r="AR208" s="431">
        <f t="shared" si="151"/>
        <v>0</v>
      </c>
      <c r="AT208" s="128" t="s">
        <v>424</v>
      </c>
      <c r="AU208" s="100" t="s">
        <v>990</v>
      </c>
      <c r="AV208" s="128" t="s">
        <v>986</v>
      </c>
      <c r="AW208" s="100" t="s">
        <v>999</v>
      </c>
      <c r="AX208" s="433">
        <f t="shared" si="152"/>
        <v>0</v>
      </c>
      <c r="AY208" s="433">
        <f t="shared" si="153"/>
        <v>0</v>
      </c>
      <c r="AZ208" s="433">
        <f t="shared" si="154"/>
        <v>0</v>
      </c>
      <c r="BA208" s="433">
        <f t="shared" si="144"/>
        <v>0</v>
      </c>
      <c r="BB208" s="433">
        <f t="shared" si="145"/>
        <v>0</v>
      </c>
      <c r="BC208" s="433">
        <f t="shared" si="146"/>
        <v>0</v>
      </c>
      <c r="BD208" s="433">
        <f t="shared" si="155"/>
        <v>0</v>
      </c>
      <c r="BE208" s="433">
        <f t="shared" si="156"/>
        <v>0</v>
      </c>
      <c r="BF208" s="433">
        <f t="shared" si="157"/>
        <v>0</v>
      </c>
      <c r="BG208" s="433">
        <f t="shared" si="158"/>
        <v>0</v>
      </c>
      <c r="BH208" s="433">
        <f t="shared" si="159"/>
        <v>0</v>
      </c>
      <c r="BI208" s="433">
        <f t="shared" si="160"/>
        <v>0</v>
      </c>
      <c r="BJ208" s="433">
        <f t="shared" si="161"/>
        <v>0</v>
      </c>
      <c r="BK208" s="433">
        <f t="shared" si="162"/>
        <v>0</v>
      </c>
      <c r="BL208" s="433">
        <f t="shared" si="163"/>
        <v>0</v>
      </c>
      <c r="BM208" s="433">
        <f t="shared" si="164"/>
        <v>0</v>
      </c>
      <c r="BN208" s="433">
        <f t="shared" si="165"/>
        <v>0</v>
      </c>
      <c r="BO208" s="433">
        <f t="shared" si="166"/>
        <v>0</v>
      </c>
      <c r="BP208" s="433">
        <f t="shared" si="167"/>
        <v>0</v>
      </c>
      <c r="BQ208" s="433">
        <f t="shared" si="168"/>
        <v>0</v>
      </c>
    </row>
    <row r="209" spans="1:69" x14ac:dyDescent="0.2">
      <c r="A209" s="102">
        <v>41812</v>
      </c>
      <c r="B209" s="319">
        <v>2</v>
      </c>
      <c r="C209" s="118" t="s">
        <v>995</v>
      </c>
      <c r="D209" s="111">
        <v>0.59305555555555556</v>
      </c>
      <c r="E209" s="111">
        <v>0.76736111111111116</v>
      </c>
      <c r="F209" s="444">
        <v>32</v>
      </c>
      <c r="G209" s="445">
        <v>11</v>
      </c>
      <c r="H209" s="444"/>
      <c r="I209" s="390"/>
      <c r="J209" s="426">
        <f t="shared" si="141"/>
        <v>251.00000000000006</v>
      </c>
      <c r="K209" s="103">
        <v>1</v>
      </c>
      <c r="L209" s="103"/>
      <c r="M209" s="103"/>
      <c r="N209" s="427">
        <f t="shared" si="142"/>
        <v>1</v>
      </c>
      <c r="O209" s="103"/>
      <c r="P209" s="103"/>
      <c r="Q209" s="103"/>
      <c r="R209" s="428">
        <f t="shared" si="143"/>
        <v>0</v>
      </c>
      <c r="S209" s="103"/>
      <c r="T209" s="103"/>
      <c r="U209" s="103"/>
      <c r="V209" s="125"/>
      <c r="W209" s="428">
        <f t="shared" si="147"/>
        <v>0</v>
      </c>
      <c r="X209" s="103"/>
      <c r="Y209" s="103"/>
      <c r="Z209" s="125"/>
      <c r="AA209" s="428">
        <f t="shared" si="148"/>
        <v>0</v>
      </c>
      <c r="AB209" s="103"/>
      <c r="AC209" s="103"/>
      <c r="AD209" s="103"/>
      <c r="AE209" s="428">
        <f t="shared" si="149"/>
        <v>0</v>
      </c>
      <c r="AF209" s="103"/>
      <c r="AG209" s="103"/>
      <c r="AH209" s="103"/>
      <c r="AI209" s="103"/>
      <c r="AJ209" s="428">
        <f t="shared" si="150"/>
        <v>0</v>
      </c>
      <c r="AK209" s="446"/>
      <c r="AL209" s="446"/>
      <c r="AM209" s="446"/>
      <c r="AN209" s="446"/>
      <c r="AO209" s="446"/>
      <c r="AP209" s="446"/>
      <c r="AQ209" s="446"/>
      <c r="AR209" s="431">
        <f t="shared" si="151"/>
        <v>0</v>
      </c>
      <c r="AT209" s="128"/>
      <c r="AU209" s="100" t="s">
        <v>991</v>
      </c>
      <c r="AV209" s="128" t="s">
        <v>986</v>
      </c>
      <c r="AW209" s="100" t="s">
        <v>999</v>
      </c>
      <c r="AX209" s="433">
        <f t="shared" si="152"/>
        <v>1</v>
      </c>
      <c r="AY209" s="433">
        <f t="shared" si="153"/>
        <v>0</v>
      </c>
      <c r="AZ209" s="433">
        <f t="shared" si="154"/>
        <v>0</v>
      </c>
      <c r="BA209" s="433">
        <f t="shared" si="144"/>
        <v>0</v>
      </c>
      <c r="BB209" s="433">
        <f t="shared" si="145"/>
        <v>0</v>
      </c>
      <c r="BC209" s="433">
        <f t="shared" si="146"/>
        <v>0</v>
      </c>
      <c r="BD209" s="433">
        <f t="shared" si="155"/>
        <v>0</v>
      </c>
      <c r="BE209" s="433">
        <f t="shared" si="156"/>
        <v>0</v>
      </c>
      <c r="BF209" s="433">
        <f t="shared" si="157"/>
        <v>0</v>
      </c>
      <c r="BG209" s="433">
        <f t="shared" si="158"/>
        <v>0</v>
      </c>
      <c r="BH209" s="433">
        <f t="shared" si="159"/>
        <v>0</v>
      </c>
      <c r="BI209" s="433">
        <f t="shared" si="160"/>
        <v>0</v>
      </c>
      <c r="BJ209" s="433">
        <f t="shared" si="161"/>
        <v>0</v>
      </c>
      <c r="BK209" s="433">
        <f t="shared" si="162"/>
        <v>0</v>
      </c>
      <c r="BL209" s="433">
        <f t="shared" si="163"/>
        <v>0</v>
      </c>
      <c r="BM209" s="433">
        <f t="shared" si="164"/>
        <v>0</v>
      </c>
      <c r="BN209" s="433">
        <f t="shared" si="165"/>
        <v>0</v>
      </c>
      <c r="BO209" s="433">
        <f t="shared" si="166"/>
        <v>0</v>
      </c>
      <c r="BP209" s="433">
        <f t="shared" si="167"/>
        <v>0</v>
      </c>
      <c r="BQ209" s="433">
        <f t="shared" si="168"/>
        <v>0</v>
      </c>
    </row>
    <row r="210" spans="1:69" x14ac:dyDescent="0.2">
      <c r="A210" s="102">
        <v>41812</v>
      </c>
      <c r="B210" s="319">
        <v>2</v>
      </c>
      <c r="C210" s="118" t="s">
        <v>988</v>
      </c>
      <c r="D210" s="111">
        <v>0.76736111111111116</v>
      </c>
      <c r="E210" s="111">
        <v>0.9194444444444444</v>
      </c>
      <c r="F210" s="444">
        <v>31</v>
      </c>
      <c r="G210" s="445">
        <v>12</v>
      </c>
      <c r="H210" s="444"/>
      <c r="I210" s="390"/>
      <c r="J210" s="426">
        <f t="shared" si="141"/>
        <v>218.99999999999986</v>
      </c>
      <c r="K210" s="103"/>
      <c r="L210" s="103"/>
      <c r="M210" s="103"/>
      <c r="N210" s="427">
        <f t="shared" si="142"/>
        <v>0</v>
      </c>
      <c r="O210" s="103"/>
      <c r="P210" s="103"/>
      <c r="Q210" s="103"/>
      <c r="R210" s="428">
        <f t="shared" si="143"/>
        <v>0</v>
      </c>
      <c r="S210" s="103"/>
      <c r="T210" s="103"/>
      <c r="U210" s="103"/>
      <c r="V210" s="125"/>
      <c r="W210" s="428">
        <f t="shared" si="147"/>
        <v>0</v>
      </c>
      <c r="X210" s="103"/>
      <c r="Y210" s="103"/>
      <c r="Z210" s="125"/>
      <c r="AA210" s="428">
        <f t="shared" si="148"/>
        <v>0</v>
      </c>
      <c r="AB210" s="103"/>
      <c r="AC210" s="103"/>
      <c r="AD210" s="103"/>
      <c r="AE210" s="428">
        <f t="shared" si="149"/>
        <v>0</v>
      </c>
      <c r="AF210" s="103"/>
      <c r="AG210" s="103"/>
      <c r="AH210" s="103"/>
      <c r="AI210" s="103"/>
      <c r="AJ210" s="428">
        <f t="shared" si="150"/>
        <v>0</v>
      </c>
      <c r="AK210" s="446"/>
      <c r="AL210" s="446"/>
      <c r="AM210" s="446"/>
      <c r="AN210" s="446"/>
      <c r="AO210" s="446"/>
      <c r="AP210" s="446"/>
      <c r="AQ210" s="446"/>
      <c r="AR210" s="431">
        <f t="shared" si="151"/>
        <v>0</v>
      </c>
      <c r="AT210" s="128" t="s">
        <v>424</v>
      </c>
      <c r="AU210" s="100" t="s">
        <v>990</v>
      </c>
      <c r="AV210" s="128" t="s">
        <v>986</v>
      </c>
      <c r="AW210" s="100" t="s">
        <v>999</v>
      </c>
      <c r="AX210" s="433">
        <f t="shared" si="152"/>
        <v>0</v>
      </c>
      <c r="AY210" s="433">
        <f t="shared" si="153"/>
        <v>0</v>
      </c>
      <c r="AZ210" s="433">
        <f t="shared" si="154"/>
        <v>0</v>
      </c>
      <c r="BA210" s="433">
        <f t="shared" si="144"/>
        <v>0</v>
      </c>
      <c r="BB210" s="433">
        <f t="shared" si="145"/>
        <v>0</v>
      </c>
      <c r="BC210" s="433">
        <f t="shared" si="146"/>
        <v>0</v>
      </c>
      <c r="BD210" s="433">
        <f t="shared" si="155"/>
        <v>0</v>
      </c>
      <c r="BE210" s="433">
        <f t="shared" si="156"/>
        <v>0</v>
      </c>
      <c r="BF210" s="433">
        <f t="shared" si="157"/>
        <v>0</v>
      </c>
      <c r="BG210" s="433">
        <f t="shared" si="158"/>
        <v>0</v>
      </c>
      <c r="BH210" s="433">
        <f t="shared" si="159"/>
        <v>0</v>
      </c>
      <c r="BI210" s="433">
        <f t="shared" si="160"/>
        <v>0</v>
      </c>
      <c r="BJ210" s="433">
        <f t="shared" si="161"/>
        <v>0</v>
      </c>
      <c r="BK210" s="433">
        <f t="shared" si="162"/>
        <v>0</v>
      </c>
      <c r="BL210" s="433">
        <f t="shared" si="163"/>
        <v>0</v>
      </c>
      <c r="BM210" s="433">
        <f t="shared" si="164"/>
        <v>0</v>
      </c>
      <c r="BN210" s="433">
        <f t="shared" si="165"/>
        <v>0</v>
      </c>
      <c r="BO210" s="433">
        <f t="shared" si="166"/>
        <v>0</v>
      </c>
      <c r="BP210" s="433">
        <f t="shared" si="167"/>
        <v>0</v>
      </c>
      <c r="BQ210" s="433">
        <f t="shared" si="168"/>
        <v>0</v>
      </c>
    </row>
    <row r="211" spans="1:69" x14ac:dyDescent="0.2">
      <c r="A211" s="102">
        <v>41812</v>
      </c>
      <c r="B211" s="319">
        <v>3</v>
      </c>
      <c r="C211" s="118" t="s">
        <v>952</v>
      </c>
      <c r="D211" s="111">
        <v>0.24652777777777779</v>
      </c>
      <c r="E211" s="111">
        <v>0.38541666666666669</v>
      </c>
      <c r="F211" s="444">
        <v>41</v>
      </c>
      <c r="G211" s="445">
        <v>9</v>
      </c>
      <c r="H211" s="444"/>
      <c r="I211" s="390"/>
      <c r="J211" s="426">
        <f t="shared" si="141"/>
        <v>200</v>
      </c>
      <c r="K211" s="103">
        <v>3</v>
      </c>
      <c r="L211" s="103"/>
      <c r="M211" s="103"/>
      <c r="N211" s="427">
        <f t="shared" si="142"/>
        <v>3</v>
      </c>
      <c r="O211" s="103"/>
      <c r="P211" s="103">
        <v>2</v>
      </c>
      <c r="Q211" s="103"/>
      <c r="R211" s="428">
        <f t="shared" si="143"/>
        <v>2</v>
      </c>
      <c r="S211" s="103"/>
      <c r="T211" s="103"/>
      <c r="U211" s="103"/>
      <c r="V211" s="125"/>
      <c r="W211" s="428">
        <f t="shared" si="147"/>
        <v>0</v>
      </c>
      <c r="X211" s="103"/>
      <c r="Y211" s="103"/>
      <c r="Z211" s="125"/>
      <c r="AA211" s="428">
        <f t="shared" si="148"/>
        <v>0</v>
      </c>
      <c r="AB211" s="103"/>
      <c r="AC211" s="103"/>
      <c r="AD211" s="103"/>
      <c r="AE211" s="428">
        <f t="shared" si="149"/>
        <v>0</v>
      </c>
      <c r="AF211" s="103"/>
      <c r="AG211" s="103"/>
      <c r="AH211" s="103"/>
      <c r="AI211" s="103"/>
      <c r="AJ211" s="428">
        <f t="shared" si="150"/>
        <v>0</v>
      </c>
      <c r="AK211" s="446"/>
      <c r="AL211" s="446"/>
      <c r="AM211" s="446"/>
      <c r="AN211" s="446"/>
      <c r="AO211" s="446"/>
      <c r="AP211" s="446"/>
      <c r="AQ211" s="446"/>
      <c r="AR211" s="431">
        <f t="shared" si="151"/>
        <v>0</v>
      </c>
      <c r="AT211" s="128"/>
      <c r="AU211" s="100" t="s">
        <v>998</v>
      </c>
      <c r="AV211" s="128" t="s">
        <v>986</v>
      </c>
      <c r="AW211" s="100" t="s">
        <v>999</v>
      </c>
      <c r="AX211" s="433">
        <f t="shared" si="152"/>
        <v>3</v>
      </c>
      <c r="AY211" s="433">
        <f t="shared" si="153"/>
        <v>0</v>
      </c>
      <c r="AZ211" s="433">
        <f t="shared" si="154"/>
        <v>0</v>
      </c>
      <c r="BA211" s="433">
        <f t="shared" si="144"/>
        <v>0</v>
      </c>
      <c r="BB211" s="433">
        <f t="shared" si="145"/>
        <v>2</v>
      </c>
      <c r="BC211" s="433">
        <f t="shared" si="146"/>
        <v>0</v>
      </c>
      <c r="BD211" s="433">
        <f t="shared" si="155"/>
        <v>0</v>
      </c>
      <c r="BE211" s="433">
        <f t="shared" si="156"/>
        <v>0</v>
      </c>
      <c r="BF211" s="433">
        <f t="shared" si="157"/>
        <v>0</v>
      </c>
      <c r="BG211" s="433">
        <f t="shared" si="158"/>
        <v>0</v>
      </c>
      <c r="BH211" s="433">
        <f t="shared" si="159"/>
        <v>0</v>
      </c>
      <c r="BI211" s="433">
        <f t="shared" si="160"/>
        <v>0</v>
      </c>
      <c r="BJ211" s="433">
        <f t="shared" si="161"/>
        <v>0</v>
      </c>
      <c r="BK211" s="433">
        <f t="shared" si="162"/>
        <v>0</v>
      </c>
      <c r="BL211" s="433">
        <f t="shared" si="163"/>
        <v>0</v>
      </c>
      <c r="BM211" s="433">
        <f t="shared" si="164"/>
        <v>0</v>
      </c>
      <c r="BN211" s="433">
        <f t="shared" si="165"/>
        <v>0</v>
      </c>
      <c r="BO211" s="433">
        <f t="shared" si="166"/>
        <v>0</v>
      </c>
      <c r="BP211" s="433">
        <f t="shared" si="167"/>
        <v>0</v>
      </c>
      <c r="BQ211" s="433">
        <f t="shared" si="168"/>
        <v>0</v>
      </c>
    </row>
    <row r="212" spans="1:69" x14ac:dyDescent="0.2">
      <c r="A212" s="102">
        <v>41812</v>
      </c>
      <c r="B212" s="319">
        <v>3</v>
      </c>
      <c r="C212" s="118" t="s">
        <v>957</v>
      </c>
      <c r="D212" s="111">
        <v>0.38541666666666669</v>
      </c>
      <c r="E212" s="111">
        <v>0.59722222222222221</v>
      </c>
      <c r="F212" s="444">
        <v>36</v>
      </c>
      <c r="G212" s="445">
        <v>7</v>
      </c>
      <c r="H212" s="444"/>
      <c r="I212" s="390"/>
      <c r="J212" s="426">
        <f t="shared" si="141"/>
        <v>304.99999999999994</v>
      </c>
      <c r="K212" s="103">
        <v>1</v>
      </c>
      <c r="L212" s="103"/>
      <c r="M212" s="103"/>
      <c r="N212" s="427">
        <f t="shared" si="142"/>
        <v>1</v>
      </c>
      <c r="O212" s="103"/>
      <c r="P212" s="103">
        <v>1</v>
      </c>
      <c r="Q212" s="103"/>
      <c r="R212" s="428">
        <f t="shared" si="143"/>
        <v>1</v>
      </c>
      <c r="S212" s="103"/>
      <c r="T212" s="103"/>
      <c r="U212" s="103"/>
      <c r="V212" s="125"/>
      <c r="W212" s="428">
        <f t="shared" si="147"/>
        <v>0</v>
      </c>
      <c r="X212" s="103"/>
      <c r="Y212" s="103"/>
      <c r="Z212" s="125"/>
      <c r="AA212" s="428">
        <f t="shared" si="148"/>
        <v>0</v>
      </c>
      <c r="AB212" s="103"/>
      <c r="AC212" s="103"/>
      <c r="AD212" s="103"/>
      <c r="AE212" s="428">
        <f t="shared" si="149"/>
        <v>0</v>
      </c>
      <c r="AF212" s="103"/>
      <c r="AG212" s="103"/>
      <c r="AH212" s="103"/>
      <c r="AI212" s="103"/>
      <c r="AJ212" s="428">
        <f t="shared" si="150"/>
        <v>0</v>
      </c>
      <c r="AK212" s="446"/>
      <c r="AL212" s="446"/>
      <c r="AM212" s="446"/>
      <c r="AN212" s="446"/>
      <c r="AO212" s="446"/>
      <c r="AP212" s="446"/>
      <c r="AQ212" s="446"/>
      <c r="AR212" s="431">
        <f t="shared" si="151"/>
        <v>0</v>
      </c>
      <c r="AT212" s="128" t="s">
        <v>997</v>
      </c>
      <c r="AU212" s="100" t="s">
        <v>985</v>
      </c>
      <c r="AV212" s="128" t="s">
        <v>986</v>
      </c>
      <c r="AW212" s="100" t="s">
        <v>999</v>
      </c>
      <c r="AX212" s="433">
        <f t="shared" si="152"/>
        <v>1</v>
      </c>
      <c r="AY212" s="433">
        <f t="shared" si="153"/>
        <v>0</v>
      </c>
      <c r="AZ212" s="433">
        <f t="shared" si="154"/>
        <v>0</v>
      </c>
      <c r="BA212" s="433">
        <f t="shared" si="144"/>
        <v>0</v>
      </c>
      <c r="BB212" s="433">
        <f t="shared" si="145"/>
        <v>1</v>
      </c>
      <c r="BC212" s="433">
        <f t="shared" si="146"/>
        <v>0</v>
      </c>
      <c r="BD212" s="433">
        <f t="shared" si="155"/>
        <v>0</v>
      </c>
      <c r="BE212" s="433">
        <f t="shared" si="156"/>
        <v>0</v>
      </c>
      <c r="BF212" s="433">
        <f t="shared" si="157"/>
        <v>0</v>
      </c>
      <c r="BG212" s="433">
        <f t="shared" si="158"/>
        <v>0</v>
      </c>
      <c r="BH212" s="433">
        <f t="shared" si="159"/>
        <v>0</v>
      </c>
      <c r="BI212" s="433">
        <f t="shared" si="160"/>
        <v>0</v>
      </c>
      <c r="BJ212" s="433">
        <f t="shared" si="161"/>
        <v>0</v>
      </c>
      <c r="BK212" s="433">
        <f t="shared" si="162"/>
        <v>0</v>
      </c>
      <c r="BL212" s="433">
        <f t="shared" si="163"/>
        <v>0</v>
      </c>
      <c r="BM212" s="433">
        <f t="shared" si="164"/>
        <v>0</v>
      </c>
      <c r="BN212" s="433">
        <f t="shared" si="165"/>
        <v>0</v>
      </c>
      <c r="BO212" s="433">
        <f t="shared" si="166"/>
        <v>0</v>
      </c>
      <c r="BP212" s="433">
        <f t="shared" si="167"/>
        <v>0</v>
      </c>
      <c r="BQ212" s="433">
        <f t="shared" si="168"/>
        <v>0</v>
      </c>
    </row>
    <row r="213" spans="1:69" x14ac:dyDescent="0.2">
      <c r="A213" s="102">
        <v>41812</v>
      </c>
      <c r="B213" s="319">
        <v>3</v>
      </c>
      <c r="C213" s="118" t="s">
        <v>958</v>
      </c>
      <c r="D213" s="111">
        <v>0.59722222222222221</v>
      </c>
      <c r="E213" s="111">
        <v>0.78680555555555554</v>
      </c>
      <c r="F213" s="444">
        <v>39</v>
      </c>
      <c r="G213" s="445">
        <v>9</v>
      </c>
      <c r="H213" s="444"/>
      <c r="I213" s="390"/>
      <c r="J213" s="426">
        <f t="shared" si="141"/>
        <v>273</v>
      </c>
      <c r="K213" s="103">
        <v>5</v>
      </c>
      <c r="L213" s="103"/>
      <c r="M213" s="103"/>
      <c r="N213" s="427">
        <f t="shared" si="142"/>
        <v>5</v>
      </c>
      <c r="O213" s="103"/>
      <c r="P213" s="103">
        <v>2</v>
      </c>
      <c r="Q213" s="103"/>
      <c r="R213" s="428">
        <f t="shared" si="143"/>
        <v>2</v>
      </c>
      <c r="S213" s="103"/>
      <c r="T213" s="103"/>
      <c r="U213" s="103"/>
      <c r="V213" s="125"/>
      <c r="W213" s="428">
        <f t="shared" si="147"/>
        <v>0</v>
      </c>
      <c r="X213" s="103"/>
      <c r="Y213" s="103"/>
      <c r="Z213" s="125"/>
      <c r="AA213" s="428">
        <f t="shared" si="148"/>
        <v>0</v>
      </c>
      <c r="AB213" s="103"/>
      <c r="AC213" s="103"/>
      <c r="AD213" s="103"/>
      <c r="AE213" s="428">
        <f t="shared" si="149"/>
        <v>0</v>
      </c>
      <c r="AF213" s="103"/>
      <c r="AG213" s="103"/>
      <c r="AH213" s="103"/>
      <c r="AI213" s="103"/>
      <c r="AJ213" s="428">
        <f t="shared" si="150"/>
        <v>0</v>
      </c>
      <c r="AK213" s="446"/>
      <c r="AL213" s="446"/>
      <c r="AM213" s="446">
        <v>1</v>
      </c>
      <c r="AN213" s="446"/>
      <c r="AO213" s="446"/>
      <c r="AP213" s="446"/>
      <c r="AQ213" s="446"/>
      <c r="AR213" s="431">
        <f t="shared" si="151"/>
        <v>1</v>
      </c>
      <c r="AT213" s="128"/>
      <c r="AU213" s="100" t="s">
        <v>934</v>
      </c>
      <c r="AV213" s="128" t="s">
        <v>986</v>
      </c>
      <c r="AW213" s="100" t="s">
        <v>999</v>
      </c>
      <c r="AX213" s="433">
        <f t="shared" si="152"/>
        <v>5</v>
      </c>
      <c r="AY213" s="433">
        <f t="shared" si="153"/>
        <v>0</v>
      </c>
      <c r="AZ213" s="433">
        <f t="shared" si="154"/>
        <v>0</v>
      </c>
      <c r="BA213" s="433">
        <f t="shared" si="144"/>
        <v>0</v>
      </c>
      <c r="BB213" s="433">
        <f t="shared" si="145"/>
        <v>2</v>
      </c>
      <c r="BC213" s="433">
        <f t="shared" si="146"/>
        <v>0</v>
      </c>
      <c r="BD213" s="433">
        <f t="shared" si="155"/>
        <v>0</v>
      </c>
      <c r="BE213" s="433">
        <f t="shared" si="156"/>
        <v>0</v>
      </c>
      <c r="BF213" s="433">
        <f t="shared" si="157"/>
        <v>0</v>
      </c>
      <c r="BG213" s="433">
        <f t="shared" si="158"/>
        <v>0</v>
      </c>
      <c r="BH213" s="433">
        <f t="shared" si="159"/>
        <v>0</v>
      </c>
      <c r="BI213" s="433">
        <f t="shared" si="160"/>
        <v>0</v>
      </c>
      <c r="BJ213" s="433">
        <f t="shared" si="161"/>
        <v>0</v>
      </c>
      <c r="BK213" s="433">
        <f t="shared" si="162"/>
        <v>0</v>
      </c>
      <c r="BL213" s="433">
        <f t="shared" si="163"/>
        <v>0</v>
      </c>
      <c r="BM213" s="433">
        <f t="shared" si="164"/>
        <v>0</v>
      </c>
      <c r="BN213" s="433">
        <f t="shared" si="165"/>
        <v>0</v>
      </c>
      <c r="BO213" s="433">
        <f t="shared" si="166"/>
        <v>0</v>
      </c>
      <c r="BP213" s="433">
        <f t="shared" si="167"/>
        <v>0</v>
      </c>
      <c r="BQ213" s="433">
        <f t="shared" si="168"/>
        <v>0</v>
      </c>
    </row>
    <row r="214" spans="1:69" s="291" customFormat="1" x14ac:dyDescent="0.2">
      <c r="A214" s="317">
        <v>41812</v>
      </c>
      <c r="B214" s="318">
        <v>3</v>
      </c>
      <c r="C214" s="320" t="s">
        <v>996</v>
      </c>
      <c r="D214" s="321">
        <v>0.78680555555555554</v>
      </c>
      <c r="E214" s="321">
        <v>0.97152777777777777</v>
      </c>
      <c r="F214" s="434">
        <v>40</v>
      </c>
      <c r="G214" s="435">
        <v>9</v>
      </c>
      <c r="H214" s="434"/>
      <c r="I214" s="436"/>
      <c r="J214" s="437">
        <f t="shared" si="141"/>
        <v>266</v>
      </c>
      <c r="K214" s="285">
        <v>2</v>
      </c>
      <c r="L214" s="285">
        <v>1</v>
      </c>
      <c r="M214" s="285"/>
      <c r="N214" s="438">
        <f t="shared" si="142"/>
        <v>3</v>
      </c>
      <c r="O214" s="285">
        <v>1</v>
      </c>
      <c r="P214" s="285">
        <v>1</v>
      </c>
      <c r="Q214" s="285"/>
      <c r="R214" s="439">
        <f t="shared" si="143"/>
        <v>2</v>
      </c>
      <c r="S214" s="285"/>
      <c r="T214" s="285"/>
      <c r="U214" s="285"/>
      <c r="V214" s="440"/>
      <c r="W214" s="439">
        <f t="shared" si="147"/>
        <v>0</v>
      </c>
      <c r="X214" s="285"/>
      <c r="Y214" s="285"/>
      <c r="Z214" s="440"/>
      <c r="AA214" s="439">
        <f t="shared" si="148"/>
        <v>0</v>
      </c>
      <c r="AB214" s="285"/>
      <c r="AC214" s="285"/>
      <c r="AD214" s="285"/>
      <c r="AE214" s="439">
        <f t="shared" si="149"/>
        <v>0</v>
      </c>
      <c r="AF214" s="285"/>
      <c r="AG214" s="285"/>
      <c r="AH214" s="285"/>
      <c r="AI214" s="285"/>
      <c r="AJ214" s="439">
        <f t="shared" si="150"/>
        <v>0</v>
      </c>
      <c r="AK214" s="340">
        <v>1</v>
      </c>
      <c r="AL214" s="340"/>
      <c r="AM214" s="340"/>
      <c r="AN214" s="340"/>
      <c r="AO214" s="340"/>
      <c r="AP214" s="340">
        <v>1</v>
      </c>
      <c r="AQ214" s="340"/>
      <c r="AR214" s="441">
        <f t="shared" si="151"/>
        <v>2</v>
      </c>
      <c r="AT214" s="313"/>
      <c r="AU214" s="289" t="s">
        <v>985</v>
      </c>
      <c r="AV214" s="313" t="s">
        <v>986</v>
      </c>
      <c r="AW214" s="289" t="s">
        <v>999</v>
      </c>
      <c r="AX214" s="443">
        <f t="shared" si="152"/>
        <v>2</v>
      </c>
      <c r="AY214" s="443">
        <f t="shared" si="153"/>
        <v>1</v>
      </c>
      <c r="AZ214" s="443">
        <f t="shared" si="154"/>
        <v>0</v>
      </c>
      <c r="BA214" s="443">
        <f t="shared" si="144"/>
        <v>1</v>
      </c>
      <c r="BB214" s="443">
        <f t="shared" si="145"/>
        <v>1</v>
      </c>
      <c r="BC214" s="443">
        <f t="shared" si="146"/>
        <v>0</v>
      </c>
      <c r="BD214" s="443">
        <f t="shared" si="155"/>
        <v>0</v>
      </c>
      <c r="BE214" s="443">
        <f t="shared" si="156"/>
        <v>0</v>
      </c>
      <c r="BF214" s="443">
        <f t="shared" si="157"/>
        <v>0</v>
      </c>
      <c r="BG214" s="443">
        <f t="shared" si="158"/>
        <v>0</v>
      </c>
      <c r="BH214" s="443">
        <f t="shared" si="159"/>
        <v>0</v>
      </c>
      <c r="BI214" s="443">
        <f t="shared" si="160"/>
        <v>0</v>
      </c>
      <c r="BJ214" s="443">
        <f t="shared" si="161"/>
        <v>0</v>
      </c>
      <c r="BK214" s="443">
        <f t="shared" si="162"/>
        <v>0</v>
      </c>
      <c r="BL214" s="443">
        <f t="shared" si="163"/>
        <v>0</v>
      </c>
      <c r="BM214" s="443">
        <f t="shared" si="164"/>
        <v>0</v>
      </c>
      <c r="BN214" s="443">
        <f t="shared" si="165"/>
        <v>0</v>
      </c>
      <c r="BO214" s="443">
        <f t="shared" si="166"/>
        <v>0</v>
      </c>
      <c r="BP214" s="443">
        <f t="shared" si="167"/>
        <v>0</v>
      </c>
      <c r="BQ214" s="443">
        <f t="shared" si="168"/>
        <v>0</v>
      </c>
    </row>
    <row r="215" spans="1:69" x14ac:dyDescent="0.2">
      <c r="A215" s="102">
        <v>41813</v>
      </c>
      <c r="B215" s="319">
        <v>1</v>
      </c>
      <c r="C215" s="118" t="s">
        <v>1002</v>
      </c>
      <c r="D215" s="111">
        <v>0.23958333333333334</v>
      </c>
      <c r="E215" s="111">
        <v>0.40763888888888888</v>
      </c>
      <c r="F215" s="444">
        <v>54</v>
      </c>
      <c r="G215" s="445">
        <v>8.5</v>
      </c>
      <c r="H215" s="444"/>
      <c r="I215" s="390"/>
      <c r="J215" s="426">
        <f t="shared" si="141"/>
        <v>242</v>
      </c>
      <c r="K215" s="103">
        <v>1</v>
      </c>
      <c r="L215" s="103"/>
      <c r="M215" s="103"/>
      <c r="N215" s="427">
        <f t="shared" si="142"/>
        <v>1</v>
      </c>
      <c r="O215" s="103"/>
      <c r="P215" s="103">
        <v>1</v>
      </c>
      <c r="Q215" s="103"/>
      <c r="R215" s="428">
        <f t="shared" si="143"/>
        <v>1</v>
      </c>
      <c r="S215" s="103"/>
      <c r="T215" s="103"/>
      <c r="U215" s="103"/>
      <c r="V215" s="125"/>
      <c r="W215" s="428">
        <f t="shared" si="147"/>
        <v>0</v>
      </c>
      <c r="X215" s="103"/>
      <c r="Y215" s="103"/>
      <c r="Z215" s="125"/>
      <c r="AA215" s="428">
        <f t="shared" si="148"/>
        <v>0</v>
      </c>
      <c r="AB215" s="103"/>
      <c r="AC215" s="103"/>
      <c r="AD215" s="103"/>
      <c r="AE215" s="428">
        <f t="shared" si="149"/>
        <v>0</v>
      </c>
      <c r="AF215" s="103"/>
      <c r="AG215" s="103"/>
      <c r="AH215" s="103"/>
      <c r="AI215" s="103"/>
      <c r="AJ215" s="428">
        <f t="shared" si="150"/>
        <v>0</v>
      </c>
      <c r="AK215" s="446"/>
      <c r="AL215" s="446"/>
      <c r="AM215" s="446"/>
      <c r="AN215" s="446"/>
      <c r="AO215" s="446"/>
      <c r="AP215" s="446"/>
      <c r="AQ215" s="446"/>
      <c r="AR215" s="431">
        <f t="shared" si="151"/>
        <v>0</v>
      </c>
      <c r="AT215" s="128"/>
      <c r="AU215" s="100" t="s">
        <v>1004</v>
      </c>
      <c r="AV215" s="128" t="s">
        <v>1017</v>
      </c>
      <c r="AW215" s="100" t="s">
        <v>1018</v>
      </c>
      <c r="AX215" s="433">
        <f t="shared" si="152"/>
        <v>1</v>
      </c>
      <c r="AY215" s="433">
        <f t="shared" si="153"/>
        <v>0</v>
      </c>
      <c r="AZ215" s="433">
        <f t="shared" si="154"/>
        <v>0</v>
      </c>
      <c r="BA215" s="433">
        <f t="shared" si="144"/>
        <v>0</v>
      </c>
      <c r="BB215" s="433">
        <f t="shared" si="145"/>
        <v>1</v>
      </c>
      <c r="BC215" s="433">
        <f t="shared" si="146"/>
        <v>0</v>
      </c>
      <c r="BD215" s="433">
        <f t="shared" si="155"/>
        <v>0</v>
      </c>
      <c r="BE215" s="433">
        <f t="shared" si="156"/>
        <v>0</v>
      </c>
      <c r="BF215" s="433">
        <f t="shared" si="157"/>
        <v>0</v>
      </c>
      <c r="BG215" s="433">
        <f t="shared" si="158"/>
        <v>0</v>
      </c>
      <c r="BH215" s="433">
        <f t="shared" si="159"/>
        <v>0</v>
      </c>
      <c r="BI215" s="433">
        <f t="shared" si="160"/>
        <v>0</v>
      </c>
      <c r="BJ215" s="433">
        <f t="shared" si="161"/>
        <v>0</v>
      </c>
      <c r="BK215" s="433">
        <f t="shared" si="162"/>
        <v>0</v>
      </c>
      <c r="BL215" s="433">
        <f t="shared" si="163"/>
        <v>0</v>
      </c>
      <c r="BM215" s="433">
        <f t="shared" si="164"/>
        <v>0</v>
      </c>
      <c r="BN215" s="433">
        <f t="shared" si="165"/>
        <v>0</v>
      </c>
      <c r="BO215" s="433">
        <f t="shared" si="166"/>
        <v>0</v>
      </c>
      <c r="BP215" s="433">
        <f t="shared" si="167"/>
        <v>0</v>
      </c>
      <c r="BQ215" s="433">
        <f t="shared" si="168"/>
        <v>0</v>
      </c>
    </row>
    <row r="216" spans="1:69" x14ac:dyDescent="0.2">
      <c r="A216" s="102">
        <v>41813</v>
      </c>
      <c r="B216" s="319">
        <v>1</v>
      </c>
      <c r="C216" s="118" t="s">
        <v>1003</v>
      </c>
      <c r="D216" s="111">
        <v>0.40763888888888888</v>
      </c>
      <c r="E216" s="111">
        <v>0.59305555555555556</v>
      </c>
      <c r="F216" s="444">
        <v>54</v>
      </c>
      <c r="G216" s="445">
        <v>8</v>
      </c>
      <c r="H216" s="444"/>
      <c r="I216" s="390"/>
      <c r="J216" s="426">
        <f t="shared" si="141"/>
        <v>267</v>
      </c>
      <c r="K216" s="103">
        <v>2</v>
      </c>
      <c r="L216" s="103"/>
      <c r="M216" s="103"/>
      <c r="N216" s="427">
        <f t="shared" si="142"/>
        <v>2</v>
      </c>
      <c r="O216" s="103"/>
      <c r="P216" s="103"/>
      <c r="Q216" s="103"/>
      <c r="R216" s="428">
        <f t="shared" si="143"/>
        <v>0</v>
      </c>
      <c r="S216" s="103"/>
      <c r="T216" s="103"/>
      <c r="U216" s="103"/>
      <c r="V216" s="125"/>
      <c r="W216" s="428">
        <f t="shared" si="147"/>
        <v>0</v>
      </c>
      <c r="X216" s="103"/>
      <c r="Y216" s="103"/>
      <c r="Z216" s="125"/>
      <c r="AA216" s="428">
        <f t="shared" si="148"/>
        <v>0</v>
      </c>
      <c r="AB216" s="103"/>
      <c r="AC216" s="103"/>
      <c r="AD216" s="103"/>
      <c r="AE216" s="428">
        <f t="shared" si="149"/>
        <v>0</v>
      </c>
      <c r="AF216" s="103"/>
      <c r="AG216" s="103"/>
      <c r="AH216" s="103"/>
      <c r="AI216" s="103"/>
      <c r="AJ216" s="428">
        <f t="shared" si="150"/>
        <v>0</v>
      </c>
      <c r="AK216" s="446"/>
      <c r="AL216" s="446"/>
      <c r="AM216" s="446"/>
      <c r="AN216" s="446"/>
      <c r="AO216" s="446"/>
      <c r="AP216" s="446"/>
      <c r="AQ216" s="446"/>
      <c r="AR216" s="431">
        <f t="shared" si="151"/>
        <v>0</v>
      </c>
      <c r="AT216" s="128"/>
      <c r="AU216" s="100" t="s">
        <v>1005</v>
      </c>
      <c r="AV216" s="128" t="s">
        <v>1017</v>
      </c>
      <c r="AW216" s="100" t="s">
        <v>1018</v>
      </c>
      <c r="AX216" s="433">
        <f t="shared" si="152"/>
        <v>2</v>
      </c>
      <c r="AY216" s="433">
        <f t="shared" si="153"/>
        <v>0</v>
      </c>
      <c r="AZ216" s="433">
        <f t="shared" si="154"/>
        <v>0</v>
      </c>
      <c r="BA216" s="433">
        <f t="shared" si="144"/>
        <v>0</v>
      </c>
      <c r="BB216" s="433">
        <f t="shared" si="145"/>
        <v>0</v>
      </c>
      <c r="BC216" s="433">
        <f t="shared" si="146"/>
        <v>0</v>
      </c>
      <c r="BD216" s="433">
        <f t="shared" si="155"/>
        <v>0</v>
      </c>
      <c r="BE216" s="433">
        <f t="shared" si="156"/>
        <v>0</v>
      </c>
      <c r="BF216" s="433">
        <f t="shared" si="157"/>
        <v>0</v>
      </c>
      <c r="BG216" s="433">
        <f t="shared" si="158"/>
        <v>0</v>
      </c>
      <c r="BH216" s="433">
        <f t="shared" si="159"/>
        <v>0</v>
      </c>
      <c r="BI216" s="433">
        <f t="shared" si="160"/>
        <v>0</v>
      </c>
      <c r="BJ216" s="433">
        <f t="shared" si="161"/>
        <v>0</v>
      </c>
      <c r="BK216" s="433">
        <f t="shared" si="162"/>
        <v>0</v>
      </c>
      <c r="BL216" s="433">
        <f t="shared" si="163"/>
        <v>0</v>
      </c>
      <c r="BM216" s="433">
        <f t="shared" si="164"/>
        <v>0</v>
      </c>
      <c r="BN216" s="433">
        <f t="shared" si="165"/>
        <v>0</v>
      </c>
      <c r="BO216" s="433">
        <f t="shared" si="166"/>
        <v>0</v>
      </c>
      <c r="BP216" s="433">
        <f t="shared" si="167"/>
        <v>0</v>
      </c>
      <c r="BQ216" s="433">
        <f t="shared" si="168"/>
        <v>0</v>
      </c>
    </row>
    <row r="217" spans="1:69" x14ac:dyDescent="0.2">
      <c r="A217" s="102">
        <v>41813</v>
      </c>
      <c r="B217" s="319">
        <v>1</v>
      </c>
      <c r="C217" s="118" t="s">
        <v>1006</v>
      </c>
      <c r="D217" s="111">
        <v>0.59305555555555556</v>
      </c>
      <c r="E217" s="111">
        <v>0.78680555555555554</v>
      </c>
      <c r="F217" s="444">
        <v>60</v>
      </c>
      <c r="G217" s="445">
        <v>8</v>
      </c>
      <c r="H217" s="444"/>
      <c r="I217" s="390">
        <v>46</v>
      </c>
      <c r="J217" s="426">
        <f t="shared" si="141"/>
        <v>278.99999999999994</v>
      </c>
      <c r="K217" s="103"/>
      <c r="L217" s="103">
        <v>1</v>
      </c>
      <c r="M217" s="103"/>
      <c r="N217" s="427">
        <f t="shared" si="142"/>
        <v>1</v>
      </c>
      <c r="O217" s="103"/>
      <c r="P217" s="103">
        <v>1</v>
      </c>
      <c r="Q217" s="103"/>
      <c r="R217" s="428">
        <f t="shared" si="143"/>
        <v>1</v>
      </c>
      <c r="S217" s="103"/>
      <c r="T217" s="103"/>
      <c r="U217" s="103"/>
      <c r="V217" s="125"/>
      <c r="W217" s="428">
        <f t="shared" si="147"/>
        <v>0</v>
      </c>
      <c r="X217" s="103"/>
      <c r="Y217" s="103"/>
      <c r="Z217" s="125"/>
      <c r="AA217" s="428">
        <f t="shared" si="148"/>
        <v>0</v>
      </c>
      <c r="AB217" s="103"/>
      <c r="AC217" s="103"/>
      <c r="AD217" s="103"/>
      <c r="AE217" s="428">
        <f t="shared" si="149"/>
        <v>0</v>
      </c>
      <c r="AF217" s="103"/>
      <c r="AG217" s="103"/>
      <c r="AH217" s="103"/>
      <c r="AI217" s="103"/>
      <c r="AJ217" s="428">
        <f t="shared" si="150"/>
        <v>0</v>
      </c>
      <c r="AK217" s="446"/>
      <c r="AL217" s="446"/>
      <c r="AM217" s="446"/>
      <c r="AN217" s="446"/>
      <c r="AO217" s="446"/>
      <c r="AP217" s="446"/>
      <c r="AQ217" s="446"/>
      <c r="AR217" s="431">
        <f t="shared" si="151"/>
        <v>0</v>
      </c>
      <c r="AT217" s="128" t="s">
        <v>1007</v>
      </c>
      <c r="AU217" s="100" t="s">
        <v>1008</v>
      </c>
      <c r="AV217" s="128" t="s">
        <v>1017</v>
      </c>
      <c r="AW217" s="100" t="s">
        <v>1018</v>
      </c>
      <c r="AX217" s="433">
        <f t="shared" si="152"/>
        <v>0</v>
      </c>
      <c r="AY217" s="433">
        <f t="shared" si="153"/>
        <v>1</v>
      </c>
      <c r="AZ217" s="433">
        <f t="shared" si="154"/>
        <v>0</v>
      </c>
      <c r="BA217" s="433">
        <f t="shared" si="144"/>
        <v>0</v>
      </c>
      <c r="BB217" s="433">
        <f t="shared" si="145"/>
        <v>1</v>
      </c>
      <c r="BC217" s="433">
        <f t="shared" si="146"/>
        <v>0</v>
      </c>
      <c r="BD217" s="433">
        <f t="shared" si="155"/>
        <v>0</v>
      </c>
      <c r="BE217" s="433">
        <f t="shared" si="156"/>
        <v>0</v>
      </c>
      <c r="BF217" s="433">
        <f t="shared" si="157"/>
        <v>0</v>
      </c>
      <c r="BG217" s="433">
        <f t="shared" si="158"/>
        <v>0</v>
      </c>
      <c r="BH217" s="433">
        <f t="shared" si="159"/>
        <v>0</v>
      </c>
      <c r="BI217" s="433">
        <f t="shared" si="160"/>
        <v>0</v>
      </c>
      <c r="BJ217" s="433">
        <f t="shared" si="161"/>
        <v>0</v>
      </c>
      <c r="BK217" s="433">
        <f t="shared" si="162"/>
        <v>0</v>
      </c>
      <c r="BL217" s="433">
        <f t="shared" si="163"/>
        <v>0</v>
      </c>
      <c r="BM217" s="433">
        <f t="shared" si="164"/>
        <v>0</v>
      </c>
      <c r="BN217" s="433">
        <f t="shared" si="165"/>
        <v>0</v>
      </c>
      <c r="BO217" s="433">
        <f t="shared" si="166"/>
        <v>0</v>
      </c>
      <c r="BP217" s="433">
        <f t="shared" si="167"/>
        <v>0</v>
      </c>
      <c r="BQ217" s="433">
        <f t="shared" si="168"/>
        <v>0</v>
      </c>
    </row>
    <row r="218" spans="1:69" x14ac:dyDescent="0.2">
      <c r="A218" s="102">
        <v>41813</v>
      </c>
      <c r="B218" s="319">
        <v>1</v>
      </c>
      <c r="C218" s="118" t="s">
        <v>996</v>
      </c>
      <c r="D218" s="111">
        <v>0.78680555555555554</v>
      </c>
      <c r="E218" s="111">
        <v>0.97222222222222221</v>
      </c>
      <c r="F218" s="444">
        <v>59</v>
      </c>
      <c r="G218" s="445">
        <v>9</v>
      </c>
      <c r="H218" s="444"/>
      <c r="I218" s="390"/>
      <c r="J218" s="426">
        <f t="shared" si="141"/>
        <v>267</v>
      </c>
      <c r="K218" s="103">
        <v>2</v>
      </c>
      <c r="L218" s="103"/>
      <c r="M218" s="103"/>
      <c r="N218" s="427">
        <f t="shared" si="142"/>
        <v>2</v>
      </c>
      <c r="O218" s="103"/>
      <c r="P218" s="103"/>
      <c r="Q218" s="103"/>
      <c r="R218" s="428">
        <f t="shared" si="143"/>
        <v>0</v>
      </c>
      <c r="S218" s="103"/>
      <c r="T218" s="103"/>
      <c r="U218" s="103"/>
      <c r="V218" s="125"/>
      <c r="W218" s="428">
        <f t="shared" si="147"/>
        <v>0</v>
      </c>
      <c r="X218" s="103"/>
      <c r="Y218" s="103"/>
      <c r="Z218" s="125"/>
      <c r="AA218" s="428">
        <f t="shared" si="148"/>
        <v>0</v>
      </c>
      <c r="AB218" s="103"/>
      <c r="AC218" s="103"/>
      <c r="AD218" s="103"/>
      <c r="AE218" s="428">
        <f t="shared" si="149"/>
        <v>0</v>
      </c>
      <c r="AF218" s="103"/>
      <c r="AG218" s="103"/>
      <c r="AH218" s="103"/>
      <c r="AI218" s="103"/>
      <c r="AJ218" s="428">
        <f t="shared" si="150"/>
        <v>0</v>
      </c>
      <c r="AK218" s="446"/>
      <c r="AL218" s="446"/>
      <c r="AM218" s="446"/>
      <c r="AN218" s="446"/>
      <c r="AO218" s="446"/>
      <c r="AP218" s="446"/>
      <c r="AQ218" s="446"/>
      <c r="AR218" s="431">
        <f t="shared" si="151"/>
        <v>0</v>
      </c>
      <c r="AT218" s="128"/>
      <c r="AU218" s="100" t="s">
        <v>1009</v>
      </c>
      <c r="AV218" s="128" t="s">
        <v>1017</v>
      </c>
      <c r="AW218" s="100" t="s">
        <v>1018</v>
      </c>
      <c r="AX218" s="433">
        <f t="shared" si="152"/>
        <v>2</v>
      </c>
      <c r="AY218" s="433">
        <f t="shared" si="153"/>
        <v>0</v>
      </c>
      <c r="AZ218" s="433">
        <f t="shared" si="154"/>
        <v>0</v>
      </c>
      <c r="BA218" s="433">
        <f t="shared" si="144"/>
        <v>0</v>
      </c>
      <c r="BB218" s="433">
        <f t="shared" si="145"/>
        <v>0</v>
      </c>
      <c r="BC218" s="433">
        <f t="shared" si="146"/>
        <v>0</v>
      </c>
      <c r="BD218" s="433">
        <f t="shared" si="155"/>
        <v>0</v>
      </c>
      <c r="BE218" s="433">
        <f t="shared" si="156"/>
        <v>0</v>
      </c>
      <c r="BF218" s="433">
        <f t="shared" si="157"/>
        <v>0</v>
      </c>
      <c r="BG218" s="433">
        <f t="shared" si="158"/>
        <v>0</v>
      </c>
      <c r="BH218" s="433">
        <f t="shared" si="159"/>
        <v>0</v>
      </c>
      <c r="BI218" s="433">
        <f t="shared" si="160"/>
        <v>0</v>
      </c>
      <c r="BJ218" s="433">
        <f t="shared" si="161"/>
        <v>0</v>
      </c>
      <c r="BK218" s="433">
        <f t="shared" si="162"/>
        <v>0</v>
      </c>
      <c r="BL218" s="433">
        <f t="shared" si="163"/>
        <v>0</v>
      </c>
      <c r="BM218" s="433">
        <f t="shared" si="164"/>
        <v>0</v>
      </c>
      <c r="BN218" s="433">
        <f t="shared" si="165"/>
        <v>0</v>
      </c>
      <c r="BO218" s="433">
        <f t="shared" si="166"/>
        <v>0</v>
      </c>
      <c r="BP218" s="433">
        <f t="shared" si="167"/>
        <v>0</v>
      </c>
      <c r="BQ218" s="433">
        <f t="shared" si="168"/>
        <v>0</v>
      </c>
    </row>
    <row r="219" spans="1:69" x14ac:dyDescent="0.2">
      <c r="A219" s="102">
        <v>41813</v>
      </c>
      <c r="B219" s="319">
        <v>2</v>
      </c>
      <c r="C219" s="118" t="s">
        <v>1002</v>
      </c>
      <c r="D219" s="111">
        <v>0.24652777777777779</v>
      </c>
      <c r="E219" s="111">
        <v>0.40277777777777773</v>
      </c>
      <c r="F219" s="444">
        <v>32</v>
      </c>
      <c r="G219" s="445">
        <v>9</v>
      </c>
      <c r="H219" s="444"/>
      <c r="I219" s="390"/>
      <c r="J219" s="426">
        <f t="shared" si="141"/>
        <v>224.99999999999991</v>
      </c>
      <c r="K219" s="103">
        <v>1</v>
      </c>
      <c r="L219" s="103"/>
      <c r="M219" s="103"/>
      <c r="N219" s="427">
        <f t="shared" si="142"/>
        <v>1</v>
      </c>
      <c r="O219" s="103"/>
      <c r="P219" s="103"/>
      <c r="Q219" s="103"/>
      <c r="R219" s="428">
        <f t="shared" si="143"/>
        <v>0</v>
      </c>
      <c r="S219" s="103"/>
      <c r="T219" s="103"/>
      <c r="U219" s="103"/>
      <c r="V219" s="125"/>
      <c r="W219" s="428">
        <f t="shared" si="147"/>
        <v>0</v>
      </c>
      <c r="X219" s="103"/>
      <c r="Y219" s="103"/>
      <c r="Z219" s="125"/>
      <c r="AA219" s="428">
        <f t="shared" si="148"/>
        <v>0</v>
      </c>
      <c r="AB219" s="103"/>
      <c r="AC219" s="103"/>
      <c r="AD219" s="103"/>
      <c r="AE219" s="428">
        <f t="shared" si="149"/>
        <v>0</v>
      </c>
      <c r="AF219" s="103"/>
      <c r="AG219" s="103"/>
      <c r="AH219" s="103"/>
      <c r="AI219" s="103"/>
      <c r="AJ219" s="428">
        <f t="shared" si="150"/>
        <v>0</v>
      </c>
      <c r="AK219" s="446"/>
      <c r="AL219" s="446"/>
      <c r="AM219" s="446"/>
      <c r="AN219" s="446"/>
      <c r="AO219" s="446"/>
      <c r="AP219" s="446"/>
      <c r="AQ219" s="446"/>
      <c r="AR219" s="431">
        <f t="shared" si="151"/>
        <v>0</v>
      </c>
      <c r="AT219" s="128"/>
      <c r="AU219" s="100" t="s">
        <v>1004</v>
      </c>
      <c r="AV219" s="128" t="s">
        <v>1017</v>
      </c>
      <c r="AW219" s="100" t="s">
        <v>1018</v>
      </c>
      <c r="AX219" s="433">
        <f t="shared" si="152"/>
        <v>1</v>
      </c>
      <c r="AY219" s="433">
        <f t="shared" si="153"/>
        <v>0</v>
      </c>
      <c r="AZ219" s="433">
        <f t="shared" si="154"/>
        <v>0</v>
      </c>
      <c r="BA219" s="433">
        <f t="shared" si="144"/>
        <v>0</v>
      </c>
      <c r="BB219" s="433">
        <f t="shared" si="145"/>
        <v>0</v>
      </c>
      <c r="BC219" s="433">
        <f t="shared" si="146"/>
        <v>0</v>
      </c>
      <c r="BD219" s="433">
        <f t="shared" si="155"/>
        <v>0</v>
      </c>
      <c r="BE219" s="433">
        <f t="shared" si="156"/>
        <v>0</v>
      </c>
      <c r="BF219" s="433">
        <f t="shared" si="157"/>
        <v>0</v>
      </c>
      <c r="BG219" s="433">
        <f t="shared" si="158"/>
        <v>0</v>
      </c>
      <c r="BH219" s="433">
        <f t="shared" si="159"/>
        <v>0</v>
      </c>
      <c r="BI219" s="433">
        <f t="shared" si="160"/>
        <v>0</v>
      </c>
      <c r="BJ219" s="433">
        <f t="shared" si="161"/>
        <v>0</v>
      </c>
      <c r="BK219" s="433">
        <f t="shared" si="162"/>
        <v>0</v>
      </c>
      <c r="BL219" s="433">
        <f t="shared" si="163"/>
        <v>0</v>
      </c>
      <c r="BM219" s="433">
        <f t="shared" si="164"/>
        <v>0</v>
      </c>
      <c r="BN219" s="433">
        <f t="shared" si="165"/>
        <v>0</v>
      </c>
      <c r="BO219" s="433">
        <f t="shared" si="166"/>
        <v>0</v>
      </c>
      <c r="BP219" s="433">
        <f t="shared" si="167"/>
        <v>0</v>
      </c>
      <c r="BQ219" s="433">
        <f t="shared" si="168"/>
        <v>0</v>
      </c>
    </row>
    <row r="220" spans="1:69" x14ac:dyDescent="0.2">
      <c r="A220" s="102">
        <v>41813</v>
      </c>
      <c r="B220" s="319">
        <v>2</v>
      </c>
      <c r="C220" s="118" t="s">
        <v>1003</v>
      </c>
      <c r="D220" s="111">
        <v>0.40277777777777773</v>
      </c>
      <c r="E220" s="111">
        <v>0.59722222222222221</v>
      </c>
      <c r="F220" s="444">
        <v>34</v>
      </c>
      <c r="G220" s="445">
        <v>10</v>
      </c>
      <c r="H220" s="444"/>
      <c r="I220" s="390"/>
      <c r="J220" s="426">
        <f t="shared" si="141"/>
        <v>280.00000000000006</v>
      </c>
      <c r="K220" s="103"/>
      <c r="L220" s="103"/>
      <c r="M220" s="103"/>
      <c r="N220" s="427">
        <f t="shared" si="142"/>
        <v>0</v>
      </c>
      <c r="O220" s="103"/>
      <c r="P220" s="103"/>
      <c r="Q220" s="103"/>
      <c r="R220" s="428">
        <f t="shared" si="143"/>
        <v>0</v>
      </c>
      <c r="S220" s="103"/>
      <c r="T220" s="103"/>
      <c r="U220" s="103"/>
      <c r="V220" s="125"/>
      <c r="W220" s="428">
        <f t="shared" si="147"/>
        <v>0</v>
      </c>
      <c r="X220" s="103"/>
      <c r="Y220" s="103"/>
      <c r="Z220" s="125"/>
      <c r="AA220" s="428">
        <f t="shared" si="148"/>
        <v>0</v>
      </c>
      <c r="AB220" s="103"/>
      <c r="AC220" s="103"/>
      <c r="AD220" s="103"/>
      <c r="AE220" s="428">
        <f t="shared" si="149"/>
        <v>0</v>
      </c>
      <c r="AF220" s="103"/>
      <c r="AG220" s="103"/>
      <c r="AH220" s="103"/>
      <c r="AI220" s="103"/>
      <c r="AJ220" s="428">
        <f t="shared" si="150"/>
        <v>0</v>
      </c>
      <c r="AK220" s="446"/>
      <c r="AL220" s="446"/>
      <c r="AM220" s="446"/>
      <c r="AN220" s="446"/>
      <c r="AO220" s="446"/>
      <c r="AP220" s="446"/>
      <c r="AQ220" s="446"/>
      <c r="AR220" s="431">
        <f t="shared" si="151"/>
        <v>0</v>
      </c>
      <c r="AT220" s="128" t="s">
        <v>424</v>
      </c>
      <c r="AU220" s="100" t="s">
        <v>1005</v>
      </c>
      <c r="AV220" s="128" t="s">
        <v>1017</v>
      </c>
      <c r="AW220" s="100" t="s">
        <v>1018</v>
      </c>
      <c r="AX220" s="433">
        <f t="shared" si="152"/>
        <v>0</v>
      </c>
      <c r="AY220" s="433">
        <f t="shared" si="153"/>
        <v>0</v>
      </c>
      <c r="AZ220" s="433">
        <f t="shared" si="154"/>
        <v>0</v>
      </c>
      <c r="BA220" s="433">
        <f t="shared" si="144"/>
        <v>0</v>
      </c>
      <c r="BB220" s="433">
        <f t="shared" si="145"/>
        <v>0</v>
      </c>
      <c r="BC220" s="433">
        <f t="shared" si="146"/>
        <v>0</v>
      </c>
      <c r="BD220" s="433">
        <f t="shared" si="155"/>
        <v>0</v>
      </c>
      <c r="BE220" s="433">
        <f t="shared" si="156"/>
        <v>0</v>
      </c>
      <c r="BF220" s="433">
        <f t="shared" si="157"/>
        <v>0</v>
      </c>
      <c r="BG220" s="433">
        <f t="shared" si="158"/>
        <v>0</v>
      </c>
      <c r="BH220" s="433">
        <f t="shared" si="159"/>
        <v>0</v>
      </c>
      <c r="BI220" s="433">
        <f t="shared" si="160"/>
        <v>0</v>
      </c>
      <c r="BJ220" s="433">
        <f t="shared" si="161"/>
        <v>0</v>
      </c>
      <c r="BK220" s="433">
        <f t="shared" si="162"/>
        <v>0</v>
      </c>
      <c r="BL220" s="433">
        <f t="shared" si="163"/>
        <v>0</v>
      </c>
      <c r="BM220" s="433">
        <f t="shared" si="164"/>
        <v>0</v>
      </c>
      <c r="BN220" s="433">
        <f t="shared" si="165"/>
        <v>0</v>
      </c>
      <c r="BO220" s="433">
        <f t="shared" si="166"/>
        <v>0</v>
      </c>
      <c r="BP220" s="433">
        <f t="shared" si="167"/>
        <v>0</v>
      </c>
      <c r="BQ220" s="433">
        <f t="shared" si="168"/>
        <v>0</v>
      </c>
    </row>
    <row r="221" spans="1:69" x14ac:dyDescent="0.2">
      <c r="A221" s="102">
        <v>41813</v>
      </c>
      <c r="B221" s="319">
        <v>2</v>
      </c>
      <c r="C221" s="118" t="s">
        <v>1006</v>
      </c>
      <c r="D221" s="111">
        <v>0.59722222222222221</v>
      </c>
      <c r="E221" s="111">
        <v>0.79027777777777775</v>
      </c>
      <c r="F221" s="444">
        <v>35</v>
      </c>
      <c r="G221" s="445">
        <v>11</v>
      </c>
      <c r="H221" s="444"/>
      <c r="I221" s="390"/>
      <c r="J221" s="426">
        <f t="shared" si="141"/>
        <v>278</v>
      </c>
      <c r="K221" s="103">
        <v>3</v>
      </c>
      <c r="L221" s="103"/>
      <c r="M221" s="103"/>
      <c r="N221" s="427">
        <f t="shared" si="142"/>
        <v>3</v>
      </c>
      <c r="O221" s="103"/>
      <c r="P221" s="103"/>
      <c r="Q221" s="103"/>
      <c r="R221" s="428">
        <f t="shared" si="143"/>
        <v>0</v>
      </c>
      <c r="S221" s="103"/>
      <c r="T221" s="103"/>
      <c r="U221" s="103"/>
      <c r="V221" s="125"/>
      <c r="W221" s="428">
        <f t="shared" si="147"/>
        <v>0</v>
      </c>
      <c r="X221" s="103"/>
      <c r="Y221" s="103"/>
      <c r="Z221" s="125"/>
      <c r="AA221" s="428">
        <f t="shared" si="148"/>
        <v>0</v>
      </c>
      <c r="AB221" s="103"/>
      <c r="AC221" s="103"/>
      <c r="AD221" s="103"/>
      <c r="AE221" s="428">
        <f t="shared" si="149"/>
        <v>0</v>
      </c>
      <c r="AF221" s="103"/>
      <c r="AG221" s="103"/>
      <c r="AH221" s="103"/>
      <c r="AI221" s="103"/>
      <c r="AJ221" s="428">
        <f t="shared" si="150"/>
        <v>0</v>
      </c>
      <c r="AK221" s="446"/>
      <c r="AL221" s="446"/>
      <c r="AM221" s="446"/>
      <c r="AN221" s="446"/>
      <c r="AO221" s="446"/>
      <c r="AP221" s="446"/>
      <c r="AQ221" s="446"/>
      <c r="AR221" s="431">
        <f t="shared" si="151"/>
        <v>0</v>
      </c>
      <c r="AT221" s="128"/>
      <c r="AU221" s="100" t="s">
        <v>1010</v>
      </c>
      <c r="AV221" s="128" t="s">
        <v>1017</v>
      </c>
      <c r="AW221" s="100" t="s">
        <v>1018</v>
      </c>
      <c r="AX221" s="433">
        <f t="shared" si="152"/>
        <v>3</v>
      </c>
      <c r="AY221" s="433">
        <f t="shared" si="153"/>
        <v>0</v>
      </c>
      <c r="AZ221" s="433">
        <f t="shared" si="154"/>
        <v>0</v>
      </c>
      <c r="BA221" s="433">
        <f t="shared" si="144"/>
        <v>0</v>
      </c>
      <c r="BB221" s="433">
        <f t="shared" si="145"/>
        <v>0</v>
      </c>
      <c r="BC221" s="433">
        <f t="shared" si="146"/>
        <v>0</v>
      </c>
      <c r="BD221" s="433">
        <f t="shared" si="155"/>
        <v>0</v>
      </c>
      <c r="BE221" s="433">
        <f t="shared" si="156"/>
        <v>0</v>
      </c>
      <c r="BF221" s="433">
        <f t="shared" si="157"/>
        <v>0</v>
      </c>
      <c r="BG221" s="433">
        <f t="shared" si="158"/>
        <v>0</v>
      </c>
      <c r="BH221" s="433">
        <f t="shared" si="159"/>
        <v>0</v>
      </c>
      <c r="BI221" s="433">
        <f t="shared" si="160"/>
        <v>0</v>
      </c>
      <c r="BJ221" s="433">
        <f t="shared" si="161"/>
        <v>0</v>
      </c>
      <c r="BK221" s="433">
        <f t="shared" si="162"/>
        <v>0</v>
      </c>
      <c r="BL221" s="433">
        <f t="shared" si="163"/>
        <v>0</v>
      </c>
      <c r="BM221" s="433">
        <f t="shared" si="164"/>
        <v>0</v>
      </c>
      <c r="BN221" s="433">
        <f t="shared" si="165"/>
        <v>0</v>
      </c>
      <c r="BO221" s="433">
        <f t="shared" si="166"/>
        <v>0</v>
      </c>
      <c r="BP221" s="433">
        <f t="shared" si="167"/>
        <v>0</v>
      </c>
      <c r="BQ221" s="433">
        <f t="shared" si="168"/>
        <v>0</v>
      </c>
    </row>
    <row r="222" spans="1:69" x14ac:dyDescent="0.2">
      <c r="A222" s="102">
        <v>41813</v>
      </c>
      <c r="B222" s="319">
        <v>2</v>
      </c>
      <c r="C222" s="118" t="s">
        <v>996</v>
      </c>
      <c r="D222" s="111">
        <v>0.79027777777777775</v>
      </c>
      <c r="E222" s="111">
        <v>0.96319444444444446</v>
      </c>
      <c r="F222" s="444">
        <v>34</v>
      </c>
      <c r="G222" s="445">
        <v>11</v>
      </c>
      <c r="H222" s="444"/>
      <c r="I222" s="390"/>
      <c r="J222" s="426">
        <f t="shared" si="141"/>
        <v>249.00000000000009</v>
      </c>
      <c r="K222" s="103">
        <v>1</v>
      </c>
      <c r="L222" s="103">
        <v>1</v>
      </c>
      <c r="M222" s="103"/>
      <c r="N222" s="427">
        <f t="shared" si="142"/>
        <v>2</v>
      </c>
      <c r="O222" s="103"/>
      <c r="P222" s="103"/>
      <c r="Q222" s="103"/>
      <c r="R222" s="428">
        <f t="shared" si="143"/>
        <v>0</v>
      </c>
      <c r="S222" s="103"/>
      <c r="T222" s="103"/>
      <c r="U222" s="103"/>
      <c r="V222" s="125"/>
      <c r="W222" s="428">
        <f t="shared" si="147"/>
        <v>0</v>
      </c>
      <c r="X222" s="103"/>
      <c r="Y222" s="103"/>
      <c r="Z222" s="125"/>
      <c r="AA222" s="428">
        <f t="shared" si="148"/>
        <v>0</v>
      </c>
      <c r="AB222" s="103"/>
      <c r="AC222" s="103"/>
      <c r="AD222" s="103"/>
      <c r="AE222" s="428">
        <f t="shared" si="149"/>
        <v>0</v>
      </c>
      <c r="AF222" s="103"/>
      <c r="AG222" s="103"/>
      <c r="AH222" s="103"/>
      <c r="AI222" s="103"/>
      <c r="AJ222" s="428">
        <f t="shared" si="150"/>
        <v>0</v>
      </c>
      <c r="AK222" s="446"/>
      <c r="AL222" s="446"/>
      <c r="AM222" s="446"/>
      <c r="AN222" s="446"/>
      <c r="AO222" s="446"/>
      <c r="AP222" s="446"/>
      <c r="AQ222" s="446"/>
      <c r="AR222" s="431">
        <f t="shared" si="151"/>
        <v>0</v>
      </c>
      <c r="AT222" s="128"/>
      <c r="AU222" s="100" t="s">
        <v>1009</v>
      </c>
      <c r="AV222" s="128" t="s">
        <v>1017</v>
      </c>
      <c r="AW222" s="100" t="s">
        <v>1018</v>
      </c>
      <c r="AX222" s="433">
        <f t="shared" si="152"/>
        <v>1</v>
      </c>
      <c r="AY222" s="433">
        <f t="shared" si="153"/>
        <v>1</v>
      </c>
      <c r="AZ222" s="433">
        <f t="shared" si="154"/>
        <v>0</v>
      </c>
      <c r="BA222" s="433">
        <f t="shared" si="144"/>
        <v>0</v>
      </c>
      <c r="BB222" s="433">
        <f t="shared" si="145"/>
        <v>0</v>
      </c>
      <c r="BC222" s="433">
        <f t="shared" si="146"/>
        <v>0</v>
      </c>
      <c r="BD222" s="433">
        <f t="shared" si="155"/>
        <v>0</v>
      </c>
      <c r="BE222" s="433">
        <f t="shared" si="156"/>
        <v>0</v>
      </c>
      <c r="BF222" s="433">
        <f t="shared" si="157"/>
        <v>0</v>
      </c>
      <c r="BG222" s="433">
        <f t="shared" si="158"/>
        <v>0</v>
      </c>
      <c r="BH222" s="433">
        <f t="shared" si="159"/>
        <v>0</v>
      </c>
      <c r="BI222" s="433">
        <f t="shared" si="160"/>
        <v>0</v>
      </c>
      <c r="BJ222" s="433">
        <f t="shared" si="161"/>
        <v>0</v>
      </c>
      <c r="BK222" s="433">
        <f t="shared" si="162"/>
        <v>0</v>
      </c>
      <c r="BL222" s="433">
        <f t="shared" si="163"/>
        <v>0</v>
      </c>
      <c r="BM222" s="433">
        <f t="shared" si="164"/>
        <v>0</v>
      </c>
      <c r="BN222" s="433">
        <f t="shared" si="165"/>
        <v>0</v>
      </c>
      <c r="BO222" s="433">
        <f t="shared" si="166"/>
        <v>0</v>
      </c>
      <c r="BP222" s="433">
        <f t="shared" si="167"/>
        <v>0</v>
      </c>
      <c r="BQ222" s="433">
        <f t="shared" si="168"/>
        <v>0</v>
      </c>
    </row>
    <row r="223" spans="1:69" x14ac:dyDescent="0.2">
      <c r="A223" s="102">
        <v>41813</v>
      </c>
      <c r="B223" s="319">
        <v>3</v>
      </c>
      <c r="C223" s="118" t="s">
        <v>1011</v>
      </c>
      <c r="D223" s="111">
        <v>0.23958333333333334</v>
      </c>
      <c r="E223" s="111">
        <v>0.39583333333333331</v>
      </c>
      <c r="F223" s="444">
        <v>42</v>
      </c>
      <c r="G223" s="445">
        <v>8</v>
      </c>
      <c r="H223" s="444"/>
      <c r="I223" s="390"/>
      <c r="J223" s="426">
        <f t="shared" si="141"/>
        <v>224.99999999999994</v>
      </c>
      <c r="K223" s="103"/>
      <c r="L223" s="103"/>
      <c r="M223" s="103"/>
      <c r="N223" s="427">
        <f t="shared" si="142"/>
        <v>0</v>
      </c>
      <c r="O223" s="103"/>
      <c r="P223" s="103"/>
      <c r="Q223" s="103"/>
      <c r="R223" s="428">
        <f t="shared" si="143"/>
        <v>0</v>
      </c>
      <c r="S223" s="103"/>
      <c r="T223" s="103"/>
      <c r="U223" s="103"/>
      <c r="V223" s="125"/>
      <c r="W223" s="428">
        <f t="shared" si="147"/>
        <v>0</v>
      </c>
      <c r="X223" s="103"/>
      <c r="Y223" s="103"/>
      <c r="Z223" s="125"/>
      <c r="AA223" s="428">
        <f t="shared" si="148"/>
        <v>0</v>
      </c>
      <c r="AB223" s="103"/>
      <c r="AC223" s="103"/>
      <c r="AD223" s="103"/>
      <c r="AE223" s="428">
        <f t="shared" si="149"/>
        <v>0</v>
      </c>
      <c r="AF223" s="103"/>
      <c r="AG223" s="103"/>
      <c r="AH223" s="103"/>
      <c r="AI223" s="103"/>
      <c r="AJ223" s="428">
        <f t="shared" si="150"/>
        <v>0</v>
      </c>
      <c r="AK223" s="446"/>
      <c r="AL223" s="446"/>
      <c r="AM223" s="446"/>
      <c r="AN223" s="446"/>
      <c r="AO223" s="446"/>
      <c r="AP223" s="446"/>
      <c r="AQ223" s="446"/>
      <c r="AR223" s="431">
        <f t="shared" si="151"/>
        <v>0</v>
      </c>
      <c r="AS223" s="10" t="s">
        <v>1013</v>
      </c>
      <c r="AT223" s="128" t="s">
        <v>424</v>
      </c>
      <c r="AU223" s="100" t="s">
        <v>1015</v>
      </c>
      <c r="AV223" s="128" t="s">
        <v>1017</v>
      </c>
      <c r="AW223" s="100" t="s">
        <v>1018</v>
      </c>
      <c r="AX223" s="433">
        <f t="shared" si="152"/>
        <v>0</v>
      </c>
      <c r="AY223" s="433">
        <f t="shared" si="153"/>
        <v>0</v>
      </c>
      <c r="AZ223" s="433">
        <f t="shared" si="154"/>
        <v>0</v>
      </c>
      <c r="BA223" s="433">
        <f t="shared" si="144"/>
        <v>0</v>
      </c>
      <c r="BB223" s="433">
        <f t="shared" si="145"/>
        <v>0</v>
      </c>
      <c r="BC223" s="433">
        <f t="shared" si="146"/>
        <v>0</v>
      </c>
      <c r="BD223" s="433">
        <f t="shared" si="155"/>
        <v>0</v>
      </c>
      <c r="BE223" s="433">
        <f t="shared" si="156"/>
        <v>0</v>
      </c>
      <c r="BF223" s="433">
        <f t="shared" si="157"/>
        <v>0</v>
      </c>
      <c r="BG223" s="433">
        <f t="shared" si="158"/>
        <v>0</v>
      </c>
      <c r="BH223" s="433">
        <f t="shared" si="159"/>
        <v>0</v>
      </c>
      <c r="BI223" s="433">
        <f t="shared" si="160"/>
        <v>0</v>
      </c>
      <c r="BJ223" s="433">
        <f t="shared" si="161"/>
        <v>0</v>
      </c>
      <c r="BK223" s="433">
        <f t="shared" si="162"/>
        <v>0</v>
      </c>
      <c r="BL223" s="433">
        <f t="shared" si="163"/>
        <v>0</v>
      </c>
      <c r="BM223" s="433">
        <f t="shared" si="164"/>
        <v>0</v>
      </c>
      <c r="BN223" s="433">
        <f t="shared" si="165"/>
        <v>0</v>
      </c>
      <c r="BO223" s="433">
        <f t="shared" si="166"/>
        <v>0</v>
      </c>
      <c r="BP223" s="433">
        <f t="shared" si="167"/>
        <v>0</v>
      </c>
      <c r="BQ223" s="433">
        <f t="shared" si="168"/>
        <v>0</v>
      </c>
    </row>
    <row r="224" spans="1:69" x14ac:dyDescent="0.2">
      <c r="A224" s="102">
        <v>41813</v>
      </c>
      <c r="B224" s="319">
        <v>3</v>
      </c>
      <c r="C224" s="118" t="s">
        <v>953</v>
      </c>
      <c r="D224" s="111">
        <v>0.39583333333333331</v>
      </c>
      <c r="E224" s="111">
        <v>0.59097222222222223</v>
      </c>
      <c r="F224" s="444">
        <v>41</v>
      </c>
      <c r="G224" s="445">
        <v>9.5</v>
      </c>
      <c r="H224" s="444"/>
      <c r="I224" s="390"/>
      <c r="J224" s="426">
        <f>((E224-D224)*24*60)-10</f>
        <v>271</v>
      </c>
      <c r="K224" s="103"/>
      <c r="L224" s="103"/>
      <c r="M224" s="103"/>
      <c r="N224" s="427">
        <f t="shared" si="142"/>
        <v>0</v>
      </c>
      <c r="O224" s="103"/>
      <c r="P224" s="103"/>
      <c r="Q224" s="103"/>
      <c r="R224" s="428">
        <f t="shared" si="143"/>
        <v>0</v>
      </c>
      <c r="S224" s="103"/>
      <c r="T224" s="103"/>
      <c r="U224" s="103"/>
      <c r="V224" s="125"/>
      <c r="W224" s="428">
        <f t="shared" si="147"/>
        <v>0</v>
      </c>
      <c r="X224" s="103"/>
      <c r="Y224" s="103"/>
      <c r="Z224" s="125"/>
      <c r="AA224" s="428">
        <f t="shared" si="148"/>
        <v>0</v>
      </c>
      <c r="AB224" s="103"/>
      <c r="AC224" s="103"/>
      <c r="AD224" s="103"/>
      <c r="AE224" s="428">
        <f t="shared" si="149"/>
        <v>0</v>
      </c>
      <c r="AF224" s="103"/>
      <c r="AG224" s="103"/>
      <c r="AH224" s="103"/>
      <c r="AI224" s="103"/>
      <c r="AJ224" s="428">
        <f t="shared" si="150"/>
        <v>0</v>
      </c>
      <c r="AK224" s="446">
        <v>1</v>
      </c>
      <c r="AL224" s="446"/>
      <c r="AM224" s="446">
        <v>1</v>
      </c>
      <c r="AN224" s="446"/>
      <c r="AO224" s="446"/>
      <c r="AP224" s="446"/>
      <c r="AQ224" s="446"/>
      <c r="AR224" s="431">
        <f t="shared" si="151"/>
        <v>2</v>
      </c>
      <c r="AS224" s="10" t="s">
        <v>1014</v>
      </c>
      <c r="AT224" s="128"/>
      <c r="AU224" s="100" t="s">
        <v>1009</v>
      </c>
      <c r="AV224" s="128" t="s">
        <v>1017</v>
      </c>
      <c r="AW224" s="100" t="s">
        <v>1018</v>
      </c>
      <c r="AX224" s="433">
        <f t="shared" si="152"/>
        <v>0</v>
      </c>
      <c r="AY224" s="433">
        <f t="shared" si="153"/>
        <v>0</v>
      </c>
      <c r="AZ224" s="433">
        <f t="shared" si="154"/>
        <v>0</v>
      </c>
      <c r="BA224" s="433">
        <f t="shared" si="144"/>
        <v>0</v>
      </c>
      <c r="BB224" s="433">
        <f t="shared" si="145"/>
        <v>0</v>
      </c>
      <c r="BC224" s="433">
        <f t="shared" si="146"/>
        <v>0</v>
      </c>
      <c r="BD224" s="433">
        <f t="shared" si="155"/>
        <v>0</v>
      </c>
      <c r="BE224" s="433">
        <f t="shared" si="156"/>
        <v>0</v>
      </c>
      <c r="BF224" s="433">
        <f t="shared" si="157"/>
        <v>0</v>
      </c>
      <c r="BG224" s="433">
        <f t="shared" si="158"/>
        <v>0</v>
      </c>
      <c r="BH224" s="433">
        <f t="shared" si="159"/>
        <v>0</v>
      </c>
      <c r="BI224" s="433">
        <f t="shared" si="160"/>
        <v>0</v>
      </c>
      <c r="BJ224" s="433">
        <f t="shared" si="161"/>
        <v>0</v>
      </c>
      <c r="BK224" s="433">
        <f t="shared" si="162"/>
        <v>0</v>
      </c>
      <c r="BL224" s="433">
        <f t="shared" si="163"/>
        <v>0</v>
      </c>
      <c r="BM224" s="433">
        <f t="shared" si="164"/>
        <v>0</v>
      </c>
      <c r="BN224" s="433">
        <f t="shared" si="165"/>
        <v>0</v>
      </c>
      <c r="BO224" s="433">
        <f t="shared" si="166"/>
        <v>0</v>
      </c>
      <c r="BP224" s="433">
        <f t="shared" si="167"/>
        <v>0</v>
      </c>
      <c r="BQ224" s="433">
        <f t="shared" si="168"/>
        <v>0</v>
      </c>
    </row>
    <row r="225" spans="1:69" x14ac:dyDescent="0.2">
      <c r="A225" s="102">
        <v>41813</v>
      </c>
      <c r="B225" s="319">
        <v>3</v>
      </c>
      <c r="C225" s="118" t="s">
        <v>995</v>
      </c>
      <c r="D225" s="111">
        <v>0.59097222222222223</v>
      </c>
      <c r="E225" s="111">
        <v>0.78680555555555554</v>
      </c>
      <c r="F225" s="444">
        <v>41</v>
      </c>
      <c r="G225" s="445">
        <v>9</v>
      </c>
      <c r="H225" s="444"/>
      <c r="I225" s="390"/>
      <c r="J225" s="426">
        <f t="shared" si="141"/>
        <v>281.99999999999994</v>
      </c>
      <c r="K225" s="103">
        <v>1</v>
      </c>
      <c r="L225" s="103"/>
      <c r="M225" s="103"/>
      <c r="N225" s="427">
        <f t="shared" si="142"/>
        <v>1</v>
      </c>
      <c r="O225" s="103"/>
      <c r="P225" s="103"/>
      <c r="Q225" s="103"/>
      <c r="R225" s="428">
        <f t="shared" si="143"/>
        <v>0</v>
      </c>
      <c r="S225" s="103"/>
      <c r="T225" s="103"/>
      <c r="U225" s="103"/>
      <c r="V225" s="125"/>
      <c r="W225" s="428">
        <f t="shared" si="147"/>
        <v>0</v>
      </c>
      <c r="X225" s="103"/>
      <c r="Y225" s="103"/>
      <c r="Z225" s="125"/>
      <c r="AA225" s="428">
        <f t="shared" si="148"/>
        <v>0</v>
      </c>
      <c r="AB225" s="103"/>
      <c r="AC225" s="103"/>
      <c r="AD225" s="103"/>
      <c r="AE225" s="428">
        <f t="shared" si="149"/>
        <v>0</v>
      </c>
      <c r="AF225" s="103"/>
      <c r="AG225" s="103"/>
      <c r="AH225" s="103"/>
      <c r="AI225" s="103"/>
      <c r="AJ225" s="428">
        <f t="shared" si="150"/>
        <v>0</v>
      </c>
      <c r="AK225" s="446"/>
      <c r="AL225" s="446"/>
      <c r="AM225" s="446"/>
      <c r="AN225" s="446"/>
      <c r="AO225" s="446"/>
      <c r="AP225" s="446"/>
      <c r="AQ225" s="446"/>
      <c r="AR225" s="431">
        <f t="shared" si="151"/>
        <v>0</v>
      </c>
      <c r="AT225" s="128"/>
      <c r="AU225" s="100" t="s">
        <v>986</v>
      </c>
      <c r="AV225" s="128" t="s">
        <v>1017</v>
      </c>
      <c r="AW225" s="100" t="s">
        <v>1018</v>
      </c>
      <c r="AX225" s="433">
        <f t="shared" si="152"/>
        <v>1</v>
      </c>
      <c r="AY225" s="433">
        <f t="shared" si="153"/>
        <v>0</v>
      </c>
      <c r="AZ225" s="433">
        <f t="shared" si="154"/>
        <v>0</v>
      </c>
      <c r="BA225" s="433">
        <f t="shared" si="144"/>
        <v>0</v>
      </c>
      <c r="BB225" s="433">
        <f t="shared" si="145"/>
        <v>0</v>
      </c>
      <c r="BC225" s="433">
        <f t="shared" si="146"/>
        <v>0</v>
      </c>
      <c r="BD225" s="433">
        <f t="shared" si="155"/>
        <v>0</v>
      </c>
      <c r="BE225" s="433">
        <f t="shared" si="156"/>
        <v>0</v>
      </c>
      <c r="BF225" s="433">
        <f t="shared" si="157"/>
        <v>0</v>
      </c>
      <c r="BG225" s="433">
        <f t="shared" si="158"/>
        <v>0</v>
      </c>
      <c r="BH225" s="433">
        <f t="shared" si="159"/>
        <v>0</v>
      </c>
      <c r="BI225" s="433">
        <f t="shared" si="160"/>
        <v>0</v>
      </c>
      <c r="BJ225" s="433">
        <f t="shared" si="161"/>
        <v>0</v>
      </c>
      <c r="BK225" s="433">
        <f t="shared" si="162"/>
        <v>0</v>
      </c>
      <c r="BL225" s="433">
        <f t="shared" si="163"/>
        <v>0</v>
      </c>
      <c r="BM225" s="433">
        <f t="shared" si="164"/>
        <v>0</v>
      </c>
      <c r="BN225" s="433">
        <f t="shared" si="165"/>
        <v>0</v>
      </c>
      <c r="BO225" s="433">
        <f t="shared" si="166"/>
        <v>0</v>
      </c>
      <c r="BP225" s="433">
        <f t="shared" si="167"/>
        <v>0</v>
      </c>
      <c r="BQ225" s="433">
        <f t="shared" si="168"/>
        <v>0</v>
      </c>
    </row>
    <row r="226" spans="1:69" s="291" customFormat="1" x14ac:dyDescent="0.2">
      <c r="A226" s="317">
        <v>41813</v>
      </c>
      <c r="B226" s="318">
        <v>3</v>
      </c>
      <c r="C226" s="320" t="s">
        <v>1012</v>
      </c>
      <c r="D226" s="321">
        <v>0.78680555555555554</v>
      </c>
      <c r="E226" s="321">
        <v>0.97222222222222221</v>
      </c>
      <c r="F226" s="434">
        <v>44</v>
      </c>
      <c r="G226" s="435">
        <v>9.5</v>
      </c>
      <c r="H226" s="434"/>
      <c r="I226" s="436"/>
      <c r="J226" s="437">
        <f t="shared" si="141"/>
        <v>267</v>
      </c>
      <c r="K226" s="285">
        <v>2</v>
      </c>
      <c r="L226" s="285"/>
      <c r="M226" s="285"/>
      <c r="N226" s="438">
        <f t="shared" si="142"/>
        <v>2</v>
      </c>
      <c r="O226" s="285"/>
      <c r="P226" s="285"/>
      <c r="Q226" s="285"/>
      <c r="R226" s="439">
        <f t="shared" si="143"/>
        <v>0</v>
      </c>
      <c r="S226" s="285"/>
      <c r="T226" s="285"/>
      <c r="U226" s="285"/>
      <c r="V226" s="440"/>
      <c r="W226" s="439">
        <f t="shared" si="147"/>
        <v>0</v>
      </c>
      <c r="X226" s="285"/>
      <c r="Y226" s="285"/>
      <c r="Z226" s="440"/>
      <c r="AA226" s="439">
        <f t="shared" si="148"/>
        <v>0</v>
      </c>
      <c r="AB226" s="285"/>
      <c r="AC226" s="285"/>
      <c r="AD226" s="285"/>
      <c r="AE226" s="439">
        <f t="shared" si="149"/>
        <v>0</v>
      </c>
      <c r="AF226" s="285"/>
      <c r="AG226" s="285"/>
      <c r="AH226" s="285"/>
      <c r="AI226" s="285"/>
      <c r="AJ226" s="439">
        <f t="shared" si="150"/>
        <v>0</v>
      </c>
      <c r="AK226" s="340"/>
      <c r="AL226" s="340"/>
      <c r="AM226" s="340"/>
      <c r="AN226" s="340"/>
      <c r="AO226" s="340"/>
      <c r="AP226" s="340"/>
      <c r="AQ226" s="340"/>
      <c r="AR226" s="441">
        <f t="shared" si="151"/>
        <v>0</v>
      </c>
      <c r="AT226" s="313"/>
      <c r="AU226" s="289" t="s">
        <v>1016</v>
      </c>
      <c r="AV226" s="313" t="s">
        <v>1017</v>
      </c>
      <c r="AW226" s="289" t="s">
        <v>1018</v>
      </c>
      <c r="AX226" s="443">
        <f t="shared" si="152"/>
        <v>2</v>
      </c>
      <c r="AY226" s="443">
        <f t="shared" si="153"/>
        <v>0</v>
      </c>
      <c r="AZ226" s="443">
        <f t="shared" si="154"/>
        <v>0</v>
      </c>
      <c r="BA226" s="443">
        <f t="shared" si="144"/>
        <v>0</v>
      </c>
      <c r="BB226" s="443">
        <f t="shared" si="145"/>
        <v>0</v>
      </c>
      <c r="BC226" s="443">
        <f t="shared" si="146"/>
        <v>0</v>
      </c>
      <c r="BD226" s="443">
        <f t="shared" si="155"/>
        <v>0</v>
      </c>
      <c r="BE226" s="443">
        <f t="shared" si="156"/>
        <v>0</v>
      </c>
      <c r="BF226" s="443">
        <f t="shared" si="157"/>
        <v>0</v>
      </c>
      <c r="BG226" s="443">
        <f t="shared" si="158"/>
        <v>0</v>
      </c>
      <c r="BH226" s="443">
        <f t="shared" si="159"/>
        <v>0</v>
      </c>
      <c r="BI226" s="443">
        <f t="shared" si="160"/>
        <v>0</v>
      </c>
      <c r="BJ226" s="443">
        <f t="shared" si="161"/>
        <v>0</v>
      </c>
      <c r="BK226" s="443">
        <f t="shared" si="162"/>
        <v>0</v>
      </c>
      <c r="BL226" s="443">
        <f t="shared" si="163"/>
        <v>0</v>
      </c>
      <c r="BM226" s="443">
        <f t="shared" si="164"/>
        <v>0</v>
      </c>
      <c r="BN226" s="443">
        <f t="shared" si="165"/>
        <v>0</v>
      </c>
      <c r="BO226" s="443">
        <f t="shared" si="166"/>
        <v>0</v>
      </c>
      <c r="BP226" s="443">
        <f t="shared" si="167"/>
        <v>0</v>
      </c>
      <c r="BQ226" s="443">
        <f t="shared" si="168"/>
        <v>0</v>
      </c>
    </row>
    <row r="227" spans="1:69" x14ac:dyDescent="0.2">
      <c r="A227" s="102">
        <v>41814</v>
      </c>
      <c r="B227" s="319">
        <v>1</v>
      </c>
      <c r="C227" s="118" t="s">
        <v>1047</v>
      </c>
      <c r="D227" s="111">
        <v>0.23333333333333331</v>
      </c>
      <c r="E227" s="111">
        <v>0.35972222222222222</v>
      </c>
      <c r="F227" s="444">
        <v>65</v>
      </c>
      <c r="G227" s="445">
        <v>8</v>
      </c>
      <c r="H227" s="444"/>
      <c r="I227" s="390"/>
      <c r="J227" s="426">
        <f t="shared" si="141"/>
        <v>182.00000000000006</v>
      </c>
      <c r="K227" s="103">
        <v>1</v>
      </c>
      <c r="L227" s="103"/>
      <c r="M227" s="103"/>
      <c r="N227" s="427">
        <f t="shared" si="142"/>
        <v>1</v>
      </c>
      <c r="O227" s="103"/>
      <c r="P227" s="103"/>
      <c r="Q227" s="103"/>
      <c r="R227" s="428">
        <f t="shared" si="143"/>
        <v>0</v>
      </c>
      <c r="S227" s="103"/>
      <c r="T227" s="103"/>
      <c r="U227" s="103"/>
      <c r="V227" s="125"/>
      <c r="W227" s="428">
        <f t="shared" si="147"/>
        <v>0</v>
      </c>
      <c r="X227" s="103"/>
      <c r="Y227" s="103"/>
      <c r="Z227" s="125"/>
      <c r="AA227" s="428">
        <f t="shared" si="148"/>
        <v>0</v>
      </c>
      <c r="AB227" s="103"/>
      <c r="AC227" s="103"/>
      <c r="AD227" s="103"/>
      <c r="AE227" s="428">
        <f t="shared" si="149"/>
        <v>0</v>
      </c>
      <c r="AF227" s="103"/>
      <c r="AG227" s="103"/>
      <c r="AH227" s="103"/>
      <c r="AI227" s="103"/>
      <c r="AJ227" s="428">
        <f t="shared" si="150"/>
        <v>0</v>
      </c>
      <c r="AK227" s="446"/>
      <c r="AL227" s="446"/>
      <c r="AM227" s="446"/>
      <c r="AN227" s="446"/>
      <c r="AO227" s="446"/>
      <c r="AP227" s="446"/>
      <c r="AQ227" s="446"/>
      <c r="AR227" s="431">
        <f t="shared" si="151"/>
        <v>0</v>
      </c>
      <c r="AS227" s="10" t="s">
        <v>1048</v>
      </c>
      <c r="AT227" s="128"/>
      <c r="AU227" s="100" t="s">
        <v>1049</v>
      </c>
      <c r="AV227" s="128" t="s">
        <v>1056</v>
      </c>
      <c r="AW227" s="100" t="s">
        <v>1057</v>
      </c>
      <c r="AX227" s="433">
        <f t="shared" si="152"/>
        <v>1</v>
      </c>
      <c r="AY227" s="433">
        <f t="shared" si="153"/>
        <v>0</v>
      </c>
      <c r="AZ227" s="433">
        <f t="shared" si="154"/>
        <v>0</v>
      </c>
      <c r="BA227" s="433">
        <f t="shared" si="144"/>
        <v>0</v>
      </c>
      <c r="BB227" s="433">
        <f t="shared" si="145"/>
        <v>0</v>
      </c>
      <c r="BC227" s="433">
        <f t="shared" si="146"/>
        <v>0</v>
      </c>
      <c r="BD227" s="433">
        <f t="shared" si="155"/>
        <v>0</v>
      </c>
      <c r="BE227" s="433">
        <f t="shared" si="156"/>
        <v>0</v>
      </c>
      <c r="BF227" s="433">
        <f t="shared" si="157"/>
        <v>0</v>
      </c>
      <c r="BG227" s="433">
        <f t="shared" si="158"/>
        <v>0</v>
      </c>
      <c r="BH227" s="433">
        <f t="shared" si="159"/>
        <v>0</v>
      </c>
      <c r="BI227" s="433">
        <f t="shared" si="160"/>
        <v>0</v>
      </c>
      <c r="BJ227" s="433">
        <f t="shared" si="161"/>
        <v>0</v>
      </c>
      <c r="BK227" s="433">
        <f t="shared" si="162"/>
        <v>0</v>
      </c>
      <c r="BL227" s="433">
        <f t="shared" si="163"/>
        <v>0</v>
      </c>
      <c r="BM227" s="433">
        <f t="shared" si="164"/>
        <v>0</v>
      </c>
      <c r="BN227" s="433">
        <f t="shared" si="165"/>
        <v>0</v>
      </c>
      <c r="BO227" s="433">
        <f t="shared" si="166"/>
        <v>0</v>
      </c>
      <c r="BP227" s="433">
        <f t="shared" si="167"/>
        <v>0</v>
      </c>
      <c r="BQ227" s="433">
        <f t="shared" si="168"/>
        <v>0</v>
      </c>
    </row>
    <row r="228" spans="1:69" x14ac:dyDescent="0.2">
      <c r="A228" s="102">
        <v>41814</v>
      </c>
      <c r="B228" s="319">
        <v>1</v>
      </c>
      <c r="C228" s="118" t="s">
        <v>1047</v>
      </c>
      <c r="D228" s="111">
        <v>0.36944444444444446</v>
      </c>
      <c r="E228" s="111">
        <v>0.40972222222222227</v>
      </c>
      <c r="F228" s="444">
        <v>55</v>
      </c>
      <c r="G228" s="445"/>
      <c r="H228" s="444"/>
      <c r="I228" s="390"/>
      <c r="J228" s="426">
        <f t="shared" si="141"/>
        <v>58.000000000000036</v>
      </c>
      <c r="K228" s="103"/>
      <c r="L228" s="103"/>
      <c r="M228" s="103"/>
      <c r="N228" s="427">
        <f t="shared" si="142"/>
        <v>0</v>
      </c>
      <c r="O228" s="103"/>
      <c r="P228" s="103"/>
      <c r="Q228" s="103"/>
      <c r="R228" s="428">
        <f t="shared" si="143"/>
        <v>0</v>
      </c>
      <c r="S228" s="103"/>
      <c r="T228" s="103"/>
      <c r="U228" s="103"/>
      <c r="V228" s="125"/>
      <c r="W228" s="428">
        <f t="shared" si="147"/>
        <v>0</v>
      </c>
      <c r="X228" s="103"/>
      <c r="Y228" s="103"/>
      <c r="Z228" s="125"/>
      <c r="AA228" s="428">
        <f t="shared" si="148"/>
        <v>0</v>
      </c>
      <c r="AB228" s="103"/>
      <c r="AC228" s="103"/>
      <c r="AD228" s="103"/>
      <c r="AE228" s="428">
        <f t="shared" si="149"/>
        <v>0</v>
      </c>
      <c r="AF228" s="103"/>
      <c r="AG228" s="103"/>
      <c r="AH228" s="103"/>
      <c r="AI228" s="103"/>
      <c r="AJ228" s="428">
        <f t="shared" si="150"/>
        <v>0</v>
      </c>
      <c r="AK228" s="446"/>
      <c r="AL228" s="446"/>
      <c r="AM228" s="446"/>
      <c r="AN228" s="446"/>
      <c r="AO228" s="446"/>
      <c r="AP228" s="446"/>
      <c r="AQ228" s="446"/>
      <c r="AR228" s="431">
        <f t="shared" si="151"/>
        <v>0</v>
      </c>
      <c r="AT228" s="128" t="s">
        <v>424</v>
      </c>
      <c r="AU228" s="100" t="s">
        <v>1049</v>
      </c>
      <c r="AV228" s="128" t="s">
        <v>1056</v>
      </c>
      <c r="AW228" s="100" t="s">
        <v>1057</v>
      </c>
      <c r="AX228" s="433">
        <f t="shared" si="152"/>
        <v>0</v>
      </c>
      <c r="AY228" s="433">
        <f t="shared" si="153"/>
        <v>0</v>
      </c>
      <c r="AZ228" s="433">
        <f t="shared" si="154"/>
        <v>0</v>
      </c>
      <c r="BA228" s="433">
        <f t="shared" si="144"/>
        <v>0</v>
      </c>
      <c r="BB228" s="433">
        <f t="shared" si="145"/>
        <v>0</v>
      </c>
      <c r="BC228" s="433">
        <f t="shared" si="146"/>
        <v>0</v>
      </c>
      <c r="BD228" s="433">
        <f t="shared" si="155"/>
        <v>0</v>
      </c>
      <c r="BE228" s="433">
        <f t="shared" si="156"/>
        <v>0</v>
      </c>
      <c r="BF228" s="433">
        <f t="shared" si="157"/>
        <v>0</v>
      </c>
      <c r="BG228" s="433">
        <f t="shared" si="158"/>
        <v>0</v>
      </c>
      <c r="BH228" s="433">
        <f t="shared" si="159"/>
        <v>0</v>
      </c>
      <c r="BI228" s="433">
        <f t="shared" si="160"/>
        <v>0</v>
      </c>
      <c r="BJ228" s="433">
        <f t="shared" si="161"/>
        <v>0</v>
      </c>
      <c r="BK228" s="433">
        <f t="shared" si="162"/>
        <v>0</v>
      </c>
      <c r="BL228" s="433">
        <f t="shared" si="163"/>
        <v>0</v>
      </c>
      <c r="BM228" s="433">
        <f t="shared" si="164"/>
        <v>0</v>
      </c>
      <c r="BN228" s="433">
        <f t="shared" si="165"/>
        <v>0</v>
      </c>
      <c r="BO228" s="433">
        <f t="shared" si="166"/>
        <v>0</v>
      </c>
      <c r="BP228" s="433">
        <f t="shared" si="167"/>
        <v>0</v>
      </c>
      <c r="BQ228" s="433">
        <f t="shared" si="168"/>
        <v>0</v>
      </c>
    </row>
    <row r="229" spans="1:69" x14ac:dyDescent="0.2">
      <c r="A229" s="102">
        <v>41814</v>
      </c>
      <c r="B229" s="319">
        <v>1</v>
      </c>
      <c r="C229" s="118" t="s">
        <v>996</v>
      </c>
      <c r="D229" s="111">
        <v>0.40972222222222227</v>
      </c>
      <c r="E229" s="111">
        <v>0.59513888888888888</v>
      </c>
      <c r="F229" s="444">
        <v>51</v>
      </c>
      <c r="G229" s="445">
        <v>9</v>
      </c>
      <c r="H229" s="444"/>
      <c r="I229" s="390"/>
      <c r="J229" s="426">
        <f t="shared" si="141"/>
        <v>266.99999999999994</v>
      </c>
      <c r="K229" s="103">
        <v>1</v>
      </c>
      <c r="L229" s="103">
        <v>1</v>
      </c>
      <c r="M229" s="103"/>
      <c r="N229" s="427">
        <f t="shared" si="142"/>
        <v>2</v>
      </c>
      <c r="O229" s="103"/>
      <c r="P229" s="103"/>
      <c r="Q229" s="103"/>
      <c r="R229" s="428">
        <f t="shared" si="143"/>
        <v>0</v>
      </c>
      <c r="S229" s="103"/>
      <c r="T229" s="103"/>
      <c r="U229" s="103"/>
      <c r="V229" s="125"/>
      <c r="W229" s="428">
        <f t="shared" si="147"/>
        <v>0</v>
      </c>
      <c r="X229" s="103"/>
      <c r="Y229" s="103"/>
      <c r="Z229" s="125"/>
      <c r="AA229" s="428">
        <f t="shared" si="148"/>
        <v>0</v>
      </c>
      <c r="AB229" s="103"/>
      <c r="AC229" s="103"/>
      <c r="AD229" s="103"/>
      <c r="AE229" s="428">
        <f t="shared" si="149"/>
        <v>0</v>
      </c>
      <c r="AF229" s="103"/>
      <c r="AG229" s="103"/>
      <c r="AH229" s="103"/>
      <c r="AI229" s="103"/>
      <c r="AJ229" s="428">
        <f t="shared" si="150"/>
        <v>0</v>
      </c>
      <c r="AK229" s="446"/>
      <c r="AL229" s="446"/>
      <c r="AM229" s="446"/>
      <c r="AN229" s="446"/>
      <c r="AO229" s="446"/>
      <c r="AP229" s="446"/>
      <c r="AQ229" s="446"/>
      <c r="AR229" s="431">
        <f t="shared" si="151"/>
        <v>0</v>
      </c>
      <c r="AT229" s="128"/>
      <c r="AU229" s="100" t="s">
        <v>1050</v>
      </c>
      <c r="AV229" s="128" t="s">
        <v>1056</v>
      </c>
      <c r="AW229" s="100" t="s">
        <v>1057</v>
      </c>
      <c r="AX229" s="433">
        <f t="shared" si="152"/>
        <v>1</v>
      </c>
      <c r="AY229" s="433">
        <f t="shared" si="153"/>
        <v>1</v>
      </c>
      <c r="AZ229" s="433">
        <f t="shared" si="154"/>
        <v>0</v>
      </c>
      <c r="BA229" s="433">
        <f t="shared" si="144"/>
        <v>0</v>
      </c>
      <c r="BB229" s="433">
        <f t="shared" si="145"/>
        <v>0</v>
      </c>
      <c r="BC229" s="433">
        <f t="shared" si="146"/>
        <v>0</v>
      </c>
      <c r="BD229" s="433">
        <f t="shared" si="155"/>
        <v>0</v>
      </c>
      <c r="BE229" s="433">
        <f t="shared" si="156"/>
        <v>0</v>
      </c>
      <c r="BF229" s="433">
        <f t="shared" si="157"/>
        <v>0</v>
      </c>
      <c r="BG229" s="433">
        <f t="shared" si="158"/>
        <v>0</v>
      </c>
      <c r="BH229" s="433">
        <f t="shared" si="159"/>
        <v>0</v>
      </c>
      <c r="BI229" s="433">
        <f t="shared" si="160"/>
        <v>0</v>
      </c>
      <c r="BJ229" s="433">
        <f t="shared" si="161"/>
        <v>0</v>
      </c>
      <c r="BK229" s="433">
        <f t="shared" si="162"/>
        <v>0</v>
      </c>
      <c r="BL229" s="433">
        <f t="shared" si="163"/>
        <v>0</v>
      </c>
      <c r="BM229" s="433">
        <f t="shared" si="164"/>
        <v>0</v>
      </c>
      <c r="BN229" s="433">
        <f t="shared" si="165"/>
        <v>0</v>
      </c>
      <c r="BO229" s="433">
        <f t="shared" si="166"/>
        <v>0</v>
      </c>
      <c r="BP229" s="433">
        <f t="shared" si="167"/>
        <v>0</v>
      </c>
      <c r="BQ229" s="433">
        <f t="shared" si="168"/>
        <v>0</v>
      </c>
    </row>
    <row r="230" spans="1:69" x14ac:dyDescent="0.2">
      <c r="A230" s="102">
        <v>41814</v>
      </c>
      <c r="B230" s="319">
        <v>1</v>
      </c>
      <c r="C230" s="118" t="s">
        <v>958</v>
      </c>
      <c r="D230" s="111">
        <v>0.59513888888888888</v>
      </c>
      <c r="E230" s="111">
        <v>0.78263888888888899</v>
      </c>
      <c r="F230" s="444">
        <v>53</v>
      </c>
      <c r="G230" s="445">
        <v>9</v>
      </c>
      <c r="H230" s="444"/>
      <c r="I230" s="390"/>
      <c r="J230" s="426">
        <f t="shared" si="141"/>
        <v>270.00000000000017</v>
      </c>
      <c r="K230" s="103">
        <v>3</v>
      </c>
      <c r="L230" s="103"/>
      <c r="M230" s="103"/>
      <c r="N230" s="427">
        <f t="shared" si="142"/>
        <v>3</v>
      </c>
      <c r="O230" s="103"/>
      <c r="P230" s="103"/>
      <c r="Q230" s="103"/>
      <c r="R230" s="428">
        <f t="shared" si="143"/>
        <v>0</v>
      </c>
      <c r="S230" s="103"/>
      <c r="T230" s="103"/>
      <c r="U230" s="103"/>
      <c r="V230" s="125"/>
      <c r="W230" s="428">
        <f t="shared" si="147"/>
        <v>0</v>
      </c>
      <c r="X230" s="103"/>
      <c r="Y230" s="103"/>
      <c r="Z230" s="125"/>
      <c r="AA230" s="428">
        <f t="shared" si="148"/>
        <v>0</v>
      </c>
      <c r="AB230" s="103"/>
      <c r="AC230" s="103"/>
      <c r="AD230" s="103"/>
      <c r="AE230" s="428">
        <f t="shared" si="149"/>
        <v>0</v>
      </c>
      <c r="AF230" s="103"/>
      <c r="AG230" s="103"/>
      <c r="AH230" s="103"/>
      <c r="AI230" s="103"/>
      <c r="AJ230" s="428">
        <f t="shared" si="150"/>
        <v>0</v>
      </c>
      <c r="AK230" s="446"/>
      <c r="AL230" s="446"/>
      <c r="AM230" s="446"/>
      <c r="AN230" s="446"/>
      <c r="AO230" s="446"/>
      <c r="AP230" s="446"/>
      <c r="AQ230" s="446"/>
      <c r="AR230" s="431">
        <f t="shared" si="151"/>
        <v>0</v>
      </c>
      <c r="AT230" s="128"/>
      <c r="AU230" s="100" t="s">
        <v>1017</v>
      </c>
      <c r="AV230" s="128" t="s">
        <v>1056</v>
      </c>
      <c r="AW230" s="100" t="s">
        <v>1057</v>
      </c>
      <c r="AX230" s="433">
        <f t="shared" si="152"/>
        <v>3</v>
      </c>
      <c r="AY230" s="433">
        <f t="shared" si="153"/>
        <v>0</v>
      </c>
      <c r="AZ230" s="433">
        <f t="shared" si="154"/>
        <v>0</v>
      </c>
      <c r="BA230" s="433">
        <f t="shared" si="144"/>
        <v>0</v>
      </c>
      <c r="BB230" s="433">
        <f t="shared" si="145"/>
        <v>0</v>
      </c>
      <c r="BC230" s="433">
        <f t="shared" si="146"/>
        <v>0</v>
      </c>
      <c r="BD230" s="433">
        <f t="shared" si="155"/>
        <v>0</v>
      </c>
      <c r="BE230" s="433">
        <f t="shared" si="156"/>
        <v>0</v>
      </c>
      <c r="BF230" s="433">
        <f t="shared" si="157"/>
        <v>0</v>
      </c>
      <c r="BG230" s="433">
        <f t="shared" si="158"/>
        <v>0</v>
      </c>
      <c r="BH230" s="433">
        <f t="shared" si="159"/>
        <v>0</v>
      </c>
      <c r="BI230" s="433">
        <f t="shared" si="160"/>
        <v>0</v>
      </c>
      <c r="BJ230" s="433">
        <f t="shared" si="161"/>
        <v>0</v>
      </c>
      <c r="BK230" s="433">
        <f t="shared" si="162"/>
        <v>0</v>
      </c>
      <c r="BL230" s="433">
        <f t="shared" si="163"/>
        <v>0</v>
      </c>
      <c r="BM230" s="433">
        <f t="shared" si="164"/>
        <v>0</v>
      </c>
      <c r="BN230" s="433">
        <f t="shared" si="165"/>
        <v>0</v>
      </c>
      <c r="BO230" s="433">
        <f t="shared" si="166"/>
        <v>0</v>
      </c>
      <c r="BP230" s="433">
        <f t="shared" si="167"/>
        <v>0</v>
      </c>
      <c r="BQ230" s="433">
        <f t="shared" si="168"/>
        <v>0</v>
      </c>
    </row>
    <row r="231" spans="1:69" x14ac:dyDescent="0.2">
      <c r="A231" s="102">
        <v>41814</v>
      </c>
      <c r="B231" s="319">
        <v>1</v>
      </c>
      <c r="C231" s="118" t="s">
        <v>953</v>
      </c>
      <c r="D231" s="111">
        <v>0.78263888888888899</v>
      </c>
      <c r="E231" s="111">
        <v>0.97569444444444453</v>
      </c>
      <c r="F231" s="444">
        <v>59</v>
      </c>
      <c r="G231" s="445">
        <v>9</v>
      </c>
      <c r="H231" s="444"/>
      <c r="I231" s="390"/>
      <c r="J231" s="426">
        <f t="shared" si="141"/>
        <v>278</v>
      </c>
      <c r="K231" s="103">
        <v>5</v>
      </c>
      <c r="L231" s="103"/>
      <c r="M231" s="103"/>
      <c r="N231" s="427">
        <f t="shared" si="142"/>
        <v>5</v>
      </c>
      <c r="O231" s="103"/>
      <c r="P231" s="103"/>
      <c r="Q231" s="103"/>
      <c r="R231" s="428">
        <f t="shared" si="143"/>
        <v>0</v>
      </c>
      <c r="S231" s="103"/>
      <c r="T231" s="103"/>
      <c r="U231" s="103"/>
      <c r="V231" s="125"/>
      <c r="W231" s="428">
        <f t="shared" si="147"/>
        <v>0</v>
      </c>
      <c r="X231" s="103"/>
      <c r="Y231" s="103"/>
      <c r="Z231" s="125"/>
      <c r="AA231" s="428">
        <f t="shared" si="148"/>
        <v>0</v>
      </c>
      <c r="AB231" s="103"/>
      <c r="AC231" s="103"/>
      <c r="AD231" s="103"/>
      <c r="AE231" s="428">
        <f t="shared" si="149"/>
        <v>0</v>
      </c>
      <c r="AF231" s="103"/>
      <c r="AG231" s="103"/>
      <c r="AH231" s="103"/>
      <c r="AI231" s="103"/>
      <c r="AJ231" s="428">
        <f t="shared" si="150"/>
        <v>0</v>
      </c>
      <c r="AK231" s="446"/>
      <c r="AL231" s="446"/>
      <c r="AM231" s="446"/>
      <c r="AN231" s="446"/>
      <c r="AO231" s="446"/>
      <c r="AP231" s="446"/>
      <c r="AQ231" s="446"/>
      <c r="AR231" s="431">
        <f t="shared" si="151"/>
        <v>0</v>
      </c>
      <c r="AT231" s="128"/>
      <c r="AU231" s="100" t="s">
        <v>1051</v>
      </c>
      <c r="AV231" s="128" t="s">
        <v>1056</v>
      </c>
      <c r="AW231" s="100" t="s">
        <v>1057</v>
      </c>
      <c r="AX231" s="433">
        <f t="shared" si="152"/>
        <v>5</v>
      </c>
      <c r="AY231" s="433">
        <f t="shared" si="153"/>
        <v>0</v>
      </c>
      <c r="AZ231" s="433">
        <f t="shared" si="154"/>
        <v>0</v>
      </c>
      <c r="BA231" s="433">
        <f t="shared" si="144"/>
        <v>0</v>
      </c>
      <c r="BB231" s="433">
        <f t="shared" si="145"/>
        <v>0</v>
      </c>
      <c r="BC231" s="433">
        <f t="shared" si="146"/>
        <v>0</v>
      </c>
      <c r="BD231" s="433">
        <f t="shared" si="155"/>
        <v>0</v>
      </c>
      <c r="BE231" s="433">
        <f t="shared" si="156"/>
        <v>0</v>
      </c>
      <c r="BF231" s="433">
        <f t="shared" si="157"/>
        <v>0</v>
      </c>
      <c r="BG231" s="433">
        <f t="shared" si="158"/>
        <v>0</v>
      </c>
      <c r="BH231" s="433">
        <f t="shared" si="159"/>
        <v>0</v>
      </c>
      <c r="BI231" s="433">
        <f t="shared" si="160"/>
        <v>0</v>
      </c>
      <c r="BJ231" s="433">
        <f t="shared" si="161"/>
        <v>0</v>
      </c>
      <c r="BK231" s="433">
        <f t="shared" si="162"/>
        <v>0</v>
      </c>
      <c r="BL231" s="433">
        <f t="shared" si="163"/>
        <v>0</v>
      </c>
      <c r="BM231" s="433">
        <f t="shared" si="164"/>
        <v>0</v>
      </c>
      <c r="BN231" s="433">
        <f t="shared" si="165"/>
        <v>0</v>
      </c>
      <c r="BO231" s="433">
        <f t="shared" si="166"/>
        <v>0</v>
      </c>
      <c r="BP231" s="433">
        <f t="shared" si="167"/>
        <v>0</v>
      </c>
      <c r="BQ231" s="433">
        <f t="shared" si="168"/>
        <v>0</v>
      </c>
    </row>
    <row r="232" spans="1:69" x14ac:dyDescent="0.2">
      <c r="A232" s="102">
        <v>41814</v>
      </c>
      <c r="B232" s="319">
        <v>2</v>
      </c>
      <c r="C232" s="118" t="s">
        <v>1047</v>
      </c>
      <c r="D232" s="111">
        <v>0.23958333333333334</v>
      </c>
      <c r="E232" s="111">
        <v>0.39930555555555558</v>
      </c>
      <c r="F232" s="444">
        <v>32</v>
      </c>
      <c r="G232" s="445">
        <v>10</v>
      </c>
      <c r="H232" s="444"/>
      <c r="I232" s="390"/>
      <c r="J232" s="426">
        <f t="shared" si="141"/>
        <v>230.00000000000003</v>
      </c>
      <c r="K232" s="103"/>
      <c r="L232" s="103"/>
      <c r="M232" s="103"/>
      <c r="N232" s="427">
        <f t="shared" si="142"/>
        <v>0</v>
      </c>
      <c r="O232" s="103"/>
      <c r="P232" s="103"/>
      <c r="Q232" s="103"/>
      <c r="R232" s="428">
        <f t="shared" si="143"/>
        <v>0</v>
      </c>
      <c r="S232" s="103"/>
      <c r="T232" s="103"/>
      <c r="U232" s="103"/>
      <c r="V232" s="125"/>
      <c r="W232" s="428">
        <f t="shared" si="147"/>
        <v>0</v>
      </c>
      <c r="X232" s="103"/>
      <c r="Y232" s="103"/>
      <c r="Z232" s="125"/>
      <c r="AA232" s="428">
        <f t="shared" si="148"/>
        <v>0</v>
      </c>
      <c r="AB232" s="103"/>
      <c r="AC232" s="103"/>
      <c r="AD232" s="103"/>
      <c r="AE232" s="428">
        <f t="shared" si="149"/>
        <v>0</v>
      </c>
      <c r="AF232" s="103"/>
      <c r="AG232" s="103"/>
      <c r="AH232" s="103"/>
      <c r="AI232" s="103"/>
      <c r="AJ232" s="428">
        <f t="shared" si="150"/>
        <v>0</v>
      </c>
      <c r="AK232" s="446"/>
      <c r="AL232" s="446"/>
      <c r="AM232" s="446"/>
      <c r="AN232" s="446"/>
      <c r="AO232" s="446"/>
      <c r="AP232" s="446"/>
      <c r="AQ232" s="446"/>
      <c r="AR232" s="431">
        <f t="shared" si="151"/>
        <v>0</v>
      </c>
      <c r="AT232" s="128" t="s">
        <v>424</v>
      </c>
      <c r="AU232" s="100" t="s">
        <v>1052</v>
      </c>
      <c r="AV232" s="128" t="s">
        <v>1056</v>
      </c>
      <c r="AW232" s="100" t="s">
        <v>1057</v>
      </c>
      <c r="AX232" s="433">
        <f t="shared" si="152"/>
        <v>0</v>
      </c>
      <c r="AY232" s="433">
        <f t="shared" si="153"/>
        <v>0</v>
      </c>
      <c r="AZ232" s="433">
        <f t="shared" si="154"/>
        <v>0</v>
      </c>
      <c r="BA232" s="433">
        <f t="shared" si="144"/>
        <v>0</v>
      </c>
      <c r="BB232" s="433">
        <f t="shared" si="145"/>
        <v>0</v>
      </c>
      <c r="BC232" s="433">
        <f t="shared" si="146"/>
        <v>0</v>
      </c>
      <c r="BD232" s="433">
        <f t="shared" si="155"/>
        <v>0</v>
      </c>
      <c r="BE232" s="433">
        <f t="shared" si="156"/>
        <v>0</v>
      </c>
      <c r="BF232" s="433">
        <f t="shared" si="157"/>
        <v>0</v>
      </c>
      <c r="BG232" s="433">
        <f t="shared" si="158"/>
        <v>0</v>
      </c>
      <c r="BH232" s="433">
        <f t="shared" si="159"/>
        <v>0</v>
      </c>
      <c r="BI232" s="433">
        <f t="shared" si="160"/>
        <v>0</v>
      </c>
      <c r="BJ232" s="433">
        <f t="shared" si="161"/>
        <v>0</v>
      </c>
      <c r="BK232" s="433">
        <f t="shared" si="162"/>
        <v>0</v>
      </c>
      <c r="BL232" s="433">
        <f t="shared" si="163"/>
        <v>0</v>
      </c>
      <c r="BM232" s="433">
        <f t="shared" si="164"/>
        <v>0</v>
      </c>
      <c r="BN232" s="433">
        <f t="shared" si="165"/>
        <v>0</v>
      </c>
      <c r="BO232" s="433">
        <f t="shared" si="166"/>
        <v>0</v>
      </c>
      <c r="BP232" s="433">
        <f t="shared" si="167"/>
        <v>0</v>
      </c>
      <c r="BQ232" s="433">
        <f t="shared" si="168"/>
        <v>0</v>
      </c>
    </row>
    <row r="233" spans="1:69" x14ac:dyDescent="0.2">
      <c r="A233" s="102">
        <v>41814</v>
      </c>
      <c r="B233" s="319">
        <v>2</v>
      </c>
      <c r="C233" s="118" t="s">
        <v>996</v>
      </c>
      <c r="D233" s="111">
        <v>0.39930555555555558</v>
      </c>
      <c r="E233" s="111">
        <v>0.58680555555555558</v>
      </c>
      <c r="F233" s="444">
        <v>35</v>
      </c>
      <c r="G233" s="445">
        <v>10</v>
      </c>
      <c r="H233" s="444"/>
      <c r="I233" s="390"/>
      <c r="J233" s="426">
        <f t="shared" si="141"/>
        <v>270</v>
      </c>
      <c r="K233" s="103"/>
      <c r="L233" s="103"/>
      <c r="M233" s="103"/>
      <c r="N233" s="427">
        <f t="shared" si="142"/>
        <v>0</v>
      </c>
      <c r="O233" s="103"/>
      <c r="P233" s="103"/>
      <c r="Q233" s="103"/>
      <c r="R233" s="428">
        <f t="shared" si="143"/>
        <v>0</v>
      </c>
      <c r="S233" s="103"/>
      <c r="T233" s="103"/>
      <c r="U233" s="103"/>
      <c r="V233" s="125"/>
      <c r="W233" s="428">
        <f t="shared" si="147"/>
        <v>0</v>
      </c>
      <c r="X233" s="103"/>
      <c r="Y233" s="103"/>
      <c r="Z233" s="125"/>
      <c r="AA233" s="428">
        <f t="shared" si="148"/>
        <v>0</v>
      </c>
      <c r="AB233" s="103"/>
      <c r="AC233" s="103"/>
      <c r="AD233" s="103"/>
      <c r="AE233" s="428">
        <f t="shared" si="149"/>
        <v>0</v>
      </c>
      <c r="AF233" s="103"/>
      <c r="AG233" s="103"/>
      <c r="AH233" s="103"/>
      <c r="AI233" s="103"/>
      <c r="AJ233" s="428">
        <f t="shared" si="150"/>
        <v>0</v>
      </c>
      <c r="AK233" s="446"/>
      <c r="AL233" s="446"/>
      <c r="AM233" s="446"/>
      <c r="AN233" s="446"/>
      <c r="AO233" s="446"/>
      <c r="AP233" s="446"/>
      <c r="AQ233" s="446"/>
      <c r="AR233" s="431">
        <f t="shared" si="151"/>
        <v>0</v>
      </c>
      <c r="AT233" s="128" t="s">
        <v>424</v>
      </c>
      <c r="AU233" s="100" t="s">
        <v>1050</v>
      </c>
      <c r="AV233" s="128" t="s">
        <v>1056</v>
      </c>
      <c r="AW233" s="100" t="s">
        <v>1057</v>
      </c>
      <c r="AX233" s="433">
        <f t="shared" si="152"/>
        <v>0</v>
      </c>
      <c r="AY233" s="433">
        <f t="shared" si="153"/>
        <v>0</v>
      </c>
      <c r="AZ233" s="433">
        <f t="shared" si="154"/>
        <v>0</v>
      </c>
      <c r="BA233" s="433">
        <f t="shared" si="144"/>
        <v>0</v>
      </c>
      <c r="BB233" s="433">
        <f t="shared" si="145"/>
        <v>0</v>
      </c>
      <c r="BC233" s="433">
        <f t="shared" si="146"/>
        <v>0</v>
      </c>
      <c r="BD233" s="433">
        <f t="shared" si="155"/>
        <v>0</v>
      </c>
      <c r="BE233" s="433">
        <f t="shared" si="156"/>
        <v>0</v>
      </c>
      <c r="BF233" s="433">
        <f t="shared" si="157"/>
        <v>0</v>
      </c>
      <c r="BG233" s="433">
        <f t="shared" si="158"/>
        <v>0</v>
      </c>
      <c r="BH233" s="433">
        <f t="shared" si="159"/>
        <v>0</v>
      </c>
      <c r="BI233" s="433">
        <f t="shared" si="160"/>
        <v>0</v>
      </c>
      <c r="BJ233" s="433">
        <f t="shared" si="161"/>
        <v>0</v>
      </c>
      <c r="BK233" s="433">
        <f t="shared" si="162"/>
        <v>0</v>
      </c>
      <c r="BL233" s="433">
        <f t="shared" si="163"/>
        <v>0</v>
      </c>
      <c r="BM233" s="433">
        <f t="shared" si="164"/>
        <v>0</v>
      </c>
      <c r="BN233" s="433">
        <f t="shared" si="165"/>
        <v>0</v>
      </c>
      <c r="BO233" s="433">
        <f t="shared" si="166"/>
        <v>0</v>
      </c>
      <c r="BP233" s="433">
        <f t="shared" si="167"/>
        <v>0</v>
      </c>
      <c r="BQ233" s="433">
        <f t="shared" si="168"/>
        <v>0</v>
      </c>
    </row>
    <row r="234" spans="1:69" x14ac:dyDescent="0.2">
      <c r="A234" s="102">
        <v>41814</v>
      </c>
      <c r="B234" s="319">
        <v>2</v>
      </c>
      <c r="C234" s="118" t="s">
        <v>958</v>
      </c>
      <c r="D234" s="111">
        <v>0.58680555555555558</v>
      </c>
      <c r="E234" s="111">
        <v>0.79166666666666663</v>
      </c>
      <c r="F234" s="444">
        <v>33</v>
      </c>
      <c r="G234" s="445">
        <v>12</v>
      </c>
      <c r="H234" s="444"/>
      <c r="I234" s="390"/>
      <c r="J234" s="426">
        <f t="shared" si="141"/>
        <v>294.99999999999989</v>
      </c>
      <c r="K234" s="103">
        <v>1</v>
      </c>
      <c r="L234" s="103"/>
      <c r="M234" s="103"/>
      <c r="N234" s="427">
        <f t="shared" si="142"/>
        <v>1</v>
      </c>
      <c r="O234" s="103"/>
      <c r="P234" s="103"/>
      <c r="Q234" s="103"/>
      <c r="R234" s="428">
        <f t="shared" si="143"/>
        <v>0</v>
      </c>
      <c r="S234" s="103"/>
      <c r="T234" s="103"/>
      <c r="U234" s="103"/>
      <c r="V234" s="125"/>
      <c r="W234" s="428">
        <f t="shared" si="147"/>
        <v>0</v>
      </c>
      <c r="X234" s="103"/>
      <c r="Y234" s="103"/>
      <c r="Z234" s="125"/>
      <c r="AA234" s="428">
        <f t="shared" si="148"/>
        <v>0</v>
      </c>
      <c r="AB234" s="103"/>
      <c r="AC234" s="103"/>
      <c r="AD234" s="103"/>
      <c r="AE234" s="428">
        <f t="shared" si="149"/>
        <v>0</v>
      </c>
      <c r="AF234" s="103"/>
      <c r="AG234" s="103"/>
      <c r="AH234" s="103"/>
      <c r="AI234" s="103"/>
      <c r="AJ234" s="428">
        <f t="shared" si="150"/>
        <v>0</v>
      </c>
      <c r="AK234" s="446"/>
      <c r="AL234" s="446"/>
      <c r="AM234" s="446"/>
      <c r="AN234" s="446"/>
      <c r="AO234" s="446"/>
      <c r="AP234" s="446"/>
      <c r="AQ234" s="446"/>
      <c r="AR234" s="431">
        <f t="shared" si="151"/>
        <v>0</v>
      </c>
      <c r="AT234" s="128"/>
      <c r="AU234" s="100" t="s">
        <v>1017</v>
      </c>
      <c r="AV234" s="128" t="s">
        <v>1056</v>
      </c>
      <c r="AW234" s="100" t="s">
        <v>1057</v>
      </c>
      <c r="AX234" s="433">
        <f t="shared" si="152"/>
        <v>1</v>
      </c>
      <c r="AY234" s="433">
        <f t="shared" si="153"/>
        <v>0</v>
      </c>
      <c r="AZ234" s="433">
        <f t="shared" si="154"/>
        <v>0</v>
      </c>
      <c r="BA234" s="433">
        <f t="shared" si="144"/>
        <v>0</v>
      </c>
      <c r="BB234" s="433">
        <f t="shared" si="145"/>
        <v>0</v>
      </c>
      <c r="BC234" s="433">
        <f t="shared" si="146"/>
        <v>0</v>
      </c>
      <c r="BD234" s="433">
        <f t="shared" si="155"/>
        <v>0</v>
      </c>
      <c r="BE234" s="433">
        <f t="shared" si="156"/>
        <v>0</v>
      </c>
      <c r="BF234" s="433">
        <f t="shared" si="157"/>
        <v>0</v>
      </c>
      <c r="BG234" s="433">
        <f t="shared" si="158"/>
        <v>0</v>
      </c>
      <c r="BH234" s="433">
        <f t="shared" si="159"/>
        <v>0</v>
      </c>
      <c r="BI234" s="433">
        <f t="shared" si="160"/>
        <v>0</v>
      </c>
      <c r="BJ234" s="433">
        <f t="shared" si="161"/>
        <v>0</v>
      </c>
      <c r="BK234" s="433">
        <f t="shared" si="162"/>
        <v>0</v>
      </c>
      <c r="BL234" s="433">
        <f t="shared" si="163"/>
        <v>0</v>
      </c>
      <c r="BM234" s="433">
        <f t="shared" si="164"/>
        <v>0</v>
      </c>
      <c r="BN234" s="433">
        <f t="shared" si="165"/>
        <v>0</v>
      </c>
      <c r="BO234" s="433">
        <f t="shared" si="166"/>
        <v>0</v>
      </c>
      <c r="BP234" s="433">
        <f t="shared" si="167"/>
        <v>0</v>
      </c>
      <c r="BQ234" s="433">
        <f t="shared" si="168"/>
        <v>0</v>
      </c>
    </row>
    <row r="235" spans="1:69" x14ac:dyDescent="0.2">
      <c r="A235" s="102">
        <v>41814</v>
      </c>
      <c r="B235" s="319">
        <v>2</v>
      </c>
      <c r="C235" s="118" t="s">
        <v>953</v>
      </c>
      <c r="D235" s="111">
        <v>0.79166666666666663</v>
      </c>
      <c r="E235" s="111">
        <v>0.95763888888888893</v>
      </c>
      <c r="F235" s="444">
        <v>34</v>
      </c>
      <c r="G235" s="445">
        <v>12.5</v>
      </c>
      <c r="H235" s="444"/>
      <c r="I235" s="390"/>
      <c r="J235" s="426">
        <f t="shared" si="141"/>
        <v>239.00000000000011</v>
      </c>
      <c r="K235" s="103">
        <v>3</v>
      </c>
      <c r="L235" s="103"/>
      <c r="M235" s="103"/>
      <c r="N235" s="427">
        <f t="shared" si="142"/>
        <v>3</v>
      </c>
      <c r="O235" s="103"/>
      <c r="P235" s="103"/>
      <c r="Q235" s="103"/>
      <c r="R235" s="428">
        <f t="shared" si="143"/>
        <v>0</v>
      </c>
      <c r="S235" s="103"/>
      <c r="T235" s="103"/>
      <c r="U235" s="103"/>
      <c r="V235" s="125"/>
      <c r="W235" s="428">
        <f t="shared" si="147"/>
        <v>0</v>
      </c>
      <c r="X235" s="103"/>
      <c r="Y235" s="103"/>
      <c r="Z235" s="125"/>
      <c r="AA235" s="428">
        <f t="shared" si="148"/>
        <v>0</v>
      </c>
      <c r="AB235" s="103"/>
      <c r="AC235" s="103"/>
      <c r="AD235" s="103"/>
      <c r="AE235" s="428">
        <f t="shared" si="149"/>
        <v>0</v>
      </c>
      <c r="AF235" s="103"/>
      <c r="AG235" s="103"/>
      <c r="AH235" s="103"/>
      <c r="AI235" s="103"/>
      <c r="AJ235" s="428">
        <f t="shared" si="150"/>
        <v>0</v>
      </c>
      <c r="AK235" s="446"/>
      <c r="AL235" s="446"/>
      <c r="AM235" s="446"/>
      <c r="AN235" s="446"/>
      <c r="AO235" s="446"/>
      <c r="AP235" s="446"/>
      <c r="AQ235" s="446"/>
      <c r="AR235" s="431">
        <f t="shared" si="151"/>
        <v>0</v>
      </c>
      <c r="AT235" s="128"/>
      <c r="AU235" s="100" t="s">
        <v>1051</v>
      </c>
      <c r="AV235" s="128" t="s">
        <v>1056</v>
      </c>
      <c r="AW235" s="100" t="s">
        <v>1057</v>
      </c>
      <c r="AX235" s="433">
        <f t="shared" si="152"/>
        <v>3</v>
      </c>
      <c r="AY235" s="433">
        <f t="shared" si="153"/>
        <v>0</v>
      </c>
      <c r="AZ235" s="433">
        <f t="shared" si="154"/>
        <v>0</v>
      </c>
      <c r="BA235" s="433">
        <f t="shared" si="144"/>
        <v>0</v>
      </c>
      <c r="BB235" s="433">
        <f t="shared" si="145"/>
        <v>0</v>
      </c>
      <c r="BC235" s="433">
        <f t="shared" si="146"/>
        <v>0</v>
      </c>
      <c r="BD235" s="433">
        <f t="shared" si="155"/>
        <v>0</v>
      </c>
      <c r="BE235" s="433">
        <f t="shared" si="156"/>
        <v>0</v>
      </c>
      <c r="BF235" s="433">
        <f t="shared" si="157"/>
        <v>0</v>
      </c>
      <c r="BG235" s="433">
        <f t="shared" si="158"/>
        <v>0</v>
      </c>
      <c r="BH235" s="433">
        <f t="shared" si="159"/>
        <v>0</v>
      </c>
      <c r="BI235" s="433">
        <f t="shared" si="160"/>
        <v>0</v>
      </c>
      <c r="BJ235" s="433">
        <f t="shared" si="161"/>
        <v>0</v>
      </c>
      <c r="BK235" s="433">
        <f t="shared" si="162"/>
        <v>0</v>
      </c>
      <c r="BL235" s="433">
        <f t="shared" si="163"/>
        <v>0</v>
      </c>
      <c r="BM235" s="433">
        <f t="shared" si="164"/>
        <v>0</v>
      </c>
      <c r="BN235" s="433">
        <f t="shared" si="165"/>
        <v>0</v>
      </c>
      <c r="BO235" s="433">
        <f t="shared" si="166"/>
        <v>0</v>
      </c>
      <c r="BP235" s="433">
        <f t="shared" si="167"/>
        <v>0</v>
      </c>
      <c r="BQ235" s="433">
        <f t="shared" si="168"/>
        <v>0</v>
      </c>
    </row>
    <row r="236" spans="1:69" x14ac:dyDescent="0.2">
      <c r="A236" s="102">
        <v>41814</v>
      </c>
      <c r="B236" s="319">
        <v>3</v>
      </c>
      <c r="C236" s="118" t="s">
        <v>1006</v>
      </c>
      <c r="D236" s="111">
        <v>0.24097222222222223</v>
      </c>
      <c r="E236" s="111">
        <v>0.40972222222222227</v>
      </c>
      <c r="F236" s="444">
        <v>45</v>
      </c>
      <c r="G236" s="445">
        <v>8</v>
      </c>
      <c r="H236" s="444"/>
      <c r="I236" s="390"/>
      <c r="J236" s="426">
        <f t="shared" si="141"/>
        <v>243.00000000000006</v>
      </c>
      <c r="K236" s="103"/>
      <c r="L236" s="103"/>
      <c r="M236" s="103"/>
      <c r="N236" s="427">
        <f t="shared" si="142"/>
        <v>0</v>
      </c>
      <c r="O236" s="103"/>
      <c r="P236" s="103"/>
      <c r="Q236" s="103"/>
      <c r="R236" s="428">
        <f t="shared" si="143"/>
        <v>0</v>
      </c>
      <c r="S236" s="103"/>
      <c r="T236" s="103"/>
      <c r="U236" s="103"/>
      <c r="V236" s="125"/>
      <c r="W236" s="428">
        <f t="shared" si="147"/>
        <v>0</v>
      </c>
      <c r="X236" s="103"/>
      <c r="Y236" s="103"/>
      <c r="Z236" s="125"/>
      <c r="AA236" s="428">
        <f t="shared" si="148"/>
        <v>0</v>
      </c>
      <c r="AB236" s="103"/>
      <c r="AC236" s="103"/>
      <c r="AD236" s="103"/>
      <c r="AE236" s="428">
        <f t="shared" si="149"/>
        <v>0</v>
      </c>
      <c r="AF236" s="103"/>
      <c r="AG236" s="103"/>
      <c r="AH236" s="103"/>
      <c r="AI236" s="103"/>
      <c r="AJ236" s="428">
        <f t="shared" si="150"/>
        <v>0</v>
      </c>
      <c r="AK236" s="446"/>
      <c r="AL236" s="446"/>
      <c r="AM236" s="446"/>
      <c r="AN236" s="446"/>
      <c r="AO236" s="446"/>
      <c r="AP236" s="446"/>
      <c r="AQ236" s="446"/>
      <c r="AR236" s="431">
        <f t="shared" si="151"/>
        <v>0</v>
      </c>
      <c r="AT236" s="128" t="s">
        <v>424</v>
      </c>
      <c r="AU236" s="100" t="s">
        <v>1054</v>
      </c>
      <c r="AV236" s="128" t="s">
        <v>1056</v>
      </c>
      <c r="AW236" s="100" t="s">
        <v>1057</v>
      </c>
      <c r="AX236" s="433">
        <f t="shared" si="152"/>
        <v>0</v>
      </c>
      <c r="AY236" s="433">
        <f t="shared" si="153"/>
        <v>0</v>
      </c>
      <c r="AZ236" s="433">
        <f t="shared" si="154"/>
        <v>0</v>
      </c>
      <c r="BA236" s="433">
        <f t="shared" si="144"/>
        <v>0</v>
      </c>
      <c r="BB236" s="433">
        <f t="shared" si="145"/>
        <v>0</v>
      </c>
      <c r="BC236" s="433">
        <f t="shared" si="146"/>
        <v>0</v>
      </c>
      <c r="BD236" s="433">
        <f t="shared" si="155"/>
        <v>0</v>
      </c>
      <c r="BE236" s="433">
        <f t="shared" si="156"/>
        <v>0</v>
      </c>
      <c r="BF236" s="433">
        <f t="shared" si="157"/>
        <v>0</v>
      </c>
      <c r="BG236" s="433">
        <f t="shared" si="158"/>
        <v>0</v>
      </c>
      <c r="BH236" s="433">
        <f t="shared" si="159"/>
        <v>0</v>
      </c>
      <c r="BI236" s="433">
        <f t="shared" si="160"/>
        <v>0</v>
      </c>
      <c r="BJ236" s="433">
        <f t="shared" si="161"/>
        <v>0</v>
      </c>
      <c r="BK236" s="433">
        <f t="shared" si="162"/>
        <v>0</v>
      </c>
      <c r="BL236" s="433">
        <f t="shared" si="163"/>
        <v>0</v>
      </c>
      <c r="BM236" s="433">
        <f t="shared" si="164"/>
        <v>0</v>
      </c>
      <c r="BN236" s="433">
        <f t="shared" si="165"/>
        <v>0</v>
      </c>
      <c r="BO236" s="433">
        <f t="shared" si="166"/>
        <v>0</v>
      </c>
      <c r="BP236" s="433">
        <f t="shared" si="167"/>
        <v>0</v>
      </c>
      <c r="BQ236" s="433">
        <f t="shared" si="168"/>
        <v>0</v>
      </c>
    </row>
    <row r="237" spans="1:69" x14ac:dyDescent="0.2">
      <c r="A237" s="102">
        <v>41814</v>
      </c>
      <c r="B237" s="319">
        <v>3</v>
      </c>
      <c r="C237" s="118" t="s">
        <v>1012</v>
      </c>
      <c r="D237" s="111">
        <v>0.40972222222222227</v>
      </c>
      <c r="E237" s="111">
        <v>0.6020833333333333</v>
      </c>
      <c r="F237" s="444">
        <v>45</v>
      </c>
      <c r="G237" s="445">
        <v>9.5</v>
      </c>
      <c r="H237" s="444"/>
      <c r="I237" s="390"/>
      <c r="J237" s="426">
        <f t="shared" si="141"/>
        <v>276.99999999999994</v>
      </c>
      <c r="K237" s="103">
        <v>1</v>
      </c>
      <c r="L237" s="103">
        <v>1</v>
      </c>
      <c r="M237" s="103"/>
      <c r="N237" s="427">
        <f t="shared" si="142"/>
        <v>2</v>
      </c>
      <c r="O237" s="103"/>
      <c r="P237" s="103"/>
      <c r="Q237" s="103"/>
      <c r="R237" s="428">
        <f t="shared" si="143"/>
        <v>0</v>
      </c>
      <c r="S237" s="103"/>
      <c r="T237" s="103"/>
      <c r="U237" s="103"/>
      <c r="V237" s="125"/>
      <c r="W237" s="428">
        <f t="shared" si="147"/>
        <v>0</v>
      </c>
      <c r="X237" s="103"/>
      <c r="Y237" s="103"/>
      <c r="Z237" s="125"/>
      <c r="AA237" s="428">
        <f t="shared" si="148"/>
        <v>0</v>
      </c>
      <c r="AB237" s="103"/>
      <c r="AC237" s="103"/>
      <c r="AD237" s="103"/>
      <c r="AE237" s="428">
        <f t="shared" si="149"/>
        <v>0</v>
      </c>
      <c r="AF237" s="103"/>
      <c r="AG237" s="103"/>
      <c r="AH237" s="103"/>
      <c r="AI237" s="103"/>
      <c r="AJ237" s="428">
        <f t="shared" si="150"/>
        <v>0</v>
      </c>
      <c r="AK237" s="446"/>
      <c r="AL237" s="446"/>
      <c r="AM237" s="446"/>
      <c r="AN237" s="446"/>
      <c r="AO237" s="446"/>
      <c r="AP237" s="446"/>
      <c r="AQ237" s="446"/>
      <c r="AR237" s="431">
        <f t="shared" si="151"/>
        <v>0</v>
      </c>
      <c r="AT237" s="128"/>
      <c r="AU237" s="100" t="s">
        <v>1055</v>
      </c>
      <c r="AV237" s="128" t="s">
        <v>1056</v>
      </c>
      <c r="AW237" s="100" t="s">
        <v>1057</v>
      </c>
      <c r="AX237" s="433">
        <f t="shared" si="152"/>
        <v>1</v>
      </c>
      <c r="AY237" s="433">
        <f t="shared" si="153"/>
        <v>1</v>
      </c>
      <c r="AZ237" s="433">
        <f t="shared" si="154"/>
        <v>0</v>
      </c>
      <c r="BA237" s="433">
        <f t="shared" si="144"/>
        <v>0</v>
      </c>
      <c r="BB237" s="433">
        <f t="shared" si="145"/>
        <v>0</v>
      </c>
      <c r="BC237" s="433">
        <f t="shared" si="146"/>
        <v>0</v>
      </c>
      <c r="BD237" s="433">
        <f t="shared" si="155"/>
        <v>0</v>
      </c>
      <c r="BE237" s="433">
        <f t="shared" si="156"/>
        <v>0</v>
      </c>
      <c r="BF237" s="433">
        <f t="shared" si="157"/>
        <v>0</v>
      </c>
      <c r="BG237" s="433">
        <f t="shared" si="158"/>
        <v>0</v>
      </c>
      <c r="BH237" s="433">
        <f t="shared" si="159"/>
        <v>0</v>
      </c>
      <c r="BI237" s="433">
        <f t="shared" si="160"/>
        <v>0</v>
      </c>
      <c r="BJ237" s="433">
        <f t="shared" si="161"/>
        <v>0</v>
      </c>
      <c r="BK237" s="433">
        <f t="shared" si="162"/>
        <v>0</v>
      </c>
      <c r="BL237" s="433">
        <f t="shared" si="163"/>
        <v>0</v>
      </c>
      <c r="BM237" s="433">
        <f t="shared" si="164"/>
        <v>0</v>
      </c>
      <c r="BN237" s="433">
        <f t="shared" si="165"/>
        <v>0</v>
      </c>
      <c r="BO237" s="433">
        <f t="shared" si="166"/>
        <v>0</v>
      </c>
      <c r="BP237" s="433">
        <f t="shared" si="167"/>
        <v>0</v>
      </c>
      <c r="BQ237" s="433">
        <f t="shared" si="168"/>
        <v>0</v>
      </c>
    </row>
    <row r="238" spans="1:69" x14ac:dyDescent="0.2">
      <c r="A238" s="102">
        <v>41814</v>
      </c>
      <c r="B238" s="319">
        <v>3</v>
      </c>
      <c r="C238" s="118" t="s">
        <v>958</v>
      </c>
      <c r="D238" s="111">
        <v>0.6020833333333333</v>
      </c>
      <c r="E238" s="111">
        <v>0.77777777777777779</v>
      </c>
      <c r="F238" s="444">
        <v>45</v>
      </c>
      <c r="G238" s="445">
        <v>9</v>
      </c>
      <c r="H238" s="444"/>
      <c r="I238" s="390"/>
      <c r="J238" s="426">
        <f t="shared" si="141"/>
        <v>253.00000000000006</v>
      </c>
      <c r="K238" s="103">
        <v>2</v>
      </c>
      <c r="L238" s="103"/>
      <c r="M238" s="103"/>
      <c r="N238" s="427">
        <f t="shared" si="142"/>
        <v>2</v>
      </c>
      <c r="O238" s="103"/>
      <c r="P238" s="103"/>
      <c r="Q238" s="103"/>
      <c r="R238" s="428">
        <f t="shared" si="143"/>
        <v>0</v>
      </c>
      <c r="S238" s="103"/>
      <c r="T238" s="103"/>
      <c r="U238" s="103"/>
      <c r="V238" s="125"/>
      <c r="W238" s="428">
        <f t="shared" si="147"/>
        <v>0</v>
      </c>
      <c r="X238" s="103"/>
      <c r="Y238" s="103"/>
      <c r="Z238" s="125"/>
      <c r="AA238" s="428">
        <f t="shared" si="148"/>
        <v>0</v>
      </c>
      <c r="AB238" s="103"/>
      <c r="AC238" s="103"/>
      <c r="AD238" s="103"/>
      <c r="AE238" s="428">
        <f t="shared" si="149"/>
        <v>0</v>
      </c>
      <c r="AF238" s="103"/>
      <c r="AG238" s="103"/>
      <c r="AH238" s="103"/>
      <c r="AI238" s="103"/>
      <c r="AJ238" s="428">
        <f t="shared" si="150"/>
        <v>0</v>
      </c>
      <c r="AK238" s="446"/>
      <c r="AL238" s="446"/>
      <c r="AM238" s="446"/>
      <c r="AN238" s="446"/>
      <c r="AO238" s="446"/>
      <c r="AP238" s="446"/>
      <c r="AQ238" s="446"/>
      <c r="AR238" s="431">
        <f t="shared" si="151"/>
        <v>0</v>
      </c>
      <c r="AT238" s="128"/>
      <c r="AU238" s="100" t="s">
        <v>1052</v>
      </c>
      <c r="AV238" s="128" t="s">
        <v>1056</v>
      </c>
      <c r="AW238" s="100" t="s">
        <v>1057</v>
      </c>
      <c r="AX238" s="433">
        <f t="shared" si="152"/>
        <v>2</v>
      </c>
      <c r="AY238" s="433">
        <f t="shared" si="153"/>
        <v>0</v>
      </c>
      <c r="AZ238" s="433">
        <f t="shared" si="154"/>
        <v>0</v>
      </c>
      <c r="BA238" s="433">
        <f t="shared" si="144"/>
        <v>0</v>
      </c>
      <c r="BB238" s="433">
        <f t="shared" si="145"/>
        <v>0</v>
      </c>
      <c r="BC238" s="433">
        <f t="shared" si="146"/>
        <v>0</v>
      </c>
      <c r="BD238" s="433">
        <f t="shared" si="155"/>
        <v>0</v>
      </c>
      <c r="BE238" s="433">
        <f t="shared" si="156"/>
        <v>0</v>
      </c>
      <c r="BF238" s="433">
        <f t="shared" si="157"/>
        <v>0</v>
      </c>
      <c r="BG238" s="433">
        <f t="shared" si="158"/>
        <v>0</v>
      </c>
      <c r="BH238" s="433">
        <f t="shared" si="159"/>
        <v>0</v>
      </c>
      <c r="BI238" s="433">
        <f t="shared" si="160"/>
        <v>0</v>
      </c>
      <c r="BJ238" s="433">
        <f t="shared" si="161"/>
        <v>0</v>
      </c>
      <c r="BK238" s="433">
        <f t="shared" si="162"/>
        <v>0</v>
      </c>
      <c r="BL238" s="433">
        <f t="shared" si="163"/>
        <v>0</v>
      </c>
      <c r="BM238" s="433">
        <f t="shared" si="164"/>
        <v>0</v>
      </c>
      <c r="BN238" s="433">
        <f t="shared" si="165"/>
        <v>0</v>
      </c>
      <c r="BO238" s="433">
        <f t="shared" si="166"/>
        <v>0</v>
      </c>
      <c r="BP238" s="433">
        <f t="shared" si="167"/>
        <v>0</v>
      </c>
      <c r="BQ238" s="433">
        <f t="shared" si="168"/>
        <v>0</v>
      </c>
    </row>
    <row r="239" spans="1:69" s="291" customFormat="1" x14ac:dyDescent="0.2">
      <c r="A239" s="317">
        <v>41814</v>
      </c>
      <c r="B239" s="318">
        <v>3</v>
      </c>
      <c r="C239" s="320" t="s">
        <v>1053</v>
      </c>
      <c r="D239" s="321">
        <v>0.77777777777777779</v>
      </c>
      <c r="E239" s="321">
        <v>0.97013888888888899</v>
      </c>
      <c r="F239" s="434">
        <v>45</v>
      </c>
      <c r="G239" s="435">
        <v>10</v>
      </c>
      <c r="H239" s="434"/>
      <c r="I239" s="436"/>
      <c r="J239" s="437">
        <f t="shared" si="141"/>
        <v>277.00000000000011</v>
      </c>
      <c r="K239" s="285">
        <v>3</v>
      </c>
      <c r="L239" s="285"/>
      <c r="M239" s="285"/>
      <c r="N239" s="438">
        <f t="shared" si="142"/>
        <v>3</v>
      </c>
      <c r="O239" s="285"/>
      <c r="P239" s="285">
        <v>1</v>
      </c>
      <c r="Q239" s="285"/>
      <c r="R239" s="439">
        <f t="shared" si="143"/>
        <v>1</v>
      </c>
      <c r="S239" s="285"/>
      <c r="T239" s="285"/>
      <c r="U239" s="285"/>
      <c r="V239" s="440"/>
      <c r="W239" s="439">
        <f t="shared" si="147"/>
        <v>0</v>
      </c>
      <c r="X239" s="285"/>
      <c r="Y239" s="285"/>
      <c r="Z239" s="440"/>
      <c r="AA239" s="439">
        <f t="shared" si="148"/>
        <v>0</v>
      </c>
      <c r="AB239" s="285"/>
      <c r="AC239" s="285"/>
      <c r="AD239" s="285"/>
      <c r="AE239" s="439">
        <f t="shared" si="149"/>
        <v>0</v>
      </c>
      <c r="AF239" s="285"/>
      <c r="AG239" s="285"/>
      <c r="AH239" s="285"/>
      <c r="AI239" s="285"/>
      <c r="AJ239" s="439">
        <f t="shared" si="150"/>
        <v>0</v>
      </c>
      <c r="AK239" s="340"/>
      <c r="AL239" s="340"/>
      <c r="AM239" s="340"/>
      <c r="AN239" s="340"/>
      <c r="AO239" s="340"/>
      <c r="AP239" s="340"/>
      <c r="AQ239" s="340"/>
      <c r="AR239" s="441">
        <f t="shared" si="151"/>
        <v>0</v>
      </c>
      <c r="AT239" s="313"/>
      <c r="AU239" s="289" t="s">
        <v>1050</v>
      </c>
      <c r="AV239" s="313" t="s">
        <v>1056</v>
      </c>
      <c r="AW239" s="289" t="s">
        <v>1057</v>
      </c>
      <c r="AX239" s="443">
        <f t="shared" si="152"/>
        <v>3</v>
      </c>
      <c r="AY239" s="443">
        <f t="shared" si="153"/>
        <v>0</v>
      </c>
      <c r="AZ239" s="443">
        <f t="shared" si="154"/>
        <v>0</v>
      </c>
      <c r="BA239" s="443">
        <f t="shared" si="144"/>
        <v>0</v>
      </c>
      <c r="BB239" s="443">
        <f t="shared" si="145"/>
        <v>1</v>
      </c>
      <c r="BC239" s="443">
        <f t="shared" si="146"/>
        <v>0</v>
      </c>
      <c r="BD239" s="443">
        <f t="shared" si="155"/>
        <v>0</v>
      </c>
      <c r="BE239" s="443">
        <f t="shared" si="156"/>
        <v>0</v>
      </c>
      <c r="BF239" s="443">
        <f t="shared" si="157"/>
        <v>0</v>
      </c>
      <c r="BG239" s="443">
        <f t="shared" si="158"/>
        <v>0</v>
      </c>
      <c r="BH239" s="443">
        <f t="shared" si="159"/>
        <v>0</v>
      </c>
      <c r="BI239" s="443">
        <f t="shared" si="160"/>
        <v>0</v>
      </c>
      <c r="BJ239" s="443">
        <f t="shared" si="161"/>
        <v>0</v>
      </c>
      <c r="BK239" s="443">
        <f t="shared" si="162"/>
        <v>0</v>
      </c>
      <c r="BL239" s="443">
        <f t="shared" si="163"/>
        <v>0</v>
      </c>
      <c r="BM239" s="443">
        <f t="shared" si="164"/>
        <v>0</v>
      </c>
      <c r="BN239" s="443">
        <f t="shared" si="165"/>
        <v>0</v>
      </c>
      <c r="BO239" s="443">
        <f t="shared" si="166"/>
        <v>0</v>
      </c>
      <c r="BP239" s="443">
        <f t="shared" si="167"/>
        <v>0</v>
      </c>
      <c r="BQ239" s="443">
        <f t="shared" si="168"/>
        <v>0</v>
      </c>
    </row>
    <row r="240" spans="1:69" x14ac:dyDescent="0.2">
      <c r="A240" s="102">
        <v>41815</v>
      </c>
      <c r="B240" s="319">
        <v>1</v>
      </c>
      <c r="C240" s="118" t="s">
        <v>1522</v>
      </c>
      <c r="D240" s="111">
        <v>0.23680555555555557</v>
      </c>
      <c r="E240" s="111">
        <v>0.40972222222222227</v>
      </c>
      <c r="F240" s="444">
        <v>59</v>
      </c>
      <c r="G240" s="445">
        <v>7</v>
      </c>
      <c r="H240" s="444"/>
      <c r="I240" s="390"/>
      <c r="J240" s="426">
        <f t="shared" si="141"/>
        <v>249.00000000000003</v>
      </c>
      <c r="K240" s="103">
        <v>2</v>
      </c>
      <c r="L240" s="103"/>
      <c r="M240" s="103"/>
      <c r="N240" s="427">
        <f t="shared" si="142"/>
        <v>2</v>
      </c>
      <c r="O240" s="103"/>
      <c r="P240" s="103"/>
      <c r="Q240" s="103"/>
      <c r="R240" s="428">
        <f t="shared" si="143"/>
        <v>0</v>
      </c>
      <c r="S240" s="103"/>
      <c r="T240" s="103"/>
      <c r="U240" s="103"/>
      <c r="V240" s="125"/>
      <c r="W240" s="428">
        <f t="shared" si="147"/>
        <v>0</v>
      </c>
      <c r="X240" s="103"/>
      <c r="Y240" s="103"/>
      <c r="Z240" s="125"/>
      <c r="AA240" s="428">
        <f t="shared" si="148"/>
        <v>0</v>
      </c>
      <c r="AB240" s="103"/>
      <c r="AC240" s="103"/>
      <c r="AD240" s="103"/>
      <c r="AE240" s="428">
        <f t="shared" si="149"/>
        <v>0</v>
      </c>
      <c r="AF240" s="103"/>
      <c r="AG240" s="103"/>
      <c r="AH240" s="103"/>
      <c r="AI240" s="103"/>
      <c r="AJ240" s="428">
        <f t="shared" si="150"/>
        <v>0</v>
      </c>
      <c r="AK240" s="446">
        <v>1</v>
      </c>
      <c r="AL240" s="446"/>
      <c r="AM240" s="446"/>
      <c r="AN240" s="446"/>
      <c r="AO240" s="446"/>
      <c r="AP240" s="446"/>
      <c r="AQ240" s="446"/>
      <c r="AR240" s="431">
        <f t="shared" si="151"/>
        <v>1</v>
      </c>
      <c r="AT240" s="128"/>
      <c r="AU240" s="100" t="s">
        <v>1523</v>
      </c>
      <c r="AV240" s="128" t="s">
        <v>1526</v>
      </c>
      <c r="AW240" s="100" t="s">
        <v>1531</v>
      </c>
      <c r="AX240" s="433">
        <f t="shared" si="152"/>
        <v>2</v>
      </c>
      <c r="AY240" s="433">
        <f t="shared" si="153"/>
        <v>0</v>
      </c>
      <c r="AZ240" s="433">
        <f t="shared" si="154"/>
        <v>0</v>
      </c>
      <c r="BA240" s="433">
        <f t="shared" si="144"/>
        <v>0</v>
      </c>
      <c r="BB240" s="433">
        <f t="shared" si="145"/>
        <v>0</v>
      </c>
      <c r="BC240" s="433">
        <f t="shared" si="146"/>
        <v>0</v>
      </c>
      <c r="BD240" s="433">
        <f t="shared" si="155"/>
        <v>0</v>
      </c>
      <c r="BE240" s="433">
        <f t="shared" si="156"/>
        <v>0</v>
      </c>
      <c r="BF240" s="433">
        <f t="shared" si="157"/>
        <v>0</v>
      </c>
      <c r="BG240" s="433">
        <f t="shared" si="158"/>
        <v>0</v>
      </c>
      <c r="BH240" s="433">
        <f t="shared" si="159"/>
        <v>0</v>
      </c>
      <c r="BI240" s="433">
        <f t="shared" si="160"/>
        <v>0</v>
      </c>
      <c r="BJ240" s="433">
        <f t="shared" si="161"/>
        <v>0</v>
      </c>
      <c r="BK240" s="433">
        <f t="shared" si="162"/>
        <v>0</v>
      </c>
      <c r="BL240" s="433">
        <f t="shared" si="163"/>
        <v>0</v>
      </c>
      <c r="BM240" s="433">
        <f t="shared" si="164"/>
        <v>0</v>
      </c>
      <c r="BN240" s="433">
        <f t="shared" si="165"/>
        <v>0</v>
      </c>
      <c r="BO240" s="433">
        <f t="shared" si="166"/>
        <v>0</v>
      </c>
      <c r="BP240" s="433">
        <f t="shared" si="167"/>
        <v>0</v>
      </c>
      <c r="BQ240" s="433">
        <f t="shared" si="168"/>
        <v>0</v>
      </c>
    </row>
    <row r="241" spans="1:69" x14ac:dyDescent="0.2">
      <c r="A241" s="102">
        <v>41815</v>
      </c>
      <c r="B241" s="319">
        <v>1</v>
      </c>
      <c r="C241" s="118" t="s">
        <v>996</v>
      </c>
      <c r="D241" s="111">
        <v>0.40972222222222227</v>
      </c>
      <c r="E241" s="111">
        <v>0.59722222222222221</v>
      </c>
      <c r="F241" s="444">
        <v>59</v>
      </c>
      <c r="G241" s="445">
        <v>8</v>
      </c>
      <c r="H241" s="444"/>
      <c r="I241" s="390"/>
      <c r="J241" s="426">
        <f t="shared" si="141"/>
        <v>269.99999999999989</v>
      </c>
      <c r="K241" s="103">
        <v>2</v>
      </c>
      <c r="L241" s="103"/>
      <c r="M241" s="103"/>
      <c r="N241" s="427">
        <f t="shared" si="142"/>
        <v>2</v>
      </c>
      <c r="O241" s="103"/>
      <c r="P241" s="103"/>
      <c r="Q241" s="103"/>
      <c r="R241" s="428">
        <f t="shared" si="143"/>
        <v>0</v>
      </c>
      <c r="S241" s="103"/>
      <c r="T241" s="103"/>
      <c r="U241" s="103"/>
      <c r="V241" s="125"/>
      <c r="W241" s="428">
        <f t="shared" si="147"/>
        <v>0</v>
      </c>
      <c r="X241" s="103"/>
      <c r="Y241" s="103"/>
      <c r="Z241" s="125"/>
      <c r="AA241" s="428">
        <f t="shared" si="148"/>
        <v>0</v>
      </c>
      <c r="AB241" s="103"/>
      <c r="AC241" s="103"/>
      <c r="AD241" s="103"/>
      <c r="AE241" s="428">
        <f t="shared" si="149"/>
        <v>0</v>
      </c>
      <c r="AF241" s="103"/>
      <c r="AG241" s="103"/>
      <c r="AH241" s="103"/>
      <c r="AI241" s="103"/>
      <c r="AJ241" s="428">
        <f t="shared" si="150"/>
        <v>0</v>
      </c>
      <c r="AK241" s="446"/>
      <c r="AL241" s="446"/>
      <c r="AM241" s="446"/>
      <c r="AN241" s="446"/>
      <c r="AO241" s="446"/>
      <c r="AP241" s="446"/>
      <c r="AQ241" s="446"/>
      <c r="AR241" s="431">
        <f t="shared" si="151"/>
        <v>0</v>
      </c>
      <c r="AT241" s="128"/>
      <c r="AU241" s="100" t="s">
        <v>1524</v>
      </c>
      <c r="AV241" s="128" t="s">
        <v>1526</v>
      </c>
      <c r="AW241" s="100" t="s">
        <v>1531</v>
      </c>
      <c r="AX241" s="433">
        <f t="shared" si="152"/>
        <v>2</v>
      </c>
      <c r="AY241" s="433">
        <f t="shared" si="153"/>
        <v>0</v>
      </c>
      <c r="AZ241" s="433">
        <f t="shared" si="154"/>
        <v>0</v>
      </c>
      <c r="BA241" s="433">
        <f t="shared" si="144"/>
        <v>0</v>
      </c>
      <c r="BB241" s="433">
        <f t="shared" si="145"/>
        <v>0</v>
      </c>
      <c r="BC241" s="433">
        <f t="shared" si="146"/>
        <v>0</v>
      </c>
      <c r="BD241" s="433">
        <f t="shared" si="155"/>
        <v>0</v>
      </c>
      <c r="BE241" s="433">
        <f t="shared" si="156"/>
        <v>0</v>
      </c>
      <c r="BF241" s="433">
        <f t="shared" si="157"/>
        <v>0</v>
      </c>
      <c r="BG241" s="433">
        <f t="shared" si="158"/>
        <v>0</v>
      </c>
      <c r="BH241" s="433">
        <f t="shared" si="159"/>
        <v>0</v>
      </c>
      <c r="BI241" s="433">
        <f t="shared" si="160"/>
        <v>0</v>
      </c>
      <c r="BJ241" s="433">
        <f t="shared" si="161"/>
        <v>0</v>
      </c>
      <c r="BK241" s="433">
        <f t="shared" si="162"/>
        <v>0</v>
      </c>
      <c r="BL241" s="433">
        <f t="shared" si="163"/>
        <v>0</v>
      </c>
      <c r="BM241" s="433">
        <f t="shared" si="164"/>
        <v>0</v>
      </c>
      <c r="BN241" s="433">
        <f t="shared" si="165"/>
        <v>0</v>
      </c>
      <c r="BO241" s="433">
        <f t="shared" si="166"/>
        <v>0</v>
      </c>
      <c r="BP241" s="433">
        <f t="shared" si="167"/>
        <v>0</v>
      </c>
      <c r="BQ241" s="433">
        <f t="shared" si="168"/>
        <v>0</v>
      </c>
    </row>
    <row r="242" spans="1:69" x14ac:dyDescent="0.2">
      <c r="A242" s="102">
        <v>41815</v>
      </c>
      <c r="B242" s="319">
        <v>1</v>
      </c>
      <c r="C242" s="118" t="s">
        <v>1006</v>
      </c>
      <c r="D242" s="111">
        <v>0.59722222222222221</v>
      </c>
      <c r="E242" s="111">
        <v>0.78055555555555556</v>
      </c>
      <c r="F242" s="444">
        <v>57</v>
      </c>
      <c r="G242" s="445">
        <v>8</v>
      </c>
      <c r="H242" s="444"/>
      <c r="I242" s="390"/>
      <c r="J242" s="426">
        <f t="shared" si="141"/>
        <v>264</v>
      </c>
      <c r="K242" s="103">
        <v>2</v>
      </c>
      <c r="L242" s="103">
        <v>1</v>
      </c>
      <c r="M242" s="103"/>
      <c r="N242" s="427">
        <f t="shared" si="142"/>
        <v>3</v>
      </c>
      <c r="O242" s="103"/>
      <c r="P242" s="103"/>
      <c r="Q242" s="103"/>
      <c r="R242" s="428">
        <f t="shared" si="143"/>
        <v>0</v>
      </c>
      <c r="S242" s="103"/>
      <c r="T242" s="103"/>
      <c r="U242" s="103"/>
      <c r="V242" s="125"/>
      <c r="W242" s="428">
        <f t="shared" si="147"/>
        <v>0</v>
      </c>
      <c r="X242" s="103"/>
      <c r="Y242" s="103"/>
      <c r="Z242" s="125"/>
      <c r="AA242" s="428">
        <f t="shared" si="148"/>
        <v>0</v>
      </c>
      <c r="AB242" s="103"/>
      <c r="AC242" s="103"/>
      <c r="AD242" s="103"/>
      <c r="AE242" s="428">
        <f t="shared" si="149"/>
        <v>0</v>
      </c>
      <c r="AF242" s="103"/>
      <c r="AG242" s="103"/>
      <c r="AH242" s="103"/>
      <c r="AI242" s="103"/>
      <c r="AJ242" s="428">
        <f t="shared" si="150"/>
        <v>0</v>
      </c>
      <c r="AK242" s="446"/>
      <c r="AL242" s="446"/>
      <c r="AM242" s="446"/>
      <c r="AN242" s="446"/>
      <c r="AO242" s="446"/>
      <c r="AP242" s="446"/>
      <c r="AQ242" s="446"/>
      <c r="AR242" s="431">
        <f t="shared" si="151"/>
        <v>0</v>
      </c>
      <c r="AT242" s="128"/>
      <c r="AU242" s="100" t="s">
        <v>1525</v>
      </c>
      <c r="AV242" s="128" t="s">
        <v>1526</v>
      </c>
      <c r="AW242" s="100" t="s">
        <v>1531</v>
      </c>
      <c r="AX242" s="433">
        <f t="shared" si="152"/>
        <v>2</v>
      </c>
      <c r="AY242" s="433">
        <f t="shared" si="153"/>
        <v>1</v>
      </c>
      <c r="AZ242" s="433">
        <f t="shared" si="154"/>
        <v>0</v>
      </c>
      <c r="BA242" s="433">
        <f t="shared" si="144"/>
        <v>0</v>
      </c>
      <c r="BB242" s="433">
        <f t="shared" si="145"/>
        <v>0</v>
      </c>
      <c r="BC242" s="433">
        <f t="shared" si="146"/>
        <v>0</v>
      </c>
      <c r="BD242" s="433">
        <f t="shared" si="155"/>
        <v>0</v>
      </c>
      <c r="BE242" s="433">
        <f t="shared" si="156"/>
        <v>0</v>
      </c>
      <c r="BF242" s="433">
        <f t="shared" si="157"/>
        <v>0</v>
      </c>
      <c r="BG242" s="433">
        <f t="shared" si="158"/>
        <v>0</v>
      </c>
      <c r="BH242" s="433">
        <f t="shared" si="159"/>
        <v>0</v>
      </c>
      <c r="BI242" s="433">
        <f t="shared" si="160"/>
        <v>0</v>
      </c>
      <c r="BJ242" s="433">
        <f t="shared" si="161"/>
        <v>0</v>
      </c>
      <c r="BK242" s="433">
        <f t="shared" si="162"/>
        <v>0</v>
      </c>
      <c r="BL242" s="433">
        <f t="shared" si="163"/>
        <v>0</v>
      </c>
      <c r="BM242" s="433">
        <f t="shared" si="164"/>
        <v>0</v>
      </c>
      <c r="BN242" s="433">
        <f t="shared" si="165"/>
        <v>0</v>
      </c>
      <c r="BO242" s="433">
        <f t="shared" si="166"/>
        <v>0</v>
      </c>
      <c r="BP242" s="433">
        <f t="shared" si="167"/>
        <v>0</v>
      </c>
      <c r="BQ242" s="433">
        <f t="shared" si="168"/>
        <v>0</v>
      </c>
    </row>
    <row r="243" spans="1:69" x14ac:dyDescent="0.2">
      <c r="A243" s="102">
        <v>41815</v>
      </c>
      <c r="B243" s="319">
        <v>1</v>
      </c>
      <c r="C243" s="118" t="s">
        <v>959</v>
      </c>
      <c r="D243" s="111">
        <v>0.78055555555555556</v>
      </c>
      <c r="E243" s="111">
        <v>0.9506944444444444</v>
      </c>
      <c r="F243" s="444">
        <v>55</v>
      </c>
      <c r="G243" s="445">
        <v>8</v>
      </c>
      <c r="H243" s="444"/>
      <c r="I243" s="390"/>
      <c r="J243" s="426">
        <f t="shared" si="141"/>
        <v>244.99999999999994</v>
      </c>
      <c r="K243" s="103">
        <v>1</v>
      </c>
      <c r="L243" s="103"/>
      <c r="M243" s="103"/>
      <c r="N243" s="427">
        <f t="shared" si="142"/>
        <v>1</v>
      </c>
      <c r="O243" s="103"/>
      <c r="P243" s="103"/>
      <c r="Q243" s="103"/>
      <c r="R243" s="428">
        <f t="shared" si="143"/>
        <v>0</v>
      </c>
      <c r="S243" s="103"/>
      <c r="T243" s="103"/>
      <c r="U243" s="103"/>
      <c r="V243" s="125"/>
      <c r="W243" s="428">
        <f t="shared" si="147"/>
        <v>0</v>
      </c>
      <c r="X243" s="103"/>
      <c r="Y243" s="103"/>
      <c r="Z243" s="125"/>
      <c r="AA243" s="428">
        <f t="shared" si="148"/>
        <v>0</v>
      </c>
      <c r="AB243" s="103"/>
      <c r="AC243" s="103"/>
      <c r="AD243" s="103"/>
      <c r="AE243" s="428">
        <f t="shared" si="149"/>
        <v>0</v>
      </c>
      <c r="AF243" s="103"/>
      <c r="AG243" s="103"/>
      <c r="AH243" s="103"/>
      <c r="AI243" s="103"/>
      <c r="AJ243" s="428">
        <f t="shared" si="150"/>
        <v>0</v>
      </c>
      <c r="AK243" s="446"/>
      <c r="AL243" s="446"/>
      <c r="AM243" s="446"/>
      <c r="AN243" s="446"/>
      <c r="AO243" s="446"/>
      <c r="AP243" s="446"/>
      <c r="AQ243" s="446"/>
      <c r="AR243" s="431">
        <f t="shared" si="151"/>
        <v>0</v>
      </c>
      <c r="AT243" s="128"/>
      <c r="AU243" s="100" t="s">
        <v>1524</v>
      </c>
      <c r="AV243" s="128" t="s">
        <v>1526</v>
      </c>
      <c r="AW243" s="100" t="s">
        <v>1531</v>
      </c>
      <c r="AX243" s="433">
        <f t="shared" si="152"/>
        <v>1</v>
      </c>
      <c r="AY243" s="433">
        <f t="shared" si="153"/>
        <v>0</v>
      </c>
      <c r="AZ243" s="433">
        <f t="shared" si="154"/>
        <v>0</v>
      </c>
      <c r="BA243" s="433">
        <f t="shared" si="144"/>
        <v>0</v>
      </c>
      <c r="BB243" s="433">
        <f t="shared" si="145"/>
        <v>0</v>
      </c>
      <c r="BC243" s="433">
        <f t="shared" si="146"/>
        <v>0</v>
      </c>
      <c r="BD243" s="433">
        <f t="shared" si="155"/>
        <v>0</v>
      </c>
      <c r="BE243" s="433">
        <f t="shared" si="156"/>
        <v>0</v>
      </c>
      <c r="BF243" s="433">
        <f t="shared" si="157"/>
        <v>0</v>
      </c>
      <c r="BG243" s="433">
        <f t="shared" si="158"/>
        <v>0</v>
      </c>
      <c r="BH243" s="433">
        <f t="shared" si="159"/>
        <v>0</v>
      </c>
      <c r="BI243" s="433">
        <f t="shared" si="160"/>
        <v>0</v>
      </c>
      <c r="BJ243" s="433">
        <f t="shared" si="161"/>
        <v>0</v>
      </c>
      <c r="BK243" s="433">
        <f t="shared" si="162"/>
        <v>0</v>
      </c>
      <c r="BL243" s="433">
        <f t="shared" si="163"/>
        <v>0</v>
      </c>
      <c r="BM243" s="433">
        <f t="shared" si="164"/>
        <v>0</v>
      </c>
      <c r="BN243" s="433">
        <f t="shared" si="165"/>
        <v>0</v>
      </c>
      <c r="BO243" s="433">
        <f t="shared" si="166"/>
        <v>0</v>
      </c>
      <c r="BP243" s="433">
        <f t="shared" si="167"/>
        <v>0</v>
      </c>
      <c r="BQ243" s="433">
        <f t="shared" si="168"/>
        <v>0</v>
      </c>
    </row>
    <row r="244" spans="1:69" x14ac:dyDescent="0.2">
      <c r="A244" s="102">
        <v>41815</v>
      </c>
      <c r="B244" s="319">
        <v>2</v>
      </c>
      <c r="C244" s="118" t="s">
        <v>1522</v>
      </c>
      <c r="D244" s="111">
        <v>0.25</v>
      </c>
      <c r="E244" s="111">
        <v>0.39097222222222222</v>
      </c>
      <c r="F244" s="444">
        <v>38</v>
      </c>
      <c r="G244" s="445">
        <v>11</v>
      </c>
      <c r="H244" s="444"/>
      <c r="I244" s="390"/>
      <c r="J244" s="426">
        <f t="shared" si="141"/>
        <v>203</v>
      </c>
      <c r="K244" s="103"/>
      <c r="L244" s="103"/>
      <c r="M244" s="103"/>
      <c r="N244" s="427">
        <f t="shared" si="142"/>
        <v>0</v>
      </c>
      <c r="O244" s="103"/>
      <c r="P244" s="103"/>
      <c r="Q244" s="103"/>
      <c r="R244" s="428">
        <f t="shared" si="143"/>
        <v>0</v>
      </c>
      <c r="S244" s="103"/>
      <c r="T244" s="103"/>
      <c r="U244" s="103"/>
      <c r="V244" s="125"/>
      <c r="W244" s="428">
        <f t="shared" si="147"/>
        <v>0</v>
      </c>
      <c r="X244" s="103"/>
      <c r="Y244" s="103"/>
      <c r="Z244" s="125"/>
      <c r="AA244" s="428">
        <f t="shared" si="148"/>
        <v>0</v>
      </c>
      <c r="AB244" s="103"/>
      <c r="AC244" s="103"/>
      <c r="AD244" s="103"/>
      <c r="AE244" s="428">
        <f t="shared" si="149"/>
        <v>0</v>
      </c>
      <c r="AF244" s="103"/>
      <c r="AG244" s="103"/>
      <c r="AH244" s="103"/>
      <c r="AI244" s="103"/>
      <c r="AJ244" s="428">
        <f t="shared" si="150"/>
        <v>0</v>
      </c>
      <c r="AK244" s="446"/>
      <c r="AL244" s="446"/>
      <c r="AM244" s="446"/>
      <c r="AN244" s="446"/>
      <c r="AO244" s="446"/>
      <c r="AP244" s="446"/>
      <c r="AQ244" s="446"/>
      <c r="AR244" s="431">
        <f t="shared" si="151"/>
        <v>0</v>
      </c>
      <c r="AT244" s="128" t="s">
        <v>424</v>
      </c>
      <c r="AU244" s="100" t="s">
        <v>1525</v>
      </c>
      <c r="AV244" s="128" t="s">
        <v>1526</v>
      </c>
      <c r="AW244" s="100" t="s">
        <v>1531</v>
      </c>
      <c r="AX244" s="433">
        <f t="shared" si="152"/>
        <v>0</v>
      </c>
      <c r="AY244" s="433">
        <f t="shared" si="153"/>
        <v>0</v>
      </c>
      <c r="AZ244" s="433">
        <f t="shared" si="154"/>
        <v>0</v>
      </c>
      <c r="BA244" s="433">
        <f t="shared" si="144"/>
        <v>0</v>
      </c>
      <c r="BB244" s="433">
        <f t="shared" si="145"/>
        <v>0</v>
      </c>
      <c r="BC244" s="433">
        <f t="shared" si="146"/>
        <v>0</v>
      </c>
      <c r="BD244" s="433">
        <f t="shared" si="155"/>
        <v>0</v>
      </c>
      <c r="BE244" s="433">
        <f t="shared" si="156"/>
        <v>0</v>
      </c>
      <c r="BF244" s="433">
        <f t="shared" si="157"/>
        <v>0</v>
      </c>
      <c r="BG244" s="433">
        <f t="shared" si="158"/>
        <v>0</v>
      </c>
      <c r="BH244" s="433">
        <f t="shared" si="159"/>
        <v>0</v>
      </c>
      <c r="BI244" s="433">
        <f t="shared" si="160"/>
        <v>0</v>
      </c>
      <c r="BJ244" s="433">
        <f t="shared" si="161"/>
        <v>0</v>
      </c>
      <c r="BK244" s="433">
        <f t="shared" si="162"/>
        <v>0</v>
      </c>
      <c r="BL244" s="433">
        <f t="shared" si="163"/>
        <v>0</v>
      </c>
      <c r="BM244" s="433">
        <f t="shared" si="164"/>
        <v>0</v>
      </c>
      <c r="BN244" s="433">
        <f t="shared" si="165"/>
        <v>0</v>
      </c>
      <c r="BO244" s="433">
        <f t="shared" si="166"/>
        <v>0</v>
      </c>
      <c r="BP244" s="433">
        <f t="shared" si="167"/>
        <v>0</v>
      </c>
      <c r="BQ244" s="433">
        <f t="shared" si="168"/>
        <v>0</v>
      </c>
    </row>
    <row r="245" spans="1:69" x14ac:dyDescent="0.2">
      <c r="A245" s="102">
        <v>41815</v>
      </c>
      <c r="B245" s="319">
        <v>2</v>
      </c>
      <c r="C245" s="118" t="s">
        <v>996</v>
      </c>
      <c r="D245" s="111">
        <v>0.39097222222222222</v>
      </c>
      <c r="E245" s="111">
        <v>0.58680555555555558</v>
      </c>
      <c r="F245" s="444">
        <v>32</v>
      </c>
      <c r="G245" s="445">
        <v>10</v>
      </c>
      <c r="H245" s="444"/>
      <c r="I245" s="390"/>
      <c r="J245" s="426">
        <f t="shared" si="141"/>
        <v>282.00000000000006</v>
      </c>
      <c r="K245" s="103">
        <v>1</v>
      </c>
      <c r="L245" s="103"/>
      <c r="M245" s="103"/>
      <c r="N245" s="427">
        <f t="shared" si="142"/>
        <v>1</v>
      </c>
      <c r="O245" s="103"/>
      <c r="P245" s="103"/>
      <c r="Q245" s="103"/>
      <c r="R245" s="428">
        <f t="shared" si="143"/>
        <v>0</v>
      </c>
      <c r="S245" s="103"/>
      <c r="T245" s="103"/>
      <c r="U245" s="103"/>
      <c r="V245" s="125"/>
      <c r="W245" s="428">
        <f t="shared" si="147"/>
        <v>0</v>
      </c>
      <c r="X245" s="103"/>
      <c r="Y245" s="103"/>
      <c r="Z245" s="125"/>
      <c r="AA245" s="428">
        <f t="shared" si="148"/>
        <v>0</v>
      </c>
      <c r="AB245" s="103"/>
      <c r="AC245" s="103"/>
      <c r="AD245" s="103"/>
      <c r="AE245" s="428">
        <f t="shared" si="149"/>
        <v>0</v>
      </c>
      <c r="AF245" s="103"/>
      <c r="AG245" s="103"/>
      <c r="AH245" s="103"/>
      <c r="AI245" s="103"/>
      <c r="AJ245" s="428">
        <f t="shared" si="150"/>
        <v>0</v>
      </c>
      <c r="AK245" s="446"/>
      <c r="AL245" s="446"/>
      <c r="AM245" s="446"/>
      <c r="AN245" s="446"/>
      <c r="AO245" s="446"/>
      <c r="AP245" s="446"/>
      <c r="AQ245" s="446"/>
      <c r="AR245" s="431">
        <f t="shared" si="151"/>
        <v>0</v>
      </c>
      <c r="AT245" s="128"/>
      <c r="AU245" s="100" t="s">
        <v>1524</v>
      </c>
      <c r="AV245" s="128" t="s">
        <v>1526</v>
      </c>
      <c r="AW245" s="100" t="s">
        <v>1531</v>
      </c>
      <c r="AX245" s="433">
        <f t="shared" si="152"/>
        <v>1</v>
      </c>
      <c r="AY245" s="433">
        <f t="shared" si="153"/>
        <v>0</v>
      </c>
      <c r="AZ245" s="433">
        <f t="shared" si="154"/>
        <v>0</v>
      </c>
      <c r="BA245" s="433">
        <f t="shared" si="144"/>
        <v>0</v>
      </c>
      <c r="BB245" s="433">
        <f t="shared" si="145"/>
        <v>0</v>
      </c>
      <c r="BC245" s="433">
        <f t="shared" si="146"/>
        <v>0</v>
      </c>
      <c r="BD245" s="433">
        <f t="shared" si="155"/>
        <v>0</v>
      </c>
      <c r="BE245" s="433">
        <f t="shared" si="156"/>
        <v>0</v>
      </c>
      <c r="BF245" s="433">
        <f t="shared" si="157"/>
        <v>0</v>
      </c>
      <c r="BG245" s="433">
        <f t="shared" si="158"/>
        <v>0</v>
      </c>
      <c r="BH245" s="433">
        <f t="shared" si="159"/>
        <v>0</v>
      </c>
      <c r="BI245" s="433">
        <f t="shared" si="160"/>
        <v>0</v>
      </c>
      <c r="BJ245" s="433">
        <f t="shared" si="161"/>
        <v>0</v>
      </c>
      <c r="BK245" s="433">
        <f t="shared" si="162"/>
        <v>0</v>
      </c>
      <c r="BL245" s="433">
        <f t="shared" si="163"/>
        <v>0</v>
      </c>
      <c r="BM245" s="433">
        <f t="shared" si="164"/>
        <v>0</v>
      </c>
      <c r="BN245" s="433">
        <f t="shared" si="165"/>
        <v>0</v>
      </c>
      <c r="BO245" s="433">
        <f t="shared" si="166"/>
        <v>0</v>
      </c>
      <c r="BP245" s="433">
        <f t="shared" si="167"/>
        <v>0</v>
      </c>
      <c r="BQ245" s="433">
        <f t="shared" si="168"/>
        <v>0</v>
      </c>
    </row>
    <row r="246" spans="1:69" x14ac:dyDescent="0.2">
      <c r="A246" s="102">
        <v>41815</v>
      </c>
      <c r="B246" s="319">
        <v>2</v>
      </c>
      <c r="C246" s="118" t="s">
        <v>1006</v>
      </c>
      <c r="D246" s="111">
        <v>0.58680555555555558</v>
      </c>
      <c r="E246" s="111">
        <v>0.78055555555555556</v>
      </c>
      <c r="F246" s="444">
        <v>35</v>
      </c>
      <c r="G246" s="445">
        <v>8</v>
      </c>
      <c r="H246" s="444"/>
      <c r="I246" s="390"/>
      <c r="J246" s="426">
        <f t="shared" si="141"/>
        <v>278.99999999999994</v>
      </c>
      <c r="K246" s="103">
        <v>1</v>
      </c>
      <c r="L246" s="103"/>
      <c r="M246" s="103"/>
      <c r="N246" s="427">
        <f t="shared" si="142"/>
        <v>1</v>
      </c>
      <c r="O246" s="103"/>
      <c r="P246" s="103"/>
      <c r="Q246" s="103"/>
      <c r="R246" s="428">
        <f t="shared" si="143"/>
        <v>0</v>
      </c>
      <c r="S246" s="103"/>
      <c r="T246" s="103"/>
      <c r="U246" s="103"/>
      <c r="V246" s="125"/>
      <c r="W246" s="428">
        <f t="shared" si="147"/>
        <v>0</v>
      </c>
      <c r="X246" s="103"/>
      <c r="Y246" s="103"/>
      <c r="Z246" s="125"/>
      <c r="AA246" s="428">
        <f t="shared" si="148"/>
        <v>0</v>
      </c>
      <c r="AB246" s="103"/>
      <c r="AC246" s="103"/>
      <c r="AD246" s="103"/>
      <c r="AE246" s="428">
        <f t="shared" si="149"/>
        <v>0</v>
      </c>
      <c r="AF246" s="103"/>
      <c r="AG246" s="103"/>
      <c r="AH246" s="103"/>
      <c r="AI246" s="103"/>
      <c r="AJ246" s="428">
        <f t="shared" si="150"/>
        <v>0</v>
      </c>
      <c r="AK246" s="446"/>
      <c r="AL246" s="446"/>
      <c r="AM246" s="446"/>
      <c r="AN246" s="446"/>
      <c r="AO246" s="446"/>
      <c r="AP246" s="446"/>
      <c r="AQ246" s="446"/>
      <c r="AR246" s="431">
        <f t="shared" si="151"/>
        <v>0</v>
      </c>
      <c r="AT246" s="128"/>
      <c r="AU246" s="100" t="s">
        <v>1527</v>
      </c>
      <c r="AV246" s="128" t="s">
        <v>1526</v>
      </c>
      <c r="AW246" s="100" t="s">
        <v>1531</v>
      </c>
      <c r="AX246" s="433">
        <f t="shared" si="152"/>
        <v>1</v>
      </c>
      <c r="AY246" s="433">
        <f t="shared" si="153"/>
        <v>0</v>
      </c>
      <c r="AZ246" s="433">
        <f t="shared" si="154"/>
        <v>0</v>
      </c>
      <c r="BA246" s="433">
        <f t="shared" si="144"/>
        <v>0</v>
      </c>
      <c r="BB246" s="433">
        <f t="shared" si="145"/>
        <v>0</v>
      </c>
      <c r="BC246" s="433">
        <f t="shared" si="146"/>
        <v>0</v>
      </c>
      <c r="BD246" s="433">
        <f t="shared" si="155"/>
        <v>0</v>
      </c>
      <c r="BE246" s="433">
        <f t="shared" si="156"/>
        <v>0</v>
      </c>
      <c r="BF246" s="433">
        <f t="shared" si="157"/>
        <v>0</v>
      </c>
      <c r="BG246" s="433">
        <f t="shared" si="158"/>
        <v>0</v>
      </c>
      <c r="BH246" s="433">
        <f t="shared" si="159"/>
        <v>0</v>
      </c>
      <c r="BI246" s="433">
        <f t="shared" si="160"/>
        <v>0</v>
      </c>
      <c r="BJ246" s="433">
        <f t="shared" si="161"/>
        <v>0</v>
      </c>
      <c r="BK246" s="433">
        <f t="shared" si="162"/>
        <v>0</v>
      </c>
      <c r="BL246" s="433">
        <f t="shared" si="163"/>
        <v>0</v>
      </c>
      <c r="BM246" s="433">
        <f t="shared" si="164"/>
        <v>0</v>
      </c>
      <c r="BN246" s="433">
        <f t="shared" si="165"/>
        <v>0</v>
      </c>
      <c r="BO246" s="433">
        <f t="shared" si="166"/>
        <v>0</v>
      </c>
      <c r="BP246" s="433">
        <f t="shared" si="167"/>
        <v>0</v>
      </c>
      <c r="BQ246" s="433">
        <f t="shared" si="168"/>
        <v>0</v>
      </c>
    </row>
    <row r="247" spans="1:69" x14ac:dyDescent="0.2">
      <c r="A247" s="102">
        <v>41815</v>
      </c>
      <c r="B247" s="319">
        <v>2</v>
      </c>
      <c r="C247" s="118" t="s">
        <v>959</v>
      </c>
      <c r="D247" s="111">
        <v>0.78055555555555556</v>
      </c>
      <c r="E247" s="111">
        <v>0.93402777777777779</v>
      </c>
      <c r="F247" s="444">
        <v>33</v>
      </c>
      <c r="G247" s="445">
        <v>10.5</v>
      </c>
      <c r="H247" s="444"/>
      <c r="I247" s="390"/>
      <c r="J247" s="426">
        <f t="shared" si="141"/>
        <v>221</v>
      </c>
      <c r="K247" s="103">
        <v>1</v>
      </c>
      <c r="L247" s="103"/>
      <c r="M247" s="103"/>
      <c r="N247" s="427">
        <f t="shared" si="142"/>
        <v>1</v>
      </c>
      <c r="O247" s="103"/>
      <c r="P247" s="103"/>
      <c r="Q247" s="103"/>
      <c r="R247" s="428">
        <f t="shared" si="143"/>
        <v>0</v>
      </c>
      <c r="S247" s="103"/>
      <c r="T247" s="103"/>
      <c r="U247" s="103"/>
      <c r="V247" s="125"/>
      <c r="W247" s="428">
        <f t="shared" si="147"/>
        <v>0</v>
      </c>
      <c r="X247" s="103"/>
      <c r="Y247" s="103"/>
      <c r="Z247" s="125"/>
      <c r="AA247" s="428">
        <f t="shared" si="148"/>
        <v>0</v>
      </c>
      <c r="AB247" s="103"/>
      <c r="AC247" s="103"/>
      <c r="AD247" s="103"/>
      <c r="AE247" s="428">
        <f t="shared" si="149"/>
        <v>0</v>
      </c>
      <c r="AF247" s="103"/>
      <c r="AG247" s="103"/>
      <c r="AH247" s="103"/>
      <c r="AI247" s="103"/>
      <c r="AJ247" s="428">
        <f t="shared" si="150"/>
        <v>0</v>
      </c>
      <c r="AK247" s="446"/>
      <c r="AL247" s="446"/>
      <c r="AM247" s="446"/>
      <c r="AN247" s="446"/>
      <c r="AO247" s="446"/>
      <c r="AP247" s="446"/>
      <c r="AQ247" s="446"/>
      <c r="AR247" s="431">
        <f t="shared" si="151"/>
        <v>0</v>
      </c>
      <c r="AT247" s="128"/>
      <c r="AU247" s="100" t="s">
        <v>1524</v>
      </c>
      <c r="AV247" s="128" t="s">
        <v>1526</v>
      </c>
      <c r="AW247" s="100" t="s">
        <v>1531</v>
      </c>
      <c r="AX247" s="433">
        <f t="shared" si="152"/>
        <v>1</v>
      </c>
      <c r="AY247" s="433">
        <f t="shared" si="153"/>
        <v>0</v>
      </c>
      <c r="AZ247" s="433">
        <f t="shared" si="154"/>
        <v>0</v>
      </c>
      <c r="BA247" s="433">
        <f t="shared" si="144"/>
        <v>0</v>
      </c>
      <c r="BB247" s="433">
        <f t="shared" si="145"/>
        <v>0</v>
      </c>
      <c r="BC247" s="433">
        <f t="shared" si="146"/>
        <v>0</v>
      </c>
      <c r="BD247" s="433">
        <f t="shared" si="155"/>
        <v>0</v>
      </c>
      <c r="BE247" s="433">
        <f t="shared" si="156"/>
        <v>0</v>
      </c>
      <c r="BF247" s="433">
        <f t="shared" si="157"/>
        <v>0</v>
      </c>
      <c r="BG247" s="433">
        <f t="shared" si="158"/>
        <v>0</v>
      </c>
      <c r="BH247" s="433">
        <f t="shared" si="159"/>
        <v>0</v>
      </c>
      <c r="BI247" s="433">
        <f t="shared" si="160"/>
        <v>0</v>
      </c>
      <c r="BJ247" s="433">
        <f t="shared" si="161"/>
        <v>0</v>
      </c>
      <c r="BK247" s="433">
        <f t="shared" si="162"/>
        <v>0</v>
      </c>
      <c r="BL247" s="433">
        <f t="shared" si="163"/>
        <v>0</v>
      </c>
      <c r="BM247" s="433">
        <f t="shared" si="164"/>
        <v>0</v>
      </c>
      <c r="BN247" s="433">
        <f t="shared" si="165"/>
        <v>0</v>
      </c>
      <c r="BO247" s="433">
        <f t="shared" si="166"/>
        <v>0</v>
      </c>
      <c r="BP247" s="433">
        <f t="shared" si="167"/>
        <v>0</v>
      </c>
      <c r="BQ247" s="433">
        <f t="shared" si="168"/>
        <v>0</v>
      </c>
    </row>
    <row r="248" spans="1:69" x14ac:dyDescent="0.2">
      <c r="A248" s="102">
        <v>41815</v>
      </c>
      <c r="B248" s="319">
        <v>3</v>
      </c>
      <c r="C248" s="118" t="s">
        <v>1011</v>
      </c>
      <c r="D248" s="111">
        <v>0.24791666666666667</v>
      </c>
      <c r="E248" s="111">
        <v>0.3972222222222222</v>
      </c>
      <c r="F248" s="444">
        <v>47</v>
      </c>
      <c r="G248" s="445">
        <v>8</v>
      </c>
      <c r="H248" s="444"/>
      <c r="I248" s="390"/>
      <c r="J248" s="426">
        <f t="shared" si="141"/>
        <v>214.99999999999994</v>
      </c>
      <c r="K248" s="103">
        <v>2</v>
      </c>
      <c r="L248" s="103"/>
      <c r="M248" s="103"/>
      <c r="N248" s="427">
        <f t="shared" si="142"/>
        <v>2</v>
      </c>
      <c r="O248" s="103"/>
      <c r="P248" s="103"/>
      <c r="Q248" s="103"/>
      <c r="R248" s="428">
        <f t="shared" si="143"/>
        <v>0</v>
      </c>
      <c r="S248" s="103"/>
      <c r="T248" s="103"/>
      <c r="U248" s="103"/>
      <c r="V248" s="125"/>
      <c r="W248" s="428">
        <f t="shared" si="147"/>
        <v>0</v>
      </c>
      <c r="X248" s="103"/>
      <c r="Y248" s="103"/>
      <c r="Z248" s="125"/>
      <c r="AA248" s="428">
        <f t="shared" si="148"/>
        <v>0</v>
      </c>
      <c r="AB248" s="103"/>
      <c r="AC248" s="103"/>
      <c r="AD248" s="103"/>
      <c r="AE248" s="428">
        <f t="shared" si="149"/>
        <v>0</v>
      </c>
      <c r="AF248" s="103"/>
      <c r="AG248" s="103"/>
      <c r="AH248" s="103"/>
      <c r="AI248" s="103"/>
      <c r="AJ248" s="428">
        <f t="shared" si="150"/>
        <v>0</v>
      </c>
      <c r="AK248" s="446"/>
      <c r="AL248" s="446"/>
      <c r="AM248" s="446"/>
      <c r="AN248" s="446"/>
      <c r="AO248" s="446"/>
      <c r="AP248" s="446"/>
      <c r="AQ248" s="446"/>
      <c r="AR248" s="431">
        <f t="shared" si="151"/>
        <v>0</v>
      </c>
      <c r="AT248" s="128"/>
      <c r="AU248" s="100" t="s">
        <v>1049</v>
      </c>
      <c r="AV248" s="128" t="s">
        <v>1526</v>
      </c>
      <c r="AW248" s="100" t="s">
        <v>1531</v>
      </c>
      <c r="AX248" s="433">
        <f t="shared" si="152"/>
        <v>2</v>
      </c>
      <c r="AY248" s="433">
        <f t="shared" si="153"/>
        <v>0</v>
      </c>
      <c r="AZ248" s="433">
        <f t="shared" si="154"/>
        <v>0</v>
      </c>
      <c r="BA248" s="433">
        <f t="shared" si="144"/>
        <v>0</v>
      </c>
      <c r="BB248" s="433">
        <f t="shared" si="145"/>
        <v>0</v>
      </c>
      <c r="BC248" s="433">
        <f t="shared" si="146"/>
        <v>0</v>
      </c>
      <c r="BD248" s="433">
        <f t="shared" si="155"/>
        <v>0</v>
      </c>
      <c r="BE248" s="433">
        <f t="shared" si="156"/>
        <v>0</v>
      </c>
      <c r="BF248" s="433">
        <f t="shared" si="157"/>
        <v>0</v>
      </c>
      <c r="BG248" s="433">
        <f t="shared" si="158"/>
        <v>0</v>
      </c>
      <c r="BH248" s="433">
        <f t="shared" si="159"/>
        <v>0</v>
      </c>
      <c r="BI248" s="433">
        <f t="shared" si="160"/>
        <v>0</v>
      </c>
      <c r="BJ248" s="433">
        <f t="shared" si="161"/>
        <v>0</v>
      </c>
      <c r="BK248" s="433">
        <f t="shared" si="162"/>
        <v>0</v>
      </c>
      <c r="BL248" s="433">
        <f t="shared" si="163"/>
        <v>0</v>
      </c>
      <c r="BM248" s="433">
        <f t="shared" si="164"/>
        <v>0</v>
      </c>
      <c r="BN248" s="433">
        <f t="shared" si="165"/>
        <v>0</v>
      </c>
      <c r="BO248" s="433">
        <f t="shared" si="166"/>
        <v>0</v>
      </c>
      <c r="BP248" s="433">
        <f t="shared" si="167"/>
        <v>0</v>
      </c>
      <c r="BQ248" s="433">
        <f t="shared" si="168"/>
        <v>0</v>
      </c>
    </row>
    <row r="249" spans="1:69" x14ac:dyDescent="0.2">
      <c r="A249" s="102">
        <v>41815</v>
      </c>
      <c r="B249" s="319">
        <v>3</v>
      </c>
      <c r="C249" s="118" t="s">
        <v>1528</v>
      </c>
      <c r="D249" s="111">
        <v>0.3972222222222222</v>
      </c>
      <c r="E249" s="111">
        <v>0.59236111111111112</v>
      </c>
      <c r="F249" s="444">
        <v>46</v>
      </c>
      <c r="G249" s="445">
        <v>9</v>
      </c>
      <c r="H249" s="444"/>
      <c r="I249" s="390"/>
      <c r="J249" s="426">
        <f t="shared" si="141"/>
        <v>281</v>
      </c>
      <c r="K249" s="103">
        <v>1</v>
      </c>
      <c r="L249" s="103"/>
      <c r="M249" s="103"/>
      <c r="N249" s="427">
        <f t="shared" si="142"/>
        <v>1</v>
      </c>
      <c r="O249" s="103"/>
      <c r="P249" s="103"/>
      <c r="Q249" s="103"/>
      <c r="R249" s="428">
        <f t="shared" si="143"/>
        <v>0</v>
      </c>
      <c r="S249" s="103"/>
      <c r="T249" s="103"/>
      <c r="U249" s="103"/>
      <c r="V249" s="125"/>
      <c r="W249" s="428">
        <f t="shared" si="147"/>
        <v>0</v>
      </c>
      <c r="X249" s="103"/>
      <c r="Y249" s="103"/>
      <c r="Z249" s="125"/>
      <c r="AA249" s="428">
        <f t="shared" si="148"/>
        <v>0</v>
      </c>
      <c r="AB249" s="103"/>
      <c r="AC249" s="103"/>
      <c r="AD249" s="103"/>
      <c r="AE249" s="428">
        <f t="shared" si="149"/>
        <v>0</v>
      </c>
      <c r="AF249" s="103"/>
      <c r="AG249" s="103"/>
      <c r="AH249" s="103"/>
      <c r="AI249" s="103"/>
      <c r="AJ249" s="428">
        <f t="shared" si="150"/>
        <v>0</v>
      </c>
      <c r="AK249" s="446"/>
      <c r="AL249" s="446"/>
      <c r="AM249" s="446">
        <v>1</v>
      </c>
      <c r="AN249" s="446"/>
      <c r="AO249" s="446"/>
      <c r="AP249" s="446"/>
      <c r="AQ249" s="446"/>
      <c r="AR249" s="431">
        <f t="shared" si="151"/>
        <v>1</v>
      </c>
      <c r="AT249" s="128"/>
      <c r="AU249" s="100" t="s">
        <v>1530</v>
      </c>
      <c r="AV249" s="128" t="s">
        <v>1526</v>
      </c>
      <c r="AW249" s="100" t="s">
        <v>1531</v>
      </c>
      <c r="AX249" s="433">
        <f t="shared" si="152"/>
        <v>1</v>
      </c>
      <c r="AY249" s="433">
        <f t="shared" si="153"/>
        <v>0</v>
      </c>
      <c r="AZ249" s="433">
        <f t="shared" si="154"/>
        <v>0</v>
      </c>
      <c r="BA249" s="433">
        <f t="shared" si="144"/>
        <v>0</v>
      </c>
      <c r="BB249" s="433">
        <f t="shared" si="145"/>
        <v>0</v>
      </c>
      <c r="BC249" s="433">
        <f t="shared" si="146"/>
        <v>0</v>
      </c>
      <c r="BD249" s="433">
        <f t="shared" si="155"/>
        <v>0</v>
      </c>
      <c r="BE249" s="433">
        <f t="shared" si="156"/>
        <v>0</v>
      </c>
      <c r="BF249" s="433">
        <f t="shared" si="157"/>
        <v>0</v>
      </c>
      <c r="BG249" s="433">
        <f t="shared" si="158"/>
        <v>0</v>
      </c>
      <c r="BH249" s="433">
        <f t="shared" si="159"/>
        <v>0</v>
      </c>
      <c r="BI249" s="433">
        <f t="shared" si="160"/>
        <v>0</v>
      </c>
      <c r="BJ249" s="433">
        <f t="shared" si="161"/>
        <v>0</v>
      </c>
      <c r="BK249" s="433">
        <f t="shared" si="162"/>
        <v>0</v>
      </c>
      <c r="BL249" s="433">
        <f t="shared" si="163"/>
        <v>0</v>
      </c>
      <c r="BM249" s="433">
        <f t="shared" si="164"/>
        <v>0</v>
      </c>
      <c r="BN249" s="433">
        <f t="shared" si="165"/>
        <v>0</v>
      </c>
      <c r="BO249" s="433">
        <f t="shared" si="166"/>
        <v>0</v>
      </c>
      <c r="BP249" s="433">
        <f t="shared" si="167"/>
        <v>0</v>
      </c>
      <c r="BQ249" s="433">
        <f t="shared" si="168"/>
        <v>0</v>
      </c>
    </row>
    <row r="250" spans="1:69" x14ac:dyDescent="0.2">
      <c r="A250" s="102">
        <v>41815</v>
      </c>
      <c r="B250" s="319">
        <v>3</v>
      </c>
      <c r="C250" s="118" t="s">
        <v>1047</v>
      </c>
      <c r="D250" s="111">
        <v>0.59236111111111112</v>
      </c>
      <c r="E250" s="111">
        <v>0.78819444444444453</v>
      </c>
      <c r="F250" s="444">
        <v>45</v>
      </c>
      <c r="G250" s="445">
        <v>8.5</v>
      </c>
      <c r="H250" s="444"/>
      <c r="I250" s="390"/>
      <c r="J250" s="426">
        <f t="shared" si="141"/>
        <v>282.00000000000011</v>
      </c>
      <c r="K250" s="103">
        <v>4</v>
      </c>
      <c r="L250" s="103"/>
      <c r="M250" s="103"/>
      <c r="N250" s="427">
        <f t="shared" si="142"/>
        <v>4</v>
      </c>
      <c r="O250" s="103"/>
      <c r="P250" s="103">
        <v>1</v>
      </c>
      <c r="Q250" s="103"/>
      <c r="R250" s="428">
        <f t="shared" si="143"/>
        <v>1</v>
      </c>
      <c r="S250" s="103"/>
      <c r="T250" s="103"/>
      <c r="U250" s="103"/>
      <c r="V250" s="125"/>
      <c r="W250" s="428">
        <f t="shared" si="147"/>
        <v>0</v>
      </c>
      <c r="X250" s="103"/>
      <c r="Y250" s="103"/>
      <c r="Z250" s="125"/>
      <c r="AA250" s="428">
        <f t="shared" si="148"/>
        <v>0</v>
      </c>
      <c r="AB250" s="103"/>
      <c r="AC250" s="103"/>
      <c r="AD250" s="103"/>
      <c r="AE250" s="428">
        <f t="shared" si="149"/>
        <v>0</v>
      </c>
      <c r="AF250" s="103"/>
      <c r="AG250" s="103"/>
      <c r="AH250" s="103"/>
      <c r="AI250" s="103"/>
      <c r="AJ250" s="428">
        <f t="shared" si="150"/>
        <v>0</v>
      </c>
      <c r="AK250" s="446"/>
      <c r="AL250" s="446"/>
      <c r="AM250" s="446"/>
      <c r="AN250" s="446"/>
      <c r="AO250" s="446"/>
      <c r="AP250" s="446"/>
      <c r="AQ250" s="446"/>
      <c r="AR250" s="431">
        <f t="shared" si="151"/>
        <v>0</v>
      </c>
      <c r="AT250" s="128"/>
      <c r="AU250" s="100" t="s">
        <v>1523</v>
      </c>
      <c r="AV250" s="128" t="s">
        <v>1526</v>
      </c>
      <c r="AW250" s="100" t="s">
        <v>1531</v>
      </c>
      <c r="AX250" s="433">
        <f t="shared" si="152"/>
        <v>4</v>
      </c>
      <c r="AY250" s="433">
        <f t="shared" si="153"/>
        <v>0</v>
      </c>
      <c r="AZ250" s="433">
        <f t="shared" si="154"/>
        <v>0</v>
      </c>
      <c r="BA250" s="433">
        <f t="shared" si="144"/>
        <v>0</v>
      </c>
      <c r="BB250" s="433">
        <f t="shared" si="145"/>
        <v>1</v>
      </c>
      <c r="BC250" s="433">
        <f t="shared" si="146"/>
        <v>0</v>
      </c>
      <c r="BD250" s="433">
        <f t="shared" si="155"/>
        <v>0</v>
      </c>
      <c r="BE250" s="433">
        <f t="shared" si="156"/>
        <v>0</v>
      </c>
      <c r="BF250" s="433">
        <f t="shared" si="157"/>
        <v>0</v>
      </c>
      <c r="BG250" s="433">
        <f t="shared" si="158"/>
        <v>0</v>
      </c>
      <c r="BH250" s="433">
        <f t="shared" si="159"/>
        <v>0</v>
      </c>
      <c r="BI250" s="433">
        <f t="shared" si="160"/>
        <v>0</v>
      </c>
      <c r="BJ250" s="433">
        <f t="shared" si="161"/>
        <v>0</v>
      </c>
      <c r="BK250" s="433">
        <f t="shared" si="162"/>
        <v>0</v>
      </c>
      <c r="BL250" s="433">
        <f t="shared" si="163"/>
        <v>0</v>
      </c>
      <c r="BM250" s="433">
        <f t="shared" si="164"/>
        <v>0</v>
      </c>
      <c r="BN250" s="433">
        <f t="shared" si="165"/>
        <v>0</v>
      </c>
      <c r="BO250" s="433">
        <f t="shared" si="166"/>
        <v>0</v>
      </c>
      <c r="BP250" s="433">
        <f t="shared" si="167"/>
        <v>0</v>
      </c>
      <c r="BQ250" s="433">
        <f t="shared" si="168"/>
        <v>0</v>
      </c>
    </row>
    <row r="251" spans="1:69" s="291" customFormat="1" x14ac:dyDescent="0.2">
      <c r="A251" s="317">
        <v>41815</v>
      </c>
      <c r="B251" s="318">
        <v>3</v>
      </c>
      <c r="C251" s="320" t="s">
        <v>1529</v>
      </c>
      <c r="D251" s="321">
        <v>0.78819444444444453</v>
      </c>
      <c r="E251" s="321">
        <v>0.91875000000000007</v>
      </c>
      <c r="F251" s="434">
        <v>44</v>
      </c>
      <c r="G251" s="435">
        <v>8</v>
      </c>
      <c r="H251" s="434"/>
      <c r="I251" s="436"/>
      <c r="J251" s="437">
        <f t="shared" si="141"/>
        <v>187.99999999999997</v>
      </c>
      <c r="K251" s="285">
        <v>1</v>
      </c>
      <c r="L251" s="285"/>
      <c r="M251" s="285"/>
      <c r="N251" s="438">
        <f t="shared" si="142"/>
        <v>1</v>
      </c>
      <c r="O251" s="285"/>
      <c r="P251" s="285"/>
      <c r="Q251" s="285"/>
      <c r="R251" s="439">
        <f t="shared" si="143"/>
        <v>0</v>
      </c>
      <c r="S251" s="285"/>
      <c r="T251" s="285"/>
      <c r="U251" s="285"/>
      <c r="V251" s="440"/>
      <c r="W251" s="439">
        <f t="shared" si="147"/>
        <v>0</v>
      </c>
      <c r="X251" s="285"/>
      <c r="Y251" s="285"/>
      <c r="Z251" s="440"/>
      <c r="AA251" s="439">
        <f t="shared" si="148"/>
        <v>0</v>
      </c>
      <c r="AB251" s="285"/>
      <c r="AC251" s="285"/>
      <c r="AD251" s="285"/>
      <c r="AE251" s="439">
        <f t="shared" si="149"/>
        <v>0</v>
      </c>
      <c r="AF251" s="285"/>
      <c r="AG251" s="285"/>
      <c r="AH251" s="285"/>
      <c r="AI251" s="285"/>
      <c r="AJ251" s="439">
        <f t="shared" si="150"/>
        <v>0</v>
      </c>
      <c r="AK251" s="340"/>
      <c r="AL251" s="340"/>
      <c r="AM251" s="340"/>
      <c r="AN251" s="340"/>
      <c r="AO251" s="340"/>
      <c r="AP251" s="340"/>
      <c r="AQ251" s="340"/>
      <c r="AR251" s="441">
        <f t="shared" si="151"/>
        <v>0</v>
      </c>
      <c r="AT251" s="313"/>
      <c r="AU251" s="289" t="s">
        <v>1009</v>
      </c>
      <c r="AV251" s="313" t="s">
        <v>1526</v>
      </c>
      <c r="AW251" s="289" t="s">
        <v>1531</v>
      </c>
      <c r="AX251" s="443">
        <f t="shared" si="152"/>
        <v>1</v>
      </c>
      <c r="AY251" s="443">
        <f t="shared" si="153"/>
        <v>0</v>
      </c>
      <c r="AZ251" s="443">
        <f t="shared" si="154"/>
        <v>0</v>
      </c>
      <c r="BA251" s="443">
        <f t="shared" si="144"/>
        <v>0</v>
      </c>
      <c r="BB251" s="443">
        <f t="shared" si="145"/>
        <v>0</v>
      </c>
      <c r="BC251" s="443">
        <f t="shared" si="146"/>
        <v>0</v>
      </c>
      <c r="BD251" s="443">
        <f t="shared" si="155"/>
        <v>0</v>
      </c>
      <c r="BE251" s="443">
        <f t="shared" si="156"/>
        <v>0</v>
      </c>
      <c r="BF251" s="443">
        <f t="shared" si="157"/>
        <v>0</v>
      </c>
      <c r="BG251" s="443">
        <f t="shared" si="158"/>
        <v>0</v>
      </c>
      <c r="BH251" s="443">
        <f t="shared" si="159"/>
        <v>0</v>
      </c>
      <c r="BI251" s="443">
        <f t="shared" si="160"/>
        <v>0</v>
      </c>
      <c r="BJ251" s="443">
        <f t="shared" si="161"/>
        <v>0</v>
      </c>
      <c r="BK251" s="443">
        <f t="shared" si="162"/>
        <v>0</v>
      </c>
      <c r="BL251" s="443">
        <f t="shared" si="163"/>
        <v>0</v>
      </c>
      <c r="BM251" s="443">
        <f t="shared" si="164"/>
        <v>0</v>
      </c>
      <c r="BN251" s="443">
        <f t="shared" si="165"/>
        <v>0</v>
      </c>
      <c r="BO251" s="443">
        <f t="shared" si="166"/>
        <v>0</v>
      </c>
      <c r="BP251" s="443">
        <f t="shared" si="167"/>
        <v>0</v>
      </c>
      <c r="BQ251" s="443">
        <f t="shared" si="168"/>
        <v>0</v>
      </c>
    </row>
    <row r="252" spans="1:69" x14ac:dyDescent="0.2">
      <c r="A252" s="102">
        <v>41816</v>
      </c>
      <c r="B252" s="319">
        <v>1</v>
      </c>
      <c r="C252" s="118" t="s">
        <v>1542</v>
      </c>
      <c r="D252" s="111"/>
      <c r="E252" s="111"/>
      <c r="F252" s="444"/>
      <c r="G252" s="445"/>
      <c r="H252" s="444"/>
      <c r="I252" s="390"/>
      <c r="J252" s="426">
        <f t="shared" si="141"/>
        <v>0</v>
      </c>
      <c r="K252" s="103"/>
      <c r="L252" s="103"/>
      <c r="M252" s="103"/>
      <c r="N252" s="427">
        <f t="shared" si="142"/>
        <v>0</v>
      </c>
      <c r="O252" s="103"/>
      <c r="P252" s="103"/>
      <c r="Q252" s="103"/>
      <c r="R252" s="428">
        <f t="shared" si="143"/>
        <v>0</v>
      </c>
      <c r="S252" s="103"/>
      <c r="T252" s="103"/>
      <c r="U252" s="103"/>
      <c r="V252" s="125"/>
      <c r="W252" s="428">
        <f t="shared" si="147"/>
        <v>0</v>
      </c>
      <c r="X252" s="103"/>
      <c r="Y252" s="103"/>
      <c r="Z252" s="125"/>
      <c r="AA252" s="428">
        <f t="shared" si="148"/>
        <v>0</v>
      </c>
      <c r="AB252" s="103"/>
      <c r="AC252" s="103"/>
      <c r="AD252" s="103"/>
      <c r="AE252" s="428">
        <f t="shared" si="149"/>
        <v>0</v>
      </c>
      <c r="AF252" s="103"/>
      <c r="AG252" s="103"/>
      <c r="AH252" s="103"/>
      <c r="AI252" s="103"/>
      <c r="AJ252" s="428">
        <f t="shared" si="150"/>
        <v>0</v>
      </c>
      <c r="AK252" s="446"/>
      <c r="AL252" s="446"/>
      <c r="AM252" s="446"/>
      <c r="AN252" s="446"/>
      <c r="AO252" s="446"/>
      <c r="AP252" s="446"/>
      <c r="AQ252" s="446"/>
      <c r="AR252" s="431">
        <f t="shared" si="151"/>
        <v>0</v>
      </c>
      <c r="AS252" s="10" t="s">
        <v>1543</v>
      </c>
      <c r="AT252" s="128" t="s">
        <v>1544</v>
      </c>
      <c r="AU252" s="100" t="s">
        <v>1526</v>
      </c>
      <c r="AV252" s="128" t="s">
        <v>1545</v>
      </c>
      <c r="AW252" s="100" t="s">
        <v>1546</v>
      </c>
      <c r="AX252" s="433">
        <f t="shared" si="152"/>
        <v>0</v>
      </c>
      <c r="AY252" s="433">
        <f t="shared" si="153"/>
        <v>0</v>
      </c>
      <c r="AZ252" s="433">
        <f t="shared" si="154"/>
        <v>0</v>
      </c>
      <c r="BA252" s="433">
        <f t="shared" si="144"/>
        <v>0</v>
      </c>
      <c r="BB252" s="433">
        <f t="shared" si="145"/>
        <v>0</v>
      </c>
      <c r="BC252" s="433">
        <f t="shared" si="146"/>
        <v>0</v>
      </c>
      <c r="BD252" s="433">
        <f t="shared" si="155"/>
        <v>0</v>
      </c>
      <c r="BE252" s="433">
        <f t="shared" si="156"/>
        <v>0</v>
      </c>
      <c r="BF252" s="433">
        <f t="shared" si="157"/>
        <v>0</v>
      </c>
      <c r="BG252" s="433">
        <f t="shared" si="158"/>
        <v>0</v>
      </c>
      <c r="BH252" s="433">
        <f t="shared" si="159"/>
        <v>0</v>
      </c>
      <c r="BI252" s="433">
        <f t="shared" si="160"/>
        <v>0</v>
      </c>
      <c r="BJ252" s="433">
        <f t="shared" si="161"/>
        <v>0</v>
      </c>
      <c r="BK252" s="433">
        <f t="shared" si="162"/>
        <v>0</v>
      </c>
      <c r="BL252" s="433">
        <f t="shared" si="163"/>
        <v>0</v>
      </c>
      <c r="BM252" s="433">
        <f t="shared" si="164"/>
        <v>0</v>
      </c>
      <c r="BN252" s="433">
        <f t="shared" si="165"/>
        <v>0</v>
      </c>
      <c r="BO252" s="433">
        <f t="shared" si="166"/>
        <v>0</v>
      </c>
      <c r="BP252" s="433">
        <f t="shared" si="167"/>
        <v>0</v>
      </c>
      <c r="BQ252" s="433">
        <f t="shared" si="168"/>
        <v>0</v>
      </c>
    </row>
    <row r="253" spans="1:69" x14ac:dyDescent="0.2">
      <c r="A253" s="102">
        <v>41816</v>
      </c>
      <c r="B253" s="319">
        <v>2</v>
      </c>
      <c r="C253" s="118" t="s">
        <v>1542</v>
      </c>
      <c r="D253" s="111"/>
      <c r="E253" s="111"/>
      <c r="F253" s="444"/>
      <c r="G253" s="445"/>
      <c r="H253" s="444"/>
      <c r="I253" s="390"/>
      <c r="J253" s="426">
        <f t="shared" si="141"/>
        <v>0</v>
      </c>
      <c r="K253" s="103"/>
      <c r="L253" s="103"/>
      <c r="M253" s="103"/>
      <c r="N253" s="427">
        <f t="shared" si="142"/>
        <v>0</v>
      </c>
      <c r="O253" s="103"/>
      <c r="P253" s="103"/>
      <c r="Q253" s="103"/>
      <c r="R253" s="428">
        <f t="shared" si="143"/>
        <v>0</v>
      </c>
      <c r="S253" s="103"/>
      <c r="T253" s="103"/>
      <c r="U253" s="103"/>
      <c r="V253" s="125"/>
      <c r="W253" s="428">
        <f t="shared" si="147"/>
        <v>0</v>
      </c>
      <c r="X253" s="103"/>
      <c r="Y253" s="103"/>
      <c r="Z253" s="125"/>
      <c r="AA253" s="428">
        <f t="shared" si="148"/>
        <v>0</v>
      </c>
      <c r="AB253" s="103"/>
      <c r="AC253" s="103"/>
      <c r="AD253" s="103"/>
      <c r="AE253" s="428">
        <f t="shared" si="149"/>
        <v>0</v>
      </c>
      <c r="AF253" s="103"/>
      <c r="AG253" s="103"/>
      <c r="AH253" s="103"/>
      <c r="AI253" s="103"/>
      <c r="AJ253" s="428">
        <f t="shared" si="150"/>
        <v>0</v>
      </c>
      <c r="AK253" s="446"/>
      <c r="AL253" s="446"/>
      <c r="AM253" s="446"/>
      <c r="AN253" s="446"/>
      <c r="AO253" s="446"/>
      <c r="AP253" s="446"/>
      <c r="AQ253" s="446"/>
      <c r="AR253" s="431">
        <f t="shared" si="151"/>
        <v>0</v>
      </c>
      <c r="AS253" s="10" t="s">
        <v>1543</v>
      </c>
      <c r="AT253" s="128" t="s">
        <v>1544</v>
      </c>
      <c r="AU253" s="100" t="s">
        <v>1526</v>
      </c>
      <c r="AV253" s="128" t="s">
        <v>1545</v>
      </c>
      <c r="AW253" s="100" t="s">
        <v>1546</v>
      </c>
      <c r="AX253" s="433">
        <f t="shared" si="152"/>
        <v>0</v>
      </c>
      <c r="AY253" s="433">
        <f t="shared" si="153"/>
        <v>0</v>
      </c>
      <c r="AZ253" s="433">
        <f t="shared" si="154"/>
        <v>0</v>
      </c>
      <c r="BA253" s="433">
        <f t="shared" si="144"/>
        <v>0</v>
      </c>
      <c r="BB253" s="433">
        <f t="shared" si="145"/>
        <v>0</v>
      </c>
      <c r="BC253" s="433">
        <f t="shared" si="146"/>
        <v>0</v>
      </c>
      <c r="BD253" s="433">
        <f t="shared" si="155"/>
        <v>0</v>
      </c>
      <c r="BE253" s="433">
        <f t="shared" si="156"/>
        <v>0</v>
      </c>
      <c r="BF253" s="433">
        <f t="shared" si="157"/>
        <v>0</v>
      </c>
      <c r="BG253" s="433">
        <f t="shared" si="158"/>
        <v>0</v>
      </c>
      <c r="BH253" s="433">
        <f t="shared" si="159"/>
        <v>0</v>
      </c>
      <c r="BI253" s="433">
        <f t="shared" si="160"/>
        <v>0</v>
      </c>
      <c r="BJ253" s="433">
        <f t="shared" si="161"/>
        <v>0</v>
      </c>
      <c r="BK253" s="433">
        <f t="shared" si="162"/>
        <v>0</v>
      </c>
      <c r="BL253" s="433">
        <f t="shared" si="163"/>
        <v>0</v>
      </c>
      <c r="BM253" s="433">
        <f t="shared" si="164"/>
        <v>0</v>
      </c>
      <c r="BN253" s="433">
        <f t="shared" si="165"/>
        <v>0</v>
      </c>
      <c r="BO253" s="433">
        <f t="shared" si="166"/>
        <v>0</v>
      </c>
      <c r="BP253" s="433">
        <f t="shared" si="167"/>
        <v>0</v>
      </c>
      <c r="BQ253" s="433">
        <f t="shared" si="168"/>
        <v>0</v>
      </c>
    </row>
    <row r="254" spans="1:69" s="291" customFormat="1" x14ac:dyDescent="0.2">
      <c r="A254" s="317">
        <v>41816</v>
      </c>
      <c r="B254" s="318">
        <v>3</v>
      </c>
      <c r="C254" s="320" t="s">
        <v>1542</v>
      </c>
      <c r="D254" s="321"/>
      <c r="E254" s="321"/>
      <c r="F254" s="434"/>
      <c r="G254" s="435"/>
      <c r="H254" s="434"/>
      <c r="I254" s="436"/>
      <c r="J254" s="437">
        <f t="shared" si="141"/>
        <v>0</v>
      </c>
      <c r="K254" s="285"/>
      <c r="L254" s="285"/>
      <c r="M254" s="285"/>
      <c r="N254" s="438">
        <f t="shared" si="142"/>
        <v>0</v>
      </c>
      <c r="O254" s="285"/>
      <c r="P254" s="285"/>
      <c r="Q254" s="285"/>
      <c r="R254" s="439">
        <f t="shared" si="143"/>
        <v>0</v>
      </c>
      <c r="S254" s="285"/>
      <c r="T254" s="285"/>
      <c r="U254" s="285"/>
      <c r="V254" s="440"/>
      <c r="W254" s="439">
        <f t="shared" si="147"/>
        <v>0</v>
      </c>
      <c r="X254" s="285"/>
      <c r="Y254" s="285"/>
      <c r="Z254" s="440"/>
      <c r="AA254" s="439">
        <f t="shared" si="148"/>
        <v>0</v>
      </c>
      <c r="AB254" s="285"/>
      <c r="AC254" s="285"/>
      <c r="AD254" s="285"/>
      <c r="AE254" s="439">
        <f t="shared" si="149"/>
        <v>0</v>
      </c>
      <c r="AF254" s="285"/>
      <c r="AG254" s="285"/>
      <c r="AH254" s="285"/>
      <c r="AI254" s="285"/>
      <c r="AJ254" s="439">
        <f t="shared" si="150"/>
        <v>0</v>
      </c>
      <c r="AK254" s="340"/>
      <c r="AL254" s="340"/>
      <c r="AM254" s="340"/>
      <c r="AN254" s="340"/>
      <c r="AO254" s="340"/>
      <c r="AP254" s="340"/>
      <c r="AQ254" s="340"/>
      <c r="AR254" s="441">
        <f t="shared" si="151"/>
        <v>0</v>
      </c>
      <c r="AS254" s="291" t="s">
        <v>1543</v>
      </c>
      <c r="AT254" s="313" t="s">
        <v>1544</v>
      </c>
      <c r="AU254" s="289" t="s">
        <v>1526</v>
      </c>
      <c r="AV254" s="313" t="s">
        <v>1545</v>
      </c>
      <c r="AW254" s="289" t="s">
        <v>1546</v>
      </c>
      <c r="AX254" s="443">
        <f t="shared" si="152"/>
        <v>0</v>
      </c>
      <c r="AY254" s="443">
        <f t="shared" si="153"/>
        <v>0</v>
      </c>
      <c r="AZ254" s="443">
        <f t="shared" si="154"/>
        <v>0</v>
      </c>
      <c r="BA254" s="443">
        <f t="shared" si="144"/>
        <v>0</v>
      </c>
      <c r="BB254" s="443">
        <f t="shared" si="145"/>
        <v>0</v>
      </c>
      <c r="BC254" s="443">
        <f t="shared" si="146"/>
        <v>0</v>
      </c>
      <c r="BD254" s="443">
        <f t="shared" si="155"/>
        <v>0</v>
      </c>
      <c r="BE254" s="443">
        <f t="shared" si="156"/>
        <v>0</v>
      </c>
      <c r="BF254" s="443">
        <f t="shared" si="157"/>
        <v>0</v>
      </c>
      <c r="BG254" s="443">
        <f t="shared" si="158"/>
        <v>0</v>
      </c>
      <c r="BH254" s="443">
        <f t="shared" si="159"/>
        <v>0</v>
      </c>
      <c r="BI254" s="443">
        <f t="shared" si="160"/>
        <v>0</v>
      </c>
      <c r="BJ254" s="443">
        <f t="shared" si="161"/>
        <v>0</v>
      </c>
      <c r="BK254" s="443">
        <f t="shared" si="162"/>
        <v>0</v>
      </c>
      <c r="BL254" s="443">
        <f t="shared" si="163"/>
        <v>0</v>
      </c>
      <c r="BM254" s="443">
        <f t="shared" si="164"/>
        <v>0</v>
      </c>
      <c r="BN254" s="443">
        <f t="shared" si="165"/>
        <v>0</v>
      </c>
      <c r="BO254" s="443">
        <f t="shared" si="166"/>
        <v>0</v>
      </c>
      <c r="BP254" s="443">
        <f t="shared" si="167"/>
        <v>0</v>
      </c>
      <c r="BQ254" s="443">
        <f t="shared" si="168"/>
        <v>0</v>
      </c>
    </row>
    <row r="255" spans="1:69" x14ac:dyDescent="0.2">
      <c r="A255" s="102">
        <v>41817</v>
      </c>
      <c r="B255" s="319">
        <v>1</v>
      </c>
      <c r="C255" s="118" t="s">
        <v>1542</v>
      </c>
      <c r="D255" s="111"/>
      <c r="E255" s="111"/>
      <c r="F255" s="444"/>
      <c r="G255" s="445"/>
      <c r="H255" s="444"/>
      <c r="I255" s="390"/>
      <c r="J255" s="426">
        <v>0</v>
      </c>
      <c r="K255" s="103"/>
      <c r="L255" s="103"/>
      <c r="M255" s="103"/>
      <c r="N255" s="427">
        <v>0</v>
      </c>
      <c r="O255" s="103"/>
      <c r="P255" s="103"/>
      <c r="Q255" s="103"/>
      <c r="R255" s="428">
        <v>0</v>
      </c>
      <c r="S255" s="103"/>
      <c r="T255" s="103"/>
      <c r="U255" s="103"/>
      <c r="V255" s="125"/>
      <c r="W255" s="428">
        <v>0</v>
      </c>
      <c r="X255" s="103"/>
      <c r="Y255" s="103"/>
      <c r="Z255" s="125"/>
      <c r="AA255" s="428">
        <v>0</v>
      </c>
      <c r="AB255" s="103"/>
      <c r="AC255" s="103"/>
      <c r="AD255" s="103"/>
      <c r="AE255" s="428">
        <v>0</v>
      </c>
      <c r="AF255" s="103"/>
      <c r="AG255" s="103"/>
      <c r="AH255" s="103"/>
      <c r="AI255" s="103"/>
      <c r="AJ255" s="428">
        <v>0</v>
      </c>
      <c r="AK255" s="446"/>
      <c r="AL255" s="446"/>
      <c r="AM255" s="446"/>
      <c r="AN255" s="446"/>
      <c r="AO255" s="446"/>
      <c r="AP255" s="446"/>
      <c r="AQ255" s="446"/>
      <c r="AR255" s="431">
        <v>0</v>
      </c>
      <c r="AS255" s="341" t="s">
        <v>1547</v>
      </c>
      <c r="AT255" s="128"/>
      <c r="AU255" s="100" t="s">
        <v>1545</v>
      </c>
      <c r="AV255" s="128" t="s">
        <v>1549</v>
      </c>
      <c r="AW255" s="100" t="s">
        <v>1548</v>
      </c>
      <c r="AX255" s="433">
        <v>0</v>
      </c>
      <c r="AY255" s="433">
        <v>0</v>
      </c>
      <c r="AZ255" s="433">
        <v>0</v>
      </c>
      <c r="BA255" s="433">
        <v>0</v>
      </c>
      <c r="BB255" s="433">
        <v>0</v>
      </c>
      <c r="BC255" s="433">
        <v>0</v>
      </c>
      <c r="BD255" s="433">
        <v>0</v>
      </c>
      <c r="BE255" s="433">
        <v>0</v>
      </c>
      <c r="BF255" s="433">
        <v>0</v>
      </c>
      <c r="BG255" s="433">
        <v>0</v>
      </c>
      <c r="BH255" s="433">
        <v>0</v>
      </c>
      <c r="BI255" s="433">
        <v>0</v>
      </c>
      <c r="BJ255" s="433">
        <v>0</v>
      </c>
      <c r="BK255" s="433">
        <v>0</v>
      </c>
      <c r="BL255" s="433">
        <v>0</v>
      </c>
      <c r="BM255" s="433">
        <v>0</v>
      </c>
      <c r="BN255" s="433">
        <v>0</v>
      </c>
      <c r="BO255" s="433">
        <v>0</v>
      </c>
      <c r="BP255" s="433">
        <v>0</v>
      </c>
      <c r="BQ255" s="433">
        <v>0</v>
      </c>
    </row>
    <row r="256" spans="1:69" x14ac:dyDescent="0.2">
      <c r="A256" s="102">
        <v>41817</v>
      </c>
      <c r="B256" s="319">
        <v>2</v>
      </c>
      <c r="C256" s="118" t="s">
        <v>1542</v>
      </c>
      <c r="D256" s="111"/>
      <c r="E256" s="111"/>
      <c r="F256" s="444"/>
      <c r="G256" s="445"/>
      <c r="H256" s="444"/>
      <c r="I256" s="390"/>
      <c r="J256" s="426">
        <v>0</v>
      </c>
      <c r="K256" s="103"/>
      <c r="L256" s="103"/>
      <c r="M256" s="103"/>
      <c r="N256" s="427">
        <v>0</v>
      </c>
      <c r="O256" s="103"/>
      <c r="P256" s="103"/>
      <c r="Q256" s="103"/>
      <c r="R256" s="428">
        <v>0</v>
      </c>
      <c r="S256" s="103"/>
      <c r="T256" s="103"/>
      <c r="U256" s="103"/>
      <c r="V256" s="125"/>
      <c r="W256" s="428">
        <v>0</v>
      </c>
      <c r="X256" s="103"/>
      <c r="Y256" s="103"/>
      <c r="Z256" s="125"/>
      <c r="AA256" s="428">
        <v>0</v>
      </c>
      <c r="AB256" s="103"/>
      <c r="AC256" s="103"/>
      <c r="AD256" s="103"/>
      <c r="AE256" s="428">
        <v>0</v>
      </c>
      <c r="AF256" s="103"/>
      <c r="AG256" s="103"/>
      <c r="AH256" s="103"/>
      <c r="AI256" s="103"/>
      <c r="AJ256" s="428">
        <v>0</v>
      </c>
      <c r="AK256" s="446"/>
      <c r="AL256" s="446"/>
      <c r="AM256" s="446"/>
      <c r="AN256" s="446"/>
      <c r="AO256" s="446"/>
      <c r="AP256" s="446"/>
      <c r="AQ256" s="446"/>
      <c r="AR256" s="431">
        <v>0</v>
      </c>
      <c r="AS256" s="342" t="s">
        <v>1547</v>
      </c>
      <c r="AT256" s="128"/>
      <c r="AU256" s="100" t="s">
        <v>1545</v>
      </c>
      <c r="AV256" s="128" t="s">
        <v>1549</v>
      </c>
      <c r="AW256" s="100" t="s">
        <v>1548</v>
      </c>
      <c r="AX256" s="433">
        <v>0</v>
      </c>
      <c r="AY256" s="433">
        <v>0</v>
      </c>
      <c r="AZ256" s="433">
        <v>0</v>
      </c>
      <c r="BA256" s="433">
        <v>0</v>
      </c>
      <c r="BB256" s="433">
        <v>0</v>
      </c>
      <c r="BC256" s="433">
        <v>0</v>
      </c>
      <c r="BD256" s="433">
        <v>0</v>
      </c>
      <c r="BE256" s="433">
        <v>0</v>
      </c>
      <c r="BF256" s="433">
        <v>0</v>
      </c>
      <c r="BG256" s="433">
        <v>0</v>
      </c>
      <c r="BH256" s="433">
        <v>0</v>
      </c>
      <c r="BI256" s="433">
        <v>0</v>
      </c>
      <c r="BJ256" s="433">
        <v>0</v>
      </c>
      <c r="BK256" s="433">
        <v>0</v>
      </c>
      <c r="BL256" s="433">
        <v>0</v>
      </c>
      <c r="BM256" s="433">
        <v>0</v>
      </c>
      <c r="BN256" s="433">
        <v>0</v>
      </c>
      <c r="BO256" s="433">
        <v>0</v>
      </c>
      <c r="BP256" s="433">
        <v>0</v>
      </c>
      <c r="BQ256" s="433">
        <v>0</v>
      </c>
    </row>
    <row r="257" spans="1:69" s="291" customFormat="1" x14ac:dyDescent="0.2">
      <c r="A257" s="317">
        <v>41817</v>
      </c>
      <c r="B257" s="318">
        <v>3</v>
      </c>
      <c r="C257" s="320" t="s">
        <v>1542</v>
      </c>
      <c r="D257" s="321"/>
      <c r="E257" s="321"/>
      <c r="F257" s="434"/>
      <c r="G257" s="435"/>
      <c r="H257" s="434"/>
      <c r="I257" s="436"/>
      <c r="J257" s="437">
        <v>0</v>
      </c>
      <c r="K257" s="285"/>
      <c r="L257" s="285"/>
      <c r="M257" s="285"/>
      <c r="N257" s="438">
        <v>0</v>
      </c>
      <c r="O257" s="285"/>
      <c r="P257" s="285"/>
      <c r="Q257" s="285"/>
      <c r="R257" s="439">
        <v>0</v>
      </c>
      <c r="S257" s="285"/>
      <c r="T257" s="285"/>
      <c r="U257" s="285"/>
      <c r="V257" s="440"/>
      <c r="W257" s="439">
        <v>0</v>
      </c>
      <c r="X257" s="285"/>
      <c r="Y257" s="285"/>
      <c r="Z257" s="440"/>
      <c r="AA257" s="439">
        <v>0</v>
      </c>
      <c r="AB257" s="285"/>
      <c r="AC257" s="285"/>
      <c r="AD257" s="285"/>
      <c r="AE257" s="439">
        <v>0</v>
      </c>
      <c r="AF257" s="285"/>
      <c r="AG257" s="285"/>
      <c r="AH257" s="285"/>
      <c r="AI257" s="285"/>
      <c r="AJ257" s="439">
        <v>0</v>
      </c>
      <c r="AK257" s="340"/>
      <c r="AL257" s="340"/>
      <c r="AM257" s="340"/>
      <c r="AN257" s="340"/>
      <c r="AO257" s="340"/>
      <c r="AP257" s="340"/>
      <c r="AQ257" s="340"/>
      <c r="AR257" s="441">
        <v>0</v>
      </c>
      <c r="AS257" s="343" t="s">
        <v>1547</v>
      </c>
      <c r="AT257" s="313"/>
      <c r="AU257" s="289" t="s">
        <v>1545</v>
      </c>
      <c r="AV257" s="313" t="s">
        <v>1549</v>
      </c>
      <c r="AW257" s="289" t="s">
        <v>1548</v>
      </c>
      <c r="AX257" s="443">
        <v>0</v>
      </c>
      <c r="AY257" s="443">
        <v>0</v>
      </c>
      <c r="AZ257" s="443">
        <v>0</v>
      </c>
      <c r="BA257" s="443">
        <v>0</v>
      </c>
      <c r="BB257" s="443">
        <v>0</v>
      </c>
      <c r="BC257" s="443">
        <v>0</v>
      </c>
      <c r="BD257" s="443">
        <v>0</v>
      </c>
      <c r="BE257" s="443">
        <v>0</v>
      </c>
      <c r="BF257" s="443">
        <v>0</v>
      </c>
      <c r="BG257" s="443">
        <v>0</v>
      </c>
      <c r="BH257" s="443">
        <v>0</v>
      </c>
      <c r="BI257" s="443">
        <v>0</v>
      </c>
      <c r="BJ257" s="443">
        <v>0</v>
      </c>
      <c r="BK257" s="443">
        <v>0</v>
      </c>
      <c r="BL257" s="443">
        <v>0</v>
      </c>
      <c r="BM257" s="443">
        <v>0</v>
      </c>
      <c r="BN257" s="443">
        <v>0</v>
      </c>
      <c r="BO257" s="443">
        <v>0</v>
      </c>
      <c r="BP257" s="443">
        <v>0</v>
      </c>
      <c r="BQ257" s="443">
        <v>0</v>
      </c>
    </row>
    <row r="258" spans="1:69" x14ac:dyDescent="0.2">
      <c r="A258" s="102">
        <v>41818</v>
      </c>
      <c r="B258" s="319">
        <v>1</v>
      </c>
      <c r="C258" s="118" t="s">
        <v>1550</v>
      </c>
      <c r="D258" s="111">
        <v>0.30763888888888891</v>
      </c>
      <c r="E258" s="111">
        <v>0.40972222222222227</v>
      </c>
      <c r="F258" s="444">
        <v>34</v>
      </c>
      <c r="G258" s="445">
        <v>8</v>
      </c>
      <c r="H258" s="444"/>
      <c r="I258" s="390">
        <v>86.6</v>
      </c>
      <c r="J258" s="426">
        <f t="shared" si="141"/>
        <v>147.00000000000003</v>
      </c>
      <c r="K258" s="103">
        <v>1</v>
      </c>
      <c r="L258" s="103"/>
      <c r="M258" s="103"/>
      <c r="N258" s="427">
        <f t="shared" si="142"/>
        <v>1</v>
      </c>
      <c r="O258" s="103"/>
      <c r="P258" s="103"/>
      <c r="Q258" s="103"/>
      <c r="R258" s="428">
        <f t="shared" si="143"/>
        <v>0</v>
      </c>
      <c r="S258" s="103"/>
      <c r="T258" s="103"/>
      <c r="U258" s="103"/>
      <c r="V258" s="125"/>
      <c r="W258" s="428">
        <f t="shared" si="147"/>
        <v>0</v>
      </c>
      <c r="X258" s="103"/>
      <c r="Y258" s="103"/>
      <c r="Z258" s="125"/>
      <c r="AA258" s="428">
        <f t="shared" si="148"/>
        <v>0</v>
      </c>
      <c r="AB258" s="103"/>
      <c r="AC258" s="103"/>
      <c r="AD258" s="103"/>
      <c r="AE258" s="428">
        <f t="shared" si="149"/>
        <v>0</v>
      </c>
      <c r="AF258" s="103"/>
      <c r="AG258" s="103"/>
      <c r="AH258" s="103"/>
      <c r="AI258" s="103"/>
      <c r="AJ258" s="428">
        <f t="shared" si="150"/>
        <v>0</v>
      </c>
      <c r="AK258" s="446"/>
      <c r="AL258" s="446"/>
      <c r="AM258" s="446"/>
      <c r="AN258" s="446"/>
      <c r="AO258" s="446"/>
      <c r="AP258" s="446"/>
      <c r="AQ258" s="446"/>
      <c r="AR258" s="431">
        <f t="shared" si="151"/>
        <v>0</v>
      </c>
      <c r="AS258" s="10" t="s">
        <v>1551</v>
      </c>
      <c r="AT258" s="128"/>
      <c r="AU258" s="100" t="s">
        <v>1557</v>
      </c>
      <c r="AV258" s="128" t="s">
        <v>1589</v>
      </c>
      <c r="AW258" s="100" t="s">
        <v>1590</v>
      </c>
      <c r="AX258" s="433">
        <f t="shared" si="152"/>
        <v>1</v>
      </c>
      <c r="AY258" s="433">
        <f t="shared" si="153"/>
        <v>0</v>
      </c>
      <c r="AZ258" s="433">
        <f t="shared" si="154"/>
        <v>0</v>
      </c>
      <c r="BA258" s="433">
        <f t="shared" si="144"/>
        <v>0</v>
      </c>
      <c r="BB258" s="433">
        <f t="shared" si="145"/>
        <v>0</v>
      </c>
      <c r="BC258" s="433">
        <f t="shared" si="146"/>
        <v>0</v>
      </c>
      <c r="BD258" s="433">
        <f t="shared" si="155"/>
        <v>0</v>
      </c>
      <c r="BE258" s="433">
        <f t="shared" si="156"/>
        <v>0</v>
      </c>
      <c r="BF258" s="433">
        <f t="shared" si="157"/>
        <v>0</v>
      </c>
      <c r="BG258" s="433">
        <f t="shared" si="158"/>
        <v>0</v>
      </c>
      <c r="BH258" s="433">
        <f t="shared" si="159"/>
        <v>0</v>
      </c>
      <c r="BI258" s="433">
        <f t="shared" si="160"/>
        <v>0</v>
      </c>
      <c r="BJ258" s="433">
        <f t="shared" si="161"/>
        <v>0</v>
      </c>
      <c r="BK258" s="433">
        <f t="shared" si="162"/>
        <v>0</v>
      </c>
      <c r="BL258" s="433">
        <f t="shared" si="163"/>
        <v>0</v>
      </c>
      <c r="BM258" s="433">
        <f t="shared" si="164"/>
        <v>0</v>
      </c>
      <c r="BN258" s="433">
        <f t="shared" si="165"/>
        <v>0</v>
      </c>
      <c r="BO258" s="433">
        <f t="shared" si="166"/>
        <v>0</v>
      </c>
      <c r="BP258" s="433">
        <f t="shared" si="167"/>
        <v>0</v>
      </c>
      <c r="BQ258" s="433">
        <f t="shared" si="168"/>
        <v>0</v>
      </c>
    </row>
    <row r="259" spans="1:69" x14ac:dyDescent="0.2">
      <c r="A259" s="102">
        <v>41818</v>
      </c>
      <c r="B259" s="319">
        <v>1</v>
      </c>
      <c r="C259" s="118" t="s">
        <v>1552</v>
      </c>
      <c r="D259" s="111">
        <v>0.40972222222222227</v>
      </c>
      <c r="E259" s="111">
        <v>0.5</v>
      </c>
      <c r="F259" s="444">
        <v>33</v>
      </c>
      <c r="G259" s="445">
        <v>7</v>
      </c>
      <c r="H259" s="444"/>
      <c r="I259" s="390"/>
      <c r="J259" s="426">
        <f t="shared" ref="J259:J322" si="169">(E259-D259)*24*60</f>
        <v>129.99999999999994</v>
      </c>
      <c r="K259" s="103">
        <v>2</v>
      </c>
      <c r="L259" s="103"/>
      <c r="M259" s="103"/>
      <c r="N259" s="427">
        <f t="shared" ref="N259:N322" si="170">SUM(K259:M259)</f>
        <v>2</v>
      </c>
      <c r="O259" s="103"/>
      <c r="P259" s="103">
        <v>1</v>
      </c>
      <c r="Q259" s="103"/>
      <c r="R259" s="428">
        <f t="shared" ref="R259:R322" si="171">SUM(O259:Q259)</f>
        <v>1</v>
      </c>
      <c r="S259" s="103"/>
      <c r="T259" s="103"/>
      <c r="U259" s="103"/>
      <c r="V259" s="125"/>
      <c r="W259" s="428">
        <f t="shared" si="147"/>
        <v>0</v>
      </c>
      <c r="X259" s="103"/>
      <c r="Y259" s="103"/>
      <c r="Z259" s="125"/>
      <c r="AA259" s="428">
        <f t="shared" si="148"/>
        <v>0</v>
      </c>
      <c r="AB259" s="103"/>
      <c r="AC259" s="103"/>
      <c r="AD259" s="103"/>
      <c r="AE259" s="428">
        <f t="shared" si="149"/>
        <v>0</v>
      </c>
      <c r="AF259" s="103"/>
      <c r="AG259" s="103"/>
      <c r="AH259" s="103"/>
      <c r="AI259" s="103"/>
      <c r="AJ259" s="428">
        <f t="shared" si="150"/>
        <v>0</v>
      </c>
      <c r="AK259" s="446"/>
      <c r="AL259" s="446"/>
      <c r="AM259" s="446"/>
      <c r="AN259" s="446"/>
      <c r="AO259" s="446"/>
      <c r="AP259" s="446"/>
      <c r="AQ259" s="446"/>
      <c r="AR259" s="431">
        <f t="shared" si="151"/>
        <v>0</v>
      </c>
      <c r="AT259" s="128"/>
      <c r="AU259" s="100" t="s">
        <v>1558</v>
      </c>
      <c r="AV259" s="128" t="s">
        <v>1589</v>
      </c>
      <c r="AW259" s="100" t="s">
        <v>1590</v>
      </c>
      <c r="AX259" s="433">
        <f t="shared" si="152"/>
        <v>2</v>
      </c>
      <c r="AY259" s="433">
        <f t="shared" si="153"/>
        <v>0</v>
      </c>
      <c r="AZ259" s="433">
        <f t="shared" si="154"/>
        <v>0</v>
      </c>
      <c r="BA259" s="433">
        <f t="shared" ref="BA259:BA322" si="172">O259</f>
        <v>0</v>
      </c>
      <c r="BB259" s="433">
        <f t="shared" ref="BB259:BB322" si="173">P259</f>
        <v>1</v>
      </c>
      <c r="BC259" s="433">
        <f t="shared" ref="BC259:BC322" si="174">Q259</f>
        <v>0</v>
      </c>
      <c r="BD259" s="433">
        <f t="shared" si="155"/>
        <v>0</v>
      </c>
      <c r="BE259" s="433">
        <f t="shared" si="156"/>
        <v>0</v>
      </c>
      <c r="BF259" s="433">
        <f t="shared" si="157"/>
        <v>0</v>
      </c>
      <c r="BG259" s="433">
        <f t="shared" si="158"/>
        <v>0</v>
      </c>
      <c r="BH259" s="433">
        <f t="shared" si="159"/>
        <v>0</v>
      </c>
      <c r="BI259" s="433">
        <f t="shared" si="160"/>
        <v>0</v>
      </c>
      <c r="BJ259" s="433">
        <f t="shared" si="161"/>
        <v>0</v>
      </c>
      <c r="BK259" s="433">
        <f t="shared" si="162"/>
        <v>0</v>
      </c>
      <c r="BL259" s="433">
        <f t="shared" si="163"/>
        <v>0</v>
      </c>
      <c r="BM259" s="433">
        <f t="shared" si="164"/>
        <v>0</v>
      </c>
      <c r="BN259" s="433">
        <f t="shared" si="165"/>
        <v>0</v>
      </c>
      <c r="BO259" s="433">
        <f t="shared" si="166"/>
        <v>0</v>
      </c>
      <c r="BP259" s="433">
        <f t="shared" si="167"/>
        <v>0</v>
      </c>
      <c r="BQ259" s="433">
        <f t="shared" si="168"/>
        <v>0</v>
      </c>
    </row>
    <row r="260" spans="1:69" x14ac:dyDescent="0.2">
      <c r="A260" s="102">
        <v>41818</v>
      </c>
      <c r="B260" s="319">
        <v>1</v>
      </c>
      <c r="C260" s="118" t="s">
        <v>1553</v>
      </c>
      <c r="D260" s="111">
        <v>0.5</v>
      </c>
      <c r="E260" s="111">
        <v>0.60069444444444442</v>
      </c>
      <c r="F260" s="444">
        <v>34</v>
      </c>
      <c r="G260" s="445">
        <v>7</v>
      </c>
      <c r="H260" s="444"/>
      <c r="I260" s="390"/>
      <c r="J260" s="426">
        <f>((E260-D260)*24*60)-16</f>
        <v>128.99999999999997</v>
      </c>
      <c r="K260" s="103"/>
      <c r="L260" s="103"/>
      <c r="M260" s="103"/>
      <c r="N260" s="427">
        <f t="shared" si="170"/>
        <v>0</v>
      </c>
      <c r="O260" s="103"/>
      <c r="P260" s="103">
        <v>1</v>
      </c>
      <c r="Q260" s="103"/>
      <c r="R260" s="428">
        <f t="shared" si="171"/>
        <v>1</v>
      </c>
      <c r="S260" s="103"/>
      <c r="T260" s="103"/>
      <c r="U260" s="103"/>
      <c r="V260" s="125"/>
      <c r="W260" s="428">
        <f t="shared" ref="W260:W323" si="175">SUM(S260:V260)</f>
        <v>0</v>
      </c>
      <c r="X260" s="103"/>
      <c r="Y260" s="103"/>
      <c r="Z260" s="125"/>
      <c r="AA260" s="428">
        <f t="shared" ref="AA260:AA323" si="176">SUM(X260:Z260)</f>
        <v>0</v>
      </c>
      <c r="AB260" s="103"/>
      <c r="AC260" s="103"/>
      <c r="AD260" s="103"/>
      <c r="AE260" s="428">
        <f t="shared" ref="AE260:AE323" si="177">SUM(AB260:AD260)</f>
        <v>0</v>
      </c>
      <c r="AF260" s="103"/>
      <c r="AG260" s="103"/>
      <c r="AH260" s="103"/>
      <c r="AI260" s="103"/>
      <c r="AJ260" s="428">
        <f t="shared" ref="AJ260:AJ323" si="178">SUM(AF260:AI260)</f>
        <v>0</v>
      </c>
      <c r="AK260" s="446"/>
      <c r="AL260" s="446"/>
      <c r="AM260" s="446"/>
      <c r="AN260" s="446"/>
      <c r="AO260" s="446"/>
      <c r="AP260" s="446"/>
      <c r="AQ260" s="446"/>
      <c r="AR260" s="431">
        <f t="shared" ref="AR260:AR323" si="179">SUM(AK260:AQ260)</f>
        <v>0</v>
      </c>
      <c r="AS260" s="10" t="s">
        <v>1588</v>
      </c>
      <c r="AT260" s="128"/>
      <c r="AU260" s="100" t="s">
        <v>1559</v>
      </c>
      <c r="AV260" s="128" t="s">
        <v>1589</v>
      </c>
      <c r="AW260" s="100" t="s">
        <v>1590</v>
      </c>
      <c r="AX260" s="433">
        <f t="shared" ref="AX260:AX323" si="180">K260</f>
        <v>0</v>
      </c>
      <c r="AY260" s="433">
        <f t="shared" ref="AY260:AY323" si="181">L260</f>
        <v>0</v>
      </c>
      <c r="AZ260" s="433">
        <f t="shared" ref="AZ260:AZ323" si="182">M260</f>
        <v>0</v>
      </c>
      <c r="BA260" s="433">
        <f t="shared" si="172"/>
        <v>0</v>
      </c>
      <c r="BB260" s="433">
        <f t="shared" si="173"/>
        <v>1</v>
      </c>
      <c r="BC260" s="433">
        <f t="shared" si="174"/>
        <v>0</v>
      </c>
      <c r="BD260" s="433">
        <f t="shared" ref="BD260:BD323" si="183">S260</f>
        <v>0</v>
      </c>
      <c r="BE260" s="433">
        <f t="shared" ref="BE260:BE323" si="184">T260</f>
        <v>0</v>
      </c>
      <c r="BF260" s="433">
        <f t="shared" ref="BF260:BF323" si="185">U260</f>
        <v>0</v>
      </c>
      <c r="BG260" s="433">
        <f t="shared" ref="BG260:BG323" si="186">V260</f>
        <v>0</v>
      </c>
      <c r="BH260" s="433">
        <f t="shared" ref="BH260:BH323" si="187">X260</f>
        <v>0</v>
      </c>
      <c r="BI260" s="433">
        <f t="shared" ref="BI260:BI323" si="188">Y260</f>
        <v>0</v>
      </c>
      <c r="BJ260" s="433">
        <f t="shared" ref="BJ260:BJ323" si="189">Z260</f>
        <v>0</v>
      </c>
      <c r="BK260" s="433">
        <f t="shared" ref="BK260:BK323" si="190">AB260</f>
        <v>0</v>
      </c>
      <c r="BL260" s="433">
        <f t="shared" ref="BL260:BL323" si="191">AC260</f>
        <v>0</v>
      </c>
      <c r="BM260" s="433">
        <f t="shared" ref="BM260:BM323" si="192">AD260</f>
        <v>0</v>
      </c>
      <c r="BN260" s="433">
        <f t="shared" ref="BN260:BN323" si="193">AF260</f>
        <v>0</v>
      </c>
      <c r="BO260" s="433">
        <f t="shared" ref="BO260:BO323" si="194">AG260</f>
        <v>0</v>
      </c>
      <c r="BP260" s="433">
        <f t="shared" ref="BP260:BP323" si="195">AH260</f>
        <v>0</v>
      </c>
      <c r="BQ260" s="433">
        <f t="shared" ref="BQ260:BQ323" si="196">AI260</f>
        <v>0</v>
      </c>
    </row>
    <row r="261" spans="1:69" x14ac:dyDescent="0.2">
      <c r="A261" s="102">
        <v>41818</v>
      </c>
      <c r="B261" s="319">
        <v>1</v>
      </c>
      <c r="C261" s="118" t="s">
        <v>1554</v>
      </c>
      <c r="D261" s="111">
        <v>0.60069444444444442</v>
      </c>
      <c r="E261" s="111">
        <v>0.69652777777777775</v>
      </c>
      <c r="F261" s="444">
        <v>39</v>
      </c>
      <c r="G261" s="445">
        <v>8</v>
      </c>
      <c r="H261" s="444"/>
      <c r="I261" s="390"/>
      <c r="J261" s="426">
        <f>((E261-D261)*24*60)-26</f>
        <v>112</v>
      </c>
      <c r="K261" s="103">
        <v>1</v>
      </c>
      <c r="L261" s="103"/>
      <c r="M261" s="103"/>
      <c r="N261" s="427">
        <f t="shared" si="170"/>
        <v>1</v>
      </c>
      <c r="O261" s="103"/>
      <c r="P261" s="103"/>
      <c r="Q261" s="103"/>
      <c r="R261" s="428">
        <f t="shared" si="171"/>
        <v>0</v>
      </c>
      <c r="S261" s="103"/>
      <c r="T261" s="103"/>
      <c r="U261" s="103"/>
      <c r="V261" s="125"/>
      <c r="W261" s="428">
        <f t="shared" si="175"/>
        <v>0</v>
      </c>
      <c r="X261" s="103"/>
      <c r="Y261" s="103"/>
      <c r="Z261" s="125"/>
      <c r="AA261" s="428">
        <f t="shared" si="176"/>
        <v>0</v>
      </c>
      <c r="AB261" s="103"/>
      <c r="AC261" s="103"/>
      <c r="AD261" s="103"/>
      <c r="AE261" s="428">
        <f t="shared" si="177"/>
        <v>0</v>
      </c>
      <c r="AF261" s="103"/>
      <c r="AG261" s="103"/>
      <c r="AH261" s="103"/>
      <c r="AI261" s="103"/>
      <c r="AJ261" s="428">
        <f t="shared" si="178"/>
        <v>0</v>
      </c>
      <c r="AK261" s="446"/>
      <c r="AL261" s="446"/>
      <c r="AM261" s="446"/>
      <c r="AN261" s="446"/>
      <c r="AO261" s="446"/>
      <c r="AP261" s="446"/>
      <c r="AQ261" s="446"/>
      <c r="AR261" s="431">
        <f t="shared" si="179"/>
        <v>0</v>
      </c>
      <c r="AS261" s="10" t="s">
        <v>1555</v>
      </c>
      <c r="AT261" s="128"/>
      <c r="AU261" s="100" t="s">
        <v>1560</v>
      </c>
      <c r="AV261" s="128" t="s">
        <v>1589</v>
      </c>
      <c r="AW261" s="100" t="s">
        <v>1590</v>
      </c>
      <c r="AX261" s="433">
        <f t="shared" si="180"/>
        <v>1</v>
      </c>
      <c r="AY261" s="433">
        <f t="shared" si="181"/>
        <v>0</v>
      </c>
      <c r="AZ261" s="433">
        <f t="shared" si="182"/>
        <v>0</v>
      </c>
      <c r="BA261" s="433">
        <f t="shared" si="172"/>
        <v>0</v>
      </c>
      <c r="BB261" s="433">
        <f t="shared" si="173"/>
        <v>0</v>
      </c>
      <c r="BC261" s="433">
        <f t="shared" si="174"/>
        <v>0</v>
      </c>
      <c r="BD261" s="433">
        <f t="shared" si="183"/>
        <v>0</v>
      </c>
      <c r="BE261" s="433">
        <f t="shared" si="184"/>
        <v>0</v>
      </c>
      <c r="BF261" s="433">
        <f t="shared" si="185"/>
        <v>0</v>
      </c>
      <c r="BG261" s="433">
        <f t="shared" si="186"/>
        <v>0</v>
      </c>
      <c r="BH261" s="433">
        <f t="shared" si="187"/>
        <v>0</v>
      </c>
      <c r="BI261" s="433">
        <f t="shared" si="188"/>
        <v>0</v>
      </c>
      <c r="BJ261" s="433">
        <f t="shared" si="189"/>
        <v>0</v>
      </c>
      <c r="BK261" s="433">
        <f t="shared" si="190"/>
        <v>0</v>
      </c>
      <c r="BL261" s="433">
        <f t="shared" si="191"/>
        <v>0</v>
      </c>
      <c r="BM261" s="433">
        <f t="shared" si="192"/>
        <v>0</v>
      </c>
      <c r="BN261" s="433">
        <f t="shared" si="193"/>
        <v>0</v>
      </c>
      <c r="BO261" s="433">
        <f t="shared" si="194"/>
        <v>0</v>
      </c>
      <c r="BP261" s="433">
        <f t="shared" si="195"/>
        <v>0</v>
      </c>
      <c r="BQ261" s="433">
        <f t="shared" si="196"/>
        <v>0</v>
      </c>
    </row>
    <row r="262" spans="1:69" x14ac:dyDescent="0.2">
      <c r="A262" s="102">
        <v>41818</v>
      </c>
      <c r="B262" s="319">
        <v>1</v>
      </c>
      <c r="C262" s="118" t="s">
        <v>1556</v>
      </c>
      <c r="D262" s="111">
        <v>0.69652777777777775</v>
      </c>
      <c r="E262" s="111">
        <v>0.7944444444444444</v>
      </c>
      <c r="F262" s="444">
        <v>33</v>
      </c>
      <c r="G262" s="445">
        <v>8</v>
      </c>
      <c r="H262" s="444"/>
      <c r="I262" s="390"/>
      <c r="J262" s="426">
        <f t="shared" si="169"/>
        <v>140.99999999999997</v>
      </c>
      <c r="K262" s="103">
        <v>2</v>
      </c>
      <c r="L262" s="103"/>
      <c r="M262" s="103"/>
      <c r="N262" s="427">
        <f t="shared" si="170"/>
        <v>2</v>
      </c>
      <c r="O262" s="103"/>
      <c r="P262" s="103">
        <v>3</v>
      </c>
      <c r="Q262" s="103"/>
      <c r="R262" s="428">
        <f t="shared" si="171"/>
        <v>3</v>
      </c>
      <c r="S262" s="103"/>
      <c r="T262" s="103"/>
      <c r="U262" s="103"/>
      <c r="V262" s="125"/>
      <c r="W262" s="428">
        <f t="shared" si="175"/>
        <v>0</v>
      </c>
      <c r="X262" s="103"/>
      <c r="Y262" s="103"/>
      <c r="Z262" s="125"/>
      <c r="AA262" s="428">
        <f t="shared" si="176"/>
        <v>0</v>
      </c>
      <c r="AB262" s="103"/>
      <c r="AC262" s="103"/>
      <c r="AD262" s="103"/>
      <c r="AE262" s="428">
        <f t="shared" si="177"/>
        <v>0</v>
      </c>
      <c r="AF262" s="103"/>
      <c r="AG262" s="103"/>
      <c r="AH262" s="103"/>
      <c r="AI262" s="103"/>
      <c r="AJ262" s="428">
        <f t="shared" si="178"/>
        <v>0</v>
      </c>
      <c r="AK262" s="446"/>
      <c r="AL262" s="446"/>
      <c r="AM262" s="446">
        <v>1</v>
      </c>
      <c r="AN262" s="446"/>
      <c r="AO262" s="446"/>
      <c r="AP262" s="446"/>
      <c r="AQ262" s="446"/>
      <c r="AR262" s="431">
        <f t="shared" si="179"/>
        <v>1</v>
      </c>
      <c r="AT262" s="128"/>
      <c r="AU262" s="100" t="s">
        <v>1565</v>
      </c>
      <c r="AV262" s="128" t="s">
        <v>1589</v>
      </c>
      <c r="AW262" s="100" t="s">
        <v>1590</v>
      </c>
      <c r="AX262" s="433">
        <f t="shared" si="180"/>
        <v>2</v>
      </c>
      <c r="AY262" s="433">
        <f t="shared" si="181"/>
        <v>0</v>
      </c>
      <c r="AZ262" s="433">
        <f t="shared" si="182"/>
        <v>0</v>
      </c>
      <c r="BA262" s="433">
        <f t="shared" si="172"/>
        <v>0</v>
      </c>
      <c r="BB262" s="433">
        <f t="shared" si="173"/>
        <v>3</v>
      </c>
      <c r="BC262" s="433">
        <f t="shared" si="174"/>
        <v>0</v>
      </c>
      <c r="BD262" s="433">
        <f t="shared" si="183"/>
        <v>0</v>
      </c>
      <c r="BE262" s="433">
        <f t="shared" si="184"/>
        <v>0</v>
      </c>
      <c r="BF262" s="433">
        <f t="shared" si="185"/>
        <v>0</v>
      </c>
      <c r="BG262" s="433">
        <f t="shared" si="186"/>
        <v>0</v>
      </c>
      <c r="BH262" s="433">
        <f t="shared" si="187"/>
        <v>0</v>
      </c>
      <c r="BI262" s="433">
        <f t="shared" si="188"/>
        <v>0</v>
      </c>
      <c r="BJ262" s="433">
        <f t="shared" si="189"/>
        <v>0</v>
      </c>
      <c r="BK262" s="433">
        <f t="shared" si="190"/>
        <v>0</v>
      </c>
      <c r="BL262" s="433">
        <f t="shared" si="191"/>
        <v>0</v>
      </c>
      <c r="BM262" s="433">
        <f t="shared" si="192"/>
        <v>0</v>
      </c>
      <c r="BN262" s="433">
        <f t="shared" si="193"/>
        <v>0</v>
      </c>
      <c r="BO262" s="433">
        <f t="shared" si="194"/>
        <v>0</v>
      </c>
      <c r="BP262" s="433">
        <f t="shared" si="195"/>
        <v>0</v>
      </c>
      <c r="BQ262" s="433">
        <f t="shared" si="196"/>
        <v>0</v>
      </c>
    </row>
    <row r="263" spans="1:69" x14ac:dyDescent="0.2">
      <c r="A263" s="102">
        <v>41818</v>
      </c>
      <c r="B263" s="319">
        <v>1</v>
      </c>
      <c r="C263" s="118" t="s">
        <v>1561</v>
      </c>
      <c r="D263" s="111">
        <v>0.7944444444444444</v>
      </c>
      <c r="E263" s="111">
        <v>0.89583333333333337</v>
      </c>
      <c r="F263" s="444">
        <v>37</v>
      </c>
      <c r="G263" s="445">
        <v>8</v>
      </c>
      <c r="H263" s="444"/>
      <c r="I263" s="390"/>
      <c r="J263" s="426">
        <f t="shared" si="169"/>
        <v>146.00000000000011</v>
      </c>
      <c r="K263" s="103">
        <v>1</v>
      </c>
      <c r="L263" s="103">
        <v>1</v>
      </c>
      <c r="M263" s="103"/>
      <c r="N263" s="427">
        <f t="shared" si="170"/>
        <v>2</v>
      </c>
      <c r="O263" s="103"/>
      <c r="P263" s="103"/>
      <c r="Q263" s="103"/>
      <c r="R263" s="428">
        <f t="shared" si="171"/>
        <v>0</v>
      </c>
      <c r="S263" s="103"/>
      <c r="T263" s="103"/>
      <c r="U263" s="103"/>
      <c r="V263" s="125"/>
      <c r="W263" s="428">
        <f t="shared" si="175"/>
        <v>0</v>
      </c>
      <c r="X263" s="103"/>
      <c r="Y263" s="103"/>
      <c r="Z263" s="125"/>
      <c r="AA263" s="428">
        <f t="shared" si="176"/>
        <v>0</v>
      </c>
      <c r="AB263" s="103"/>
      <c r="AC263" s="103"/>
      <c r="AD263" s="103"/>
      <c r="AE263" s="428">
        <f t="shared" si="177"/>
        <v>0</v>
      </c>
      <c r="AF263" s="103"/>
      <c r="AG263" s="103"/>
      <c r="AH263" s="103"/>
      <c r="AI263" s="103"/>
      <c r="AJ263" s="428">
        <f t="shared" si="178"/>
        <v>0</v>
      </c>
      <c r="AK263" s="446"/>
      <c r="AL263" s="446"/>
      <c r="AM263" s="446"/>
      <c r="AN263" s="446"/>
      <c r="AO263" s="446"/>
      <c r="AP263" s="446"/>
      <c r="AQ263" s="446"/>
      <c r="AR263" s="431">
        <f t="shared" si="179"/>
        <v>0</v>
      </c>
      <c r="AT263" s="128" t="s">
        <v>1562</v>
      </c>
      <c r="AU263" s="100" t="s">
        <v>1549</v>
      </c>
      <c r="AV263" s="128" t="s">
        <v>1589</v>
      </c>
      <c r="AW263" s="100" t="s">
        <v>1590</v>
      </c>
      <c r="AX263" s="433">
        <f t="shared" si="180"/>
        <v>1</v>
      </c>
      <c r="AY263" s="433">
        <f t="shared" si="181"/>
        <v>1</v>
      </c>
      <c r="AZ263" s="433">
        <f t="shared" si="182"/>
        <v>0</v>
      </c>
      <c r="BA263" s="433">
        <f t="shared" si="172"/>
        <v>0</v>
      </c>
      <c r="BB263" s="433">
        <f t="shared" si="173"/>
        <v>0</v>
      </c>
      <c r="BC263" s="433">
        <f t="shared" si="174"/>
        <v>0</v>
      </c>
      <c r="BD263" s="433">
        <f t="shared" si="183"/>
        <v>0</v>
      </c>
      <c r="BE263" s="433">
        <f t="shared" si="184"/>
        <v>0</v>
      </c>
      <c r="BF263" s="433">
        <f t="shared" si="185"/>
        <v>0</v>
      </c>
      <c r="BG263" s="433">
        <f t="shared" si="186"/>
        <v>0</v>
      </c>
      <c r="BH263" s="433">
        <f t="shared" si="187"/>
        <v>0</v>
      </c>
      <c r="BI263" s="433">
        <f t="shared" si="188"/>
        <v>0</v>
      </c>
      <c r="BJ263" s="433">
        <f t="shared" si="189"/>
        <v>0</v>
      </c>
      <c r="BK263" s="433">
        <f t="shared" si="190"/>
        <v>0</v>
      </c>
      <c r="BL263" s="433">
        <f t="shared" si="191"/>
        <v>0</v>
      </c>
      <c r="BM263" s="433">
        <f t="shared" si="192"/>
        <v>0</v>
      </c>
      <c r="BN263" s="433">
        <f t="shared" si="193"/>
        <v>0</v>
      </c>
      <c r="BO263" s="433">
        <f t="shared" si="194"/>
        <v>0</v>
      </c>
      <c r="BP263" s="433">
        <f t="shared" si="195"/>
        <v>0</v>
      </c>
      <c r="BQ263" s="433">
        <f t="shared" si="196"/>
        <v>0</v>
      </c>
    </row>
    <row r="264" spans="1:69" x14ac:dyDescent="0.2">
      <c r="A264" s="102">
        <v>41818</v>
      </c>
      <c r="B264" s="319">
        <v>1</v>
      </c>
      <c r="C264" s="118" t="s">
        <v>1563</v>
      </c>
      <c r="D264" s="111">
        <v>0.89583333333333337</v>
      </c>
      <c r="E264" s="111">
        <v>1</v>
      </c>
      <c r="F264" s="444">
        <v>38</v>
      </c>
      <c r="G264" s="445">
        <v>8</v>
      </c>
      <c r="H264" s="444"/>
      <c r="I264" s="390"/>
      <c r="J264" s="426">
        <f t="shared" si="169"/>
        <v>149.99999999999994</v>
      </c>
      <c r="K264" s="103"/>
      <c r="L264" s="103"/>
      <c r="M264" s="103"/>
      <c r="N264" s="427">
        <f t="shared" si="170"/>
        <v>0</v>
      </c>
      <c r="O264" s="103"/>
      <c r="P264" s="103"/>
      <c r="Q264" s="103"/>
      <c r="R264" s="428">
        <f t="shared" si="171"/>
        <v>0</v>
      </c>
      <c r="S264" s="103"/>
      <c r="T264" s="103"/>
      <c r="U264" s="103"/>
      <c r="V264" s="125"/>
      <c r="W264" s="428">
        <f t="shared" si="175"/>
        <v>0</v>
      </c>
      <c r="X264" s="103"/>
      <c r="Y264" s="103"/>
      <c r="Z264" s="125"/>
      <c r="AA264" s="428">
        <f t="shared" si="176"/>
        <v>0</v>
      </c>
      <c r="AB264" s="103"/>
      <c r="AC264" s="103"/>
      <c r="AD264" s="103"/>
      <c r="AE264" s="428">
        <f t="shared" si="177"/>
        <v>0</v>
      </c>
      <c r="AF264" s="103"/>
      <c r="AG264" s="103"/>
      <c r="AH264" s="103"/>
      <c r="AI264" s="103"/>
      <c r="AJ264" s="428">
        <f t="shared" si="178"/>
        <v>0</v>
      </c>
      <c r="AK264" s="446"/>
      <c r="AL264" s="446"/>
      <c r="AM264" s="446"/>
      <c r="AN264" s="446"/>
      <c r="AO264" s="446"/>
      <c r="AP264" s="446"/>
      <c r="AQ264" s="446"/>
      <c r="AR264" s="431">
        <f t="shared" si="179"/>
        <v>0</v>
      </c>
      <c r="AS264" s="10" t="s">
        <v>1564</v>
      </c>
      <c r="AT264" s="128" t="s">
        <v>424</v>
      </c>
      <c r="AU264" s="100" t="s">
        <v>1566</v>
      </c>
      <c r="AV264" s="128" t="s">
        <v>1589</v>
      </c>
      <c r="AW264" s="100" t="s">
        <v>1590</v>
      </c>
      <c r="AX264" s="433">
        <f t="shared" si="180"/>
        <v>0</v>
      </c>
      <c r="AY264" s="433">
        <f t="shared" si="181"/>
        <v>0</v>
      </c>
      <c r="AZ264" s="433">
        <f t="shared" si="182"/>
        <v>0</v>
      </c>
      <c r="BA264" s="433">
        <f t="shared" si="172"/>
        <v>0</v>
      </c>
      <c r="BB264" s="433">
        <f t="shared" si="173"/>
        <v>0</v>
      </c>
      <c r="BC264" s="433">
        <f t="shared" si="174"/>
        <v>0</v>
      </c>
      <c r="BD264" s="433">
        <f t="shared" si="183"/>
        <v>0</v>
      </c>
      <c r="BE264" s="433">
        <f t="shared" si="184"/>
        <v>0</v>
      </c>
      <c r="BF264" s="433">
        <f t="shared" si="185"/>
        <v>0</v>
      </c>
      <c r="BG264" s="433">
        <f t="shared" si="186"/>
        <v>0</v>
      </c>
      <c r="BH264" s="433">
        <f t="shared" si="187"/>
        <v>0</v>
      </c>
      <c r="BI264" s="433">
        <f t="shared" si="188"/>
        <v>0</v>
      </c>
      <c r="BJ264" s="433">
        <f t="shared" si="189"/>
        <v>0</v>
      </c>
      <c r="BK264" s="433">
        <f t="shared" si="190"/>
        <v>0</v>
      </c>
      <c r="BL264" s="433">
        <f t="shared" si="191"/>
        <v>0</v>
      </c>
      <c r="BM264" s="433">
        <f t="shared" si="192"/>
        <v>0</v>
      </c>
      <c r="BN264" s="433">
        <f t="shared" si="193"/>
        <v>0</v>
      </c>
      <c r="BO264" s="433">
        <f t="shared" si="194"/>
        <v>0</v>
      </c>
      <c r="BP264" s="433">
        <f t="shared" si="195"/>
        <v>0</v>
      </c>
      <c r="BQ264" s="433">
        <f t="shared" si="196"/>
        <v>0</v>
      </c>
    </row>
    <row r="265" spans="1:69" x14ac:dyDescent="0.2">
      <c r="A265" s="102">
        <v>41818</v>
      </c>
      <c r="B265" s="319">
        <v>2</v>
      </c>
      <c r="C265" s="118" t="s">
        <v>1556</v>
      </c>
      <c r="D265" s="111">
        <v>0.6069444444444444</v>
      </c>
      <c r="E265" s="111">
        <v>0.77013888888888893</v>
      </c>
      <c r="F265" s="444">
        <v>29</v>
      </c>
      <c r="G265" s="445">
        <v>10</v>
      </c>
      <c r="H265" s="444"/>
      <c r="I265" s="390"/>
      <c r="J265" s="426">
        <f t="shared" si="169"/>
        <v>235.00000000000011</v>
      </c>
      <c r="K265" s="103"/>
      <c r="L265" s="103"/>
      <c r="M265" s="103"/>
      <c r="N265" s="427">
        <f t="shared" si="170"/>
        <v>0</v>
      </c>
      <c r="O265" s="103"/>
      <c r="P265" s="103"/>
      <c r="Q265" s="103"/>
      <c r="R265" s="428">
        <f t="shared" si="171"/>
        <v>0</v>
      </c>
      <c r="S265" s="103"/>
      <c r="T265" s="103"/>
      <c r="U265" s="103"/>
      <c r="V265" s="125"/>
      <c r="W265" s="428">
        <f t="shared" si="175"/>
        <v>0</v>
      </c>
      <c r="X265" s="103"/>
      <c r="Y265" s="103"/>
      <c r="Z265" s="125"/>
      <c r="AA265" s="428">
        <f t="shared" si="176"/>
        <v>0</v>
      </c>
      <c r="AB265" s="103"/>
      <c r="AC265" s="103"/>
      <c r="AD265" s="103"/>
      <c r="AE265" s="428">
        <f t="shared" si="177"/>
        <v>0</v>
      </c>
      <c r="AF265" s="103"/>
      <c r="AG265" s="103"/>
      <c r="AH265" s="103"/>
      <c r="AI265" s="103"/>
      <c r="AJ265" s="428">
        <f t="shared" si="178"/>
        <v>0</v>
      </c>
      <c r="AK265" s="446"/>
      <c r="AL265" s="446"/>
      <c r="AM265" s="446"/>
      <c r="AN265" s="446"/>
      <c r="AO265" s="446"/>
      <c r="AP265" s="446"/>
      <c r="AQ265" s="446"/>
      <c r="AR265" s="431">
        <f t="shared" si="179"/>
        <v>0</v>
      </c>
      <c r="AT265" s="128" t="s">
        <v>424</v>
      </c>
      <c r="AU265" s="100" t="s">
        <v>1565</v>
      </c>
      <c r="AV265" s="128" t="s">
        <v>1589</v>
      </c>
      <c r="AW265" s="100" t="s">
        <v>1590</v>
      </c>
      <c r="AX265" s="433">
        <f t="shared" si="180"/>
        <v>0</v>
      </c>
      <c r="AY265" s="433">
        <f t="shared" si="181"/>
        <v>0</v>
      </c>
      <c r="AZ265" s="433">
        <f t="shared" si="182"/>
        <v>0</v>
      </c>
      <c r="BA265" s="433">
        <f t="shared" si="172"/>
        <v>0</v>
      </c>
      <c r="BB265" s="433">
        <f t="shared" si="173"/>
        <v>0</v>
      </c>
      <c r="BC265" s="433">
        <f t="shared" si="174"/>
        <v>0</v>
      </c>
      <c r="BD265" s="433">
        <f t="shared" si="183"/>
        <v>0</v>
      </c>
      <c r="BE265" s="433">
        <f t="shared" si="184"/>
        <v>0</v>
      </c>
      <c r="BF265" s="433">
        <f t="shared" si="185"/>
        <v>0</v>
      </c>
      <c r="BG265" s="433">
        <f t="shared" si="186"/>
        <v>0</v>
      </c>
      <c r="BH265" s="433">
        <f t="shared" si="187"/>
        <v>0</v>
      </c>
      <c r="BI265" s="433">
        <f t="shared" si="188"/>
        <v>0</v>
      </c>
      <c r="BJ265" s="433">
        <f t="shared" si="189"/>
        <v>0</v>
      </c>
      <c r="BK265" s="433">
        <f t="shared" si="190"/>
        <v>0</v>
      </c>
      <c r="BL265" s="433">
        <f t="shared" si="191"/>
        <v>0</v>
      </c>
      <c r="BM265" s="433">
        <f t="shared" si="192"/>
        <v>0</v>
      </c>
      <c r="BN265" s="433">
        <f t="shared" si="193"/>
        <v>0</v>
      </c>
      <c r="BO265" s="433">
        <f t="shared" si="194"/>
        <v>0</v>
      </c>
      <c r="BP265" s="433">
        <f t="shared" si="195"/>
        <v>0</v>
      </c>
      <c r="BQ265" s="433">
        <f t="shared" si="196"/>
        <v>0</v>
      </c>
    </row>
    <row r="266" spans="1:69" x14ac:dyDescent="0.2">
      <c r="A266" s="102">
        <v>41818</v>
      </c>
      <c r="B266" s="319">
        <v>2</v>
      </c>
      <c r="C266" s="118" t="s">
        <v>1567</v>
      </c>
      <c r="D266" s="111">
        <v>0.77013888888888893</v>
      </c>
      <c r="E266" s="111">
        <v>0.89583333333333337</v>
      </c>
      <c r="F266" s="444">
        <v>29</v>
      </c>
      <c r="G266" s="445">
        <v>11</v>
      </c>
      <c r="H266" s="444"/>
      <c r="I266" s="390"/>
      <c r="J266" s="426">
        <f t="shared" si="169"/>
        <v>181</v>
      </c>
      <c r="K266" s="103"/>
      <c r="L266" s="103"/>
      <c r="M266" s="103"/>
      <c r="N266" s="427">
        <f t="shared" si="170"/>
        <v>0</v>
      </c>
      <c r="O266" s="103"/>
      <c r="P266" s="103"/>
      <c r="Q266" s="103"/>
      <c r="R266" s="428">
        <f t="shared" si="171"/>
        <v>0</v>
      </c>
      <c r="S266" s="103"/>
      <c r="T266" s="103"/>
      <c r="U266" s="103"/>
      <c r="V266" s="125"/>
      <c r="W266" s="428">
        <f t="shared" si="175"/>
        <v>0</v>
      </c>
      <c r="X266" s="103"/>
      <c r="Y266" s="103"/>
      <c r="Z266" s="125"/>
      <c r="AA266" s="428">
        <f t="shared" si="176"/>
        <v>0</v>
      </c>
      <c r="AB266" s="103"/>
      <c r="AC266" s="103"/>
      <c r="AD266" s="103"/>
      <c r="AE266" s="428">
        <f t="shared" si="177"/>
        <v>0</v>
      </c>
      <c r="AF266" s="103"/>
      <c r="AG266" s="103"/>
      <c r="AH266" s="103"/>
      <c r="AI266" s="103"/>
      <c r="AJ266" s="428">
        <f t="shared" si="178"/>
        <v>0</v>
      </c>
      <c r="AK266" s="446"/>
      <c r="AL266" s="446"/>
      <c r="AM266" s="446"/>
      <c r="AN266" s="446"/>
      <c r="AO266" s="446"/>
      <c r="AP266" s="446"/>
      <c r="AQ266" s="446"/>
      <c r="AR266" s="431">
        <f t="shared" si="179"/>
        <v>0</v>
      </c>
      <c r="AT266" s="128" t="s">
        <v>424</v>
      </c>
      <c r="AU266" s="100" t="s">
        <v>1549</v>
      </c>
      <c r="AV266" s="128" t="s">
        <v>1589</v>
      </c>
      <c r="AW266" s="100" t="s">
        <v>1590</v>
      </c>
      <c r="AX266" s="433">
        <f t="shared" si="180"/>
        <v>0</v>
      </c>
      <c r="AY266" s="433">
        <f t="shared" si="181"/>
        <v>0</v>
      </c>
      <c r="AZ266" s="433">
        <f t="shared" si="182"/>
        <v>0</v>
      </c>
      <c r="BA266" s="433">
        <f t="shared" si="172"/>
        <v>0</v>
      </c>
      <c r="BB266" s="433">
        <f t="shared" si="173"/>
        <v>0</v>
      </c>
      <c r="BC266" s="433">
        <f t="shared" si="174"/>
        <v>0</v>
      </c>
      <c r="BD266" s="433">
        <f t="shared" si="183"/>
        <v>0</v>
      </c>
      <c r="BE266" s="433">
        <f t="shared" si="184"/>
        <v>0</v>
      </c>
      <c r="BF266" s="433">
        <f t="shared" si="185"/>
        <v>0</v>
      </c>
      <c r="BG266" s="433">
        <f t="shared" si="186"/>
        <v>0</v>
      </c>
      <c r="BH266" s="433">
        <f t="shared" si="187"/>
        <v>0</v>
      </c>
      <c r="BI266" s="433">
        <f t="shared" si="188"/>
        <v>0</v>
      </c>
      <c r="BJ266" s="433">
        <f t="shared" si="189"/>
        <v>0</v>
      </c>
      <c r="BK266" s="433">
        <f t="shared" si="190"/>
        <v>0</v>
      </c>
      <c r="BL266" s="433">
        <f t="shared" si="191"/>
        <v>0</v>
      </c>
      <c r="BM266" s="433">
        <f t="shared" si="192"/>
        <v>0</v>
      </c>
      <c r="BN266" s="433">
        <f t="shared" si="193"/>
        <v>0</v>
      </c>
      <c r="BO266" s="433">
        <f t="shared" si="194"/>
        <v>0</v>
      </c>
      <c r="BP266" s="433">
        <f t="shared" si="195"/>
        <v>0</v>
      </c>
      <c r="BQ266" s="433">
        <f t="shared" si="196"/>
        <v>0</v>
      </c>
    </row>
    <row r="267" spans="1:69" x14ac:dyDescent="0.2">
      <c r="A267" s="102">
        <v>41818</v>
      </c>
      <c r="B267" s="319">
        <v>2</v>
      </c>
      <c r="C267" s="118" t="s">
        <v>1568</v>
      </c>
      <c r="D267" s="111">
        <v>0.89583333333333337</v>
      </c>
      <c r="E267" s="111">
        <v>0.97361111111111109</v>
      </c>
      <c r="F267" s="444">
        <v>31</v>
      </c>
      <c r="G267" s="445">
        <v>9</v>
      </c>
      <c r="H267" s="444"/>
      <c r="I267" s="390"/>
      <c r="J267" s="426">
        <f t="shared" si="169"/>
        <v>111.99999999999991</v>
      </c>
      <c r="K267" s="103"/>
      <c r="L267" s="103"/>
      <c r="M267" s="103"/>
      <c r="N267" s="427">
        <f t="shared" si="170"/>
        <v>0</v>
      </c>
      <c r="O267" s="103"/>
      <c r="P267" s="103"/>
      <c r="Q267" s="103"/>
      <c r="R267" s="428">
        <f t="shared" si="171"/>
        <v>0</v>
      </c>
      <c r="S267" s="103"/>
      <c r="T267" s="103"/>
      <c r="U267" s="103"/>
      <c r="V267" s="125"/>
      <c r="W267" s="428">
        <f t="shared" si="175"/>
        <v>0</v>
      </c>
      <c r="X267" s="103"/>
      <c r="Y267" s="103"/>
      <c r="Z267" s="125"/>
      <c r="AA267" s="428">
        <f t="shared" si="176"/>
        <v>0</v>
      </c>
      <c r="AB267" s="103"/>
      <c r="AC267" s="103"/>
      <c r="AD267" s="103"/>
      <c r="AE267" s="428">
        <f t="shared" si="177"/>
        <v>0</v>
      </c>
      <c r="AF267" s="103"/>
      <c r="AG267" s="103"/>
      <c r="AH267" s="103"/>
      <c r="AI267" s="103"/>
      <c r="AJ267" s="428">
        <f t="shared" si="178"/>
        <v>0</v>
      </c>
      <c r="AK267" s="446"/>
      <c r="AL267" s="446"/>
      <c r="AM267" s="446">
        <v>1</v>
      </c>
      <c r="AN267" s="446"/>
      <c r="AO267" s="446"/>
      <c r="AP267" s="446"/>
      <c r="AQ267" s="446"/>
      <c r="AR267" s="431">
        <f t="shared" si="179"/>
        <v>1</v>
      </c>
      <c r="AT267" s="128"/>
      <c r="AU267" s="100" t="s">
        <v>1608</v>
      </c>
      <c r="AV267" s="128" t="s">
        <v>1589</v>
      </c>
      <c r="AW267" s="100" t="s">
        <v>1590</v>
      </c>
      <c r="AX267" s="433">
        <f t="shared" si="180"/>
        <v>0</v>
      </c>
      <c r="AY267" s="433">
        <f t="shared" si="181"/>
        <v>0</v>
      </c>
      <c r="AZ267" s="433">
        <f t="shared" si="182"/>
        <v>0</v>
      </c>
      <c r="BA267" s="433">
        <f t="shared" si="172"/>
        <v>0</v>
      </c>
      <c r="BB267" s="433">
        <f t="shared" si="173"/>
        <v>0</v>
      </c>
      <c r="BC267" s="433">
        <f t="shared" si="174"/>
        <v>0</v>
      </c>
      <c r="BD267" s="433">
        <f t="shared" si="183"/>
        <v>0</v>
      </c>
      <c r="BE267" s="433">
        <f t="shared" si="184"/>
        <v>0</v>
      </c>
      <c r="BF267" s="433">
        <f t="shared" si="185"/>
        <v>0</v>
      </c>
      <c r="BG267" s="433">
        <f t="shared" si="186"/>
        <v>0</v>
      </c>
      <c r="BH267" s="433">
        <f t="shared" si="187"/>
        <v>0</v>
      </c>
      <c r="BI267" s="433">
        <f t="shared" si="188"/>
        <v>0</v>
      </c>
      <c r="BJ267" s="433">
        <f t="shared" si="189"/>
        <v>0</v>
      </c>
      <c r="BK267" s="433">
        <f t="shared" si="190"/>
        <v>0</v>
      </c>
      <c r="BL267" s="433">
        <f t="shared" si="191"/>
        <v>0</v>
      </c>
      <c r="BM267" s="433">
        <f t="shared" si="192"/>
        <v>0</v>
      </c>
      <c r="BN267" s="433">
        <f t="shared" si="193"/>
        <v>0</v>
      </c>
      <c r="BO267" s="433">
        <f t="shared" si="194"/>
        <v>0</v>
      </c>
      <c r="BP267" s="433">
        <f t="shared" si="195"/>
        <v>0</v>
      </c>
      <c r="BQ267" s="433">
        <f t="shared" si="196"/>
        <v>0</v>
      </c>
    </row>
    <row r="268" spans="1:69" s="291" customFormat="1" x14ac:dyDescent="0.2">
      <c r="A268" s="317">
        <v>41818</v>
      </c>
      <c r="B268" s="318">
        <v>3</v>
      </c>
      <c r="C268" s="320" t="s">
        <v>1542</v>
      </c>
      <c r="D268" s="321"/>
      <c r="E268" s="321"/>
      <c r="F268" s="434"/>
      <c r="G268" s="435"/>
      <c r="H268" s="434"/>
      <c r="I268" s="436"/>
      <c r="J268" s="437">
        <f t="shared" si="169"/>
        <v>0</v>
      </c>
      <c r="K268" s="285"/>
      <c r="L268" s="285"/>
      <c r="M268" s="285"/>
      <c r="N268" s="438">
        <f t="shared" si="170"/>
        <v>0</v>
      </c>
      <c r="O268" s="285"/>
      <c r="P268" s="285"/>
      <c r="Q268" s="285"/>
      <c r="R268" s="439">
        <f t="shared" si="171"/>
        <v>0</v>
      </c>
      <c r="S268" s="285"/>
      <c r="T268" s="285"/>
      <c r="U268" s="285"/>
      <c r="V268" s="440"/>
      <c r="W268" s="439">
        <f t="shared" si="175"/>
        <v>0</v>
      </c>
      <c r="X268" s="285"/>
      <c r="Y268" s="285"/>
      <c r="Z268" s="440"/>
      <c r="AA268" s="439">
        <f t="shared" si="176"/>
        <v>0</v>
      </c>
      <c r="AB268" s="285"/>
      <c r="AC268" s="285"/>
      <c r="AD268" s="285"/>
      <c r="AE268" s="439">
        <f t="shared" si="177"/>
        <v>0</v>
      </c>
      <c r="AF268" s="285"/>
      <c r="AG268" s="285"/>
      <c r="AH268" s="285"/>
      <c r="AI268" s="285"/>
      <c r="AJ268" s="439">
        <f t="shared" si="178"/>
        <v>0</v>
      </c>
      <c r="AK268" s="340"/>
      <c r="AL268" s="340"/>
      <c r="AM268" s="340"/>
      <c r="AN268" s="340"/>
      <c r="AO268" s="340"/>
      <c r="AP268" s="340"/>
      <c r="AQ268" s="340"/>
      <c r="AR268" s="441">
        <f t="shared" si="179"/>
        <v>0</v>
      </c>
      <c r="AS268" s="291" t="s">
        <v>1570</v>
      </c>
      <c r="AT268" s="313"/>
      <c r="AU268" s="289" t="s">
        <v>1549</v>
      </c>
      <c r="AV268" s="313" t="s">
        <v>1589</v>
      </c>
      <c r="AW268" s="289" t="s">
        <v>1590</v>
      </c>
      <c r="AX268" s="443">
        <f t="shared" si="180"/>
        <v>0</v>
      </c>
      <c r="AY268" s="443">
        <f t="shared" si="181"/>
        <v>0</v>
      </c>
      <c r="AZ268" s="443">
        <f t="shared" si="182"/>
        <v>0</v>
      </c>
      <c r="BA268" s="443">
        <f t="shared" si="172"/>
        <v>0</v>
      </c>
      <c r="BB268" s="443">
        <f t="shared" si="173"/>
        <v>0</v>
      </c>
      <c r="BC268" s="443">
        <f t="shared" si="174"/>
        <v>0</v>
      </c>
      <c r="BD268" s="443">
        <f t="shared" si="183"/>
        <v>0</v>
      </c>
      <c r="BE268" s="443">
        <f t="shared" si="184"/>
        <v>0</v>
      </c>
      <c r="BF268" s="443">
        <f t="shared" si="185"/>
        <v>0</v>
      </c>
      <c r="BG268" s="443">
        <f t="shared" si="186"/>
        <v>0</v>
      </c>
      <c r="BH268" s="443">
        <f t="shared" si="187"/>
        <v>0</v>
      </c>
      <c r="BI268" s="443">
        <f t="shared" si="188"/>
        <v>0</v>
      </c>
      <c r="BJ268" s="443">
        <f t="shared" si="189"/>
        <v>0</v>
      </c>
      <c r="BK268" s="443">
        <f t="shared" si="190"/>
        <v>0</v>
      </c>
      <c r="BL268" s="443">
        <f t="shared" si="191"/>
        <v>0</v>
      </c>
      <c r="BM268" s="443">
        <f t="shared" si="192"/>
        <v>0</v>
      </c>
      <c r="BN268" s="443">
        <f t="shared" si="193"/>
        <v>0</v>
      </c>
      <c r="BO268" s="443">
        <f t="shared" si="194"/>
        <v>0</v>
      </c>
      <c r="BP268" s="443">
        <f t="shared" si="195"/>
        <v>0</v>
      </c>
      <c r="BQ268" s="443">
        <f t="shared" si="196"/>
        <v>0</v>
      </c>
    </row>
    <row r="269" spans="1:69" x14ac:dyDescent="0.2">
      <c r="A269" s="102">
        <v>41819</v>
      </c>
      <c r="B269" s="319">
        <v>1</v>
      </c>
      <c r="C269" s="118" t="s">
        <v>1602</v>
      </c>
      <c r="D269" s="111">
        <v>0</v>
      </c>
      <c r="E269" s="111">
        <v>0.41666666666666669</v>
      </c>
      <c r="F269" s="444">
        <v>41</v>
      </c>
      <c r="G269" s="445">
        <v>9</v>
      </c>
      <c r="H269" s="444"/>
      <c r="I269" s="390"/>
      <c r="J269" s="426">
        <f t="shared" si="169"/>
        <v>600</v>
      </c>
      <c r="K269" s="103">
        <v>7</v>
      </c>
      <c r="L269" s="103"/>
      <c r="M269" s="103">
        <v>2</v>
      </c>
      <c r="N269" s="427">
        <f t="shared" si="170"/>
        <v>9</v>
      </c>
      <c r="O269" s="103">
        <v>1</v>
      </c>
      <c r="P269" s="103">
        <v>1</v>
      </c>
      <c r="Q269" s="103"/>
      <c r="R269" s="428">
        <f t="shared" si="171"/>
        <v>2</v>
      </c>
      <c r="S269" s="103"/>
      <c r="T269" s="103">
        <v>1</v>
      </c>
      <c r="U269" s="103"/>
      <c r="V269" s="125"/>
      <c r="W269" s="428">
        <f t="shared" si="175"/>
        <v>1</v>
      </c>
      <c r="X269" s="103"/>
      <c r="Y269" s="103"/>
      <c r="Z269" s="125"/>
      <c r="AA269" s="428">
        <f t="shared" si="176"/>
        <v>0</v>
      </c>
      <c r="AB269" s="103"/>
      <c r="AC269" s="103"/>
      <c r="AD269" s="103"/>
      <c r="AE269" s="428">
        <f t="shared" si="177"/>
        <v>0</v>
      </c>
      <c r="AF269" s="103"/>
      <c r="AG269" s="103"/>
      <c r="AH269" s="103"/>
      <c r="AI269" s="103"/>
      <c r="AJ269" s="428">
        <f t="shared" si="178"/>
        <v>0</v>
      </c>
      <c r="AK269" s="446"/>
      <c r="AL269" s="446"/>
      <c r="AM269" s="446"/>
      <c r="AN269" s="446"/>
      <c r="AO269" s="446"/>
      <c r="AP269" s="446"/>
      <c r="AQ269" s="446"/>
      <c r="AR269" s="431">
        <f t="shared" si="179"/>
        <v>0</v>
      </c>
      <c r="AT269" s="128"/>
      <c r="AU269" s="100" t="s">
        <v>1609</v>
      </c>
      <c r="AV269" s="128" t="s">
        <v>1599</v>
      </c>
      <c r="AW269" s="100" t="s">
        <v>1607</v>
      </c>
      <c r="AX269" s="433">
        <f t="shared" si="180"/>
        <v>7</v>
      </c>
      <c r="AY269" s="433">
        <f t="shared" si="181"/>
        <v>0</v>
      </c>
      <c r="AZ269" s="433">
        <f t="shared" si="182"/>
        <v>2</v>
      </c>
      <c r="BA269" s="433">
        <f t="shared" si="172"/>
        <v>1</v>
      </c>
      <c r="BB269" s="433">
        <f t="shared" si="173"/>
        <v>1</v>
      </c>
      <c r="BC269" s="433">
        <f t="shared" si="174"/>
        <v>0</v>
      </c>
      <c r="BD269" s="433">
        <f t="shared" si="183"/>
        <v>0</v>
      </c>
      <c r="BE269" s="433">
        <f t="shared" si="184"/>
        <v>1</v>
      </c>
      <c r="BF269" s="433">
        <f t="shared" si="185"/>
        <v>0</v>
      </c>
      <c r="BG269" s="433">
        <f t="shared" si="186"/>
        <v>0</v>
      </c>
      <c r="BH269" s="433">
        <f t="shared" si="187"/>
        <v>0</v>
      </c>
      <c r="BI269" s="433">
        <f t="shared" si="188"/>
        <v>0</v>
      </c>
      <c r="BJ269" s="433">
        <f t="shared" si="189"/>
        <v>0</v>
      </c>
      <c r="BK269" s="433">
        <f t="shared" si="190"/>
        <v>0</v>
      </c>
      <c r="BL269" s="433">
        <f t="shared" si="191"/>
        <v>0</v>
      </c>
      <c r="BM269" s="433">
        <f t="shared" si="192"/>
        <v>0</v>
      </c>
      <c r="BN269" s="433">
        <f t="shared" si="193"/>
        <v>0</v>
      </c>
      <c r="BO269" s="433">
        <f t="shared" si="194"/>
        <v>0</v>
      </c>
      <c r="BP269" s="433">
        <f t="shared" si="195"/>
        <v>0</v>
      </c>
      <c r="BQ269" s="433">
        <f t="shared" si="196"/>
        <v>0</v>
      </c>
    </row>
    <row r="270" spans="1:69" x14ac:dyDescent="0.2">
      <c r="A270" s="102">
        <v>41819</v>
      </c>
      <c r="B270" s="319">
        <v>1</v>
      </c>
      <c r="C270" s="118" t="s">
        <v>1553</v>
      </c>
      <c r="D270" s="111">
        <v>0.41666666666666669</v>
      </c>
      <c r="E270" s="111">
        <v>0.60416666666666663</v>
      </c>
      <c r="F270" s="444">
        <v>43</v>
      </c>
      <c r="G270" s="445">
        <v>8.5</v>
      </c>
      <c r="H270" s="444"/>
      <c r="I270" s="390"/>
      <c r="J270" s="426">
        <f t="shared" si="169"/>
        <v>269.99999999999989</v>
      </c>
      <c r="K270" s="103">
        <v>6</v>
      </c>
      <c r="L270" s="103"/>
      <c r="M270" s="103"/>
      <c r="N270" s="427">
        <f t="shared" si="170"/>
        <v>6</v>
      </c>
      <c r="O270" s="103"/>
      <c r="P270" s="103">
        <v>3</v>
      </c>
      <c r="Q270" s="103"/>
      <c r="R270" s="428">
        <f t="shared" si="171"/>
        <v>3</v>
      </c>
      <c r="S270" s="103"/>
      <c r="T270" s="103"/>
      <c r="U270" s="103"/>
      <c r="V270" s="125"/>
      <c r="W270" s="428">
        <f t="shared" si="175"/>
        <v>0</v>
      </c>
      <c r="X270" s="103"/>
      <c r="Y270" s="103"/>
      <c r="Z270" s="125"/>
      <c r="AA270" s="428">
        <f t="shared" si="176"/>
        <v>0</v>
      </c>
      <c r="AB270" s="103"/>
      <c r="AC270" s="103"/>
      <c r="AD270" s="103"/>
      <c r="AE270" s="428">
        <f t="shared" si="177"/>
        <v>0</v>
      </c>
      <c r="AF270" s="103"/>
      <c r="AG270" s="103"/>
      <c r="AH270" s="103"/>
      <c r="AI270" s="103"/>
      <c r="AJ270" s="428">
        <f t="shared" si="178"/>
        <v>0</v>
      </c>
      <c r="AK270" s="446"/>
      <c r="AL270" s="446"/>
      <c r="AM270" s="446"/>
      <c r="AN270" s="446"/>
      <c r="AO270" s="446"/>
      <c r="AP270" s="446"/>
      <c r="AQ270" s="446"/>
      <c r="AR270" s="431">
        <f t="shared" si="179"/>
        <v>0</v>
      </c>
      <c r="AT270" s="128"/>
      <c r="AU270" s="100" t="s">
        <v>1598</v>
      </c>
      <c r="AV270" s="128" t="s">
        <v>1599</v>
      </c>
      <c r="AW270" s="100" t="s">
        <v>1607</v>
      </c>
      <c r="AX270" s="433">
        <f t="shared" si="180"/>
        <v>6</v>
      </c>
      <c r="AY270" s="433">
        <f t="shared" si="181"/>
        <v>0</v>
      </c>
      <c r="AZ270" s="433">
        <f t="shared" si="182"/>
        <v>0</v>
      </c>
      <c r="BA270" s="433">
        <f t="shared" si="172"/>
        <v>0</v>
      </c>
      <c r="BB270" s="433">
        <f t="shared" si="173"/>
        <v>3</v>
      </c>
      <c r="BC270" s="433">
        <f t="shared" si="174"/>
        <v>0</v>
      </c>
      <c r="BD270" s="433">
        <f t="shared" si="183"/>
        <v>0</v>
      </c>
      <c r="BE270" s="433">
        <f t="shared" si="184"/>
        <v>0</v>
      </c>
      <c r="BF270" s="433">
        <f t="shared" si="185"/>
        <v>0</v>
      </c>
      <c r="BG270" s="433">
        <f t="shared" si="186"/>
        <v>0</v>
      </c>
      <c r="BH270" s="433">
        <f t="shared" si="187"/>
        <v>0</v>
      </c>
      <c r="BI270" s="433">
        <f t="shared" si="188"/>
        <v>0</v>
      </c>
      <c r="BJ270" s="433">
        <f t="shared" si="189"/>
        <v>0</v>
      </c>
      <c r="BK270" s="433">
        <f t="shared" si="190"/>
        <v>0</v>
      </c>
      <c r="BL270" s="433">
        <f t="shared" si="191"/>
        <v>0</v>
      </c>
      <c r="BM270" s="433">
        <f t="shared" si="192"/>
        <v>0</v>
      </c>
      <c r="BN270" s="433">
        <f t="shared" si="193"/>
        <v>0</v>
      </c>
      <c r="BO270" s="433">
        <f t="shared" si="194"/>
        <v>0</v>
      </c>
      <c r="BP270" s="433">
        <f t="shared" si="195"/>
        <v>0</v>
      </c>
      <c r="BQ270" s="433">
        <f t="shared" si="196"/>
        <v>0</v>
      </c>
    </row>
    <row r="271" spans="1:69" x14ac:dyDescent="0.2">
      <c r="A271" s="102">
        <v>41819</v>
      </c>
      <c r="B271" s="319">
        <v>1</v>
      </c>
      <c r="C271" s="118" t="s">
        <v>1554</v>
      </c>
      <c r="D271" s="111">
        <v>0.60416666666666663</v>
      </c>
      <c r="E271" s="111">
        <v>0.78472222222222221</v>
      </c>
      <c r="F271" s="444">
        <v>45</v>
      </c>
      <c r="G271" s="445">
        <v>9</v>
      </c>
      <c r="H271" s="444"/>
      <c r="I271" s="390"/>
      <c r="J271" s="426">
        <f t="shared" si="169"/>
        <v>260.00000000000006</v>
      </c>
      <c r="K271" s="103">
        <v>6</v>
      </c>
      <c r="L271" s="103"/>
      <c r="M271" s="103"/>
      <c r="N271" s="427">
        <f t="shared" si="170"/>
        <v>6</v>
      </c>
      <c r="O271" s="103">
        <v>1</v>
      </c>
      <c r="P271" s="103"/>
      <c r="Q271" s="103"/>
      <c r="R271" s="428">
        <f t="shared" si="171"/>
        <v>1</v>
      </c>
      <c r="S271" s="103"/>
      <c r="T271" s="103"/>
      <c r="U271" s="103"/>
      <c r="V271" s="125"/>
      <c r="W271" s="428">
        <f t="shared" si="175"/>
        <v>0</v>
      </c>
      <c r="X271" s="103"/>
      <c r="Y271" s="103"/>
      <c r="Z271" s="125"/>
      <c r="AA271" s="428">
        <f t="shared" si="176"/>
        <v>0</v>
      </c>
      <c r="AB271" s="103"/>
      <c r="AC271" s="103"/>
      <c r="AD271" s="103"/>
      <c r="AE271" s="428">
        <f t="shared" si="177"/>
        <v>0</v>
      </c>
      <c r="AF271" s="103"/>
      <c r="AG271" s="103"/>
      <c r="AH271" s="103"/>
      <c r="AI271" s="103"/>
      <c r="AJ271" s="428">
        <f t="shared" si="178"/>
        <v>0</v>
      </c>
      <c r="AK271" s="446"/>
      <c r="AL271" s="446"/>
      <c r="AM271" s="446"/>
      <c r="AN271" s="446"/>
      <c r="AO271" s="446"/>
      <c r="AP271" s="446"/>
      <c r="AQ271" s="446"/>
      <c r="AR271" s="431">
        <f t="shared" si="179"/>
        <v>0</v>
      </c>
      <c r="AT271" s="128"/>
      <c r="AU271" s="100" t="s">
        <v>1557</v>
      </c>
      <c r="AV271" s="128" t="s">
        <v>1599</v>
      </c>
      <c r="AW271" s="100" t="s">
        <v>1607</v>
      </c>
      <c r="AX271" s="433">
        <f t="shared" si="180"/>
        <v>6</v>
      </c>
      <c r="AY271" s="433">
        <f t="shared" si="181"/>
        <v>0</v>
      </c>
      <c r="AZ271" s="433">
        <f t="shared" si="182"/>
        <v>0</v>
      </c>
      <c r="BA271" s="433">
        <f t="shared" si="172"/>
        <v>1</v>
      </c>
      <c r="BB271" s="433">
        <f t="shared" si="173"/>
        <v>0</v>
      </c>
      <c r="BC271" s="433">
        <f t="shared" si="174"/>
        <v>0</v>
      </c>
      <c r="BD271" s="433">
        <f t="shared" si="183"/>
        <v>0</v>
      </c>
      <c r="BE271" s="433">
        <f t="shared" si="184"/>
        <v>0</v>
      </c>
      <c r="BF271" s="433">
        <f t="shared" si="185"/>
        <v>0</v>
      </c>
      <c r="BG271" s="433">
        <f t="shared" si="186"/>
        <v>0</v>
      </c>
      <c r="BH271" s="433">
        <f t="shared" si="187"/>
        <v>0</v>
      </c>
      <c r="BI271" s="433">
        <f t="shared" si="188"/>
        <v>0</v>
      </c>
      <c r="BJ271" s="433">
        <f t="shared" si="189"/>
        <v>0</v>
      </c>
      <c r="BK271" s="433">
        <f t="shared" si="190"/>
        <v>0</v>
      </c>
      <c r="BL271" s="433">
        <f t="shared" si="191"/>
        <v>0</v>
      </c>
      <c r="BM271" s="433">
        <f t="shared" si="192"/>
        <v>0</v>
      </c>
      <c r="BN271" s="433">
        <f t="shared" si="193"/>
        <v>0</v>
      </c>
      <c r="BO271" s="433">
        <f t="shared" si="194"/>
        <v>0</v>
      </c>
      <c r="BP271" s="433">
        <f t="shared" si="195"/>
        <v>0</v>
      </c>
      <c r="BQ271" s="433">
        <f t="shared" si="196"/>
        <v>0</v>
      </c>
    </row>
    <row r="272" spans="1:69" x14ac:dyDescent="0.2">
      <c r="A272" s="102">
        <v>41819</v>
      </c>
      <c r="B272" s="319">
        <v>1</v>
      </c>
      <c r="C272" s="118" t="s">
        <v>1603</v>
      </c>
      <c r="D272" s="111">
        <v>0.78472222222222221</v>
      </c>
      <c r="E272" s="111">
        <v>1</v>
      </c>
      <c r="F272" s="444">
        <v>45</v>
      </c>
      <c r="G272" s="445">
        <v>9</v>
      </c>
      <c r="H272" s="444"/>
      <c r="I272" s="390"/>
      <c r="J272" s="426">
        <f t="shared" si="169"/>
        <v>310</v>
      </c>
      <c r="K272" s="103">
        <v>4</v>
      </c>
      <c r="L272" s="103"/>
      <c r="M272" s="103"/>
      <c r="N272" s="427">
        <f t="shared" si="170"/>
        <v>4</v>
      </c>
      <c r="O272" s="103"/>
      <c r="P272" s="103">
        <v>1</v>
      </c>
      <c r="Q272" s="103"/>
      <c r="R272" s="428">
        <f t="shared" si="171"/>
        <v>1</v>
      </c>
      <c r="S272" s="103"/>
      <c r="T272" s="103"/>
      <c r="U272" s="103"/>
      <c r="V272" s="125"/>
      <c r="W272" s="428">
        <f t="shared" si="175"/>
        <v>0</v>
      </c>
      <c r="X272" s="103"/>
      <c r="Y272" s="103"/>
      <c r="Z272" s="125"/>
      <c r="AA272" s="428">
        <f t="shared" si="176"/>
        <v>0</v>
      </c>
      <c r="AB272" s="103"/>
      <c r="AC272" s="103"/>
      <c r="AD272" s="103"/>
      <c r="AE272" s="428">
        <f t="shared" si="177"/>
        <v>0</v>
      </c>
      <c r="AF272" s="103"/>
      <c r="AG272" s="103"/>
      <c r="AH272" s="103"/>
      <c r="AI272" s="103"/>
      <c r="AJ272" s="428">
        <f t="shared" si="178"/>
        <v>0</v>
      </c>
      <c r="AK272" s="446"/>
      <c r="AL272" s="446"/>
      <c r="AM272" s="446"/>
      <c r="AN272" s="446"/>
      <c r="AO272" s="446"/>
      <c r="AP272" s="446"/>
      <c r="AQ272" s="446"/>
      <c r="AR272" s="431">
        <f t="shared" si="179"/>
        <v>0</v>
      </c>
      <c r="AT272" s="128"/>
      <c r="AU272" s="100" t="s">
        <v>1598</v>
      </c>
      <c r="AV272" s="128" t="s">
        <v>1599</v>
      </c>
      <c r="AW272" s="100" t="s">
        <v>1607</v>
      </c>
      <c r="AX272" s="433">
        <f t="shared" si="180"/>
        <v>4</v>
      </c>
      <c r="AY272" s="433">
        <f t="shared" si="181"/>
        <v>0</v>
      </c>
      <c r="AZ272" s="433">
        <f t="shared" si="182"/>
        <v>0</v>
      </c>
      <c r="BA272" s="433">
        <f t="shared" si="172"/>
        <v>0</v>
      </c>
      <c r="BB272" s="433">
        <f t="shared" si="173"/>
        <v>1</v>
      </c>
      <c r="BC272" s="433">
        <f t="shared" si="174"/>
        <v>0</v>
      </c>
      <c r="BD272" s="433">
        <f t="shared" si="183"/>
        <v>0</v>
      </c>
      <c r="BE272" s="433">
        <f t="shared" si="184"/>
        <v>0</v>
      </c>
      <c r="BF272" s="433">
        <f t="shared" si="185"/>
        <v>0</v>
      </c>
      <c r="BG272" s="433">
        <f t="shared" si="186"/>
        <v>0</v>
      </c>
      <c r="BH272" s="433">
        <f t="shared" si="187"/>
        <v>0</v>
      </c>
      <c r="BI272" s="433">
        <f t="shared" si="188"/>
        <v>0</v>
      </c>
      <c r="BJ272" s="433">
        <f t="shared" si="189"/>
        <v>0</v>
      </c>
      <c r="BK272" s="433">
        <f t="shared" si="190"/>
        <v>0</v>
      </c>
      <c r="BL272" s="433">
        <f t="shared" si="191"/>
        <v>0</v>
      </c>
      <c r="BM272" s="433">
        <f t="shared" si="192"/>
        <v>0</v>
      </c>
      <c r="BN272" s="433">
        <f t="shared" si="193"/>
        <v>0</v>
      </c>
      <c r="BO272" s="433">
        <f t="shared" si="194"/>
        <v>0</v>
      </c>
      <c r="BP272" s="433">
        <f t="shared" si="195"/>
        <v>0</v>
      </c>
      <c r="BQ272" s="433">
        <f t="shared" si="196"/>
        <v>0</v>
      </c>
    </row>
    <row r="273" spans="1:69" x14ac:dyDescent="0.2">
      <c r="A273" s="102">
        <v>41819</v>
      </c>
      <c r="B273" s="319">
        <v>2</v>
      </c>
      <c r="C273" s="118" t="s">
        <v>1604</v>
      </c>
      <c r="D273" s="111">
        <v>0.26666666666666666</v>
      </c>
      <c r="E273" s="111">
        <v>0.42708333333333331</v>
      </c>
      <c r="F273" s="444">
        <v>27</v>
      </c>
      <c r="G273" s="445">
        <v>11</v>
      </c>
      <c r="H273" s="444"/>
      <c r="I273" s="390"/>
      <c r="J273" s="426">
        <f t="shared" si="169"/>
        <v>230.99999999999997</v>
      </c>
      <c r="K273" s="103"/>
      <c r="L273" s="103"/>
      <c r="M273" s="103"/>
      <c r="N273" s="427">
        <f t="shared" si="170"/>
        <v>0</v>
      </c>
      <c r="O273" s="103"/>
      <c r="P273" s="103"/>
      <c r="Q273" s="103"/>
      <c r="R273" s="428">
        <f t="shared" si="171"/>
        <v>0</v>
      </c>
      <c r="S273" s="103"/>
      <c r="T273" s="103"/>
      <c r="U273" s="103"/>
      <c r="V273" s="125"/>
      <c r="W273" s="428">
        <f t="shared" si="175"/>
        <v>0</v>
      </c>
      <c r="X273" s="103"/>
      <c r="Y273" s="103"/>
      <c r="Z273" s="125"/>
      <c r="AA273" s="428">
        <f t="shared" si="176"/>
        <v>0</v>
      </c>
      <c r="AB273" s="103"/>
      <c r="AC273" s="103"/>
      <c r="AD273" s="103"/>
      <c r="AE273" s="428">
        <f t="shared" si="177"/>
        <v>0</v>
      </c>
      <c r="AF273" s="103"/>
      <c r="AG273" s="103"/>
      <c r="AH273" s="103"/>
      <c r="AI273" s="103"/>
      <c r="AJ273" s="428">
        <f t="shared" si="178"/>
        <v>0</v>
      </c>
      <c r="AK273" s="446"/>
      <c r="AL273" s="446"/>
      <c r="AM273" s="446"/>
      <c r="AN273" s="446"/>
      <c r="AO273" s="446"/>
      <c r="AP273" s="446"/>
      <c r="AQ273" s="446"/>
      <c r="AR273" s="431">
        <f t="shared" si="179"/>
        <v>0</v>
      </c>
      <c r="AT273" s="128" t="s">
        <v>424</v>
      </c>
      <c r="AU273" s="100" t="s">
        <v>1609</v>
      </c>
      <c r="AV273" s="128" t="s">
        <v>1599</v>
      </c>
      <c r="AW273" s="100" t="s">
        <v>1607</v>
      </c>
      <c r="AX273" s="433">
        <f t="shared" si="180"/>
        <v>0</v>
      </c>
      <c r="AY273" s="433">
        <f t="shared" si="181"/>
        <v>0</v>
      </c>
      <c r="AZ273" s="433">
        <f t="shared" si="182"/>
        <v>0</v>
      </c>
      <c r="BA273" s="433">
        <f t="shared" si="172"/>
        <v>0</v>
      </c>
      <c r="BB273" s="433">
        <f t="shared" si="173"/>
        <v>0</v>
      </c>
      <c r="BC273" s="433">
        <f t="shared" si="174"/>
        <v>0</v>
      </c>
      <c r="BD273" s="433">
        <f t="shared" si="183"/>
        <v>0</v>
      </c>
      <c r="BE273" s="433">
        <f t="shared" si="184"/>
        <v>0</v>
      </c>
      <c r="BF273" s="433">
        <f t="shared" si="185"/>
        <v>0</v>
      </c>
      <c r="BG273" s="433">
        <f t="shared" si="186"/>
        <v>0</v>
      </c>
      <c r="BH273" s="433">
        <f t="shared" si="187"/>
        <v>0</v>
      </c>
      <c r="BI273" s="433">
        <f t="shared" si="188"/>
        <v>0</v>
      </c>
      <c r="BJ273" s="433">
        <f t="shared" si="189"/>
        <v>0</v>
      </c>
      <c r="BK273" s="433">
        <f t="shared" si="190"/>
        <v>0</v>
      </c>
      <c r="BL273" s="433">
        <f t="shared" si="191"/>
        <v>0</v>
      </c>
      <c r="BM273" s="433">
        <f t="shared" si="192"/>
        <v>0</v>
      </c>
      <c r="BN273" s="433">
        <f t="shared" si="193"/>
        <v>0</v>
      </c>
      <c r="BO273" s="433">
        <f t="shared" si="194"/>
        <v>0</v>
      </c>
      <c r="BP273" s="433">
        <f t="shared" si="195"/>
        <v>0</v>
      </c>
      <c r="BQ273" s="433">
        <f t="shared" si="196"/>
        <v>0</v>
      </c>
    </row>
    <row r="274" spans="1:69" x14ac:dyDescent="0.2">
      <c r="A274" s="102">
        <v>41819</v>
      </c>
      <c r="B274" s="319">
        <v>2</v>
      </c>
      <c r="C274" s="118" t="s">
        <v>1553</v>
      </c>
      <c r="D274" s="111">
        <v>0.42708333333333331</v>
      </c>
      <c r="E274" s="111">
        <v>0.58680555555555558</v>
      </c>
      <c r="F274" s="444">
        <v>28</v>
      </c>
      <c r="G274" s="445">
        <v>11</v>
      </c>
      <c r="H274" s="444"/>
      <c r="I274" s="390"/>
      <c r="J274" s="426">
        <f t="shared" si="169"/>
        <v>230.00000000000006</v>
      </c>
      <c r="K274" s="103"/>
      <c r="L274" s="103"/>
      <c r="M274" s="103"/>
      <c r="N274" s="427">
        <f t="shared" si="170"/>
        <v>0</v>
      </c>
      <c r="O274" s="103"/>
      <c r="P274" s="103"/>
      <c r="Q274" s="103"/>
      <c r="R274" s="428">
        <f t="shared" si="171"/>
        <v>0</v>
      </c>
      <c r="S274" s="103"/>
      <c r="T274" s="103"/>
      <c r="U274" s="103"/>
      <c r="V274" s="125"/>
      <c r="W274" s="428">
        <f t="shared" si="175"/>
        <v>0</v>
      </c>
      <c r="X274" s="103"/>
      <c r="Y274" s="103"/>
      <c r="Z274" s="125"/>
      <c r="AA274" s="428">
        <f t="shared" si="176"/>
        <v>0</v>
      </c>
      <c r="AB274" s="103"/>
      <c r="AC274" s="103"/>
      <c r="AD274" s="103"/>
      <c r="AE274" s="428">
        <f t="shared" si="177"/>
        <v>0</v>
      </c>
      <c r="AF274" s="103"/>
      <c r="AG274" s="103"/>
      <c r="AH274" s="103"/>
      <c r="AI274" s="103"/>
      <c r="AJ274" s="428">
        <f t="shared" si="178"/>
        <v>0</v>
      </c>
      <c r="AK274" s="446"/>
      <c r="AL274" s="446"/>
      <c r="AM274" s="446"/>
      <c r="AN274" s="446"/>
      <c r="AO274" s="446"/>
      <c r="AP274" s="446"/>
      <c r="AQ274" s="446"/>
      <c r="AR274" s="431">
        <f t="shared" si="179"/>
        <v>0</v>
      </c>
      <c r="AT274" s="128" t="s">
        <v>424</v>
      </c>
      <c r="AU274" s="100" t="s">
        <v>1598</v>
      </c>
      <c r="AV274" s="128" t="s">
        <v>1599</v>
      </c>
      <c r="AW274" s="100" t="s">
        <v>1607</v>
      </c>
      <c r="AX274" s="433">
        <f t="shared" si="180"/>
        <v>0</v>
      </c>
      <c r="AY274" s="433">
        <f t="shared" si="181"/>
        <v>0</v>
      </c>
      <c r="AZ274" s="433">
        <f t="shared" si="182"/>
        <v>0</v>
      </c>
      <c r="BA274" s="433">
        <f t="shared" si="172"/>
        <v>0</v>
      </c>
      <c r="BB274" s="433">
        <f t="shared" si="173"/>
        <v>0</v>
      </c>
      <c r="BC274" s="433">
        <f t="shared" si="174"/>
        <v>0</v>
      </c>
      <c r="BD274" s="433">
        <f t="shared" si="183"/>
        <v>0</v>
      </c>
      <c r="BE274" s="433">
        <f t="shared" si="184"/>
        <v>0</v>
      </c>
      <c r="BF274" s="433">
        <f t="shared" si="185"/>
        <v>0</v>
      </c>
      <c r="BG274" s="433">
        <f t="shared" si="186"/>
        <v>0</v>
      </c>
      <c r="BH274" s="433">
        <f t="shared" si="187"/>
        <v>0</v>
      </c>
      <c r="BI274" s="433">
        <f t="shared" si="188"/>
        <v>0</v>
      </c>
      <c r="BJ274" s="433">
        <f t="shared" si="189"/>
        <v>0</v>
      </c>
      <c r="BK274" s="433">
        <f t="shared" si="190"/>
        <v>0</v>
      </c>
      <c r="BL274" s="433">
        <f t="shared" si="191"/>
        <v>0</v>
      </c>
      <c r="BM274" s="433">
        <f t="shared" si="192"/>
        <v>0</v>
      </c>
      <c r="BN274" s="433">
        <f t="shared" si="193"/>
        <v>0</v>
      </c>
      <c r="BO274" s="433">
        <f t="shared" si="194"/>
        <v>0</v>
      </c>
      <c r="BP274" s="433">
        <f t="shared" si="195"/>
        <v>0</v>
      </c>
      <c r="BQ274" s="433">
        <f t="shared" si="196"/>
        <v>0</v>
      </c>
    </row>
    <row r="275" spans="1:69" x14ac:dyDescent="0.2">
      <c r="A275" s="102">
        <v>41819</v>
      </c>
      <c r="B275" s="319">
        <v>2</v>
      </c>
      <c r="C275" s="118" t="s">
        <v>1554</v>
      </c>
      <c r="D275" s="111">
        <v>0.58680555555555558</v>
      </c>
      <c r="E275" s="111">
        <v>0.78819444444444453</v>
      </c>
      <c r="F275" s="444">
        <v>31</v>
      </c>
      <c r="G275" s="445">
        <v>13</v>
      </c>
      <c r="H275" s="444"/>
      <c r="I275" s="390"/>
      <c r="J275" s="426">
        <f t="shared" si="169"/>
        <v>290.00000000000011</v>
      </c>
      <c r="K275" s="103"/>
      <c r="L275" s="103"/>
      <c r="M275" s="103"/>
      <c r="N275" s="427">
        <f t="shared" si="170"/>
        <v>0</v>
      </c>
      <c r="O275" s="103"/>
      <c r="P275" s="103"/>
      <c r="Q275" s="103"/>
      <c r="R275" s="428">
        <f t="shared" si="171"/>
        <v>0</v>
      </c>
      <c r="S275" s="103"/>
      <c r="T275" s="103"/>
      <c r="U275" s="103"/>
      <c r="V275" s="125"/>
      <c r="W275" s="428">
        <f t="shared" si="175"/>
        <v>0</v>
      </c>
      <c r="X275" s="103"/>
      <c r="Y275" s="103"/>
      <c r="Z275" s="125"/>
      <c r="AA275" s="428">
        <f t="shared" si="176"/>
        <v>0</v>
      </c>
      <c r="AB275" s="103"/>
      <c r="AC275" s="103"/>
      <c r="AD275" s="103"/>
      <c r="AE275" s="428">
        <f t="shared" si="177"/>
        <v>0</v>
      </c>
      <c r="AF275" s="103"/>
      <c r="AG275" s="103"/>
      <c r="AH275" s="103"/>
      <c r="AI275" s="103"/>
      <c r="AJ275" s="428">
        <f t="shared" si="178"/>
        <v>0</v>
      </c>
      <c r="AK275" s="446"/>
      <c r="AL275" s="446"/>
      <c r="AM275" s="446"/>
      <c r="AN275" s="446"/>
      <c r="AO275" s="446"/>
      <c r="AP275" s="446"/>
      <c r="AQ275" s="446"/>
      <c r="AR275" s="431">
        <f t="shared" si="179"/>
        <v>0</v>
      </c>
      <c r="AS275" s="10" t="s">
        <v>1612</v>
      </c>
      <c r="AT275" s="128" t="s">
        <v>424</v>
      </c>
      <c r="AU275" s="100" t="s">
        <v>1557</v>
      </c>
      <c r="AV275" s="128" t="s">
        <v>1599</v>
      </c>
      <c r="AW275" s="100" t="s">
        <v>1607</v>
      </c>
      <c r="AX275" s="433">
        <f t="shared" si="180"/>
        <v>0</v>
      </c>
      <c r="AY275" s="433">
        <f t="shared" si="181"/>
        <v>0</v>
      </c>
      <c r="AZ275" s="433">
        <f t="shared" si="182"/>
        <v>0</v>
      </c>
      <c r="BA275" s="433">
        <f t="shared" si="172"/>
        <v>0</v>
      </c>
      <c r="BB275" s="433">
        <f t="shared" si="173"/>
        <v>0</v>
      </c>
      <c r="BC275" s="433">
        <f t="shared" si="174"/>
        <v>0</v>
      </c>
      <c r="BD275" s="433">
        <f t="shared" si="183"/>
        <v>0</v>
      </c>
      <c r="BE275" s="433">
        <f t="shared" si="184"/>
        <v>0</v>
      </c>
      <c r="BF275" s="433">
        <f t="shared" si="185"/>
        <v>0</v>
      </c>
      <c r="BG275" s="433">
        <f t="shared" si="186"/>
        <v>0</v>
      </c>
      <c r="BH275" s="433">
        <f t="shared" si="187"/>
        <v>0</v>
      </c>
      <c r="BI275" s="433">
        <f t="shared" si="188"/>
        <v>0</v>
      </c>
      <c r="BJ275" s="433">
        <f t="shared" si="189"/>
        <v>0</v>
      </c>
      <c r="BK275" s="433">
        <f t="shared" si="190"/>
        <v>0</v>
      </c>
      <c r="BL275" s="433">
        <f t="shared" si="191"/>
        <v>0</v>
      </c>
      <c r="BM275" s="433">
        <f t="shared" si="192"/>
        <v>0</v>
      </c>
      <c r="BN275" s="433">
        <f t="shared" si="193"/>
        <v>0</v>
      </c>
      <c r="BO275" s="433">
        <f t="shared" si="194"/>
        <v>0</v>
      </c>
      <c r="BP275" s="433">
        <f t="shared" si="195"/>
        <v>0</v>
      </c>
      <c r="BQ275" s="433">
        <f t="shared" si="196"/>
        <v>0</v>
      </c>
    </row>
    <row r="276" spans="1:69" x14ac:dyDescent="0.2">
      <c r="A276" s="102">
        <v>41819</v>
      </c>
      <c r="B276" s="319">
        <v>2</v>
      </c>
      <c r="C276" s="118" t="s">
        <v>1603</v>
      </c>
      <c r="D276" s="111">
        <v>0.78819444444444453</v>
      </c>
      <c r="E276" s="111">
        <v>1</v>
      </c>
      <c r="F276" s="444">
        <v>29</v>
      </c>
      <c r="G276" s="445">
        <v>13</v>
      </c>
      <c r="H276" s="444"/>
      <c r="I276" s="390"/>
      <c r="J276" s="426">
        <f t="shared" si="169"/>
        <v>304.99999999999989</v>
      </c>
      <c r="K276" s="103"/>
      <c r="L276" s="103"/>
      <c r="M276" s="103"/>
      <c r="N276" s="427">
        <f t="shared" si="170"/>
        <v>0</v>
      </c>
      <c r="O276" s="103"/>
      <c r="P276" s="103"/>
      <c r="Q276" s="103"/>
      <c r="R276" s="428">
        <f t="shared" si="171"/>
        <v>0</v>
      </c>
      <c r="S276" s="103"/>
      <c r="T276" s="103"/>
      <c r="U276" s="103"/>
      <c r="V276" s="125"/>
      <c r="W276" s="428">
        <f t="shared" si="175"/>
        <v>0</v>
      </c>
      <c r="X276" s="103"/>
      <c r="Y276" s="103"/>
      <c r="Z276" s="125"/>
      <c r="AA276" s="428">
        <f t="shared" si="176"/>
        <v>0</v>
      </c>
      <c r="AB276" s="103"/>
      <c r="AC276" s="103"/>
      <c r="AD276" s="103"/>
      <c r="AE276" s="428">
        <f t="shared" si="177"/>
        <v>0</v>
      </c>
      <c r="AF276" s="103"/>
      <c r="AG276" s="103"/>
      <c r="AH276" s="103"/>
      <c r="AI276" s="103"/>
      <c r="AJ276" s="428">
        <f t="shared" si="178"/>
        <v>0</v>
      </c>
      <c r="AK276" s="446"/>
      <c r="AL276" s="446"/>
      <c r="AM276" s="446"/>
      <c r="AN276" s="446"/>
      <c r="AO276" s="446"/>
      <c r="AP276" s="446"/>
      <c r="AQ276" s="446"/>
      <c r="AR276" s="431">
        <f t="shared" si="179"/>
        <v>0</v>
      </c>
      <c r="AT276" s="128" t="s">
        <v>424</v>
      </c>
      <c r="AU276" s="100" t="s">
        <v>1610</v>
      </c>
      <c r="AV276" s="128" t="s">
        <v>1599</v>
      </c>
      <c r="AW276" s="100" t="s">
        <v>1607</v>
      </c>
      <c r="AX276" s="433">
        <f t="shared" si="180"/>
        <v>0</v>
      </c>
      <c r="AY276" s="433">
        <f t="shared" si="181"/>
        <v>0</v>
      </c>
      <c r="AZ276" s="433">
        <f t="shared" si="182"/>
        <v>0</v>
      </c>
      <c r="BA276" s="433">
        <f t="shared" si="172"/>
        <v>0</v>
      </c>
      <c r="BB276" s="433">
        <f t="shared" si="173"/>
        <v>0</v>
      </c>
      <c r="BC276" s="433">
        <f t="shared" si="174"/>
        <v>0</v>
      </c>
      <c r="BD276" s="433">
        <f t="shared" si="183"/>
        <v>0</v>
      </c>
      <c r="BE276" s="433">
        <f t="shared" si="184"/>
        <v>0</v>
      </c>
      <c r="BF276" s="433">
        <f t="shared" si="185"/>
        <v>0</v>
      </c>
      <c r="BG276" s="433">
        <f t="shared" si="186"/>
        <v>0</v>
      </c>
      <c r="BH276" s="433">
        <f t="shared" si="187"/>
        <v>0</v>
      </c>
      <c r="BI276" s="433">
        <f t="shared" si="188"/>
        <v>0</v>
      </c>
      <c r="BJ276" s="433">
        <f t="shared" si="189"/>
        <v>0</v>
      </c>
      <c r="BK276" s="433">
        <f t="shared" si="190"/>
        <v>0</v>
      </c>
      <c r="BL276" s="433">
        <f t="shared" si="191"/>
        <v>0</v>
      </c>
      <c r="BM276" s="433">
        <f t="shared" si="192"/>
        <v>0</v>
      </c>
      <c r="BN276" s="433">
        <f t="shared" si="193"/>
        <v>0</v>
      </c>
      <c r="BO276" s="433">
        <f t="shared" si="194"/>
        <v>0</v>
      </c>
      <c r="BP276" s="433">
        <f t="shared" si="195"/>
        <v>0</v>
      </c>
      <c r="BQ276" s="433">
        <f t="shared" si="196"/>
        <v>0</v>
      </c>
    </row>
    <row r="277" spans="1:69" x14ac:dyDescent="0.2">
      <c r="A277" s="102">
        <v>41819</v>
      </c>
      <c r="B277" s="319">
        <v>3</v>
      </c>
      <c r="C277" s="118" t="s">
        <v>1605</v>
      </c>
      <c r="D277" s="111">
        <v>0.26597222222222222</v>
      </c>
      <c r="E277" s="111">
        <v>0.41319444444444442</v>
      </c>
      <c r="F277" s="444">
        <v>33</v>
      </c>
      <c r="G277" s="445"/>
      <c r="H277" s="444"/>
      <c r="I277" s="390"/>
      <c r="J277" s="426">
        <f t="shared" si="169"/>
        <v>211.99999999999997</v>
      </c>
      <c r="K277" s="103"/>
      <c r="L277" s="103"/>
      <c r="M277" s="103"/>
      <c r="N277" s="427">
        <f t="shared" si="170"/>
        <v>0</v>
      </c>
      <c r="O277" s="103"/>
      <c r="P277" s="103"/>
      <c r="Q277" s="103"/>
      <c r="R277" s="428">
        <f t="shared" si="171"/>
        <v>0</v>
      </c>
      <c r="S277" s="103"/>
      <c r="T277" s="103"/>
      <c r="U277" s="103"/>
      <c r="V277" s="125"/>
      <c r="W277" s="428">
        <f t="shared" si="175"/>
        <v>0</v>
      </c>
      <c r="X277" s="103"/>
      <c r="Y277" s="103"/>
      <c r="Z277" s="125"/>
      <c r="AA277" s="428">
        <f t="shared" si="176"/>
        <v>0</v>
      </c>
      <c r="AB277" s="103"/>
      <c r="AC277" s="103"/>
      <c r="AD277" s="103"/>
      <c r="AE277" s="428">
        <f t="shared" si="177"/>
        <v>0</v>
      </c>
      <c r="AF277" s="103"/>
      <c r="AG277" s="103"/>
      <c r="AH277" s="103"/>
      <c r="AI277" s="103"/>
      <c r="AJ277" s="428">
        <f t="shared" si="178"/>
        <v>0</v>
      </c>
      <c r="AK277" s="446"/>
      <c r="AL277" s="446"/>
      <c r="AM277" s="446"/>
      <c r="AN277" s="446"/>
      <c r="AO277" s="446"/>
      <c r="AP277" s="446"/>
      <c r="AQ277" s="446"/>
      <c r="AR277" s="431">
        <f t="shared" si="179"/>
        <v>0</v>
      </c>
      <c r="AS277" s="10" t="s">
        <v>1613</v>
      </c>
      <c r="AT277" s="128" t="s">
        <v>424</v>
      </c>
      <c r="AU277" s="100" t="s">
        <v>1589</v>
      </c>
      <c r="AV277" s="128" t="s">
        <v>1599</v>
      </c>
      <c r="AW277" s="100" t="s">
        <v>1607</v>
      </c>
      <c r="AX277" s="433">
        <f t="shared" si="180"/>
        <v>0</v>
      </c>
      <c r="AY277" s="433">
        <f t="shared" si="181"/>
        <v>0</v>
      </c>
      <c r="AZ277" s="433">
        <f t="shared" si="182"/>
        <v>0</v>
      </c>
      <c r="BA277" s="433">
        <f t="shared" si="172"/>
        <v>0</v>
      </c>
      <c r="BB277" s="433">
        <f t="shared" si="173"/>
        <v>0</v>
      </c>
      <c r="BC277" s="433">
        <f t="shared" si="174"/>
        <v>0</v>
      </c>
      <c r="BD277" s="433">
        <f t="shared" si="183"/>
        <v>0</v>
      </c>
      <c r="BE277" s="433">
        <f t="shared" si="184"/>
        <v>0</v>
      </c>
      <c r="BF277" s="433">
        <f t="shared" si="185"/>
        <v>0</v>
      </c>
      <c r="BG277" s="433">
        <f t="shared" si="186"/>
        <v>0</v>
      </c>
      <c r="BH277" s="433">
        <f t="shared" si="187"/>
        <v>0</v>
      </c>
      <c r="BI277" s="433">
        <f t="shared" si="188"/>
        <v>0</v>
      </c>
      <c r="BJ277" s="433">
        <f t="shared" si="189"/>
        <v>0</v>
      </c>
      <c r="BK277" s="433">
        <f t="shared" si="190"/>
        <v>0</v>
      </c>
      <c r="BL277" s="433">
        <f t="shared" si="191"/>
        <v>0</v>
      </c>
      <c r="BM277" s="433">
        <f t="shared" si="192"/>
        <v>0</v>
      </c>
      <c r="BN277" s="433">
        <f t="shared" si="193"/>
        <v>0</v>
      </c>
      <c r="BO277" s="433">
        <f t="shared" si="194"/>
        <v>0</v>
      </c>
      <c r="BP277" s="433">
        <f t="shared" si="195"/>
        <v>0</v>
      </c>
      <c r="BQ277" s="433">
        <f t="shared" si="196"/>
        <v>0</v>
      </c>
    </row>
    <row r="278" spans="1:69" x14ac:dyDescent="0.2">
      <c r="A278" s="102">
        <v>41819</v>
      </c>
      <c r="B278" s="319">
        <v>3</v>
      </c>
      <c r="C278" s="118" t="s">
        <v>1606</v>
      </c>
      <c r="D278" s="111">
        <v>0.41319444444444442</v>
      </c>
      <c r="E278" s="111">
        <v>0.59791666666666665</v>
      </c>
      <c r="F278" s="444">
        <v>36</v>
      </c>
      <c r="G278" s="445"/>
      <c r="H278" s="444"/>
      <c r="I278" s="390"/>
      <c r="J278" s="426">
        <f t="shared" si="169"/>
        <v>266</v>
      </c>
      <c r="K278" s="103">
        <v>2</v>
      </c>
      <c r="L278" s="103"/>
      <c r="M278" s="103"/>
      <c r="N278" s="427">
        <f t="shared" si="170"/>
        <v>2</v>
      </c>
      <c r="O278" s="103"/>
      <c r="P278" s="103">
        <v>1</v>
      </c>
      <c r="Q278" s="103"/>
      <c r="R278" s="428">
        <f t="shared" si="171"/>
        <v>1</v>
      </c>
      <c r="S278" s="103"/>
      <c r="T278" s="103"/>
      <c r="U278" s="103"/>
      <c r="V278" s="103"/>
      <c r="W278" s="428">
        <f t="shared" si="175"/>
        <v>0</v>
      </c>
      <c r="X278" s="103"/>
      <c r="Y278" s="103"/>
      <c r="Z278" s="103"/>
      <c r="AA278" s="428">
        <f t="shared" si="176"/>
        <v>0</v>
      </c>
      <c r="AB278" s="103"/>
      <c r="AC278" s="103"/>
      <c r="AD278" s="103"/>
      <c r="AE278" s="428">
        <f t="shared" si="177"/>
        <v>0</v>
      </c>
      <c r="AF278" s="103"/>
      <c r="AG278" s="103"/>
      <c r="AH278" s="103"/>
      <c r="AI278" s="103"/>
      <c r="AJ278" s="428">
        <f t="shared" si="178"/>
        <v>0</v>
      </c>
      <c r="AK278" s="446"/>
      <c r="AL278" s="446"/>
      <c r="AM278" s="446"/>
      <c r="AN278" s="446"/>
      <c r="AO278" s="446"/>
      <c r="AP278" s="446"/>
      <c r="AQ278" s="446"/>
      <c r="AR278" s="431">
        <f t="shared" si="179"/>
        <v>0</v>
      </c>
      <c r="AT278" s="128"/>
      <c r="AU278" s="100" t="s">
        <v>1589</v>
      </c>
      <c r="AV278" s="128" t="s">
        <v>1599</v>
      </c>
      <c r="AW278" s="100" t="s">
        <v>1607</v>
      </c>
      <c r="AX278" s="433">
        <f t="shared" si="180"/>
        <v>2</v>
      </c>
      <c r="AY278" s="433">
        <f t="shared" si="181"/>
        <v>0</v>
      </c>
      <c r="AZ278" s="433">
        <f t="shared" si="182"/>
        <v>0</v>
      </c>
      <c r="BA278" s="433">
        <f t="shared" si="172"/>
        <v>0</v>
      </c>
      <c r="BB278" s="433">
        <f t="shared" si="173"/>
        <v>1</v>
      </c>
      <c r="BC278" s="433">
        <f t="shared" si="174"/>
        <v>0</v>
      </c>
      <c r="BD278" s="433">
        <f t="shared" si="183"/>
        <v>0</v>
      </c>
      <c r="BE278" s="433">
        <f t="shared" si="184"/>
        <v>0</v>
      </c>
      <c r="BF278" s="433">
        <f t="shared" si="185"/>
        <v>0</v>
      </c>
      <c r="BG278" s="433">
        <f t="shared" si="186"/>
        <v>0</v>
      </c>
      <c r="BH278" s="433">
        <f t="shared" si="187"/>
        <v>0</v>
      </c>
      <c r="BI278" s="433">
        <f t="shared" si="188"/>
        <v>0</v>
      </c>
      <c r="BJ278" s="433">
        <f t="shared" si="189"/>
        <v>0</v>
      </c>
      <c r="BK278" s="433">
        <f t="shared" si="190"/>
        <v>0</v>
      </c>
      <c r="BL278" s="433">
        <f t="shared" si="191"/>
        <v>0</v>
      </c>
      <c r="BM278" s="433">
        <f t="shared" si="192"/>
        <v>0</v>
      </c>
      <c r="BN278" s="433">
        <f t="shared" si="193"/>
        <v>0</v>
      </c>
      <c r="BO278" s="433">
        <f t="shared" si="194"/>
        <v>0</v>
      </c>
      <c r="BP278" s="433">
        <f t="shared" si="195"/>
        <v>0</v>
      </c>
      <c r="BQ278" s="433">
        <f t="shared" si="196"/>
        <v>0</v>
      </c>
    </row>
    <row r="279" spans="1:69" x14ac:dyDescent="0.2">
      <c r="A279" s="102">
        <v>41819</v>
      </c>
      <c r="B279" s="319">
        <v>3</v>
      </c>
      <c r="C279" s="118" t="s">
        <v>1556</v>
      </c>
      <c r="D279" s="111">
        <v>0.59791666666666665</v>
      </c>
      <c r="E279" s="111">
        <v>0.78749999999999998</v>
      </c>
      <c r="F279" s="444">
        <v>36</v>
      </c>
      <c r="G279" s="445"/>
      <c r="H279" s="444"/>
      <c r="I279" s="390"/>
      <c r="J279" s="426">
        <f t="shared" si="169"/>
        <v>273</v>
      </c>
      <c r="K279" s="103">
        <v>1</v>
      </c>
      <c r="L279" s="103"/>
      <c r="M279" s="103"/>
      <c r="N279" s="427">
        <f t="shared" si="170"/>
        <v>1</v>
      </c>
      <c r="O279" s="103"/>
      <c r="P279" s="103"/>
      <c r="Q279" s="103"/>
      <c r="R279" s="428">
        <f t="shared" si="171"/>
        <v>0</v>
      </c>
      <c r="S279" s="103"/>
      <c r="T279" s="103"/>
      <c r="U279" s="103"/>
      <c r="V279" s="125"/>
      <c r="W279" s="428">
        <f t="shared" si="175"/>
        <v>0</v>
      </c>
      <c r="X279" s="103"/>
      <c r="Y279" s="103"/>
      <c r="Z279" s="125"/>
      <c r="AA279" s="428">
        <f t="shared" si="176"/>
        <v>0</v>
      </c>
      <c r="AB279" s="103"/>
      <c r="AC279" s="103"/>
      <c r="AD279" s="103"/>
      <c r="AE279" s="428">
        <f t="shared" si="177"/>
        <v>0</v>
      </c>
      <c r="AF279" s="103"/>
      <c r="AG279" s="103"/>
      <c r="AH279" s="103"/>
      <c r="AI279" s="103"/>
      <c r="AJ279" s="428">
        <f t="shared" si="178"/>
        <v>0</v>
      </c>
      <c r="AK279" s="446"/>
      <c r="AL279" s="446"/>
      <c r="AM279" s="446"/>
      <c r="AN279" s="446"/>
      <c r="AO279" s="446"/>
      <c r="AP279" s="446"/>
      <c r="AQ279" s="446"/>
      <c r="AR279" s="431">
        <f t="shared" si="179"/>
        <v>0</v>
      </c>
      <c r="AT279" s="128"/>
      <c r="AU279" s="100" t="s">
        <v>1601</v>
      </c>
      <c r="AV279" s="128" t="s">
        <v>1599</v>
      </c>
      <c r="AW279" s="100" t="s">
        <v>1607</v>
      </c>
      <c r="AX279" s="433">
        <f t="shared" si="180"/>
        <v>1</v>
      </c>
      <c r="AY279" s="433">
        <f t="shared" si="181"/>
        <v>0</v>
      </c>
      <c r="AZ279" s="433">
        <f t="shared" si="182"/>
        <v>0</v>
      </c>
      <c r="BA279" s="433">
        <f t="shared" si="172"/>
        <v>0</v>
      </c>
      <c r="BB279" s="433">
        <f t="shared" si="173"/>
        <v>0</v>
      </c>
      <c r="BC279" s="433">
        <f t="shared" si="174"/>
        <v>0</v>
      </c>
      <c r="BD279" s="433">
        <f t="shared" si="183"/>
        <v>0</v>
      </c>
      <c r="BE279" s="433">
        <f t="shared" si="184"/>
        <v>0</v>
      </c>
      <c r="BF279" s="433">
        <f t="shared" si="185"/>
        <v>0</v>
      </c>
      <c r="BG279" s="433">
        <f t="shared" si="186"/>
        <v>0</v>
      </c>
      <c r="BH279" s="433">
        <f t="shared" si="187"/>
        <v>0</v>
      </c>
      <c r="BI279" s="433">
        <f t="shared" si="188"/>
        <v>0</v>
      </c>
      <c r="BJ279" s="433">
        <f t="shared" si="189"/>
        <v>0</v>
      </c>
      <c r="BK279" s="433">
        <f t="shared" si="190"/>
        <v>0</v>
      </c>
      <c r="BL279" s="433">
        <f t="shared" si="191"/>
        <v>0</v>
      </c>
      <c r="BM279" s="433">
        <f t="shared" si="192"/>
        <v>0</v>
      </c>
      <c r="BN279" s="433">
        <f t="shared" si="193"/>
        <v>0</v>
      </c>
      <c r="BO279" s="433">
        <f t="shared" si="194"/>
        <v>0</v>
      </c>
      <c r="BP279" s="433">
        <f t="shared" si="195"/>
        <v>0</v>
      </c>
      <c r="BQ279" s="433">
        <f t="shared" si="196"/>
        <v>0</v>
      </c>
    </row>
    <row r="280" spans="1:69" s="291" customFormat="1" x14ac:dyDescent="0.2">
      <c r="A280" s="317">
        <v>41819</v>
      </c>
      <c r="B280" s="318">
        <v>3</v>
      </c>
      <c r="C280" s="320" t="s">
        <v>1563</v>
      </c>
      <c r="D280" s="321">
        <v>0.78749999999999998</v>
      </c>
      <c r="E280" s="321">
        <v>1</v>
      </c>
      <c r="F280" s="434">
        <v>35</v>
      </c>
      <c r="G280" s="435"/>
      <c r="H280" s="434"/>
      <c r="I280" s="436"/>
      <c r="J280" s="437">
        <f t="shared" si="169"/>
        <v>306.00000000000006</v>
      </c>
      <c r="K280" s="285"/>
      <c r="L280" s="285"/>
      <c r="M280" s="285"/>
      <c r="N280" s="438">
        <f t="shared" si="170"/>
        <v>0</v>
      </c>
      <c r="O280" s="285"/>
      <c r="P280" s="285"/>
      <c r="Q280" s="285"/>
      <c r="R280" s="439">
        <f t="shared" si="171"/>
        <v>0</v>
      </c>
      <c r="S280" s="285"/>
      <c r="T280" s="285"/>
      <c r="U280" s="285"/>
      <c r="V280" s="440"/>
      <c r="W280" s="439">
        <f t="shared" si="175"/>
        <v>0</v>
      </c>
      <c r="X280" s="285"/>
      <c r="Y280" s="285"/>
      <c r="Z280" s="440"/>
      <c r="AA280" s="439">
        <f t="shared" si="176"/>
        <v>0</v>
      </c>
      <c r="AB280" s="285"/>
      <c r="AC280" s="285"/>
      <c r="AD280" s="285"/>
      <c r="AE280" s="439">
        <f t="shared" si="177"/>
        <v>0</v>
      </c>
      <c r="AF280" s="285"/>
      <c r="AG280" s="285"/>
      <c r="AH280" s="285"/>
      <c r="AI280" s="285"/>
      <c r="AJ280" s="439">
        <f t="shared" si="178"/>
        <v>0</v>
      </c>
      <c r="AK280" s="340"/>
      <c r="AL280" s="340"/>
      <c r="AM280" s="340"/>
      <c r="AN280" s="340"/>
      <c r="AO280" s="340"/>
      <c r="AP280" s="340"/>
      <c r="AQ280" s="340"/>
      <c r="AR280" s="441">
        <f t="shared" si="179"/>
        <v>0</v>
      </c>
      <c r="AT280" s="313" t="s">
        <v>424</v>
      </c>
      <c r="AU280" s="289" t="s">
        <v>1611</v>
      </c>
      <c r="AV280" s="313" t="s">
        <v>1599</v>
      </c>
      <c r="AW280" s="289" t="s">
        <v>1607</v>
      </c>
      <c r="AX280" s="443">
        <f t="shared" si="180"/>
        <v>0</v>
      </c>
      <c r="AY280" s="443">
        <f t="shared" si="181"/>
        <v>0</v>
      </c>
      <c r="AZ280" s="443">
        <f t="shared" si="182"/>
        <v>0</v>
      </c>
      <c r="BA280" s="443">
        <f t="shared" si="172"/>
        <v>0</v>
      </c>
      <c r="BB280" s="443">
        <f t="shared" si="173"/>
        <v>0</v>
      </c>
      <c r="BC280" s="443">
        <f t="shared" si="174"/>
        <v>0</v>
      </c>
      <c r="BD280" s="443">
        <f t="shared" si="183"/>
        <v>0</v>
      </c>
      <c r="BE280" s="443">
        <f t="shared" si="184"/>
        <v>0</v>
      </c>
      <c r="BF280" s="443">
        <f t="shared" si="185"/>
        <v>0</v>
      </c>
      <c r="BG280" s="443">
        <f t="shared" si="186"/>
        <v>0</v>
      </c>
      <c r="BH280" s="443">
        <f t="shared" si="187"/>
        <v>0</v>
      </c>
      <c r="BI280" s="443">
        <f t="shared" si="188"/>
        <v>0</v>
      </c>
      <c r="BJ280" s="443">
        <f t="shared" si="189"/>
        <v>0</v>
      </c>
      <c r="BK280" s="443">
        <f t="shared" si="190"/>
        <v>0</v>
      </c>
      <c r="BL280" s="443">
        <f t="shared" si="191"/>
        <v>0</v>
      </c>
      <c r="BM280" s="443">
        <f t="shared" si="192"/>
        <v>0</v>
      </c>
      <c r="BN280" s="443">
        <f t="shared" si="193"/>
        <v>0</v>
      </c>
      <c r="BO280" s="443">
        <f t="shared" si="194"/>
        <v>0</v>
      </c>
      <c r="BP280" s="443">
        <f t="shared" si="195"/>
        <v>0</v>
      </c>
      <c r="BQ280" s="443">
        <f t="shared" si="196"/>
        <v>0</v>
      </c>
    </row>
    <row r="281" spans="1:69" x14ac:dyDescent="0.2">
      <c r="A281" s="102">
        <v>41820</v>
      </c>
      <c r="B281" s="319">
        <v>1</v>
      </c>
      <c r="C281" s="118" t="s">
        <v>1614</v>
      </c>
      <c r="D281" s="111">
        <v>0</v>
      </c>
      <c r="E281" s="111">
        <v>0.40763888888888888</v>
      </c>
      <c r="F281" s="444">
        <v>62</v>
      </c>
      <c r="G281" s="445">
        <v>10</v>
      </c>
      <c r="H281" s="444"/>
      <c r="I281" s="390"/>
      <c r="J281" s="426">
        <f t="shared" si="169"/>
        <v>587</v>
      </c>
      <c r="K281" s="103">
        <v>12</v>
      </c>
      <c r="L281" s="103">
        <v>1</v>
      </c>
      <c r="M281" s="103"/>
      <c r="N281" s="427">
        <f t="shared" si="170"/>
        <v>13</v>
      </c>
      <c r="O281" s="103">
        <v>1</v>
      </c>
      <c r="P281" s="103">
        <v>3</v>
      </c>
      <c r="Q281" s="103"/>
      <c r="R281" s="428">
        <f t="shared" si="171"/>
        <v>4</v>
      </c>
      <c r="S281" s="103"/>
      <c r="T281" s="103"/>
      <c r="U281" s="103"/>
      <c r="V281" s="125"/>
      <c r="W281" s="428">
        <f t="shared" si="175"/>
        <v>0</v>
      </c>
      <c r="X281" s="103"/>
      <c r="Y281" s="103"/>
      <c r="Z281" s="125"/>
      <c r="AA281" s="428">
        <f t="shared" si="176"/>
        <v>0</v>
      </c>
      <c r="AB281" s="103"/>
      <c r="AC281" s="103"/>
      <c r="AD281" s="103"/>
      <c r="AE281" s="428">
        <f t="shared" si="177"/>
        <v>0</v>
      </c>
      <c r="AF281" s="103"/>
      <c r="AG281" s="103"/>
      <c r="AH281" s="103"/>
      <c r="AI281" s="103"/>
      <c r="AJ281" s="428">
        <f t="shared" si="178"/>
        <v>0</v>
      </c>
      <c r="AK281" s="446"/>
      <c r="AL281" s="446"/>
      <c r="AM281" s="446"/>
      <c r="AN281" s="446"/>
      <c r="AO281" s="446"/>
      <c r="AP281" s="446">
        <v>1</v>
      </c>
      <c r="AQ281" s="446"/>
      <c r="AR281" s="431">
        <f t="shared" si="179"/>
        <v>1</v>
      </c>
      <c r="AT281" s="128"/>
      <c r="AU281" s="100" t="s">
        <v>1615</v>
      </c>
      <c r="AV281" s="128" t="s">
        <v>1697</v>
      </c>
      <c r="AW281" s="100" t="s">
        <v>1701</v>
      </c>
      <c r="AX281" s="433">
        <f t="shared" si="180"/>
        <v>12</v>
      </c>
      <c r="AY281" s="433">
        <f t="shared" si="181"/>
        <v>1</v>
      </c>
      <c r="AZ281" s="433">
        <f t="shared" si="182"/>
        <v>0</v>
      </c>
      <c r="BA281" s="433">
        <f t="shared" si="172"/>
        <v>1</v>
      </c>
      <c r="BB281" s="433">
        <f t="shared" si="173"/>
        <v>3</v>
      </c>
      <c r="BC281" s="433">
        <f t="shared" si="174"/>
        <v>0</v>
      </c>
      <c r="BD281" s="433">
        <f t="shared" si="183"/>
        <v>0</v>
      </c>
      <c r="BE281" s="433">
        <f t="shared" si="184"/>
        <v>0</v>
      </c>
      <c r="BF281" s="433">
        <f t="shared" si="185"/>
        <v>0</v>
      </c>
      <c r="BG281" s="433">
        <f t="shared" si="186"/>
        <v>0</v>
      </c>
      <c r="BH281" s="433">
        <f t="shared" si="187"/>
        <v>0</v>
      </c>
      <c r="BI281" s="433">
        <f t="shared" si="188"/>
        <v>0</v>
      </c>
      <c r="BJ281" s="433">
        <f t="shared" si="189"/>
        <v>0</v>
      </c>
      <c r="BK281" s="433">
        <f t="shared" si="190"/>
        <v>0</v>
      </c>
      <c r="BL281" s="433">
        <f t="shared" si="191"/>
        <v>0</v>
      </c>
      <c r="BM281" s="433">
        <f t="shared" si="192"/>
        <v>0</v>
      </c>
      <c r="BN281" s="433">
        <f t="shared" si="193"/>
        <v>0</v>
      </c>
      <c r="BO281" s="433">
        <f t="shared" si="194"/>
        <v>0</v>
      </c>
      <c r="BP281" s="433">
        <f t="shared" si="195"/>
        <v>0</v>
      </c>
      <c r="BQ281" s="433">
        <f t="shared" si="196"/>
        <v>0</v>
      </c>
    </row>
    <row r="282" spans="1:69" x14ac:dyDescent="0.2">
      <c r="A282" s="102">
        <v>41820</v>
      </c>
      <c r="B282" s="319">
        <v>1</v>
      </c>
      <c r="C282" s="118" t="s">
        <v>1616</v>
      </c>
      <c r="D282" s="111">
        <v>0.40763888888888888</v>
      </c>
      <c r="E282" s="111">
        <v>0.59513888888888888</v>
      </c>
      <c r="F282" s="444">
        <v>48</v>
      </c>
      <c r="G282" s="445">
        <v>10</v>
      </c>
      <c r="H282" s="444"/>
      <c r="I282" s="390"/>
      <c r="J282" s="426">
        <f t="shared" si="169"/>
        <v>270</v>
      </c>
      <c r="K282" s="103">
        <v>10</v>
      </c>
      <c r="L282" s="103"/>
      <c r="M282" s="103"/>
      <c r="N282" s="427">
        <f t="shared" si="170"/>
        <v>10</v>
      </c>
      <c r="O282" s="103"/>
      <c r="P282" s="103"/>
      <c r="Q282" s="103"/>
      <c r="R282" s="428">
        <f t="shared" si="171"/>
        <v>0</v>
      </c>
      <c r="S282" s="103">
        <v>1</v>
      </c>
      <c r="T282" s="103"/>
      <c r="U282" s="103"/>
      <c r="V282" s="125"/>
      <c r="W282" s="428">
        <f t="shared" si="175"/>
        <v>1</v>
      </c>
      <c r="X282" s="103"/>
      <c r="Y282" s="103"/>
      <c r="Z282" s="125"/>
      <c r="AA282" s="428">
        <f t="shared" si="176"/>
        <v>0</v>
      </c>
      <c r="AB282" s="103"/>
      <c r="AC282" s="103"/>
      <c r="AD282" s="103"/>
      <c r="AE282" s="428">
        <f t="shared" si="177"/>
        <v>0</v>
      </c>
      <c r="AF282" s="103"/>
      <c r="AG282" s="103"/>
      <c r="AH282" s="103"/>
      <c r="AI282" s="103"/>
      <c r="AJ282" s="428">
        <f t="shared" si="178"/>
        <v>0</v>
      </c>
      <c r="AK282" s="446"/>
      <c r="AL282" s="446"/>
      <c r="AM282" s="446">
        <v>1</v>
      </c>
      <c r="AN282" s="446"/>
      <c r="AO282" s="446"/>
      <c r="AP282" s="446"/>
      <c r="AQ282" s="446"/>
      <c r="AR282" s="431">
        <f t="shared" si="179"/>
        <v>1</v>
      </c>
      <c r="AS282" s="10" t="s">
        <v>1617</v>
      </c>
      <c r="AT282" s="128"/>
      <c r="AU282" s="100" t="s">
        <v>1620</v>
      </c>
      <c r="AV282" s="128" t="s">
        <v>1697</v>
      </c>
      <c r="AW282" s="100" t="s">
        <v>1701</v>
      </c>
      <c r="AX282" s="433">
        <f t="shared" si="180"/>
        <v>10</v>
      </c>
      <c r="AY282" s="433">
        <f t="shared" si="181"/>
        <v>0</v>
      </c>
      <c r="AZ282" s="433">
        <f t="shared" si="182"/>
        <v>0</v>
      </c>
      <c r="BA282" s="433">
        <f t="shared" si="172"/>
        <v>0</v>
      </c>
      <c r="BB282" s="433">
        <f t="shared" si="173"/>
        <v>0</v>
      </c>
      <c r="BC282" s="433">
        <f t="shared" si="174"/>
        <v>0</v>
      </c>
      <c r="BD282" s="433">
        <f t="shared" si="183"/>
        <v>1</v>
      </c>
      <c r="BE282" s="433">
        <f t="shared" si="184"/>
        <v>0</v>
      </c>
      <c r="BF282" s="433">
        <f t="shared" si="185"/>
        <v>0</v>
      </c>
      <c r="BG282" s="433">
        <f t="shared" si="186"/>
        <v>0</v>
      </c>
      <c r="BH282" s="433">
        <f t="shared" si="187"/>
        <v>0</v>
      </c>
      <c r="BI282" s="433">
        <f t="shared" si="188"/>
        <v>0</v>
      </c>
      <c r="BJ282" s="433">
        <f t="shared" si="189"/>
        <v>0</v>
      </c>
      <c r="BK282" s="433">
        <f t="shared" si="190"/>
        <v>0</v>
      </c>
      <c r="BL282" s="433">
        <f t="shared" si="191"/>
        <v>0</v>
      </c>
      <c r="BM282" s="433">
        <f t="shared" si="192"/>
        <v>0</v>
      </c>
      <c r="BN282" s="433">
        <f t="shared" si="193"/>
        <v>0</v>
      </c>
      <c r="BO282" s="433">
        <f t="shared" si="194"/>
        <v>0</v>
      </c>
      <c r="BP282" s="433">
        <f t="shared" si="195"/>
        <v>0</v>
      </c>
      <c r="BQ282" s="433">
        <f t="shared" si="196"/>
        <v>0</v>
      </c>
    </row>
    <row r="283" spans="1:69" x14ac:dyDescent="0.2">
      <c r="A283" s="102">
        <v>41820</v>
      </c>
      <c r="B283" s="319">
        <v>1</v>
      </c>
      <c r="C283" s="118" t="s">
        <v>1618</v>
      </c>
      <c r="D283" s="111">
        <v>0.59513888888888888</v>
      </c>
      <c r="E283" s="111">
        <v>0.78819444444444453</v>
      </c>
      <c r="F283" s="444">
        <v>51</v>
      </c>
      <c r="G283" s="445">
        <v>11</v>
      </c>
      <c r="H283" s="444"/>
      <c r="I283" s="390"/>
      <c r="J283" s="426">
        <f t="shared" si="169"/>
        <v>278.00000000000011</v>
      </c>
      <c r="K283" s="103">
        <v>8</v>
      </c>
      <c r="L283" s="103">
        <v>1</v>
      </c>
      <c r="M283" s="103"/>
      <c r="N283" s="427">
        <f t="shared" si="170"/>
        <v>9</v>
      </c>
      <c r="O283" s="103">
        <v>1</v>
      </c>
      <c r="P283" s="103"/>
      <c r="Q283" s="103"/>
      <c r="R283" s="428">
        <f t="shared" si="171"/>
        <v>1</v>
      </c>
      <c r="S283" s="103"/>
      <c r="T283" s="103"/>
      <c r="U283" s="103"/>
      <c r="V283" s="125"/>
      <c r="W283" s="428">
        <f t="shared" si="175"/>
        <v>0</v>
      </c>
      <c r="X283" s="103"/>
      <c r="Y283" s="103"/>
      <c r="Z283" s="125"/>
      <c r="AA283" s="428">
        <f t="shared" si="176"/>
        <v>0</v>
      </c>
      <c r="AB283" s="103"/>
      <c r="AC283" s="103"/>
      <c r="AD283" s="103"/>
      <c r="AE283" s="428">
        <f t="shared" si="177"/>
        <v>0</v>
      </c>
      <c r="AF283" s="103"/>
      <c r="AG283" s="103"/>
      <c r="AH283" s="103"/>
      <c r="AI283" s="103"/>
      <c r="AJ283" s="428">
        <f t="shared" si="178"/>
        <v>0</v>
      </c>
      <c r="AK283" s="446"/>
      <c r="AL283" s="446"/>
      <c r="AM283" s="446"/>
      <c r="AN283" s="446"/>
      <c r="AO283" s="446"/>
      <c r="AP283" s="446"/>
      <c r="AQ283" s="446"/>
      <c r="AR283" s="431">
        <f t="shared" si="179"/>
        <v>0</v>
      </c>
      <c r="AT283" s="128"/>
      <c r="AU283" s="100" t="s">
        <v>1621</v>
      </c>
      <c r="AV283" s="128" t="s">
        <v>1697</v>
      </c>
      <c r="AW283" s="100" t="s">
        <v>1701</v>
      </c>
      <c r="AX283" s="433">
        <f t="shared" si="180"/>
        <v>8</v>
      </c>
      <c r="AY283" s="433">
        <f t="shared" si="181"/>
        <v>1</v>
      </c>
      <c r="AZ283" s="433">
        <f t="shared" si="182"/>
        <v>0</v>
      </c>
      <c r="BA283" s="433">
        <f t="shared" si="172"/>
        <v>1</v>
      </c>
      <c r="BB283" s="433">
        <f t="shared" si="173"/>
        <v>0</v>
      </c>
      <c r="BC283" s="433">
        <f t="shared" si="174"/>
        <v>0</v>
      </c>
      <c r="BD283" s="433">
        <f t="shared" si="183"/>
        <v>0</v>
      </c>
      <c r="BE283" s="433">
        <f t="shared" si="184"/>
        <v>0</v>
      </c>
      <c r="BF283" s="433">
        <f t="shared" si="185"/>
        <v>0</v>
      </c>
      <c r="BG283" s="433">
        <f t="shared" si="186"/>
        <v>0</v>
      </c>
      <c r="BH283" s="433">
        <f t="shared" si="187"/>
        <v>0</v>
      </c>
      <c r="BI283" s="433">
        <f t="shared" si="188"/>
        <v>0</v>
      </c>
      <c r="BJ283" s="433">
        <f t="shared" si="189"/>
        <v>0</v>
      </c>
      <c r="BK283" s="433">
        <f t="shared" si="190"/>
        <v>0</v>
      </c>
      <c r="BL283" s="433">
        <f t="shared" si="191"/>
        <v>0</v>
      </c>
      <c r="BM283" s="433">
        <f t="shared" si="192"/>
        <v>0</v>
      </c>
      <c r="BN283" s="433">
        <f t="shared" si="193"/>
        <v>0</v>
      </c>
      <c r="BO283" s="433">
        <f t="shared" si="194"/>
        <v>0</v>
      </c>
      <c r="BP283" s="433">
        <f t="shared" si="195"/>
        <v>0</v>
      </c>
      <c r="BQ283" s="433">
        <f t="shared" si="196"/>
        <v>0</v>
      </c>
    </row>
    <row r="284" spans="1:69" x14ac:dyDescent="0.2">
      <c r="A284" s="102">
        <v>41820</v>
      </c>
      <c r="B284" s="319">
        <v>1</v>
      </c>
      <c r="C284" s="118" t="s">
        <v>1619</v>
      </c>
      <c r="D284" s="111">
        <v>0.78819444444444453</v>
      </c>
      <c r="E284" s="111">
        <v>0.97916666666666663</v>
      </c>
      <c r="F284" s="444">
        <v>50</v>
      </c>
      <c r="G284" s="445">
        <v>10</v>
      </c>
      <c r="H284" s="444"/>
      <c r="I284" s="390"/>
      <c r="J284" s="426">
        <f t="shared" si="169"/>
        <v>274.99999999999983</v>
      </c>
      <c r="K284" s="103">
        <v>5</v>
      </c>
      <c r="L284" s="103">
        <v>1</v>
      </c>
      <c r="M284" s="103"/>
      <c r="N284" s="427">
        <f t="shared" si="170"/>
        <v>6</v>
      </c>
      <c r="O284" s="103"/>
      <c r="P284" s="103"/>
      <c r="Q284" s="103"/>
      <c r="R284" s="428">
        <f t="shared" si="171"/>
        <v>0</v>
      </c>
      <c r="S284" s="103"/>
      <c r="T284" s="103"/>
      <c r="U284" s="103"/>
      <c r="V284" s="125"/>
      <c r="W284" s="428">
        <f t="shared" si="175"/>
        <v>0</v>
      </c>
      <c r="X284" s="103"/>
      <c r="Y284" s="103"/>
      <c r="Z284" s="125"/>
      <c r="AA284" s="428">
        <f t="shared" si="176"/>
        <v>0</v>
      </c>
      <c r="AB284" s="103"/>
      <c r="AC284" s="103"/>
      <c r="AD284" s="103"/>
      <c r="AE284" s="428">
        <f t="shared" si="177"/>
        <v>0</v>
      </c>
      <c r="AF284" s="103"/>
      <c r="AG284" s="103"/>
      <c r="AH284" s="103"/>
      <c r="AI284" s="103"/>
      <c r="AJ284" s="428">
        <f t="shared" si="178"/>
        <v>0</v>
      </c>
      <c r="AK284" s="446"/>
      <c r="AL284" s="446"/>
      <c r="AM284" s="446"/>
      <c r="AN284" s="446"/>
      <c r="AO284" s="446"/>
      <c r="AP284" s="446"/>
      <c r="AQ284" s="446"/>
      <c r="AR284" s="431">
        <f t="shared" si="179"/>
        <v>0</v>
      </c>
      <c r="AT284" s="128"/>
      <c r="AU284" s="100" t="s">
        <v>1599</v>
      </c>
      <c r="AV284" s="128" t="s">
        <v>1697</v>
      </c>
      <c r="AW284" s="100" t="s">
        <v>1701</v>
      </c>
      <c r="AX284" s="433">
        <f t="shared" si="180"/>
        <v>5</v>
      </c>
      <c r="AY284" s="433">
        <f t="shared" si="181"/>
        <v>1</v>
      </c>
      <c r="AZ284" s="433">
        <f t="shared" si="182"/>
        <v>0</v>
      </c>
      <c r="BA284" s="433">
        <f t="shared" si="172"/>
        <v>0</v>
      </c>
      <c r="BB284" s="433">
        <f t="shared" si="173"/>
        <v>0</v>
      </c>
      <c r="BC284" s="433">
        <f t="shared" si="174"/>
        <v>0</v>
      </c>
      <c r="BD284" s="433">
        <f t="shared" si="183"/>
        <v>0</v>
      </c>
      <c r="BE284" s="433">
        <f t="shared" si="184"/>
        <v>0</v>
      </c>
      <c r="BF284" s="433">
        <f t="shared" si="185"/>
        <v>0</v>
      </c>
      <c r="BG284" s="433">
        <f t="shared" si="186"/>
        <v>0</v>
      </c>
      <c r="BH284" s="433">
        <f t="shared" si="187"/>
        <v>0</v>
      </c>
      <c r="BI284" s="433">
        <f t="shared" si="188"/>
        <v>0</v>
      </c>
      <c r="BJ284" s="433">
        <f t="shared" si="189"/>
        <v>0</v>
      </c>
      <c r="BK284" s="433">
        <f t="shared" si="190"/>
        <v>0</v>
      </c>
      <c r="BL284" s="433">
        <f t="shared" si="191"/>
        <v>0</v>
      </c>
      <c r="BM284" s="433">
        <f t="shared" si="192"/>
        <v>0</v>
      </c>
      <c r="BN284" s="433">
        <f t="shared" si="193"/>
        <v>0</v>
      </c>
      <c r="BO284" s="433">
        <f t="shared" si="194"/>
        <v>0</v>
      </c>
      <c r="BP284" s="433">
        <f t="shared" si="195"/>
        <v>0</v>
      </c>
      <c r="BQ284" s="433">
        <f t="shared" si="196"/>
        <v>0</v>
      </c>
    </row>
    <row r="285" spans="1:69" x14ac:dyDescent="0.2">
      <c r="A285" s="102">
        <v>41820</v>
      </c>
      <c r="B285" s="319">
        <v>1</v>
      </c>
      <c r="C285" s="118" t="s">
        <v>1622</v>
      </c>
      <c r="D285" s="111">
        <v>0.97916666666666663</v>
      </c>
      <c r="E285" s="111">
        <v>1</v>
      </c>
      <c r="F285" s="444"/>
      <c r="G285" s="445"/>
      <c r="H285" s="444"/>
      <c r="I285" s="390"/>
      <c r="J285" s="426">
        <f t="shared" si="169"/>
        <v>30.000000000000053</v>
      </c>
      <c r="K285" s="103"/>
      <c r="L285" s="103"/>
      <c r="M285" s="103"/>
      <c r="N285" s="427">
        <f t="shared" si="170"/>
        <v>0</v>
      </c>
      <c r="O285" s="103"/>
      <c r="P285" s="103"/>
      <c r="Q285" s="103"/>
      <c r="R285" s="428">
        <f t="shared" si="171"/>
        <v>0</v>
      </c>
      <c r="S285" s="103"/>
      <c r="T285" s="103"/>
      <c r="U285" s="103"/>
      <c r="V285" s="125"/>
      <c r="W285" s="428">
        <f t="shared" si="175"/>
        <v>0</v>
      </c>
      <c r="X285" s="103"/>
      <c r="Y285" s="103"/>
      <c r="Z285" s="125"/>
      <c r="AA285" s="428">
        <f t="shared" si="176"/>
        <v>0</v>
      </c>
      <c r="AB285" s="103"/>
      <c r="AC285" s="103"/>
      <c r="AD285" s="103"/>
      <c r="AE285" s="428">
        <f t="shared" si="177"/>
        <v>0</v>
      </c>
      <c r="AF285" s="103"/>
      <c r="AG285" s="103"/>
      <c r="AH285" s="103"/>
      <c r="AI285" s="103"/>
      <c r="AJ285" s="428">
        <f t="shared" si="178"/>
        <v>0</v>
      </c>
      <c r="AK285" s="446"/>
      <c r="AL285" s="446"/>
      <c r="AM285" s="446"/>
      <c r="AN285" s="446"/>
      <c r="AO285" s="446"/>
      <c r="AP285" s="446"/>
      <c r="AQ285" s="446"/>
      <c r="AR285" s="431">
        <f t="shared" si="179"/>
        <v>0</v>
      </c>
      <c r="AS285" s="10" t="s">
        <v>1564</v>
      </c>
      <c r="AT285" s="128"/>
      <c r="AU285" s="100" t="s">
        <v>1659</v>
      </c>
      <c r="AV285" s="128" t="s">
        <v>1697</v>
      </c>
      <c r="AW285" s="100" t="s">
        <v>1701</v>
      </c>
      <c r="AX285" s="433">
        <f t="shared" si="180"/>
        <v>0</v>
      </c>
      <c r="AY285" s="433">
        <f t="shared" si="181"/>
        <v>0</v>
      </c>
      <c r="AZ285" s="433">
        <f t="shared" si="182"/>
        <v>0</v>
      </c>
      <c r="BA285" s="433">
        <f t="shared" si="172"/>
        <v>0</v>
      </c>
      <c r="BB285" s="433">
        <f t="shared" si="173"/>
        <v>0</v>
      </c>
      <c r="BC285" s="433">
        <f t="shared" si="174"/>
        <v>0</v>
      </c>
      <c r="BD285" s="433">
        <f t="shared" si="183"/>
        <v>0</v>
      </c>
      <c r="BE285" s="433">
        <f t="shared" si="184"/>
        <v>0</v>
      </c>
      <c r="BF285" s="433">
        <f t="shared" si="185"/>
        <v>0</v>
      </c>
      <c r="BG285" s="433">
        <f t="shared" si="186"/>
        <v>0</v>
      </c>
      <c r="BH285" s="433">
        <f t="shared" si="187"/>
        <v>0</v>
      </c>
      <c r="BI285" s="433">
        <f t="shared" si="188"/>
        <v>0</v>
      </c>
      <c r="BJ285" s="433">
        <f t="shared" si="189"/>
        <v>0</v>
      </c>
      <c r="BK285" s="433">
        <f t="shared" si="190"/>
        <v>0</v>
      </c>
      <c r="BL285" s="433">
        <f t="shared" si="191"/>
        <v>0</v>
      </c>
      <c r="BM285" s="433">
        <f t="shared" si="192"/>
        <v>0</v>
      </c>
      <c r="BN285" s="433">
        <f t="shared" si="193"/>
        <v>0</v>
      </c>
      <c r="BO285" s="433">
        <f t="shared" si="194"/>
        <v>0</v>
      </c>
      <c r="BP285" s="433">
        <f t="shared" si="195"/>
        <v>0</v>
      </c>
      <c r="BQ285" s="433">
        <f t="shared" si="196"/>
        <v>0</v>
      </c>
    </row>
    <row r="286" spans="1:69" x14ac:dyDescent="0.2">
      <c r="A286" s="102">
        <v>41820</v>
      </c>
      <c r="B286" s="319">
        <v>2</v>
      </c>
      <c r="C286" s="118" t="s">
        <v>1556</v>
      </c>
      <c r="D286" s="111">
        <v>0</v>
      </c>
      <c r="E286" s="111">
        <v>0.39513888888888887</v>
      </c>
      <c r="F286" s="444">
        <v>32</v>
      </c>
      <c r="G286" s="445">
        <v>12</v>
      </c>
      <c r="H286" s="444"/>
      <c r="I286" s="390"/>
      <c r="J286" s="426">
        <f t="shared" si="169"/>
        <v>569</v>
      </c>
      <c r="K286" s="103"/>
      <c r="L286" s="103"/>
      <c r="M286" s="103"/>
      <c r="N286" s="427">
        <f t="shared" si="170"/>
        <v>0</v>
      </c>
      <c r="O286" s="103"/>
      <c r="P286" s="103"/>
      <c r="Q286" s="103"/>
      <c r="R286" s="428">
        <f t="shared" si="171"/>
        <v>0</v>
      </c>
      <c r="S286" s="103"/>
      <c r="T286" s="103"/>
      <c r="U286" s="103"/>
      <c r="V286" s="125"/>
      <c r="W286" s="428">
        <f t="shared" si="175"/>
        <v>0</v>
      </c>
      <c r="X286" s="103"/>
      <c r="Y286" s="103"/>
      <c r="Z286" s="125"/>
      <c r="AA286" s="428">
        <f t="shared" si="176"/>
        <v>0</v>
      </c>
      <c r="AB286" s="103"/>
      <c r="AC286" s="103"/>
      <c r="AD286" s="103"/>
      <c r="AE286" s="428">
        <f t="shared" si="177"/>
        <v>0</v>
      </c>
      <c r="AF286" s="103"/>
      <c r="AG286" s="103"/>
      <c r="AH286" s="103"/>
      <c r="AI286" s="103"/>
      <c r="AJ286" s="428">
        <f t="shared" si="178"/>
        <v>0</v>
      </c>
      <c r="AK286" s="446"/>
      <c r="AL286" s="446"/>
      <c r="AM286" s="446"/>
      <c r="AN286" s="446"/>
      <c r="AO286" s="446"/>
      <c r="AP286" s="446"/>
      <c r="AQ286" s="446"/>
      <c r="AR286" s="431">
        <f t="shared" si="179"/>
        <v>0</v>
      </c>
      <c r="AT286" s="128" t="s">
        <v>424</v>
      </c>
      <c r="AU286" s="100" t="s">
        <v>1615</v>
      </c>
      <c r="AV286" s="128" t="s">
        <v>1697</v>
      </c>
      <c r="AW286" s="100" t="s">
        <v>1701</v>
      </c>
      <c r="AX286" s="433">
        <f t="shared" si="180"/>
        <v>0</v>
      </c>
      <c r="AY286" s="433">
        <f t="shared" si="181"/>
        <v>0</v>
      </c>
      <c r="AZ286" s="433">
        <f t="shared" si="182"/>
        <v>0</v>
      </c>
      <c r="BA286" s="433">
        <f t="shared" si="172"/>
        <v>0</v>
      </c>
      <c r="BB286" s="433">
        <f t="shared" si="173"/>
        <v>0</v>
      </c>
      <c r="BC286" s="433">
        <f t="shared" si="174"/>
        <v>0</v>
      </c>
      <c r="BD286" s="433">
        <f t="shared" si="183"/>
        <v>0</v>
      </c>
      <c r="BE286" s="433">
        <f t="shared" si="184"/>
        <v>0</v>
      </c>
      <c r="BF286" s="433">
        <f t="shared" si="185"/>
        <v>0</v>
      </c>
      <c r="BG286" s="433">
        <f t="shared" si="186"/>
        <v>0</v>
      </c>
      <c r="BH286" s="433">
        <f t="shared" si="187"/>
        <v>0</v>
      </c>
      <c r="BI286" s="433">
        <f t="shared" si="188"/>
        <v>0</v>
      </c>
      <c r="BJ286" s="433">
        <f t="shared" si="189"/>
        <v>0</v>
      </c>
      <c r="BK286" s="433">
        <f t="shared" si="190"/>
        <v>0</v>
      </c>
      <c r="BL286" s="433">
        <f t="shared" si="191"/>
        <v>0</v>
      </c>
      <c r="BM286" s="433">
        <f t="shared" si="192"/>
        <v>0</v>
      </c>
      <c r="BN286" s="433">
        <f t="shared" si="193"/>
        <v>0</v>
      </c>
      <c r="BO286" s="433">
        <f t="shared" si="194"/>
        <v>0</v>
      </c>
      <c r="BP286" s="433">
        <f t="shared" si="195"/>
        <v>0</v>
      </c>
      <c r="BQ286" s="433">
        <f t="shared" si="196"/>
        <v>0</v>
      </c>
    </row>
    <row r="287" spans="1:69" x14ac:dyDescent="0.2">
      <c r="A287" s="102">
        <v>41820</v>
      </c>
      <c r="B287" s="319">
        <v>2</v>
      </c>
      <c r="C287" s="118" t="s">
        <v>1616</v>
      </c>
      <c r="D287" s="111">
        <v>0.39513888888888887</v>
      </c>
      <c r="E287" s="111">
        <v>0.60138888888888886</v>
      </c>
      <c r="F287" s="444">
        <v>32</v>
      </c>
      <c r="G287" s="445">
        <v>12</v>
      </c>
      <c r="H287" s="444"/>
      <c r="I287" s="390"/>
      <c r="J287" s="426">
        <f t="shared" si="169"/>
        <v>296.99999999999994</v>
      </c>
      <c r="K287" s="103"/>
      <c r="L287" s="103"/>
      <c r="M287" s="103"/>
      <c r="N287" s="427">
        <f t="shared" si="170"/>
        <v>0</v>
      </c>
      <c r="O287" s="103"/>
      <c r="P287" s="103"/>
      <c r="Q287" s="103"/>
      <c r="R287" s="428">
        <f t="shared" si="171"/>
        <v>0</v>
      </c>
      <c r="S287" s="103"/>
      <c r="T287" s="103"/>
      <c r="U287" s="103"/>
      <c r="V287" s="125"/>
      <c r="W287" s="428">
        <f t="shared" si="175"/>
        <v>0</v>
      </c>
      <c r="X287" s="103"/>
      <c r="Y287" s="103"/>
      <c r="Z287" s="125"/>
      <c r="AA287" s="428">
        <f t="shared" si="176"/>
        <v>0</v>
      </c>
      <c r="AB287" s="103"/>
      <c r="AC287" s="103"/>
      <c r="AD287" s="103"/>
      <c r="AE287" s="428">
        <f t="shared" si="177"/>
        <v>0</v>
      </c>
      <c r="AF287" s="103"/>
      <c r="AG287" s="103"/>
      <c r="AH287" s="103"/>
      <c r="AI287" s="103"/>
      <c r="AJ287" s="428">
        <f t="shared" si="178"/>
        <v>0</v>
      </c>
      <c r="AK287" s="446"/>
      <c r="AL287" s="446"/>
      <c r="AM287" s="446"/>
      <c r="AN287" s="446"/>
      <c r="AO287" s="446"/>
      <c r="AP287" s="446"/>
      <c r="AQ287" s="446"/>
      <c r="AR287" s="431">
        <f t="shared" si="179"/>
        <v>0</v>
      </c>
      <c r="AS287" s="10" t="s">
        <v>1699</v>
      </c>
      <c r="AT287" s="128" t="s">
        <v>424</v>
      </c>
      <c r="AU287" s="100" t="s">
        <v>1659</v>
      </c>
      <c r="AV287" s="128" t="s">
        <v>1697</v>
      </c>
      <c r="AW287" s="100" t="s">
        <v>1701</v>
      </c>
      <c r="AX287" s="433">
        <f t="shared" si="180"/>
        <v>0</v>
      </c>
      <c r="AY287" s="433">
        <f t="shared" si="181"/>
        <v>0</v>
      </c>
      <c r="AZ287" s="433">
        <f t="shared" si="182"/>
        <v>0</v>
      </c>
      <c r="BA287" s="433">
        <f t="shared" si="172"/>
        <v>0</v>
      </c>
      <c r="BB287" s="433">
        <f t="shared" si="173"/>
        <v>0</v>
      </c>
      <c r="BC287" s="433">
        <f t="shared" si="174"/>
        <v>0</v>
      </c>
      <c r="BD287" s="433">
        <f t="shared" si="183"/>
        <v>0</v>
      </c>
      <c r="BE287" s="433">
        <f t="shared" si="184"/>
        <v>0</v>
      </c>
      <c r="BF287" s="433">
        <f t="shared" si="185"/>
        <v>0</v>
      </c>
      <c r="BG287" s="433">
        <f t="shared" si="186"/>
        <v>0</v>
      </c>
      <c r="BH287" s="433">
        <f t="shared" si="187"/>
        <v>0</v>
      </c>
      <c r="BI287" s="433">
        <f t="shared" si="188"/>
        <v>0</v>
      </c>
      <c r="BJ287" s="433">
        <f t="shared" si="189"/>
        <v>0</v>
      </c>
      <c r="BK287" s="433">
        <f t="shared" si="190"/>
        <v>0</v>
      </c>
      <c r="BL287" s="433">
        <f t="shared" si="191"/>
        <v>0</v>
      </c>
      <c r="BM287" s="433">
        <f t="shared" si="192"/>
        <v>0</v>
      </c>
      <c r="BN287" s="433">
        <f t="shared" si="193"/>
        <v>0</v>
      </c>
      <c r="BO287" s="433">
        <f t="shared" si="194"/>
        <v>0</v>
      </c>
      <c r="BP287" s="433">
        <f t="shared" si="195"/>
        <v>0</v>
      </c>
      <c r="BQ287" s="433">
        <f t="shared" si="196"/>
        <v>0</v>
      </c>
    </row>
    <row r="288" spans="1:69" x14ac:dyDescent="0.2">
      <c r="A288" s="102">
        <v>41820</v>
      </c>
      <c r="B288" s="319">
        <v>2</v>
      </c>
      <c r="C288" s="118" t="s">
        <v>1623</v>
      </c>
      <c r="D288" s="111">
        <v>0.60138888888888886</v>
      </c>
      <c r="E288" s="111">
        <v>0.77916666666666667</v>
      </c>
      <c r="F288" s="444">
        <v>32</v>
      </c>
      <c r="G288" s="445">
        <v>13</v>
      </c>
      <c r="H288" s="444"/>
      <c r="I288" s="390"/>
      <c r="J288" s="426">
        <f t="shared" si="169"/>
        <v>256.00000000000006</v>
      </c>
      <c r="K288" s="103"/>
      <c r="L288" s="103"/>
      <c r="M288" s="103"/>
      <c r="N288" s="427">
        <f t="shared" si="170"/>
        <v>0</v>
      </c>
      <c r="O288" s="103"/>
      <c r="P288" s="103"/>
      <c r="Q288" s="103"/>
      <c r="R288" s="428">
        <f t="shared" si="171"/>
        <v>0</v>
      </c>
      <c r="S288" s="103"/>
      <c r="T288" s="103"/>
      <c r="U288" s="103"/>
      <c r="V288" s="125"/>
      <c r="W288" s="428">
        <f t="shared" si="175"/>
        <v>0</v>
      </c>
      <c r="X288" s="103"/>
      <c r="Y288" s="103"/>
      <c r="Z288" s="125"/>
      <c r="AA288" s="428">
        <f t="shared" si="176"/>
        <v>0</v>
      </c>
      <c r="AB288" s="103"/>
      <c r="AC288" s="103"/>
      <c r="AD288" s="103"/>
      <c r="AE288" s="428">
        <f t="shared" si="177"/>
        <v>0</v>
      </c>
      <c r="AF288" s="103"/>
      <c r="AG288" s="103"/>
      <c r="AH288" s="103"/>
      <c r="AI288" s="103"/>
      <c r="AJ288" s="428">
        <f t="shared" si="178"/>
        <v>0</v>
      </c>
      <c r="AK288" s="446"/>
      <c r="AL288" s="446"/>
      <c r="AM288" s="446"/>
      <c r="AN288" s="446"/>
      <c r="AO288" s="446"/>
      <c r="AP288" s="446"/>
      <c r="AQ288" s="446"/>
      <c r="AR288" s="431">
        <f t="shared" si="179"/>
        <v>0</v>
      </c>
      <c r="AT288" s="128" t="s">
        <v>424</v>
      </c>
      <c r="AU288" s="100" t="s">
        <v>1682</v>
      </c>
      <c r="AV288" s="128" t="s">
        <v>1697</v>
      </c>
      <c r="AW288" s="100" t="s">
        <v>1701</v>
      </c>
      <c r="AX288" s="433">
        <f t="shared" si="180"/>
        <v>0</v>
      </c>
      <c r="AY288" s="433">
        <f t="shared" si="181"/>
        <v>0</v>
      </c>
      <c r="AZ288" s="433">
        <f t="shared" si="182"/>
        <v>0</v>
      </c>
      <c r="BA288" s="433">
        <f t="shared" si="172"/>
        <v>0</v>
      </c>
      <c r="BB288" s="433">
        <f t="shared" si="173"/>
        <v>0</v>
      </c>
      <c r="BC288" s="433">
        <f t="shared" si="174"/>
        <v>0</v>
      </c>
      <c r="BD288" s="433">
        <f t="shared" si="183"/>
        <v>0</v>
      </c>
      <c r="BE288" s="433">
        <f t="shared" si="184"/>
        <v>0</v>
      </c>
      <c r="BF288" s="433">
        <f t="shared" si="185"/>
        <v>0</v>
      </c>
      <c r="BG288" s="433">
        <f t="shared" si="186"/>
        <v>0</v>
      </c>
      <c r="BH288" s="433">
        <f t="shared" si="187"/>
        <v>0</v>
      </c>
      <c r="BI288" s="433">
        <f t="shared" si="188"/>
        <v>0</v>
      </c>
      <c r="BJ288" s="433">
        <f t="shared" si="189"/>
        <v>0</v>
      </c>
      <c r="BK288" s="433">
        <f t="shared" si="190"/>
        <v>0</v>
      </c>
      <c r="BL288" s="433">
        <f t="shared" si="191"/>
        <v>0</v>
      </c>
      <c r="BM288" s="433">
        <f t="shared" si="192"/>
        <v>0</v>
      </c>
      <c r="BN288" s="433">
        <f t="shared" si="193"/>
        <v>0</v>
      </c>
      <c r="BO288" s="433">
        <f t="shared" si="194"/>
        <v>0</v>
      </c>
      <c r="BP288" s="433">
        <f t="shared" si="195"/>
        <v>0</v>
      </c>
      <c r="BQ288" s="433">
        <f t="shared" si="196"/>
        <v>0</v>
      </c>
    </row>
    <row r="289" spans="1:69" x14ac:dyDescent="0.2">
      <c r="A289" s="102">
        <v>41820</v>
      </c>
      <c r="B289" s="319">
        <v>2</v>
      </c>
      <c r="C289" s="118" t="s">
        <v>1567</v>
      </c>
      <c r="D289" s="111">
        <v>0.77916666666666667</v>
      </c>
      <c r="E289" s="111">
        <v>0.96180555555555547</v>
      </c>
      <c r="F289" s="444">
        <v>32</v>
      </c>
      <c r="G289" s="445">
        <v>14</v>
      </c>
      <c r="H289" s="444"/>
      <c r="I289" s="390"/>
      <c r="J289" s="426">
        <f t="shared" si="169"/>
        <v>262.99999999999989</v>
      </c>
      <c r="K289" s="103"/>
      <c r="L289" s="103"/>
      <c r="M289" s="103"/>
      <c r="N289" s="427">
        <f t="shared" si="170"/>
        <v>0</v>
      </c>
      <c r="O289" s="103"/>
      <c r="P289" s="103"/>
      <c r="Q289" s="103"/>
      <c r="R289" s="428">
        <f t="shared" si="171"/>
        <v>0</v>
      </c>
      <c r="S289" s="103"/>
      <c r="T289" s="103"/>
      <c r="U289" s="103"/>
      <c r="V289" s="125"/>
      <c r="W289" s="428">
        <f t="shared" si="175"/>
        <v>0</v>
      </c>
      <c r="X289" s="103"/>
      <c r="Y289" s="103"/>
      <c r="Z289" s="125"/>
      <c r="AA289" s="428">
        <f t="shared" si="176"/>
        <v>0</v>
      </c>
      <c r="AB289" s="103"/>
      <c r="AC289" s="103"/>
      <c r="AD289" s="103"/>
      <c r="AE289" s="428">
        <f t="shared" si="177"/>
        <v>0</v>
      </c>
      <c r="AF289" s="103"/>
      <c r="AG289" s="103"/>
      <c r="AH289" s="103"/>
      <c r="AI289" s="103"/>
      <c r="AJ289" s="428">
        <f t="shared" si="178"/>
        <v>0</v>
      </c>
      <c r="AK289" s="446"/>
      <c r="AL289" s="446"/>
      <c r="AM289" s="446"/>
      <c r="AN289" s="446"/>
      <c r="AO289" s="446"/>
      <c r="AP289" s="446"/>
      <c r="AQ289" s="446"/>
      <c r="AR289" s="431">
        <f t="shared" si="179"/>
        <v>0</v>
      </c>
      <c r="AT289" s="128" t="s">
        <v>424</v>
      </c>
      <c r="AU289" s="100" t="s">
        <v>1599</v>
      </c>
      <c r="AV289" s="128" t="s">
        <v>1697</v>
      </c>
      <c r="AW289" s="100" t="s">
        <v>1701</v>
      </c>
      <c r="AX289" s="433">
        <f t="shared" si="180"/>
        <v>0</v>
      </c>
      <c r="AY289" s="433">
        <f t="shared" si="181"/>
        <v>0</v>
      </c>
      <c r="AZ289" s="433">
        <f t="shared" si="182"/>
        <v>0</v>
      </c>
      <c r="BA289" s="433">
        <f t="shared" si="172"/>
        <v>0</v>
      </c>
      <c r="BB289" s="433">
        <f t="shared" si="173"/>
        <v>0</v>
      </c>
      <c r="BC289" s="433">
        <f t="shared" si="174"/>
        <v>0</v>
      </c>
      <c r="BD289" s="433">
        <f t="shared" si="183"/>
        <v>0</v>
      </c>
      <c r="BE289" s="433">
        <f t="shared" si="184"/>
        <v>0</v>
      </c>
      <c r="BF289" s="433">
        <f t="shared" si="185"/>
        <v>0</v>
      </c>
      <c r="BG289" s="433">
        <f t="shared" si="186"/>
        <v>0</v>
      </c>
      <c r="BH289" s="433">
        <f t="shared" si="187"/>
        <v>0</v>
      </c>
      <c r="BI289" s="433">
        <f t="shared" si="188"/>
        <v>0</v>
      </c>
      <c r="BJ289" s="433">
        <f t="shared" si="189"/>
        <v>0</v>
      </c>
      <c r="BK289" s="433">
        <f t="shared" si="190"/>
        <v>0</v>
      </c>
      <c r="BL289" s="433">
        <f t="shared" si="191"/>
        <v>0</v>
      </c>
      <c r="BM289" s="433">
        <f t="shared" si="192"/>
        <v>0</v>
      </c>
      <c r="BN289" s="433">
        <f t="shared" si="193"/>
        <v>0</v>
      </c>
      <c r="BO289" s="433">
        <f t="shared" si="194"/>
        <v>0</v>
      </c>
      <c r="BP289" s="433">
        <f t="shared" si="195"/>
        <v>0</v>
      </c>
      <c r="BQ289" s="433">
        <f t="shared" si="196"/>
        <v>0</v>
      </c>
    </row>
    <row r="290" spans="1:69" x14ac:dyDescent="0.2">
      <c r="A290" s="102">
        <v>41820</v>
      </c>
      <c r="B290" s="319">
        <v>2</v>
      </c>
      <c r="C290" s="118" t="s">
        <v>1624</v>
      </c>
      <c r="D290" s="111">
        <v>0.96180555555555547</v>
      </c>
      <c r="E290" s="111">
        <v>1</v>
      </c>
      <c r="F290" s="444"/>
      <c r="G290" s="445"/>
      <c r="H290" s="444"/>
      <c r="I290" s="390"/>
      <c r="J290" s="426">
        <f t="shared" si="169"/>
        <v>55.000000000000128</v>
      </c>
      <c r="K290" s="103"/>
      <c r="L290" s="103"/>
      <c r="M290" s="103"/>
      <c r="N290" s="427">
        <f t="shared" si="170"/>
        <v>0</v>
      </c>
      <c r="O290" s="103"/>
      <c r="P290" s="103"/>
      <c r="Q290" s="103"/>
      <c r="R290" s="428">
        <f t="shared" si="171"/>
        <v>0</v>
      </c>
      <c r="S290" s="103"/>
      <c r="T290" s="103"/>
      <c r="U290" s="103"/>
      <c r="V290" s="125"/>
      <c r="W290" s="428">
        <f t="shared" si="175"/>
        <v>0</v>
      </c>
      <c r="X290" s="103"/>
      <c r="Y290" s="103"/>
      <c r="Z290" s="125"/>
      <c r="AA290" s="428">
        <f t="shared" si="176"/>
        <v>0</v>
      </c>
      <c r="AB290" s="103"/>
      <c r="AC290" s="103"/>
      <c r="AD290" s="103"/>
      <c r="AE290" s="428">
        <f t="shared" si="177"/>
        <v>0</v>
      </c>
      <c r="AF290" s="103"/>
      <c r="AG290" s="103"/>
      <c r="AH290" s="103"/>
      <c r="AI290" s="103"/>
      <c r="AJ290" s="428">
        <f t="shared" si="178"/>
        <v>0</v>
      </c>
      <c r="AK290" s="446"/>
      <c r="AL290" s="446"/>
      <c r="AM290" s="446"/>
      <c r="AN290" s="446"/>
      <c r="AO290" s="446"/>
      <c r="AP290" s="446"/>
      <c r="AQ290" s="446"/>
      <c r="AR290" s="431">
        <f t="shared" si="179"/>
        <v>0</v>
      </c>
      <c r="AS290" s="10" t="s">
        <v>1564</v>
      </c>
      <c r="AT290" s="128"/>
      <c r="AU290" s="100" t="s">
        <v>1659</v>
      </c>
      <c r="AV290" s="128" t="s">
        <v>1697</v>
      </c>
      <c r="AW290" s="100" t="s">
        <v>1701</v>
      </c>
      <c r="AX290" s="433">
        <f t="shared" si="180"/>
        <v>0</v>
      </c>
      <c r="AY290" s="433">
        <f t="shared" si="181"/>
        <v>0</v>
      </c>
      <c r="AZ290" s="433">
        <f t="shared" si="182"/>
        <v>0</v>
      </c>
      <c r="BA290" s="433">
        <f t="shared" si="172"/>
        <v>0</v>
      </c>
      <c r="BB290" s="433">
        <f t="shared" si="173"/>
        <v>0</v>
      </c>
      <c r="BC290" s="433">
        <f t="shared" si="174"/>
        <v>0</v>
      </c>
      <c r="BD290" s="433">
        <f t="shared" si="183"/>
        <v>0</v>
      </c>
      <c r="BE290" s="433">
        <f t="shared" si="184"/>
        <v>0</v>
      </c>
      <c r="BF290" s="433">
        <f t="shared" si="185"/>
        <v>0</v>
      </c>
      <c r="BG290" s="433">
        <f t="shared" si="186"/>
        <v>0</v>
      </c>
      <c r="BH290" s="433">
        <f t="shared" si="187"/>
        <v>0</v>
      </c>
      <c r="BI290" s="433">
        <f t="shared" si="188"/>
        <v>0</v>
      </c>
      <c r="BJ290" s="433">
        <f t="shared" si="189"/>
        <v>0</v>
      </c>
      <c r="BK290" s="433">
        <f t="shared" si="190"/>
        <v>0</v>
      </c>
      <c r="BL290" s="433">
        <f t="shared" si="191"/>
        <v>0</v>
      </c>
      <c r="BM290" s="433">
        <f t="shared" si="192"/>
        <v>0</v>
      </c>
      <c r="BN290" s="433">
        <f t="shared" si="193"/>
        <v>0</v>
      </c>
      <c r="BO290" s="433">
        <f t="shared" si="194"/>
        <v>0</v>
      </c>
      <c r="BP290" s="433">
        <f t="shared" si="195"/>
        <v>0</v>
      </c>
      <c r="BQ290" s="433">
        <f t="shared" si="196"/>
        <v>0</v>
      </c>
    </row>
    <row r="291" spans="1:69" x14ac:dyDescent="0.2">
      <c r="A291" s="102">
        <v>41820</v>
      </c>
      <c r="B291" s="319">
        <v>3</v>
      </c>
      <c r="C291" s="118" t="s">
        <v>1623</v>
      </c>
      <c r="D291" s="111">
        <v>0</v>
      </c>
      <c r="E291" s="111">
        <v>0.40972222222222227</v>
      </c>
      <c r="F291" s="444">
        <v>35</v>
      </c>
      <c r="G291" s="445">
        <v>11</v>
      </c>
      <c r="H291" s="444"/>
      <c r="I291" s="390"/>
      <c r="J291" s="426">
        <f t="shared" si="169"/>
        <v>590</v>
      </c>
      <c r="K291" s="103">
        <v>3</v>
      </c>
      <c r="L291" s="103"/>
      <c r="M291" s="103"/>
      <c r="N291" s="427">
        <f t="shared" si="170"/>
        <v>3</v>
      </c>
      <c r="O291" s="103">
        <v>1</v>
      </c>
      <c r="P291" s="103"/>
      <c r="Q291" s="103"/>
      <c r="R291" s="428">
        <f t="shared" si="171"/>
        <v>1</v>
      </c>
      <c r="S291" s="103"/>
      <c r="T291" s="103"/>
      <c r="U291" s="103"/>
      <c r="V291" s="125"/>
      <c r="W291" s="428">
        <f t="shared" si="175"/>
        <v>0</v>
      </c>
      <c r="X291" s="103"/>
      <c r="Y291" s="103"/>
      <c r="Z291" s="125"/>
      <c r="AA291" s="428">
        <f t="shared" si="176"/>
        <v>0</v>
      </c>
      <c r="AB291" s="103"/>
      <c r="AC291" s="103"/>
      <c r="AD291" s="103"/>
      <c r="AE291" s="428">
        <f t="shared" si="177"/>
        <v>0</v>
      </c>
      <c r="AF291" s="103"/>
      <c r="AG291" s="103"/>
      <c r="AH291" s="103"/>
      <c r="AI291" s="103"/>
      <c r="AJ291" s="428">
        <f t="shared" si="178"/>
        <v>0</v>
      </c>
      <c r="AK291" s="446"/>
      <c r="AL291" s="446"/>
      <c r="AM291" s="446"/>
      <c r="AN291" s="446"/>
      <c r="AO291" s="446"/>
      <c r="AP291" s="446"/>
      <c r="AQ291" s="446"/>
      <c r="AR291" s="431">
        <f t="shared" si="179"/>
        <v>0</v>
      </c>
      <c r="AT291" s="128"/>
      <c r="AU291" s="100" t="s">
        <v>1682</v>
      </c>
      <c r="AV291" s="128" t="s">
        <v>1697</v>
      </c>
      <c r="AW291" s="100" t="s">
        <v>1701</v>
      </c>
      <c r="AX291" s="433">
        <f t="shared" si="180"/>
        <v>3</v>
      </c>
      <c r="AY291" s="433">
        <f t="shared" si="181"/>
        <v>0</v>
      </c>
      <c r="AZ291" s="433">
        <f t="shared" si="182"/>
        <v>0</v>
      </c>
      <c r="BA291" s="433">
        <f t="shared" si="172"/>
        <v>1</v>
      </c>
      <c r="BB291" s="433">
        <f t="shared" si="173"/>
        <v>0</v>
      </c>
      <c r="BC291" s="433">
        <f t="shared" si="174"/>
        <v>0</v>
      </c>
      <c r="BD291" s="433">
        <f t="shared" si="183"/>
        <v>0</v>
      </c>
      <c r="BE291" s="433">
        <f t="shared" si="184"/>
        <v>0</v>
      </c>
      <c r="BF291" s="433">
        <f t="shared" si="185"/>
        <v>0</v>
      </c>
      <c r="BG291" s="433">
        <f t="shared" si="186"/>
        <v>0</v>
      </c>
      <c r="BH291" s="433">
        <f t="shared" si="187"/>
        <v>0</v>
      </c>
      <c r="BI291" s="433">
        <f t="shared" si="188"/>
        <v>0</v>
      </c>
      <c r="BJ291" s="433">
        <f t="shared" si="189"/>
        <v>0</v>
      </c>
      <c r="BK291" s="433">
        <f t="shared" si="190"/>
        <v>0</v>
      </c>
      <c r="BL291" s="433">
        <f t="shared" si="191"/>
        <v>0</v>
      </c>
      <c r="BM291" s="433">
        <f t="shared" si="192"/>
        <v>0</v>
      </c>
      <c r="BN291" s="433">
        <f t="shared" si="193"/>
        <v>0</v>
      </c>
      <c r="BO291" s="433">
        <f t="shared" si="194"/>
        <v>0</v>
      </c>
      <c r="BP291" s="433">
        <f t="shared" si="195"/>
        <v>0</v>
      </c>
      <c r="BQ291" s="433">
        <f t="shared" si="196"/>
        <v>0</v>
      </c>
    </row>
    <row r="292" spans="1:69" x14ac:dyDescent="0.2">
      <c r="A292" s="102">
        <v>41820</v>
      </c>
      <c r="B292" s="319">
        <v>3</v>
      </c>
      <c r="C292" s="118" t="s">
        <v>1625</v>
      </c>
      <c r="D292" s="111">
        <v>0.40972222222222227</v>
      </c>
      <c r="E292" s="111">
        <v>0.59861111111111109</v>
      </c>
      <c r="F292" s="444">
        <v>37</v>
      </c>
      <c r="G292" s="445">
        <v>12</v>
      </c>
      <c r="H292" s="444"/>
      <c r="I292" s="390"/>
      <c r="J292" s="426">
        <f t="shared" si="169"/>
        <v>271.99999999999989</v>
      </c>
      <c r="K292" s="103"/>
      <c r="L292" s="103"/>
      <c r="M292" s="103"/>
      <c r="N292" s="427">
        <f t="shared" si="170"/>
        <v>0</v>
      </c>
      <c r="O292" s="103"/>
      <c r="P292" s="103"/>
      <c r="Q292" s="103"/>
      <c r="R292" s="428">
        <f t="shared" si="171"/>
        <v>0</v>
      </c>
      <c r="S292" s="103"/>
      <c r="T292" s="103"/>
      <c r="U292" s="103"/>
      <c r="V292" s="125"/>
      <c r="W292" s="428">
        <f t="shared" si="175"/>
        <v>0</v>
      </c>
      <c r="X292" s="103"/>
      <c r="Y292" s="103"/>
      <c r="Z292" s="125"/>
      <c r="AA292" s="428">
        <f t="shared" si="176"/>
        <v>0</v>
      </c>
      <c r="AB292" s="103"/>
      <c r="AC292" s="103"/>
      <c r="AD292" s="103"/>
      <c r="AE292" s="428">
        <f t="shared" si="177"/>
        <v>0</v>
      </c>
      <c r="AF292" s="103"/>
      <c r="AG292" s="103"/>
      <c r="AH292" s="103"/>
      <c r="AI292" s="103"/>
      <c r="AJ292" s="428">
        <f t="shared" si="178"/>
        <v>0</v>
      </c>
      <c r="AK292" s="446"/>
      <c r="AL292" s="446"/>
      <c r="AM292" s="446"/>
      <c r="AN292" s="446"/>
      <c r="AO292" s="446"/>
      <c r="AP292" s="446"/>
      <c r="AQ292" s="446"/>
      <c r="AR292" s="431">
        <f t="shared" si="179"/>
        <v>0</v>
      </c>
      <c r="AT292" s="128" t="s">
        <v>424</v>
      </c>
      <c r="AU292" s="100" t="s">
        <v>1700</v>
      </c>
      <c r="AV292" s="128" t="s">
        <v>1697</v>
      </c>
      <c r="AW292" s="100" t="s">
        <v>1701</v>
      </c>
      <c r="AX292" s="433">
        <f t="shared" si="180"/>
        <v>0</v>
      </c>
      <c r="AY292" s="433">
        <f t="shared" si="181"/>
        <v>0</v>
      </c>
      <c r="AZ292" s="433">
        <f t="shared" si="182"/>
        <v>0</v>
      </c>
      <c r="BA292" s="433">
        <f t="shared" si="172"/>
        <v>0</v>
      </c>
      <c r="BB292" s="433">
        <f t="shared" si="173"/>
        <v>0</v>
      </c>
      <c r="BC292" s="433">
        <f t="shared" si="174"/>
        <v>0</v>
      </c>
      <c r="BD292" s="433">
        <f t="shared" si="183"/>
        <v>0</v>
      </c>
      <c r="BE292" s="433">
        <f t="shared" si="184"/>
        <v>0</v>
      </c>
      <c r="BF292" s="433">
        <f t="shared" si="185"/>
        <v>0</v>
      </c>
      <c r="BG292" s="433">
        <f t="shared" si="186"/>
        <v>0</v>
      </c>
      <c r="BH292" s="433">
        <f t="shared" si="187"/>
        <v>0</v>
      </c>
      <c r="BI292" s="433">
        <f t="shared" si="188"/>
        <v>0</v>
      </c>
      <c r="BJ292" s="433">
        <f t="shared" si="189"/>
        <v>0</v>
      </c>
      <c r="BK292" s="433">
        <f t="shared" si="190"/>
        <v>0</v>
      </c>
      <c r="BL292" s="433">
        <f t="shared" si="191"/>
        <v>0</v>
      </c>
      <c r="BM292" s="433">
        <f t="shared" si="192"/>
        <v>0</v>
      </c>
      <c r="BN292" s="433">
        <f t="shared" si="193"/>
        <v>0</v>
      </c>
      <c r="BO292" s="433">
        <f t="shared" si="194"/>
        <v>0</v>
      </c>
      <c r="BP292" s="433">
        <f t="shared" si="195"/>
        <v>0</v>
      </c>
      <c r="BQ292" s="433">
        <f t="shared" si="196"/>
        <v>0</v>
      </c>
    </row>
    <row r="293" spans="1:69" x14ac:dyDescent="0.2">
      <c r="A293" s="102">
        <v>41820</v>
      </c>
      <c r="B293" s="319">
        <v>3</v>
      </c>
      <c r="C293" s="118" t="s">
        <v>1556</v>
      </c>
      <c r="D293" s="111">
        <v>0.59861111111111109</v>
      </c>
      <c r="E293" s="111">
        <v>0.79166666666666663</v>
      </c>
      <c r="F293" s="444">
        <v>37</v>
      </c>
      <c r="G293" s="445">
        <v>12</v>
      </c>
      <c r="H293" s="444"/>
      <c r="I293" s="390"/>
      <c r="J293" s="426">
        <f>((E293-D293)*24*60)-18</f>
        <v>260</v>
      </c>
      <c r="K293" s="103">
        <v>3</v>
      </c>
      <c r="L293" s="103"/>
      <c r="M293" s="103"/>
      <c r="N293" s="427">
        <f t="shared" si="170"/>
        <v>3</v>
      </c>
      <c r="O293" s="103"/>
      <c r="P293" s="103">
        <v>2</v>
      </c>
      <c r="Q293" s="103"/>
      <c r="R293" s="428">
        <f t="shared" si="171"/>
        <v>2</v>
      </c>
      <c r="S293" s="103"/>
      <c r="T293" s="103"/>
      <c r="U293" s="103"/>
      <c r="V293" s="125"/>
      <c r="W293" s="428">
        <f t="shared" si="175"/>
        <v>0</v>
      </c>
      <c r="X293" s="103"/>
      <c r="Y293" s="103"/>
      <c r="Z293" s="125"/>
      <c r="AA293" s="428">
        <f t="shared" si="176"/>
        <v>0</v>
      </c>
      <c r="AB293" s="103"/>
      <c r="AC293" s="103"/>
      <c r="AD293" s="103"/>
      <c r="AE293" s="428">
        <f t="shared" si="177"/>
        <v>0</v>
      </c>
      <c r="AF293" s="103"/>
      <c r="AG293" s="103"/>
      <c r="AH293" s="103"/>
      <c r="AI293" s="103"/>
      <c r="AJ293" s="428">
        <f t="shared" si="178"/>
        <v>0</v>
      </c>
      <c r="AK293" s="446"/>
      <c r="AL293" s="446"/>
      <c r="AM293" s="446"/>
      <c r="AN293" s="446"/>
      <c r="AO293" s="446"/>
      <c r="AP293" s="446"/>
      <c r="AQ293" s="446"/>
      <c r="AR293" s="431">
        <f t="shared" si="179"/>
        <v>0</v>
      </c>
      <c r="AS293" s="10" t="s">
        <v>1626</v>
      </c>
      <c r="AT293" s="128"/>
      <c r="AU293" s="100" t="s">
        <v>1688</v>
      </c>
      <c r="AV293" s="128" t="s">
        <v>1697</v>
      </c>
      <c r="AW293" s="100" t="s">
        <v>1701</v>
      </c>
      <c r="AX293" s="433">
        <f t="shared" si="180"/>
        <v>3</v>
      </c>
      <c r="AY293" s="433">
        <f t="shared" si="181"/>
        <v>0</v>
      </c>
      <c r="AZ293" s="433">
        <f t="shared" si="182"/>
        <v>0</v>
      </c>
      <c r="BA293" s="433">
        <f t="shared" si="172"/>
        <v>0</v>
      </c>
      <c r="BB293" s="433">
        <f t="shared" si="173"/>
        <v>2</v>
      </c>
      <c r="BC293" s="433">
        <f t="shared" si="174"/>
        <v>0</v>
      </c>
      <c r="BD293" s="433">
        <f t="shared" si="183"/>
        <v>0</v>
      </c>
      <c r="BE293" s="433">
        <f t="shared" si="184"/>
        <v>0</v>
      </c>
      <c r="BF293" s="433">
        <f t="shared" si="185"/>
        <v>0</v>
      </c>
      <c r="BG293" s="433">
        <f t="shared" si="186"/>
        <v>0</v>
      </c>
      <c r="BH293" s="433">
        <f t="shared" si="187"/>
        <v>0</v>
      </c>
      <c r="BI293" s="433">
        <f t="shared" si="188"/>
        <v>0</v>
      </c>
      <c r="BJ293" s="433">
        <f t="shared" si="189"/>
        <v>0</v>
      </c>
      <c r="BK293" s="433">
        <f t="shared" si="190"/>
        <v>0</v>
      </c>
      <c r="BL293" s="433">
        <f t="shared" si="191"/>
        <v>0</v>
      </c>
      <c r="BM293" s="433">
        <f t="shared" si="192"/>
        <v>0</v>
      </c>
      <c r="BN293" s="433">
        <f t="shared" si="193"/>
        <v>0</v>
      </c>
      <c r="BO293" s="433">
        <f t="shared" si="194"/>
        <v>0</v>
      </c>
      <c r="BP293" s="433">
        <f t="shared" si="195"/>
        <v>0</v>
      </c>
      <c r="BQ293" s="433">
        <f t="shared" si="196"/>
        <v>0</v>
      </c>
    </row>
    <row r="294" spans="1:69" x14ac:dyDescent="0.2">
      <c r="A294" s="102">
        <v>41820</v>
      </c>
      <c r="B294" s="319">
        <v>3</v>
      </c>
      <c r="C294" s="118" t="s">
        <v>1563</v>
      </c>
      <c r="D294" s="111">
        <v>0.79166666666666663</v>
      </c>
      <c r="E294" s="111">
        <v>0.97916666666666663</v>
      </c>
      <c r="F294" s="444">
        <v>50</v>
      </c>
      <c r="G294" s="445">
        <v>12</v>
      </c>
      <c r="H294" s="444"/>
      <c r="I294" s="390"/>
      <c r="J294" s="426">
        <f t="shared" si="169"/>
        <v>270</v>
      </c>
      <c r="K294" s="103">
        <v>4</v>
      </c>
      <c r="L294" s="103">
        <v>1</v>
      </c>
      <c r="M294" s="103"/>
      <c r="N294" s="427">
        <f t="shared" si="170"/>
        <v>5</v>
      </c>
      <c r="O294" s="103"/>
      <c r="P294" s="103">
        <v>2</v>
      </c>
      <c r="Q294" s="103"/>
      <c r="R294" s="428">
        <f t="shared" si="171"/>
        <v>2</v>
      </c>
      <c r="S294" s="103"/>
      <c r="T294" s="103"/>
      <c r="U294" s="103"/>
      <c r="V294" s="125"/>
      <c r="W294" s="428">
        <f t="shared" si="175"/>
        <v>0</v>
      </c>
      <c r="X294" s="103"/>
      <c r="Y294" s="103"/>
      <c r="Z294" s="125"/>
      <c r="AA294" s="428">
        <f t="shared" si="176"/>
        <v>0</v>
      </c>
      <c r="AB294" s="103"/>
      <c r="AC294" s="103"/>
      <c r="AD294" s="103"/>
      <c r="AE294" s="428">
        <f t="shared" si="177"/>
        <v>0</v>
      </c>
      <c r="AF294" s="103"/>
      <c r="AG294" s="103"/>
      <c r="AH294" s="103"/>
      <c r="AI294" s="103"/>
      <c r="AJ294" s="428">
        <f t="shared" si="178"/>
        <v>0</v>
      </c>
      <c r="AK294" s="446"/>
      <c r="AL294" s="446"/>
      <c r="AM294" s="446"/>
      <c r="AN294" s="446"/>
      <c r="AO294" s="446"/>
      <c r="AP294" s="446"/>
      <c r="AQ294" s="446"/>
      <c r="AR294" s="431">
        <f t="shared" si="179"/>
        <v>0</v>
      </c>
      <c r="AT294" s="128"/>
      <c r="AU294" s="100" t="s">
        <v>1696</v>
      </c>
      <c r="AV294" s="128" t="s">
        <v>1697</v>
      </c>
      <c r="AW294" s="100" t="s">
        <v>1701</v>
      </c>
      <c r="AX294" s="433">
        <f t="shared" si="180"/>
        <v>4</v>
      </c>
      <c r="AY294" s="433">
        <f t="shared" si="181"/>
        <v>1</v>
      </c>
      <c r="AZ294" s="433">
        <f t="shared" si="182"/>
        <v>0</v>
      </c>
      <c r="BA294" s="433">
        <f t="shared" si="172"/>
        <v>0</v>
      </c>
      <c r="BB294" s="433">
        <f t="shared" si="173"/>
        <v>2</v>
      </c>
      <c r="BC294" s="433">
        <f t="shared" si="174"/>
        <v>0</v>
      </c>
      <c r="BD294" s="433">
        <f t="shared" si="183"/>
        <v>0</v>
      </c>
      <c r="BE294" s="433">
        <f t="shared" si="184"/>
        <v>0</v>
      </c>
      <c r="BF294" s="433">
        <f t="shared" si="185"/>
        <v>0</v>
      </c>
      <c r="BG294" s="433">
        <f t="shared" si="186"/>
        <v>0</v>
      </c>
      <c r="BH294" s="433">
        <f t="shared" si="187"/>
        <v>0</v>
      </c>
      <c r="BI294" s="433">
        <f t="shared" si="188"/>
        <v>0</v>
      </c>
      <c r="BJ294" s="433">
        <f t="shared" si="189"/>
        <v>0</v>
      </c>
      <c r="BK294" s="433">
        <f t="shared" si="190"/>
        <v>0</v>
      </c>
      <c r="BL294" s="433">
        <f t="shared" si="191"/>
        <v>0</v>
      </c>
      <c r="BM294" s="433">
        <f t="shared" si="192"/>
        <v>0</v>
      </c>
      <c r="BN294" s="433">
        <f t="shared" si="193"/>
        <v>0</v>
      </c>
      <c r="BO294" s="433">
        <f t="shared" si="194"/>
        <v>0</v>
      </c>
      <c r="BP294" s="433">
        <f t="shared" si="195"/>
        <v>0</v>
      </c>
      <c r="BQ294" s="433">
        <f t="shared" si="196"/>
        <v>0</v>
      </c>
    </row>
    <row r="295" spans="1:69" s="291" customFormat="1" x14ac:dyDescent="0.2">
      <c r="A295" s="317">
        <v>41820</v>
      </c>
      <c r="B295" s="318">
        <v>3</v>
      </c>
      <c r="C295" s="320" t="s">
        <v>1563</v>
      </c>
      <c r="D295" s="321">
        <v>0.97916666666666663</v>
      </c>
      <c r="E295" s="321">
        <v>1</v>
      </c>
      <c r="F295" s="434"/>
      <c r="G295" s="435"/>
      <c r="H295" s="434"/>
      <c r="I295" s="436"/>
      <c r="J295" s="437">
        <f t="shared" si="169"/>
        <v>30.000000000000053</v>
      </c>
      <c r="K295" s="285"/>
      <c r="L295" s="285"/>
      <c r="M295" s="285"/>
      <c r="N295" s="438">
        <f t="shared" si="170"/>
        <v>0</v>
      </c>
      <c r="O295" s="285"/>
      <c r="P295" s="285"/>
      <c r="Q295" s="285"/>
      <c r="R295" s="439">
        <f t="shared" si="171"/>
        <v>0</v>
      </c>
      <c r="S295" s="285"/>
      <c r="T295" s="285"/>
      <c r="U295" s="285"/>
      <c r="V295" s="440"/>
      <c r="W295" s="439">
        <f t="shared" si="175"/>
        <v>0</v>
      </c>
      <c r="X295" s="285"/>
      <c r="Y295" s="285"/>
      <c r="Z295" s="440"/>
      <c r="AA295" s="439">
        <f t="shared" si="176"/>
        <v>0</v>
      </c>
      <c r="AB295" s="285"/>
      <c r="AC295" s="285"/>
      <c r="AD295" s="285"/>
      <c r="AE295" s="439">
        <f t="shared" si="177"/>
        <v>0</v>
      </c>
      <c r="AF295" s="285"/>
      <c r="AG295" s="285"/>
      <c r="AH295" s="285"/>
      <c r="AI295" s="285"/>
      <c r="AJ295" s="439">
        <f t="shared" si="178"/>
        <v>0</v>
      </c>
      <c r="AK295" s="340"/>
      <c r="AL295" s="340"/>
      <c r="AM295" s="340"/>
      <c r="AN295" s="340"/>
      <c r="AO295" s="340"/>
      <c r="AP295" s="340"/>
      <c r="AQ295" s="340"/>
      <c r="AR295" s="441">
        <f t="shared" si="179"/>
        <v>0</v>
      </c>
      <c r="AS295" s="291" t="s">
        <v>1564</v>
      </c>
      <c r="AT295" s="313"/>
      <c r="AU295" s="289" t="s">
        <v>1659</v>
      </c>
      <c r="AV295" s="313" t="s">
        <v>1697</v>
      </c>
      <c r="AW295" s="289" t="s">
        <v>1701</v>
      </c>
      <c r="AX295" s="443">
        <f t="shared" si="180"/>
        <v>0</v>
      </c>
      <c r="AY295" s="443">
        <f t="shared" si="181"/>
        <v>0</v>
      </c>
      <c r="AZ295" s="443">
        <f t="shared" si="182"/>
        <v>0</v>
      </c>
      <c r="BA295" s="443">
        <f t="shared" si="172"/>
        <v>0</v>
      </c>
      <c r="BB295" s="443">
        <f t="shared" si="173"/>
        <v>0</v>
      </c>
      <c r="BC295" s="443">
        <f t="shared" si="174"/>
        <v>0</v>
      </c>
      <c r="BD295" s="443">
        <f t="shared" si="183"/>
        <v>0</v>
      </c>
      <c r="BE295" s="443">
        <f t="shared" si="184"/>
        <v>0</v>
      </c>
      <c r="BF295" s="443">
        <f t="shared" si="185"/>
        <v>0</v>
      </c>
      <c r="BG295" s="443">
        <f t="shared" si="186"/>
        <v>0</v>
      </c>
      <c r="BH295" s="443">
        <f t="shared" si="187"/>
        <v>0</v>
      </c>
      <c r="BI295" s="443">
        <f t="shared" si="188"/>
        <v>0</v>
      </c>
      <c r="BJ295" s="443">
        <f t="shared" si="189"/>
        <v>0</v>
      </c>
      <c r="BK295" s="443">
        <f t="shared" si="190"/>
        <v>0</v>
      </c>
      <c r="BL295" s="443">
        <f t="shared" si="191"/>
        <v>0</v>
      </c>
      <c r="BM295" s="443">
        <f t="shared" si="192"/>
        <v>0</v>
      </c>
      <c r="BN295" s="443">
        <f t="shared" si="193"/>
        <v>0</v>
      </c>
      <c r="BO295" s="443">
        <f t="shared" si="194"/>
        <v>0</v>
      </c>
      <c r="BP295" s="443">
        <f t="shared" si="195"/>
        <v>0</v>
      </c>
      <c r="BQ295" s="443">
        <f t="shared" si="196"/>
        <v>0</v>
      </c>
    </row>
    <row r="296" spans="1:69" x14ac:dyDescent="0.2">
      <c r="A296" s="102">
        <v>41821</v>
      </c>
      <c r="B296" s="319">
        <v>1</v>
      </c>
      <c r="C296" s="118" t="s">
        <v>1728</v>
      </c>
      <c r="D296" s="111">
        <v>0</v>
      </c>
      <c r="E296" s="111">
        <v>0.41597222222222219</v>
      </c>
      <c r="F296" s="444">
        <v>48</v>
      </c>
      <c r="G296" s="445">
        <v>9</v>
      </c>
      <c r="H296" s="444"/>
      <c r="I296" s="390"/>
      <c r="J296" s="426">
        <f t="shared" si="169"/>
        <v>599</v>
      </c>
      <c r="K296" s="103">
        <v>14</v>
      </c>
      <c r="L296" s="103"/>
      <c r="M296" s="103">
        <v>2</v>
      </c>
      <c r="N296" s="427">
        <f t="shared" si="170"/>
        <v>16</v>
      </c>
      <c r="O296" s="103">
        <v>1</v>
      </c>
      <c r="P296" s="103">
        <v>1</v>
      </c>
      <c r="Q296" s="103"/>
      <c r="R296" s="428">
        <f t="shared" si="171"/>
        <v>2</v>
      </c>
      <c r="S296" s="103"/>
      <c r="T296" s="103"/>
      <c r="U296" s="103"/>
      <c r="V296" s="125"/>
      <c r="W296" s="428">
        <f t="shared" si="175"/>
        <v>0</v>
      </c>
      <c r="X296" s="103"/>
      <c r="Y296" s="103"/>
      <c r="Z296" s="125"/>
      <c r="AA296" s="428">
        <f t="shared" si="176"/>
        <v>0</v>
      </c>
      <c r="AB296" s="103"/>
      <c r="AC296" s="103"/>
      <c r="AD296" s="103"/>
      <c r="AE296" s="428">
        <f t="shared" si="177"/>
        <v>0</v>
      </c>
      <c r="AF296" s="103"/>
      <c r="AG296" s="103"/>
      <c r="AH296" s="103"/>
      <c r="AI296" s="103"/>
      <c r="AJ296" s="428">
        <f t="shared" si="178"/>
        <v>0</v>
      </c>
      <c r="AK296" s="446"/>
      <c r="AL296" s="446"/>
      <c r="AM296" s="446"/>
      <c r="AN296" s="446"/>
      <c r="AO296" s="446">
        <v>1</v>
      </c>
      <c r="AP296" s="446"/>
      <c r="AQ296" s="446"/>
      <c r="AR296" s="431">
        <f t="shared" si="179"/>
        <v>1</v>
      </c>
      <c r="AT296" s="128"/>
      <c r="AU296" s="100" t="s">
        <v>1706</v>
      </c>
      <c r="AV296" s="128" t="s">
        <v>1739</v>
      </c>
      <c r="AW296" s="100" t="s">
        <v>1740</v>
      </c>
      <c r="AX296" s="433">
        <f t="shared" si="180"/>
        <v>14</v>
      </c>
      <c r="AY296" s="433">
        <f t="shared" si="181"/>
        <v>0</v>
      </c>
      <c r="AZ296" s="433">
        <f t="shared" si="182"/>
        <v>2</v>
      </c>
      <c r="BA296" s="433">
        <f t="shared" si="172"/>
        <v>1</v>
      </c>
      <c r="BB296" s="433">
        <f t="shared" si="173"/>
        <v>1</v>
      </c>
      <c r="BC296" s="433">
        <f t="shared" si="174"/>
        <v>0</v>
      </c>
      <c r="BD296" s="433">
        <f t="shared" si="183"/>
        <v>0</v>
      </c>
      <c r="BE296" s="433">
        <f t="shared" si="184"/>
        <v>0</v>
      </c>
      <c r="BF296" s="433">
        <f t="shared" si="185"/>
        <v>0</v>
      </c>
      <c r="BG296" s="433">
        <f t="shared" si="186"/>
        <v>0</v>
      </c>
      <c r="BH296" s="433">
        <f t="shared" si="187"/>
        <v>0</v>
      </c>
      <c r="BI296" s="433">
        <f t="shared" si="188"/>
        <v>0</v>
      </c>
      <c r="BJ296" s="433">
        <f t="shared" si="189"/>
        <v>0</v>
      </c>
      <c r="BK296" s="433">
        <f t="shared" si="190"/>
        <v>0</v>
      </c>
      <c r="BL296" s="433">
        <f t="shared" si="191"/>
        <v>0</v>
      </c>
      <c r="BM296" s="433">
        <f t="shared" si="192"/>
        <v>0</v>
      </c>
      <c r="BN296" s="433">
        <f t="shared" si="193"/>
        <v>0</v>
      </c>
      <c r="BO296" s="433">
        <f t="shared" si="194"/>
        <v>0</v>
      </c>
      <c r="BP296" s="433">
        <f t="shared" si="195"/>
        <v>0</v>
      </c>
      <c r="BQ296" s="433">
        <f t="shared" si="196"/>
        <v>0</v>
      </c>
    </row>
    <row r="297" spans="1:69" x14ac:dyDescent="0.2">
      <c r="A297" s="102">
        <v>41821</v>
      </c>
      <c r="B297" s="319">
        <v>1</v>
      </c>
      <c r="C297" s="118" t="s">
        <v>958</v>
      </c>
      <c r="D297" s="111">
        <v>0.41597222222222219</v>
      </c>
      <c r="E297" s="111">
        <v>0.59375</v>
      </c>
      <c r="F297" s="444">
        <v>49</v>
      </c>
      <c r="G297" s="445">
        <v>9</v>
      </c>
      <c r="H297" s="444"/>
      <c r="I297" s="390"/>
      <c r="J297" s="426">
        <f t="shared" si="169"/>
        <v>256.00000000000006</v>
      </c>
      <c r="K297" s="103">
        <v>6</v>
      </c>
      <c r="L297" s="103">
        <v>1</v>
      </c>
      <c r="M297" s="103"/>
      <c r="N297" s="427">
        <f t="shared" si="170"/>
        <v>7</v>
      </c>
      <c r="O297" s="103"/>
      <c r="P297" s="103"/>
      <c r="Q297" s="103"/>
      <c r="R297" s="428">
        <f t="shared" si="171"/>
        <v>0</v>
      </c>
      <c r="S297" s="103"/>
      <c r="T297" s="103"/>
      <c r="U297" s="103"/>
      <c r="V297" s="125"/>
      <c r="W297" s="428">
        <f t="shared" si="175"/>
        <v>0</v>
      </c>
      <c r="X297" s="103"/>
      <c r="Y297" s="103"/>
      <c r="Z297" s="125"/>
      <c r="AA297" s="428">
        <f t="shared" si="176"/>
        <v>0</v>
      </c>
      <c r="AB297" s="103"/>
      <c r="AC297" s="103"/>
      <c r="AD297" s="103"/>
      <c r="AE297" s="428">
        <f t="shared" si="177"/>
        <v>0</v>
      </c>
      <c r="AF297" s="103"/>
      <c r="AG297" s="103"/>
      <c r="AH297" s="103"/>
      <c r="AI297" s="103"/>
      <c r="AJ297" s="428">
        <f t="shared" si="178"/>
        <v>0</v>
      </c>
      <c r="AK297" s="446"/>
      <c r="AL297" s="446"/>
      <c r="AM297" s="446"/>
      <c r="AN297" s="446"/>
      <c r="AO297" s="446">
        <v>1</v>
      </c>
      <c r="AP297" s="446"/>
      <c r="AQ297" s="446"/>
      <c r="AR297" s="431">
        <f t="shared" si="179"/>
        <v>1</v>
      </c>
      <c r="AT297" s="128"/>
      <c r="AU297" s="100" t="s">
        <v>1697</v>
      </c>
      <c r="AV297" s="128" t="s">
        <v>1739</v>
      </c>
      <c r="AW297" s="100" t="s">
        <v>1740</v>
      </c>
      <c r="AX297" s="433">
        <f t="shared" si="180"/>
        <v>6</v>
      </c>
      <c r="AY297" s="433">
        <f t="shared" si="181"/>
        <v>1</v>
      </c>
      <c r="AZ297" s="433">
        <f t="shared" si="182"/>
        <v>0</v>
      </c>
      <c r="BA297" s="433">
        <f t="shared" si="172"/>
        <v>0</v>
      </c>
      <c r="BB297" s="433">
        <f t="shared" si="173"/>
        <v>0</v>
      </c>
      <c r="BC297" s="433">
        <f t="shared" si="174"/>
        <v>0</v>
      </c>
      <c r="BD297" s="433">
        <f t="shared" si="183"/>
        <v>0</v>
      </c>
      <c r="BE297" s="433">
        <f t="shared" si="184"/>
        <v>0</v>
      </c>
      <c r="BF297" s="433">
        <f t="shared" si="185"/>
        <v>0</v>
      </c>
      <c r="BG297" s="433">
        <f t="shared" si="186"/>
        <v>0</v>
      </c>
      <c r="BH297" s="433">
        <f t="shared" si="187"/>
        <v>0</v>
      </c>
      <c r="BI297" s="433">
        <f t="shared" si="188"/>
        <v>0</v>
      </c>
      <c r="BJ297" s="433">
        <f t="shared" si="189"/>
        <v>0</v>
      </c>
      <c r="BK297" s="433">
        <f t="shared" si="190"/>
        <v>0</v>
      </c>
      <c r="BL297" s="433">
        <f t="shared" si="191"/>
        <v>0</v>
      </c>
      <c r="BM297" s="433">
        <f t="shared" si="192"/>
        <v>0</v>
      </c>
      <c r="BN297" s="433">
        <f t="shared" si="193"/>
        <v>0</v>
      </c>
      <c r="BO297" s="433">
        <f t="shared" si="194"/>
        <v>0</v>
      </c>
      <c r="BP297" s="433">
        <f t="shared" si="195"/>
        <v>0</v>
      </c>
      <c r="BQ297" s="433">
        <f t="shared" si="196"/>
        <v>0</v>
      </c>
    </row>
    <row r="298" spans="1:69" x14ac:dyDescent="0.2">
      <c r="A298" s="102">
        <v>41821</v>
      </c>
      <c r="B298" s="319">
        <v>1</v>
      </c>
      <c r="C298" s="118" t="s">
        <v>1729</v>
      </c>
      <c r="D298" s="111">
        <v>0.59375</v>
      </c>
      <c r="E298" s="111">
        <v>0.79513888888888884</v>
      </c>
      <c r="F298" s="444">
        <v>50</v>
      </c>
      <c r="G298" s="445">
        <v>9</v>
      </c>
      <c r="H298" s="444"/>
      <c r="I298" s="390"/>
      <c r="J298" s="426">
        <f>((E298-D298)*24*60)-20</f>
        <v>269.99999999999994</v>
      </c>
      <c r="K298" s="103">
        <v>3</v>
      </c>
      <c r="L298" s="103"/>
      <c r="M298" s="103"/>
      <c r="N298" s="427">
        <f t="shared" si="170"/>
        <v>3</v>
      </c>
      <c r="O298" s="103"/>
      <c r="P298" s="103"/>
      <c r="Q298" s="103"/>
      <c r="R298" s="428">
        <f t="shared" si="171"/>
        <v>0</v>
      </c>
      <c r="S298" s="103"/>
      <c r="T298" s="103"/>
      <c r="U298" s="103"/>
      <c r="V298" s="125"/>
      <c r="W298" s="428">
        <f t="shared" si="175"/>
        <v>0</v>
      </c>
      <c r="X298" s="103"/>
      <c r="Y298" s="103"/>
      <c r="Z298" s="125"/>
      <c r="AA298" s="428">
        <f t="shared" si="176"/>
        <v>0</v>
      </c>
      <c r="AB298" s="103"/>
      <c r="AC298" s="103"/>
      <c r="AD298" s="103"/>
      <c r="AE298" s="428">
        <f t="shared" si="177"/>
        <v>0</v>
      </c>
      <c r="AF298" s="103"/>
      <c r="AG298" s="103"/>
      <c r="AH298" s="103"/>
      <c r="AI298" s="103"/>
      <c r="AJ298" s="428">
        <f t="shared" si="178"/>
        <v>0</v>
      </c>
      <c r="AK298" s="446"/>
      <c r="AL298" s="446"/>
      <c r="AM298" s="446"/>
      <c r="AN298" s="446"/>
      <c r="AO298" s="446"/>
      <c r="AP298" s="446"/>
      <c r="AQ298" s="446"/>
      <c r="AR298" s="431">
        <f t="shared" si="179"/>
        <v>0</v>
      </c>
      <c r="AS298" s="10" t="s">
        <v>1735</v>
      </c>
      <c r="AT298" s="128" t="s">
        <v>1734</v>
      </c>
      <c r="AU298" s="100" t="s">
        <v>1712</v>
      </c>
      <c r="AV298" s="128" t="s">
        <v>1739</v>
      </c>
      <c r="AW298" s="100" t="s">
        <v>1740</v>
      </c>
      <c r="AX298" s="433">
        <f t="shared" si="180"/>
        <v>3</v>
      </c>
      <c r="AY298" s="433">
        <f t="shared" si="181"/>
        <v>0</v>
      </c>
      <c r="AZ298" s="433">
        <f t="shared" si="182"/>
        <v>0</v>
      </c>
      <c r="BA298" s="433">
        <f t="shared" si="172"/>
        <v>0</v>
      </c>
      <c r="BB298" s="433">
        <f t="shared" si="173"/>
        <v>0</v>
      </c>
      <c r="BC298" s="433">
        <f t="shared" si="174"/>
        <v>0</v>
      </c>
      <c r="BD298" s="433">
        <f t="shared" si="183"/>
        <v>0</v>
      </c>
      <c r="BE298" s="433">
        <f t="shared" si="184"/>
        <v>0</v>
      </c>
      <c r="BF298" s="433">
        <f t="shared" si="185"/>
        <v>0</v>
      </c>
      <c r="BG298" s="433">
        <f t="shared" si="186"/>
        <v>0</v>
      </c>
      <c r="BH298" s="433">
        <f t="shared" si="187"/>
        <v>0</v>
      </c>
      <c r="BI298" s="433">
        <f t="shared" si="188"/>
        <v>0</v>
      </c>
      <c r="BJ298" s="433">
        <f t="shared" si="189"/>
        <v>0</v>
      </c>
      <c r="BK298" s="433">
        <f t="shared" si="190"/>
        <v>0</v>
      </c>
      <c r="BL298" s="433">
        <f t="shared" si="191"/>
        <v>0</v>
      </c>
      <c r="BM298" s="433">
        <f t="shared" si="192"/>
        <v>0</v>
      </c>
      <c r="BN298" s="433">
        <f t="shared" si="193"/>
        <v>0</v>
      </c>
      <c r="BO298" s="433">
        <f t="shared" si="194"/>
        <v>0</v>
      </c>
      <c r="BP298" s="433">
        <f t="shared" si="195"/>
        <v>0</v>
      </c>
      <c r="BQ298" s="433">
        <f t="shared" si="196"/>
        <v>0</v>
      </c>
    </row>
    <row r="299" spans="1:69" x14ac:dyDescent="0.2">
      <c r="A299" s="102">
        <v>41821</v>
      </c>
      <c r="B299" s="319">
        <v>1</v>
      </c>
      <c r="C299" s="118" t="s">
        <v>1730</v>
      </c>
      <c r="D299" s="111">
        <v>0.79513888888888884</v>
      </c>
      <c r="E299" s="111">
        <v>1</v>
      </c>
      <c r="F299" s="444">
        <v>48</v>
      </c>
      <c r="G299" s="445">
        <v>8</v>
      </c>
      <c r="H299" s="444"/>
      <c r="I299" s="390"/>
      <c r="J299" s="426">
        <f t="shared" si="169"/>
        <v>295.00000000000006</v>
      </c>
      <c r="K299" s="103">
        <v>3</v>
      </c>
      <c r="L299" s="103">
        <v>1</v>
      </c>
      <c r="M299" s="103"/>
      <c r="N299" s="427">
        <f t="shared" si="170"/>
        <v>4</v>
      </c>
      <c r="O299" s="103"/>
      <c r="P299" s="103"/>
      <c r="Q299" s="103"/>
      <c r="R299" s="428">
        <f t="shared" si="171"/>
        <v>0</v>
      </c>
      <c r="S299" s="103"/>
      <c r="T299" s="103"/>
      <c r="U299" s="103"/>
      <c r="V299" s="125"/>
      <c r="W299" s="428">
        <f t="shared" si="175"/>
        <v>0</v>
      </c>
      <c r="X299" s="103"/>
      <c r="Y299" s="103"/>
      <c r="Z299" s="125"/>
      <c r="AA299" s="428">
        <f t="shared" si="176"/>
        <v>0</v>
      </c>
      <c r="AB299" s="103"/>
      <c r="AC299" s="103"/>
      <c r="AD299" s="103"/>
      <c r="AE299" s="428">
        <f t="shared" si="177"/>
        <v>0</v>
      </c>
      <c r="AF299" s="103"/>
      <c r="AG299" s="103"/>
      <c r="AH299" s="103"/>
      <c r="AI299" s="103"/>
      <c r="AJ299" s="428">
        <f t="shared" si="178"/>
        <v>0</v>
      </c>
      <c r="AK299" s="446"/>
      <c r="AL299" s="446"/>
      <c r="AM299" s="446">
        <v>1</v>
      </c>
      <c r="AN299" s="446"/>
      <c r="AO299" s="446"/>
      <c r="AP299" s="446"/>
      <c r="AQ299" s="446"/>
      <c r="AR299" s="431">
        <f t="shared" si="179"/>
        <v>1</v>
      </c>
      <c r="AS299" s="10" t="s">
        <v>1564</v>
      </c>
      <c r="AT299" s="128"/>
      <c r="AU299" s="100" t="s">
        <v>1713</v>
      </c>
      <c r="AV299" s="128" t="s">
        <v>1739</v>
      </c>
      <c r="AW299" s="100" t="s">
        <v>1740</v>
      </c>
      <c r="AX299" s="433">
        <f t="shared" si="180"/>
        <v>3</v>
      </c>
      <c r="AY299" s="433">
        <f t="shared" si="181"/>
        <v>1</v>
      </c>
      <c r="AZ299" s="433">
        <f t="shared" si="182"/>
        <v>0</v>
      </c>
      <c r="BA299" s="433">
        <f t="shared" si="172"/>
        <v>0</v>
      </c>
      <c r="BB299" s="433">
        <f t="shared" si="173"/>
        <v>0</v>
      </c>
      <c r="BC299" s="433">
        <f t="shared" si="174"/>
        <v>0</v>
      </c>
      <c r="BD299" s="433">
        <f t="shared" si="183"/>
        <v>0</v>
      </c>
      <c r="BE299" s="433">
        <f t="shared" si="184"/>
        <v>0</v>
      </c>
      <c r="BF299" s="433">
        <f t="shared" si="185"/>
        <v>0</v>
      </c>
      <c r="BG299" s="433">
        <f t="shared" si="186"/>
        <v>0</v>
      </c>
      <c r="BH299" s="433">
        <f t="shared" si="187"/>
        <v>0</v>
      </c>
      <c r="BI299" s="433">
        <f t="shared" si="188"/>
        <v>0</v>
      </c>
      <c r="BJ299" s="433">
        <f t="shared" si="189"/>
        <v>0</v>
      </c>
      <c r="BK299" s="433">
        <f t="shared" si="190"/>
        <v>0</v>
      </c>
      <c r="BL299" s="433">
        <f t="shared" si="191"/>
        <v>0</v>
      </c>
      <c r="BM299" s="433">
        <f t="shared" si="192"/>
        <v>0</v>
      </c>
      <c r="BN299" s="433">
        <f t="shared" si="193"/>
        <v>0</v>
      </c>
      <c r="BO299" s="433">
        <f t="shared" si="194"/>
        <v>0</v>
      </c>
      <c r="BP299" s="433">
        <f t="shared" si="195"/>
        <v>0</v>
      </c>
      <c r="BQ299" s="433">
        <f t="shared" si="196"/>
        <v>0</v>
      </c>
    </row>
    <row r="300" spans="1:69" x14ac:dyDescent="0.2">
      <c r="A300" s="102">
        <v>41821</v>
      </c>
      <c r="B300" s="319">
        <v>2</v>
      </c>
      <c r="C300" s="118" t="s">
        <v>1731</v>
      </c>
      <c r="D300" s="111">
        <v>0</v>
      </c>
      <c r="E300" s="111">
        <v>0.39930555555555558</v>
      </c>
      <c r="F300" s="444">
        <v>29</v>
      </c>
      <c r="G300" s="445">
        <v>11</v>
      </c>
      <c r="H300" s="444"/>
      <c r="I300" s="390"/>
      <c r="J300" s="426">
        <f t="shared" si="169"/>
        <v>575</v>
      </c>
      <c r="K300" s="103"/>
      <c r="L300" s="103"/>
      <c r="M300" s="103"/>
      <c r="N300" s="427">
        <f t="shared" si="170"/>
        <v>0</v>
      </c>
      <c r="O300" s="103"/>
      <c r="P300" s="103"/>
      <c r="Q300" s="103"/>
      <c r="R300" s="428">
        <f t="shared" si="171"/>
        <v>0</v>
      </c>
      <c r="S300" s="103"/>
      <c r="T300" s="103"/>
      <c r="U300" s="103"/>
      <c r="V300" s="125"/>
      <c r="W300" s="428">
        <f t="shared" si="175"/>
        <v>0</v>
      </c>
      <c r="X300" s="103"/>
      <c r="Y300" s="103"/>
      <c r="Z300" s="125"/>
      <c r="AA300" s="428">
        <f t="shared" si="176"/>
        <v>0</v>
      </c>
      <c r="AB300" s="103"/>
      <c r="AC300" s="103"/>
      <c r="AD300" s="103"/>
      <c r="AE300" s="428">
        <f t="shared" si="177"/>
        <v>0</v>
      </c>
      <c r="AF300" s="103"/>
      <c r="AG300" s="103"/>
      <c r="AH300" s="103"/>
      <c r="AI300" s="103"/>
      <c r="AJ300" s="428">
        <f t="shared" si="178"/>
        <v>0</v>
      </c>
      <c r="AK300" s="446"/>
      <c r="AL300" s="446"/>
      <c r="AM300" s="446"/>
      <c r="AN300" s="446"/>
      <c r="AO300" s="446"/>
      <c r="AP300" s="446"/>
      <c r="AQ300" s="446"/>
      <c r="AR300" s="431">
        <f t="shared" si="179"/>
        <v>0</v>
      </c>
      <c r="AT300" s="128" t="s">
        <v>424</v>
      </c>
      <c r="AU300" s="100" t="s">
        <v>1706</v>
      </c>
      <c r="AV300" s="128" t="s">
        <v>1739</v>
      </c>
      <c r="AW300" s="100" t="s">
        <v>1740</v>
      </c>
      <c r="AX300" s="433">
        <f t="shared" si="180"/>
        <v>0</v>
      </c>
      <c r="AY300" s="433">
        <f t="shared" si="181"/>
        <v>0</v>
      </c>
      <c r="AZ300" s="433">
        <f t="shared" si="182"/>
        <v>0</v>
      </c>
      <c r="BA300" s="433">
        <f t="shared" si="172"/>
        <v>0</v>
      </c>
      <c r="BB300" s="433">
        <f t="shared" si="173"/>
        <v>0</v>
      </c>
      <c r="BC300" s="433">
        <f t="shared" si="174"/>
        <v>0</v>
      </c>
      <c r="BD300" s="433">
        <f t="shared" si="183"/>
        <v>0</v>
      </c>
      <c r="BE300" s="433">
        <f t="shared" si="184"/>
        <v>0</v>
      </c>
      <c r="BF300" s="433">
        <f t="shared" si="185"/>
        <v>0</v>
      </c>
      <c r="BG300" s="433">
        <f t="shared" si="186"/>
        <v>0</v>
      </c>
      <c r="BH300" s="433">
        <f t="shared" si="187"/>
        <v>0</v>
      </c>
      <c r="BI300" s="433">
        <f t="shared" si="188"/>
        <v>0</v>
      </c>
      <c r="BJ300" s="433">
        <f t="shared" si="189"/>
        <v>0</v>
      </c>
      <c r="BK300" s="433">
        <f t="shared" si="190"/>
        <v>0</v>
      </c>
      <c r="BL300" s="433">
        <f t="shared" si="191"/>
        <v>0</v>
      </c>
      <c r="BM300" s="433">
        <f t="shared" si="192"/>
        <v>0</v>
      </c>
      <c r="BN300" s="433">
        <f t="shared" si="193"/>
        <v>0</v>
      </c>
      <c r="BO300" s="433">
        <f t="shared" si="194"/>
        <v>0</v>
      </c>
      <c r="BP300" s="433">
        <f t="shared" si="195"/>
        <v>0</v>
      </c>
      <c r="BQ300" s="433">
        <f t="shared" si="196"/>
        <v>0</v>
      </c>
    </row>
    <row r="301" spans="1:69" x14ac:dyDescent="0.2">
      <c r="A301" s="102">
        <v>41821</v>
      </c>
      <c r="B301" s="319">
        <v>2</v>
      </c>
      <c r="C301" s="118" t="s">
        <v>995</v>
      </c>
      <c r="D301" s="111">
        <v>0.39930555555555558</v>
      </c>
      <c r="E301" s="111">
        <v>0.59722222222222221</v>
      </c>
      <c r="F301" s="444">
        <v>29</v>
      </c>
      <c r="G301" s="445">
        <v>11</v>
      </c>
      <c r="H301" s="444"/>
      <c r="I301" s="390"/>
      <c r="J301" s="426">
        <f t="shared" si="169"/>
        <v>284.99999999999994</v>
      </c>
      <c r="K301" s="103"/>
      <c r="L301" s="103"/>
      <c r="M301" s="103"/>
      <c r="N301" s="427">
        <f t="shared" si="170"/>
        <v>0</v>
      </c>
      <c r="O301" s="103"/>
      <c r="P301" s="103"/>
      <c r="Q301" s="103"/>
      <c r="R301" s="428">
        <f t="shared" si="171"/>
        <v>0</v>
      </c>
      <c r="S301" s="103"/>
      <c r="T301" s="103"/>
      <c r="U301" s="103"/>
      <c r="V301" s="125"/>
      <c r="W301" s="428">
        <f t="shared" si="175"/>
        <v>0</v>
      </c>
      <c r="X301" s="103"/>
      <c r="Y301" s="103"/>
      <c r="Z301" s="125"/>
      <c r="AA301" s="428">
        <f t="shared" si="176"/>
        <v>0</v>
      </c>
      <c r="AB301" s="103"/>
      <c r="AC301" s="103"/>
      <c r="AD301" s="103"/>
      <c r="AE301" s="428">
        <f t="shared" si="177"/>
        <v>0</v>
      </c>
      <c r="AF301" s="103"/>
      <c r="AG301" s="103"/>
      <c r="AH301" s="103"/>
      <c r="AI301" s="103"/>
      <c r="AJ301" s="428">
        <f t="shared" si="178"/>
        <v>0</v>
      </c>
      <c r="AK301" s="446"/>
      <c r="AL301" s="446"/>
      <c r="AM301" s="446"/>
      <c r="AN301" s="446"/>
      <c r="AO301" s="446"/>
      <c r="AP301" s="446"/>
      <c r="AQ301" s="446"/>
      <c r="AR301" s="431">
        <f t="shared" si="179"/>
        <v>0</v>
      </c>
      <c r="AT301" s="128" t="s">
        <v>424</v>
      </c>
      <c r="AU301" s="100" t="s">
        <v>1697</v>
      </c>
      <c r="AV301" s="128" t="s">
        <v>1739</v>
      </c>
      <c r="AW301" s="100" t="s">
        <v>1740</v>
      </c>
      <c r="AX301" s="433">
        <f t="shared" si="180"/>
        <v>0</v>
      </c>
      <c r="AY301" s="433">
        <f t="shared" si="181"/>
        <v>0</v>
      </c>
      <c r="AZ301" s="433">
        <f t="shared" si="182"/>
        <v>0</v>
      </c>
      <c r="BA301" s="433">
        <f t="shared" si="172"/>
        <v>0</v>
      </c>
      <c r="BB301" s="433">
        <f t="shared" si="173"/>
        <v>0</v>
      </c>
      <c r="BC301" s="433">
        <f t="shared" si="174"/>
        <v>0</v>
      </c>
      <c r="BD301" s="433">
        <f t="shared" si="183"/>
        <v>0</v>
      </c>
      <c r="BE301" s="433">
        <f t="shared" si="184"/>
        <v>0</v>
      </c>
      <c r="BF301" s="433">
        <f t="shared" si="185"/>
        <v>0</v>
      </c>
      <c r="BG301" s="433">
        <f t="shared" si="186"/>
        <v>0</v>
      </c>
      <c r="BH301" s="433">
        <f t="shared" si="187"/>
        <v>0</v>
      </c>
      <c r="BI301" s="433">
        <f t="shared" si="188"/>
        <v>0</v>
      </c>
      <c r="BJ301" s="433">
        <f t="shared" si="189"/>
        <v>0</v>
      </c>
      <c r="BK301" s="433">
        <f t="shared" si="190"/>
        <v>0</v>
      </c>
      <c r="BL301" s="433">
        <f t="shared" si="191"/>
        <v>0</v>
      </c>
      <c r="BM301" s="433">
        <f t="shared" si="192"/>
        <v>0</v>
      </c>
      <c r="BN301" s="433">
        <f t="shared" si="193"/>
        <v>0</v>
      </c>
      <c r="BO301" s="433">
        <f t="shared" si="194"/>
        <v>0</v>
      </c>
      <c r="BP301" s="433">
        <f t="shared" si="195"/>
        <v>0</v>
      </c>
      <c r="BQ301" s="433">
        <f t="shared" si="196"/>
        <v>0</v>
      </c>
    </row>
    <row r="302" spans="1:69" x14ac:dyDescent="0.2">
      <c r="A302" s="102">
        <v>41821</v>
      </c>
      <c r="B302" s="319">
        <v>2</v>
      </c>
      <c r="C302" s="118" t="s">
        <v>1732</v>
      </c>
      <c r="D302" s="111">
        <v>0.59722222222222221</v>
      </c>
      <c r="E302" s="111">
        <v>0.78125</v>
      </c>
      <c r="F302" s="444">
        <v>32</v>
      </c>
      <c r="G302" s="445">
        <v>11</v>
      </c>
      <c r="H302" s="444"/>
      <c r="I302" s="390"/>
      <c r="J302" s="426">
        <f t="shared" si="169"/>
        <v>265</v>
      </c>
      <c r="K302" s="103"/>
      <c r="L302" s="103"/>
      <c r="M302" s="103"/>
      <c r="N302" s="427">
        <f t="shared" si="170"/>
        <v>0</v>
      </c>
      <c r="O302" s="103"/>
      <c r="P302" s="103"/>
      <c r="Q302" s="103"/>
      <c r="R302" s="428">
        <f t="shared" si="171"/>
        <v>0</v>
      </c>
      <c r="S302" s="103"/>
      <c r="T302" s="103"/>
      <c r="U302" s="103"/>
      <c r="V302" s="125"/>
      <c r="W302" s="428">
        <f t="shared" si="175"/>
        <v>0</v>
      </c>
      <c r="X302" s="103"/>
      <c r="Y302" s="103"/>
      <c r="Z302" s="125"/>
      <c r="AA302" s="428">
        <f t="shared" si="176"/>
        <v>0</v>
      </c>
      <c r="AB302" s="103"/>
      <c r="AC302" s="103"/>
      <c r="AD302" s="103"/>
      <c r="AE302" s="428">
        <f t="shared" si="177"/>
        <v>0</v>
      </c>
      <c r="AF302" s="103"/>
      <c r="AG302" s="103"/>
      <c r="AH302" s="103"/>
      <c r="AI302" s="103"/>
      <c r="AJ302" s="428">
        <f t="shared" si="178"/>
        <v>0</v>
      </c>
      <c r="AK302" s="446"/>
      <c r="AL302" s="446"/>
      <c r="AM302" s="446"/>
      <c r="AN302" s="446"/>
      <c r="AO302" s="446"/>
      <c r="AP302" s="446"/>
      <c r="AQ302" s="446"/>
      <c r="AR302" s="431">
        <f t="shared" si="179"/>
        <v>0</v>
      </c>
      <c r="AT302" s="128" t="s">
        <v>424</v>
      </c>
      <c r="AU302" s="100" t="s">
        <v>1726</v>
      </c>
      <c r="AV302" s="128" t="s">
        <v>1739</v>
      </c>
      <c r="AW302" s="100" t="s">
        <v>1740</v>
      </c>
      <c r="AX302" s="433">
        <f t="shared" si="180"/>
        <v>0</v>
      </c>
      <c r="AY302" s="433">
        <f t="shared" si="181"/>
        <v>0</v>
      </c>
      <c r="AZ302" s="433">
        <f t="shared" si="182"/>
        <v>0</v>
      </c>
      <c r="BA302" s="433">
        <f t="shared" si="172"/>
        <v>0</v>
      </c>
      <c r="BB302" s="433">
        <f t="shared" si="173"/>
        <v>0</v>
      </c>
      <c r="BC302" s="433">
        <f t="shared" si="174"/>
        <v>0</v>
      </c>
      <c r="BD302" s="433">
        <f t="shared" si="183"/>
        <v>0</v>
      </c>
      <c r="BE302" s="433">
        <f t="shared" si="184"/>
        <v>0</v>
      </c>
      <c r="BF302" s="433">
        <f t="shared" si="185"/>
        <v>0</v>
      </c>
      <c r="BG302" s="433">
        <f t="shared" si="186"/>
        <v>0</v>
      </c>
      <c r="BH302" s="433">
        <f t="shared" si="187"/>
        <v>0</v>
      </c>
      <c r="BI302" s="433">
        <f t="shared" si="188"/>
        <v>0</v>
      </c>
      <c r="BJ302" s="433">
        <f t="shared" si="189"/>
        <v>0</v>
      </c>
      <c r="BK302" s="433">
        <f t="shared" si="190"/>
        <v>0</v>
      </c>
      <c r="BL302" s="433">
        <f t="shared" si="191"/>
        <v>0</v>
      </c>
      <c r="BM302" s="433">
        <f t="shared" si="192"/>
        <v>0</v>
      </c>
      <c r="BN302" s="433">
        <f t="shared" si="193"/>
        <v>0</v>
      </c>
      <c r="BO302" s="433">
        <f t="shared" si="194"/>
        <v>0</v>
      </c>
      <c r="BP302" s="433">
        <f t="shared" si="195"/>
        <v>0</v>
      </c>
      <c r="BQ302" s="433">
        <f t="shared" si="196"/>
        <v>0</v>
      </c>
    </row>
    <row r="303" spans="1:69" x14ac:dyDescent="0.2">
      <c r="A303" s="102">
        <v>41821</v>
      </c>
      <c r="B303" s="319">
        <v>2</v>
      </c>
      <c r="C303" s="118" t="s">
        <v>1730</v>
      </c>
      <c r="D303" s="111">
        <v>0.78125</v>
      </c>
      <c r="E303" s="111">
        <v>1</v>
      </c>
      <c r="F303" s="444">
        <v>34</v>
      </c>
      <c r="G303" s="445">
        <v>12</v>
      </c>
      <c r="H303" s="444"/>
      <c r="I303" s="390"/>
      <c r="J303" s="426">
        <f>((E303-D303)*24*60)-10</f>
        <v>305</v>
      </c>
      <c r="K303" s="103">
        <v>1</v>
      </c>
      <c r="L303" s="103"/>
      <c r="M303" s="103"/>
      <c r="N303" s="427">
        <f t="shared" si="170"/>
        <v>1</v>
      </c>
      <c r="O303" s="103"/>
      <c r="P303" s="103">
        <v>1</v>
      </c>
      <c r="Q303" s="103"/>
      <c r="R303" s="428">
        <f t="shared" si="171"/>
        <v>1</v>
      </c>
      <c r="S303" s="103"/>
      <c r="T303" s="103"/>
      <c r="U303" s="103"/>
      <c r="V303" s="125"/>
      <c r="W303" s="428">
        <f t="shared" si="175"/>
        <v>0</v>
      </c>
      <c r="X303" s="103"/>
      <c r="Y303" s="103"/>
      <c r="Z303" s="125"/>
      <c r="AA303" s="428">
        <f t="shared" si="176"/>
        <v>0</v>
      </c>
      <c r="AB303" s="103"/>
      <c r="AC303" s="103"/>
      <c r="AD303" s="103"/>
      <c r="AE303" s="428">
        <f t="shared" si="177"/>
        <v>0</v>
      </c>
      <c r="AF303" s="103"/>
      <c r="AG303" s="103"/>
      <c r="AH303" s="103"/>
      <c r="AI303" s="103"/>
      <c r="AJ303" s="428">
        <f t="shared" si="178"/>
        <v>0</v>
      </c>
      <c r="AK303" s="446"/>
      <c r="AL303" s="446"/>
      <c r="AM303" s="446"/>
      <c r="AN303" s="446"/>
      <c r="AO303" s="446"/>
      <c r="AP303" s="446"/>
      <c r="AQ303" s="446"/>
      <c r="AR303" s="431">
        <f t="shared" si="179"/>
        <v>0</v>
      </c>
      <c r="AS303" s="10" t="s">
        <v>1736</v>
      </c>
      <c r="AT303" s="128"/>
      <c r="AU303" s="100" t="s">
        <v>1716</v>
      </c>
      <c r="AV303" s="128" t="s">
        <v>1739</v>
      </c>
      <c r="AW303" s="100" t="s">
        <v>1740</v>
      </c>
      <c r="AX303" s="433">
        <f t="shared" si="180"/>
        <v>1</v>
      </c>
      <c r="AY303" s="433">
        <f t="shared" si="181"/>
        <v>0</v>
      </c>
      <c r="AZ303" s="433">
        <f t="shared" si="182"/>
        <v>0</v>
      </c>
      <c r="BA303" s="433">
        <f t="shared" si="172"/>
        <v>0</v>
      </c>
      <c r="BB303" s="433">
        <f t="shared" si="173"/>
        <v>1</v>
      </c>
      <c r="BC303" s="433">
        <f t="shared" si="174"/>
        <v>0</v>
      </c>
      <c r="BD303" s="433">
        <f t="shared" si="183"/>
        <v>0</v>
      </c>
      <c r="BE303" s="433">
        <f t="shared" si="184"/>
        <v>0</v>
      </c>
      <c r="BF303" s="433">
        <f t="shared" si="185"/>
        <v>0</v>
      </c>
      <c r="BG303" s="433">
        <f t="shared" si="186"/>
        <v>0</v>
      </c>
      <c r="BH303" s="433">
        <f t="shared" si="187"/>
        <v>0</v>
      </c>
      <c r="BI303" s="433">
        <f t="shared" si="188"/>
        <v>0</v>
      </c>
      <c r="BJ303" s="433">
        <f t="shared" si="189"/>
        <v>0</v>
      </c>
      <c r="BK303" s="433">
        <f t="shared" si="190"/>
        <v>0</v>
      </c>
      <c r="BL303" s="433">
        <f t="shared" si="191"/>
        <v>0</v>
      </c>
      <c r="BM303" s="433">
        <f t="shared" si="192"/>
        <v>0</v>
      </c>
      <c r="BN303" s="433">
        <f t="shared" si="193"/>
        <v>0</v>
      </c>
      <c r="BO303" s="433">
        <f t="shared" si="194"/>
        <v>0</v>
      </c>
      <c r="BP303" s="433">
        <f t="shared" si="195"/>
        <v>0</v>
      </c>
      <c r="BQ303" s="433">
        <f t="shared" si="196"/>
        <v>0</v>
      </c>
    </row>
    <row r="304" spans="1:69" x14ac:dyDescent="0.2">
      <c r="A304" s="102">
        <v>41821</v>
      </c>
      <c r="B304" s="319">
        <v>3</v>
      </c>
      <c r="C304" s="118" t="s">
        <v>1556</v>
      </c>
      <c r="D304" s="111">
        <v>0</v>
      </c>
      <c r="E304" s="111">
        <v>0.40833333333333338</v>
      </c>
      <c r="F304" s="444">
        <v>60</v>
      </c>
      <c r="G304" s="445">
        <v>11</v>
      </c>
      <c r="H304" s="444"/>
      <c r="I304" s="390"/>
      <c r="J304" s="426">
        <f t="shared" si="169"/>
        <v>588</v>
      </c>
      <c r="K304" s="103">
        <v>7</v>
      </c>
      <c r="L304" s="103">
        <v>2</v>
      </c>
      <c r="M304" s="103"/>
      <c r="N304" s="427">
        <f t="shared" si="170"/>
        <v>9</v>
      </c>
      <c r="O304" s="103">
        <v>1</v>
      </c>
      <c r="P304" s="103"/>
      <c r="Q304" s="103"/>
      <c r="R304" s="428">
        <f t="shared" si="171"/>
        <v>1</v>
      </c>
      <c r="S304" s="103"/>
      <c r="T304" s="103"/>
      <c r="U304" s="103"/>
      <c r="V304" s="125"/>
      <c r="W304" s="428">
        <f t="shared" si="175"/>
        <v>0</v>
      </c>
      <c r="X304" s="103"/>
      <c r="Y304" s="103"/>
      <c r="Z304" s="125"/>
      <c r="AA304" s="428">
        <f t="shared" si="176"/>
        <v>0</v>
      </c>
      <c r="AB304" s="103"/>
      <c r="AC304" s="103"/>
      <c r="AD304" s="103"/>
      <c r="AE304" s="428">
        <f t="shared" si="177"/>
        <v>0</v>
      </c>
      <c r="AF304" s="103"/>
      <c r="AG304" s="103"/>
      <c r="AH304" s="103"/>
      <c r="AI304" s="103"/>
      <c r="AJ304" s="428">
        <f t="shared" si="178"/>
        <v>0</v>
      </c>
      <c r="AK304" s="446"/>
      <c r="AL304" s="446">
        <v>2</v>
      </c>
      <c r="AM304" s="446"/>
      <c r="AN304" s="446"/>
      <c r="AO304" s="446"/>
      <c r="AP304" s="446"/>
      <c r="AQ304" s="446"/>
      <c r="AR304" s="431">
        <f t="shared" si="179"/>
        <v>2</v>
      </c>
      <c r="AT304" s="128" t="s">
        <v>1737</v>
      </c>
      <c r="AU304" s="100" t="s">
        <v>1720</v>
      </c>
      <c r="AV304" s="128" t="s">
        <v>1739</v>
      </c>
      <c r="AW304" s="100" t="s">
        <v>1740</v>
      </c>
      <c r="AX304" s="433">
        <f t="shared" si="180"/>
        <v>7</v>
      </c>
      <c r="AY304" s="433">
        <f t="shared" si="181"/>
        <v>2</v>
      </c>
      <c r="AZ304" s="433">
        <f t="shared" si="182"/>
        <v>0</v>
      </c>
      <c r="BA304" s="433">
        <f t="shared" si="172"/>
        <v>1</v>
      </c>
      <c r="BB304" s="433">
        <f t="shared" si="173"/>
        <v>0</v>
      </c>
      <c r="BC304" s="433">
        <f t="shared" si="174"/>
        <v>0</v>
      </c>
      <c r="BD304" s="433">
        <f t="shared" si="183"/>
        <v>0</v>
      </c>
      <c r="BE304" s="433">
        <f t="shared" si="184"/>
        <v>0</v>
      </c>
      <c r="BF304" s="433">
        <f t="shared" si="185"/>
        <v>0</v>
      </c>
      <c r="BG304" s="433">
        <f t="shared" si="186"/>
        <v>0</v>
      </c>
      <c r="BH304" s="433">
        <f t="shared" si="187"/>
        <v>0</v>
      </c>
      <c r="BI304" s="433">
        <f t="shared" si="188"/>
        <v>0</v>
      </c>
      <c r="BJ304" s="433">
        <f t="shared" si="189"/>
        <v>0</v>
      </c>
      <c r="BK304" s="433">
        <f t="shared" si="190"/>
        <v>0</v>
      </c>
      <c r="BL304" s="433">
        <f t="shared" si="191"/>
        <v>0</v>
      </c>
      <c r="BM304" s="433">
        <f t="shared" si="192"/>
        <v>0</v>
      </c>
      <c r="BN304" s="433">
        <f t="shared" si="193"/>
        <v>0</v>
      </c>
      <c r="BO304" s="433">
        <f t="shared" si="194"/>
        <v>0</v>
      </c>
      <c r="BP304" s="433">
        <f t="shared" si="195"/>
        <v>0</v>
      </c>
      <c r="BQ304" s="433">
        <f t="shared" si="196"/>
        <v>0</v>
      </c>
    </row>
    <row r="305" spans="1:69" x14ac:dyDescent="0.2">
      <c r="A305" s="102">
        <v>41821</v>
      </c>
      <c r="B305" s="319">
        <v>3</v>
      </c>
      <c r="C305" s="118" t="s">
        <v>1625</v>
      </c>
      <c r="D305" s="111">
        <v>0.40833333333333338</v>
      </c>
      <c r="E305" s="111">
        <v>0.60069444444444442</v>
      </c>
      <c r="F305" s="444">
        <v>50</v>
      </c>
      <c r="G305" s="445">
        <v>11</v>
      </c>
      <c r="H305" s="444"/>
      <c r="I305" s="390"/>
      <c r="J305" s="426">
        <f t="shared" si="169"/>
        <v>276.99999999999994</v>
      </c>
      <c r="K305" s="103">
        <v>3</v>
      </c>
      <c r="L305" s="103"/>
      <c r="M305" s="103"/>
      <c r="N305" s="427">
        <f t="shared" si="170"/>
        <v>3</v>
      </c>
      <c r="O305" s="103">
        <v>1</v>
      </c>
      <c r="P305" s="103">
        <v>3</v>
      </c>
      <c r="Q305" s="103"/>
      <c r="R305" s="428">
        <f t="shared" si="171"/>
        <v>4</v>
      </c>
      <c r="S305" s="103"/>
      <c r="T305" s="103"/>
      <c r="U305" s="103"/>
      <c r="V305" s="125"/>
      <c r="W305" s="428">
        <f t="shared" si="175"/>
        <v>0</v>
      </c>
      <c r="X305" s="103"/>
      <c r="Y305" s="103"/>
      <c r="Z305" s="125"/>
      <c r="AA305" s="428">
        <f t="shared" si="176"/>
        <v>0</v>
      </c>
      <c r="AB305" s="103"/>
      <c r="AC305" s="103"/>
      <c r="AD305" s="103"/>
      <c r="AE305" s="428">
        <f t="shared" si="177"/>
        <v>0</v>
      </c>
      <c r="AF305" s="103"/>
      <c r="AG305" s="103"/>
      <c r="AH305" s="103"/>
      <c r="AI305" s="103"/>
      <c r="AJ305" s="428">
        <f t="shared" si="178"/>
        <v>0</v>
      </c>
      <c r="AK305" s="446"/>
      <c r="AL305" s="446"/>
      <c r="AM305" s="446"/>
      <c r="AN305" s="446"/>
      <c r="AO305" s="446"/>
      <c r="AP305" s="446"/>
      <c r="AQ305" s="446"/>
      <c r="AR305" s="431">
        <f t="shared" si="179"/>
        <v>0</v>
      </c>
      <c r="AT305" s="128"/>
      <c r="AU305" s="100" t="s">
        <v>1721</v>
      </c>
      <c r="AV305" s="128" t="s">
        <v>1739</v>
      </c>
      <c r="AW305" s="100" t="s">
        <v>1740</v>
      </c>
      <c r="AX305" s="433">
        <f t="shared" si="180"/>
        <v>3</v>
      </c>
      <c r="AY305" s="433">
        <f t="shared" si="181"/>
        <v>0</v>
      </c>
      <c r="AZ305" s="433">
        <f t="shared" si="182"/>
        <v>0</v>
      </c>
      <c r="BA305" s="433">
        <f t="shared" si="172"/>
        <v>1</v>
      </c>
      <c r="BB305" s="433">
        <f t="shared" si="173"/>
        <v>3</v>
      </c>
      <c r="BC305" s="433">
        <f t="shared" si="174"/>
        <v>0</v>
      </c>
      <c r="BD305" s="433">
        <f t="shared" si="183"/>
        <v>0</v>
      </c>
      <c r="BE305" s="433">
        <f t="shared" si="184"/>
        <v>0</v>
      </c>
      <c r="BF305" s="433">
        <f t="shared" si="185"/>
        <v>0</v>
      </c>
      <c r="BG305" s="433">
        <f t="shared" si="186"/>
        <v>0</v>
      </c>
      <c r="BH305" s="433">
        <f t="shared" si="187"/>
        <v>0</v>
      </c>
      <c r="BI305" s="433">
        <f t="shared" si="188"/>
        <v>0</v>
      </c>
      <c r="BJ305" s="433">
        <f t="shared" si="189"/>
        <v>0</v>
      </c>
      <c r="BK305" s="433">
        <f t="shared" si="190"/>
        <v>0</v>
      </c>
      <c r="BL305" s="433">
        <f t="shared" si="191"/>
        <v>0</v>
      </c>
      <c r="BM305" s="433">
        <f t="shared" si="192"/>
        <v>0</v>
      </c>
      <c r="BN305" s="433">
        <f t="shared" si="193"/>
        <v>0</v>
      </c>
      <c r="BO305" s="433">
        <f t="shared" si="194"/>
        <v>0</v>
      </c>
      <c r="BP305" s="433">
        <f t="shared" si="195"/>
        <v>0</v>
      </c>
      <c r="BQ305" s="433">
        <f t="shared" si="196"/>
        <v>0</v>
      </c>
    </row>
    <row r="306" spans="1:69" x14ac:dyDescent="0.2">
      <c r="A306" s="102">
        <v>41821</v>
      </c>
      <c r="B306" s="319">
        <v>3</v>
      </c>
      <c r="C306" s="118" t="s">
        <v>1733</v>
      </c>
      <c r="D306" s="111">
        <v>0.60069444444444442</v>
      </c>
      <c r="E306" s="111">
        <v>0.78402777777777777</v>
      </c>
      <c r="F306" s="444">
        <v>54</v>
      </c>
      <c r="G306" s="445">
        <v>10</v>
      </c>
      <c r="H306" s="444"/>
      <c r="I306" s="390"/>
      <c r="J306" s="426">
        <f t="shared" si="169"/>
        <v>264</v>
      </c>
      <c r="K306" s="103">
        <v>5</v>
      </c>
      <c r="L306" s="103">
        <v>1</v>
      </c>
      <c r="M306" s="103"/>
      <c r="N306" s="427">
        <f t="shared" si="170"/>
        <v>6</v>
      </c>
      <c r="O306" s="103"/>
      <c r="P306" s="103">
        <v>2</v>
      </c>
      <c r="Q306" s="103"/>
      <c r="R306" s="428">
        <f t="shared" si="171"/>
        <v>2</v>
      </c>
      <c r="S306" s="103"/>
      <c r="T306" s="103"/>
      <c r="U306" s="103"/>
      <c r="V306" s="125"/>
      <c r="W306" s="428">
        <f t="shared" si="175"/>
        <v>0</v>
      </c>
      <c r="X306" s="103"/>
      <c r="Y306" s="103"/>
      <c r="Z306" s="125"/>
      <c r="AA306" s="428">
        <f t="shared" si="176"/>
        <v>0</v>
      </c>
      <c r="AB306" s="103"/>
      <c r="AC306" s="103"/>
      <c r="AD306" s="103"/>
      <c r="AE306" s="428">
        <f t="shared" si="177"/>
        <v>0</v>
      </c>
      <c r="AF306" s="103"/>
      <c r="AG306" s="103"/>
      <c r="AH306" s="103"/>
      <c r="AI306" s="103"/>
      <c r="AJ306" s="428">
        <f t="shared" si="178"/>
        <v>0</v>
      </c>
      <c r="AK306" s="446">
        <v>1</v>
      </c>
      <c r="AL306" s="446"/>
      <c r="AM306" s="446"/>
      <c r="AN306" s="446"/>
      <c r="AO306" s="446"/>
      <c r="AP306" s="446"/>
      <c r="AQ306" s="446"/>
      <c r="AR306" s="431">
        <f t="shared" si="179"/>
        <v>1</v>
      </c>
      <c r="AT306" s="128"/>
      <c r="AU306" s="100" t="s">
        <v>1720</v>
      </c>
      <c r="AV306" s="128" t="s">
        <v>1739</v>
      </c>
      <c r="AW306" s="100" t="s">
        <v>1740</v>
      </c>
      <c r="AX306" s="433">
        <f t="shared" si="180"/>
        <v>5</v>
      </c>
      <c r="AY306" s="433">
        <f t="shared" si="181"/>
        <v>1</v>
      </c>
      <c r="AZ306" s="433">
        <f t="shared" si="182"/>
        <v>0</v>
      </c>
      <c r="BA306" s="433">
        <f t="shared" si="172"/>
        <v>0</v>
      </c>
      <c r="BB306" s="433">
        <f t="shared" si="173"/>
        <v>2</v>
      </c>
      <c r="BC306" s="433">
        <f t="shared" si="174"/>
        <v>0</v>
      </c>
      <c r="BD306" s="433">
        <f t="shared" si="183"/>
        <v>0</v>
      </c>
      <c r="BE306" s="433">
        <f t="shared" si="184"/>
        <v>0</v>
      </c>
      <c r="BF306" s="433">
        <f t="shared" si="185"/>
        <v>0</v>
      </c>
      <c r="BG306" s="433">
        <f t="shared" si="186"/>
        <v>0</v>
      </c>
      <c r="BH306" s="433">
        <f t="shared" si="187"/>
        <v>0</v>
      </c>
      <c r="BI306" s="433">
        <f t="shared" si="188"/>
        <v>0</v>
      </c>
      <c r="BJ306" s="433">
        <f t="shared" si="189"/>
        <v>0</v>
      </c>
      <c r="BK306" s="433">
        <f t="shared" si="190"/>
        <v>0</v>
      </c>
      <c r="BL306" s="433">
        <f t="shared" si="191"/>
        <v>0</v>
      </c>
      <c r="BM306" s="433">
        <f t="shared" si="192"/>
        <v>0</v>
      </c>
      <c r="BN306" s="433">
        <f t="shared" si="193"/>
        <v>0</v>
      </c>
      <c r="BO306" s="433">
        <f t="shared" si="194"/>
        <v>0</v>
      </c>
      <c r="BP306" s="433">
        <f t="shared" si="195"/>
        <v>0</v>
      </c>
      <c r="BQ306" s="433">
        <f t="shared" si="196"/>
        <v>0</v>
      </c>
    </row>
    <row r="307" spans="1:69" s="291" customFormat="1" x14ac:dyDescent="0.2">
      <c r="A307" s="317">
        <v>41821</v>
      </c>
      <c r="B307" s="318">
        <v>3</v>
      </c>
      <c r="C307" s="320" t="s">
        <v>1563</v>
      </c>
      <c r="D307" s="321">
        <v>0.78402777777777777</v>
      </c>
      <c r="E307" s="321">
        <v>1</v>
      </c>
      <c r="F307" s="434">
        <v>46</v>
      </c>
      <c r="G307" s="435">
        <v>10</v>
      </c>
      <c r="H307" s="434"/>
      <c r="I307" s="436"/>
      <c r="J307" s="437">
        <f t="shared" si="169"/>
        <v>311</v>
      </c>
      <c r="K307" s="285">
        <v>9</v>
      </c>
      <c r="L307" s="285"/>
      <c r="M307" s="285"/>
      <c r="N307" s="438">
        <f t="shared" si="170"/>
        <v>9</v>
      </c>
      <c r="O307" s="285"/>
      <c r="P307" s="285">
        <v>2</v>
      </c>
      <c r="Q307" s="285"/>
      <c r="R307" s="439">
        <f t="shared" si="171"/>
        <v>2</v>
      </c>
      <c r="S307" s="285"/>
      <c r="T307" s="285"/>
      <c r="U307" s="285"/>
      <c r="V307" s="440"/>
      <c r="W307" s="439">
        <f t="shared" si="175"/>
        <v>0</v>
      </c>
      <c r="X307" s="285"/>
      <c r="Y307" s="285"/>
      <c r="Z307" s="440"/>
      <c r="AA307" s="439">
        <f t="shared" si="176"/>
        <v>0</v>
      </c>
      <c r="AB307" s="285"/>
      <c r="AC307" s="285"/>
      <c r="AD307" s="285"/>
      <c r="AE307" s="439">
        <f t="shared" si="177"/>
        <v>0</v>
      </c>
      <c r="AF307" s="285"/>
      <c r="AG307" s="285"/>
      <c r="AH307" s="285"/>
      <c r="AI307" s="285"/>
      <c r="AJ307" s="439">
        <f t="shared" si="178"/>
        <v>0</v>
      </c>
      <c r="AK307" s="340"/>
      <c r="AL307" s="340">
        <v>1</v>
      </c>
      <c r="AM307" s="340">
        <v>1</v>
      </c>
      <c r="AN307" s="340"/>
      <c r="AO307" s="340"/>
      <c r="AP307" s="340"/>
      <c r="AQ307" s="340"/>
      <c r="AR307" s="441">
        <f t="shared" si="179"/>
        <v>2</v>
      </c>
      <c r="AS307" s="291" t="s">
        <v>1564</v>
      </c>
      <c r="AT307" s="313"/>
      <c r="AU307" s="289" t="s">
        <v>1738</v>
      </c>
      <c r="AV307" s="313" t="s">
        <v>1739</v>
      </c>
      <c r="AW307" s="289" t="s">
        <v>1740</v>
      </c>
      <c r="AX307" s="443">
        <f t="shared" si="180"/>
        <v>9</v>
      </c>
      <c r="AY307" s="443">
        <f t="shared" si="181"/>
        <v>0</v>
      </c>
      <c r="AZ307" s="443">
        <f t="shared" si="182"/>
        <v>0</v>
      </c>
      <c r="BA307" s="443">
        <f t="shared" si="172"/>
        <v>0</v>
      </c>
      <c r="BB307" s="443">
        <f t="shared" si="173"/>
        <v>2</v>
      </c>
      <c r="BC307" s="443">
        <f t="shared" si="174"/>
        <v>0</v>
      </c>
      <c r="BD307" s="443">
        <f t="shared" si="183"/>
        <v>0</v>
      </c>
      <c r="BE307" s="443">
        <f t="shared" si="184"/>
        <v>0</v>
      </c>
      <c r="BF307" s="443">
        <f t="shared" si="185"/>
        <v>0</v>
      </c>
      <c r="BG307" s="443">
        <f t="shared" si="186"/>
        <v>0</v>
      </c>
      <c r="BH307" s="443">
        <f t="shared" si="187"/>
        <v>0</v>
      </c>
      <c r="BI307" s="443">
        <f t="shared" si="188"/>
        <v>0</v>
      </c>
      <c r="BJ307" s="443">
        <f t="shared" si="189"/>
        <v>0</v>
      </c>
      <c r="BK307" s="443">
        <f t="shared" si="190"/>
        <v>0</v>
      </c>
      <c r="BL307" s="443">
        <f t="shared" si="191"/>
        <v>0</v>
      </c>
      <c r="BM307" s="443">
        <f t="shared" si="192"/>
        <v>0</v>
      </c>
      <c r="BN307" s="443">
        <f t="shared" si="193"/>
        <v>0</v>
      </c>
      <c r="BO307" s="443">
        <f t="shared" si="194"/>
        <v>0</v>
      </c>
      <c r="BP307" s="443">
        <f t="shared" si="195"/>
        <v>0</v>
      </c>
      <c r="BQ307" s="443">
        <f t="shared" si="196"/>
        <v>0</v>
      </c>
    </row>
    <row r="308" spans="1:69" x14ac:dyDescent="0.2">
      <c r="A308" s="102">
        <v>41822</v>
      </c>
      <c r="B308" s="319">
        <v>1</v>
      </c>
      <c r="C308" s="118" t="s">
        <v>1729</v>
      </c>
      <c r="D308" s="111">
        <v>0</v>
      </c>
      <c r="E308" s="111">
        <v>0.41180555555555554</v>
      </c>
      <c r="F308" s="444">
        <v>34</v>
      </c>
      <c r="G308" s="445">
        <v>7</v>
      </c>
      <c r="H308" s="444"/>
      <c r="I308" s="390"/>
      <c r="J308" s="426">
        <f t="shared" si="169"/>
        <v>593</v>
      </c>
      <c r="K308" s="103">
        <v>1</v>
      </c>
      <c r="L308" s="103"/>
      <c r="M308" s="103"/>
      <c r="N308" s="427">
        <f t="shared" si="170"/>
        <v>1</v>
      </c>
      <c r="O308" s="103">
        <v>1</v>
      </c>
      <c r="P308" s="103">
        <v>1</v>
      </c>
      <c r="Q308" s="103"/>
      <c r="R308" s="428">
        <f t="shared" si="171"/>
        <v>2</v>
      </c>
      <c r="S308" s="103"/>
      <c r="T308" s="103"/>
      <c r="U308" s="103"/>
      <c r="V308" s="125"/>
      <c r="W308" s="428">
        <f t="shared" si="175"/>
        <v>0</v>
      </c>
      <c r="X308" s="103"/>
      <c r="Y308" s="103"/>
      <c r="Z308" s="125"/>
      <c r="AA308" s="428">
        <f t="shared" si="176"/>
        <v>0</v>
      </c>
      <c r="AB308" s="103"/>
      <c r="AC308" s="103"/>
      <c r="AD308" s="103"/>
      <c r="AE308" s="428">
        <f t="shared" si="177"/>
        <v>0</v>
      </c>
      <c r="AF308" s="103"/>
      <c r="AG308" s="103"/>
      <c r="AH308" s="103"/>
      <c r="AI308" s="103"/>
      <c r="AJ308" s="428">
        <f t="shared" si="178"/>
        <v>0</v>
      </c>
      <c r="AK308" s="446"/>
      <c r="AL308" s="446"/>
      <c r="AM308" s="446"/>
      <c r="AN308" s="446"/>
      <c r="AO308" s="446"/>
      <c r="AP308" s="446"/>
      <c r="AQ308" s="446"/>
      <c r="AR308" s="431">
        <f t="shared" si="179"/>
        <v>0</v>
      </c>
      <c r="AT308" s="128"/>
      <c r="AU308" s="100" t="s">
        <v>1748</v>
      </c>
      <c r="AV308" s="128" t="s">
        <v>1861</v>
      </c>
      <c r="AW308" s="100" t="s">
        <v>1864</v>
      </c>
      <c r="AX308" s="433">
        <f t="shared" si="180"/>
        <v>1</v>
      </c>
      <c r="AY308" s="433">
        <f t="shared" si="181"/>
        <v>0</v>
      </c>
      <c r="AZ308" s="433">
        <f t="shared" si="182"/>
        <v>0</v>
      </c>
      <c r="BA308" s="433">
        <f t="shared" si="172"/>
        <v>1</v>
      </c>
      <c r="BB308" s="433">
        <f t="shared" si="173"/>
        <v>1</v>
      </c>
      <c r="BC308" s="433">
        <f t="shared" si="174"/>
        <v>0</v>
      </c>
      <c r="BD308" s="433">
        <f t="shared" si="183"/>
        <v>0</v>
      </c>
      <c r="BE308" s="433">
        <f t="shared" si="184"/>
        <v>0</v>
      </c>
      <c r="BF308" s="433">
        <f t="shared" si="185"/>
        <v>0</v>
      </c>
      <c r="BG308" s="433">
        <f t="shared" si="186"/>
        <v>0</v>
      </c>
      <c r="BH308" s="433">
        <f t="shared" si="187"/>
        <v>0</v>
      </c>
      <c r="BI308" s="433">
        <f t="shared" si="188"/>
        <v>0</v>
      </c>
      <c r="BJ308" s="433">
        <f t="shared" si="189"/>
        <v>0</v>
      </c>
      <c r="BK308" s="433">
        <f t="shared" si="190"/>
        <v>0</v>
      </c>
      <c r="BL308" s="433">
        <f t="shared" si="191"/>
        <v>0</v>
      </c>
      <c r="BM308" s="433">
        <f t="shared" si="192"/>
        <v>0</v>
      </c>
      <c r="BN308" s="433">
        <f t="shared" si="193"/>
        <v>0</v>
      </c>
      <c r="BO308" s="433">
        <f t="shared" si="194"/>
        <v>0</v>
      </c>
      <c r="BP308" s="433">
        <f t="shared" si="195"/>
        <v>0</v>
      </c>
      <c r="BQ308" s="433">
        <f t="shared" si="196"/>
        <v>0</v>
      </c>
    </row>
    <row r="309" spans="1:69" x14ac:dyDescent="0.2">
      <c r="A309" s="102">
        <v>41822</v>
      </c>
      <c r="B309" s="319">
        <v>1</v>
      </c>
      <c r="C309" s="118" t="s">
        <v>1730</v>
      </c>
      <c r="D309" s="111">
        <v>0.41180555555555554</v>
      </c>
      <c r="E309" s="111">
        <v>0.59652777777777777</v>
      </c>
      <c r="F309" s="444">
        <v>42</v>
      </c>
      <c r="G309" s="445">
        <v>8</v>
      </c>
      <c r="H309" s="444"/>
      <c r="I309" s="390"/>
      <c r="J309" s="426">
        <f>((E309-D309)*24*60)-63</f>
        <v>203</v>
      </c>
      <c r="K309" s="103">
        <v>1</v>
      </c>
      <c r="L309" s="103"/>
      <c r="M309" s="103"/>
      <c r="N309" s="427">
        <f t="shared" si="170"/>
        <v>1</v>
      </c>
      <c r="O309" s="103"/>
      <c r="P309" s="103">
        <v>2</v>
      </c>
      <c r="Q309" s="103"/>
      <c r="R309" s="428">
        <f t="shared" si="171"/>
        <v>2</v>
      </c>
      <c r="S309" s="103"/>
      <c r="T309" s="103"/>
      <c r="U309" s="103"/>
      <c r="V309" s="125"/>
      <c r="W309" s="428">
        <f t="shared" si="175"/>
        <v>0</v>
      </c>
      <c r="X309" s="103"/>
      <c r="Y309" s="103"/>
      <c r="Z309" s="125"/>
      <c r="AA309" s="428">
        <f t="shared" si="176"/>
        <v>0</v>
      </c>
      <c r="AB309" s="103"/>
      <c r="AC309" s="103"/>
      <c r="AD309" s="103"/>
      <c r="AE309" s="428">
        <f t="shared" si="177"/>
        <v>0</v>
      </c>
      <c r="AF309" s="103"/>
      <c r="AG309" s="103"/>
      <c r="AH309" s="103"/>
      <c r="AI309" s="103"/>
      <c r="AJ309" s="428">
        <f t="shared" si="178"/>
        <v>0</v>
      </c>
      <c r="AK309" s="446"/>
      <c r="AL309" s="446"/>
      <c r="AM309" s="446"/>
      <c r="AN309" s="446"/>
      <c r="AO309" s="446"/>
      <c r="AP309" s="446"/>
      <c r="AQ309" s="446"/>
      <c r="AR309" s="431">
        <f t="shared" si="179"/>
        <v>0</v>
      </c>
      <c r="AS309" s="10" t="s">
        <v>1747</v>
      </c>
      <c r="AT309" s="128"/>
      <c r="AU309" s="100" t="s">
        <v>1739</v>
      </c>
      <c r="AV309" s="128" t="s">
        <v>1861</v>
      </c>
      <c r="AW309" s="100" t="s">
        <v>1864</v>
      </c>
      <c r="AX309" s="433">
        <f t="shared" si="180"/>
        <v>1</v>
      </c>
      <c r="AY309" s="433">
        <f t="shared" si="181"/>
        <v>0</v>
      </c>
      <c r="AZ309" s="433">
        <f t="shared" si="182"/>
        <v>0</v>
      </c>
      <c r="BA309" s="433">
        <f t="shared" si="172"/>
        <v>0</v>
      </c>
      <c r="BB309" s="433">
        <f t="shared" si="173"/>
        <v>2</v>
      </c>
      <c r="BC309" s="433">
        <f t="shared" si="174"/>
        <v>0</v>
      </c>
      <c r="BD309" s="433">
        <f t="shared" si="183"/>
        <v>0</v>
      </c>
      <c r="BE309" s="433">
        <f t="shared" si="184"/>
        <v>0</v>
      </c>
      <c r="BF309" s="433">
        <f t="shared" si="185"/>
        <v>0</v>
      </c>
      <c r="BG309" s="433">
        <f t="shared" si="186"/>
        <v>0</v>
      </c>
      <c r="BH309" s="433">
        <f t="shared" si="187"/>
        <v>0</v>
      </c>
      <c r="BI309" s="433">
        <f t="shared" si="188"/>
        <v>0</v>
      </c>
      <c r="BJ309" s="433">
        <f t="shared" si="189"/>
        <v>0</v>
      </c>
      <c r="BK309" s="433">
        <f t="shared" si="190"/>
        <v>0</v>
      </c>
      <c r="BL309" s="433">
        <f t="shared" si="191"/>
        <v>0</v>
      </c>
      <c r="BM309" s="433">
        <f t="shared" si="192"/>
        <v>0</v>
      </c>
      <c r="BN309" s="433">
        <f t="shared" si="193"/>
        <v>0</v>
      </c>
      <c r="BO309" s="433">
        <f t="shared" si="194"/>
        <v>0</v>
      </c>
      <c r="BP309" s="433">
        <f t="shared" si="195"/>
        <v>0</v>
      </c>
      <c r="BQ309" s="433">
        <f t="shared" si="196"/>
        <v>0</v>
      </c>
    </row>
    <row r="310" spans="1:69" x14ac:dyDescent="0.2">
      <c r="A310" s="102">
        <v>41822</v>
      </c>
      <c r="B310" s="319">
        <v>1</v>
      </c>
      <c r="C310" s="118" t="s">
        <v>1749</v>
      </c>
      <c r="D310" s="111">
        <v>0.59652777777777777</v>
      </c>
      <c r="E310" s="111">
        <v>0.79375000000000007</v>
      </c>
      <c r="F310" s="444">
        <v>34</v>
      </c>
      <c r="G310" s="445">
        <v>9</v>
      </c>
      <c r="H310" s="444"/>
      <c r="I310" s="390"/>
      <c r="J310" s="426">
        <f>((E310-D310)*24*60)-60</f>
        <v>224.00000000000011</v>
      </c>
      <c r="K310" s="103">
        <v>1</v>
      </c>
      <c r="L310" s="103"/>
      <c r="M310" s="103"/>
      <c r="N310" s="427">
        <f t="shared" si="170"/>
        <v>1</v>
      </c>
      <c r="O310" s="103">
        <v>1</v>
      </c>
      <c r="P310" s="103">
        <v>1</v>
      </c>
      <c r="Q310" s="103"/>
      <c r="R310" s="428">
        <f t="shared" si="171"/>
        <v>2</v>
      </c>
      <c r="S310" s="103"/>
      <c r="T310" s="103"/>
      <c r="U310" s="103"/>
      <c r="V310" s="125"/>
      <c r="W310" s="428">
        <f t="shared" si="175"/>
        <v>0</v>
      </c>
      <c r="X310" s="103"/>
      <c r="Y310" s="103"/>
      <c r="Z310" s="125"/>
      <c r="AA310" s="428">
        <f t="shared" si="176"/>
        <v>0</v>
      </c>
      <c r="AB310" s="103"/>
      <c r="AC310" s="103"/>
      <c r="AD310" s="103"/>
      <c r="AE310" s="428">
        <f t="shared" si="177"/>
        <v>0</v>
      </c>
      <c r="AF310" s="103"/>
      <c r="AG310" s="103"/>
      <c r="AH310" s="103"/>
      <c r="AI310" s="103"/>
      <c r="AJ310" s="428">
        <f t="shared" si="178"/>
        <v>0</v>
      </c>
      <c r="AK310" s="446"/>
      <c r="AL310" s="446"/>
      <c r="AM310" s="446"/>
      <c r="AN310" s="446"/>
      <c r="AO310" s="446"/>
      <c r="AP310" s="446"/>
      <c r="AQ310" s="446"/>
      <c r="AR310" s="431">
        <f t="shared" si="179"/>
        <v>0</v>
      </c>
      <c r="AS310" s="10" t="s">
        <v>1750</v>
      </c>
      <c r="AT310" s="128"/>
      <c r="AU310" s="100" t="s">
        <v>1751</v>
      </c>
      <c r="AV310" s="128" t="s">
        <v>1861</v>
      </c>
      <c r="AW310" s="100" t="s">
        <v>1864</v>
      </c>
      <c r="AX310" s="433">
        <f t="shared" si="180"/>
        <v>1</v>
      </c>
      <c r="AY310" s="433">
        <f t="shared" si="181"/>
        <v>0</v>
      </c>
      <c r="AZ310" s="433">
        <f t="shared" si="182"/>
        <v>0</v>
      </c>
      <c r="BA310" s="433">
        <f t="shared" si="172"/>
        <v>1</v>
      </c>
      <c r="BB310" s="433">
        <f t="shared" si="173"/>
        <v>1</v>
      </c>
      <c r="BC310" s="433">
        <f t="shared" si="174"/>
        <v>0</v>
      </c>
      <c r="BD310" s="433">
        <f t="shared" si="183"/>
        <v>0</v>
      </c>
      <c r="BE310" s="433">
        <f t="shared" si="184"/>
        <v>0</v>
      </c>
      <c r="BF310" s="433">
        <f t="shared" si="185"/>
        <v>0</v>
      </c>
      <c r="BG310" s="433">
        <f t="shared" si="186"/>
        <v>0</v>
      </c>
      <c r="BH310" s="433">
        <f t="shared" si="187"/>
        <v>0</v>
      </c>
      <c r="BI310" s="433">
        <f t="shared" si="188"/>
        <v>0</v>
      </c>
      <c r="BJ310" s="433">
        <f t="shared" si="189"/>
        <v>0</v>
      </c>
      <c r="BK310" s="433">
        <f t="shared" si="190"/>
        <v>0</v>
      </c>
      <c r="BL310" s="433">
        <f t="shared" si="191"/>
        <v>0</v>
      </c>
      <c r="BM310" s="433">
        <f t="shared" si="192"/>
        <v>0</v>
      </c>
      <c r="BN310" s="433">
        <f t="shared" si="193"/>
        <v>0</v>
      </c>
      <c r="BO310" s="433">
        <f t="shared" si="194"/>
        <v>0</v>
      </c>
      <c r="BP310" s="433">
        <f t="shared" si="195"/>
        <v>0</v>
      </c>
      <c r="BQ310" s="433">
        <f t="shared" si="196"/>
        <v>0</v>
      </c>
    </row>
    <row r="311" spans="1:69" x14ac:dyDescent="0.2">
      <c r="A311" s="102">
        <v>41822</v>
      </c>
      <c r="B311" s="319">
        <v>1</v>
      </c>
      <c r="C311" s="118" t="s">
        <v>1553</v>
      </c>
      <c r="D311" s="111">
        <v>0.79375000000000007</v>
      </c>
      <c r="E311" s="111">
        <v>0.9784722222222223</v>
      </c>
      <c r="F311" s="444">
        <v>35</v>
      </c>
      <c r="G311" s="445">
        <v>8</v>
      </c>
      <c r="H311" s="444"/>
      <c r="I311" s="390"/>
      <c r="J311" s="426">
        <f t="shared" si="169"/>
        <v>266</v>
      </c>
      <c r="K311" s="103">
        <v>1</v>
      </c>
      <c r="L311" s="103"/>
      <c r="M311" s="103"/>
      <c r="N311" s="427">
        <f t="shared" si="170"/>
        <v>1</v>
      </c>
      <c r="O311" s="103"/>
      <c r="P311" s="103">
        <v>3</v>
      </c>
      <c r="Q311" s="103"/>
      <c r="R311" s="428">
        <f t="shared" si="171"/>
        <v>3</v>
      </c>
      <c r="S311" s="103"/>
      <c r="T311" s="103"/>
      <c r="U311" s="103"/>
      <c r="V311" s="125"/>
      <c r="W311" s="428">
        <f t="shared" si="175"/>
        <v>0</v>
      </c>
      <c r="X311" s="103"/>
      <c r="Y311" s="103"/>
      <c r="Z311" s="125"/>
      <c r="AA311" s="428">
        <f t="shared" si="176"/>
        <v>0</v>
      </c>
      <c r="AB311" s="103"/>
      <c r="AC311" s="103"/>
      <c r="AD311" s="103"/>
      <c r="AE311" s="428">
        <f t="shared" si="177"/>
        <v>0</v>
      </c>
      <c r="AF311" s="103"/>
      <c r="AG311" s="103"/>
      <c r="AH311" s="103"/>
      <c r="AI311" s="103"/>
      <c r="AJ311" s="428">
        <f t="shared" si="178"/>
        <v>0</v>
      </c>
      <c r="AK311" s="446"/>
      <c r="AL311" s="446"/>
      <c r="AM311" s="446">
        <v>1</v>
      </c>
      <c r="AN311" s="446">
        <v>1</v>
      </c>
      <c r="AO311" s="446"/>
      <c r="AP311" s="446"/>
      <c r="AQ311" s="446"/>
      <c r="AR311" s="431">
        <f t="shared" si="179"/>
        <v>2</v>
      </c>
      <c r="AS311" s="10" t="s">
        <v>1752</v>
      </c>
      <c r="AT311" s="128"/>
      <c r="AU311" s="100" t="s">
        <v>1862</v>
      </c>
      <c r="AV311" s="128" t="s">
        <v>1861</v>
      </c>
      <c r="AW311" s="100" t="s">
        <v>1864</v>
      </c>
      <c r="AX311" s="433">
        <f t="shared" si="180"/>
        <v>1</v>
      </c>
      <c r="AY311" s="433">
        <f t="shared" si="181"/>
        <v>0</v>
      </c>
      <c r="AZ311" s="433">
        <f t="shared" si="182"/>
        <v>0</v>
      </c>
      <c r="BA311" s="433">
        <f t="shared" si="172"/>
        <v>0</v>
      </c>
      <c r="BB311" s="433">
        <f t="shared" si="173"/>
        <v>3</v>
      </c>
      <c r="BC311" s="433">
        <f t="shared" si="174"/>
        <v>0</v>
      </c>
      <c r="BD311" s="433">
        <f t="shared" si="183"/>
        <v>0</v>
      </c>
      <c r="BE311" s="433">
        <f t="shared" si="184"/>
        <v>0</v>
      </c>
      <c r="BF311" s="433">
        <f t="shared" si="185"/>
        <v>0</v>
      </c>
      <c r="BG311" s="433">
        <f t="shared" si="186"/>
        <v>0</v>
      </c>
      <c r="BH311" s="433">
        <f t="shared" si="187"/>
        <v>0</v>
      </c>
      <c r="BI311" s="433">
        <f t="shared" si="188"/>
        <v>0</v>
      </c>
      <c r="BJ311" s="433">
        <f t="shared" si="189"/>
        <v>0</v>
      </c>
      <c r="BK311" s="433">
        <f t="shared" si="190"/>
        <v>0</v>
      </c>
      <c r="BL311" s="433">
        <f t="shared" si="191"/>
        <v>0</v>
      </c>
      <c r="BM311" s="433">
        <f t="shared" si="192"/>
        <v>0</v>
      </c>
      <c r="BN311" s="433">
        <f t="shared" si="193"/>
        <v>0</v>
      </c>
      <c r="BO311" s="433">
        <f t="shared" si="194"/>
        <v>0</v>
      </c>
      <c r="BP311" s="433">
        <f t="shared" si="195"/>
        <v>0</v>
      </c>
      <c r="BQ311" s="433">
        <f t="shared" si="196"/>
        <v>0</v>
      </c>
    </row>
    <row r="312" spans="1:69" x14ac:dyDescent="0.2">
      <c r="A312" s="102">
        <v>41822</v>
      </c>
      <c r="B312" s="319">
        <v>2</v>
      </c>
      <c r="C312" s="118" t="s">
        <v>1732</v>
      </c>
      <c r="D312" s="111">
        <v>0</v>
      </c>
      <c r="E312" s="111">
        <v>0.3888888888888889</v>
      </c>
      <c r="F312" s="444">
        <v>32</v>
      </c>
      <c r="G312" s="445">
        <v>10</v>
      </c>
      <c r="H312" s="444"/>
      <c r="I312" s="390"/>
      <c r="J312" s="426">
        <f t="shared" si="169"/>
        <v>560</v>
      </c>
      <c r="K312" s="103">
        <v>2</v>
      </c>
      <c r="L312" s="103"/>
      <c r="M312" s="103"/>
      <c r="N312" s="427">
        <f t="shared" si="170"/>
        <v>2</v>
      </c>
      <c r="O312" s="103"/>
      <c r="P312" s="103">
        <v>1</v>
      </c>
      <c r="Q312" s="103"/>
      <c r="R312" s="428">
        <f t="shared" si="171"/>
        <v>1</v>
      </c>
      <c r="S312" s="103"/>
      <c r="T312" s="103"/>
      <c r="U312" s="103"/>
      <c r="V312" s="125"/>
      <c r="W312" s="428">
        <f t="shared" si="175"/>
        <v>0</v>
      </c>
      <c r="X312" s="103"/>
      <c r="Y312" s="103"/>
      <c r="Z312" s="125"/>
      <c r="AA312" s="428">
        <f t="shared" si="176"/>
        <v>0</v>
      </c>
      <c r="AB312" s="103"/>
      <c r="AC312" s="103"/>
      <c r="AD312" s="103"/>
      <c r="AE312" s="428">
        <f t="shared" si="177"/>
        <v>0</v>
      </c>
      <c r="AF312" s="103"/>
      <c r="AG312" s="103"/>
      <c r="AH312" s="103"/>
      <c r="AI312" s="103"/>
      <c r="AJ312" s="428">
        <f t="shared" si="178"/>
        <v>0</v>
      </c>
      <c r="AK312" s="446"/>
      <c r="AL312" s="446"/>
      <c r="AM312" s="446">
        <v>1</v>
      </c>
      <c r="AN312" s="446"/>
      <c r="AO312" s="446"/>
      <c r="AP312" s="446"/>
      <c r="AQ312" s="446"/>
      <c r="AR312" s="431">
        <f t="shared" si="179"/>
        <v>1</v>
      </c>
      <c r="AT312" s="128"/>
      <c r="AU312" s="100" t="s">
        <v>1748</v>
      </c>
      <c r="AV312" s="128" t="s">
        <v>1861</v>
      </c>
      <c r="AW312" s="100" t="s">
        <v>1864</v>
      </c>
      <c r="AX312" s="433">
        <f t="shared" si="180"/>
        <v>2</v>
      </c>
      <c r="AY312" s="433">
        <f t="shared" si="181"/>
        <v>0</v>
      </c>
      <c r="AZ312" s="433">
        <f t="shared" si="182"/>
        <v>0</v>
      </c>
      <c r="BA312" s="433">
        <f t="shared" si="172"/>
        <v>0</v>
      </c>
      <c r="BB312" s="433">
        <f t="shared" si="173"/>
        <v>1</v>
      </c>
      <c r="BC312" s="433">
        <f t="shared" si="174"/>
        <v>0</v>
      </c>
      <c r="BD312" s="433">
        <f t="shared" si="183"/>
        <v>0</v>
      </c>
      <c r="BE312" s="433">
        <f t="shared" si="184"/>
        <v>0</v>
      </c>
      <c r="BF312" s="433">
        <f t="shared" si="185"/>
        <v>0</v>
      </c>
      <c r="BG312" s="433">
        <f t="shared" si="186"/>
        <v>0</v>
      </c>
      <c r="BH312" s="433">
        <f t="shared" si="187"/>
        <v>0</v>
      </c>
      <c r="BI312" s="433">
        <f t="shared" si="188"/>
        <v>0</v>
      </c>
      <c r="BJ312" s="433">
        <f t="shared" si="189"/>
        <v>0</v>
      </c>
      <c r="BK312" s="433">
        <f t="shared" si="190"/>
        <v>0</v>
      </c>
      <c r="BL312" s="433">
        <f t="shared" si="191"/>
        <v>0</v>
      </c>
      <c r="BM312" s="433">
        <f t="shared" si="192"/>
        <v>0</v>
      </c>
      <c r="BN312" s="433">
        <f t="shared" si="193"/>
        <v>0</v>
      </c>
      <c r="BO312" s="433">
        <f t="shared" si="194"/>
        <v>0</v>
      </c>
      <c r="BP312" s="433">
        <f t="shared" si="195"/>
        <v>0</v>
      </c>
      <c r="BQ312" s="433">
        <f t="shared" si="196"/>
        <v>0</v>
      </c>
    </row>
    <row r="313" spans="1:69" x14ac:dyDescent="0.2">
      <c r="A313" s="102">
        <v>41822</v>
      </c>
      <c r="B313" s="319">
        <v>2</v>
      </c>
      <c r="C313" s="118" t="s">
        <v>1730</v>
      </c>
      <c r="D313" s="111">
        <v>0.3888888888888889</v>
      </c>
      <c r="E313" s="111">
        <v>0.6020833333333333</v>
      </c>
      <c r="F313" s="444">
        <v>33</v>
      </c>
      <c r="G313" s="445">
        <v>10</v>
      </c>
      <c r="H313" s="444"/>
      <c r="I313" s="390"/>
      <c r="J313" s="426">
        <f>(E313-D313)*24*60</f>
        <v>306.99999999999994</v>
      </c>
      <c r="K313" s="103"/>
      <c r="L313" s="103"/>
      <c r="M313" s="103"/>
      <c r="N313" s="427">
        <f t="shared" si="170"/>
        <v>0</v>
      </c>
      <c r="O313" s="103"/>
      <c r="P313" s="103"/>
      <c r="Q313" s="103"/>
      <c r="R313" s="428">
        <f t="shared" si="171"/>
        <v>0</v>
      </c>
      <c r="S313" s="103"/>
      <c r="T313" s="103"/>
      <c r="U313" s="103"/>
      <c r="V313" s="125"/>
      <c r="W313" s="428">
        <f t="shared" si="175"/>
        <v>0</v>
      </c>
      <c r="X313" s="103"/>
      <c r="Y313" s="103"/>
      <c r="Z313" s="125"/>
      <c r="AA313" s="428">
        <f t="shared" si="176"/>
        <v>0</v>
      </c>
      <c r="AB313" s="103"/>
      <c r="AC313" s="103"/>
      <c r="AD313" s="103"/>
      <c r="AE313" s="428">
        <f t="shared" si="177"/>
        <v>0</v>
      </c>
      <c r="AF313" s="103"/>
      <c r="AG313" s="103"/>
      <c r="AH313" s="103"/>
      <c r="AI313" s="103"/>
      <c r="AJ313" s="428">
        <f t="shared" si="178"/>
        <v>0</v>
      </c>
      <c r="AK313" s="446">
        <v>1</v>
      </c>
      <c r="AL313" s="446"/>
      <c r="AM313" s="446"/>
      <c r="AN313" s="446"/>
      <c r="AO313" s="446"/>
      <c r="AP313" s="446"/>
      <c r="AQ313" s="446"/>
      <c r="AR313" s="431">
        <f t="shared" si="179"/>
        <v>1</v>
      </c>
      <c r="AS313" s="10" t="s">
        <v>1757</v>
      </c>
      <c r="AT313" s="128"/>
      <c r="AU313" s="100" t="s">
        <v>1739</v>
      </c>
      <c r="AV313" s="128" t="s">
        <v>1861</v>
      </c>
      <c r="AW313" s="100" t="s">
        <v>1864</v>
      </c>
      <c r="AX313" s="433">
        <f t="shared" si="180"/>
        <v>0</v>
      </c>
      <c r="AY313" s="433">
        <f t="shared" si="181"/>
        <v>0</v>
      </c>
      <c r="AZ313" s="433">
        <f t="shared" si="182"/>
        <v>0</v>
      </c>
      <c r="BA313" s="433">
        <f t="shared" si="172"/>
        <v>0</v>
      </c>
      <c r="BB313" s="433">
        <f t="shared" si="173"/>
        <v>0</v>
      </c>
      <c r="BC313" s="433">
        <f t="shared" si="174"/>
        <v>0</v>
      </c>
      <c r="BD313" s="433">
        <f t="shared" si="183"/>
        <v>0</v>
      </c>
      <c r="BE313" s="433">
        <f t="shared" si="184"/>
        <v>0</v>
      </c>
      <c r="BF313" s="433">
        <f t="shared" si="185"/>
        <v>0</v>
      </c>
      <c r="BG313" s="433">
        <f t="shared" si="186"/>
        <v>0</v>
      </c>
      <c r="BH313" s="433">
        <f t="shared" si="187"/>
        <v>0</v>
      </c>
      <c r="BI313" s="433">
        <f t="shared" si="188"/>
        <v>0</v>
      </c>
      <c r="BJ313" s="433">
        <f t="shared" si="189"/>
        <v>0</v>
      </c>
      <c r="BK313" s="433">
        <f t="shared" si="190"/>
        <v>0</v>
      </c>
      <c r="BL313" s="433">
        <f t="shared" si="191"/>
        <v>0</v>
      </c>
      <c r="BM313" s="433">
        <f t="shared" si="192"/>
        <v>0</v>
      </c>
      <c r="BN313" s="433">
        <f t="shared" si="193"/>
        <v>0</v>
      </c>
      <c r="BO313" s="433">
        <f t="shared" si="194"/>
        <v>0</v>
      </c>
      <c r="BP313" s="433">
        <f t="shared" si="195"/>
        <v>0</v>
      </c>
      <c r="BQ313" s="433">
        <f t="shared" si="196"/>
        <v>0</v>
      </c>
    </row>
    <row r="314" spans="1:69" x14ac:dyDescent="0.2">
      <c r="A314" s="102">
        <v>41822</v>
      </c>
      <c r="B314" s="319">
        <v>2</v>
      </c>
      <c r="C314" s="118" t="s">
        <v>1749</v>
      </c>
      <c r="D314" s="111">
        <v>0.6020833333333333</v>
      </c>
      <c r="E314" s="111">
        <v>0.78472222222222221</v>
      </c>
      <c r="F314" s="444">
        <v>31</v>
      </c>
      <c r="G314" s="445">
        <v>11</v>
      </c>
      <c r="H314" s="444"/>
      <c r="I314" s="390"/>
      <c r="J314" s="426">
        <f>(E314-D314)*24*60</f>
        <v>263</v>
      </c>
      <c r="K314" s="103">
        <v>1</v>
      </c>
      <c r="L314" s="103"/>
      <c r="M314" s="103"/>
      <c r="N314" s="427">
        <f t="shared" si="170"/>
        <v>1</v>
      </c>
      <c r="O314" s="103"/>
      <c r="P314" s="103">
        <v>1</v>
      </c>
      <c r="Q314" s="103"/>
      <c r="R314" s="428">
        <f t="shared" si="171"/>
        <v>1</v>
      </c>
      <c r="S314" s="103"/>
      <c r="T314" s="103"/>
      <c r="U314" s="103"/>
      <c r="V314" s="125"/>
      <c r="W314" s="428">
        <f t="shared" si="175"/>
        <v>0</v>
      </c>
      <c r="X314" s="103"/>
      <c r="Y314" s="103"/>
      <c r="Z314" s="125"/>
      <c r="AA314" s="428">
        <f t="shared" si="176"/>
        <v>0</v>
      </c>
      <c r="AB314" s="103"/>
      <c r="AC314" s="103"/>
      <c r="AD314" s="103"/>
      <c r="AE314" s="428">
        <f t="shared" si="177"/>
        <v>0</v>
      </c>
      <c r="AF314" s="103"/>
      <c r="AG314" s="103"/>
      <c r="AH314" s="103"/>
      <c r="AI314" s="103"/>
      <c r="AJ314" s="428">
        <f t="shared" si="178"/>
        <v>0</v>
      </c>
      <c r="AK314" s="446"/>
      <c r="AL314" s="446"/>
      <c r="AM314" s="446"/>
      <c r="AN314" s="446"/>
      <c r="AO314" s="446"/>
      <c r="AP314" s="446"/>
      <c r="AQ314" s="446"/>
      <c r="AR314" s="431">
        <f t="shared" si="179"/>
        <v>0</v>
      </c>
      <c r="AT314" s="128"/>
      <c r="AU314" s="100" t="s">
        <v>1754</v>
      </c>
      <c r="AV314" s="128" t="s">
        <v>1861</v>
      </c>
      <c r="AW314" s="100" t="s">
        <v>1864</v>
      </c>
      <c r="AX314" s="433">
        <f t="shared" si="180"/>
        <v>1</v>
      </c>
      <c r="AY314" s="433">
        <f t="shared" si="181"/>
        <v>0</v>
      </c>
      <c r="AZ314" s="433">
        <f t="shared" si="182"/>
        <v>0</v>
      </c>
      <c r="BA314" s="433">
        <f t="shared" si="172"/>
        <v>0</v>
      </c>
      <c r="BB314" s="433">
        <f t="shared" si="173"/>
        <v>1</v>
      </c>
      <c r="BC314" s="433">
        <f t="shared" si="174"/>
        <v>0</v>
      </c>
      <c r="BD314" s="433">
        <f t="shared" si="183"/>
        <v>0</v>
      </c>
      <c r="BE314" s="433">
        <f t="shared" si="184"/>
        <v>0</v>
      </c>
      <c r="BF314" s="433">
        <f t="shared" si="185"/>
        <v>0</v>
      </c>
      <c r="BG314" s="433">
        <f t="shared" si="186"/>
        <v>0</v>
      </c>
      <c r="BH314" s="433">
        <f t="shared" si="187"/>
        <v>0</v>
      </c>
      <c r="BI314" s="433">
        <f t="shared" si="188"/>
        <v>0</v>
      </c>
      <c r="BJ314" s="433">
        <f t="shared" si="189"/>
        <v>0</v>
      </c>
      <c r="BK314" s="433">
        <f t="shared" si="190"/>
        <v>0</v>
      </c>
      <c r="BL314" s="433">
        <f t="shared" si="191"/>
        <v>0</v>
      </c>
      <c r="BM314" s="433">
        <f t="shared" si="192"/>
        <v>0</v>
      </c>
      <c r="BN314" s="433">
        <f t="shared" si="193"/>
        <v>0</v>
      </c>
      <c r="BO314" s="433">
        <f t="shared" si="194"/>
        <v>0</v>
      </c>
      <c r="BP314" s="433">
        <f t="shared" si="195"/>
        <v>0</v>
      </c>
      <c r="BQ314" s="433">
        <f t="shared" si="196"/>
        <v>0</v>
      </c>
    </row>
    <row r="315" spans="1:69" x14ac:dyDescent="0.2">
      <c r="A315" s="102">
        <v>41822</v>
      </c>
      <c r="B315" s="319">
        <v>2</v>
      </c>
      <c r="C315" s="118" t="s">
        <v>1553</v>
      </c>
      <c r="D315" s="111">
        <v>0.78472222222222221</v>
      </c>
      <c r="E315" s="111">
        <v>0.96736111111111101</v>
      </c>
      <c r="F315" s="444">
        <v>29</v>
      </c>
      <c r="G315" s="445">
        <v>11</v>
      </c>
      <c r="H315" s="444"/>
      <c r="I315" s="390"/>
      <c r="J315" s="426">
        <f>(E315-D315)*24*60</f>
        <v>262.99999999999989</v>
      </c>
      <c r="K315" s="103"/>
      <c r="L315" s="103"/>
      <c r="M315" s="103"/>
      <c r="N315" s="427">
        <f t="shared" si="170"/>
        <v>0</v>
      </c>
      <c r="O315" s="103"/>
      <c r="P315" s="103"/>
      <c r="Q315" s="103"/>
      <c r="R315" s="428">
        <f t="shared" si="171"/>
        <v>0</v>
      </c>
      <c r="S315" s="103"/>
      <c r="T315" s="103"/>
      <c r="U315" s="103"/>
      <c r="V315" s="125"/>
      <c r="W315" s="428">
        <f t="shared" si="175"/>
        <v>0</v>
      </c>
      <c r="X315" s="103"/>
      <c r="Y315" s="103"/>
      <c r="Z315" s="125"/>
      <c r="AA315" s="428">
        <f t="shared" si="176"/>
        <v>0</v>
      </c>
      <c r="AB315" s="103"/>
      <c r="AC315" s="103"/>
      <c r="AD315" s="103"/>
      <c r="AE315" s="428">
        <f t="shared" si="177"/>
        <v>0</v>
      </c>
      <c r="AF315" s="103"/>
      <c r="AG315" s="103"/>
      <c r="AH315" s="103"/>
      <c r="AI315" s="103"/>
      <c r="AJ315" s="428">
        <f t="shared" si="178"/>
        <v>0</v>
      </c>
      <c r="AK315" s="446"/>
      <c r="AL315" s="446"/>
      <c r="AM315" s="446"/>
      <c r="AN315" s="446"/>
      <c r="AO315" s="446"/>
      <c r="AP315" s="446"/>
      <c r="AQ315" s="446"/>
      <c r="AR315" s="431">
        <f t="shared" si="179"/>
        <v>0</v>
      </c>
      <c r="AS315" s="10" t="s">
        <v>1755</v>
      </c>
      <c r="AT315" s="128"/>
      <c r="AU315" s="100" t="s">
        <v>1756</v>
      </c>
      <c r="AV315" s="128" t="s">
        <v>1861</v>
      </c>
      <c r="AW315" s="100" t="s">
        <v>1864</v>
      </c>
      <c r="AX315" s="433">
        <f t="shared" si="180"/>
        <v>0</v>
      </c>
      <c r="AY315" s="433">
        <f t="shared" si="181"/>
        <v>0</v>
      </c>
      <c r="AZ315" s="433">
        <f t="shared" si="182"/>
        <v>0</v>
      </c>
      <c r="BA315" s="433">
        <f t="shared" si="172"/>
        <v>0</v>
      </c>
      <c r="BB315" s="433">
        <f t="shared" si="173"/>
        <v>0</v>
      </c>
      <c r="BC315" s="433">
        <f t="shared" si="174"/>
        <v>0</v>
      </c>
      <c r="BD315" s="433">
        <f t="shared" si="183"/>
        <v>0</v>
      </c>
      <c r="BE315" s="433">
        <f t="shared" si="184"/>
        <v>0</v>
      </c>
      <c r="BF315" s="433">
        <f t="shared" si="185"/>
        <v>0</v>
      </c>
      <c r="BG315" s="433">
        <f t="shared" si="186"/>
        <v>0</v>
      </c>
      <c r="BH315" s="433">
        <f t="shared" si="187"/>
        <v>0</v>
      </c>
      <c r="BI315" s="433">
        <f t="shared" si="188"/>
        <v>0</v>
      </c>
      <c r="BJ315" s="433">
        <f t="shared" si="189"/>
        <v>0</v>
      </c>
      <c r="BK315" s="433">
        <f t="shared" si="190"/>
        <v>0</v>
      </c>
      <c r="BL315" s="433">
        <f t="shared" si="191"/>
        <v>0</v>
      </c>
      <c r="BM315" s="433">
        <f t="shared" si="192"/>
        <v>0</v>
      </c>
      <c r="BN315" s="433">
        <f t="shared" si="193"/>
        <v>0</v>
      </c>
      <c r="BO315" s="433">
        <f t="shared" si="194"/>
        <v>0</v>
      </c>
      <c r="BP315" s="433">
        <f t="shared" si="195"/>
        <v>0</v>
      </c>
      <c r="BQ315" s="433">
        <f t="shared" si="196"/>
        <v>0</v>
      </c>
    </row>
    <row r="316" spans="1:69" x14ac:dyDescent="0.2">
      <c r="A316" s="102">
        <v>41822</v>
      </c>
      <c r="B316" s="319">
        <v>3</v>
      </c>
      <c r="C316" s="118" t="s">
        <v>1758</v>
      </c>
      <c r="D316" s="111">
        <v>0</v>
      </c>
      <c r="E316" s="111">
        <v>0.4145833333333333</v>
      </c>
      <c r="F316" s="444">
        <v>42</v>
      </c>
      <c r="G316" s="445">
        <v>9</v>
      </c>
      <c r="H316" s="444"/>
      <c r="I316" s="390"/>
      <c r="J316" s="426">
        <f t="shared" si="169"/>
        <v>597</v>
      </c>
      <c r="K316" s="103">
        <v>7</v>
      </c>
      <c r="L316" s="103"/>
      <c r="M316" s="103"/>
      <c r="N316" s="427">
        <f t="shared" si="170"/>
        <v>7</v>
      </c>
      <c r="O316" s="103"/>
      <c r="P316" s="103">
        <v>3</v>
      </c>
      <c r="Q316" s="103"/>
      <c r="R316" s="428">
        <f t="shared" si="171"/>
        <v>3</v>
      </c>
      <c r="S316" s="103"/>
      <c r="T316" s="103"/>
      <c r="U316" s="103"/>
      <c r="V316" s="125"/>
      <c r="W316" s="428">
        <f t="shared" si="175"/>
        <v>0</v>
      </c>
      <c r="X316" s="103"/>
      <c r="Y316" s="103"/>
      <c r="Z316" s="125"/>
      <c r="AA316" s="428">
        <f t="shared" si="176"/>
        <v>0</v>
      </c>
      <c r="AB316" s="103"/>
      <c r="AC316" s="103"/>
      <c r="AD316" s="103"/>
      <c r="AE316" s="428">
        <f t="shared" si="177"/>
        <v>0</v>
      </c>
      <c r="AF316" s="103"/>
      <c r="AG316" s="103"/>
      <c r="AH316" s="103"/>
      <c r="AI316" s="103"/>
      <c r="AJ316" s="428">
        <f t="shared" si="178"/>
        <v>0</v>
      </c>
      <c r="AK316" s="446"/>
      <c r="AL316" s="446"/>
      <c r="AM316" s="446"/>
      <c r="AN316" s="446"/>
      <c r="AO316" s="446"/>
      <c r="AP316" s="446">
        <v>1</v>
      </c>
      <c r="AQ316" s="446"/>
      <c r="AR316" s="431">
        <f t="shared" si="179"/>
        <v>1</v>
      </c>
      <c r="AS316" s="10" t="s">
        <v>1863</v>
      </c>
      <c r="AT316" s="128"/>
      <c r="AU316" s="100" t="s">
        <v>1759</v>
      </c>
      <c r="AV316" s="128" t="s">
        <v>1861</v>
      </c>
      <c r="AW316" s="100" t="s">
        <v>1864</v>
      </c>
      <c r="AX316" s="433">
        <f t="shared" si="180"/>
        <v>7</v>
      </c>
      <c r="AY316" s="433">
        <f t="shared" si="181"/>
        <v>0</v>
      </c>
      <c r="AZ316" s="433">
        <f t="shared" si="182"/>
        <v>0</v>
      </c>
      <c r="BA316" s="433">
        <f t="shared" si="172"/>
        <v>0</v>
      </c>
      <c r="BB316" s="433">
        <f t="shared" si="173"/>
        <v>3</v>
      </c>
      <c r="BC316" s="433">
        <f t="shared" si="174"/>
        <v>0</v>
      </c>
      <c r="BD316" s="433">
        <f t="shared" si="183"/>
        <v>0</v>
      </c>
      <c r="BE316" s="433">
        <f t="shared" si="184"/>
        <v>0</v>
      </c>
      <c r="BF316" s="433">
        <f t="shared" si="185"/>
        <v>0</v>
      </c>
      <c r="BG316" s="433">
        <f t="shared" si="186"/>
        <v>0</v>
      </c>
      <c r="BH316" s="433">
        <f t="shared" si="187"/>
        <v>0</v>
      </c>
      <c r="BI316" s="433">
        <f t="shared" si="188"/>
        <v>0</v>
      </c>
      <c r="BJ316" s="433">
        <f t="shared" si="189"/>
        <v>0</v>
      </c>
      <c r="BK316" s="433">
        <f t="shared" si="190"/>
        <v>0</v>
      </c>
      <c r="BL316" s="433">
        <f t="shared" si="191"/>
        <v>0</v>
      </c>
      <c r="BM316" s="433">
        <f t="shared" si="192"/>
        <v>0</v>
      </c>
      <c r="BN316" s="433">
        <f t="shared" si="193"/>
        <v>0</v>
      </c>
      <c r="BO316" s="433">
        <f t="shared" si="194"/>
        <v>0</v>
      </c>
      <c r="BP316" s="433">
        <f t="shared" si="195"/>
        <v>0</v>
      </c>
      <c r="BQ316" s="433">
        <f t="shared" si="196"/>
        <v>0</v>
      </c>
    </row>
    <row r="317" spans="1:69" x14ac:dyDescent="0.2">
      <c r="A317" s="102">
        <v>41822</v>
      </c>
      <c r="B317" s="319">
        <v>3</v>
      </c>
      <c r="C317" s="118" t="s">
        <v>1563</v>
      </c>
      <c r="D317" s="111">
        <v>0.4145833333333333</v>
      </c>
      <c r="E317" s="111">
        <v>0.60069444444444442</v>
      </c>
      <c r="F317" s="444">
        <v>40</v>
      </c>
      <c r="G317" s="445">
        <v>9</v>
      </c>
      <c r="H317" s="444"/>
      <c r="I317" s="390"/>
      <c r="J317" s="426">
        <f>((E317-D317)*24*60)-9</f>
        <v>259</v>
      </c>
      <c r="K317" s="103">
        <v>4</v>
      </c>
      <c r="L317" s="103"/>
      <c r="M317" s="103"/>
      <c r="N317" s="427">
        <f t="shared" si="170"/>
        <v>4</v>
      </c>
      <c r="O317" s="103"/>
      <c r="P317" s="103"/>
      <c r="Q317" s="103"/>
      <c r="R317" s="428">
        <f t="shared" si="171"/>
        <v>0</v>
      </c>
      <c r="S317" s="103"/>
      <c r="T317" s="103"/>
      <c r="U317" s="103"/>
      <c r="V317" s="125"/>
      <c r="W317" s="428">
        <f t="shared" si="175"/>
        <v>0</v>
      </c>
      <c r="X317" s="103"/>
      <c r="Y317" s="103"/>
      <c r="Z317" s="125"/>
      <c r="AA317" s="428">
        <f t="shared" si="176"/>
        <v>0</v>
      </c>
      <c r="AB317" s="103"/>
      <c r="AC317" s="103"/>
      <c r="AD317" s="103"/>
      <c r="AE317" s="428">
        <f t="shared" si="177"/>
        <v>0</v>
      </c>
      <c r="AF317" s="103"/>
      <c r="AG317" s="103"/>
      <c r="AH317" s="103"/>
      <c r="AI317" s="103"/>
      <c r="AJ317" s="428">
        <f t="shared" si="178"/>
        <v>0</v>
      </c>
      <c r="AK317" s="446">
        <v>1</v>
      </c>
      <c r="AL317" s="446"/>
      <c r="AM317" s="446"/>
      <c r="AN317" s="446"/>
      <c r="AO317" s="446"/>
      <c r="AP317" s="446"/>
      <c r="AQ317" s="446"/>
      <c r="AR317" s="431">
        <f t="shared" si="179"/>
        <v>1</v>
      </c>
      <c r="AS317" s="10" t="s">
        <v>1760</v>
      </c>
      <c r="AT317" s="128"/>
      <c r="AU317" s="100" t="s">
        <v>1761</v>
      </c>
      <c r="AV317" s="128" t="s">
        <v>1861</v>
      </c>
      <c r="AW317" s="100" t="s">
        <v>1864</v>
      </c>
      <c r="AX317" s="433">
        <f t="shared" si="180"/>
        <v>4</v>
      </c>
      <c r="AY317" s="433">
        <f t="shared" si="181"/>
        <v>0</v>
      </c>
      <c r="AZ317" s="433">
        <f t="shared" si="182"/>
        <v>0</v>
      </c>
      <c r="BA317" s="433">
        <f t="shared" si="172"/>
        <v>0</v>
      </c>
      <c r="BB317" s="433">
        <f t="shared" si="173"/>
        <v>0</v>
      </c>
      <c r="BC317" s="433">
        <f t="shared" si="174"/>
        <v>0</v>
      </c>
      <c r="BD317" s="433">
        <f t="shared" si="183"/>
        <v>0</v>
      </c>
      <c r="BE317" s="433">
        <f t="shared" si="184"/>
        <v>0</v>
      </c>
      <c r="BF317" s="433">
        <f t="shared" si="185"/>
        <v>0</v>
      </c>
      <c r="BG317" s="433">
        <f t="shared" si="186"/>
        <v>0</v>
      </c>
      <c r="BH317" s="433">
        <f t="shared" si="187"/>
        <v>0</v>
      </c>
      <c r="BI317" s="433">
        <f t="shared" si="188"/>
        <v>0</v>
      </c>
      <c r="BJ317" s="433">
        <f t="shared" si="189"/>
        <v>0</v>
      </c>
      <c r="BK317" s="433">
        <f t="shared" si="190"/>
        <v>0</v>
      </c>
      <c r="BL317" s="433">
        <f t="shared" si="191"/>
        <v>0</v>
      </c>
      <c r="BM317" s="433">
        <f t="shared" si="192"/>
        <v>0</v>
      </c>
      <c r="BN317" s="433">
        <f t="shared" si="193"/>
        <v>0</v>
      </c>
      <c r="BO317" s="433">
        <f t="shared" si="194"/>
        <v>0</v>
      </c>
      <c r="BP317" s="433">
        <f t="shared" si="195"/>
        <v>0</v>
      </c>
      <c r="BQ317" s="433">
        <f t="shared" si="196"/>
        <v>0</v>
      </c>
    </row>
    <row r="318" spans="1:69" x14ac:dyDescent="0.2">
      <c r="A318" s="102">
        <v>41822</v>
      </c>
      <c r="B318" s="319">
        <v>3</v>
      </c>
      <c r="C318" s="118" t="s">
        <v>1762</v>
      </c>
      <c r="D318" s="111">
        <v>0.60069444444444442</v>
      </c>
      <c r="E318" s="111">
        <v>0.78819444444444453</v>
      </c>
      <c r="F318" s="444">
        <v>37</v>
      </c>
      <c r="G318" s="445">
        <v>10</v>
      </c>
      <c r="H318" s="444"/>
      <c r="I318" s="390"/>
      <c r="J318" s="426">
        <f>((E318-D318)*24*60)-22</f>
        <v>248.00000000000017</v>
      </c>
      <c r="K318" s="103">
        <v>4</v>
      </c>
      <c r="L318" s="103"/>
      <c r="M318" s="103">
        <v>1</v>
      </c>
      <c r="N318" s="427">
        <f t="shared" si="170"/>
        <v>5</v>
      </c>
      <c r="O318" s="103"/>
      <c r="P318" s="103">
        <v>1</v>
      </c>
      <c r="Q318" s="103"/>
      <c r="R318" s="428">
        <f t="shared" si="171"/>
        <v>1</v>
      </c>
      <c r="S318" s="103"/>
      <c r="T318" s="103"/>
      <c r="U318" s="103"/>
      <c r="V318" s="125"/>
      <c r="W318" s="428">
        <f t="shared" si="175"/>
        <v>0</v>
      </c>
      <c r="X318" s="103"/>
      <c r="Y318" s="103"/>
      <c r="Z318" s="125"/>
      <c r="AA318" s="428">
        <f t="shared" si="176"/>
        <v>0</v>
      </c>
      <c r="AB318" s="103"/>
      <c r="AC318" s="103"/>
      <c r="AD318" s="103"/>
      <c r="AE318" s="428">
        <f t="shared" si="177"/>
        <v>0</v>
      </c>
      <c r="AF318" s="103"/>
      <c r="AG318" s="103"/>
      <c r="AH318" s="103"/>
      <c r="AI318" s="103"/>
      <c r="AJ318" s="428">
        <f t="shared" si="178"/>
        <v>0</v>
      </c>
      <c r="AK318" s="446"/>
      <c r="AL318" s="446"/>
      <c r="AM318" s="446">
        <v>1</v>
      </c>
      <c r="AN318" s="446"/>
      <c r="AO318" s="446"/>
      <c r="AP318" s="446"/>
      <c r="AQ318" s="446"/>
      <c r="AR318" s="431">
        <f t="shared" si="179"/>
        <v>1</v>
      </c>
      <c r="AS318" s="10" t="s">
        <v>1763</v>
      </c>
      <c r="AT318" s="128"/>
      <c r="AU318" s="100" t="s">
        <v>1744</v>
      </c>
      <c r="AV318" s="128" t="s">
        <v>1861</v>
      </c>
      <c r="AW318" s="100" t="s">
        <v>1864</v>
      </c>
      <c r="AX318" s="433">
        <f t="shared" si="180"/>
        <v>4</v>
      </c>
      <c r="AY318" s="433">
        <f t="shared" si="181"/>
        <v>0</v>
      </c>
      <c r="AZ318" s="433">
        <f t="shared" si="182"/>
        <v>1</v>
      </c>
      <c r="BA318" s="433">
        <f t="shared" si="172"/>
        <v>0</v>
      </c>
      <c r="BB318" s="433">
        <f t="shared" si="173"/>
        <v>1</v>
      </c>
      <c r="BC318" s="433">
        <f t="shared" si="174"/>
        <v>0</v>
      </c>
      <c r="BD318" s="433">
        <f t="shared" si="183"/>
        <v>0</v>
      </c>
      <c r="BE318" s="433">
        <f t="shared" si="184"/>
        <v>0</v>
      </c>
      <c r="BF318" s="433">
        <f t="shared" si="185"/>
        <v>0</v>
      </c>
      <c r="BG318" s="433">
        <f t="shared" si="186"/>
        <v>0</v>
      </c>
      <c r="BH318" s="433">
        <f t="shared" si="187"/>
        <v>0</v>
      </c>
      <c r="BI318" s="433">
        <f t="shared" si="188"/>
        <v>0</v>
      </c>
      <c r="BJ318" s="433">
        <f t="shared" si="189"/>
        <v>0</v>
      </c>
      <c r="BK318" s="433">
        <f t="shared" si="190"/>
        <v>0</v>
      </c>
      <c r="BL318" s="433">
        <f t="shared" si="191"/>
        <v>0</v>
      </c>
      <c r="BM318" s="433">
        <f t="shared" si="192"/>
        <v>0</v>
      </c>
      <c r="BN318" s="433">
        <f t="shared" si="193"/>
        <v>0</v>
      </c>
      <c r="BO318" s="433">
        <f t="shared" si="194"/>
        <v>0</v>
      </c>
      <c r="BP318" s="433">
        <f t="shared" si="195"/>
        <v>0</v>
      </c>
      <c r="BQ318" s="433">
        <f t="shared" si="196"/>
        <v>0</v>
      </c>
    </row>
    <row r="319" spans="1:69" s="291" customFormat="1" x14ac:dyDescent="0.2">
      <c r="A319" s="317">
        <v>41822</v>
      </c>
      <c r="B319" s="318">
        <v>3</v>
      </c>
      <c r="C319" s="320" t="s">
        <v>1606</v>
      </c>
      <c r="D319" s="321">
        <v>0.78819444444444453</v>
      </c>
      <c r="E319" s="321">
        <v>0.97222222222222221</v>
      </c>
      <c r="F319" s="434"/>
      <c r="G319" s="435">
        <v>9</v>
      </c>
      <c r="H319" s="434"/>
      <c r="I319" s="436"/>
      <c r="J319" s="437">
        <f t="shared" si="169"/>
        <v>264.99999999999989</v>
      </c>
      <c r="K319" s="285">
        <v>1</v>
      </c>
      <c r="L319" s="285"/>
      <c r="M319" s="285">
        <v>3</v>
      </c>
      <c r="N319" s="438">
        <f t="shared" si="170"/>
        <v>4</v>
      </c>
      <c r="O319" s="285">
        <v>1</v>
      </c>
      <c r="P319" s="285"/>
      <c r="Q319" s="285"/>
      <c r="R319" s="439">
        <f t="shared" si="171"/>
        <v>1</v>
      </c>
      <c r="S319" s="285"/>
      <c r="T319" s="285"/>
      <c r="U319" s="285"/>
      <c r="V319" s="440"/>
      <c r="W319" s="439">
        <f t="shared" si="175"/>
        <v>0</v>
      </c>
      <c r="X319" s="285"/>
      <c r="Y319" s="285"/>
      <c r="Z319" s="440"/>
      <c r="AA319" s="439">
        <f t="shared" si="176"/>
        <v>0</v>
      </c>
      <c r="AB319" s="285"/>
      <c r="AC319" s="285"/>
      <c r="AD319" s="285"/>
      <c r="AE319" s="439">
        <f t="shared" si="177"/>
        <v>0</v>
      </c>
      <c r="AF319" s="285"/>
      <c r="AG319" s="285"/>
      <c r="AH319" s="285"/>
      <c r="AI319" s="285"/>
      <c r="AJ319" s="439">
        <f t="shared" si="178"/>
        <v>0</v>
      </c>
      <c r="AK319" s="340"/>
      <c r="AL319" s="340"/>
      <c r="AM319" s="340"/>
      <c r="AN319" s="340"/>
      <c r="AO319" s="340"/>
      <c r="AP319" s="340"/>
      <c r="AQ319" s="340"/>
      <c r="AR319" s="441">
        <f t="shared" si="179"/>
        <v>0</v>
      </c>
      <c r="AT319" s="313"/>
      <c r="AU319" s="289" t="s">
        <v>1744</v>
      </c>
      <c r="AV319" s="313" t="s">
        <v>1861</v>
      </c>
      <c r="AW319" s="289" t="s">
        <v>1864</v>
      </c>
      <c r="AX319" s="443">
        <f t="shared" si="180"/>
        <v>1</v>
      </c>
      <c r="AY319" s="443">
        <f t="shared" si="181"/>
        <v>0</v>
      </c>
      <c r="AZ319" s="443">
        <f t="shared" si="182"/>
        <v>3</v>
      </c>
      <c r="BA319" s="443">
        <f t="shared" si="172"/>
        <v>1</v>
      </c>
      <c r="BB319" s="443">
        <f t="shared" si="173"/>
        <v>0</v>
      </c>
      <c r="BC319" s="443">
        <f t="shared" si="174"/>
        <v>0</v>
      </c>
      <c r="BD319" s="443">
        <f t="shared" si="183"/>
        <v>0</v>
      </c>
      <c r="BE319" s="443">
        <f t="shared" si="184"/>
        <v>0</v>
      </c>
      <c r="BF319" s="443">
        <f t="shared" si="185"/>
        <v>0</v>
      </c>
      <c r="BG319" s="443">
        <f t="shared" si="186"/>
        <v>0</v>
      </c>
      <c r="BH319" s="443">
        <f t="shared" si="187"/>
        <v>0</v>
      </c>
      <c r="BI319" s="443">
        <f t="shared" si="188"/>
        <v>0</v>
      </c>
      <c r="BJ319" s="443">
        <f t="shared" si="189"/>
        <v>0</v>
      </c>
      <c r="BK319" s="443">
        <f t="shared" si="190"/>
        <v>0</v>
      </c>
      <c r="BL319" s="443">
        <f t="shared" si="191"/>
        <v>0</v>
      </c>
      <c r="BM319" s="443">
        <f t="shared" si="192"/>
        <v>0</v>
      </c>
      <c r="BN319" s="443">
        <f t="shared" si="193"/>
        <v>0</v>
      </c>
      <c r="BO319" s="443">
        <f t="shared" si="194"/>
        <v>0</v>
      </c>
      <c r="BP319" s="443">
        <f t="shared" si="195"/>
        <v>0</v>
      </c>
      <c r="BQ319" s="443">
        <f t="shared" si="196"/>
        <v>0</v>
      </c>
    </row>
    <row r="320" spans="1:69" x14ac:dyDescent="0.2">
      <c r="A320" s="102">
        <v>41823</v>
      </c>
      <c r="B320" s="319">
        <v>1</v>
      </c>
      <c r="C320" s="118" t="s">
        <v>1732</v>
      </c>
      <c r="D320" s="111">
        <v>0.22916666666666666</v>
      </c>
      <c r="E320" s="111">
        <v>0.3576388888888889</v>
      </c>
      <c r="F320" s="444">
        <v>34</v>
      </c>
      <c r="G320" s="445">
        <v>8</v>
      </c>
      <c r="H320" s="444"/>
      <c r="I320" s="390"/>
      <c r="J320" s="426">
        <f t="shared" si="169"/>
        <v>185.00000000000003</v>
      </c>
      <c r="K320" s="103">
        <v>1</v>
      </c>
      <c r="L320" s="103"/>
      <c r="M320" s="103"/>
      <c r="N320" s="427">
        <f t="shared" si="170"/>
        <v>1</v>
      </c>
      <c r="O320" s="103"/>
      <c r="P320" s="103"/>
      <c r="Q320" s="103"/>
      <c r="R320" s="428">
        <f t="shared" si="171"/>
        <v>0</v>
      </c>
      <c r="S320" s="103"/>
      <c r="T320" s="103"/>
      <c r="U320" s="103"/>
      <c r="V320" s="125"/>
      <c r="W320" s="428">
        <f t="shared" si="175"/>
        <v>0</v>
      </c>
      <c r="X320" s="103"/>
      <c r="Y320" s="103"/>
      <c r="Z320" s="125"/>
      <c r="AA320" s="428">
        <f t="shared" si="176"/>
        <v>0</v>
      </c>
      <c r="AB320" s="103"/>
      <c r="AC320" s="103"/>
      <c r="AD320" s="103"/>
      <c r="AE320" s="428">
        <f t="shared" si="177"/>
        <v>0</v>
      </c>
      <c r="AF320" s="103"/>
      <c r="AG320" s="103"/>
      <c r="AH320" s="103"/>
      <c r="AI320" s="103"/>
      <c r="AJ320" s="428">
        <f t="shared" si="178"/>
        <v>0</v>
      </c>
      <c r="AK320" s="446"/>
      <c r="AL320" s="446"/>
      <c r="AM320" s="446"/>
      <c r="AN320" s="446"/>
      <c r="AO320" s="446"/>
      <c r="AP320" s="446"/>
      <c r="AQ320" s="446"/>
      <c r="AR320" s="431">
        <f t="shared" si="179"/>
        <v>0</v>
      </c>
      <c r="AT320" s="128"/>
      <c r="AU320" s="100" t="s">
        <v>1850</v>
      </c>
      <c r="AV320" s="128" t="s">
        <v>1861</v>
      </c>
      <c r="AW320" s="100" t="s">
        <v>1867</v>
      </c>
      <c r="AX320" s="433">
        <f t="shared" si="180"/>
        <v>1</v>
      </c>
      <c r="AY320" s="433">
        <f t="shared" si="181"/>
        <v>0</v>
      </c>
      <c r="AZ320" s="433">
        <f t="shared" si="182"/>
        <v>0</v>
      </c>
      <c r="BA320" s="433">
        <f t="shared" si="172"/>
        <v>0</v>
      </c>
      <c r="BB320" s="433">
        <f t="shared" si="173"/>
        <v>0</v>
      </c>
      <c r="BC320" s="433">
        <f t="shared" si="174"/>
        <v>0</v>
      </c>
      <c r="BD320" s="433">
        <f t="shared" si="183"/>
        <v>0</v>
      </c>
      <c r="BE320" s="433">
        <f t="shared" si="184"/>
        <v>0</v>
      </c>
      <c r="BF320" s="433">
        <f t="shared" si="185"/>
        <v>0</v>
      </c>
      <c r="BG320" s="433">
        <f t="shared" si="186"/>
        <v>0</v>
      </c>
      <c r="BH320" s="433">
        <f t="shared" si="187"/>
        <v>0</v>
      </c>
      <c r="BI320" s="433">
        <f t="shared" si="188"/>
        <v>0</v>
      </c>
      <c r="BJ320" s="433">
        <f t="shared" si="189"/>
        <v>0</v>
      </c>
      <c r="BK320" s="433">
        <f t="shared" si="190"/>
        <v>0</v>
      </c>
      <c r="BL320" s="433">
        <f t="shared" si="191"/>
        <v>0</v>
      </c>
      <c r="BM320" s="433">
        <f t="shared" si="192"/>
        <v>0</v>
      </c>
      <c r="BN320" s="433">
        <f t="shared" si="193"/>
        <v>0</v>
      </c>
      <c r="BO320" s="433">
        <f t="shared" si="194"/>
        <v>0</v>
      </c>
      <c r="BP320" s="433">
        <f t="shared" si="195"/>
        <v>0</v>
      </c>
      <c r="BQ320" s="433">
        <f t="shared" si="196"/>
        <v>0</v>
      </c>
    </row>
    <row r="321" spans="1:69" x14ac:dyDescent="0.2">
      <c r="A321" s="102">
        <v>41823</v>
      </c>
      <c r="B321" s="319">
        <v>1</v>
      </c>
      <c r="C321" s="118" t="s">
        <v>1810</v>
      </c>
      <c r="D321" s="111">
        <v>0.3576388888888889</v>
      </c>
      <c r="E321" s="111">
        <v>0.60069444444444442</v>
      </c>
      <c r="F321" s="444">
        <v>33</v>
      </c>
      <c r="G321" s="445">
        <v>8</v>
      </c>
      <c r="H321" s="444"/>
      <c r="I321" s="390"/>
      <c r="J321" s="426">
        <f t="shared" si="169"/>
        <v>349.99999999999994</v>
      </c>
      <c r="K321" s="103"/>
      <c r="L321" s="103"/>
      <c r="M321" s="103"/>
      <c r="N321" s="427">
        <f t="shared" si="170"/>
        <v>0</v>
      </c>
      <c r="O321" s="103"/>
      <c r="P321" s="103">
        <v>3</v>
      </c>
      <c r="Q321" s="103"/>
      <c r="R321" s="428">
        <f t="shared" si="171"/>
        <v>3</v>
      </c>
      <c r="S321" s="103"/>
      <c r="T321" s="103"/>
      <c r="U321" s="103"/>
      <c r="V321" s="125"/>
      <c r="W321" s="428">
        <f t="shared" si="175"/>
        <v>0</v>
      </c>
      <c r="X321" s="103"/>
      <c r="Y321" s="103"/>
      <c r="Z321" s="125"/>
      <c r="AA321" s="428">
        <f t="shared" si="176"/>
        <v>0</v>
      </c>
      <c r="AB321" s="103"/>
      <c r="AC321" s="103"/>
      <c r="AD321" s="103"/>
      <c r="AE321" s="428">
        <f t="shared" si="177"/>
        <v>0</v>
      </c>
      <c r="AF321" s="103"/>
      <c r="AG321" s="103"/>
      <c r="AH321" s="103"/>
      <c r="AI321" s="103"/>
      <c r="AJ321" s="428">
        <f t="shared" si="178"/>
        <v>0</v>
      </c>
      <c r="AK321" s="446">
        <v>1</v>
      </c>
      <c r="AL321" s="446"/>
      <c r="AM321" s="446"/>
      <c r="AN321" s="446"/>
      <c r="AO321" s="446"/>
      <c r="AP321" s="446"/>
      <c r="AQ321" s="446"/>
      <c r="AR321" s="431">
        <f t="shared" si="179"/>
        <v>1</v>
      </c>
      <c r="AS321" s="10" t="s">
        <v>1866</v>
      </c>
      <c r="AT321" s="128"/>
      <c r="AU321" s="100" t="s">
        <v>1811</v>
      </c>
      <c r="AV321" s="128" t="s">
        <v>1861</v>
      </c>
      <c r="AW321" s="100" t="s">
        <v>1867</v>
      </c>
      <c r="AX321" s="433">
        <f t="shared" si="180"/>
        <v>0</v>
      </c>
      <c r="AY321" s="433">
        <f t="shared" si="181"/>
        <v>0</v>
      </c>
      <c r="AZ321" s="433">
        <f t="shared" si="182"/>
        <v>0</v>
      </c>
      <c r="BA321" s="433">
        <f t="shared" si="172"/>
        <v>0</v>
      </c>
      <c r="BB321" s="433">
        <f t="shared" si="173"/>
        <v>3</v>
      </c>
      <c r="BC321" s="433">
        <f t="shared" si="174"/>
        <v>0</v>
      </c>
      <c r="BD321" s="433">
        <f t="shared" si="183"/>
        <v>0</v>
      </c>
      <c r="BE321" s="433">
        <f t="shared" si="184"/>
        <v>0</v>
      </c>
      <c r="BF321" s="433">
        <f t="shared" si="185"/>
        <v>0</v>
      </c>
      <c r="BG321" s="433">
        <f t="shared" si="186"/>
        <v>0</v>
      </c>
      <c r="BH321" s="433">
        <f t="shared" si="187"/>
        <v>0</v>
      </c>
      <c r="BI321" s="433">
        <f t="shared" si="188"/>
        <v>0</v>
      </c>
      <c r="BJ321" s="433">
        <f t="shared" si="189"/>
        <v>0</v>
      </c>
      <c r="BK321" s="433">
        <f t="shared" si="190"/>
        <v>0</v>
      </c>
      <c r="BL321" s="433">
        <f t="shared" si="191"/>
        <v>0</v>
      </c>
      <c r="BM321" s="433">
        <f t="shared" si="192"/>
        <v>0</v>
      </c>
      <c r="BN321" s="433">
        <f t="shared" si="193"/>
        <v>0</v>
      </c>
      <c r="BO321" s="433">
        <f t="shared" si="194"/>
        <v>0</v>
      </c>
      <c r="BP321" s="433">
        <f t="shared" si="195"/>
        <v>0</v>
      </c>
      <c r="BQ321" s="433">
        <f t="shared" si="196"/>
        <v>0</v>
      </c>
    </row>
    <row r="322" spans="1:69" x14ac:dyDescent="0.2">
      <c r="A322" s="102">
        <v>41823</v>
      </c>
      <c r="B322" s="319">
        <v>1</v>
      </c>
      <c r="C322" s="118" t="s">
        <v>1812</v>
      </c>
      <c r="D322" s="111">
        <v>0.60069444444444442</v>
      </c>
      <c r="E322" s="111">
        <v>0.7104166666666667</v>
      </c>
      <c r="F322" s="444">
        <v>33</v>
      </c>
      <c r="G322" s="445">
        <v>8.5</v>
      </c>
      <c r="H322" s="444"/>
      <c r="I322" s="390"/>
      <c r="J322" s="426">
        <f t="shared" si="169"/>
        <v>158.00000000000009</v>
      </c>
      <c r="K322" s="103">
        <v>2</v>
      </c>
      <c r="L322" s="103"/>
      <c r="M322" s="103"/>
      <c r="N322" s="427">
        <f t="shared" si="170"/>
        <v>2</v>
      </c>
      <c r="O322" s="103"/>
      <c r="P322" s="103"/>
      <c r="Q322" s="103"/>
      <c r="R322" s="428">
        <f t="shared" si="171"/>
        <v>0</v>
      </c>
      <c r="S322" s="103"/>
      <c r="T322" s="103"/>
      <c r="U322" s="103"/>
      <c r="V322" s="125"/>
      <c r="W322" s="428">
        <f t="shared" si="175"/>
        <v>0</v>
      </c>
      <c r="X322" s="103"/>
      <c r="Y322" s="103"/>
      <c r="Z322" s="125"/>
      <c r="AA322" s="428">
        <f t="shared" si="176"/>
        <v>0</v>
      </c>
      <c r="AB322" s="103"/>
      <c r="AC322" s="103"/>
      <c r="AD322" s="103"/>
      <c r="AE322" s="428">
        <f t="shared" si="177"/>
        <v>0</v>
      </c>
      <c r="AF322" s="103"/>
      <c r="AG322" s="103"/>
      <c r="AH322" s="103"/>
      <c r="AI322" s="103"/>
      <c r="AJ322" s="428">
        <f t="shared" si="178"/>
        <v>0</v>
      </c>
      <c r="AK322" s="446"/>
      <c r="AL322" s="446"/>
      <c r="AM322" s="446"/>
      <c r="AN322" s="446"/>
      <c r="AO322" s="446"/>
      <c r="AP322" s="446"/>
      <c r="AQ322" s="446"/>
      <c r="AR322" s="431">
        <f t="shared" si="179"/>
        <v>0</v>
      </c>
      <c r="AS322" s="10" t="s">
        <v>1813</v>
      </c>
      <c r="AT322" s="128"/>
      <c r="AU322" s="100" t="s">
        <v>1814</v>
      </c>
      <c r="AV322" s="128" t="s">
        <v>1861</v>
      </c>
      <c r="AW322" s="100" t="s">
        <v>1867</v>
      </c>
      <c r="AX322" s="433">
        <f t="shared" si="180"/>
        <v>2</v>
      </c>
      <c r="AY322" s="433">
        <f t="shared" si="181"/>
        <v>0</v>
      </c>
      <c r="AZ322" s="433">
        <f t="shared" si="182"/>
        <v>0</v>
      </c>
      <c r="BA322" s="433">
        <f t="shared" si="172"/>
        <v>0</v>
      </c>
      <c r="BB322" s="433">
        <f t="shared" si="173"/>
        <v>0</v>
      </c>
      <c r="BC322" s="433">
        <f t="shared" si="174"/>
        <v>0</v>
      </c>
      <c r="BD322" s="433">
        <f t="shared" si="183"/>
        <v>0</v>
      </c>
      <c r="BE322" s="433">
        <f t="shared" si="184"/>
        <v>0</v>
      </c>
      <c r="BF322" s="433">
        <f t="shared" si="185"/>
        <v>0</v>
      </c>
      <c r="BG322" s="433">
        <f t="shared" si="186"/>
        <v>0</v>
      </c>
      <c r="BH322" s="433">
        <f t="shared" si="187"/>
        <v>0</v>
      </c>
      <c r="BI322" s="433">
        <f t="shared" si="188"/>
        <v>0</v>
      </c>
      <c r="BJ322" s="433">
        <f t="shared" si="189"/>
        <v>0</v>
      </c>
      <c r="BK322" s="433">
        <f t="shared" si="190"/>
        <v>0</v>
      </c>
      <c r="BL322" s="433">
        <f t="shared" si="191"/>
        <v>0</v>
      </c>
      <c r="BM322" s="433">
        <f t="shared" si="192"/>
        <v>0</v>
      </c>
      <c r="BN322" s="433">
        <f t="shared" si="193"/>
        <v>0</v>
      </c>
      <c r="BO322" s="433">
        <f t="shared" si="194"/>
        <v>0</v>
      </c>
      <c r="BP322" s="433">
        <f t="shared" si="195"/>
        <v>0</v>
      </c>
      <c r="BQ322" s="433">
        <f t="shared" si="196"/>
        <v>0</v>
      </c>
    </row>
    <row r="323" spans="1:69" x14ac:dyDescent="0.2">
      <c r="A323" s="102">
        <v>41823</v>
      </c>
      <c r="B323" s="319">
        <v>1</v>
      </c>
      <c r="C323" s="118" t="s">
        <v>1815</v>
      </c>
      <c r="D323" s="111">
        <v>0.73055555555555562</v>
      </c>
      <c r="E323" s="111">
        <v>0.75</v>
      </c>
      <c r="F323" s="444">
        <v>37</v>
      </c>
      <c r="G323" s="445">
        <v>8.5</v>
      </c>
      <c r="H323" s="444"/>
      <c r="I323" s="390"/>
      <c r="J323" s="426">
        <f t="shared" ref="J323:J386" si="197">(E323-D323)*24*60</f>
        <v>27.999999999999901</v>
      </c>
      <c r="K323" s="103"/>
      <c r="L323" s="103"/>
      <c r="M323" s="103"/>
      <c r="N323" s="427">
        <f t="shared" ref="N323:N386" si="198">SUM(K323:M323)</f>
        <v>0</v>
      </c>
      <c r="O323" s="103"/>
      <c r="P323" s="103"/>
      <c r="Q323" s="103"/>
      <c r="R323" s="428">
        <f t="shared" ref="R323:R386" si="199">SUM(O323:Q323)</f>
        <v>0</v>
      </c>
      <c r="S323" s="103"/>
      <c r="T323" s="103"/>
      <c r="U323" s="103"/>
      <c r="V323" s="125"/>
      <c r="W323" s="428">
        <f t="shared" si="175"/>
        <v>0</v>
      </c>
      <c r="X323" s="103"/>
      <c r="Y323" s="103"/>
      <c r="Z323" s="125"/>
      <c r="AA323" s="428">
        <f t="shared" si="176"/>
        <v>0</v>
      </c>
      <c r="AB323" s="103"/>
      <c r="AC323" s="103"/>
      <c r="AD323" s="103"/>
      <c r="AE323" s="428">
        <f t="shared" si="177"/>
        <v>0</v>
      </c>
      <c r="AF323" s="103"/>
      <c r="AG323" s="103"/>
      <c r="AH323" s="103"/>
      <c r="AI323" s="103"/>
      <c r="AJ323" s="428">
        <f t="shared" si="178"/>
        <v>0</v>
      </c>
      <c r="AK323" s="446"/>
      <c r="AL323" s="446"/>
      <c r="AM323" s="446"/>
      <c r="AN323" s="446"/>
      <c r="AO323" s="446"/>
      <c r="AP323" s="446"/>
      <c r="AQ323" s="446"/>
      <c r="AR323" s="431">
        <f t="shared" si="179"/>
        <v>0</v>
      </c>
      <c r="AT323" s="128"/>
      <c r="AU323" s="100" t="s">
        <v>1814</v>
      </c>
      <c r="AV323" s="128" t="s">
        <v>1861</v>
      </c>
      <c r="AW323" s="100" t="s">
        <v>1867</v>
      </c>
      <c r="AX323" s="433">
        <f t="shared" si="180"/>
        <v>0</v>
      </c>
      <c r="AY323" s="433">
        <f t="shared" si="181"/>
        <v>0</v>
      </c>
      <c r="AZ323" s="433">
        <f t="shared" si="182"/>
        <v>0</v>
      </c>
      <c r="BA323" s="433">
        <f t="shared" ref="BA323:BA386" si="200">O323</f>
        <v>0</v>
      </c>
      <c r="BB323" s="433">
        <f t="shared" ref="BB323:BB386" si="201">P323</f>
        <v>0</v>
      </c>
      <c r="BC323" s="433">
        <f t="shared" ref="BC323:BC386" si="202">Q323</f>
        <v>0</v>
      </c>
      <c r="BD323" s="433">
        <f t="shared" si="183"/>
        <v>0</v>
      </c>
      <c r="BE323" s="433">
        <f t="shared" si="184"/>
        <v>0</v>
      </c>
      <c r="BF323" s="433">
        <f t="shared" si="185"/>
        <v>0</v>
      </c>
      <c r="BG323" s="433">
        <f t="shared" si="186"/>
        <v>0</v>
      </c>
      <c r="BH323" s="433">
        <f t="shared" si="187"/>
        <v>0</v>
      </c>
      <c r="BI323" s="433">
        <f t="shared" si="188"/>
        <v>0</v>
      </c>
      <c r="BJ323" s="433">
        <f t="shared" si="189"/>
        <v>0</v>
      </c>
      <c r="BK323" s="433">
        <f t="shared" si="190"/>
        <v>0</v>
      </c>
      <c r="BL323" s="433">
        <f t="shared" si="191"/>
        <v>0</v>
      </c>
      <c r="BM323" s="433">
        <f t="shared" si="192"/>
        <v>0</v>
      </c>
      <c r="BN323" s="433">
        <f t="shared" si="193"/>
        <v>0</v>
      </c>
      <c r="BO323" s="433">
        <f t="shared" si="194"/>
        <v>0</v>
      </c>
      <c r="BP323" s="433">
        <f t="shared" si="195"/>
        <v>0</v>
      </c>
      <c r="BQ323" s="433">
        <f t="shared" si="196"/>
        <v>0</v>
      </c>
    </row>
    <row r="324" spans="1:69" x14ac:dyDescent="0.2">
      <c r="A324" s="102">
        <v>41823</v>
      </c>
      <c r="B324" s="319">
        <v>1</v>
      </c>
      <c r="C324" s="118" t="s">
        <v>1816</v>
      </c>
      <c r="D324" s="111">
        <v>0.75</v>
      </c>
      <c r="E324" s="111">
        <v>1</v>
      </c>
      <c r="F324" s="444">
        <v>36</v>
      </c>
      <c r="G324" s="445">
        <v>9</v>
      </c>
      <c r="H324" s="444"/>
      <c r="I324" s="390"/>
      <c r="J324" s="426">
        <f t="shared" si="197"/>
        <v>360</v>
      </c>
      <c r="K324" s="103"/>
      <c r="L324" s="103"/>
      <c r="M324" s="103"/>
      <c r="N324" s="427">
        <f t="shared" si="198"/>
        <v>0</v>
      </c>
      <c r="O324" s="103"/>
      <c r="P324" s="103">
        <v>1</v>
      </c>
      <c r="Q324" s="103"/>
      <c r="R324" s="428">
        <f t="shared" si="199"/>
        <v>1</v>
      </c>
      <c r="S324" s="103">
        <v>1</v>
      </c>
      <c r="T324" s="103"/>
      <c r="U324" s="103"/>
      <c r="V324" s="125"/>
      <c r="W324" s="428">
        <f t="shared" ref="W324:W387" si="203">SUM(S324:V324)</f>
        <v>1</v>
      </c>
      <c r="X324" s="103"/>
      <c r="Y324" s="103"/>
      <c r="Z324" s="125"/>
      <c r="AA324" s="428">
        <f t="shared" ref="AA324:AA387" si="204">SUM(X324:Z324)</f>
        <v>0</v>
      </c>
      <c r="AB324" s="103"/>
      <c r="AC324" s="103"/>
      <c r="AD324" s="103"/>
      <c r="AE324" s="428">
        <f t="shared" ref="AE324:AE387" si="205">SUM(AB324:AD324)</f>
        <v>0</v>
      </c>
      <c r="AF324" s="103"/>
      <c r="AG324" s="103"/>
      <c r="AH324" s="103"/>
      <c r="AI324" s="103"/>
      <c r="AJ324" s="428">
        <f t="shared" ref="AJ324:AJ387" si="206">SUM(AF324:AI324)</f>
        <v>0</v>
      </c>
      <c r="AK324" s="446"/>
      <c r="AL324" s="446"/>
      <c r="AM324" s="446"/>
      <c r="AN324" s="446"/>
      <c r="AO324" s="446"/>
      <c r="AP324" s="446"/>
      <c r="AQ324" s="446"/>
      <c r="AR324" s="431">
        <f t="shared" ref="AR324:AR387" si="207">SUM(AK324:AQ324)</f>
        <v>0</v>
      </c>
      <c r="AS324" s="10" t="s">
        <v>1818</v>
      </c>
      <c r="AT324" s="128"/>
      <c r="AU324" s="100" t="s">
        <v>1817</v>
      </c>
      <c r="AV324" s="128" t="s">
        <v>1861</v>
      </c>
      <c r="AW324" s="100" t="s">
        <v>1867</v>
      </c>
      <c r="AX324" s="433">
        <f t="shared" ref="AX324:AX387" si="208">K324</f>
        <v>0</v>
      </c>
      <c r="AY324" s="433">
        <f t="shared" ref="AY324:AY387" si="209">L324</f>
        <v>0</v>
      </c>
      <c r="AZ324" s="433">
        <f t="shared" ref="AZ324:AZ387" si="210">M324</f>
        <v>0</v>
      </c>
      <c r="BA324" s="433">
        <f t="shared" si="200"/>
        <v>0</v>
      </c>
      <c r="BB324" s="433">
        <f t="shared" si="201"/>
        <v>1</v>
      </c>
      <c r="BC324" s="433">
        <f t="shared" si="202"/>
        <v>0</v>
      </c>
      <c r="BD324" s="433">
        <f t="shared" ref="BD324:BD387" si="211">S324</f>
        <v>1</v>
      </c>
      <c r="BE324" s="433">
        <f t="shared" ref="BE324:BE387" si="212">T324</f>
        <v>0</v>
      </c>
      <c r="BF324" s="433">
        <f t="shared" ref="BF324:BF387" si="213">U324</f>
        <v>0</v>
      </c>
      <c r="BG324" s="433">
        <f t="shared" ref="BG324:BG387" si="214">V324</f>
        <v>0</v>
      </c>
      <c r="BH324" s="433">
        <f t="shared" ref="BH324:BH387" si="215">X324</f>
        <v>0</v>
      </c>
      <c r="BI324" s="433">
        <f t="shared" ref="BI324:BI387" si="216">Y324</f>
        <v>0</v>
      </c>
      <c r="BJ324" s="433">
        <f t="shared" ref="BJ324:BJ387" si="217">Z324</f>
        <v>0</v>
      </c>
      <c r="BK324" s="433">
        <f t="shared" ref="BK324:BK387" si="218">AB324</f>
        <v>0</v>
      </c>
      <c r="BL324" s="433">
        <f t="shared" ref="BL324:BL387" si="219">AC324</f>
        <v>0</v>
      </c>
      <c r="BM324" s="433">
        <f t="shared" ref="BM324:BM387" si="220">AD324</f>
        <v>0</v>
      </c>
      <c r="BN324" s="433">
        <f t="shared" ref="BN324:BN387" si="221">AF324</f>
        <v>0</v>
      </c>
      <c r="BO324" s="433">
        <f t="shared" ref="BO324:BO387" si="222">AG324</f>
        <v>0</v>
      </c>
      <c r="BP324" s="433">
        <f t="shared" ref="BP324:BP387" si="223">AH324</f>
        <v>0</v>
      </c>
      <c r="BQ324" s="433">
        <f t="shared" ref="BQ324:BQ387" si="224">AI324</f>
        <v>0</v>
      </c>
    </row>
    <row r="325" spans="1:69" x14ac:dyDescent="0.2">
      <c r="A325" s="102">
        <v>41823</v>
      </c>
      <c r="B325" s="319">
        <v>2</v>
      </c>
      <c r="C325" s="118" t="s">
        <v>1732</v>
      </c>
      <c r="D325" s="111">
        <v>0.25347222222222221</v>
      </c>
      <c r="E325" s="111">
        <v>0.33333333333333331</v>
      </c>
      <c r="F325" s="444">
        <v>29</v>
      </c>
      <c r="G325" s="445">
        <v>10</v>
      </c>
      <c r="H325" s="444"/>
      <c r="I325" s="390"/>
      <c r="J325" s="426">
        <f t="shared" si="197"/>
        <v>114.99999999999999</v>
      </c>
      <c r="K325" s="103"/>
      <c r="L325" s="103"/>
      <c r="M325" s="103"/>
      <c r="N325" s="427">
        <f t="shared" si="198"/>
        <v>0</v>
      </c>
      <c r="O325" s="103"/>
      <c r="P325" s="103"/>
      <c r="Q325" s="103"/>
      <c r="R325" s="428">
        <f t="shared" si="199"/>
        <v>0</v>
      </c>
      <c r="S325" s="103"/>
      <c r="T325" s="103"/>
      <c r="U325" s="103"/>
      <c r="V325" s="125"/>
      <c r="W325" s="428">
        <f t="shared" si="203"/>
        <v>0</v>
      </c>
      <c r="X325" s="103"/>
      <c r="Y325" s="103"/>
      <c r="Z325" s="125"/>
      <c r="AA325" s="428">
        <f t="shared" si="204"/>
        <v>0</v>
      </c>
      <c r="AB325" s="103"/>
      <c r="AC325" s="103"/>
      <c r="AD325" s="103"/>
      <c r="AE325" s="428">
        <f t="shared" si="205"/>
        <v>0</v>
      </c>
      <c r="AF325" s="103"/>
      <c r="AG325" s="103"/>
      <c r="AH325" s="103"/>
      <c r="AI325" s="103"/>
      <c r="AJ325" s="428">
        <f t="shared" si="206"/>
        <v>0</v>
      </c>
      <c r="AK325" s="446"/>
      <c r="AL325" s="446"/>
      <c r="AM325" s="446"/>
      <c r="AN325" s="446"/>
      <c r="AO325" s="446"/>
      <c r="AP325" s="446"/>
      <c r="AQ325" s="446"/>
      <c r="AR325" s="431">
        <f t="shared" si="207"/>
        <v>0</v>
      </c>
      <c r="AS325" s="10" t="s">
        <v>1755</v>
      </c>
      <c r="AT325" s="128"/>
      <c r="AU325" s="100" t="s">
        <v>1819</v>
      </c>
      <c r="AV325" s="128" t="s">
        <v>1861</v>
      </c>
      <c r="AW325" s="100" t="s">
        <v>1867</v>
      </c>
      <c r="AX325" s="433">
        <f t="shared" si="208"/>
        <v>0</v>
      </c>
      <c r="AY325" s="433">
        <f t="shared" si="209"/>
        <v>0</v>
      </c>
      <c r="AZ325" s="433">
        <f t="shared" si="210"/>
        <v>0</v>
      </c>
      <c r="BA325" s="433">
        <f t="shared" si="200"/>
        <v>0</v>
      </c>
      <c r="BB325" s="433">
        <f t="shared" si="201"/>
        <v>0</v>
      </c>
      <c r="BC325" s="433">
        <f t="shared" si="202"/>
        <v>0</v>
      </c>
      <c r="BD325" s="433">
        <f t="shared" si="211"/>
        <v>0</v>
      </c>
      <c r="BE325" s="433">
        <f t="shared" si="212"/>
        <v>0</v>
      </c>
      <c r="BF325" s="433">
        <f t="shared" si="213"/>
        <v>0</v>
      </c>
      <c r="BG325" s="433">
        <f t="shared" si="214"/>
        <v>0</v>
      </c>
      <c r="BH325" s="433">
        <f t="shared" si="215"/>
        <v>0</v>
      </c>
      <c r="BI325" s="433">
        <f t="shared" si="216"/>
        <v>0</v>
      </c>
      <c r="BJ325" s="433">
        <f t="shared" si="217"/>
        <v>0</v>
      </c>
      <c r="BK325" s="433">
        <f t="shared" si="218"/>
        <v>0</v>
      </c>
      <c r="BL325" s="433">
        <f t="shared" si="219"/>
        <v>0</v>
      </c>
      <c r="BM325" s="433">
        <f t="shared" si="220"/>
        <v>0</v>
      </c>
      <c r="BN325" s="433">
        <f t="shared" si="221"/>
        <v>0</v>
      </c>
      <c r="BO325" s="433">
        <f t="shared" si="222"/>
        <v>0</v>
      </c>
      <c r="BP325" s="433">
        <f t="shared" si="223"/>
        <v>0</v>
      </c>
      <c r="BQ325" s="433">
        <f t="shared" si="224"/>
        <v>0</v>
      </c>
    </row>
    <row r="326" spans="1:69" x14ac:dyDescent="0.2">
      <c r="A326" s="102">
        <v>41823</v>
      </c>
      <c r="B326" s="319">
        <v>2</v>
      </c>
      <c r="C326" s="118" t="s">
        <v>1810</v>
      </c>
      <c r="D326" s="111">
        <v>0.33333333333333331</v>
      </c>
      <c r="E326" s="111">
        <v>0.59444444444444444</v>
      </c>
      <c r="F326" s="444">
        <v>28</v>
      </c>
      <c r="G326" s="445">
        <v>11</v>
      </c>
      <c r="H326" s="444"/>
      <c r="I326" s="390"/>
      <c r="J326" s="426">
        <f t="shared" si="197"/>
        <v>376.00000000000006</v>
      </c>
      <c r="K326" s="103">
        <v>1</v>
      </c>
      <c r="L326" s="103"/>
      <c r="M326" s="103"/>
      <c r="N326" s="427">
        <f t="shared" si="198"/>
        <v>1</v>
      </c>
      <c r="O326" s="103"/>
      <c r="P326" s="103">
        <v>2</v>
      </c>
      <c r="Q326" s="103"/>
      <c r="R326" s="428">
        <f t="shared" si="199"/>
        <v>2</v>
      </c>
      <c r="S326" s="103"/>
      <c r="T326" s="103"/>
      <c r="U326" s="103"/>
      <c r="V326" s="125"/>
      <c r="W326" s="428">
        <f t="shared" si="203"/>
        <v>0</v>
      </c>
      <c r="X326" s="103"/>
      <c r="Y326" s="103"/>
      <c r="Z326" s="125"/>
      <c r="AA326" s="428">
        <f t="shared" si="204"/>
        <v>0</v>
      </c>
      <c r="AB326" s="103"/>
      <c r="AC326" s="103"/>
      <c r="AD326" s="103"/>
      <c r="AE326" s="428">
        <f t="shared" si="205"/>
        <v>0</v>
      </c>
      <c r="AF326" s="103"/>
      <c r="AG326" s="103"/>
      <c r="AH326" s="103"/>
      <c r="AI326" s="103"/>
      <c r="AJ326" s="428">
        <f t="shared" si="206"/>
        <v>0</v>
      </c>
      <c r="AK326" s="446"/>
      <c r="AL326" s="446"/>
      <c r="AM326" s="446"/>
      <c r="AN326" s="446">
        <v>1</v>
      </c>
      <c r="AO326" s="446"/>
      <c r="AP326" s="446"/>
      <c r="AQ326" s="446"/>
      <c r="AR326" s="431">
        <f t="shared" si="207"/>
        <v>1</v>
      </c>
      <c r="AT326" s="128"/>
      <c r="AU326" s="100" t="s">
        <v>1811</v>
      </c>
      <c r="AV326" s="128" t="s">
        <v>1861</v>
      </c>
      <c r="AW326" s="100" t="s">
        <v>1867</v>
      </c>
      <c r="AX326" s="433">
        <f t="shared" si="208"/>
        <v>1</v>
      </c>
      <c r="AY326" s="433">
        <f t="shared" si="209"/>
        <v>0</v>
      </c>
      <c r="AZ326" s="433">
        <f t="shared" si="210"/>
        <v>0</v>
      </c>
      <c r="BA326" s="433">
        <f t="shared" si="200"/>
        <v>0</v>
      </c>
      <c r="BB326" s="433">
        <f t="shared" si="201"/>
        <v>2</v>
      </c>
      <c r="BC326" s="433">
        <f t="shared" si="202"/>
        <v>0</v>
      </c>
      <c r="BD326" s="433">
        <f t="shared" si="211"/>
        <v>0</v>
      </c>
      <c r="BE326" s="433">
        <f t="shared" si="212"/>
        <v>0</v>
      </c>
      <c r="BF326" s="433">
        <f t="shared" si="213"/>
        <v>0</v>
      </c>
      <c r="BG326" s="433">
        <f t="shared" si="214"/>
        <v>0</v>
      </c>
      <c r="BH326" s="433">
        <f t="shared" si="215"/>
        <v>0</v>
      </c>
      <c r="BI326" s="433">
        <f t="shared" si="216"/>
        <v>0</v>
      </c>
      <c r="BJ326" s="433">
        <f t="shared" si="217"/>
        <v>0</v>
      </c>
      <c r="BK326" s="433">
        <f t="shared" si="218"/>
        <v>0</v>
      </c>
      <c r="BL326" s="433">
        <f t="shared" si="219"/>
        <v>0</v>
      </c>
      <c r="BM326" s="433">
        <f t="shared" si="220"/>
        <v>0</v>
      </c>
      <c r="BN326" s="433">
        <f t="shared" si="221"/>
        <v>0</v>
      </c>
      <c r="BO326" s="433">
        <f t="shared" si="222"/>
        <v>0</v>
      </c>
      <c r="BP326" s="433">
        <f t="shared" si="223"/>
        <v>0</v>
      </c>
      <c r="BQ326" s="433">
        <f t="shared" si="224"/>
        <v>0</v>
      </c>
    </row>
    <row r="327" spans="1:69" x14ac:dyDescent="0.2">
      <c r="A327" s="102">
        <v>41823</v>
      </c>
      <c r="B327" s="319">
        <v>2</v>
      </c>
      <c r="C327" s="118" t="s">
        <v>1554</v>
      </c>
      <c r="D327" s="111">
        <v>0.59444444444444444</v>
      </c>
      <c r="E327" s="111">
        <v>0.77430555555555547</v>
      </c>
      <c r="F327" s="444">
        <v>30</v>
      </c>
      <c r="G327" s="445">
        <v>11</v>
      </c>
      <c r="H327" s="444"/>
      <c r="I327" s="390"/>
      <c r="J327" s="426">
        <f t="shared" si="197"/>
        <v>258.99999999999989</v>
      </c>
      <c r="K327" s="103"/>
      <c r="L327" s="103"/>
      <c r="M327" s="103"/>
      <c r="N327" s="427">
        <f t="shared" si="198"/>
        <v>0</v>
      </c>
      <c r="O327" s="103"/>
      <c r="P327" s="103"/>
      <c r="Q327" s="103"/>
      <c r="R327" s="428">
        <f t="shared" si="199"/>
        <v>0</v>
      </c>
      <c r="S327" s="103"/>
      <c r="T327" s="103"/>
      <c r="U327" s="103"/>
      <c r="V327" s="125"/>
      <c r="W327" s="428">
        <f t="shared" si="203"/>
        <v>0</v>
      </c>
      <c r="X327" s="103"/>
      <c r="Y327" s="103"/>
      <c r="Z327" s="125"/>
      <c r="AA327" s="428">
        <f t="shared" si="204"/>
        <v>0</v>
      </c>
      <c r="AB327" s="103"/>
      <c r="AC327" s="103"/>
      <c r="AD327" s="103"/>
      <c r="AE327" s="428">
        <f t="shared" si="205"/>
        <v>0</v>
      </c>
      <c r="AF327" s="103"/>
      <c r="AG327" s="103"/>
      <c r="AH327" s="103"/>
      <c r="AI327" s="103"/>
      <c r="AJ327" s="428">
        <f t="shared" si="206"/>
        <v>0</v>
      </c>
      <c r="AK327" s="446"/>
      <c r="AL327" s="446"/>
      <c r="AM327" s="446"/>
      <c r="AN327" s="446"/>
      <c r="AO327" s="446"/>
      <c r="AP327" s="446"/>
      <c r="AQ327" s="446"/>
      <c r="AR327" s="431">
        <f t="shared" si="207"/>
        <v>0</v>
      </c>
      <c r="AS327" s="10" t="s">
        <v>1820</v>
      </c>
      <c r="AT327" s="128"/>
      <c r="AU327" s="100" t="s">
        <v>1814</v>
      </c>
      <c r="AV327" s="128" t="s">
        <v>1861</v>
      </c>
      <c r="AW327" s="100" t="s">
        <v>1867</v>
      </c>
      <c r="AX327" s="433">
        <f t="shared" si="208"/>
        <v>0</v>
      </c>
      <c r="AY327" s="433">
        <f t="shared" si="209"/>
        <v>0</v>
      </c>
      <c r="AZ327" s="433">
        <f t="shared" si="210"/>
        <v>0</v>
      </c>
      <c r="BA327" s="433">
        <f t="shared" si="200"/>
        <v>0</v>
      </c>
      <c r="BB327" s="433">
        <f t="shared" si="201"/>
        <v>0</v>
      </c>
      <c r="BC327" s="433">
        <f t="shared" si="202"/>
        <v>0</v>
      </c>
      <c r="BD327" s="433">
        <f t="shared" si="211"/>
        <v>0</v>
      </c>
      <c r="BE327" s="433">
        <f t="shared" si="212"/>
        <v>0</v>
      </c>
      <c r="BF327" s="433">
        <f t="shared" si="213"/>
        <v>0</v>
      </c>
      <c r="BG327" s="433">
        <f t="shared" si="214"/>
        <v>0</v>
      </c>
      <c r="BH327" s="433">
        <f t="shared" si="215"/>
        <v>0</v>
      </c>
      <c r="BI327" s="433">
        <f t="shared" si="216"/>
        <v>0</v>
      </c>
      <c r="BJ327" s="433">
        <f t="shared" si="217"/>
        <v>0</v>
      </c>
      <c r="BK327" s="433">
        <f t="shared" si="218"/>
        <v>0</v>
      </c>
      <c r="BL327" s="433">
        <f t="shared" si="219"/>
        <v>0</v>
      </c>
      <c r="BM327" s="433">
        <f t="shared" si="220"/>
        <v>0</v>
      </c>
      <c r="BN327" s="433">
        <f t="shared" si="221"/>
        <v>0</v>
      </c>
      <c r="BO327" s="433">
        <f t="shared" si="222"/>
        <v>0</v>
      </c>
      <c r="BP327" s="433">
        <f t="shared" si="223"/>
        <v>0</v>
      </c>
      <c r="BQ327" s="433">
        <f t="shared" si="224"/>
        <v>0</v>
      </c>
    </row>
    <row r="328" spans="1:69" x14ac:dyDescent="0.2">
      <c r="A328" s="102">
        <v>41823</v>
      </c>
      <c r="B328" s="319">
        <v>2</v>
      </c>
      <c r="C328" s="118" t="s">
        <v>486</v>
      </c>
      <c r="D328" s="111">
        <v>0.77430555555555547</v>
      </c>
      <c r="E328" s="111">
        <v>0.99305555555555547</v>
      </c>
      <c r="F328" s="444">
        <v>30</v>
      </c>
      <c r="G328" s="445">
        <v>11</v>
      </c>
      <c r="H328" s="444"/>
      <c r="I328" s="390"/>
      <c r="J328" s="426">
        <f t="shared" si="197"/>
        <v>315</v>
      </c>
      <c r="K328" s="103">
        <v>1</v>
      </c>
      <c r="L328" s="103"/>
      <c r="M328" s="103"/>
      <c r="N328" s="427">
        <f t="shared" si="198"/>
        <v>1</v>
      </c>
      <c r="O328" s="103"/>
      <c r="P328" s="103"/>
      <c r="Q328" s="103"/>
      <c r="R328" s="428">
        <f t="shared" si="199"/>
        <v>0</v>
      </c>
      <c r="S328" s="103"/>
      <c r="T328" s="103"/>
      <c r="U328" s="103"/>
      <c r="V328" s="125"/>
      <c r="W328" s="428">
        <f t="shared" si="203"/>
        <v>0</v>
      </c>
      <c r="X328" s="103"/>
      <c r="Y328" s="103"/>
      <c r="Z328" s="125"/>
      <c r="AA328" s="428">
        <f t="shared" si="204"/>
        <v>0</v>
      </c>
      <c r="AB328" s="103"/>
      <c r="AC328" s="103"/>
      <c r="AD328" s="103"/>
      <c r="AE328" s="428">
        <f t="shared" si="205"/>
        <v>0</v>
      </c>
      <c r="AF328" s="103"/>
      <c r="AG328" s="103"/>
      <c r="AH328" s="103"/>
      <c r="AI328" s="103"/>
      <c r="AJ328" s="428">
        <f t="shared" si="206"/>
        <v>0</v>
      </c>
      <c r="AK328" s="446"/>
      <c r="AL328" s="446"/>
      <c r="AM328" s="446"/>
      <c r="AN328" s="446"/>
      <c r="AO328" s="446"/>
      <c r="AP328" s="446"/>
      <c r="AQ328" s="446"/>
      <c r="AR328" s="431">
        <f t="shared" si="207"/>
        <v>0</v>
      </c>
      <c r="AS328" s="10" t="s">
        <v>1821</v>
      </c>
      <c r="AT328" s="128"/>
      <c r="AU328" s="100" t="s">
        <v>1817</v>
      </c>
      <c r="AV328" s="128" t="s">
        <v>1861</v>
      </c>
      <c r="AW328" s="100" t="s">
        <v>1867</v>
      </c>
      <c r="AX328" s="433">
        <f t="shared" si="208"/>
        <v>1</v>
      </c>
      <c r="AY328" s="433">
        <f t="shared" si="209"/>
        <v>0</v>
      </c>
      <c r="AZ328" s="433">
        <f t="shared" si="210"/>
        <v>0</v>
      </c>
      <c r="BA328" s="433">
        <f t="shared" si="200"/>
        <v>0</v>
      </c>
      <c r="BB328" s="433">
        <f t="shared" si="201"/>
        <v>0</v>
      </c>
      <c r="BC328" s="433">
        <f t="shared" si="202"/>
        <v>0</v>
      </c>
      <c r="BD328" s="433">
        <f t="shared" si="211"/>
        <v>0</v>
      </c>
      <c r="BE328" s="433">
        <f t="shared" si="212"/>
        <v>0</v>
      </c>
      <c r="BF328" s="433">
        <f t="shared" si="213"/>
        <v>0</v>
      </c>
      <c r="BG328" s="433">
        <f t="shared" si="214"/>
        <v>0</v>
      </c>
      <c r="BH328" s="433">
        <f t="shared" si="215"/>
        <v>0</v>
      </c>
      <c r="BI328" s="433">
        <f t="shared" si="216"/>
        <v>0</v>
      </c>
      <c r="BJ328" s="433">
        <f t="shared" si="217"/>
        <v>0</v>
      </c>
      <c r="BK328" s="433">
        <f t="shared" si="218"/>
        <v>0</v>
      </c>
      <c r="BL328" s="433">
        <f t="shared" si="219"/>
        <v>0</v>
      </c>
      <c r="BM328" s="433">
        <f t="shared" si="220"/>
        <v>0</v>
      </c>
      <c r="BN328" s="433">
        <f t="shared" si="221"/>
        <v>0</v>
      </c>
      <c r="BO328" s="433">
        <f t="shared" si="222"/>
        <v>0</v>
      </c>
      <c r="BP328" s="433">
        <f t="shared" si="223"/>
        <v>0</v>
      </c>
      <c r="BQ328" s="433">
        <f t="shared" si="224"/>
        <v>0</v>
      </c>
    </row>
    <row r="329" spans="1:69" x14ac:dyDescent="0.2">
      <c r="A329" s="102">
        <v>41823</v>
      </c>
      <c r="B329" s="319">
        <v>3</v>
      </c>
      <c r="C329" s="118" t="s">
        <v>1822</v>
      </c>
      <c r="D329" s="111">
        <v>0.23958333333333334</v>
      </c>
      <c r="E329" s="111">
        <v>0.36805555555555558</v>
      </c>
      <c r="F329" s="444">
        <v>35</v>
      </c>
      <c r="G329" s="445">
        <v>10</v>
      </c>
      <c r="H329" s="444"/>
      <c r="I329" s="390"/>
      <c r="J329" s="426">
        <f t="shared" si="197"/>
        <v>185.00000000000003</v>
      </c>
      <c r="K329" s="103">
        <v>2</v>
      </c>
      <c r="L329" s="103">
        <v>1</v>
      </c>
      <c r="M329" s="103"/>
      <c r="N329" s="427">
        <f t="shared" si="198"/>
        <v>3</v>
      </c>
      <c r="O329" s="103"/>
      <c r="P329" s="103"/>
      <c r="Q329" s="103"/>
      <c r="R329" s="428">
        <f t="shared" si="199"/>
        <v>0</v>
      </c>
      <c r="S329" s="103"/>
      <c r="T329" s="103"/>
      <c r="U329" s="103"/>
      <c r="V329" s="125"/>
      <c r="W329" s="428">
        <f t="shared" si="203"/>
        <v>0</v>
      </c>
      <c r="X329" s="103"/>
      <c r="Y329" s="103"/>
      <c r="Z329" s="125"/>
      <c r="AA329" s="428">
        <f t="shared" si="204"/>
        <v>0</v>
      </c>
      <c r="AB329" s="103"/>
      <c r="AC329" s="103"/>
      <c r="AD329" s="103"/>
      <c r="AE329" s="428">
        <f t="shared" si="205"/>
        <v>0</v>
      </c>
      <c r="AF329" s="103"/>
      <c r="AG329" s="103"/>
      <c r="AH329" s="103"/>
      <c r="AI329" s="103"/>
      <c r="AJ329" s="428">
        <f t="shared" si="206"/>
        <v>0</v>
      </c>
      <c r="AK329" s="446"/>
      <c r="AL329" s="446"/>
      <c r="AM329" s="446"/>
      <c r="AN329" s="446"/>
      <c r="AO329" s="446"/>
      <c r="AP329" s="446"/>
      <c r="AQ329" s="446"/>
      <c r="AR329" s="431">
        <f t="shared" si="207"/>
        <v>0</v>
      </c>
      <c r="AS329" s="10" t="s">
        <v>1868</v>
      </c>
      <c r="AT329" s="128"/>
      <c r="AU329" s="100" t="s">
        <v>1844</v>
      </c>
      <c r="AV329" s="128" t="s">
        <v>1861</v>
      </c>
      <c r="AW329" s="100" t="s">
        <v>1867</v>
      </c>
      <c r="AX329" s="433">
        <f t="shared" si="208"/>
        <v>2</v>
      </c>
      <c r="AY329" s="433">
        <f t="shared" si="209"/>
        <v>1</v>
      </c>
      <c r="AZ329" s="433">
        <f t="shared" si="210"/>
        <v>0</v>
      </c>
      <c r="BA329" s="433">
        <f t="shared" si="200"/>
        <v>0</v>
      </c>
      <c r="BB329" s="433">
        <f t="shared" si="201"/>
        <v>0</v>
      </c>
      <c r="BC329" s="433">
        <f t="shared" si="202"/>
        <v>0</v>
      </c>
      <c r="BD329" s="433">
        <f t="shared" si="211"/>
        <v>0</v>
      </c>
      <c r="BE329" s="433">
        <f t="shared" si="212"/>
        <v>0</v>
      </c>
      <c r="BF329" s="433">
        <f t="shared" si="213"/>
        <v>0</v>
      </c>
      <c r="BG329" s="433">
        <f t="shared" si="214"/>
        <v>0</v>
      </c>
      <c r="BH329" s="433">
        <f t="shared" si="215"/>
        <v>0</v>
      </c>
      <c r="BI329" s="433">
        <f t="shared" si="216"/>
        <v>0</v>
      </c>
      <c r="BJ329" s="433">
        <f t="shared" si="217"/>
        <v>0</v>
      </c>
      <c r="BK329" s="433">
        <f t="shared" si="218"/>
        <v>0</v>
      </c>
      <c r="BL329" s="433">
        <f t="shared" si="219"/>
        <v>0</v>
      </c>
      <c r="BM329" s="433">
        <f t="shared" si="220"/>
        <v>0</v>
      </c>
      <c r="BN329" s="433">
        <f t="shared" si="221"/>
        <v>0</v>
      </c>
      <c r="BO329" s="433">
        <f t="shared" si="222"/>
        <v>0</v>
      </c>
      <c r="BP329" s="433">
        <f t="shared" si="223"/>
        <v>0</v>
      </c>
      <c r="BQ329" s="433">
        <f t="shared" si="224"/>
        <v>0</v>
      </c>
    </row>
    <row r="330" spans="1:69" x14ac:dyDescent="0.2">
      <c r="A330" s="102">
        <v>41823</v>
      </c>
      <c r="B330" s="319">
        <v>3</v>
      </c>
      <c r="C330" s="118" t="s">
        <v>736</v>
      </c>
      <c r="D330" s="111">
        <v>0.52500000000000002</v>
      </c>
      <c r="E330" s="111">
        <v>0.60069444444444442</v>
      </c>
      <c r="F330" s="444">
        <v>31</v>
      </c>
      <c r="G330" s="445">
        <v>11</v>
      </c>
      <c r="H330" s="444"/>
      <c r="I330" s="390"/>
      <c r="J330" s="426">
        <f>((E330-D330)*24*60)-10</f>
        <v>98.999999999999929</v>
      </c>
      <c r="K330" s="103">
        <v>2</v>
      </c>
      <c r="L330" s="103"/>
      <c r="M330" s="103"/>
      <c r="N330" s="427">
        <f t="shared" si="198"/>
        <v>2</v>
      </c>
      <c r="O330" s="103"/>
      <c r="P330" s="103"/>
      <c r="Q330" s="103"/>
      <c r="R330" s="428">
        <f t="shared" si="199"/>
        <v>0</v>
      </c>
      <c r="S330" s="103"/>
      <c r="T330" s="103"/>
      <c r="U330" s="103"/>
      <c r="V330" s="125"/>
      <c r="W330" s="428">
        <f t="shared" si="203"/>
        <v>0</v>
      </c>
      <c r="X330" s="103"/>
      <c r="Y330" s="103"/>
      <c r="Z330" s="125"/>
      <c r="AA330" s="428">
        <f t="shared" si="204"/>
        <v>0</v>
      </c>
      <c r="AB330" s="103"/>
      <c r="AC330" s="103"/>
      <c r="AD330" s="103"/>
      <c r="AE330" s="428">
        <f t="shared" si="205"/>
        <v>0</v>
      </c>
      <c r="AF330" s="103"/>
      <c r="AG330" s="103"/>
      <c r="AH330" s="103"/>
      <c r="AI330" s="103"/>
      <c r="AJ330" s="428">
        <f t="shared" si="206"/>
        <v>0</v>
      </c>
      <c r="AK330" s="446"/>
      <c r="AL330" s="446"/>
      <c r="AM330" s="446"/>
      <c r="AN330" s="446"/>
      <c r="AO330" s="446"/>
      <c r="AP330" s="446"/>
      <c r="AQ330" s="446"/>
      <c r="AR330" s="431">
        <f t="shared" si="207"/>
        <v>0</v>
      </c>
      <c r="AS330" s="10" t="s">
        <v>1823</v>
      </c>
      <c r="AT330" s="128" t="s">
        <v>1824</v>
      </c>
      <c r="AU330" s="100" t="s">
        <v>1825</v>
      </c>
      <c r="AV330" s="128" t="s">
        <v>1861</v>
      </c>
      <c r="AW330" s="100" t="s">
        <v>1867</v>
      </c>
      <c r="AX330" s="433">
        <f t="shared" si="208"/>
        <v>2</v>
      </c>
      <c r="AY330" s="433">
        <f t="shared" si="209"/>
        <v>0</v>
      </c>
      <c r="AZ330" s="433">
        <f t="shared" si="210"/>
        <v>0</v>
      </c>
      <c r="BA330" s="433">
        <f t="shared" si="200"/>
        <v>0</v>
      </c>
      <c r="BB330" s="433">
        <f t="shared" si="201"/>
        <v>0</v>
      </c>
      <c r="BC330" s="433">
        <f t="shared" si="202"/>
        <v>0</v>
      </c>
      <c r="BD330" s="433">
        <f t="shared" si="211"/>
        <v>0</v>
      </c>
      <c r="BE330" s="433">
        <f t="shared" si="212"/>
        <v>0</v>
      </c>
      <c r="BF330" s="433">
        <f t="shared" si="213"/>
        <v>0</v>
      </c>
      <c r="BG330" s="433">
        <f t="shared" si="214"/>
        <v>0</v>
      </c>
      <c r="BH330" s="433">
        <f t="shared" si="215"/>
        <v>0</v>
      </c>
      <c r="BI330" s="433">
        <f t="shared" si="216"/>
        <v>0</v>
      </c>
      <c r="BJ330" s="433">
        <f t="shared" si="217"/>
        <v>0</v>
      </c>
      <c r="BK330" s="433">
        <f t="shared" si="218"/>
        <v>0</v>
      </c>
      <c r="BL330" s="433">
        <f t="shared" si="219"/>
        <v>0</v>
      </c>
      <c r="BM330" s="433">
        <f t="shared" si="220"/>
        <v>0</v>
      </c>
      <c r="BN330" s="433">
        <f t="shared" si="221"/>
        <v>0</v>
      </c>
      <c r="BO330" s="433">
        <f t="shared" si="222"/>
        <v>0</v>
      </c>
      <c r="BP330" s="433">
        <f t="shared" si="223"/>
        <v>0</v>
      </c>
      <c r="BQ330" s="433">
        <f t="shared" si="224"/>
        <v>0</v>
      </c>
    </row>
    <row r="331" spans="1:69" x14ac:dyDescent="0.2">
      <c r="A331" s="102">
        <v>41823</v>
      </c>
      <c r="B331" s="319">
        <v>3</v>
      </c>
      <c r="C331" s="118" t="s">
        <v>1826</v>
      </c>
      <c r="D331" s="111">
        <v>0.60069444444444442</v>
      </c>
      <c r="E331" s="111">
        <v>0.77777777777777779</v>
      </c>
      <c r="F331" s="444">
        <v>30</v>
      </c>
      <c r="G331" s="445">
        <v>10.5</v>
      </c>
      <c r="H331" s="444"/>
      <c r="I331" s="390"/>
      <c r="J331" s="426">
        <f t="shared" si="197"/>
        <v>255.00000000000006</v>
      </c>
      <c r="K331" s="103">
        <v>2</v>
      </c>
      <c r="L331" s="103"/>
      <c r="M331" s="103"/>
      <c r="N331" s="427">
        <f t="shared" si="198"/>
        <v>2</v>
      </c>
      <c r="O331" s="103"/>
      <c r="P331" s="103"/>
      <c r="Q331" s="103"/>
      <c r="R331" s="428">
        <f t="shared" si="199"/>
        <v>0</v>
      </c>
      <c r="S331" s="103"/>
      <c r="T331" s="103"/>
      <c r="U331" s="103"/>
      <c r="V331" s="125"/>
      <c r="W331" s="428">
        <f t="shared" si="203"/>
        <v>0</v>
      </c>
      <c r="X331" s="103"/>
      <c r="Y331" s="103"/>
      <c r="Z331" s="125"/>
      <c r="AA331" s="428">
        <f t="shared" si="204"/>
        <v>0</v>
      </c>
      <c r="AB331" s="103"/>
      <c r="AC331" s="103"/>
      <c r="AD331" s="103"/>
      <c r="AE331" s="428">
        <f t="shared" si="205"/>
        <v>0</v>
      </c>
      <c r="AF331" s="103"/>
      <c r="AG331" s="103"/>
      <c r="AH331" s="103"/>
      <c r="AI331" s="103"/>
      <c r="AJ331" s="428">
        <f t="shared" si="206"/>
        <v>0</v>
      </c>
      <c r="AK331" s="446"/>
      <c r="AL331" s="446"/>
      <c r="AM331" s="446"/>
      <c r="AN331" s="446"/>
      <c r="AO331" s="446"/>
      <c r="AP331" s="446"/>
      <c r="AQ331" s="446"/>
      <c r="AR331" s="431">
        <f t="shared" si="207"/>
        <v>0</v>
      </c>
      <c r="AT331" s="128"/>
      <c r="AU331" s="100" t="s">
        <v>1850</v>
      </c>
      <c r="AV331" s="128" t="s">
        <v>1861</v>
      </c>
      <c r="AW331" s="100" t="s">
        <v>1867</v>
      </c>
      <c r="AX331" s="433">
        <f t="shared" si="208"/>
        <v>2</v>
      </c>
      <c r="AY331" s="433">
        <f t="shared" si="209"/>
        <v>0</v>
      </c>
      <c r="AZ331" s="433">
        <f t="shared" si="210"/>
        <v>0</v>
      </c>
      <c r="BA331" s="433">
        <f t="shared" si="200"/>
        <v>0</v>
      </c>
      <c r="BB331" s="433">
        <f t="shared" si="201"/>
        <v>0</v>
      </c>
      <c r="BC331" s="433">
        <f t="shared" si="202"/>
        <v>0</v>
      </c>
      <c r="BD331" s="433">
        <f t="shared" si="211"/>
        <v>0</v>
      </c>
      <c r="BE331" s="433">
        <f t="shared" si="212"/>
        <v>0</v>
      </c>
      <c r="BF331" s="433">
        <f t="shared" si="213"/>
        <v>0</v>
      </c>
      <c r="BG331" s="433">
        <f t="shared" si="214"/>
        <v>0</v>
      </c>
      <c r="BH331" s="433">
        <f t="shared" si="215"/>
        <v>0</v>
      </c>
      <c r="BI331" s="433">
        <f t="shared" si="216"/>
        <v>0</v>
      </c>
      <c r="BJ331" s="433">
        <f t="shared" si="217"/>
        <v>0</v>
      </c>
      <c r="BK331" s="433">
        <f t="shared" si="218"/>
        <v>0</v>
      </c>
      <c r="BL331" s="433">
        <f t="shared" si="219"/>
        <v>0</v>
      </c>
      <c r="BM331" s="433">
        <f t="shared" si="220"/>
        <v>0</v>
      </c>
      <c r="BN331" s="433">
        <f t="shared" si="221"/>
        <v>0</v>
      </c>
      <c r="BO331" s="433">
        <f t="shared" si="222"/>
        <v>0</v>
      </c>
      <c r="BP331" s="433">
        <f t="shared" si="223"/>
        <v>0</v>
      </c>
      <c r="BQ331" s="433">
        <f t="shared" si="224"/>
        <v>0</v>
      </c>
    </row>
    <row r="332" spans="1:69" s="291" customFormat="1" x14ac:dyDescent="0.2">
      <c r="A332" s="317">
        <v>41823</v>
      </c>
      <c r="B332" s="318">
        <v>3</v>
      </c>
      <c r="C332" s="320" t="s">
        <v>1563</v>
      </c>
      <c r="D332" s="321">
        <v>0.77777777777777779</v>
      </c>
      <c r="E332" s="321">
        <v>1</v>
      </c>
      <c r="F332" s="434">
        <v>32</v>
      </c>
      <c r="G332" s="435">
        <v>10</v>
      </c>
      <c r="H332" s="434"/>
      <c r="I332" s="436"/>
      <c r="J332" s="437">
        <f>((E332-D332)*24*60)-60</f>
        <v>260</v>
      </c>
      <c r="K332" s="285">
        <v>3</v>
      </c>
      <c r="L332" s="285"/>
      <c r="M332" s="285"/>
      <c r="N332" s="438">
        <f t="shared" si="198"/>
        <v>3</v>
      </c>
      <c r="O332" s="285"/>
      <c r="P332" s="285">
        <v>1</v>
      </c>
      <c r="Q332" s="285"/>
      <c r="R332" s="439">
        <f t="shared" si="199"/>
        <v>1</v>
      </c>
      <c r="S332" s="285"/>
      <c r="T332" s="285"/>
      <c r="U332" s="285"/>
      <c r="V332" s="440"/>
      <c r="W332" s="439">
        <f t="shared" si="203"/>
        <v>0</v>
      </c>
      <c r="X332" s="285"/>
      <c r="Y332" s="285"/>
      <c r="Z332" s="440"/>
      <c r="AA332" s="439">
        <f t="shared" si="204"/>
        <v>0</v>
      </c>
      <c r="AB332" s="285"/>
      <c r="AC332" s="285"/>
      <c r="AD332" s="285"/>
      <c r="AE332" s="439">
        <f t="shared" si="205"/>
        <v>0</v>
      </c>
      <c r="AF332" s="285"/>
      <c r="AG332" s="285"/>
      <c r="AH332" s="285"/>
      <c r="AI332" s="285"/>
      <c r="AJ332" s="439">
        <f t="shared" si="206"/>
        <v>0</v>
      </c>
      <c r="AK332" s="340"/>
      <c r="AL332" s="340"/>
      <c r="AM332" s="340"/>
      <c r="AN332" s="340"/>
      <c r="AO332" s="340"/>
      <c r="AP332" s="340"/>
      <c r="AQ332" s="340"/>
      <c r="AR332" s="441">
        <f t="shared" si="207"/>
        <v>0</v>
      </c>
      <c r="AS332" s="291" t="s">
        <v>2485</v>
      </c>
      <c r="AT332" s="313"/>
      <c r="AU332" s="289" t="s">
        <v>1827</v>
      </c>
      <c r="AV332" s="313" t="s">
        <v>1861</v>
      </c>
      <c r="AW332" s="289" t="s">
        <v>1867</v>
      </c>
      <c r="AX332" s="443">
        <f t="shared" si="208"/>
        <v>3</v>
      </c>
      <c r="AY332" s="443">
        <f t="shared" si="209"/>
        <v>0</v>
      </c>
      <c r="AZ332" s="443">
        <f t="shared" si="210"/>
        <v>0</v>
      </c>
      <c r="BA332" s="443">
        <f t="shared" si="200"/>
        <v>0</v>
      </c>
      <c r="BB332" s="443">
        <f t="shared" si="201"/>
        <v>1</v>
      </c>
      <c r="BC332" s="443">
        <f t="shared" si="202"/>
        <v>0</v>
      </c>
      <c r="BD332" s="443">
        <f t="shared" si="211"/>
        <v>0</v>
      </c>
      <c r="BE332" s="443">
        <f t="shared" si="212"/>
        <v>0</v>
      </c>
      <c r="BF332" s="443">
        <f t="shared" si="213"/>
        <v>0</v>
      </c>
      <c r="BG332" s="443">
        <f t="shared" si="214"/>
        <v>0</v>
      </c>
      <c r="BH332" s="443">
        <f t="shared" si="215"/>
        <v>0</v>
      </c>
      <c r="BI332" s="443">
        <f t="shared" si="216"/>
        <v>0</v>
      </c>
      <c r="BJ332" s="443">
        <f t="shared" si="217"/>
        <v>0</v>
      </c>
      <c r="BK332" s="443">
        <f t="shared" si="218"/>
        <v>0</v>
      </c>
      <c r="BL332" s="443">
        <f t="shared" si="219"/>
        <v>0</v>
      </c>
      <c r="BM332" s="443">
        <f t="shared" si="220"/>
        <v>0</v>
      </c>
      <c r="BN332" s="443">
        <f t="shared" si="221"/>
        <v>0</v>
      </c>
      <c r="BO332" s="443">
        <f t="shared" si="222"/>
        <v>0</v>
      </c>
      <c r="BP332" s="443">
        <f t="shared" si="223"/>
        <v>0</v>
      </c>
      <c r="BQ332" s="443">
        <f t="shared" si="224"/>
        <v>0</v>
      </c>
    </row>
    <row r="333" spans="1:69" x14ac:dyDescent="0.2">
      <c r="A333" s="102">
        <v>41824</v>
      </c>
      <c r="B333" s="319">
        <v>1</v>
      </c>
      <c r="C333" s="118" t="s">
        <v>2062</v>
      </c>
      <c r="D333" s="111">
        <v>0</v>
      </c>
      <c r="E333" s="111">
        <v>0.40972222222222227</v>
      </c>
      <c r="F333" s="444">
        <v>32</v>
      </c>
      <c r="G333" s="445">
        <v>9</v>
      </c>
      <c r="H333" s="444"/>
      <c r="I333" s="390"/>
      <c r="J333" s="426">
        <f t="shared" si="197"/>
        <v>590</v>
      </c>
      <c r="K333" s="103"/>
      <c r="L333" s="103"/>
      <c r="M333" s="103"/>
      <c r="N333" s="427">
        <f t="shared" si="198"/>
        <v>0</v>
      </c>
      <c r="O333" s="103">
        <v>1</v>
      </c>
      <c r="P333" s="103"/>
      <c r="Q333" s="103"/>
      <c r="R333" s="428">
        <f t="shared" si="199"/>
        <v>1</v>
      </c>
      <c r="S333" s="103"/>
      <c r="T333" s="103"/>
      <c r="U333" s="103"/>
      <c r="V333" s="125"/>
      <c r="W333" s="428">
        <f t="shared" si="203"/>
        <v>0</v>
      </c>
      <c r="X333" s="103"/>
      <c r="Y333" s="103"/>
      <c r="Z333" s="125"/>
      <c r="AA333" s="428">
        <f t="shared" si="204"/>
        <v>0</v>
      </c>
      <c r="AB333" s="103"/>
      <c r="AC333" s="103"/>
      <c r="AD333" s="103"/>
      <c r="AE333" s="428">
        <f t="shared" si="205"/>
        <v>0</v>
      </c>
      <c r="AF333" s="103"/>
      <c r="AG333" s="103"/>
      <c r="AH333" s="103"/>
      <c r="AI333" s="103"/>
      <c r="AJ333" s="428">
        <f t="shared" si="206"/>
        <v>0</v>
      </c>
      <c r="AK333" s="446"/>
      <c r="AL333" s="446"/>
      <c r="AM333" s="446"/>
      <c r="AN333" s="446"/>
      <c r="AO333" s="446"/>
      <c r="AP333" s="446"/>
      <c r="AQ333" s="446"/>
      <c r="AR333" s="431">
        <f t="shared" si="207"/>
        <v>0</v>
      </c>
      <c r="AS333" s="10" t="s">
        <v>2080</v>
      </c>
      <c r="AT333" s="128"/>
      <c r="AU333" s="100" t="s">
        <v>1881</v>
      </c>
      <c r="AV333" s="128" t="s">
        <v>2081</v>
      </c>
      <c r="AW333" s="100" t="s">
        <v>2666</v>
      </c>
      <c r="AX333" s="433">
        <f t="shared" si="208"/>
        <v>0</v>
      </c>
      <c r="AY333" s="433">
        <f t="shared" si="209"/>
        <v>0</v>
      </c>
      <c r="AZ333" s="433">
        <f t="shared" si="210"/>
        <v>0</v>
      </c>
      <c r="BA333" s="433">
        <f t="shared" si="200"/>
        <v>1</v>
      </c>
      <c r="BB333" s="433">
        <f t="shared" si="201"/>
        <v>0</v>
      </c>
      <c r="BC333" s="433">
        <f t="shared" si="202"/>
        <v>0</v>
      </c>
      <c r="BD333" s="433">
        <f t="shared" si="211"/>
        <v>0</v>
      </c>
      <c r="BE333" s="433">
        <f t="shared" si="212"/>
        <v>0</v>
      </c>
      <c r="BF333" s="433">
        <f t="shared" si="213"/>
        <v>0</v>
      </c>
      <c r="BG333" s="433">
        <f t="shared" si="214"/>
        <v>0</v>
      </c>
      <c r="BH333" s="433">
        <f t="shared" si="215"/>
        <v>0</v>
      </c>
      <c r="BI333" s="433">
        <f t="shared" si="216"/>
        <v>0</v>
      </c>
      <c r="BJ333" s="433">
        <f t="shared" si="217"/>
        <v>0</v>
      </c>
      <c r="BK333" s="433">
        <f t="shared" si="218"/>
        <v>0</v>
      </c>
      <c r="BL333" s="433">
        <f t="shared" si="219"/>
        <v>0</v>
      </c>
      <c r="BM333" s="433">
        <f t="shared" si="220"/>
        <v>0</v>
      </c>
      <c r="BN333" s="433">
        <f t="shared" si="221"/>
        <v>0</v>
      </c>
      <c r="BO333" s="433">
        <f t="shared" si="222"/>
        <v>0</v>
      </c>
      <c r="BP333" s="433">
        <f t="shared" si="223"/>
        <v>0</v>
      </c>
      <c r="BQ333" s="433">
        <f t="shared" si="224"/>
        <v>0</v>
      </c>
    </row>
    <row r="334" spans="1:69" x14ac:dyDescent="0.2">
      <c r="A334" s="102">
        <v>41824</v>
      </c>
      <c r="B334" s="319">
        <v>1</v>
      </c>
      <c r="C334" s="118" t="s">
        <v>2063</v>
      </c>
      <c r="D334" s="111">
        <v>0.40972222222222227</v>
      </c>
      <c r="E334" s="111">
        <v>0.59722222222222221</v>
      </c>
      <c r="F334" s="444">
        <v>32</v>
      </c>
      <c r="G334" s="445">
        <v>9</v>
      </c>
      <c r="H334" s="444"/>
      <c r="I334" s="390"/>
      <c r="J334" s="426">
        <v>203</v>
      </c>
      <c r="K334" s="103"/>
      <c r="L334" s="103"/>
      <c r="M334" s="103"/>
      <c r="N334" s="427">
        <f t="shared" si="198"/>
        <v>0</v>
      </c>
      <c r="O334" s="103"/>
      <c r="P334" s="103"/>
      <c r="Q334" s="103"/>
      <c r="R334" s="428">
        <f t="shared" si="199"/>
        <v>0</v>
      </c>
      <c r="S334" s="103"/>
      <c r="T334" s="103"/>
      <c r="U334" s="103"/>
      <c r="V334" s="125"/>
      <c r="W334" s="428">
        <f t="shared" si="203"/>
        <v>0</v>
      </c>
      <c r="X334" s="103"/>
      <c r="Y334" s="103"/>
      <c r="Z334" s="125"/>
      <c r="AA334" s="428">
        <f t="shared" si="204"/>
        <v>0</v>
      </c>
      <c r="AB334" s="103"/>
      <c r="AC334" s="103"/>
      <c r="AD334" s="103"/>
      <c r="AE334" s="428">
        <f t="shared" si="205"/>
        <v>0</v>
      </c>
      <c r="AF334" s="103"/>
      <c r="AG334" s="103"/>
      <c r="AH334" s="103"/>
      <c r="AI334" s="103"/>
      <c r="AJ334" s="428">
        <f t="shared" si="206"/>
        <v>0</v>
      </c>
      <c r="AK334" s="446"/>
      <c r="AL334" s="446"/>
      <c r="AM334" s="446"/>
      <c r="AN334" s="446"/>
      <c r="AO334" s="446"/>
      <c r="AP334" s="446"/>
      <c r="AQ334" s="446"/>
      <c r="AR334" s="431">
        <f t="shared" si="207"/>
        <v>0</v>
      </c>
      <c r="AS334" s="10" t="s">
        <v>2082</v>
      </c>
      <c r="AT334" s="128"/>
      <c r="AU334" s="100" t="s">
        <v>2081</v>
      </c>
      <c r="AV334" s="128" t="s">
        <v>2081</v>
      </c>
      <c r="AW334" s="100" t="s">
        <v>2666</v>
      </c>
      <c r="AX334" s="433">
        <f t="shared" si="208"/>
        <v>0</v>
      </c>
      <c r="AY334" s="433">
        <f t="shared" si="209"/>
        <v>0</v>
      </c>
      <c r="AZ334" s="433">
        <f t="shared" si="210"/>
        <v>0</v>
      </c>
      <c r="BA334" s="433">
        <f t="shared" si="200"/>
        <v>0</v>
      </c>
      <c r="BB334" s="433">
        <f t="shared" si="201"/>
        <v>0</v>
      </c>
      <c r="BC334" s="433">
        <f t="shared" si="202"/>
        <v>0</v>
      </c>
      <c r="BD334" s="433">
        <f t="shared" si="211"/>
        <v>0</v>
      </c>
      <c r="BE334" s="433">
        <f t="shared" si="212"/>
        <v>0</v>
      </c>
      <c r="BF334" s="433">
        <f t="shared" si="213"/>
        <v>0</v>
      </c>
      <c r="BG334" s="433">
        <f t="shared" si="214"/>
        <v>0</v>
      </c>
      <c r="BH334" s="433">
        <f t="shared" si="215"/>
        <v>0</v>
      </c>
      <c r="BI334" s="433">
        <f t="shared" si="216"/>
        <v>0</v>
      </c>
      <c r="BJ334" s="433">
        <f t="shared" si="217"/>
        <v>0</v>
      </c>
      <c r="BK334" s="433">
        <f t="shared" si="218"/>
        <v>0</v>
      </c>
      <c r="BL334" s="433">
        <f t="shared" si="219"/>
        <v>0</v>
      </c>
      <c r="BM334" s="433">
        <f t="shared" si="220"/>
        <v>0</v>
      </c>
      <c r="BN334" s="433">
        <f t="shared" si="221"/>
        <v>0</v>
      </c>
      <c r="BO334" s="433">
        <f t="shared" si="222"/>
        <v>0</v>
      </c>
      <c r="BP334" s="433">
        <f t="shared" si="223"/>
        <v>0</v>
      </c>
      <c r="BQ334" s="433">
        <f t="shared" si="224"/>
        <v>0</v>
      </c>
    </row>
    <row r="335" spans="1:69" x14ac:dyDescent="0.2">
      <c r="A335" s="102">
        <v>41824</v>
      </c>
      <c r="B335" s="319">
        <v>1</v>
      </c>
      <c r="C335" s="118" t="s">
        <v>2064</v>
      </c>
      <c r="D335" s="111">
        <v>0.59722222222222221</v>
      </c>
      <c r="E335" s="111">
        <v>0.78749999999999998</v>
      </c>
      <c r="F335" s="444">
        <v>36</v>
      </c>
      <c r="G335" s="445">
        <v>10</v>
      </c>
      <c r="H335" s="444"/>
      <c r="I335" s="390"/>
      <c r="J335" s="426">
        <f t="shared" si="197"/>
        <v>274</v>
      </c>
      <c r="K335" s="103">
        <v>4</v>
      </c>
      <c r="L335" s="103"/>
      <c r="M335" s="103"/>
      <c r="N335" s="427">
        <f t="shared" si="198"/>
        <v>4</v>
      </c>
      <c r="O335" s="103">
        <v>1</v>
      </c>
      <c r="P335" s="103">
        <v>1</v>
      </c>
      <c r="Q335" s="103"/>
      <c r="R335" s="428">
        <f t="shared" si="199"/>
        <v>2</v>
      </c>
      <c r="S335" s="103"/>
      <c r="T335" s="103"/>
      <c r="U335" s="103"/>
      <c r="V335" s="125"/>
      <c r="W335" s="428">
        <f t="shared" si="203"/>
        <v>0</v>
      </c>
      <c r="X335" s="103"/>
      <c r="Y335" s="103"/>
      <c r="Z335" s="125"/>
      <c r="AA335" s="428">
        <f t="shared" si="204"/>
        <v>0</v>
      </c>
      <c r="AB335" s="103"/>
      <c r="AC335" s="103"/>
      <c r="AD335" s="103"/>
      <c r="AE335" s="428">
        <f t="shared" si="205"/>
        <v>0</v>
      </c>
      <c r="AF335" s="103"/>
      <c r="AG335" s="103"/>
      <c r="AH335" s="103"/>
      <c r="AI335" s="103"/>
      <c r="AJ335" s="428">
        <f t="shared" si="206"/>
        <v>0</v>
      </c>
      <c r="AK335" s="446"/>
      <c r="AL335" s="446"/>
      <c r="AM335" s="446"/>
      <c r="AN335" s="446"/>
      <c r="AO335" s="446"/>
      <c r="AP335" s="446"/>
      <c r="AQ335" s="446"/>
      <c r="AR335" s="431">
        <f t="shared" si="207"/>
        <v>0</v>
      </c>
      <c r="AS335" s="10" t="s">
        <v>2083</v>
      </c>
      <c r="AT335" s="128"/>
      <c r="AU335" s="100" t="s">
        <v>1883</v>
      </c>
      <c r="AV335" s="128" t="s">
        <v>2081</v>
      </c>
      <c r="AW335" s="100" t="s">
        <v>2666</v>
      </c>
      <c r="AX335" s="433">
        <f t="shared" si="208"/>
        <v>4</v>
      </c>
      <c r="AY335" s="433">
        <f t="shared" si="209"/>
        <v>0</v>
      </c>
      <c r="AZ335" s="433">
        <f t="shared" si="210"/>
        <v>0</v>
      </c>
      <c r="BA335" s="433">
        <f t="shared" si="200"/>
        <v>1</v>
      </c>
      <c r="BB335" s="433">
        <f t="shared" si="201"/>
        <v>1</v>
      </c>
      <c r="BC335" s="433">
        <f t="shared" si="202"/>
        <v>0</v>
      </c>
      <c r="BD335" s="433">
        <f t="shared" si="211"/>
        <v>0</v>
      </c>
      <c r="BE335" s="433">
        <f t="shared" si="212"/>
        <v>0</v>
      </c>
      <c r="BF335" s="433">
        <f t="shared" si="213"/>
        <v>0</v>
      </c>
      <c r="BG335" s="433">
        <f t="shared" si="214"/>
        <v>0</v>
      </c>
      <c r="BH335" s="433">
        <f t="shared" si="215"/>
        <v>0</v>
      </c>
      <c r="BI335" s="433">
        <f t="shared" si="216"/>
        <v>0</v>
      </c>
      <c r="BJ335" s="433">
        <f t="shared" si="217"/>
        <v>0</v>
      </c>
      <c r="BK335" s="433">
        <f t="shared" si="218"/>
        <v>0</v>
      </c>
      <c r="BL335" s="433">
        <f t="shared" si="219"/>
        <v>0</v>
      </c>
      <c r="BM335" s="433">
        <f t="shared" si="220"/>
        <v>0</v>
      </c>
      <c r="BN335" s="433">
        <f t="shared" si="221"/>
        <v>0</v>
      </c>
      <c r="BO335" s="433">
        <f t="shared" si="222"/>
        <v>0</v>
      </c>
      <c r="BP335" s="433">
        <f t="shared" si="223"/>
        <v>0</v>
      </c>
      <c r="BQ335" s="433">
        <f t="shared" si="224"/>
        <v>0</v>
      </c>
    </row>
    <row r="336" spans="1:69" x14ac:dyDescent="0.2">
      <c r="A336" s="102">
        <v>41824</v>
      </c>
      <c r="B336" s="319">
        <v>1</v>
      </c>
      <c r="C336" s="118" t="s">
        <v>2065</v>
      </c>
      <c r="D336" s="111">
        <v>0.78749999999999998</v>
      </c>
      <c r="E336" s="111">
        <v>0.99097222222222225</v>
      </c>
      <c r="F336" s="444">
        <v>38</v>
      </c>
      <c r="G336" s="445">
        <v>11</v>
      </c>
      <c r="H336" s="444"/>
      <c r="I336" s="390"/>
      <c r="J336" s="426">
        <f t="shared" si="197"/>
        <v>293.00000000000006</v>
      </c>
      <c r="K336" s="103">
        <v>6</v>
      </c>
      <c r="L336" s="103"/>
      <c r="M336" s="103"/>
      <c r="N336" s="427">
        <f t="shared" si="198"/>
        <v>6</v>
      </c>
      <c r="O336" s="103"/>
      <c r="P336" s="103"/>
      <c r="Q336" s="103"/>
      <c r="R336" s="428">
        <f t="shared" si="199"/>
        <v>0</v>
      </c>
      <c r="S336" s="103"/>
      <c r="T336" s="103"/>
      <c r="U336" s="103"/>
      <c r="V336" s="125"/>
      <c r="W336" s="428">
        <f t="shared" si="203"/>
        <v>0</v>
      </c>
      <c r="X336" s="103"/>
      <c r="Y336" s="103"/>
      <c r="Z336" s="125"/>
      <c r="AA336" s="428">
        <f t="shared" si="204"/>
        <v>0</v>
      </c>
      <c r="AB336" s="103"/>
      <c r="AC336" s="103"/>
      <c r="AD336" s="103"/>
      <c r="AE336" s="428">
        <f t="shared" si="205"/>
        <v>0</v>
      </c>
      <c r="AF336" s="103"/>
      <c r="AG336" s="103"/>
      <c r="AH336" s="103"/>
      <c r="AI336" s="103"/>
      <c r="AJ336" s="428">
        <f t="shared" si="206"/>
        <v>0</v>
      </c>
      <c r="AK336" s="446"/>
      <c r="AL336" s="446"/>
      <c r="AM336" s="446"/>
      <c r="AN336" s="446"/>
      <c r="AO336" s="446"/>
      <c r="AP336" s="446"/>
      <c r="AQ336" s="446"/>
      <c r="AR336" s="431">
        <f t="shared" si="207"/>
        <v>0</v>
      </c>
      <c r="AS336" s="10" t="s">
        <v>2084</v>
      </c>
      <c r="AT336" s="128"/>
      <c r="AU336" s="100" t="s">
        <v>1891</v>
      </c>
      <c r="AV336" s="128" t="s">
        <v>2081</v>
      </c>
      <c r="AW336" s="100" t="s">
        <v>2666</v>
      </c>
      <c r="AX336" s="433">
        <f t="shared" si="208"/>
        <v>6</v>
      </c>
      <c r="AY336" s="433">
        <f t="shared" si="209"/>
        <v>0</v>
      </c>
      <c r="AZ336" s="433">
        <f t="shared" si="210"/>
        <v>0</v>
      </c>
      <c r="BA336" s="433">
        <f t="shared" si="200"/>
        <v>0</v>
      </c>
      <c r="BB336" s="433">
        <f t="shared" si="201"/>
        <v>0</v>
      </c>
      <c r="BC336" s="433">
        <f t="shared" si="202"/>
        <v>0</v>
      </c>
      <c r="BD336" s="433">
        <f t="shared" si="211"/>
        <v>0</v>
      </c>
      <c r="BE336" s="433">
        <f t="shared" si="212"/>
        <v>0</v>
      </c>
      <c r="BF336" s="433">
        <f t="shared" si="213"/>
        <v>0</v>
      </c>
      <c r="BG336" s="433">
        <f t="shared" si="214"/>
        <v>0</v>
      </c>
      <c r="BH336" s="433">
        <f t="shared" si="215"/>
        <v>0</v>
      </c>
      <c r="BI336" s="433">
        <f t="shared" si="216"/>
        <v>0</v>
      </c>
      <c r="BJ336" s="433">
        <f t="shared" si="217"/>
        <v>0</v>
      </c>
      <c r="BK336" s="433">
        <f t="shared" si="218"/>
        <v>0</v>
      </c>
      <c r="BL336" s="433">
        <f t="shared" si="219"/>
        <v>0</v>
      </c>
      <c r="BM336" s="433">
        <f t="shared" si="220"/>
        <v>0</v>
      </c>
      <c r="BN336" s="433">
        <f t="shared" si="221"/>
        <v>0</v>
      </c>
      <c r="BO336" s="433">
        <f t="shared" si="222"/>
        <v>0</v>
      </c>
      <c r="BP336" s="433">
        <f t="shared" si="223"/>
        <v>0</v>
      </c>
      <c r="BQ336" s="433">
        <f t="shared" si="224"/>
        <v>0</v>
      </c>
    </row>
    <row r="337" spans="1:69" x14ac:dyDescent="0.2">
      <c r="A337" s="102">
        <v>41824</v>
      </c>
      <c r="B337" s="319">
        <v>1</v>
      </c>
      <c r="C337" s="118" t="s">
        <v>2065</v>
      </c>
      <c r="D337" s="111">
        <v>0.99097222222222225</v>
      </c>
      <c r="E337" s="111">
        <v>1</v>
      </c>
      <c r="F337" s="444">
        <v>36</v>
      </c>
      <c r="G337" s="445">
        <v>11</v>
      </c>
      <c r="H337" s="444"/>
      <c r="I337" s="390"/>
      <c r="J337" s="426">
        <f t="shared" si="197"/>
        <v>12.999999999999954</v>
      </c>
      <c r="K337" s="103"/>
      <c r="L337" s="103"/>
      <c r="M337" s="103"/>
      <c r="N337" s="427">
        <f t="shared" si="198"/>
        <v>0</v>
      </c>
      <c r="O337" s="103"/>
      <c r="P337" s="103"/>
      <c r="Q337" s="103"/>
      <c r="R337" s="428">
        <f t="shared" si="199"/>
        <v>0</v>
      </c>
      <c r="S337" s="103"/>
      <c r="T337" s="103"/>
      <c r="U337" s="103"/>
      <c r="V337" s="125"/>
      <c r="W337" s="428">
        <f t="shared" si="203"/>
        <v>0</v>
      </c>
      <c r="X337" s="103"/>
      <c r="Y337" s="103"/>
      <c r="Z337" s="125"/>
      <c r="AA337" s="428">
        <f t="shared" si="204"/>
        <v>0</v>
      </c>
      <c r="AB337" s="103"/>
      <c r="AC337" s="103"/>
      <c r="AD337" s="103"/>
      <c r="AE337" s="428">
        <f t="shared" si="205"/>
        <v>0</v>
      </c>
      <c r="AF337" s="103"/>
      <c r="AG337" s="103"/>
      <c r="AH337" s="103"/>
      <c r="AI337" s="103"/>
      <c r="AJ337" s="428">
        <f t="shared" si="206"/>
        <v>0</v>
      </c>
      <c r="AK337" s="446"/>
      <c r="AL337" s="446"/>
      <c r="AM337" s="446"/>
      <c r="AN337" s="446"/>
      <c r="AO337" s="446"/>
      <c r="AP337" s="446"/>
      <c r="AQ337" s="446"/>
      <c r="AR337" s="431">
        <f t="shared" si="207"/>
        <v>0</v>
      </c>
      <c r="AS337" s="10" t="s">
        <v>2084</v>
      </c>
      <c r="AT337" s="128"/>
      <c r="AU337" s="100" t="s">
        <v>1879</v>
      </c>
      <c r="AV337" s="128" t="s">
        <v>2081</v>
      </c>
      <c r="AW337" s="100" t="s">
        <v>2666</v>
      </c>
      <c r="AX337" s="433">
        <f t="shared" si="208"/>
        <v>0</v>
      </c>
      <c r="AY337" s="433">
        <f t="shared" si="209"/>
        <v>0</v>
      </c>
      <c r="AZ337" s="433">
        <f t="shared" si="210"/>
        <v>0</v>
      </c>
      <c r="BA337" s="433">
        <f t="shared" si="200"/>
        <v>0</v>
      </c>
      <c r="BB337" s="433">
        <f t="shared" si="201"/>
        <v>0</v>
      </c>
      <c r="BC337" s="433">
        <f t="shared" si="202"/>
        <v>0</v>
      </c>
      <c r="BD337" s="433">
        <f t="shared" si="211"/>
        <v>0</v>
      </c>
      <c r="BE337" s="433">
        <f t="shared" si="212"/>
        <v>0</v>
      </c>
      <c r="BF337" s="433">
        <f t="shared" si="213"/>
        <v>0</v>
      </c>
      <c r="BG337" s="433">
        <f t="shared" si="214"/>
        <v>0</v>
      </c>
      <c r="BH337" s="433">
        <f t="shared" si="215"/>
        <v>0</v>
      </c>
      <c r="BI337" s="433">
        <f t="shared" si="216"/>
        <v>0</v>
      </c>
      <c r="BJ337" s="433">
        <f t="shared" si="217"/>
        <v>0</v>
      </c>
      <c r="BK337" s="433">
        <f t="shared" si="218"/>
        <v>0</v>
      </c>
      <c r="BL337" s="433">
        <f t="shared" si="219"/>
        <v>0</v>
      </c>
      <c r="BM337" s="433">
        <f t="shared" si="220"/>
        <v>0</v>
      </c>
      <c r="BN337" s="433">
        <f t="shared" si="221"/>
        <v>0</v>
      </c>
      <c r="BO337" s="433">
        <f t="shared" si="222"/>
        <v>0</v>
      </c>
      <c r="BP337" s="433">
        <f t="shared" si="223"/>
        <v>0</v>
      </c>
      <c r="BQ337" s="433">
        <f t="shared" si="224"/>
        <v>0</v>
      </c>
    </row>
    <row r="338" spans="1:69" x14ac:dyDescent="0.2">
      <c r="A338" s="102">
        <v>41824</v>
      </c>
      <c r="B338" s="319">
        <v>2</v>
      </c>
      <c r="C338" s="118" t="s">
        <v>2066</v>
      </c>
      <c r="D338" s="111">
        <v>0.59236111111111112</v>
      </c>
      <c r="E338" s="111">
        <v>0.76944444444444438</v>
      </c>
      <c r="F338" s="444">
        <v>34</v>
      </c>
      <c r="G338" s="445">
        <v>14</v>
      </c>
      <c r="H338" s="444"/>
      <c r="I338" s="390"/>
      <c r="J338" s="426">
        <f t="shared" si="197"/>
        <v>254.99999999999989</v>
      </c>
      <c r="K338" s="103"/>
      <c r="L338" s="103"/>
      <c r="M338" s="103"/>
      <c r="N338" s="427">
        <f t="shared" si="198"/>
        <v>0</v>
      </c>
      <c r="O338" s="103"/>
      <c r="P338" s="103"/>
      <c r="Q338" s="103"/>
      <c r="R338" s="428">
        <f t="shared" si="199"/>
        <v>0</v>
      </c>
      <c r="S338" s="103"/>
      <c r="T338" s="103"/>
      <c r="U338" s="103"/>
      <c r="V338" s="125"/>
      <c r="W338" s="428">
        <f t="shared" si="203"/>
        <v>0</v>
      </c>
      <c r="X338" s="103"/>
      <c r="Y338" s="103"/>
      <c r="Z338" s="125"/>
      <c r="AA338" s="428">
        <f t="shared" si="204"/>
        <v>0</v>
      </c>
      <c r="AB338" s="103"/>
      <c r="AC338" s="103"/>
      <c r="AD338" s="103"/>
      <c r="AE338" s="428">
        <f t="shared" si="205"/>
        <v>0</v>
      </c>
      <c r="AF338" s="103"/>
      <c r="AG338" s="103"/>
      <c r="AH338" s="103"/>
      <c r="AI338" s="103"/>
      <c r="AJ338" s="428">
        <f t="shared" si="206"/>
        <v>0</v>
      </c>
      <c r="AK338" s="446"/>
      <c r="AL338" s="446"/>
      <c r="AM338" s="446"/>
      <c r="AN338" s="446"/>
      <c r="AO338" s="446"/>
      <c r="AP338" s="446"/>
      <c r="AQ338" s="446"/>
      <c r="AR338" s="431">
        <f t="shared" si="207"/>
        <v>0</v>
      </c>
      <c r="AS338" s="10" t="s">
        <v>2085</v>
      </c>
      <c r="AT338" s="128"/>
      <c r="AU338" s="100" t="s">
        <v>1883</v>
      </c>
      <c r="AV338" s="128" t="s">
        <v>2081</v>
      </c>
      <c r="AW338" s="100" t="s">
        <v>2666</v>
      </c>
      <c r="AX338" s="433">
        <f t="shared" si="208"/>
        <v>0</v>
      </c>
      <c r="AY338" s="433">
        <f t="shared" si="209"/>
        <v>0</v>
      </c>
      <c r="AZ338" s="433">
        <f t="shared" si="210"/>
        <v>0</v>
      </c>
      <c r="BA338" s="433">
        <f t="shared" si="200"/>
        <v>0</v>
      </c>
      <c r="BB338" s="433">
        <f t="shared" si="201"/>
        <v>0</v>
      </c>
      <c r="BC338" s="433">
        <f t="shared" si="202"/>
        <v>0</v>
      </c>
      <c r="BD338" s="433">
        <f t="shared" si="211"/>
        <v>0</v>
      </c>
      <c r="BE338" s="433">
        <f t="shared" si="212"/>
        <v>0</v>
      </c>
      <c r="BF338" s="433">
        <f t="shared" si="213"/>
        <v>0</v>
      </c>
      <c r="BG338" s="433">
        <f t="shared" si="214"/>
        <v>0</v>
      </c>
      <c r="BH338" s="433">
        <f t="shared" si="215"/>
        <v>0</v>
      </c>
      <c r="BI338" s="433">
        <f t="shared" si="216"/>
        <v>0</v>
      </c>
      <c r="BJ338" s="433">
        <f t="shared" si="217"/>
        <v>0</v>
      </c>
      <c r="BK338" s="433">
        <f t="shared" si="218"/>
        <v>0</v>
      </c>
      <c r="BL338" s="433">
        <f t="shared" si="219"/>
        <v>0</v>
      </c>
      <c r="BM338" s="433">
        <f t="shared" si="220"/>
        <v>0</v>
      </c>
      <c r="BN338" s="433">
        <f t="shared" si="221"/>
        <v>0</v>
      </c>
      <c r="BO338" s="433">
        <f t="shared" si="222"/>
        <v>0</v>
      </c>
      <c r="BP338" s="433">
        <f t="shared" si="223"/>
        <v>0</v>
      </c>
      <c r="BQ338" s="433">
        <f t="shared" si="224"/>
        <v>0</v>
      </c>
    </row>
    <row r="339" spans="1:69" x14ac:dyDescent="0.2">
      <c r="A339" s="102">
        <v>41824</v>
      </c>
      <c r="B339" s="319">
        <v>2</v>
      </c>
      <c r="C339" s="118" t="s">
        <v>2065</v>
      </c>
      <c r="D339" s="111">
        <v>0.76944444444444438</v>
      </c>
      <c r="E339" s="111">
        <v>0.96875</v>
      </c>
      <c r="F339" s="444">
        <v>37</v>
      </c>
      <c r="G339" s="445">
        <v>13</v>
      </c>
      <c r="H339" s="444"/>
      <c r="I339" s="390"/>
      <c r="J339" s="426">
        <f t="shared" si="197"/>
        <v>287.00000000000011</v>
      </c>
      <c r="K339" s="103">
        <v>1</v>
      </c>
      <c r="L339" s="103"/>
      <c r="M339" s="103"/>
      <c r="N339" s="427">
        <f t="shared" si="198"/>
        <v>1</v>
      </c>
      <c r="O339" s="103"/>
      <c r="P339" s="103"/>
      <c r="Q339" s="103"/>
      <c r="R339" s="428">
        <f t="shared" si="199"/>
        <v>0</v>
      </c>
      <c r="S339" s="103"/>
      <c r="T339" s="103"/>
      <c r="U339" s="103"/>
      <c r="V339" s="125"/>
      <c r="W339" s="428">
        <f t="shared" si="203"/>
        <v>0</v>
      </c>
      <c r="X339" s="103"/>
      <c r="Y339" s="103"/>
      <c r="Z339" s="125"/>
      <c r="AA339" s="428">
        <f t="shared" si="204"/>
        <v>0</v>
      </c>
      <c r="AB339" s="103"/>
      <c r="AC339" s="103"/>
      <c r="AD339" s="103"/>
      <c r="AE339" s="428">
        <f t="shared" si="205"/>
        <v>0</v>
      </c>
      <c r="AF339" s="103"/>
      <c r="AG339" s="103"/>
      <c r="AH339" s="103"/>
      <c r="AI339" s="103"/>
      <c r="AJ339" s="428">
        <f t="shared" si="206"/>
        <v>0</v>
      </c>
      <c r="AK339" s="446"/>
      <c r="AL339" s="446"/>
      <c r="AM339" s="446">
        <v>1</v>
      </c>
      <c r="AN339" s="446"/>
      <c r="AO339" s="446"/>
      <c r="AP339" s="446"/>
      <c r="AQ339" s="446"/>
      <c r="AR339" s="431">
        <f t="shared" si="207"/>
        <v>1</v>
      </c>
      <c r="AS339" s="10" t="s">
        <v>2086</v>
      </c>
      <c r="AT339" s="128"/>
      <c r="AU339" s="100" t="s">
        <v>1891</v>
      </c>
      <c r="AV339" s="128" t="s">
        <v>2081</v>
      </c>
      <c r="AW339" s="100" t="s">
        <v>2666</v>
      </c>
      <c r="AX339" s="433">
        <f t="shared" si="208"/>
        <v>1</v>
      </c>
      <c r="AY339" s="433">
        <f t="shared" si="209"/>
        <v>0</v>
      </c>
      <c r="AZ339" s="433">
        <f t="shared" si="210"/>
        <v>0</v>
      </c>
      <c r="BA339" s="433">
        <f t="shared" si="200"/>
        <v>0</v>
      </c>
      <c r="BB339" s="433">
        <f t="shared" si="201"/>
        <v>0</v>
      </c>
      <c r="BC339" s="433">
        <f t="shared" si="202"/>
        <v>0</v>
      </c>
      <c r="BD339" s="433">
        <f t="shared" si="211"/>
        <v>0</v>
      </c>
      <c r="BE339" s="433">
        <f t="shared" si="212"/>
        <v>0</v>
      </c>
      <c r="BF339" s="433">
        <f t="shared" si="213"/>
        <v>0</v>
      </c>
      <c r="BG339" s="433">
        <f t="shared" si="214"/>
        <v>0</v>
      </c>
      <c r="BH339" s="433">
        <f t="shared" si="215"/>
        <v>0</v>
      </c>
      <c r="BI339" s="433">
        <f t="shared" si="216"/>
        <v>0</v>
      </c>
      <c r="BJ339" s="433">
        <f t="shared" si="217"/>
        <v>0</v>
      </c>
      <c r="BK339" s="433">
        <f t="shared" si="218"/>
        <v>0</v>
      </c>
      <c r="BL339" s="433">
        <f t="shared" si="219"/>
        <v>0</v>
      </c>
      <c r="BM339" s="433">
        <f t="shared" si="220"/>
        <v>0</v>
      </c>
      <c r="BN339" s="433">
        <f t="shared" si="221"/>
        <v>0</v>
      </c>
      <c r="BO339" s="433">
        <f t="shared" si="222"/>
        <v>0</v>
      </c>
      <c r="BP339" s="433">
        <f t="shared" si="223"/>
        <v>0</v>
      </c>
      <c r="BQ339" s="433">
        <f t="shared" si="224"/>
        <v>0</v>
      </c>
    </row>
    <row r="340" spans="1:69" x14ac:dyDescent="0.2">
      <c r="A340" s="102">
        <v>41824</v>
      </c>
      <c r="B340" s="319">
        <v>2</v>
      </c>
      <c r="C340" s="118" t="s">
        <v>2065</v>
      </c>
      <c r="D340" s="111">
        <v>0.96875</v>
      </c>
      <c r="E340" s="111">
        <v>1</v>
      </c>
      <c r="F340" s="444">
        <v>37</v>
      </c>
      <c r="G340" s="445">
        <v>13</v>
      </c>
      <c r="H340" s="444"/>
      <c r="I340" s="390"/>
      <c r="J340" s="426">
        <f t="shared" si="197"/>
        <v>45</v>
      </c>
      <c r="K340" s="103"/>
      <c r="L340" s="103"/>
      <c r="M340" s="103"/>
      <c r="N340" s="427">
        <f t="shared" si="198"/>
        <v>0</v>
      </c>
      <c r="O340" s="103"/>
      <c r="P340" s="103"/>
      <c r="Q340" s="103"/>
      <c r="R340" s="428">
        <f t="shared" si="199"/>
        <v>0</v>
      </c>
      <c r="S340" s="103"/>
      <c r="T340" s="103"/>
      <c r="U340" s="103"/>
      <c r="V340" s="125"/>
      <c r="W340" s="428">
        <f t="shared" si="203"/>
        <v>0</v>
      </c>
      <c r="X340" s="103"/>
      <c r="Y340" s="103"/>
      <c r="Z340" s="125"/>
      <c r="AA340" s="428">
        <f t="shared" si="204"/>
        <v>0</v>
      </c>
      <c r="AB340" s="103"/>
      <c r="AC340" s="103"/>
      <c r="AD340" s="103"/>
      <c r="AE340" s="428">
        <f t="shared" si="205"/>
        <v>0</v>
      </c>
      <c r="AF340" s="103"/>
      <c r="AG340" s="103"/>
      <c r="AH340" s="103"/>
      <c r="AI340" s="103"/>
      <c r="AJ340" s="428">
        <f t="shared" si="206"/>
        <v>0</v>
      </c>
      <c r="AK340" s="446"/>
      <c r="AL340" s="446"/>
      <c r="AM340" s="446"/>
      <c r="AN340" s="446"/>
      <c r="AO340" s="446"/>
      <c r="AP340" s="446"/>
      <c r="AQ340" s="446"/>
      <c r="AR340" s="431">
        <f t="shared" si="207"/>
        <v>0</v>
      </c>
      <c r="AS340" s="10" t="s">
        <v>2086</v>
      </c>
      <c r="AT340" s="128"/>
      <c r="AU340" s="100" t="s">
        <v>1879</v>
      </c>
      <c r="AV340" s="128" t="s">
        <v>2081</v>
      </c>
      <c r="AW340" s="100" t="s">
        <v>2666</v>
      </c>
      <c r="AX340" s="433">
        <f t="shared" si="208"/>
        <v>0</v>
      </c>
      <c r="AY340" s="433">
        <f t="shared" si="209"/>
        <v>0</v>
      </c>
      <c r="AZ340" s="433">
        <f t="shared" si="210"/>
        <v>0</v>
      </c>
      <c r="BA340" s="433">
        <f t="shared" si="200"/>
        <v>0</v>
      </c>
      <c r="BB340" s="433">
        <f t="shared" si="201"/>
        <v>0</v>
      </c>
      <c r="BC340" s="433">
        <f t="shared" si="202"/>
        <v>0</v>
      </c>
      <c r="BD340" s="433">
        <f t="shared" si="211"/>
        <v>0</v>
      </c>
      <c r="BE340" s="433">
        <f t="shared" si="212"/>
        <v>0</v>
      </c>
      <c r="BF340" s="433">
        <f t="shared" si="213"/>
        <v>0</v>
      </c>
      <c r="BG340" s="433">
        <f t="shared" si="214"/>
        <v>0</v>
      </c>
      <c r="BH340" s="433">
        <f t="shared" si="215"/>
        <v>0</v>
      </c>
      <c r="BI340" s="433">
        <f t="shared" si="216"/>
        <v>0</v>
      </c>
      <c r="BJ340" s="433">
        <f t="shared" si="217"/>
        <v>0</v>
      </c>
      <c r="BK340" s="433">
        <f t="shared" si="218"/>
        <v>0</v>
      </c>
      <c r="BL340" s="433">
        <f t="shared" si="219"/>
        <v>0</v>
      </c>
      <c r="BM340" s="433">
        <f t="shared" si="220"/>
        <v>0</v>
      </c>
      <c r="BN340" s="433">
        <f t="shared" si="221"/>
        <v>0</v>
      </c>
      <c r="BO340" s="433">
        <f t="shared" si="222"/>
        <v>0</v>
      </c>
      <c r="BP340" s="433">
        <f t="shared" si="223"/>
        <v>0</v>
      </c>
      <c r="BQ340" s="433">
        <f t="shared" si="224"/>
        <v>0</v>
      </c>
    </row>
    <row r="341" spans="1:69" x14ac:dyDescent="0.2">
      <c r="A341" s="102">
        <v>41824</v>
      </c>
      <c r="B341" s="319">
        <v>3</v>
      </c>
      <c r="C341" s="118" t="s">
        <v>2067</v>
      </c>
      <c r="D341" s="111">
        <v>2.9861111111111113E-2</v>
      </c>
      <c r="E341" s="111">
        <v>0.40763888888888888</v>
      </c>
      <c r="F341" s="444">
        <v>34</v>
      </c>
      <c r="G341" s="445">
        <v>10</v>
      </c>
      <c r="H341" s="444"/>
      <c r="I341" s="390"/>
      <c r="J341" s="426">
        <f t="shared" si="197"/>
        <v>544</v>
      </c>
      <c r="K341" s="103">
        <v>2</v>
      </c>
      <c r="L341" s="103"/>
      <c r="M341" s="103">
        <v>1</v>
      </c>
      <c r="N341" s="427">
        <f t="shared" si="198"/>
        <v>3</v>
      </c>
      <c r="O341" s="103"/>
      <c r="P341" s="103"/>
      <c r="Q341" s="103"/>
      <c r="R341" s="428">
        <f t="shared" si="199"/>
        <v>0</v>
      </c>
      <c r="S341" s="103"/>
      <c r="T341" s="103"/>
      <c r="U341" s="103"/>
      <c r="V341" s="125"/>
      <c r="W341" s="428">
        <f t="shared" si="203"/>
        <v>0</v>
      </c>
      <c r="X341" s="103"/>
      <c r="Y341" s="103"/>
      <c r="Z341" s="125"/>
      <c r="AA341" s="428">
        <f t="shared" si="204"/>
        <v>0</v>
      </c>
      <c r="AB341" s="103"/>
      <c r="AC341" s="103"/>
      <c r="AD341" s="103"/>
      <c r="AE341" s="428">
        <f t="shared" si="205"/>
        <v>0</v>
      </c>
      <c r="AF341" s="103"/>
      <c r="AG341" s="103"/>
      <c r="AH341" s="103"/>
      <c r="AI341" s="103"/>
      <c r="AJ341" s="428">
        <f t="shared" si="206"/>
        <v>0</v>
      </c>
      <c r="AK341" s="446"/>
      <c r="AL341" s="446"/>
      <c r="AM341" s="446"/>
      <c r="AN341" s="446"/>
      <c r="AO341" s="446"/>
      <c r="AP341" s="446"/>
      <c r="AQ341" s="446"/>
      <c r="AR341" s="431">
        <f t="shared" si="207"/>
        <v>0</v>
      </c>
      <c r="AT341" s="128"/>
      <c r="AU341" s="100" t="s">
        <v>1872</v>
      </c>
      <c r="AV341" s="128" t="s">
        <v>2081</v>
      </c>
      <c r="AW341" s="100" t="s">
        <v>2666</v>
      </c>
      <c r="AX341" s="433">
        <f t="shared" si="208"/>
        <v>2</v>
      </c>
      <c r="AY341" s="433">
        <f t="shared" si="209"/>
        <v>0</v>
      </c>
      <c r="AZ341" s="433">
        <f t="shared" si="210"/>
        <v>1</v>
      </c>
      <c r="BA341" s="433">
        <f t="shared" si="200"/>
        <v>0</v>
      </c>
      <c r="BB341" s="433">
        <f t="shared" si="201"/>
        <v>0</v>
      </c>
      <c r="BC341" s="433">
        <f t="shared" si="202"/>
        <v>0</v>
      </c>
      <c r="BD341" s="433">
        <f t="shared" si="211"/>
        <v>0</v>
      </c>
      <c r="BE341" s="433">
        <f t="shared" si="212"/>
        <v>0</v>
      </c>
      <c r="BF341" s="433">
        <f t="shared" si="213"/>
        <v>0</v>
      </c>
      <c r="BG341" s="433">
        <f t="shared" si="214"/>
        <v>0</v>
      </c>
      <c r="BH341" s="433">
        <f t="shared" si="215"/>
        <v>0</v>
      </c>
      <c r="BI341" s="433">
        <f t="shared" si="216"/>
        <v>0</v>
      </c>
      <c r="BJ341" s="433">
        <f t="shared" si="217"/>
        <v>0</v>
      </c>
      <c r="BK341" s="433">
        <f t="shared" si="218"/>
        <v>0</v>
      </c>
      <c r="BL341" s="433">
        <f t="shared" si="219"/>
        <v>0</v>
      </c>
      <c r="BM341" s="433">
        <f t="shared" si="220"/>
        <v>0</v>
      </c>
      <c r="BN341" s="433">
        <f t="shared" si="221"/>
        <v>0</v>
      </c>
      <c r="BO341" s="433">
        <f t="shared" si="222"/>
        <v>0</v>
      </c>
      <c r="BP341" s="433">
        <f t="shared" si="223"/>
        <v>0</v>
      </c>
      <c r="BQ341" s="433">
        <f t="shared" si="224"/>
        <v>0</v>
      </c>
    </row>
    <row r="342" spans="1:69" x14ac:dyDescent="0.2">
      <c r="A342" s="102">
        <v>41824</v>
      </c>
      <c r="B342" s="319">
        <v>3</v>
      </c>
      <c r="C342" s="118" t="s">
        <v>2068</v>
      </c>
      <c r="D342" s="111">
        <v>0.40763888888888888</v>
      </c>
      <c r="E342" s="111">
        <v>0.59722222222222221</v>
      </c>
      <c r="F342" s="444">
        <v>33</v>
      </c>
      <c r="G342" s="445">
        <v>10</v>
      </c>
      <c r="H342" s="444"/>
      <c r="I342" s="390"/>
      <c r="J342" s="426">
        <f t="shared" si="197"/>
        <v>273</v>
      </c>
      <c r="K342" s="103">
        <v>2</v>
      </c>
      <c r="L342" s="103"/>
      <c r="M342" s="103"/>
      <c r="N342" s="427">
        <f t="shared" si="198"/>
        <v>2</v>
      </c>
      <c r="O342" s="103"/>
      <c r="P342" s="103">
        <v>5</v>
      </c>
      <c r="Q342" s="103"/>
      <c r="R342" s="428">
        <f t="shared" si="199"/>
        <v>5</v>
      </c>
      <c r="S342" s="103"/>
      <c r="T342" s="103"/>
      <c r="U342" s="103"/>
      <c r="V342" s="125"/>
      <c r="W342" s="428">
        <f t="shared" si="203"/>
        <v>0</v>
      </c>
      <c r="X342" s="103"/>
      <c r="Y342" s="103"/>
      <c r="Z342" s="125"/>
      <c r="AA342" s="428">
        <f t="shared" si="204"/>
        <v>0</v>
      </c>
      <c r="AB342" s="103"/>
      <c r="AC342" s="103"/>
      <c r="AD342" s="103"/>
      <c r="AE342" s="428">
        <f t="shared" si="205"/>
        <v>0</v>
      </c>
      <c r="AF342" s="103"/>
      <c r="AG342" s="103"/>
      <c r="AH342" s="103"/>
      <c r="AI342" s="103"/>
      <c r="AJ342" s="428">
        <f t="shared" si="206"/>
        <v>0</v>
      </c>
      <c r="AK342" s="446"/>
      <c r="AL342" s="446"/>
      <c r="AM342" s="446"/>
      <c r="AN342" s="446"/>
      <c r="AO342" s="446"/>
      <c r="AP342" s="446">
        <v>1</v>
      </c>
      <c r="AQ342" s="446"/>
      <c r="AR342" s="431">
        <f t="shared" si="207"/>
        <v>1</v>
      </c>
      <c r="AS342" s="10" t="s">
        <v>2087</v>
      </c>
      <c r="AT342" s="128" t="s">
        <v>2088</v>
      </c>
      <c r="AU342" s="100" t="s">
        <v>1904</v>
      </c>
      <c r="AV342" s="128" t="s">
        <v>2081</v>
      </c>
      <c r="AW342" s="100" t="s">
        <v>2666</v>
      </c>
      <c r="AX342" s="433">
        <f t="shared" si="208"/>
        <v>2</v>
      </c>
      <c r="AY342" s="433">
        <f t="shared" si="209"/>
        <v>0</v>
      </c>
      <c r="AZ342" s="433">
        <f t="shared" si="210"/>
        <v>0</v>
      </c>
      <c r="BA342" s="433">
        <f t="shared" si="200"/>
        <v>0</v>
      </c>
      <c r="BB342" s="433">
        <f t="shared" si="201"/>
        <v>5</v>
      </c>
      <c r="BC342" s="433">
        <f t="shared" si="202"/>
        <v>0</v>
      </c>
      <c r="BD342" s="433">
        <f t="shared" si="211"/>
        <v>0</v>
      </c>
      <c r="BE342" s="433">
        <f t="shared" si="212"/>
        <v>0</v>
      </c>
      <c r="BF342" s="433">
        <f t="shared" si="213"/>
        <v>0</v>
      </c>
      <c r="BG342" s="433">
        <f t="shared" si="214"/>
        <v>0</v>
      </c>
      <c r="BH342" s="433">
        <f t="shared" si="215"/>
        <v>0</v>
      </c>
      <c r="BI342" s="433">
        <f t="shared" si="216"/>
        <v>0</v>
      </c>
      <c r="BJ342" s="433">
        <f t="shared" si="217"/>
        <v>0</v>
      </c>
      <c r="BK342" s="433">
        <f t="shared" si="218"/>
        <v>0</v>
      </c>
      <c r="BL342" s="433">
        <f t="shared" si="219"/>
        <v>0</v>
      </c>
      <c r="BM342" s="433">
        <f t="shared" si="220"/>
        <v>0</v>
      </c>
      <c r="BN342" s="433">
        <f t="shared" si="221"/>
        <v>0</v>
      </c>
      <c r="BO342" s="433">
        <f t="shared" si="222"/>
        <v>0</v>
      </c>
      <c r="BP342" s="433">
        <f t="shared" si="223"/>
        <v>0</v>
      </c>
      <c r="BQ342" s="433">
        <f t="shared" si="224"/>
        <v>0</v>
      </c>
    </row>
    <row r="343" spans="1:69" x14ac:dyDescent="0.2">
      <c r="A343" s="102">
        <v>41824</v>
      </c>
      <c r="B343" s="319">
        <v>3</v>
      </c>
      <c r="C343" s="118" t="s">
        <v>2069</v>
      </c>
      <c r="D343" s="111">
        <v>0.59722222222222221</v>
      </c>
      <c r="E343" s="111">
        <v>0.78333333333333333</v>
      </c>
      <c r="F343" s="444">
        <v>36</v>
      </c>
      <c r="G343" s="445">
        <v>12</v>
      </c>
      <c r="H343" s="444"/>
      <c r="I343" s="390"/>
      <c r="J343" s="426">
        <f t="shared" si="197"/>
        <v>268</v>
      </c>
      <c r="K343" s="103">
        <v>3</v>
      </c>
      <c r="L343" s="103">
        <v>1</v>
      </c>
      <c r="M343" s="103"/>
      <c r="N343" s="427">
        <f t="shared" si="198"/>
        <v>4</v>
      </c>
      <c r="O343" s="103"/>
      <c r="P343" s="103"/>
      <c r="Q343" s="103"/>
      <c r="R343" s="428">
        <f t="shared" si="199"/>
        <v>0</v>
      </c>
      <c r="S343" s="103"/>
      <c r="T343" s="103"/>
      <c r="U343" s="103"/>
      <c r="V343" s="125"/>
      <c r="W343" s="428">
        <f t="shared" si="203"/>
        <v>0</v>
      </c>
      <c r="X343" s="103"/>
      <c r="Y343" s="103"/>
      <c r="Z343" s="125"/>
      <c r="AA343" s="428">
        <f t="shared" si="204"/>
        <v>0</v>
      </c>
      <c r="AB343" s="103"/>
      <c r="AC343" s="103"/>
      <c r="AD343" s="103"/>
      <c r="AE343" s="428">
        <f t="shared" si="205"/>
        <v>0</v>
      </c>
      <c r="AF343" s="103"/>
      <c r="AG343" s="103"/>
      <c r="AH343" s="103"/>
      <c r="AI343" s="103"/>
      <c r="AJ343" s="428">
        <f t="shared" si="206"/>
        <v>0</v>
      </c>
      <c r="AK343" s="446">
        <v>2</v>
      </c>
      <c r="AL343" s="446"/>
      <c r="AM343" s="446"/>
      <c r="AN343" s="446"/>
      <c r="AO343" s="446"/>
      <c r="AP343" s="446"/>
      <c r="AQ343" s="446"/>
      <c r="AR343" s="431">
        <f t="shared" si="207"/>
        <v>2</v>
      </c>
      <c r="AT343" s="128"/>
      <c r="AU343" s="100" t="s">
        <v>1872</v>
      </c>
      <c r="AV343" s="128" t="s">
        <v>2081</v>
      </c>
      <c r="AW343" s="100" t="s">
        <v>2666</v>
      </c>
      <c r="AX343" s="433">
        <f t="shared" si="208"/>
        <v>3</v>
      </c>
      <c r="AY343" s="433">
        <f t="shared" si="209"/>
        <v>1</v>
      </c>
      <c r="AZ343" s="433">
        <f t="shared" si="210"/>
        <v>0</v>
      </c>
      <c r="BA343" s="433">
        <f t="shared" si="200"/>
        <v>0</v>
      </c>
      <c r="BB343" s="433">
        <f t="shared" si="201"/>
        <v>0</v>
      </c>
      <c r="BC343" s="433">
        <f t="shared" si="202"/>
        <v>0</v>
      </c>
      <c r="BD343" s="433">
        <f t="shared" si="211"/>
        <v>0</v>
      </c>
      <c r="BE343" s="433">
        <f t="shared" si="212"/>
        <v>0</v>
      </c>
      <c r="BF343" s="433">
        <f t="shared" si="213"/>
        <v>0</v>
      </c>
      <c r="BG343" s="433">
        <f t="shared" si="214"/>
        <v>0</v>
      </c>
      <c r="BH343" s="433">
        <f t="shared" si="215"/>
        <v>0</v>
      </c>
      <c r="BI343" s="433">
        <f t="shared" si="216"/>
        <v>0</v>
      </c>
      <c r="BJ343" s="433">
        <f t="shared" si="217"/>
        <v>0</v>
      </c>
      <c r="BK343" s="433">
        <f t="shared" si="218"/>
        <v>0</v>
      </c>
      <c r="BL343" s="433">
        <f t="shared" si="219"/>
        <v>0</v>
      </c>
      <c r="BM343" s="433">
        <f t="shared" si="220"/>
        <v>0</v>
      </c>
      <c r="BN343" s="433">
        <f t="shared" si="221"/>
        <v>0</v>
      </c>
      <c r="BO343" s="433">
        <f t="shared" si="222"/>
        <v>0</v>
      </c>
      <c r="BP343" s="433">
        <f t="shared" si="223"/>
        <v>0</v>
      </c>
      <c r="BQ343" s="433">
        <f t="shared" si="224"/>
        <v>0</v>
      </c>
    </row>
    <row r="344" spans="1:69" x14ac:dyDescent="0.2">
      <c r="A344" s="102">
        <v>41824</v>
      </c>
      <c r="B344" s="319">
        <v>3</v>
      </c>
      <c r="C344" s="118" t="s">
        <v>2070</v>
      </c>
      <c r="D344" s="111">
        <v>0.78333333333333333</v>
      </c>
      <c r="E344" s="111">
        <v>0.97916666666666663</v>
      </c>
      <c r="F344" s="444">
        <v>36</v>
      </c>
      <c r="G344" s="445">
        <v>12</v>
      </c>
      <c r="H344" s="444"/>
      <c r="I344" s="390"/>
      <c r="J344" s="426">
        <f t="shared" si="197"/>
        <v>281.99999999999994</v>
      </c>
      <c r="K344" s="103">
        <v>10</v>
      </c>
      <c r="L344" s="103"/>
      <c r="M344" s="103"/>
      <c r="N344" s="427">
        <f t="shared" si="198"/>
        <v>10</v>
      </c>
      <c r="O344" s="103"/>
      <c r="P344" s="103"/>
      <c r="Q344" s="103"/>
      <c r="R344" s="428">
        <f t="shared" si="199"/>
        <v>0</v>
      </c>
      <c r="S344" s="103"/>
      <c r="T344" s="103"/>
      <c r="U344" s="103"/>
      <c r="V344" s="125"/>
      <c r="W344" s="428">
        <f t="shared" si="203"/>
        <v>0</v>
      </c>
      <c r="X344" s="103"/>
      <c r="Y344" s="103"/>
      <c r="Z344" s="125"/>
      <c r="AA344" s="428">
        <f t="shared" si="204"/>
        <v>0</v>
      </c>
      <c r="AB344" s="103"/>
      <c r="AC344" s="103"/>
      <c r="AD344" s="103"/>
      <c r="AE344" s="428">
        <f t="shared" si="205"/>
        <v>0</v>
      </c>
      <c r="AF344" s="103"/>
      <c r="AG344" s="103"/>
      <c r="AH344" s="103"/>
      <c r="AI344" s="103"/>
      <c r="AJ344" s="428">
        <f t="shared" si="206"/>
        <v>0</v>
      </c>
      <c r="AK344" s="446">
        <v>1</v>
      </c>
      <c r="AL344" s="446"/>
      <c r="AM344" s="446">
        <v>1</v>
      </c>
      <c r="AN344" s="446"/>
      <c r="AO344" s="446"/>
      <c r="AP344" s="446"/>
      <c r="AQ344" s="446"/>
      <c r="AR344" s="431">
        <f t="shared" si="207"/>
        <v>2</v>
      </c>
      <c r="AS344" s="10" t="s">
        <v>2084</v>
      </c>
      <c r="AT344" s="128" t="s">
        <v>2089</v>
      </c>
      <c r="AU344" s="100" t="s">
        <v>1904</v>
      </c>
      <c r="AV344" s="128" t="s">
        <v>2081</v>
      </c>
      <c r="AW344" s="100" t="s">
        <v>2666</v>
      </c>
      <c r="AX344" s="433">
        <f t="shared" si="208"/>
        <v>10</v>
      </c>
      <c r="AY344" s="433">
        <f t="shared" si="209"/>
        <v>0</v>
      </c>
      <c r="AZ344" s="433">
        <f t="shared" si="210"/>
        <v>0</v>
      </c>
      <c r="BA344" s="433">
        <f t="shared" si="200"/>
        <v>0</v>
      </c>
      <c r="BB344" s="433">
        <f t="shared" si="201"/>
        <v>0</v>
      </c>
      <c r="BC344" s="433">
        <f t="shared" si="202"/>
        <v>0</v>
      </c>
      <c r="BD344" s="433">
        <f t="shared" si="211"/>
        <v>0</v>
      </c>
      <c r="BE344" s="433">
        <f t="shared" si="212"/>
        <v>0</v>
      </c>
      <c r="BF344" s="433">
        <f t="shared" si="213"/>
        <v>0</v>
      </c>
      <c r="BG344" s="433">
        <f t="shared" si="214"/>
        <v>0</v>
      </c>
      <c r="BH344" s="433">
        <f t="shared" si="215"/>
        <v>0</v>
      </c>
      <c r="BI344" s="433">
        <f t="shared" si="216"/>
        <v>0</v>
      </c>
      <c r="BJ344" s="433">
        <f t="shared" si="217"/>
        <v>0</v>
      </c>
      <c r="BK344" s="433">
        <f t="shared" si="218"/>
        <v>0</v>
      </c>
      <c r="BL344" s="433">
        <f t="shared" si="219"/>
        <v>0</v>
      </c>
      <c r="BM344" s="433">
        <f t="shared" si="220"/>
        <v>0</v>
      </c>
      <c r="BN344" s="433">
        <f t="shared" si="221"/>
        <v>0</v>
      </c>
      <c r="BO344" s="433">
        <f t="shared" si="222"/>
        <v>0</v>
      </c>
      <c r="BP344" s="433">
        <f t="shared" si="223"/>
        <v>0</v>
      </c>
      <c r="BQ344" s="433">
        <f t="shared" si="224"/>
        <v>0</v>
      </c>
    </row>
    <row r="345" spans="1:69" s="291" customFormat="1" x14ac:dyDescent="0.2">
      <c r="A345" s="317">
        <v>41824</v>
      </c>
      <c r="B345" s="318">
        <v>3</v>
      </c>
      <c r="C345" s="320" t="s">
        <v>2070</v>
      </c>
      <c r="D345" s="321">
        <v>0.97916666666666663</v>
      </c>
      <c r="E345" s="321">
        <v>1</v>
      </c>
      <c r="F345" s="434">
        <v>36</v>
      </c>
      <c r="G345" s="435">
        <v>12</v>
      </c>
      <c r="H345" s="434"/>
      <c r="I345" s="436"/>
      <c r="J345" s="437">
        <f t="shared" si="197"/>
        <v>30.000000000000053</v>
      </c>
      <c r="K345" s="285"/>
      <c r="L345" s="285"/>
      <c r="M345" s="285"/>
      <c r="N345" s="438">
        <f t="shared" si="198"/>
        <v>0</v>
      </c>
      <c r="O345" s="285"/>
      <c r="P345" s="285"/>
      <c r="Q345" s="285"/>
      <c r="R345" s="439">
        <f t="shared" si="199"/>
        <v>0</v>
      </c>
      <c r="S345" s="285"/>
      <c r="T345" s="285"/>
      <c r="U345" s="285"/>
      <c r="V345" s="440"/>
      <c r="W345" s="439">
        <f t="shared" si="203"/>
        <v>0</v>
      </c>
      <c r="X345" s="285"/>
      <c r="Y345" s="285"/>
      <c r="Z345" s="440"/>
      <c r="AA345" s="439">
        <f t="shared" si="204"/>
        <v>0</v>
      </c>
      <c r="AB345" s="285"/>
      <c r="AC345" s="285"/>
      <c r="AD345" s="285"/>
      <c r="AE345" s="439">
        <f t="shared" si="205"/>
        <v>0</v>
      </c>
      <c r="AF345" s="285"/>
      <c r="AG345" s="285"/>
      <c r="AH345" s="285"/>
      <c r="AI345" s="285"/>
      <c r="AJ345" s="439">
        <f t="shared" si="206"/>
        <v>0</v>
      </c>
      <c r="AK345" s="340"/>
      <c r="AL345" s="340"/>
      <c r="AM345" s="340"/>
      <c r="AN345" s="340"/>
      <c r="AO345" s="340"/>
      <c r="AP345" s="340"/>
      <c r="AQ345" s="340"/>
      <c r="AR345" s="441">
        <f t="shared" si="207"/>
        <v>0</v>
      </c>
      <c r="AS345" s="291" t="s">
        <v>2084</v>
      </c>
      <c r="AT345" s="313"/>
      <c r="AU345" s="289" t="s">
        <v>1879</v>
      </c>
      <c r="AV345" s="313" t="s">
        <v>2081</v>
      </c>
      <c r="AW345" s="382" t="s">
        <v>2666</v>
      </c>
      <c r="AX345" s="443">
        <f t="shared" si="208"/>
        <v>0</v>
      </c>
      <c r="AY345" s="443">
        <f t="shared" si="209"/>
        <v>0</v>
      </c>
      <c r="AZ345" s="443">
        <f t="shared" si="210"/>
        <v>0</v>
      </c>
      <c r="BA345" s="443">
        <f t="shared" si="200"/>
        <v>0</v>
      </c>
      <c r="BB345" s="443">
        <f t="shared" si="201"/>
        <v>0</v>
      </c>
      <c r="BC345" s="443">
        <f t="shared" si="202"/>
        <v>0</v>
      </c>
      <c r="BD345" s="443">
        <f t="shared" si="211"/>
        <v>0</v>
      </c>
      <c r="BE345" s="443">
        <f t="shared" si="212"/>
        <v>0</v>
      </c>
      <c r="BF345" s="443">
        <f t="shared" si="213"/>
        <v>0</v>
      </c>
      <c r="BG345" s="443">
        <f t="shared" si="214"/>
        <v>0</v>
      </c>
      <c r="BH345" s="443">
        <f t="shared" si="215"/>
        <v>0</v>
      </c>
      <c r="BI345" s="443">
        <f t="shared" si="216"/>
        <v>0</v>
      </c>
      <c r="BJ345" s="443">
        <f t="shared" si="217"/>
        <v>0</v>
      </c>
      <c r="BK345" s="443">
        <f t="shared" si="218"/>
        <v>0</v>
      </c>
      <c r="BL345" s="443">
        <f t="shared" si="219"/>
        <v>0</v>
      </c>
      <c r="BM345" s="443">
        <f t="shared" si="220"/>
        <v>0</v>
      </c>
      <c r="BN345" s="443">
        <f t="shared" si="221"/>
        <v>0</v>
      </c>
      <c r="BO345" s="443">
        <f t="shared" si="222"/>
        <v>0</v>
      </c>
      <c r="BP345" s="443">
        <f t="shared" si="223"/>
        <v>0</v>
      </c>
      <c r="BQ345" s="443">
        <f t="shared" si="224"/>
        <v>0</v>
      </c>
    </row>
    <row r="346" spans="1:69" x14ac:dyDescent="0.2">
      <c r="A346" s="102">
        <v>41825</v>
      </c>
      <c r="B346" s="319">
        <v>1</v>
      </c>
      <c r="C346" s="118" t="s">
        <v>2071</v>
      </c>
      <c r="D346" s="111">
        <v>0</v>
      </c>
      <c r="E346" s="111">
        <v>0.41666666666666669</v>
      </c>
      <c r="F346" s="444">
        <v>38</v>
      </c>
      <c r="G346" s="445">
        <v>11</v>
      </c>
      <c r="H346" s="444"/>
      <c r="I346" s="390"/>
      <c r="J346" s="426">
        <f t="shared" si="197"/>
        <v>600</v>
      </c>
      <c r="K346" s="103">
        <v>3</v>
      </c>
      <c r="L346" s="103"/>
      <c r="M346" s="103"/>
      <c r="N346" s="427">
        <f t="shared" si="198"/>
        <v>3</v>
      </c>
      <c r="O346" s="103"/>
      <c r="P346" s="103">
        <v>2</v>
      </c>
      <c r="Q346" s="103"/>
      <c r="R346" s="428">
        <f t="shared" si="199"/>
        <v>2</v>
      </c>
      <c r="S346" s="103"/>
      <c r="T346" s="103"/>
      <c r="U346" s="103"/>
      <c r="V346" s="125"/>
      <c r="W346" s="428">
        <f t="shared" si="203"/>
        <v>0</v>
      </c>
      <c r="X346" s="103"/>
      <c r="Y346" s="103"/>
      <c r="Z346" s="125"/>
      <c r="AA346" s="428">
        <f t="shared" si="204"/>
        <v>0</v>
      </c>
      <c r="AB346" s="103"/>
      <c r="AC346" s="103"/>
      <c r="AD346" s="103"/>
      <c r="AE346" s="428">
        <f t="shared" si="205"/>
        <v>0</v>
      </c>
      <c r="AF346" s="103"/>
      <c r="AG346" s="103"/>
      <c r="AH346" s="103"/>
      <c r="AI346" s="103"/>
      <c r="AJ346" s="428">
        <f t="shared" si="206"/>
        <v>0</v>
      </c>
      <c r="AK346" s="446"/>
      <c r="AL346" s="446"/>
      <c r="AM346" s="446"/>
      <c r="AN346" s="446"/>
      <c r="AO346" s="446"/>
      <c r="AP346" s="446"/>
      <c r="AQ346" s="446"/>
      <c r="AR346" s="431">
        <f t="shared" si="207"/>
        <v>0</v>
      </c>
      <c r="AT346" s="128"/>
      <c r="AU346" s="100" t="s">
        <v>1929</v>
      </c>
      <c r="AV346" s="128" t="s">
        <v>2081</v>
      </c>
      <c r="AW346" s="100" t="s">
        <v>2667</v>
      </c>
      <c r="AX346" s="433">
        <f t="shared" si="208"/>
        <v>3</v>
      </c>
      <c r="AY346" s="433">
        <f t="shared" si="209"/>
        <v>0</v>
      </c>
      <c r="AZ346" s="433">
        <f t="shared" si="210"/>
        <v>0</v>
      </c>
      <c r="BA346" s="433">
        <f t="shared" si="200"/>
        <v>0</v>
      </c>
      <c r="BB346" s="433">
        <f t="shared" si="201"/>
        <v>2</v>
      </c>
      <c r="BC346" s="433">
        <f t="shared" si="202"/>
        <v>0</v>
      </c>
      <c r="BD346" s="433">
        <f t="shared" si="211"/>
        <v>0</v>
      </c>
      <c r="BE346" s="433">
        <f t="shared" si="212"/>
        <v>0</v>
      </c>
      <c r="BF346" s="433">
        <f t="shared" si="213"/>
        <v>0</v>
      </c>
      <c r="BG346" s="433">
        <f t="shared" si="214"/>
        <v>0</v>
      </c>
      <c r="BH346" s="433">
        <f t="shared" si="215"/>
        <v>0</v>
      </c>
      <c r="BI346" s="433">
        <f t="shared" si="216"/>
        <v>0</v>
      </c>
      <c r="BJ346" s="433">
        <f t="shared" si="217"/>
        <v>0</v>
      </c>
      <c r="BK346" s="433">
        <f t="shared" si="218"/>
        <v>0</v>
      </c>
      <c r="BL346" s="433">
        <f t="shared" si="219"/>
        <v>0</v>
      </c>
      <c r="BM346" s="433">
        <f t="shared" si="220"/>
        <v>0</v>
      </c>
      <c r="BN346" s="433">
        <f t="shared" si="221"/>
        <v>0</v>
      </c>
      <c r="BO346" s="433">
        <f t="shared" si="222"/>
        <v>0</v>
      </c>
      <c r="BP346" s="433">
        <f t="shared" si="223"/>
        <v>0</v>
      </c>
      <c r="BQ346" s="433">
        <f t="shared" si="224"/>
        <v>0</v>
      </c>
    </row>
    <row r="347" spans="1:69" x14ac:dyDescent="0.2">
      <c r="A347" s="102">
        <v>41825</v>
      </c>
      <c r="B347" s="319">
        <v>1</v>
      </c>
      <c r="C347" s="118" t="s">
        <v>2072</v>
      </c>
      <c r="D347" s="111">
        <v>0.41666666666666669</v>
      </c>
      <c r="E347" s="111">
        <v>0.60416666666666663</v>
      </c>
      <c r="F347" s="444">
        <v>40</v>
      </c>
      <c r="G347" s="445">
        <v>11</v>
      </c>
      <c r="H347" s="444"/>
      <c r="I347" s="390"/>
      <c r="J347" s="426">
        <f t="shared" si="197"/>
        <v>269.99999999999989</v>
      </c>
      <c r="K347" s="103">
        <v>4</v>
      </c>
      <c r="L347" s="103"/>
      <c r="M347" s="103">
        <v>1</v>
      </c>
      <c r="N347" s="427">
        <f t="shared" si="198"/>
        <v>5</v>
      </c>
      <c r="O347" s="103"/>
      <c r="P347" s="103"/>
      <c r="Q347" s="103"/>
      <c r="R347" s="428">
        <f t="shared" si="199"/>
        <v>0</v>
      </c>
      <c r="S347" s="103"/>
      <c r="T347" s="103"/>
      <c r="U347" s="103"/>
      <c r="V347" s="125"/>
      <c r="W347" s="428">
        <f t="shared" si="203"/>
        <v>0</v>
      </c>
      <c r="X347" s="103"/>
      <c r="Y347" s="103"/>
      <c r="Z347" s="125"/>
      <c r="AA347" s="428">
        <f t="shared" si="204"/>
        <v>0</v>
      </c>
      <c r="AB347" s="103"/>
      <c r="AC347" s="103"/>
      <c r="AD347" s="103"/>
      <c r="AE347" s="428">
        <f t="shared" si="205"/>
        <v>0</v>
      </c>
      <c r="AF347" s="103"/>
      <c r="AG347" s="103"/>
      <c r="AH347" s="103"/>
      <c r="AI347" s="103"/>
      <c r="AJ347" s="428">
        <f t="shared" si="206"/>
        <v>0</v>
      </c>
      <c r="AK347" s="446"/>
      <c r="AL347" s="446"/>
      <c r="AM347" s="446"/>
      <c r="AN347" s="446"/>
      <c r="AO347" s="446"/>
      <c r="AP347" s="446"/>
      <c r="AQ347" s="446"/>
      <c r="AR347" s="431">
        <f t="shared" si="207"/>
        <v>0</v>
      </c>
      <c r="AT347" s="128"/>
      <c r="AU347" s="100" t="s">
        <v>1936</v>
      </c>
      <c r="AV347" s="128" t="s">
        <v>2081</v>
      </c>
      <c r="AW347" s="100" t="s">
        <v>2667</v>
      </c>
      <c r="AX347" s="433">
        <f t="shared" si="208"/>
        <v>4</v>
      </c>
      <c r="AY347" s="433">
        <f t="shared" si="209"/>
        <v>0</v>
      </c>
      <c r="AZ347" s="433">
        <f t="shared" si="210"/>
        <v>1</v>
      </c>
      <c r="BA347" s="433">
        <f t="shared" si="200"/>
        <v>0</v>
      </c>
      <c r="BB347" s="433">
        <f t="shared" si="201"/>
        <v>0</v>
      </c>
      <c r="BC347" s="433">
        <f t="shared" si="202"/>
        <v>0</v>
      </c>
      <c r="BD347" s="433">
        <f t="shared" si="211"/>
        <v>0</v>
      </c>
      <c r="BE347" s="433">
        <f t="shared" si="212"/>
        <v>0</v>
      </c>
      <c r="BF347" s="433">
        <f t="shared" si="213"/>
        <v>0</v>
      </c>
      <c r="BG347" s="433">
        <f t="shared" si="214"/>
        <v>0</v>
      </c>
      <c r="BH347" s="433">
        <f t="shared" si="215"/>
        <v>0</v>
      </c>
      <c r="BI347" s="433">
        <f t="shared" si="216"/>
        <v>0</v>
      </c>
      <c r="BJ347" s="433">
        <f t="shared" si="217"/>
        <v>0</v>
      </c>
      <c r="BK347" s="433">
        <f t="shared" si="218"/>
        <v>0</v>
      </c>
      <c r="BL347" s="433">
        <f t="shared" si="219"/>
        <v>0</v>
      </c>
      <c r="BM347" s="433">
        <f t="shared" si="220"/>
        <v>0</v>
      </c>
      <c r="BN347" s="433">
        <f t="shared" si="221"/>
        <v>0</v>
      </c>
      <c r="BO347" s="433">
        <f t="shared" si="222"/>
        <v>0</v>
      </c>
      <c r="BP347" s="433">
        <f t="shared" si="223"/>
        <v>0</v>
      </c>
      <c r="BQ347" s="433">
        <f t="shared" si="224"/>
        <v>0</v>
      </c>
    </row>
    <row r="348" spans="1:69" x14ac:dyDescent="0.2">
      <c r="A348" s="102">
        <v>41825</v>
      </c>
      <c r="B348" s="319">
        <v>1</v>
      </c>
      <c r="C348" s="118" t="s">
        <v>2066</v>
      </c>
      <c r="D348" s="111">
        <v>0.60416666666666663</v>
      </c>
      <c r="E348" s="111">
        <v>0.77986111111111101</v>
      </c>
      <c r="F348" s="444">
        <v>36</v>
      </c>
      <c r="G348" s="445">
        <v>16</v>
      </c>
      <c r="H348" s="444"/>
      <c r="I348" s="390"/>
      <c r="J348" s="426">
        <v>252</v>
      </c>
      <c r="K348" s="103">
        <v>1</v>
      </c>
      <c r="L348" s="103">
        <v>1</v>
      </c>
      <c r="M348" s="103"/>
      <c r="N348" s="427">
        <f t="shared" si="198"/>
        <v>2</v>
      </c>
      <c r="O348" s="103"/>
      <c r="P348" s="103"/>
      <c r="Q348" s="103"/>
      <c r="R348" s="428">
        <f t="shared" si="199"/>
        <v>0</v>
      </c>
      <c r="S348" s="103"/>
      <c r="T348" s="103"/>
      <c r="U348" s="103"/>
      <c r="V348" s="125"/>
      <c r="W348" s="428">
        <f t="shared" si="203"/>
        <v>0</v>
      </c>
      <c r="X348" s="103"/>
      <c r="Y348" s="103"/>
      <c r="Z348" s="125"/>
      <c r="AA348" s="428">
        <f t="shared" si="204"/>
        <v>0</v>
      </c>
      <c r="AB348" s="103">
        <v>1</v>
      </c>
      <c r="AC348" s="103"/>
      <c r="AD348" s="103"/>
      <c r="AE348" s="428">
        <f t="shared" si="205"/>
        <v>1</v>
      </c>
      <c r="AF348" s="103"/>
      <c r="AG348" s="103"/>
      <c r="AH348" s="103"/>
      <c r="AI348" s="103"/>
      <c r="AJ348" s="428">
        <f t="shared" si="206"/>
        <v>0</v>
      </c>
      <c r="AK348" s="446"/>
      <c r="AL348" s="446"/>
      <c r="AM348" s="446"/>
      <c r="AN348" s="446"/>
      <c r="AO348" s="446"/>
      <c r="AP348" s="446"/>
      <c r="AQ348" s="446"/>
      <c r="AR348" s="431">
        <f t="shared" si="207"/>
        <v>0</v>
      </c>
      <c r="AS348" s="10" t="s">
        <v>2090</v>
      </c>
      <c r="AT348" s="128"/>
      <c r="AU348" s="100" t="s">
        <v>1929</v>
      </c>
      <c r="AV348" s="128" t="s">
        <v>2081</v>
      </c>
      <c r="AW348" s="100" t="s">
        <v>2667</v>
      </c>
      <c r="AX348" s="433">
        <f t="shared" si="208"/>
        <v>1</v>
      </c>
      <c r="AY348" s="433">
        <f t="shared" si="209"/>
        <v>1</v>
      </c>
      <c r="AZ348" s="433">
        <f t="shared" si="210"/>
        <v>0</v>
      </c>
      <c r="BA348" s="433">
        <f t="shared" si="200"/>
        <v>0</v>
      </c>
      <c r="BB348" s="433">
        <f t="shared" si="201"/>
        <v>0</v>
      </c>
      <c r="BC348" s="433">
        <f t="shared" si="202"/>
        <v>0</v>
      </c>
      <c r="BD348" s="433">
        <f t="shared" si="211"/>
        <v>0</v>
      </c>
      <c r="BE348" s="433">
        <f t="shared" si="212"/>
        <v>0</v>
      </c>
      <c r="BF348" s="433">
        <f t="shared" si="213"/>
        <v>0</v>
      </c>
      <c r="BG348" s="433">
        <f t="shared" si="214"/>
        <v>0</v>
      </c>
      <c r="BH348" s="433">
        <f t="shared" si="215"/>
        <v>0</v>
      </c>
      <c r="BI348" s="433">
        <f t="shared" si="216"/>
        <v>0</v>
      </c>
      <c r="BJ348" s="433">
        <f t="shared" si="217"/>
        <v>0</v>
      </c>
      <c r="BK348" s="433">
        <f t="shared" si="218"/>
        <v>1</v>
      </c>
      <c r="BL348" s="433">
        <f t="shared" si="219"/>
        <v>0</v>
      </c>
      <c r="BM348" s="433">
        <f t="shared" si="220"/>
        <v>0</v>
      </c>
      <c r="BN348" s="433">
        <f t="shared" si="221"/>
        <v>0</v>
      </c>
      <c r="BO348" s="433">
        <f t="shared" si="222"/>
        <v>0</v>
      </c>
      <c r="BP348" s="433">
        <f t="shared" si="223"/>
        <v>0</v>
      </c>
      <c r="BQ348" s="433">
        <f t="shared" si="224"/>
        <v>0</v>
      </c>
    </row>
    <row r="349" spans="1:69" x14ac:dyDescent="0.2">
      <c r="A349" s="102">
        <v>41825</v>
      </c>
      <c r="B349" s="319">
        <v>1</v>
      </c>
      <c r="C349" s="118" t="s">
        <v>2073</v>
      </c>
      <c r="D349" s="111">
        <v>0.77986111111111101</v>
      </c>
      <c r="E349" s="111">
        <v>1</v>
      </c>
      <c r="F349" s="444">
        <v>45</v>
      </c>
      <c r="G349" s="445">
        <v>13</v>
      </c>
      <c r="H349" s="444"/>
      <c r="I349" s="390"/>
      <c r="J349" s="426">
        <f t="shared" si="197"/>
        <v>317.00000000000017</v>
      </c>
      <c r="K349" s="103">
        <v>1</v>
      </c>
      <c r="L349" s="103"/>
      <c r="M349" s="103"/>
      <c r="N349" s="427">
        <f t="shared" si="198"/>
        <v>1</v>
      </c>
      <c r="O349" s="103">
        <v>2</v>
      </c>
      <c r="P349" s="103">
        <v>1</v>
      </c>
      <c r="Q349" s="103"/>
      <c r="R349" s="428">
        <f t="shared" si="199"/>
        <v>3</v>
      </c>
      <c r="S349" s="103"/>
      <c r="T349" s="103"/>
      <c r="U349" s="103"/>
      <c r="V349" s="125"/>
      <c r="W349" s="428">
        <f t="shared" si="203"/>
        <v>0</v>
      </c>
      <c r="X349" s="103"/>
      <c r="Y349" s="103"/>
      <c r="Z349" s="125"/>
      <c r="AA349" s="428">
        <f t="shared" si="204"/>
        <v>0</v>
      </c>
      <c r="AB349" s="103"/>
      <c r="AC349" s="103"/>
      <c r="AD349" s="103"/>
      <c r="AE349" s="428">
        <f t="shared" si="205"/>
        <v>0</v>
      </c>
      <c r="AF349" s="103"/>
      <c r="AG349" s="103"/>
      <c r="AH349" s="103"/>
      <c r="AI349" s="103"/>
      <c r="AJ349" s="428">
        <f t="shared" si="206"/>
        <v>0</v>
      </c>
      <c r="AK349" s="446">
        <v>3</v>
      </c>
      <c r="AL349" s="446"/>
      <c r="AM349" s="446"/>
      <c r="AN349" s="446">
        <v>1</v>
      </c>
      <c r="AO349" s="446"/>
      <c r="AP349" s="446"/>
      <c r="AQ349" s="446"/>
      <c r="AR349" s="431">
        <f t="shared" si="207"/>
        <v>4</v>
      </c>
      <c r="AS349" s="10" t="s">
        <v>2091</v>
      </c>
      <c r="AT349" s="128"/>
      <c r="AU349" s="100" t="s">
        <v>1949</v>
      </c>
      <c r="AV349" s="128" t="s">
        <v>2081</v>
      </c>
      <c r="AW349" s="100" t="s">
        <v>2667</v>
      </c>
      <c r="AX349" s="433">
        <f t="shared" si="208"/>
        <v>1</v>
      </c>
      <c r="AY349" s="433">
        <f t="shared" si="209"/>
        <v>0</v>
      </c>
      <c r="AZ349" s="433">
        <f t="shared" si="210"/>
        <v>0</v>
      </c>
      <c r="BA349" s="433">
        <f t="shared" si="200"/>
        <v>2</v>
      </c>
      <c r="BB349" s="433">
        <f t="shared" si="201"/>
        <v>1</v>
      </c>
      <c r="BC349" s="433">
        <f t="shared" si="202"/>
        <v>0</v>
      </c>
      <c r="BD349" s="433">
        <f t="shared" si="211"/>
        <v>0</v>
      </c>
      <c r="BE349" s="433">
        <f t="shared" si="212"/>
        <v>0</v>
      </c>
      <c r="BF349" s="433">
        <f t="shared" si="213"/>
        <v>0</v>
      </c>
      <c r="BG349" s="433">
        <f t="shared" si="214"/>
        <v>0</v>
      </c>
      <c r="BH349" s="433">
        <f t="shared" si="215"/>
        <v>0</v>
      </c>
      <c r="BI349" s="433">
        <f t="shared" si="216"/>
        <v>0</v>
      </c>
      <c r="BJ349" s="433">
        <f t="shared" si="217"/>
        <v>0</v>
      </c>
      <c r="BK349" s="433">
        <f t="shared" si="218"/>
        <v>0</v>
      </c>
      <c r="BL349" s="433">
        <f t="shared" si="219"/>
        <v>0</v>
      </c>
      <c r="BM349" s="433">
        <f t="shared" si="220"/>
        <v>0</v>
      </c>
      <c r="BN349" s="433">
        <f t="shared" si="221"/>
        <v>0</v>
      </c>
      <c r="BO349" s="433">
        <f t="shared" si="222"/>
        <v>0</v>
      </c>
      <c r="BP349" s="433">
        <f t="shared" si="223"/>
        <v>0</v>
      </c>
      <c r="BQ349" s="433">
        <f t="shared" si="224"/>
        <v>0</v>
      </c>
    </row>
    <row r="350" spans="1:69" x14ac:dyDescent="0.2">
      <c r="A350" s="102">
        <v>41825</v>
      </c>
      <c r="B350" s="319">
        <v>2</v>
      </c>
      <c r="C350" s="118" t="s">
        <v>2071</v>
      </c>
      <c r="D350" s="111">
        <v>0</v>
      </c>
      <c r="E350" s="111">
        <v>0.41041666666666665</v>
      </c>
      <c r="F350" s="444">
        <v>33</v>
      </c>
      <c r="G350" s="445">
        <v>12</v>
      </c>
      <c r="H350" s="444"/>
      <c r="I350" s="390"/>
      <c r="J350" s="426">
        <f t="shared" si="197"/>
        <v>591</v>
      </c>
      <c r="K350" s="103">
        <v>3</v>
      </c>
      <c r="L350" s="103"/>
      <c r="M350" s="103"/>
      <c r="N350" s="427">
        <f t="shared" si="198"/>
        <v>3</v>
      </c>
      <c r="O350" s="103"/>
      <c r="P350" s="103">
        <v>1</v>
      </c>
      <c r="Q350" s="103"/>
      <c r="R350" s="428">
        <f t="shared" si="199"/>
        <v>1</v>
      </c>
      <c r="S350" s="103"/>
      <c r="T350" s="103"/>
      <c r="U350" s="103"/>
      <c r="V350" s="125"/>
      <c r="W350" s="428">
        <f t="shared" si="203"/>
        <v>0</v>
      </c>
      <c r="X350" s="103"/>
      <c r="Y350" s="103"/>
      <c r="Z350" s="125"/>
      <c r="AA350" s="428">
        <f t="shared" si="204"/>
        <v>0</v>
      </c>
      <c r="AB350" s="103"/>
      <c r="AC350" s="103"/>
      <c r="AD350" s="103"/>
      <c r="AE350" s="428">
        <f t="shared" si="205"/>
        <v>0</v>
      </c>
      <c r="AF350" s="103"/>
      <c r="AG350" s="103"/>
      <c r="AH350" s="103"/>
      <c r="AI350" s="103"/>
      <c r="AJ350" s="428">
        <f t="shared" si="206"/>
        <v>0</v>
      </c>
      <c r="AK350" s="446">
        <v>1</v>
      </c>
      <c r="AL350" s="446"/>
      <c r="AM350" s="446"/>
      <c r="AN350" s="446"/>
      <c r="AO350" s="446"/>
      <c r="AP350" s="446"/>
      <c r="AQ350" s="446"/>
      <c r="AR350" s="431">
        <f t="shared" si="207"/>
        <v>1</v>
      </c>
      <c r="AT350" s="128"/>
      <c r="AU350" s="100" t="s">
        <v>1956</v>
      </c>
      <c r="AV350" s="128" t="s">
        <v>2081</v>
      </c>
      <c r="AW350" s="100" t="s">
        <v>2667</v>
      </c>
      <c r="AX350" s="433">
        <f t="shared" si="208"/>
        <v>3</v>
      </c>
      <c r="AY350" s="433">
        <f t="shared" si="209"/>
        <v>0</v>
      </c>
      <c r="AZ350" s="433">
        <f t="shared" si="210"/>
        <v>0</v>
      </c>
      <c r="BA350" s="433">
        <f t="shared" si="200"/>
        <v>0</v>
      </c>
      <c r="BB350" s="433">
        <f t="shared" si="201"/>
        <v>1</v>
      </c>
      <c r="BC350" s="433">
        <f t="shared" si="202"/>
        <v>0</v>
      </c>
      <c r="BD350" s="433">
        <f t="shared" si="211"/>
        <v>0</v>
      </c>
      <c r="BE350" s="433">
        <f t="shared" si="212"/>
        <v>0</v>
      </c>
      <c r="BF350" s="433">
        <f t="shared" si="213"/>
        <v>0</v>
      </c>
      <c r="BG350" s="433">
        <f t="shared" si="214"/>
        <v>0</v>
      </c>
      <c r="BH350" s="433">
        <f t="shared" si="215"/>
        <v>0</v>
      </c>
      <c r="BI350" s="433">
        <f t="shared" si="216"/>
        <v>0</v>
      </c>
      <c r="BJ350" s="433">
        <f t="shared" si="217"/>
        <v>0</v>
      </c>
      <c r="BK350" s="433">
        <f t="shared" si="218"/>
        <v>0</v>
      </c>
      <c r="BL350" s="433">
        <f t="shared" si="219"/>
        <v>0</v>
      </c>
      <c r="BM350" s="433">
        <f t="shared" si="220"/>
        <v>0</v>
      </c>
      <c r="BN350" s="433">
        <f t="shared" si="221"/>
        <v>0</v>
      </c>
      <c r="BO350" s="433">
        <f t="shared" si="222"/>
        <v>0</v>
      </c>
      <c r="BP350" s="433">
        <f t="shared" si="223"/>
        <v>0</v>
      </c>
      <c r="BQ350" s="433">
        <f t="shared" si="224"/>
        <v>0</v>
      </c>
    </row>
    <row r="351" spans="1:69" x14ac:dyDescent="0.2">
      <c r="A351" s="102">
        <v>41825</v>
      </c>
      <c r="B351" s="319">
        <v>2</v>
      </c>
      <c r="C351" s="118" t="s">
        <v>2072</v>
      </c>
      <c r="D351" s="111">
        <v>0.41041666666666665</v>
      </c>
      <c r="E351" s="111">
        <v>0.58333333333333337</v>
      </c>
      <c r="F351" s="444">
        <v>36</v>
      </c>
      <c r="G351" s="445">
        <v>12</v>
      </c>
      <c r="H351" s="444"/>
      <c r="I351" s="390"/>
      <c r="J351" s="426">
        <f t="shared" si="197"/>
        <v>249.00000000000009</v>
      </c>
      <c r="K351" s="103">
        <v>3</v>
      </c>
      <c r="L351" s="103"/>
      <c r="M351" s="103"/>
      <c r="N351" s="427">
        <f t="shared" si="198"/>
        <v>3</v>
      </c>
      <c r="O351" s="103">
        <v>1</v>
      </c>
      <c r="P351" s="103">
        <v>1</v>
      </c>
      <c r="Q351" s="103"/>
      <c r="R351" s="428">
        <f t="shared" si="199"/>
        <v>2</v>
      </c>
      <c r="S351" s="103"/>
      <c r="T351" s="103"/>
      <c r="U351" s="103"/>
      <c r="V351" s="125"/>
      <c r="W351" s="428">
        <f t="shared" si="203"/>
        <v>0</v>
      </c>
      <c r="X351" s="103"/>
      <c r="Y351" s="103"/>
      <c r="Z351" s="125"/>
      <c r="AA351" s="428">
        <f t="shared" si="204"/>
        <v>0</v>
      </c>
      <c r="AB351" s="103"/>
      <c r="AC351" s="103"/>
      <c r="AD351" s="103"/>
      <c r="AE351" s="428">
        <f t="shared" si="205"/>
        <v>0</v>
      </c>
      <c r="AF351" s="103"/>
      <c r="AG351" s="103"/>
      <c r="AH351" s="103"/>
      <c r="AI351" s="103"/>
      <c r="AJ351" s="428">
        <f t="shared" si="206"/>
        <v>0</v>
      </c>
      <c r="AK351" s="446"/>
      <c r="AL351" s="446"/>
      <c r="AM351" s="446"/>
      <c r="AN351" s="446"/>
      <c r="AO351" s="446"/>
      <c r="AP351" s="446"/>
      <c r="AQ351" s="446"/>
      <c r="AR351" s="431">
        <f t="shared" si="207"/>
        <v>0</v>
      </c>
      <c r="AT351" s="128"/>
      <c r="AU351" s="100" t="s">
        <v>1936</v>
      </c>
      <c r="AV351" s="128" t="s">
        <v>2081</v>
      </c>
      <c r="AW351" s="100" t="s">
        <v>2667</v>
      </c>
      <c r="AX351" s="433">
        <f t="shared" si="208"/>
        <v>3</v>
      </c>
      <c r="AY351" s="433">
        <f t="shared" si="209"/>
        <v>0</v>
      </c>
      <c r="AZ351" s="433">
        <f t="shared" si="210"/>
        <v>0</v>
      </c>
      <c r="BA351" s="433">
        <f t="shared" si="200"/>
        <v>1</v>
      </c>
      <c r="BB351" s="433">
        <f t="shared" si="201"/>
        <v>1</v>
      </c>
      <c r="BC351" s="433">
        <f t="shared" si="202"/>
        <v>0</v>
      </c>
      <c r="BD351" s="433">
        <f t="shared" si="211"/>
        <v>0</v>
      </c>
      <c r="BE351" s="433">
        <f t="shared" si="212"/>
        <v>0</v>
      </c>
      <c r="BF351" s="433">
        <f t="shared" si="213"/>
        <v>0</v>
      </c>
      <c r="BG351" s="433">
        <f t="shared" si="214"/>
        <v>0</v>
      </c>
      <c r="BH351" s="433">
        <f t="shared" si="215"/>
        <v>0</v>
      </c>
      <c r="BI351" s="433">
        <f t="shared" si="216"/>
        <v>0</v>
      </c>
      <c r="BJ351" s="433">
        <f t="shared" si="217"/>
        <v>0</v>
      </c>
      <c r="BK351" s="433">
        <f t="shared" si="218"/>
        <v>0</v>
      </c>
      <c r="BL351" s="433">
        <f t="shared" si="219"/>
        <v>0</v>
      </c>
      <c r="BM351" s="433">
        <f t="shared" si="220"/>
        <v>0</v>
      </c>
      <c r="BN351" s="433">
        <f t="shared" si="221"/>
        <v>0</v>
      </c>
      <c r="BO351" s="433">
        <f t="shared" si="222"/>
        <v>0</v>
      </c>
      <c r="BP351" s="433">
        <f t="shared" si="223"/>
        <v>0</v>
      </c>
      <c r="BQ351" s="433">
        <f t="shared" si="224"/>
        <v>0</v>
      </c>
    </row>
    <row r="352" spans="1:69" x14ac:dyDescent="0.2">
      <c r="A352" s="102">
        <v>41825</v>
      </c>
      <c r="B352" s="319">
        <v>2</v>
      </c>
      <c r="C352" s="118" t="s">
        <v>2071</v>
      </c>
      <c r="D352" s="111">
        <v>0.58333333333333337</v>
      </c>
      <c r="E352" s="111">
        <v>0.76944444444444438</v>
      </c>
      <c r="F352" s="444">
        <v>35</v>
      </c>
      <c r="G352" s="445">
        <v>17</v>
      </c>
      <c r="H352" s="444"/>
      <c r="I352" s="390"/>
      <c r="J352" s="426">
        <f t="shared" si="197"/>
        <v>267.99999999999983</v>
      </c>
      <c r="K352" s="103">
        <v>3</v>
      </c>
      <c r="L352" s="103"/>
      <c r="M352" s="103"/>
      <c r="N352" s="427">
        <f t="shared" si="198"/>
        <v>3</v>
      </c>
      <c r="O352" s="103"/>
      <c r="P352" s="103"/>
      <c r="Q352" s="103"/>
      <c r="R352" s="428">
        <f t="shared" si="199"/>
        <v>0</v>
      </c>
      <c r="S352" s="103"/>
      <c r="T352" s="103"/>
      <c r="U352" s="103"/>
      <c r="V352" s="125"/>
      <c r="W352" s="428">
        <f t="shared" si="203"/>
        <v>0</v>
      </c>
      <c r="X352" s="103"/>
      <c r="Y352" s="103"/>
      <c r="Z352" s="125"/>
      <c r="AA352" s="428">
        <f t="shared" si="204"/>
        <v>0</v>
      </c>
      <c r="AB352" s="103"/>
      <c r="AC352" s="103"/>
      <c r="AD352" s="103"/>
      <c r="AE352" s="428">
        <f t="shared" si="205"/>
        <v>0</v>
      </c>
      <c r="AF352" s="103"/>
      <c r="AG352" s="103"/>
      <c r="AH352" s="103"/>
      <c r="AI352" s="103"/>
      <c r="AJ352" s="428">
        <f t="shared" si="206"/>
        <v>0</v>
      </c>
      <c r="AK352" s="446"/>
      <c r="AL352" s="446"/>
      <c r="AM352" s="446"/>
      <c r="AN352" s="446"/>
      <c r="AO352" s="446"/>
      <c r="AP352" s="446"/>
      <c r="AQ352" s="446"/>
      <c r="AR352" s="431">
        <f t="shared" si="207"/>
        <v>0</v>
      </c>
      <c r="AT352" s="128"/>
      <c r="AU352" s="100" t="s">
        <v>1929</v>
      </c>
      <c r="AV352" s="128" t="s">
        <v>2081</v>
      </c>
      <c r="AW352" s="100" t="s">
        <v>2667</v>
      </c>
      <c r="AX352" s="433">
        <f t="shared" si="208"/>
        <v>3</v>
      </c>
      <c r="AY352" s="433">
        <f t="shared" si="209"/>
        <v>0</v>
      </c>
      <c r="AZ352" s="433">
        <f t="shared" si="210"/>
        <v>0</v>
      </c>
      <c r="BA352" s="433">
        <f t="shared" si="200"/>
        <v>0</v>
      </c>
      <c r="BB352" s="433">
        <f t="shared" si="201"/>
        <v>0</v>
      </c>
      <c r="BC352" s="433">
        <f t="shared" si="202"/>
        <v>0</v>
      </c>
      <c r="BD352" s="433">
        <f t="shared" si="211"/>
        <v>0</v>
      </c>
      <c r="BE352" s="433">
        <f t="shared" si="212"/>
        <v>0</v>
      </c>
      <c r="BF352" s="433">
        <f t="shared" si="213"/>
        <v>0</v>
      </c>
      <c r="BG352" s="433">
        <f t="shared" si="214"/>
        <v>0</v>
      </c>
      <c r="BH352" s="433">
        <f t="shared" si="215"/>
        <v>0</v>
      </c>
      <c r="BI352" s="433">
        <f t="shared" si="216"/>
        <v>0</v>
      </c>
      <c r="BJ352" s="433">
        <f t="shared" si="217"/>
        <v>0</v>
      </c>
      <c r="BK352" s="433">
        <f t="shared" si="218"/>
        <v>0</v>
      </c>
      <c r="BL352" s="433">
        <f t="shared" si="219"/>
        <v>0</v>
      </c>
      <c r="BM352" s="433">
        <f t="shared" si="220"/>
        <v>0</v>
      </c>
      <c r="BN352" s="433">
        <f t="shared" si="221"/>
        <v>0</v>
      </c>
      <c r="BO352" s="433">
        <f t="shared" si="222"/>
        <v>0</v>
      </c>
      <c r="BP352" s="433">
        <f t="shared" si="223"/>
        <v>0</v>
      </c>
      <c r="BQ352" s="433">
        <f t="shared" si="224"/>
        <v>0</v>
      </c>
    </row>
    <row r="353" spans="1:69" x14ac:dyDescent="0.2">
      <c r="A353" s="102">
        <v>41825</v>
      </c>
      <c r="B353" s="319">
        <v>2</v>
      </c>
      <c r="C353" s="118" t="s">
        <v>2073</v>
      </c>
      <c r="D353" s="111">
        <v>0.76944444444444438</v>
      </c>
      <c r="E353" s="111">
        <v>1</v>
      </c>
      <c r="F353" s="444">
        <v>36</v>
      </c>
      <c r="G353" s="445">
        <v>14</v>
      </c>
      <c r="H353" s="444"/>
      <c r="I353" s="390"/>
      <c r="J353" s="426">
        <f t="shared" si="197"/>
        <v>332.00000000000011</v>
      </c>
      <c r="K353" s="103">
        <v>2</v>
      </c>
      <c r="L353" s="103"/>
      <c r="M353" s="103"/>
      <c r="N353" s="427">
        <f t="shared" si="198"/>
        <v>2</v>
      </c>
      <c r="O353" s="103"/>
      <c r="P353" s="103"/>
      <c r="Q353" s="103"/>
      <c r="R353" s="428">
        <f t="shared" si="199"/>
        <v>0</v>
      </c>
      <c r="S353" s="103"/>
      <c r="T353" s="103"/>
      <c r="U353" s="103"/>
      <c r="V353" s="125"/>
      <c r="W353" s="428">
        <f t="shared" si="203"/>
        <v>0</v>
      </c>
      <c r="X353" s="103"/>
      <c r="Y353" s="103"/>
      <c r="Z353" s="125"/>
      <c r="AA353" s="428">
        <f t="shared" si="204"/>
        <v>0</v>
      </c>
      <c r="AB353" s="103"/>
      <c r="AC353" s="103"/>
      <c r="AD353" s="103"/>
      <c r="AE353" s="428">
        <f t="shared" si="205"/>
        <v>0</v>
      </c>
      <c r="AF353" s="103"/>
      <c r="AG353" s="103"/>
      <c r="AH353" s="103"/>
      <c r="AI353" s="103"/>
      <c r="AJ353" s="428">
        <f t="shared" si="206"/>
        <v>0</v>
      </c>
      <c r="AK353" s="446"/>
      <c r="AL353" s="446"/>
      <c r="AM353" s="446"/>
      <c r="AN353" s="446"/>
      <c r="AO353" s="446">
        <v>1</v>
      </c>
      <c r="AP353" s="446"/>
      <c r="AQ353" s="446"/>
      <c r="AR353" s="431">
        <f t="shared" si="207"/>
        <v>1</v>
      </c>
      <c r="AS353" s="10" t="s">
        <v>2092</v>
      </c>
      <c r="AT353" s="128"/>
      <c r="AU353" s="100" t="s">
        <v>1949</v>
      </c>
      <c r="AV353" s="128" t="s">
        <v>2081</v>
      </c>
      <c r="AW353" s="100" t="s">
        <v>2667</v>
      </c>
      <c r="AX353" s="433">
        <f t="shared" si="208"/>
        <v>2</v>
      </c>
      <c r="AY353" s="433">
        <f t="shared" si="209"/>
        <v>0</v>
      </c>
      <c r="AZ353" s="433">
        <f t="shared" si="210"/>
        <v>0</v>
      </c>
      <c r="BA353" s="433">
        <f t="shared" si="200"/>
        <v>0</v>
      </c>
      <c r="BB353" s="433">
        <f t="shared" si="201"/>
        <v>0</v>
      </c>
      <c r="BC353" s="433">
        <f t="shared" si="202"/>
        <v>0</v>
      </c>
      <c r="BD353" s="433">
        <f t="shared" si="211"/>
        <v>0</v>
      </c>
      <c r="BE353" s="433">
        <f t="shared" si="212"/>
        <v>0</v>
      </c>
      <c r="BF353" s="433">
        <f t="shared" si="213"/>
        <v>0</v>
      </c>
      <c r="BG353" s="433">
        <f t="shared" si="214"/>
        <v>0</v>
      </c>
      <c r="BH353" s="433">
        <f t="shared" si="215"/>
        <v>0</v>
      </c>
      <c r="BI353" s="433">
        <f t="shared" si="216"/>
        <v>0</v>
      </c>
      <c r="BJ353" s="433">
        <f t="shared" si="217"/>
        <v>0</v>
      </c>
      <c r="BK353" s="433">
        <f t="shared" si="218"/>
        <v>0</v>
      </c>
      <c r="BL353" s="433">
        <f t="shared" si="219"/>
        <v>0</v>
      </c>
      <c r="BM353" s="433">
        <f t="shared" si="220"/>
        <v>0</v>
      </c>
      <c r="BN353" s="433">
        <f t="shared" si="221"/>
        <v>0</v>
      </c>
      <c r="BO353" s="433">
        <f t="shared" si="222"/>
        <v>0</v>
      </c>
      <c r="BP353" s="433">
        <f t="shared" si="223"/>
        <v>0</v>
      </c>
      <c r="BQ353" s="433">
        <f t="shared" si="224"/>
        <v>0</v>
      </c>
    </row>
    <row r="354" spans="1:69" x14ac:dyDescent="0.2">
      <c r="A354" s="102">
        <v>41825</v>
      </c>
      <c r="B354" s="319">
        <v>3</v>
      </c>
      <c r="C354" s="118" t="s">
        <v>2067</v>
      </c>
      <c r="D354" s="111">
        <v>0</v>
      </c>
      <c r="E354" s="111">
        <v>0.40763888888888888</v>
      </c>
      <c r="F354" s="444">
        <v>37</v>
      </c>
      <c r="G354" s="445">
        <v>12</v>
      </c>
      <c r="H354" s="444"/>
      <c r="I354" s="390"/>
      <c r="J354" s="426">
        <f t="shared" si="197"/>
        <v>587</v>
      </c>
      <c r="K354" s="103">
        <v>4</v>
      </c>
      <c r="L354" s="103"/>
      <c r="M354" s="103"/>
      <c r="N354" s="427">
        <f t="shared" si="198"/>
        <v>4</v>
      </c>
      <c r="O354" s="103"/>
      <c r="P354" s="103">
        <v>2</v>
      </c>
      <c r="Q354" s="103"/>
      <c r="R354" s="428">
        <f t="shared" si="199"/>
        <v>2</v>
      </c>
      <c r="S354" s="103"/>
      <c r="T354" s="103"/>
      <c r="U354" s="103"/>
      <c r="V354" s="125"/>
      <c r="W354" s="428">
        <f t="shared" si="203"/>
        <v>0</v>
      </c>
      <c r="X354" s="103"/>
      <c r="Y354" s="103"/>
      <c r="Z354" s="125"/>
      <c r="AA354" s="428">
        <f t="shared" si="204"/>
        <v>0</v>
      </c>
      <c r="AB354" s="103"/>
      <c r="AC354" s="103"/>
      <c r="AD354" s="103"/>
      <c r="AE354" s="428">
        <f t="shared" si="205"/>
        <v>0</v>
      </c>
      <c r="AF354" s="103"/>
      <c r="AG354" s="103"/>
      <c r="AH354" s="103"/>
      <c r="AI354" s="103"/>
      <c r="AJ354" s="428">
        <f t="shared" si="206"/>
        <v>0</v>
      </c>
      <c r="AK354" s="446">
        <v>2</v>
      </c>
      <c r="AL354" s="446"/>
      <c r="AM354" s="446"/>
      <c r="AN354" s="446"/>
      <c r="AO354" s="446"/>
      <c r="AP354" s="446"/>
      <c r="AQ354" s="446"/>
      <c r="AR354" s="431">
        <f t="shared" si="207"/>
        <v>2</v>
      </c>
      <c r="AT354" s="128"/>
      <c r="AU354" s="100" t="s">
        <v>1974</v>
      </c>
      <c r="AV354" s="128" t="s">
        <v>2081</v>
      </c>
      <c r="AW354" s="100" t="s">
        <v>2667</v>
      </c>
      <c r="AX354" s="433">
        <f t="shared" si="208"/>
        <v>4</v>
      </c>
      <c r="AY354" s="433">
        <f t="shared" si="209"/>
        <v>0</v>
      </c>
      <c r="AZ354" s="433">
        <f t="shared" si="210"/>
        <v>0</v>
      </c>
      <c r="BA354" s="433">
        <f t="shared" si="200"/>
        <v>0</v>
      </c>
      <c r="BB354" s="433">
        <f t="shared" si="201"/>
        <v>2</v>
      </c>
      <c r="BC354" s="433">
        <f t="shared" si="202"/>
        <v>0</v>
      </c>
      <c r="BD354" s="433">
        <f t="shared" si="211"/>
        <v>0</v>
      </c>
      <c r="BE354" s="433">
        <f t="shared" si="212"/>
        <v>0</v>
      </c>
      <c r="BF354" s="433">
        <f t="shared" si="213"/>
        <v>0</v>
      </c>
      <c r="BG354" s="433">
        <f t="shared" si="214"/>
        <v>0</v>
      </c>
      <c r="BH354" s="433">
        <f t="shared" si="215"/>
        <v>0</v>
      </c>
      <c r="BI354" s="433">
        <f t="shared" si="216"/>
        <v>0</v>
      </c>
      <c r="BJ354" s="433">
        <f t="shared" si="217"/>
        <v>0</v>
      </c>
      <c r="BK354" s="433">
        <f t="shared" si="218"/>
        <v>0</v>
      </c>
      <c r="BL354" s="433">
        <f t="shared" si="219"/>
        <v>0</v>
      </c>
      <c r="BM354" s="433">
        <f t="shared" si="220"/>
        <v>0</v>
      </c>
      <c r="BN354" s="433">
        <f t="shared" si="221"/>
        <v>0</v>
      </c>
      <c r="BO354" s="433">
        <f t="shared" si="222"/>
        <v>0</v>
      </c>
      <c r="BP354" s="433">
        <f t="shared" si="223"/>
        <v>0</v>
      </c>
      <c r="BQ354" s="433">
        <f t="shared" si="224"/>
        <v>0</v>
      </c>
    </row>
    <row r="355" spans="1:69" x14ac:dyDescent="0.2">
      <c r="A355" s="102">
        <v>41825</v>
      </c>
      <c r="B355" s="319">
        <v>3</v>
      </c>
      <c r="C355" s="118" t="s">
        <v>2074</v>
      </c>
      <c r="D355" s="111">
        <v>0.40763888888888888</v>
      </c>
      <c r="E355" s="111">
        <v>0.59791666666666665</v>
      </c>
      <c r="F355" s="444">
        <v>40</v>
      </c>
      <c r="G355" s="445">
        <v>11</v>
      </c>
      <c r="H355" s="444"/>
      <c r="I355" s="390"/>
      <c r="J355" s="426">
        <f t="shared" si="197"/>
        <v>274</v>
      </c>
      <c r="K355" s="103">
        <v>4</v>
      </c>
      <c r="L355" s="103"/>
      <c r="M355" s="103"/>
      <c r="N355" s="427">
        <f t="shared" si="198"/>
        <v>4</v>
      </c>
      <c r="O355" s="103"/>
      <c r="P355" s="103"/>
      <c r="Q355" s="103"/>
      <c r="R355" s="428">
        <f t="shared" si="199"/>
        <v>0</v>
      </c>
      <c r="S355" s="103"/>
      <c r="T355" s="103"/>
      <c r="U355" s="103"/>
      <c r="V355" s="125"/>
      <c r="W355" s="428">
        <f t="shared" si="203"/>
        <v>0</v>
      </c>
      <c r="X355" s="103"/>
      <c r="Y355" s="103"/>
      <c r="Z355" s="125"/>
      <c r="AA355" s="428">
        <f t="shared" si="204"/>
        <v>0</v>
      </c>
      <c r="AB355" s="103"/>
      <c r="AC355" s="103"/>
      <c r="AD355" s="103"/>
      <c r="AE355" s="428">
        <f t="shared" si="205"/>
        <v>0</v>
      </c>
      <c r="AF355" s="103"/>
      <c r="AG355" s="103"/>
      <c r="AH355" s="103"/>
      <c r="AI355" s="103"/>
      <c r="AJ355" s="428">
        <f t="shared" si="206"/>
        <v>0</v>
      </c>
      <c r="AK355" s="446"/>
      <c r="AL355" s="446"/>
      <c r="AM355" s="446"/>
      <c r="AN355" s="446"/>
      <c r="AO355" s="446"/>
      <c r="AP355" s="446"/>
      <c r="AQ355" s="446"/>
      <c r="AR355" s="431">
        <f t="shared" si="207"/>
        <v>0</v>
      </c>
      <c r="AT355" s="128"/>
      <c r="AU355" s="100" t="s">
        <v>1949</v>
      </c>
      <c r="AV355" s="128" t="s">
        <v>2081</v>
      </c>
      <c r="AW355" s="100" t="s">
        <v>2667</v>
      </c>
      <c r="AX355" s="433">
        <f t="shared" si="208"/>
        <v>4</v>
      </c>
      <c r="AY355" s="433">
        <f t="shared" si="209"/>
        <v>0</v>
      </c>
      <c r="AZ355" s="433">
        <f t="shared" si="210"/>
        <v>0</v>
      </c>
      <c r="BA355" s="433">
        <f t="shared" si="200"/>
        <v>0</v>
      </c>
      <c r="BB355" s="433">
        <f t="shared" si="201"/>
        <v>0</v>
      </c>
      <c r="BC355" s="433">
        <f t="shared" si="202"/>
        <v>0</v>
      </c>
      <c r="BD355" s="433">
        <f t="shared" si="211"/>
        <v>0</v>
      </c>
      <c r="BE355" s="433">
        <f t="shared" si="212"/>
        <v>0</v>
      </c>
      <c r="BF355" s="433">
        <f t="shared" si="213"/>
        <v>0</v>
      </c>
      <c r="BG355" s="433">
        <f t="shared" si="214"/>
        <v>0</v>
      </c>
      <c r="BH355" s="433">
        <f t="shared" si="215"/>
        <v>0</v>
      </c>
      <c r="BI355" s="433">
        <f t="shared" si="216"/>
        <v>0</v>
      </c>
      <c r="BJ355" s="433">
        <f t="shared" si="217"/>
        <v>0</v>
      </c>
      <c r="BK355" s="433">
        <f t="shared" si="218"/>
        <v>0</v>
      </c>
      <c r="BL355" s="433">
        <f t="shared" si="219"/>
        <v>0</v>
      </c>
      <c r="BM355" s="433">
        <f t="shared" si="220"/>
        <v>0</v>
      </c>
      <c r="BN355" s="433">
        <f t="shared" si="221"/>
        <v>0</v>
      </c>
      <c r="BO355" s="433">
        <f t="shared" si="222"/>
        <v>0</v>
      </c>
      <c r="BP355" s="433">
        <f t="shared" si="223"/>
        <v>0</v>
      </c>
      <c r="BQ355" s="433">
        <f t="shared" si="224"/>
        <v>0</v>
      </c>
    </row>
    <row r="356" spans="1:69" x14ac:dyDescent="0.2">
      <c r="A356" s="102">
        <v>41825</v>
      </c>
      <c r="B356" s="319">
        <v>3</v>
      </c>
      <c r="C356" s="118" t="s">
        <v>2067</v>
      </c>
      <c r="D356" s="111">
        <v>0.59791666666666665</v>
      </c>
      <c r="E356" s="111">
        <v>0.78333333333333333</v>
      </c>
      <c r="F356" s="444">
        <v>38</v>
      </c>
      <c r="G356" s="445">
        <v>14</v>
      </c>
      <c r="H356" s="444"/>
      <c r="I356" s="390"/>
      <c r="J356" s="426">
        <f t="shared" si="197"/>
        <v>267</v>
      </c>
      <c r="K356" s="103">
        <v>7</v>
      </c>
      <c r="L356" s="103"/>
      <c r="M356" s="103"/>
      <c r="N356" s="427">
        <f t="shared" si="198"/>
        <v>7</v>
      </c>
      <c r="O356" s="103"/>
      <c r="P356" s="103"/>
      <c r="Q356" s="103"/>
      <c r="R356" s="428">
        <f t="shared" si="199"/>
        <v>0</v>
      </c>
      <c r="S356" s="103"/>
      <c r="T356" s="103"/>
      <c r="U356" s="103"/>
      <c r="V356" s="125"/>
      <c r="W356" s="428">
        <f t="shared" si="203"/>
        <v>0</v>
      </c>
      <c r="X356" s="103"/>
      <c r="Y356" s="103"/>
      <c r="Z356" s="125"/>
      <c r="AA356" s="428">
        <f t="shared" si="204"/>
        <v>0</v>
      </c>
      <c r="AB356" s="103"/>
      <c r="AC356" s="103"/>
      <c r="AD356" s="103"/>
      <c r="AE356" s="428">
        <f t="shared" si="205"/>
        <v>0</v>
      </c>
      <c r="AF356" s="103"/>
      <c r="AG356" s="103"/>
      <c r="AH356" s="103"/>
      <c r="AI356" s="103"/>
      <c r="AJ356" s="428">
        <f t="shared" si="206"/>
        <v>0</v>
      </c>
      <c r="AK356" s="446">
        <v>2</v>
      </c>
      <c r="AL356" s="446"/>
      <c r="AM356" s="446"/>
      <c r="AN356" s="446"/>
      <c r="AO356" s="446"/>
      <c r="AP356" s="446"/>
      <c r="AQ356" s="446"/>
      <c r="AR356" s="431">
        <f t="shared" si="207"/>
        <v>2</v>
      </c>
      <c r="AT356" s="128"/>
      <c r="AU356" s="100" t="s">
        <v>1974</v>
      </c>
      <c r="AV356" s="128" t="s">
        <v>2081</v>
      </c>
      <c r="AW356" s="100" t="s">
        <v>2667</v>
      </c>
      <c r="AX356" s="433">
        <f t="shared" si="208"/>
        <v>7</v>
      </c>
      <c r="AY356" s="433">
        <f t="shared" si="209"/>
        <v>0</v>
      </c>
      <c r="AZ356" s="433">
        <f t="shared" si="210"/>
        <v>0</v>
      </c>
      <c r="BA356" s="433">
        <f t="shared" si="200"/>
        <v>0</v>
      </c>
      <c r="BB356" s="433">
        <f t="shared" si="201"/>
        <v>0</v>
      </c>
      <c r="BC356" s="433">
        <f t="shared" si="202"/>
        <v>0</v>
      </c>
      <c r="BD356" s="433">
        <f t="shared" si="211"/>
        <v>0</v>
      </c>
      <c r="BE356" s="433">
        <f t="shared" si="212"/>
        <v>0</v>
      </c>
      <c r="BF356" s="433">
        <f t="shared" si="213"/>
        <v>0</v>
      </c>
      <c r="BG356" s="433">
        <f t="shared" si="214"/>
        <v>0</v>
      </c>
      <c r="BH356" s="433">
        <f t="shared" si="215"/>
        <v>0</v>
      </c>
      <c r="BI356" s="433">
        <f t="shared" si="216"/>
        <v>0</v>
      </c>
      <c r="BJ356" s="433">
        <f t="shared" si="217"/>
        <v>0</v>
      </c>
      <c r="BK356" s="433">
        <f t="shared" si="218"/>
        <v>0</v>
      </c>
      <c r="BL356" s="433">
        <f t="shared" si="219"/>
        <v>0</v>
      </c>
      <c r="BM356" s="433">
        <f t="shared" si="220"/>
        <v>0</v>
      </c>
      <c r="BN356" s="433">
        <f t="shared" si="221"/>
        <v>0</v>
      </c>
      <c r="BO356" s="433">
        <f t="shared" si="222"/>
        <v>0</v>
      </c>
      <c r="BP356" s="433">
        <f t="shared" si="223"/>
        <v>0</v>
      </c>
      <c r="BQ356" s="433">
        <f t="shared" si="224"/>
        <v>0</v>
      </c>
    </row>
    <row r="357" spans="1:69" s="291" customFormat="1" x14ac:dyDescent="0.2">
      <c r="A357" s="317">
        <v>41825</v>
      </c>
      <c r="B357" s="318">
        <v>3</v>
      </c>
      <c r="C357" s="320" t="s">
        <v>2065</v>
      </c>
      <c r="D357" s="321">
        <v>0.78333333333333333</v>
      </c>
      <c r="E357" s="321">
        <v>1</v>
      </c>
      <c r="F357" s="434">
        <v>41</v>
      </c>
      <c r="G357" s="435">
        <v>14</v>
      </c>
      <c r="H357" s="434"/>
      <c r="I357" s="436"/>
      <c r="J357" s="437">
        <v>298</v>
      </c>
      <c r="K357" s="285">
        <v>1</v>
      </c>
      <c r="L357" s="285">
        <v>1</v>
      </c>
      <c r="M357" s="285">
        <v>1</v>
      </c>
      <c r="N357" s="438">
        <f t="shared" si="198"/>
        <v>3</v>
      </c>
      <c r="O357" s="285"/>
      <c r="P357" s="285">
        <v>1</v>
      </c>
      <c r="Q357" s="285"/>
      <c r="R357" s="439">
        <f t="shared" si="199"/>
        <v>1</v>
      </c>
      <c r="S357" s="285"/>
      <c r="T357" s="285"/>
      <c r="U357" s="285"/>
      <c r="V357" s="440"/>
      <c r="W357" s="439">
        <f t="shared" si="203"/>
        <v>0</v>
      </c>
      <c r="X357" s="285"/>
      <c r="Y357" s="285"/>
      <c r="Z357" s="440"/>
      <c r="AA357" s="439">
        <f t="shared" si="204"/>
        <v>0</v>
      </c>
      <c r="AB357" s="285"/>
      <c r="AC357" s="285"/>
      <c r="AD357" s="285"/>
      <c r="AE357" s="439">
        <f t="shared" si="205"/>
        <v>0</v>
      </c>
      <c r="AF357" s="285"/>
      <c r="AG357" s="285"/>
      <c r="AH357" s="285"/>
      <c r="AI357" s="285"/>
      <c r="AJ357" s="439">
        <f t="shared" si="206"/>
        <v>0</v>
      </c>
      <c r="AK357" s="340">
        <v>1</v>
      </c>
      <c r="AL357" s="340"/>
      <c r="AM357" s="340"/>
      <c r="AN357" s="340"/>
      <c r="AO357" s="340"/>
      <c r="AP357" s="340">
        <v>1</v>
      </c>
      <c r="AQ357" s="340"/>
      <c r="AR357" s="441">
        <f t="shared" si="207"/>
        <v>2</v>
      </c>
      <c r="AS357" s="291" t="s">
        <v>2093</v>
      </c>
      <c r="AT357" s="313"/>
      <c r="AU357" s="289" t="s">
        <v>1994</v>
      </c>
      <c r="AV357" s="313" t="s">
        <v>2081</v>
      </c>
      <c r="AW357" s="382" t="s">
        <v>2667</v>
      </c>
      <c r="AX357" s="443">
        <f t="shared" si="208"/>
        <v>1</v>
      </c>
      <c r="AY357" s="443">
        <f t="shared" si="209"/>
        <v>1</v>
      </c>
      <c r="AZ357" s="443">
        <f t="shared" si="210"/>
        <v>1</v>
      </c>
      <c r="BA357" s="443">
        <f t="shared" si="200"/>
        <v>0</v>
      </c>
      <c r="BB357" s="443">
        <f t="shared" si="201"/>
        <v>1</v>
      </c>
      <c r="BC357" s="443">
        <f t="shared" si="202"/>
        <v>0</v>
      </c>
      <c r="BD357" s="443">
        <f t="shared" si="211"/>
        <v>0</v>
      </c>
      <c r="BE357" s="443">
        <f t="shared" si="212"/>
        <v>0</v>
      </c>
      <c r="BF357" s="443">
        <f t="shared" si="213"/>
        <v>0</v>
      </c>
      <c r="BG357" s="443">
        <f t="shared" si="214"/>
        <v>0</v>
      </c>
      <c r="BH357" s="443">
        <f t="shared" si="215"/>
        <v>0</v>
      </c>
      <c r="BI357" s="443">
        <f t="shared" si="216"/>
        <v>0</v>
      </c>
      <c r="BJ357" s="443">
        <f t="shared" si="217"/>
        <v>0</v>
      </c>
      <c r="BK357" s="443">
        <f t="shared" si="218"/>
        <v>0</v>
      </c>
      <c r="BL357" s="443">
        <f t="shared" si="219"/>
        <v>0</v>
      </c>
      <c r="BM357" s="443">
        <f t="shared" si="220"/>
        <v>0</v>
      </c>
      <c r="BN357" s="443">
        <f t="shared" si="221"/>
        <v>0</v>
      </c>
      <c r="BO357" s="443">
        <f t="shared" si="222"/>
        <v>0</v>
      </c>
      <c r="BP357" s="443">
        <f t="shared" si="223"/>
        <v>0</v>
      </c>
      <c r="BQ357" s="443">
        <f t="shared" si="224"/>
        <v>0</v>
      </c>
    </row>
    <row r="358" spans="1:69" x14ac:dyDescent="0.2">
      <c r="A358" s="102">
        <v>41826</v>
      </c>
      <c r="B358" s="319">
        <v>1</v>
      </c>
      <c r="C358" s="118" t="s">
        <v>2075</v>
      </c>
      <c r="D358" s="111">
        <v>0</v>
      </c>
      <c r="E358" s="111">
        <v>0.41180555555555554</v>
      </c>
      <c r="F358" s="444">
        <v>47</v>
      </c>
      <c r="G358" s="445">
        <v>11</v>
      </c>
      <c r="H358" s="444"/>
      <c r="I358" s="390">
        <v>73.599999999999994</v>
      </c>
      <c r="J358" s="426">
        <f t="shared" si="197"/>
        <v>593</v>
      </c>
      <c r="K358" s="103">
        <v>6</v>
      </c>
      <c r="L358" s="103"/>
      <c r="M358" s="103"/>
      <c r="N358" s="427">
        <f t="shared" si="198"/>
        <v>6</v>
      </c>
      <c r="O358" s="103"/>
      <c r="P358" s="103">
        <v>5</v>
      </c>
      <c r="Q358" s="103"/>
      <c r="R358" s="428">
        <f t="shared" si="199"/>
        <v>5</v>
      </c>
      <c r="S358" s="103">
        <v>1</v>
      </c>
      <c r="T358" s="103"/>
      <c r="U358" s="103"/>
      <c r="V358" s="125"/>
      <c r="W358" s="428">
        <f t="shared" si="203"/>
        <v>1</v>
      </c>
      <c r="X358" s="103"/>
      <c r="Y358" s="103"/>
      <c r="Z358" s="125"/>
      <c r="AA358" s="428">
        <f t="shared" si="204"/>
        <v>0</v>
      </c>
      <c r="AB358" s="103"/>
      <c r="AC358" s="103"/>
      <c r="AD358" s="103"/>
      <c r="AE358" s="428">
        <f t="shared" si="205"/>
        <v>0</v>
      </c>
      <c r="AF358" s="103"/>
      <c r="AG358" s="103"/>
      <c r="AH358" s="103"/>
      <c r="AI358" s="103"/>
      <c r="AJ358" s="428">
        <f t="shared" si="206"/>
        <v>0</v>
      </c>
      <c r="AK358" s="446"/>
      <c r="AL358" s="446"/>
      <c r="AM358" s="446">
        <v>1</v>
      </c>
      <c r="AN358" s="446"/>
      <c r="AO358" s="446">
        <v>1</v>
      </c>
      <c r="AP358" s="446"/>
      <c r="AQ358" s="446"/>
      <c r="AR358" s="431">
        <f t="shared" si="207"/>
        <v>2</v>
      </c>
      <c r="AT358" s="128"/>
      <c r="AU358" s="100" t="s">
        <v>1999</v>
      </c>
      <c r="AV358" s="128" t="s">
        <v>2081</v>
      </c>
      <c r="AW358" s="100" t="s">
        <v>2668</v>
      </c>
      <c r="AX358" s="433">
        <f t="shared" si="208"/>
        <v>6</v>
      </c>
      <c r="AY358" s="433">
        <f t="shared" si="209"/>
        <v>0</v>
      </c>
      <c r="AZ358" s="433">
        <f t="shared" si="210"/>
        <v>0</v>
      </c>
      <c r="BA358" s="433">
        <f t="shared" si="200"/>
        <v>0</v>
      </c>
      <c r="BB358" s="433">
        <f t="shared" si="201"/>
        <v>5</v>
      </c>
      <c r="BC358" s="433">
        <f t="shared" si="202"/>
        <v>0</v>
      </c>
      <c r="BD358" s="433">
        <f t="shared" si="211"/>
        <v>1</v>
      </c>
      <c r="BE358" s="433">
        <f t="shared" si="212"/>
        <v>0</v>
      </c>
      <c r="BF358" s="433">
        <f t="shared" si="213"/>
        <v>0</v>
      </c>
      <c r="BG358" s="433">
        <f t="shared" si="214"/>
        <v>0</v>
      </c>
      <c r="BH358" s="433">
        <f t="shared" si="215"/>
        <v>0</v>
      </c>
      <c r="BI358" s="433">
        <f t="shared" si="216"/>
        <v>0</v>
      </c>
      <c r="BJ358" s="433">
        <f t="shared" si="217"/>
        <v>0</v>
      </c>
      <c r="BK358" s="433">
        <f t="shared" si="218"/>
        <v>0</v>
      </c>
      <c r="BL358" s="433">
        <f t="shared" si="219"/>
        <v>0</v>
      </c>
      <c r="BM358" s="433">
        <f t="shared" si="220"/>
        <v>0</v>
      </c>
      <c r="BN358" s="433">
        <f t="shared" si="221"/>
        <v>0</v>
      </c>
      <c r="BO358" s="433">
        <f t="shared" si="222"/>
        <v>0</v>
      </c>
      <c r="BP358" s="433">
        <f t="shared" si="223"/>
        <v>0</v>
      </c>
      <c r="BQ358" s="433">
        <f t="shared" si="224"/>
        <v>0</v>
      </c>
    </row>
    <row r="359" spans="1:69" x14ac:dyDescent="0.2">
      <c r="A359" s="102">
        <v>41826</v>
      </c>
      <c r="B359" s="319">
        <v>1</v>
      </c>
      <c r="C359" s="118" t="s">
        <v>2076</v>
      </c>
      <c r="D359" s="111">
        <v>0.41180555555555554</v>
      </c>
      <c r="E359" s="111">
        <v>0.60138888888888886</v>
      </c>
      <c r="F359" s="444">
        <v>46</v>
      </c>
      <c r="G359" s="445">
        <v>11</v>
      </c>
      <c r="H359" s="444"/>
      <c r="I359" s="390"/>
      <c r="J359" s="426">
        <f t="shared" si="197"/>
        <v>273</v>
      </c>
      <c r="K359" s="103">
        <v>6</v>
      </c>
      <c r="L359" s="103"/>
      <c r="M359" s="103"/>
      <c r="N359" s="427">
        <f t="shared" si="198"/>
        <v>6</v>
      </c>
      <c r="O359" s="103"/>
      <c r="P359" s="103">
        <v>3</v>
      </c>
      <c r="Q359" s="103"/>
      <c r="R359" s="428">
        <f t="shared" si="199"/>
        <v>3</v>
      </c>
      <c r="S359" s="103"/>
      <c r="T359" s="103"/>
      <c r="U359" s="103"/>
      <c r="V359" s="125"/>
      <c r="W359" s="428">
        <f t="shared" si="203"/>
        <v>0</v>
      </c>
      <c r="X359" s="103"/>
      <c r="Y359" s="103"/>
      <c r="Z359" s="125"/>
      <c r="AA359" s="428">
        <f t="shared" si="204"/>
        <v>0</v>
      </c>
      <c r="AB359" s="103"/>
      <c r="AC359" s="103"/>
      <c r="AD359" s="103"/>
      <c r="AE359" s="428">
        <f t="shared" si="205"/>
        <v>0</v>
      </c>
      <c r="AF359" s="103"/>
      <c r="AG359" s="103"/>
      <c r="AH359" s="103"/>
      <c r="AI359" s="103"/>
      <c r="AJ359" s="428">
        <f t="shared" si="206"/>
        <v>0</v>
      </c>
      <c r="AK359" s="446"/>
      <c r="AL359" s="446"/>
      <c r="AM359" s="446"/>
      <c r="AN359" s="446"/>
      <c r="AO359" s="446"/>
      <c r="AP359" s="446"/>
      <c r="AQ359" s="446"/>
      <c r="AR359" s="431">
        <f t="shared" si="207"/>
        <v>0</v>
      </c>
      <c r="AT359" s="128"/>
      <c r="AU359" s="100" t="s">
        <v>2021</v>
      </c>
      <c r="AV359" s="128" t="s">
        <v>2081</v>
      </c>
      <c r="AW359" s="100" t="s">
        <v>2668</v>
      </c>
      <c r="AX359" s="433">
        <f t="shared" si="208"/>
        <v>6</v>
      </c>
      <c r="AY359" s="433">
        <f t="shared" si="209"/>
        <v>0</v>
      </c>
      <c r="AZ359" s="433">
        <f t="shared" si="210"/>
        <v>0</v>
      </c>
      <c r="BA359" s="433">
        <f t="shared" si="200"/>
        <v>0</v>
      </c>
      <c r="BB359" s="433">
        <f t="shared" si="201"/>
        <v>3</v>
      </c>
      <c r="BC359" s="433">
        <f t="shared" si="202"/>
        <v>0</v>
      </c>
      <c r="BD359" s="433">
        <f t="shared" si="211"/>
        <v>0</v>
      </c>
      <c r="BE359" s="433">
        <f t="shared" si="212"/>
        <v>0</v>
      </c>
      <c r="BF359" s="433">
        <f t="shared" si="213"/>
        <v>0</v>
      </c>
      <c r="BG359" s="433">
        <f t="shared" si="214"/>
        <v>0</v>
      </c>
      <c r="BH359" s="433">
        <f t="shared" si="215"/>
        <v>0</v>
      </c>
      <c r="BI359" s="433">
        <f t="shared" si="216"/>
        <v>0</v>
      </c>
      <c r="BJ359" s="433">
        <f t="shared" si="217"/>
        <v>0</v>
      </c>
      <c r="BK359" s="433">
        <f t="shared" si="218"/>
        <v>0</v>
      </c>
      <c r="BL359" s="433">
        <f t="shared" si="219"/>
        <v>0</v>
      </c>
      <c r="BM359" s="433">
        <f t="shared" si="220"/>
        <v>0</v>
      </c>
      <c r="BN359" s="433">
        <f t="shared" si="221"/>
        <v>0</v>
      </c>
      <c r="BO359" s="433">
        <f t="shared" si="222"/>
        <v>0</v>
      </c>
      <c r="BP359" s="433">
        <f t="shared" si="223"/>
        <v>0</v>
      </c>
      <c r="BQ359" s="433">
        <f t="shared" si="224"/>
        <v>0</v>
      </c>
    </row>
    <row r="360" spans="1:69" x14ac:dyDescent="0.2">
      <c r="A360" s="102">
        <v>41826</v>
      </c>
      <c r="B360" s="319">
        <v>1</v>
      </c>
      <c r="C360" s="118" t="s">
        <v>2071</v>
      </c>
      <c r="D360" s="111">
        <v>0.60138888888888886</v>
      </c>
      <c r="E360" s="111">
        <v>0.78263888888888899</v>
      </c>
      <c r="F360" s="444">
        <v>44</v>
      </c>
      <c r="G360" s="445">
        <v>11</v>
      </c>
      <c r="H360" s="444"/>
      <c r="I360" s="390"/>
      <c r="J360" s="426">
        <v>256</v>
      </c>
      <c r="K360" s="103">
        <v>2</v>
      </c>
      <c r="L360" s="103"/>
      <c r="M360" s="103"/>
      <c r="N360" s="427">
        <f t="shared" si="198"/>
        <v>2</v>
      </c>
      <c r="O360" s="103"/>
      <c r="P360" s="103"/>
      <c r="Q360" s="103"/>
      <c r="R360" s="428">
        <f t="shared" si="199"/>
        <v>0</v>
      </c>
      <c r="S360" s="103"/>
      <c r="T360" s="103"/>
      <c r="U360" s="103"/>
      <c r="V360" s="125"/>
      <c r="W360" s="428">
        <f t="shared" si="203"/>
        <v>0</v>
      </c>
      <c r="X360" s="103"/>
      <c r="Y360" s="103"/>
      <c r="Z360" s="125"/>
      <c r="AA360" s="428">
        <f t="shared" si="204"/>
        <v>0</v>
      </c>
      <c r="AB360" s="103"/>
      <c r="AC360" s="103"/>
      <c r="AD360" s="103"/>
      <c r="AE360" s="428">
        <f t="shared" si="205"/>
        <v>0</v>
      </c>
      <c r="AF360" s="103"/>
      <c r="AG360" s="103"/>
      <c r="AH360" s="103"/>
      <c r="AI360" s="103"/>
      <c r="AJ360" s="428">
        <f t="shared" si="206"/>
        <v>0</v>
      </c>
      <c r="AK360" s="446"/>
      <c r="AL360" s="446"/>
      <c r="AM360" s="446">
        <v>1</v>
      </c>
      <c r="AN360" s="446"/>
      <c r="AO360" s="446"/>
      <c r="AP360" s="446"/>
      <c r="AQ360" s="446"/>
      <c r="AR360" s="431">
        <f t="shared" si="207"/>
        <v>1</v>
      </c>
      <c r="AS360" s="10" t="s">
        <v>2094</v>
      </c>
      <c r="AT360" s="128"/>
      <c r="AU360" s="100" t="s">
        <v>2025</v>
      </c>
      <c r="AV360" s="128" t="s">
        <v>2081</v>
      </c>
      <c r="AW360" s="100" t="s">
        <v>2668</v>
      </c>
      <c r="AX360" s="433">
        <f t="shared" si="208"/>
        <v>2</v>
      </c>
      <c r="AY360" s="433">
        <f t="shared" si="209"/>
        <v>0</v>
      </c>
      <c r="AZ360" s="433">
        <f t="shared" si="210"/>
        <v>0</v>
      </c>
      <c r="BA360" s="433">
        <f t="shared" si="200"/>
        <v>0</v>
      </c>
      <c r="BB360" s="433">
        <f t="shared" si="201"/>
        <v>0</v>
      </c>
      <c r="BC360" s="433">
        <f t="shared" si="202"/>
        <v>0</v>
      </c>
      <c r="BD360" s="433">
        <f t="shared" si="211"/>
        <v>0</v>
      </c>
      <c r="BE360" s="433">
        <f t="shared" si="212"/>
        <v>0</v>
      </c>
      <c r="BF360" s="433">
        <f t="shared" si="213"/>
        <v>0</v>
      </c>
      <c r="BG360" s="433">
        <f t="shared" si="214"/>
        <v>0</v>
      </c>
      <c r="BH360" s="433">
        <f t="shared" si="215"/>
        <v>0</v>
      </c>
      <c r="BI360" s="433">
        <f t="shared" si="216"/>
        <v>0</v>
      </c>
      <c r="BJ360" s="433">
        <f t="shared" si="217"/>
        <v>0</v>
      </c>
      <c r="BK360" s="433">
        <f t="shared" si="218"/>
        <v>0</v>
      </c>
      <c r="BL360" s="433">
        <f t="shared" si="219"/>
        <v>0</v>
      </c>
      <c r="BM360" s="433">
        <f t="shared" si="220"/>
        <v>0</v>
      </c>
      <c r="BN360" s="433">
        <f t="shared" si="221"/>
        <v>0</v>
      </c>
      <c r="BO360" s="433">
        <f t="shared" si="222"/>
        <v>0</v>
      </c>
      <c r="BP360" s="433">
        <f t="shared" si="223"/>
        <v>0</v>
      </c>
      <c r="BQ360" s="433">
        <f t="shared" si="224"/>
        <v>0</v>
      </c>
    </row>
    <row r="361" spans="1:69" x14ac:dyDescent="0.2">
      <c r="A361" s="102">
        <v>41826</v>
      </c>
      <c r="B361" s="319">
        <v>1</v>
      </c>
      <c r="C361" s="118" t="s">
        <v>2074</v>
      </c>
      <c r="D361" s="111">
        <v>0.78263888888888899</v>
      </c>
      <c r="E361" s="111">
        <v>1</v>
      </c>
      <c r="F361" s="444">
        <v>44</v>
      </c>
      <c r="G361" s="445">
        <v>11</v>
      </c>
      <c r="H361" s="444"/>
      <c r="I361" s="390"/>
      <c r="J361" s="426">
        <f t="shared" si="197"/>
        <v>312.99999999999983</v>
      </c>
      <c r="K361" s="103"/>
      <c r="L361" s="103"/>
      <c r="M361" s="103"/>
      <c r="N361" s="427">
        <f t="shared" si="198"/>
        <v>0</v>
      </c>
      <c r="O361" s="103"/>
      <c r="P361" s="103"/>
      <c r="Q361" s="103"/>
      <c r="R361" s="428">
        <f t="shared" si="199"/>
        <v>0</v>
      </c>
      <c r="S361" s="103"/>
      <c r="T361" s="103"/>
      <c r="U361" s="103"/>
      <c r="V361" s="125"/>
      <c r="W361" s="428">
        <f t="shared" si="203"/>
        <v>0</v>
      </c>
      <c r="X361" s="103"/>
      <c r="Y361" s="103"/>
      <c r="Z361" s="125"/>
      <c r="AA361" s="428">
        <f t="shared" si="204"/>
        <v>0</v>
      </c>
      <c r="AB361" s="103"/>
      <c r="AC361" s="103"/>
      <c r="AD361" s="103"/>
      <c r="AE361" s="428">
        <f t="shared" si="205"/>
        <v>0</v>
      </c>
      <c r="AF361" s="103"/>
      <c r="AG361" s="103"/>
      <c r="AH361" s="103"/>
      <c r="AI361" s="103"/>
      <c r="AJ361" s="428">
        <f t="shared" si="206"/>
        <v>0</v>
      </c>
      <c r="AK361" s="446"/>
      <c r="AL361" s="446"/>
      <c r="AM361" s="446"/>
      <c r="AN361" s="446"/>
      <c r="AO361" s="446"/>
      <c r="AP361" s="446"/>
      <c r="AQ361" s="446"/>
      <c r="AR361" s="431">
        <f t="shared" si="207"/>
        <v>0</v>
      </c>
      <c r="AS361" s="10" t="s">
        <v>2095</v>
      </c>
      <c r="AT361" s="128" t="s">
        <v>424</v>
      </c>
      <c r="AU361" s="100" t="s">
        <v>2013</v>
      </c>
      <c r="AV361" s="128" t="s">
        <v>2081</v>
      </c>
      <c r="AW361" s="100" t="s">
        <v>2668</v>
      </c>
      <c r="AX361" s="433">
        <f t="shared" si="208"/>
        <v>0</v>
      </c>
      <c r="AY361" s="433">
        <f t="shared" si="209"/>
        <v>0</v>
      </c>
      <c r="AZ361" s="433">
        <f t="shared" si="210"/>
        <v>0</v>
      </c>
      <c r="BA361" s="433">
        <f t="shared" si="200"/>
        <v>0</v>
      </c>
      <c r="BB361" s="433">
        <f t="shared" si="201"/>
        <v>0</v>
      </c>
      <c r="BC361" s="433">
        <f t="shared" si="202"/>
        <v>0</v>
      </c>
      <c r="BD361" s="433">
        <f t="shared" si="211"/>
        <v>0</v>
      </c>
      <c r="BE361" s="433">
        <f t="shared" si="212"/>
        <v>0</v>
      </c>
      <c r="BF361" s="433">
        <f t="shared" si="213"/>
        <v>0</v>
      </c>
      <c r="BG361" s="433">
        <f t="shared" si="214"/>
        <v>0</v>
      </c>
      <c r="BH361" s="433">
        <f t="shared" si="215"/>
        <v>0</v>
      </c>
      <c r="BI361" s="433">
        <f t="shared" si="216"/>
        <v>0</v>
      </c>
      <c r="BJ361" s="433">
        <f t="shared" si="217"/>
        <v>0</v>
      </c>
      <c r="BK361" s="433">
        <f t="shared" si="218"/>
        <v>0</v>
      </c>
      <c r="BL361" s="433">
        <f t="shared" si="219"/>
        <v>0</v>
      </c>
      <c r="BM361" s="433">
        <f t="shared" si="220"/>
        <v>0</v>
      </c>
      <c r="BN361" s="433">
        <f t="shared" si="221"/>
        <v>0</v>
      </c>
      <c r="BO361" s="433">
        <f t="shared" si="222"/>
        <v>0</v>
      </c>
      <c r="BP361" s="433">
        <f t="shared" si="223"/>
        <v>0</v>
      </c>
      <c r="BQ361" s="433">
        <f t="shared" si="224"/>
        <v>0</v>
      </c>
    </row>
    <row r="362" spans="1:69" x14ac:dyDescent="0.2">
      <c r="A362" s="102">
        <v>41826</v>
      </c>
      <c r="B362" s="319">
        <v>2</v>
      </c>
      <c r="C362" s="118" t="s">
        <v>2077</v>
      </c>
      <c r="D362" s="111">
        <v>0</v>
      </c>
      <c r="E362" s="111">
        <v>0.38750000000000001</v>
      </c>
      <c r="F362" s="444">
        <v>33</v>
      </c>
      <c r="G362" s="445">
        <v>13</v>
      </c>
      <c r="H362" s="444"/>
      <c r="I362" s="390"/>
      <c r="J362" s="426">
        <f t="shared" si="197"/>
        <v>558</v>
      </c>
      <c r="K362" s="103">
        <v>3</v>
      </c>
      <c r="L362" s="103"/>
      <c r="M362" s="103"/>
      <c r="N362" s="427">
        <f t="shared" si="198"/>
        <v>3</v>
      </c>
      <c r="O362" s="103"/>
      <c r="P362" s="103"/>
      <c r="Q362" s="103"/>
      <c r="R362" s="428">
        <f t="shared" si="199"/>
        <v>0</v>
      </c>
      <c r="S362" s="103">
        <v>1</v>
      </c>
      <c r="T362" s="103"/>
      <c r="U362" s="103"/>
      <c r="V362" s="125"/>
      <c r="W362" s="428">
        <f t="shared" si="203"/>
        <v>1</v>
      </c>
      <c r="X362" s="103"/>
      <c r="Y362" s="103"/>
      <c r="Z362" s="125"/>
      <c r="AA362" s="428">
        <f t="shared" si="204"/>
        <v>0</v>
      </c>
      <c r="AB362" s="103"/>
      <c r="AC362" s="103"/>
      <c r="AD362" s="103"/>
      <c r="AE362" s="428">
        <f t="shared" si="205"/>
        <v>0</v>
      </c>
      <c r="AF362" s="103"/>
      <c r="AG362" s="103"/>
      <c r="AH362" s="103"/>
      <c r="AI362" s="103"/>
      <c r="AJ362" s="428">
        <f t="shared" si="206"/>
        <v>0</v>
      </c>
      <c r="AK362" s="446"/>
      <c r="AL362" s="446"/>
      <c r="AM362" s="446"/>
      <c r="AN362" s="446"/>
      <c r="AO362" s="446"/>
      <c r="AP362" s="446"/>
      <c r="AQ362" s="446"/>
      <c r="AR362" s="431">
        <f t="shared" si="207"/>
        <v>0</v>
      </c>
      <c r="AT362" s="128"/>
      <c r="AU362" s="100" t="s">
        <v>2027</v>
      </c>
      <c r="AV362" s="128" t="s">
        <v>2081</v>
      </c>
      <c r="AW362" s="100" t="s">
        <v>2668</v>
      </c>
      <c r="AX362" s="433">
        <f t="shared" si="208"/>
        <v>3</v>
      </c>
      <c r="AY362" s="433">
        <f t="shared" si="209"/>
        <v>0</v>
      </c>
      <c r="AZ362" s="433">
        <f t="shared" si="210"/>
        <v>0</v>
      </c>
      <c r="BA362" s="433">
        <f t="shared" si="200"/>
        <v>0</v>
      </c>
      <c r="BB362" s="433">
        <f t="shared" si="201"/>
        <v>0</v>
      </c>
      <c r="BC362" s="433">
        <f t="shared" si="202"/>
        <v>0</v>
      </c>
      <c r="BD362" s="433">
        <f t="shared" si="211"/>
        <v>1</v>
      </c>
      <c r="BE362" s="433">
        <f t="shared" si="212"/>
        <v>0</v>
      </c>
      <c r="BF362" s="433">
        <f t="shared" si="213"/>
        <v>0</v>
      </c>
      <c r="BG362" s="433">
        <f t="shared" si="214"/>
        <v>0</v>
      </c>
      <c r="BH362" s="433">
        <f t="shared" si="215"/>
        <v>0</v>
      </c>
      <c r="BI362" s="433">
        <f t="shared" si="216"/>
        <v>0</v>
      </c>
      <c r="BJ362" s="433">
        <f t="shared" si="217"/>
        <v>0</v>
      </c>
      <c r="BK362" s="433">
        <f t="shared" si="218"/>
        <v>0</v>
      </c>
      <c r="BL362" s="433">
        <f t="shared" si="219"/>
        <v>0</v>
      </c>
      <c r="BM362" s="433">
        <f t="shared" si="220"/>
        <v>0</v>
      </c>
      <c r="BN362" s="433">
        <f t="shared" si="221"/>
        <v>0</v>
      </c>
      <c r="BO362" s="433">
        <f t="shared" si="222"/>
        <v>0</v>
      </c>
      <c r="BP362" s="433">
        <f t="shared" si="223"/>
        <v>0</v>
      </c>
      <c r="BQ362" s="433">
        <f t="shared" si="224"/>
        <v>0</v>
      </c>
    </row>
    <row r="363" spans="1:69" x14ac:dyDescent="0.2">
      <c r="A363" s="102">
        <v>41826</v>
      </c>
      <c r="B363" s="319">
        <v>2</v>
      </c>
      <c r="C363" s="118" t="s">
        <v>2076</v>
      </c>
      <c r="D363" s="111">
        <v>0.38750000000000001</v>
      </c>
      <c r="E363" s="111">
        <v>0.57708333333333328</v>
      </c>
      <c r="F363" s="444">
        <v>37</v>
      </c>
      <c r="G363" s="445">
        <v>12</v>
      </c>
      <c r="H363" s="444"/>
      <c r="I363" s="390"/>
      <c r="J363" s="426">
        <f t="shared" si="197"/>
        <v>272.99999999999994</v>
      </c>
      <c r="K363" s="103">
        <v>1</v>
      </c>
      <c r="L363" s="103"/>
      <c r="M363" s="103"/>
      <c r="N363" s="427">
        <f t="shared" si="198"/>
        <v>1</v>
      </c>
      <c r="O363" s="103"/>
      <c r="P363" s="103"/>
      <c r="Q363" s="103"/>
      <c r="R363" s="428">
        <f t="shared" si="199"/>
        <v>0</v>
      </c>
      <c r="S363" s="103"/>
      <c r="T363" s="103"/>
      <c r="U363" s="103"/>
      <c r="V363" s="125"/>
      <c r="W363" s="428">
        <f t="shared" si="203"/>
        <v>0</v>
      </c>
      <c r="X363" s="103"/>
      <c r="Y363" s="103"/>
      <c r="Z363" s="125"/>
      <c r="AA363" s="428">
        <f t="shared" si="204"/>
        <v>0</v>
      </c>
      <c r="AB363" s="103"/>
      <c r="AC363" s="103"/>
      <c r="AD363" s="103"/>
      <c r="AE363" s="428">
        <f t="shared" si="205"/>
        <v>0</v>
      </c>
      <c r="AF363" s="103"/>
      <c r="AG363" s="103"/>
      <c r="AH363" s="103"/>
      <c r="AI363" s="103"/>
      <c r="AJ363" s="428">
        <f t="shared" si="206"/>
        <v>0</v>
      </c>
      <c r="AK363" s="446"/>
      <c r="AL363" s="446"/>
      <c r="AM363" s="446"/>
      <c r="AN363" s="446"/>
      <c r="AO363" s="446"/>
      <c r="AP363" s="446"/>
      <c r="AQ363" s="446"/>
      <c r="AR363" s="431">
        <f t="shared" si="207"/>
        <v>0</v>
      </c>
      <c r="AT363" s="128"/>
      <c r="AU363" s="100" t="s">
        <v>2021</v>
      </c>
      <c r="AV363" s="128" t="s">
        <v>2081</v>
      </c>
      <c r="AW363" s="100" t="s">
        <v>2668</v>
      </c>
      <c r="AX363" s="433">
        <f t="shared" si="208"/>
        <v>1</v>
      </c>
      <c r="AY363" s="433">
        <f t="shared" si="209"/>
        <v>0</v>
      </c>
      <c r="AZ363" s="433">
        <f t="shared" si="210"/>
        <v>0</v>
      </c>
      <c r="BA363" s="433">
        <f t="shared" si="200"/>
        <v>0</v>
      </c>
      <c r="BB363" s="433">
        <f t="shared" si="201"/>
        <v>0</v>
      </c>
      <c r="BC363" s="433">
        <f t="shared" si="202"/>
        <v>0</v>
      </c>
      <c r="BD363" s="433">
        <f t="shared" si="211"/>
        <v>0</v>
      </c>
      <c r="BE363" s="433">
        <f t="shared" si="212"/>
        <v>0</v>
      </c>
      <c r="BF363" s="433">
        <f t="shared" si="213"/>
        <v>0</v>
      </c>
      <c r="BG363" s="433">
        <f t="shared" si="214"/>
        <v>0</v>
      </c>
      <c r="BH363" s="433">
        <f t="shared" si="215"/>
        <v>0</v>
      </c>
      <c r="BI363" s="433">
        <f t="shared" si="216"/>
        <v>0</v>
      </c>
      <c r="BJ363" s="433">
        <f t="shared" si="217"/>
        <v>0</v>
      </c>
      <c r="BK363" s="433">
        <f t="shared" si="218"/>
        <v>0</v>
      </c>
      <c r="BL363" s="433">
        <f t="shared" si="219"/>
        <v>0</v>
      </c>
      <c r="BM363" s="433">
        <f t="shared" si="220"/>
        <v>0</v>
      </c>
      <c r="BN363" s="433">
        <f t="shared" si="221"/>
        <v>0</v>
      </c>
      <c r="BO363" s="433">
        <f t="shared" si="222"/>
        <v>0</v>
      </c>
      <c r="BP363" s="433">
        <f t="shared" si="223"/>
        <v>0</v>
      </c>
      <c r="BQ363" s="433">
        <f t="shared" si="224"/>
        <v>0</v>
      </c>
    </row>
    <row r="364" spans="1:69" x14ac:dyDescent="0.2">
      <c r="A364" s="102">
        <v>41826</v>
      </c>
      <c r="B364" s="319">
        <v>2</v>
      </c>
      <c r="C364" s="118" t="s">
        <v>2066</v>
      </c>
      <c r="D364" s="111">
        <v>0.57708333333333328</v>
      </c>
      <c r="E364" s="111">
        <v>0.76527777777777783</v>
      </c>
      <c r="F364" s="444">
        <v>37</v>
      </c>
      <c r="G364" s="445">
        <v>13</v>
      </c>
      <c r="H364" s="444"/>
      <c r="I364" s="390"/>
      <c r="J364" s="426">
        <f t="shared" si="197"/>
        <v>271.00000000000017</v>
      </c>
      <c r="K364" s="103"/>
      <c r="L364" s="103"/>
      <c r="M364" s="103"/>
      <c r="N364" s="427">
        <f t="shared" si="198"/>
        <v>0</v>
      </c>
      <c r="O364" s="103"/>
      <c r="P364" s="103"/>
      <c r="Q364" s="103"/>
      <c r="R364" s="428">
        <f t="shared" si="199"/>
        <v>0</v>
      </c>
      <c r="S364" s="103"/>
      <c r="T364" s="103"/>
      <c r="U364" s="103"/>
      <c r="V364" s="125"/>
      <c r="W364" s="428">
        <f t="shared" si="203"/>
        <v>0</v>
      </c>
      <c r="X364" s="103"/>
      <c r="Y364" s="103"/>
      <c r="Z364" s="125"/>
      <c r="AA364" s="428">
        <f t="shared" si="204"/>
        <v>0</v>
      </c>
      <c r="AB364" s="103"/>
      <c r="AC364" s="103"/>
      <c r="AD364" s="103"/>
      <c r="AE364" s="428">
        <f t="shared" si="205"/>
        <v>0</v>
      </c>
      <c r="AF364" s="103"/>
      <c r="AG364" s="103"/>
      <c r="AH364" s="103"/>
      <c r="AI364" s="103"/>
      <c r="AJ364" s="428">
        <f t="shared" si="206"/>
        <v>0</v>
      </c>
      <c r="AK364" s="446"/>
      <c r="AL364" s="446"/>
      <c r="AM364" s="446"/>
      <c r="AN364" s="446"/>
      <c r="AO364" s="446"/>
      <c r="AP364" s="446"/>
      <c r="AQ364" s="446"/>
      <c r="AR364" s="431">
        <f t="shared" si="207"/>
        <v>0</v>
      </c>
      <c r="AT364" s="128"/>
      <c r="AU364" s="100" t="s">
        <v>2025</v>
      </c>
      <c r="AV364" s="128" t="s">
        <v>2081</v>
      </c>
      <c r="AW364" s="100" t="s">
        <v>2668</v>
      </c>
      <c r="AX364" s="433">
        <f t="shared" si="208"/>
        <v>0</v>
      </c>
      <c r="AY364" s="433">
        <f t="shared" si="209"/>
        <v>0</v>
      </c>
      <c r="AZ364" s="433">
        <f t="shared" si="210"/>
        <v>0</v>
      </c>
      <c r="BA364" s="433">
        <f t="shared" si="200"/>
        <v>0</v>
      </c>
      <c r="BB364" s="433">
        <f t="shared" si="201"/>
        <v>0</v>
      </c>
      <c r="BC364" s="433">
        <f t="shared" si="202"/>
        <v>0</v>
      </c>
      <c r="BD364" s="433">
        <f t="shared" si="211"/>
        <v>0</v>
      </c>
      <c r="BE364" s="433">
        <f t="shared" si="212"/>
        <v>0</v>
      </c>
      <c r="BF364" s="433">
        <f t="shared" si="213"/>
        <v>0</v>
      </c>
      <c r="BG364" s="433">
        <f t="shared" si="214"/>
        <v>0</v>
      </c>
      <c r="BH364" s="433">
        <f t="shared" si="215"/>
        <v>0</v>
      </c>
      <c r="BI364" s="433">
        <f t="shared" si="216"/>
        <v>0</v>
      </c>
      <c r="BJ364" s="433">
        <f t="shared" si="217"/>
        <v>0</v>
      </c>
      <c r="BK364" s="433">
        <f t="shared" si="218"/>
        <v>0</v>
      </c>
      <c r="BL364" s="433">
        <f t="shared" si="219"/>
        <v>0</v>
      </c>
      <c r="BM364" s="433">
        <f t="shared" si="220"/>
        <v>0</v>
      </c>
      <c r="BN364" s="433">
        <f t="shared" si="221"/>
        <v>0</v>
      </c>
      <c r="BO364" s="433">
        <f t="shared" si="222"/>
        <v>0</v>
      </c>
      <c r="BP364" s="433">
        <f t="shared" si="223"/>
        <v>0</v>
      </c>
      <c r="BQ364" s="433">
        <f t="shared" si="224"/>
        <v>0</v>
      </c>
    </row>
    <row r="365" spans="1:69" x14ac:dyDescent="0.2">
      <c r="A365" s="102">
        <v>41826</v>
      </c>
      <c r="B365" s="319">
        <v>2</v>
      </c>
      <c r="C365" s="118" t="s">
        <v>2074</v>
      </c>
      <c r="D365" s="111">
        <v>0.76527777777777783</v>
      </c>
      <c r="E365" s="111">
        <v>1</v>
      </c>
      <c r="F365" s="444">
        <v>33</v>
      </c>
      <c r="G365" s="445">
        <v>13</v>
      </c>
      <c r="H365" s="444"/>
      <c r="I365" s="390"/>
      <c r="J365" s="426">
        <f t="shared" si="197"/>
        <v>337.99999999999994</v>
      </c>
      <c r="K365" s="103">
        <v>1</v>
      </c>
      <c r="L365" s="103"/>
      <c r="M365" s="103"/>
      <c r="N365" s="427">
        <f t="shared" si="198"/>
        <v>1</v>
      </c>
      <c r="O365" s="103"/>
      <c r="P365" s="103"/>
      <c r="Q365" s="103"/>
      <c r="R365" s="428">
        <f t="shared" si="199"/>
        <v>0</v>
      </c>
      <c r="S365" s="103"/>
      <c r="T365" s="103"/>
      <c r="U365" s="103"/>
      <c r="V365" s="125"/>
      <c r="W365" s="428">
        <f t="shared" si="203"/>
        <v>0</v>
      </c>
      <c r="X365" s="103"/>
      <c r="Y365" s="103"/>
      <c r="Z365" s="125"/>
      <c r="AA365" s="428">
        <f t="shared" si="204"/>
        <v>0</v>
      </c>
      <c r="AB365" s="103"/>
      <c r="AC365" s="103"/>
      <c r="AD365" s="103"/>
      <c r="AE365" s="428">
        <f t="shared" si="205"/>
        <v>0</v>
      </c>
      <c r="AF365" s="103"/>
      <c r="AG365" s="103"/>
      <c r="AH365" s="103"/>
      <c r="AI365" s="103"/>
      <c r="AJ365" s="428">
        <f t="shared" si="206"/>
        <v>0</v>
      </c>
      <c r="AK365" s="446"/>
      <c r="AL365" s="446"/>
      <c r="AM365" s="446"/>
      <c r="AN365" s="446"/>
      <c r="AO365" s="446"/>
      <c r="AP365" s="446"/>
      <c r="AQ365" s="446"/>
      <c r="AR365" s="431">
        <f t="shared" si="207"/>
        <v>0</v>
      </c>
      <c r="AS365" s="10" t="s">
        <v>2096</v>
      </c>
      <c r="AT365" s="128"/>
      <c r="AU365" s="100" t="s">
        <v>2035</v>
      </c>
      <c r="AV365" s="128" t="s">
        <v>2081</v>
      </c>
      <c r="AW365" s="100" t="s">
        <v>2668</v>
      </c>
      <c r="AX365" s="433">
        <f t="shared" si="208"/>
        <v>1</v>
      </c>
      <c r="AY365" s="433">
        <f t="shared" si="209"/>
        <v>0</v>
      </c>
      <c r="AZ365" s="433">
        <f t="shared" si="210"/>
        <v>0</v>
      </c>
      <c r="BA365" s="433">
        <f t="shared" si="200"/>
        <v>0</v>
      </c>
      <c r="BB365" s="433">
        <f t="shared" si="201"/>
        <v>0</v>
      </c>
      <c r="BC365" s="433">
        <f t="shared" si="202"/>
        <v>0</v>
      </c>
      <c r="BD365" s="433">
        <f t="shared" si="211"/>
        <v>0</v>
      </c>
      <c r="BE365" s="433">
        <f t="shared" si="212"/>
        <v>0</v>
      </c>
      <c r="BF365" s="433">
        <f t="shared" si="213"/>
        <v>0</v>
      </c>
      <c r="BG365" s="433">
        <f t="shared" si="214"/>
        <v>0</v>
      </c>
      <c r="BH365" s="433">
        <f t="shared" si="215"/>
        <v>0</v>
      </c>
      <c r="BI365" s="433">
        <f t="shared" si="216"/>
        <v>0</v>
      </c>
      <c r="BJ365" s="433">
        <f t="shared" si="217"/>
        <v>0</v>
      </c>
      <c r="BK365" s="433">
        <f t="shared" si="218"/>
        <v>0</v>
      </c>
      <c r="BL365" s="433">
        <f t="shared" si="219"/>
        <v>0</v>
      </c>
      <c r="BM365" s="433">
        <f t="shared" si="220"/>
        <v>0</v>
      </c>
      <c r="BN365" s="433">
        <f t="shared" si="221"/>
        <v>0</v>
      </c>
      <c r="BO365" s="433">
        <f t="shared" si="222"/>
        <v>0</v>
      </c>
      <c r="BP365" s="433">
        <f t="shared" si="223"/>
        <v>0</v>
      </c>
      <c r="BQ365" s="433">
        <f t="shared" si="224"/>
        <v>0</v>
      </c>
    </row>
    <row r="366" spans="1:69" x14ac:dyDescent="0.2">
      <c r="A366" s="102">
        <v>41826</v>
      </c>
      <c r="B366" s="319">
        <v>3</v>
      </c>
      <c r="C366" s="118" t="s">
        <v>2078</v>
      </c>
      <c r="D366" s="111">
        <v>0</v>
      </c>
      <c r="E366" s="111">
        <v>0.41597222222222219</v>
      </c>
      <c r="F366" s="444">
        <v>42</v>
      </c>
      <c r="G366" s="445">
        <v>13</v>
      </c>
      <c r="H366" s="444"/>
      <c r="I366" s="390"/>
      <c r="J366" s="426">
        <f t="shared" si="197"/>
        <v>599</v>
      </c>
      <c r="K366" s="103">
        <v>6</v>
      </c>
      <c r="L366" s="103"/>
      <c r="M366" s="103"/>
      <c r="N366" s="427">
        <f t="shared" si="198"/>
        <v>6</v>
      </c>
      <c r="O366" s="103"/>
      <c r="P366" s="103">
        <v>1</v>
      </c>
      <c r="Q366" s="103"/>
      <c r="R366" s="428">
        <f t="shared" si="199"/>
        <v>1</v>
      </c>
      <c r="S366" s="103"/>
      <c r="T366" s="103"/>
      <c r="U366" s="103"/>
      <c r="V366" s="125"/>
      <c r="W366" s="428">
        <f t="shared" si="203"/>
        <v>0</v>
      </c>
      <c r="X366" s="103"/>
      <c r="Y366" s="103"/>
      <c r="Z366" s="125"/>
      <c r="AA366" s="428">
        <f t="shared" si="204"/>
        <v>0</v>
      </c>
      <c r="AB366" s="103"/>
      <c r="AC366" s="103"/>
      <c r="AD366" s="103"/>
      <c r="AE366" s="428">
        <f t="shared" si="205"/>
        <v>0</v>
      </c>
      <c r="AF366" s="103"/>
      <c r="AG366" s="103"/>
      <c r="AH366" s="103"/>
      <c r="AI366" s="103"/>
      <c r="AJ366" s="428">
        <f t="shared" si="206"/>
        <v>0</v>
      </c>
      <c r="AK366" s="446">
        <v>5</v>
      </c>
      <c r="AL366" s="446"/>
      <c r="AM366" s="446">
        <v>1</v>
      </c>
      <c r="AN366" s="446"/>
      <c r="AO366" s="446"/>
      <c r="AP366" s="446"/>
      <c r="AQ366" s="446"/>
      <c r="AR366" s="431">
        <f t="shared" si="207"/>
        <v>6</v>
      </c>
      <c r="AT366" s="128"/>
      <c r="AU366" s="100" t="s">
        <v>2037</v>
      </c>
      <c r="AV366" s="128" t="s">
        <v>2081</v>
      </c>
      <c r="AW366" s="100" t="s">
        <v>2668</v>
      </c>
      <c r="AX366" s="433">
        <f t="shared" si="208"/>
        <v>6</v>
      </c>
      <c r="AY366" s="433">
        <f t="shared" si="209"/>
        <v>0</v>
      </c>
      <c r="AZ366" s="433">
        <f t="shared" si="210"/>
        <v>0</v>
      </c>
      <c r="BA366" s="433">
        <f t="shared" si="200"/>
        <v>0</v>
      </c>
      <c r="BB366" s="433">
        <f t="shared" si="201"/>
        <v>1</v>
      </c>
      <c r="BC366" s="433">
        <f t="shared" si="202"/>
        <v>0</v>
      </c>
      <c r="BD366" s="433">
        <f t="shared" si="211"/>
        <v>0</v>
      </c>
      <c r="BE366" s="433">
        <f t="shared" si="212"/>
        <v>0</v>
      </c>
      <c r="BF366" s="433">
        <f t="shared" si="213"/>
        <v>0</v>
      </c>
      <c r="BG366" s="433">
        <f t="shared" si="214"/>
        <v>0</v>
      </c>
      <c r="BH366" s="433">
        <f t="shared" si="215"/>
        <v>0</v>
      </c>
      <c r="BI366" s="433">
        <f t="shared" si="216"/>
        <v>0</v>
      </c>
      <c r="BJ366" s="433">
        <f t="shared" si="217"/>
        <v>0</v>
      </c>
      <c r="BK366" s="433">
        <f t="shared" si="218"/>
        <v>0</v>
      </c>
      <c r="BL366" s="433">
        <f t="shared" si="219"/>
        <v>0</v>
      </c>
      <c r="BM366" s="433">
        <f t="shared" si="220"/>
        <v>0</v>
      </c>
      <c r="BN366" s="433">
        <f t="shared" si="221"/>
        <v>0</v>
      </c>
      <c r="BO366" s="433">
        <f t="shared" si="222"/>
        <v>0</v>
      </c>
      <c r="BP366" s="433">
        <f t="shared" si="223"/>
        <v>0</v>
      </c>
      <c r="BQ366" s="433">
        <f t="shared" si="224"/>
        <v>0</v>
      </c>
    </row>
    <row r="367" spans="1:69" x14ac:dyDescent="0.2">
      <c r="A367" s="102">
        <v>41826</v>
      </c>
      <c r="B367" s="319">
        <v>3</v>
      </c>
      <c r="C367" s="118" t="s">
        <v>2074</v>
      </c>
      <c r="D367" s="111">
        <v>0.41597222222222219</v>
      </c>
      <c r="E367" s="111">
        <v>0.59583333333333333</v>
      </c>
      <c r="F367" s="444">
        <v>39</v>
      </c>
      <c r="G367" s="445">
        <v>12</v>
      </c>
      <c r="H367" s="444"/>
      <c r="I367" s="390"/>
      <c r="J367" s="426">
        <v>231</v>
      </c>
      <c r="K367" s="103">
        <v>4</v>
      </c>
      <c r="L367" s="103"/>
      <c r="M367" s="103"/>
      <c r="N367" s="427">
        <f t="shared" si="198"/>
        <v>4</v>
      </c>
      <c r="O367" s="103"/>
      <c r="P367" s="103">
        <v>3</v>
      </c>
      <c r="Q367" s="103"/>
      <c r="R367" s="428">
        <f t="shared" si="199"/>
        <v>3</v>
      </c>
      <c r="S367" s="103"/>
      <c r="T367" s="103"/>
      <c r="U367" s="103"/>
      <c r="V367" s="125"/>
      <c r="W367" s="428">
        <f t="shared" si="203"/>
        <v>0</v>
      </c>
      <c r="X367" s="103"/>
      <c r="Y367" s="103"/>
      <c r="Z367" s="125"/>
      <c r="AA367" s="428">
        <f t="shared" si="204"/>
        <v>0</v>
      </c>
      <c r="AB367" s="103"/>
      <c r="AC367" s="103"/>
      <c r="AD367" s="103"/>
      <c r="AE367" s="428">
        <f t="shared" si="205"/>
        <v>0</v>
      </c>
      <c r="AF367" s="103"/>
      <c r="AG367" s="103"/>
      <c r="AH367" s="103"/>
      <c r="AI367" s="103"/>
      <c r="AJ367" s="428">
        <f t="shared" si="206"/>
        <v>0</v>
      </c>
      <c r="AK367" s="446"/>
      <c r="AL367" s="446"/>
      <c r="AM367" s="446"/>
      <c r="AN367" s="446"/>
      <c r="AO367" s="446"/>
      <c r="AP367" s="446"/>
      <c r="AQ367" s="446"/>
      <c r="AR367" s="431">
        <f t="shared" si="207"/>
        <v>0</v>
      </c>
      <c r="AS367" s="10" t="s">
        <v>2097</v>
      </c>
      <c r="AT367" s="128"/>
      <c r="AU367" s="100" t="s">
        <v>2035</v>
      </c>
      <c r="AV367" s="128" t="s">
        <v>2081</v>
      </c>
      <c r="AW367" s="100" t="s">
        <v>2668</v>
      </c>
      <c r="AX367" s="433">
        <f t="shared" si="208"/>
        <v>4</v>
      </c>
      <c r="AY367" s="433">
        <f t="shared" si="209"/>
        <v>0</v>
      </c>
      <c r="AZ367" s="433">
        <f t="shared" si="210"/>
        <v>0</v>
      </c>
      <c r="BA367" s="433">
        <f t="shared" si="200"/>
        <v>0</v>
      </c>
      <c r="BB367" s="433">
        <f t="shared" si="201"/>
        <v>3</v>
      </c>
      <c r="BC367" s="433">
        <f t="shared" si="202"/>
        <v>0</v>
      </c>
      <c r="BD367" s="433">
        <f t="shared" si="211"/>
        <v>0</v>
      </c>
      <c r="BE367" s="433">
        <f t="shared" si="212"/>
        <v>0</v>
      </c>
      <c r="BF367" s="433">
        <f t="shared" si="213"/>
        <v>0</v>
      </c>
      <c r="BG367" s="433">
        <f t="shared" si="214"/>
        <v>0</v>
      </c>
      <c r="BH367" s="433">
        <f t="shared" si="215"/>
        <v>0</v>
      </c>
      <c r="BI367" s="433">
        <f t="shared" si="216"/>
        <v>0</v>
      </c>
      <c r="BJ367" s="433">
        <f t="shared" si="217"/>
        <v>0</v>
      </c>
      <c r="BK367" s="433">
        <f t="shared" si="218"/>
        <v>0</v>
      </c>
      <c r="BL367" s="433">
        <f t="shared" si="219"/>
        <v>0</v>
      </c>
      <c r="BM367" s="433">
        <f t="shared" si="220"/>
        <v>0</v>
      </c>
      <c r="BN367" s="433">
        <f t="shared" si="221"/>
        <v>0</v>
      </c>
      <c r="BO367" s="433">
        <f t="shared" si="222"/>
        <v>0</v>
      </c>
      <c r="BP367" s="433">
        <f t="shared" si="223"/>
        <v>0</v>
      </c>
      <c r="BQ367" s="433">
        <f t="shared" si="224"/>
        <v>0</v>
      </c>
    </row>
    <row r="368" spans="1:69" x14ac:dyDescent="0.2">
      <c r="A368" s="102">
        <v>41826</v>
      </c>
      <c r="B368" s="319">
        <v>3</v>
      </c>
      <c r="C368" s="118" t="s">
        <v>2067</v>
      </c>
      <c r="D368" s="111">
        <v>0.59583333333333333</v>
      </c>
      <c r="E368" s="111">
        <v>0.78333333333333333</v>
      </c>
      <c r="F368" s="444">
        <v>39</v>
      </c>
      <c r="G368" s="445">
        <v>12</v>
      </c>
      <c r="H368" s="444"/>
      <c r="I368" s="390"/>
      <c r="J368" s="426">
        <f t="shared" si="197"/>
        <v>270</v>
      </c>
      <c r="K368" s="103">
        <v>1</v>
      </c>
      <c r="L368" s="103"/>
      <c r="M368" s="103"/>
      <c r="N368" s="427">
        <f t="shared" si="198"/>
        <v>1</v>
      </c>
      <c r="O368" s="103">
        <v>1</v>
      </c>
      <c r="P368" s="103">
        <v>1</v>
      </c>
      <c r="Q368" s="103"/>
      <c r="R368" s="428">
        <f t="shared" si="199"/>
        <v>2</v>
      </c>
      <c r="S368" s="103"/>
      <c r="T368" s="103"/>
      <c r="U368" s="103"/>
      <c r="V368" s="125"/>
      <c r="W368" s="428">
        <f t="shared" si="203"/>
        <v>0</v>
      </c>
      <c r="X368" s="103"/>
      <c r="Y368" s="103"/>
      <c r="Z368" s="125"/>
      <c r="AA368" s="428">
        <f t="shared" si="204"/>
        <v>0</v>
      </c>
      <c r="AB368" s="103"/>
      <c r="AC368" s="103"/>
      <c r="AD368" s="103"/>
      <c r="AE368" s="428">
        <f t="shared" si="205"/>
        <v>0</v>
      </c>
      <c r="AF368" s="103"/>
      <c r="AG368" s="103"/>
      <c r="AH368" s="103"/>
      <c r="AI368" s="103"/>
      <c r="AJ368" s="428">
        <f t="shared" si="206"/>
        <v>0</v>
      </c>
      <c r="AK368" s="446">
        <v>1</v>
      </c>
      <c r="AL368" s="446"/>
      <c r="AM368" s="446">
        <v>1</v>
      </c>
      <c r="AN368" s="446"/>
      <c r="AO368" s="446"/>
      <c r="AP368" s="446"/>
      <c r="AQ368" s="446"/>
      <c r="AR368" s="431">
        <f t="shared" si="207"/>
        <v>2</v>
      </c>
      <c r="AT368" s="128"/>
      <c r="AU368" s="100" t="s">
        <v>2037</v>
      </c>
      <c r="AV368" s="128" t="s">
        <v>2081</v>
      </c>
      <c r="AW368" s="100" t="s">
        <v>2668</v>
      </c>
      <c r="AX368" s="433">
        <f t="shared" si="208"/>
        <v>1</v>
      </c>
      <c r="AY368" s="433">
        <f t="shared" si="209"/>
        <v>0</v>
      </c>
      <c r="AZ368" s="433">
        <f t="shared" si="210"/>
        <v>0</v>
      </c>
      <c r="BA368" s="433">
        <f t="shared" si="200"/>
        <v>1</v>
      </c>
      <c r="BB368" s="433">
        <f t="shared" si="201"/>
        <v>1</v>
      </c>
      <c r="BC368" s="433">
        <f t="shared" si="202"/>
        <v>0</v>
      </c>
      <c r="BD368" s="433">
        <f t="shared" si="211"/>
        <v>0</v>
      </c>
      <c r="BE368" s="433">
        <f t="shared" si="212"/>
        <v>0</v>
      </c>
      <c r="BF368" s="433">
        <f t="shared" si="213"/>
        <v>0</v>
      </c>
      <c r="BG368" s="433">
        <f t="shared" si="214"/>
        <v>0</v>
      </c>
      <c r="BH368" s="433">
        <f t="shared" si="215"/>
        <v>0</v>
      </c>
      <c r="BI368" s="433">
        <f t="shared" si="216"/>
        <v>0</v>
      </c>
      <c r="BJ368" s="433">
        <f t="shared" si="217"/>
        <v>0</v>
      </c>
      <c r="BK368" s="433">
        <f t="shared" si="218"/>
        <v>0</v>
      </c>
      <c r="BL368" s="433">
        <f t="shared" si="219"/>
        <v>0</v>
      </c>
      <c r="BM368" s="433">
        <f t="shared" si="220"/>
        <v>0</v>
      </c>
      <c r="BN368" s="433">
        <f t="shared" si="221"/>
        <v>0</v>
      </c>
      <c r="BO368" s="433">
        <f t="shared" si="222"/>
        <v>0</v>
      </c>
      <c r="BP368" s="433">
        <f t="shared" si="223"/>
        <v>0</v>
      </c>
      <c r="BQ368" s="433">
        <f t="shared" si="224"/>
        <v>0</v>
      </c>
    </row>
    <row r="369" spans="1:69" s="291" customFormat="1" x14ac:dyDescent="0.2">
      <c r="A369" s="317">
        <v>41826</v>
      </c>
      <c r="B369" s="318">
        <v>3</v>
      </c>
      <c r="C369" s="320" t="s">
        <v>2079</v>
      </c>
      <c r="D369" s="321">
        <v>0.78333333333333333</v>
      </c>
      <c r="E369" s="321">
        <v>1</v>
      </c>
      <c r="F369" s="434">
        <v>42</v>
      </c>
      <c r="G369" s="435">
        <v>12</v>
      </c>
      <c r="H369" s="434"/>
      <c r="I369" s="436"/>
      <c r="J369" s="437">
        <f t="shared" si="197"/>
        <v>312</v>
      </c>
      <c r="K369" s="285">
        <v>1</v>
      </c>
      <c r="L369" s="285">
        <v>1</v>
      </c>
      <c r="M369" s="285">
        <v>1</v>
      </c>
      <c r="N369" s="438">
        <f t="shared" si="198"/>
        <v>3</v>
      </c>
      <c r="O369" s="285">
        <v>1</v>
      </c>
      <c r="P369" s="285">
        <v>2</v>
      </c>
      <c r="Q369" s="285"/>
      <c r="R369" s="439">
        <f t="shared" si="199"/>
        <v>3</v>
      </c>
      <c r="S369" s="285"/>
      <c r="T369" s="285"/>
      <c r="U369" s="285"/>
      <c r="V369" s="440"/>
      <c r="W369" s="439">
        <f t="shared" si="203"/>
        <v>0</v>
      </c>
      <c r="X369" s="285"/>
      <c r="Y369" s="285"/>
      <c r="Z369" s="440"/>
      <c r="AA369" s="439">
        <f t="shared" si="204"/>
        <v>0</v>
      </c>
      <c r="AB369" s="285"/>
      <c r="AC369" s="285"/>
      <c r="AD369" s="285"/>
      <c r="AE369" s="439">
        <f t="shared" si="205"/>
        <v>0</v>
      </c>
      <c r="AF369" s="285"/>
      <c r="AG369" s="285"/>
      <c r="AH369" s="285"/>
      <c r="AI369" s="285"/>
      <c r="AJ369" s="439">
        <f t="shared" si="206"/>
        <v>0</v>
      </c>
      <c r="AK369" s="340"/>
      <c r="AL369" s="340"/>
      <c r="AM369" s="340"/>
      <c r="AN369" s="340"/>
      <c r="AO369" s="340"/>
      <c r="AP369" s="340"/>
      <c r="AQ369" s="340"/>
      <c r="AR369" s="441">
        <f t="shared" si="207"/>
        <v>0</v>
      </c>
      <c r="AS369" s="291" t="s">
        <v>2098</v>
      </c>
      <c r="AT369" s="313"/>
      <c r="AU369" s="289" t="s">
        <v>2021</v>
      </c>
      <c r="AV369" s="313" t="s">
        <v>2081</v>
      </c>
      <c r="AW369" s="382" t="s">
        <v>2668</v>
      </c>
      <c r="AX369" s="443">
        <f t="shared" si="208"/>
        <v>1</v>
      </c>
      <c r="AY369" s="443">
        <f t="shared" si="209"/>
        <v>1</v>
      </c>
      <c r="AZ369" s="443">
        <f t="shared" si="210"/>
        <v>1</v>
      </c>
      <c r="BA369" s="443">
        <f t="shared" si="200"/>
        <v>1</v>
      </c>
      <c r="BB369" s="443">
        <f t="shared" si="201"/>
        <v>2</v>
      </c>
      <c r="BC369" s="443">
        <f t="shared" si="202"/>
        <v>0</v>
      </c>
      <c r="BD369" s="443">
        <f t="shared" si="211"/>
        <v>0</v>
      </c>
      <c r="BE369" s="443">
        <f t="shared" si="212"/>
        <v>0</v>
      </c>
      <c r="BF369" s="443">
        <f t="shared" si="213"/>
        <v>0</v>
      </c>
      <c r="BG369" s="443">
        <f t="shared" si="214"/>
        <v>0</v>
      </c>
      <c r="BH369" s="443">
        <f t="shared" si="215"/>
        <v>0</v>
      </c>
      <c r="BI369" s="443">
        <f t="shared" si="216"/>
        <v>0</v>
      </c>
      <c r="BJ369" s="443">
        <f t="shared" si="217"/>
        <v>0</v>
      </c>
      <c r="BK369" s="443">
        <f t="shared" si="218"/>
        <v>0</v>
      </c>
      <c r="BL369" s="443">
        <f t="shared" si="219"/>
        <v>0</v>
      </c>
      <c r="BM369" s="443">
        <f t="shared" si="220"/>
        <v>0</v>
      </c>
      <c r="BN369" s="443">
        <f t="shared" si="221"/>
        <v>0</v>
      </c>
      <c r="BO369" s="443">
        <f t="shared" si="222"/>
        <v>0</v>
      </c>
      <c r="BP369" s="443">
        <f t="shared" si="223"/>
        <v>0</v>
      </c>
      <c r="BQ369" s="443">
        <f t="shared" si="224"/>
        <v>0</v>
      </c>
    </row>
    <row r="370" spans="1:69" x14ac:dyDescent="0.2">
      <c r="A370" s="102">
        <v>41827</v>
      </c>
      <c r="B370" s="319">
        <v>1</v>
      </c>
      <c r="C370" s="118" t="s">
        <v>2486</v>
      </c>
      <c r="D370" s="111">
        <v>0</v>
      </c>
      <c r="E370" s="111">
        <v>0.39374999999999999</v>
      </c>
      <c r="F370" s="444">
        <v>39</v>
      </c>
      <c r="G370" s="445">
        <v>10</v>
      </c>
      <c r="H370" s="444"/>
      <c r="I370" s="390"/>
      <c r="J370" s="426">
        <f t="shared" si="197"/>
        <v>567</v>
      </c>
      <c r="K370" s="103">
        <v>5</v>
      </c>
      <c r="L370" s="103"/>
      <c r="M370" s="103"/>
      <c r="N370" s="427">
        <f t="shared" si="198"/>
        <v>5</v>
      </c>
      <c r="O370" s="103"/>
      <c r="P370" s="103"/>
      <c r="Q370" s="103"/>
      <c r="R370" s="428">
        <f t="shared" si="199"/>
        <v>0</v>
      </c>
      <c r="S370" s="103"/>
      <c r="T370" s="103"/>
      <c r="U370" s="103"/>
      <c r="V370" s="125"/>
      <c r="W370" s="428">
        <f t="shared" si="203"/>
        <v>0</v>
      </c>
      <c r="X370" s="103"/>
      <c r="Y370" s="103"/>
      <c r="Z370" s="125"/>
      <c r="AA370" s="428">
        <f t="shared" si="204"/>
        <v>0</v>
      </c>
      <c r="AB370" s="103"/>
      <c r="AC370" s="103"/>
      <c r="AD370" s="103"/>
      <c r="AE370" s="428">
        <f t="shared" si="205"/>
        <v>0</v>
      </c>
      <c r="AF370" s="103"/>
      <c r="AG370" s="103"/>
      <c r="AH370" s="103"/>
      <c r="AI370" s="103"/>
      <c r="AJ370" s="428">
        <f t="shared" si="206"/>
        <v>0</v>
      </c>
      <c r="AK370" s="446"/>
      <c r="AL370" s="446"/>
      <c r="AM370" s="446"/>
      <c r="AN370" s="446"/>
      <c r="AO370" s="446">
        <v>1</v>
      </c>
      <c r="AP370" s="446"/>
      <c r="AQ370" s="446"/>
      <c r="AR370" s="431">
        <f t="shared" si="207"/>
        <v>1</v>
      </c>
      <c r="AS370" s="10" t="s">
        <v>2487</v>
      </c>
      <c r="AT370" s="128"/>
      <c r="AU370" s="100" t="s">
        <v>2488</v>
      </c>
      <c r="AV370" s="128" t="s">
        <v>2546</v>
      </c>
      <c r="AW370" s="100" t="s">
        <v>2669</v>
      </c>
      <c r="AX370" s="433">
        <f t="shared" si="208"/>
        <v>5</v>
      </c>
      <c r="AY370" s="433">
        <f t="shared" si="209"/>
        <v>0</v>
      </c>
      <c r="AZ370" s="433">
        <f t="shared" si="210"/>
        <v>0</v>
      </c>
      <c r="BA370" s="433">
        <f t="shared" si="200"/>
        <v>0</v>
      </c>
      <c r="BB370" s="433">
        <f t="shared" si="201"/>
        <v>0</v>
      </c>
      <c r="BC370" s="433">
        <f t="shared" si="202"/>
        <v>0</v>
      </c>
      <c r="BD370" s="433">
        <f t="shared" si="211"/>
        <v>0</v>
      </c>
      <c r="BE370" s="433">
        <f t="shared" si="212"/>
        <v>0</v>
      </c>
      <c r="BF370" s="433">
        <f t="shared" si="213"/>
        <v>0</v>
      </c>
      <c r="BG370" s="433">
        <f t="shared" si="214"/>
        <v>0</v>
      </c>
      <c r="BH370" s="433">
        <f t="shared" si="215"/>
        <v>0</v>
      </c>
      <c r="BI370" s="433">
        <f t="shared" si="216"/>
        <v>0</v>
      </c>
      <c r="BJ370" s="433">
        <f t="shared" si="217"/>
        <v>0</v>
      </c>
      <c r="BK370" s="433">
        <f t="shared" si="218"/>
        <v>0</v>
      </c>
      <c r="BL370" s="433">
        <f t="shared" si="219"/>
        <v>0</v>
      </c>
      <c r="BM370" s="433">
        <f t="shared" si="220"/>
        <v>0</v>
      </c>
      <c r="BN370" s="433">
        <f t="shared" si="221"/>
        <v>0</v>
      </c>
      <c r="BO370" s="433">
        <f t="shared" si="222"/>
        <v>0</v>
      </c>
      <c r="BP370" s="433">
        <f t="shared" si="223"/>
        <v>0</v>
      </c>
      <c r="BQ370" s="433">
        <f t="shared" si="224"/>
        <v>0</v>
      </c>
    </row>
    <row r="371" spans="1:69" x14ac:dyDescent="0.2">
      <c r="A371" s="102">
        <v>41827</v>
      </c>
      <c r="B371" s="319">
        <v>1</v>
      </c>
      <c r="C371" s="118" t="s">
        <v>2489</v>
      </c>
      <c r="D371" s="111">
        <v>0.39374999999999999</v>
      </c>
      <c r="E371" s="111">
        <v>0.59444444444444444</v>
      </c>
      <c r="F371" s="444">
        <v>41</v>
      </c>
      <c r="G371" s="445">
        <v>10</v>
      </c>
      <c r="H371" s="444"/>
      <c r="I371" s="390"/>
      <c r="J371" s="426">
        <f>((E371-D371)*24*60)-17</f>
        <v>272</v>
      </c>
      <c r="K371" s="103"/>
      <c r="L371" s="103"/>
      <c r="M371" s="103"/>
      <c r="N371" s="427">
        <f t="shared" si="198"/>
        <v>0</v>
      </c>
      <c r="O371" s="103"/>
      <c r="P371" s="103"/>
      <c r="Q371" s="103"/>
      <c r="R371" s="428">
        <f t="shared" si="199"/>
        <v>0</v>
      </c>
      <c r="S371" s="103"/>
      <c r="T371" s="103"/>
      <c r="U371" s="103"/>
      <c r="V371" s="125"/>
      <c r="W371" s="428">
        <f t="shared" si="203"/>
        <v>0</v>
      </c>
      <c r="X371" s="103"/>
      <c r="Y371" s="103"/>
      <c r="Z371" s="125"/>
      <c r="AA371" s="428">
        <f t="shared" si="204"/>
        <v>0</v>
      </c>
      <c r="AB371" s="103"/>
      <c r="AC371" s="103"/>
      <c r="AD371" s="103"/>
      <c r="AE371" s="428">
        <f t="shared" si="205"/>
        <v>0</v>
      </c>
      <c r="AF371" s="103"/>
      <c r="AG371" s="103"/>
      <c r="AH371" s="103"/>
      <c r="AI371" s="103"/>
      <c r="AJ371" s="428">
        <f t="shared" si="206"/>
        <v>0</v>
      </c>
      <c r="AK371" s="446"/>
      <c r="AL371" s="446"/>
      <c r="AM371" s="446"/>
      <c r="AN371" s="446"/>
      <c r="AO371" s="446">
        <v>1</v>
      </c>
      <c r="AP371" s="446"/>
      <c r="AQ371" s="446"/>
      <c r="AR371" s="431">
        <f t="shared" si="207"/>
        <v>1</v>
      </c>
      <c r="AS371" s="10" t="s">
        <v>2490</v>
      </c>
      <c r="AT371" s="128"/>
      <c r="AU371" s="100" t="s">
        <v>2491</v>
      </c>
      <c r="AV371" s="128" t="s">
        <v>2546</v>
      </c>
      <c r="AW371" s="100" t="s">
        <v>2669</v>
      </c>
      <c r="AX371" s="433">
        <f t="shared" si="208"/>
        <v>0</v>
      </c>
      <c r="AY371" s="433">
        <f t="shared" si="209"/>
        <v>0</v>
      </c>
      <c r="AZ371" s="433">
        <f t="shared" si="210"/>
        <v>0</v>
      </c>
      <c r="BA371" s="433">
        <f t="shared" si="200"/>
        <v>0</v>
      </c>
      <c r="BB371" s="433">
        <f t="shared" si="201"/>
        <v>0</v>
      </c>
      <c r="BC371" s="433">
        <f t="shared" si="202"/>
        <v>0</v>
      </c>
      <c r="BD371" s="433">
        <f t="shared" si="211"/>
        <v>0</v>
      </c>
      <c r="BE371" s="433">
        <f t="shared" si="212"/>
        <v>0</v>
      </c>
      <c r="BF371" s="433">
        <f t="shared" si="213"/>
        <v>0</v>
      </c>
      <c r="BG371" s="433">
        <f t="shared" si="214"/>
        <v>0</v>
      </c>
      <c r="BH371" s="433">
        <f t="shared" si="215"/>
        <v>0</v>
      </c>
      <c r="BI371" s="433">
        <f t="shared" si="216"/>
        <v>0</v>
      </c>
      <c r="BJ371" s="433">
        <f t="shared" si="217"/>
        <v>0</v>
      </c>
      <c r="BK371" s="433">
        <f t="shared" si="218"/>
        <v>0</v>
      </c>
      <c r="BL371" s="433">
        <f t="shared" si="219"/>
        <v>0</v>
      </c>
      <c r="BM371" s="433">
        <f t="shared" si="220"/>
        <v>0</v>
      </c>
      <c r="BN371" s="433">
        <f t="shared" si="221"/>
        <v>0</v>
      </c>
      <c r="BO371" s="433">
        <f t="shared" si="222"/>
        <v>0</v>
      </c>
      <c r="BP371" s="433">
        <f t="shared" si="223"/>
        <v>0</v>
      </c>
      <c r="BQ371" s="433">
        <f t="shared" si="224"/>
        <v>0</v>
      </c>
    </row>
    <row r="372" spans="1:69" x14ac:dyDescent="0.2">
      <c r="A372" s="102">
        <v>41827</v>
      </c>
      <c r="B372" s="319">
        <v>1</v>
      </c>
      <c r="C372" s="118" t="s">
        <v>2492</v>
      </c>
      <c r="D372" s="111">
        <v>0.59444444444444444</v>
      </c>
      <c r="E372" s="111">
        <v>0.78611111111111109</v>
      </c>
      <c r="F372" s="444">
        <v>36</v>
      </c>
      <c r="G372" s="445">
        <v>11</v>
      </c>
      <c r="H372" s="444"/>
      <c r="I372" s="390"/>
      <c r="J372" s="426">
        <f t="shared" si="197"/>
        <v>276</v>
      </c>
      <c r="K372" s="103"/>
      <c r="L372" s="103"/>
      <c r="M372" s="103"/>
      <c r="N372" s="427">
        <f t="shared" si="198"/>
        <v>0</v>
      </c>
      <c r="O372" s="103"/>
      <c r="P372" s="103"/>
      <c r="Q372" s="103"/>
      <c r="R372" s="428">
        <f t="shared" si="199"/>
        <v>0</v>
      </c>
      <c r="S372" s="103"/>
      <c r="T372" s="103"/>
      <c r="U372" s="103"/>
      <c r="V372" s="125"/>
      <c r="W372" s="428">
        <f t="shared" si="203"/>
        <v>0</v>
      </c>
      <c r="X372" s="103"/>
      <c r="Y372" s="103"/>
      <c r="Z372" s="125"/>
      <c r="AA372" s="428">
        <f t="shared" si="204"/>
        <v>0</v>
      </c>
      <c r="AB372" s="103"/>
      <c r="AC372" s="103"/>
      <c r="AD372" s="103"/>
      <c r="AE372" s="428">
        <f t="shared" si="205"/>
        <v>0</v>
      </c>
      <c r="AF372" s="103"/>
      <c r="AG372" s="103"/>
      <c r="AH372" s="103"/>
      <c r="AI372" s="103"/>
      <c r="AJ372" s="428">
        <f t="shared" si="206"/>
        <v>0</v>
      </c>
      <c r="AK372" s="446"/>
      <c r="AL372" s="446"/>
      <c r="AM372" s="446"/>
      <c r="AN372" s="446"/>
      <c r="AO372" s="446"/>
      <c r="AP372" s="446"/>
      <c r="AQ372" s="446"/>
      <c r="AR372" s="431">
        <f t="shared" si="207"/>
        <v>0</v>
      </c>
      <c r="AS372" s="10" t="s">
        <v>424</v>
      </c>
      <c r="AT372" s="128"/>
      <c r="AU372" s="100" t="s">
        <v>2488</v>
      </c>
      <c r="AV372" s="128" t="s">
        <v>2546</v>
      </c>
      <c r="AW372" s="100" t="s">
        <v>2669</v>
      </c>
      <c r="AX372" s="433">
        <f t="shared" si="208"/>
        <v>0</v>
      </c>
      <c r="AY372" s="433">
        <f t="shared" si="209"/>
        <v>0</v>
      </c>
      <c r="AZ372" s="433">
        <f t="shared" si="210"/>
        <v>0</v>
      </c>
      <c r="BA372" s="433">
        <f t="shared" si="200"/>
        <v>0</v>
      </c>
      <c r="BB372" s="433">
        <f t="shared" si="201"/>
        <v>0</v>
      </c>
      <c r="BC372" s="433">
        <f t="shared" si="202"/>
        <v>0</v>
      </c>
      <c r="BD372" s="433">
        <f t="shared" si="211"/>
        <v>0</v>
      </c>
      <c r="BE372" s="433">
        <f t="shared" si="212"/>
        <v>0</v>
      </c>
      <c r="BF372" s="433">
        <f t="shared" si="213"/>
        <v>0</v>
      </c>
      <c r="BG372" s="433">
        <f t="shared" si="214"/>
        <v>0</v>
      </c>
      <c r="BH372" s="433">
        <f t="shared" si="215"/>
        <v>0</v>
      </c>
      <c r="BI372" s="433">
        <f t="shared" si="216"/>
        <v>0</v>
      </c>
      <c r="BJ372" s="433">
        <f t="shared" si="217"/>
        <v>0</v>
      </c>
      <c r="BK372" s="433">
        <f t="shared" si="218"/>
        <v>0</v>
      </c>
      <c r="BL372" s="433">
        <f t="shared" si="219"/>
        <v>0</v>
      </c>
      <c r="BM372" s="433">
        <f t="shared" si="220"/>
        <v>0</v>
      </c>
      <c r="BN372" s="433">
        <f t="shared" si="221"/>
        <v>0</v>
      </c>
      <c r="BO372" s="433">
        <f t="shared" si="222"/>
        <v>0</v>
      </c>
      <c r="BP372" s="433">
        <f t="shared" si="223"/>
        <v>0</v>
      </c>
      <c r="BQ372" s="433">
        <f t="shared" si="224"/>
        <v>0</v>
      </c>
    </row>
    <row r="373" spans="1:69" x14ac:dyDescent="0.2">
      <c r="A373" s="102">
        <v>41827</v>
      </c>
      <c r="B373" s="319">
        <v>1</v>
      </c>
      <c r="C373" s="118" t="s">
        <v>1556</v>
      </c>
      <c r="D373" s="111">
        <v>0.78611111111111109</v>
      </c>
      <c r="E373" s="111">
        <v>1</v>
      </c>
      <c r="F373" s="444">
        <v>34</v>
      </c>
      <c r="G373" s="445">
        <v>10</v>
      </c>
      <c r="H373" s="444"/>
      <c r="I373" s="390"/>
      <c r="J373" s="426">
        <f>((E373-D373)*24*60)-20</f>
        <v>288</v>
      </c>
      <c r="K373" s="103">
        <v>2</v>
      </c>
      <c r="L373" s="103"/>
      <c r="M373" s="103"/>
      <c r="N373" s="427">
        <f t="shared" si="198"/>
        <v>2</v>
      </c>
      <c r="O373" s="103"/>
      <c r="P373" s="103"/>
      <c r="Q373" s="103"/>
      <c r="R373" s="428">
        <f t="shared" si="199"/>
        <v>0</v>
      </c>
      <c r="S373" s="103"/>
      <c r="T373" s="103"/>
      <c r="U373" s="103"/>
      <c r="V373" s="125"/>
      <c r="W373" s="428">
        <f t="shared" si="203"/>
        <v>0</v>
      </c>
      <c r="X373" s="103"/>
      <c r="Y373" s="103"/>
      <c r="Z373" s="125"/>
      <c r="AA373" s="428">
        <f t="shared" si="204"/>
        <v>0</v>
      </c>
      <c r="AB373" s="103"/>
      <c r="AC373" s="103"/>
      <c r="AD373" s="103"/>
      <c r="AE373" s="428">
        <f t="shared" si="205"/>
        <v>0</v>
      </c>
      <c r="AF373" s="103"/>
      <c r="AG373" s="103"/>
      <c r="AH373" s="103"/>
      <c r="AI373" s="103"/>
      <c r="AJ373" s="428">
        <f t="shared" si="206"/>
        <v>0</v>
      </c>
      <c r="AK373" s="446"/>
      <c r="AL373" s="446"/>
      <c r="AM373" s="446"/>
      <c r="AN373" s="446"/>
      <c r="AO373" s="446"/>
      <c r="AP373" s="446"/>
      <c r="AQ373" s="446"/>
      <c r="AR373" s="431">
        <f t="shared" si="207"/>
        <v>0</v>
      </c>
      <c r="AS373" s="10" t="s">
        <v>2493</v>
      </c>
      <c r="AT373" s="128"/>
      <c r="AU373" s="100" t="s">
        <v>2494</v>
      </c>
      <c r="AV373" s="128" t="s">
        <v>2546</v>
      </c>
      <c r="AW373" s="100" t="s">
        <v>2669</v>
      </c>
      <c r="AX373" s="433">
        <f t="shared" si="208"/>
        <v>2</v>
      </c>
      <c r="AY373" s="433">
        <f t="shared" si="209"/>
        <v>0</v>
      </c>
      <c r="AZ373" s="433">
        <f t="shared" si="210"/>
        <v>0</v>
      </c>
      <c r="BA373" s="433">
        <f t="shared" si="200"/>
        <v>0</v>
      </c>
      <c r="BB373" s="433">
        <f t="shared" si="201"/>
        <v>0</v>
      </c>
      <c r="BC373" s="433">
        <f t="shared" si="202"/>
        <v>0</v>
      </c>
      <c r="BD373" s="433">
        <f t="shared" si="211"/>
        <v>0</v>
      </c>
      <c r="BE373" s="433">
        <f t="shared" si="212"/>
        <v>0</v>
      </c>
      <c r="BF373" s="433">
        <f t="shared" si="213"/>
        <v>0</v>
      </c>
      <c r="BG373" s="433">
        <f t="shared" si="214"/>
        <v>0</v>
      </c>
      <c r="BH373" s="433">
        <f t="shared" si="215"/>
        <v>0</v>
      </c>
      <c r="BI373" s="433">
        <f t="shared" si="216"/>
        <v>0</v>
      </c>
      <c r="BJ373" s="433">
        <f t="shared" si="217"/>
        <v>0</v>
      </c>
      <c r="BK373" s="433">
        <f t="shared" si="218"/>
        <v>0</v>
      </c>
      <c r="BL373" s="433">
        <f t="shared" si="219"/>
        <v>0</v>
      </c>
      <c r="BM373" s="433">
        <f t="shared" si="220"/>
        <v>0</v>
      </c>
      <c r="BN373" s="433">
        <f t="shared" si="221"/>
        <v>0</v>
      </c>
      <c r="BO373" s="433">
        <f t="shared" si="222"/>
        <v>0</v>
      </c>
      <c r="BP373" s="433">
        <f t="shared" si="223"/>
        <v>0</v>
      </c>
      <c r="BQ373" s="433">
        <f t="shared" si="224"/>
        <v>0</v>
      </c>
    </row>
    <row r="374" spans="1:69" x14ac:dyDescent="0.2">
      <c r="A374" s="102">
        <v>41827</v>
      </c>
      <c r="B374" s="319">
        <v>2</v>
      </c>
      <c r="C374" s="118" t="s">
        <v>2495</v>
      </c>
      <c r="D374" s="111">
        <v>0</v>
      </c>
      <c r="E374" s="111">
        <v>0.40972222222222227</v>
      </c>
      <c r="F374" s="444">
        <v>32</v>
      </c>
      <c r="G374" s="445">
        <v>12</v>
      </c>
      <c r="H374" s="444"/>
      <c r="I374" s="390"/>
      <c r="J374" s="426">
        <f t="shared" si="197"/>
        <v>590</v>
      </c>
      <c r="K374" s="103">
        <v>2</v>
      </c>
      <c r="L374" s="103"/>
      <c r="M374" s="103"/>
      <c r="N374" s="427">
        <f t="shared" si="198"/>
        <v>2</v>
      </c>
      <c r="O374" s="103"/>
      <c r="P374" s="103"/>
      <c r="Q374" s="103"/>
      <c r="R374" s="428">
        <f t="shared" si="199"/>
        <v>0</v>
      </c>
      <c r="S374" s="103"/>
      <c r="T374" s="103"/>
      <c r="U374" s="103"/>
      <c r="V374" s="125"/>
      <c r="W374" s="428">
        <f t="shared" si="203"/>
        <v>0</v>
      </c>
      <c r="X374" s="103"/>
      <c r="Y374" s="103"/>
      <c r="Z374" s="125"/>
      <c r="AA374" s="428">
        <f t="shared" si="204"/>
        <v>0</v>
      </c>
      <c r="AB374" s="103"/>
      <c r="AC374" s="103"/>
      <c r="AD374" s="103"/>
      <c r="AE374" s="428">
        <f t="shared" si="205"/>
        <v>0</v>
      </c>
      <c r="AF374" s="103"/>
      <c r="AG374" s="103"/>
      <c r="AH374" s="103"/>
      <c r="AI374" s="103"/>
      <c r="AJ374" s="428">
        <f t="shared" si="206"/>
        <v>0</v>
      </c>
      <c r="AK374" s="446"/>
      <c r="AL374" s="446"/>
      <c r="AM374" s="446"/>
      <c r="AN374" s="446"/>
      <c r="AO374" s="446">
        <v>1</v>
      </c>
      <c r="AP374" s="446"/>
      <c r="AQ374" s="446"/>
      <c r="AR374" s="431">
        <f t="shared" si="207"/>
        <v>1</v>
      </c>
      <c r="AT374" s="128"/>
      <c r="AU374" s="100" t="s">
        <v>2497</v>
      </c>
      <c r="AV374" s="128" t="s">
        <v>2546</v>
      </c>
      <c r="AW374" s="100" t="s">
        <v>2669</v>
      </c>
      <c r="AX374" s="433">
        <f t="shared" si="208"/>
        <v>2</v>
      </c>
      <c r="AY374" s="433">
        <f t="shared" si="209"/>
        <v>0</v>
      </c>
      <c r="AZ374" s="433">
        <f t="shared" si="210"/>
        <v>0</v>
      </c>
      <c r="BA374" s="433">
        <f t="shared" si="200"/>
        <v>0</v>
      </c>
      <c r="BB374" s="433">
        <f t="shared" si="201"/>
        <v>0</v>
      </c>
      <c r="BC374" s="433">
        <f t="shared" si="202"/>
        <v>0</v>
      </c>
      <c r="BD374" s="433">
        <f t="shared" si="211"/>
        <v>0</v>
      </c>
      <c r="BE374" s="433">
        <f t="shared" si="212"/>
        <v>0</v>
      </c>
      <c r="BF374" s="433">
        <f t="shared" si="213"/>
        <v>0</v>
      </c>
      <c r="BG374" s="433">
        <f t="shared" si="214"/>
        <v>0</v>
      </c>
      <c r="BH374" s="433">
        <f t="shared" si="215"/>
        <v>0</v>
      </c>
      <c r="BI374" s="433">
        <f t="shared" si="216"/>
        <v>0</v>
      </c>
      <c r="BJ374" s="433">
        <f t="shared" si="217"/>
        <v>0</v>
      </c>
      <c r="BK374" s="433">
        <f t="shared" si="218"/>
        <v>0</v>
      </c>
      <c r="BL374" s="433">
        <f t="shared" si="219"/>
        <v>0</v>
      </c>
      <c r="BM374" s="433">
        <f t="shared" si="220"/>
        <v>0</v>
      </c>
      <c r="BN374" s="433">
        <f t="shared" si="221"/>
        <v>0</v>
      </c>
      <c r="BO374" s="433">
        <f t="shared" si="222"/>
        <v>0</v>
      </c>
      <c r="BP374" s="433">
        <f t="shared" si="223"/>
        <v>0</v>
      </c>
      <c r="BQ374" s="433">
        <f t="shared" si="224"/>
        <v>0</v>
      </c>
    </row>
    <row r="375" spans="1:69" x14ac:dyDescent="0.2">
      <c r="A375" s="102">
        <v>41827</v>
      </c>
      <c r="B375" s="319">
        <v>2</v>
      </c>
      <c r="C375" s="118" t="s">
        <v>2496</v>
      </c>
      <c r="D375" s="111">
        <v>0.40972222222222227</v>
      </c>
      <c r="E375" s="111">
        <v>0.59861111111111109</v>
      </c>
      <c r="F375" s="444">
        <v>32</v>
      </c>
      <c r="G375" s="445">
        <v>12</v>
      </c>
      <c r="H375" s="444"/>
      <c r="I375" s="390"/>
      <c r="J375" s="426">
        <f t="shared" si="197"/>
        <v>271.99999999999989</v>
      </c>
      <c r="K375" s="103">
        <v>2</v>
      </c>
      <c r="L375" s="103"/>
      <c r="M375" s="103"/>
      <c r="N375" s="427">
        <f t="shared" si="198"/>
        <v>2</v>
      </c>
      <c r="O375" s="103"/>
      <c r="P375" s="103"/>
      <c r="Q375" s="103"/>
      <c r="R375" s="428">
        <f t="shared" si="199"/>
        <v>0</v>
      </c>
      <c r="S375" s="103"/>
      <c r="T375" s="103"/>
      <c r="U375" s="103"/>
      <c r="V375" s="125"/>
      <c r="W375" s="428">
        <f t="shared" si="203"/>
        <v>0</v>
      </c>
      <c r="X375" s="103"/>
      <c r="Y375" s="103"/>
      <c r="Z375" s="125"/>
      <c r="AA375" s="428">
        <f t="shared" si="204"/>
        <v>0</v>
      </c>
      <c r="AB375" s="103"/>
      <c r="AC375" s="103"/>
      <c r="AD375" s="103"/>
      <c r="AE375" s="428">
        <f t="shared" si="205"/>
        <v>0</v>
      </c>
      <c r="AF375" s="103"/>
      <c r="AG375" s="103"/>
      <c r="AH375" s="103"/>
      <c r="AI375" s="103"/>
      <c r="AJ375" s="428">
        <f t="shared" si="206"/>
        <v>0</v>
      </c>
      <c r="AK375" s="446"/>
      <c r="AL375" s="446"/>
      <c r="AM375" s="446"/>
      <c r="AN375" s="446"/>
      <c r="AO375" s="446"/>
      <c r="AP375" s="446"/>
      <c r="AQ375" s="446"/>
      <c r="AR375" s="431">
        <f t="shared" si="207"/>
        <v>0</v>
      </c>
      <c r="AT375" s="128"/>
      <c r="AU375" s="100" t="s">
        <v>2491</v>
      </c>
      <c r="AV375" s="128" t="s">
        <v>2546</v>
      </c>
      <c r="AW375" s="100" t="s">
        <v>2669</v>
      </c>
      <c r="AX375" s="433">
        <f t="shared" si="208"/>
        <v>2</v>
      </c>
      <c r="AY375" s="433">
        <f t="shared" si="209"/>
        <v>0</v>
      </c>
      <c r="AZ375" s="433">
        <f t="shared" si="210"/>
        <v>0</v>
      </c>
      <c r="BA375" s="433">
        <f t="shared" si="200"/>
        <v>0</v>
      </c>
      <c r="BB375" s="433">
        <f t="shared" si="201"/>
        <v>0</v>
      </c>
      <c r="BC375" s="433">
        <f t="shared" si="202"/>
        <v>0</v>
      </c>
      <c r="BD375" s="433">
        <f t="shared" si="211"/>
        <v>0</v>
      </c>
      <c r="BE375" s="433">
        <f t="shared" si="212"/>
        <v>0</v>
      </c>
      <c r="BF375" s="433">
        <f t="shared" si="213"/>
        <v>0</v>
      </c>
      <c r="BG375" s="433">
        <f t="shared" si="214"/>
        <v>0</v>
      </c>
      <c r="BH375" s="433">
        <f t="shared" si="215"/>
        <v>0</v>
      </c>
      <c r="BI375" s="433">
        <f t="shared" si="216"/>
        <v>0</v>
      </c>
      <c r="BJ375" s="433">
        <f t="shared" si="217"/>
        <v>0</v>
      </c>
      <c r="BK375" s="433">
        <f t="shared" si="218"/>
        <v>0</v>
      </c>
      <c r="BL375" s="433">
        <f t="shared" si="219"/>
        <v>0</v>
      </c>
      <c r="BM375" s="433">
        <f t="shared" si="220"/>
        <v>0</v>
      </c>
      <c r="BN375" s="433">
        <f t="shared" si="221"/>
        <v>0</v>
      </c>
      <c r="BO375" s="433">
        <f t="shared" si="222"/>
        <v>0</v>
      </c>
      <c r="BP375" s="433">
        <f t="shared" si="223"/>
        <v>0</v>
      </c>
      <c r="BQ375" s="433">
        <f t="shared" si="224"/>
        <v>0</v>
      </c>
    </row>
    <row r="376" spans="1:69" x14ac:dyDescent="0.2">
      <c r="A376" s="102">
        <v>41827</v>
      </c>
      <c r="B376" s="319">
        <v>2</v>
      </c>
      <c r="C376" s="118" t="s">
        <v>2492</v>
      </c>
      <c r="D376" s="111">
        <v>0.59861111111111109</v>
      </c>
      <c r="E376" s="111">
        <v>0.77083333333333337</v>
      </c>
      <c r="F376" s="444">
        <v>31</v>
      </c>
      <c r="G376" s="445">
        <v>13</v>
      </c>
      <c r="H376" s="444"/>
      <c r="I376" s="390"/>
      <c r="J376" s="426">
        <f t="shared" si="197"/>
        <v>248.00000000000009</v>
      </c>
      <c r="K376" s="103"/>
      <c r="L376" s="103"/>
      <c r="M376" s="103"/>
      <c r="N376" s="427">
        <f t="shared" si="198"/>
        <v>0</v>
      </c>
      <c r="O376" s="103"/>
      <c r="P376" s="103"/>
      <c r="Q376" s="103"/>
      <c r="R376" s="428">
        <f t="shared" si="199"/>
        <v>0</v>
      </c>
      <c r="S376" s="103"/>
      <c r="T376" s="103"/>
      <c r="U376" s="103"/>
      <c r="V376" s="125"/>
      <c r="W376" s="428">
        <f t="shared" si="203"/>
        <v>0</v>
      </c>
      <c r="X376" s="103"/>
      <c r="Y376" s="103"/>
      <c r="Z376" s="125"/>
      <c r="AA376" s="428">
        <f t="shared" si="204"/>
        <v>0</v>
      </c>
      <c r="AB376" s="103"/>
      <c r="AC376" s="103"/>
      <c r="AD376" s="103"/>
      <c r="AE376" s="428">
        <f t="shared" si="205"/>
        <v>0</v>
      </c>
      <c r="AF376" s="103"/>
      <c r="AG376" s="103"/>
      <c r="AH376" s="103"/>
      <c r="AI376" s="103"/>
      <c r="AJ376" s="428">
        <f t="shared" si="206"/>
        <v>0</v>
      </c>
      <c r="AK376" s="446"/>
      <c r="AL376" s="446"/>
      <c r="AM376" s="446"/>
      <c r="AN376" s="446"/>
      <c r="AO376" s="446"/>
      <c r="AP376" s="446"/>
      <c r="AQ376" s="446"/>
      <c r="AR376" s="431">
        <f t="shared" si="207"/>
        <v>0</v>
      </c>
      <c r="AS376" s="10" t="s">
        <v>2498</v>
      </c>
      <c r="AT376" s="128"/>
      <c r="AU376" s="100" t="s">
        <v>2499</v>
      </c>
      <c r="AV376" s="128" t="s">
        <v>2546</v>
      </c>
      <c r="AW376" s="100" t="s">
        <v>2669</v>
      </c>
      <c r="AX376" s="433">
        <f t="shared" si="208"/>
        <v>0</v>
      </c>
      <c r="AY376" s="433">
        <f t="shared" si="209"/>
        <v>0</v>
      </c>
      <c r="AZ376" s="433">
        <f t="shared" si="210"/>
        <v>0</v>
      </c>
      <c r="BA376" s="433">
        <f t="shared" si="200"/>
        <v>0</v>
      </c>
      <c r="BB376" s="433">
        <f t="shared" si="201"/>
        <v>0</v>
      </c>
      <c r="BC376" s="433">
        <f t="shared" si="202"/>
        <v>0</v>
      </c>
      <c r="BD376" s="433">
        <f t="shared" si="211"/>
        <v>0</v>
      </c>
      <c r="BE376" s="433">
        <f t="shared" si="212"/>
        <v>0</v>
      </c>
      <c r="BF376" s="433">
        <f t="shared" si="213"/>
        <v>0</v>
      </c>
      <c r="BG376" s="433">
        <f t="shared" si="214"/>
        <v>0</v>
      </c>
      <c r="BH376" s="433">
        <f t="shared" si="215"/>
        <v>0</v>
      </c>
      <c r="BI376" s="433">
        <f t="shared" si="216"/>
        <v>0</v>
      </c>
      <c r="BJ376" s="433">
        <f t="shared" si="217"/>
        <v>0</v>
      </c>
      <c r="BK376" s="433">
        <f t="shared" si="218"/>
        <v>0</v>
      </c>
      <c r="BL376" s="433">
        <f t="shared" si="219"/>
        <v>0</v>
      </c>
      <c r="BM376" s="433">
        <f t="shared" si="220"/>
        <v>0</v>
      </c>
      <c r="BN376" s="433">
        <f t="shared" si="221"/>
        <v>0</v>
      </c>
      <c r="BO376" s="433">
        <f t="shared" si="222"/>
        <v>0</v>
      </c>
      <c r="BP376" s="433">
        <f t="shared" si="223"/>
        <v>0</v>
      </c>
      <c r="BQ376" s="433">
        <f t="shared" si="224"/>
        <v>0</v>
      </c>
    </row>
    <row r="377" spans="1:69" x14ac:dyDescent="0.2">
      <c r="A377" s="102">
        <v>41827</v>
      </c>
      <c r="B377" s="319">
        <v>2</v>
      </c>
      <c r="C377" s="118" t="s">
        <v>2500</v>
      </c>
      <c r="D377" s="111">
        <v>0.77083333333333337</v>
      </c>
      <c r="E377" s="111">
        <v>1</v>
      </c>
      <c r="F377" s="444">
        <v>32</v>
      </c>
      <c r="G377" s="445">
        <v>12</v>
      </c>
      <c r="H377" s="444"/>
      <c r="I377" s="390"/>
      <c r="J377" s="426">
        <f t="shared" si="197"/>
        <v>329.99999999999994</v>
      </c>
      <c r="K377" s="103">
        <v>1</v>
      </c>
      <c r="L377" s="103"/>
      <c r="M377" s="103"/>
      <c r="N377" s="427">
        <f t="shared" si="198"/>
        <v>1</v>
      </c>
      <c r="O377" s="103"/>
      <c r="P377" s="103"/>
      <c r="Q377" s="103"/>
      <c r="R377" s="428">
        <f t="shared" si="199"/>
        <v>0</v>
      </c>
      <c r="S377" s="103">
        <v>1</v>
      </c>
      <c r="T377" s="103"/>
      <c r="U377" s="103"/>
      <c r="V377" s="125"/>
      <c r="W377" s="428">
        <f t="shared" si="203"/>
        <v>1</v>
      </c>
      <c r="X377" s="103"/>
      <c r="Y377" s="103"/>
      <c r="Z377" s="125"/>
      <c r="AA377" s="428">
        <f t="shared" si="204"/>
        <v>0</v>
      </c>
      <c r="AB377" s="103"/>
      <c r="AC377" s="103"/>
      <c r="AD377" s="103"/>
      <c r="AE377" s="428">
        <f t="shared" si="205"/>
        <v>0</v>
      </c>
      <c r="AF377" s="103"/>
      <c r="AG377" s="103"/>
      <c r="AH377" s="103"/>
      <c r="AI377" s="103"/>
      <c r="AJ377" s="428">
        <f t="shared" si="206"/>
        <v>0</v>
      </c>
      <c r="AK377" s="446"/>
      <c r="AL377" s="446"/>
      <c r="AM377" s="446"/>
      <c r="AN377" s="446"/>
      <c r="AO377" s="446"/>
      <c r="AP377" s="446"/>
      <c r="AQ377" s="446"/>
      <c r="AR377" s="431">
        <f t="shared" si="207"/>
        <v>0</v>
      </c>
      <c r="AS377" s="10" t="s">
        <v>2501</v>
      </c>
      <c r="AT377" s="128"/>
      <c r="AU377" s="100" t="s">
        <v>2491</v>
      </c>
      <c r="AV377" s="128" t="s">
        <v>2546</v>
      </c>
      <c r="AW377" s="100" t="s">
        <v>2669</v>
      </c>
      <c r="AX377" s="433">
        <f t="shared" si="208"/>
        <v>1</v>
      </c>
      <c r="AY377" s="433">
        <f t="shared" si="209"/>
        <v>0</v>
      </c>
      <c r="AZ377" s="433">
        <f t="shared" si="210"/>
        <v>0</v>
      </c>
      <c r="BA377" s="433">
        <f t="shared" si="200"/>
        <v>0</v>
      </c>
      <c r="BB377" s="433">
        <f t="shared" si="201"/>
        <v>0</v>
      </c>
      <c r="BC377" s="433">
        <f t="shared" si="202"/>
        <v>0</v>
      </c>
      <c r="BD377" s="433">
        <f t="shared" si="211"/>
        <v>1</v>
      </c>
      <c r="BE377" s="433">
        <f t="shared" si="212"/>
        <v>0</v>
      </c>
      <c r="BF377" s="433">
        <f t="shared" si="213"/>
        <v>0</v>
      </c>
      <c r="BG377" s="433">
        <f t="shared" si="214"/>
        <v>0</v>
      </c>
      <c r="BH377" s="433">
        <f t="shared" si="215"/>
        <v>0</v>
      </c>
      <c r="BI377" s="433">
        <f t="shared" si="216"/>
        <v>0</v>
      </c>
      <c r="BJ377" s="433">
        <f t="shared" si="217"/>
        <v>0</v>
      </c>
      <c r="BK377" s="433">
        <f t="shared" si="218"/>
        <v>0</v>
      </c>
      <c r="BL377" s="433">
        <f t="shared" si="219"/>
        <v>0</v>
      </c>
      <c r="BM377" s="433">
        <f t="shared" si="220"/>
        <v>0</v>
      </c>
      <c r="BN377" s="433">
        <f t="shared" si="221"/>
        <v>0</v>
      </c>
      <c r="BO377" s="433">
        <f t="shared" si="222"/>
        <v>0</v>
      </c>
      <c r="BP377" s="433">
        <f t="shared" si="223"/>
        <v>0</v>
      </c>
      <c r="BQ377" s="433">
        <f t="shared" si="224"/>
        <v>0</v>
      </c>
    </row>
    <row r="378" spans="1:69" x14ac:dyDescent="0.2">
      <c r="A378" s="102">
        <v>41827</v>
      </c>
      <c r="B378" s="319">
        <v>3</v>
      </c>
      <c r="C378" s="118" t="s">
        <v>2502</v>
      </c>
      <c r="D378" s="111">
        <v>0</v>
      </c>
      <c r="E378" s="111">
        <v>0.4055555555555555</v>
      </c>
      <c r="F378" s="444">
        <v>39</v>
      </c>
      <c r="G378" s="445">
        <v>12</v>
      </c>
      <c r="H378" s="444"/>
      <c r="I378" s="390"/>
      <c r="J378" s="426">
        <f t="shared" si="197"/>
        <v>584</v>
      </c>
      <c r="K378" s="103">
        <v>5</v>
      </c>
      <c r="L378" s="103">
        <v>1</v>
      </c>
      <c r="M378" s="103"/>
      <c r="N378" s="427">
        <f t="shared" si="198"/>
        <v>6</v>
      </c>
      <c r="O378" s="103"/>
      <c r="P378" s="103">
        <v>2</v>
      </c>
      <c r="Q378" s="103"/>
      <c r="R378" s="428">
        <f t="shared" si="199"/>
        <v>2</v>
      </c>
      <c r="S378" s="103"/>
      <c r="T378" s="103"/>
      <c r="U378" s="103"/>
      <c r="V378" s="125"/>
      <c r="W378" s="428">
        <f t="shared" si="203"/>
        <v>0</v>
      </c>
      <c r="X378" s="103"/>
      <c r="Y378" s="103"/>
      <c r="Z378" s="125"/>
      <c r="AA378" s="428">
        <f t="shared" si="204"/>
        <v>0</v>
      </c>
      <c r="AB378" s="103"/>
      <c r="AC378" s="103"/>
      <c r="AD378" s="103"/>
      <c r="AE378" s="428">
        <f t="shared" si="205"/>
        <v>0</v>
      </c>
      <c r="AF378" s="103"/>
      <c r="AG378" s="103"/>
      <c r="AH378" s="103"/>
      <c r="AI378" s="103"/>
      <c r="AJ378" s="428">
        <f t="shared" si="206"/>
        <v>0</v>
      </c>
      <c r="AK378" s="446"/>
      <c r="AL378" s="446"/>
      <c r="AM378" s="446"/>
      <c r="AN378" s="446"/>
      <c r="AO378" s="446"/>
      <c r="AP378" s="446"/>
      <c r="AQ378" s="446"/>
      <c r="AR378" s="431">
        <f t="shared" si="207"/>
        <v>0</v>
      </c>
      <c r="AT378" s="128"/>
      <c r="AU378" s="100" t="s">
        <v>2503</v>
      </c>
      <c r="AV378" s="128" t="s">
        <v>2546</v>
      </c>
      <c r="AW378" s="100" t="s">
        <v>2669</v>
      </c>
      <c r="AX378" s="433">
        <f t="shared" si="208"/>
        <v>5</v>
      </c>
      <c r="AY378" s="433">
        <f t="shared" si="209"/>
        <v>1</v>
      </c>
      <c r="AZ378" s="433">
        <f t="shared" si="210"/>
        <v>0</v>
      </c>
      <c r="BA378" s="433">
        <f t="shared" si="200"/>
        <v>0</v>
      </c>
      <c r="BB378" s="433">
        <f t="shared" si="201"/>
        <v>2</v>
      </c>
      <c r="BC378" s="433">
        <f t="shared" si="202"/>
        <v>0</v>
      </c>
      <c r="BD378" s="433">
        <f t="shared" si="211"/>
        <v>0</v>
      </c>
      <c r="BE378" s="433">
        <f t="shared" si="212"/>
        <v>0</v>
      </c>
      <c r="BF378" s="433">
        <f t="shared" si="213"/>
        <v>0</v>
      </c>
      <c r="BG378" s="433">
        <f t="shared" si="214"/>
        <v>0</v>
      </c>
      <c r="BH378" s="433">
        <f t="shared" si="215"/>
        <v>0</v>
      </c>
      <c r="BI378" s="433">
        <f t="shared" si="216"/>
        <v>0</v>
      </c>
      <c r="BJ378" s="433">
        <f t="shared" si="217"/>
        <v>0</v>
      </c>
      <c r="BK378" s="433">
        <f t="shared" si="218"/>
        <v>0</v>
      </c>
      <c r="BL378" s="433">
        <f t="shared" si="219"/>
        <v>0</v>
      </c>
      <c r="BM378" s="433">
        <f t="shared" si="220"/>
        <v>0</v>
      </c>
      <c r="BN378" s="433">
        <f t="shared" si="221"/>
        <v>0</v>
      </c>
      <c r="BO378" s="433">
        <f t="shared" si="222"/>
        <v>0</v>
      </c>
      <c r="BP378" s="433">
        <f t="shared" si="223"/>
        <v>0</v>
      </c>
      <c r="BQ378" s="433">
        <f t="shared" si="224"/>
        <v>0</v>
      </c>
    </row>
    <row r="379" spans="1:69" x14ac:dyDescent="0.2">
      <c r="A379" s="102">
        <v>41827</v>
      </c>
      <c r="B379" s="319">
        <v>3</v>
      </c>
      <c r="C379" s="118" t="s">
        <v>2504</v>
      </c>
      <c r="D379" s="111">
        <v>0.4055555555555555</v>
      </c>
      <c r="E379" s="111">
        <v>0.59722222222222221</v>
      </c>
      <c r="F379" s="444">
        <v>34</v>
      </c>
      <c r="G379" s="445">
        <v>12</v>
      </c>
      <c r="H379" s="444"/>
      <c r="I379" s="390"/>
      <c r="J379" s="426">
        <f>((E379-D379)*24*60)-5</f>
        <v>271.00000000000011</v>
      </c>
      <c r="K379" s="103">
        <v>3</v>
      </c>
      <c r="L379" s="103"/>
      <c r="M379" s="103"/>
      <c r="N379" s="427">
        <f t="shared" si="198"/>
        <v>3</v>
      </c>
      <c r="O379" s="103"/>
      <c r="P379" s="103">
        <v>3</v>
      </c>
      <c r="Q379" s="103"/>
      <c r="R379" s="428">
        <f t="shared" si="199"/>
        <v>3</v>
      </c>
      <c r="S379" s="103"/>
      <c r="T379" s="103"/>
      <c r="U379" s="103"/>
      <c r="V379" s="125"/>
      <c r="W379" s="428">
        <f t="shared" si="203"/>
        <v>0</v>
      </c>
      <c r="X379" s="103"/>
      <c r="Y379" s="103"/>
      <c r="Z379" s="125"/>
      <c r="AA379" s="428">
        <f t="shared" si="204"/>
        <v>0</v>
      </c>
      <c r="AB379" s="103"/>
      <c r="AC379" s="103"/>
      <c r="AD379" s="103"/>
      <c r="AE379" s="428">
        <f t="shared" si="205"/>
        <v>0</v>
      </c>
      <c r="AF379" s="103"/>
      <c r="AG379" s="103"/>
      <c r="AH379" s="103"/>
      <c r="AI379" s="103"/>
      <c r="AJ379" s="428">
        <f t="shared" si="206"/>
        <v>0</v>
      </c>
      <c r="AK379" s="446"/>
      <c r="AL379" s="446"/>
      <c r="AM379" s="446"/>
      <c r="AN379" s="446"/>
      <c r="AO379" s="446"/>
      <c r="AP379" s="446"/>
      <c r="AQ379" s="446"/>
      <c r="AR379" s="431">
        <f t="shared" si="207"/>
        <v>0</v>
      </c>
      <c r="AS379" s="10" t="s">
        <v>2505</v>
      </c>
      <c r="AT379" s="128"/>
      <c r="AU379" s="100" t="s">
        <v>2494</v>
      </c>
      <c r="AV379" s="128" t="s">
        <v>2546</v>
      </c>
      <c r="AW379" s="100" t="s">
        <v>2669</v>
      </c>
      <c r="AX379" s="433">
        <f t="shared" si="208"/>
        <v>3</v>
      </c>
      <c r="AY379" s="433">
        <f t="shared" si="209"/>
        <v>0</v>
      </c>
      <c r="AZ379" s="433">
        <f t="shared" si="210"/>
        <v>0</v>
      </c>
      <c r="BA379" s="433">
        <f t="shared" si="200"/>
        <v>0</v>
      </c>
      <c r="BB379" s="433">
        <f t="shared" si="201"/>
        <v>3</v>
      </c>
      <c r="BC379" s="433">
        <f t="shared" si="202"/>
        <v>0</v>
      </c>
      <c r="BD379" s="433">
        <f t="shared" si="211"/>
        <v>0</v>
      </c>
      <c r="BE379" s="433">
        <f t="shared" si="212"/>
        <v>0</v>
      </c>
      <c r="BF379" s="433">
        <f t="shared" si="213"/>
        <v>0</v>
      </c>
      <c r="BG379" s="433">
        <f t="shared" si="214"/>
        <v>0</v>
      </c>
      <c r="BH379" s="433">
        <f t="shared" si="215"/>
        <v>0</v>
      </c>
      <c r="BI379" s="433">
        <f t="shared" si="216"/>
        <v>0</v>
      </c>
      <c r="BJ379" s="433">
        <f t="shared" si="217"/>
        <v>0</v>
      </c>
      <c r="BK379" s="433">
        <f t="shared" si="218"/>
        <v>0</v>
      </c>
      <c r="BL379" s="433">
        <f t="shared" si="219"/>
        <v>0</v>
      </c>
      <c r="BM379" s="433">
        <f t="shared" si="220"/>
        <v>0</v>
      </c>
      <c r="BN379" s="433">
        <f t="shared" si="221"/>
        <v>0</v>
      </c>
      <c r="BO379" s="433">
        <f t="shared" si="222"/>
        <v>0</v>
      </c>
      <c r="BP379" s="433">
        <f t="shared" si="223"/>
        <v>0</v>
      </c>
      <c r="BQ379" s="433">
        <f t="shared" si="224"/>
        <v>0</v>
      </c>
    </row>
    <row r="380" spans="1:69" x14ac:dyDescent="0.2">
      <c r="A380" s="102">
        <v>41827</v>
      </c>
      <c r="B380" s="319">
        <v>3</v>
      </c>
      <c r="C380" s="118" t="s">
        <v>2075</v>
      </c>
      <c r="D380" s="111">
        <v>0.59722222222222221</v>
      </c>
      <c r="E380" s="111">
        <v>0.77916666666666667</v>
      </c>
      <c r="F380" s="444">
        <v>35</v>
      </c>
      <c r="G380" s="445">
        <v>14</v>
      </c>
      <c r="H380" s="444"/>
      <c r="I380" s="390"/>
      <c r="J380" s="426">
        <f t="shared" si="197"/>
        <v>262</v>
      </c>
      <c r="K380" s="103">
        <v>1</v>
      </c>
      <c r="L380" s="103"/>
      <c r="M380" s="103">
        <v>2</v>
      </c>
      <c r="N380" s="427">
        <f t="shared" si="198"/>
        <v>3</v>
      </c>
      <c r="O380" s="103"/>
      <c r="P380" s="103"/>
      <c r="Q380" s="103"/>
      <c r="R380" s="428">
        <f t="shared" si="199"/>
        <v>0</v>
      </c>
      <c r="S380" s="103"/>
      <c r="T380" s="103"/>
      <c r="U380" s="103"/>
      <c r="V380" s="125"/>
      <c r="W380" s="428">
        <f t="shared" si="203"/>
        <v>0</v>
      </c>
      <c r="X380" s="103"/>
      <c r="Y380" s="103"/>
      <c r="Z380" s="125"/>
      <c r="AA380" s="428">
        <f t="shared" si="204"/>
        <v>0</v>
      </c>
      <c r="AB380" s="103"/>
      <c r="AC380" s="103"/>
      <c r="AD380" s="103"/>
      <c r="AE380" s="428">
        <f t="shared" si="205"/>
        <v>0</v>
      </c>
      <c r="AF380" s="103"/>
      <c r="AG380" s="103"/>
      <c r="AH380" s="103"/>
      <c r="AI380" s="103"/>
      <c r="AJ380" s="428">
        <f t="shared" si="206"/>
        <v>0</v>
      </c>
      <c r="AK380" s="446"/>
      <c r="AL380" s="446"/>
      <c r="AM380" s="446"/>
      <c r="AN380" s="446"/>
      <c r="AO380" s="446"/>
      <c r="AP380" s="446"/>
      <c r="AQ380" s="446"/>
      <c r="AR380" s="431">
        <f t="shared" si="207"/>
        <v>0</v>
      </c>
      <c r="AT380" s="128"/>
      <c r="AU380" s="100" t="s">
        <v>2503</v>
      </c>
      <c r="AV380" s="128" t="s">
        <v>2546</v>
      </c>
      <c r="AW380" s="100" t="s">
        <v>2669</v>
      </c>
      <c r="AX380" s="433">
        <f t="shared" si="208"/>
        <v>1</v>
      </c>
      <c r="AY380" s="433">
        <f t="shared" si="209"/>
        <v>0</v>
      </c>
      <c r="AZ380" s="433">
        <f t="shared" si="210"/>
        <v>2</v>
      </c>
      <c r="BA380" s="433">
        <f t="shared" si="200"/>
        <v>0</v>
      </c>
      <c r="BB380" s="433">
        <f t="shared" si="201"/>
        <v>0</v>
      </c>
      <c r="BC380" s="433">
        <f t="shared" si="202"/>
        <v>0</v>
      </c>
      <c r="BD380" s="433">
        <f t="shared" si="211"/>
        <v>0</v>
      </c>
      <c r="BE380" s="433">
        <f t="shared" si="212"/>
        <v>0</v>
      </c>
      <c r="BF380" s="433">
        <f t="shared" si="213"/>
        <v>0</v>
      </c>
      <c r="BG380" s="433">
        <f t="shared" si="214"/>
        <v>0</v>
      </c>
      <c r="BH380" s="433">
        <f t="shared" si="215"/>
        <v>0</v>
      </c>
      <c r="BI380" s="433">
        <f t="shared" si="216"/>
        <v>0</v>
      </c>
      <c r="BJ380" s="433">
        <f t="shared" si="217"/>
        <v>0</v>
      </c>
      <c r="BK380" s="433">
        <f t="shared" si="218"/>
        <v>0</v>
      </c>
      <c r="BL380" s="433">
        <f t="shared" si="219"/>
        <v>0</v>
      </c>
      <c r="BM380" s="433">
        <f t="shared" si="220"/>
        <v>0</v>
      </c>
      <c r="BN380" s="433">
        <f t="shared" si="221"/>
        <v>0</v>
      </c>
      <c r="BO380" s="433">
        <f t="shared" si="222"/>
        <v>0</v>
      </c>
      <c r="BP380" s="433">
        <f t="shared" si="223"/>
        <v>0</v>
      </c>
      <c r="BQ380" s="433">
        <f t="shared" si="224"/>
        <v>0</v>
      </c>
    </row>
    <row r="381" spans="1:69" s="291" customFormat="1" x14ac:dyDescent="0.2">
      <c r="A381" s="317">
        <v>41827</v>
      </c>
      <c r="B381" s="318">
        <v>3</v>
      </c>
      <c r="C381" s="320" t="s">
        <v>2506</v>
      </c>
      <c r="D381" s="321">
        <v>0.77916666666666667</v>
      </c>
      <c r="E381" s="321">
        <v>0.96597222222222223</v>
      </c>
      <c r="F381" s="434">
        <v>31</v>
      </c>
      <c r="G381" s="435">
        <v>13</v>
      </c>
      <c r="H381" s="434"/>
      <c r="I381" s="436"/>
      <c r="J381" s="437">
        <f>((E381-D381)*24*60)-23</f>
        <v>246</v>
      </c>
      <c r="K381" s="285">
        <v>4</v>
      </c>
      <c r="L381" s="285"/>
      <c r="M381" s="285"/>
      <c r="N381" s="438">
        <f t="shared" si="198"/>
        <v>4</v>
      </c>
      <c r="O381" s="285"/>
      <c r="P381" s="285"/>
      <c r="Q381" s="285"/>
      <c r="R381" s="439">
        <f t="shared" si="199"/>
        <v>0</v>
      </c>
      <c r="S381" s="285"/>
      <c r="T381" s="285"/>
      <c r="U381" s="285"/>
      <c r="V381" s="440"/>
      <c r="W381" s="439">
        <f t="shared" si="203"/>
        <v>0</v>
      </c>
      <c r="X381" s="285"/>
      <c r="Y381" s="285"/>
      <c r="Z381" s="440"/>
      <c r="AA381" s="439">
        <f t="shared" si="204"/>
        <v>0</v>
      </c>
      <c r="AB381" s="285"/>
      <c r="AC381" s="285"/>
      <c r="AD381" s="285"/>
      <c r="AE381" s="439">
        <f t="shared" si="205"/>
        <v>0</v>
      </c>
      <c r="AF381" s="285"/>
      <c r="AG381" s="285"/>
      <c r="AH381" s="285"/>
      <c r="AI381" s="285"/>
      <c r="AJ381" s="439">
        <f t="shared" si="206"/>
        <v>0</v>
      </c>
      <c r="AK381" s="340"/>
      <c r="AL381" s="340"/>
      <c r="AM381" s="340"/>
      <c r="AN381" s="340"/>
      <c r="AO381" s="340"/>
      <c r="AP381" s="340"/>
      <c r="AQ381" s="340"/>
      <c r="AR381" s="441">
        <f t="shared" si="207"/>
        <v>0</v>
      </c>
      <c r="AS381" s="291" t="s">
        <v>2507</v>
      </c>
      <c r="AT381" s="313"/>
      <c r="AU381" s="289" t="s">
        <v>2508</v>
      </c>
      <c r="AV381" s="313" t="s">
        <v>2546</v>
      </c>
      <c r="AW381" s="382" t="s">
        <v>2669</v>
      </c>
      <c r="AX381" s="443">
        <f t="shared" si="208"/>
        <v>4</v>
      </c>
      <c r="AY381" s="443">
        <f t="shared" si="209"/>
        <v>0</v>
      </c>
      <c r="AZ381" s="443">
        <f t="shared" si="210"/>
        <v>0</v>
      </c>
      <c r="BA381" s="443">
        <f t="shared" si="200"/>
        <v>0</v>
      </c>
      <c r="BB381" s="443">
        <f t="shared" si="201"/>
        <v>0</v>
      </c>
      <c r="BC381" s="443">
        <f t="shared" si="202"/>
        <v>0</v>
      </c>
      <c r="BD381" s="443">
        <f t="shared" si="211"/>
        <v>0</v>
      </c>
      <c r="BE381" s="443">
        <f t="shared" si="212"/>
        <v>0</v>
      </c>
      <c r="BF381" s="443">
        <f t="shared" si="213"/>
        <v>0</v>
      </c>
      <c r="BG381" s="443">
        <f t="shared" si="214"/>
        <v>0</v>
      </c>
      <c r="BH381" s="443">
        <f t="shared" si="215"/>
        <v>0</v>
      </c>
      <c r="BI381" s="443">
        <f t="shared" si="216"/>
        <v>0</v>
      </c>
      <c r="BJ381" s="443">
        <f t="shared" si="217"/>
        <v>0</v>
      </c>
      <c r="BK381" s="443">
        <f t="shared" si="218"/>
        <v>0</v>
      </c>
      <c r="BL381" s="443">
        <f t="shared" si="219"/>
        <v>0</v>
      </c>
      <c r="BM381" s="443">
        <f t="shared" si="220"/>
        <v>0</v>
      </c>
      <c r="BN381" s="443">
        <f t="shared" si="221"/>
        <v>0</v>
      </c>
      <c r="BO381" s="443">
        <f t="shared" si="222"/>
        <v>0</v>
      </c>
      <c r="BP381" s="443">
        <f t="shared" si="223"/>
        <v>0</v>
      </c>
      <c r="BQ381" s="443">
        <f t="shared" si="224"/>
        <v>0</v>
      </c>
    </row>
    <row r="382" spans="1:69" x14ac:dyDescent="0.2">
      <c r="A382" s="102">
        <v>41828</v>
      </c>
      <c r="B382" s="319">
        <v>1</v>
      </c>
      <c r="C382" s="118" t="s">
        <v>2069</v>
      </c>
      <c r="D382" s="111">
        <v>0</v>
      </c>
      <c r="E382" s="111">
        <v>0.40763888888888888</v>
      </c>
      <c r="F382" s="444">
        <v>33</v>
      </c>
      <c r="G382" s="445">
        <v>9</v>
      </c>
      <c r="H382" s="444"/>
      <c r="I382" s="390"/>
      <c r="J382" s="426">
        <f t="shared" si="197"/>
        <v>587</v>
      </c>
      <c r="K382" s="103"/>
      <c r="L382" s="103"/>
      <c r="M382" s="103"/>
      <c r="N382" s="427">
        <f t="shared" si="198"/>
        <v>0</v>
      </c>
      <c r="O382" s="103"/>
      <c r="P382" s="103"/>
      <c r="Q382" s="103"/>
      <c r="R382" s="428">
        <f t="shared" si="199"/>
        <v>0</v>
      </c>
      <c r="S382" s="103"/>
      <c r="T382" s="103"/>
      <c r="U382" s="103"/>
      <c r="V382" s="125"/>
      <c r="W382" s="428">
        <f t="shared" si="203"/>
        <v>0</v>
      </c>
      <c r="X382" s="103"/>
      <c r="Y382" s="103"/>
      <c r="Z382" s="125"/>
      <c r="AA382" s="428">
        <f t="shared" si="204"/>
        <v>0</v>
      </c>
      <c r="AB382" s="103"/>
      <c r="AC382" s="103"/>
      <c r="AD382" s="103"/>
      <c r="AE382" s="428">
        <f t="shared" si="205"/>
        <v>0</v>
      </c>
      <c r="AF382" s="103"/>
      <c r="AG382" s="103"/>
      <c r="AH382" s="103"/>
      <c r="AI382" s="103"/>
      <c r="AJ382" s="428">
        <f t="shared" si="206"/>
        <v>0</v>
      </c>
      <c r="AK382" s="446"/>
      <c r="AL382" s="446"/>
      <c r="AM382" s="446"/>
      <c r="AN382" s="446"/>
      <c r="AO382" s="446"/>
      <c r="AP382" s="446"/>
      <c r="AQ382" s="446"/>
      <c r="AR382" s="431">
        <f t="shared" si="207"/>
        <v>0</v>
      </c>
      <c r="AS382" s="10" t="s">
        <v>424</v>
      </c>
      <c r="AT382" s="128"/>
      <c r="AU382" s="100" t="s">
        <v>2547</v>
      </c>
      <c r="AV382" s="128" t="s">
        <v>2604</v>
      </c>
      <c r="AW382" s="100" t="s">
        <v>2670</v>
      </c>
      <c r="AX382" s="433">
        <f t="shared" si="208"/>
        <v>0</v>
      </c>
      <c r="AY382" s="433">
        <f t="shared" si="209"/>
        <v>0</v>
      </c>
      <c r="AZ382" s="433">
        <f t="shared" si="210"/>
        <v>0</v>
      </c>
      <c r="BA382" s="433">
        <f t="shared" si="200"/>
        <v>0</v>
      </c>
      <c r="BB382" s="433">
        <f t="shared" si="201"/>
        <v>0</v>
      </c>
      <c r="BC382" s="433">
        <f t="shared" si="202"/>
        <v>0</v>
      </c>
      <c r="BD382" s="433">
        <f t="shared" si="211"/>
        <v>0</v>
      </c>
      <c r="BE382" s="433">
        <f t="shared" si="212"/>
        <v>0</v>
      </c>
      <c r="BF382" s="433">
        <f t="shared" si="213"/>
        <v>0</v>
      </c>
      <c r="BG382" s="433">
        <f t="shared" si="214"/>
        <v>0</v>
      </c>
      <c r="BH382" s="433">
        <f t="shared" si="215"/>
        <v>0</v>
      </c>
      <c r="BI382" s="433">
        <f t="shared" si="216"/>
        <v>0</v>
      </c>
      <c r="BJ382" s="433">
        <f t="shared" si="217"/>
        <v>0</v>
      </c>
      <c r="BK382" s="433">
        <f t="shared" si="218"/>
        <v>0</v>
      </c>
      <c r="BL382" s="433">
        <f t="shared" si="219"/>
        <v>0</v>
      </c>
      <c r="BM382" s="433">
        <f t="shared" si="220"/>
        <v>0</v>
      </c>
      <c r="BN382" s="433">
        <f t="shared" si="221"/>
        <v>0</v>
      </c>
      <c r="BO382" s="433">
        <f t="shared" si="222"/>
        <v>0</v>
      </c>
      <c r="BP382" s="433">
        <f t="shared" si="223"/>
        <v>0</v>
      </c>
      <c r="BQ382" s="433">
        <f t="shared" si="224"/>
        <v>0</v>
      </c>
    </row>
    <row r="383" spans="1:69" x14ac:dyDescent="0.2">
      <c r="A383" s="102">
        <v>41828</v>
      </c>
      <c r="B383" s="319">
        <v>1</v>
      </c>
      <c r="C383" s="118" t="s">
        <v>2548</v>
      </c>
      <c r="D383" s="111">
        <v>0.40763888888888888</v>
      </c>
      <c r="E383" s="111">
        <v>0.60069444444444442</v>
      </c>
      <c r="F383" s="444">
        <v>32</v>
      </c>
      <c r="G383" s="445">
        <v>10</v>
      </c>
      <c r="H383" s="444"/>
      <c r="I383" s="390"/>
      <c r="J383" s="426">
        <f>((E383-D383)*24*60)-27</f>
        <v>251</v>
      </c>
      <c r="K383" s="103"/>
      <c r="L383" s="103"/>
      <c r="M383" s="103"/>
      <c r="N383" s="427">
        <f t="shared" si="198"/>
        <v>0</v>
      </c>
      <c r="O383" s="103"/>
      <c r="P383" s="103"/>
      <c r="Q383" s="103"/>
      <c r="R383" s="428">
        <f t="shared" si="199"/>
        <v>0</v>
      </c>
      <c r="S383" s="103"/>
      <c r="T383" s="103"/>
      <c r="U383" s="103"/>
      <c r="V383" s="125"/>
      <c r="W383" s="428">
        <f t="shared" si="203"/>
        <v>0</v>
      </c>
      <c r="X383" s="103"/>
      <c r="Y383" s="103"/>
      <c r="Z383" s="125"/>
      <c r="AA383" s="428">
        <f t="shared" si="204"/>
        <v>0</v>
      </c>
      <c r="AB383" s="103"/>
      <c r="AC383" s="103"/>
      <c r="AD383" s="103"/>
      <c r="AE383" s="428">
        <f t="shared" si="205"/>
        <v>0</v>
      </c>
      <c r="AF383" s="103"/>
      <c r="AG383" s="103"/>
      <c r="AH383" s="103"/>
      <c r="AI383" s="103"/>
      <c r="AJ383" s="428">
        <f t="shared" si="206"/>
        <v>0</v>
      </c>
      <c r="AK383" s="446"/>
      <c r="AL383" s="446"/>
      <c r="AM383" s="446"/>
      <c r="AN383" s="446"/>
      <c r="AO383" s="446"/>
      <c r="AP383" s="446"/>
      <c r="AQ383" s="446"/>
      <c r="AR383" s="431">
        <f t="shared" si="207"/>
        <v>0</v>
      </c>
      <c r="AS383" s="10" t="s">
        <v>2549</v>
      </c>
      <c r="AT383" s="128"/>
      <c r="AU383" s="100" t="s">
        <v>2550</v>
      </c>
      <c r="AV383" s="128" t="s">
        <v>2604</v>
      </c>
      <c r="AW383" s="100" t="s">
        <v>2670</v>
      </c>
      <c r="AX383" s="433">
        <f t="shared" si="208"/>
        <v>0</v>
      </c>
      <c r="AY383" s="433">
        <f t="shared" si="209"/>
        <v>0</v>
      </c>
      <c r="AZ383" s="433">
        <f t="shared" si="210"/>
        <v>0</v>
      </c>
      <c r="BA383" s="433">
        <f t="shared" si="200"/>
        <v>0</v>
      </c>
      <c r="BB383" s="433">
        <f t="shared" si="201"/>
        <v>0</v>
      </c>
      <c r="BC383" s="433">
        <f t="shared" si="202"/>
        <v>0</v>
      </c>
      <c r="BD383" s="433">
        <f t="shared" si="211"/>
        <v>0</v>
      </c>
      <c r="BE383" s="433">
        <f t="shared" si="212"/>
        <v>0</v>
      </c>
      <c r="BF383" s="433">
        <f t="shared" si="213"/>
        <v>0</v>
      </c>
      <c r="BG383" s="433">
        <f t="shared" si="214"/>
        <v>0</v>
      </c>
      <c r="BH383" s="433">
        <f t="shared" si="215"/>
        <v>0</v>
      </c>
      <c r="BI383" s="433">
        <f t="shared" si="216"/>
        <v>0</v>
      </c>
      <c r="BJ383" s="433">
        <f t="shared" si="217"/>
        <v>0</v>
      </c>
      <c r="BK383" s="433">
        <f t="shared" si="218"/>
        <v>0</v>
      </c>
      <c r="BL383" s="433">
        <f t="shared" si="219"/>
        <v>0</v>
      </c>
      <c r="BM383" s="433">
        <f t="shared" si="220"/>
        <v>0</v>
      </c>
      <c r="BN383" s="433">
        <f t="shared" si="221"/>
        <v>0</v>
      </c>
      <c r="BO383" s="433">
        <f t="shared" si="222"/>
        <v>0</v>
      </c>
      <c r="BP383" s="433">
        <f t="shared" si="223"/>
        <v>0</v>
      </c>
      <c r="BQ383" s="433">
        <f t="shared" si="224"/>
        <v>0</v>
      </c>
    </row>
    <row r="384" spans="1:69" x14ac:dyDescent="0.2">
      <c r="A384" s="102">
        <v>41828</v>
      </c>
      <c r="B384" s="319">
        <v>1</v>
      </c>
      <c r="C384" s="118" t="s">
        <v>2486</v>
      </c>
      <c r="D384" s="111">
        <v>0.60069444444444442</v>
      </c>
      <c r="E384" s="111">
        <v>0.78472222222222221</v>
      </c>
      <c r="F384" s="444">
        <v>32</v>
      </c>
      <c r="G384" s="445">
        <v>12</v>
      </c>
      <c r="H384" s="444"/>
      <c r="I384" s="390">
        <v>269.3</v>
      </c>
      <c r="J384" s="426">
        <f t="shared" si="197"/>
        <v>265</v>
      </c>
      <c r="K384" s="103">
        <v>1</v>
      </c>
      <c r="L384" s="103"/>
      <c r="M384" s="103"/>
      <c r="N384" s="427">
        <f t="shared" si="198"/>
        <v>1</v>
      </c>
      <c r="O384" s="103"/>
      <c r="P384" s="103"/>
      <c r="Q384" s="103"/>
      <c r="R384" s="428">
        <f t="shared" si="199"/>
        <v>0</v>
      </c>
      <c r="S384" s="103"/>
      <c r="T384" s="103"/>
      <c r="U384" s="103"/>
      <c r="V384" s="125"/>
      <c r="W384" s="428">
        <f t="shared" si="203"/>
        <v>0</v>
      </c>
      <c r="X384" s="103"/>
      <c r="Y384" s="103"/>
      <c r="Z384" s="125"/>
      <c r="AA384" s="428">
        <f t="shared" si="204"/>
        <v>0</v>
      </c>
      <c r="AB384" s="103"/>
      <c r="AC384" s="103"/>
      <c r="AD384" s="103"/>
      <c r="AE384" s="428">
        <f t="shared" si="205"/>
        <v>0</v>
      </c>
      <c r="AF384" s="103"/>
      <c r="AG384" s="103"/>
      <c r="AH384" s="103"/>
      <c r="AI384" s="103"/>
      <c r="AJ384" s="428">
        <f t="shared" si="206"/>
        <v>0</v>
      </c>
      <c r="AK384" s="446"/>
      <c r="AL384" s="446"/>
      <c r="AM384" s="446"/>
      <c r="AN384" s="446"/>
      <c r="AO384" s="446"/>
      <c r="AP384" s="446"/>
      <c r="AQ384" s="446"/>
      <c r="AR384" s="431">
        <f t="shared" si="207"/>
        <v>0</v>
      </c>
      <c r="AT384" s="128"/>
      <c r="AU384" s="100" t="s">
        <v>2551</v>
      </c>
      <c r="AV384" s="128" t="s">
        <v>2604</v>
      </c>
      <c r="AW384" s="100" t="s">
        <v>2670</v>
      </c>
      <c r="AX384" s="433">
        <f t="shared" si="208"/>
        <v>1</v>
      </c>
      <c r="AY384" s="433">
        <f t="shared" si="209"/>
        <v>0</v>
      </c>
      <c r="AZ384" s="433">
        <f t="shared" si="210"/>
        <v>0</v>
      </c>
      <c r="BA384" s="433">
        <f t="shared" si="200"/>
        <v>0</v>
      </c>
      <c r="BB384" s="433">
        <f t="shared" si="201"/>
        <v>0</v>
      </c>
      <c r="BC384" s="433">
        <f t="shared" si="202"/>
        <v>0</v>
      </c>
      <c r="BD384" s="433">
        <f t="shared" si="211"/>
        <v>0</v>
      </c>
      <c r="BE384" s="433">
        <f t="shared" si="212"/>
        <v>0</v>
      </c>
      <c r="BF384" s="433">
        <f t="shared" si="213"/>
        <v>0</v>
      </c>
      <c r="BG384" s="433">
        <f t="shared" si="214"/>
        <v>0</v>
      </c>
      <c r="BH384" s="433">
        <f t="shared" si="215"/>
        <v>0</v>
      </c>
      <c r="BI384" s="433">
        <f t="shared" si="216"/>
        <v>0</v>
      </c>
      <c r="BJ384" s="433">
        <f t="shared" si="217"/>
        <v>0</v>
      </c>
      <c r="BK384" s="433">
        <f t="shared" si="218"/>
        <v>0</v>
      </c>
      <c r="BL384" s="433">
        <f t="shared" si="219"/>
        <v>0</v>
      </c>
      <c r="BM384" s="433">
        <f t="shared" si="220"/>
        <v>0</v>
      </c>
      <c r="BN384" s="433">
        <f t="shared" si="221"/>
        <v>0</v>
      </c>
      <c r="BO384" s="433">
        <f t="shared" si="222"/>
        <v>0</v>
      </c>
      <c r="BP384" s="433">
        <f t="shared" si="223"/>
        <v>0</v>
      </c>
      <c r="BQ384" s="433">
        <f t="shared" si="224"/>
        <v>0</v>
      </c>
    </row>
    <row r="385" spans="1:69" x14ac:dyDescent="0.2">
      <c r="A385" s="102">
        <v>41828</v>
      </c>
      <c r="B385" s="319">
        <v>1</v>
      </c>
      <c r="C385" s="118" t="s">
        <v>2552</v>
      </c>
      <c r="D385" s="111">
        <v>0.78472222222222221</v>
      </c>
      <c r="E385" s="111">
        <v>1</v>
      </c>
      <c r="F385" s="444">
        <v>31</v>
      </c>
      <c r="G385" s="445">
        <v>12</v>
      </c>
      <c r="H385" s="444"/>
      <c r="I385" s="390"/>
      <c r="J385" s="426">
        <f t="shared" si="197"/>
        <v>310</v>
      </c>
      <c r="K385" s="103">
        <v>1</v>
      </c>
      <c r="L385" s="103"/>
      <c r="M385" s="103"/>
      <c r="N385" s="427">
        <f t="shared" si="198"/>
        <v>1</v>
      </c>
      <c r="O385" s="103"/>
      <c r="P385" s="103"/>
      <c r="Q385" s="103"/>
      <c r="R385" s="428">
        <f t="shared" si="199"/>
        <v>0</v>
      </c>
      <c r="S385" s="103"/>
      <c r="T385" s="103"/>
      <c r="U385" s="103"/>
      <c r="V385" s="125"/>
      <c r="W385" s="428">
        <f t="shared" si="203"/>
        <v>0</v>
      </c>
      <c r="X385" s="103"/>
      <c r="Y385" s="103"/>
      <c r="Z385" s="125"/>
      <c r="AA385" s="428">
        <f t="shared" si="204"/>
        <v>0</v>
      </c>
      <c r="AB385" s="103"/>
      <c r="AC385" s="103"/>
      <c r="AD385" s="103"/>
      <c r="AE385" s="428">
        <f t="shared" si="205"/>
        <v>0</v>
      </c>
      <c r="AF385" s="103"/>
      <c r="AG385" s="103"/>
      <c r="AH385" s="103"/>
      <c r="AI385" s="103"/>
      <c r="AJ385" s="428">
        <f t="shared" si="206"/>
        <v>0</v>
      </c>
      <c r="AK385" s="446"/>
      <c r="AL385" s="446"/>
      <c r="AM385" s="446"/>
      <c r="AN385" s="446"/>
      <c r="AO385" s="446"/>
      <c r="AP385" s="446"/>
      <c r="AQ385" s="446"/>
      <c r="AR385" s="431">
        <f t="shared" si="207"/>
        <v>0</v>
      </c>
      <c r="AS385" s="10" t="s">
        <v>2098</v>
      </c>
      <c r="AT385" s="128" t="s">
        <v>2553</v>
      </c>
      <c r="AU385" s="100" t="s">
        <v>2554</v>
      </c>
      <c r="AV385" s="128" t="s">
        <v>2604</v>
      </c>
      <c r="AW385" s="100" t="s">
        <v>2670</v>
      </c>
      <c r="AX385" s="433">
        <f t="shared" si="208"/>
        <v>1</v>
      </c>
      <c r="AY385" s="433">
        <f t="shared" si="209"/>
        <v>0</v>
      </c>
      <c r="AZ385" s="433">
        <f t="shared" si="210"/>
        <v>0</v>
      </c>
      <c r="BA385" s="433">
        <f t="shared" si="200"/>
        <v>0</v>
      </c>
      <c r="BB385" s="433">
        <f t="shared" si="201"/>
        <v>0</v>
      </c>
      <c r="BC385" s="433">
        <f t="shared" si="202"/>
        <v>0</v>
      </c>
      <c r="BD385" s="433">
        <f t="shared" si="211"/>
        <v>0</v>
      </c>
      <c r="BE385" s="433">
        <f t="shared" si="212"/>
        <v>0</v>
      </c>
      <c r="BF385" s="433">
        <f t="shared" si="213"/>
        <v>0</v>
      </c>
      <c r="BG385" s="433">
        <f t="shared" si="214"/>
        <v>0</v>
      </c>
      <c r="BH385" s="433">
        <f t="shared" si="215"/>
        <v>0</v>
      </c>
      <c r="BI385" s="433">
        <f t="shared" si="216"/>
        <v>0</v>
      </c>
      <c r="BJ385" s="433">
        <f t="shared" si="217"/>
        <v>0</v>
      </c>
      <c r="BK385" s="433">
        <f t="shared" si="218"/>
        <v>0</v>
      </c>
      <c r="BL385" s="433">
        <f t="shared" si="219"/>
        <v>0</v>
      </c>
      <c r="BM385" s="433">
        <f t="shared" si="220"/>
        <v>0</v>
      </c>
      <c r="BN385" s="433">
        <f t="shared" si="221"/>
        <v>0</v>
      </c>
      <c r="BO385" s="433">
        <f t="shared" si="222"/>
        <v>0</v>
      </c>
      <c r="BP385" s="433">
        <f t="shared" si="223"/>
        <v>0</v>
      </c>
      <c r="BQ385" s="433">
        <f t="shared" si="224"/>
        <v>0</v>
      </c>
    </row>
    <row r="386" spans="1:69" x14ac:dyDescent="0.2">
      <c r="A386" s="102">
        <v>41828</v>
      </c>
      <c r="B386" s="319">
        <v>2</v>
      </c>
      <c r="C386" s="118" t="s">
        <v>2067</v>
      </c>
      <c r="D386" s="111">
        <v>0</v>
      </c>
      <c r="E386" s="111">
        <v>0.3923611111111111</v>
      </c>
      <c r="F386" s="444">
        <v>31</v>
      </c>
      <c r="G386" s="445">
        <v>11</v>
      </c>
      <c r="H386" s="444"/>
      <c r="I386" s="390"/>
      <c r="J386" s="426">
        <f t="shared" si="197"/>
        <v>565</v>
      </c>
      <c r="K386" s="103"/>
      <c r="L386" s="103"/>
      <c r="M386" s="103"/>
      <c r="N386" s="427">
        <f t="shared" si="198"/>
        <v>0</v>
      </c>
      <c r="O386" s="103"/>
      <c r="P386" s="103"/>
      <c r="Q386" s="103"/>
      <c r="R386" s="428">
        <f t="shared" si="199"/>
        <v>0</v>
      </c>
      <c r="S386" s="103"/>
      <c r="T386" s="103"/>
      <c r="U386" s="103"/>
      <c r="V386" s="125"/>
      <c r="W386" s="428">
        <f t="shared" si="203"/>
        <v>0</v>
      </c>
      <c r="X386" s="103"/>
      <c r="Y386" s="103"/>
      <c r="Z386" s="125"/>
      <c r="AA386" s="428">
        <f t="shared" si="204"/>
        <v>0</v>
      </c>
      <c r="AB386" s="103"/>
      <c r="AC386" s="103"/>
      <c r="AD386" s="103"/>
      <c r="AE386" s="428">
        <f t="shared" si="205"/>
        <v>0</v>
      </c>
      <c r="AF386" s="103"/>
      <c r="AG386" s="103"/>
      <c r="AH386" s="103"/>
      <c r="AI386" s="103"/>
      <c r="AJ386" s="428">
        <f t="shared" si="206"/>
        <v>0</v>
      </c>
      <c r="AK386" s="446"/>
      <c r="AL386" s="446"/>
      <c r="AM386" s="446"/>
      <c r="AN386" s="446"/>
      <c r="AO386" s="446"/>
      <c r="AP386" s="446"/>
      <c r="AQ386" s="446"/>
      <c r="AR386" s="431">
        <f t="shared" si="207"/>
        <v>0</v>
      </c>
      <c r="AS386" s="10" t="s">
        <v>2498</v>
      </c>
      <c r="AT386" s="128"/>
      <c r="AU386" s="100" t="s">
        <v>2547</v>
      </c>
      <c r="AV386" s="128" t="s">
        <v>2604</v>
      </c>
      <c r="AW386" s="100" t="s">
        <v>2670</v>
      </c>
      <c r="AX386" s="433">
        <f t="shared" si="208"/>
        <v>0</v>
      </c>
      <c r="AY386" s="433">
        <f t="shared" si="209"/>
        <v>0</v>
      </c>
      <c r="AZ386" s="433">
        <f t="shared" si="210"/>
        <v>0</v>
      </c>
      <c r="BA386" s="433">
        <f t="shared" si="200"/>
        <v>0</v>
      </c>
      <c r="BB386" s="433">
        <f t="shared" si="201"/>
        <v>0</v>
      </c>
      <c r="BC386" s="433">
        <f t="shared" si="202"/>
        <v>0</v>
      </c>
      <c r="BD386" s="433">
        <f t="shared" si="211"/>
        <v>0</v>
      </c>
      <c r="BE386" s="433">
        <f t="shared" si="212"/>
        <v>0</v>
      </c>
      <c r="BF386" s="433">
        <f t="shared" si="213"/>
        <v>0</v>
      </c>
      <c r="BG386" s="433">
        <f t="shared" si="214"/>
        <v>0</v>
      </c>
      <c r="BH386" s="433">
        <f t="shared" si="215"/>
        <v>0</v>
      </c>
      <c r="BI386" s="433">
        <f t="shared" si="216"/>
        <v>0</v>
      </c>
      <c r="BJ386" s="433">
        <f t="shared" si="217"/>
        <v>0</v>
      </c>
      <c r="BK386" s="433">
        <f t="shared" si="218"/>
        <v>0</v>
      </c>
      <c r="BL386" s="433">
        <f t="shared" si="219"/>
        <v>0</v>
      </c>
      <c r="BM386" s="433">
        <f t="shared" si="220"/>
        <v>0</v>
      </c>
      <c r="BN386" s="433">
        <f t="shared" si="221"/>
        <v>0</v>
      </c>
      <c r="BO386" s="433">
        <f t="shared" si="222"/>
        <v>0</v>
      </c>
      <c r="BP386" s="433">
        <f t="shared" si="223"/>
        <v>0</v>
      </c>
      <c r="BQ386" s="433">
        <f t="shared" si="224"/>
        <v>0</v>
      </c>
    </row>
    <row r="387" spans="1:69" x14ac:dyDescent="0.2">
      <c r="A387" s="102">
        <v>41828</v>
      </c>
      <c r="B387" s="319">
        <v>2</v>
      </c>
      <c r="C387" s="118" t="s">
        <v>2548</v>
      </c>
      <c r="D387" s="111">
        <v>0.3923611111111111</v>
      </c>
      <c r="E387" s="111">
        <v>0.59375</v>
      </c>
      <c r="F387" s="444">
        <v>32</v>
      </c>
      <c r="G387" s="445">
        <v>11</v>
      </c>
      <c r="H387" s="444"/>
      <c r="I387" s="390"/>
      <c r="J387" s="426">
        <f t="shared" ref="J387:J450" si="225">(E387-D387)*24*60</f>
        <v>290.00000000000006</v>
      </c>
      <c r="K387" s="103"/>
      <c r="L387" s="103"/>
      <c r="M387" s="103"/>
      <c r="N387" s="427">
        <f t="shared" ref="N387:N450" si="226">SUM(K387:M387)</f>
        <v>0</v>
      </c>
      <c r="O387" s="103"/>
      <c r="P387" s="103"/>
      <c r="Q387" s="103"/>
      <c r="R387" s="428">
        <f t="shared" ref="R387:R450" si="227">SUM(O387:Q387)</f>
        <v>0</v>
      </c>
      <c r="S387" s="103"/>
      <c r="T387" s="103"/>
      <c r="U387" s="103"/>
      <c r="V387" s="125"/>
      <c r="W387" s="428">
        <f t="shared" si="203"/>
        <v>0</v>
      </c>
      <c r="X387" s="103"/>
      <c r="Y387" s="103"/>
      <c r="Z387" s="125"/>
      <c r="AA387" s="428">
        <f t="shared" si="204"/>
        <v>0</v>
      </c>
      <c r="AB387" s="103"/>
      <c r="AC387" s="103"/>
      <c r="AD387" s="103"/>
      <c r="AE387" s="428">
        <f t="shared" si="205"/>
        <v>0</v>
      </c>
      <c r="AF387" s="103"/>
      <c r="AG387" s="103"/>
      <c r="AH387" s="103"/>
      <c r="AI387" s="103"/>
      <c r="AJ387" s="428">
        <f t="shared" si="206"/>
        <v>0</v>
      </c>
      <c r="AK387" s="446">
        <v>1</v>
      </c>
      <c r="AL387" s="446"/>
      <c r="AM387" s="446"/>
      <c r="AN387" s="446"/>
      <c r="AO387" s="446"/>
      <c r="AP387" s="446"/>
      <c r="AQ387" s="446"/>
      <c r="AR387" s="431">
        <f t="shared" si="207"/>
        <v>1</v>
      </c>
      <c r="AT387" s="128"/>
      <c r="AU387" s="100" t="s">
        <v>2550</v>
      </c>
      <c r="AV387" s="128" t="s">
        <v>2604</v>
      </c>
      <c r="AW387" s="100" t="s">
        <v>2670</v>
      </c>
      <c r="AX387" s="433">
        <f t="shared" si="208"/>
        <v>0</v>
      </c>
      <c r="AY387" s="433">
        <f t="shared" si="209"/>
        <v>0</v>
      </c>
      <c r="AZ387" s="433">
        <f t="shared" si="210"/>
        <v>0</v>
      </c>
      <c r="BA387" s="433">
        <f t="shared" ref="BA387:BA450" si="228">O387</f>
        <v>0</v>
      </c>
      <c r="BB387" s="433">
        <f t="shared" ref="BB387:BB450" si="229">P387</f>
        <v>0</v>
      </c>
      <c r="BC387" s="433">
        <f t="shared" ref="BC387:BC450" si="230">Q387</f>
        <v>0</v>
      </c>
      <c r="BD387" s="433">
        <f t="shared" si="211"/>
        <v>0</v>
      </c>
      <c r="BE387" s="433">
        <f t="shared" si="212"/>
        <v>0</v>
      </c>
      <c r="BF387" s="433">
        <f t="shared" si="213"/>
        <v>0</v>
      </c>
      <c r="BG387" s="433">
        <f t="shared" si="214"/>
        <v>0</v>
      </c>
      <c r="BH387" s="433">
        <f t="shared" si="215"/>
        <v>0</v>
      </c>
      <c r="BI387" s="433">
        <f t="shared" si="216"/>
        <v>0</v>
      </c>
      <c r="BJ387" s="433">
        <f t="shared" si="217"/>
        <v>0</v>
      </c>
      <c r="BK387" s="433">
        <f t="shared" si="218"/>
        <v>0</v>
      </c>
      <c r="BL387" s="433">
        <f t="shared" si="219"/>
        <v>0</v>
      </c>
      <c r="BM387" s="433">
        <f t="shared" si="220"/>
        <v>0</v>
      </c>
      <c r="BN387" s="433">
        <f t="shared" si="221"/>
        <v>0</v>
      </c>
      <c r="BO387" s="433">
        <f t="shared" si="222"/>
        <v>0</v>
      </c>
      <c r="BP387" s="433">
        <f t="shared" si="223"/>
        <v>0</v>
      </c>
      <c r="BQ387" s="433">
        <f t="shared" si="224"/>
        <v>0</v>
      </c>
    </row>
    <row r="388" spans="1:69" x14ac:dyDescent="0.2">
      <c r="A388" s="102">
        <v>41828</v>
      </c>
      <c r="B388" s="319">
        <v>2</v>
      </c>
      <c r="C388" s="118" t="s">
        <v>2486</v>
      </c>
      <c r="D388" s="111">
        <v>0.59722222222222221</v>
      </c>
      <c r="E388" s="111">
        <v>0.77500000000000002</v>
      </c>
      <c r="F388" s="444">
        <v>31</v>
      </c>
      <c r="G388" s="445">
        <v>13</v>
      </c>
      <c r="H388" s="444"/>
      <c r="I388" s="390"/>
      <c r="J388" s="426">
        <f t="shared" si="225"/>
        <v>256.00000000000006</v>
      </c>
      <c r="K388" s="103">
        <v>2</v>
      </c>
      <c r="L388" s="103"/>
      <c r="M388" s="103"/>
      <c r="N388" s="427">
        <f t="shared" si="226"/>
        <v>2</v>
      </c>
      <c r="O388" s="103"/>
      <c r="P388" s="103"/>
      <c r="Q388" s="103"/>
      <c r="R388" s="428">
        <f t="shared" si="227"/>
        <v>0</v>
      </c>
      <c r="S388" s="103"/>
      <c r="T388" s="103"/>
      <c r="U388" s="103"/>
      <c r="V388" s="125"/>
      <c r="W388" s="428">
        <f t="shared" ref="W388:W451" si="231">SUM(S388:V388)</f>
        <v>0</v>
      </c>
      <c r="X388" s="103"/>
      <c r="Y388" s="103"/>
      <c r="Z388" s="125"/>
      <c r="AA388" s="428">
        <f t="shared" ref="AA388:AA451" si="232">SUM(X388:Z388)</f>
        <v>0</v>
      </c>
      <c r="AB388" s="103"/>
      <c r="AC388" s="103"/>
      <c r="AD388" s="103"/>
      <c r="AE388" s="428">
        <f t="shared" ref="AE388:AE451" si="233">SUM(AB388:AD388)</f>
        <v>0</v>
      </c>
      <c r="AF388" s="103"/>
      <c r="AG388" s="103"/>
      <c r="AH388" s="103"/>
      <c r="AI388" s="103"/>
      <c r="AJ388" s="428">
        <f t="shared" ref="AJ388:AJ451" si="234">SUM(AF388:AI388)</f>
        <v>0</v>
      </c>
      <c r="AK388" s="446"/>
      <c r="AL388" s="446"/>
      <c r="AM388" s="446"/>
      <c r="AN388" s="446"/>
      <c r="AO388" s="446"/>
      <c r="AP388" s="446"/>
      <c r="AQ388" s="446"/>
      <c r="AR388" s="431">
        <f t="shared" ref="AR388:AR451" si="235">SUM(AK388:AQ388)</f>
        <v>0</v>
      </c>
      <c r="AT388" s="128"/>
      <c r="AU388" s="100" t="s">
        <v>2555</v>
      </c>
      <c r="AV388" s="128" t="s">
        <v>2604</v>
      </c>
      <c r="AW388" s="100" t="s">
        <v>2670</v>
      </c>
      <c r="AX388" s="433">
        <f t="shared" ref="AX388:AX451" si="236">K388</f>
        <v>2</v>
      </c>
      <c r="AY388" s="433">
        <f t="shared" ref="AY388:AY451" si="237">L388</f>
        <v>0</v>
      </c>
      <c r="AZ388" s="433">
        <f t="shared" ref="AZ388:AZ451" si="238">M388</f>
        <v>0</v>
      </c>
      <c r="BA388" s="433">
        <f t="shared" si="228"/>
        <v>0</v>
      </c>
      <c r="BB388" s="433">
        <f t="shared" si="229"/>
        <v>0</v>
      </c>
      <c r="BC388" s="433">
        <f t="shared" si="230"/>
        <v>0</v>
      </c>
      <c r="BD388" s="433">
        <f t="shared" ref="BD388:BD451" si="239">S388</f>
        <v>0</v>
      </c>
      <c r="BE388" s="433">
        <f t="shared" ref="BE388:BE451" si="240">T388</f>
        <v>0</v>
      </c>
      <c r="BF388" s="433">
        <f t="shared" ref="BF388:BF451" si="241">U388</f>
        <v>0</v>
      </c>
      <c r="BG388" s="433">
        <f t="shared" ref="BG388:BG451" si="242">V388</f>
        <v>0</v>
      </c>
      <c r="BH388" s="433">
        <f t="shared" ref="BH388:BH451" si="243">X388</f>
        <v>0</v>
      </c>
      <c r="BI388" s="433">
        <f t="shared" ref="BI388:BI451" si="244">Y388</f>
        <v>0</v>
      </c>
      <c r="BJ388" s="433">
        <f t="shared" ref="BJ388:BJ451" si="245">Z388</f>
        <v>0</v>
      </c>
      <c r="BK388" s="433">
        <f t="shared" ref="BK388:BK451" si="246">AB388</f>
        <v>0</v>
      </c>
      <c r="BL388" s="433">
        <f t="shared" ref="BL388:BL451" si="247">AC388</f>
        <v>0</v>
      </c>
      <c r="BM388" s="433">
        <f t="shared" ref="BM388:BM451" si="248">AD388</f>
        <v>0</v>
      </c>
      <c r="BN388" s="433">
        <f t="shared" ref="BN388:BN451" si="249">AF388</f>
        <v>0</v>
      </c>
      <c r="BO388" s="433">
        <f t="shared" ref="BO388:BO451" si="250">AG388</f>
        <v>0</v>
      </c>
      <c r="BP388" s="433">
        <f t="shared" ref="BP388:BP451" si="251">AH388</f>
        <v>0</v>
      </c>
      <c r="BQ388" s="433">
        <f t="shared" ref="BQ388:BQ451" si="252">AI388</f>
        <v>0</v>
      </c>
    </row>
    <row r="389" spans="1:69" x14ac:dyDescent="0.2">
      <c r="A389" s="102">
        <v>41828</v>
      </c>
      <c r="B389" s="319">
        <v>2</v>
      </c>
      <c r="C389" s="118" t="s">
        <v>2489</v>
      </c>
      <c r="D389" s="111">
        <v>0.77500000000000002</v>
      </c>
      <c r="E389" s="111">
        <v>1</v>
      </c>
      <c r="F389" s="444">
        <v>32</v>
      </c>
      <c r="G389" s="445">
        <v>13</v>
      </c>
      <c r="H389" s="444"/>
      <c r="I389" s="390"/>
      <c r="J389" s="426">
        <f t="shared" si="225"/>
        <v>323.99999999999994</v>
      </c>
      <c r="K389" s="103">
        <v>1</v>
      </c>
      <c r="L389" s="103"/>
      <c r="M389" s="103"/>
      <c r="N389" s="427">
        <f t="shared" si="226"/>
        <v>1</v>
      </c>
      <c r="O389" s="103"/>
      <c r="P389" s="103"/>
      <c r="Q389" s="103"/>
      <c r="R389" s="428">
        <f t="shared" si="227"/>
        <v>0</v>
      </c>
      <c r="S389" s="103"/>
      <c r="T389" s="103"/>
      <c r="U389" s="103"/>
      <c r="V389" s="125"/>
      <c r="W389" s="428">
        <f t="shared" si="231"/>
        <v>0</v>
      </c>
      <c r="X389" s="103"/>
      <c r="Y389" s="103"/>
      <c r="Z389" s="125"/>
      <c r="AA389" s="428">
        <f t="shared" si="232"/>
        <v>0</v>
      </c>
      <c r="AB389" s="103"/>
      <c r="AC389" s="103"/>
      <c r="AD389" s="103"/>
      <c r="AE389" s="428">
        <f t="shared" si="233"/>
        <v>0</v>
      </c>
      <c r="AF389" s="103"/>
      <c r="AG389" s="103"/>
      <c r="AH389" s="103"/>
      <c r="AI389" s="103"/>
      <c r="AJ389" s="428">
        <f t="shared" si="234"/>
        <v>0</v>
      </c>
      <c r="AK389" s="446"/>
      <c r="AL389" s="446"/>
      <c r="AM389" s="446"/>
      <c r="AN389" s="446"/>
      <c r="AO389" s="446"/>
      <c r="AP389" s="446"/>
      <c r="AQ389" s="446"/>
      <c r="AR389" s="431">
        <f t="shared" si="235"/>
        <v>0</v>
      </c>
      <c r="AT389" s="128"/>
      <c r="AU389" s="100" t="s">
        <v>2554</v>
      </c>
      <c r="AV389" s="128" t="s">
        <v>2604</v>
      </c>
      <c r="AW389" s="100" t="s">
        <v>2670</v>
      </c>
      <c r="AX389" s="433">
        <f t="shared" si="236"/>
        <v>1</v>
      </c>
      <c r="AY389" s="433">
        <f t="shared" si="237"/>
        <v>0</v>
      </c>
      <c r="AZ389" s="433">
        <f t="shared" si="238"/>
        <v>0</v>
      </c>
      <c r="BA389" s="433">
        <f t="shared" si="228"/>
        <v>0</v>
      </c>
      <c r="BB389" s="433">
        <f t="shared" si="229"/>
        <v>0</v>
      </c>
      <c r="BC389" s="433">
        <f t="shared" si="230"/>
        <v>0</v>
      </c>
      <c r="BD389" s="433">
        <f t="shared" si="239"/>
        <v>0</v>
      </c>
      <c r="BE389" s="433">
        <f t="shared" si="240"/>
        <v>0</v>
      </c>
      <c r="BF389" s="433">
        <f t="shared" si="241"/>
        <v>0</v>
      </c>
      <c r="BG389" s="433">
        <f t="shared" si="242"/>
        <v>0</v>
      </c>
      <c r="BH389" s="433">
        <f t="shared" si="243"/>
        <v>0</v>
      </c>
      <c r="BI389" s="433">
        <f t="shared" si="244"/>
        <v>0</v>
      </c>
      <c r="BJ389" s="433">
        <f t="shared" si="245"/>
        <v>0</v>
      </c>
      <c r="BK389" s="433">
        <f t="shared" si="246"/>
        <v>0</v>
      </c>
      <c r="BL389" s="433">
        <f t="shared" si="247"/>
        <v>0</v>
      </c>
      <c r="BM389" s="433">
        <f t="shared" si="248"/>
        <v>0</v>
      </c>
      <c r="BN389" s="433">
        <f t="shared" si="249"/>
        <v>0</v>
      </c>
      <c r="BO389" s="433">
        <f t="shared" si="250"/>
        <v>0</v>
      </c>
      <c r="BP389" s="433">
        <f t="shared" si="251"/>
        <v>0</v>
      </c>
      <c r="BQ389" s="433">
        <f t="shared" si="252"/>
        <v>0</v>
      </c>
    </row>
    <row r="390" spans="1:69" x14ac:dyDescent="0.2">
      <c r="A390" s="102">
        <v>41828</v>
      </c>
      <c r="B390" s="319">
        <v>3</v>
      </c>
      <c r="C390" s="118" t="s">
        <v>2071</v>
      </c>
      <c r="D390" s="111">
        <v>0.24444444444444446</v>
      </c>
      <c r="E390" s="111">
        <v>0.40625</v>
      </c>
      <c r="F390" s="444">
        <v>34</v>
      </c>
      <c r="G390" s="445">
        <v>11</v>
      </c>
      <c r="H390" s="444"/>
      <c r="I390" s="390"/>
      <c r="J390" s="426">
        <f t="shared" si="225"/>
        <v>232.99999999999997</v>
      </c>
      <c r="K390" s="103">
        <v>1</v>
      </c>
      <c r="L390" s="103"/>
      <c r="M390" s="103"/>
      <c r="N390" s="427">
        <f t="shared" si="226"/>
        <v>1</v>
      </c>
      <c r="O390" s="103"/>
      <c r="P390" s="103"/>
      <c r="Q390" s="103"/>
      <c r="R390" s="428">
        <f t="shared" si="227"/>
        <v>0</v>
      </c>
      <c r="S390" s="103"/>
      <c r="T390" s="103"/>
      <c r="U390" s="103"/>
      <c r="V390" s="125"/>
      <c r="W390" s="428">
        <f t="shared" si="231"/>
        <v>0</v>
      </c>
      <c r="X390" s="103"/>
      <c r="Y390" s="103"/>
      <c r="Z390" s="125"/>
      <c r="AA390" s="428">
        <f t="shared" si="232"/>
        <v>0</v>
      </c>
      <c r="AB390" s="103"/>
      <c r="AC390" s="103"/>
      <c r="AD390" s="103"/>
      <c r="AE390" s="428">
        <f t="shared" si="233"/>
        <v>0</v>
      </c>
      <c r="AF390" s="103"/>
      <c r="AG390" s="103"/>
      <c r="AH390" s="103"/>
      <c r="AI390" s="103"/>
      <c r="AJ390" s="428">
        <f t="shared" si="234"/>
        <v>0</v>
      </c>
      <c r="AK390" s="446"/>
      <c r="AL390" s="446"/>
      <c r="AM390" s="446"/>
      <c r="AN390" s="446"/>
      <c r="AO390" s="446"/>
      <c r="AP390" s="446"/>
      <c r="AQ390" s="446"/>
      <c r="AR390" s="431">
        <f t="shared" si="235"/>
        <v>0</v>
      </c>
      <c r="AT390" s="128"/>
      <c r="AU390" s="100" t="s">
        <v>2551</v>
      </c>
      <c r="AV390" s="128" t="s">
        <v>2604</v>
      </c>
      <c r="AW390" s="100" t="s">
        <v>2670</v>
      </c>
      <c r="AX390" s="433">
        <f t="shared" si="236"/>
        <v>1</v>
      </c>
      <c r="AY390" s="433">
        <f t="shared" si="237"/>
        <v>0</v>
      </c>
      <c r="AZ390" s="433">
        <f t="shared" si="238"/>
        <v>0</v>
      </c>
      <c r="BA390" s="433">
        <f t="shared" si="228"/>
        <v>0</v>
      </c>
      <c r="BB390" s="433">
        <f t="shared" si="229"/>
        <v>0</v>
      </c>
      <c r="BC390" s="433">
        <f t="shared" si="230"/>
        <v>0</v>
      </c>
      <c r="BD390" s="433">
        <f t="shared" si="239"/>
        <v>0</v>
      </c>
      <c r="BE390" s="433">
        <f t="shared" si="240"/>
        <v>0</v>
      </c>
      <c r="BF390" s="433">
        <f t="shared" si="241"/>
        <v>0</v>
      </c>
      <c r="BG390" s="433">
        <f t="shared" si="242"/>
        <v>0</v>
      </c>
      <c r="BH390" s="433">
        <f t="shared" si="243"/>
        <v>0</v>
      </c>
      <c r="BI390" s="433">
        <f t="shared" si="244"/>
        <v>0</v>
      </c>
      <c r="BJ390" s="433">
        <f t="shared" si="245"/>
        <v>0</v>
      </c>
      <c r="BK390" s="433">
        <f t="shared" si="246"/>
        <v>0</v>
      </c>
      <c r="BL390" s="433">
        <f t="shared" si="247"/>
        <v>0</v>
      </c>
      <c r="BM390" s="433">
        <f t="shared" si="248"/>
        <v>0</v>
      </c>
      <c r="BN390" s="433">
        <f t="shared" si="249"/>
        <v>0</v>
      </c>
      <c r="BO390" s="433">
        <f t="shared" si="250"/>
        <v>0</v>
      </c>
      <c r="BP390" s="433">
        <f t="shared" si="251"/>
        <v>0</v>
      </c>
      <c r="BQ390" s="433">
        <f t="shared" si="252"/>
        <v>0</v>
      </c>
    </row>
    <row r="391" spans="1:69" x14ac:dyDescent="0.2">
      <c r="A391" s="102">
        <v>41828</v>
      </c>
      <c r="B391" s="319">
        <v>3</v>
      </c>
      <c r="C391" s="118" t="s">
        <v>2074</v>
      </c>
      <c r="D391" s="111">
        <v>0.40625</v>
      </c>
      <c r="E391" s="111">
        <v>0.59375</v>
      </c>
      <c r="F391" s="444">
        <v>33</v>
      </c>
      <c r="G391" s="445">
        <v>11</v>
      </c>
      <c r="H391" s="444"/>
      <c r="I391" s="390"/>
      <c r="J391" s="426">
        <f>((E391-D391)*24*60)-17</f>
        <v>253</v>
      </c>
      <c r="K391" s="103">
        <v>1</v>
      </c>
      <c r="L391" s="103"/>
      <c r="M391" s="103"/>
      <c r="N391" s="427">
        <f t="shared" si="226"/>
        <v>1</v>
      </c>
      <c r="O391" s="103"/>
      <c r="P391" s="103"/>
      <c r="Q391" s="103"/>
      <c r="R391" s="428">
        <f t="shared" si="227"/>
        <v>0</v>
      </c>
      <c r="S391" s="103"/>
      <c r="T391" s="103"/>
      <c r="U391" s="103"/>
      <c r="V391" s="125"/>
      <c r="W391" s="428">
        <f t="shared" si="231"/>
        <v>0</v>
      </c>
      <c r="X391" s="103"/>
      <c r="Y391" s="103"/>
      <c r="Z391" s="125"/>
      <c r="AA391" s="428">
        <f t="shared" si="232"/>
        <v>0</v>
      </c>
      <c r="AB391" s="103"/>
      <c r="AC391" s="103"/>
      <c r="AD391" s="103"/>
      <c r="AE391" s="428">
        <f t="shared" si="233"/>
        <v>0</v>
      </c>
      <c r="AF391" s="103"/>
      <c r="AG391" s="103"/>
      <c r="AH391" s="103"/>
      <c r="AI391" s="103"/>
      <c r="AJ391" s="428">
        <f t="shared" si="234"/>
        <v>0</v>
      </c>
      <c r="AK391" s="446"/>
      <c r="AL391" s="446"/>
      <c r="AM391" s="446"/>
      <c r="AN391" s="446"/>
      <c r="AO391" s="446"/>
      <c r="AP391" s="446"/>
      <c r="AQ391" s="446"/>
      <c r="AR391" s="431">
        <f t="shared" si="235"/>
        <v>0</v>
      </c>
      <c r="AS391" s="10" t="s">
        <v>2556</v>
      </c>
      <c r="AT391" s="128"/>
      <c r="AU391" s="100" t="s">
        <v>2557</v>
      </c>
      <c r="AV391" s="128" t="s">
        <v>2604</v>
      </c>
      <c r="AW391" s="100" t="s">
        <v>2670</v>
      </c>
      <c r="AX391" s="433">
        <f t="shared" si="236"/>
        <v>1</v>
      </c>
      <c r="AY391" s="433">
        <f t="shared" si="237"/>
        <v>0</v>
      </c>
      <c r="AZ391" s="433">
        <f t="shared" si="238"/>
        <v>0</v>
      </c>
      <c r="BA391" s="433">
        <f t="shared" si="228"/>
        <v>0</v>
      </c>
      <c r="BB391" s="433">
        <f t="shared" si="229"/>
        <v>0</v>
      </c>
      <c r="BC391" s="433">
        <f t="shared" si="230"/>
        <v>0</v>
      </c>
      <c r="BD391" s="433">
        <f t="shared" si="239"/>
        <v>0</v>
      </c>
      <c r="BE391" s="433">
        <f t="shared" si="240"/>
        <v>0</v>
      </c>
      <c r="BF391" s="433">
        <f t="shared" si="241"/>
        <v>0</v>
      </c>
      <c r="BG391" s="433">
        <f t="shared" si="242"/>
        <v>0</v>
      </c>
      <c r="BH391" s="433">
        <f t="shared" si="243"/>
        <v>0</v>
      </c>
      <c r="BI391" s="433">
        <f t="shared" si="244"/>
        <v>0</v>
      </c>
      <c r="BJ391" s="433">
        <f t="shared" si="245"/>
        <v>0</v>
      </c>
      <c r="BK391" s="433">
        <f t="shared" si="246"/>
        <v>0</v>
      </c>
      <c r="BL391" s="433">
        <f t="shared" si="247"/>
        <v>0</v>
      </c>
      <c r="BM391" s="433">
        <f t="shared" si="248"/>
        <v>0</v>
      </c>
      <c r="BN391" s="433">
        <f t="shared" si="249"/>
        <v>0</v>
      </c>
      <c r="BO391" s="433">
        <f t="shared" si="250"/>
        <v>0</v>
      </c>
      <c r="BP391" s="433">
        <f t="shared" si="251"/>
        <v>0</v>
      </c>
      <c r="BQ391" s="433">
        <f t="shared" si="252"/>
        <v>0</v>
      </c>
    </row>
    <row r="392" spans="1:69" x14ac:dyDescent="0.2">
      <c r="A392" s="102">
        <v>41828</v>
      </c>
      <c r="B392" s="319">
        <v>3</v>
      </c>
      <c r="C392" s="118" t="s">
        <v>957</v>
      </c>
      <c r="D392" s="111">
        <v>0.59375</v>
      </c>
      <c r="E392" s="111">
        <v>0.78263888888888899</v>
      </c>
      <c r="F392" s="444">
        <v>35</v>
      </c>
      <c r="G392" s="445">
        <v>12</v>
      </c>
      <c r="H392" s="444"/>
      <c r="I392" s="390"/>
      <c r="J392" s="426">
        <f t="shared" si="225"/>
        <v>272.00000000000017</v>
      </c>
      <c r="K392" s="103">
        <v>1</v>
      </c>
      <c r="L392" s="103"/>
      <c r="M392" s="103"/>
      <c r="N392" s="427">
        <f t="shared" si="226"/>
        <v>1</v>
      </c>
      <c r="O392" s="103"/>
      <c r="P392" s="103"/>
      <c r="Q392" s="103"/>
      <c r="R392" s="428">
        <f t="shared" si="227"/>
        <v>0</v>
      </c>
      <c r="S392" s="103"/>
      <c r="T392" s="103"/>
      <c r="U392" s="103"/>
      <c r="V392" s="125"/>
      <c r="W392" s="428">
        <f t="shared" si="231"/>
        <v>0</v>
      </c>
      <c r="X392" s="103"/>
      <c r="Y392" s="103"/>
      <c r="Z392" s="125"/>
      <c r="AA392" s="428">
        <f t="shared" si="232"/>
        <v>0</v>
      </c>
      <c r="AB392" s="103"/>
      <c r="AC392" s="103"/>
      <c r="AD392" s="103"/>
      <c r="AE392" s="428">
        <f t="shared" si="233"/>
        <v>0</v>
      </c>
      <c r="AF392" s="103"/>
      <c r="AG392" s="103"/>
      <c r="AH392" s="103"/>
      <c r="AI392" s="103"/>
      <c r="AJ392" s="428">
        <f t="shared" si="234"/>
        <v>0</v>
      </c>
      <c r="AK392" s="446"/>
      <c r="AL392" s="446"/>
      <c r="AM392" s="446">
        <v>1</v>
      </c>
      <c r="AN392" s="446"/>
      <c r="AO392" s="446"/>
      <c r="AP392" s="446"/>
      <c r="AQ392" s="446"/>
      <c r="AR392" s="431">
        <f t="shared" si="235"/>
        <v>1</v>
      </c>
      <c r="AT392" s="128"/>
      <c r="AU392" s="100" t="s">
        <v>2547</v>
      </c>
      <c r="AV392" s="128" t="s">
        <v>2604</v>
      </c>
      <c r="AW392" s="100" t="s">
        <v>2670</v>
      </c>
      <c r="AX392" s="433">
        <f t="shared" si="236"/>
        <v>1</v>
      </c>
      <c r="AY392" s="433">
        <f t="shared" si="237"/>
        <v>0</v>
      </c>
      <c r="AZ392" s="433">
        <f t="shared" si="238"/>
        <v>0</v>
      </c>
      <c r="BA392" s="433">
        <f t="shared" si="228"/>
        <v>0</v>
      </c>
      <c r="BB392" s="433">
        <f t="shared" si="229"/>
        <v>0</v>
      </c>
      <c r="BC392" s="433">
        <f t="shared" si="230"/>
        <v>0</v>
      </c>
      <c r="BD392" s="433">
        <f t="shared" si="239"/>
        <v>0</v>
      </c>
      <c r="BE392" s="433">
        <f t="shared" si="240"/>
        <v>0</v>
      </c>
      <c r="BF392" s="433">
        <f t="shared" si="241"/>
        <v>0</v>
      </c>
      <c r="BG392" s="433">
        <f t="shared" si="242"/>
        <v>0</v>
      </c>
      <c r="BH392" s="433">
        <f t="shared" si="243"/>
        <v>0</v>
      </c>
      <c r="BI392" s="433">
        <f t="shared" si="244"/>
        <v>0</v>
      </c>
      <c r="BJ392" s="433">
        <f t="shared" si="245"/>
        <v>0</v>
      </c>
      <c r="BK392" s="433">
        <f t="shared" si="246"/>
        <v>0</v>
      </c>
      <c r="BL392" s="433">
        <f t="shared" si="247"/>
        <v>0</v>
      </c>
      <c r="BM392" s="433">
        <f t="shared" si="248"/>
        <v>0</v>
      </c>
      <c r="BN392" s="433">
        <f t="shared" si="249"/>
        <v>0</v>
      </c>
      <c r="BO392" s="433">
        <f t="shared" si="250"/>
        <v>0</v>
      </c>
      <c r="BP392" s="433">
        <f t="shared" si="251"/>
        <v>0</v>
      </c>
      <c r="BQ392" s="433">
        <f t="shared" si="252"/>
        <v>0</v>
      </c>
    </row>
    <row r="393" spans="1:69" s="291" customFormat="1" x14ac:dyDescent="0.2">
      <c r="A393" s="317">
        <v>41828</v>
      </c>
      <c r="B393" s="318">
        <v>3</v>
      </c>
      <c r="C393" s="320" t="s">
        <v>2558</v>
      </c>
      <c r="D393" s="321">
        <v>0.78263888888888899</v>
      </c>
      <c r="E393" s="321">
        <v>1</v>
      </c>
      <c r="F393" s="434">
        <v>36</v>
      </c>
      <c r="G393" s="435">
        <v>13</v>
      </c>
      <c r="H393" s="434"/>
      <c r="I393" s="436"/>
      <c r="J393" s="437">
        <f t="shared" si="225"/>
        <v>312.99999999999983</v>
      </c>
      <c r="K393" s="285">
        <v>2</v>
      </c>
      <c r="L393" s="285"/>
      <c r="M393" s="285"/>
      <c r="N393" s="438">
        <f t="shared" si="226"/>
        <v>2</v>
      </c>
      <c r="O393" s="285"/>
      <c r="P393" s="285"/>
      <c r="Q393" s="285"/>
      <c r="R393" s="439">
        <f t="shared" si="227"/>
        <v>0</v>
      </c>
      <c r="S393" s="285"/>
      <c r="T393" s="285"/>
      <c r="U393" s="285"/>
      <c r="V393" s="440"/>
      <c r="W393" s="439">
        <f t="shared" si="231"/>
        <v>0</v>
      </c>
      <c r="X393" s="285"/>
      <c r="Y393" s="285"/>
      <c r="Z393" s="440"/>
      <c r="AA393" s="439">
        <f t="shared" si="232"/>
        <v>0</v>
      </c>
      <c r="AB393" s="285"/>
      <c r="AC393" s="285"/>
      <c r="AD393" s="285"/>
      <c r="AE393" s="439">
        <f t="shared" si="233"/>
        <v>0</v>
      </c>
      <c r="AF393" s="285"/>
      <c r="AG393" s="285"/>
      <c r="AH393" s="285"/>
      <c r="AI393" s="285"/>
      <c r="AJ393" s="439">
        <f t="shared" si="234"/>
        <v>0</v>
      </c>
      <c r="AK393" s="340"/>
      <c r="AL393" s="340"/>
      <c r="AM393" s="340"/>
      <c r="AN393" s="340"/>
      <c r="AO393" s="340"/>
      <c r="AP393" s="340"/>
      <c r="AQ393" s="340"/>
      <c r="AR393" s="441">
        <f t="shared" si="235"/>
        <v>0</v>
      </c>
      <c r="AT393" s="313"/>
      <c r="AU393" s="289" t="s">
        <v>2550</v>
      </c>
      <c r="AV393" s="313" t="s">
        <v>2604</v>
      </c>
      <c r="AW393" s="382" t="s">
        <v>2670</v>
      </c>
      <c r="AX393" s="443">
        <f t="shared" si="236"/>
        <v>2</v>
      </c>
      <c r="AY393" s="443">
        <f t="shared" si="237"/>
        <v>0</v>
      </c>
      <c r="AZ393" s="443">
        <f t="shared" si="238"/>
        <v>0</v>
      </c>
      <c r="BA393" s="443">
        <f t="shared" si="228"/>
        <v>0</v>
      </c>
      <c r="BB393" s="443">
        <f t="shared" si="229"/>
        <v>0</v>
      </c>
      <c r="BC393" s="443">
        <f t="shared" si="230"/>
        <v>0</v>
      </c>
      <c r="BD393" s="443">
        <f t="shared" si="239"/>
        <v>0</v>
      </c>
      <c r="BE393" s="443">
        <f t="shared" si="240"/>
        <v>0</v>
      </c>
      <c r="BF393" s="443">
        <f t="shared" si="241"/>
        <v>0</v>
      </c>
      <c r="BG393" s="443">
        <f t="shared" si="242"/>
        <v>0</v>
      </c>
      <c r="BH393" s="443">
        <f t="shared" si="243"/>
        <v>0</v>
      </c>
      <c r="BI393" s="443">
        <f t="shared" si="244"/>
        <v>0</v>
      </c>
      <c r="BJ393" s="443">
        <f t="shared" si="245"/>
        <v>0</v>
      </c>
      <c r="BK393" s="443">
        <f t="shared" si="246"/>
        <v>0</v>
      </c>
      <c r="BL393" s="443">
        <f t="shared" si="247"/>
        <v>0</v>
      </c>
      <c r="BM393" s="443">
        <f t="shared" si="248"/>
        <v>0</v>
      </c>
      <c r="BN393" s="443">
        <f t="shared" si="249"/>
        <v>0</v>
      </c>
      <c r="BO393" s="443">
        <f t="shared" si="250"/>
        <v>0</v>
      </c>
      <c r="BP393" s="443">
        <f t="shared" si="251"/>
        <v>0</v>
      </c>
      <c r="BQ393" s="443">
        <f t="shared" si="252"/>
        <v>0</v>
      </c>
    </row>
    <row r="394" spans="1:69" x14ac:dyDescent="0.2">
      <c r="A394" s="102">
        <v>41829</v>
      </c>
      <c r="B394" s="319">
        <v>1</v>
      </c>
      <c r="C394" s="118" t="s">
        <v>2069</v>
      </c>
      <c r="D394" s="111">
        <v>0</v>
      </c>
      <c r="E394" s="111">
        <v>0.40972222222222227</v>
      </c>
      <c r="F394" s="444">
        <v>33</v>
      </c>
      <c r="G394" s="445">
        <v>10</v>
      </c>
      <c r="H394" s="444"/>
      <c r="I394" s="390"/>
      <c r="J394" s="426">
        <f t="shared" si="225"/>
        <v>590</v>
      </c>
      <c r="K394" s="103">
        <v>4</v>
      </c>
      <c r="L394" s="103"/>
      <c r="M394" s="103"/>
      <c r="N394" s="427">
        <f t="shared" si="226"/>
        <v>4</v>
      </c>
      <c r="O394" s="103"/>
      <c r="P394" s="103"/>
      <c r="Q394" s="103"/>
      <c r="R394" s="428">
        <f t="shared" si="227"/>
        <v>0</v>
      </c>
      <c r="S394" s="103"/>
      <c r="T394" s="103"/>
      <c r="U394" s="103"/>
      <c r="V394" s="125"/>
      <c r="W394" s="428">
        <f t="shared" si="231"/>
        <v>0</v>
      </c>
      <c r="X394" s="103"/>
      <c r="Y394" s="103"/>
      <c r="Z394" s="125"/>
      <c r="AA394" s="428">
        <f t="shared" si="232"/>
        <v>0</v>
      </c>
      <c r="AB394" s="103"/>
      <c r="AC394" s="103"/>
      <c r="AD394" s="103"/>
      <c r="AE394" s="428">
        <f t="shared" si="233"/>
        <v>0</v>
      </c>
      <c r="AF394" s="103"/>
      <c r="AG394" s="103"/>
      <c r="AH394" s="103"/>
      <c r="AI394" s="103"/>
      <c r="AJ394" s="428">
        <f t="shared" si="234"/>
        <v>0</v>
      </c>
      <c r="AK394" s="446"/>
      <c r="AL394" s="446">
        <v>1</v>
      </c>
      <c r="AM394" s="446"/>
      <c r="AN394" s="446"/>
      <c r="AO394" s="446"/>
      <c r="AP394" s="446"/>
      <c r="AQ394" s="446"/>
      <c r="AR394" s="431">
        <f t="shared" si="235"/>
        <v>1</v>
      </c>
      <c r="AS394" s="10" t="s">
        <v>2095</v>
      </c>
      <c r="AT394" s="128"/>
      <c r="AU394" s="100" t="s">
        <v>2567</v>
      </c>
      <c r="AV394" s="128" t="s">
        <v>2604</v>
      </c>
      <c r="AW394" s="100" t="s">
        <v>2671</v>
      </c>
      <c r="AX394" s="433">
        <f t="shared" si="236"/>
        <v>4</v>
      </c>
      <c r="AY394" s="433">
        <f t="shared" si="237"/>
        <v>0</v>
      </c>
      <c r="AZ394" s="433">
        <f t="shared" si="238"/>
        <v>0</v>
      </c>
      <c r="BA394" s="433">
        <f t="shared" si="228"/>
        <v>0</v>
      </c>
      <c r="BB394" s="433">
        <f t="shared" si="229"/>
        <v>0</v>
      </c>
      <c r="BC394" s="433">
        <f t="shared" si="230"/>
        <v>0</v>
      </c>
      <c r="BD394" s="433">
        <f t="shared" si="239"/>
        <v>0</v>
      </c>
      <c r="BE394" s="433">
        <f t="shared" si="240"/>
        <v>0</v>
      </c>
      <c r="BF394" s="433">
        <f t="shared" si="241"/>
        <v>0</v>
      </c>
      <c r="BG394" s="433">
        <f t="shared" si="242"/>
        <v>0</v>
      </c>
      <c r="BH394" s="433">
        <f t="shared" si="243"/>
        <v>0</v>
      </c>
      <c r="BI394" s="433">
        <f t="shared" si="244"/>
        <v>0</v>
      </c>
      <c r="BJ394" s="433">
        <f t="shared" si="245"/>
        <v>0</v>
      </c>
      <c r="BK394" s="433">
        <f t="shared" si="246"/>
        <v>0</v>
      </c>
      <c r="BL394" s="433">
        <f t="shared" si="247"/>
        <v>0</v>
      </c>
      <c r="BM394" s="433">
        <f t="shared" si="248"/>
        <v>0</v>
      </c>
      <c r="BN394" s="433">
        <f t="shared" si="249"/>
        <v>0</v>
      </c>
      <c r="BO394" s="433">
        <f t="shared" si="250"/>
        <v>0</v>
      </c>
      <c r="BP394" s="433">
        <f t="shared" si="251"/>
        <v>0</v>
      </c>
      <c r="BQ394" s="433">
        <f t="shared" si="252"/>
        <v>0</v>
      </c>
    </row>
    <row r="395" spans="1:69" x14ac:dyDescent="0.2">
      <c r="A395" s="102">
        <v>41829</v>
      </c>
      <c r="B395" s="319">
        <v>1</v>
      </c>
      <c r="C395" s="118" t="s">
        <v>2548</v>
      </c>
      <c r="D395" s="111">
        <v>0.40972222222222227</v>
      </c>
      <c r="E395" s="111">
        <v>0.60972222222222217</v>
      </c>
      <c r="F395" s="444">
        <v>33</v>
      </c>
      <c r="G395" s="445">
        <v>10</v>
      </c>
      <c r="H395" s="444"/>
      <c r="I395" s="390"/>
      <c r="J395" s="426">
        <f>((E395-D395)*24*60)-8</f>
        <v>279.99999999999983</v>
      </c>
      <c r="K395" s="103">
        <v>1</v>
      </c>
      <c r="L395" s="103"/>
      <c r="M395" s="103">
        <v>1</v>
      </c>
      <c r="N395" s="427">
        <f t="shared" si="226"/>
        <v>2</v>
      </c>
      <c r="O395" s="103"/>
      <c r="P395" s="103"/>
      <c r="Q395" s="103"/>
      <c r="R395" s="428">
        <f t="shared" si="227"/>
        <v>0</v>
      </c>
      <c r="S395" s="103"/>
      <c r="T395" s="103"/>
      <c r="U395" s="103"/>
      <c r="V395" s="125"/>
      <c r="W395" s="428">
        <f t="shared" si="231"/>
        <v>0</v>
      </c>
      <c r="X395" s="103"/>
      <c r="Y395" s="103"/>
      <c r="Z395" s="125"/>
      <c r="AA395" s="428">
        <f t="shared" si="232"/>
        <v>0</v>
      </c>
      <c r="AB395" s="103"/>
      <c r="AC395" s="103"/>
      <c r="AD395" s="103"/>
      <c r="AE395" s="428">
        <f t="shared" si="233"/>
        <v>0</v>
      </c>
      <c r="AF395" s="103"/>
      <c r="AG395" s="103"/>
      <c r="AH395" s="103"/>
      <c r="AI395" s="103"/>
      <c r="AJ395" s="428">
        <f t="shared" si="234"/>
        <v>0</v>
      </c>
      <c r="AK395" s="446"/>
      <c r="AL395" s="446"/>
      <c r="AM395" s="446"/>
      <c r="AN395" s="446"/>
      <c r="AO395" s="446"/>
      <c r="AP395" s="446"/>
      <c r="AQ395" s="446"/>
      <c r="AR395" s="431">
        <f t="shared" si="235"/>
        <v>0</v>
      </c>
      <c r="AS395" s="10" t="s">
        <v>2568</v>
      </c>
      <c r="AT395" s="128"/>
      <c r="AU395" s="100" t="s">
        <v>2569</v>
      </c>
      <c r="AV395" s="128" t="s">
        <v>2604</v>
      </c>
      <c r="AW395" s="100" t="s">
        <v>2671</v>
      </c>
      <c r="AX395" s="433">
        <f t="shared" si="236"/>
        <v>1</v>
      </c>
      <c r="AY395" s="433">
        <f t="shared" si="237"/>
        <v>0</v>
      </c>
      <c r="AZ395" s="433">
        <f t="shared" si="238"/>
        <v>1</v>
      </c>
      <c r="BA395" s="433">
        <f t="shared" si="228"/>
        <v>0</v>
      </c>
      <c r="BB395" s="433">
        <f t="shared" si="229"/>
        <v>0</v>
      </c>
      <c r="BC395" s="433">
        <f t="shared" si="230"/>
        <v>0</v>
      </c>
      <c r="BD395" s="433">
        <f t="shared" si="239"/>
        <v>0</v>
      </c>
      <c r="BE395" s="433">
        <f t="shared" si="240"/>
        <v>0</v>
      </c>
      <c r="BF395" s="433">
        <f t="shared" si="241"/>
        <v>0</v>
      </c>
      <c r="BG395" s="433">
        <f t="shared" si="242"/>
        <v>0</v>
      </c>
      <c r="BH395" s="433">
        <f t="shared" si="243"/>
        <v>0</v>
      </c>
      <c r="BI395" s="433">
        <f t="shared" si="244"/>
        <v>0</v>
      </c>
      <c r="BJ395" s="433">
        <f t="shared" si="245"/>
        <v>0</v>
      </c>
      <c r="BK395" s="433">
        <f t="shared" si="246"/>
        <v>0</v>
      </c>
      <c r="BL395" s="433">
        <f t="shared" si="247"/>
        <v>0</v>
      </c>
      <c r="BM395" s="433">
        <f t="shared" si="248"/>
        <v>0</v>
      </c>
      <c r="BN395" s="433">
        <f t="shared" si="249"/>
        <v>0</v>
      </c>
      <c r="BO395" s="433">
        <f t="shared" si="250"/>
        <v>0</v>
      </c>
      <c r="BP395" s="433">
        <f t="shared" si="251"/>
        <v>0</v>
      </c>
      <c r="BQ395" s="433">
        <f t="shared" si="252"/>
        <v>0</v>
      </c>
    </row>
    <row r="396" spans="1:69" x14ac:dyDescent="0.2">
      <c r="A396" s="102">
        <v>41829</v>
      </c>
      <c r="B396" s="319">
        <v>1</v>
      </c>
      <c r="C396" s="118" t="s">
        <v>2495</v>
      </c>
      <c r="D396" s="111">
        <v>0.60972222222222217</v>
      </c>
      <c r="E396" s="111">
        <v>0.78819444444444453</v>
      </c>
      <c r="F396" s="444">
        <v>37</v>
      </c>
      <c r="G396" s="445">
        <v>10</v>
      </c>
      <c r="H396" s="444"/>
      <c r="I396" s="390"/>
      <c r="J396" s="426">
        <f t="shared" si="225"/>
        <v>257.00000000000023</v>
      </c>
      <c r="K396" s="103">
        <v>3</v>
      </c>
      <c r="L396" s="103"/>
      <c r="M396" s="103"/>
      <c r="N396" s="427">
        <f t="shared" si="226"/>
        <v>3</v>
      </c>
      <c r="O396" s="103"/>
      <c r="P396" s="103"/>
      <c r="Q396" s="103"/>
      <c r="R396" s="428">
        <f t="shared" si="227"/>
        <v>0</v>
      </c>
      <c r="S396" s="103"/>
      <c r="T396" s="103"/>
      <c r="U396" s="103"/>
      <c r="V396" s="125"/>
      <c r="W396" s="428">
        <f t="shared" si="231"/>
        <v>0</v>
      </c>
      <c r="X396" s="103"/>
      <c r="Y396" s="103"/>
      <c r="Z396" s="125"/>
      <c r="AA396" s="428">
        <f t="shared" si="232"/>
        <v>0</v>
      </c>
      <c r="AB396" s="103"/>
      <c r="AC396" s="103"/>
      <c r="AD396" s="103"/>
      <c r="AE396" s="428">
        <f t="shared" si="233"/>
        <v>0</v>
      </c>
      <c r="AF396" s="103"/>
      <c r="AG396" s="103"/>
      <c r="AH396" s="103"/>
      <c r="AI396" s="103"/>
      <c r="AJ396" s="428">
        <f t="shared" si="234"/>
        <v>0</v>
      </c>
      <c r="AK396" s="446"/>
      <c r="AL396" s="446"/>
      <c r="AM396" s="446"/>
      <c r="AN396" s="446"/>
      <c r="AO396" s="446"/>
      <c r="AP396" s="446"/>
      <c r="AQ396" s="446"/>
      <c r="AR396" s="431">
        <f t="shared" si="235"/>
        <v>0</v>
      </c>
      <c r="AS396" s="10" t="s">
        <v>2570</v>
      </c>
      <c r="AT396" s="128"/>
      <c r="AU396" s="100" t="s">
        <v>2573</v>
      </c>
      <c r="AV396" s="128" t="s">
        <v>2604</v>
      </c>
      <c r="AW396" s="100" t="s">
        <v>2671</v>
      </c>
      <c r="AX396" s="433">
        <f t="shared" si="236"/>
        <v>3</v>
      </c>
      <c r="AY396" s="433">
        <f t="shared" si="237"/>
        <v>0</v>
      </c>
      <c r="AZ396" s="433">
        <f t="shared" si="238"/>
        <v>0</v>
      </c>
      <c r="BA396" s="433">
        <f t="shared" si="228"/>
        <v>0</v>
      </c>
      <c r="BB396" s="433">
        <f t="shared" si="229"/>
        <v>0</v>
      </c>
      <c r="BC396" s="433">
        <f t="shared" si="230"/>
        <v>0</v>
      </c>
      <c r="BD396" s="433">
        <f t="shared" si="239"/>
        <v>0</v>
      </c>
      <c r="BE396" s="433">
        <f t="shared" si="240"/>
        <v>0</v>
      </c>
      <c r="BF396" s="433">
        <f t="shared" si="241"/>
        <v>0</v>
      </c>
      <c r="BG396" s="433">
        <f t="shared" si="242"/>
        <v>0</v>
      </c>
      <c r="BH396" s="433">
        <f t="shared" si="243"/>
        <v>0</v>
      </c>
      <c r="BI396" s="433">
        <f t="shared" si="244"/>
        <v>0</v>
      </c>
      <c r="BJ396" s="433">
        <f t="shared" si="245"/>
        <v>0</v>
      </c>
      <c r="BK396" s="433">
        <f t="shared" si="246"/>
        <v>0</v>
      </c>
      <c r="BL396" s="433">
        <f t="shared" si="247"/>
        <v>0</v>
      </c>
      <c r="BM396" s="433">
        <f t="shared" si="248"/>
        <v>0</v>
      </c>
      <c r="BN396" s="433">
        <f t="shared" si="249"/>
        <v>0</v>
      </c>
      <c r="BO396" s="433">
        <f t="shared" si="250"/>
        <v>0</v>
      </c>
      <c r="BP396" s="433">
        <f t="shared" si="251"/>
        <v>0</v>
      </c>
      <c r="BQ396" s="433">
        <f t="shared" si="252"/>
        <v>0</v>
      </c>
    </row>
    <row r="397" spans="1:69" x14ac:dyDescent="0.2">
      <c r="A397" s="102">
        <v>41829</v>
      </c>
      <c r="B397" s="319">
        <v>1</v>
      </c>
      <c r="C397" s="118" t="s">
        <v>2489</v>
      </c>
      <c r="D397" s="111">
        <v>0.78819444444444453</v>
      </c>
      <c r="E397" s="111">
        <v>1</v>
      </c>
      <c r="F397" s="444">
        <v>31</v>
      </c>
      <c r="G397" s="445">
        <v>11</v>
      </c>
      <c r="H397" s="444"/>
      <c r="I397" s="390"/>
      <c r="J397" s="426">
        <f t="shared" si="225"/>
        <v>304.99999999999989</v>
      </c>
      <c r="K397" s="103">
        <v>1</v>
      </c>
      <c r="L397" s="103"/>
      <c r="M397" s="103"/>
      <c r="N397" s="427">
        <f t="shared" si="226"/>
        <v>1</v>
      </c>
      <c r="O397" s="103"/>
      <c r="P397" s="103">
        <v>1</v>
      </c>
      <c r="Q397" s="103"/>
      <c r="R397" s="428">
        <f t="shared" si="227"/>
        <v>1</v>
      </c>
      <c r="S397" s="103"/>
      <c r="T397" s="103"/>
      <c r="U397" s="103"/>
      <c r="V397" s="125"/>
      <c r="W397" s="428">
        <f t="shared" si="231"/>
        <v>0</v>
      </c>
      <c r="X397" s="103"/>
      <c r="Y397" s="103"/>
      <c r="Z397" s="125"/>
      <c r="AA397" s="428">
        <f t="shared" si="232"/>
        <v>0</v>
      </c>
      <c r="AB397" s="103"/>
      <c r="AC397" s="103"/>
      <c r="AD397" s="103"/>
      <c r="AE397" s="428">
        <f t="shared" si="233"/>
        <v>0</v>
      </c>
      <c r="AF397" s="103"/>
      <c r="AG397" s="103"/>
      <c r="AH397" s="103"/>
      <c r="AI397" s="103"/>
      <c r="AJ397" s="428">
        <f t="shared" si="234"/>
        <v>0</v>
      </c>
      <c r="AK397" s="446"/>
      <c r="AL397" s="446"/>
      <c r="AM397" s="446"/>
      <c r="AN397" s="446"/>
      <c r="AO397" s="446"/>
      <c r="AP397" s="446"/>
      <c r="AQ397" s="446"/>
      <c r="AR397" s="431">
        <f t="shared" si="235"/>
        <v>0</v>
      </c>
      <c r="AS397" s="10" t="s">
        <v>2571</v>
      </c>
      <c r="AT397" s="128"/>
      <c r="AU397" s="100" t="s">
        <v>2572</v>
      </c>
      <c r="AV397" s="128" t="s">
        <v>2604</v>
      </c>
      <c r="AW397" s="100" t="s">
        <v>2671</v>
      </c>
      <c r="AX397" s="433">
        <f t="shared" si="236"/>
        <v>1</v>
      </c>
      <c r="AY397" s="433">
        <f t="shared" si="237"/>
        <v>0</v>
      </c>
      <c r="AZ397" s="433">
        <f t="shared" si="238"/>
        <v>0</v>
      </c>
      <c r="BA397" s="433">
        <f t="shared" si="228"/>
        <v>0</v>
      </c>
      <c r="BB397" s="433">
        <f t="shared" si="229"/>
        <v>1</v>
      </c>
      <c r="BC397" s="433">
        <f t="shared" si="230"/>
        <v>0</v>
      </c>
      <c r="BD397" s="433">
        <f t="shared" si="239"/>
        <v>0</v>
      </c>
      <c r="BE397" s="433">
        <f t="shared" si="240"/>
        <v>0</v>
      </c>
      <c r="BF397" s="433">
        <f t="shared" si="241"/>
        <v>0</v>
      </c>
      <c r="BG397" s="433">
        <f t="shared" si="242"/>
        <v>0</v>
      </c>
      <c r="BH397" s="433">
        <f t="shared" si="243"/>
        <v>0</v>
      </c>
      <c r="BI397" s="433">
        <f t="shared" si="244"/>
        <v>0</v>
      </c>
      <c r="BJ397" s="433">
        <f t="shared" si="245"/>
        <v>0</v>
      </c>
      <c r="BK397" s="433">
        <f t="shared" si="246"/>
        <v>0</v>
      </c>
      <c r="BL397" s="433">
        <f t="shared" si="247"/>
        <v>0</v>
      </c>
      <c r="BM397" s="433">
        <f t="shared" si="248"/>
        <v>0</v>
      </c>
      <c r="BN397" s="433">
        <f t="shared" si="249"/>
        <v>0</v>
      </c>
      <c r="BO397" s="433">
        <f t="shared" si="250"/>
        <v>0</v>
      </c>
      <c r="BP397" s="433">
        <f t="shared" si="251"/>
        <v>0</v>
      </c>
      <c r="BQ397" s="433">
        <f t="shared" si="252"/>
        <v>0</v>
      </c>
    </row>
    <row r="398" spans="1:69" x14ac:dyDescent="0.2">
      <c r="A398" s="102">
        <v>41829</v>
      </c>
      <c r="B398" s="319">
        <v>2</v>
      </c>
      <c r="C398" s="118" t="s">
        <v>2067</v>
      </c>
      <c r="D398" s="111">
        <v>0</v>
      </c>
      <c r="E398" s="111">
        <v>0.39027777777777778</v>
      </c>
      <c r="F398" s="444">
        <v>33</v>
      </c>
      <c r="G398" s="445">
        <v>12</v>
      </c>
      <c r="H398" s="444"/>
      <c r="I398" s="390"/>
      <c r="J398" s="426">
        <f t="shared" si="225"/>
        <v>562</v>
      </c>
      <c r="K398" s="103">
        <v>1</v>
      </c>
      <c r="L398" s="103"/>
      <c r="M398" s="103"/>
      <c r="N398" s="427">
        <f t="shared" si="226"/>
        <v>1</v>
      </c>
      <c r="O398" s="103"/>
      <c r="P398" s="103">
        <v>1</v>
      </c>
      <c r="Q398" s="103"/>
      <c r="R398" s="428">
        <f t="shared" si="227"/>
        <v>1</v>
      </c>
      <c r="S398" s="103"/>
      <c r="T398" s="103"/>
      <c r="U398" s="103"/>
      <c r="V398" s="125"/>
      <c r="W398" s="428">
        <f t="shared" si="231"/>
        <v>0</v>
      </c>
      <c r="X398" s="103"/>
      <c r="Y398" s="103"/>
      <c r="Z398" s="125"/>
      <c r="AA398" s="428">
        <f t="shared" si="232"/>
        <v>0</v>
      </c>
      <c r="AB398" s="103"/>
      <c r="AC398" s="103"/>
      <c r="AD398" s="103"/>
      <c r="AE398" s="428">
        <f t="shared" si="233"/>
        <v>0</v>
      </c>
      <c r="AF398" s="103"/>
      <c r="AG398" s="103"/>
      <c r="AH398" s="103"/>
      <c r="AI398" s="103"/>
      <c r="AJ398" s="428">
        <f t="shared" si="234"/>
        <v>0</v>
      </c>
      <c r="AK398" s="446"/>
      <c r="AL398" s="446"/>
      <c r="AM398" s="446"/>
      <c r="AN398" s="446"/>
      <c r="AO398" s="446"/>
      <c r="AP398" s="446"/>
      <c r="AQ398" s="446"/>
      <c r="AR398" s="431">
        <f t="shared" si="235"/>
        <v>0</v>
      </c>
      <c r="AS398" s="10" t="s">
        <v>2574</v>
      </c>
      <c r="AT398" s="128"/>
      <c r="AU398" s="100" t="s">
        <v>2567</v>
      </c>
      <c r="AV398" s="128" t="s">
        <v>2604</v>
      </c>
      <c r="AW398" s="100" t="s">
        <v>2671</v>
      </c>
      <c r="AX398" s="433">
        <f t="shared" si="236"/>
        <v>1</v>
      </c>
      <c r="AY398" s="433">
        <f t="shared" si="237"/>
        <v>0</v>
      </c>
      <c r="AZ398" s="433">
        <f t="shared" si="238"/>
        <v>0</v>
      </c>
      <c r="BA398" s="433">
        <f t="shared" si="228"/>
        <v>0</v>
      </c>
      <c r="BB398" s="433">
        <f t="shared" si="229"/>
        <v>1</v>
      </c>
      <c r="BC398" s="433">
        <f t="shared" si="230"/>
        <v>0</v>
      </c>
      <c r="BD398" s="433">
        <f t="shared" si="239"/>
        <v>0</v>
      </c>
      <c r="BE398" s="433">
        <f t="shared" si="240"/>
        <v>0</v>
      </c>
      <c r="BF398" s="433">
        <f t="shared" si="241"/>
        <v>0</v>
      </c>
      <c r="BG398" s="433">
        <f t="shared" si="242"/>
        <v>0</v>
      </c>
      <c r="BH398" s="433">
        <f t="shared" si="243"/>
        <v>0</v>
      </c>
      <c r="BI398" s="433">
        <f t="shared" si="244"/>
        <v>0</v>
      </c>
      <c r="BJ398" s="433">
        <f t="shared" si="245"/>
        <v>0</v>
      </c>
      <c r="BK398" s="433">
        <f t="shared" si="246"/>
        <v>0</v>
      </c>
      <c r="BL398" s="433">
        <f t="shared" si="247"/>
        <v>0</v>
      </c>
      <c r="BM398" s="433">
        <f t="shared" si="248"/>
        <v>0</v>
      </c>
      <c r="BN398" s="433">
        <f t="shared" si="249"/>
        <v>0</v>
      </c>
      <c r="BO398" s="433">
        <f t="shared" si="250"/>
        <v>0</v>
      </c>
      <c r="BP398" s="433">
        <f t="shared" si="251"/>
        <v>0</v>
      </c>
      <c r="BQ398" s="433">
        <f t="shared" si="252"/>
        <v>0</v>
      </c>
    </row>
    <row r="399" spans="1:69" x14ac:dyDescent="0.2">
      <c r="A399" s="102">
        <v>41829</v>
      </c>
      <c r="B399" s="319">
        <v>2</v>
      </c>
      <c r="C399" s="118" t="s">
        <v>2575</v>
      </c>
      <c r="D399" s="111">
        <v>0.39027777777777778</v>
      </c>
      <c r="E399" s="111">
        <v>0.58402777777777781</v>
      </c>
      <c r="F399" s="444">
        <v>35</v>
      </c>
      <c r="G399" s="445">
        <v>12</v>
      </c>
      <c r="H399" s="444"/>
      <c r="I399" s="390"/>
      <c r="J399" s="426">
        <f t="shared" si="225"/>
        <v>279</v>
      </c>
      <c r="K399" s="103">
        <v>1</v>
      </c>
      <c r="L399" s="103"/>
      <c r="M399" s="103"/>
      <c r="N399" s="427">
        <f t="shared" si="226"/>
        <v>1</v>
      </c>
      <c r="O399" s="103"/>
      <c r="P399" s="103"/>
      <c r="Q399" s="103"/>
      <c r="R399" s="428">
        <f t="shared" si="227"/>
        <v>0</v>
      </c>
      <c r="S399" s="103"/>
      <c r="T399" s="103"/>
      <c r="U399" s="103"/>
      <c r="V399" s="125"/>
      <c r="W399" s="428">
        <f t="shared" si="231"/>
        <v>0</v>
      </c>
      <c r="X399" s="103"/>
      <c r="Y399" s="103"/>
      <c r="Z399" s="125"/>
      <c r="AA399" s="428">
        <f t="shared" si="232"/>
        <v>0</v>
      </c>
      <c r="AB399" s="103"/>
      <c r="AC399" s="103"/>
      <c r="AD399" s="103"/>
      <c r="AE399" s="428">
        <f t="shared" si="233"/>
        <v>0</v>
      </c>
      <c r="AF399" s="103"/>
      <c r="AG399" s="103"/>
      <c r="AH399" s="103"/>
      <c r="AI399" s="103"/>
      <c r="AJ399" s="428">
        <f t="shared" si="234"/>
        <v>0</v>
      </c>
      <c r="AK399" s="446"/>
      <c r="AL399" s="446"/>
      <c r="AM399" s="446"/>
      <c r="AN399" s="446"/>
      <c r="AO399" s="446"/>
      <c r="AP399" s="446"/>
      <c r="AQ399" s="446"/>
      <c r="AR399" s="431">
        <f t="shared" si="235"/>
        <v>0</v>
      </c>
      <c r="AT399" s="128"/>
      <c r="AU399" s="100" t="s">
        <v>2572</v>
      </c>
      <c r="AV399" s="128" t="s">
        <v>2604</v>
      </c>
      <c r="AW399" s="100" t="s">
        <v>2671</v>
      </c>
      <c r="AX399" s="433">
        <f t="shared" si="236"/>
        <v>1</v>
      </c>
      <c r="AY399" s="433">
        <f t="shared" si="237"/>
        <v>0</v>
      </c>
      <c r="AZ399" s="433">
        <f t="shared" si="238"/>
        <v>0</v>
      </c>
      <c r="BA399" s="433">
        <f t="shared" si="228"/>
        <v>0</v>
      </c>
      <c r="BB399" s="433">
        <f t="shared" si="229"/>
        <v>0</v>
      </c>
      <c r="BC399" s="433">
        <f t="shared" si="230"/>
        <v>0</v>
      </c>
      <c r="BD399" s="433">
        <f t="shared" si="239"/>
        <v>0</v>
      </c>
      <c r="BE399" s="433">
        <f t="shared" si="240"/>
        <v>0</v>
      </c>
      <c r="BF399" s="433">
        <f t="shared" si="241"/>
        <v>0</v>
      </c>
      <c r="BG399" s="433">
        <f t="shared" si="242"/>
        <v>0</v>
      </c>
      <c r="BH399" s="433">
        <f t="shared" si="243"/>
        <v>0</v>
      </c>
      <c r="BI399" s="433">
        <f t="shared" si="244"/>
        <v>0</v>
      </c>
      <c r="BJ399" s="433">
        <f t="shared" si="245"/>
        <v>0</v>
      </c>
      <c r="BK399" s="433">
        <f t="shared" si="246"/>
        <v>0</v>
      </c>
      <c r="BL399" s="433">
        <f t="shared" si="247"/>
        <v>0</v>
      </c>
      <c r="BM399" s="433">
        <f t="shared" si="248"/>
        <v>0</v>
      </c>
      <c r="BN399" s="433">
        <f t="shared" si="249"/>
        <v>0</v>
      </c>
      <c r="BO399" s="433">
        <f t="shared" si="250"/>
        <v>0</v>
      </c>
      <c r="BP399" s="433">
        <f t="shared" si="251"/>
        <v>0</v>
      </c>
      <c r="BQ399" s="433">
        <f t="shared" si="252"/>
        <v>0</v>
      </c>
    </row>
    <row r="400" spans="1:69" x14ac:dyDescent="0.2">
      <c r="A400" s="102">
        <v>41829</v>
      </c>
      <c r="B400" s="319">
        <v>2</v>
      </c>
      <c r="C400" s="118" t="s">
        <v>2495</v>
      </c>
      <c r="D400" s="111">
        <v>0.58402777777777781</v>
      </c>
      <c r="E400" s="111">
        <v>0.7583333333333333</v>
      </c>
      <c r="F400" s="444">
        <v>32</v>
      </c>
      <c r="G400" s="445">
        <v>12</v>
      </c>
      <c r="H400" s="444"/>
      <c r="I400" s="390"/>
      <c r="J400" s="426">
        <f t="shared" si="225"/>
        <v>250.99999999999991</v>
      </c>
      <c r="K400" s="103"/>
      <c r="L400" s="103"/>
      <c r="M400" s="103"/>
      <c r="N400" s="427">
        <f t="shared" si="226"/>
        <v>0</v>
      </c>
      <c r="O400" s="103"/>
      <c r="P400" s="103"/>
      <c r="Q400" s="103"/>
      <c r="R400" s="428">
        <f t="shared" si="227"/>
        <v>0</v>
      </c>
      <c r="S400" s="103"/>
      <c r="T400" s="103"/>
      <c r="U400" s="103"/>
      <c r="V400" s="125"/>
      <c r="W400" s="428">
        <f t="shared" si="231"/>
        <v>0</v>
      </c>
      <c r="X400" s="103"/>
      <c r="Y400" s="103"/>
      <c r="Z400" s="125"/>
      <c r="AA400" s="428">
        <f t="shared" si="232"/>
        <v>0</v>
      </c>
      <c r="AB400" s="103"/>
      <c r="AC400" s="103"/>
      <c r="AD400" s="103"/>
      <c r="AE400" s="428">
        <f t="shared" si="233"/>
        <v>0</v>
      </c>
      <c r="AF400" s="103"/>
      <c r="AG400" s="103"/>
      <c r="AH400" s="103"/>
      <c r="AI400" s="103"/>
      <c r="AJ400" s="428">
        <f t="shared" si="234"/>
        <v>0</v>
      </c>
      <c r="AK400" s="446"/>
      <c r="AL400" s="446"/>
      <c r="AM400" s="446"/>
      <c r="AN400" s="446"/>
      <c r="AO400" s="446"/>
      <c r="AP400" s="446"/>
      <c r="AQ400" s="446"/>
      <c r="AR400" s="431">
        <f t="shared" si="235"/>
        <v>0</v>
      </c>
      <c r="AS400" s="10" t="s">
        <v>2576</v>
      </c>
      <c r="AT400" s="128"/>
      <c r="AU400" s="100" t="s">
        <v>2577</v>
      </c>
      <c r="AV400" s="128" t="s">
        <v>2604</v>
      </c>
      <c r="AW400" s="100" t="s">
        <v>2671</v>
      </c>
      <c r="AX400" s="433">
        <f t="shared" si="236"/>
        <v>0</v>
      </c>
      <c r="AY400" s="433">
        <f t="shared" si="237"/>
        <v>0</v>
      </c>
      <c r="AZ400" s="433">
        <f t="shared" si="238"/>
        <v>0</v>
      </c>
      <c r="BA400" s="433">
        <f t="shared" si="228"/>
        <v>0</v>
      </c>
      <c r="BB400" s="433">
        <f t="shared" si="229"/>
        <v>0</v>
      </c>
      <c r="BC400" s="433">
        <f t="shared" si="230"/>
        <v>0</v>
      </c>
      <c r="BD400" s="433">
        <f t="shared" si="239"/>
        <v>0</v>
      </c>
      <c r="BE400" s="433">
        <f t="shared" si="240"/>
        <v>0</v>
      </c>
      <c r="BF400" s="433">
        <f t="shared" si="241"/>
        <v>0</v>
      </c>
      <c r="BG400" s="433">
        <f t="shared" si="242"/>
        <v>0</v>
      </c>
      <c r="BH400" s="433">
        <f t="shared" si="243"/>
        <v>0</v>
      </c>
      <c r="BI400" s="433">
        <f t="shared" si="244"/>
        <v>0</v>
      </c>
      <c r="BJ400" s="433">
        <f t="shared" si="245"/>
        <v>0</v>
      </c>
      <c r="BK400" s="433">
        <f t="shared" si="246"/>
        <v>0</v>
      </c>
      <c r="BL400" s="433">
        <f t="shared" si="247"/>
        <v>0</v>
      </c>
      <c r="BM400" s="433">
        <f t="shared" si="248"/>
        <v>0</v>
      </c>
      <c r="BN400" s="433">
        <f t="shared" si="249"/>
        <v>0</v>
      </c>
      <c r="BO400" s="433">
        <f t="shared" si="250"/>
        <v>0</v>
      </c>
      <c r="BP400" s="433">
        <f t="shared" si="251"/>
        <v>0</v>
      </c>
      <c r="BQ400" s="433">
        <f t="shared" si="252"/>
        <v>0</v>
      </c>
    </row>
    <row r="401" spans="1:69" x14ac:dyDescent="0.2">
      <c r="A401" s="102">
        <v>41829</v>
      </c>
      <c r="B401" s="319">
        <v>2</v>
      </c>
      <c r="C401" s="118" t="s">
        <v>2496</v>
      </c>
      <c r="D401" s="111">
        <v>0.7583333333333333</v>
      </c>
      <c r="E401" s="111">
        <v>1</v>
      </c>
      <c r="F401" s="444">
        <v>32</v>
      </c>
      <c r="G401" s="445">
        <v>11</v>
      </c>
      <c r="H401" s="444"/>
      <c r="I401" s="390"/>
      <c r="J401" s="426">
        <f t="shared" si="225"/>
        <v>348.00000000000006</v>
      </c>
      <c r="K401" s="103"/>
      <c r="L401" s="103"/>
      <c r="M401" s="103"/>
      <c r="N401" s="427">
        <f t="shared" si="226"/>
        <v>0</v>
      </c>
      <c r="O401" s="103"/>
      <c r="P401" s="103"/>
      <c r="Q401" s="103"/>
      <c r="R401" s="428">
        <f t="shared" si="227"/>
        <v>0</v>
      </c>
      <c r="S401" s="103"/>
      <c r="T401" s="103"/>
      <c r="U401" s="103"/>
      <c r="V401" s="125"/>
      <c r="W401" s="428">
        <f t="shared" si="231"/>
        <v>0</v>
      </c>
      <c r="X401" s="103"/>
      <c r="Y401" s="103"/>
      <c r="Z401" s="125"/>
      <c r="AA401" s="428">
        <f t="shared" si="232"/>
        <v>0</v>
      </c>
      <c r="AB401" s="103"/>
      <c r="AC401" s="103"/>
      <c r="AD401" s="103"/>
      <c r="AE401" s="428">
        <f t="shared" si="233"/>
        <v>0</v>
      </c>
      <c r="AF401" s="103"/>
      <c r="AG401" s="103"/>
      <c r="AH401" s="103"/>
      <c r="AI401" s="103"/>
      <c r="AJ401" s="428">
        <f t="shared" si="234"/>
        <v>0</v>
      </c>
      <c r="AK401" s="446"/>
      <c r="AL401" s="446"/>
      <c r="AM401" s="446"/>
      <c r="AN401" s="446"/>
      <c r="AO401" s="446"/>
      <c r="AP401" s="446"/>
      <c r="AQ401" s="446"/>
      <c r="AR401" s="431">
        <f t="shared" si="235"/>
        <v>0</v>
      </c>
      <c r="AS401" s="10" t="s">
        <v>2096</v>
      </c>
      <c r="AT401" s="128"/>
      <c r="AU401" s="100" t="s">
        <v>2579</v>
      </c>
      <c r="AV401" s="128" t="s">
        <v>2604</v>
      </c>
      <c r="AW401" s="100" t="s">
        <v>2671</v>
      </c>
      <c r="AX401" s="433">
        <f t="shared" si="236"/>
        <v>0</v>
      </c>
      <c r="AY401" s="433">
        <f t="shared" si="237"/>
        <v>0</v>
      </c>
      <c r="AZ401" s="433">
        <f t="shared" si="238"/>
        <v>0</v>
      </c>
      <c r="BA401" s="433">
        <f t="shared" si="228"/>
        <v>0</v>
      </c>
      <c r="BB401" s="433">
        <f t="shared" si="229"/>
        <v>0</v>
      </c>
      <c r="BC401" s="433">
        <f t="shared" si="230"/>
        <v>0</v>
      </c>
      <c r="BD401" s="433">
        <f t="shared" si="239"/>
        <v>0</v>
      </c>
      <c r="BE401" s="433">
        <f t="shared" si="240"/>
        <v>0</v>
      </c>
      <c r="BF401" s="433">
        <f t="shared" si="241"/>
        <v>0</v>
      </c>
      <c r="BG401" s="433">
        <f t="shared" si="242"/>
        <v>0</v>
      </c>
      <c r="BH401" s="433">
        <f t="shared" si="243"/>
        <v>0</v>
      </c>
      <c r="BI401" s="433">
        <f t="shared" si="244"/>
        <v>0</v>
      </c>
      <c r="BJ401" s="433">
        <f t="shared" si="245"/>
        <v>0</v>
      </c>
      <c r="BK401" s="433">
        <f t="shared" si="246"/>
        <v>0</v>
      </c>
      <c r="BL401" s="433">
        <f t="shared" si="247"/>
        <v>0</v>
      </c>
      <c r="BM401" s="433">
        <f t="shared" si="248"/>
        <v>0</v>
      </c>
      <c r="BN401" s="433">
        <f t="shared" si="249"/>
        <v>0</v>
      </c>
      <c r="BO401" s="433">
        <f t="shared" si="250"/>
        <v>0</v>
      </c>
      <c r="BP401" s="433">
        <f t="shared" si="251"/>
        <v>0</v>
      </c>
      <c r="BQ401" s="433">
        <f t="shared" si="252"/>
        <v>0</v>
      </c>
    </row>
    <row r="402" spans="1:69" x14ac:dyDescent="0.2">
      <c r="A402" s="102">
        <v>41829</v>
      </c>
      <c r="B402" s="319">
        <v>3</v>
      </c>
      <c r="C402" s="118" t="s">
        <v>2071</v>
      </c>
      <c r="D402" s="111">
        <v>0</v>
      </c>
      <c r="E402" s="111">
        <v>0.40763888888888888</v>
      </c>
      <c r="F402" s="444">
        <v>35</v>
      </c>
      <c r="G402" s="445">
        <v>11.5</v>
      </c>
      <c r="H402" s="444"/>
      <c r="I402" s="390"/>
      <c r="J402" s="426">
        <f t="shared" si="225"/>
        <v>587</v>
      </c>
      <c r="K402" s="103">
        <v>2</v>
      </c>
      <c r="L402" s="103"/>
      <c r="M402" s="103"/>
      <c r="N402" s="427">
        <f t="shared" si="226"/>
        <v>2</v>
      </c>
      <c r="O402" s="103"/>
      <c r="P402" s="103"/>
      <c r="Q402" s="103"/>
      <c r="R402" s="428">
        <f t="shared" si="227"/>
        <v>0</v>
      </c>
      <c r="S402" s="103"/>
      <c r="T402" s="103"/>
      <c r="U402" s="103"/>
      <c r="V402" s="125"/>
      <c r="W402" s="428">
        <f t="shared" si="231"/>
        <v>0</v>
      </c>
      <c r="X402" s="103"/>
      <c r="Y402" s="103"/>
      <c r="Z402" s="125"/>
      <c r="AA402" s="428">
        <f t="shared" si="232"/>
        <v>0</v>
      </c>
      <c r="AB402" s="103"/>
      <c r="AC402" s="103"/>
      <c r="AD402" s="103"/>
      <c r="AE402" s="428">
        <f t="shared" si="233"/>
        <v>0</v>
      </c>
      <c r="AF402" s="103"/>
      <c r="AG402" s="103"/>
      <c r="AH402" s="103"/>
      <c r="AI402" s="103"/>
      <c r="AJ402" s="428">
        <f t="shared" si="234"/>
        <v>0</v>
      </c>
      <c r="AK402" s="446"/>
      <c r="AL402" s="446"/>
      <c r="AM402" s="446"/>
      <c r="AN402" s="446"/>
      <c r="AO402" s="446"/>
      <c r="AP402" s="446"/>
      <c r="AQ402" s="446"/>
      <c r="AR402" s="431">
        <f t="shared" si="235"/>
        <v>0</v>
      </c>
      <c r="AT402" s="128"/>
      <c r="AU402" s="100" t="s">
        <v>2578</v>
      </c>
      <c r="AV402" s="128" t="s">
        <v>2604</v>
      </c>
      <c r="AW402" s="100" t="s">
        <v>2671</v>
      </c>
      <c r="AX402" s="433">
        <f t="shared" si="236"/>
        <v>2</v>
      </c>
      <c r="AY402" s="433">
        <f t="shared" si="237"/>
        <v>0</v>
      </c>
      <c r="AZ402" s="433">
        <f t="shared" si="238"/>
        <v>0</v>
      </c>
      <c r="BA402" s="433">
        <f t="shared" si="228"/>
        <v>0</v>
      </c>
      <c r="BB402" s="433">
        <f t="shared" si="229"/>
        <v>0</v>
      </c>
      <c r="BC402" s="433">
        <f t="shared" si="230"/>
        <v>0</v>
      </c>
      <c r="BD402" s="433">
        <f t="shared" si="239"/>
        <v>0</v>
      </c>
      <c r="BE402" s="433">
        <f t="shared" si="240"/>
        <v>0</v>
      </c>
      <c r="BF402" s="433">
        <f t="shared" si="241"/>
        <v>0</v>
      </c>
      <c r="BG402" s="433">
        <f t="shared" si="242"/>
        <v>0</v>
      </c>
      <c r="BH402" s="433">
        <f t="shared" si="243"/>
        <v>0</v>
      </c>
      <c r="BI402" s="433">
        <f t="shared" si="244"/>
        <v>0</v>
      </c>
      <c r="BJ402" s="433">
        <f t="shared" si="245"/>
        <v>0</v>
      </c>
      <c r="BK402" s="433">
        <f t="shared" si="246"/>
        <v>0</v>
      </c>
      <c r="BL402" s="433">
        <f t="shared" si="247"/>
        <v>0</v>
      </c>
      <c r="BM402" s="433">
        <f t="shared" si="248"/>
        <v>0</v>
      </c>
      <c r="BN402" s="433">
        <f t="shared" si="249"/>
        <v>0</v>
      </c>
      <c r="BO402" s="433">
        <f t="shared" si="250"/>
        <v>0</v>
      </c>
      <c r="BP402" s="433">
        <f t="shared" si="251"/>
        <v>0</v>
      </c>
      <c r="BQ402" s="433">
        <f t="shared" si="252"/>
        <v>0</v>
      </c>
    </row>
    <row r="403" spans="1:69" x14ac:dyDescent="0.2">
      <c r="A403" s="102">
        <v>41829</v>
      </c>
      <c r="B403" s="319">
        <v>3</v>
      </c>
      <c r="C403" s="118" t="s">
        <v>2074</v>
      </c>
      <c r="D403" s="111">
        <v>0.40763888888888888</v>
      </c>
      <c r="E403" s="111">
        <v>0.59861111111111109</v>
      </c>
      <c r="F403" s="444">
        <v>34</v>
      </c>
      <c r="G403" s="445">
        <v>11</v>
      </c>
      <c r="H403" s="444"/>
      <c r="I403" s="390"/>
      <c r="J403" s="426">
        <f t="shared" si="225"/>
        <v>275</v>
      </c>
      <c r="K403" s="103">
        <v>4</v>
      </c>
      <c r="L403" s="103"/>
      <c r="M403" s="103"/>
      <c r="N403" s="427">
        <f t="shared" si="226"/>
        <v>4</v>
      </c>
      <c r="O403" s="103"/>
      <c r="P403" s="103"/>
      <c r="Q403" s="103"/>
      <c r="R403" s="428">
        <f t="shared" si="227"/>
        <v>0</v>
      </c>
      <c r="S403" s="103"/>
      <c r="T403" s="103"/>
      <c r="U403" s="103"/>
      <c r="V403" s="125"/>
      <c r="W403" s="428">
        <f t="shared" si="231"/>
        <v>0</v>
      </c>
      <c r="X403" s="103"/>
      <c r="Y403" s="103"/>
      <c r="Z403" s="125"/>
      <c r="AA403" s="428">
        <f t="shared" si="232"/>
        <v>0</v>
      </c>
      <c r="AB403" s="103"/>
      <c r="AC403" s="103"/>
      <c r="AD403" s="103"/>
      <c r="AE403" s="428">
        <f t="shared" si="233"/>
        <v>0</v>
      </c>
      <c r="AF403" s="103"/>
      <c r="AG403" s="103"/>
      <c r="AH403" s="103"/>
      <c r="AI403" s="103"/>
      <c r="AJ403" s="428">
        <f t="shared" si="234"/>
        <v>0</v>
      </c>
      <c r="AK403" s="446"/>
      <c r="AL403" s="446"/>
      <c r="AM403" s="446"/>
      <c r="AN403" s="446"/>
      <c r="AO403" s="446"/>
      <c r="AP403" s="446"/>
      <c r="AQ403" s="446"/>
      <c r="AR403" s="431">
        <f t="shared" si="235"/>
        <v>0</v>
      </c>
      <c r="AT403" s="128"/>
      <c r="AU403" s="100" t="s">
        <v>2579</v>
      </c>
      <c r="AV403" s="128" t="s">
        <v>2604</v>
      </c>
      <c r="AW403" s="100" t="s">
        <v>2671</v>
      </c>
      <c r="AX403" s="433">
        <f t="shared" si="236"/>
        <v>4</v>
      </c>
      <c r="AY403" s="433">
        <f t="shared" si="237"/>
        <v>0</v>
      </c>
      <c r="AZ403" s="433">
        <f t="shared" si="238"/>
        <v>0</v>
      </c>
      <c r="BA403" s="433">
        <f t="shared" si="228"/>
        <v>0</v>
      </c>
      <c r="BB403" s="433">
        <f t="shared" si="229"/>
        <v>0</v>
      </c>
      <c r="BC403" s="433">
        <f t="shared" si="230"/>
        <v>0</v>
      </c>
      <c r="BD403" s="433">
        <f t="shared" si="239"/>
        <v>0</v>
      </c>
      <c r="BE403" s="433">
        <f t="shared" si="240"/>
        <v>0</v>
      </c>
      <c r="BF403" s="433">
        <f t="shared" si="241"/>
        <v>0</v>
      </c>
      <c r="BG403" s="433">
        <f t="shared" si="242"/>
        <v>0</v>
      </c>
      <c r="BH403" s="433">
        <f t="shared" si="243"/>
        <v>0</v>
      </c>
      <c r="BI403" s="433">
        <f t="shared" si="244"/>
        <v>0</v>
      </c>
      <c r="BJ403" s="433">
        <f t="shared" si="245"/>
        <v>0</v>
      </c>
      <c r="BK403" s="433">
        <f t="shared" si="246"/>
        <v>0</v>
      </c>
      <c r="BL403" s="433">
        <f t="shared" si="247"/>
        <v>0</v>
      </c>
      <c r="BM403" s="433">
        <f t="shared" si="248"/>
        <v>0</v>
      </c>
      <c r="BN403" s="433">
        <f t="shared" si="249"/>
        <v>0</v>
      </c>
      <c r="BO403" s="433">
        <f t="shared" si="250"/>
        <v>0</v>
      </c>
      <c r="BP403" s="433">
        <f t="shared" si="251"/>
        <v>0</v>
      </c>
      <c r="BQ403" s="433">
        <f t="shared" si="252"/>
        <v>0</v>
      </c>
    </row>
    <row r="404" spans="1:69" x14ac:dyDescent="0.2">
      <c r="A404" s="102">
        <v>41829</v>
      </c>
      <c r="B404" s="319">
        <v>3</v>
      </c>
      <c r="C404" s="118" t="s">
        <v>957</v>
      </c>
      <c r="D404" s="111">
        <v>0.59861111111111109</v>
      </c>
      <c r="E404" s="111">
        <v>0.78333333333333333</v>
      </c>
      <c r="F404" s="444">
        <v>36</v>
      </c>
      <c r="G404" s="445">
        <v>12</v>
      </c>
      <c r="H404" s="444"/>
      <c r="I404" s="390"/>
      <c r="J404" s="426">
        <f t="shared" si="225"/>
        <v>266</v>
      </c>
      <c r="K404" s="103">
        <v>1</v>
      </c>
      <c r="L404" s="103">
        <v>1</v>
      </c>
      <c r="M404" s="103"/>
      <c r="N404" s="427">
        <f t="shared" si="226"/>
        <v>2</v>
      </c>
      <c r="O404" s="103"/>
      <c r="P404" s="103"/>
      <c r="Q404" s="103"/>
      <c r="R404" s="428">
        <f t="shared" si="227"/>
        <v>0</v>
      </c>
      <c r="S404" s="103"/>
      <c r="T404" s="103"/>
      <c r="U404" s="103"/>
      <c r="V404" s="125"/>
      <c r="W404" s="428">
        <f t="shared" si="231"/>
        <v>0</v>
      </c>
      <c r="X404" s="103"/>
      <c r="Y404" s="103"/>
      <c r="Z404" s="125"/>
      <c r="AA404" s="428">
        <f t="shared" si="232"/>
        <v>0</v>
      </c>
      <c r="AB404" s="103"/>
      <c r="AC404" s="103"/>
      <c r="AD404" s="103"/>
      <c r="AE404" s="428">
        <f t="shared" si="233"/>
        <v>0</v>
      </c>
      <c r="AF404" s="103"/>
      <c r="AG404" s="103"/>
      <c r="AH404" s="103"/>
      <c r="AI404" s="103"/>
      <c r="AJ404" s="428">
        <f t="shared" si="234"/>
        <v>0</v>
      </c>
      <c r="AK404" s="446"/>
      <c r="AL404" s="446"/>
      <c r="AM404" s="446">
        <v>1</v>
      </c>
      <c r="AN404" s="446"/>
      <c r="AO404" s="446"/>
      <c r="AP404" s="446"/>
      <c r="AQ404" s="446"/>
      <c r="AR404" s="431">
        <f t="shared" si="235"/>
        <v>1</v>
      </c>
      <c r="AT404" s="128"/>
      <c r="AU404" s="100" t="s">
        <v>2578</v>
      </c>
      <c r="AV404" s="128" t="s">
        <v>2604</v>
      </c>
      <c r="AW404" s="100" t="s">
        <v>2671</v>
      </c>
      <c r="AX404" s="433">
        <f t="shared" si="236"/>
        <v>1</v>
      </c>
      <c r="AY404" s="433">
        <f t="shared" si="237"/>
        <v>1</v>
      </c>
      <c r="AZ404" s="433">
        <f t="shared" si="238"/>
        <v>0</v>
      </c>
      <c r="BA404" s="433">
        <f t="shared" si="228"/>
        <v>0</v>
      </c>
      <c r="BB404" s="433">
        <f t="shared" si="229"/>
        <v>0</v>
      </c>
      <c r="BC404" s="433">
        <f t="shared" si="230"/>
        <v>0</v>
      </c>
      <c r="BD404" s="433">
        <f t="shared" si="239"/>
        <v>0</v>
      </c>
      <c r="BE404" s="433">
        <f t="shared" si="240"/>
        <v>0</v>
      </c>
      <c r="BF404" s="433">
        <f t="shared" si="241"/>
        <v>0</v>
      </c>
      <c r="BG404" s="433">
        <f t="shared" si="242"/>
        <v>0</v>
      </c>
      <c r="BH404" s="433">
        <f t="shared" si="243"/>
        <v>0</v>
      </c>
      <c r="BI404" s="433">
        <f t="shared" si="244"/>
        <v>0</v>
      </c>
      <c r="BJ404" s="433">
        <f t="shared" si="245"/>
        <v>0</v>
      </c>
      <c r="BK404" s="433">
        <f t="shared" si="246"/>
        <v>0</v>
      </c>
      <c r="BL404" s="433">
        <f t="shared" si="247"/>
        <v>0</v>
      </c>
      <c r="BM404" s="433">
        <f t="shared" si="248"/>
        <v>0</v>
      </c>
      <c r="BN404" s="433">
        <f t="shared" si="249"/>
        <v>0</v>
      </c>
      <c r="BO404" s="433">
        <f t="shared" si="250"/>
        <v>0</v>
      </c>
      <c r="BP404" s="433">
        <f t="shared" si="251"/>
        <v>0</v>
      </c>
      <c r="BQ404" s="433">
        <f t="shared" si="252"/>
        <v>0</v>
      </c>
    </row>
    <row r="405" spans="1:69" s="291" customFormat="1" x14ac:dyDescent="0.2">
      <c r="A405" s="317">
        <v>41829</v>
      </c>
      <c r="B405" s="318">
        <v>3</v>
      </c>
      <c r="C405" s="320" t="s">
        <v>2504</v>
      </c>
      <c r="D405" s="321">
        <v>0.80555555555555547</v>
      </c>
      <c r="E405" s="321">
        <v>1</v>
      </c>
      <c r="F405" s="434">
        <v>38</v>
      </c>
      <c r="G405" s="435">
        <v>12</v>
      </c>
      <c r="H405" s="434"/>
      <c r="I405" s="436"/>
      <c r="J405" s="437">
        <f>((E405-D405)*24*60)-14</f>
        <v>266.00000000000011</v>
      </c>
      <c r="K405" s="285">
        <v>1</v>
      </c>
      <c r="L405" s="285">
        <v>2</v>
      </c>
      <c r="M405" s="285">
        <v>1</v>
      </c>
      <c r="N405" s="438">
        <f t="shared" si="226"/>
        <v>4</v>
      </c>
      <c r="O405" s="285"/>
      <c r="P405" s="285"/>
      <c r="Q405" s="285"/>
      <c r="R405" s="439">
        <f t="shared" si="227"/>
        <v>0</v>
      </c>
      <c r="S405" s="285"/>
      <c r="T405" s="285"/>
      <c r="U405" s="285"/>
      <c r="V405" s="440"/>
      <c r="W405" s="439">
        <f t="shared" si="231"/>
        <v>0</v>
      </c>
      <c r="X405" s="285"/>
      <c r="Y405" s="285"/>
      <c r="Z405" s="440"/>
      <c r="AA405" s="439">
        <f t="shared" si="232"/>
        <v>0</v>
      </c>
      <c r="AB405" s="285"/>
      <c r="AC405" s="285"/>
      <c r="AD405" s="285"/>
      <c r="AE405" s="439">
        <f t="shared" si="233"/>
        <v>0</v>
      </c>
      <c r="AF405" s="285"/>
      <c r="AG405" s="285"/>
      <c r="AH405" s="285"/>
      <c r="AI405" s="285"/>
      <c r="AJ405" s="439">
        <f t="shared" si="234"/>
        <v>0</v>
      </c>
      <c r="AK405" s="340">
        <v>2</v>
      </c>
      <c r="AL405" s="340"/>
      <c r="AM405" s="340"/>
      <c r="AN405" s="340"/>
      <c r="AO405" s="340">
        <v>1</v>
      </c>
      <c r="AP405" s="340"/>
      <c r="AQ405" s="340"/>
      <c r="AR405" s="441">
        <f t="shared" si="235"/>
        <v>3</v>
      </c>
      <c r="AS405" s="291" t="s">
        <v>2580</v>
      </c>
      <c r="AT405" s="313"/>
      <c r="AU405" s="289" t="s">
        <v>2581</v>
      </c>
      <c r="AV405" s="313" t="s">
        <v>2604</v>
      </c>
      <c r="AW405" s="382" t="s">
        <v>2671</v>
      </c>
      <c r="AX405" s="443">
        <f t="shared" si="236"/>
        <v>1</v>
      </c>
      <c r="AY405" s="443">
        <f t="shared" si="237"/>
        <v>2</v>
      </c>
      <c r="AZ405" s="443">
        <f t="shared" si="238"/>
        <v>1</v>
      </c>
      <c r="BA405" s="443">
        <f t="shared" si="228"/>
        <v>0</v>
      </c>
      <c r="BB405" s="443">
        <f t="shared" si="229"/>
        <v>0</v>
      </c>
      <c r="BC405" s="443">
        <f t="shared" si="230"/>
        <v>0</v>
      </c>
      <c r="BD405" s="443">
        <f t="shared" si="239"/>
        <v>0</v>
      </c>
      <c r="BE405" s="443">
        <f t="shared" si="240"/>
        <v>0</v>
      </c>
      <c r="BF405" s="443">
        <f t="shared" si="241"/>
        <v>0</v>
      </c>
      <c r="BG405" s="443">
        <f t="shared" si="242"/>
        <v>0</v>
      </c>
      <c r="BH405" s="443">
        <f t="shared" si="243"/>
        <v>0</v>
      </c>
      <c r="BI405" s="443">
        <f t="shared" si="244"/>
        <v>0</v>
      </c>
      <c r="BJ405" s="443">
        <f t="shared" si="245"/>
        <v>0</v>
      </c>
      <c r="BK405" s="443">
        <f t="shared" si="246"/>
        <v>0</v>
      </c>
      <c r="BL405" s="443">
        <f t="shared" si="247"/>
        <v>0</v>
      </c>
      <c r="BM405" s="443">
        <f t="shared" si="248"/>
        <v>0</v>
      </c>
      <c r="BN405" s="443">
        <f t="shared" si="249"/>
        <v>0</v>
      </c>
      <c r="BO405" s="443">
        <f t="shared" si="250"/>
        <v>0</v>
      </c>
      <c r="BP405" s="443">
        <f t="shared" si="251"/>
        <v>0</v>
      </c>
      <c r="BQ405" s="443">
        <f t="shared" si="252"/>
        <v>0</v>
      </c>
    </row>
    <row r="406" spans="1:69" x14ac:dyDescent="0.2">
      <c r="A406" s="102">
        <v>41830</v>
      </c>
      <c r="B406" s="319">
        <v>1</v>
      </c>
      <c r="C406" s="118" t="s">
        <v>2607</v>
      </c>
      <c r="D406" s="111">
        <v>0</v>
      </c>
      <c r="E406" s="111">
        <v>0.40277777777777773</v>
      </c>
      <c r="F406" s="444">
        <v>35</v>
      </c>
      <c r="G406" s="445">
        <v>12</v>
      </c>
      <c r="H406" s="444"/>
      <c r="I406" s="390"/>
      <c r="J406" s="426">
        <f t="shared" si="225"/>
        <v>580</v>
      </c>
      <c r="K406" s="103">
        <v>4</v>
      </c>
      <c r="L406" s="103"/>
      <c r="M406" s="103"/>
      <c r="N406" s="427">
        <f t="shared" si="226"/>
        <v>4</v>
      </c>
      <c r="O406" s="103"/>
      <c r="P406" s="103">
        <v>1</v>
      </c>
      <c r="Q406" s="103"/>
      <c r="R406" s="428">
        <f t="shared" si="227"/>
        <v>1</v>
      </c>
      <c r="S406" s="103"/>
      <c r="T406" s="103"/>
      <c r="U406" s="103"/>
      <c r="V406" s="125"/>
      <c r="W406" s="428">
        <f t="shared" si="231"/>
        <v>0</v>
      </c>
      <c r="X406" s="103"/>
      <c r="Y406" s="103"/>
      <c r="Z406" s="125"/>
      <c r="AA406" s="428">
        <f t="shared" si="232"/>
        <v>0</v>
      </c>
      <c r="AB406" s="103"/>
      <c r="AC406" s="103"/>
      <c r="AD406" s="103"/>
      <c r="AE406" s="428">
        <f t="shared" si="233"/>
        <v>0</v>
      </c>
      <c r="AF406" s="103"/>
      <c r="AG406" s="103"/>
      <c r="AH406" s="103"/>
      <c r="AI406" s="103"/>
      <c r="AJ406" s="428">
        <f t="shared" si="234"/>
        <v>0</v>
      </c>
      <c r="AK406" s="446">
        <v>1</v>
      </c>
      <c r="AL406" s="446"/>
      <c r="AM406" s="446"/>
      <c r="AN406" s="446"/>
      <c r="AO406" s="446"/>
      <c r="AP406" s="446"/>
      <c r="AQ406" s="446"/>
      <c r="AR406" s="431">
        <f t="shared" si="235"/>
        <v>1</v>
      </c>
      <c r="AT406" s="128"/>
      <c r="AU406" s="100" t="s">
        <v>2608</v>
      </c>
      <c r="AV406" s="128" t="s">
        <v>2639</v>
      </c>
      <c r="AW406" s="100" t="s">
        <v>2672</v>
      </c>
      <c r="AX406" s="433">
        <f t="shared" si="236"/>
        <v>4</v>
      </c>
      <c r="AY406" s="433">
        <f t="shared" si="237"/>
        <v>0</v>
      </c>
      <c r="AZ406" s="433">
        <f t="shared" si="238"/>
        <v>0</v>
      </c>
      <c r="BA406" s="433">
        <f t="shared" si="228"/>
        <v>0</v>
      </c>
      <c r="BB406" s="433">
        <f t="shared" si="229"/>
        <v>1</v>
      </c>
      <c r="BC406" s="433">
        <f t="shared" si="230"/>
        <v>0</v>
      </c>
      <c r="BD406" s="433">
        <f t="shared" si="239"/>
        <v>0</v>
      </c>
      <c r="BE406" s="433">
        <f t="shared" si="240"/>
        <v>0</v>
      </c>
      <c r="BF406" s="433">
        <f t="shared" si="241"/>
        <v>0</v>
      </c>
      <c r="BG406" s="433">
        <f t="shared" si="242"/>
        <v>0</v>
      </c>
      <c r="BH406" s="433">
        <f t="shared" si="243"/>
        <v>0</v>
      </c>
      <c r="BI406" s="433">
        <f t="shared" si="244"/>
        <v>0</v>
      </c>
      <c r="BJ406" s="433">
        <f t="shared" si="245"/>
        <v>0</v>
      </c>
      <c r="BK406" s="433">
        <f t="shared" si="246"/>
        <v>0</v>
      </c>
      <c r="BL406" s="433">
        <f t="shared" si="247"/>
        <v>0</v>
      </c>
      <c r="BM406" s="433">
        <f t="shared" si="248"/>
        <v>0</v>
      </c>
      <c r="BN406" s="433">
        <f t="shared" si="249"/>
        <v>0</v>
      </c>
      <c r="BO406" s="433">
        <f t="shared" si="250"/>
        <v>0</v>
      </c>
      <c r="BP406" s="433">
        <f t="shared" si="251"/>
        <v>0</v>
      </c>
      <c r="BQ406" s="433">
        <f t="shared" si="252"/>
        <v>0</v>
      </c>
    </row>
    <row r="407" spans="1:69" x14ac:dyDescent="0.2">
      <c r="A407" s="102">
        <v>41830</v>
      </c>
      <c r="B407" s="319">
        <v>1</v>
      </c>
      <c r="C407" s="118" t="s">
        <v>1556</v>
      </c>
      <c r="D407" s="111">
        <v>0.40277777777777773</v>
      </c>
      <c r="E407" s="111">
        <v>0.59722222222222221</v>
      </c>
      <c r="F407" s="444">
        <v>35</v>
      </c>
      <c r="G407" s="445">
        <v>12</v>
      </c>
      <c r="H407" s="444"/>
      <c r="I407" s="390"/>
      <c r="J407" s="426">
        <f t="shared" si="225"/>
        <v>280.00000000000006</v>
      </c>
      <c r="K407" s="103"/>
      <c r="L407" s="103"/>
      <c r="M407" s="103"/>
      <c r="N407" s="427">
        <f t="shared" si="226"/>
        <v>0</v>
      </c>
      <c r="O407" s="103"/>
      <c r="P407" s="103"/>
      <c r="Q407" s="103"/>
      <c r="R407" s="428">
        <f t="shared" si="227"/>
        <v>0</v>
      </c>
      <c r="S407" s="103"/>
      <c r="T407" s="103"/>
      <c r="U407" s="103"/>
      <c r="V407" s="125"/>
      <c r="W407" s="428">
        <f t="shared" si="231"/>
        <v>0</v>
      </c>
      <c r="X407" s="103"/>
      <c r="Y407" s="103"/>
      <c r="Z407" s="125"/>
      <c r="AA407" s="428">
        <f t="shared" si="232"/>
        <v>0</v>
      </c>
      <c r="AB407" s="103"/>
      <c r="AC407" s="103"/>
      <c r="AD407" s="103"/>
      <c r="AE407" s="428">
        <f t="shared" si="233"/>
        <v>0</v>
      </c>
      <c r="AF407" s="103"/>
      <c r="AG407" s="103"/>
      <c r="AH407" s="103"/>
      <c r="AI407" s="103"/>
      <c r="AJ407" s="428">
        <f t="shared" si="234"/>
        <v>0</v>
      </c>
      <c r="AK407" s="446"/>
      <c r="AL407" s="446"/>
      <c r="AM407" s="446"/>
      <c r="AN407" s="446"/>
      <c r="AO407" s="446"/>
      <c r="AP407" s="446"/>
      <c r="AQ407" s="446"/>
      <c r="AR407" s="431">
        <f t="shared" si="235"/>
        <v>0</v>
      </c>
      <c r="AT407" s="128" t="s">
        <v>2609</v>
      </c>
      <c r="AU407" s="100" t="s">
        <v>2610</v>
      </c>
      <c r="AV407" s="128" t="s">
        <v>2639</v>
      </c>
      <c r="AW407" s="100" t="s">
        <v>2672</v>
      </c>
      <c r="AX407" s="433">
        <f t="shared" si="236"/>
        <v>0</v>
      </c>
      <c r="AY407" s="433">
        <f t="shared" si="237"/>
        <v>0</v>
      </c>
      <c r="AZ407" s="433">
        <f t="shared" si="238"/>
        <v>0</v>
      </c>
      <c r="BA407" s="433">
        <f t="shared" si="228"/>
        <v>0</v>
      </c>
      <c r="BB407" s="433">
        <f t="shared" si="229"/>
        <v>0</v>
      </c>
      <c r="BC407" s="433">
        <f t="shared" si="230"/>
        <v>0</v>
      </c>
      <c r="BD407" s="433">
        <f t="shared" si="239"/>
        <v>0</v>
      </c>
      <c r="BE407" s="433">
        <f t="shared" si="240"/>
        <v>0</v>
      </c>
      <c r="BF407" s="433">
        <f t="shared" si="241"/>
        <v>0</v>
      </c>
      <c r="BG407" s="433">
        <f t="shared" si="242"/>
        <v>0</v>
      </c>
      <c r="BH407" s="433">
        <f t="shared" si="243"/>
        <v>0</v>
      </c>
      <c r="BI407" s="433">
        <f t="shared" si="244"/>
        <v>0</v>
      </c>
      <c r="BJ407" s="433">
        <f t="shared" si="245"/>
        <v>0</v>
      </c>
      <c r="BK407" s="433">
        <f t="shared" si="246"/>
        <v>0</v>
      </c>
      <c r="BL407" s="433">
        <f t="shared" si="247"/>
        <v>0</v>
      </c>
      <c r="BM407" s="433">
        <f t="shared" si="248"/>
        <v>0</v>
      </c>
      <c r="BN407" s="433">
        <f t="shared" si="249"/>
        <v>0</v>
      </c>
      <c r="BO407" s="433">
        <f t="shared" si="250"/>
        <v>0</v>
      </c>
      <c r="BP407" s="433">
        <f t="shared" si="251"/>
        <v>0</v>
      </c>
      <c r="BQ407" s="433">
        <f t="shared" si="252"/>
        <v>0</v>
      </c>
    </row>
    <row r="408" spans="1:69" x14ac:dyDescent="0.2">
      <c r="A408" s="102">
        <v>41830</v>
      </c>
      <c r="B408" s="319">
        <v>1</v>
      </c>
      <c r="C408" s="118" t="s">
        <v>2495</v>
      </c>
      <c r="D408" s="111">
        <v>0.59722222222222221</v>
      </c>
      <c r="E408" s="111">
        <v>0.76041666666666663</v>
      </c>
      <c r="F408" s="444">
        <v>34</v>
      </c>
      <c r="G408" s="445">
        <v>10</v>
      </c>
      <c r="H408" s="444"/>
      <c r="I408" s="390">
        <v>66.3</v>
      </c>
      <c r="J408" s="426">
        <f t="shared" si="225"/>
        <v>234.99999999999997</v>
      </c>
      <c r="K408" s="103"/>
      <c r="L408" s="103"/>
      <c r="M408" s="103"/>
      <c r="N408" s="427">
        <f t="shared" si="226"/>
        <v>0</v>
      </c>
      <c r="O408" s="103"/>
      <c r="P408" s="103"/>
      <c r="Q408" s="103"/>
      <c r="R408" s="428">
        <f t="shared" si="227"/>
        <v>0</v>
      </c>
      <c r="S408" s="103"/>
      <c r="T408" s="103"/>
      <c r="U408" s="103"/>
      <c r="V408" s="125"/>
      <c r="W408" s="428">
        <f t="shared" si="231"/>
        <v>0</v>
      </c>
      <c r="X408" s="103"/>
      <c r="Y408" s="103"/>
      <c r="Z408" s="125"/>
      <c r="AA408" s="428">
        <f t="shared" si="232"/>
        <v>0</v>
      </c>
      <c r="AB408" s="103"/>
      <c r="AC408" s="103"/>
      <c r="AD408" s="103"/>
      <c r="AE408" s="428">
        <f t="shared" si="233"/>
        <v>0</v>
      </c>
      <c r="AF408" s="103"/>
      <c r="AG408" s="103"/>
      <c r="AH408" s="103"/>
      <c r="AI408" s="103"/>
      <c r="AJ408" s="428">
        <f t="shared" si="234"/>
        <v>0</v>
      </c>
      <c r="AK408" s="446"/>
      <c r="AL408" s="446"/>
      <c r="AM408" s="446"/>
      <c r="AN408" s="446"/>
      <c r="AO408" s="446"/>
      <c r="AP408" s="446"/>
      <c r="AQ408" s="446"/>
      <c r="AR408" s="431">
        <f t="shared" si="235"/>
        <v>0</v>
      </c>
      <c r="AT408" s="128" t="s">
        <v>424</v>
      </c>
      <c r="AU408" s="100" t="s">
        <v>2611</v>
      </c>
      <c r="AV408" s="128" t="s">
        <v>2639</v>
      </c>
      <c r="AW408" s="100" t="s">
        <v>2672</v>
      </c>
      <c r="AX408" s="433">
        <f t="shared" si="236"/>
        <v>0</v>
      </c>
      <c r="AY408" s="433">
        <f t="shared" si="237"/>
        <v>0</v>
      </c>
      <c r="AZ408" s="433">
        <f t="shared" si="238"/>
        <v>0</v>
      </c>
      <c r="BA408" s="433">
        <f t="shared" si="228"/>
        <v>0</v>
      </c>
      <c r="BB408" s="433">
        <f t="shared" si="229"/>
        <v>0</v>
      </c>
      <c r="BC408" s="433">
        <f t="shared" si="230"/>
        <v>0</v>
      </c>
      <c r="BD408" s="433">
        <f t="shared" si="239"/>
        <v>0</v>
      </c>
      <c r="BE408" s="433">
        <f t="shared" si="240"/>
        <v>0</v>
      </c>
      <c r="BF408" s="433">
        <f t="shared" si="241"/>
        <v>0</v>
      </c>
      <c r="BG408" s="433">
        <f t="shared" si="242"/>
        <v>0</v>
      </c>
      <c r="BH408" s="433">
        <f t="shared" si="243"/>
        <v>0</v>
      </c>
      <c r="BI408" s="433">
        <f t="shared" si="244"/>
        <v>0</v>
      </c>
      <c r="BJ408" s="433">
        <f t="shared" si="245"/>
        <v>0</v>
      </c>
      <c r="BK408" s="433">
        <f t="shared" si="246"/>
        <v>0</v>
      </c>
      <c r="BL408" s="433">
        <f t="shared" si="247"/>
        <v>0</v>
      </c>
      <c r="BM408" s="433">
        <f t="shared" si="248"/>
        <v>0</v>
      </c>
      <c r="BN408" s="433">
        <f t="shared" si="249"/>
        <v>0</v>
      </c>
      <c r="BO408" s="433">
        <f t="shared" si="250"/>
        <v>0</v>
      </c>
      <c r="BP408" s="433">
        <f t="shared" si="251"/>
        <v>0</v>
      </c>
      <c r="BQ408" s="433">
        <f t="shared" si="252"/>
        <v>0</v>
      </c>
    </row>
    <row r="409" spans="1:69" x14ac:dyDescent="0.2">
      <c r="A409" s="102">
        <v>41830</v>
      </c>
      <c r="B409" s="319">
        <v>1</v>
      </c>
      <c r="C409" s="118" t="s">
        <v>2575</v>
      </c>
      <c r="D409" s="111">
        <v>0.76041666666666663</v>
      </c>
      <c r="E409" s="111">
        <v>1</v>
      </c>
      <c r="F409" s="444">
        <v>33</v>
      </c>
      <c r="G409" s="445">
        <v>10</v>
      </c>
      <c r="H409" s="444"/>
      <c r="I409" s="390"/>
      <c r="J409" s="426">
        <f t="shared" si="225"/>
        <v>345.00000000000006</v>
      </c>
      <c r="K409" s="103"/>
      <c r="L409" s="103"/>
      <c r="M409" s="103"/>
      <c r="N409" s="427">
        <f t="shared" si="226"/>
        <v>0</v>
      </c>
      <c r="O409" s="103"/>
      <c r="P409" s="103"/>
      <c r="Q409" s="103"/>
      <c r="R409" s="428">
        <f t="shared" si="227"/>
        <v>0</v>
      </c>
      <c r="S409" s="103"/>
      <c r="T409" s="103"/>
      <c r="U409" s="103"/>
      <c r="V409" s="125"/>
      <c r="W409" s="428">
        <f t="shared" si="231"/>
        <v>0</v>
      </c>
      <c r="X409" s="103"/>
      <c r="Y409" s="103"/>
      <c r="Z409" s="125"/>
      <c r="AA409" s="428">
        <f t="shared" si="232"/>
        <v>0</v>
      </c>
      <c r="AB409" s="103"/>
      <c r="AC409" s="103"/>
      <c r="AD409" s="103"/>
      <c r="AE409" s="428">
        <f t="shared" si="233"/>
        <v>0</v>
      </c>
      <c r="AF409" s="103"/>
      <c r="AG409" s="103"/>
      <c r="AH409" s="103"/>
      <c r="AI409" s="103"/>
      <c r="AJ409" s="428">
        <f t="shared" si="234"/>
        <v>0</v>
      </c>
      <c r="AK409" s="446"/>
      <c r="AL409" s="446"/>
      <c r="AM409" s="446"/>
      <c r="AN409" s="446"/>
      <c r="AO409" s="446"/>
      <c r="AP409" s="446"/>
      <c r="AQ409" s="446"/>
      <c r="AR409" s="431">
        <f t="shared" si="235"/>
        <v>0</v>
      </c>
      <c r="AS409" s="10" t="s">
        <v>2614</v>
      </c>
      <c r="AT409" s="128" t="s">
        <v>424</v>
      </c>
      <c r="AU409" s="100" t="s">
        <v>2612</v>
      </c>
      <c r="AV409" s="128" t="s">
        <v>2639</v>
      </c>
      <c r="AW409" s="100" t="s">
        <v>2672</v>
      </c>
      <c r="AX409" s="433">
        <f t="shared" si="236"/>
        <v>0</v>
      </c>
      <c r="AY409" s="433">
        <f t="shared" si="237"/>
        <v>0</v>
      </c>
      <c r="AZ409" s="433">
        <f t="shared" si="238"/>
        <v>0</v>
      </c>
      <c r="BA409" s="433">
        <f t="shared" si="228"/>
        <v>0</v>
      </c>
      <c r="BB409" s="433">
        <f t="shared" si="229"/>
        <v>0</v>
      </c>
      <c r="BC409" s="433">
        <f t="shared" si="230"/>
        <v>0</v>
      </c>
      <c r="BD409" s="433">
        <f t="shared" si="239"/>
        <v>0</v>
      </c>
      <c r="BE409" s="433">
        <f t="shared" si="240"/>
        <v>0</v>
      </c>
      <c r="BF409" s="433">
        <f t="shared" si="241"/>
        <v>0</v>
      </c>
      <c r="BG409" s="433">
        <f t="shared" si="242"/>
        <v>0</v>
      </c>
      <c r="BH409" s="433">
        <f t="shared" si="243"/>
        <v>0</v>
      </c>
      <c r="BI409" s="433">
        <f t="shared" si="244"/>
        <v>0</v>
      </c>
      <c r="BJ409" s="433">
        <f t="shared" si="245"/>
        <v>0</v>
      </c>
      <c r="BK409" s="433">
        <f t="shared" si="246"/>
        <v>0</v>
      </c>
      <c r="BL409" s="433">
        <f t="shared" si="247"/>
        <v>0</v>
      </c>
      <c r="BM409" s="433">
        <f t="shared" si="248"/>
        <v>0</v>
      </c>
      <c r="BN409" s="433">
        <f t="shared" si="249"/>
        <v>0</v>
      </c>
      <c r="BO409" s="433">
        <f t="shared" si="250"/>
        <v>0</v>
      </c>
      <c r="BP409" s="433">
        <f t="shared" si="251"/>
        <v>0</v>
      </c>
      <c r="BQ409" s="433">
        <f t="shared" si="252"/>
        <v>0</v>
      </c>
    </row>
    <row r="410" spans="1:69" x14ac:dyDescent="0.2">
      <c r="A410" s="102">
        <v>41830</v>
      </c>
      <c r="B410" s="319">
        <v>2</v>
      </c>
      <c r="C410" s="323" t="s">
        <v>2607</v>
      </c>
      <c r="D410" s="111">
        <v>0</v>
      </c>
      <c r="E410" s="111">
        <v>0.39583333333333331</v>
      </c>
      <c r="F410" s="444">
        <v>32</v>
      </c>
      <c r="G410" s="445">
        <v>12</v>
      </c>
      <c r="H410" s="444"/>
      <c r="I410" s="390"/>
      <c r="J410" s="426">
        <f t="shared" si="225"/>
        <v>570</v>
      </c>
      <c r="K410" s="103">
        <v>1</v>
      </c>
      <c r="L410" s="103"/>
      <c r="M410" s="103"/>
      <c r="N410" s="427">
        <f t="shared" si="226"/>
        <v>1</v>
      </c>
      <c r="O410" s="103"/>
      <c r="P410" s="103"/>
      <c r="Q410" s="103"/>
      <c r="R410" s="428">
        <f t="shared" si="227"/>
        <v>0</v>
      </c>
      <c r="S410" s="103"/>
      <c r="T410" s="103"/>
      <c r="U410" s="103"/>
      <c r="V410" s="125"/>
      <c r="W410" s="428">
        <f t="shared" si="231"/>
        <v>0</v>
      </c>
      <c r="X410" s="103"/>
      <c r="Y410" s="103"/>
      <c r="Z410" s="125"/>
      <c r="AA410" s="428">
        <f t="shared" si="232"/>
        <v>0</v>
      </c>
      <c r="AB410" s="103"/>
      <c r="AC410" s="103"/>
      <c r="AD410" s="103"/>
      <c r="AE410" s="428">
        <f t="shared" si="233"/>
        <v>0</v>
      </c>
      <c r="AF410" s="103"/>
      <c r="AG410" s="103"/>
      <c r="AH410" s="103"/>
      <c r="AI410" s="103"/>
      <c r="AJ410" s="428">
        <f t="shared" si="234"/>
        <v>0</v>
      </c>
      <c r="AK410" s="446"/>
      <c r="AL410" s="446"/>
      <c r="AM410" s="446"/>
      <c r="AN410" s="446"/>
      <c r="AO410" s="446"/>
      <c r="AP410" s="446"/>
      <c r="AQ410" s="446"/>
      <c r="AR410" s="431">
        <f t="shared" si="235"/>
        <v>0</v>
      </c>
      <c r="AT410" s="128"/>
      <c r="AU410" s="100" t="s">
        <v>2611</v>
      </c>
      <c r="AV410" s="128" t="s">
        <v>2639</v>
      </c>
      <c r="AW410" s="100" t="s">
        <v>2672</v>
      </c>
      <c r="AX410" s="433">
        <f t="shared" si="236"/>
        <v>1</v>
      </c>
      <c r="AY410" s="433">
        <f t="shared" si="237"/>
        <v>0</v>
      </c>
      <c r="AZ410" s="433">
        <f t="shared" si="238"/>
        <v>0</v>
      </c>
      <c r="BA410" s="433">
        <f t="shared" si="228"/>
        <v>0</v>
      </c>
      <c r="BB410" s="433">
        <f t="shared" si="229"/>
        <v>0</v>
      </c>
      <c r="BC410" s="433">
        <f t="shared" si="230"/>
        <v>0</v>
      </c>
      <c r="BD410" s="433">
        <f t="shared" si="239"/>
        <v>0</v>
      </c>
      <c r="BE410" s="433">
        <f t="shared" si="240"/>
        <v>0</v>
      </c>
      <c r="BF410" s="433">
        <f t="shared" si="241"/>
        <v>0</v>
      </c>
      <c r="BG410" s="433">
        <f t="shared" si="242"/>
        <v>0</v>
      </c>
      <c r="BH410" s="433">
        <f t="shared" si="243"/>
        <v>0</v>
      </c>
      <c r="BI410" s="433">
        <f t="shared" si="244"/>
        <v>0</v>
      </c>
      <c r="BJ410" s="433">
        <f t="shared" si="245"/>
        <v>0</v>
      </c>
      <c r="BK410" s="433">
        <f t="shared" si="246"/>
        <v>0</v>
      </c>
      <c r="BL410" s="433">
        <f t="shared" si="247"/>
        <v>0</v>
      </c>
      <c r="BM410" s="433">
        <f t="shared" si="248"/>
        <v>0</v>
      </c>
      <c r="BN410" s="433">
        <f t="shared" si="249"/>
        <v>0</v>
      </c>
      <c r="BO410" s="433">
        <f t="shared" si="250"/>
        <v>0</v>
      </c>
      <c r="BP410" s="433">
        <f t="shared" si="251"/>
        <v>0</v>
      </c>
      <c r="BQ410" s="433">
        <f t="shared" si="252"/>
        <v>0</v>
      </c>
    </row>
    <row r="411" spans="1:69" x14ac:dyDescent="0.2">
      <c r="A411" s="102">
        <v>41830</v>
      </c>
      <c r="B411" s="319">
        <v>2</v>
      </c>
      <c r="C411" s="118" t="s">
        <v>1614</v>
      </c>
      <c r="D411" s="111">
        <v>0.39583333333333331</v>
      </c>
      <c r="E411" s="111">
        <v>0.59166666666666667</v>
      </c>
      <c r="F411" s="444">
        <v>33</v>
      </c>
      <c r="G411" s="445">
        <v>12</v>
      </c>
      <c r="H411" s="444"/>
      <c r="I411" s="390"/>
      <c r="J411" s="426">
        <f t="shared" si="225"/>
        <v>282.00000000000006</v>
      </c>
      <c r="K411" s="103">
        <v>1</v>
      </c>
      <c r="L411" s="103"/>
      <c r="M411" s="103"/>
      <c r="N411" s="427">
        <f t="shared" si="226"/>
        <v>1</v>
      </c>
      <c r="O411" s="103"/>
      <c r="P411" s="103"/>
      <c r="Q411" s="103"/>
      <c r="R411" s="428">
        <f t="shared" si="227"/>
        <v>0</v>
      </c>
      <c r="S411" s="103"/>
      <c r="T411" s="103"/>
      <c r="U411" s="103"/>
      <c r="V411" s="125"/>
      <c r="W411" s="428">
        <f t="shared" si="231"/>
        <v>0</v>
      </c>
      <c r="X411" s="103"/>
      <c r="Y411" s="103"/>
      <c r="Z411" s="125"/>
      <c r="AA411" s="428">
        <f t="shared" si="232"/>
        <v>0</v>
      </c>
      <c r="AB411" s="103"/>
      <c r="AC411" s="103"/>
      <c r="AD411" s="103"/>
      <c r="AE411" s="428">
        <f t="shared" si="233"/>
        <v>0</v>
      </c>
      <c r="AF411" s="103"/>
      <c r="AG411" s="103"/>
      <c r="AH411" s="103"/>
      <c r="AI411" s="103"/>
      <c r="AJ411" s="428">
        <f t="shared" si="234"/>
        <v>0</v>
      </c>
      <c r="AK411" s="446"/>
      <c r="AL411" s="446"/>
      <c r="AM411" s="446"/>
      <c r="AN411" s="446"/>
      <c r="AO411" s="446"/>
      <c r="AP411" s="446"/>
      <c r="AQ411" s="446"/>
      <c r="AR411" s="431">
        <f t="shared" si="235"/>
        <v>0</v>
      </c>
      <c r="AT411" s="128"/>
      <c r="AU411" s="100" t="s">
        <v>2613</v>
      </c>
      <c r="AV411" s="128" t="s">
        <v>2639</v>
      </c>
      <c r="AW411" s="100" t="s">
        <v>2672</v>
      </c>
      <c r="AX411" s="433">
        <f t="shared" si="236"/>
        <v>1</v>
      </c>
      <c r="AY411" s="433">
        <f t="shared" si="237"/>
        <v>0</v>
      </c>
      <c r="AZ411" s="433">
        <f t="shared" si="238"/>
        <v>0</v>
      </c>
      <c r="BA411" s="433">
        <f t="shared" si="228"/>
        <v>0</v>
      </c>
      <c r="BB411" s="433">
        <f t="shared" si="229"/>
        <v>0</v>
      </c>
      <c r="BC411" s="433">
        <f t="shared" si="230"/>
        <v>0</v>
      </c>
      <c r="BD411" s="433">
        <f t="shared" si="239"/>
        <v>0</v>
      </c>
      <c r="BE411" s="433">
        <f t="shared" si="240"/>
        <v>0</v>
      </c>
      <c r="BF411" s="433">
        <f t="shared" si="241"/>
        <v>0</v>
      </c>
      <c r="BG411" s="433">
        <f t="shared" si="242"/>
        <v>0</v>
      </c>
      <c r="BH411" s="433">
        <f t="shared" si="243"/>
        <v>0</v>
      </c>
      <c r="BI411" s="433">
        <f t="shared" si="244"/>
        <v>0</v>
      </c>
      <c r="BJ411" s="433">
        <f t="shared" si="245"/>
        <v>0</v>
      </c>
      <c r="BK411" s="433">
        <f t="shared" si="246"/>
        <v>0</v>
      </c>
      <c r="BL411" s="433">
        <f t="shared" si="247"/>
        <v>0</v>
      </c>
      <c r="BM411" s="433">
        <f t="shared" si="248"/>
        <v>0</v>
      </c>
      <c r="BN411" s="433">
        <f t="shared" si="249"/>
        <v>0</v>
      </c>
      <c r="BO411" s="433">
        <f t="shared" si="250"/>
        <v>0</v>
      </c>
      <c r="BP411" s="433">
        <f t="shared" si="251"/>
        <v>0</v>
      </c>
      <c r="BQ411" s="433">
        <f t="shared" si="252"/>
        <v>0</v>
      </c>
    </row>
    <row r="412" spans="1:69" x14ac:dyDescent="0.2">
      <c r="A412" s="102">
        <v>41830</v>
      </c>
      <c r="B412" s="319">
        <v>2</v>
      </c>
      <c r="C412" s="118" t="s">
        <v>2495</v>
      </c>
      <c r="D412" s="111">
        <v>0.59166666666666667</v>
      </c>
      <c r="E412" s="111">
        <v>0.75694444444444453</v>
      </c>
      <c r="F412" s="444">
        <v>31</v>
      </c>
      <c r="G412" s="445">
        <v>14</v>
      </c>
      <c r="H412" s="444"/>
      <c r="I412" s="390"/>
      <c r="J412" s="426">
        <f t="shared" si="225"/>
        <v>238.00000000000011</v>
      </c>
      <c r="K412" s="103"/>
      <c r="L412" s="103"/>
      <c r="M412" s="103"/>
      <c r="N412" s="427">
        <f t="shared" si="226"/>
        <v>0</v>
      </c>
      <c r="O412" s="103"/>
      <c r="P412" s="103"/>
      <c r="Q412" s="103"/>
      <c r="R412" s="428">
        <f t="shared" si="227"/>
        <v>0</v>
      </c>
      <c r="S412" s="103"/>
      <c r="T412" s="103"/>
      <c r="U412" s="103"/>
      <c r="V412" s="125"/>
      <c r="W412" s="428">
        <f t="shared" si="231"/>
        <v>0</v>
      </c>
      <c r="X412" s="103"/>
      <c r="Y412" s="103"/>
      <c r="Z412" s="125"/>
      <c r="AA412" s="428">
        <f t="shared" si="232"/>
        <v>0</v>
      </c>
      <c r="AB412" s="103"/>
      <c r="AC412" s="103"/>
      <c r="AD412" s="103"/>
      <c r="AE412" s="428">
        <f t="shared" si="233"/>
        <v>0</v>
      </c>
      <c r="AF412" s="103"/>
      <c r="AG412" s="103"/>
      <c r="AH412" s="103"/>
      <c r="AI412" s="103"/>
      <c r="AJ412" s="428">
        <f t="shared" si="234"/>
        <v>0</v>
      </c>
      <c r="AK412" s="446"/>
      <c r="AL412" s="446"/>
      <c r="AM412" s="446"/>
      <c r="AN412" s="446"/>
      <c r="AO412" s="446"/>
      <c r="AP412" s="446"/>
      <c r="AQ412" s="446"/>
      <c r="AR412" s="431">
        <f t="shared" si="235"/>
        <v>0</v>
      </c>
      <c r="AT412" s="128" t="s">
        <v>424</v>
      </c>
      <c r="AU412" s="100" t="s">
        <v>2611</v>
      </c>
      <c r="AV412" s="128" t="s">
        <v>2639</v>
      </c>
      <c r="AW412" s="100" t="s">
        <v>2672</v>
      </c>
      <c r="AX412" s="433">
        <f t="shared" si="236"/>
        <v>0</v>
      </c>
      <c r="AY412" s="433">
        <f t="shared" si="237"/>
        <v>0</v>
      </c>
      <c r="AZ412" s="433">
        <f t="shared" si="238"/>
        <v>0</v>
      </c>
      <c r="BA412" s="433">
        <f t="shared" si="228"/>
        <v>0</v>
      </c>
      <c r="BB412" s="433">
        <f t="shared" si="229"/>
        <v>0</v>
      </c>
      <c r="BC412" s="433">
        <f t="shared" si="230"/>
        <v>0</v>
      </c>
      <c r="BD412" s="433">
        <f t="shared" si="239"/>
        <v>0</v>
      </c>
      <c r="BE412" s="433">
        <f t="shared" si="240"/>
        <v>0</v>
      </c>
      <c r="BF412" s="433">
        <f t="shared" si="241"/>
        <v>0</v>
      </c>
      <c r="BG412" s="433">
        <f t="shared" si="242"/>
        <v>0</v>
      </c>
      <c r="BH412" s="433">
        <f t="shared" si="243"/>
        <v>0</v>
      </c>
      <c r="BI412" s="433">
        <f t="shared" si="244"/>
        <v>0</v>
      </c>
      <c r="BJ412" s="433">
        <f t="shared" si="245"/>
        <v>0</v>
      </c>
      <c r="BK412" s="433">
        <f t="shared" si="246"/>
        <v>0</v>
      </c>
      <c r="BL412" s="433">
        <f t="shared" si="247"/>
        <v>0</v>
      </c>
      <c r="BM412" s="433">
        <f t="shared" si="248"/>
        <v>0</v>
      </c>
      <c r="BN412" s="433">
        <f t="shared" si="249"/>
        <v>0</v>
      </c>
      <c r="BO412" s="433">
        <f t="shared" si="250"/>
        <v>0</v>
      </c>
      <c r="BP412" s="433">
        <f t="shared" si="251"/>
        <v>0</v>
      </c>
      <c r="BQ412" s="433">
        <f t="shared" si="252"/>
        <v>0</v>
      </c>
    </row>
    <row r="413" spans="1:69" x14ac:dyDescent="0.2">
      <c r="A413" s="102">
        <v>41830</v>
      </c>
      <c r="B413" s="319">
        <v>2</v>
      </c>
      <c r="C413" s="118" t="s">
        <v>2548</v>
      </c>
      <c r="D413" s="111">
        <v>0.75694444444444453</v>
      </c>
      <c r="E413" s="111">
        <v>1</v>
      </c>
      <c r="F413" s="444">
        <v>33</v>
      </c>
      <c r="G413" s="445">
        <v>12</v>
      </c>
      <c r="H413" s="444"/>
      <c r="I413" s="390"/>
      <c r="J413" s="426">
        <f t="shared" si="225"/>
        <v>349.99999999999989</v>
      </c>
      <c r="K413" s="103"/>
      <c r="L413" s="103"/>
      <c r="M413" s="103"/>
      <c r="N413" s="427">
        <f t="shared" si="226"/>
        <v>0</v>
      </c>
      <c r="O413" s="103"/>
      <c r="P413" s="103">
        <v>1</v>
      </c>
      <c r="Q413" s="103"/>
      <c r="R413" s="428">
        <f t="shared" si="227"/>
        <v>1</v>
      </c>
      <c r="S413" s="103">
        <v>1</v>
      </c>
      <c r="T413" s="103"/>
      <c r="U413" s="103"/>
      <c r="V413" s="125"/>
      <c r="W413" s="428">
        <f t="shared" si="231"/>
        <v>1</v>
      </c>
      <c r="X413" s="103"/>
      <c r="Y413" s="103"/>
      <c r="Z413" s="125"/>
      <c r="AA413" s="428">
        <f t="shared" si="232"/>
        <v>0</v>
      </c>
      <c r="AB413" s="103"/>
      <c r="AC413" s="103"/>
      <c r="AD413" s="103"/>
      <c r="AE413" s="428">
        <f t="shared" si="233"/>
        <v>0</v>
      </c>
      <c r="AF413" s="103"/>
      <c r="AG413" s="103"/>
      <c r="AH413" s="103"/>
      <c r="AI413" s="103"/>
      <c r="AJ413" s="428">
        <f t="shared" si="234"/>
        <v>0</v>
      </c>
      <c r="AK413" s="446"/>
      <c r="AL413" s="446"/>
      <c r="AM413" s="446"/>
      <c r="AN413" s="446"/>
      <c r="AO413" s="446"/>
      <c r="AP413" s="446"/>
      <c r="AQ413" s="446"/>
      <c r="AR413" s="431">
        <f t="shared" si="235"/>
        <v>0</v>
      </c>
      <c r="AS413" s="10" t="s">
        <v>2614</v>
      </c>
      <c r="AT413" s="128"/>
      <c r="AU413" s="100" t="s">
        <v>2612</v>
      </c>
      <c r="AV413" s="128" t="s">
        <v>2639</v>
      </c>
      <c r="AW413" s="100" t="s">
        <v>2672</v>
      </c>
      <c r="AX413" s="433">
        <f t="shared" si="236"/>
        <v>0</v>
      </c>
      <c r="AY413" s="433">
        <f t="shared" si="237"/>
        <v>0</v>
      </c>
      <c r="AZ413" s="433">
        <f t="shared" si="238"/>
        <v>0</v>
      </c>
      <c r="BA413" s="433">
        <f t="shared" si="228"/>
        <v>0</v>
      </c>
      <c r="BB413" s="433">
        <f t="shared" si="229"/>
        <v>1</v>
      </c>
      <c r="BC413" s="433">
        <f t="shared" si="230"/>
        <v>0</v>
      </c>
      <c r="BD413" s="433">
        <f t="shared" si="239"/>
        <v>1</v>
      </c>
      <c r="BE413" s="433">
        <f t="shared" si="240"/>
        <v>0</v>
      </c>
      <c r="BF413" s="433">
        <f t="shared" si="241"/>
        <v>0</v>
      </c>
      <c r="BG413" s="433">
        <f t="shared" si="242"/>
        <v>0</v>
      </c>
      <c r="BH413" s="433">
        <f t="shared" si="243"/>
        <v>0</v>
      </c>
      <c r="BI413" s="433">
        <f t="shared" si="244"/>
        <v>0</v>
      </c>
      <c r="BJ413" s="433">
        <f t="shared" si="245"/>
        <v>0</v>
      </c>
      <c r="BK413" s="433">
        <f t="shared" si="246"/>
        <v>0</v>
      </c>
      <c r="BL413" s="433">
        <f t="shared" si="247"/>
        <v>0</v>
      </c>
      <c r="BM413" s="433">
        <f t="shared" si="248"/>
        <v>0</v>
      </c>
      <c r="BN413" s="433">
        <f t="shared" si="249"/>
        <v>0</v>
      </c>
      <c r="BO413" s="433">
        <f t="shared" si="250"/>
        <v>0</v>
      </c>
      <c r="BP413" s="433">
        <f t="shared" si="251"/>
        <v>0</v>
      </c>
      <c r="BQ413" s="433">
        <f t="shared" si="252"/>
        <v>0</v>
      </c>
    </row>
    <row r="414" spans="1:69" x14ac:dyDescent="0.2">
      <c r="A414" s="102">
        <v>41830</v>
      </c>
      <c r="B414" s="319">
        <v>3</v>
      </c>
      <c r="C414" s="118" t="s">
        <v>2078</v>
      </c>
      <c r="D414" s="111">
        <v>0</v>
      </c>
      <c r="E414" s="111">
        <v>0.3972222222222222</v>
      </c>
      <c r="F414" s="444">
        <v>41</v>
      </c>
      <c r="G414" s="445">
        <v>12</v>
      </c>
      <c r="H414" s="444"/>
      <c r="I414" s="390"/>
      <c r="J414" s="426">
        <f t="shared" si="225"/>
        <v>572</v>
      </c>
      <c r="K414" s="103">
        <v>6</v>
      </c>
      <c r="L414" s="103">
        <v>1</v>
      </c>
      <c r="M414" s="103">
        <v>1</v>
      </c>
      <c r="N414" s="427">
        <f t="shared" si="226"/>
        <v>8</v>
      </c>
      <c r="O414" s="103"/>
      <c r="P414" s="103">
        <v>1</v>
      </c>
      <c r="Q414" s="103"/>
      <c r="R414" s="428">
        <f t="shared" si="227"/>
        <v>1</v>
      </c>
      <c r="S414" s="103"/>
      <c r="T414" s="103"/>
      <c r="U414" s="103"/>
      <c r="V414" s="125"/>
      <c r="W414" s="428">
        <f t="shared" si="231"/>
        <v>0</v>
      </c>
      <c r="X414" s="103"/>
      <c r="Y414" s="103"/>
      <c r="Z414" s="125"/>
      <c r="AA414" s="428">
        <f t="shared" si="232"/>
        <v>0</v>
      </c>
      <c r="AB414" s="103"/>
      <c r="AC414" s="103"/>
      <c r="AD414" s="103"/>
      <c r="AE414" s="428">
        <f t="shared" si="233"/>
        <v>0</v>
      </c>
      <c r="AF414" s="103"/>
      <c r="AG414" s="103"/>
      <c r="AH414" s="103"/>
      <c r="AI414" s="103"/>
      <c r="AJ414" s="428">
        <f t="shared" si="234"/>
        <v>0</v>
      </c>
      <c r="AK414" s="446"/>
      <c r="AL414" s="446"/>
      <c r="AM414" s="446"/>
      <c r="AN414" s="446">
        <v>1</v>
      </c>
      <c r="AO414" s="446"/>
      <c r="AP414" s="446"/>
      <c r="AQ414" s="446"/>
      <c r="AR414" s="431">
        <f t="shared" si="235"/>
        <v>1</v>
      </c>
      <c r="AT414" s="128"/>
      <c r="AU414" s="100" t="s">
        <v>2615</v>
      </c>
      <c r="AV414" s="128" t="s">
        <v>2639</v>
      </c>
      <c r="AW414" s="100" t="s">
        <v>2672</v>
      </c>
      <c r="AX414" s="433">
        <f t="shared" si="236"/>
        <v>6</v>
      </c>
      <c r="AY414" s="433">
        <f t="shared" si="237"/>
        <v>1</v>
      </c>
      <c r="AZ414" s="433">
        <f t="shared" si="238"/>
        <v>1</v>
      </c>
      <c r="BA414" s="433">
        <f t="shared" si="228"/>
        <v>0</v>
      </c>
      <c r="BB414" s="433">
        <f t="shared" si="229"/>
        <v>1</v>
      </c>
      <c r="BC414" s="433">
        <f t="shared" si="230"/>
        <v>0</v>
      </c>
      <c r="BD414" s="433">
        <f t="shared" si="239"/>
        <v>0</v>
      </c>
      <c r="BE414" s="433">
        <f t="shared" si="240"/>
        <v>0</v>
      </c>
      <c r="BF414" s="433">
        <f t="shared" si="241"/>
        <v>0</v>
      </c>
      <c r="BG414" s="433">
        <f t="shared" si="242"/>
        <v>0</v>
      </c>
      <c r="BH414" s="433">
        <f t="shared" si="243"/>
        <v>0</v>
      </c>
      <c r="BI414" s="433">
        <f t="shared" si="244"/>
        <v>0</v>
      </c>
      <c r="BJ414" s="433">
        <f t="shared" si="245"/>
        <v>0</v>
      </c>
      <c r="BK414" s="433">
        <f t="shared" si="246"/>
        <v>0</v>
      </c>
      <c r="BL414" s="433">
        <f t="shared" si="247"/>
        <v>0</v>
      </c>
      <c r="BM414" s="433">
        <f t="shared" si="248"/>
        <v>0</v>
      </c>
      <c r="BN414" s="433">
        <f t="shared" si="249"/>
        <v>0</v>
      </c>
      <c r="BO414" s="433">
        <f t="shared" si="250"/>
        <v>0</v>
      </c>
      <c r="BP414" s="433">
        <f t="shared" si="251"/>
        <v>0</v>
      </c>
      <c r="BQ414" s="433">
        <f t="shared" si="252"/>
        <v>0</v>
      </c>
    </row>
    <row r="415" spans="1:69" x14ac:dyDescent="0.2">
      <c r="A415" s="102">
        <v>41830</v>
      </c>
      <c r="B415" s="319">
        <v>3</v>
      </c>
      <c r="C415" s="118" t="s">
        <v>2506</v>
      </c>
      <c r="D415" s="111">
        <v>0.3972222222222222</v>
      </c>
      <c r="E415" s="111">
        <v>0.59722222222222221</v>
      </c>
      <c r="F415" s="444">
        <v>39</v>
      </c>
      <c r="G415" s="445">
        <v>12</v>
      </c>
      <c r="H415" s="444"/>
      <c r="I415" s="390"/>
      <c r="J415" s="426">
        <f t="shared" si="225"/>
        <v>288.00000000000006</v>
      </c>
      <c r="K415" s="103">
        <v>1</v>
      </c>
      <c r="L415" s="103">
        <v>1</v>
      </c>
      <c r="M415" s="103"/>
      <c r="N415" s="427">
        <f t="shared" si="226"/>
        <v>2</v>
      </c>
      <c r="O415" s="103"/>
      <c r="P415" s="103"/>
      <c r="Q415" s="103"/>
      <c r="R415" s="428">
        <f t="shared" si="227"/>
        <v>0</v>
      </c>
      <c r="S415" s="103"/>
      <c r="T415" s="103"/>
      <c r="U415" s="103"/>
      <c r="V415" s="125"/>
      <c r="W415" s="428">
        <f t="shared" si="231"/>
        <v>0</v>
      </c>
      <c r="X415" s="103"/>
      <c r="Y415" s="103"/>
      <c r="Z415" s="125"/>
      <c r="AA415" s="428">
        <f t="shared" si="232"/>
        <v>0</v>
      </c>
      <c r="AB415" s="103"/>
      <c r="AC415" s="103"/>
      <c r="AD415" s="103"/>
      <c r="AE415" s="428">
        <f t="shared" si="233"/>
        <v>0</v>
      </c>
      <c r="AF415" s="103"/>
      <c r="AG415" s="103"/>
      <c r="AH415" s="103"/>
      <c r="AI415" s="103"/>
      <c r="AJ415" s="428">
        <f t="shared" si="234"/>
        <v>0</v>
      </c>
      <c r="AK415" s="446"/>
      <c r="AL415" s="446"/>
      <c r="AM415" s="446"/>
      <c r="AN415" s="446">
        <v>1</v>
      </c>
      <c r="AO415" s="446"/>
      <c r="AP415" s="446"/>
      <c r="AQ415" s="446"/>
      <c r="AR415" s="431">
        <f t="shared" si="235"/>
        <v>1</v>
      </c>
      <c r="AT415" s="128"/>
      <c r="AU415" s="100" t="s">
        <v>2612</v>
      </c>
      <c r="AV415" s="128" t="s">
        <v>2639</v>
      </c>
      <c r="AW415" s="100" t="s">
        <v>2672</v>
      </c>
      <c r="AX415" s="433">
        <f t="shared" si="236"/>
        <v>1</v>
      </c>
      <c r="AY415" s="433">
        <f t="shared" si="237"/>
        <v>1</v>
      </c>
      <c r="AZ415" s="433">
        <f t="shared" si="238"/>
        <v>0</v>
      </c>
      <c r="BA415" s="433">
        <f t="shared" si="228"/>
        <v>0</v>
      </c>
      <c r="BB415" s="433">
        <f t="shared" si="229"/>
        <v>0</v>
      </c>
      <c r="BC415" s="433">
        <f t="shared" si="230"/>
        <v>0</v>
      </c>
      <c r="BD415" s="433">
        <f t="shared" si="239"/>
        <v>0</v>
      </c>
      <c r="BE415" s="433">
        <f t="shared" si="240"/>
        <v>0</v>
      </c>
      <c r="BF415" s="433">
        <f t="shared" si="241"/>
        <v>0</v>
      </c>
      <c r="BG415" s="433">
        <f t="shared" si="242"/>
        <v>0</v>
      </c>
      <c r="BH415" s="433">
        <f t="shared" si="243"/>
        <v>0</v>
      </c>
      <c r="BI415" s="433">
        <f t="shared" si="244"/>
        <v>0</v>
      </c>
      <c r="BJ415" s="433">
        <f t="shared" si="245"/>
        <v>0</v>
      </c>
      <c r="BK415" s="433">
        <f t="shared" si="246"/>
        <v>0</v>
      </c>
      <c r="BL415" s="433">
        <f t="shared" si="247"/>
        <v>0</v>
      </c>
      <c r="BM415" s="433">
        <f t="shared" si="248"/>
        <v>0</v>
      </c>
      <c r="BN415" s="433">
        <f t="shared" si="249"/>
        <v>0</v>
      </c>
      <c r="BO415" s="433">
        <f t="shared" si="250"/>
        <v>0</v>
      </c>
      <c r="BP415" s="433">
        <f t="shared" si="251"/>
        <v>0</v>
      </c>
      <c r="BQ415" s="433">
        <f t="shared" si="252"/>
        <v>0</v>
      </c>
    </row>
    <row r="416" spans="1:69" x14ac:dyDescent="0.2">
      <c r="A416" s="102">
        <v>41830</v>
      </c>
      <c r="B416" s="319">
        <v>3</v>
      </c>
      <c r="C416" s="118" t="s">
        <v>957</v>
      </c>
      <c r="D416" s="111">
        <v>0.59722222222222221</v>
      </c>
      <c r="E416" s="111">
        <v>0.78125</v>
      </c>
      <c r="F416" s="444">
        <v>39</v>
      </c>
      <c r="G416" s="445">
        <v>12</v>
      </c>
      <c r="H416" s="444"/>
      <c r="I416" s="390"/>
      <c r="J416" s="426">
        <f t="shared" si="225"/>
        <v>265</v>
      </c>
      <c r="K416" s="103">
        <v>1</v>
      </c>
      <c r="L416" s="103"/>
      <c r="M416" s="103"/>
      <c r="N416" s="427">
        <f t="shared" si="226"/>
        <v>1</v>
      </c>
      <c r="O416" s="103"/>
      <c r="P416" s="103">
        <v>1</v>
      </c>
      <c r="Q416" s="103"/>
      <c r="R416" s="428">
        <f t="shared" si="227"/>
        <v>1</v>
      </c>
      <c r="S416" s="103"/>
      <c r="T416" s="103"/>
      <c r="U416" s="103"/>
      <c r="V416" s="125"/>
      <c r="W416" s="428">
        <f t="shared" si="231"/>
        <v>0</v>
      </c>
      <c r="X416" s="103"/>
      <c r="Y416" s="103"/>
      <c r="Z416" s="125"/>
      <c r="AA416" s="428">
        <f t="shared" si="232"/>
        <v>0</v>
      </c>
      <c r="AB416" s="103"/>
      <c r="AC416" s="103"/>
      <c r="AD416" s="103"/>
      <c r="AE416" s="428">
        <f t="shared" si="233"/>
        <v>0</v>
      </c>
      <c r="AF416" s="103"/>
      <c r="AG416" s="103"/>
      <c r="AH416" s="103"/>
      <c r="AI416" s="103"/>
      <c r="AJ416" s="428">
        <f t="shared" si="234"/>
        <v>0</v>
      </c>
      <c r="AK416" s="446"/>
      <c r="AL416" s="446"/>
      <c r="AM416" s="446"/>
      <c r="AN416" s="446">
        <v>1</v>
      </c>
      <c r="AO416" s="446"/>
      <c r="AP416" s="446"/>
      <c r="AQ416" s="446"/>
      <c r="AR416" s="431">
        <f t="shared" si="235"/>
        <v>1</v>
      </c>
      <c r="AT416" s="128"/>
      <c r="AU416" s="100" t="s">
        <v>2615</v>
      </c>
      <c r="AV416" s="128" t="s">
        <v>2639</v>
      </c>
      <c r="AW416" s="100" t="s">
        <v>2672</v>
      </c>
      <c r="AX416" s="433">
        <f t="shared" si="236"/>
        <v>1</v>
      </c>
      <c r="AY416" s="433">
        <f t="shared" si="237"/>
        <v>0</v>
      </c>
      <c r="AZ416" s="433">
        <f t="shared" si="238"/>
        <v>0</v>
      </c>
      <c r="BA416" s="433">
        <f t="shared" si="228"/>
        <v>0</v>
      </c>
      <c r="BB416" s="433">
        <f t="shared" si="229"/>
        <v>1</v>
      </c>
      <c r="BC416" s="433">
        <f t="shared" si="230"/>
        <v>0</v>
      </c>
      <c r="BD416" s="433">
        <f t="shared" si="239"/>
        <v>0</v>
      </c>
      <c r="BE416" s="433">
        <f t="shared" si="240"/>
        <v>0</v>
      </c>
      <c r="BF416" s="433">
        <f t="shared" si="241"/>
        <v>0</v>
      </c>
      <c r="BG416" s="433">
        <f t="shared" si="242"/>
        <v>0</v>
      </c>
      <c r="BH416" s="433">
        <f t="shared" si="243"/>
        <v>0</v>
      </c>
      <c r="BI416" s="433">
        <f t="shared" si="244"/>
        <v>0</v>
      </c>
      <c r="BJ416" s="433">
        <f t="shared" si="245"/>
        <v>0</v>
      </c>
      <c r="BK416" s="433">
        <f t="shared" si="246"/>
        <v>0</v>
      </c>
      <c r="BL416" s="433">
        <f t="shared" si="247"/>
        <v>0</v>
      </c>
      <c r="BM416" s="433">
        <f t="shared" si="248"/>
        <v>0</v>
      </c>
      <c r="BN416" s="433">
        <f t="shared" si="249"/>
        <v>0</v>
      </c>
      <c r="BO416" s="433">
        <f t="shared" si="250"/>
        <v>0</v>
      </c>
      <c r="BP416" s="433">
        <f t="shared" si="251"/>
        <v>0</v>
      </c>
      <c r="BQ416" s="433">
        <f t="shared" si="252"/>
        <v>0</v>
      </c>
    </row>
    <row r="417" spans="1:69" s="291" customFormat="1" x14ac:dyDescent="0.2">
      <c r="A417" s="317">
        <v>41830</v>
      </c>
      <c r="B417" s="318">
        <v>3</v>
      </c>
      <c r="C417" s="320" t="s">
        <v>2074</v>
      </c>
      <c r="D417" s="321">
        <v>0.78125</v>
      </c>
      <c r="E417" s="321">
        <v>1</v>
      </c>
      <c r="F417" s="434">
        <v>36</v>
      </c>
      <c r="G417" s="435">
        <v>12</v>
      </c>
      <c r="H417" s="434"/>
      <c r="I417" s="436"/>
      <c r="J417" s="437">
        <f t="shared" si="225"/>
        <v>315</v>
      </c>
      <c r="K417" s="285"/>
      <c r="L417" s="285">
        <v>1</v>
      </c>
      <c r="M417" s="285"/>
      <c r="N417" s="438">
        <f t="shared" si="226"/>
        <v>1</v>
      </c>
      <c r="O417" s="285"/>
      <c r="P417" s="285"/>
      <c r="Q417" s="285"/>
      <c r="R417" s="439">
        <f t="shared" si="227"/>
        <v>0</v>
      </c>
      <c r="S417" s="285"/>
      <c r="T417" s="285"/>
      <c r="U417" s="285"/>
      <c r="V417" s="440"/>
      <c r="W417" s="439">
        <f t="shared" si="231"/>
        <v>0</v>
      </c>
      <c r="X417" s="285"/>
      <c r="Y417" s="285"/>
      <c r="Z417" s="440"/>
      <c r="AA417" s="439">
        <f t="shared" si="232"/>
        <v>0</v>
      </c>
      <c r="AB417" s="285"/>
      <c r="AC417" s="285"/>
      <c r="AD417" s="285"/>
      <c r="AE417" s="439">
        <f t="shared" si="233"/>
        <v>0</v>
      </c>
      <c r="AF417" s="285"/>
      <c r="AG417" s="285"/>
      <c r="AH417" s="285"/>
      <c r="AI417" s="285"/>
      <c r="AJ417" s="439">
        <f t="shared" si="234"/>
        <v>0</v>
      </c>
      <c r="AK417" s="340"/>
      <c r="AL417" s="340"/>
      <c r="AM417" s="340"/>
      <c r="AN417" s="340"/>
      <c r="AO417" s="340"/>
      <c r="AP417" s="340"/>
      <c r="AQ417" s="340"/>
      <c r="AR417" s="441">
        <f t="shared" si="235"/>
        <v>0</v>
      </c>
      <c r="AS417" s="291" t="s">
        <v>2640</v>
      </c>
      <c r="AT417" s="313" t="s">
        <v>1737</v>
      </c>
      <c r="AU417" s="289" t="s">
        <v>2610</v>
      </c>
      <c r="AV417" s="313" t="s">
        <v>2639</v>
      </c>
      <c r="AW417" s="382" t="s">
        <v>2672</v>
      </c>
      <c r="AX417" s="443">
        <f t="shared" si="236"/>
        <v>0</v>
      </c>
      <c r="AY417" s="443">
        <f t="shared" si="237"/>
        <v>1</v>
      </c>
      <c r="AZ417" s="443">
        <f t="shared" si="238"/>
        <v>0</v>
      </c>
      <c r="BA417" s="443">
        <f t="shared" si="228"/>
        <v>0</v>
      </c>
      <c r="BB417" s="443">
        <f t="shared" si="229"/>
        <v>0</v>
      </c>
      <c r="BC417" s="443">
        <f t="shared" si="230"/>
        <v>0</v>
      </c>
      <c r="BD417" s="443">
        <f t="shared" si="239"/>
        <v>0</v>
      </c>
      <c r="BE417" s="443">
        <f t="shared" si="240"/>
        <v>0</v>
      </c>
      <c r="BF417" s="443">
        <f t="shared" si="241"/>
        <v>0</v>
      </c>
      <c r="BG417" s="443">
        <f t="shared" si="242"/>
        <v>0</v>
      </c>
      <c r="BH417" s="443">
        <f t="shared" si="243"/>
        <v>0</v>
      </c>
      <c r="BI417" s="443">
        <f t="shared" si="244"/>
        <v>0</v>
      </c>
      <c r="BJ417" s="443">
        <f t="shared" si="245"/>
        <v>0</v>
      </c>
      <c r="BK417" s="443">
        <f t="shared" si="246"/>
        <v>0</v>
      </c>
      <c r="BL417" s="443">
        <f t="shared" si="247"/>
        <v>0</v>
      </c>
      <c r="BM417" s="443">
        <f t="shared" si="248"/>
        <v>0</v>
      </c>
      <c r="BN417" s="443">
        <f t="shared" si="249"/>
        <v>0</v>
      </c>
      <c r="BO417" s="443">
        <f t="shared" si="250"/>
        <v>0</v>
      </c>
      <c r="BP417" s="443">
        <f t="shared" si="251"/>
        <v>0</v>
      </c>
      <c r="BQ417" s="443">
        <f t="shared" si="252"/>
        <v>0</v>
      </c>
    </row>
    <row r="418" spans="1:69" x14ac:dyDescent="0.2">
      <c r="A418" s="102">
        <v>41831</v>
      </c>
      <c r="B418" s="319">
        <v>1</v>
      </c>
      <c r="C418" s="118" t="s">
        <v>2607</v>
      </c>
      <c r="D418" s="111">
        <v>0</v>
      </c>
      <c r="E418" s="111">
        <v>0.40625</v>
      </c>
      <c r="F418" s="444">
        <v>33</v>
      </c>
      <c r="G418" s="445">
        <v>10</v>
      </c>
      <c r="H418" s="444"/>
      <c r="I418" s="390"/>
      <c r="J418" s="426">
        <f t="shared" si="225"/>
        <v>585</v>
      </c>
      <c r="K418" s="103"/>
      <c r="L418" s="103"/>
      <c r="M418" s="103"/>
      <c r="N418" s="427">
        <f t="shared" si="226"/>
        <v>0</v>
      </c>
      <c r="O418" s="103">
        <v>1</v>
      </c>
      <c r="P418" s="103"/>
      <c r="Q418" s="103"/>
      <c r="R418" s="428">
        <f t="shared" si="227"/>
        <v>1</v>
      </c>
      <c r="S418" s="103"/>
      <c r="T418" s="103"/>
      <c r="U418" s="103"/>
      <c r="V418" s="125"/>
      <c r="W418" s="428">
        <f t="shared" si="231"/>
        <v>0</v>
      </c>
      <c r="X418" s="103"/>
      <c r="Y418" s="103"/>
      <c r="Z418" s="125"/>
      <c r="AA418" s="428">
        <f t="shared" si="232"/>
        <v>0</v>
      </c>
      <c r="AB418" s="103"/>
      <c r="AC418" s="103"/>
      <c r="AD418" s="103"/>
      <c r="AE418" s="428">
        <f t="shared" si="233"/>
        <v>0</v>
      </c>
      <c r="AF418" s="103"/>
      <c r="AG418" s="103"/>
      <c r="AH418" s="103"/>
      <c r="AI418" s="103"/>
      <c r="AJ418" s="428">
        <f t="shared" si="234"/>
        <v>0</v>
      </c>
      <c r="AK418" s="446"/>
      <c r="AL418" s="446"/>
      <c r="AM418" s="446"/>
      <c r="AN418" s="446"/>
      <c r="AO418" s="446"/>
      <c r="AP418" s="446"/>
      <c r="AQ418" s="446"/>
      <c r="AR418" s="431">
        <f t="shared" si="235"/>
        <v>0</v>
      </c>
      <c r="AT418" s="128"/>
      <c r="AU418" s="100" t="s">
        <v>2643</v>
      </c>
      <c r="AV418" s="128" t="s">
        <v>2664</v>
      </c>
      <c r="AW418" s="100" t="s">
        <v>2673</v>
      </c>
      <c r="AX418" s="433">
        <f t="shared" si="236"/>
        <v>0</v>
      </c>
      <c r="AY418" s="433">
        <f t="shared" si="237"/>
        <v>0</v>
      </c>
      <c r="AZ418" s="433">
        <f t="shared" si="238"/>
        <v>0</v>
      </c>
      <c r="BA418" s="433">
        <f t="shared" si="228"/>
        <v>1</v>
      </c>
      <c r="BB418" s="433">
        <f t="shared" si="229"/>
        <v>0</v>
      </c>
      <c r="BC418" s="433">
        <f t="shared" si="230"/>
        <v>0</v>
      </c>
      <c r="BD418" s="433">
        <f t="shared" si="239"/>
        <v>0</v>
      </c>
      <c r="BE418" s="433">
        <f t="shared" si="240"/>
        <v>0</v>
      </c>
      <c r="BF418" s="433">
        <f t="shared" si="241"/>
        <v>0</v>
      </c>
      <c r="BG418" s="433">
        <f t="shared" si="242"/>
        <v>0</v>
      </c>
      <c r="BH418" s="433">
        <f t="shared" si="243"/>
        <v>0</v>
      </c>
      <c r="BI418" s="433">
        <f t="shared" si="244"/>
        <v>0</v>
      </c>
      <c r="BJ418" s="433">
        <f t="shared" si="245"/>
        <v>0</v>
      </c>
      <c r="BK418" s="433">
        <f t="shared" si="246"/>
        <v>0</v>
      </c>
      <c r="BL418" s="433">
        <f t="shared" si="247"/>
        <v>0</v>
      </c>
      <c r="BM418" s="433">
        <f t="shared" si="248"/>
        <v>0</v>
      </c>
      <c r="BN418" s="433">
        <f t="shared" si="249"/>
        <v>0</v>
      </c>
      <c r="BO418" s="433">
        <f t="shared" si="250"/>
        <v>0</v>
      </c>
      <c r="BP418" s="433">
        <f t="shared" si="251"/>
        <v>0</v>
      </c>
      <c r="BQ418" s="433">
        <f t="shared" si="252"/>
        <v>0</v>
      </c>
    </row>
    <row r="419" spans="1:69" x14ac:dyDescent="0.2">
      <c r="A419" s="102">
        <v>41831</v>
      </c>
      <c r="B419" s="319">
        <v>1</v>
      </c>
      <c r="C419" s="118" t="s">
        <v>1556</v>
      </c>
      <c r="D419" s="111">
        <v>0.40625</v>
      </c>
      <c r="E419" s="111">
        <v>0.58472222222222225</v>
      </c>
      <c r="F419" s="444">
        <v>34</v>
      </c>
      <c r="G419" s="445">
        <v>9</v>
      </c>
      <c r="H419" s="444"/>
      <c r="I419" s="390"/>
      <c r="J419" s="426">
        <f>((E419-D419)*24*60)-6</f>
        <v>251.00000000000006</v>
      </c>
      <c r="K419" s="103"/>
      <c r="L419" s="103"/>
      <c r="M419" s="103"/>
      <c r="N419" s="427">
        <f t="shared" si="226"/>
        <v>0</v>
      </c>
      <c r="O419" s="103"/>
      <c r="P419" s="103"/>
      <c r="Q419" s="103"/>
      <c r="R419" s="428">
        <f t="shared" si="227"/>
        <v>0</v>
      </c>
      <c r="S419" s="103"/>
      <c r="T419" s="103"/>
      <c r="U419" s="103"/>
      <c r="V419" s="125"/>
      <c r="W419" s="428">
        <f t="shared" si="231"/>
        <v>0</v>
      </c>
      <c r="X419" s="103"/>
      <c r="Y419" s="103"/>
      <c r="Z419" s="125"/>
      <c r="AA419" s="428">
        <f t="shared" si="232"/>
        <v>0</v>
      </c>
      <c r="AB419" s="103"/>
      <c r="AC419" s="103"/>
      <c r="AD419" s="103"/>
      <c r="AE419" s="428">
        <f t="shared" si="233"/>
        <v>0</v>
      </c>
      <c r="AF419" s="103"/>
      <c r="AG419" s="103"/>
      <c r="AH419" s="103"/>
      <c r="AI419" s="103"/>
      <c r="AJ419" s="428">
        <f t="shared" si="234"/>
        <v>0</v>
      </c>
      <c r="AK419" s="446"/>
      <c r="AL419" s="446"/>
      <c r="AM419" s="446"/>
      <c r="AN419" s="446"/>
      <c r="AO419" s="446"/>
      <c r="AP419" s="446"/>
      <c r="AQ419" s="446"/>
      <c r="AR419" s="431">
        <f t="shared" si="235"/>
        <v>0</v>
      </c>
      <c r="AS419" s="10" t="s">
        <v>2642</v>
      </c>
      <c r="AT419" s="128" t="s">
        <v>2609</v>
      </c>
      <c r="AU419" s="100" t="s">
        <v>2644</v>
      </c>
      <c r="AV419" s="128" t="s">
        <v>2664</v>
      </c>
      <c r="AW419" s="100" t="s">
        <v>2673</v>
      </c>
      <c r="AX419" s="433">
        <f t="shared" si="236"/>
        <v>0</v>
      </c>
      <c r="AY419" s="433">
        <f t="shared" si="237"/>
        <v>0</v>
      </c>
      <c r="AZ419" s="433">
        <f t="shared" si="238"/>
        <v>0</v>
      </c>
      <c r="BA419" s="433">
        <f t="shared" si="228"/>
        <v>0</v>
      </c>
      <c r="BB419" s="433">
        <f t="shared" si="229"/>
        <v>0</v>
      </c>
      <c r="BC419" s="433">
        <f t="shared" si="230"/>
        <v>0</v>
      </c>
      <c r="BD419" s="433">
        <f t="shared" si="239"/>
        <v>0</v>
      </c>
      <c r="BE419" s="433">
        <f t="shared" si="240"/>
        <v>0</v>
      </c>
      <c r="BF419" s="433">
        <f t="shared" si="241"/>
        <v>0</v>
      </c>
      <c r="BG419" s="433">
        <f t="shared" si="242"/>
        <v>0</v>
      </c>
      <c r="BH419" s="433">
        <f t="shared" si="243"/>
        <v>0</v>
      </c>
      <c r="BI419" s="433">
        <f t="shared" si="244"/>
        <v>0</v>
      </c>
      <c r="BJ419" s="433">
        <f t="shared" si="245"/>
        <v>0</v>
      </c>
      <c r="BK419" s="433">
        <f t="shared" si="246"/>
        <v>0</v>
      </c>
      <c r="BL419" s="433">
        <f t="shared" si="247"/>
        <v>0</v>
      </c>
      <c r="BM419" s="433">
        <f t="shared" si="248"/>
        <v>0</v>
      </c>
      <c r="BN419" s="433">
        <f t="shared" si="249"/>
        <v>0</v>
      </c>
      <c r="BO419" s="433">
        <f t="shared" si="250"/>
        <v>0</v>
      </c>
      <c r="BP419" s="433">
        <f t="shared" si="251"/>
        <v>0</v>
      </c>
      <c r="BQ419" s="433">
        <f t="shared" si="252"/>
        <v>0</v>
      </c>
    </row>
    <row r="420" spans="1:69" x14ac:dyDescent="0.2">
      <c r="A420" s="102">
        <v>41831</v>
      </c>
      <c r="B420" s="319">
        <v>1</v>
      </c>
      <c r="C420" s="118" t="s">
        <v>2641</v>
      </c>
      <c r="D420" s="111">
        <v>0.58472222222222225</v>
      </c>
      <c r="E420" s="111">
        <v>0.78263888888888899</v>
      </c>
      <c r="F420" s="444">
        <v>35</v>
      </c>
      <c r="G420" s="445">
        <v>10</v>
      </c>
      <c r="H420" s="444"/>
      <c r="I420" s="390"/>
      <c r="J420" s="426">
        <f t="shared" si="225"/>
        <v>285.00000000000011</v>
      </c>
      <c r="K420" s="103"/>
      <c r="L420" s="103"/>
      <c r="M420" s="103"/>
      <c r="N420" s="427">
        <f t="shared" si="226"/>
        <v>0</v>
      </c>
      <c r="O420" s="103"/>
      <c r="P420" s="103"/>
      <c r="Q420" s="103"/>
      <c r="R420" s="428">
        <f t="shared" si="227"/>
        <v>0</v>
      </c>
      <c r="S420" s="103"/>
      <c r="T420" s="103"/>
      <c r="U420" s="103"/>
      <c r="V420" s="125"/>
      <c r="W420" s="428">
        <f t="shared" si="231"/>
        <v>0</v>
      </c>
      <c r="X420" s="103"/>
      <c r="Y420" s="103"/>
      <c r="Z420" s="125"/>
      <c r="AA420" s="428">
        <f t="shared" si="232"/>
        <v>0</v>
      </c>
      <c r="AB420" s="103"/>
      <c r="AC420" s="103"/>
      <c r="AD420" s="103"/>
      <c r="AE420" s="428">
        <f t="shared" si="233"/>
        <v>0</v>
      </c>
      <c r="AF420" s="103"/>
      <c r="AG420" s="103"/>
      <c r="AH420" s="103"/>
      <c r="AI420" s="103"/>
      <c r="AJ420" s="428">
        <f t="shared" si="234"/>
        <v>0</v>
      </c>
      <c r="AK420" s="446"/>
      <c r="AL420" s="446"/>
      <c r="AM420" s="446"/>
      <c r="AN420" s="446"/>
      <c r="AO420" s="446"/>
      <c r="AP420" s="446"/>
      <c r="AQ420" s="446"/>
      <c r="AR420" s="431">
        <f t="shared" si="235"/>
        <v>0</v>
      </c>
      <c r="AS420" s="10" t="s">
        <v>2646</v>
      </c>
      <c r="AT420" s="128" t="s">
        <v>2645</v>
      </c>
      <c r="AU420" s="100" t="s">
        <v>2643</v>
      </c>
      <c r="AV420" s="128" t="s">
        <v>2664</v>
      </c>
      <c r="AW420" s="100" t="s">
        <v>2673</v>
      </c>
      <c r="AX420" s="433">
        <f t="shared" si="236"/>
        <v>0</v>
      </c>
      <c r="AY420" s="433">
        <f t="shared" si="237"/>
        <v>0</v>
      </c>
      <c r="AZ420" s="433">
        <f t="shared" si="238"/>
        <v>0</v>
      </c>
      <c r="BA420" s="433">
        <f t="shared" si="228"/>
        <v>0</v>
      </c>
      <c r="BB420" s="433">
        <f t="shared" si="229"/>
        <v>0</v>
      </c>
      <c r="BC420" s="433">
        <f t="shared" si="230"/>
        <v>0</v>
      </c>
      <c r="BD420" s="433">
        <f t="shared" si="239"/>
        <v>0</v>
      </c>
      <c r="BE420" s="433">
        <f t="shared" si="240"/>
        <v>0</v>
      </c>
      <c r="BF420" s="433">
        <f t="shared" si="241"/>
        <v>0</v>
      </c>
      <c r="BG420" s="433">
        <f t="shared" si="242"/>
        <v>0</v>
      </c>
      <c r="BH420" s="433">
        <f t="shared" si="243"/>
        <v>0</v>
      </c>
      <c r="BI420" s="433">
        <f t="shared" si="244"/>
        <v>0</v>
      </c>
      <c r="BJ420" s="433">
        <f t="shared" si="245"/>
        <v>0</v>
      </c>
      <c r="BK420" s="433">
        <f t="shared" si="246"/>
        <v>0</v>
      </c>
      <c r="BL420" s="433">
        <f t="shared" si="247"/>
        <v>0</v>
      </c>
      <c r="BM420" s="433">
        <f t="shared" si="248"/>
        <v>0</v>
      </c>
      <c r="BN420" s="433">
        <f t="shared" si="249"/>
        <v>0</v>
      </c>
      <c r="BO420" s="433">
        <f t="shared" si="250"/>
        <v>0</v>
      </c>
      <c r="BP420" s="433">
        <f t="shared" si="251"/>
        <v>0</v>
      </c>
      <c r="BQ420" s="433">
        <f t="shared" si="252"/>
        <v>0</v>
      </c>
    </row>
    <row r="421" spans="1:69" x14ac:dyDescent="0.2">
      <c r="A421" s="102">
        <v>41831</v>
      </c>
      <c r="B421" s="319">
        <v>1</v>
      </c>
      <c r="C421" s="118" t="s">
        <v>2074</v>
      </c>
      <c r="D421" s="111">
        <v>0.78263888888888899</v>
      </c>
      <c r="E421" s="111">
        <v>1</v>
      </c>
      <c r="F421" s="444">
        <v>36</v>
      </c>
      <c r="G421" s="445">
        <v>9</v>
      </c>
      <c r="H421" s="444"/>
      <c r="I421" s="390"/>
      <c r="J421" s="426">
        <f t="shared" si="225"/>
        <v>312.99999999999983</v>
      </c>
      <c r="K421" s="103"/>
      <c r="L421" s="103"/>
      <c r="M421" s="103"/>
      <c r="N421" s="427">
        <f t="shared" si="226"/>
        <v>0</v>
      </c>
      <c r="O421" s="103"/>
      <c r="P421" s="103"/>
      <c r="Q421" s="103"/>
      <c r="R421" s="428">
        <f t="shared" si="227"/>
        <v>0</v>
      </c>
      <c r="S421" s="103"/>
      <c r="T421" s="103"/>
      <c r="U421" s="103"/>
      <c r="V421" s="125"/>
      <c r="W421" s="428">
        <f t="shared" si="231"/>
        <v>0</v>
      </c>
      <c r="X421" s="103"/>
      <c r="Y421" s="103"/>
      <c r="Z421" s="125"/>
      <c r="AA421" s="428">
        <f t="shared" si="232"/>
        <v>0</v>
      </c>
      <c r="AB421" s="103"/>
      <c r="AC421" s="103"/>
      <c r="AD421" s="103"/>
      <c r="AE421" s="428">
        <f t="shared" si="233"/>
        <v>0</v>
      </c>
      <c r="AF421" s="103"/>
      <c r="AG421" s="103"/>
      <c r="AH421" s="103"/>
      <c r="AI421" s="103"/>
      <c r="AJ421" s="428">
        <f t="shared" si="234"/>
        <v>0</v>
      </c>
      <c r="AK421" s="446"/>
      <c r="AL421" s="446"/>
      <c r="AM421" s="446"/>
      <c r="AN421" s="446"/>
      <c r="AO421" s="446"/>
      <c r="AP421" s="446"/>
      <c r="AQ421" s="446"/>
      <c r="AR421" s="431">
        <f t="shared" si="235"/>
        <v>0</v>
      </c>
      <c r="AT421" s="128"/>
      <c r="AU421" s="100" t="s">
        <v>2649</v>
      </c>
      <c r="AV421" s="128" t="s">
        <v>2664</v>
      </c>
      <c r="AW421" s="100" t="s">
        <v>2673</v>
      </c>
      <c r="AX421" s="433">
        <f t="shared" si="236"/>
        <v>0</v>
      </c>
      <c r="AY421" s="433">
        <f t="shared" si="237"/>
        <v>0</v>
      </c>
      <c r="AZ421" s="433">
        <f t="shared" si="238"/>
        <v>0</v>
      </c>
      <c r="BA421" s="433">
        <f t="shared" si="228"/>
        <v>0</v>
      </c>
      <c r="BB421" s="433">
        <f t="shared" si="229"/>
        <v>0</v>
      </c>
      <c r="BC421" s="433">
        <f t="shared" si="230"/>
        <v>0</v>
      </c>
      <c r="BD421" s="433">
        <f t="shared" si="239"/>
        <v>0</v>
      </c>
      <c r="BE421" s="433">
        <f t="shared" si="240"/>
        <v>0</v>
      </c>
      <c r="BF421" s="433">
        <f t="shared" si="241"/>
        <v>0</v>
      </c>
      <c r="BG421" s="433">
        <f t="shared" si="242"/>
        <v>0</v>
      </c>
      <c r="BH421" s="433">
        <f t="shared" si="243"/>
        <v>0</v>
      </c>
      <c r="BI421" s="433">
        <f t="shared" si="244"/>
        <v>0</v>
      </c>
      <c r="BJ421" s="433">
        <f t="shared" si="245"/>
        <v>0</v>
      </c>
      <c r="BK421" s="433">
        <f t="shared" si="246"/>
        <v>0</v>
      </c>
      <c r="BL421" s="433">
        <f t="shared" si="247"/>
        <v>0</v>
      </c>
      <c r="BM421" s="433">
        <f t="shared" si="248"/>
        <v>0</v>
      </c>
      <c r="BN421" s="433">
        <f t="shared" si="249"/>
        <v>0</v>
      </c>
      <c r="BO421" s="433">
        <f t="shared" si="250"/>
        <v>0</v>
      </c>
      <c r="BP421" s="433">
        <f t="shared" si="251"/>
        <v>0</v>
      </c>
      <c r="BQ421" s="433">
        <f t="shared" si="252"/>
        <v>0</v>
      </c>
    </row>
    <row r="422" spans="1:69" x14ac:dyDescent="0.2">
      <c r="A422" s="102">
        <v>41831</v>
      </c>
      <c r="B422" s="319">
        <v>2</v>
      </c>
      <c r="C422" s="118" t="s">
        <v>2607</v>
      </c>
      <c r="D422" s="111">
        <v>0</v>
      </c>
      <c r="E422" s="111">
        <v>0.39583333333333331</v>
      </c>
      <c r="F422" s="444">
        <v>33</v>
      </c>
      <c r="G422" s="445">
        <v>11</v>
      </c>
      <c r="H422" s="444"/>
      <c r="I422" s="390"/>
      <c r="J422" s="426">
        <f t="shared" si="225"/>
        <v>570</v>
      </c>
      <c r="K422" s="103">
        <v>3</v>
      </c>
      <c r="L422" s="103"/>
      <c r="M422" s="103"/>
      <c r="N422" s="427">
        <f t="shared" si="226"/>
        <v>3</v>
      </c>
      <c r="O422" s="103"/>
      <c r="P422" s="103"/>
      <c r="Q422" s="103"/>
      <c r="R422" s="428">
        <f t="shared" si="227"/>
        <v>0</v>
      </c>
      <c r="S422" s="103">
        <v>1</v>
      </c>
      <c r="T422" s="103"/>
      <c r="U422" s="103"/>
      <c r="V422" s="125"/>
      <c r="W422" s="428">
        <f t="shared" si="231"/>
        <v>1</v>
      </c>
      <c r="X422" s="103"/>
      <c r="Y422" s="103"/>
      <c r="Z422" s="125"/>
      <c r="AA422" s="428">
        <f t="shared" si="232"/>
        <v>0</v>
      </c>
      <c r="AB422" s="103"/>
      <c r="AC422" s="103"/>
      <c r="AD422" s="103"/>
      <c r="AE422" s="428">
        <f t="shared" si="233"/>
        <v>0</v>
      </c>
      <c r="AF422" s="103"/>
      <c r="AG422" s="103"/>
      <c r="AH422" s="103"/>
      <c r="AI422" s="103"/>
      <c r="AJ422" s="428">
        <f t="shared" si="234"/>
        <v>0</v>
      </c>
      <c r="AK422" s="446"/>
      <c r="AL422" s="446"/>
      <c r="AM422" s="446"/>
      <c r="AN422" s="446"/>
      <c r="AO422" s="446"/>
      <c r="AP422" s="446"/>
      <c r="AQ422" s="446"/>
      <c r="AR422" s="431">
        <f t="shared" si="235"/>
        <v>0</v>
      </c>
      <c r="AS422" s="10" t="s">
        <v>2096</v>
      </c>
      <c r="AT422" s="128"/>
      <c r="AU422" s="100" t="s">
        <v>2643</v>
      </c>
      <c r="AV422" s="128" t="s">
        <v>2664</v>
      </c>
      <c r="AW422" s="100" t="s">
        <v>2673</v>
      </c>
      <c r="AX422" s="433">
        <f t="shared" si="236"/>
        <v>3</v>
      </c>
      <c r="AY422" s="433">
        <f t="shared" si="237"/>
        <v>0</v>
      </c>
      <c r="AZ422" s="433">
        <f t="shared" si="238"/>
        <v>0</v>
      </c>
      <c r="BA422" s="433">
        <f t="shared" si="228"/>
        <v>0</v>
      </c>
      <c r="BB422" s="433">
        <f t="shared" si="229"/>
        <v>0</v>
      </c>
      <c r="BC422" s="433">
        <f t="shared" si="230"/>
        <v>0</v>
      </c>
      <c r="BD422" s="433">
        <f t="shared" si="239"/>
        <v>1</v>
      </c>
      <c r="BE422" s="433">
        <f t="shared" si="240"/>
        <v>0</v>
      </c>
      <c r="BF422" s="433">
        <f t="shared" si="241"/>
        <v>0</v>
      </c>
      <c r="BG422" s="433">
        <f t="shared" si="242"/>
        <v>0</v>
      </c>
      <c r="BH422" s="433">
        <f t="shared" si="243"/>
        <v>0</v>
      </c>
      <c r="BI422" s="433">
        <f t="shared" si="244"/>
        <v>0</v>
      </c>
      <c r="BJ422" s="433">
        <f t="shared" si="245"/>
        <v>0</v>
      </c>
      <c r="BK422" s="433">
        <f t="shared" si="246"/>
        <v>0</v>
      </c>
      <c r="BL422" s="433">
        <f t="shared" si="247"/>
        <v>0</v>
      </c>
      <c r="BM422" s="433">
        <f t="shared" si="248"/>
        <v>0</v>
      </c>
      <c r="BN422" s="433">
        <f t="shared" si="249"/>
        <v>0</v>
      </c>
      <c r="BO422" s="433">
        <f t="shared" si="250"/>
        <v>0</v>
      </c>
      <c r="BP422" s="433">
        <f t="shared" si="251"/>
        <v>0</v>
      </c>
      <c r="BQ422" s="433">
        <f t="shared" si="252"/>
        <v>0</v>
      </c>
    </row>
    <row r="423" spans="1:69" x14ac:dyDescent="0.2">
      <c r="A423" s="102">
        <v>41831</v>
      </c>
      <c r="B423" s="319">
        <v>2</v>
      </c>
      <c r="C423" s="118" t="s">
        <v>1556</v>
      </c>
      <c r="D423" s="111">
        <v>0.39583333333333331</v>
      </c>
      <c r="E423" s="111">
        <v>0.59444444444444444</v>
      </c>
      <c r="F423" s="444">
        <v>32</v>
      </c>
      <c r="G423" s="445">
        <v>11</v>
      </c>
      <c r="H423" s="444"/>
      <c r="I423" s="390"/>
      <c r="J423" s="426">
        <f t="shared" si="225"/>
        <v>286.00000000000006</v>
      </c>
      <c r="K423" s="103"/>
      <c r="L423" s="103"/>
      <c r="M423" s="103"/>
      <c r="N423" s="427">
        <f t="shared" si="226"/>
        <v>0</v>
      </c>
      <c r="O423" s="103"/>
      <c r="P423" s="103"/>
      <c r="Q423" s="103"/>
      <c r="R423" s="428">
        <f t="shared" si="227"/>
        <v>0</v>
      </c>
      <c r="S423" s="103"/>
      <c r="T423" s="103"/>
      <c r="U423" s="103"/>
      <c r="V423" s="125"/>
      <c r="W423" s="428">
        <f t="shared" si="231"/>
        <v>0</v>
      </c>
      <c r="X423" s="103"/>
      <c r="Y423" s="103"/>
      <c r="Z423" s="125"/>
      <c r="AA423" s="428">
        <f t="shared" si="232"/>
        <v>0</v>
      </c>
      <c r="AB423" s="103"/>
      <c r="AC423" s="103"/>
      <c r="AD423" s="103"/>
      <c r="AE423" s="428">
        <f t="shared" si="233"/>
        <v>0</v>
      </c>
      <c r="AF423" s="103"/>
      <c r="AG423" s="103"/>
      <c r="AH423" s="103"/>
      <c r="AI423" s="103"/>
      <c r="AJ423" s="428">
        <f t="shared" si="234"/>
        <v>0</v>
      </c>
      <c r="AK423" s="446"/>
      <c r="AL423" s="446"/>
      <c r="AM423" s="446"/>
      <c r="AN423" s="446"/>
      <c r="AO423" s="446"/>
      <c r="AP423" s="446"/>
      <c r="AQ423" s="446"/>
      <c r="AR423" s="431">
        <f t="shared" si="235"/>
        <v>0</v>
      </c>
      <c r="AT423" s="128" t="s">
        <v>2609</v>
      </c>
      <c r="AU423" s="100" t="s">
        <v>2644</v>
      </c>
      <c r="AV423" s="128" t="s">
        <v>2664</v>
      </c>
      <c r="AW423" s="100" t="s">
        <v>2673</v>
      </c>
      <c r="AX423" s="433">
        <f t="shared" si="236"/>
        <v>0</v>
      </c>
      <c r="AY423" s="433">
        <f t="shared" si="237"/>
        <v>0</v>
      </c>
      <c r="AZ423" s="433">
        <f t="shared" si="238"/>
        <v>0</v>
      </c>
      <c r="BA423" s="433">
        <f t="shared" si="228"/>
        <v>0</v>
      </c>
      <c r="BB423" s="433">
        <f t="shared" si="229"/>
        <v>0</v>
      </c>
      <c r="BC423" s="433">
        <f t="shared" si="230"/>
        <v>0</v>
      </c>
      <c r="BD423" s="433">
        <f t="shared" si="239"/>
        <v>0</v>
      </c>
      <c r="BE423" s="433">
        <f t="shared" si="240"/>
        <v>0</v>
      </c>
      <c r="BF423" s="433">
        <f t="shared" si="241"/>
        <v>0</v>
      </c>
      <c r="BG423" s="433">
        <f t="shared" si="242"/>
        <v>0</v>
      </c>
      <c r="BH423" s="433">
        <f t="shared" si="243"/>
        <v>0</v>
      </c>
      <c r="BI423" s="433">
        <f t="shared" si="244"/>
        <v>0</v>
      </c>
      <c r="BJ423" s="433">
        <f t="shared" si="245"/>
        <v>0</v>
      </c>
      <c r="BK423" s="433">
        <f t="shared" si="246"/>
        <v>0</v>
      </c>
      <c r="BL423" s="433">
        <f t="shared" si="247"/>
        <v>0</v>
      </c>
      <c r="BM423" s="433">
        <f t="shared" si="248"/>
        <v>0</v>
      </c>
      <c r="BN423" s="433">
        <f t="shared" si="249"/>
        <v>0</v>
      </c>
      <c r="BO423" s="433">
        <f t="shared" si="250"/>
        <v>0</v>
      </c>
      <c r="BP423" s="433">
        <f t="shared" si="251"/>
        <v>0</v>
      </c>
      <c r="BQ423" s="433">
        <f t="shared" si="252"/>
        <v>0</v>
      </c>
    </row>
    <row r="424" spans="1:69" x14ac:dyDescent="0.2">
      <c r="A424" s="102">
        <v>41831</v>
      </c>
      <c r="B424" s="319">
        <v>2</v>
      </c>
      <c r="C424" s="118" t="s">
        <v>2641</v>
      </c>
      <c r="D424" s="111">
        <v>0.59444444444444444</v>
      </c>
      <c r="E424" s="111">
        <v>0.77708333333333324</v>
      </c>
      <c r="F424" s="444">
        <v>32</v>
      </c>
      <c r="G424" s="445">
        <v>10</v>
      </c>
      <c r="H424" s="444"/>
      <c r="I424" s="390"/>
      <c r="J424" s="426">
        <f t="shared" si="225"/>
        <v>262.99999999999989</v>
      </c>
      <c r="K424" s="103"/>
      <c r="L424" s="103"/>
      <c r="M424" s="103"/>
      <c r="N424" s="427">
        <f t="shared" si="226"/>
        <v>0</v>
      </c>
      <c r="O424" s="103"/>
      <c r="P424" s="103"/>
      <c r="Q424" s="103"/>
      <c r="R424" s="428">
        <f t="shared" si="227"/>
        <v>0</v>
      </c>
      <c r="S424" s="103"/>
      <c r="T424" s="103"/>
      <c r="U424" s="103"/>
      <c r="V424" s="125"/>
      <c r="W424" s="428">
        <f t="shared" si="231"/>
        <v>0</v>
      </c>
      <c r="X424" s="103"/>
      <c r="Y424" s="103"/>
      <c r="Z424" s="125"/>
      <c r="AA424" s="428">
        <f t="shared" si="232"/>
        <v>0</v>
      </c>
      <c r="AB424" s="103"/>
      <c r="AC424" s="103"/>
      <c r="AD424" s="103"/>
      <c r="AE424" s="428">
        <f t="shared" si="233"/>
        <v>0</v>
      </c>
      <c r="AF424" s="103"/>
      <c r="AG424" s="103"/>
      <c r="AH424" s="103"/>
      <c r="AI424" s="103"/>
      <c r="AJ424" s="428">
        <f t="shared" si="234"/>
        <v>0</v>
      </c>
      <c r="AK424" s="446"/>
      <c r="AL424" s="446"/>
      <c r="AM424" s="446"/>
      <c r="AN424" s="446"/>
      <c r="AO424" s="446"/>
      <c r="AP424" s="446"/>
      <c r="AQ424" s="446"/>
      <c r="AR424" s="431">
        <f t="shared" si="235"/>
        <v>0</v>
      </c>
      <c r="AT424" s="128" t="s">
        <v>424</v>
      </c>
      <c r="AU424" s="100" t="s">
        <v>2643</v>
      </c>
      <c r="AV424" s="128" t="s">
        <v>2664</v>
      </c>
      <c r="AW424" s="100" t="s">
        <v>2673</v>
      </c>
      <c r="AX424" s="433">
        <f t="shared" si="236"/>
        <v>0</v>
      </c>
      <c r="AY424" s="433">
        <f t="shared" si="237"/>
        <v>0</v>
      </c>
      <c r="AZ424" s="433">
        <f t="shared" si="238"/>
        <v>0</v>
      </c>
      <c r="BA424" s="433">
        <f t="shared" si="228"/>
        <v>0</v>
      </c>
      <c r="BB424" s="433">
        <f t="shared" si="229"/>
        <v>0</v>
      </c>
      <c r="BC424" s="433">
        <f t="shared" si="230"/>
        <v>0</v>
      </c>
      <c r="BD424" s="433">
        <f t="shared" si="239"/>
        <v>0</v>
      </c>
      <c r="BE424" s="433">
        <f t="shared" si="240"/>
        <v>0</v>
      </c>
      <c r="BF424" s="433">
        <f t="shared" si="241"/>
        <v>0</v>
      </c>
      <c r="BG424" s="433">
        <f t="shared" si="242"/>
        <v>0</v>
      </c>
      <c r="BH424" s="433">
        <f t="shared" si="243"/>
        <v>0</v>
      </c>
      <c r="BI424" s="433">
        <f t="shared" si="244"/>
        <v>0</v>
      </c>
      <c r="BJ424" s="433">
        <f t="shared" si="245"/>
        <v>0</v>
      </c>
      <c r="BK424" s="433">
        <f t="shared" si="246"/>
        <v>0</v>
      </c>
      <c r="BL424" s="433">
        <f t="shared" si="247"/>
        <v>0</v>
      </c>
      <c r="BM424" s="433">
        <f t="shared" si="248"/>
        <v>0</v>
      </c>
      <c r="BN424" s="433">
        <f t="shared" si="249"/>
        <v>0</v>
      </c>
      <c r="BO424" s="433">
        <f t="shared" si="250"/>
        <v>0</v>
      </c>
      <c r="BP424" s="433">
        <f t="shared" si="251"/>
        <v>0</v>
      </c>
      <c r="BQ424" s="433">
        <f t="shared" si="252"/>
        <v>0</v>
      </c>
    </row>
    <row r="425" spans="1:69" x14ac:dyDescent="0.2">
      <c r="A425" s="102">
        <v>41831</v>
      </c>
      <c r="B425" s="319">
        <v>2</v>
      </c>
      <c r="C425" s="118" t="s">
        <v>2074</v>
      </c>
      <c r="D425" s="111">
        <v>0.77708333333333324</v>
      </c>
      <c r="E425" s="111">
        <v>1</v>
      </c>
      <c r="F425" s="444">
        <v>31</v>
      </c>
      <c r="G425" s="445">
        <v>10</v>
      </c>
      <c r="H425" s="444"/>
      <c r="I425" s="390"/>
      <c r="J425" s="426">
        <f t="shared" si="225"/>
        <v>321.00000000000011</v>
      </c>
      <c r="K425" s="103"/>
      <c r="L425" s="103"/>
      <c r="M425" s="103"/>
      <c r="N425" s="427">
        <f t="shared" si="226"/>
        <v>0</v>
      </c>
      <c r="O425" s="103"/>
      <c r="P425" s="103"/>
      <c r="Q425" s="103"/>
      <c r="R425" s="428">
        <f t="shared" si="227"/>
        <v>0</v>
      </c>
      <c r="S425" s="103"/>
      <c r="T425" s="103"/>
      <c r="U425" s="103"/>
      <c r="V425" s="125"/>
      <c r="W425" s="428">
        <f t="shared" si="231"/>
        <v>0</v>
      </c>
      <c r="X425" s="103"/>
      <c r="Y425" s="103"/>
      <c r="Z425" s="125"/>
      <c r="AA425" s="428">
        <f t="shared" si="232"/>
        <v>0</v>
      </c>
      <c r="AB425" s="103"/>
      <c r="AC425" s="103"/>
      <c r="AD425" s="103"/>
      <c r="AE425" s="428">
        <f t="shared" si="233"/>
        <v>0</v>
      </c>
      <c r="AF425" s="103"/>
      <c r="AG425" s="103"/>
      <c r="AH425" s="103"/>
      <c r="AI425" s="103"/>
      <c r="AJ425" s="428">
        <f t="shared" si="234"/>
        <v>0</v>
      </c>
      <c r="AK425" s="446"/>
      <c r="AL425" s="446"/>
      <c r="AM425" s="446"/>
      <c r="AN425" s="446"/>
      <c r="AO425" s="446"/>
      <c r="AP425" s="446"/>
      <c r="AQ425" s="446"/>
      <c r="AR425" s="431">
        <f t="shared" si="235"/>
        <v>0</v>
      </c>
      <c r="AT425" s="128" t="s">
        <v>2609</v>
      </c>
      <c r="AU425" s="100" t="s">
        <v>2649</v>
      </c>
      <c r="AV425" s="128" t="s">
        <v>2664</v>
      </c>
      <c r="AW425" s="100" t="s">
        <v>2673</v>
      </c>
      <c r="AX425" s="433">
        <f t="shared" si="236"/>
        <v>0</v>
      </c>
      <c r="AY425" s="433">
        <f t="shared" si="237"/>
        <v>0</v>
      </c>
      <c r="AZ425" s="433">
        <f t="shared" si="238"/>
        <v>0</v>
      </c>
      <c r="BA425" s="433">
        <f t="shared" si="228"/>
        <v>0</v>
      </c>
      <c r="BB425" s="433">
        <f t="shared" si="229"/>
        <v>0</v>
      </c>
      <c r="BC425" s="433">
        <f t="shared" si="230"/>
        <v>0</v>
      </c>
      <c r="BD425" s="433">
        <f t="shared" si="239"/>
        <v>0</v>
      </c>
      <c r="BE425" s="433">
        <f t="shared" si="240"/>
        <v>0</v>
      </c>
      <c r="BF425" s="433">
        <f t="shared" si="241"/>
        <v>0</v>
      </c>
      <c r="BG425" s="433">
        <f t="shared" si="242"/>
        <v>0</v>
      </c>
      <c r="BH425" s="433">
        <f t="shared" si="243"/>
        <v>0</v>
      </c>
      <c r="BI425" s="433">
        <f t="shared" si="244"/>
        <v>0</v>
      </c>
      <c r="BJ425" s="433">
        <f t="shared" si="245"/>
        <v>0</v>
      </c>
      <c r="BK425" s="433">
        <f t="shared" si="246"/>
        <v>0</v>
      </c>
      <c r="BL425" s="433">
        <f t="shared" si="247"/>
        <v>0</v>
      </c>
      <c r="BM425" s="433">
        <f t="shared" si="248"/>
        <v>0</v>
      </c>
      <c r="BN425" s="433">
        <f t="shared" si="249"/>
        <v>0</v>
      </c>
      <c r="BO425" s="433">
        <f t="shared" si="250"/>
        <v>0</v>
      </c>
      <c r="BP425" s="433">
        <f t="shared" si="251"/>
        <v>0</v>
      </c>
      <c r="BQ425" s="433">
        <f t="shared" si="252"/>
        <v>0</v>
      </c>
    </row>
    <row r="426" spans="1:69" x14ac:dyDescent="0.2">
      <c r="A426" s="102">
        <v>41831</v>
      </c>
      <c r="B426" s="319">
        <v>3</v>
      </c>
      <c r="C426" s="118" t="s">
        <v>2647</v>
      </c>
      <c r="D426" s="111">
        <v>0</v>
      </c>
      <c r="E426" s="111">
        <v>0.40277777777777773</v>
      </c>
      <c r="F426" s="444">
        <v>36</v>
      </c>
      <c r="G426" s="445">
        <v>11</v>
      </c>
      <c r="H426" s="444"/>
      <c r="I426" s="390"/>
      <c r="J426" s="426">
        <f t="shared" si="225"/>
        <v>580</v>
      </c>
      <c r="K426" s="103">
        <v>4</v>
      </c>
      <c r="L426" s="103"/>
      <c r="M426" s="103">
        <v>1</v>
      </c>
      <c r="N426" s="427">
        <f t="shared" si="226"/>
        <v>5</v>
      </c>
      <c r="O426" s="103"/>
      <c r="P426" s="103"/>
      <c r="Q426" s="103"/>
      <c r="R426" s="428">
        <f t="shared" si="227"/>
        <v>0</v>
      </c>
      <c r="S426" s="103"/>
      <c r="T426" s="103"/>
      <c r="U426" s="103"/>
      <c r="V426" s="125"/>
      <c r="W426" s="428">
        <f t="shared" si="231"/>
        <v>0</v>
      </c>
      <c r="X426" s="103"/>
      <c r="Y426" s="103"/>
      <c r="Z426" s="125"/>
      <c r="AA426" s="428">
        <f t="shared" si="232"/>
        <v>0</v>
      </c>
      <c r="AB426" s="103"/>
      <c r="AC426" s="103"/>
      <c r="AD426" s="103"/>
      <c r="AE426" s="428">
        <f t="shared" si="233"/>
        <v>0</v>
      </c>
      <c r="AF426" s="103"/>
      <c r="AG426" s="103"/>
      <c r="AH426" s="103"/>
      <c r="AI426" s="103"/>
      <c r="AJ426" s="428">
        <f t="shared" si="234"/>
        <v>0</v>
      </c>
      <c r="AK426" s="446"/>
      <c r="AL426" s="446"/>
      <c r="AM426" s="446"/>
      <c r="AN426" s="446">
        <v>1</v>
      </c>
      <c r="AO426" s="446"/>
      <c r="AP426" s="446"/>
      <c r="AQ426" s="446"/>
      <c r="AR426" s="431">
        <f t="shared" si="235"/>
        <v>1</v>
      </c>
      <c r="AT426" s="128"/>
      <c r="AU426" s="100" t="s">
        <v>2674</v>
      </c>
      <c r="AV426" s="128" t="s">
        <v>2664</v>
      </c>
      <c r="AW426" s="100" t="s">
        <v>2673</v>
      </c>
      <c r="AX426" s="433">
        <f t="shared" si="236"/>
        <v>4</v>
      </c>
      <c r="AY426" s="433">
        <f t="shared" si="237"/>
        <v>0</v>
      </c>
      <c r="AZ426" s="433">
        <f t="shared" si="238"/>
        <v>1</v>
      </c>
      <c r="BA426" s="433">
        <f t="shared" si="228"/>
        <v>0</v>
      </c>
      <c r="BB426" s="433">
        <f t="shared" si="229"/>
        <v>0</v>
      </c>
      <c r="BC426" s="433">
        <f t="shared" si="230"/>
        <v>0</v>
      </c>
      <c r="BD426" s="433">
        <f t="shared" si="239"/>
        <v>0</v>
      </c>
      <c r="BE426" s="433">
        <f t="shared" si="240"/>
        <v>0</v>
      </c>
      <c r="BF426" s="433">
        <f t="shared" si="241"/>
        <v>0</v>
      </c>
      <c r="BG426" s="433">
        <f t="shared" si="242"/>
        <v>0</v>
      </c>
      <c r="BH426" s="433">
        <f t="shared" si="243"/>
        <v>0</v>
      </c>
      <c r="BI426" s="433">
        <f t="shared" si="244"/>
        <v>0</v>
      </c>
      <c r="BJ426" s="433">
        <f t="shared" si="245"/>
        <v>0</v>
      </c>
      <c r="BK426" s="433">
        <f t="shared" si="246"/>
        <v>0</v>
      </c>
      <c r="BL426" s="433">
        <f t="shared" si="247"/>
        <v>0</v>
      </c>
      <c r="BM426" s="433">
        <f t="shared" si="248"/>
        <v>0</v>
      </c>
      <c r="BN426" s="433">
        <f t="shared" si="249"/>
        <v>0</v>
      </c>
      <c r="BO426" s="433">
        <f t="shared" si="250"/>
        <v>0</v>
      </c>
      <c r="BP426" s="433">
        <f t="shared" si="251"/>
        <v>0</v>
      </c>
      <c r="BQ426" s="433">
        <f t="shared" si="252"/>
        <v>0</v>
      </c>
    </row>
    <row r="427" spans="1:69" x14ac:dyDescent="0.2">
      <c r="A427" s="102">
        <v>41831</v>
      </c>
      <c r="B427" s="319">
        <v>3</v>
      </c>
      <c r="C427" s="118" t="s">
        <v>2665</v>
      </c>
      <c r="D427" s="111">
        <v>0.40277777777777773</v>
      </c>
      <c r="E427" s="111">
        <v>0.59722222222222221</v>
      </c>
      <c r="F427" s="444">
        <v>35</v>
      </c>
      <c r="G427" s="445">
        <v>11</v>
      </c>
      <c r="H427" s="444"/>
      <c r="I427" s="390"/>
      <c r="J427" s="426">
        <f t="shared" si="225"/>
        <v>280.00000000000006</v>
      </c>
      <c r="K427" s="103">
        <v>4</v>
      </c>
      <c r="L427" s="103"/>
      <c r="M427" s="103"/>
      <c r="N427" s="427">
        <f t="shared" si="226"/>
        <v>4</v>
      </c>
      <c r="O427" s="103"/>
      <c r="P427" s="103">
        <v>1</v>
      </c>
      <c r="Q427" s="103"/>
      <c r="R427" s="428">
        <f t="shared" si="227"/>
        <v>1</v>
      </c>
      <c r="S427" s="103"/>
      <c r="T427" s="103"/>
      <c r="U427" s="103"/>
      <c r="V427" s="125"/>
      <c r="W427" s="428">
        <f t="shared" si="231"/>
        <v>0</v>
      </c>
      <c r="X427" s="103"/>
      <c r="Y427" s="103"/>
      <c r="Z427" s="125"/>
      <c r="AA427" s="428">
        <f t="shared" si="232"/>
        <v>0</v>
      </c>
      <c r="AB427" s="103"/>
      <c r="AC427" s="103"/>
      <c r="AD427" s="103"/>
      <c r="AE427" s="428">
        <f t="shared" si="233"/>
        <v>0</v>
      </c>
      <c r="AF427" s="103"/>
      <c r="AG427" s="103"/>
      <c r="AH427" s="103"/>
      <c r="AI427" s="103"/>
      <c r="AJ427" s="428">
        <f t="shared" si="234"/>
        <v>0</v>
      </c>
      <c r="AK427" s="446"/>
      <c r="AL427" s="446"/>
      <c r="AM427" s="446"/>
      <c r="AN427" s="446"/>
      <c r="AO427" s="446"/>
      <c r="AP427" s="446"/>
      <c r="AQ427" s="446">
        <v>1</v>
      </c>
      <c r="AR427" s="431">
        <f t="shared" si="235"/>
        <v>1</v>
      </c>
      <c r="AT427" s="128"/>
      <c r="AU427" s="100" t="s">
        <v>2649</v>
      </c>
      <c r="AV427" s="128" t="s">
        <v>2664</v>
      </c>
      <c r="AW427" s="100" t="s">
        <v>2673</v>
      </c>
      <c r="AX427" s="433">
        <f t="shared" si="236"/>
        <v>4</v>
      </c>
      <c r="AY427" s="433">
        <f t="shared" si="237"/>
        <v>0</v>
      </c>
      <c r="AZ427" s="433">
        <f t="shared" si="238"/>
        <v>0</v>
      </c>
      <c r="BA427" s="433">
        <f t="shared" si="228"/>
        <v>0</v>
      </c>
      <c r="BB427" s="433">
        <f t="shared" si="229"/>
        <v>1</v>
      </c>
      <c r="BC427" s="433">
        <f t="shared" si="230"/>
        <v>0</v>
      </c>
      <c r="BD427" s="433">
        <f t="shared" si="239"/>
        <v>0</v>
      </c>
      <c r="BE427" s="433">
        <f t="shared" si="240"/>
        <v>0</v>
      </c>
      <c r="BF427" s="433">
        <f t="shared" si="241"/>
        <v>0</v>
      </c>
      <c r="BG427" s="433">
        <f t="shared" si="242"/>
        <v>0</v>
      </c>
      <c r="BH427" s="433">
        <f t="shared" si="243"/>
        <v>0</v>
      </c>
      <c r="BI427" s="433">
        <f t="shared" si="244"/>
        <v>0</v>
      </c>
      <c r="BJ427" s="433">
        <f t="shared" si="245"/>
        <v>0</v>
      </c>
      <c r="BK427" s="433">
        <f t="shared" si="246"/>
        <v>0</v>
      </c>
      <c r="BL427" s="433">
        <f t="shared" si="247"/>
        <v>0</v>
      </c>
      <c r="BM427" s="433">
        <f t="shared" si="248"/>
        <v>0</v>
      </c>
      <c r="BN427" s="433">
        <f t="shared" si="249"/>
        <v>0</v>
      </c>
      <c r="BO427" s="433">
        <f t="shared" si="250"/>
        <v>0</v>
      </c>
      <c r="BP427" s="433">
        <f t="shared" si="251"/>
        <v>0</v>
      </c>
      <c r="BQ427" s="433">
        <f t="shared" si="252"/>
        <v>0</v>
      </c>
    </row>
    <row r="428" spans="1:69" x14ac:dyDescent="0.2">
      <c r="A428" s="102">
        <v>41831</v>
      </c>
      <c r="B428" s="319">
        <v>3</v>
      </c>
      <c r="C428" s="118" t="s">
        <v>957</v>
      </c>
      <c r="D428" s="111">
        <v>0.59722222222222221</v>
      </c>
      <c r="E428" s="111">
        <v>0.78125</v>
      </c>
      <c r="F428" s="444">
        <v>38</v>
      </c>
      <c r="G428" s="445">
        <v>10</v>
      </c>
      <c r="H428" s="444"/>
      <c r="I428" s="390"/>
      <c r="J428" s="426">
        <f t="shared" si="225"/>
        <v>265</v>
      </c>
      <c r="K428" s="103">
        <v>1</v>
      </c>
      <c r="L428" s="103"/>
      <c r="M428" s="103">
        <v>1</v>
      </c>
      <c r="N428" s="427">
        <f t="shared" si="226"/>
        <v>2</v>
      </c>
      <c r="O428" s="103"/>
      <c r="P428" s="103"/>
      <c r="Q428" s="103"/>
      <c r="R428" s="428">
        <f t="shared" si="227"/>
        <v>0</v>
      </c>
      <c r="S428" s="103"/>
      <c r="T428" s="103"/>
      <c r="U428" s="103"/>
      <c r="V428" s="125"/>
      <c r="W428" s="428">
        <f t="shared" si="231"/>
        <v>0</v>
      </c>
      <c r="X428" s="103"/>
      <c r="Y428" s="103"/>
      <c r="Z428" s="125"/>
      <c r="AA428" s="428">
        <f t="shared" si="232"/>
        <v>0</v>
      </c>
      <c r="AB428" s="103"/>
      <c r="AC428" s="103"/>
      <c r="AD428" s="103"/>
      <c r="AE428" s="428">
        <f t="shared" si="233"/>
        <v>0</v>
      </c>
      <c r="AF428" s="103"/>
      <c r="AG428" s="103"/>
      <c r="AH428" s="103"/>
      <c r="AI428" s="103"/>
      <c r="AJ428" s="428">
        <f t="shared" si="234"/>
        <v>0</v>
      </c>
      <c r="AK428" s="446"/>
      <c r="AL428" s="446"/>
      <c r="AM428" s="446"/>
      <c r="AN428" s="446"/>
      <c r="AO428" s="446"/>
      <c r="AP428" s="446"/>
      <c r="AQ428" s="446"/>
      <c r="AR428" s="431">
        <f t="shared" si="235"/>
        <v>0</v>
      </c>
      <c r="AT428" s="128"/>
      <c r="AU428" s="100" t="s">
        <v>2675</v>
      </c>
      <c r="AV428" s="128" t="s">
        <v>2664</v>
      </c>
      <c r="AW428" s="100" t="s">
        <v>2673</v>
      </c>
      <c r="AX428" s="433">
        <f t="shared" si="236"/>
        <v>1</v>
      </c>
      <c r="AY428" s="433">
        <f t="shared" si="237"/>
        <v>0</v>
      </c>
      <c r="AZ428" s="433">
        <f t="shared" si="238"/>
        <v>1</v>
      </c>
      <c r="BA428" s="433">
        <f t="shared" si="228"/>
        <v>0</v>
      </c>
      <c r="BB428" s="433">
        <f t="shared" si="229"/>
        <v>0</v>
      </c>
      <c r="BC428" s="433">
        <f t="shared" si="230"/>
        <v>0</v>
      </c>
      <c r="BD428" s="433">
        <f t="shared" si="239"/>
        <v>0</v>
      </c>
      <c r="BE428" s="433">
        <f t="shared" si="240"/>
        <v>0</v>
      </c>
      <c r="BF428" s="433">
        <f t="shared" si="241"/>
        <v>0</v>
      </c>
      <c r="BG428" s="433">
        <f t="shared" si="242"/>
        <v>0</v>
      </c>
      <c r="BH428" s="433">
        <f t="shared" si="243"/>
        <v>0</v>
      </c>
      <c r="BI428" s="433">
        <f t="shared" si="244"/>
        <v>0</v>
      </c>
      <c r="BJ428" s="433">
        <f t="shared" si="245"/>
        <v>0</v>
      </c>
      <c r="BK428" s="433">
        <f t="shared" si="246"/>
        <v>0</v>
      </c>
      <c r="BL428" s="433">
        <f t="shared" si="247"/>
        <v>0</v>
      </c>
      <c r="BM428" s="433">
        <f t="shared" si="248"/>
        <v>0</v>
      </c>
      <c r="BN428" s="433">
        <f t="shared" si="249"/>
        <v>0</v>
      </c>
      <c r="BO428" s="433">
        <f t="shared" si="250"/>
        <v>0</v>
      </c>
      <c r="BP428" s="433">
        <f t="shared" si="251"/>
        <v>0</v>
      </c>
      <c r="BQ428" s="433">
        <f t="shared" si="252"/>
        <v>0</v>
      </c>
    </row>
    <row r="429" spans="1:69" s="291" customFormat="1" x14ac:dyDescent="0.2">
      <c r="A429" s="317">
        <v>41831</v>
      </c>
      <c r="B429" s="318">
        <v>3</v>
      </c>
      <c r="C429" s="320" t="s">
        <v>2648</v>
      </c>
      <c r="D429" s="321">
        <v>0.78125</v>
      </c>
      <c r="E429" s="321">
        <v>1</v>
      </c>
      <c r="F429" s="434">
        <v>36</v>
      </c>
      <c r="G429" s="435">
        <v>10</v>
      </c>
      <c r="H429" s="434"/>
      <c r="I429" s="436"/>
      <c r="J429" s="437">
        <f t="shared" si="225"/>
        <v>315</v>
      </c>
      <c r="K429" s="285">
        <v>1</v>
      </c>
      <c r="L429" s="285"/>
      <c r="M429" s="285"/>
      <c r="N429" s="438">
        <f t="shared" si="226"/>
        <v>1</v>
      </c>
      <c r="O429" s="285"/>
      <c r="P429" s="285"/>
      <c r="Q429" s="285"/>
      <c r="R429" s="439">
        <f t="shared" si="227"/>
        <v>0</v>
      </c>
      <c r="S429" s="285"/>
      <c r="T429" s="285"/>
      <c r="U429" s="285"/>
      <c r="V429" s="440"/>
      <c r="W429" s="439">
        <f t="shared" si="231"/>
        <v>0</v>
      </c>
      <c r="X429" s="285"/>
      <c r="Y429" s="285"/>
      <c r="Z429" s="440"/>
      <c r="AA429" s="439">
        <f t="shared" si="232"/>
        <v>0</v>
      </c>
      <c r="AB429" s="285"/>
      <c r="AC429" s="285"/>
      <c r="AD429" s="285"/>
      <c r="AE429" s="439">
        <f t="shared" si="233"/>
        <v>0</v>
      </c>
      <c r="AF429" s="285"/>
      <c r="AG429" s="285"/>
      <c r="AH429" s="285"/>
      <c r="AI429" s="285"/>
      <c r="AJ429" s="439">
        <f t="shared" si="234"/>
        <v>0</v>
      </c>
      <c r="AK429" s="340"/>
      <c r="AL429" s="340"/>
      <c r="AM429" s="340"/>
      <c r="AN429" s="340"/>
      <c r="AO429" s="340"/>
      <c r="AP429" s="340"/>
      <c r="AQ429" s="340"/>
      <c r="AR429" s="441">
        <f t="shared" si="235"/>
        <v>0</v>
      </c>
      <c r="AT429" s="313"/>
      <c r="AU429" s="289" t="s">
        <v>2659</v>
      </c>
      <c r="AV429" s="313" t="s">
        <v>2664</v>
      </c>
      <c r="AW429" s="382" t="s">
        <v>2673</v>
      </c>
      <c r="AX429" s="443">
        <f t="shared" si="236"/>
        <v>1</v>
      </c>
      <c r="AY429" s="443">
        <f t="shared" si="237"/>
        <v>0</v>
      </c>
      <c r="AZ429" s="443">
        <f t="shared" si="238"/>
        <v>0</v>
      </c>
      <c r="BA429" s="443">
        <f t="shared" si="228"/>
        <v>0</v>
      </c>
      <c r="BB429" s="443">
        <f t="shared" si="229"/>
        <v>0</v>
      </c>
      <c r="BC429" s="443">
        <f t="shared" si="230"/>
        <v>0</v>
      </c>
      <c r="BD429" s="443">
        <f t="shared" si="239"/>
        <v>0</v>
      </c>
      <c r="BE429" s="443">
        <f t="shared" si="240"/>
        <v>0</v>
      </c>
      <c r="BF429" s="443">
        <f t="shared" si="241"/>
        <v>0</v>
      </c>
      <c r="BG429" s="443">
        <f t="shared" si="242"/>
        <v>0</v>
      </c>
      <c r="BH429" s="443">
        <f t="shared" si="243"/>
        <v>0</v>
      </c>
      <c r="BI429" s="443">
        <f t="shared" si="244"/>
        <v>0</v>
      </c>
      <c r="BJ429" s="443">
        <f t="shared" si="245"/>
        <v>0</v>
      </c>
      <c r="BK429" s="443">
        <f t="shared" si="246"/>
        <v>0</v>
      </c>
      <c r="BL429" s="443">
        <f t="shared" si="247"/>
        <v>0</v>
      </c>
      <c r="BM429" s="443">
        <f t="shared" si="248"/>
        <v>0</v>
      </c>
      <c r="BN429" s="443">
        <f t="shared" si="249"/>
        <v>0</v>
      </c>
      <c r="BO429" s="443">
        <f t="shared" si="250"/>
        <v>0</v>
      </c>
      <c r="BP429" s="443">
        <f t="shared" si="251"/>
        <v>0</v>
      </c>
      <c r="BQ429" s="443">
        <f t="shared" si="252"/>
        <v>0</v>
      </c>
    </row>
    <row r="430" spans="1:69" x14ac:dyDescent="0.2">
      <c r="A430" s="102">
        <v>41832</v>
      </c>
      <c r="B430" s="319">
        <v>1</v>
      </c>
      <c r="C430" s="118" t="s">
        <v>2641</v>
      </c>
      <c r="D430" s="111">
        <v>0</v>
      </c>
      <c r="E430" s="111">
        <v>0.40972222222222227</v>
      </c>
      <c r="F430" s="444">
        <v>38</v>
      </c>
      <c r="G430" s="445">
        <v>8</v>
      </c>
      <c r="H430" s="444"/>
      <c r="I430" s="390"/>
      <c r="J430" s="426">
        <f t="shared" si="225"/>
        <v>590</v>
      </c>
      <c r="K430" s="103">
        <v>1</v>
      </c>
      <c r="L430" s="103"/>
      <c r="M430" s="103"/>
      <c r="N430" s="427">
        <f t="shared" si="226"/>
        <v>1</v>
      </c>
      <c r="O430" s="103"/>
      <c r="P430" s="103"/>
      <c r="Q430" s="103"/>
      <c r="R430" s="428">
        <f t="shared" si="227"/>
        <v>0</v>
      </c>
      <c r="S430" s="103"/>
      <c r="T430" s="103"/>
      <c r="U430" s="103"/>
      <c r="V430" s="125"/>
      <c r="W430" s="428">
        <f t="shared" si="231"/>
        <v>0</v>
      </c>
      <c r="X430" s="103"/>
      <c r="Y430" s="103"/>
      <c r="Z430" s="125"/>
      <c r="AA430" s="428">
        <f t="shared" si="232"/>
        <v>0</v>
      </c>
      <c r="AB430" s="103"/>
      <c r="AC430" s="103"/>
      <c r="AD430" s="103"/>
      <c r="AE430" s="428">
        <f t="shared" si="233"/>
        <v>0</v>
      </c>
      <c r="AF430" s="103"/>
      <c r="AG430" s="103"/>
      <c r="AH430" s="103"/>
      <c r="AI430" s="103"/>
      <c r="AJ430" s="428">
        <f t="shared" si="234"/>
        <v>0</v>
      </c>
      <c r="AK430" s="446"/>
      <c r="AL430" s="446"/>
      <c r="AM430" s="446"/>
      <c r="AN430" s="446"/>
      <c r="AO430" s="446"/>
      <c r="AP430" s="446"/>
      <c r="AQ430" s="446"/>
      <c r="AR430" s="431">
        <f t="shared" si="235"/>
        <v>0</v>
      </c>
      <c r="AT430" s="128"/>
      <c r="AU430" s="100" t="s">
        <v>2676</v>
      </c>
      <c r="AV430" s="128" t="s">
        <v>2696</v>
      </c>
      <c r="AW430" s="100" t="s">
        <v>2697</v>
      </c>
      <c r="AX430" s="433">
        <f t="shared" si="236"/>
        <v>1</v>
      </c>
      <c r="AY430" s="433">
        <f t="shared" si="237"/>
        <v>0</v>
      </c>
      <c r="AZ430" s="433">
        <f t="shared" si="238"/>
        <v>0</v>
      </c>
      <c r="BA430" s="433">
        <f t="shared" si="228"/>
        <v>0</v>
      </c>
      <c r="BB430" s="433">
        <f t="shared" si="229"/>
        <v>0</v>
      </c>
      <c r="BC430" s="433">
        <f t="shared" si="230"/>
        <v>0</v>
      </c>
      <c r="BD430" s="433">
        <f t="shared" si="239"/>
        <v>0</v>
      </c>
      <c r="BE430" s="433">
        <f t="shared" si="240"/>
        <v>0</v>
      </c>
      <c r="BF430" s="433">
        <f t="shared" si="241"/>
        <v>0</v>
      </c>
      <c r="BG430" s="433">
        <f t="shared" si="242"/>
        <v>0</v>
      </c>
      <c r="BH430" s="433">
        <f t="shared" si="243"/>
        <v>0</v>
      </c>
      <c r="BI430" s="433">
        <f t="shared" si="244"/>
        <v>0</v>
      </c>
      <c r="BJ430" s="433">
        <f t="shared" si="245"/>
        <v>0</v>
      </c>
      <c r="BK430" s="433">
        <f t="shared" si="246"/>
        <v>0</v>
      </c>
      <c r="BL430" s="433">
        <f t="shared" si="247"/>
        <v>0</v>
      </c>
      <c r="BM430" s="433">
        <f t="shared" si="248"/>
        <v>0</v>
      </c>
      <c r="BN430" s="433">
        <f t="shared" si="249"/>
        <v>0</v>
      </c>
      <c r="BO430" s="433">
        <f t="shared" si="250"/>
        <v>0</v>
      </c>
      <c r="BP430" s="433">
        <f t="shared" si="251"/>
        <v>0</v>
      </c>
      <c r="BQ430" s="433">
        <f t="shared" si="252"/>
        <v>0</v>
      </c>
    </row>
    <row r="431" spans="1:69" x14ac:dyDescent="0.2">
      <c r="A431" s="102">
        <v>41832</v>
      </c>
      <c r="B431" s="319">
        <v>1</v>
      </c>
      <c r="C431" s="118" t="s">
        <v>2074</v>
      </c>
      <c r="D431" s="111">
        <v>0.40972222222222227</v>
      </c>
      <c r="E431" s="111">
        <v>0.60277777777777775</v>
      </c>
      <c r="F431" s="444">
        <v>37</v>
      </c>
      <c r="G431" s="445">
        <v>8</v>
      </c>
      <c r="H431" s="444"/>
      <c r="I431" s="390"/>
      <c r="J431" s="426">
        <f t="shared" si="225"/>
        <v>277.99999999999989</v>
      </c>
      <c r="K431" s="103"/>
      <c r="L431" s="103"/>
      <c r="M431" s="103"/>
      <c r="N431" s="427">
        <f t="shared" si="226"/>
        <v>0</v>
      </c>
      <c r="O431" s="103"/>
      <c r="P431" s="103">
        <v>1</v>
      </c>
      <c r="Q431" s="103"/>
      <c r="R431" s="428">
        <f t="shared" si="227"/>
        <v>1</v>
      </c>
      <c r="S431" s="103"/>
      <c r="T431" s="103"/>
      <c r="U431" s="103"/>
      <c r="V431" s="125"/>
      <c r="W431" s="428">
        <f t="shared" si="231"/>
        <v>0</v>
      </c>
      <c r="X431" s="103"/>
      <c r="Y431" s="103"/>
      <c r="Z431" s="125"/>
      <c r="AA431" s="428">
        <f t="shared" si="232"/>
        <v>0</v>
      </c>
      <c r="AB431" s="103"/>
      <c r="AC431" s="103"/>
      <c r="AD431" s="103"/>
      <c r="AE431" s="428">
        <f t="shared" si="233"/>
        <v>0</v>
      </c>
      <c r="AF431" s="103"/>
      <c r="AG431" s="103"/>
      <c r="AH431" s="103"/>
      <c r="AI431" s="103"/>
      <c r="AJ431" s="428">
        <f t="shared" si="234"/>
        <v>0</v>
      </c>
      <c r="AK431" s="446"/>
      <c r="AL431" s="446"/>
      <c r="AM431" s="446"/>
      <c r="AN431" s="446"/>
      <c r="AO431" s="446"/>
      <c r="AP431" s="446"/>
      <c r="AQ431" s="446"/>
      <c r="AR431" s="431">
        <f t="shared" si="235"/>
        <v>0</v>
      </c>
      <c r="AT431" s="128"/>
      <c r="AU431" s="100" t="s">
        <v>2677</v>
      </c>
      <c r="AV431" s="128" t="s">
        <v>2696</v>
      </c>
      <c r="AW431" s="100" t="s">
        <v>2697</v>
      </c>
      <c r="AX431" s="433">
        <f t="shared" si="236"/>
        <v>0</v>
      </c>
      <c r="AY431" s="433">
        <f t="shared" si="237"/>
        <v>0</v>
      </c>
      <c r="AZ431" s="433">
        <f t="shared" si="238"/>
        <v>0</v>
      </c>
      <c r="BA431" s="433">
        <f t="shared" si="228"/>
        <v>0</v>
      </c>
      <c r="BB431" s="433">
        <f t="shared" si="229"/>
        <v>1</v>
      </c>
      <c r="BC431" s="433">
        <f t="shared" si="230"/>
        <v>0</v>
      </c>
      <c r="BD431" s="433">
        <f t="shared" si="239"/>
        <v>0</v>
      </c>
      <c r="BE431" s="433">
        <f t="shared" si="240"/>
        <v>0</v>
      </c>
      <c r="BF431" s="433">
        <f t="shared" si="241"/>
        <v>0</v>
      </c>
      <c r="BG431" s="433">
        <f t="shared" si="242"/>
        <v>0</v>
      </c>
      <c r="BH431" s="433">
        <f t="shared" si="243"/>
        <v>0</v>
      </c>
      <c r="BI431" s="433">
        <f t="shared" si="244"/>
        <v>0</v>
      </c>
      <c r="BJ431" s="433">
        <f t="shared" si="245"/>
        <v>0</v>
      </c>
      <c r="BK431" s="433">
        <f t="shared" si="246"/>
        <v>0</v>
      </c>
      <c r="BL431" s="433">
        <f t="shared" si="247"/>
        <v>0</v>
      </c>
      <c r="BM431" s="433">
        <f t="shared" si="248"/>
        <v>0</v>
      </c>
      <c r="BN431" s="433">
        <f t="shared" si="249"/>
        <v>0</v>
      </c>
      <c r="BO431" s="433">
        <f t="shared" si="250"/>
        <v>0</v>
      </c>
      <c r="BP431" s="433">
        <f t="shared" si="251"/>
        <v>0</v>
      </c>
      <c r="BQ431" s="433">
        <f t="shared" si="252"/>
        <v>0</v>
      </c>
    </row>
    <row r="432" spans="1:69" x14ac:dyDescent="0.2">
      <c r="A432" s="102">
        <v>41832</v>
      </c>
      <c r="B432" s="319">
        <v>1</v>
      </c>
      <c r="C432" s="118" t="s">
        <v>2067</v>
      </c>
      <c r="D432" s="111">
        <v>0.60277777777777775</v>
      </c>
      <c r="E432" s="111">
        <v>0.78125</v>
      </c>
      <c r="F432" s="444">
        <v>36</v>
      </c>
      <c r="G432" s="445">
        <v>9</v>
      </c>
      <c r="H432" s="444"/>
      <c r="I432" s="390"/>
      <c r="J432" s="426">
        <f t="shared" si="225"/>
        <v>257.00000000000006</v>
      </c>
      <c r="K432" s="103"/>
      <c r="L432" s="103"/>
      <c r="M432" s="103"/>
      <c r="N432" s="427">
        <f t="shared" si="226"/>
        <v>0</v>
      </c>
      <c r="O432" s="103"/>
      <c r="P432" s="103"/>
      <c r="Q432" s="103"/>
      <c r="R432" s="428">
        <f t="shared" si="227"/>
        <v>0</v>
      </c>
      <c r="S432" s="103">
        <v>1</v>
      </c>
      <c r="T432" s="103"/>
      <c r="U432" s="103"/>
      <c r="V432" s="125"/>
      <c r="W432" s="428">
        <f t="shared" si="231"/>
        <v>1</v>
      </c>
      <c r="X432" s="103"/>
      <c r="Y432" s="103"/>
      <c r="Z432" s="125"/>
      <c r="AA432" s="428">
        <f t="shared" si="232"/>
        <v>0</v>
      </c>
      <c r="AB432" s="103"/>
      <c r="AC432" s="103"/>
      <c r="AD432" s="103"/>
      <c r="AE432" s="428">
        <f t="shared" si="233"/>
        <v>0</v>
      </c>
      <c r="AF432" s="103"/>
      <c r="AG432" s="103"/>
      <c r="AH432" s="103"/>
      <c r="AI432" s="103"/>
      <c r="AJ432" s="428">
        <f t="shared" si="234"/>
        <v>0</v>
      </c>
      <c r="AK432" s="446"/>
      <c r="AL432" s="446"/>
      <c r="AM432" s="446"/>
      <c r="AN432" s="446"/>
      <c r="AO432" s="446"/>
      <c r="AP432" s="446"/>
      <c r="AQ432" s="446"/>
      <c r="AR432" s="431">
        <f t="shared" si="235"/>
        <v>0</v>
      </c>
      <c r="AT432" s="128"/>
      <c r="AU432" s="100" t="s">
        <v>2678</v>
      </c>
      <c r="AV432" s="128" t="s">
        <v>2696</v>
      </c>
      <c r="AW432" s="100" t="s">
        <v>2697</v>
      </c>
      <c r="AX432" s="433">
        <f t="shared" si="236"/>
        <v>0</v>
      </c>
      <c r="AY432" s="433">
        <f t="shared" si="237"/>
        <v>0</v>
      </c>
      <c r="AZ432" s="433">
        <f t="shared" si="238"/>
        <v>0</v>
      </c>
      <c r="BA432" s="433">
        <f t="shared" si="228"/>
        <v>0</v>
      </c>
      <c r="BB432" s="433">
        <f t="shared" si="229"/>
        <v>0</v>
      </c>
      <c r="BC432" s="433">
        <f t="shared" si="230"/>
        <v>0</v>
      </c>
      <c r="BD432" s="433">
        <f t="shared" si="239"/>
        <v>1</v>
      </c>
      <c r="BE432" s="433">
        <f t="shared" si="240"/>
        <v>0</v>
      </c>
      <c r="BF432" s="433">
        <f t="shared" si="241"/>
        <v>0</v>
      </c>
      <c r="BG432" s="433">
        <f t="shared" si="242"/>
        <v>0</v>
      </c>
      <c r="BH432" s="433">
        <f t="shared" si="243"/>
        <v>0</v>
      </c>
      <c r="BI432" s="433">
        <f t="shared" si="244"/>
        <v>0</v>
      </c>
      <c r="BJ432" s="433">
        <f t="shared" si="245"/>
        <v>0</v>
      </c>
      <c r="BK432" s="433">
        <f t="shared" si="246"/>
        <v>0</v>
      </c>
      <c r="BL432" s="433">
        <f t="shared" si="247"/>
        <v>0</v>
      </c>
      <c r="BM432" s="433">
        <f t="shared" si="248"/>
        <v>0</v>
      </c>
      <c r="BN432" s="433">
        <f t="shared" si="249"/>
        <v>0</v>
      </c>
      <c r="BO432" s="433">
        <f t="shared" si="250"/>
        <v>0</v>
      </c>
      <c r="BP432" s="433">
        <f t="shared" si="251"/>
        <v>0</v>
      </c>
      <c r="BQ432" s="433">
        <f t="shared" si="252"/>
        <v>0</v>
      </c>
    </row>
    <row r="433" spans="1:69" x14ac:dyDescent="0.2">
      <c r="A433" s="102">
        <v>41832</v>
      </c>
      <c r="B433" s="319">
        <v>1</v>
      </c>
      <c r="C433" s="118" t="s">
        <v>1556</v>
      </c>
      <c r="D433" s="111">
        <v>0.78125</v>
      </c>
      <c r="E433" s="111">
        <v>1</v>
      </c>
      <c r="F433" s="444">
        <v>33</v>
      </c>
      <c r="G433" s="445">
        <v>9</v>
      </c>
      <c r="H433" s="444"/>
      <c r="I433" s="390"/>
      <c r="J433" s="426">
        <f t="shared" si="225"/>
        <v>315</v>
      </c>
      <c r="K433" s="103"/>
      <c r="L433" s="103"/>
      <c r="M433" s="103"/>
      <c r="N433" s="427">
        <f t="shared" si="226"/>
        <v>0</v>
      </c>
      <c r="O433" s="103"/>
      <c r="P433" s="103"/>
      <c r="Q433" s="103"/>
      <c r="R433" s="428">
        <f t="shared" si="227"/>
        <v>0</v>
      </c>
      <c r="S433" s="103"/>
      <c r="T433" s="103"/>
      <c r="U433" s="103"/>
      <c r="V433" s="125"/>
      <c r="W433" s="428">
        <f t="shared" si="231"/>
        <v>0</v>
      </c>
      <c r="X433" s="103"/>
      <c r="Y433" s="103"/>
      <c r="Z433" s="125"/>
      <c r="AA433" s="428">
        <f t="shared" si="232"/>
        <v>0</v>
      </c>
      <c r="AB433" s="103"/>
      <c r="AC433" s="103"/>
      <c r="AD433" s="103"/>
      <c r="AE433" s="428">
        <f t="shared" si="233"/>
        <v>0</v>
      </c>
      <c r="AF433" s="103"/>
      <c r="AG433" s="103"/>
      <c r="AH433" s="103"/>
      <c r="AI433" s="103"/>
      <c r="AJ433" s="428">
        <f t="shared" si="234"/>
        <v>0</v>
      </c>
      <c r="AK433" s="446"/>
      <c r="AL433" s="446"/>
      <c r="AM433" s="446"/>
      <c r="AN433" s="446"/>
      <c r="AO433" s="446"/>
      <c r="AP433" s="446"/>
      <c r="AQ433" s="446"/>
      <c r="AR433" s="431">
        <f t="shared" si="235"/>
        <v>0</v>
      </c>
      <c r="AT433" s="128" t="s">
        <v>2609</v>
      </c>
      <c r="AU433" s="100" t="s">
        <v>2677</v>
      </c>
      <c r="AV433" s="128" t="s">
        <v>2696</v>
      </c>
      <c r="AW433" s="100" t="s">
        <v>2697</v>
      </c>
      <c r="AX433" s="433">
        <f t="shared" si="236"/>
        <v>0</v>
      </c>
      <c r="AY433" s="433">
        <f t="shared" si="237"/>
        <v>0</v>
      </c>
      <c r="AZ433" s="433">
        <f t="shared" si="238"/>
        <v>0</v>
      </c>
      <c r="BA433" s="433">
        <f t="shared" si="228"/>
        <v>0</v>
      </c>
      <c r="BB433" s="433">
        <f t="shared" si="229"/>
        <v>0</v>
      </c>
      <c r="BC433" s="433">
        <f t="shared" si="230"/>
        <v>0</v>
      </c>
      <c r="BD433" s="433">
        <f t="shared" si="239"/>
        <v>0</v>
      </c>
      <c r="BE433" s="433">
        <f t="shared" si="240"/>
        <v>0</v>
      </c>
      <c r="BF433" s="433">
        <f t="shared" si="241"/>
        <v>0</v>
      </c>
      <c r="BG433" s="433">
        <f t="shared" si="242"/>
        <v>0</v>
      </c>
      <c r="BH433" s="433">
        <f t="shared" si="243"/>
        <v>0</v>
      </c>
      <c r="BI433" s="433">
        <f t="shared" si="244"/>
        <v>0</v>
      </c>
      <c r="BJ433" s="433">
        <f t="shared" si="245"/>
        <v>0</v>
      </c>
      <c r="BK433" s="433">
        <f t="shared" si="246"/>
        <v>0</v>
      </c>
      <c r="BL433" s="433">
        <f t="shared" si="247"/>
        <v>0</v>
      </c>
      <c r="BM433" s="433">
        <f t="shared" si="248"/>
        <v>0</v>
      </c>
      <c r="BN433" s="433">
        <f t="shared" si="249"/>
        <v>0</v>
      </c>
      <c r="BO433" s="433">
        <f t="shared" si="250"/>
        <v>0</v>
      </c>
      <c r="BP433" s="433">
        <f t="shared" si="251"/>
        <v>0</v>
      </c>
      <c r="BQ433" s="433">
        <f t="shared" si="252"/>
        <v>0</v>
      </c>
    </row>
    <row r="434" spans="1:69" x14ac:dyDescent="0.2">
      <c r="A434" s="102">
        <v>41832</v>
      </c>
      <c r="B434" s="319">
        <v>2</v>
      </c>
      <c r="C434" s="118" t="s">
        <v>2641</v>
      </c>
      <c r="D434" s="111">
        <v>0</v>
      </c>
      <c r="E434" s="111">
        <v>0.39930555555555558</v>
      </c>
      <c r="F434" s="444">
        <v>34</v>
      </c>
      <c r="G434" s="445">
        <v>10</v>
      </c>
      <c r="H434" s="444"/>
      <c r="I434" s="390"/>
      <c r="J434" s="426">
        <f t="shared" si="225"/>
        <v>575</v>
      </c>
      <c r="K434" s="103"/>
      <c r="L434" s="103"/>
      <c r="M434" s="103"/>
      <c r="N434" s="427">
        <f t="shared" si="226"/>
        <v>0</v>
      </c>
      <c r="O434" s="103"/>
      <c r="P434" s="103">
        <v>1</v>
      </c>
      <c r="Q434" s="103"/>
      <c r="R434" s="428">
        <f t="shared" si="227"/>
        <v>1</v>
      </c>
      <c r="S434" s="103"/>
      <c r="T434" s="103"/>
      <c r="U434" s="103"/>
      <c r="V434" s="125"/>
      <c r="W434" s="428">
        <f t="shared" si="231"/>
        <v>0</v>
      </c>
      <c r="X434" s="103"/>
      <c r="Y434" s="103"/>
      <c r="Z434" s="125"/>
      <c r="AA434" s="428">
        <f t="shared" si="232"/>
        <v>0</v>
      </c>
      <c r="AB434" s="103"/>
      <c r="AC434" s="103"/>
      <c r="AD434" s="103"/>
      <c r="AE434" s="428">
        <f t="shared" si="233"/>
        <v>0</v>
      </c>
      <c r="AF434" s="103"/>
      <c r="AG434" s="103"/>
      <c r="AH434" s="103"/>
      <c r="AI434" s="103"/>
      <c r="AJ434" s="428">
        <f t="shared" si="234"/>
        <v>0</v>
      </c>
      <c r="AK434" s="446"/>
      <c r="AL434" s="446"/>
      <c r="AM434" s="446"/>
      <c r="AN434" s="446"/>
      <c r="AO434" s="446"/>
      <c r="AP434" s="446"/>
      <c r="AQ434" s="446"/>
      <c r="AR434" s="431">
        <f t="shared" si="235"/>
        <v>0</v>
      </c>
      <c r="AT434" s="128"/>
      <c r="AU434" s="100" t="s">
        <v>2678</v>
      </c>
      <c r="AV434" s="128" t="s">
        <v>2696</v>
      </c>
      <c r="AW434" s="100" t="s">
        <v>2697</v>
      </c>
      <c r="AX434" s="433">
        <f t="shared" si="236"/>
        <v>0</v>
      </c>
      <c r="AY434" s="433">
        <f t="shared" si="237"/>
        <v>0</v>
      </c>
      <c r="AZ434" s="433">
        <f t="shared" si="238"/>
        <v>0</v>
      </c>
      <c r="BA434" s="433">
        <f t="shared" si="228"/>
        <v>0</v>
      </c>
      <c r="BB434" s="433">
        <f t="shared" si="229"/>
        <v>1</v>
      </c>
      <c r="BC434" s="433">
        <f t="shared" si="230"/>
        <v>0</v>
      </c>
      <c r="BD434" s="433">
        <f t="shared" si="239"/>
        <v>0</v>
      </c>
      <c r="BE434" s="433">
        <f t="shared" si="240"/>
        <v>0</v>
      </c>
      <c r="BF434" s="433">
        <f t="shared" si="241"/>
        <v>0</v>
      </c>
      <c r="BG434" s="433">
        <f t="shared" si="242"/>
        <v>0</v>
      </c>
      <c r="BH434" s="433">
        <f t="shared" si="243"/>
        <v>0</v>
      </c>
      <c r="BI434" s="433">
        <f t="shared" si="244"/>
        <v>0</v>
      </c>
      <c r="BJ434" s="433">
        <f t="shared" si="245"/>
        <v>0</v>
      </c>
      <c r="BK434" s="433">
        <f t="shared" si="246"/>
        <v>0</v>
      </c>
      <c r="BL434" s="433">
        <f t="shared" si="247"/>
        <v>0</v>
      </c>
      <c r="BM434" s="433">
        <f t="shared" si="248"/>
        <v>0</v>
      </c>
      <c r="BN434" s="433">
        <f t="shared" si="249"/>
        <v>0</v>
      </c>
      <c r="BO434" s="433">
        <f t="shared" si="250"/>
        <v>0</v>
      </c>
      <c r="BP434" s="433">
        <f t="shared" si="251"/>
        <v>0</v>
      </c>
      <c r="BQ434" s="433">
        <f t="shared" si="252"/>
        <v>0</v>
      </c>
    </row>
    <row r="435" spans="1:69" x14ac:dyDescent="0.2">
      <c r="A435" s="102">
        <v>41832</v>
      </c>
      <c r="B435" s="319">
        <v>2</v>
      </c>
      <c r="C435" s="118" t="s">
        <v>2074</v>
      </c>
      <c r="D435" s="111">
        <v>0.39930555555555558</v>
      </c>
      <c r="E435" s="111">
        <v>0.59722222222222221</v>
      </c>
      <c r="F435" s="444">
        <v>33</v>
      </c>
      <c r="G435" s="445">
        <v>10</v>
      </c>
      <c r="H435" s="444"/>
      <c r="I435" s="390"/>
      <c r="J435" s="426">
        <f t="shared" si="225"/>
        <v>284.99999999999994</v>
      </c>
      <c r="K435" s="103"/>
      <c r="L435" s="103"/>
      <c r="M435" s="103"/>
      <c r="N435" s="427">
        <f t="shared" si="226"/>
        <v>0</v>
      </c>
      <c r="O435" s="103"/>
      <c r="P435" s="103">
        <v>1</v>
      </c>
      <c r="Q435" s="103"/>
      <c r="R435" s="428">
        <f t="shared" si="227"/>
        <v>1</v>
      </c>
      <c r="S435" s="103"/>
      <c r="T435" s="103"/>
      <c r="U435" s="103"/>
      <c r="V435" s="125"/>
      <c r="W435" s="428">
        <f t="shared" si="231"/>
        <v>0</v>
      </c>
      <c r="X435" s="103"/>
      <c r="Y435" s="103"/>
      <c r="Z435" s="125"/>
      <c r="AA435" s="428">
        <f t="shared" si="232"/>
        <v>0</v>
      </c>
      <c r="AB435" s="103"/>
      <c r="AC435" s="103"/>
      <c r="AD435" s="103"/>
      <c r="AE435" s="428">
        <f t="shared" si="233"/>
        <v>0</v>
      </c>
      <c r="AF435" s="103"/>
      <c r="AG435" s="103"/>
      <c r="AH435" s="103"/>
      <c r="AI435" s="103"/>
      <c r="AJ435" s="428">
        <f t="shared" si="234"/>
        <v>0</v>
      </c>
      <c r="AK435" s="446"/>
      <c r="AL435" s="446"/>
      <c r="AM435" s="446"/>
      <c r="AN435" s="446"/>
      <c r="AO435" s="446"/>
      <c r="AP435" s="446"/>
      <c r="AQ435" s="446"/>
      <c r="AR435" s="431">
        <f t="shared" si="235"/>
        <v>0</v>
      </c>
      <c r="AT435" s="128"/>
      <c r="AU435" s="100" t="s">
        <v>2677</v>
      </c>
      <c r="AV435" s="128" t="s">
        <v>2696</v>
      </c>
      <c r="AW435" s="100" t="s">
        <v>2697</v>
      </c>
      <c r="AX435" s="433">
        <f t="shared" si="236"/>
        <v>0</v>
      </c>
      <c r="AY435" s="433">
        <f t="shared" si="237"/>
        <v>0</v>
      </c>
      <c r="AZ435" s="433">
        <f t="shared" si="238"/>
        <v>0</v>
      </c>
      <c r="BA435" s="433">
        <f t="shared" si="228"/>
        <v>0</v>
      </c>
      <c r="BB435" s="433">
        <f t="shared" si="229"/>
        <v>1</v>
      </c>
      <c r="BC435" s="433">
        <f t="shared" si="230"/>
        <v>0</v>
      </c>
      <c r="BD435" s="433">
        <f t="shared" si="239"/>
        <v>0</v>
      </c>
      <c r="BE435" s="433">
        <f t="shared" si="240"/>
        <v>0</v>
      </c>
      <c r="BF435" s="433">
        <f t="shared" si="241"/>
        <v>0</v>
      </c>
      <c r="BG435" s="433">
        <f t="shared" si="242"/>
        <v>0</v>
      </c>
      <c r="BH435" s="433">
        <f t="shared" si="243"/>
        <v>0</v>
      </c>
      <c r="BI435" s="433">
        <f t="shared" si="244"/>
        <v>0</v>
      </c>
      <c r="BJ435" s="433">
        <f t="shared" si="245"/>
        <v>0</v>
      </c>
      <c r="BK435" s="433">
        <f t="shared" si="246"/>
        <v>0</v>
      </c>
      <c r="BL435" s="433">
        <f t="shared" si="247"/>
        <v>0</v>
      </c>
      <c r="BM435" s="433">
        <f t="shared" si="248"/>
        <v>0</v>
      </c>
      <c r="BN435" s="433">
        <f t="shared" si="249"/>
        <v>0</v>
      </c>
      <c r="BO435" s="433">
        <f t="shared" si="250"/>
        <v>0</v>
      </c>
      <c r="BP435" s="433">
        <f t="shared" si="251"/>
        <v>0</v>
      </c>
      <c r="BQ435" s="433">
        <f t="shared" si="252"/>
        <v>0</v>
      </c>
    </row>
    <row r="436" spans="1:69" x14ac:dyDescent="0.2">
      <c r="A436" s="102">
        <v>41832</v>
      </c>
      <c r="B436" s="319">
        <v>2</v>
      </c>
      <c r="C436" s="118" t="s">
        <v>2067</v>
      </c>
      <c r="D436" s="111">
        <v>0.59722222222222221</v>
      </c>
      <c r="E436" s="111">
        <v>0.76944444444444438</v>
      </c>
      <c r="F436" s="444">
        <v>33</v>
      </c>
      <c r="G436" s="445">
        <v>12</v>
      </c>
      <c r="H436" s="444"/>
      <c r="I436" s="390"/>
      <c r="J436" s="426">
        <f t="shared" si="225"/>
        <v>247.99999999999991</v>
      </c>
      <c r="K436" s="103"/>
      <c r="L436" s="103"/>
      <c r="M436" s="103"/>
      <c r="N436" s="427">
        <f t="shared" si="226"/>
        <v>0</v>
      </c>
      <c r="O436" s="103"/>
      <c r="P436" s="103"/>
      <c r="Q436" s="103"/>
      <c r="R436" s="428">
        <f t="shared" si="227"/>
        <v>0</v>
      </c>
      <c r="S436" s="103"/>
      <c r="T436" s="103"/>
      <c r="U436" s="103"/>
      <c r="V436" s="125"/>
      <c r="W436" s="428">
        <f t="shared" si="231"/>
        <v>0</v>
      </c>
      <c r="X436" s="103"/>
      <c r="Y436" s="103"/>
      <c r="Z436" s="125"/>
      <c r="AA436" s="428">
        <f t="shared" si="232"/>
        <v>0</v>
      </c>
      <c r="AB436" s="103"/>
      <c r="AC436" s="103"/>
      <c r="AD436" s="103"/>
      <c r="AE436" s="428">
        <f t="shared" si="233"/>
        <v>0</v>
      </c>
      <c r="AF436" s="103"/>
      <c r="AG436" s="103"/>
      <c r="AH436" s="103"/>
      <c r="AI436" s="103"/>
      <c r="AJ436" s="428">
        <f t="shared" si="234"/>
        <v>0</v>
      </c>
      <c r="AK436" s="446"/>
      <c r="AL436" s="446"/>
      <c r="AM436" s="446"/>
      <c r="AN436" s="446"/>
      <c r="AO436" s="446"/>
      <c r="AP436" s="446"/>
      <c r="AQ436" s="446"/>
      <c r="AR436" s="431">
        <f t="shared" si="235"/>
        <v>0</v>
      </c>
      <c r="AT436" s="128" t="s">
        <v>2609</v>
      </c>
      <c r="AU436" s="100" t="s">
        <v>2679</v>
      </c>
      <c r="AV436" s="128" t="s">
        <v>2696</v>
      </c>
      <c r="AW436" s="100" t="s">
        <v>2697</v>
      </c>
      <c r="AX436" s="433">
        <f t="shared" si="236"/>
        <v>0</v>
      </c>
      <c r="AY436" s="433">
        <f t="shared" si="237"/>
        <v>0</v>
      </c>
      <c r="AZ436" s="433">
        <f t="shared" si="238"/>
        <v>0</v>
      </c>
      <c r="BA436" s="433">
        <f t="shared" si="228"/>
        <v>0</v>
      </c>
      <c r="BB436" s="433">
        <f t="shared" si="229"/>
        <v>0</v>
      </c>
      <c r="BC436" s="433">
        <f t="shared" si="230"/>
        <v>0</v>
      </c>
      <c r="BD436" s="433">
        <f t="shared" si="239"/>
        <v>0</v>
      </c>
      <c r="BE436" s="433">
        <f t="shared" si="240"/>
        <v>0</v>
      </c>
      <c r="BF436" s="433">
        <f t="shared" si="241"/>
        <v>0</v>
      </c>
      <c r="BG436" s="433">
        <f t="shared" si="242"/>
        <v>0</v>
      </c>
      <c r="BH436" s="433">
        <f t="shared" si="243"/>
        <v>0</v>
      </c>
      <c r="BI436" s="433">
        <f t="shared" si="244"/>
        <v>0</v>
      </c>
      <c r="BJ436" s="433">
        <f t="shared" si="245"/>
        <v>0</v>
      </c>
      <c r="BK436" s="433">
        <f t="shared" si="246"/>
        <v>0</v>
      </c>
      <c r="BL436" s="433">
        <f t="shared" si="247"/>
        <v>0</v>
      </c>
      <c r="BM436" s="433">
        <f t="shared" si="248"/>
        <v>0</v>
      </c>
      <c r="BN436" s="433">
        <f t="shared" si="249"/>
        <v>0</v>
      </c>
      <c r="BO436" s="433">
        <f t="shared" si="250"/>
        <v>0</v>
      </c>
      <c r="BP436" s="433">
        <f t="shared" si="251"/>
        <v>0</v>
      </c>
      <c r="BQ436" s="433">
        <f t="shared" si="252"/>
        <v>0</v>
      </c>
    </row>
    <row r="437" spans="1:69" x14ac:dyDescent="0.2">
      <c r="A437" s="102">
        <v>41832</v>
      </c>
      <c r="B437" s="319">
        <v>2</v>
      </c>
      <c r="C437" s="118" t="s">
        <v>1556</v>
      </c>
      <c r="D437" s="111">
        <v>0.76944444444444438</v>
      </c>
      <c r="E437" s="111">
        <v>1</v>
      </c>
      <c r="F437" s="444">
        <v>33</v>
      </c>
      <c r="G437" s="445">
        <v>11</v>
      </c>
      <c r="H437" s="444"/>
      <c r="I437" s="390"/>
      <c r="J437" s="426">
        <f t="shared" si="225"/>
        <v>332.00000000000011</v>
      </c>
      <c r="K437" s="103"/>
      <c r="L437" s="103"/>
      <c r="M437" s="103"/>
      <c r="N437" s="427">
        <f t="shared" si="226"/>
        <v>0</v>
      </c>
      <c r="O437" s="103"/>
      <c r="P437" s="103"/>
      <c r="Q437" s="103"/>
      <c r="R437" s="428">
        <f t="shared" si="227"/>
        <v>0</v>
      </c>
      <c r="S437" s="103"/>
      <c r="T437" s="103"/>
      <c r="U437" s="103"/>
      <c r="V437" s="125"/>
      <c r="W437" s="428">
        <f t="shared" si="231"/>
        <v>0</v>
      </c>
      <c r="X437" s="103"/>
      <c r="Y437" s="103"/>
      <c r="Z437" s="125"/>
      <c r="AA437" s="428">
        <f t="shared" si="232"/>
        <v>0</v>
      </c>
      <c r="AB437" s="103"/>
      <c r="AC437" s="103"/>
      <c r="AD437" s="103"/>
      <c r="AE437" s="428">
        <f t="shared" si="233"/>
        <v>0</v>
      </c>
      <c r="AF437" s="103"/>
      <c r="AG437" s="103"/>
      <c r="AH437" s="103"/>
      <c r="AI437" s="103"/>
      <c r="AJ437" s="428">
        <f t="shared" si="234"/>
        <v>0</v>
      </c>
      <c r="AK437" s="446"/>
      <c r="AL437" s="446"/>
      <c r="AM437" s="446"/>
      <c r="AN437" s="446"/>
      <c r="AO437" s="446"/>
      <c r="AP437" s="446"/>
      <c r="AQ437" s="446"/>
      <c r="AR437" s="431">
        <f t="shared" si="235"/>
        <v>0</v>
      </c>
      <c r="AT437" s="128" t="s">
        <v>2609</v>
      </c>
      <c r="AU437" s="100" t="s">
        <v>2677</v>
      </c>
      <c r="AV437" s="128" t="s">
        <v>2696</v>
      </c>
      <c r="AW437" s="100" t="s">
        <v>2697</v>
      </c>
      <c r="AX437" s="433">
        <f t="shared" si="236"/>
        <v>0</v>
      </c>
      <c r="AY437" s="433">
        <f t="shared" si="237"/>
        <v>0</v>
      </c>
      <c r="AZ437" s="433">
        <f t="shared" si="238"/>
        <v>0</v>
      </c>
      <c r="BA437" s="433">
        <f t="shared" si="228"/>
        <v>0</v>
      </c>
      <c r="BB437" s="433">
        <f t="shared" si="229"/>
        <v>0</v>
      </c>
      <c r="BC437" s="433">
        <f t="shared" si="230"/>
        <v>0</v>
      </c>
      <c r="BD437" s="433">
        <f t="shared" si="239"/>
        <v>0</v>
      </c>
      <c r="BE437" s="433">
        <f t="shared" si="240"/>
        <v>0</v>
      </c>
      <c r="BF437" s="433">
        <f t="shared" si="241"/>
        <v>0</v>
      </c>
      <c r="BG437" s="433">
        <f t="shared" si="242"/>
        <v>0</v>
      </c>
      <c r="BH437" s="433">
        <f t="shared" si="243"/>
        <v>0</v>
      </c>
      <c r="BI437" s="433">
        <f t="shared" si="244"/>
        <v>0</v>
      </c>
      <c r="BJ437" s="433">
        <f t="shared" si="245"/>
        <v>0</v>
      </c>
      <c r="BK437" s="433">
        <f t="shared" si="246"/>
        <v>0</v>
      </c>
      <c r="BL437" s="433">
        <f t="shared" si="247"/>
        <v>0</v>
      </c>
      <c r="BM437" s="433">
        <f t="shared" si="248"/>
        <v>0</v>
      </c>
      <c r="BN437" s="433">
        <f t="shared" si="249"/>
        <v>0</v>
      </c>
      <c r="BO437" s="433">
        <f t="shared" si="250"/>
        <v>0</v>
      </c>
      <c r="BP437" s="433">
        <f t="shared" si="251"/>
        <v>0</v>
      </c>
      <c r="BQ437" s="433">
        <f t="shared" si="252"/>
        <v>0</v>
      </c>
    </row>
    <row r="438" spans="1:69" x14ac:dyDescent="0.2">
      <c r="A438" s="102">
        <v>41832</v>
      </c>
      <c r="B438" s="319">
        <v>3</v>
      </c>
      <c r="C438" s="118" t="s">
        <v>957</v>
      </c>
      <c r="D438" s="111">
        <v>0</v>
      </c>
      <c r="E438" s="111">
        <v>0.40625</v>
      </c>
      <c r="F438" s="444">
        <v>38</v>
      </c>
      <c r="G438" s="445">
        <v>10</v>
      </c>
      <c r="H438" s="444"/>
      <c r="I438" s="390"/>
      <c r="J438" s="426">
        <f t="shared" si="225"/>
        <v>585</v>
      </c>
      <c r="K438" s="103">
        <v>4</v>
      </c>
      <c r="L438" s="103"/>
      <c r="M438" s="103"/>
      <c r="N438" s="427">
        <f t="shared" si="226"/>
        <v>4</v>
      </c>
      <c r="O438" s="103"/>
      <c r="P438" s="103">
        <v>1</v>
      </c>
      <c r="Q438" s="103"/>
      <c r="R438" s="428">
        <f t="shared" si="227"/>
        <v>1</v>
      </c>
      <c r="S438" s="103"/>
      <c r="T438" s="103"/>
      <c r="U438" s="103"/>
      <c r="V438" s="125"/>
      <c r="W438" s="428">
        <f t="shared" si="231"/>
        <v>0</v>
      </c>
      <c r="X438" s="103"/>
      <c r="Y438" s="103"/>
      <c r="Z438" s="125"/>
      <c r="AA438" s="428">
        <f t="shared" si="232"/>
        <v>0</v>
      </c>
      <c r="AB438" s="103">
        <v>1</v>
      </c>
      <c r="AC438" s="103"/>
      <c r="AD438" s="103"/>
      <c r="AE438" s="428">
        <f t="shared" si="233"/>
        <v>1</v>
      </c>
      <c r="AF438" s="103"/>
      <c r="AG438" s="103"/>
      <c r="AH438" s="103"/>
      <c r="AI438" s="103"/>
      <c r="AJ438" s="428">
        <f t="shared" si="234"/>
        <v>0</v>
      </c>
      <c r="AK438" s="446"/>
      <c r="AL438" s="446"/>
      <c r="AM438" s="446"/>
      <c r="AN438" s="446"/>
      <c r="AO438" s="446"/>
      <c r="AP438" s="446"/>
      <c r="AQ438" s="446"/>
      <c r="AR438" s="431">
        <f t="shared" si="235"/>
        <v>0</v>
      </c>
      <c r="AT438" s="128"/>
      <c r="AU438" s="100" t="s">
        <v>2680</v>
      </c>
      <c r="AV438" s="128" t="s">
        <v>2696</v>
      </c>
      <c r="AW438" s="100" t="s">
        <v>2697</v>
      </c>
      <c r="AX438" s="433">
        <f t="shared" si="236"/>
        <v>4</v>
      </c>
      <c r="AY438" s="433">
        <f t="shared" si="237"/>
        <v>0</v>
      </c>
      <c r="AZ438" s="433">
        <f t="shared" si="238"/>
        <v>0</v>
      </c>
      <c r="BA438" s="433">
        <f t="shared" si="228"/>
        <v>0</v>
      </c>
      <c r="BB438" s="433">
        <f t="shared" si="229"/>
        <v>1</v>
      </c>
      <c r="BC438" s="433">
        <f t="shared" si="230"/>
        <v>0</v>
      </c>
      <c r="BD438" s="433">
        <f t="shared" si="239"/>
        <v>0</v>
      </c>
      <c r="BE438" s="433">
        <f t="shared" si="240"/>
        <v>0</v>
      </c>
      <c r="BF438" s="433">
        <f t="shared" si="241"/>
        <v>0</v>
      </c>
      <c r="BG438" s="433">
        <f t="shared" si="242"/>
        <v>0</v>
      </c>
      <c r="BH438" s="433">
        <f t="shared" si="243"/>
        <v>0</v>
      </c>
      <c r="BI438" s="433">
        <f t="shared" si="244"/>
        <v>0</v>
      </c>
      <c r="BJ438" s="433">
        <f t="shared" si="245"/>
        <v>0</v>
      </c>
      <c r="BK438" s="433">
        <f t="shared" si="246"/>
        <v>1</v>
      </c>
      <c r="BL438" s="433">
        <f t="shared" si="247"/>
        <v>0</v>
      </c>
      <c r="BM438" s="433">
        <f t="shared" si="248"/>
        <v>0</v>
      </c>
      <c r="BN438" s="433">
        <f t="shared" si="249"/>
        <v>0</v>
      </c>
      <c r="BO438" s="433">
        <f t="shared" si="250"/>
        <v>0</v>
      </c>
      <c r="BP438" s="433">
        <f t="shared" si="251"/>
        <v>0</v>
      </c>
      <c r="BQ438" s="433">
        <f t="shared" si="252"/>
        <v>0</v>
      </c>
    </row>
    <row r="439" spans="1:69" x14ac:dyDescent="0.2">
      <c r="A439" s="102">
        <v>41832</v>
      </c>
      <c r="B439" s="319">
        <v>3</v>
      </c>
      <c r="C439" s="118" t="s">
        <v>2548</v>
      </c>
      <c r="D439" s="111">
        <v>0.40625</v>
      </c>
      <c r="E439" s="111">
        <v>0.59375</v>
      </c>
      <c r="F439" s="444">
        <v>40</v>
      </c>
      <c r="G439" s="445">
        <v>11</v>
      </c>
      <c r="H439" s="444"/>
      <c r="I439" s="390"/>
      <c r="J439" s="426">
        <f>((E439-D439)*24*60)-11</f>
        <v>259</v>
      </c>
      <c r="K439" s="103">
        <v>2</v>
      </c>
      <c r="L439" s="103"/>
      <c r="M439" s="103"/>
      <c r="N439" s="427">
        <f t="shared" si="226"/>
        <v>2</v>
      </c>
      <c r="O439" s="103"/>
      <c r="P439" s="103">
        <v>1</v>
      </c>
      <c r="Q439" s="103"/>
      <c r="R439" s="428">
        <f t="shared" si="227"/>
        <v>1</v>
      </c>
      <c r="S439" s="103"/>
      <c r="T439" s="103"/>
      <c r="U439" s="103"/>
      <c r="V439" s="125"/>
      <c r="W439" s="428">
        <f t="shared" si="231"/>
        <v>0</v>
      </c>
      <c r="X439" s="103"/>
      <c r="Y439" s="103"/>
      <c r="Z439" s="125"/>
      <c r="AA439" s="428">
        <f t="shared" si="232"/>
        <v>0</v>
      </c>
      <c r="AB439" s="103"/>
      <c r="AC439" s="103"/>
      <c r="AD439" s="103"/>
      <c r="AE439" s="428">
        <f t="shared" si="233"/>
        <v>0</v>
      </c>
      <c r="AF439" s="103"/>
      <c r="AG439" s="103"/>
      <c r="AH439" s="103"/>
      <c r="AI439" s="103"/>
      <c r="AJ439" s="428">
        <f t="shared" si="234"/>
        <v>0</v>
      </c>
      <c r="AK439" s="446"/>
      <c r="AL439" s="446"/>
      <c r="AM439" s="446"/>
      <c r="AN439" s="446">
        <v>1</v>
      </c>
      <c r="AO439" s="446"/>
      <c r="AP439" s="446"/>
      <c r="AQ439" s="446"/>
      <c r="AR439" s="431">
        <f t="shared" si="235"/>
        <v>1</v>
      </c>
      <c r="AS439" s="10" t="s">
        <v>2681</v>
      </c>
      <c r="AT439" s="128"/>
      <c r="AU439" s="100" t="s">
        <v>2684</v>
      </c>
      <c r="AV439" s="128" t="s">
        <v>2696</v>
      </c>
      <c r="AW439" s="100" t="s">
        <v>2697</v>
      </c>
      <c r="AX439" s="433">
        <f t="shared" si="236"/>
        <v>2</v>
      </c>
      <c r="AY439" s="433">
        <f t="shared" si="237"/>
        <v>0</v>
      </c>
      <c r="AZ439" s="433">
        <f t="shared" si="238"/>
        <v>0</v>
      </c>
      <c r="BA439" s="433">
        <f t="shared" si="228"/>
        <v>0</v>
      </c>
      <c r="BB439" s="433">
        <f t="shared" si="229"/>
        <v>1</v>
      </c>
      <c r="BC439" s="433">
        <f t="shared" si="230"/>
        <v>0</v>
      </c>
      <c r="BD439" s="433">
        <f t="shared" si="239"/>
        <v>0</v>
      </c>
      <c r="BE439" s="433">
        <f t="shared" si="240"/>
        <v>0</v>
      </c>
      <c r="BF439" s="433">
        <f t="shared" si="241"/>
        <v>0</v>
      </c>
      <c r="BG439" s="433">
        <f t="shared" si="242"/>
        <v>0</v>
      </c>
      <c r="BH439" s="433">
        <f t="shared" si="243"/>
        <v>0</v>
      </c>
      <c r="BI439" s="433">
        <f t="shared" si="244"/>
        <v>0</v>
      </c>
      <c r="BJ439" s="433">
        <f t="shared" si="245"/>
        <v>0</v>
      </c>
      <c r="BK439" s="433">
        <f t="shared" si="246"/>
        <v>0</v>
      </c>
      <c r="BL439" s="433">
        <f t="shared" si="247"/>
        <v>0</v>
      </c>
      <c r="BM439" s="433">
        <f t="shared" si="248"/>
        <v>0</v>
      </c>
      <c r="BN439" s="433">
        <f t="shared" si="249"/>
        <v>0</v>
      </c>
      <c r="BO439" s="433">
        <f t="shared" si="250"/>
        <v>0</v>
      </c>
      <c r="BP439" s="433">
        <f t="shared" si="251"/>
        <v>0</v>
      </c>
      <c r="BQ439" s="433">
        <f t="shared" si="252"/>
        <v>0</v>
      </c>
    </row>
    <row r="440" spans="1:69" x14ac:dyDescent="0.2">
      <c r="A440" s="102">
        <v>41832</v>
      </c>
      <c r="B440" s="319">
        <v>3</v>
      </c>
      <c r="C440" s="118" t="s">
        <v>2682</v>
      </c>
      <c r="D440" s="111">
        <v>0.59375</v>
      </c>
      <c r="E440" s="111">
        <v>0.77986111111111101</v>
      </c>
      <c r="F440" s="444">
        <v>37</v>
      </c>
      <c r="G440" s="445">
        <v>11</v>
      </c>
      <c r="H440" s="444"/>
      <c r="I440" s="390"/>
      <c r="J440" s="426">
        <f t="shared" si="225"/>
        <v>267.99999999999983</v>
      </c>
      <c r="K440" s="103"/>
      <c r="L440" s="103"/>
      <c r="M440" s="103"/>
      <c r="N440" s="427">
        <f t="shared" si="226"/>
        <v>0</v>
      </c>
      <c r="O440" s="103"/>
      <c r="P440" s="103"/>
      <c r="Q440" s="103"/>
      <c r="R440" s="428">
        <f t="shared" si="227"/>
        <v>0</v>
      </c>
      <c r="S440" s="103"/>
      <c r="T440" s="103"/>
      <c r="U440" s="103"/>
      <c r="V440" s="125"/>
      <c r="W440" s="428">
        <f t="shared" si="231"/>
        <v>0</v>
      </c>
      <c r="X440" s="103"/>
      <c r="Y440" s="103"/>
      <c r="Z440" s="125"/>
      <c r="AA440" s="428">
        <f t="shared" si="232"/>
        <v>0</v>
      </c>
      <c r="AB440" s="103"/>
      <c r="AC440" s="103"/>
      <c r="AD440" s="103"/>
      <c r="AE440" s="428">
        <f t="shared" si="233"/>
        <v>0</v>
      </c>
      <c r="AF440" s="103"/>
      <c r="AG440" s="103"/>
      <c r="AH440" s="103"/>
      <c r="AI440" s="103"/>
      <c r="AJ440" s="428">
        <f t="shared" si="234"/>
        <v>0</v>
      </c>
      <c r="AK440" s="446"/>
      <c r="AL440" s="446"/>
      <c r="AM440" s="446"/>
      <c r="AN440" s="446"/>
      <c r="AO440" s="446"/>
      <c r="AP440" s="446"/>
      <c r="AQ440" s="446"/>
      <c r="AR440" s="431">
        <f t="shared" si="235"/>
        <v>0</v>
      </c>
      <c r="AT440" s="128" t="s">
        <v>424</v>
      </c>
      <c r="AU440" s="100" t="s">
        <v>2676</v>
      </c>
      <c r="AV440" s="128" t="s">
        <v>2696</v>
      </c>
      <c r="AW440" s="100" t="s">
        <v>2697</v>
      </c>
      <c r="AX440" s="433">
        <f t="shared" si="236"/>
        <v>0</v>
      </c>
      <c r="AY440" s="433">
        <f t="shared" si="237"/>
        <v>0</v>
      </c>
      <c r="AZ440" s="433">
        <f t="shared" si="238"/>
        <v>0</v>
      </c>
      <c r="BA440" s="433">
        <f t="shared" si="228"/>
        <v>0</v>
      </c>
      <c r="BB440" s="433">
        <f t="shared" si="229"/>
        <v>0</v>
      </c>
      <c r="BC440" s="433">
        <f t="shared" si="230"/>
        <v>0</v>
      </c>
      <c r="BD440" s="433">
        <f t="shared" si="239"/>
        <v>0</v>
      </c>
      <c r="BE440" s="433">
        <f t="shared" si="240"/>
        <v>0</v>
      </c>
      <c r="BF440" s="433">
        <f t="shared" si="241"/>
        <v>0</v>
      </c>
      <c r="BG440" s="433">
        <f t="shared" si="242"/>
        <v>0</v>
      </c>
      <c r="BH440" s="433">
        <f t="shared" si="243"/>
        <v>0</v>
      </c>
      <c r="BI440" s="433">
        <f t="shared" si="244"/>
        <v>0</v>
      </c>
      <c r="BJ440" s="433">
        <f t="shared" si="245"/>
        <v>0</v>
      </c>
      <c r="BK440" s="433">
        <f t="shared" si="246"/>
        <v>0</v>
      </c>
      <c r="BL440" s="433">
        <f t="shared" si="247"/>
        <v>0</v>
      </c>
      <c r="BM440" s="433">
        <f t="shared" si="248"/>
        <v>0</v>
      </c>
      <c r="BN440" s="433">
        <f t="shared" si="249"/>
        <v>0</v>
      </c>
      <c r="BO440" s="433">
        <f t="shared" si="250"/>
        <v>0</v>
      </c>
      <c r="BP440" s="433">
        <f t="shared" si="251"/>
        <v>0</v>
      </c>
      <c r="BQ440" s="433">
        <f t="shared" si="252"/>
        <v>0</v>
      </c>
    </row>
    <row r="441" spans="1:69" s="291" customFormat="1" x14ac:dyDescent="0.2">
      <c r="A441" s="317">
        <v>41832</v>
      </c>
      <c r="B441" s="318">
        <v>3</v>
      </c>
      <c r="C441" s="320" t="s">
        <v>2683</v>
      </c>
      <c r="D441" s="321">
        <v>0.77986111111111101</v>
      </c>
      <c r="E441" s="321">
        <v>1</v>
      </c>
      <c r="F441" s="434">
        <v>36</v>
      </c>
      <c r="G441" s="435">
        <v>11</v>
      </c>
      <c r="H441" s="434"/>
      <c r="I441" s="436"/>
      <c r="J441" s="437">
        <f t="shared" si="225"/>
        <v>317.00000000000017</v>
      </c>
      <c r="K441" s="285"/>
      <c r="L441" s="285"/>
      <c r="M441" s="285"/>
      <c r="N441" s="438">
        <f t="shared" si="226"/>
        <v>0</v>
      </c>
      <c r="O441" s="285"/>
      <c r="P441" s="285"/>
      <c r="Q441" s="285"/>
      <c r="R441" s="439">
        <f t="shared" si="227"/>
        <v>0</v>
      </c>
      <c r="S441" s="285"/>
      <c r="T441" s="285"/>
      <c r="U441" s="285"/>
      <c r="V441" s="440"/>
      <c r="W441" s="439">
        <f t="shared" si="231"/>
        <v>0</v>
      </c>
      <c r="X441" s="285"/>
      <c r="Y441" s="285"/>
      <c r="Z441" s="440"/>
      <c r="AA441" s="439">
        <f t="shared" si="232"/>
        <v>0</v>
      </c>
      <c r="AB441" s="285"/>
      <c r="AC441" s="285"/>
      <c r="AD441" s="285"/>
      <c r="AE441" s="439">
        <f t="shared" si="233"/>
        <v>0</v>
      </c>
      <c r="AF441" s="285"/>
      <c r="AG441" s="285"/>
      <c r="AH441" s="285"/>
      <c r="AI441" s="285"/>
      <c r="AJ441" s="439">
        <f t="shared" si="234"/>
        <v>0</v>
      </c>
      <c r="AK441" s="340"/>
      <c r="AL441" s="340"/>
      <c r="AM441" s="340"/>
      <c r="AN441" s="340"/>
      <c r="AO441" s="340"/>
      <c r="AP441" s="340"/>
      <c r="AQ441" s="340"/>
      <c r="AR441" s="441">
        <f t="shared" si="235"/>
        <v>0</v>
      </c>
      <c r="AT441" s="313"/>
      <c r="AU441" s="289" t="s">
        <v>2684</v>
      </c>
      <c r="AV441" s="313" t="s">
        <v>2696</v>
      </c>
      <c r="AW441" s="382" t="s">
        <v>2697</v>
      </c>
      <c r="AX441" s="443">
        <f t="shared" si="236"/>
        <v>0</v>
      </c>
      <c r="AY441" s="443">
        <f t="shared" si="237"/>
        <v>0</v>
      </c>
      <c r="AZ441" s="443">
        <f t="shared" si="238"/>
        <v>0</v>
      </c>
      <c r="BA441" s="443">
        <f t="shared" si="228"/>
        <v>0</v>
      </c>
      <c r="BB441" s="443">
        <f t="shared" si="229"/>
        <v>0</v>
      </c>
      <c r="BC441" s="443">
        <f t="shared" si="230"/>
        <v>0</v>
      </c>
      <c r="BD441" s="443">
        <f t="shared" si="239"/>
        <v>0</v>
      </c>
      <c r="BE441" s="443">
        <f t="shared" si="240"/>
        <v>0</v>
      </c>
      <c r="BF441" s="443">
        <f t="shared" si="241"/>
        <v>0</v>
      </c>
      <c r="BG441" s="443">
        <f t="shared" si="242"/>
        <v>0</v>
      </c>
      <c r="BH441" s="443">
        <f t="shared" si="243"/>
        <v>0</v>
      </c>
      <c r="BI441" s="443">
        <f t="shared" si="244"/>
        <v>0</v>
      </c>
      <c r="BJ441" s="443">
        <f t="shared" si="245"/>
        <v>0</v>
      </c>
      <c r="BK441" s="443">
        <f t="shared" si="246"/>
        <v>0</v>
      </c>
      <c r="BL441" s="443">
        <f t="shared" si="247"/>
        <v>0</v>
      </c>
      <c r="BM441" s="443">
        <f t="shared" si="248"/>
        <v>0</v>
      </c>
      <c r="BN441" s="443">
        <f t="shared" si="249"/>
        <v>0</v>
      </c>
      <c r="BO441" s="443">
        <f t="shared" si="250"/>
        <v>0</v>
      </c>
      <c r="BP441" s="443">
        <f t="shared" si="251"/>
        <v>0</v>
      </c>
      <c r="BQ441" s="443">
        <f t="shared" si="252"/>
        <v>0</v>
      </c>
    </row>
    <row r="442" spans="1:69" x14ac:dyDescent="0.2">
      <c r="A442" s="102">
        <v>41833</v>
      </c>
      <c r="B442" s="319">
        <v>1</v>
      </c>
      <c r="C442" s="118" t="s">
        <v>2682</v>
      </c>
      <c r="D442" s="111">
        <v>0</v>
      </c>
      <c r="E442" s="111">
        <v>0.39374999999999999</v>
      </c>
      <c r="F442" s="444">
        <v>36</v>
      </c>
      <c r="G442" s="445">
        <v>8</v>
      </c>
      <c r="H442" s="444"/>
      <c r="I442" s="390"/>
      <c r="J442" s="426">
        <f>((E442-D442)*24*60)-176</f>
        <v>391</v>
      </c>
      <c r="K442" s="103"/>
      <c r="L442" s="103"/>
      <c r="M442" s="103"/>
      <c r="N442" s="427">
        <f t="shared" si="226"/>
        <v>0</v>
      </c>
      <c r="O442" s="103"/>
      <c r="P442" s="103"/>
      <c r="Q442" s="103"/>
      <c r="R442" s="428">
        <f t="shared" si="227"/>
        <v>0</v>
      </c>
      <c r="S442" s="103"/>
      <c r="T442" s="103"/>
      <c r="U442" s="103"/>
      <c r="V442" s="125"/>
      <c r="W442" s="428">
        <f t="shared" si="231"/>
        <v>0</v>
      </c>
      <c r="X442" s="103"/>
      <c r="Y442" s="103"/>
      <c r="Z442" s="125"/>
      <c r="AA442" s="428">
        <f t="shared" si="232"/>
        <v>0</v>
      </c>
      <c r="AB442" s="103"/>
      <c r="AC442" s="103"/>
      <c r="AD442" s="103"/>
      <c r="AE442" s="428">
        <f t="shared" si="233"/>
        <v>0</v>
      </c>
      <c r="AF442" s="103"/>
      <c r="AG442" s="103"/>
      <c r="AH442" s="103"/>
      <c r="AI442" s="103"/>
      <c r="AJ442" s="428">
        <f t="shared" si="234"/>
        <v>0</v>
      </c>
      <c r="AK442" s="446"/>
      <c r="AL442" s="446"/>
      <c r="AM442" s="446"/>
      <c r="AN442" s="446"/>
      <c r="AO442" s="446"/>
      <c r="AP442" s="446"/>
      <c r="AQ442" s="446"/>
      <c r="AR442" s="431">
        <f t="shared" si="235"/>
        <v>0</v>
      </c>
      <c r="AS442" s="10" t="s">
        <v>2698</v>
      </c>
      <c r="AT442" s="128" t="s">
        <v>2699</v>
      </c>
      <c r="AU442" s="100" t="s">
        <v>2700</v>
      </c>
      <c r="AV442" s="128" t="s">
        <v>2724</v>
      </c>
      <c r="AW442" s="100" t="s">
        <v>2725</v>
      </c>
      <c r="AX442" s="433">
        <f t="shared" si="236"/>
        <v>0</v>
      </c>
      <c r="AY442" s="433">
        <f t="shared" si="237"/>
        <v>0</v>
      </c>
      <c r="AZ442" s="433">
        <f t="shared" si="238"/>
        <v>0</v>
      </c>
      <c r="BA442" s="433">
        <f t="shared" si="228"/>
        <v>0</v>
      </c>
      <c r="BB442" s="433">
        <f t="shared" si="229"/>
        <v>0</v>
      </c>
      <c r="BC442" s="433">
        <f t="shared" si="230"/>
        <v>0</v>
      </c>
      <c r="BD442" s="433">
        <f t="shared" si="239"/>
        <v>0</v>
      </c>
      <c r="BE442" s="433">
        <f t="shared" si="240"/>
        <v>0</v>
      </c>
      <c r="BF442" s="433">
        <f t="shared" si="241"/>
        <v>0</v>
      </c>
      <c r="BG442" s="433">
        <f t="shared" si="242"/>
        <v>0</v>
      </c>
      <c r="BH442" s="433">
        <f t="shared" si="243"/>
        <v>0</v>
      </c>
      <c r="BI442" s="433">
        <f t="shared" si="244"/>
        <v>0</v>
      </c>
      <c r="BJ442" s="433">
        <f t="shared" si="245"/>
        <v>0</v>
      </c>
      <c r="BK442" s="433">
        <f t="shared" si="246"/>
        <v>0</v>
      </c>
      <c r="BL442" s="433">
        <f t="shared" si="247"/>
        <v>0</v>
      </c>
      <c r="BM442" s="433">
        <f t="shared" si="248"/>
        <v>0</v>
      </c>
      <c r="BN442" s="433">
        <f t="shared" si="249"/>
        <v>0</v>
      </c>
      <c r="BO442" s="433">
        <f t="shared" si="250"/>
        <v>0</v>
      </c>
      <c r="BP442" s="433">
        <f t="shared" si="251"/>
        <v>0</v>
      </c>
      <c r="BQ442" s="433">
        <f t="shared" si="252"/>
        <v>0</v>
      </c>
    </row>
    <row r="443" spans="1:69" x14ac:dyDescent="0.2">
      <c r="A443" s="102">
        <v>41833</v>
      </c>
      <c r="B443" s="319">
        <v>1</v>
      </c>
      <c r="C443" s="118" t="s">
        <v>2683</v>
      </c>
      <c r="D443" s="111">
        <v>0.39374999999999999</v>
      </c>
      <c r="E443" s="111">
        <v>0.58333333333333337</v>
      </c>
      <c r="F443" s="444">
        <v>37</v>
      </c>
      <c r="G443" s="445">
        <v>9</v>
      </c>
      <c r="H443" s="444"/>
      <c r="I443" s="390"/>
      <c r="J443" s="426">
        <f t="shared" si="225"/>
        <v>273.00000000000006</v>
      </c>
      <c r="K443" s="103"/>
      <c r="L443" s="103"/>
      <c r="M443" s="103"/>
      <c r="N443" s="427">
        <f t="shared" si="226"/>
        <v>0</v>
      </c>
      <c r="O443" s="103"/>
      <c r="P443" s="103"/>
      <c r="Q443" s="103"/>
      <c r="R443" s="428">
        <f t="shared" si="227"/>
        <v>0</v>
      </c>
      <c r="S443" s="103"/>
      <c r="T443" s="103"/>
      <c r="U443" s="103"/>
      <c r="V443" s="125"/>
      <c r="W443" s="428">
        <f t="shared" si="231"/>
        <v>0</v>
      </c>
      <c r="X443" s="103"/>
      <c r="Y443" s="103"/>
      <c r="Z443" s="125"/>
      <c r="AA443" s="428">
        <f t="shared" si="232"/>
        <v>0</v>
      </c>
      <c r="AB443" s="103"/>
      <c r="AC443" s="103"/>
      <c r="AD443" s="103"/>
      <c r="AE443" s="428">
        <f t="shared" si="233"/>
        <v>0</v>
      </c>
      <c r="AF443" s="103"/>
      <c r="AG443" s="103"/>
      <c r="AH443" s="103"/>
      <c r="AI443" s="103"/>
      <c r="AJ443" s="428">
        <f t="shared" si="234"/>
        <v>0</v>
      </c>
      <c r="AK443" s="446"/>
      <c r="AL443" s="446"/>
      <c r="AM443" s="446"/>
      <c r="AN443" s="446"/>
      <c r="AO443" s="446"/>
      <c r="AP443" s="446"/>
      <c r="AQ443" s="446"/>
      <c r="AR443" s="431">
        <f t="shared" si="235"/>
        <v>0</v>
      </c>
      <c r="AT443" s="128" t="s">
        <v>424</v>
      </c>
      <c r="AU443" s="100" t="s">
        <v>2701</v>
      </c>
      <c r="AV443" s="128" t="s">
        <v>2724</v>
      </c>
      <c r="AW443" s="100" t="s">
        <v>2725</v>
      </c>
      <c r="AX443" s="433">
        <f t="shared" si="236"/>
        <v>0</v>
      </c>
      <c r="AY443" s="433">
        <f t="shared" si="237"/>
        <v>0</v>
      </c>
      <c r="AZ443" s="433">
        <f t="shared" si="238"/>
        <v>0</v>
      </c>
      <c r="BA443" s="433">
        <f t="shared" si="228"/>
        <v>0</v>
      </c>
      <c r="BB443" s="433">
        <f t="shared" si="229"/>
        <v>0</v>
      </c>
      <c r="BC443" s="433">
        <f t="shared" si="230"/>
        <v>0</v>
      </c>
      <c r="BD443" s="433">
        <f t="shared" si="239"/>
        <v>0</v>
      </c>
      <c r="BE443" s="433">
        <f t="shared" si="240"/>
        <v>0</v>
      </c>
      <c r="BF443" s="433">
        <f t="shared" si="241"/>
        <v>0</v>
      </c>
      <c r="BG443" s="433">
        <f t="shared" si="242"/>
        <v>0</v>
      </c>
      <c r="BH443" s="433">
        <f t="shared" si="243"/>
        <v>0</v>
      </c>
      <c r="BI443" s="433">
        <f t="shared" si="244"/>
        <v>0</v>
      </c>
      <c r="BJ443" s="433">
        <f t="shared" si="245"/>
        <v>0</v>
      </c>
      <c r="BK443" s="433">
        <f t="shared" si="246"/>
        <v>0</v>
      </c>
      <c r="BL443" s="433">
        <f t="shared" si="247"/>
        <v>0</v>
      </c>
      <c r="BM443" s="433">
        <f t="shared" si="248"/>
        <v>0</v>
      </c>
      <c r="BN443" s="433">
        <f t="shared" si="249"/>
        <v>0</v>
      </c>
      <c r="BO443" s="433">
        <f t="shared" si="250"/>
        <v>0</v>
      </c>
      <c r="BP443" s="433">
        <f t="shared" si="251"/>
        <v>0</v>
      </c>
      <c r="BQ443" s="433">
        <f t="shared" si="252"/>
        <v>0</v>
      </c>
    </row>
    <row r="444" spans="1:69" x14ac:dyDescent="0.2">
      <c r="A444" s="102">
        <v>41833</v>
      </c>
      <c r="B444" s="319">
        <v>1</v>
      </c>
      <c r="C444" s="118" t="s">
        <v>957</v>
      </c>
      <c r="D444" s="111">
        <v>0.58333333333333337</v>
      </c>
      <c r="E444" s="111">
        <v>0.78125</v>
      </c>
      <c r="F444" s="444">
        <v>33</v>
      </c>
      <c r="G444" s="445">
        <v>9</v>
      </c>
      <c r="H444" s="444"/>
      <c r="I444" s="390"/>
      <c r="J444" s="426">
        <f>((E444-D444)*24*60)-108</f>
        <v>176.99999999999994</v>
      </c>
      <c r="K444" s="103">
        <v>1</v>
      </c>
      <c r="L444" s="103"/>
      <c r="M444" s="103"/>
      <c r="N444" s="427">
        <f t="shared" si="226"/>
        <v>1</v>
      </c>
      <c r="O444" s="103"/>
      <c r="P444" s="103">
        <v>1</v>
      </c>
      <c r="Q444" s="103"/>
      <c r="R444" s="428">
        <f t="shared" si="227"/>
        <v>1</v>
      </c>
      <c r="S444" s="103"/>
      <c r="T444" s="103"/>
      <c r="U444" s="103"/>
      <c r="V444" s="125"/>
      <c r="W444" s="428">
        <f t="shared" si="231"/>
        <v>0</v>
      </c>
      <c r="X444" s="103"/>
      <c r="Y444" s="103"/>
      <c r="Z444" s="125"/>
      <c r="AA444" s="428">
        <f t="shared" si="232"/>
        <v>0</v>
      </c>
      <c r="AB444" s="103"/>
      <c r="AC444" s="103"/>
      <c r="AD444" s="103"/>
      <c r="AE444" s="428">
        <f t="shared" si="233"/>
        <v>0</v>
      </c>
      <c r="AF444" s="103"/>
      <c r="AG444" s="103"/>
      <c r="AH444" s="103"/>
      <c r="AI444" s="103"/>
      <c r="AJ444" s="428">
        <f t="shared" si="234"/>
        <v>0</v>
      </c>
      <c r="AK444" s="446"/>
      <c r="AL444" s="446"/>
      <c r="AM444" s="446"/>
      <c r="AN444" s="446"/>
      <c r="AO444" s="446"/>
      <c r="AP444" s="446"/>
      <c r="AQ444" s="446"/>
      <c r="AR444" s="431">
        <f t="shared" si="235"/>
        <v>0</v>
      </c>
      <c r="AS444" s="10" t="s">
        <v>2702</v>
      </c>
      <c r="AT444" s="128"/>
      <c r="AU444" s="100" t="s">
        <v>2700</v>
      </c>
      <c r="AV444" s="128" t="s">
        <v>2724</v>
      </c>
      <c r="AW444" s="100" t="s">
        <v>2725</v>
      </c>
      <c r="AX444" s="433">
        <f t="shared" si="236"/>
        <v>1</v>
      </c>
      <c r="AY444" s="433">
        <f t="shared" si="237"/>
        <v>0</v>
      </c>
      <c r="AZ444" s="433">
        <f t="shared" si="238"/>
        <v>0</v>
      </c>
      <c r="BA444" s="433">
        <f t="shared" si="228"/>
        <v>0</v>
      </c>
      <c r="BB444" s="433">
        <f t="shared" si="229"/>
        <v>1</v>
      </c>
      <c r="BC444" s="433">
        <f t="shared" si="230"/>
        <v>0</v>
      </c>
      <c r="BD444" s="433">
        <f t="shared" si="239"/>
        <v>0</v>
      </c>
      <c r="BE444" s="433">
        <f t="shared" si="240"/>
        <v>0</v>
      </c>
      <c r="BF444" s="433">
        <f t="shared" si="241"/>
        <v>0</v>
      </c>
      <c r="BG444" s="433">
        <f t="shared" si="242"/>
        <v>0</v>
      </c>
      <c r="BH444" s="433">
        <f t="shared" si="243"/>
        <v>0</v>
      </c>
      <c r="BI444" s="433">
        <f t="shared" si="244"/>
        <v>0</v>
      </c>
      <c r="BJ444" s="433">
        <f t="shared" si="245"/>
        <v>0</v>
      </c>
      <c r="BK444" s="433">
        <f t="shared" si="246"/>
        <v>0</v>
      </c>
      <c r="BL444" s="433">
        <f t="shared" si="247"/>
        <v>0</v>
      </c>
      <c r="BM444" s="433">
        <f t="shared" si="248"/>
        <v>0</v>
      </c>
      <c r="BN444" s="433">
        <f t="shared" si="249"/>
        <v>0</v>
      </c>
      <c r="BO444" s="433">
        <f t="shared" si="250"/>
        <v>0</v>
      </c>
      <c r="BP444" s="433">
        <f t="shared" si="251"/>
        <v>0</v>
      </c>
      <c r="BQ444" s="433">
        <f t="shared" si="252"/>
        <v>0</v>
      </c>
    </row>
    <row r="445" spans="1:69" x14ac:dyDescent="0.2">
      <c r="A445" s="102">
        <v>41833</v>
      </c>
      <c r="B445" s="319">
        <v>1</v>
      </c>
      <c r="C445" s="118" t="s">
        <v>437</v>
      </c>
      <c r="D445" s="111">
        <v>0.78125</v>
      </c>
      <c r="E445" s="111">
        <v>1</v>
      </c>
      <c r="F445" s="444">
        <v>33</v>
      </c>
      <c r="G445" s="445">
        <v>8</v>
      </c>
      <c r="H445" s="444"/>
      <c r="I445" s="390"/>
      <c r="J445" s="426">
        <f t="shared" si="225"/>
        <v>315</v>
      </c>
      <c r="K445" s="103"/>
      <c r="L445" s="103"/>
      <c r="M445" s="103"/>
      <c r="N445" s="427">
        <f t="shared" si="226"/>
        <v>0</v>
      </c>
      <c r="O445" s="103"/>
      <c r="P445" s="103"/>
      <c r="Q445" s="103"/>
      <c r="R445" s="428">
        <f t="shared" si="227"/>
        <v>0</v>
      </c>
      <c r="S445" s="103"/>
      <c r="T445" s="103"/>
      <c r="U445" s="103"/>
      <c r="V445" s="125"/>
      <c r="W445" s="428">
        <f t="shared" si="231"/>
        <v>0</v>
      </c>
      <c r="X445" s="103"/>
      <c r="Y445" s="103"/>
      <c r="Z445" s="125"/>
      <c r="AA445" s="428">
        <f t="shared" si="232"/>
        <v>0</v>
      </c>
      <c r="AB445" s="103"/>
      <c r="AC445" s="103"/>
      <c r="AD445" s="103"/>
      <c r="AE445" s="428">
        <f t="shared" si="233"/>
        <v>0</v>
      </c>
      <c r="AF445" s="103"/>
      <c r="AG445" s="103"/>
      <c r="AH445" s="103"/>
      <c r="AI445" s="103"/>
      <c r="AJ445" s="428">
        <f t="shared" si="234"/>
        <v>0</v>
      </c>
      <c r="AK445" s="446"/>
      <c r="AL445" s="446"/>
      <c r="AM445" s="446"/>
      <c r="AN445" s="446"/>
      <c r="AO445" s="446"/>
      <c r="AP445" s="446"/>
      <c r="AQ445" s="446"/>
      <c r="AR445" s="431">
        <f t="shared" si="235"/>
        <v>0</v>
      </c>
      <c r="AS445" s="10" t="s">
        <v>2703</v>
      </c>
      <c r="AT445" s="128" t="s">
        <v>424</v>
      </c>
      <c r="AU445" s="100" t="s">
        <v>2704</v>
      </c>
      <c r="AV445" s="128" t="s">
        <v>2724</v>
      </c>
      <c r="AW445" s="100" t="s">
        <v>2725</v>
      </c>
      <c r="AX445" s="433">
        <f t="shared" si="236"/>
        <v>0</v>
      </c>
      <c r="AY445" s="433">
        <f t="shared" si="237"/>
        <v>0</v>
      </c>
      <c r="AZ445" s="433">
        <f t="shared" si="238"/>
        <v>0</v>
      </c>
      <c r="BA445" s="433">
        <f t="shared" si="228"/>
        <v>0</v>
      </c>
      <c r="BB445" s="433">
        <f t="shared" si="229"/>
        <v>0</v>
      </c>
      <c r="BC445" s="433">
        <f t="shared" si="230"/>
        <v>0</v>
      </c>
      <c r="BD445" s="433">
        <f t="shared" si="239"/>
        <v>0</v>
      </c>
      <c r="BE445" s="433">
        <f t="shared" si="240"/>
        <v>0</v>
      </c>
      <c r="BF445" s="433">
        <f t="shared" si="241"/>
        <v>0</v>
      </c>
      <c r="BG445" s="433">
        <f t="shared" si="242"/>
        <v>0</v>
      </c>
      <c r="BH445" s="433">
        <f t="shared" si="243"/>
        <v>0</v>
      </c>
      <c r="BI445" s="433">
        <f t="shared" si="244"/>
        <v>0</v>
      </c>
      <c r="BJ445" s="433">
        <f t="shared" si="245"/>
        <v>0</v>
      </c>
      <c r="BK445" s="433">
        <f t="shared" si="246"/>
        <v>0</v>
      </c>
      <c r="BL445" s="433">
        <f t="shared" si="247"/>
        <v>0</v>
      </c>
      <c r="BM445" s="433">
        <f t="shared" si="248"/>
        <v>0</v>
      </c>
      <c r="BN445" s="433">
        <f t="shared" si="249"/>
        <v>0</v>
      </c>
      <c r="BO445" s="433">
        <f t="shared" si="250"/>
        <v>0</v>
      </c>
      <c r="BP445" s="433">
        <f t="shared" si="251"/>
        <v>0</v>
      </c>
      <c r="BQ445" s="433">
        <f t="shared" si="252"/>
        <v>0</v>
      </c>
    </row>
    <row r="446" spans="1:69" x14ac:dyDescent="0.2">
      <c r="A446" s="102">
        <v>41833</v>
      </c>
      <c r="B446" s="319">
        <v>2</v>
      </c>
      <c r="C446" s="118" t="s">
        <v>2682</v>
      </c>
      <c r="D446" s="111">
        <v>0</v>
      </c>
      <c r="E446" s="111">
        <v>0.40625</v>
      </c>
      <c r="F446" s="444">
        <v>33</v>
      </c>
      <c r="G446" s="445">
        <v>11</v>
      </c>
      <c r="H446" s="444"/>
      <c r="I446" s="390"/>
      <c r="J446" s="426">
        <f t="shared" si="225"/>
        <v>585</v>
      </c>
      <c r="K446" s="103">
        <v>1</v>
      </c>
      <c r="L446" s="103"/>
      <c r="M446" s="103"/>
      <c r="N446" s="427">
        <f t="shared" si="226"/>
        <v>1</v>
      </c>
      <c r="O446" s="103"/>
      <c r="P446" s="103"/>
      <c r="Q446" s="103"/>
      <c r="R446" s="428">
        <f t="shared" si="227"/>
        <v>0</v>
      </c>
      <c r="S446" s="103"/>
      <c r="T446" s="103"/>
      <c r="U446" s="103"/>
      <c r="V446" s="125"/>
      <c r="W446" s="428">
        <f t="shared" si="231"/>
        <v>0</v>
      </c>
      <c r="X446" s="103"/>
      <c r="Y446" s="103"/>
      <c r="Z446" s="125"/>
      <c r="AA446" s="428">
        <f t="shared" si="232"/>
        <v>0</v>
      </c>
      <c r="AB446" s="103"/>
      <c r="AC446" s="103"/>
      <c r="AD446" s="103"/>
      <c r="AE446" s="428">
        <f t="shared" si="233"/>
        <v>0</v>
      </c>
      <c r="AF446" s="103"/>
      <c r="AG446" s="103"/>
      <c r="AH446" s="103"/>
      <c r="AI446" s="103"/>
      <c r="AJ446" s="428">
        <f t="shared" si="234"/>
        <v>0</v>
      </c>
      <c r="AK446" s="446"/>
      <c r="AL446" s="446"/>
      <c r="AM446" s="446"/>
      <c r="AN446" s="446"/>
      <c r="AO446" s="446"/>
      <c r="AP446" s="446"/>
      <c r="AQ446" s="446"/>
      <c r="AR446" s="431">
        <f t="shared" si="235"/>
        <v>0</v>
      </c>
      <c r="AT446" s="128" t="s">
        <v>2794</v>
      </c>
      <c r="AU446" s="100" t="s">
        <v>2705</v>
      </c>
      <c r="AV446" s="128" t="s">
        <v>2724</v>
      </c>
      <c r="AW446" s="100" t="s">
        <v>2725</v>
      </c>
      <c r="AX446" s="433">
        <f t="shared" si="236"/>
        <v>1</v>
      </c>
      <c r="AY446" s="433">
        <f t="shared" si="237"/>
        <v>0</v>
      </c>
      <c r="AZ446" s="433">
        <f t="shared" si="238"/>
        <v>0</v>
      </c>
      <c r="BA446" s="433">
        <f t="shared" si="228"/>
        <v>0</v>
      </c>
      <c r="BB446" s="433">
        <f t="shared" si="229"/>
        <v>0</v>
      </c>
      <c r="BC446" s="433">
        <f t="shared" si="230"/>
        <v>0</v>
      </c>
      <c r="BD446" s="433">
        <f t="shared" si="239"/>
        <v>0</v>
      </c>
      <c r="BE446" s="433">
        <f t="shared" si="240"/>
        <v>0</v>
      </c>
      <c r="BF446" s="433">
        <f t="shared" si="241"/>
        <v>0</v>
      </c>
      <c r="BG446" s="433">
        <f t="shared" si="242"/>
        <v>0</v>
      </c>
      <c r="BH446" s="433">
        <f t="shared" si="243"/>
        <v>0</v>
      </c>
      <c r="BI446" s="433">
        <f t="shared" si="244"/>
        <v>0</v>
      </c>
      <c r="BJ446" s="433">
        <f t="shared" si="245"/>
        <v>0</v>
      </c>
      <c r="BK446" s="433">
        <f t="shared" si="246"/>
        <v>0</v>
      </c>
      <c r="BL446" s="433">
        <f t="shared" si="247"/>
        <v>0</v>
      </c>
      <c r="BM446" s="433">
        <f t="shared" si="248"/>
        <v>0</v>
      </c>
      <c r="BN446" s="433">
        <f t="shared" si="249"/>
        <v>0</v>
      </c>
      <c r="BO446" s="433">
        <f t="shared" si="250"/>
        <v>0</v>
      </c>
      <c r="BP446" s="433">
        <f t="shared" si="251"/>
        <v>0</v>
      </c>
      <c r="BQ446" s="433">
        <f t="shared" si="252"/>
        <v>0</v>
      </c>
    </row>
    <row r="447" spans="1:69" x14ac:dyDescent="0.2">
      <c r="A447" s="102">
        <v>41833</v>
      </c>
      <c r="B447" s="319">
        <v>2</v>
      </c>
      <c r="C447" s="118" t="s">
        <v>2683</v>
      </c>
      <c r="D447" s="111">
        <v>0.40625</v>
      </c>
      <c r="E447" s="111">
        <v>0.59236111111111112</v>
      </c>
      <c r="F447" s="444">
        <v>32</v>
      </c>
      <c r="G447" s="445">
        <v>11</v>
      </c>
      <c r="H447" s="444"/>
      <c r="I447" s="390"/>
      <c r="J447" s="426">
        <f t="shared" si="225"/>
        <v>268</v>
      </c>
      <c r="K447" s="103"/>
      <c r="L447" s="103"/>
      <c r="M447" s="103">
        <v>1</v>
      </c>
      <c r="N447" s="427">
        <f t="shared" si="226"/>
        <v>1</v>
      </c>
      <c r="O447" s="103"/>
      <c r="P447" s="103">
        <v>1</v>
      </c>
      <c r="Q447" s="103"/>
      <c r="R447" s="428">
        <f t="shared" si="227"/>
        <v>1</v>
      </c>
      <c r="S447" s="103"/>
      <c r="T447" s="103"/>
      <c r="U447" s="103"/>
      <c r="V447" s="125"/>
      <c r="W447" s="428">
        <f t="shared" si="231"/>
        <v>0</v>
      </c>
      <c r="X447" s="103"/>
      <c r="Y447" s="103"/>
      <c r="Z447" s="125"/>
      <c r="AA447" s="428">
        <f t="shared" si="232"/>
        <v>0</v>
      </c>
      <c r="AB447" s="103"/>
      <c r="AC447" s="103"/>
      <c r="AD447" s="103"/>
      <c r="AE447" s="428">
        <f t="shared" si="233"/>
        <v>0</v>
      </c>
      <c r="AF447" s="103"/>
      <c r="AG447" s="103"/>
      <c r="AH447" s="103"/>
      <c r="AI447" s="103"/>
      <c r="AJ447" s="428">
        <f t="shared" si="234"/>
        <v>0</v>
      </c>
      <c r="AK447" s="446"/>
      <c r="AL447" s="446"/>
      <c r="AM447" s="446"/>
      <c r="AN447" s="446"/>
      <c r="AO447" s="446"/>
      <c r="AP447" s="446"/>
      <c r="AQ447" s="446"/>
      <c r="AR447" s="431">
        <f t="shared" si="235"/>
        <v>0</v>
      </c>
      <c r="AT447" s="128"/>
      <c r="AU447" s="100" t="s">
        <v>2701</v>
      </c>
      <c r="AV447" s="128" t="s">
        <v>2724</v>
      </c>
      <c r="AW447" s="100" t="s">
        <v>2725</v>
      </c>
      <c r="AX447" s="433">
        <f t="shared" si="236"/>
        <v>0</v>
      </c>
      <c r="AY447" s="433">
        <f t="shared" si="237"/>
        <v>0</v>
      </c>
      <c r="AZ447" s="433">
        <f t="shared" si="238"/>
        <v>1</v>
      </c>
      <c r="BA447" s="433">
        <f t="shared" si="228"/>
        <v>0</v>
      </c>
      <c r="BB447" s="433">
        <f t="shared" si="229"/>
        <v>1</v>
      </c>
      <c r="BC447" s="433">
        <f t="shared" si="230"/>
        <v>0</v>
      </c>
      <c r="BD447" s="433">
        <f t="shared" si="239"/>
        <v>0</v>
      </c>
      <c r="BE447" s="433">
        <f t="shared" si="240"/>
        <v>0</v>
      </c>
      <c r="BF447" s="433">
        <f t="shared" si="241"/>
        <v>0</v>
      </c>
      <c r="BG447" s="433">
        <f t="shared" si="242"/>
        <v>0</v>
      </c>
      <c r="BH447" s="433">
        <f t="shared" si="243"/>
        <v>0</v>
      </c>
      <c r="BI447" s="433">
        <f t="shared" si="244"/>
        <v>0</v>
      </c>
      <c r="BJ447" s="433">
        <f t="shared" si="245"/>
        <v>0</v>
      </c>
      <c r="BK447" s="433">
        <f t="shared" si="246"/>
        <v>0</v>
      </c>
      <c r="BL447" s="433">
        <f t="shared" si="247"/>
        <v>0</v>
      </c>
      <c r="BM447" s="433">
        <f t="shared" si="248"/>
        <v>0</v>
      </c>
      <c r="BN447" s="433">
        <f t="shared" si="249"/>
        <v>0</v>
      </c>
      <c r="BO447" s="433">
        <f t="shared" si="250"/>
        <v>0</v>
      </c>
      <c r="BP447" s="433">
        <f t="shared" si="251"/>
        <v>0</v>
      </c>
      <c r="BQ447" s="433">
        <f t="shared" si="252"/>
        <v>0</v>
      </c>
    </row>
    <row r="448" spans="1:69" x14ac:dyDescent="0.2">
      <c r="A448" s="102">
        <v>41833</v>
      </c>
      <c r="B448" s="319">
        <v>2</v>
      </c>
      <c r="C448" s="118" t="s">
        <v>957</v>
      </c>
      <c r="D448" s="111">
        <v>0.59236111111111112</v>
      </c>
      <c r="E448" s="111">
        <v>0.7680555555555556</v>
      </c>
      <c r="F448" s="444">
        <v>32</v>
      </c>
      <c r="G448" s="445">
        <v>11</v>
      </c>
      <c r="H448" s="444"/>
      <c r="I448" s="390"/>
      <c r="J448" s="426">
        <f t="shared" si="225"/>
        <v>253.00000000000006</v>
      </c>
      <c r="K448" s="103">
        <v>1</v>
      </c>
      <c r="L448" s="103"/>
      <c r="M448" s="103"/>
      <c r="N448" s="427">
        <f t="shared" si="226"/>
        <v>1</v>
      </c>
      <c r="O448" s="103"/>
      <c r="P448" s="103"/>
      <c r="Q448" s="103"/>
      <c r="R448" s="428">
        <f t="shared" si="227"/>
        <v>0</v>
      </c>
      <c r="S448" s="103"/>
      <c r="T448" s="103"/>
      <c r="U448" s="103"/>
      <c r="V448" s="125"/>
      <c r="W448" s="428">
        <f t="shared" si="231"/>
        <v>0</v>
      </c>
      <c r="X448" s="103"/>
      <c r="Y448" s="103"/>
      <c r="Z448" s="125"/>
      <c r="AA448" s="428">
        <f t="shared" si="232"/>
        <v>0</v>
      </c>
      <c r="AB448" s="103"/>
      <c r="AC448" s="103"/>
      <c r="AD448" s="103"/>
      <c r="AE448" s="428">
        <f t="shared" si="233"/>
        <v>0</v>
      </c>
      <c r="AF448" s="103"/>
      <c r="AG448" s="103"/>
      <c r="AH448" s="103"/>
      <c r="AI448" s="103"/>
      <c r="AJ448" s="428">
        <f t="shared" si="234"/>
        <v>0</v>
      </c>
      <c r="AK448" s="446"/>
      <c r="AL448" s="446"/>
      <c r="AM448" s="446"/>
      <c r="AN448" s="446"/>
      <c r="AO448" s="446"/>
      <c r="AP448" s="446"/>
      <c r="AQ448" s="446"/>
      <c r="AR448" s="431">
        <f t="shared" si="235"/>
        <v>0</v>
      </c>
      <c r="AT448" s="128"/>
      <c r="AU448" s="100" t="s">
        <v>2700</v>
      </c>
      <c r="AV448" s="128" t="s">
        <v>2724</v>
      </c>
      <c r="AW448" s="100" t="s">
        <v>2725</v>
      </c>
      <c r="AX448" s="433">
        <f t="shared" si="236"/>
        <v>1</v>
      </c>
      <c r="AY448" s="433">
        <f t="shared" si="237"/>
        <v>0</v>
      </c>
      <c r="AZ448" s="433">
        <f t="shared" si="238"/>
        <v>0</v>
      </c>
      <c r="BA448" s="433">
        <f t="shared" si="228"/>
        <v>0</v>
      </c>
      <c r="BB448" s="433">
        <f t="shared" si="229"/>
        <v>0</v>
      </c>
      <c r="BC448" s="433">
        <f t="shared" si="230"/>
        <v>0</v>
      </c>
      <c r="BD448" s="433">
        <f t="shared" si="239"/>
        <v>0</v>
      </c>
      <c r="BE448" s="433">
        <f t="shared" si="240"/>
        <v>0</v>
      </c>
      <c r="BF448" s="433">
        <f t="shared" si="241"/>
        <v>0</v>
      </c>
      <c r="BG448" s="433">
        <f t="shared" si="242"/>
        <v>0</v>
      </c>
      <c r="BH448" s="433">
        <f t="shared" si="243"/>
        <v>0</v>
      </c>
      <c r="BI448" s="433">
        <f t="shared" si="244"/>
        <v>0</v>
      </c>
      <c r="BJ448" s="433">
        <f t="shared" si="245"/>
        <v>0</v>
      </c>
      <c r="BK448" s="433">
        <f t="shared" si="246"/>
        <v>0</v>
      </c>
      <c r="BL448" s="433">
        <f t="shared" si="247"/>
        <v>0</v>
      </c>
      <c r="BM448" s="433">
        <f t="shared" si="248"/>
        <v>0</v>
      </c>
      <c r="BN448" s="433">
        <f t="shared" si="249"/>
        <v>0</v>
      </c>
      <c r="BO448" s="433">
        <f t="shared" si="250"/>
        <v>0</v>
      </c>
      <c r="BP448" s="433">
        <f t="shared" si="251"/>
        <v>0</v>
      </c>
      <c r="BQ448" s="433">
        <f t="shared" si="252"/>
        <v>0</v>
      </c>
    </row>
    <row r="449" spans="1:69" x14ac:dyDescent="0.2">
      <c r="A449" s="102">
        <v>41833</v>
      </c>
      <c r="B449" s="319">
        <v>2</v>
      </c>
      <c r="C449" s="118" t="s">
        <v>437</v>
      </c>
      <c r="D449" s="111">
        <v>0.7680555555555556</v>
      </c>
      <c r="E449" s="111">
        <v>1</v>
      </c>
      <c r="F449" s="444">
        <v>32</v>
      </c>
      <c r="G449" s="445">
        <v>11</v>
      </c>
      <c r="H449" s="444"/>
      <c r="I449" s="390"/>
      <c r="J449" s="426">
        <f t="shared" si="225"/>
        <v>333.99999999999994</v>
      </c>
      <c r="K449" s="103"/>
      <c r="L449" s="103"/>
      <c r="M449" s="103"/>
      <c r="N449" s="427">
        <f t="shared" si="226"/>
        <v>0</v>
      </c>
      <c r="O449" s="103"/>
      <c r="P449" s="103"/>
      <c r="Q449" s="103"/>
      <c r="R449" s="428">
        <f t="shared" si="227"/>
        <v>0</v>
      </c>
      <c r="S449" s="103"/>
      <c r="T449" s="103"/>
      <c r="U449" s="103"/>
      <c r="V449" s="125"/>
      <c r="W449" s="428">
        <f t="shared" si="231"/>
        <v>0</v>
      </c>
      <c r="X449" s="103"/>
      <c r="Y449" s="103"/>
      <c r="Z449" s="125"/>
      <c r="AA449" s="428">
        <f t="shared" si="232"/>
        <v>0</v>
      </c>
      <c r="AB449" s="103"/>
      <c r="AC449" s="103"/>
      <c r="AD449" s="103"/>
      <c r="AE449" s="428">
        <f t="shared" si="233"/>
        <v>0</v>
      </c>
      <c r="AF449" s="103"/>
      <c r="AG449" s="103"/>
      <c r="AH449" s="103"/>
      <c r="AI449" s="103"/>
      <c r="AJ449" s="428">
        <f t="shared" si="234"/>
        <v>0</v>
      </c>
      <c r="AK449" s="446"/>
      <c r="AL449" s="446"/>
      <c r="AM449" s="446"/>
      <c r="AN449" s="446"/>
      <c r="AO449" s="446"/>
      <c r="AP449" s="446"/>
      <c r="AQ449" s="446"/>
      <c r="AR449" s="431">
        <f t="shared" si="235"/>
        <v>0</v>
      </c>
      <c r="AT449" s="128" t="s">
        <v>424</v>
      </c>
      <c r="AU449" s="100" t="s">
        <v>2704</v>
      </c>
      <c r="AV449" s="128" t="s">
        <v>2724</v>
      </c>
      <c r="AW449" s="100" t="s">
        <v>2725</v>
      </c>
      <c r="AX449" s="433">
        <f t="shared" si="236"/>
        <v>0</v>
      </c>
      <c r="AY449" s="433">
        <f t="shared" si="237"/>
        <v>0</v>
      </c>
      <c r="AZ449" s="433">
        <f t="shared" si="238"/>
        <v>0</v>
      </c>
      <c r="BA449" s="433">
        <f t="shared" si="228"/>
        <v>0</v>
      </c>
      <c r="BB449" s="433">
        <f t="shared" si="229"/>
        <v>0</v>
      </c>
      <c r="BC449" s="433">
        <f t="shared" si="230"/>
        <v>0</v>
      </c>
      <c r="BD449" s="433">
        <f t="shared" si="239"/>
        <v>0</v>
      </c>
      <c r="BE449" s="433">
        <f t="shared" si="240"/>
        <v>0</v>
      </c>
      <c r="BF449" s="433">
        <f t="shared" si="241"/>
        <v>0</v>
      </c>
      <c r="BG449" s="433">
        <f t="shared" si="242"/>
        <v>0</v>
      </c>
      <c r="BH449" s="433">
        <f t="shared" si="243"/>
        <v>0</v>
      </c>
      <c r="BI449" s="433">
        <f t="shared" si="244"/>
        <v>0</v>
      </c>
      <c r="BJ449" s="433">
        <f t="shared" si="245"/>
        <v>0</v>
      </c>
      <c r="BK449" s="433">
        <f t="shared" si="246"/>
        <v>0</v>
      </c>
      <c r="BL449" s="433">
        <f t="shared" si="247"/>
        <v>0</v>
      </c>
      <c r="BM449" s="433">
        <f t="shared" si="248"/>
        <v>0</v>
      </c>
      <c r="BN449" s="433">
        <f t="shared" si="249"/>
        <v>0</v>
      </c>
      <c r="BO449" s="433">
        <f t="shared" si="250"/>
        <v>0</v>
      </c>
      <c r="BP449" s="433">
        <f t="shared" si="251"/>
        <v>0</v>
      </c>
      <c r="BQ449" s="433">
        <f t="shared" si="252"/>
        <v>0</v>
      </c>
    </row>
    <row r="450" spans="1:69" x14ac:dyDescent="0.2">
      <c r="A450" s="102">
        <v>41833</v>
      </c>
      <c r="B450" s="319">
        <v>3</v>
      </c>
      <c r="C450" s="118" t="s">
        <v>2067</v>
      </c>
      <c r="D450" s="111">
        <v>0</v>
      </c>
      <c r="E450" s="111">
        <v>0.40972222222222227</v>
      </c>
      <c r="F450" s="444">
        <v>34</v>
      </c>
      <c r="G450" s="445">
        <v>10</v>
      </c>
      <c r="H450" s="444"/>
      <c r="I450" s="390"/>
      <c r="J450" s="426">
        <f t="shared" si="225"/>
        <v>590</v>
      </c>
      <c r="K450" s="103">
        <v>6</v>
      </c>
      <c r="L450" s="103"/>
      <c r="M450" s="103"/>
      <c r="N450" s="427">
        <f t="shared" si="226"/>
        <v>6</v>
      </c>
      <c r="O450" s="103"/>
      <c r="P450" s="103">
        <v>1</v>
      </c>
      <c r="Q450" s="103"/>
      <c r="R450" s="428">
        <f t="shared" si="227"/>
        <v>1</v>
      </c>
      <c r="S450" s="103"/>
      <c r="T450" s="103"/>
      <c r="U450" s="103"/>
      <c r="V450" s="125"/>
      <c r="W450" s="428">
        <f t="shared" si="231"/>
        <v>0</v>
      </c>
      <c r="X450" s="103"/>
      <c r="Y450" s="103"/>
      <c r="Z450" s="125"/>
      <c r="AA450" s="428">
        <f t="shared" si="232"/>
        <v>0</v>
      </c>
      <c r="AB450" s="103"/>
      <c r="AC450" s="103"/>
      <c r="AD450" s="103"/>
      <c r="AE450" s="428">
        <f t="shared" si="233"/>
        <v>0</v>
      </c>
      <c r="AF450" s="103"/>
      <c r="AG450" s="103"/>
      <c r="AH450" s="103"/>
      <c r="AI450" s="103"/>
      <c r="AJ450" s="428">
        <f t="shared" si="234"/>
        <v>0</v>
      </c>
      <c r="AK450" s="446"/>
      <c r="AL450" s="446"/>
      <c r="AM450" s="446"/>
      <c r="AN450" s="446">
        <v>1</v>
      </c>
      <c r="AO450" s="446"/>
      <c r="AP450" s="446"/>
      <c r="AQ450" s="446"/>
      <c r="AR450" s="431">
        <f t="shared" si="235"/>
        <v>1</v>
      </c>
      <c r="AT450" s="128"/>
      <c r="AU450" s="100" t="s">
        <v>2706</v>
      </c>
      <c r="AV450" s="128" t="s">
        <v>2724</v>
      </c>
      <c r="AW450" s="100" t="s">
        <v>2725</v>
      </c>
      <c r="AX450" s="433">
        <f t="shared" si="236"/>
        <v>6</v>
      </c>
      <c r="AY450" s="433">
        <f t="shared" si="237"/>
        <v>0</v>
      </c>
      <c r="AZ450" s="433">
        <f t="shared" si="238"/>
        <v>0</v>
      </c>
      <c r="BA450" s="433">
        <f t="shared" si="228"/>
        <v>0</v>
      </c>
      <c r="BB450" s="433">
        <f t="shared" si="229"/>
        <v>1</v>
      </c>
      <c r="BC450" s="433">
        <f t="shared" si="230"/>
        <v>0</v>
      </c>
      <c r="BD450" s="433">
        <f t="shared" si="239"/>
        <v>0</v>
      </c>
      <c r="BE450" s="433">
        <f t="shared" si="240"/>
        <v>0</v>
      </c>
      <c r="BF450" s="433">
        <f t="shared" si="241"/>
        <v>0</v>
      </c>
      <c r="BG450" s="433">
        <f t="shared" si="242"/>
        <v>0</v>
      </c>
      <c r="BH450" s="433">
        <f t="shared" si="243"/>
        <v>0</v>
      </c>
      <c r="BI450" s="433">
        <f t="shared" si="244"/>
        <v>0</v>
      </c>
      <c r="BJ450" s="433">
        <f t="shared" si="245"/>
        <v>0</v>
      </c>
      <c r="BK450" s="433">
        <f t="shared" si="246"/>
        <v>0</v>
      </c>
      <c r="BL450" s="433">
        <f t="shared" si="247"/>
        <v>0</v>
      </c>
      <c r="BM450" s="433">
        <f t="shared" si="248"/>
        <v>0</v>
      </c>
      <c r="BN450" s="433">
        <f t="shared" si="249"/>
        <v>0</v>
      </c>
      <c r="BO450" s="433">
        <f t="shared" si="250"/>
        <v>0</v>
      </c>
      <c r="BP450" s="433">
        <f t="shared" si="251"/>
        <v>0</v>
      </c>
      <c r="BQ450" s="433">
        <f t="shared" si="252"/>
        <v>0</v>
      </c>
    </row>
    <row r="451" spans="1:69" x14ac:dyDescent="0.2">
      <c r="A451" s="102">
        <v>41833</v>
      </c>
      <c r="B451" s="319">
        <v>3</v>
      </c>
      <c r="C451" s="118" t="s">
        <v>1556</v>
      </c>
      <c r="D451" s="111">
        <v>0.40972222222222227</v>
      </c>
      <c r="E451" s="111">
        <v>0.58194444444444449</v>
      </c>
      <c r="F451" s="444">
        <v>39</v>
      </c>
      <c r="G451" s="445">
        <v>10</v>
      </c>
      <c r="H451" s="444"/>
      <c r="I451" s="390"/>
      <c r="J451" s="426">
        <f t="shared" ref="J451:J514" si="253">(E451-D451)*24*60</f>
        <v>247.99999999999997</v>
      </c>
      <c r="K451" s="103">
        <v>1</v>
      </c>
      <c r="L451" s="103"/>
      <c r="M451" s="103"/>
      <c r="N451" s="427">
        <f t="shared" ref="N451:N514" si="254">SUM(K451:M451)</f>
        <v>1</v>
      </c>
      <c r="O451" s="103"/>
      <c r="P451" s="103"/>
      <c r="Q451" s="103"/>
      <c r="R451" s="428">
        <f t="shared" ref="R451:R514" si="255">SUM(O451:Q451)</f>
        <v>0</v>
      </c>
      <c r="S451" s="103"/>
      <c r="T451" s="103"/>
      <c r="U451" s="103"/>
      <c r="V451" s="125"/>
      <c r="W451" s="428">
        <f t="shared" si="231"/>
        <v>0</v>
      </c>
      <c r="X451" s="103"/>
      <c r="Y451" s="103"/>
      <c r="Z451" s="125"/>
      <c r="AA451" s="428">
        <f t="shared" si="232"/>
        <v>0</v>
      </c>
      <c r="AB451" s="103"/>
      <c r="AC451" s="103"/>
      <c r="AD451" s="103"/>
      <c r="AE451" s="428">
        <f t="shared" si="233"/>
        <v>0</v>
      </c>
      <c r="AF451" s="103"/>
      <c r="AG451" s="103"/>
      <c r="AH451" s="103"/>
      <c r="AI451" s="103"/>
      <c r="AJ451" s="428">
        <f t="shared" si="234"/>
        <v>0</v>
      </c>
      <c r="AK451" s="446"/>
      <c r="AL451" s="446"/>
      <c r="AM451" s="446"/>
      <c r="AN451" s="446"/>
      <c r="AO451" s="446"/>
      <c r="AP451" s="446"/>
      <c r="AQ451" s="446"/>
      <c r="AR451" s="431">
        <f t="shared" si="235"/>
        <v>0</v>
      </c>
      <c r="AT451" s="128"/>
      <c r="AU451" s="100" t="s">
        <v>2707</v>
      </c>
      <c r="AV451" s="128" t="s">
        <v>2724</v>
      </c>
      <c r="AW451" s="100" t="s">
        <v>2725</v>
      </c>
      <c r="AX451" s="433">
        <f t="shared" si="236"/>
        <v>1</v>
      </c>
      <c r="AY451" s="433">
        <f t="shared" si="237"/>
        <v>0</v>
      </c>
      <c r="AZ451" s="433">
        <f t="shared" si="238"/>
        <v>0</v>
      </c>
      <c r="BA451" s="433">
        <f t="shared" ref="BA451:BA514" si="256">O451</f>
        <v>0</v>
      </c>
      <c r="BB451" s="433">
        <f t="shared" ref="BB451:BB514" si="257">P451</f>
        <v>0</v>
      </c>
      <c r="BC451" s="433">
        <f t="shared" ref="BC451:BC514" si="258">Q451</f>
        <v>0</v>
      </c>
      <c r="BD451" s="433">
        <f t="shared" si="239"/>
        <v>0</v>
      </c>
      <c r="BE451" s="433">
        <f t="shared" si="240"/>
        <v>0</v>
      </c>
      <c r="BF451" s="433">
        <f t="shared" si="241"/>
        <v>0</v>
      </c>
      <c r="BG451" s="433">
        <f t="shared" si="242"/>
        <v>0</v>
      </c>
      <c r="BH451" s="433">
        <f t="shared" si="243"/>
        <v>0</v>
      </c>
      <c r="BI451" s="433">
        <f t="shared" si="244"/>
        <v>0</v>
      </c>
      <c r="BJ451" s="433">
        <f t="shared" si="245"/>
        <v>0</v>
      </c>
      <c r="BK451" s="433">
        <f t="shared" si="246"/>
        <v>0</v>
      </c>
      <c r="BL451" s="433">
        <f t="shared" si="247"/>
        <v>0</v>
      </c>
      <c r="BM451" s="433">
        <f t="shared" si="248"/>
        <v>0</v>
      </c>
      <c r="BN451" s="433">
        <f t="shared" si="249"/>
        <v>0</v>
      </c>
      <c r="BO451" s="433">
        <f t="shared" si="250"/>
        <v>0</v>
      </c>
      <c r="BP451" s="433">
        <f t="shared" si="251"/>
        <v>0</v>
      </c>
      <c r="BQ451" s="433">
        <f t="shared" si="252"/>
        <v>0</v>
      </c>
    </row>
    <row r="452" spans="1:69" x14ac:dyDescent="0.2">
      <c r="A452" s="102">
        <v>41833</v>
      </c>
      <c r="B452" s="319">
        <v>3</v>
      </c>
      <c r="C452" s="118" t="s">
        <v>2641</v>
      </c>
      <c r="D452" s="111">
        <v>0.58194444444444449</v>
      </c>
      <c r="E452" s="111">
        <v>0.78125</v>
      </c>
      <c r="F452" s="444">
        <v>36</v>
      </c>
      <c r="G452" s="445">
        <v>10</v>
      </c>
      <c r="H452" s="444"/>
      <c r="I452" s="390"/>
      <c r="J452" s="426">
        <f>((E452-D452)*24*60)-48</f>
        <v>238.99999999999994</v>
      </c>
      <c r="K452" s="103"/>
      <c r="L452" s="103"/>
      <c r="M452" s="103"/>
      <c r="N452" s="427">
        <f t="shared" si="254"/>
        <v>0</v>
      </c>
      <c r="O452" s="103"/>
      <c r="P452" s="103"/>
      <c r="Q452" s="103"/>
      <c r="R452" s="428">
        <f t="shared" si="255"/>
        <v>0</v>
      </c>
      <c r="S452" s="103"/>
      <c r="T452" s="103"/>
      <c r="U452" s="103"/>
      <c r="V452" s="125"/>
      <c r="W452" s="428">
        <f t="shared" ref="W452:W515" si="259">SUM(S452:V452)</f>
        <v>0</v>
      </c>
      <c r="X452" s="103"/>
      <c r="Y452" s="103"/>
      <c r="Z452" s="125"/>
      <c r="AA452" s="428">
        <f t="shared" ref="AA452:AA515" si="260">SUM(X452:Z452)</f>
        <v>0</v>
      </c>
      <c r="AB452" s="103"/>
      <c r="AC452" s="103"/>
      <c r="AD452" s="103"/>
      <c r="AE452" s="428">
        <f t="shared" ref="AE452:AE515" si="261">SUM(AB452:AD452)</f>
        <v>0</v>
      </c>
      <c r="AF452" s="103"/>
      <c r="AG452" s="103"/>
      <c r="AH452" s="103"/>
      <c r="AI452" s="103"/>
      <c r="AJ452" s="428">
        <f t="shared" ref="AJ452:AJ515" si="262">SUM(AF452:AI452)</f>
        <v>0</v>
      </c>
      <c r="AK452" s="446"/>
      <c r="AL452" s="446"/>
      <c r="AM452" s="446"/>
      <c r="AN452" s="446"/>
      <c r="AO452" s="446">
        <v>1</v>
      </c>
      <c r="AP452" s="446"/>
      <c r="AQ452" s="446"/>
      <c r="AR452" s="431">
        <f t="shared" ref="AR452:AR515" si="263">SUM(AK452:AQ452)</f>
        <v>1</v>
      </c>
      <c r="AS452" s="10" t="s">
        <v>2708</v>
      </c>
      <c r="AT452" s="128"/>
      <c r="AU452" s="100" t="s">
        <v>2706</v>
      </c>
      <c r="AV452" s="128" t="s">
        <v>2724</v>
      </c>
      <c r="AW452" s="100" t="s">
        <v>2725</v>
      </c>
      <c r="AX452" s="433">
        <f t="shared" ref="AX452:AX515" si="264">K452</f>
        <v>0</v>
      </c>
      <c r="AY452" s="433">
        <f t="shared" ref="AY452:AY515" si="265">L452</f>
        <v>0</v>
      </c>
      <c r="AZ452" s="433">
        <f t="shared" ref="AZ452:AZ515" si="266">M452</f>
        <v>0</v>
      </c>
      <c r="BA452" s="433">
        <f t="shared" si="256"/>
        <v>0</v>
      </c>
      <c r="BB452" s="433">
        <f t="shared" si="257"/>
        <v>0</v>
      </c>
      <c r="BC452" s="433">
        <f t="shared" si="258"/>
        <v>0</v>
      </c>
      <c r="BD452" s="433">
        <f t="shared" ref="BD452:BD515" si="267">S452</f>
        <v>0</v>
      </c>
      <c r="BE452" s="433">
        <f t="shared" ref="BE452:BE515" si="268">T452</f>
        <v>0</v>
      </c>
      <c r="BF452" s="433">
        <f t="shared" ref="BF452:BF515" si="269">U452</f>
        <v>0</v>
      </c>
      <c r="BG452" s="433">
        <f t="shared" ref="BG452:BG515" si="270">V452</f>
        <v>0</v>
      </c>
      <c r="BH452" s="433">
        <f t="shared" ref="BH452:BH515" si="271">X452</f>
        <v>0</v>
      </c>
      <c r="BI452" s="433">
        <f t="shared" ref="BI452:BI515" si="272">Y452</f>
        <v>0</v>
      </c>
      <c r="BJ452" s="433">
        <f t="shared" ref="BJ452:BJ515" si="273">Z452</f>
        <v>0</v>
      </c>
      <c r="BK452" s="433">
        <f t="shared" ref="BK452:BK515" si="274">AB452</f>
        <v>0</v>
      </c>
      <c r="BL452" s="433">
        <f t="shared" ref="BL452:BL515" si="275">AC452</f>
        <v>0</v>
      </c>
      <c r="BM452" s="433">
        <f t="shared" ref="BM452:BM515" si="276">AD452</f>
        <v>0</v>
      </c>
      <c r="BN452" s="433">
        <f t="shared" ref="BN452:BN515" si="277">AF452</f>
        <v>0</v>
      </c>
      <c r="BO452" s="433">
        <f t="shared" ref="BO452:BO515" si="278">AG452</f>
        <v>0</v>
      </c>
      <c r="BP452" s="433">
        <f t="shared" ref="BP452:BP515" si="279">AH452</f>
        <v>0</v>
      </c>
      <c r="BQ452" s="433">
        <f t="shared" ref="BQ452:BQ515" si="280">AI452</f>
        <v>0</v>
      </c>
    </row>
    <row r="453" spans="1:69" s="291" customFormat="1" x14ac:dyDescent="0.2">
      <c r="A453" s="317">
        <v>41833</v>
      </c>
      <c r="B453" s="318">
        <v>3</v>
      </c>
      <c r="C453" s="320" t="s">
        <v>2575</v>
      </c>
      <c r="D453" s="321">
        <v>0.78125</v>
      </c>
      <c r="E453" s="321">
        <v>1</v>
      </c>
      <c r="F453" s="434">
        <v>35</v>
      </c>
      <c r="G453" s="435">
        <v>11</v>
      </c>
      <c r="H453" s="434"/>
      <c r="I453" s="436"/>
      <c r="J453" s="437">
        <f t="shared" si="253"/>
        <v>315</v>
      </c>
      <c r="K453" s="285">
        <v>1</v>
      </c>
      <c r="L453" s="285"/>
      <c r="M453" s="285"/>
      <c r="N453" s="438">
        <f t="shared" si="254"/>
        <v>1</v>
      </c>
      <c r="O453" s="285"/>
      <c r="P453" s="285"/>
      <c r="Q453" s="285"/>
      <c r="R453" s="439">
        <f t="shared" si="255"/>
        <v>0</v>
      </c>
      <c r="S453" s="285"/>
      <c r="T453" s="285"/>
      <c r="U453" s="285"/>
      <c r="V453" s="440"/>
      <c r="W453" s="439">
        <f t="shared" si="259"/>
        <v>0</v>
      </c>
      <c r="X453" s="285"/>
      <c r="Y453" s="285"/>
      <c r="Z453" s="440"/>
      <c r="AA453" s="439">
        <f t="shared" si="260"/>
        <v>0</v>
      </c>
      <c r="AB453" s="285"/>
      <c r="AC453" s="285"/>
      <c r="AD453" s="285"/>
      <c r="AE453" s="439">
        <f t="shared" si="261"/>
        <v>0</v>
      </c>
      <c r="AF453" s="285"/>
      <c r="AG453" s="285"/>
      <c r="AH453" s="285"/>
      <c r="AI453" s="285"/>
      <c r="AJ453" s="439">
        <f t="shared" si="262"/>
        <v>0</v>
      </c>
      <c r="AK453" s="340"/>
      <c r="AL453" s="340"/>
      <c r="AM453" s="340"/>
      <c r="AN453" s="340"/>
      <c r="AO453" s="340"/>
      <c r="AP453" s="340"/>
      <c r="AQ453" s="340"/>
      <c r="AR453" s="441">
        <f t="shared" si="263"/>
        <v>0</v>
      </c>
      <c r="AT453" s="313"/>
      <c r="AU453" s="289" t="s">
        <v>2701</v>
      </c>
      <c r="AV453" s="313" t="s">
        <v>2724</v>
      </c>
      <c r="AW453" s="382" t="s">
        <v>2725</v>
      </c>
      <c r="AX453" s="443">
        <f t="shared" si="264"/>
        <v>1</v>
      </c>
      <c r="AY453" s="443">
        <f t="shared" si="265"/>
        <v>0</v>
      </c>
      <c r="AZ453" s="443">
        <f t="shared" si="266"/>
        <v>0</v>
      </c>
      <c r="BA453" s="443">
        <f t="shared" si="256"/>
        <v>0</v>
      </c>
      <c r="BB453" s="443">
        <f t="shared" si="257"/>
        <v>0</v>
      </c>
      <c r="BC453" s="443">
        <f t="shared" si="258"/>
        <v>0</v>
      </c>
      <c r="BD453" s="443">
        <f t="shared" si="267"/>
        <v>0</v>
      </c>
      <c r="BE453" s="443">
        <f t="shared" si="268"/>
        <v>0</v>
      </c>
      <c r="BF453" s="443">
        <f t="shared" si="269"/>
        <v>0</v>
      </c>
      <c r="BG453" s="443">
        <f t="shared" si="270"/>
        <v>0</v>
      </c>
      <c r="BH453" s="443">
        <f t="shared" si="271"/>
        <v>0</v>
      </c>
      <c r="BI453" s="443">
        <f t="shared" si="272"/>
        <v>0</v>
      </c>
      <c r="BJ453" s="443">
        <f t="shared" si="273"/>
        <v>0</v>
      </c>
      <c r="BK453" s="443">
        <f t="shared" si="274"/>
        <v>0</v>
      </c>
      <c r="BL453" s="443">
        <f t="shared" si="275"/>
        <v>0</v>
      </c>
      <c r="BM453" s="443">
        <f t="shared" si="276"/>
        <v>0</v>
      </c>
      <c r="BN453" s="443">
        <f t="shared" si="277"/>
        <v>0</v>
      </c>
      <c r="BO453" s="443">
        <f t="shared" si="278"/>
        <v>0</v>
      </c>
      <c r="BP453" s="443">
        <f t="shared" si="279"/>
        <v>0</v>
      </c>
      <c r="BQ453" s="443">
        <f t="shared" si="280"/>
        <v>0</v>
      </c>
    </row>
    <row r="454" spans="1:69" x14ac:dyDescent="0.2">
      <c r="A454" s="102">
        <v>41834</v>
      </c>
      <c r="B454" s="319">
        <v>1</v>
      </c>
      <c r="C454" s="118" t="s">
        <v>2641</v>
      </c>
      <c r="D454" s="111">
        <v>0</v>
      </c>
      <c r="E454" s="111">
        <v>0.41111111111111115</v>
      </c>
      <c r="F454" s="444">
        <v>33</v>
      </c>
      <c r="G454" s="445">
        <v>9</v>
      </c>
      <c r="H454" s="444"/>
      <c r="I454" s="390"/>
      <c r="J454" s="426">
        <f t="shared" si="253"/>
        <v>592</v>
      </c>
      <c r="K454" s="103"/>
      <c r="L454" s="103">
        <v>1</v>
      </c>
      <c r="M454" s="103"/>
      <c r="N454" s="427">
        <f t="shared" si="254"/>
        <v>1</v>
      </c>
      <c r="O454" s="103"/>
      <c r="P454" s="103">
        <v>2</v>
      </c>
      <c r="Q454" s="103"/>
      <c r="R454" s="428">
        <f t="shared" si="255"/>
        <v>2</v>
      </c>
      <c r="S454" s="103"/>
      <c r="T454" s="103"/>
      <c r="U454" s="103"/>
      <c r="V454" s="125"/>
      <c r="W454" s="428">
        <f t="shared" si="259"/>
        <v>0</v>
      </c>
      <c r="X454" s="103"/>
      <c r="Y454" s="103"/>
      <c r="Z454" s="125"/>
      <c r="AA454" s="428">
        <f t="shared" si="260"/>
        <v>0</v>
      </c>
      <c r="AB454" s="103"/>
      <c r="AC454" s="103"/>
      <c r="AD454" s="103"/>
      <c r="AE454" s="428">
        <f t="shared" si="261"/>
        <v>0</v>
      </c>
      <c r="AF454" s="103"/>
      <c r="AG454" s="103"/>
      <c r="AH454" s="103"/>
      <c r="AI454" s="103"/>
      <c r="AJ454" s="428">
        <f t="shared" si="262"/>
        <v>0</v>
      </c>
      <c r="AK454" s="446"/>
      <c r="AL454" s="446"/>
      <c r="AM454" s="446"/>
      <c r="AN454" s="446"/>
      <c r="AO454" s="446"/>
      <c r="AP454" s="446"/>
      <c r="AQ454" s="446"/>
      <c r="AR454" s="431">
        <f t="shared" si="263"/>
        <v>0</v>
      </c>
      <c r="AT454" s="128"/>
      <c r="AU454" s="100" t="s">
        <v>2726</v>
      </c>
      <c r="AV454" s="128" t="s">
        <v>2756</v>
      </c>
      <c r="AW454" s="100" t="s">
        <v>2757</v>
      </c>
      <c r="AX454" s="433">
        <f t="shared" si="264"/>
        <v>0</v>
      </c>
      <c r="AY454" s="433">
        <f t="shared" si="265"/>
        <v>1</v>
      </c>
      <c r="AZ454" s="433">
        <f t="shared" si="266"/>
        <v>0</v>
      </c>
      <c r="BA454" s="433">
        <f t="shared" si="256"/>
        <v>0</v>
      </c>
      <c r="BB454" s="433">
        <f t="shared" si="257"/>
        <v>2</v>
      </c>
      <c r="BC454" s="433">
        <f t="shared" si="258"/>
        <v>0</v>
      </c>
      <c r="BD454" s="433">
        <f t="shared" si="267"/>
        <v>0</v>
      </c>
      <c r="BE454" s="433">
        <f t="shared" si="268"/>
        <v>0</v>
      </c>
      <c r="BF454" s="433">
        <f t="shared" si="269"/>
        <v>0</v>
      </c>
      <c r="BG454" s="433">
        <f t="shared" si="270"/>
        <v>0</v>
      </c>
      <c r="BH454" s="433">
        <f t="shared" si="271"/>
        <v>0</v>
      </c>
      <c r="BI454" s="433">
        <f t="shared" si="272"/>
        <v>0</v>
      </c>
      <c r="BJ454" s="433">
        <f t="shared" si="273"/>
        <v>0</v>
      </c>
      <c r="BK454" s="433">
        <f t="shared" si="274"/>
        <v>0</v>
      </c>
      <c r="BL454" s="433">
        <f t="shared" si="275"/>
        <v>0</v>
      </c>
      <c r="BM454" s="433">
        <f t="shared" si="276"/>
        <v>0</v>
      </c>
      <c r="BN454" s="433">
        <f t="shared" si="277"/>
        <v>0</v>
      </c>
      <c r="BO454" s="433">
        <f t="shared" si="278"/>
        <v>0</v>
      </c>
      <c r="BP454" s="433">
        <f t="shared" si="279"/>
        <v>0</v>
      </c>
      <c r="BQ454" s="433">
        <f t="shared" si="280"/>
        <v>0</v>
      </c>
    </row>
    <row r="455" spans="1:69" x14ac:dyDescent="0.2">
      <c r="A455" s="102">
        <v>41834</v>
      </c>
      <c r="B455" s="319">
        <v>1</v>
      </c>
      <c r="C455" s="118" t="s">
        <v>2575</v>
      </c>
      <c r="D455" s="111">
        <v>0.41111111111111115</v>
      </c>
      <c r="E455" s="111">
        <v>0.59930555555555554</v>
      </c>
      <c r="F455" s="444">
        <v>33</v>
      </c>
      <c r="G455" s="445">
        <v>8</v>
      </c>
      <c r="H455" s="444"/>
      <c r="I455" s="390"/>
      <c r="J455" s="426">
        <f t="shared" si="253"/>
        <v>270.99999999999994</v>
      </c>
      <c r="K455" s="103"/>
      <c r="L455" s="103"/>
      <c r="M455" s="103"/>
      <c r="N455" s="427">
        <f t="shared" si="254"/>
        <v>0</v>
      </c>
      <c r="O455" s="103"/>
      <c r="P455" s="103"/>
      <c r="Q455" s="103"/>
      <c r="R455" s="428">
        <f t="shared" si="255"/>
        <v>0</v>
      </c>
      <c r="S455" s="103"/>
      <c r="T455" s="103"/>
      <c r="U455" s="103"/>
      <c r="V455" s="125"/>
      <c r="W455" s="428">
        <f t="shared" si="259"/>
        <v>0</v>
      </c>
      <c r="X455" s="103"/>
      <c r="Y455" s="103"/>
      <c r="Z455" s="125"/>
      <c r="AA455" s="428">
        <f t="shared" si="260"/>
        <v>0</v>
      </c>
      <c r="AB455" s="103"/>
      <c r="AC455" s="103"/>
      <c r="AD455" s="103"/>
      <c r="AE455" s="428">
        <f t="shared" si="261"/>
        <v>0</v>
      </c>
      <c r="AF455" s="103"/>
      <c r="AG455" s="103"/>
      <c r="AH455" s="103"/>
      <c r="AI455" s="103"/>
      <c r="AJ455" s="428">
        <f t="shared" si="262"/>
        <v>0</v>
      </c>
      <c r="AK455" s="446"/>
      <c r="AL455" s="446"/>
      <c r="AM455" s="446">
        <v>1</v>
      </c>
      <c r="AN455" s="446"/>
      <c r="AO455" s="446"/>
      <c r="AP455" s="446"/>
      <c r="AQ455" s="446"/>
      <c r="AR455" s="431">
        <f t="shared" si="263"/>
        <v>1</v>
      </c>
      <c r="AT455" s="128"/>
      <c r="AU455" s="100" t="s">
        <v>2727</v>
      </c>
      <c r="AV455" s="128" t="s">
        <v>2756</v>
      </c>
      <c r="AW455" s="100" t="s">
        <v>2757</v>
      </c>
      <c r="AX455" s="433">
        <f t="shared" si="264"/>
        <v>0</v>
      </c>
      <c r="AY455" s="433">
        <f t="shared" si="265"/>
        <v>0</v>
      </c>
      <c r="AZ455" s="433">
        <f t="shared" si="266"/>
        <v>0</v>
      </c>
      <c r="BA455" s="433">
        <f t="shared" si="256"/>
        <v>0</v>
      </c>
      <c r="BB455" s="433">
        <f t="shared" si="257"/>
        <v>0</v>
      </c>
      <c r="BC455" s="433">
        <f t="shared" si="258"/>
        <v>0</v>
      </c>
      <c r="BD455" s="433">
        <f t="shared" si="267"/>
        <v>0</v>
      </c>
      <c r="BE455" s="433">
        <f t="shared" si="268"/>
        <v>0</v>
      </c>
      <c r="BF455" s="433">
        <f t="shared" si="269"/>
        <v>0</v>
      </c>
      <c r="BG455" s="433">
        <f t="shared" si="270"/>
        <v>0</v>
      </c>
      <c r="BH455" s="433">
        <f t="shared" si="271"/>
        <v>0</v>
      </c>
      <c r="BI455" s="433">
        <f t="shared" si="272"/>
        <v>0</v>
      </c>
      <c r="BJ455" s="433">
        <f t="shared" si="273"/>
        <v>0</v>
      </c>
      <c r="BK455" s="433">
        <f t="shared" si="274"/>
        <v>0</v>
      </c>
      <c r="BL455" s="433">
        <f t="shared" si="275"/>
        <v>0</v>
      </c>
      <c r="BM455" s="433">
        <f t="shared" si="276"/>
        <v>0</v>
      </c>
      <c r="BN455" s="433">
        <f t="shared" si="277"/>
        <v>0</v>
      </c>
      <c r="BO455" s="433">
        <f t="shared" si="278"/>
        <v>0</v>
      </c>
      <c r="BP455" s="433">
        <f t="shared" si="279"/>
        <v>0</v>
      </c>
      <c r="BQ455" s="433">
        <f t="shared" si="280"/>
        <v>0</v>
      </c>
    </row>
    <row r="456" spans="1:69" x14ac:dyDescent="0.2">
      <c r="A456" s="102">
        <v>41834</v>
      </c>
      <c r="B456" s="319">
        <v>1</v>
      </c>
      <c r="C456" s="118" t="s">
        <v>2728</v>
      </c>
      <c r="D456" s="111">
        <v>0.59930555555555554</v>
      </c>
      <c r="E456" s="111">
        <v>0.78541666666666676</v>
      </c>
      <c r="F456" s="444">
        <v>33</v>
      </c>
      <c r="G456" s="445">
        <v>9</v>
      </c>
      <c r="H456" s="444"/>
      <c r="I456" s="390"/>
      <c r="J456" s="426">
        <f t="shared" si="253"/>
        <v>268.00000000000017</v>
      </c>
      <c r="K456" s="103">
        <v>1</v>
      </c>
      <c r="L456" s="103"/>
      <c r="M456" s="103"/>
      <c r="N456" s="427">
        <f t="shared" si="254"/>
        <v>1</v>
      </c>
      <c r="O456" s="103"/>
      <c r="P456" s="103"/>
      <c r="Q456" s="103"/>
      <c r="R456" s="428">
        <f t="shared" si="255"/>
        <v>0</v>
      </c>
      <c r="S456" s="103"/>
      <c r="T456" s="103"/>
      <c r="U456" s="103"/>
      <c r="V456" s="125"/>
      <c r="W456" s="428">
        <f t="shared" si="259"/>
        <v>0</v>
      </c>
      <c r="X456" s="103"/>
      <c r="Y456" s="103"/>
      <c r="Z456" s="125"/>
      <c r="AA456" s="428">
        <f t="shared" si="260"/>
        <v>0</v>
      </c>
      <c r="AB456" s="103"/>
      <c r="AC456" s="103"/>
      <c r="AD456" s="103"/>
      <c r="AE456" s="428">
        <f t="shared" si="261"/>
        <v>0</v>
      </c>
      <c r="AF456" s="103"/>
      <c r="AG456" s="103"/>
      <c r="AH456" s="103"/>
      <c r="AI456" s="103"/>
      <c r="AJ456" s="428">
        <f t="shared" si="262"/>
        <v>0</v>
      </c>
      <c r="AK456" s="446"/>
      <c r="AL456" s="446"/>
      <c r="AM456" s="446"/>
      <c r="AN456" s="446"/>
      <c r="AO456" s="446"/>
      <c r="AP456" s="446"/>
      <c r="AQ456" s="446"/>
      <c r="AR456" s="431">
        <f t="shared" si="263"/>
        <v>0</v>
      </c>
      <c r="AT456" s="128"/>
      <c r="AU456" s="100" t="s">
        <v>2729</v>
      </c>
      <c r="AV456" s="128" t="s">
        <v>2756</v>
      </c>
      <c r="AW456" s="100" t="s">
        <v>2757</v>
      </c>
      <c r="AX456" s="433">
        <f t="shared" si="264"/>
        <v>1</v>
      </c>
      <c r="AY456" s="433">
        <f t="shared" si="265"/>
        <v>0</v>
      </c>
      <c r="AZ456" s="433">
        <f t="shared" si="266"/>
        <v>0</v>
      </c>
      <c r="BA456" s="433">
        <f t="shared" si="256"/>
        <v>0</v>
      </c>
      <c r="BB456" s="433">
        <f t="shared" si="257"/>
        <v>0</v>
      </c>
      <c r="BC456" s="433">
        <f t="shared" si="258"/>
        <v>0</v>
      </c>
      <c r="BD456" s="433">
        <f t="shared" si="267"/>
        <v>0</v>
      </c>
      <c r="BE456" s="433">
        <f t="shared" si="268"/>
        <v>0</v>
      </c>
      <c r="BF456" s="433">
        <f t="shared" si="269"/>
        <v>0</v>
      </c>
      <c r="BG456" s="433">
        <f t="shared" si="270"/>
        <v>0</v>
      </c>
      <c r="BH456" s="433">
        <f t="shared" si="271"/>
        <v>0</v>
      </c>
      <c r="BI456" s="433">
        <f t="shared" si="272"/>
        <v>0</v>
      </c>
      <c r="BJ456" s="433">
        <f t="shared" si="273"/>
        <v>0</v>
      </c>
      <c r="BK456" s="433">
        <f t="shared" si="274"/>
        <v>0</v>
      </c>
      <c r="BL456" s="433">
        <f t="shared" si="275"/>
        <v>0</v>
      </c>
      <c r="BM456" s="433">
        <f t="shared" si="276"/>
        <v>0</v>
      </c>
      <c r="BN456" s="433">
        <f t="shared" si="277"/>
        <v>0</v>
      </c>
      <c r="BO456" s="433">
        <f t="shared" si="278"/>
        <v>0</v>
      </c>
      <c r="BP456" s="433">
        <f t="shared" si="279"/>
        <v>0</v>
      </c>
      <c r="BQ456" s="433">
        <f t="shared" si="280"/>
        <v>0</v>
      </c>
    </row>
    <row r="457" spans="1:69" x14ac:dyDescent="0.2">
      <c r="A457" s="102">
        <v>41834</v>
      </c>
      <c r="B457" s="319">
        <v>1</v>
      </c>
      <c r="C457" s="118" t="s">
        <v>2504</v>
      </c>
      <c r="D457" s="111">
        <v>0.78541666666666676</v>
      </c>
      <c r="E457" s="111">
        <v>1</v>
      </c>
      <c r="F457" s="444">
        <v>32</v>
      </c>
      <c r="G457" s="445">
        <v>9</v>
      </c>
      <c r="H457" s="444"/>
      <c r="I457" s="390"/>
      <c r="J457" s="426">
        <f t="shared" si="253"/>
        <v>308.99999999999989</v>
      </c>
      <c r="K457" s="103"/>
      <c r="L457" s="103"/>
      <c r="M457" s="103"/>
      <c r="N457" s="427">
        <f t="shared" si="254"/>
        <v>0</v>
      </c>
      <c r="O457" s="103"/>
      <c r="P457" s="103"/>
      <c r="Q457" s="103"/>
      <c r="R457" s="428">
        <f t="shared" si="255"/>
        <v>0</v>
      </c>
      <c r="S457" s="103"/>
      <c r="T457" s="103"/>
      <c r="U457" s="103"/>
      <c r="V457" s="125"/>
      <c r="W457" s="428">
        <f t="shared" si="259"/>
        <v>0</v>
      </c>
      <c r="X457" s="103"/>
      <c r="Y457" s="103"/>
      <c r="Z457" s="125"/>
      <c r="AA457" s="428">
        <f t="shared" si="260"/>
        <v>0</v>
      </c>
      <c r="AB457" s="103"/>
      <c r="AC457" s="103"/>
      <c r="AD457" s="103"/>
      <c r="AE457" s="428">
        <f t="shared" si="261"/>
        <v>0</v>
      </c>
      <c r="AF457" s="103"/>
      <c r="AG457" s="103"/>
      <c r="AH457" s="103"/>
      <c r="AI457" s="103"/>
      <c r="AJ457" s="428">
        <f t="shared" si="262"/>
        <v>0</v>
      </c>
      <c r="AK457" s="446"/>
      <c r="AL457" s="446"/>
      <c r="AM457" s="446"/>
      <c r="AN457" s="446"/>
      <c r="AO457" s="446"/>
      <c r="AP457" s="446"/>
      <c r="AQ457" s="446"/>
      <c r="AR457" s="431">
        <f t="shared" si="263"/>
        <v>0</v>
      </c>
      <c r="AT457" s="128"/>
      <c r="AU457" s="100" t="s">
        <v>2730</v>
      </c>
      <c r="AV457" s="128" t="s">
        <v>2756</v>
      </c>
      <c r="AW457" s="100" t="s">
        <v>2757</v>
      </c>
      <c r="AX457" s="433">
        <f t="shared" si="264"/>
        <v>0</v>
      </c>
      <c r="AY457" s="433">
        <f t="shared" si="265"/>
        <v>0</v>
      </c>
      <c r="AZ457" s="433">
        <f t="shared" si="266"/>
        <v>0</v>
      </c>
      <c r="BA457" s="433">
        <f t="shared" si="256"/>
        <v>0</v>
      </c>
      <c r="BB457" s="433">
        <f t="shared" si="257"/>
        <v>0</v>
      </c>
      <c r="BC457" s="433">
        <f t="shared" si="258"/>
        <v>0</v>
      </c>
      <c r="BD457" s="433">
        <f t="shared" si="267"/>
        <v>0</v>
      </c>
      <c r="BE457" s="433">
        <f t="shared" si="268"/>
        <v>0</v>
      </c>
      <c r="BF457" s="433">
        <f t="shared" si="269"/>
        <v>0</v>
      </c>
      <c r="BG457" s="433">
        <f t="shared" si="270"/>
        <v>0</v>
      </c>
      <c r="BH457" s="433">
        <f t="shared" si="271"/>
        <v>0</v>
      </c>
      <c r="BI457" s="433">
        <f t="shared" si="272"/>
        <v>0</v>
      </c>
      <c r="BJ457" s="433">
        <f t="shared" si="273"/>
        <v>0</v>
      </c>
      <c r="BK457" s="433">
        <f t="shared" si="274"/>
        <v>0</v>
      </c>
      <c r="BL457" s="433">
        <f t="shared" si="275"/>
        <v>0</v>
      </c>
      <c r="BM457" s="433">
        <f t="shared" si="276"/>
        <v>0</v>
      </c>
      <c r="BN457" s="433">
        <f t="shared" si="277"/>
        <v>0</v>
      </c>
      <c r="BO457" s="433">
        <f t="shared" si="278"/>
        <v>0</v>
      </c>
      <c r="BP457" s="433">
        <f t="shared" si="279"/>
        <v>0</v>
      </c>
      <c r="BQ457" s="433">
        <f t="shared" si="280"/>
        <v>0</v>
      </c>
    </row>
    <row r="458" spans="1:69" x14ac:dyDescent="0.2">
      <c r="A458" s="102">
        <v>41834</v>
      </c>
      <c r="B458" s="319">
        <v>2</v>
      </c>
      <c r="C458" s="118" t="s">
        <v>2641</v>
      </c>
      <c r="D458" s="111">
        <v>0</v>
      </c>
      <c r="E458" s="111">
        <v>0.39999999999999997</v>
      </c>
      <c r="F458" s="444">
        <v>32</v>
      </c>
      <c r="G458" s="445">
        <v>10</v>
      </c>
      <c r="H458" s="444"/>
      <c r="I458" s="390"/>
      <c r="J458" s="426">
        <f t="shared" si="253"/>
        <v>576</v>
      </c>
      <c r="K458" s="103"/>
      <c r="L458" s="103"/>
      <c r="M458" s="103"/>
      <c r="N458" s="427">
        <f t="shared" si="254"/>
        <v>0</v>
      </c>
      <c r="O458" s="103"/>
      <c r="P458" s="103"/>
      <c r="Q458" s="103"/>
      <c r="R458" s="428">
        <f t="shared" si="255"/>
        <v>0</v>
      </c>
      <c r="S458" s="103"/>
      <c r="T458" s="103"/>
      <c r="U458" s="103"/>
      <c r="V458" s="125"/>
      <c r="W458" s="428">
        <f t="shared" si="259"/>
        <v>0</v>
      </c>
      <c r="X458" s="103"/>
      <c r="Y458" s="103"/>
      <c r="Z458" s="125"/>
      <c r="AA458" s="428">
        <f t="shared" si="260"/>
        <v>0</v>
      </c>
      <c r="AB458" s="103"/>
      <c r="AC458" s="103"/>
      <c r="AD458" s="103"/>
      <c r="AE458" s="428">
        <f t="shared" si="261"/>
        <v>0</v>
      </c>
      <c r="AF458" s="103"/>
      <c r="AG458" s="103"/>
      <c r="AH458" s="103"/>
      <c r="AI458" s="103"/>
      <c r="AJ458" s="428">
        <f t="shared" si="262"/>
        <v>0</v>
      </c>
      <c r="AK458" s="446"/>
      <c r="AL458" s="446"/>
      <c r="AM458" s="446"/>
      <c r="AN458" s="446"/>
      <c r="AO458" s="446"/>
      <c r="AP458" s="446"/>
      <c r="AQ458" s="446"/>
      <c r="AR458" s="431">
        <f t="shared" si="263"/>
        <v>0</v>
      </c>
      <c r="AS458" s="10" t="s">
        <v>2731</v>
      </c>
      <c r="AT458" s="128" t="s">
        <v>273</v>
      </c>
      <c r="AU458" s="100" t="s">
        <v>2726</v>
      </c>
      <c r="AV458" s="128" t="s">
        <v>2756</v>
      </c>
      <c r="AW458" s="100" t="s">
        <v>2757</v>
      </c>
      <c r="AX458" s="433">
        <f t="shared" si="264"/>
        <v>0</v>
      </c>
      <c r="AY458" s="433">
        <f t="shared" si="265"/>
        <v>0</v>
      </c>
      <c r="AZ458" s="433">
        <f t="shared" si="266"/>
        <v>0</v>
      </c>
      <c r="BA458" s="433">
        <f t="shared" si="256"/>
        <v>0</v>
      </c>
      <c r="BB458" s="433">
        <f t="shared" si="257"/>
        <v>0</v>
      </c>
      <c r="BC458" s="433">
        <f t="shared" si="258"/>
        <v>0</v>
      </c>
      <c r="BD458" s="433">
        <f t="shared" si="267"/>
        <v>0</v>
      </c>
      <c r="BE458" s="433">
        <f t="shared" si="268"/>
        <v>0</v>
      </c>
      <c r="BF458" s="433">
        <f t="shared" si="269"/>
        <v>0</v>
      </c>
      <c r="BG458" s="433">
        <f t="shared" si="270"/>
        <v>0</v>
      </c>
      <c r="BH458" s="433">
        <f t="shared" si="271"/>
        <v>0</v>
      </c>
      <c r="BI458" s="433">
        <f t="shared" si="272"/>
        <v>0</v>
      </c>
      <c r="BJ458" s="433">
        <f t="shared" si="273"/>
        <v>0</v>
      </c>
      <c r="BK458" s="433">
        <f t="shared" si="274"/>
        <v>0</v>
      </c>
      <c r="BL458" s="433">
        <f t="shared" si="275"/>
        <v>0</v>
      </c>
      <c r="BM458" s="433">
        <f t="shared" si="276"/>
        <v>0</v>
      </c>
      <c r="BN458" s="433">
        <f t="shared" si="277"/>
        <v>0</v>
      </c>
      <c r="BO458" s="433">
        <f t="shared" si="278"/>
        <v>0</v>
      </c>
      <c r="BP458" s="433">
        <f t="shared" si="279"/>
        <v>0</v>
      </c>
      <c r="BQ458" s="433">
        <f t="shared" si="280"/>
        <v>0</v>
      </c>
    </row>
    <row r="459" spans="1:69" x14ac:dyDescent="0.2">
      <c r="A459" s="102">
        <v>41834</v>
      </c>
      <c r="B459" s="319">
        <v>2</v>
      </c>
      <c r="C459" s="118" t="s">
        <v>2575</v>
      </c>
      <c r="D459" s="111">
        <v>0.39999999999999997</v>
      </c>
      <c r="E459" s="111">
        <v>0.59027777777777779</v>
      </c>
      <c r="F459" s="444">
        <v>30</v>
      </c>
      <c r="G459" s="445">
        <v>10</v>
      </c>
      <c r="H459" s="444"/>
      <c r="I459" s="390"/>
      <c r="J459" s="426">
        <f t="shared" si="253"/>
        <v>274.00000000000011</v>
      </c>
      <c r="K459" s="103"/>
      <c r="L459" s="103"/>
      <c r="M459" s="103"/>
      <c r="N459" s="427">
        <f t="shared" si="254"/>
        <v>0</v>
      </c>
      <c r="O459" s="103"/>
      <c r="P459" s="103"/>
      <c r="Q459" s="103"/>
      <c r="R459" s="428">
        <f t="shared" si="255"/>
        <v>0</v>
      </c>
      <c r="S459" s="103"/>
      <c r="T459" s="103"/>
      <c r="U459" s="103"/>
      <c r="V459" s="125"/>
      <c r="W459" s="428">
        <f t="shared" si="259"/>
        <v>0</v>
      </c>
      <c r="X459" s="103"/>
      <c r="Y459" s="103"/>
      <c r="Z459" s="125"/>
      <c r="AA459" s="428">
        <f t="shared" si="260"/>
        <v>0</v>
      </c>
      <c r="AB459" s="103"/>
      <c r="AC459" s="103"/>
      <c r="AD459" s="103"/>
      <c r="AE459" s="428">
        <f t="shared" si="261"/>
        <v>0</v>
      </c>
      <c r="AF459" s="103"/>
      <c r="AG459" s="103"/>
      <c r="AH459" s="103"/>
      <c r="AI459" s="103"/>
      <c r="AJ459" s="428">
        <f t="shared" si="262"/>
        <v>0</v>
      </c>
      <c r="AK459" s="446"/>
      <c r="AL459" s="446"/>
      <c r="AM459" s="446"/>
      <c r="AN459" s="446"/>
      <c r="AO459" s="446"/>
      <c r="AP459" s="446"/>
      <c r="AQ459" s="446"/>
      <c r="AR459" s="431">
        <f t="shared" si="263"/>
        <v>0</v>
      </c>
      <c r="AT459" s="128" t="s">
        <v>424</v>
      </c>
      <c r="AU459" s="100" t="s">
        <v>2727</v>
      </c>
      <c r="AV459" s="128" t="s">
        <v>2756</v>
      </c>
      <c r="AW459" s="100" t="s">
        <v>2757</v>
      </c>
      <c r="AX459" s="433">
        <f t="shared" si="264"/>
        <v>0</v>
      </c>
      <c r="AY459" s="433">
        <f t="shared" si="265"/>
        <v>0</v>
      </c>
      <c r="AZ459" s="433">
        <f t="shared" si="266"/>
        <v>0</v>
      </c>
      <c r="BA459" s="433">
        <f t="shared" si="256"/>
        <v>0</v>
      </c>
      <c r="BB459" s="433">
        <f t="shared" si="257"/>
        <v>0</v>
      </c>
      <c r="BC459" s="433">
        <f t="shared" si="258"/>
        <v>0</v>
      </c>
      <c r="BD459" s="433">
        <f t="shared" si="267"/>
        <v>0</v>
      </c>
      <c r="BE459" s="433">
        <f t="shared" si="268"/>
        <v>0</v>
      </c>
      <c r="BF459" s="433">
        <f t="shared" si="269"/>
        <v>0</v>
      </c>
      <c r="BG459" s="433">
        <f t="shared" si="270"/>
        <v>0</v>
      </c>
      <c r="BH459" s="433">
        <f t="shared" si="271"/>
        <v>0</v>
      </c>
      <c r="BI459" s="433">
        <f t="shared" si="272"/>
        <v>0</v>
      </c>
      <c r="BJ459" s="433">
        <f t="shared" si="273"/>
        <v>0</v>
      </c>
      <c r="BK459" s="433">
        <f t="shared" si="274"/>
        <v>0</v>
      </c>
      <c r="BL459" s="433">
        <f t="shared" si="275"/>
        <v>0</v>
      </c>
      <c r="BM459" s="433">
        <f t="shared" si="276"/>
        <v>0</v>
      </c>
      <c r="BN459" s="433">
        <f t="shared" si="277"/>
        <v>0</v>
      </c>
      <c r="BO459" s="433">
        <f t="shared" si="278"/>
        <v>0</v>
      </c>
      <c r="BP459" s="433">
        <f t="shared" si="279"/>
        <v>0</v>
      </c>
      <c r="BQ459" s="433">
        <f t="shared" si="280"/>
        <v>0</v>
      </c>
    </row>
    <row r="460" spans="1:69" x14ac:dyDescent="0.2">
      <c r="A460" s="102">
        <v>41834</v>
      </c>
      <c r="B460" s="319">
        <v>2</v>
      </c>
      <c r="C460" s="118" t="s">
        <v>2728</v>
      </c>
      <c r="D460" s="111">
        <v>0.59027777777777779</v>
      </c>
      <c r="E460" s="111">
        <v>0.77708333333333324</v>
      </c>
      <c r="F460" s="444">
        <v>33</v>
      </c>
      <c r="G460" s="445">
        <v>9</v>
      </c>
      <c r="H460" s="444"/>
      <c r="I460" s="390"/>
      <c r="J460" s="426">
        <f t="shared" si="253"/>
        <v>268.99999999999983</v>
      </c>
      <c r="K460" s="103"/>
      <c r="L460" s="103"/>
      <c r="M460" s="103"/>
      <c r="N460" s="427">
        <f t="shared" si="254"/>
        <v>0</v>
      </c>
      <c r="O460" s="103"/>
      <c r="P460" s="103"/>
      <c r="Q460" s="103"/>
      <c r="R460" s="428">
        <f t="shared" si="255"/>
        <v>0</v>
      </c>
      <c r="S460" s="103">
        <v>1</v>
      </c>
      <c r="T460" s="103"/>
      <c r="U460" s="103"/>
      <c r="V460" s="125"/>
      <c r="W460" s="428">
        <f t="shared" si="259"/>
        <v>1</v>
      </c>
      <c r="X460" s="103"/>
      <c r="Y460" s="103"/>
      <c r="Z460" s="125"/>
      <c r="AA460" s="428">
        <f t="shared" si="260"/>
        <v>0</v>
      </c>
      <c r="AB460" s="103"/>
      <c r="AC460" s="103"/>
      <c r="AD460" s="103"/>
      <c r="AE460" s="428">
        <f t="shared" si="261"/>
        <v>0</v>
      </c>
      <c r="AF460" s="103"/>
      <c r="AG460" s="103"/>
      <c r="AH460" s="103"/>
      <c r="AI460" s="103"/>
      <c r="AJ460" s="428">
        <f t="shared" si="262"/>
        <v>0</v>
      </c>
      <c r="AK460" s="446"/>
      <c r="AL460" s="446"/>
      <c r="AM460" s="446"/>
      <c r="AN460" s="446"/>
      <c r="AO460" s="446"/>
      <c r="AP460" s="446"/>
      <c r="AQ460" s="446"/>
      <c r="AR460" s="431">
        <f t="shared" si="263"/>
        <v>0</v>
      </c>
      <c r="AT460" s="128"/>
      <c r="AU460" s="100" t="s">
        <v>2729</v>
      </c>
      <c r="AV460" s="128" t="s">
        <v>2756</v>
      </c>
      <c r="AW460" s="100" t="s">
        <v>2757</v>
      </c>
      <c r="AX460" s="433">
        <f t="shared" si="264"/>
        <v>0</v>
      </c>
      <c r="AY460" s="433">
        <f t="shared" si="265"/>
        <v>0</v>
      </c>
      <c r="AZ460" s="433">
        <f t="shared" si="266"/>
        <v>0</v>
      </c>
      <c r="BA460" s="433">
        <f t="shared" si="256"/>
        <v>0</v>
      </c>
      <c r="BB460" s="433">
        <f t="shared" si="257"/>
        <v>0</v>
      </c>
      <c r="BC460" s="433">
        <f t="shared" si="258"/>
        <v>0</v>
      </c>
      <c r="BD460" s="433">
        <f t="shared" si="267"/>
        <v>1</v>
      </c>
      <c r="BE460" s="433">
        <f t="shared" si="268"/>
        <v>0</v>
      </c>
      <c r="BF460" s="433">
        <f t="shared" si="269"/>
        <v>0</v>
      </c>
      <c r="BG460" s="433">
        <f t="shared" si="270"/>
        <v>0</v>
      </c>
      <c r="BH460" s="433">
        <f t="shared" si="271"/>
        <v>0</v>
      </c>
      <c r="BI460" s="433">
        <f t="shared" si="272"/>
        <v>0</v>
      </c>
      <c r="BJ460" s="433">
        <f t="shared" si="273"/>
        <v>0</v>
      </c>
      <c r="BK460" s="433">
        <f t="shared" si="274"/>
        <v>0</v>
      </c>
      <c r="BL460" s="433">
        <f t="shared" si="275"/>
        <v>0</v>
      </c>
      <c r="BM460" s="433">
        <f t="shared" si="276"/>
        <v>0</v>
      </c>
      <c r="BN460" s="433">
        <f t="shared" si="277"/>
        <v>0</v>
      </c>
      <c r="BO460" s="433">
        <f t="shared" si="278"/>
        <v>0</v>
      </c>
      <c r="BP460" s="433">
        <f t="shared" si="279"/>
        <v>0</v>
      </c>
      <c r="BQ460" s="433">
        <f t="shared" si="280"/>
        <v>0</v>
      </c>
    </row>
    <row r="461" spans="1:69" x14ac:dyDescent="0.2">
      <c r="A461" s="102">
        <v>41834</v>
      </c>
      <c r="B461" s="319">
        <v>2</v>
      </c>
      <c r="C461" s="118" t="s">
        <v>2504</v>
      </c>
      <c r="D461" s="111">
        <v>0.77708333333333324</v>
      </c>
      <c r="E461" s="111">
        <v>1</v>
      </c>
      <c r="F461" s="444">
        <v>33</v>
      </c>
      <c r="G461" s="445">
        <v>10</v>
      </c>
      <c r="H461" s="444"/>
      <c r="I461" s="390"/>
      <c r="J461" s="426">
        <f t="shared" si="253"/>
        <v>321.00000000000011</v>
      </c>
      <c r="K461" s="103">
        <v>2</v>
      </c>
      <c r="L461" s="103"/>
      <c r="M461" s="103"/>
      <c r="N461" s="427">
        <f t="shared" si="254"/>
        <v>2</v>
      </c>
      <c r="O461" s="103"/>
      <c r="P461" s="103"/>
      <c r="Q461" s="103"/>
      <c r="R461" s="428">
        <f t="shared" si="255"/>
        <v>0</v>
      </c>
      <c r="S461" s="103"/>
      <c r="T461" s="103"/>
      <c r="U461" s="103"/>
      <c r="V461" s="125"/>
      <c r="W461" s="428">
        <f t="shared" si="259"/>
        <v>0</v>
      </c>
      <c r="X461" s="103"/>
      <c r="Y461" s="103"/>
      <c r="Z461" s="125"/>
      <c r="AA461" s="428">
        <f t="shared" si="260"/>
        <v>0</v>
      </c>
      <c r="AB461" s="103"/>
      <c r="AC461" s="103"/>
      <c r="AD461" s="103"/>
      <c r="AE461" s="428">
        <f t="shared" si="261"/>
        <v>0</v>
      </c>
      <c r="AF461" s="103"/>
      <c r="AG461" s="103"/>
      <c r="AH461" s="103"/>
      <c r="AI461" s="103"/>
      <c r="AJ461" s="428">
        <f t="shared" si="262"/>
        <v>0</v>
      </c>
      <c r="AK461" s="446"/>
      <c r="AL461" s="446"/>
      <c r="AM461" s="446"/>
      <c r="AN461" s="446"/>
      <c r="AO461" s="446"/>
      <c r="AP461" s="446"/>
      <c r="AQ461" s="446"/>
      <c r="AR461" s="431">
        <f t="shared" si="263"/>
        <v>0</v>
      </c>
      <c r="AT461" s="128"/>
      <c r="AU461" s="100" t="s">
        <v>2727</v>
      </c>
      <c r="AV461" s="128" t="s">
        <v>2756</v>
      </c>
      <c r="AW461" s="100" t="s">
        <v>2757</v>
      </c>
      <c r="AX461" s="433">
        <f t="shared" si="264"/>
        <v>2</v>
      </c>
      <c r="AY461" s="433">
        <f t="shared" si="265"/>
        <v>0</v>
      </c>
      <c r="AZ461" s="433">
        <f t="shared" si="266"/>
        <v>0</v>
      </c>
      <c r="BA461" s="433">
        <f t="shared" si="256"/>
        <v>0</v>
      </c>
      <c r="BB461" s="433">
        <f t="shared" si="257"/>
        <v>0</v>
      </c>
      <c r="BC461" s="433">
        <f t="shared" si="258"/>
        <v>0</v>
      </c>
      <c r="BD461" s="433">
        <f t="shared" si="267"/>
        <v>0</v>
      </c>
      <c r="BE461" s="433">
        <f t="shared" si="268"/>
        <v>0</v>
      </c>
      <c r="BF461" s="433">
        <f t="shared" si="269"/>
        <v>0</v>
      </c>
      <c r="BG461" s="433">
        <f t="shared" si="270"/>
        <v>0</v>
      </c>
      <c r="BH461" s="433">
        <f t="shared" si="271"/>
        <v>0</v>
      </c>
      <c r="BI461" s="433">
        <f t="shared" si="272"/>
        <v>0</v>
      </c>
      <c r="BJ461" s="433">
        <f t="shared" si="273"/>
        <v>0</v>
      </c>
      <c r="BK461" s="433">
        <f t="shared" si="274"/>
        <v>0</v>
      </c>
      <c r="BL461" s="433">
        <f t="shared" si="275"/>
        <v>0</v>
      </c>
      <c r="BM461" s="433">
        <f t="shared" si="276"/>
        <v>0</v>
      </c>
      <c r="BN461" s="433">
        <f t="shared" si="277"/>
        <v>0</v>
      </c>
      <c r="BO461" s="433">
        <f t="shared" si="278"/>
        <v>0</v>
      </c>
      <c r="BP461" s="433">
        <f t="shared" si="279"/>
        <v>0</v>
      </c>
      <c r="BQ461" s="433">
        <f t="shared" si="280"/>
        <v>0</v>
      </c>
    </row>
    <row r="462" spans="1:69" x14ac:dyDescent="0.2">
      <c r="A462" s="102">
        <v>41834</v>
      </c>
      <c r="B462" s="319">
        <v>3</v>
      </c>
      <c r="C462" s="118" t="s">
        <v>489</v>
      </c>
      <c r="D462" s="111">
        <v>0</v>
      </c>
      <c r="E462" s="111">
        <v>0.40347222222222223</v>
      </c>
      <c r="F462" s="444">
        <v>37</v>
      </c>
      <c r="G462" s="445">
        <v>10</v>
      </c>
      <c r="H462" s="444"/>
      <c r="I462" s="390"/>
      <c r="J462" s="426">
        <f t="shared" si="253"/>
        <v>581</v>
      </c>
      <c r="K462" s="103"/>
      <c r="L462" s="103"/>
      <c r="M462" s="103">
        <v>2</v>
      </c>
      <c r="N462" s="427">
        <f t="shared" si="254"/>
        <v>2</v>
      </c>
      <c r="O462" s="103"/>
      <c r="P462" s="103"/>
      <c r="Q462" s="103"/>
      <c r="R462" s="428">
        <f t="shared" si="255"/>
        <v>0</v>
      </c>
      <c r="S462" s="103"/>
      <c r="T462" s="103"/>
      <c r="U462" s="103"/>
      <c r="V462" s="125"/>
      <c r="W462" s="428">
        <f t="shared" si="259"/>
        <v>0</v>
      </c>
      <c r="X462" s="103"/>
      <c r="Y462" s="103"/>
      <c r="Z462" s="125"/>
      <c r="AA462" s="428">
        <f t="shared" si="260"/>
        <v>0</v>
      </c>
      <c r="AB462" s="103">
        <v>1</v>
      </c>
      <c r="AC462" s="103"/>
      <c r="AD462" s="103"/>
      <c r="AE462" s="428">
        <f t="shared" si="261"/>
        <v>1</v>
      </c>
      <c r="AF462" s="103"/>
      <c r="AG462" s="103"/>
      <c r="AH462" s="103"/>
      <c r="AI462" s="103"/>
      <c r="AJ462" s="428">
        <f t="shared" si="262"/>
        <v>0</v>
      </c>
      <c r="AK462" s="446"/>
      <c r="AL462" s="446"/>
      <c r="AM462" s="446"/>
      <c r="AN462" s="446"/>
      <c r="AO462" s="446"/>
      <c r="AP462" s="446"/>
      <c r="AQ462" s="446">
        <v>1</v>
      </c>
      <c r="AR462" s="431">
        <f t="shared" si="263"/>
        <v>1</v>
      </c>
      <c r="AT462" s="128"/>
      <c r="AU462" s="100" t="s">
        <v>2732</v>
      </c>
      <c r="AV462" s="128" t="s">
        <v>2756</v>
      </c>
      <c r="AW462" s="100" t="s">
        <v>2757</v>
      </c>
      <c r="AX462" s="433">
        <f t="shared" si="264"/>
        <v>0</v>
      </c>
      <c r="AY462" s="433">
        <f t="shared" si="265"/>
        <v>0</v>
      </c>
      <c r="AZ462" s="433">
        <f t="shared" si="266"/>
        <v>2</v>
      </c>
      <c r="BA462" s="433">
        <f t="shared" si="256"/>
        <v>0</v>
      </c>
      <c r="BB462" s="433">
        <f t="shared" si="257"/>
        <v>0</v>
      </c>
      <c r="BC462" s="433">
        <f t="shared" si="258"/>
        <v>0</v>
      </c>
      <c r="BD462" s="433">
        <f t="shared" si="267"/>
        <v>0</v>
      </c>
      <c r="BE462" s="433">
        <f t="shared" si="268"/>
        <v>0</v>
      </c>
      <c r="BF462" s="433">
        <f t="shared" si="269"/>
        <v>0</v>
      </c>
      <c r="BG462" s="433">
        <f t="shared" si="270"/>
        <v>0</v>
      </c>
      <c r="BH462" s="433">
        <f t="shared" si="271"/>
        <v>0</v>
      </c>
      <c r="BI462" s="433">
        <f t="shared" si="272"/>
        <v>0</v>
      </c>
      <c r="BJ462" s="433">
        <f t="shared" si="273"/>
        <v>0</v>
      </c>
      <c r="BK462" s="433">
        <f t="shared" si="274"/>
        <v>1</v>
      </c>
      <c r="BL462" s="433">
        <f t="shared" si="275"/>
        <v>0</v>
      </c>
      <c r="BM462" s="433">
        <f t="shared" si="276"/>
        <v>0</v>
      </c>
      <c r="BN462" s="433">
        <f t="shared" si="277"/>
        <v>0</v>
      </c>
      <c r="BO462" s="433">
        <f t="shared" si="278"/>
        <v>0</v>
      </c>
      <c r="BP462" s="433">
        <f t="shared" si="279"/>
        <v>0</v>
      </c>
      <c r="BQ462" s="433">
        <f t="shared" si="280"/>
        <v>0</v>
      </c>
    </row>
    <row r="463" spans="1:69" x14ac:dyDescent="0.2">
      <c r="A463" s="102">
        <v>41834</v>
      </c>
      <c r="B463" s="319">
        <v>3</v>
      </c>
      <c r="C463" s="118" t="s">
        <v>437</v>
      </c>
      <c r="D463" s="111">
        <v>0.40347222222222223</v>
      </c>
      <c r="E463" s="111">
        <v>0.60138888888888886</v>
      </c>
      <c r="F463" s="444">
        <v>36</v>
      </c>
      <c r="G463" s="445">
        <v>10</v>
      </c>
      <c r="H463" s="444"/>
      <c r="I463" s="390"/>
      <c r="J463" s="426">
        <f t="shared" si="253"/>
        <v>284.99999999999994</v>
      </c>
      <c r="K463" s="103"/>
      <c r="L463" s="103"/>
      <c r="M463" s="103"/>
      <c r="N463" s="427">
        <f t="shared" si="254"/>
        <v>0</v>
      </c>
      <c r="O463" s="103"/>
      <c r="P463" s="103"/>
      <c r="Q463" s="103"/>
      <c r="R463" s="428">
        <f t="shared" si="255"/>
        <v>0</v>
      </c>
      <c r="S463" s="103"/>
      <c r="T463" s="103"/>
      <c r="U463" s="103"/>
      <c r="V463" s="125"/>
      <c r="W463" s="428">
        <f t="shared" si="259"/>
        <v>0</v>
      </c>
      <c r="X463" s="103"/>
      <c r="Y463" s="103"/>
      <c r="Z463" s="125"/>
      <c r="AA463" s="428">
        <f t="shared" si="260"/>
        <v>0</v>
      </c>
      <c r="AB463" s="103"/>
      <c r="AC463" s="103"/>
      <c r="AD463" s="103"/>
      <c r="AE463" s="428">
        <f t="shared" si="261"/>
        <v>0</v>
      </c>
      <c r="AF463" s="103"/>
      <c r="AG463" s="103"/>
      <c r="AH463" s="103"/>
      <c r="AI463" s="103"/>
      <c r="AJ463" s="428">
        <f t="shared" si="262"/>
        <v>0</v>
      </c>
      <c r="AK463" s="446">
        <v>1</v>
      </c>
      <c r="AL463" s="446"/>
      <c r="AM463" s="446">
        <v>1</v>
      </c>
      <c r="AN463" s="446"/>
      <c r="AO463" s="446"/>
      <c r="AP463" s="446"/>
      <c r="AQ463" s="446"/>
      <c r="AR463" s="431">
        <f t="shared" si="263"/>
        <v>2</v>
      </c>
      <c r="AT463" s="128"/>
      <c r="AU463" s="100" t="s">
        <v>2730</v>
      </c>
      <c r="AV463" s="128" t="s">
        <v>2756</v>
      </c>
      <c r="AW463" s="100" t="s">
        <v>2757</v>
      </c>
      <c r="AX463" s="433">
        <f t="shared" si="264"/>
        <v>0</v>
      </c>
      <c r="AY463" s="433">
        <f t="shared" si="265"/>
        <v>0</v>
      </c>
      <c r="AZ463" s="433">
        <f t="shared" si="266"/>
        <v>0</v>
      </c>
      <c r="BA463" s="433">
        <f t="shared" si="256"/>
        <v>0</v>
      </c>
      <c r="BB463" s="433">
        <f t="shared" si="257"/>
        <v>0</v>
      </c>
      <c r="BC463" s="433">
        <f t="shared" si="258"/>
        <v>0</v>
      </c>
      <c r="BD463" s="433">
        <f t="shared" si="267"/>
        <v>0</v>
      </c>
      <c r="BE463" s="433">
        <f t="shared" si="268"/>
        <v>0</v>
      </c>
      <c r="BF463" s="433">
        <f t="shared" si="269"/>
        <v>0</v>
      </c>
      <c r="BG463" s="433">
        <f t="shared" si="270"/>
        <v>0</v>
      </c>
      <c r="BH463" s="433">
        <f t="shared" si="271"/>
        <v>0</v>
      </c>
      <c r="BI463" s="433">
        <f t="shared" si="272"/>
        <v>0</v>
      </c>
      <c r="BJ463" s="433">
        <f t="shared" si="273"/>
        <v>0</v>
      </c>
      <c r="BK463" s="433">
        <f t="shared" si="274"/>
        <v>0</v>
      </c>
      <c r="BL463" s="433">
        <f t="shared" si="275"/>
        <v>0</v>
      </c>
      <c r="BM463" s="433">
        <f t="shared" si="276"/>
        <v>0</v>
      </c>
      <c r="BN463" s="433">
        <f t="shared" si="277"/>
        <v>0</v>
      </c>
      <c r="BO463" s="433">
        <f t="shared" si="278"/>
        <v>0</v>
      </c>
      <c r="BP463" s="433">
        <f t="shared" si="279"/>
        <v>0</v>
      </c>
      <c r="BQ463" s="433">
        <f t="shared" si="280"/>
        <v>0</v>
      </c>
    </row>
    <row r="464" spans="1:69" x14ac:dyDescent="0.2">
      <c r="A464" s="102">
        <v>41834</v>
      </c>
      <c r="B464" s="319">
        <v>3</v>
      </c>
      <c r="C464" s="118" t="s">
        <v>2607</v>
      </c>
      <c r="D464" s="111">
        <v>0.60138888888888886</v>
      </c>
      <c r="E464" s="111">
        <v>0.78125</v>
      </c>
      <c r="F464" s="444">
        <v>38</v>
      </c>
      <c r="G464" s="445">
        <v>10</v>
      </c>
      <c r="H464" s="444"/>
      <c r="I464" s="390"/>
      <c r="J464" s="426">
        <f t="shared" si="253"/>
        <v>259.00000000000006</v>
      </c>
      <c r="K464" s="103">
        <v>2</v>
      </c>
      <c r="L464" s="103"/>
      <c r="M464" s="103"/>
      <c r="N464" s="427">
        <f t="shared" si="254"/>
        <v>2</v>
      </c>
      <c r="O464" s="103"/>
      <c r="P464" s="103"/>
      <c r="Q464" s="103"/>
      <c r="R464" s="428">
        <f t="shared" si="255"/>
        <v>0</v>
      </c>
      <c r="S464" s="103"/>
      <c r="T464" s="103"/>
      <c r="U464" s="103"/>
      <c r="V464" s="125"/>
      <c r="W464" s="428">
        <f t="shared" si="259"/>
        <v>0</v>
      </c>
      <c r="X464" s="103"/>
      <c r="Y464" s="103"/>
      <c r="Z464" s="125"/>
      <c r="AA464" s="428">
        <f t="shared" si="260"/>
        <v>0</v>
      </c>
      <c r="AB464" s="103"/>
      <c r="AC464" s="103"/>
      <c r="AD464" s="103"/>
      <c r="AE464" s="428">
        <f t="shared" si="261"/>
        <v>0</v>
      </c>
      <c r="AF464" s="103"/>
      <c r="AG464" s="103"/>
      <c r="AH464" s="103"/>
      <c r="AI464" s="103"/>
      <c r="AJ464" s="428">
        <f t="shared" si="262"/>
        <v>0</v>
      </c>
      <c r="AK464" s="446"/>
      <c r="AL464" s="446"/>
      <c r="AM464" s="446"/>
      <c r="AN464" s="446"/>
      <c r="AO464" s="446"/>
      <c r="AP464" s="446"/>
      <c r="AQ464" s="446"/>
      <c r="AR464" s="431">
        <f t="shared" si="263"/>
        <v>0</v>
      </c>
      <c r="AT464" s="128"/>
      <c r="AU464" s="100" t="s">
        <v>2732</v>
      </c>
      <c r="AV464" s="128" t="s">
        <v>2756</v>
      </c>
      <c r="AW464" s="100" t="s">
        <v>2757</v>
      </c>
      <c r="AX464" s="433">
        <f t="shared" si="264"/>
        <v>2</v>
      </c>
      <c r="AY464" s="433">
        <f t="shared" si="265"/>
        <v>0</v>
      </c>
      <c r="AZ464" s="433">
        <f t="shared" si="266"/>
        <v>0</v>
      </c>
      <c r="BA464" s="433">
        <f t="shared" si="256"/>
        <v>0</v>
      </c>
      <c r="BB464" s="433">
        <f t="shared" si="257"/>
        <v>0</v>
      </c>
      <c r="BC464" s="433">
        <f t="shared" si="258"/>
        <v>0</v>
      </c>
      <c r="BD464" s="433">
        <f t="shared" si="267"/>
        <v>0</v>
      </c>
      <c r="BE464" s="433">
        <f t="shared" si="268"/>
        <v>0</v>
      </c>
      <c r="BF464" s="433">
        <f t="shared" si="269"/>
        <v>0</v>
      </c>
      <c r="BG464" s="433">
        <f t="shared" si="270"/>
        <v>0</v>
      </c>
      <c r="BH464" s="433">
        <f t="shared" si="271"/>
        <v>0</v>
      </c>
      <c r="BI464" s="433">
        <f t="shared" si="272"/>
        <v>0</v>
      </c>
      <c r="BJ464" s="433">
        <f t="shared" si="273"/>
        <v>0</v>
      </c>
      <c r="BK464" s="433">
        <f t="shared" si="274"/>
        <v>0</v>
      </c>
      <c r="BL464" s="433">
        <f t="shared" si="275"/>
        <v>0</v>
      </c>
      <c r="BM464" s="433">
        <f t="shared" si="276"/>
        <v>0</v>
      </c>
      <c r="BN464" s="433">
        <f t="shared" si="277"/>
        <v>0</v>
      </c>
      <c r="BO464" s="433">
        <f t="shared" si="278"/>
        <v>0</v>
      </c>
      <c r="BP464" s="433">
        <f t="shared" si="279"/>
        <v>0</v>
      </c>
      <c r="BQ464" s="433">
        <f t="shared" si="280"/>
        <v>0</v>
      </c>
    </row>
    <row r="465" spans="1:69" s="291" customFormat="1" x14ac:dyDescent="0.2">
      <c r="A465" s="317">
        <v>41834</v>
      </c>
      <c r="B465" s="318">
        <v>3</v>
      </c>
      <c r="C465" s="320" t="s">
        <v>2733</v>
      </c>
      <c r="D465" s="321">
        <v>0.78125</v>
      </c>
      <c r="E465" s="321">
        <v>1</v>
      </c>
      <c r="F465" s="434">
        <v>36</v>
      </c>
      <c r="G465" s="435">
        <v>10</v>
      </c>
      <c r="H465" s="434"/>
      <c r="I465" s="436"/>
      <c r="J465" s="437">
        <f t="shared" si="253"/>
        <v>315</v>
      </c>
      <c r="K465" s="285"/>
      <c r="L465" s="285">
        <v>1</v>
      </c>
      <c r="M465" s="285"/>
      <c r="N465" s="438">
        <f t="shared" si="254"/>
        <v>1</v>
      </c>
      <c r="O465" s="285"/>
      <c r="P465" s="285"/>
      <c r="Q465" s="285"/>
      <c r="R465" s="439">
        <f t="shared" si="255"/>
        <v>0</v>
      </c>
      <c r="S465" s="285"/>
      <c r="T465" s="285"/>
      <c r="U465" s="285"/>
      <c r="V465" s="440"/>
      <c r="W465" s="439">
        <f t="shared" si="259"/>
        <v>0</v>
      </c>
      <c r="X465" s="285"/>
      <c r="Y465" s="285"/>
      <c r="Z465" s="440"/>
      <c r="AA465" s="439">
        <f t="shared" si="260"/>
        <v>0</v>
      </c>
      <c r="AB465" s="285"/>
      <c r="AC465" s="285"/>
      <c r="AD465" s="285"/>
      <c r="AE465" s="439">
        <f t="shared" si="261"/>
        <v>0</v>
      </c>
      <c r="AF465" s="285"/>
      <c r="AG465" s="285"/>
      <c r="AH465" s="285"/>
      <c r="AI465" s="285"/>
      <c r="AJ465" s="439">
        <f t="shared" si="262"/>
        <v>0</v>
      </c>
      <c r="AK465" s="340"/>
      <c r="AL465" s="340"/>
      <c r="AM465" s="340"/>
      <c r="AN465" s="340"/>
      <c r="AO465" s="340"/>
      <c r="AP465" s="340"/>
      <c r="AQ465" s="340"/>
      <c r="AR465" s="441">
        <f t="shared" si="263"/>
        <v>0</v>
      </c>
      <c r="AT465" s="313"/>
      <c r="AU465" s="289" t="s">
        <v>2734</v>
      </c>
      <c r="AV465" s="313" t="s">
        <v>2756</v>
      </c>
      <c r="AW465" s="382" t="s">
        <v>2757</v>
      </c>
      <c r="AX465" s="443">
        <f t="shared" si="264"/>
        <v>0</v>
      </c>
      <c r="AY465" s="443">
        <f t="shared" si="265"/>
        <v>1</v>
      </c>
      <c r="AZ465" s="443">
        <f t="shared" si="266"/>
        <v>0</v>
      </c>
      <c r="BA465" s="443">
        <f t="shared" si="256"/>
        <v>0</v>
      </c>
      <c r="BB465" s="443">
        <f t="shared" si="257"/>
        <v>0</v>
      </c>
      <c r="BC465" s="443">
        <f t="shared" si="258"/>
        <v>0</v>
      </c>
      <c r="BD465" s="443">
        <f t="shared" si="267"/>
        <v>0</v>
      </c>
      <c r="BE465" s="443">
        <f t="shared" si="268"/>
        <v>0</v>
      </c>
      <c r="BF465" s="443">
        <f t="shared" si="269"/>
        <v>0</v>
      </c>
      <c r="BG465" s="443">
        <f t="shared" si="270"/>
        <v>0</v>
      </c>
      <c r="BH465" s="443">
        <f t="shared" si="271"/>
        <v>0</v>
      </c>
      <c r="BI465" s="443">
        <f t="shared" si="272"/>
        <v>0</v>
      </c>
      <c r="BJ465" s="443">
        <f t="shared" si="273"/>
        <v>0</v>
      </c>
      <c r="BK465" s="443">
        <f t="shared" si="274"/>
        <v>0</v>
      </c>
      <c r="BL465" s="443">
        <f t="shared" si="275"/>
        <v>0</v>
      </c>
      <c r="BM465" s="443">
        <f t="shared" si="276"/>
        <v>0</v>
      </c>
      <c r="BN465" s="443">
        <f t="shared" si="277"/>
        <v>0</v>
      </c>
      <c r="BO465" s="443">
        <f t="shared" si="278"/>
        <v>0</v>
      </c>
      <c r="BP465" s="443">
        <f t="shared" si="279"/>
        <v>0</v>
      </c>
      <c r="BQ465" s="443">
        <f t="shared" si="280"/>
        <v>0</v>
      </c>
    </row>
    <row r="466" spans="1:69" x14ac:dyDescent="0.2">
      <c r="A466" s="102">
        <v>41835</v>
      </c>
      <c r="B466" s="319">
        <v>1</v>
      </c>
      <c r="C466" s="118" t="s">
        <v>489</v>
      </c>
      <c r="D466" s="111">
        <v>0</v>
      </c>
      <c r="E466" s="111">
        <v>0.40625</v>
      </c>
      <c r="F466" s="444">
        <v>36</v>
      </c>
      <c r="G466" s="445">
        <v>9</v>
      </c>
      <c r="H466" s="444"/>
      <c r="I466" s="390"/>
      <c r="J466" s="426">
        <f>((E466-D466)*24*60)-36</f>
        <v>549</v>
      </c>
      <c r="K466" s="103">
        <v>1</v>
      </c>
      <c r="L466" s="103"/>
      <c r="M466" s="103"/>
      <c r="N466" s="427">
        <f t="shared" si="254"/>
        <v>1</v>
      </c>
      <c r="O466" s="103"/>
      <c r="P466" s="103"/>
      <c r="Q466" s="103"/>
      <c r="R466" s="428">
        <f t="shared" si="255"/>
        <v>0</v>
      </c>
      <c r="S466" s="103"/>
      <c r="T466" s="103"/>
      <c r="U466" s="103"/>
      <c r="V466" s="125"/>
      <c r="W466" s="428">
        <f t="shared" si="259"/>
        <v>0</v>
      </c>
      <c r="X466" s="103"/>
      <c r="Y466" s="103"/>
      <c r="Z466" s="125"/>
      <c r="AA466" s="428">
        <f t="shared" si="260"/>
        <v>0</v>
      </c>
      <c r="AB466" s="103"/>
      <c r="AC466" s="103"/>
      <c r="AD466" s="103"/>
      <c r="AE466" s="428">
        <f t="shared" si="261"/>
        <v>0</v>
      </c>
      <c r="AF466" s="103"/>
      <c r="AG466" s="103"/>
      <c r="AH466" s="103"/>
      <c r="AI466" s="103"/>
      <c r="AJ466" s="428">
        <f t="shared" si="262"/>
        <v>0</v>
      </c>
      <c r="AK466" s="446"/>
      <c r="AL466" s="446"/>
      <c r="AM466" s="446"/>
      <c r="AN466" s="446"/>
      <c r="AO466" s="446"/>
      <c r="AP466" s="446"/>
      <c r="AQ466" s="446"/>
      <c r="AR466" s="431">
        <f t="shared" si="263"/>
        <v>0</v>
      </c>
      <c r="AS466" s="10" t="s">
        <v>2758</v>
      </c>
      <c r="AT466" s="128"/>
      <c r="AU466" s="100" t="s">
        <v>2755</v>
      </c>
      <c r="AV466" s="128" t="s">
        <v>2792</v>
      </c>
      <c r="AW466" s="100" t="s">
        <v>2793</v>
      </c>
      <c r="AX466" s="433">
        <f t="shared" si="264"/>
        <v>1</v>
      </c>
      <c r="AY466" s="433">
        <f t="shared" si="265"/>
        <v>0</v>
      </c>
      <c r="AZ466" s="433">
        <f t="shared" si="266"/>
        <v>0</v>
      </c>
      <c r="BA466" s="433">
        <f t="shared" si="256"/>
        <v>0</v>
      </c>
      <c r="BB466" s="433">
        <f t="shared" si="257"/>
        <v>0</v>
      </c>
      <c r="BC466" s="433">
        <f t="shared" si="258"/>
        <v>0</v>
      </c>
      <c r="BD466" s="433">
        <f t="shared" si="267"/>
        <v>0</v>
      </c>
      <c r="BE466" s="433">
        <f t="shared" si="268"/>
        <v>0</v>
      </c>
      <c r="BF466" s="433">
        <f t="shared" si="269"/>
        <v>0</v>
      </c>
      <c r="BG466" s="433">
        <f t="shared" si="270"/>
        <v>0</v>
      </c>
      <c r="BH466" s="433">
        <f t="shared" si="271"/>
        <v>0</v>
      </c>
      <c r="BI466" s="433">
        <f t="shared" si="272"/>
        <v>0</v>
      </c>
      <c r="BJ466" s="433">
        <f t="shared" si="273"/>
        <v>0</v>
      </c>
      <c r="BK466" s="433">
        <f t="shared" si="274"/>
        <v>0</v>
      </c>
      <c r="BL466" s="433">
        <f t="shared" si="275"/>
        <v>0</v>
      </c>
      <c r="BM466" s="433">
        <f t="shared" si="276"/>
        <v>0</v>
      </c>
      <c r="BN466" s="433">
        <f t="shared" si="277"/>
        <v>0</v>
      </c>
      <c r="BO466" s="433">
        <f t="shared" si="278"/>
        <v>0</v>
      </c>
      <c r="BP466" s="433">
        <f t="shared" si="279"/>
        <v>0</v>
      </c>
      <c r="BQ466" s="433">
        <f t="shared" si="280"/>
        <v>0</v>
      </c>
    </row>
    <row r="467" spans="1:69" x14ac:dyDescent="0.2">
      <c r="A467" s="102">
        <v>41835</v>
      </c>
      <c r="B467" s="319">
        <v>1</v>
      </c>
      <c r="C467" s="118" t="s">
        <v>2733</v>
      </c>
      <c r="D467" s="111">
        <v>0.40625</v>
      </c>
      <c r="E467" s="111">
        <v>0.60416666666666663</v>
      </c>
      <c r="F467" s="444">
        <v>37</v>
      </c>
      <c r="G467" s="445">
        <v>9</v>
      </c>
      <c r="H467" s="444"/>
      <c r="I467" s="390"/>
      <c r="J467" s="426">
        <f>((E467-D467)*24*60)-90</f>
        <v>194.99999999999994</v>
      </c>
      <c r="K467" s="103"/>
      <c r="L467" s="103"/>
      <c r="M467" s="103"/>
      <c r="N467" s="427">
        <f t="shared" si="254"/>
        <v>0</v>
      </c>
      <c r="O467" s="103"/>
      <c r="P467" s="103"/>
      <c r="Q467" s="103"/>
      <c r="R467" s="428">
        <f t="shared" si="255"/>
        <v>0</v>
      </c>
      <c r="S467" s="103"/>
      <c r="T467" s="103"/>
      <c r="U467" s="103"/>
      <c r="V467" s="125"/>
      <c r="W467" s="428">
        <f t="shared" si="259"/>
        <v>0</v>
      </c>
      <c r="X467" s="103"/>
      <c r="Y467" s="103"/>
      <c r="Z467" s="125"/>
      <c r="AA467" s="428">
        <f t="shared" si="260"/>
        <v>0</v>
      </c>
      <c r="AB467" s="103"/>
      <c r="AC467" s="103"/>
      <c r="AD467" s="103"/>
      <c r="AE467" s="428">
        <f t="shared" si="261"/>
        <v>0</v>
      </c>
      <c r="AF467" s="103"/>
      <c r="AG467" s="103"/>
      <c r="AH467" s="103"/>
      <c r="AI467" s="103"/>
      <c r="AJ467" s="428">
        <f t="shared" si="262"/>
        <v>0</v>
      </c>
      <c r="AK467" s="446"/>
      <c r="AL467" s="446"/>
      <c r="AM467" s="446"/>
      <c r="AN467" s="446"/>
      <c r="AO467" s="446"/>
      <c r="AP467" s="446"/>
      <c r="AQ467" s="446"/>
      <c r="AR467" s="431">
        <f t="shared" si="263"/>
        <v>0</v>
      </c>
      <c r="AS467" s="10" t="s">
        <v>2759</v>
      </c>
      <c r="AT467" s="128" t="s">
        <v>424</v>
      </c>
      <c r="AU467" s="100" t="s">
        <v>2760</v>
      </c>
      <c r="AV467" s="128" t="s">
        <v>2792</v>
      </c>
      <c r="AW467" s="100" t="s">
        <v>2793</v>
      </c>
      <c r="AX467" s="433">
        <f t="shared" si="264"/>
        <v>0</v>
      </c>
      <c r="AY467" s="433">
        <f t="shared" si="265"/>
        <v>0</v>
      </c>
      <c r="AZ467" s="433">
        <f t="shared" si="266"/>
        <v>0</v>
      </c>
      <c r="BA467" s="433">
        <f t="shared" si="256"/>
        <v>0</v>
      </c>
      <c r="BB467" s="433">
        <f t="shared" si="257"/>
        <v>0</v>
      </c>
      <c r="BC467" s="433">
        <f t="shared" si="258"/>
        <v>0</v>
      </c>
      <c r="BD467" s="433">
        <f t="shared" si="267"/>
        <v>0</v>
      </c>
      <c r="BE467" s="433">
        <f t="shared" si="268"/>
        <v>0</v>
      </c>
      <c r="BF467" s="433">
        <f t="shared" si="269"/>
        <v>0</v>
      </c>
      <c r="BG467" s="433">
        <f t="shared" si="270"/>
        <v>0</v>
      </c>
      <c r="BH467" s="433">
        <f t="shared" si="271"/>
        <v>0</v>
      </c>
      <c r="BI467" s="433">
        <f t="shared" si="272"/>
        <v>0</v>
      </c>
      <c r="BJ467" s="433">
        <f t="shared" si="273"/>
        <v>0</v>
      </c>
      <c r="BK467" s="433">
        <f t="shared" si="274"/>
        <v>0</v>
      </c>
      <c r="BL467" s="433">
        <f t="shared" si="275"/>
        <v>0</v>
      </c>
      <c r="BM467" s="433">
        <f t="shared" si="276"/>
        <v>0</v>
      </c>
      <c r="BN467" s="433">
        <f t="shared" si="277"/>
        <v>0</v>
      </c>
      <c r="BO467" s="433">
        <f t="shared" si="278"/>
        <v>0</v>
      </c>
      <c r="BP467" s="433">
        <f t="shared" si="279"/>
        <v>0</v>
      </c>
      <c r="BQ467" s="433">
        <f t="shared" si="280"/>
        <v>0</v>
      </c>
    </row>
    <row r="468" spans="1:69" x14ac:dyDescent="0.2">
      <c r="A468" s="102">
        <v>41835</v>
      </c>
      <c r="B468" s="319">
        <v>1</v>
      </c>
      <c r="C468" s="118" t="s">
        <v>2067</v>
      </c>
      <c r="D468" s="111">
        <v>0.60416666666666663</v>
      </c>
      <c r="E468" s="111">
        <v>0.78263888888888899</v>
      </c>
      <c r="F468" s="444">
        <v>36</v>
      </c>
      <c r="G468" s="445">
        <v>10</v>
      </c>
      <c r="H468" s="444"/>
      <c r="I468" s="390"/>
      <c r="J468" s="426">
        <f>((E468-D468)*24*60)-120</f>
        <v>137.00000000000023</v>
      </c>
      <c r="K468" s="103"/>
      <c r="L468" s="103"/>
      <c r="M468" s="103"/>
      <c r="N468" s="427">
        <f t="shared" si="254"/>
        <v>0</v>
      </c>
      <c r="O468" s="103"/>
      <c r="P468" s="103"/>
      <c r="Q468" s="103"/>
      <c r="R468" s="428">
        <f t="shared" si="255"/>
        <v>0</v>
      </c>
      <c r="S468" s="103"/>
      <c r="T468" s="103"/>
      <c r="U468" s="103"/>
      <c r="V468" s="125"/>
      <c r="W468" s="428">
        <f t="shared" si="259"/>
        <v>0</v>
      </c>
      <c r="X468" s="103"/>
      <c r="Y468" s="103"/>
      <c r="Z468" s="125"/>
      <c r="AA468" s="428">
        <f t="shared" si="260"/>
        <v>0</v>
      </c>
      <c r="AB468" s="103"/>
      <c r="AC468" s="103"/>
      <c r="AD468" s="103"/>
      <c r="AE468" s="428">
        <f t="shared" si="261"/>
        <v>0</v>
      </c>
      <c r="AF468" s="103"/>
      <c r="AG468" s="103"/>
      <c r="AH468" s="103"/>
      <c r="AI468" s="103"/>
      <c r="AJ468" s="428">
        <f t="shared" si="262"/>
        <v>0</v>
      </c>
      <c r="AK468" s="446"/>
      <c r="AL468" s="446"/>
      <c r="AM468" s="446"/>
      <c r="AN468" s="446"/>
      <c r="AO468" s="446"/>
      <c r="AP468" s="446"/>
      <c r="AQ468" s="446"/>
      <c r="AR468" s="431">
        <f t="shared" si="263"/>
        <v>0</v>
      </c>
      <c r="AS468" s="10" t="s">
        <v>2761</v>
      </c>
      <c r="AT468" s="128" t="s">
        <v>424</v>
      </c>
      <c r="AU468" s="100" t="s">
        <v>2762</v>
      </c>
      <c r="AV468" s="128" t="s">
        <v>2792</v>
      </c>
      <c r="AW468" s="100" t="s">
        <v>2793</v>
      </c>
      <c r="AX468" s="433">
        <f t="shared" si="264"/>
        <v>0</v>
      </c>
      <c r="AY468" s="433">
        <f t="shared" si="265"/>
        <v>0</v>
      </c>
      <c r="AZ468" s="433">
        <f t="shared" si="266"/>
        <v>0</v>
      </c>
      <c r="BA468" s="433">
        <f t="shared" si="256"/>
        <v>0</v>
      </c>
      <c r="BB468" s="433">
        <f t="shared" si="257"/>
        <v>0</v>
      </c>
      <c r="BC468" s="433">
        <f t="shared" si="258"/>
        <v>0</v>
      </c>
      <c r="BD468" s="433">
        <f t="shared" si="267"/>
        <v>0</v>
      </c>
      <c r="BE468" s="433">
        <f t="shared" si="268"/>
        <v>0</v>
      </c>
      <c r="BF468" s="433">
        <f t="shared" si="269"/>
        <v>0</v>
      </c>
      <c r="BG468" s="433">
        <f t="shared" si="270"/>
        <v>0</v>
      </c>
      <c r="BH468" s="433">
        <f t="shared" si="271"/>
        <v>0</v>
      </c>
      <c r="BI468" s="433">
        <f t="shared" si="272"/>
        <v>0</v>
      </c>
      <c r="BJ468" s="433">
        <f t="shared" si="273"/>
        <v>0</v>
      </c>
      <c r="BK468" s="433">
        <f t="shared" si="274"/>
        <v>0</v>
      </c>
      <c r="BL468" s="433">
        <f t="shared" si="275"/>
        <v>0</v>
      </c>
      <c r="BM468" s="433">
        <f t="shared" si="276"/>
        <v>0</v>
      </c>
      <c r="BN468" s="433">
        <f t="shared" si="277"/>
        <v>0</v>
      </c>
      <c r="BO468" s="433">
        <f t="shared" si="278"/>
        <v>0</v>
      </c>
      <c r="BP468" s="433">
        <f t="shared" si="279"/>
        <v>0</v>
      </c>
      <c r="BQ468" s="433">
        <f t="shared" si="280"/>
        <v>0</v>
      </c>
    </row>
    <row r="469" spans="1:69" x14ac:dyDescent="0.2">
      <c r="A469" s="102">
        <v>41835</v>
      </c>
      <c r="B469" s="319">
        <v>1</v>
      </c>
      <c r="C469" s="118" t="s">
        <v>1614</v>
      </c>
      <c r="D469" s="111">
        <v>0.78263888888888899</v>
      </c>
      <c r="E469" s="111">
        <v>1</v>
      </c>
      <c r="F469" s="444">
        <v>40</v>
      </c>
      <c r="G469" s="445">
        <v>9</v>
      </c>
      <c r="H469" s="444"/>
      <c r="I469" s="390"/>
      <c r="J469" s="426">
        <f t="shared" si="253"/>
        <v>312.99999999999983</v>
      </c>
      <c r="K469" s="103">
        <v>1</v>
      </c>
      <c r="L469" s="103"/>
      <c r="M469" s="103"/>
      <c r="N469" s="427">
        <f t="shared" si="254"/>
        <v>1</v>
      </c>
      <c r="O469" s="103"/>
      <c r="P469" s="103"/>
      <c r="Q469" s="103"/>
      <c r="R469" s="428">
        <f t="shared" si="255"/>
        <v>0</v>
      </c>
      <c r="S469" s="103"/>
      <c r="T469" s="103"/>
      <c r="U469" s="103">
        <v>1</v>
      </c>
      <c r="V469" s="125"/>
      <c r="W469" s="428">
        <f t="shared" si="259"/>
        <v>1</v>
      </c>
      <c r="X469" s="103"/>
      <c r="Y469" s="103"/>
      <c r="Z469" s="125"/>
      <c r="AA469" s="428">
        <f t="shared" si="260"/>
        <v>0</v>
      </c>
      <c r="AB469" s="103"/>
      <c r="AC469" s="103"/>
      <c r="AD469" s="103"/>
      <c r="AE469" s="428">
        <f t="shared" si="261"/>
        <v>0</v>
      </c>
      <c r="AF469" s="103"/>
      <c r="AG469" s="103"/>
      <c r="AH469" s="103"/>
      <c r="AI469" s="103"/>
      <c r="AJ469" s="428">
        <f t="shared" si="262"/>
        <v>0</v>
      </c>
      <c r="AK469" s="446"/>
      <c r="AL469" s="446"/>
      <c r="AM469" s="446"/>
      <c r="AN469" s="446"/>
      <c r="AO469" s="446"/>
      <c r="AP469" s="446"/>
      <c r="AQ469" s="446"/>
      <c r="AR469" s="431">
        <f t="shared" si="263"/>
        <v>0</v>
      </c>
      <c r="AT469" s="128"/>
      <c r="AU469" s="100" t="s">
        <v>2760</v>
      </c>
      <c r="AV469" s="128" t="s">
        <v>2792</v>
      </c>
      <c r="AW469" s="100" t="s">
        <v>2793</v>
      </c>
      <c r="AX469" s="433">
        <f t="shared" si="264"/>
        <v>1</v>
      </c>
      <c r="AY469" s="433">
        <f t="shared" si="265"/>
        <v>0</v>
      </c>
      <c r="AZ469" s="433">
        <f t="shared" si="266"/>
        <v>0</v>
      </c>
      <c r="BA469" s="433">
        <f t="shared" si="256"/>
        <v>0</v>
      </c>
      <c r="BB469" s="433">
        <f t="shared" si="257"/>
        <v>0</v>
      </c>
      <c r="BC469" s="433">
        <f t="shared" si="258"/>
        <v>0</v>
      </c>
      <c r="BD469" s="433">
        <f t="shared" si="267"/>
        <v>0</v>
      </c>
      <c r="BE469" s="433">
        <f t="shared" si="268"/>
        <v>0</v>
      </c>
      <c r="BF469" s="433">
        <f t="shared" si="269"/>
        <v>1</v>
      </c>
      <c r="BG469" s="433">
        <f t="shared" si="270"/>
        <v>0</v>
      </c>
      <c r="BH469" s="433">
        <f t="shared" si="271"/>
        <v>0</v>
      </c>
      <c r="BI469" s="433">
        <f t="shared" si="272"/>
        <v>0</v>
      </c>
      <c r="BJ469" s="433">
        <f t="shared" si="273"/>
        <v>0</v>
      </c>
      <c r="BK469" s="433">
        <f t="shared" si="274"/>
        <v>0</v>
      </c>
      <c r="BL469" s="433">
        <f t="shared" si="275"/>
        <v>0</v>
      </c>
      <c r="BM469" s="433">
        <f t="shared" si="276"/>
        <v>0</v>
      </c>
      <c r="BN469" s="433">
        <f t="shared" si="277"/>
        <v>0</v>
      </c>
      <c r="BO469" s="433">
        <f t="shared" si="278"/>
        <v>0</v>
      </c>
      <c r="BP469" s="433">
        <f t="shared" si="279"/>
        <v>0</v>
      </c>
      <c r="BQ469" s="433">
        <f t="shared" si="280"/>
        <v>0</v>
      </c>
    </row>
    <row r="470" spans="1:69" x14ac:dyDescent="0.2">
      <c r="A470" s="102">
        <v>41835</v>
      </c>
      <c r="B470" s="319">
        <v>2</v>
      </c>
      <c r="C470" s="118" t="s">
        <v>489</v>
      </c>
      <c r="D470" s="111">
        <v>0</v>
      </c>
      <c r="E470" s="111">
        <v>0.39166666666666666</v>
      </c>
      <c r="F470" s="444">
        <v>36</v>
      </c>
      <c r="G470" s="445">
        <v>11</v>
      </c>
      <c r="H470" s="444"/>
      <c r="I470" s="390"/>
      <c r="J470" s="426">
        <f t="shared" si="253"/>
        <v>564</v>
      </c>
      <c r="K470" s="103"/>
      <c r="L470" s="103"/>
      <c r="M470" s="103"/>
      <c r="N470" s="427">
        <f t="shared" si="254"/>
        <v>0</v>
      </c>
      <c r="O470" s="103"/>
      <c r="P470" s="103"/>
      <c r="Q470" s="103"/>
      <c r="R470" s="428">
        <f t="shared" si="255"/>
        <v>0</v>
      </c>
      <c r="S470" s="103">
        <v>1</v>
      </c>
      <c r="T470" s="103"/>
      <c r="U470" s="103"/>
      <c r="V470" s="125"/>
      <c r="W470" s="428">
        <f t="shared" si="259"/>
        <v>1</v>
      </c>
      <c r="X470" s="103"/>
      <c r="Y470" s="103"/>
      <c r="Z470" s="125"/>
      <c r="AA470" s="428">
        <f t="shared" si="260"/>
        <v>0</v>
      </c>
      <c r="AB470" s="103"/>
      <c r="AC470" s="103"/>
      <c r="AD470" s="103"/>
      <c r="AE470" s="428">
        <f t="shared" si="261"/>
        <v>0</v>
      </c>
      <c r="AF470" s="103"/>
      <c r="AG470" s="103"/>
      <c r="AH470" s="103"/>
      <c r="AI470" s="103"/>
      <c r="AJ470" s="428">
        <f t="shared" si="262"/>
        <v>0</v>
      </c>
      <c r="AK470" s="446"/>
      <c r="AL470" s="446"/>
      <c r="AM470" s="446"/>
      <c r="AN470" s="446"/>
      <c r="AO470" s="446"/>
      <c r="AP470" s="446"/>
      <c r="AQ470" s="446"/>
      <c r="AR470" s="431">
        <f t="shared" si="263"/>
        <v>0</v>
      </c>
      <c r="AT470" s="128"/>
      <c r="AU470" s="100" t="s">
        <v>2755</v>
      </c>
      <c r="AV470" s="128" t="s">
        <v>2792</v>
      </c>
      <c r="AW470" s="100" t="s">
        <v>2793</v>
      </c>
      <c r="AX470" s="433">
        <f t="shared" si="264"/>
        <v>0</v>
      </c>
      <c r="AY470" s="433">
        <f t="shared" si="265"/>
        <v>0</v>
      </c>
      <c r="AZ470" s="433">
        <f t="shared" si="266"/>
        <v>0</v>
      </c>
      <c r="BA470" s="433">
        <f t="shared" si="256"/>
        <v>0</v>
      </c>
      <c r="BB470" s="433">
        <f t="shared" si="257"/>
        <v>0</v>
      </c>
      <c r="BC470" s="433">
        <f t="shared" si="258"/>
        <v>0</v>
      </c>
      <c r="BD470" s="433">
        <f t="shared" si="267"/>
        <v>1</v>
      </c>
      <c r="BE470" s="433">
        <f t="shared" si="268"/>
        <v>0</v>
      </c>
      <c r="BF470" s="433">
        <f t="shared" si="269"/>
        <v>0</v>
      </c>
      <c r="BG470" s="433">
        <f t="shared" si="270"/>
        <v>0</v>
      </c>
      <c r="BH470" s="433">
        <f t="shared" si="271"/>
        <v>0</v>
      </c>
      <c r="BI470" s="433">
        <f t="shared" si="272"/>
        <v>0</v>
      </c>
      <c r="BJ470" s="433">
        <f t="shared" si="273"/>
        <v>0</v>
      </c>
      <c r="BK470" s="433">
        <f t="shared" si="274"/>
        <v>0</v>
      </c>
      <c r="BL470" s="433">
        <f t="shared" si="275"/>
        <v>0</v>
      </c>
      <c r="BM470" s="433">
        <f t="shared" si="276"/>
        <v>0</v>
      </c>
      <c r="BN470" s="433">
        <f t="shared" si="277"/>
        <v>0</v>
      </c>
      <c r="BO470" s="433">
        <f t="shared" si="278"/>
        <v>0</v>
      </c>
      <c r="BP470" s="433">
        <f t="shared" si="279"/>
        <v>0</v>
      </c>
      <c r="BQ470" s="433">
        <f t="shared" si="280"/>
        <v>0</v>
      </c>
    </row>
    <row r="471" spans="1:69" x14ac:dyDescent="0.2">
      <c r="A471" s="102">
        <v>41835</v>
      </c>
      <c r="B471" s="319">
        <v>2</v>
      </c>
      <c r="C471" s="118" t="s">
        <v>2733</v>
      </c>
      <c r="D471" s="111">
        <v>0.39166666666666666</v>
      </c>
      <c r="E471" s="111">
        <v>0.59097222222222223</v>
      </c>
      <c r="F471" s="444">
        <v>35</v>
      </c>
      <c r="G471" s="445">
        <v>10</v>
      </c>
      <c r="H471" s="444"/>
      <c r="I471" s="390"/>
      <c r="J471" s="426">
        <f t="shared" si="253"/>
        <v>287</v>
      </c>
      <c r="K471" s="103"/>
      <c r="L471" s="103">
        <v>1</v>
      </c>
      <c r="M471" s="103"/>
      <c r="N471" s="427">
        <f t="shared" si="254"/>
        <v>1</v>
      </c>
      <c r="O471" s="103"/>
      <c r="P471" s="103"/>
      <c r="Q471" s="103"/>
      <c r="R471" s="428">
        <f t="shared" si="255"/>
        <v>0</v>
      </c>
      <c r="S471" s="103">
        <v>1</v>
      </c>
      <c r="T471" s="103"/>
      <c r="U471" s="103"/>
      <c r="V471" s="125"/>
      <c r="W471" s="428">
        <f t="shared" si="259"/>
        <v>1</v>
      </c>
      <c r="X471" s="103"/>
      <c r="Y471" s="103"/>
      <c r="Z471" s="125"/>
      <c r="AA471" s="428">
        <f t="shared" si="260"/>
        <v>0</v>
      </c>
      <c r="AB471" s="103"/>
      <c r="AC471" s="103"/>
      <c r="AD471" s="103"/>
      <c r="AE471" s="428">
        <f t="shared" si="261"/>
        <v>0</v>
      </c>
      <c r="AF471" s="103"/>
      <c r="AG471" s="103"/>
      <c r="AH471" s="103"/>
      <c r="AI471" s="103"/>
      <c r="AJ471" s="428">
        <f t="shared" si="262"/>
        <v>0</v>
      </c>
      <c r="AK471" s="446"/>
      <c r="AL471" s="446"/>
      <c r="AM471" s="446"/>
      <c r="AN471" s="446"/>
      <c r="AO471" s="446"/>
      <c r="AP471" s="446"/>
      <c r="AQ471" s="446"/>
      <c r="AR471" s="431">
        <f t="shared" si="263"/>
        <v>0</v>
      </c>
      <c r="AT471" s="128"/>
      <c r="AU471" s="100" t="s">
        <v>2760</v>
      </c>
      <c r="AV471" s="128" t="s">
        <v>2792</v>
      </c>
      <c r="AW471" s="100" t="s">
        <v>2793</v>
      </c>
      <c r="AX471" s="433">
        <f t="shared" si="264"/>
        <v>0</v>
      </c>
      <c r="AY471" s="433">
        <f t="shared" si="265"/>
        <v>1</v>
      </c>
      <c r="AZ471" s="433">
        <f t="shared" si="266"/>
        <v>0</v>
      </c>
      <c r="BA471" s="433">
        <f t="shared" si="256"/>
        <v>0</v>
      </c>
      <c r="BB471" s="433">
        <f t="shared" si="257"/>
        <v>0</v>
      </c>
      <c r="BC471" s="433">
        <f t="shared" si="258"/>
        <v>0</v>
      </c>
      <c r="BD471" s="433">
        <f t="shared" si="267"/>
        <v>1</v>
      </c>
      <c r="BE471" s="433">
        <f t="shared" si="268"/>
        <v>0</v>
      </c>
      <c r="BF471" s="433">
        <f t="shared" si="269"/>
        <v>0</v>
      </c>
      <c r="BG471" s="433">
        <f t="shared" si="270"/>
        <v>0</v>
      </c>
      <c r="BH471" s="433">
        <f t="shared" si="271"/>
        <v>0</v>
      </c>
      <c r="BI471" s="433">
        <f t="shared" si="272"/>
        <v>0</v>
      </c>
      <c r="BJ471" s="433">
        <f t="shared" si="273"/>
        <v>0</v>
      </c>
      <c r="BK471" s="433">
        <f t="shared" si="274"/>
        <v>0</v>
      </c>
      <c r="BL471" s="433">
        <f t="shared" si="275"/>
        <v>0</v>
      </c>
      <c r="BM471" s="433">
        <f t="shared" si="276"/>
        <v>0</v>
      </c>
      <c r="BN471" s="433">
        <f t="shared" si="277"/>
        <v>0</v>
      </c>
      <c r="BO471" s="433">
        <f t="shared" si="278"/>
        <v>0</v>
      </c>
      <c r="BP471" s="433">
        <f t="shared" si="279"/>
        <v>0</v>
      </c>
      <c r="BQ471" s="433">
        <f t="shared" si="280"/>
        <v>0</v>
      </c>
    </row>
    <row r="472" spans="1:69" x14ac:dyDescent="0.2">
      <c r="A472" s="102">
        <v>41835</v>
      </c>
      <c r="B472" s="319">
        <v>2</v>
      </c>
      <c r="C472" s="118" t="s">
        <v>2067</v>
      </c>
      <c r="D472" s="111">
        <v>0.59097222222222223</v>
      </c>
      <c r="E472" s="111">
        <v>0.77430555555555547</v>
      </c>
      <c r="F472" s="444">
        <v>34</v>
      </c>
      <c r="G472" s="445">
        <v>12</v>
      </c>
      <c r="H472" s="444"/>
      <c r="I472" s="390"/>
      <c r="J472" s="426">
        <f t="shared" si="253"/>
        <v>263.99999999999989</v>
      </c>
      <c r="K472" s="103"/>
      <c r="L472" s="103"/>
      <c r="M472" s="103"/>
      <c r="N472" s="427">
        <f t="shared" si="254"/>
        <v>0</v>
      </c>
      <c r="O472" s="103"/>
      <c r="P472" s="103"/>
      <c r="Q472" s="103"/>
      <c r="R472" s="428">
        <f t="shared" si="255"/>
        <v>0</v>
      </c>
      <c r="S472" s="103">
        <v>2</v>
      </c>
      <c r="T472" s="103"/>
      <c r="U472" s="103"/>
      <c r="V472" s="125"/>
      <c r="W472" s="428">
        <f t="shared" si="259"/>
        <v>2</v>
      </c>
      <c r="X472" s="103"/>
      <c r="Y472" s="103"/>
      <c r="Z472" s="125"/>
      <c r="AA472" s="428">
        <f t="shared" si="260"/>
        <v>0</v>
      </c>
      <c r="AB472" s="103"/>
      <c r="AC472" s="103"/>
      <c r="AD472" s="103"/>
      <c r="AE472" s="428">
        <f t="shared" si="261"/>
        <v>0</v>
      </c>
      <c r="AF472" s="103"/>
      <c r="AG472" s="103"/>
      <c r="AH472" s="103"/>
      <c r="AI472" s="103"/>
      <c r="AJ472" s="428">
        <f t="shared" si="262"/>
        <v>0</v>
      </c>
      <c r="AK472" s="446"/>
      <c r="AL472" s="446"/>
      <c r="AM472" s="446"/>
      <c r="AN472" s="446"/>
      <c r="AO472" s="446"/>
      <c r="AP472" s="446"/>
      <c r="AQ472" s="446"/>
      <c r="AR472" s="431">
        <f t="shared" si="263"/>
        <v>0</v>
      </c>
      <c r="AS472" s="10" t="s">
        <v>2763</v>
      </c>
      <c r="AT472" s="128"/>
      <c r="AU472" s="100" t="s">
        <v>2762</v>
      </c>
      <c r="AV472" s="128" t="s">
        <v>2792</v>
      </c>
      <c r="AW472" s="100" t="s">
        <v>2793</v>
      </c>
      <c r="AX472" s="433">
        <f t="shared" si="264"/>
        <v>0</v>
      </c>
      <c r="AY472" s="433">
        <f t="shared" si="265"/>
        <v>0</v>
      </c>
      <c r="AZ472" s="433">
        <f t="shared" si="266"/>
        <v>0</v>
      </c>
      <c r="BA472" s="433">
        <f t="shared" si="256"/>
        <v>0</v>
      </c>
      <c r="BB472" s="433">
        <f t="shared" si="257"/>
        <v>0</v>
      </c>
      <c r="BC472" s="433">
        <f t="shared" si="258"/>
        <v>0</v>
      </c>
      <c r="BD472" s="433">
        <f t="shared" si="267"/>
        <v>2</v>
      </c>
      <c r="BE472" s="433">
        <f t="shared" si="268"/>
        <v>0</v>
      </c>
      <c r="BF472" s="433">
        <f t="shared" si="269"/>
        <v>0</v>
      </c>
      <c r="BG472" s="433">
        <f t="shared" si="270"/>
        <v>0</v>
      </c>
      <c r="BH472" s="433">
        <f t="shared" si="271"/>
        <v>0</v>
      </c>
      <c r="BI472" s="433">
        <f t="shared" si="272"/>
        <v>0</v>
      </c>
      <c r="BJ472" s="433">
        <f t="shared" si="273"/>
        <v>0</v>
      </c>
      <c r="BK472" s="433">
        <f t="shared" si="274"/>
        <v>0</v>
      </c>
      <c r="BL472" s="433">
        <f t="shared" si="275"/>
        <v>0</v>
      </c>
      <c r="BM472" s="433">
        <f t="shared" si="276"/>
        <v>0</v>
      </c>
      <c r="BN472" s="433">
        <f t="shared" si="277"/>
        <v>0</v>
      </c>
      <c r="BO472" s="433">
        <f t="shared" si="278"/>
        <v>0</v>
      </c>
      <c r="BP472" s="433">
        <f t="shared" si="279"/>
        <v>0</v>
      </c>
      <c r="BQ472" s="433">
        <f t="shared" si="280"/>
        <v>0</v>
      </c>
    </row>
    <row r="473" spans="1:69" x14ac:dyDescent="0.2">
      <c r="A473" s="102">
        <v>41835</v>
      </c>
      <c r="B473" s="319">
        <v>2</v>
      </c>
      <c r="C473" s="118" t="s">
        <v>1614</v>
      </c>
      <c r="D473" s="111">
        <v>0.77430555555555547</v>
      </c>
      <c r="E473" s="111">
        <v>1</v>
      </c>
      <c r="F473" s="444">
        <v>33</v>
      </c>
      <c r="G473" s="445">
        <v>12</v>
      </c>
      <c r="H473" s="444"/>
      <c r="I473" s="390"/>
      <c r="J473" s="426">
        <f t="shared" si="253"/>
        <v>325.00000000000011</v>
      </c>
      <c r="K473" s="103"/>
      <c r="L473" s="103"/>
      <c r="M473" s="103"/>
      <c r="N473" s="427">
        <f t="shared" si="254"/>
        <v>0</v>
      </c>
      <c r="O473" s="103"/>
      <c r="P473" s="103"/>
      <c r="Q473" s="103"/>
      <c r="R473" s="428">
        <f t="shared" si="255"/>
        <v>0</v>
      </c>
      <c r="S473" s="103">
        <v>1</v>
      </c>
      <c r="T473" s="103"/>
      <c r="U473" s="103"/>
      <c r="V473" s="125"/>
      <c r="W473" s="428">
        <f t="shared" si="259"/>
        <v>1</v>
      </c>
      <c r="X473" s="103"/>
      <c r="Y473" s="103"/>
      <c r="Z473" s="125"/>
      <c r="AA473" s="428">
        <f t="shared" si="260"/>
        <v>0</v>
      </c>
      <c r="AB473" s="103"/>
      <c r="AC473" s="103"/>
      <c r="AD473" s="103"/>
      <c r="AE473" s="428">
        <f t="shared" si="261"/>
        <v>0</v>
      </c>
      <c r="AF473" s="103"/>
      <c r="AG473" s="103"/>
      <c r="AH473" s="103"/>
      <c r="AI473" s="103"/>
      <c r="AJ473" s="428">
        <f t="shared" si="262"/>
        <v>0</v>
      </c>
      <c r="AK473" s="446"/>
      <c r="AL473" s="446"/>
      <c r="AM473" s="446"/>
      <c r="AN473" s="446"/>
      <c r="AO473" s="446"/>
      <c r="AP473" s="446"/>
      <c r="AQ473" s="446"/>
      <c r="AR473" s="431">
        <f t="shared" si="263"/>
        <v>0</v>
      </c>
      <c r="AS473" s="10" t="s">
        <v>2764</v>
      </c>
      <c r="AT473" s="128"/>
      <c r="AU473" s="100" t="s">
        <v>2760</v>
      </c>
      <c r="AV473" s="128" t="s">
        <v>2792</v>
      </c>
      <c r="AW473" s="100" t="s">
        <v>2793</v>
      </c>
      <c r="AX473" s="433">
        <f t="shared" si="264"/>
        <v>0</v>
      </c>
      <c r="AY473" s="433">
        <f t="shared" si="265"/>
        <v>0</v>
      </c>
      <c r="AZ473" s="433">
        <f t="shared" si="266"/>
        <v>0</v>
      </c>
      <c r="BA473" s="433">
        <f t="shared" si="256"/>
        <v>0</v>
      </c>
      <c r="BB473" s="433">
        <f t="shared" si="257"/>
        <v>0</v>
      </c>
      <c r="BC473" s="433">
        <f t="shared" si="258"/>
        <v>0</v>
      </c>
      <c r="BD473" s="433">
        <f t="shared" si="267"/>
        <v>1</v>
      </c>
      <c r="BE473" s="433">
        <f t="shared" si="268"/>
        <v>0</v>
      </c>
      <c r="BF473" s="433">
        <f t="shared" si="269"/>
        <v>0</v>
      </c>
      <c r="BG473" s="433">
        <f t="shared" si="270"/>
        <v>0</v>
      </c>
      <c r="BH473" s="433">
        <f t="shared" si="271"/>
        <v>0</v>
      </c>
      <c r="BI473" s="433">
        <f t="shared" si="272"/>
        <v>0</v>
      </c>
      <c r="BJ473" s="433">
        <f t="shared" si="273"/>
        <v>0</v>
      </c>
      <c r="BK473" s="433">
        <f t="shared" si="274"/>
        <v>0</v>
      </c>
      <c r="BL473" s="433">
        <f t="shared" si="275"/>
        <v>0</v>
      </c>
      <c r="BM473" s="433">
        <f t="shared" si="276"/>
        <v>0</v>
      </c>
      <c r="BN473" s="433">
        <f t="shared" si="277"/>
        <v>0</v>
      </c>
      <c r="BO473" s="433">
        <f t="shared" si="278"/>
        <v>0</v>
      </c>
      <c r="BP473" s="433">
        <f t="shared" si="279"/>
        <v>0</v>
      </c>
      <c r="BQ473" s="433">
        <f t="shared" si="280"/>
        <v>0</v>
      </c>
    </row>
    <row r="474" spans="1:69" x14ac:dyDescent="0.2">
      <c r="A474" s="102">
        <v>41835</v>
      </c>
      <c r="B474" s="319">
        <v>3</v>
      </c>
      <c r="C474" s="118" t="s">
        <v>2641</v>
      </c>
      <c r="D474" s="111">
        <v>0</v>
      </c>
      <c r="E474" s="111">
        <v>0.40833333333333338</v>
      </c>
      <c r="F474" s="444">
        <v>40</v>
      </c>
      <c r="G474" s="445">
        <v>10</v>
      </c>
      <c r="H474" s="444"/>
      <c r="I474" s="390"/>
      <c r="J474" s="426">
        <f t="shared" si="253"/>
        <v>588</v>
      </c>
      <c r="K474" s="103">
        <v>3</v>
      </c>
      <c r="L474" s="103"/>
      <c r="M474" s="103"/>
      <c r="N474" s="427">
        <f t="shared" si="254"/>
        <v>3</v>
      </c>
      <c r="O474" s="103">
        <v>1</v>
      </c>
      <c r="P474" s="103">
        <v>2</v>
      </c>
      <c r="Q474" s="103"/>
      <c r="R474" s="428">
        <f t="shared" si="255"/>
        <v>3</v>
      </c>
      <c r="S474" s="103">
        <v>1</v>
      </c>
      <c r="T474" s="103"/>
      <c r="U474" s="103"/>
      <c r="V474" s="125"/>
      <c r="W474" s="428">
        <f t="shared" si="259"/>
        <v>1</v>
      </c>
      <c r="X474" s="103"/>
      <c r="Y474" s="103"/>
      <c r="Z474" s="125"/>
      <c r="AA474" s="428">
        <f t="shared" si="260"/>
        <v>0</v>
      </c>
      <c r="AB474" s="103"/>
      <c r="AC474" s="103"/>
      <c r="AD474" s="103"/>
      <c r="AE474" s="428">
        <f t="shared" si="261"/>
        <v>0</v>
      </c>
      <c r="AF474" s="103"/>
      <c r="AG474" s="103"/>
      <c r="AH474" s="103"/>
      <c r="AI474" s="103"/>
      <c r="AJ474" s="428">
        <f t="shared" si="262"/>
        <v>0</v>
      </c>
      <c r="AK474" s="446"/>
      <c r="AL474" s="446"/>
      <c r="AM474" s="446"/>
      <c r="AN474" s="446">
        <v>1</v>
      </c>
      <c r="AO474" s="446"/>
      <c r="AP474" s="446"/>
      <c r="AQ474" s="446"/>
      <c r="AR474" s="431">
        <f t="shared" si="263"/>
        <v>1</v>
      </c>
      <c r="AT474" s="128" t="s">
        <v>2765</v>
      </c>
      <c r="AU474" s="100" t="s">
        <v>2766</v>
      </c>
      <c r="AV474" s="128" t="s">
        <v>2792</v>
      </c>
      <c r="AW474" s="100" t="s">
        <v>2793</v>
      </c>
      <c r="AX474" s="433">
        <f t="shared" si="264"/>
        <v>3</v>
      </c>
      <c r="AY474" s="433">
        <f t="shared" si="265"/>
        <v>0</v>
      </c>
      <c r="AZ474" s="433">
        <f t="shared" si="266"/>
        <v>0</v>
      </c>
      <c r="BA474" s="433">
        <f t="shared" si="256"/>
        <v>1</v>
      </c>
      <c r="BB474" s="433">
        <f t="shared" si="257"/>
        <v>2</v>
      </c>
      <c r="BC474" s="433">
        <f t="shared" si="258"/>
        <v>0</v>
      </c>
      <c r="BD474" s="433">
        <f t="shared" si="267"/>
        <v>1</v>
      </c>
      <c r="BE474" s="433">
        <f t="shared" si="268"/>
        <v>0</v>
      </c>
      <c r="BF474" s="433">
        <f t="shared" si="269"/>
        <v>0</v>
      </c>
      <c r="BG474" s="433">
        <f t="shared" si="270"/>
        <v>0</v>
      </c>
      <c r="BH474" s="433">
        <f t="shared" si="271"/>
        <v>0</v>
      </c>
      <c r="BI474" s="433">
        <f t="shared" si="272"/>
        <v>0</v>
      </c>
      <c r="BJ474" s="433">
        <f t="shared" si="273"/>
        <v>0</v>
      </c>
      <c r="BK474" s="433">
        <f t="shared" si="274"/>
        <v>0</v>
      </c>
      <c r="BL474" s="433">
        <f t="shared" si="275"/>
        <v>0</v>
      </c>
      <c r="BM474" s="433">
        <f t="shared" si="276"/>
        <v>0</v>
      </c>
      <c r="BN474" s="433">
        <f t="shared" si="277"/>
        <v>0</v>
      </c>
      <c r="BO474" s="433">
        <f t="shared" si="278"/>
        <v>0</v>
      </c>
      <c r="BP474" s="433">
        <f t="shared" si="279"/>
        <v>0</v>
      </c>
      <c r="BQ474" s="433">
        <f t="shared" si="280"/>
        <v>0</v>
      </c>
    </row>
    <row r="475" spans="1:69" x14ac:dyDescent="0.2">
      <c r="A475" s="102">
        <v>41835</v>
      </c>
      <c r="B475" s="319">
        <v>3</v>
      </c>
      <c r="C475" s="118" t="s">
        <v>2504</v>
      </c>
      <c r="D475" s="111">
        <v>0.40833333333333338</v>
      </c>
      <c r="E475" s="111">
        <v>0.6</v>
      </c>
      <c r="F475" s="444">
        <v>40</v>
      </c>
      <c r="G475" s="445">
        <v>10</v>
      </c>
      <c r="H475" s="444"/>
      <c r="I475" s="390"/>
      <c r="J475" s="426">
        <f>((E475-D475)*24*60)-5</f>
        <v>270.99999999999989</v>
      </c>
      <c r="K475" s="103">
        <v>1</v>
      </c>
      <c r="L475" s="103">
        <v>1</v>
      </c>
      <c r="M475" s="103"/>
      <c r="N475" s="427">
        <f t="shared" si="254"/>
        <v>2</v>
      </c>
      <c r="O475" s="103"/>
      <c r="P475" s="103"/>
      <c r="Q475" s="103"/>
      <c r="R475" s="428">
        <f t="shared" si="255"/>
        <v>0</v>
      </c>
      <c r="S475" s="103"/>
      <c r="T475" s="103"/>
      <c r="U475" s="103"/>
      <c r="V475" s="125"/>
      <c r="W475" s="428">
        <f t="shared" si="259"/>
        <v>0</v>
      </c>
      <c r="X475" s="103"/>
      <c r="Y475" s="103"/>
      <c r="Z475" s="125"/>
      <c r="AA475" s="428">
        <f t="shared" si="260"/>
        <v>0</v>
      </c>
      <c r="AB475" s="103"/>
      <c r="AC475" s="103"/>
      <c r="AD475" s="103"/>
      <c r="AE475" s="428">
        <f t="shared" si="261"/>
        <v>0</v>
      </c>
      <c r="AF475" s="103"/>
      <c r="AG475" s="103"/>
      <c r="AH475" s="103"/>
      <c r="AI475" s="103"/>
      <c r="AJ475" s="428">
        <f t="shared" si="262"/>
        <v>0</v>
      </c>
      <c r="AK475" s="446"/>
      <c r="AL475" s="446">
        <v>1</v>
      </c>
      <c r="AM475" s="446"/>
      <c r="AN475" s="446"/>
      <c r="AO475" s="446"/>
      <c r="AP475" s="446"/>
      <c r="AQ475" s="446"/>
      <c r="AR475" s="431">
        <f t="shared" si="263"/>
        <v>1</v>
      </c>
      <c r="AS475" s="10" t="s">
        <v>2767</v>
      </c>
      <c r="AT475" s="128"/>
      <c r="AU475" s="100" t="s">
        <v>2768</v>
      </c>
      <c r="AV475" s="128" t="s">
        <v>2792</v>
      </c>
      <c r="AW475" s="100" t="s">
        <v>2793</v>
      </c>
      <c r="AX475" s="433">
        <f t="shared" si="264"/>
        <v>1</v>
      </c>
      <c r="AY475" s="433">
        <f t="shared" si="265"/>
        <v>1</v>
      </c>
      <c r="AZ475" s="433">
        <f t="shared" si="266"/>
        <v>0</v>
      </c>
      <c r="BA475" s="433">
        <f t="shared" si="256"/>
        <v>0</v>
      </c>
      <c r="BB475" s="433">
        <f t="shared" si="257"/>
        <v>0</v>
      </c>
      <c r="BC475" s="433">
        <f t="shared" si="258"/>
        <v>0</v>
      </c>
      <c r="BD475" s="433">
        <f t="shared" si="267"/>
        <v>0</v>
      </c>
      <c r="BE475" s="433">
        <f t="shared" si="268"/>
        <v>0</v>
      </c>
      <c r="BF475" s="433">
        <f t="shared" si="269"/>
        <v>0</v>
      </c>
      <c r="BG475" s="433">
        <f t="shared" si="270"/>
        <v>0</v>
      </c>
      <c r="BH475" s="433">
        <f t="shared" si="271"/>
        <v>0</v>
      </c>
      <c r="BI475" s="433">
        <f t="shared" si="272"/>
        <v>0</v>
      </c>
      <c r="BJ475" s="433">
        <f t="shared" si="273"/>
        <v>0</v>
      </c>
      <c r="BK475" s="433">
        <f t="shared" si="274"/>
        <v>0</v>
      </c>
      <c r="BL475" s="433">
        <f t="shared" si="275"/>
        <v>0</v>
      </c>
      <c r="BM475" s="433">
        <f t="shared" si="276"/>
        <v>0</v>
      </c>
      <c r="BN475" s="433">
        <f t="shared" si="277"/>
        <v>0</v>
      </c>
      <c r="BO475" s="433">
        <f t="shared" si="278"/>
        <v>0</v>
      </c>
      <c r="BP475" s="433">
        <f t="shared" si="279"/>
        <v>0</v>
      </c>
      <c r="BQ475" s="433">
        <f t="shared" si="280"/>
        <v>0</v>
      </c>
    </row>
    <row r="476" spans="1:69" x14ac:dyDescent="0.2">
      <c r="A476" s="102">
        <v>41835</v>
      </c>
      <c r="B476" s="319">
        <v>3</v>
      </c>
      <c r="C476" s="118" t="s">
        <v>2682</v>
      </c>
      <c r="D476" s="111">
        <v>0.6</v>
      </c>
      <c r="E476" s="111">
        <v>0.78125</v>
      </c>
      <c r="F476" s="444">
        <v>40</v>
      </c>
      <c r="G476" s="445">
        <v>10</v>
      </c>
      <c r="H476" s="444"/>
      <c r="I476" s="390"/>
      <c r="J476" s="426">
        <f t="shared" si="253"/>
        <v>261.00000000000006</v>
      </c>
      <c r="K476" s="103">
        <v>2</v>
      </c>
      <c r="L476" s="103"/>
      <c r="M476" s="103"/>
      <c r="N476" s="427">
        <f t="shared" si="254"/>
        <v>2</v>
      </c>
      <c r="O476" s="103"/>
      <c r="P476" s="103"/>
      <c r="Q476" s="103"/>
      <c r="R476" s="428">
        <f t="shared" si="255"/>
        <v>0</v>
      </c>
      <c r="S476" s="103"/>
      <c r="T476" s="103"/>
      <c r="U476" s="103"/>
      <c r="V476" s="125">
        <v>1</v>
      </c>
      <c r="W476" s="428">
        <f t="shared" si="259"/>
        <v>1</v>
      </c>
      <c r="X476" s="103"/>
      <c r="Y476" s="103"/>
      <c r="Z476" s="125"/>
      <c r="AA476" s="428">
        <f t="shared" si="260"/>
        <v>0</v>
      </c>
      <c r="AB476" s="103">
        <v>1</v>
      </c>
      <c r="AC476" s="103"/>
      <c r="AD476" s="103"/>
      <c r="AE476" s="428">
        <f t="shared" si="261"/>
        <v>1</v>
      </c>
      <c r="AF476" s="103"/>
      <c r="AG476" s="103"/>
      <c r="AH476" s="103"/>
      <c r="AI476" s="103"/>
      <c r="AJ476" s="428">
        <f t="shared" si="262"/>
        <v>0</v>
      </c>
      <c r="AK476" s="446"/>
      <c r="AL476" s="446"/>
      <c r="AM476" s="446"/>
      <c r="AN476" s="446"/>
      <c r="AO476" s="446"/>
      <c r="AP476" s="446"/>
      <c r="AQ476" s="446"/>
      <c r="AR476" s="431">
        <f t="shared" si="263"/>
        <v>0</v>
      </c>
      <c r="AT476" s="128"/>
      <c r="AU476" s="100" t="s">
        <v>2755</v>
      </c>
      <c r="AV476" s="128" t="s">
        <v>2792</v>
      </c>
      <c r="AW476" s="100" t="s">
        <v>2793</v>
      </c>
      <c r="AX476" s="433">
        <f t="shared" si="264"/>
        <v>2</v>
      </c>
      <c r="AY476" s="433">
        <f t="shared" si="265"/>
        <v>0</v>
      </c>
      <c r="AZ476" s="433">
        <f t="shared" si="266"/>
        <v>0</v>
      </c>
      <c r="BA476" s="433">
        <f t="shared" si="256"/>
        <v>0</v>
      </c>
      <c r="BB476" s="433">
        <f t="shared" si="257"/>
        <v>0</v>
      </c>
      <c r="BC476" s="433">
        <f t="shared" si="258"/>
        <v>0</v>
      </c>
      <c r="BD476" s="433">
        <f t="shared" si="267"/>
        <v>0</v>
      </c>
      <c r="BE476" s="433">
        <f t="shared" si="268"/>
        <v>0</v>
      </c>
      <c r="BF476" s="433">
        <f t="shared" si="269"/>
        <v>0</v>
      </c>
      <c r="BG476" s="433">
        <f t="shared" si="270"/>
        <v>1</v>
      </c>
      <c r="BH476" s="433">
        <f t="shared" si="271"/>
        <v>0</v>
      </c>
      <c r="BI476" s="433">
        <f t="shared" si="272"/>
        <v>0</v>
      </c>
      <c r="BJ476" s="433">
        <f t="shared" si="273"/>
        <v>0</v>
      </c>
      <c r="BK476" s="433">
        <f t="shared" si="274"/>
        <v>1</v>
      </c>
      <c r="BL476" s="433">
        <f t="shared" si="275"/>
        <v>0</v>
      </c>
      <c r="BM476" s="433">
        <f t="shared" si="276"/>
        <v>0</v>
      </c>
      <c r="BN476" s="433">
        <f t="shared" si="277"/>
        <v>0</v>
      </c>
      <c r="BO476" s="433">
        <f t="shared" si="278"/>
        <v>0</v>
      </c>
      <c r="BP476" s="433">
        <f t="shared" si="279"/>
        <v>0</v>
      </c>
      <c r="BQ476" s="433">
        <f t="shared" si="280"/>
        <v>0</v>
      </c>
    </row>
    <row r="477" spans="1:69" s="291" customFormat="1" x14ac:dyDescent="0.2">
      <c r="A477" s="317">
        <v>41835</v>
      </c>
      <c r="B477" s="318">
        <v>3</v>
      </c>
      <c r="C477" s="320" t="s">
        <v>2769</v>
      </c>
      <c r="D477" s="321">
        <v>0.78125</v>
      </c>
      <c r="E477" s="321">
        <v>1</v>
      </c>
      <c r="F477" s="434">
        <v>41</v>
      </c>
      <c r="G477" s="435">
        <v>10</v>
      </c>
      <c r="H477" s="434"/>
      <c r="I477" s="436"/>
      <c r="J477" s="437">
        <f t="shared" si="253"/>
        <v>315</v>
      </c>
      <c r="K477" s="285">
        <v>1</v>
      </c>
      <c r="L477" s="285"/>
      <c r="M477" s="285"/>
      <c r="N477" s="438">
        <f t="shared" si="254"/>
        <v>1</v>
      </c>
      <c r="O477" s="285"/>
      <c r="P477" s="285"/>
      <c r="Q477" s="285"/>
      <c r="R477" s="439">
        <f t="shared" si="255"/>
        <v>0</v>
      </c>
      <c r="S477" s="285"/>
      <c r="T477" s="285"/>
      <c r="U477" s="285"/>
      <c r="V477" s="440"/>
      <c r="W477" s="439">
        <f t="shared" si="259"/>
        <v>0</v>
      </c>
      <c r="X477" s="285"/>
      <c r="Y477" s="285"/>
      <c r="Z477" s="440"/>
      <c r="AA477" s="439">
        <f t="shared" si="260"/>
        <v>0</v>
      </c>
      <c r="AB477" s="285"/>
      <c r="AC477" s="285"/>
      <c r="AD477" s="285"/>
      <c r="AE477" s="439">
        <f t="shared" si="261"/>
        <v>0</v>
      </c>
      <c r="AF477" s="285"/>
      <c r="AG477" s="285"/>
      <c r="AH477" s="285"/>
      <c r="AI477" s="285"/>
      <c r="AJ477" s="439">
        <f t="shared" si="262"/>
        <v>0</v>
      </c>
      <c r="AK477" s="340"/>
      <c r="AL477" s="340"/>
      <c r="AM477" s="340"/>
      <c r="AN477" s="340">
        <v>1</v>
      </c>
      <c r="AO477" s="340"/>
      <c r="AP477" s="340"/>
      <c r="AQ477" s="340"/>
      <c r="AR477" s="441">
        <f t="shared" si="263"/>
        <v>1</v>
      </c>
      <c r="AS477" s="291" t="s">
        <v>2791</v>
      </c>
      <c r="AT477" s="313" t="s">
        <v>2770</v>
      </c>
      <c r="AU477" s="289" t="s">
        <v>2790</v>
      </c>
      <c r="AV477" s="313" t="s">
        <v>2792</v>
      </c>
      <c r="AW477" s="382" t="s">
        <v>2793</v>
      </c>
      <c r="AX477" s="443">
        <f t="shared" si="264"/>
        <v>1</v>
      </c>
      <c r="AY477" s="443">
        <f t="shared" si="265"/>
        <v>0</v>
      </c>
      <c r="AZ477" s="443">
        <f t="shared" si="266"/>
        <v>0</v>
      </c>
      <c r="BA477" s="443">
        <f t="shared" si="256"/>
        <v>0</v>
      </c>
      <c r="BB477" s="443">
        <f t="shared" si="257"/>
        <v>0</v>
      </c>
      <c r="BC477" s="443">
        <f t="shared" si="258"/>
        <v>0</v>
      </c>
      <c r="BD477" s="443">
        <f t="shared" si="267"/>
        <v>0</v>
      </c>
      <c r="BE477" s="443">
        <f t="shared" si="268"/>
        <v>0</v>
      </c>
      <c r="BF477" s="443">
        <f t="shared" si="269"/>
        <v>0</v>
      </c>
      <c r="BG477" s="443">
        <f t="shared" si="270"/>
        <v>0</v>
      </c>
      <c r="BH477" s="443">
        <f t="shared" si="271"/>
        <v>0</v>
      </c>
      <c r="BI477" s="443">
        <f t="shared" si="272"/>
        <v>0</v>
      </c>
      <c r="BJ477" s="443">
        <f t="shared" si="273"/>
        <v>0</v>
      </c>
      <c r="BK477" s="443">
        <f t="shared" si="274"/>
        <v>0</v>
      </c>
      <c r="BL477" s="443">
        <f t="shared" si="275"/>
        <v>0</v>
      </c>
      <c r="BM477" s="443">
        <f t="shared" si="276"/>
        <v>0</v>
      </c>
      <c r="BN477" s="443">
        <f t="shared" si="277"/>
        <v>0</v>
      </c>
      <c r="BO477" s="443">
        <f t="shared" si="278"/>
        <v>0</v>
      </c>
      <c r="BP477" s="443">
        <f t="shared" si="279"/>
        <v>0</v>
      </c>
      <c r="BQ477" s="443">
        <f t="shared" si="280"/>
        <v>0</v>
      </c>
    </row>
    <row r="478" spans="1:69" x14ac:dyDescent="0.2">
      <c r="A478" s="102">
        <v>41836</v>
      </c>
      <c r="B478" s="319">
        <v>1</v>
      </c>
      <c r="C478" s="118" t="s">
        <v>2607</v>
      </c>
      <c r="D478" s="111">
        <v>0</v>
      </c>
      <c r="E478" s="111">
        <v>0.39583333333333331</v>
      </c>
      <c r="F478" s="444">
        <v>42</v>
      </c>
      <c r="G478" s="445">
        <v>9</v>
      </c>
      <c r="H478" s="444"/>
      <c r="I478" s="390"/>
      <c r="J478" s="426">
        <f t="shared" si="253"/>
        <v>570</v>
      </c>
      <c r="K478" s="103">
        <v>2</v>
      </c>
      <c r="L478" s="103"/>
      <c r="M478" s="103"/>
      <c r="N478" s="427">
        <f t="shared" si="254"/>
        <v>2</v>
      </c>
      <c r="O478" s="103"/>
      <c r="P478" s="103"/>
      <c r="Q478" s="103"/>
      <c r="R478" s="428">
        <f t="shared" si="255"/>
        <v>0</v>
      </c>
      <c r="S478" s="103"/>
      <c r="T478" s="103"/>
      <c r="U478" s="103"/>
      <c r="V478" s="125"/>
      <c r="W478" s="428">
        <f t="shared" si="259"/>
        <v>0</v>
      </c>
      <c r="X478" s="103"/>
      <c r="Y478" s="103"/>
      <c r="Z478" s="125"/>
      <c r="AA478" s="428">
        <f t="shared" si="260"/>
        <v>0</v>
      </c>
      <c r="AB478" s="103"/>
      <c r="AC478" s="103"/>
      <c r="AD478" s="103"/>
      <c r="AE478" s="428">
        <f t="shared" si="261"/>
        <v>0</v>
      </c>
      <c r="AF478" s="103"/>
      <c r="AG478" s="103"/>
      <c r="AH478" s="103"/>
      <c r="AI478" s="103"/>
      <c r="AJ478" s="428">
        <f t="shared" si="262"/>
        <v>0</v>
      </c>
      <c r="AK478" s="446"/>
      <c r="AL478" s="446"/>
      <c r="AM478" s="446"/>
      <c r="AN478" s="446"/>
      <c r="AO478" s="446"/>
      <c r="AP478" s="446"/>
      <c r="AQ478" s="446"/>
      <c r="AR478" s="431">
        <f t="shared" si="263"/>
        <v>0</v>
      </c>
      <c r="AS478" s="10" t="s">
        <v>2795</v>
      </c>
      <c r="AT478" s="128"/>
      <c r="AU478" s="100" t="s">
        <v>2797</v>
      </c>
      <c r="AV478" s="128" t="s">
        <v>2822</v>
      </c>
      <c r="AW478" s="100" t="s">
        <v>2823</v>
      </c>
      <c r="AX478" s="433">
        <f t="shared" si="264"/>
        <v>2</v>
      </c>
      <c r="AY478" s="433">
        <f t="shared" si="265"/>
        <v>0</v>
      </c>
      <c r="AZ478" s="433">
        <f t="shared" si="266"/>
        <v>0</v>
      </c>
      <c r="BA478" s="433">
        <f t="shared" si="256"/>
        <v>0</v>
      </c>
      <c r="BB478" s="433">
        <f t="shared" si="257"/>
        <v>0</v>
      </c>
      <c r="BC478" s="433">
        <f t="shared" si="258"/>
        <v>0</v>
      </c>
      <c r="BD478" s="433">
        <f t="shared" si="267"/>
        <v>0</v>
      </c>
      <c r="BE478" s="433">
        <f t="shared" si="268"/>
        <v>0</v>
      </c>
      <c r="BF478" s="433">
        <f t="shared" si="269"/>
        <v>0</v>
      </c>
      <c r="BG478" s="433">
        <f t="shared" si="270"/>
        <v>0</v>
      </c>
      <c r="BH478" s="433">
        <f t="shared" si="271"/>
        <v>0</v>
      </c>
      <c r="BI478" s="433">
        <f t="shared" si="272"/>
        <v>0</v>
      </c>
      <c r="BJ478" s="433">
        <f t="shared" si="273"/>
        <v>0</v>
      </c>
      <c r="BK478" s="433">
        <f t="shared" si="274"/>
        <v>0</v>
      </c>
      <c r="BL478" s="433">
        <f t="shared" si="275"/>
        <v>0</v>
      </c>
      <c r="BM478" s="433">
        <f t="shared" si="276"/>
        <v>0</v>
      </c>
      <c r="BN478" s="433">
        <f t="shared" si="277"/>
        <v>0</v>
      </c>
      <c r="BO478" s="433">
        <f t="shared" si="278"/>
        <v>0</v>
      </c>
      <c r="BP478" s="433">
        <f t="shared" si="279"/>
        <v>0</v>
      </c>
      <c r="BQ478" s="433">
        <f t="shared" si="280"/>
        <v>0</v>
      </c>
    </row>
    <row r="479" spans="1:69" x14ac:dyDescent="0.2">
      <c r="A479" s="102">
        <v>41836</v>
      </c>
      <c r="B479" s="319">
        <v>1</v>
      </c>
      <c r="C479" s="118" t="s">
        <v>2769</v>
      </c>
      <c r="D479" s="111">
        <v>0.39583333333333331</v>
      </c>
      <c r="E479" s="111">
        <v>0.60763888888888895</v>
      </c>
      <c r="F479" s="444">
        <v>41</v>
      </c>
      <c r="G479" s="445">
        <v>9</v>
      </c>
      <c r="H479" s="444"/>
      <c r="I479" s="390"/>
      <c r="J479" s="426">
        <f t="shared" si="253"/>
        <v>305.00000000000011</v>
      </c>
      <c r="K479" s="103"/>
      <c r="L479" s="103"/>
      <c r="M479" s="103"/>
      <c r="N479" s="427">
        <f t="shared" si="254"/>
        <v>0</v>
      </c>
      <c r="O479" s="103">
        <v>1</v>
      </c>
      <c r="P479" s="103"/>
      <c r="Q479" s="103"/>
      <c r="R479" s="428">
        <f t="shared" si="255"/>
        <v>1</v>
      </c>
      <c r="S479" s="103"/>
      <c r="T479" s="103"/>
      <c r="U479" s="103"/>
      <c r="V479" s="125"/>
      <c r="W479" s="428">
        <f t="shared" si="259"/>
        <v>0</v>
      </c>
      <c r="X479" s="103"/>
      <c r="Y479" s="103"/>
      <c r="Z479" s="125"/>
      <c r="AA479" s="428">
        <f t="shared" si="260"/>
        <v>0</v>
      </c>
      <c r="AB479" s="103"/>
      <c r="AC479" s="103"/>
      <c r="AD479" s="103"/>
      <c r="AE479" s="428">
        <f t="shared" si="261"/>
        <v>0</v>
      </c>
      <c r="AF479" s="103"/>
      <c r="AG479" s="103"/>
      <c r="AH479" s="103"/>
      <c r="AI479" s="103"/>
      <c r="AJ479" s="428">
        <f t="shared" si="262"/>
        <v>0</v>
      </c>
      <c r="AK479" s="446"/>
      <c r="AL479" s="446"/>
      <c r="AM479" s="446"/>
      <c r="AN479" s="446"/>
      <c r="AO479" s="446"/>
      <c r="AP479" s="446"/>
      <c r="AQ479" s="446"/>
      <c r="AR479" s="431">
        <f t="shared" si="263"/>
        <v>0</v>
      </c>
      <c r="AS479" s="10" t="s">
        <v>2796</v>
      </c>
      <c r="AT479" s="128"/>
      <c r="AU479" s="100" t="s">
        <v>2798</v>
      </c>
      <c r="AV479" s="128" t="s">
        <v>2822</v>
      </c>
      <c r="AW479" s="100" t="s">
        <v>2823</v>
      </c>
      <c r="AX479" s="433">
        <f t="shared" si="264"/>
        <v>0</v>
      </c>
      <c r="AY479" s="433">
        <f t="shared" si="265"/>
        <v>0</v>
      </c>
      <c r="AZ479" s="433">
        <f t="shared" si="266"/>
        <v>0</v>
      </c>
      <c r="BA479" s="433">
        <f t="shared" si="256"/>
        <v>1</v>
      </c>
      <c r="BB479" s="433">
        <f t="shared" si="257"/>
        <v>0</v>
      </c>
      <c r="BC479" s="433">
        <f t="shared" si="258"/>
        <v>0</v>
      </c>
      <c r="BD479" s="433">
        <f t="shared" si="267"/>
        <v>0</v>
      </c>
      <c r="BE479" s="433">
        <f t="shared" si="268"/>
        <v>0</v>
      </c>
      <c r="BF479" s="433">
        <f t="shared" si="269"/>
        <v>0</v>
      </c>
      <c r="BG479" s="433">
        <f t="shared" si="270"/>
        <v>0</v>
      </c>
      <c r="BH479" s="433">
        <f t="shared" si="271"/>
        <v>0</v>
      </c>
      <c r="BI479" s="433">
        <f t="shared" si="272"/>
        <v>0</v>
      </c>
      <c r="BJ479" s="433">
        <f t="shared" si="273"/>
        <v>0</v>
      </c>
      <c r="BK479" s="433">
        <f t="shared" si="274"/>
        <v>0</v>
      </c>
      <c r="BL479" s="433">
        <f t="shared" si="275"/>
        <v>0</v>
      </c>
      <c r="BM479" s="433">
        <f t="shared" si="276"/>
        <v>0</v>
      </c>
      <c r="BN479" s="433">
        <f t="shared" si="277"/>
        <v>0</v>
      </c>
      <c r="BO479" s="433">
        <f t="shared" si="278"/>
        <v>0</v>
      </c>
      <c r="BP479" s="433">
        <f t="shared" si="279"/>
        <v>0</v>
      </c>
      <c r="BQ479" s="433">
        <f t="shared" si="280"/>
        <v>0</v>
      </c>
    </row>
    <row r="480" spans="1:69" x14ac:dyDescent="0.2">
      <c r="A480" s="102">
        <v>41836</v>
      </c>
      <c r="B480" s="319">
        <v>1</v>
      </c>
      <c r="C480" s="118" t="s">
        <v>957</v>
      </c>
      <c r="D480" s="111">
        <v>0.60763888888888895</v>
      </c>
      <c r="E480" s="111">
        <v>0.77083333333333337</v>
      </c>
      <c r="F480" s="444">
        <v>41</v>
      </c>
      <c r="G480" s="445">
        <v>9</v>
      </c>
      <c r="H480" s="444"/>
      <c r="I480" s="390"/>
      <c r="J480" s="426">
        <f t="shared" si="253"/>
        <v>234.99999999999997</v>
      </c>
      <c r="K480" s="103"/>
      <c r="L480" s="103"/>
      <c r="M480" s="103"/>
      <c r="N480" s="427">
        <f t="shared" si="254"/>
        <v>0</v>
      </c>
      <c r="O480" s="103"/>
      <c r="P480" s="103"/>
      <c r="Q480" s="103"/>
      <c r="R480" s="428">
        <f t="shared" si="255"/>
        <v>0</v>
      </c>
      <c r="S480" s="103"/>
      <c r="T480" s="103"/>
      <c r="U480" s="103"/>
      <c r="V480" s="125"/>
      <c r="W480" s="428">
        <f t="shared" si="259"/>
        <v>0</v>
      </c>
      <c r="X480" s="103"/>
      <c r="Y480" s="103"/>
      <c r="Z480" s="125"/>
      <c r="AA480" s="428">
        <f t="shared" si="260"/>
        <v>0</v>
      </c>
      <c r="AB480" s="103"/>
      <c r="AC480" s="103"/>
      <c r="AD480" s="103"/>
      <c r="AE480" s="428">
        <f t="shared" si="261"/>
        <v>0</v>
      </c>
      <c r="AF480" s="103"/>
      <c r="AG480" s="103"/>
      <c r="AH480" s="103"/>
      <c r="AI480" s="103"/>
      <c r="AJ480" s="428">
        <f t="shared" si="262"/>
        <v>0</v>
      </c>
      <c r="AK480" s="446"/>
      <c r="AL480" s="446"/>
      <c r="AM480" s="446">
        <v>1</v>
      </c>
      <c r="AN480" s="446"/>
      <c r="AO480" s="446"/>
      <c r="AP480" s="446"/>
      <c r="AQ480" s="446"/>
      <c r="AR480" s="431">
        <f t="shared" si="263"/>
        <v>1</v>
      </c>
      <c r="AT480" s="128"/>
      <c r="AU480" s="100" t="s">
        <v>2799</v>
      </c>
      <c r="AV480" s="128" t="s">
        <v>2822</v>
      </c>
      <c r="AW480" s="100" t="s">
        <v>2823</v>
      </c>
      <c r="AX480" s="433">
        <f t="shared" si="264"/>
        <v>0</v>
      </c>
      <c r="AY480" s="433">
        <f t="shared" si="265"/>
        <v>0</v>
      </c>
      <c r="AZ480" s="433">
        <f t="shared" si="266"/>
        <v>0</v>
      </c>
      <c r="BA480" s="433">
        <f t="shared" si="256"/>
        <v>0</v>
      </c>
      <c r="BB480" s="433">
        <f t="shared" si="257"/>
        <v>0</v>
      </c>
      <c r="BC480" s="433">
        <f t="shared" si="258"/>
        <v>0</v>
      </c>
      <c r="BD480" s="433">
        <f t="shared" si="267"/>
        <v>0</v>
      </c>
      <c r="BE480" s="433">
        <f t="shared" si="268"/>
        <v>0</v>
      </c>
      <c r="BF480" s="433">
        <f t="shared" si="269"/>
        <v>0</v>
      </c>
      <c r="BG480" s="433">
        <f t="shared" si="270"/>
        <v>0</v>
      </c>
      <c r="BH480" s="433">
        <f t="shared" si="271"/>
        <v>0</v>
      </c>
      <c r="BI480" s="433">
        <f t="shared" si="272"/>
        <v>0</v>
      </c>
      <c r="BJ480" s="433">
        <f t="shared" si="273"/>
        <v>0</v>
      </c>
      <c r="BK480" s="433">
        <f t="shared" si="274"/>
        <v>0</v>
      </c>
      <c r="BL480" s="433">
        <f t="shared" si="275"/>
        <v>0</v>
      </c>
      <c r="BM480" s="433">
        <f t="shared" si="276"/>
        <v>0</v>
      </c>
      <c r="BN480" s="433">
        <f t="shared" si="277"/>
        <v>0</v>
      </c>
      <c r="BO480" s="433">
        <f t="shared" si="278"/>
        <v>0</v>
      </c>
      <c r="BP480" s="433">
        <f t="shared" si="279"/>
        <v>0</v>
      </c>
      <c r="BQ480" s="433">
        <f t="shared" si="280"/>
        <v>0</v>
      </c>
    </row>
    <row r="481" spans="1:69" x14ac:dyDescent="0.2">
      <c r="A481" s="102">
        <v>41836</v>
      </c>
      <c r="B481" s="319">
        <v>1</v>
      </c>
      <c r="C481" s="118" t="s">
        <v>1556</v>
      </c>
      <c r="D481" s="111">
        <v>0.77083333333333337</v>
      </c>
      <c r="E481" s="111">
        <v>1</v>
      </c>
      <c r="F481" s="444">
        <v>42</v>
      </c>
      <c r="G481" s="445">
        <v>9</v>
      </c>
      <c r="H481" s="444"/>
      <c r="I481" s="390"/>
      <c r="J481" s="426">
        <f t="shared" si="253"/>
        <v>329.99999999999994</v>
      </c>
      <c r="K481" s="103"/>
      <c r="L481" s="103"/>
      <c r="M481" s="103"/>
      <c r="N481" s="427">
        <f t="shared" si="254"/>
        <v>0</v>
      </c>
      <c r="O481" s="103"/>
      <c r="P481" s="103"/>
      <c r="Q481" s="103"/>
      <c r="R481" s="428">
        <f t="shared" si="255"/>
        <v>0</v>
      </c>
      <c r="S481" s="103"/>
      <c r="T481" s="103"/>
      <c r="U481" s="103"/>
      <c r="V481" s="125"/>
      <c r="W481" s="428">
        <f t="shared" si="259"/>
        <v>0</v>
      </c>
      <c r="X481" s="103"/>
      <c r="Y481" s="103"/>
      <c r="Z481" s="125"/>
      <c r="AA481" s="428">
        <f t="shared" si="260"/>
        <v>0</v>
      </c>
      <c r="AB481" s="103"/>
      <c r="AC481" s="103"/>
      <c r="AD481" s="103"/>
      <c r="AE481" s="428">
        <f t="shared" si="261"/>
        <v>0</v>
      </c>
      <c r="AF481" s="103"/>
      <c r="AG481" s="103"/>
      <c r="AH481" s="103"/>
      <c r="AI481" s="103"/>
      <c r="AJ481" s="428">
        <f t="shared" si="262"/>
        <v>0</v>
      </c>
      <c r="AK481" s="446"/>
      <c r="AL481" s="446"/>
      <c r="AM481" s="446"/>
      <c r="AN481" s="446"/>
      <c r="AO481" s="446"/>
      <c r="AP481" s="446"/>
      <c r="AQ481" s="446"/>
      <c r="AR481" s="431">
        <f t="shared" si="263"/>
        <v>0</v>
      </c>
      <c r="AT481" s="128" t="s">
        <v>424</v>
      </c>
      <c r="AU481" s="100" t="s">
        <v>2800</v>
      </c>
      <c r="AV481" s="128" t="s">
        <v>2822</v>
      </c>
      <c r="AW481" s="100" t="s">
        <v>2823</v>
      </c>
      <c r="AX481" s="433">
        <f t="shared" si="264"/>
        <v>0</v>
      </c>
      <c r="AY481" s="433">
        <f t="shared" si="265"/>
        <v>0</v>
      </c>
      <c r="AZ481" s="433">
        <f t="shared" si="266"/>
        <v>0</v>
      </c>
      <c r="BA481" s="433">
        <f t="shared" si="256"/>
        <v>0</v>
      </c>
      <c r="BB481" s="433">
        <f t="shared" si="257"/>
        <v>0</v>
      </c>
      <c r="BC481" s="433">
        <f t="shared" si="258"/>
        <v>0</v>
      </c>
      <c r="BD481" s="433">
        <f t="shared" si="267"/>
        <v>0</v>
      </c>
      <c r="BE481" s="433">
        <f t="shared" si="268"/>
        <v>0</v>
      </c>
      <c r="BF481" s="433">
        <f t="shared" si="269"/>
        <v>0</v>
      </c>
      <c r="BG481" s="433">
        <f t="shared" si="270"/>
        <v>0</v>
      </c>
      <c r="BH481" s="433">
        <f t="shared" si="271"/>
        <v>0</v>
      </c>
      <c r="BI481" s="433">
        <f t="shared" si="272"/>
        <v>0</v>
      </c>
      <c r="BJ481" s="433">
        <f t="shared" si="273"/>
        <v>0</v>
      </c>
      <c r="BK481" s="433">
        <f t="shared" si="274"/>
        <v>0</v>
      </c>
      <c r="BL481" s="433">
        <f t="shared" si="275"/>
        <v>0</v>
      </c>
      <c r="BM481" s="433">
        <f t="shared" si="276"/>
        <v>0</v>
      </c>
      <c r="BN481" s="433">
        <f t="shared" si="277"/>
        <v>0</v>
      </c>
      <c r="BO481" s="433">
        <f t="shared" si="278"/>
        <v>0</v>
      </c>
      <c r="BP481" s="433">
        <f t="shared" si="279"/>
        <v>0</v>
      </c>
      <c r="BQ481" s="433">
        <f t="shared" si="280"/>
        <v>0</v>
      </c>
    </row>
    <row r="482" spans="1:69" x14ac:dyDescent="0.2">
      <c r="A482" s="102">
        <v>41836</v>
      </c>
      <c r="B482" s="319">
        <v>2</v>
      </c>
      <c r="C482" s="118" t="s">
        <v>2607</v>
      </c>
      <c r="D482" s="111">
        <v>0</v>
      </c>
      <c r="E482" s="111">
        <v>0.40625</v>
      </c>
      <c r="F482" s="444">
        <v>31</v>
      </c>
      <c r="G482" s="445">
        <v>10</v>
      </c>
      <c r="H482" s="444"/>
      <c r="I482" s="390"/>
      <c r="J482" s="426">
        <f t="shared" si="253"/>
        <v>585</v>
      </c>
      <c r="K482" s="103"/>
      <c r="L482" s="103"/>
      <c r="M482" s="103"/>
      <c r="N482" s="427">
        <f t="shared" si="254"/>
        <v>0</v>
      </c>
      <c r="O482" s="103"/>
      <c r="P482" s="103">
        <v>1</v>
      </c>
      <c r="Q482" s="103"/>
      <c r="R482" s="428">
        <f t="shared" si="255"/>
        <v>1</v>
      </c>
      <c r="S482" s="103">
        <v>1</v>
      </c>
      <c r="T482" s="103"/>
      <c r="U482" s="103"/>
      <c r="V482" s="125"/>
      <c r="W482" s="428">
        <f t="shared" si="259"/>
        <v>1</v>
      </c>
      <c r="X482" s="103"/>
      <c r="Y482" s="103"/>
      <c r="Z482" s="125"/>
      <c r="AA482" s="428">
        <f t="shared" si="260"/>
        <v>0</v>
      </c>
      <c r="AB482" s="103"/>
      <c r="AC482" s="103"/>
      <c r="AD482" s="103"/>
      <c r="AE482" s="428">
        <f t="shared" si="261"/>
        <v>0</v>
      </c>
      <c r="AF482" s="103"/>
      <c r="AG482" s="103"/>
      <c r="AH482" s="103"/>
      <c r="AI482" s="103"/>
      <c r="AJ482" s="428">
        <f t="shared" si="262"/>
        <v>0</v>
      </c>
      <c r="AK482" s="446"/>
      <c r="AL482" s="446"/>
      <c r="AM482" s="446"/>
      <c r="AN482" s="446"/>
      <c r="AO482" s="446"/>
      <c r="AP482" s="446"/>
      <c r="AQ482" s="446"/>
      <c r="AR482" s="431">
        <f t="shared" si="263"/>
        <v>0</v>
      </c>
      <c r="AT482" s="128"/>
      <c r="AU482" s="100" t="s">
        <v>2799</v>
      </c>
      <c r="AV482" s="128" t="s">
        <v>2822</v>
      </c>
      <c r="AW482" s="100" t="s">
        <v>2823</v>
      </c>
      <c r="AX482" s="433">
        <f t="shared" si="264"/>
        <v>0</v>
      </c>
      <c r="AY482" s="433">
        <f t="shared" si="265"/>
        <v>0</v>
      </c>
      <c r="AZ482" s="433">
        <f t="shared" si="266"/>
        <v>0</v>
      </c>
      <c r="BA482" s="433">
        <f t="shared" si="256"/>
        <v>0</v>
      </c>
      <c r="BB482" s="433">
        <f t="shared" si="257"/>
        <v>1</v>
      </c>
      <c r="BC482" s="433">
        <f t="shared" si="258"/>
        <v>0</v>
      </c>
      <c r="BD482" s="433">
        <f t="shared" si="267"/>
        <v>1</v>
      </c>
      <c r="BE482" s="433">
        <f t="shared" si="268"/>
        <v>0</v>
      </c>
      <c r="BF482" s="433">
        <f t="shared" si="269"/>
        <v>0</v>
      </c>
      <c r="BG482" s="433">
        <f t="shared" si="270"/>
        <v>0</v>
      </c>
      <c r="BH482" s="433">
        <f t="shared" si="271"/>
        <v>0</v>
      </c>
      <c r="BI482" s="433">
        <f t="shared" si="272"/>
        <v>0</v>
      </c>
      <c r="BJ482" s="433">
        <f t="shared" si="273"/>
        <v>0</v>
      </c>
      <c r="BK482" s="433">
        <f t="shared" si="274"/>
        <v>0</v>
      </c>
      <c r="BL482" s="433">
        <f t="shared" si="275"/>
        <v>0</v>
      </c>
      <c r="BM482" s="433">
        <f t="shared" si="276"/>
        <v>0</v>
      </c>
      <c r="BN482" s="433">
        <f t="shared" si="277"/>
        <v>0</v>
      </c>
      <c r="BO482" s="433">
        <f t="shared" si="278"/>
        <v>0</v>
      </c>
      <c r="BP482" s="433">
        <f t="shared" si="279"/>
        <v>0</v>
      </c>
      <c r="BQ482" s="433">
        <f t="shared" si="280"/>
        <v>0</v>
      </c>
    </row>
    <row r="483" spans="1:69" x14ac:dyDescent="0.2">
      <c r="A483" s="102">
        <v>41836</v>
      </c>
      <c r="B483" s="319">
        <v>2</v>
      </c>
      <c r="C483" s="118" t="s">
        <v>2769</v>
      </c>
      <c r="D483" s="111">
        <v>0.40625</v>
      </c>
      <c r="E483" s="111">
        <v>0.59722222222222221</v>
      </c>
      <c r="F483" s="444">
        <v>38</v>
      </c>
      <c r="G483" s="445">
        <v>10</v>
      </c>
      <c r="H483" s="444"/>
      <c r="I483" s="390"/>
      <c r="J483" s="426">
        <f>((E483-D483)*24*60)-18</f>
        <v>257</v>
      </c>
      <c r="K483" s="103"/>
      <c r="L483" s="103"/>
      <c r="M483" s="103"/>
      <c r="N483" s="427">
        <f t="shared" si="254"/>
        <v>0</v>
      </c>
      <c r="O483" s="103"/>
      <c r="P483" s="103"/>
      <c r="Q483" s="103"/>
      <c r="R483" s="428">
        <f t="shared" si="255"/>
        <v>0</v>
      </c>
      <c r="S483" s="103"/>
      <c r="T483" s="103"/>
      <c r="U483" s="103"/>
      <c r="V483" s="125"/>
      <c r="W483" s="428">
        <f t="shared" si="259"/>
        <v>0</v>
      </c>
      <c r="X483" s="103"/>
      <c r="Y483" s="103"/>
      <c r="Z483" s="125"/>
      <c r="AA483" s="428">
        <f t="shared" si="260"/>
        <v>0</v>
      </c>
      <c r="AB483" s="103">
        <v>1</v>
      </c>
      <c r="AC483" s="103"/>
      <c r="AD483" s="103"/>
      <c r="AE483" s="428">
        <f t="shared" si="261"/>
        <v>1</v>
      </c>
      <c r="AF483" s="103"/>
      <c r="AG483" s="103"/>
      <c r="AH483" s="103"/>
      <c r="AI483" s="103"/>
      <c r="AJ483" s="428">
        <f t="shared" si="262"/>
        <v>0</v>
      </c>
      <c r="AK483" s="446"/>
      <c r="AL483" s="446"/>
      <c r="AM483" s="446"/>
      <c r="AN483" s="446"/>
      <c r="AO483" s="446"/>
      <c r="AP483" s="446"/>
      <c r="AQ483" s="446"/>
      <c r="AR483" s="431">
        <f t="shared" si="263"/>
        <v>0</v>
      </c>
      <c r="AS483" s="10" t="s">
        <v>2801</v>
      </c>
      <c r="AT483" s="128"/>
      <c r="AU483" s="100" t="s">
        <v>2798</v>
      </c>
      <c r="AV483" s="128" t="s">
        <v>2822</v>
      </c>
      <c r="AW483" s="100" t="s">
        <v>2823</v>
      </c>
      <c r="AX483" s="433">
        <f t="shared" si="264"/>
        <v>0</v>
      </c>
      <c r="AY483" s="433">
        <f t="shared" si="265"/>
        <v>0</v>
      </c>
      <c r="AZ483" s="433">
        <f t="shared" si="266"/>
        <v>0</v>
      </c>
      <c r="BA483" s="433">
        <f t="shared" si="256"/>
        <v>0</v>
      </c>
      <c r="BB483" s="433">
        <f t="shared" si="257"/>
        <v>0</v>
      </c>
      <c r="BC483" s="433">
        <f t="shared" si="258"/>
        <v>0</v>
      </c>
      <c r="BD483" s="433">
        <f t="shared" si="267"/>
        <v>0</v>
      </c>
      <c r="BE483" s="433">
        <f t="shared" si="268"/>
        <v>0</v>
      </c>
      <c r="BF483" s="433">
        <f t="shared" si="269"/>
        <v>0</v>
      </c>
      <c r="BG483" s="433">
        <f t="shared" si="270"/>
        <v>0</v>
      </c>
      <c r="BH483" s="433">
        <f t="shared" si="271"/>
        <v>0</v>
      </c>
      <c r="BI483" s="433">
        <f t="shared" si="272"/>
        <v>0</v>
      </c>
      <c r="BJ483" s="433">
        <f t="shared" si="273"/>
        <v>0</v>
      </c>
      <c r="BK483" s="433">
        <f t="shared" si="274"/>
        <v>1</v>
      </c>
      <c r="BL483" s="433">
        <f t="shared" si="275"/>
        <v>0</v>
      </c>
      <c r="BM483" s="433">
        <f t="shared" si="276"/>
        <v>0</v>
      </c>
      <c r="BN483" s="433">
        <f t="shared" si="277"/>
        <v>0</v>
      </c>
      <c r="BO483" s="433">
        <f t="shared" si="278"/>
        <v>0</v>
      </c>
      <c r="BP483" s="433">
        <f t="shared" si="279"/>
        <v>0</v>
      </c>
      <c r="BQ483" s="433">
        <f t="shared" si="280"/>
        <v>0</v>
      </c>
    </row>
    <row r="484" spans="1:69" x14ac:dyDescent="0.2">
      <c r="A484" s="102">
        <v>41836</v>
      </c>
      <c r="B484" s="319">
        <v>2</v>
      </c>
      <c r="C484" s="118" t="s">
        <v>957</v>
      </c>
      <c r="D484" s="111">
        <v>0.59722222222222221</v>
      </c>
      <c r="E484" s="111">
        <v>0.77986111111111101</v>
      </c>
      <c r="F484" s="444">
        <v>33</v>
      </c>
      <c r="G484" s="445">
        <v>12</v>
      </c>
      <c r="H484" s="444"/>
      <c r="I484" s="390"/>
      <c r="J484" s="426">
        <f t="shared" si="253"/>
        <v>262.99999999999989</v>
      </c>
      <c r="K484" s="103"/>
      <c r="L484" s="103"/>
      <c r="M484" s="103"/>
      <c r="N484" s="427">
        <f t="shared" si="254"/>
        <v>0</v>
      </c>
      <c r="O484" s="103"/>
      <c r="P484" s="103"/>
      <c r="Q484" s="103"/>
      <c r="R484" s="428">
        <f t="shared" si="255"/>
        <v>0</v>
      </c>
      <c r="S484" s="103"/>
      <c r="T484" s="103"/>
      <c r="U484" s="103"/>
      <c r="V484" s="125"/>
      <c r="W484" s="428">
        <f t="shared" si="259"/>
        <v>0</v>
      </c>
      <c r="X484" s="103"/>
      <c r="Y484" s="103"/>
      <c r="Z484" s="125"/>
      <c r="AA484" s="428">
        <f t="shared" si="260"/>
        <v>0</v>
      </c>
      <c r="AB484" s="103"/>
      <c r="AC484" s="103"/>
      <c r="AD484" s="103"/>
      <c r="AE484" s="428">
        <f t="shared" si="261"/>
        <v>0</v>
      </c>
      <c r="AF484" s="103"/>
      <c r="AG484" s="103"/>
      <c r="AH484" s="103"/>
      <c r="AI484" s="103"/>
      <c r="AJ484" s="428">
        <f t="shared" si="262"/>
        <v>0</v>
      </c>
      <c r="AK484" s="446"/>
      <c r="AL484" s="446"/>
      <c r="AM484" s="446"/>
      <c r="AN484" s="446"/>
      <c r="AO484" s="446">
        <v>1</v>
      </c>
      <c r="AP484" s="446"/>
      <c r="AQ484" s="446"/>
      <c r="AR484" s="431">
        <f t="shared" si="263"/>
        <v>1</v>
      </c>
      <c r="AT484" s="128"/>
      <c r="AU484" s="100" t="s">
        <v>2799</v>
      </c>
      <c r="AV484" s="128" t="s">
        <v>2822</v>
      </c>
      <c r="AW484" s="100" t="s">
        <v>2823</v>
      </c>
      <c r="AX484" s="433">
        <f t="shared" si="264"/>
        <v>0</v>
      </c>
      <c r="AY484" s="433">
        <f t="shared" si="265"/>
        <v>0</v>
      </c>
      <c r="AZ484" s="433">
        <f t="shared" si="266"/>
        <v>0</v>
      </c>
      <c r="BA484" s="433">
        <f t="shared" si="256"/>
        <v>0</v>
      </c>
      <c r="BB484" s="433">
        <f t="shared" si="257"/>
        <v>0</v>
      </c>
      <c r="BC484" s="433">
        <f t="shared" si="258"/>
        <v>0</v>
      </c>
      <c r="BD484" s="433">
        <f t="shared" si="267"/>
        <v>0</v>
      </c>
      <c r="BE484" s="433">
        <f t="shared" si="268"/>
        <v>0</v>
      </c>
      <c r="BF484" s="433">
        <f t="shared" si="269"/>
        <v>0</v>
      </c>
      <c r="BG484" s="433">
        <f t="shared" si="270"/>
        <v>0</v>
      </c>
      <c r="BH484" s="433">
        <f t="shared" si="271"/>
        <v>0</v>
      </c>
      <c r="BI484" s="433">
        <f t="shared" si="272"/>
        <v>0</v>
      </c>
      <c r="BJ484" s="433">
        <f t="shared" si="273"/>
        <v>0</v>
      </c>
      <c r="BK484" s="433">
        <f t="shared" si="274"/>
        <v>0</v>
      </c>
      <c r="BL484" s="433">
        <f t="shared" si="275"/>
        <v>0</v>
      </c>
      <c r="BM484" s="433">
        <f t="shared" si="276"/>
        <v>0</v>
      </c>
      <c r="BN484" s="433">
        <f t="shared" si="277"/>
        <v>0</v>
      </c>
      <c r="BO484" s="433">
        <f t="shared" si="278"/>
        <v>0</v>
      </c>
      <c r="BP484" s="433">
        <f t="shared" si="279"/>
        <v>0</v>
      </c>
      <c r="BQ484" s="433">
        <f t="shared" si="280"/>
        <v>0</v>
      </c>
    </row>
    <row r="485" spans="1:69" x14ac:dyDescent="0.2">
      <c r="A485" s="102">
        <v>41836</v>
      </c>
      <c r="B485" s="319">
        <v>2</v>
      </c>
      <c r="C485" s="118" t="s">
        <v>1556</v>
      </c>
      <c r="D485" s="111">
        <v>0.77986111111111101</v>
      </c>
      <c r="E485" s="111">
        <v>1</v>
      </c>
      <c r="F485" s="444">
        <v>33</v>
      </c>
      <c r="G485" s="445">
        <v>11</v>
      </c>
      <c r="H485" s="444"/>
      <c r="I485" s="390"/>
      <c r="J485" s="426">
        <f t="shared" si="253"/>
        <v>317.00000000000017</v>
      </c>
      <c r="K485" s="103"/>
      <c r="L485" s="103"/>
      <c r="M485" s="103"/>
      <c r="N485" s="427">
        <f t="shared" si="254"/>
        <v>0</v>
      </c>
      <c r="O485" s="103"/>
      <c r="P485" s="103"/>
      <c r="Q485" s="103"/>
      <c r="R485" s="428">
        <f t="shared" si="255"/>
        <v>0</v>
      </c>
      <c r="S485" s="103"/>
      <c r="T485" s="103"/>
      <c r="U485" s="103"/>
      <c r="V485" s="125"/>
      <c r="W485" s="428">
        <f t="shared" si="259"/>
        <v>0</v>
      </c>
      <c r="X485" s="103"/>
      <c r="Y485" s="103"/>
      <c r="Z485" s="125"/>
      <c r="AA485" s="428">
        <f t="shared" si="260"/>
        <v>0</v>
      </c>
      <c r="AB485" s="103"/>
      <c r="AC485" s="103"/>
      <c r="AD485" s="103"/>
      <c r="AE485" s="428">
        <f t="shared" si="261"/>
        <v>0</v>
      </c>
      <c r="AF485" s="103"/>
      <c r="AG485" s="103"/>
      <c r="AH485" s="103"/>
      <c r="AI485" s="103"/>
      <c r="AJ485" s="428">
        <f t="shared" si="262"/>
        <v>0</v>
      </c>
      <c r="AK485" s="446"/>
      <c r="AL485" s="446"/>
      <c r="AM485" s="446"/>
      <c r="AN485" s="446"/>
      <c r="AO485" s="446"/>
      <c r="AP485" s="446"/>
      <c r="AQ485" s="446"/>
      <c r="AR485" s="431">
        <f t="shared" si="263"/>
        <v>0</v>
      </c>
      <c r="AS485" s="10" t="s">
        <v>2802</v>
      </c>
      <c r="AT485" s="128" t="s">
        <v>2803</v>
      </c>
      <c r="AU485" s="100" t="s">
        <v>2804</v>
      </c>
      <c r="AV485" s="128" t="s">
        <v>2822</v>
      </c>
      <c r="AW485" s="100" t="s">
        <v>2823</v>
      </c>
      <c r="AX485" s="433">
        <f t="shared" si="264"/>
        <v>0</v>
      </c>
      <c r="AY485" s="433">
        <f t="shared" si="265"/>
        <v>0</v>
      </c>
      <c r="AZ485" s="433">
        <f t="shared" si="266"/>
        <v>0</v>
      </c>
      <c r="BA485" s="433">
        <f t="shared" si="256"/>
        <v>0</v>
      </c>
      <c r="BB485" s="433">
        <f t="shared" si="257"/>
        <v>0</v>
      </c>
      <c r="BC485" s="433">
        <f t="shared" si="258"/>
        <v>0</v>
      </c>
      <c r="BD485" s="433">
        <f t="shared" si="267"/>
        <v>0</v>
      </c>
      <c r="BE485" s="433">
        <f t="shared" si="268"/>
        <v>0</v>
      </c>
      <c r="BF485" s="433">
        <f t="shared" si="269"/>
        <v>0</v>
      </c>
      <c r="BG485" s="433">
        <f t="shared" si="270"/>
        <v>0</v>
      </c>
      <c r="BH485" s="433">
        <f t="shared" si="271"/>
        <v>0</v>
      </c>
      <c r="BI485" s="433">
        <f t="shared" si="272"/>
        <v>0</v>
      </c>
      <c r="BJ485" s="433">
        <f t="shared" si="273"/>
        <v>0</v>
      </c>
      <c r="BK485" s="433">
        <f t="shared" si="274"/>
        <v>0</v>
      </c>
      <c r="BL485" s="433">
        <f t="shared" si="275"/>
        <v>0</v>
      </c>
      <c r="BM485" s="433">
        <f t="shared" si="276"/>
        <v>0</v>
      </c>
      <c r="BN485" s="433">
        <f t="shared" si="277"/>
        <v>0</v>
      </c>
      <c r="BO485" s="433">
        <f t="shared" si="278"/>
        <v>0</v>
      </c>
      <c r="BP485" s="433">
        <f t="shared" si="279"/>
        <v>0</v>
      </c>
      <c r="BQ485" s="433">
        <f t="shared" si="280"/>
        <v>0</v>
      </c>
    </row>
    <row r="486" spans="1:69" x14ac:dyDescent="0.2">
      <c r="A486" s="102">
        <v>41836</v>
      </c>
      <c r="B486" s="319">
        <v>3</v>
      </c>
      <c r="C486" s="118" t="s">
        <v>2728</v>
      </c>
      <c r="D486" s="111">
        <v>0</v>
      </c>
      <c r="E486" s="111">
        <v>0.40486111111111112</v>
      </c>
      <c r="F486" s="444">
        <v>40</v>
      </c>
      <c r="G486" s="445">
        <v>11</v>
      </c>
      <c r="H486" s="444"/>
      <c r="I486" s="390"/>
      <c r="J486" s="426">
        <f t="shared" si="253"/>
        <v>583</v>
      </c>
      <c r="K486" s="103">
        <v>1</v>
      </c>
      <c r="L486" s="103"/>
      <c r="M486" s="103"/>
      <c r="N486" s="427">
        <f t="shared" si="254"/>
        <v>1</v>
      </c>
      <c r="O486" s="103"/>
      <c r="P486" s="103"/>
      <c r="Q486" s="103"/>
      <c r="R486" s="428">
        <f t="shared" si="255"/>
        <v>0</v>
      </c>
      <c r="S486" s="103"/>
      <c r="T486" s="103"/>
      <c r="U486" s="103"/>
      <c r="V486" s="125"/>
      <c r="W486" s="428">
        <f t="shared" si="259"/>
        <v>0</v>
      </c>
      <c r="X486" s="103"/>
      <c r="Y486" s="103"/>
      <c r="Z486" s="125"/>
      <c r="AA486" s="428">
        <f t="shared" si="260"/>
        <v>0</v>
      </c>
      <c r="AB486" s="103"/>
      <c r="AC486" s="103"/>
      <c r="AD486" s="103"/>
      <c r="AE486" s="428">
        <f t="shared" si="261"/>
        <v>0</v>
      </c>
      <c r="AF486" s="103"/>
      <c r="AG486" s="103"/>
      <c r="AH486" s="103"/>
      <c r="AI486" s="103"/>
      <c r="AJ486" s="428">
        <f t="shared" si="262"/>
        <v>0</v>
      </c>
      <c r="AK486" s="446"/>
      <c r="AL486" s="446"/>
      <c r="AM486" s="446"/>
      <c r="AN486" s="446"/>
      <c r="AO486" s="446"/>
      <c r="AP486" s="446"/>
      <c r="AQ486" s="446"/>
      <c r="AR486" s="431">
        <f t="shared" si="263"/>
        <v>0</v>
      </c>
      <c r="AS486" s="10" t="s">
        <v>2805</v>
      </c>
      <c r="AT486" s="128"/>
      <c r="AU486" s="100" t="s">
        <v>2806</v>
      </c>
      <c r="AV486" s="128" t="s">
        <v>2822</v>
      </c>
      <c r="AW486" s="100" t="s">
        <v>2823</v>
      </c>
      <c r="AX486" s="433">
        <f t="shared" si="264"/>
        <v>1</v>
      </c>
      <c r="AY486" s="433">
        <f t="shared" si="265"/>
        <v>0</v>
      </c>
      <c r="AZ486" s="433">
        <f t="shared" si="266"/>
        <v>0</v>
      </c>
      <c r="BA486" s="433">
        <f t="shared" si="256"/>
        <v>0</v>
      </c>
      <c r="BB486" s="433">
        <f t="shared" si="257"/>
        <v>0</v>
      </c>
      <c r="BC486" s="433">
        <f t="shared" si="258"/>
        <v>0</v>
      </c>
      <c r="BD486" s="433">
        <f t="shared" si="267"/>
        <v>0</v>
      </c>
      <c r="BE486" s="433">
        <f t="shared" si="268"/>
        <v>0</v>
      </c>
      <c r="BF486" s="433">
        <f t="shared" si="269"/>
        <v>0</v>
      </c>
      <c r="BG486" s="433">
        <f t="shared" si="270"/>
        <v>0</v>
      </c>
      <c r="BH486" s="433">
        <f t="shared" si="271"/>
        <v>0</v>
      </c>
      <c r="BI486" s="433">
        <f t="shared" si="272"/>
        <v>0</v>
      </c>
      <c r="BJ486" s="433">
        <f t="shared" si="273"/>
        <v>0</v>
      </c>
      <c r="BK486" s="433">
        <f t="shared" si="274"/>
        <v>0</v>
      </c>
      <c r="BL486" s="433">
        <f t="shared" si="275"/>
        <v>0</v>
      </c>
      <c r="BM486" s="433">
        <f t="shared" si="276"/>
        <v>0</v>
      </c>
      <c r="BN486" s="433">
        <f t="shared" si="277"/>
        <v>0</v>
      </c>
      <c r="BO486" s="433">
        <f t="shared" si="278"/>
        <v>0</v>
      </c>
      <c r="BP486" s="433">
        <f t="shared" si="279"/>
        <v>0</v>
      </c>
      <c r="BQ486" s="433">
        <f t="shared" si="280"/>
        <v>0</v>
      </c>
    </row>
    <row r="487" spans="1:69" x14ac:dyDescent="0.2">
      <c r="A487" s="102">
        <v>41836</v>
      </c>
      <c r="B487" s="319">
        <v>3</v>
      </c>
      <c r="C487" s="118" t="s">
        <v>1556</v>
      </c>
      <c r="D487" s="111">
        <v>0.40486111111111112</v>
      </c>
      <c r="E487" s="111">
        <v>0.59652777777777777</v>
      </c>
      <c r="F487" s="444">
        <v>39</v>
      </c>
      <c r="G487" s="445">
        <v>10</v>
      </c>
      <c r="H487" s="444"/>
      <c r="I487" s="390"/>
      <c r="J487" s="426">
        <f t="shared" si="253"/>
        <v>276</v>
      </c>
      <c r="K487" s="103">
        <v>1</v>
      </c>
      <c r="L487" s="103"/>
      <c r="M487" s="103"/>
      <c r="N487" s="427">
        <f t="shared" si="254"/>
        <v>1</v>
      </c>
      <c r="O487" s="103"/>
      <c r="P487" s="103">
        <v>1</v>
      </c>
      <c r="Q487" s="103"/>
      <c r="R487" s="428">
        <f t="shared" si="255"/>
        <v>1</v>
      </c>
      <c r="S487" s="103"/>
      <c r="T487" s="103"/>
      <c r="U487" s="103"/>
      <c r="V487" s="125"/>
      <c r="W487" s="428">
        <f t="shared" si="259"/>
        <v>0</v>
      </c>
      <c r="X487" s="103"/>
      <c r="Y487" s="103"/>
      <c r="Z487" s="125"/>
      <c r="AA487" s="428">
        <f t="shared" si="260"/>
        <v>0</v>
      </c>
      <c r="AB487" s="103"/>
      <c r="AC487" s="103"/>
      <c r="AD487" s="103"/>
      <c r="AE487" s="428">
        <f t="shared" si="261"/>
        <v>0</v>
      </c>
      <c r="AF487" s="103"/>
      <c r="AG487" s="103"/>
      <c r="AH487" s="103"/>
      <c r="AI487" s="103"/>
      <c r="AJ487" s="428">
        <f t="shared" si="262"/>
        <v>0</v>
      </c>
      <c r="AK487" s="446"/>
      <c r="AL487" s="446"/>
      <c r="AM487" s="446"/>
      <c r="AN487" s="446"/>
      <c r="AO487" s="446"/>
      <c r="AP487" s="446"/>
      <c r="AQ487" s="446"/>
      <c r="AR487" s="431">
        <f t="shared" si="263"/>
        <v>0</v>
      </c>
      <c r="AT487" s="128"/>
      <c r="AU487" s="100" t="s">
        <v>2800</v>
      </c>
      <c r="AV487" s="128" t="s">
        <v>2822</v>
      </c>
      <c r="AW487" s="100" t="s">
        <v>2823</v>
      </c>
      <c r="AX487" s="433">
        <f t="shared" si="264"/>
        <v>1</v>
      </c>
      <c r="AY487" s="433">
        <f t="shared" si="265"/>
        <v>0</v>
      </c>
      <c r="AZ487" s="433">
        <f t="shared" si="266"/>
        <v>0</v>
      </c>
      <c r="BA487" s="433">
        <f t="shared" si="256"/>
        <v>0</v>
      </c>
      <c r="BB487" s="433">
        <f t="shared" si="257"/>
        <v>1</v>
      </c>
      <c r="BC487" s="433">
        <f t="shared" si="258"/>
        <v>0</v>
      </c>
      <c r="BD487" s="433">
        <f t="shared" si="267"/>
        <v>0</v>
      </c>
      <c r="BE487" s="433">
        <f t="shared" si="268"/>
        <v>0</v>
      </c>
      <c r="BF487" s="433">
        <f t="shared" si="269"/>
        <v>0</v>
      </c>
      <c r="BG487" s="433">
        <f t="shared" si="270"/>
        <v>0</v>
      </c>
      <c r="BH487" s="433">
        <f t="shared" si="271"/>
        <v>0</v>
      </c>
      <c r="BI487" s="433">
        <f t="shared" si="272"/>
        <v>0</v>
      </c>
      <c r="BJ487" s="433">
        <f t="shared" si="273"/>
        <v>0</v>
      </c>
      <c r="BK487" s="433">
        <f t="shared" si="274"/>
        <v>0</v>
      </c>
      <c r="BL487" s="433">
        <f t="shared" si="275"/>
        <v>0</v>
      </c>
      <c r="BM487" s="433">
        <f t="shared" si="276"/>
        <v>0</v>
      </c>
      <c r="BN487" s="433">
        <f t="shared" si="277"/>
        <v>0</v>
      </c>
      <c r="BO487" s="433">
        <f t="shared" si="278"/>
        <v>0</v>
      </c>
      <c r="BP487" s="433">
        <f t="shared" si="279"/>
        <v>0</v>
      </c>
      <c r="BQ487" s="433">
        <f t="shared" si="280"/>
        <v>0</v>
      </c>
    </row>
    <row r="488" spans="1:69" x14ac:dyDescent="0.2">
      <c r="A488" s="102">
        <v>41836</v>
      </c>
      <c r="B488" s="319">
        <v>3</v>
      </c>
      <c r="C488" s="118" t="s">
        <v>2807</v>
      </c>
      <c r="D488" s="111">
        <v>0.59652777777777777</v>
      </c>
      <c r="E488" s="111">
        <v>0.78263888888888899</v>
      </c>
      <c r="F488" s="444">
        <v>43</v>
      </c>
      <c r="G488" s="445">
        <v>11</v>
      </c>
      <c r="H488" s="444"/>
      <c r="I488" s="390"/>
      <c r="J488" s="426">
        <f t="shared" si="253"/>
        <v>268.00000000000017</v>
      </c>
      <c r="K488" s="103"/>
      <c r="L488" s="103"/>
      <c r="M488" s="103">
        <v>1</v>
      </c>
      <c r="N488" s="427">
        <f t="shared" si="254"/>
        <v>1</v>
      </c>
      <c r="O488" s="103"/>
      <c r="P488" s="103"/>
      <c r="Q488" s="103"/>
      <c r="R488" s="428">
        <f t="shared" si="255"/>
        <v>0</v>
      </c>
      <c r="S488" s="103"/>
      <c r="T488" s="103"/>
      <c r="U488" s="103"/>
      <c r="V488" s="125"/>
      <c r="W488" s="428">
        <f t="shared" si="259"/>
        <v>0</v>
      </c>
      <c r="X488" s="103"/>
      <c r="Y488" s="103"/>
      <c r="Z488" s="125"/>
      <c r="AA488" s="428">
        <f t="shared" si="260"/>
        <v>0</v>
      </c>
      <c r="AB488" s="103"/>
      <c r="AC488" s="103"/>
      <c r="AD488" s="103"/>
      <c r="AE488" s="428">
        <f t="shared" si="261"/>
        <v>0</v>
      </c>
      <c r="AF488" s="103"/>
      <c r="AG488" s="103"/>
      <c r="AH488" s="103"/>
      <c r="AI488" s="103"/>
      <c r="AJ488" s="428">
        <f t="shared" si="262"/>
        <v>0</v>
      </c>
      <c r="AK488" s="446"/>
      <c r="AL488" s="446"/>
      <c r="AM488" s="446">
        <v>1</v>
      </c>
      <c r="AN488" s="446"/>
      <c r="AO488" s="446"/>
      <c r="AP488" s="446"/>
      <c r="AQ488" s="446"/>
      <c r="AR488" s="431">
        <f t="shared" si="263"/>
        <v>1</v>
      </c>
      <c r="AT488" s="128"/>
      <c r="AU488" s="100" t="s">
        <v>2806</v>
      </c>
      <c r="AV488" s="128" t="s">
        <v>2822</v>
      </c>
      <c r="AW488" s="100" t="s">
        <v>2823</v>
      </c>
      <c r="AX488" s="433">
        <f t="shared" si="264"/>
        <v>0</v>
      </c>
      <c r="AY488" s="433">
        <f t="shared" si="265"/>
        <v>0</v>
      </c>
      <c r="AZ488" s="433">
        <f t="shared" si="266"/>
        <v>1</v>
      </c>
      <c r="BA488" s="433">
        <f t="shared" si="256"/>
        <v>0</v>
      </c>
      <c r="BB488" s="433">
        <f t="shared" si="257"/>
        <v>0</v>
      </c>
      <c r="BC488" s="433">
        <f t="shared" si="258"/>
        <v>0</v>
      </c>
      <c r="BD488" s="433">
        <f t="shared" si="267"/>
        <v>0</v>
      </c>
      <c r="BE488" s="433">
        <f t="shared" si="268"/>
        <v>0</v>
      </c>
      <c r="BF488" s="433">
        <f t="shared" si="269"/>
        <v>0</v>
      </c>
      <c r="BG488" s="433">
        <f t="shared" si="270"/>
        <v>0</v>
      </c>
      <c r="BH488" s="433">
        <f t="shared" si="271"/>
        <v>0</v>
      </c>
      <c r="BI488" s="433">
        <f t="shared" si="272"/>
        <v>0</v>
      </c>
      <c r="BJ488" s="433">
        <f t="shared" si="273"/>
        <v>0</v>
      </c>
      <c r="BK488" s="433">
        <f t="shared" si="274"/>
        <v>0</v>
      </c>
      <c r="BL488" s="433">
        <f t="shared" si="275"/>
        <v>0</v>
      </c>
      <c r="BM488" s="433">
        <f t="shared" si="276"/>
        <v>0</v>
      </c>
      <c r="BN488" s="433">
        <f t="shared" si="277"/>
        <v>0</v>
      </c>
      <c r="BO488" s="433">
        <f t="shared" si="278"/>
        <v>0</v>
      </c>
      <c r="BP488" s="433">
        <f t="shared" si="279"/>
        <v>0</v>
      </c>
      <c r="BQ488" s="433">
        <f t="shared" si="280"/>
        <v>0</v>
      </c>
    </row>
    <row r="489" spans="1:69" s="291" customFormat="1" x14ac:dyDescent="0.2">
      <c r="A489" s="317">
        <v>41836</v>
      </c>
      <c r="B489" s="318">
        <v>3</v>
      </c>
      <c r="C489" s="320" t="s">
        <v>2683</v>
      </c>
      <c r="D489" s="321">
        <v>0.78263888888888899</v>
      </c>
      <c r="E489" s="321">
        <v>1</v>
      </c>
      <c r="F489" s="434">
        <v>44</v>
      </c>
      <c r="G489" s="435">
        <v>11</v>
      </c>
      <c r="H489" s="434"/>
      <c r="I489" s="436"/>
      <c r="J489" s="437">
        <f t="shared" si="253"/>
        <v>312.99999999999983</v>
      </c>
      <c r="K489" s="285">
        <v>1</v>
      </c>
      <c r="L489" s="285"/>
      <c r="M489" s="285">
        <v>1</v>
      </c>
      <c r="N489" s="438">
        <f t="shared" si="254"/>
        <v>2</v>
      </c>
      <c r="O489" s="285"/>
      <c r="P489" s="285"/>
      <c r="Q489" s="285"/>
      <c r="R489" s="439">
        <f t="shared" si="255"/>
        <v>0</v>
      </c>
      <c r="S489" s="285"/>
      <c r="T489" s="285"/>
      <c r="U489" s="285">
        <v>1</v>
      </c>
      <c r="V489" s="440"/>
      <c r="W489" s="439">
        <f t="shared" si="259"/>
        <v>1</v>
      </c>
      <c r="X489" s="285"/>
      <c r="Y489" s="285"/>
      <c r="Z489" s="440"/>
      <c r="AA489" s="439">
        <f t="shared" si="260"/>
        <v>0</v>
      </c>
      <c r="AB489" s="285"/>
      <c r="AC489" s="285"/>
      <c r="AD489" s="285"/>
      <c r="AE489" s="439">
        <f t="shared" si="261"/>
        <v>0</v>
      </c>
      <c r="AF489" s="285"/>
      <c r="AG489" s="285"/>
      <c r="AH489" s="285"/>
      <c r="AI489" s="285"/>
      <c r="AJ489" s="439">
        <f t="shared" si="262"/>
        <v>0</v>
      </c>
      <c r="AK489" s="340"/>
      <c r="AL489" s="340"/>
      <c r="AM489" s="340"/>
      <c r="AN489" s="340"/>
      <c r="AO489" s="340"/>
      <c r="AP489" s="340"/>
      <c r="AQ489" s="340"/>
      <c r="AR489" s="441">
        <f t="shared" si="263"/>
        <v>0</v>
      </c>
      <c r="AS489" s="291" t="s">
        <v>2808</v>
      </c>
      <c r="AT489" s="313" t="s">
        <v>2809</v>
      </c>
      <c r="AU489" s="289" t="s">
        <v>2798</v>
      </c>
      <c r="AV489" s="313" t="s">
        <v>2822</v>
      </c>
      <c r="AW489" s="382" t="s">
        <v>2823</v>
      </c>
      <c r="AX489" s="443">
        <f t="shared" si="264"/>
        <v>1</v>
      </c>
      <c r="AY489" s="443">
        <f t="shared" si="265"/>
        <v>0</v>
      </c>
      <c r="AZ489" s="443">
        <f t="shared" si="266"/>
        <v>1</v>
      </c>
      <c r="BA489" s="443">
        <f t="shared" si="256"/>
        <v>0</v>
      </c>
      <c r="BB489" s="443">
        <f t="shared" si="257"/>
        <v>0</v>
      </c>
      <c r="BC489" s="443">
        <f t="shared" si="258"/>
        <v>0</v>
      </c>
      <c r="BD489" s="443">
        <f t="shared" si="267"/>
        <v>0</v>
      </c>
      <c r="BE489" s="443">
        <f t="shared" si="268"/>
        <v>0</v>
      </c>
      <c r="BF489" s="443">
        <f t="shared" si="269"/>
        <v>1</v>
      </c>
      <c r="BG489" s="443">
        <f t="shared" si="270"/>
        <v>0</v>
      </c>
      <c r="BH489" s="443">
        <f t="shared" si="271"/>
        <v>0</v>
      </c>
      <c r="BI489" s="443">
        <f t="shared" si="272"/>
        <v>0</v>
      </c>
      <c r="BJ489" s="443">
        <f t="shared" si="273"/>
        <v>0</v>
      </c>
      <c r="BK489" s="443">
        <f t="shared" si="274"/>
        <v>0</v>
      </c>
      <c r="BL489" s="443">
        <f t="shared" si="275"/>
        <v>0</v>
      </c>
      <c r="BM489" s="443">
        <f t="shared" si="276"/>
        <v>0</v>
      </c>
      <c r="BN489" s="443">
        <f t="shared" si="277"/>
        <v>0</v>
      </c>
      <c r="BO489" s="443">
        <f t="shared" si="278"/>
        <v>0</v>
      </c>
      <c r="BP489" s="443">
        <f t="shared" si="279"/>
        <v>0</v>
      </c>
      <c r="BQ489" s="443">
        <f t="shared" si="280"/>
        <v>0</v>
      </c>
    </row>
    <row r="490" spans="1:69" x14ac:dyDescent="0.2">
      <c r="A490" s="102">
        <v>41837</v>
      </c>
      <c r="B490" s="319">
        <v>1</v>
      </c>
      <c r="C490" s="118" t="s">
        <v>2641</v>
      </c>
      <c r="D490" s="111">
        <v>0</v>
      </c>
      <c r="E490" s="111">
        <v>0.40972222222222227</v>
      </c>
      <c r="F490" s="444">
        <v>45</v>
      </c>
      <c r="G490" s="445">
        <v>9</v>
      </c>
      <c r="H490" s="444"/>
      <c r="I490" s="390"/>
      <c r="J490" s="426">
        <f t="shared" si="253"/>
        <v>590</v>
      </c>
      <c r="K490" s="103">
        <v>2</v>
      </c>
      <c r="L490" s="103"/>
      <c r="M490" s="103">
        <v>1</v>
      </c>
      <c r="N490" s="427">
        <f t="shared" si="254"/>
        <v>3</v>
      </c>
      <c r="O490" s="103"/>
      <c r="P490" s="103"/>
      <c r="Q490" s="103"/>
      <c r="R490" s="428">
        <f t="shared" si="255"/>
        <v>0</v>
      </c>
      <c r="S490" s="103">
        <v>1</v>
      </c>
      <c r="T490" s="103"/>
      <c r="U490" s="103"/>
      <c r="V490" s="125"/>
      <c r="W490" s="428">
        <f t="shared" si="259"/>
        <v>1</v>
      </c>
      <c r="X490" s="103"/>
      <c r="Y490" s="103"/>
      <c r="Z490" s="125"/>
      <c r="AA490" s="428">
        <f t="shared" si="260"/>
        <v>0</v>
      </c>
      <c r="AB490" s="103"/>
      <c r="AC490" s="103"/>
      <c r="AD490" s="103"/>
      <c r="AE490" s="428">
        <f t="shared" si="261"/>
        <v>0</v>
      </c>
      <c r="AF490" s="103"/>
      <c r="AG490" s="103"/>
      <c r="AH490" s="103"/>
      <c r="AI490" s="103"/>
      <c r="AJ490" s="428">
        <f t="shared" si="262"/>
        <v>0</v>
      </c>
      <c r="AK490" s="446"/>
      <c r="AL490" s="446"/>
      <c r="AM490" s="446"/>
      <c r="AN490" s="446"/>
      <c r="AO490" s="446"/>
      <c r="AP490" s="446"/>
      <c r="AQ490" s="446"/>
      <c r="AR490" s="431">
        <f t="shared" si="263"/>
        <v>0</v>
      </c>
      <c r="AS490" s="10" t="s">
        <v>2827</v>
      </c>
      <c r="AT490" s="128"/>
      <c r="AU490" s="100" t="s">
        <v>2828</v>
      </c>
      <c r="AV490" s="128" t="s">
        <v>2864</v>
      </c>
      <c r="AW490" s="100" t="s">
        <v>2863</v>
      </c>
      <c r="AX490" s="433">
        <f t="shared" si="264"/>
        <v>2</v>
      </c>
      <c r="AY490" s="433">
        <f t="shared" si="265"/>
        <v>0</v>
      </c>
      <c r="AZ490" s="433">
        <f t="shared" si="266"/>
        <v>1</v>
      </c>
      <c r="BA490" s="433">
        <f t="shared" si="256"/>
        <v>0</v>
      </c>
      <c r="BB490" s="433">
        <f t="shared" si="257"/>
        <v>0</v>
      </c>
      <c r="BC490" s="433">
        <f t="shared" si="258"/>
        <v>0</v>
      </c>
      <c r="BD490" s="433">
        <f t="shared" si="267"/>
        <v>1</v>
      </c>
      <c r="BE490" s="433">
        <f t="shared" si="268"/>
        <v>0</v>
      </c>
      <c r="BF490" s="433">
        <f t="shared" si="269"/>
        <v>0</v>
      </c>
      <c r="BG490" s="433">
        <f t="shared" si="270"/>
        <v>0</v>
      </c>
      <c r="BH490" s="433">
        <f t="shared" si="271"/>
        <v>0</v>
      </c>
      <c r="BI490" s="433">
        <f t="shared" si="272"/>
        <v>0</v>
      </c>
      <c r="BJ490" s="433">
        <f t="shared" si="273"/>
        <v>0</v>
      </c>
      <c r="BK490" s="433">
        <f t="shared" si="274"/>
        <v>0</v>
      </c>
      <c r="BL490" s="433">
        <f t="shared" si="275"/>
        <v>0</v>
      </c>
      <c r="BM490" s="433">
        <f t="shared" si="276"/>
        <v>0</v>
      </c>
      <c r="BN490" s="433">
        <f t="shared" si="277"/>
        <v>0</v>
      </c>
      <c r="BO490" s="433">
        <f t="shared" si="278"/>
        <v>0</v>
      </c>
      <c r="BP490" s="433">
        <f t="shared" si="279"/>
        <v>0</v>
      </c>
      <c r="BQ490" s="433">
        <f t="shared" si="280"/>
        <v>0</v>
      </c>
    </row>
    <row r="491" spans="1:69" x14ac:dyDescent="0.2">
      <c r="A491" s="102">
        <v>41837</v>
      </c>
      <c r="B491" s="319">
        <v>1</v>
      </c>
      <c r="C491" s="118" t="s">
        <v>2733</v>
      </c>
      <c r="D491" s="111">
        <v>0.40972222222222227</v>
      </c>
      <c r="E491" s="111">
        <v>0.59722222222222221</v>
      </c>
      <c r="F491" s="444">
        <v>39</v>
      </c>
      <c r="G491" s="445">
        <v>9</v>
      </c>
      <c r="H491" s="444"/>
      <c r="I491" s="390"/>
      <c r="J491" s="426">
        <f t="shared" si="253"/>
        <v>269.99999999999989</v>
      </c>
      <c r="K491" s="103"/>
      <c r="L491" s="103"/>
      <c r="M491" s="103"/>
      <c r="N491" s="427">
        <f t="shared" si="254"/>
        <v>0</v>
      </c>
      <c r="O491" s="103"/>
      <c r="P491" s="103"/>
      <c r="Q491" s="103"/>
      <c r="R491" s="428">
        <f t="shared" si="255"/>
        <v>0</v>
      </c>
      <c r="S491" s="103"/>
      <c r="T491" s="103"/>
      <c r="U491" s="103"/>
      <c r="V491" s="125"/>
      <c r="W491" s="428">
        <f t="shared" si="259"/>
        <v>0</v>
      </c>
      <c r="X491" s="103"/>
      <c r="Y491" s="103"/>
      <c r="Z491" s="125"/>
      <c r="AA491" s="428">
        <f t="shared" si="260"/>
        <v>0</v>
      </c>
      <c r="AB491" s="103"/>
      <c r="AC491" s="103"/>
      <c r="AD491" s="103"/>
      <c r="AE491" s="428">
        <f t="shared" si="261"/>
        <v>0</v>
      </c>
      <c r="AF491" s="103"/>
      <c r="AG491" s="103"/>
      <c r="AH491" s="103"/>
      <c r="AI491" s="103"/>
      <c r="AJ491" s="428">
        <f t="shared" si="262"/>
        <v>0</v>
      </c>
      <c r="AK491" s="446"/>
      <c r="AL491" s="446"/>
      <c r="AM491" s="446"/>
      <c r="AN491" s="446"/>
      <c r="AO491" s="446"/>
      <c r="AP491" s="446"/>
      <c r="AQ491" s="446"/>
      <c r="AR491" s="431">
        <f t="shared" si="263"/>
        <v>0</v>
      </c>
      <c r="AS491" s="10" t="s">
        <v>2862</v>
      </c>
      <c r="AT491" s="128" t="s">
        <v>424</v>
      </c>
      <c r="AU491" s="100" t="s">
        <v>2829</v>
      </c>
      <c r="AV491" s="128" t="s">
        <v>2864</v>
      </c>
      <c r="AW491" s="100" t="s">
        <v>2863</v>
      </c>
      <c r="AX491" s="433">
        <f t="shared" si="264"/>
        <v>0</v>
      </c>
      <c r="AY491" s="433">
        <f t="shared" si="265"/>
        <v>0</v>
      </c>
      <c r="AZ491" s="433">
        <f t="shared" si="266"/>
        <v>0</v>
      </c>
      <c r="BA491" s="433">
        <f t="shared" si="256"/>
        <v>0</v>
      </c>
      <c r="BB491" s="433">
        <f t="shared" si="257"/>
        <v>0</v>
      </c>
      <c r="BC491" s="433">
        <f t="shared" si="258"/>
        <v>0</v>
      </c>
      <c r="BD491" s="433">
        <f t="shared" si="267"/>
        <v>0</v>
      </c>
      <c r="BE491" s="433">
        <f t="shared" si="268"/>
        <v>0</v>
      </c>
      <c r="BF491" s="433">
        <f t="shared" si="269"/>
        <v>0</v>
      </c>
      <c r="BG491" s="433">
        <f t="shared" si="270"/>
        <v>0</v>
      </c>
      <c r="BH491" s="433">
        <f t="shared" si="271"/>
        <v>0</v>
      </c>
      <c r="BI491" s="433">
        <f t="shared" si="272"/>
        <v>0</v>
      </c>
      <c r="BJ491" s="433">
        <f t="shared" si="273"/>
        <v>0</v>
      </c>
      <c r="BK491" s="433">
        <f t="shared" si="274"/>
        <v>0</v>
      </c>
      <c r="BL491" s="433">
        <f t="shared" si="275"/>
        <v>0</v>
      </c>
      <c r="BM491" s="433">
        <f t="shared" si="276"/>
        <v>0</v>
      </c>
      <c r="BN491" s="433">
        <f t="shared" si="277"/>
        <v>0</v>
      </c>
      <c r="BO491" s="433">
        <f t="shared" si="278"/>
        <v>0</v>
      </c>
      <c r="BP491" s="433">
        <f t="shared" si="279"/>
        <v>0</v>
      </c>
      <c r="BQ491" s="433">
        <f t="shared" si="280"/>
        <v>0</v>
      </c>
    </row>
    <row r="492" spans="1:69" x14ac:dyDescent="0.2">
      <c r="A492" s="102">
        <v>41837</v>
      </c>
      <c r="B492" s="319">
        <v>1</v>
      </c>
      <c r="C492" s="118" t="s">
        <v>2607</v>
      </c>
      <c r="D492" s="111">
        <v>0.59722222222222221</v>
      </c>
      <c r="E492" s="111">
        <v>0.76874999999999993</v>
      </c>
      <c r="F492" s="444">
        <v>40</v>
      </c>
      <c r="G492" s="445">
        <v>10</v>
      </c>
      <c r="H492" s="444"/>
      <c r="I492" s="390"/>
      <c r="J492" s="426">
        <f>((E492-D492)*24*60)-8</f>
        <v>238.99999999999991</v>
      </c>
      <c r="K492" s="103"/>
      <c r="L492" s="103"/>
      <c r="M492" s="103"/>
      <c r="N492" s="427">
        <f t="shared" si="254"/>
        <v>0</v>
      </c>
      <c r="O492" s="103"/>
      <c r="P492" s="103">
        <v>1</v>
      </c>
      <c r="Q492" s="103"/>
      <c r="R492" s="428">
        <f t="shared" si="255"/>
        <v>1</v>
      </c>
      <c r="S492" s="103">
        <v>1</v>
      </c>
      <c r="T492" s="103"/>
      <c r="U492" s="103"/>
      <c r="V492" s="125"/>
      <c r="W492" s="428">
        <f t="shared" si="259"/>
        <v>1</v>
      </c>
      <c r="X492" s="103"/>
      <c r="Y492" s="103"/>
      <c r="Z492" s="125"/>
      <c r="AA492" s="428">
        <f t="shared" si="260"/>
        <v>0</v>
      </c>
      <c r="AB492" s="103"/>
      <c r="AC492" s="103"/>
      <c r="AD492" s="103"/>
      <c r="AE492" s="428">
        <f t="shared" si="261"/>
        <v>0</v>
      </c>
      <c r="AF492" s="103"/>
      <c r="AG492" s="103"/>
      <c r="AH492" s="103"/>
      <c r="AI492" s="103"/>
      <c r="AJ492" s="428">
        <f t="shared" si="262"/>
        <v>0</v>
      </c>
      <c r="AK492" s="446"/>
      <c r="AL492" s="446"/>
      <c r="AM492" s="446"/>
      <c r="AN492" s="446"/>
      <c r="AO492" s="446"/>
      <c r="AP492" s="446"/>
      <c r="AQ492" s="446"/>
      <c r="AR492" s="431">
        <f t="shared" si="263"/>
        <v>0</v>
      </c>
      <c r="AS492" s="10" t="s">
        <v>2830</v>
      </c>
      <c r="AT492" s="128"/>
      <c r="AU492" s="100" t="s">
        <v>2832</v>
      </c>
      <c r="AV492" s="128" t="s">
        <v>2864</v>
      </c>
      <c r="AW492" s="100" t="s">
        <v>2863</v>
      </c>
      <c r="AX492" s="433">
        <f t="shared" si="264"/>
        <v>0</v>
      </c>
      <c r="AY492" s="433">
        <f t="shared" si="265"/>
        <v>0</v>
      </c>
      <c r="AZ492" s="433">
        <f t="shared" si="266"/>
        <v>0</v>
      </c>
      <c r="BA492" s="433">
        <f t="shared" si="256"/>
        <v>0</v>
      </c>
      <c r="BB492" s="433">
        <f t="shared" si="257"/>
        <v>1</v>
      </c>
      <c r="BC492" s="433">
        <f t="shared" si="258"/>
        <v>0</v>
      </c>
      <c r="BD492" s="433">
        <f t="shared" si="267"/>
        <v>1</v>
      </c>
      <c r="BE492" s="433">
        <f t="shared" si="268"/>
        <v>0</v>
      </c>
      <c r="BF492" s="433">
        <f t="shared" si="269"/>
        <v>0</v>
      </c>
      <c r="BG492" s="433">
        <f t="shared" si="270"/>
        <v>0</v>
      </c>
      <c r="BH492" s="433">
        <f t="shared" si="271"/>
        <v>0</v>
      </c>
      <c r="BI492" s="433">
        <f t="shared" si="272"/>
        <v>0</v>
      </c>
      <c r="BJ492" s="433">
        <f t="shared" si="273"/>
        <v>0</v>
      </c>
      <c r="BK492" s="433">
        <f t="shared" si="274"/>
        <v>0</v>
      </c>
      <c r="BL492" s="433">
        <f t="shared" si="275"/>
        <v>0</v>
      </c>
      <c r="BM492" s="433">
        <f t="shared" si="276"/>
        <v>0</v>
      </c>
      <c r="BN492" s="433">
        <f t="shared" si="277"/>
        <v>0</v>
      </c>
      <c r="BO492" s="433">
        <f t="shared" si="278"/>
        <v>0</v>
      </c>
      <c r="BP492" s="433">
        <f t="shared" si="279"/>
        <v>0</v>
      </c>
      <c r="BQ492" s="433">
        <f t="shared" si="280"/>
        <v>0</v>
      </c>
    </row>
    <row r="493" spans="1:69" x14ac:dyDescent="0.2">
      <c r="A493" s="102">
        <v>41837</v>
      </c>
      <c r="B493" s="319">
        <v>1</v>
      </c>
      <c r="C493" s="118" t="s">
        <v>437</v>
      </c>
      <c r="D493" s="111">
        <v>0.76874999999999993</v>
      </c>
      <c r="E493" s="111">
        <v>1</v>
      </c>
      <c r="F493" s="444">
        <v>43</v>
      </c>
      <c r="G493" s="445">
        <v>10</v>
      </c>
      <c r="H493" s="444"/>
      <c r="I493" s="390"/>
      <c r="J493" s="426">
        <f t="shared" si="253"/>
        <v>333.00000000000011</v>
      </c>
      <c r="K493" s="103"/>
      <c r="L493" s="103"/>
      <c r="M493" s="103"/>
      <c r="N493" s="427">
        <f t="shared" si="254"/>
        <v>0</v>
      </c>
      <c r="O493" s="103"/>
      <c r="P493" s="103"/>
      <c r="Q493" s="103"/>
      <c r="R493" s="428">
        <f t="shared" si="255"/>
        <v>0</v>
      </c>
      <c r="S493" s="103"/>
      <c r="T493" s="103"/>
      <c r="U493" s="103"/>
      <c r="V493" s="125"/>
      <c r="W493" s="428">
        <f t="shared" si="259"/>
        <v>0</v>
      </c>
      <c r="X493" s="103"/>
      <c r="Y493" s="103"/>
      <c r="Z493" s="125"/>
      <c r="AA493" s="428">
        <f t="shared" si="260"/>
        <v>0</v>
      </c>
      <c r="AB493" s="103"/>
      <c r="AC493" s="103"/>
      <c r="AD493" s="103"/>
      <c r="AE493" s="428">
        <f t="shared" si="261"/>
        <v>0</v>
      </c>
      <c r="AF493" s="103"/>
      <c r="AG493" s="103"/>
      <c r="AH493" s="103"/>
      <c r="AI493" s="103"/>
      <c r="AJ493" s="428">
        <f t="shared" si="262"/>
        <v>0</v>
      </c>
      <c r="AK493" s="446"/>
      <c r="AL493" s="446"/>
      <c r="AM493" s="446"/>
      <c r="AN493" s="446"/>
      <c r="AO493" s="446">
        <v>1</v>
      </c>
      <c r="AP493" s="446"/>
      <c r="AQ493" s="446"/>
      <c r="AR493" s="431">
        <f t="shared" si="263"/>
        <v>1</v>
      </c>
      <c r="AT493" s="128"/>
      <c r="AU493" s="100" t="s">
        <v>2831</v>
      </c>
      <c r="AV493" s="128" t="s">
        <v>2864</v>
      </c>
      <c r="AW493" s="100" t="s">
        <v>2863</v>
      </c>
      <c r="AX493" s="433">
        <f t="shared" si="264"/>
        <v>0</v>
      </c>
      <c r="AY493" s="433">
        <f t="shared" si="265"/>
        <v>0</v>
      </c>
      <c r="AZ493" s="433">
        <f t="shared" si="266"/>
        <v>0</v>
      </c>
      <c r="BA493" s="433">
        <f t="shared" si="256"/>
        <v>0</v>
      </c>
      <c r="BB493" s="433">
        <f t="shared" si="257"/>
        <v>0</v>
      </c>
      <c r="BC493" s="433">
        <f t="shared" si="258"/>
        <v>0</v>
      </c>
      <c r="BD493" s="433">
        <f t="shared" si="267"/>
        <v>0</v>
      </c>
      <c r="BE493" s="433">
        <f t="shared" si="268"/>
        <v>0</v>
      </c>
      <c r="BF493" s="433">
        <f t="shared" si="269"/>
        <v>0</v>
      </c>
      <c r="BG493" s="433">
        <f t="shared" si="270"/>
        <v>0</v>
      </c>
      <c r="BH493" s="433">
        <f t="shared" si="271"/>
        <v>0</v>
      </c>
      <c r="BI493" s="433">
        <f t="shared" si="272"/>
        <v>0</v>
      </c>
      <c r="BJ493" s="433">
        <f t="shared" si="273"/>
        <v>0</v>
      </c>
      <c r="BK493" s="433">
        <f t="shared" si="274"/>
        <v>0</v>
      </c>
      <c r="BL493" s="433">
        <f t="shared" si="275"/>
        <v>0</v>
      </c>
      <c r="BM493" s="433">
        <f t="shared" si="276"/>
        <v>0</v>
      </c>
      <c r="BN493" s="433">
        <f t="shared" si="277"/>
        <v>0</v>
      </c>
      <c r="BO493" s="433">
        <f t="shared" si="278"/>
        <v>0</v>
      </c>
      <c r="BP493" s="433">
        <f t="shared" si="279"/>
        <v>0</v>
      </c>
      <c r="BQ493" s="433">
        <f t="shared" si="280"/>
        <v>0</v>
      </c>
    </row>
    <row r="494" spans="1:69" x14ac:dyDescent="0.2">
      <c r="A494" s="102">
        <v>41837</v>
      </c>
      <c r="B494" s="319">
        <v>2</v>
      </c>
      <c r="C494" s="118" t="s">
        <v>2641</v>
      </c>
      <c r="D494" s="111">
        <v>0</v>
      </c>
      <c r="E494" s="111">
        <v>0.39583333333333331</v>
      </c>
      <c r="F494" s="444">
        <v>30</v>
      </c>
      <c r="G494" s="445">
        <v>10</v>
      </c>
      <c r="H494" s="444"/>
      <c r="I494" s="390"/>
      <c r="J494" s="426">
        <f t="shared" si="253"/>
        <v>570</v>
      </c>
      <c r="K494" s="103"/>
      <c r="L494" s="103"/>
      <c r="M494" s="103"/>
      <c r="N494" s="427">
        <f t="shared" si="254"/>
        <v>0</v>
      </c>
      <c r="O494" s="103"/>
      <c r="P494" s="103"/>
      <c r="Q494" s="103"/>
      <c r="R494" s="428">
        <f t="shared" si="255"/>
        <v>0</v>
      </c>
      <c r="S494" s="103"/>
      <c r="T494" s="103"/>
      <c r="U494" s="103"/>
      <c r="V494" s="125"/>
      <c r="W494" s="428">
        <f t="shared" si="259"/>
        <v>0</v>
      </c>
      <c r="X494" s="103"/>
      <c r="Y494" s="103"/>
      <c r="Z494" s="125"/>
      <c r="AA494" s="428">
        <f t="shared" si="260"/>
        <v>0</v>
      </c>
      <c r="AB494" s="103"/>
      <c r="AC494" s="103"/>
      <c r="AD494" s="103"/>
      <c r="AE494" s="428">
        <f t="shared" si="261"/>
        <v>0</v>
      </c>
      <c r="AF494" s="103"/>
      <c r="AG494" s="103"/>
      <c r="AH494" s="103"/>
      <c r="AI494" s="103"/>
      <c r="AJ494" s="428">
        <f t="shared" si="262"/>
        <v>0</v>
      </c>
      <c r="AK494" s="446"/>
      <c r="AL494" s="446"/>
      <c r="AM494" s="446"/>
      <c r="AN494" s="446"/>
      <c r="AO494" s="446"/>
      <c r="AP494" s="446"/>
      <c r="AQ494" s="446"/>
      <c r="AR494" s="431">
        <f t="shared" si="263"/>
        <v>0</v>
      </c>
      <c r="AT494" s="128" t="s">
        <v>424</v>
      </c>
      <c r="AU494" s="100" t="s">
        <v>2832</v>
      </c>
      <c r="AV494" s="128" t="s">
        <v>2864</v>
      </c>
      <c r="AW494" s="100" t="s">
        <v>2863</v>
      </c>
      <c r="AX494" s="433">
        <f t="shared" si="264"/>
        <v>0</v>
      </c>
      <c r="AY494" s="433">
        <f t="shared" si="265"/>
        <v>0</v>
      </c>
      <c r="AZ494" s="433">
        <f t="shared" si="266"/>
        <v>0</v>
      </c>
      <c r="BA494" s="433">
        <f t="shared" si="256"/>
        <v>0</v>
      </c>
      <c r="BB494" s="433">
        <f t="shared" si="257"/>
        <v>0</v>
      </c>
      <c r="BC494" s="433">
        <f t="shared" si="258"/>
        <v>0</v>
      </c>
      <c r="BD494" s="433">
        <f t="shared" si="267"/>
        <v>0</v>
      </c>
      <c r="BE494" s="433">
        <f t="shared" si="268"/>
        <v>0</v>
      </c>
      <c r="BF494" s="433">
        <f t="shared" si="269"/>
        <v>0</v>
      </c>
      <c r="BG494" s="433">
        <f t="shared" si="270"/>
        <v>0</v>
      </c>
      <c r="BH494" s="433">
        <f t="shared" si="271"/>
        <v>0</v>
      </c>
      <c r="BI494" s="433">
        <f t="shared" si="272"/>
        <v>0</v>
      </c>
      <c r="BJ494" s="433">
        <f t="shared" si="273"/>
        <v>0</v>
      </c>
      <c r="BK494" s="433">
        <f t="shared" si="274"/>
        <v>0</v>
      </c>
      <c r="BL494" s="433">
        <f t="shared" si="275"/>
        <v>0</v>
      </c>
      <c r="BM494" s="433">
        <f t="shared" si="276"/>
        <v>0</v>
      </c>
      <c r="BN494" s="433">
        <f t="shared" si="277"/>
        <v>0</v>
      </c>
      <c r="BO494" s="433">
        <f t="shared" si="278"/>
        <v>0</v>
      </c>
      <c r="BP494" s="433">
        <f t="shared" si="279"/>
        <v>0</v>
      </c>
      <c r="BQ494" s="433">
        <f t="shared" si="280"/>
        <v>0</v>
      </c>
    </row>
    <row r="495" spans="1:69" x14ac:dyDescent="0.2">
      <c r="A495" s="102">
        <v>41837</v>
      </c>
      <c r="B495" s="319">
        <v>2</v>
      </c>
      <c r="C495" s="118" t="s">
        <v>2733</v>
      </c>
      <c r="D495" s="111">
        <v>0.39583333333333331</v>
      </c>
      <c r="E495" s="111">
        <v>0.59027777777777779</v>
      </c>
      <c r="F495" s="444">
        <v>31</v>
      </c>
      <c r="G495" s="445">
        <v>11</v>
      </c>
      <c r="H495" s="444"/>
      <c r="I495" s="390"/>
      <c r="J495" s="426">
        <f t="shared" si="253"/>
        <v>280.00000000000006</v>
      </c>
      <c r="K495" s="103"/>
      <c r="L495" s="103"/>
      <c r="M495" s="103"/>
      <c r="N495" s="427">
        <f t="shared" si="254"/>
        <v>0</v>
      </c>
      <c r="O495" s="103"/>
      <c r="P495" s="103">
        <v>1</v>
      </c>
      <c r="Q495" s="103"/>
      <c r="R495" s="428">
        <f t="shared" si="255"/>
        <v>1</v>
      </c>
      <c r="S495" s="103"/>
      <c r="T495" s="103"/>
      <c r="U495" s="103"/>
      <c r="V495" s="125"/>
      <c r="W495" s="428">
        <f t="shared" si="259"/>
        <v>0</v>
      </c>
      <c r="X495" s="103"/>
      <c r="Y495" s="103"/>
      <c r="Z495" s="125"/>
      <c r="AA495" s="428">
        <f t="shared" si="260"/>
        <v>0</v>
      </c>
      <c r="AB495" s="103">
        <v>1</v>
      </c>
      <c r="AC495" s="103"/>
      <c r="AD495" s="103"/>
      <c r="AE495" s="428">
        <f t="shared" si="261"/>
        <v>1</v>
      </c>
      <c r="AF495" s="103"/>
      <c r="AG495" s="103"/>
      <c r="AH495" s="103"/>
      <c r="AI495" s="103"/>
      <c r="AJ495" s="428">
        <f t="shared" si="262"/>
        <v>0</v>
      </c>
      <c r="AK495" s="446"/>
      <c r="AL495" s="446"/>
      <c r="AM495" s="446"/>
      <c r="AN495" s="446"/>
      <c r="AO495" s="446"/>
      <c r="AP495" s="446"/>
      <c r="AQ495" s="446"/>
      <c r="AR495" s="431">
        <f t="shared" si="263"/>
        <v>0</v>
      </c>
      <c r="AT495" s="128"/>
      <c r="AU495" s="100" t="s">
        <v>2829</v>
      </c>
      <c r="AV495" s="128" t="s">
        <v>2864</v>
      </c>
      <c r="AW495" s="100" t="s">
        <v>2863</v>
      </c>
      <c r="AX495" s="433">
        <f t="shared" si="264"/>
        <v>0</v>
      </c>
      <c r="AY495" s="433">
        <f t="shared" si="265"/>
        <v>0</v>
      </c>
      <c r="AZ495" s="433">
        <f t="shared" si="266"/>
        <v>0</v>
      </c>
      <c r="BA495" s="433">
        <f t="shared" si="256"/>
        <v>0</v>
      </c>
      <c r="BB495" s="433">
        <f t="shared" si="257"/>
        <v>1</v>
      </c>
      <c r="BC495" s="433">
        <f t="shared" si="258"/>
        <v>0</v>
      </c>
      <c r="BD495" s="433">
        <f t="shared" si="267"/>
        <v>0</v>
      </c>
      <c r="BE495" s="433">
        <f t="shared" si="268"/>
        <v>0</v>
      </c>
      <c r="BF495" s="433">
        <f t="shared" si="269"/>
        <v>0</v>
      </c>
      <c r="BG495" s="433">
        <f t="shared" si="270"/>
        <v>0</v>
      </c>
      <c r="BH495" s="433">
        <f t="shared" si="271"/>
        <v>0</v>
      </c>
      <c r="BI495" s="433">
        <f t="shared" si="272"/>
        <v>0</v>
      </c>
      <c r="BJ495" s="433">
        <f t="shared" si="273"/>
        <v>0</v>
      </c>
      <c r="BK495" s="433">
        <f t="shared" si="274"/>
        <v>1</v>
      </c>
      <c r="BL495" s="433">
        <f t="shared" si="275"/>
        <v>0</v>
      </c>
      <c r="BM495" s="433">
        <f t="shared" si="276"/>
        <v>0</v>
      </c>
      <c r="BN495" s="433">
        <f t="shared" si="277"/>
        <v>0</v>
      </c>
      <c r="BO495" s="433">
        <f t="shared" si="278"/>
        <v>0</v>
      </c>
      <c r="BP495" s="433">
        <f t="shared" si="279"/>
        <v>0</v>
      </c>
      <c r="BQ495" s="433">
        <f t="shared" si="280"/>
        <v>0</v>
      </c>
    </row>
    <row r="496" spans="1:69" x14ac:dyDescent="0.2">
      <c r="A496" s="102">
        <v>41837</v>
      </c>
      <c r="B496" s="319">
        <v>2</v>
      </c>
      <c r="C496" s="118" t="s">
        <v>2607</v>
      </c>
      <c r="D496" s="111">
        <v>0.59027777777777779</v>
      </c>
      <c r="E496" s="111">
        <v>0.78055555555555556</v>
      </c>
      <c r="F496" s="444">
        <v>34</v>
      </c>
      <c r="G496" s="445">
        <v>13</v>
      </c>
      <c r="H496" s="444"/>
      <c r="I496" s="390"/>
      <c r="J496" s="426">
        <f t="shared" si="253"/>
        <v>274</v>
      </c>
      <c r="K496" s="103"/>
      <c r="L496" s="103"/>
      <c r="M496" s="103"/>
      <c r="N496" s="427">
        <f t="shared" si="254"/>
        <v>0</v>
      </c>
      <c r="O496" s="103"/>
      <c r="P496" s="103">
        <v>1</v>
      </c>
      <c r="Q496" s="103"/>
      <c r="R496" s="428">
        <f t="shared" si="255"/>
        <v>1</v>
      </c>
      <c r="S496" s="103"/>
      <c r="T496" s="103"/>
      <c r="U496" s="103"/>
      <c r="V496" s="125"/>
      <c r="W496" s="428">
        <f t="shared" si="259"/>
        <v>0</v>
      </c>
      <c r="X496" s="103"/>
      <c r="Y496" s="103"/>
      <c r="Z496" s="125"/>
      <c r="AA496" s="428">
        <f t="shared" si="260"/>
        <v>0</v>
      </c>
      <c r="AB496" s="103"/>
      <c r="AC496" s="103"/>
      <c r="AD496" s="103"/>
      <c r="AE496" s="428">
        <f t="shared" si="261"/>
        <v>0</v>
      </c>
      <c r="AF496" s="103"/>
      <c r="AG496" s="103"/>
      <c r="AH496" s="103"/>
      <c r="AI496" s="103"/>
      <c r="AJ496" s="428">
        <f t="shared" si="262"/>
        <v>0</v>
      </c>
      <c r="AK496" s="446"/>
      <c r="AL496" s="446"/>
      <c r="AM496" s="446"/>
      <c r="AN496" s="446"/>
      <c r="AO496" s="446"/>
      <c r="AP496" s="446"/>
      <c r="AQ496" s="446"/>
      <c r="AR496" s="431">
        <f t="shared" si="263"/>
        <v>0</v>
      </c>
      <c r="AT496" s="128"/>
      <c r="AU496" s="100" t="s">
        <v>2833</v>
      </c>
      <c r="AV496" s="128" t="s">
        <v>2864</v>
      </c>
      <c r="AW496" s="100" t="s">
        <v>2863</v>
      </c>
      <c r="AX496" s="433">
        <f t="shared" si="264"/>
        <v>0</v>
      </c>
      <c r="AY496" s="433">
        <f t="shared" si="265"/>
        <v>0</v>
      </c>
      <c r="AZ496" s="433">
        <f t="shared" si="266"/>
        <v>0</v>
      </c>
      <c r="BA496" s="433">
        <f t="shared" si="256"/>
        <v>0</v>
      </c>
      <c r="BB496" s="433">
        <f t="shared" si="257"/>
        <v>1</v>
      </c>
      <c r="BC496" s="433">
        <f t="shared" si="258"/>
        <v>0</v>
      </c>
      <c r="BD496" s="433">
        <f t="shared" si="267"/>
        <v>0</v>
      </c>
      <c r="BE496" s="433">
        <f t="shared" si="268"/>
        <v>0</v>
      </c>
      <c r="BF496" s="433">
        <f t="shared" si="269"/>
        <v>0</v>
      </c>
      <c r="BG496" s="433">
        <f t="shared" si="270"/>
        <v>0</v>
      </c>
      <c r="BH496" s="433">
        <f t="shared" si="271"/>
        <v>0</v>
      </c>
      <c r="BI496" s="433">
        <f t="shared" si="272"/>
        <v>0</v>
      </c>
      <c r="BJ496" s="433">
        <f t="shared" si="273"/>
        <v>0</v>
      </c>
      <c r="BK496" s="433">
        <f t="shared" si="274"/>
        <v>0</v>
      </c>
      <c r="BL496" s="433">
        <f t="shared" si="275"/>
        <v>0</v>
      </c>
      <c r="BM496" s="433">
        <f t="shared" si="276"/>
        <v>0</v>
      </c>
      <c r="BN496" s="433">
        <f t="shared" si="277"/>
        <v>0</v>
      </c>
      <c r="BO496" s="433">
        <f t="shared" si="278"/>
        <v>0</v>
      </c>
      <c r="BP496" s="433">
        <f t="shared" si="279"/>
        <v>0</v>
      </c>
      <c r="BQ496" s="433">
        <f t="shared" si="280"/>
        <v>0</v>
      </c>
    </row>
    <row r="497" spans="1:69" x14ac:dyDescent="0.2">
      <c r="A497" s="102">
        <v>41837</v>
      </c>
      <c r="B497" s="319">
        <v>2</v>
      </c>
      <c r="C497" s="118" t="s">
        <v>437</v>
      </c>
      <c r="D497" s="111">
        <v>0.78055555555555556</v>
      </c>
      <c r="E497" s="111">
        <v>1</v>
      </c>
      <c r="F497" s="444">
        <v>36</v>
      </c>
      <c r="G497" s="445">
        <v>12</v>
      </c>
      <c r="H497" s="444"/>
      <c r="I497" s="390"/>
      <c r="J497" s="426">
        <f t="shared" si="253"/>
        <v>316</v>
      </c>
      <c r="K497" s="103"/>
      <c r="L497" s="103"/>
      <c r="M497" s="103"/>
      <c r="N497" s="427">
        <f t="shared" si="254"/>
        <v>0</v>
      </c>
      <c r="O497" s="103"/>
      <c r="P497" s="103"/>
      <c r="Q497" s="103"/>
      <c r="R497" s="428">
        <f t="shared" si="255"/>
        <v>0</v>
      </c>
      <c r="S497" s="103">
        <v>1</v>
      </c>
      <c r="T497" s="103"/>
      <c r="U497" s="103"/>
      <c r="V497" s="125"/>
      <c r="W497" s="428">
        <f t="shared" si="259"/>
        <v>1</v>
      </c>
      <c r="X497" s="103"/>
      <c r="Y497" s="103"/>
      <c r="Z497" s="125"/>
      <c r="AA497" s="428">
        <f t="shared" si="260"/>
        <v>0</v>
      </c>
      <c r="AB497" s="103"/>
      <c r="AC497" s="103"/>
      <c r="AD497" s="103"/>
      <c r="AE497" s="428">
        <f t="shared" si="261"/>
        <v>0</v>
      </c>
      <c r="AF497" s="103"/>
      <c r="AG497" s="103"/>
      <c r="AH497" s="103"/>
      <c r="AI497" s="103"/>
      <c r="AJ497" s="428">
        <f t="shared" si="262"/>
        <v>0</v>
      </c>
      <c r="AK497" s="446">
        <v>1</v>
      </c>
      <c r="AL497" s="446"/>
      <c r="AM497" s="446"/>
      <c r="AN497" s="446"/>
      <c r="AO497" s="446"/>
      <c r="AP497" s="446"/>
      <c r="AQ497" s="446"/>
      <c r="AR497" s="431">
        <f t="shared" si="263"/>
        <v>1</v>
      </c>
      <c r="AT497" s="128"/>
      <c r="AU497" s="100" t="s">
        <v>2834</v>
      </c>
      <c r="AV497" s="128" t="s">
        <v>2864</v>
      </c>
      <c r="AW497" s="100" t="s">
        <v>2863</v>
      </c>
      <c r="AX497" s="433">
        <f t="shared" si="264"/>
        <v>0</v>
      </c>
      <c r="AY497" s="433">
        <f t="shared" si="265"/>
        <v>0</v>
      </c>
      <c r="AZ497" s="433">
        <f t="shared" si="266"/>
        <v>0</v>
      </c>
      <c r="BA497" s="433">
        <f t="shared" si="256"/>
        <v>0</v>
      </c>
      <c r="BB497" s="433">
        <f t="shared" si="257"/>
        <v>0</v>
      </c>
      <c r="BC497" s="433">
        <f t="shared" si="258"/>
        <v>0</v>
      </c>
      <c r="BD497" s="433">
        <f t="shared" si="267"/>
        <v>1</v>
      </c>
      <c r="BE497" s="433">
        <f t="shared" si="268"/>
        <v>0</v>
      </c>
      <c r="BF497" s="433">
        <f t="shared" si="269"/>
        <v>0</v>
      </c>
      <c r="BG497" s="433">
        <f t="shared" si="270"/>
        <v>0</v>
      </c>
      <c r="BH497" s="433">
        <f t="shared" si="271"/>
        <v>0</v>
      </c>
      <c r="BI497" s="433">
        <f t="shared" si="272"/>
        <v>0</v>
      </c>
      <c r="BJ497" s="433">
        <f t="shared" si="273"/>
        <v>0</v>
      </c>
      <c r="BK497" s="433">
        <f t="shared" si="274"/>
        <v>0</v>
      </c>
      <c r="BL497" s="433">
        <f t="shared" si="275"/>
        <v>0</v>
      </c>
      <c r="BM497" s="433">
        <f t="shared" si="276"/>
        <v>0</v>
      </c>
      <c r="BN497" s="433">
        <f t="shared" si="277"/>
        <v>0</v>
      </c>
      <c r="BO497" s="433">
        <f t="shared" si="278"/>
        <v>0</v>
      </c>
      <c r="BP497" s="433">
        <f t="shared" si="279"/>
        <v>0</v>
      </c>
      <c r="BQ497" s="433">
        <f t="shared" si="280"/>
        <v>0</v>
      </c>
    </row>
    <row r="498" spans="1:69" x14ac:dyDescent="0.2">
      <c r="A498" s="102">
        <v>41837</v>
      </c>
      <c r="B498" s="319">
        <v>3</v>
      </c>
      <c r="C498" s="118" t="s">
        <v>957</v>
      </c>
      <c r="D498" s="111">
        <v>0</v>
      </c>
      <c r="E498" s="111">
        <v>0.40625</v>
      </c>
      <c r="F498" s="444">
        <v>44</v>
      </c>
      <c r="G498" s="445">
        <v>10</v>
      </c>
      <c r="H498" s="444"/>
      <c r="I498" s="390"/>
      <c r="J498" s="426">
        <f>((E498-D498)*24*60)-15</f>
        <v>570</v>
      </c>
      <c r="K498" s="103">
        <v>3</v>
      </c>
      <c r="L498" s="103"/>
      <c r="M498" s="103"/>
      <c r="N498" s="427">
        <f t="shared" si="254"/>
        <v>3</v>
      </c>
      <c r="O498" s="103"/>
      <c r="P498" s="103">
        <v>2</v>
      </c>
      <c r="Q498" s="103"/>
      <c r="R498" s="428">
        <f t="shared" si="255"/>
        <v>2</v>
      </c>
      <c r="S498" s="103"/>
      <c r="T498" s="103"/>
      <c r="U498" s="103"/>
      <c r="V498" s="125"/>
      <c r="W498" s="428">
        <f t="shared" si="259"/>
        <v>0</v>
      </c>
      <c r="X498" s="103"/>
      <c r="Y498" s="103"/>
      <c r="Z498" s="125"/>
      <c r="AA498" s="428">
        <f t="shared" si="260"/>
        <v>0</v>
      </c>
      <c r="AB498" s="103"/>
      <c r="AC498" s="103"/>
      <c r="AD498" s="103"/>
      <c r="AE498" s="428">
        <f t="shared" si="261"/>
        <v>0</v>
      </c>
      <c r="AF498" s="103"/>
      <c r="AG498" s="103"/>
      <c r="AH498" s="103"/>
      <c r="AI498" s="103"/>
      <c r="AJ498" s="428">
        <f t="shared" si="262"/>
        <v>0</v>
      </c>
      <c r="AK498" s="446"/>
      <c r="AL498" s="446"/>
      <c r="AM498" s="446">
        <v>1</v>
      </c>
      <c r="AN498" s="446"/>
      <c r="AO498" s="446"/>
      <c r="AP498" s="446"/>
      <c r="AQ498" s="446"/>
      <c r="AR498" s="431">
        <f t="shared" si="263"/>
        <v>1</v>
      </c>
      <c r="AS498" s="10" t="s">
        <v>2835</v>
      </c>
      <c r="AT498" s="128"/>
      <c r="AU498" s="100" t="s">
        <v>2836</v>
      </c>
      <c r="AV498" s="128" t="s">
        <v>2864</v>
      </c>
      <c r="AW498" s="100" t="s">
        <v>2863</v>
      </c>
      <c r="AX498" s="433">
        <f t="shared" si="264"/>
        <v>3</v>
      </c>
      <c r="AY498" s="433">
        <f t="shared" si="265"/>
        <v>0</v>
      </c>
      <c r="AZ498" s="433">
        <f t="shared" si="266"/>
        <v>0</v>
      </c>
      <c r="BA498" s="433">
        <f t="shared" si="256"/>
        <v>0</v>
      </c>
      <c r="BB498" s="433">
        <f t="shared" si="257"/>
        <v>2</v>
      </c>
      <c r="BC498" s="433">
        <f t="shared" si="258"/>
        <v>0</v>
      </c>
      <c r="BD498" s="433">
        <f t="shared" si="267"/>
        <v>0</v>
      </c>
      <c r="BE498" s="433">
        <f t="shared" si="268"/>
        <v>0</v>
      </c>
      <c r="BF498" s="433">
        <f t="shared" si="269"/>
        <v>0</v>
      </c>
      <c r="BG498" s="433">
        <f t="shared" si="270"/>
        <v>0</v>
      </c>
      <c r="BH498" s="433">
        <f t="shared" si="271"/>
        <v>0</v>
      </c>
      <c r="BI498" s="433">
        <f t="shared" si="272"/>
        <v>0</v>
      </c>
      <c r="BJ498" s="433">
        <f t="shared" si="273"/>
        <v>0</v>
      </c>
      <c r="BK498" s="433">
        <f t="shared" si="274"/>
        <v>0</v>
      </c>
      <c r="BL498" s="433">
        <f t="shared" si="275"/>
        <v>0</v>
      </c>
      <c r="BM498" s="433">
        <f t="shared" si="276"/>
        <v>0</v>
      </c>
      <c r="BN498" s="433">
        <f t="shared" si="277"/>
        <v>0</v>
      </c>
      <c r="BO498" s="433">
        <f t="shared" si="278"/>
        <v>0</v>
      </c>
      <c r="BP498" s="433">
        <f t="shared" si="279"/>
        <v>0</v>
      </c>
      <c r="BQ498" s="433">
        <f t="shared" si="280"/>
        <v>0</v>
      </c>
    </row>
    <row r="499" spans="1:69" x14ac:dyDescent="0.2">
      <c r="A499" s="102">
        <v>41837</v>
      </c>
      <c r="B499" s="319">
        <v>3</v>
      </c>
      <c r="C499" s="118" t="s">
        <v>2558</v>
      </c>
      <c r="D499" s="111">
        <v>0.40625</v>
      </c>
      <c r="E499" s="111">
        <v>0.6</v>
      </c>
      <c r="F499" s="444">
        <v>43</v>
      </c>
      <c r="G499" s="445">
        <v>11</v>
      </c>
      <c r="H499" s="444"/>
      <c r="I499" s="390"/>
      <c r="J499" s="426">
        <f t="shared" si="253"/>
        <v>278.99999999999994</v>
      </c>
      <c r="K499" s="103"/>
      <c r="L499" s="103"/>
      <c r="M499" s="103"/>
      <c r="N499" s="427">
        <f t="shared" si="254"/>
        <v>0</v>
      </c>
      <c r="O499" s="103"/>
      <c r="P499" s="103"/>
      <c r="Q499" s="103"/>
      <c r="R499" s="428">
        <f t="shared" si="255"/>
        <v>0</v>
      </c>
      <c r="S499" s="103"/>
      <c r="T499" s="103"/>
      <c r="U499" s="103"/>
      <c r="V499" s="125"/>
      <c r="W499" s="428">
        <f t="shared" si="259"/>
        <v>0</v>
      </c>
      <c r="X499" s="103"/>
      <c r="Y499" s="103"/>
      <c r="Z499" s="125"/>
      <c r="AA499" s="428">
        <f t="shared" si="260"/>
        <v>0</v>
      </c>
      <c r="AB499" s="103"/>
      <c r="AC499" s="103"/>
      <c r="AD499" s="103"/>
      <c r="AE499" s="428">
        <f t="shared" si="261"/>
        <v>0</v>
      </c>
      <c r="AF499" s="103"/>
      <c r="AG499" s="103"/>
      <c r="AH499" s="103"/>
      <c r="AI499" s="103"/>
      <c r="AJ499" s="428">
        <f t="shared" si="262"/>
        <v>0</v>
      </c>
      <c r="AK499" s="446"/>
      <c r="AL499" s="446"/>
      <c r="AM499" s="446"/>
      <c r="AN499" s="446"/>
      <c r="AO499" s="446"/>
      <c r="AP499" s="446"/>
      <c r="AQ499" s="446"/>
      <c r="AR499" s="431">
        <f t="shared" si="263"/>
        <v>0</v>
      </c>
      <c r="AT499" s="128" t="s">
        <v>2609</v>
      </c>
      <c r="AU499" s="100" t="s">
        <v>2831</v>
      </c>
      <c r="AV499" s="128" t="s">
        <v>2864</v>
      </c>
      <c r="AW499" s="100" t="s">
        <v>2863</v>
      </c>
      <c r="AX499" s="433">
        <f t="shared" si="264"/>
        <v>0</v>
      </c>
      <c r="AY499" s="433">
        <f t="shared" si="265"/>
        <v>0</v>
      </c>
      <c r="AZ499" s="433">
        <f t="shared" si="266"/>
        <v>0</v>
      </c>
      <c r="BA499" s="433">
        <f t="shared" si="256"/>
        <v>0</v>
      </c>
      <c r="BB499" s="433">
        <f t="shared" si="257"/>
        <v>0</v>
      </c>
      <c r="BC499" s="433">
        <f t="shared" si="258"/>
        <v>0</v>
      </c>
      <c r="BD499" s="433">
        <f t="shared" si="267"/>
        <v>0</v>
      </c>
      <c r="BE499" s="433">
        <f t="shared" si="268"/>
        <v>0</v>
      </c>
      <c r="BF499" s="433">
        <f t="shared" si="269"/>
        <v>0</v>
      </c>
      <c r="BG499" s="433">
        <f t="shared" si="270"/>
        <v>0</v>
      </c>
      <c r="BH499" s="433">
        <f t="shared" si="271"/>
        <v>0</v>
      </c>
      <c r="BI499" s="433">
        <f t="shared" si="272"/>
        <v>0</v>
      </c>
      <c r="BJ499" s="433">
        <f t="shared" si="273"/>
        <v>0</v>
      </c>
      <c r="BK499" s="433">
        <f t="shared" si="274"/>
        <v>0</v>
      </c>
      <c r="BL499" s="433">
        <f t="shared" si="275"/>
        <v>0</v>
      </c>
      <c r="BM499" s="433">
        <f t="shared" si="276"/>
        <v>0</v>
      </c>
      <c r="BN499" s="433">
        <f t="shared" si="277"/>
        <v>0</v>
      </c>
      <c r="BO499" s="433">
        <f t="shared" si="278"/>
        <v>0</v>
      </c>
      <c r="BP499" s="433">
        <f t="shared" si="279"/>
        <v>0</v>
      </c>
      <c r="BQ499" s="433">
        <f t="shared" si="280"/>
        <v>0</v>
      </c>
    </row>
    <row r="500" spans="1:69" x14ac:dyDescent="0.2">
      <c r="A500" s="102">
        <v>41837</v>
      </c>
      <c r="B500" s="319">
        <v>3</v>
      </c>
      <c r="C500" s="118" t="s">
        <v>2837</v>
      </c>
      <c r="D500" s="111">
        <v>0.6</v>
      </c>
      <c r="E500" s="111">
        <v>0.78055555555555556</v>
      </c>
      <c r="F500" s="444">
        <v>46</v>
      </c>
      <c r="G500" s="445">
        <v>12</v>
      </c>
      <c r="H500" s="444"/>
      <c r="I500" s="390"/>
      <c r="J500" s="426">
        <f t="shared" si="253"/>
        <v>260.00000000000006</v>
      </c>
      <c r="K500" s="103">
        <v>1</v>
      </c>
      <c r="L500" s="103"/>
      <c r="M500" s="103"/>
      <c r="N500" s="427">
        <f t="shared" si="254"/>
        <v>1</v>
      </c>
      <c r="O500" s="103"/>
      <c r="P500" s="103"/>
      <c r="Q500" s="103"/>
      <c r="R500" s="428">
        <f t="shared" si="255"/>
        <v>0</v>
      </c>
      <c r="S500" s="103"/>
      <c r="T500" s="103"/>
      <c r="U500" s="103"/>
      <c r="V500" s="125"/>
      <c r="W500" s="428">
        <f t="shared" si="259"/>
        <v>0</v>
      </c>
      <c r="X500" s="103"/>
      <c r="Y500" s="103"/>
      <c r="Z500" s="125"/>
      <c r="AA500" s="428">
        <f t="shared" si="260"/>
        <v>0</v>
      </c>
      <c r="AB500" s="103"/>
      <c r="AC500" s="103"/>
      <c r="AD500" s="103"/>
      <c r="AE500" s="428">
        <f t="shared" si="261"/>
        <v>0</v>
      </c>
      <c r="AF500" s="103"/>
      <c r="AG500" s="103"/>
      <c r="AH500" s="103"/>
      <c r="AI500" s="103"/>
      <c r="AJ500" s="428">
        <f t="shared" si="262"/>
        <v>0</v>
      </c>
      <c r="AK500" s="446">
        <v>4</v>
      </c>
      <c r="AL500" s="446"/>
      <c r="AM500" s="446"/>
      <c r="AN500" s="446">
        <v>1</v>
      </c>
      <c r="AO500" s="446"/>
      <c r="AP500" s="446"/>
      <c r="AQ500" s="446"/>
      <c r="AR500" s="431">
        <f t="shared" si="263"/>
        <v>5</v>
      </c>
      <c r="AT500" s="128"/>
      <c r="AU500" s="100" t="s">
        <v>2828</v>
      </c>
      <c r="AV500" s="128" t="s">
        <v>2864</v>
      </c>
      <c r="AW500" s="100" t="s">
        <v>2863</v>
      </c>
      <c r="AX500" s="433">
        <f t="shared" si="264"/>
        <v>1</v>
      </c>
      <c r="AY500" s="433">
        <f t="shared" si="265"/>
        <v>0</v>
      </c>
      <c r="AZ500" s="433">
        <f t="shared" si="266"/>
        <v>0</v>
      </c>
      <c r="BA500" s="433">
        <f t="shared" si="256"/>
        <v>0</v>
      </c>
      <c r="BB500" s="433">
        <f t="shared" si="257"/>
        <v>0</v>
      </c>
      <c r="BC500" s="433">
        <f t="shared" si="258"/>
        <v>0</v>
      </c>
      <c r="BD500" s="433">
        <f t="shared" si="267"/>
        <v>0</v>
      </c>
      <c r="BE500" s="433">
        <f t="shared" si="268"/>
        <v>0</v>
      </c>
      <c r="BF500" s="433">
        <f t="shared" si="269"/>
        <v>0</v>
      </c>
      <c r="BG500" s="433">
        <f t="shared" si="270"/>
        <v>0</v>
      </c>
      <c r="BH500" s="433">
        <f t="shared" si="271"/>
        <v>0</v>
      </c>
      <c r="BI500" s="433">
        <f t="shared" si="272"/>
        <v>0</v>
      </c>
      <c r="BJ500" s="433">
        <f t="shared" si="273"/>
        <v>0</v>
      </c>
      <c r="BK500" s="433">
        <f t="shared" si="274"/>
        <v>0</v>
      </c>
      <c r="BL500" s="433">
        <f t="shared" si="275"/>
        <v>0</v>
      </c>
      <c r="BM500" s="433">
        <f t="shared" si="276"/>
        <v>0</v>
      </c>
      <c r="BN500" s="433">
        <f t="shared" si="277"/>
        <v>0</v>
      </c>
      <c r="BO500" s="433">
        <f t="shared" si="278"/>
        <v>0</v>
      </c>
      <c r="BP500" s="433">
        <f t="shared" si="279"/>
        <v>0</v>
      </c>
      <c r="BQ500" s="433">
        <f t="shared" si="280"/>
        <v>0</v>
      </c>
    </row>
    <row r="501" spans="1:69" s="291" customFormat="1" x14ac:dyDescent="0.2">
      <c r="A501" s="317">
        <v>41837</v>
      </c>
      <c r="B501" s="318">
        <v>3</v>
      </c>
      <c r="C501" s="320" t="s">
        <v>2548</v>
      </c>
      <c r="D501" s="321">
        <v>0.78055555555555556</v>
      </c>
      <c r="E501" s="321">
        <v>1</v>
      </c>
      <c r="F501" s="434">
        <v>46</v>
      </c>
      <c r="G501" s="435">
        <v>12</v>
      </c>
      <c r="H501" s="434"/>
      <c r="I501" s="436"/>
      <c r="J501" s="437">
        <f t="shared" si="253"/>
        <v>316</v>
      </c>
      <c r="K501" s="285"/>
      <c r="L501" s="285"/>
      <c r="M501" s="285">
        <v>0</v>
      </c>
      <c r="N501" s="438">
        <f t="shared" si="254"/>
        <v>0</v>
      </c>
      <c r="O501" s="285"/>
      <c r="P501" s="285">
        <v>2</v>
      </c>
      <c r="Q501" s="285">
        <v>1</v>
      </c>
      <c r="R501" s="439">
        <f t="shared" si="255"/>
        <v>3</v>
      </c>
      <c r="S501" s="285"/>
      <c r="T501" s="285"/>
      <c r="U501" s="285"/>
      <c r="V501" s="440"/>
      <c r="W501" s="439">
        <f t="shared" si="259"/>
        <v>0</v>
      </c>
      <c r="X501" s="285">
        <v>1</v>
      </c>
      <c r="Y501" s="285"/>
      <c r="Z501" s="440"/>
      <c r="AA501" s="439">
        <f t="shared" si="260"/>
        <v>1</v>
      </c>
      <c r="AB501" s="285">
        <v>1</v>
      </c>
      <c r="AC501" s="285">
        <v>1</v>
      </c>
      <c r="AD501" s="285"/>
      <c r="AE501" s="439">
        <f t="shared" si="261"/>
        <v>2</v>
      </c>
      <c r="AF501" s="285"/>
      <c r="AG501" s="285"/>
      <c r="AH501" s="285"/>
      <c r="AI501" s="285"/>
      <c r="AJ501" s="439">
        <f t="shared" si="262"/>
        <v>0</v>
      </c>
      <c r="AK501" s="340"/>
      <c r="AL501" s="340"/>
      <c r="AM501" s="340">
        <v>2</v>
      </c>
      <c r="AN501" s="340">
        <v>1</v>
      </c>
      <c r="AO501" s="340"/>
      <c r="AP501" s="340"/>
      <c r="AQ501" s="340"/>
      <c r="AR501" s="441">
        <f t="shared" si="263"/>
        <v>3</v>
      </c>
      <c r="AT501" s="313"/>
      <c r="AU501" s="289" t="s">
        <v>2826</v>
      </c>
      <c r="AV501" s="313" t="s">
        <v>2864</v>
      </c>
      <c r="AW501" s="289" t="s">
        <v>2863</v>
      </c>
      <c r="AX501" s="443">
        <f t="shared" si="264"/>
        <v>0</v>
      </c>
      <c r="AY501" s="443">
        <f t="shared" si="265"/>
        <v>0</v>
      </c>
      <c r="AZ501" s="443">
        <f t="shared" si="266"/>
        <v>0</v>
      </c>
      <c r="BA501" s="443">
        <f t="shared" si="256"/>
        <v>0</v>
      </c>
      <c r="BB501" s="443">
        <f t="shared" si="257"/>
        <v>2</v>
      </c>
      <c r="BC501" s="443">
        <f t="shared" si="258"/>
        <v>1</v>
      </c>
      <c r="BD501" s="443">
        <f t="shared" si="267"/>
        <v>0</v>
      </c>
      <c r="BE501" s="443">
        <f t="shared" si="268"/>
        <v>0</v>
      </c>
      <c r="BF501" s="443">
        <f t="shared" si="269"/>
        <v>0</v>
      </c>
      <c r="BG501" s="443">
        <f t="shared" si="270"/>
        <v>0</v>
      </c>
      <c r="BH501" s="443">
        <f t="shared" si="271"/>
        <v>1</v>
      </c>
      <c r="BI501" s="443">
        <f t="shared" si="272"/>
        <v>0</v>
      </c>
      <c r="BJ501" s="443">
        <f t="shared" si="273"/>
        <v>0</v>
      </c>
      <c r="BK501" s="443">
        <f t="shared" si="274"/>
        <v>1</v>
      </c>
      <c r="BL501" s="443">
        <f t="shared" si="275"/>
        <v>1</v>
      </c>
      <c r="BM501" s="443">
        <f t="shared" si="276"/>
        <v>0</v>
      </c>
      <c r="BN501" s="443">
        <f t="shared" si="277"/>
        <v>0</v>
      </c>
      <c r="BO501" s="443">
        <f t="shared" si="278"/>
        <v>0</v>
      </c>
      <c r="BP501" s="443">
        <f t="shared" si="279"/>
        <v>0</v>
      </c>
      <c r="BQ501" s="443">
        <f t="shared" si="280"/>
        <v>0</v>
      </c>
    </row>
    <row r="502" spans="1:69" x14ac:dyDescent="0.2">
      <c r="A502" s="102">
        <v>41838</v>
      </c>
      <c r="B502" s="319">
        <v>1</v>
      </c>
      <c r="C502" s="118" t="s">
        <v>489</v>
      </c>
      <c r="D502" s="111">
        <v>0</v>
      </c>
      <c r="E502" s="111">
        <v>0.39374999999999999</v>
      </c>
      <c r="F502" s="444">
        <v>44</v>
      </c>
      <c r="G502" s="445">
        <v>10</v>
      </c>
      <c r="H502" s="444"/>
      <c r="I502" s="390"/>
      <c r="J502" s="426">
        <f t="shared" si="253"/>
        <v>567</v>
      </c>
      <c r="K502" s="103"/>
      <c r="L502" s="103"/>
      <c r="M502" s="103"/>
      <c r="N502" s="427">
        <f t="shared" si="254"/>
        <v>0</v>
      </c>
      <c r="O502" s="103"/>
      <c r="P502" s="103"/>
      <c r="Q502" s="103"/>
      <c r="R502" s="428">
        <f t="shared" si="255"/>
        <v>0</v>
      </c>
      <c r="S502" s="103"/>
      <c r="T502" s="103"/>
      <c r="U502" s="103"/>
      <c r="V502" s="125"/>
      <c r="W502" s="428">
        <f t="shared" si="259"/>
        <v>0</v>
      </c>
      <c r="X502" s="103"/>
      <c r="Y502" s="103"/>
      <c r="Z502" s="125"/>
      <c r="AA502" s="428">
        <f t="shared" si="260"/>
        <v>0</v>
      </c>
      <c r="AB502" s="103"/>
      <c r="AC502" s="103"/>
      <c r="AD502" s="103"/>
      <c r="AE502" s="428">
        <f t="shared" si="261"/>
        <v>0</v>
      </c>
      <c r="AF502" s="103"/>
      <c r="AG502" s="103"/>
      <c r="AH502" s="103"/>
      <c r="AI502" s="103"/>
      <c r="AJ502" s="428">
        <f t="shared" si="262"/>
        <v>0</v>
      </c>
      <c r="AK502" s="446"/>
      <c r="AL502" s="446"/>
      <c r="AM502" s="446"/>
      <c r="AN502" s="446"/>
      <c r="AO502" s="446"/>
      <c r="AP502" s="446"/>
      <c r="AQ502" s="446"/>
      <c r="AR502" s="431">
        <f t="shared" si="263"/>
        <v>0</v>
      </c>
      <c r="AS502" s="10" t="s">
        <v>424</v>
      </c>
      <c r="AT502" s="128"/>
      <c r="AU502" s="100" t="s">
        <v>2865</v>
      </c>
      <c r="AV502" s="128" t="s">
        <v>2914</v>
      </c>
      <c r="AW502" s="100" t="s">
        <v>3155</v>
      </c>
      <c r="AX502" s="433">
        <f t="shared" si="264"/>
        <v>0</v>
      </c>
      <c r="AY502" s="433">
        <f t="shared" si="265"/>
        <v>0</v>
      </c>
      <c r="AZ502" s="433">
        <f t="shared" si="266"/>
        <v>0</v>
      </c>
      <c r="BA502" s="433">
        <f t="shared" si="256"/>
        <v>0</v>
      </c>
      <c r="BB502" s="433">
        <f t="shared" si="257"/>
        <v>0</v>
      </c>
      <c r="BC502" s="433">
        <f t="shared" si="258"/>
        <v>0</v>
      </c>
      <c r="BD502" s="433">
        <f t="shared" si="267"/>
        <v>0</v>
      </c>
      <c r="BE502" s="433">
        <f t="shared" si="268"/>
        <v>0</v>
      </c>
      <c r="BF502" s="433">
        <f t="shared" si="269"/>
        <v>0</v>
      </c>
      <c r="BG502" s="433">
        <f t="shared" si="270"/>
        <v>0</v>
      </c>
      <c r="BH502" s="433">
        <f t="shared" si="271"/>
        <v>0</v>
      </c>
      <c r="BI502" s="433">
        <f t="shared" si="272"/>
        <v>0</v>
      </c>
      <c r="BJ502" s="433">
        <f t="shared" si="273"/>
        <v>0</v>
      </c>
      <c r="BK502" s="433">
        <f t="shared" si="274"/>
        <v>0</v>
      </c>
      <c r="BL502" s="433">
        <f t="shared" si="275"/>
        <v>0</v>
      </c>
      <c r="BM502" s="433">
        <f t="shared" si="276"/>
        <v>0</v>
      </c>
      <c r="BN502" s="433">
        <f t="shared" si="277"/>
        <v>0</v>
      </c>
      <c r="BO502" s="433">
        <f t="shared" si="278"/>
        <v>0</v>
      </c>
      <c r="BP502" s="433">
        <f t="shared" si="279"/>
        <v>0</v>
      </c>
      <c r="BQ502" s="433">
        <f t="shared" si="280"/>
        <v>0</v>
      </c>
    </row>
    <row r="503" spans="1:69" x14ac:dyDescent="0.2">
      <c r="A503" s="102">
        <v>41838</v>
      </c>
      <c r="B503" s="319">
        <v>1</v>
      </c>
      <c r="C503" s="118" t="s">
        <v>2575</v>
      </c>
      <c r="D503" s="111">
        <v>0.39374999999999999</v>
      </c>
      <c r="E503" s="111">
        <v>0.60069444444444442</v>
      </c>
      <c r="F503" s="444">
        <v>43</v>
      </c>
      <c r="G503" s="445">
        <v>10</v>
      </c>
      <c r="H503" s="444"/>
      <c r="I503" s="390"/>
      <c r="J503" s="426">
        <f t="shared" si="253"/>
        <v>298</v>
      </c>
      <c r="K503" s="103"/>
      <c r="L503" s="103"/>
      <c r="M503" s="103"/>
      <c r="N503" s="427">
        <f t="shared" si="254"/>
        <v>0</v>
      </c>
      <c r="O503" s="103"/>
      <c r="P503" s="103"/>
      <c r="Q503" s="103"/>
      <c r="R503" s="428">
        <f t="shared" si="255"/>
        <v>0</v>
      </c>
      <c r="S503" s="103"/>
      <c r="T503" s="103"/>
      <c r="U503" s="103"/>
      <c r="V503" s="125"/>
      <c r="W503" s="428">
        <f t="shared" si="259"/>
        <v>0</v>
      </c>
      <c r="X503" s="103"/>
      <c r="Y503" s="103"/>
      <c r="Z503" s="125"/>
      <c r="AA503" s="428">
        <f t="shared" si="260"/>
        <v>0</v>
      </c>
      <c r="AB503" s="103"/>
      <c r="AC503" s="103"/>
      <c r="AD503" s="103"/>
      <c r="AE503" s="428">
        <f t="shared" si="261"/>
        <v>0</v>
      </c>
      <c r="AF503" s="103"/>
      <c r="AG503" s="103"/>
      <c r="AH503" s="103"/>
      <c r="AI503" s="103"/>
      <c r="AJ503" s="428">
        <f t="shared" si="262"/>
        <v>0</v>
      </c>
      <c r="AK503" s="446"/>
      <c r="AL503" s="446"/>
      <c r="AM503" s="446"/>
      <c r="AN503" s="446"/>
      <c r="AO503" s="446"/>
      <c r="AP503" s="446"/>
      <c r="AQ503" s="446"/>
      <c r="AR503" s="431">
        <f t="shared" si="263"/>
        <v>0</v>
      </c>
      <c r="AS503" s="10" t="s">
        <v>424</v>
      </c>
      <c r="AT503" s="128"/>
      <c r="AU503" s="100" t="s">
        <v>2866</v>
      </c>
      <c r="AV503" s="128" t="s">
        <v>2914</v>
      </c>
      <c r="AW503" s="100" t="s">
        <v>3155</v>
      </c>
      <c r="AX503" s="433">
        <f t="shared" si="264"/>
        <v>0</v>
      </c>
      <c r="AY503" s="433">
        <f t="shared" si="265"/>
        <v>0</v>
      </c>
      <c r="AZ503" s="433">
        <f t="shared" si="266"/>
        <v>0</v>
      </c>
      <c r="BA503" s="433">
        <f t="shared" si="256"/>
        <v>0</v>
      </c>
      <c r="BB503" s="433">
        <f t="shared" si="257"/>
        <v>0</v>
      </c>
      <c r="BC503" s="433">
        <f t="shared" si="258"/>
        <v>0</v>
      </c>
      <c r="BD503" s="433">
        <f t="shared" si="267"/>
        <v>0</v>
      </c>
      <c r="BE503" s="433">
        <f t="shared" si="268"/>
        <v>0</v>
      </c>
      <c r="BF503" s="433">
        <f t="shared" si="269"/>
        <v>0</v>
      </c>
      <c r="BG503" s="433">
        <f t="shared" si="270"/>
        <v>0</v>
      </c>
      <c r="BH503" s="433">
        <f t="shared" si="271"/>
        <v>0</v>
      </c>
      <c r="BI503" s="433">
        <f t="shared" si="272"/>
        <v>0</v>
      </c>
      <c r="BJ503" s="433">
        <f t="shared" si="273"/>
        <v>0</v>
      </c>
      <c r="BK503" s="433">
        <f t="shared" si="274"/>
        <v>0</v>
      </c>
      <c r="BL503" s="433">
        <f t="shared" si="275"/>
        <v>0</v>
      </c>
      <c r="BM503" s="433">
        <f t="shared" si="276"/>
        <v>0</v>
      </c>
      <c r="BN503" s="433">
        <f t="shared" si="277"/>
        <v>0</v>
      </c>
      <c r="BO503" s="433">
        <f t="shared" si="278"/>
        <v>0</v>
      </c>
      <c r="BP503" s="433">
        <f t="shared" si="279"/>
        <v>0</v>
      </c>
      <c r="BQ503" s="433">
        <f t="shared" si="280"/>
        <v>0</v>
      </c>
    </row>
    <row r="504" spans="1:69" x14ac:dyDescent="0.2">
      <c r="A504" s="102">
        <v>41838</v>
      </c>
      <c r="B504" s="319">
        <v>1</v>
      </c>
      <c r="C504" s="118" t="s">
        <v>2867</v>
      </c>
      <c r="D504" s="111">
        <v>0.60069444444444442</v>
      </c>
      <c r="E504" s="111">
        <v>0.78472222222222221</v>
      </c>
      <c r="F504" s="444">
        <v>46</v>
      </c>
      <c r="G504" s="445">
        <v>11</v>
      </c>
      <c r="H504" s="444"/>
      <c r="I504" s="390"/>
      <c r="J504" s="426">
        <f t="shared" si="253"/>
        <v>265</v>
      </c>
      <c r="K504" s="103"/>
      <c r="L504" s="103"/>
      <c r="M504" s="103"/>
      <c r="N504" s="427">
        <f t="shared" si="254"/>
        <v>0</v>
      </c>
      <c r="O504" s="103"/>
      <c r="P504" s="103"/>
      <c r="Q504" s="103"/>
      <c r="R504" s="428">
        <f t="shared" si="255"/>
        <v>0</v>
      </c>
      <c r="S504" s="103"/>
      <c r="T504" s="103"/>
      <c r="U504" s="103"/>
      <c r="V504" s="125"/>
      <c r="W504" s="428">
        <f t="shared" si="259"/>
        <v>0</v>
      </c>
      <c r="X504" s="103"/>
      <c r="Y504" s="103"/>
      <c r="Z504" s="125"/>
      <c r="AA504" s="428">
        <f t="shared" si="260"/>
        <v>0</v>
      </c>
      <c r="AB504" s="103"/>
      <c r="AC504" s="103"/>
      <c r="AD504" s="103"/>
      <c r="AE504" s="428">
        <f t="shared" si="261"/>
        <v>0</v>
      </c>
      <c r="AF504" s="103"/>
      <c r="AG504" s="103"/>
      <c r="AH504" s="103"/>
      <c r="AI504" s="103"/>
      <c r="AJ504" s="428">
        <f t="shared" si="262"/>
        <v>0</v>
      </c>
      <c r="AK504" s="446"/>
      <c r="AL504" s="446"/>
      <c r="AM504" s="446"/>
      <c r="AN504" s="446"/>
      <c r="AO504" s="446"/>
      <c r="AP504" s="446"/>
      <c r="AQ504" s="446"/>
      <c r="AR504" s="431">
        <f t="shared" si="263"/>
        <v>0</v>
      </c>
      <c r="AS504" s="10" t="s">
        <v>2868</v>
      </c>
      <c r="AT504" s="128"/>
      <c r="AU504" s="100" t="s">
        <v>2869</v>
      </c>
      <c r="AV504" s="128" t="s">
        <v>2914</v>
      </c>
      <c r="AW504" s="100" t="s">
        <v>3155</v>
      </c>
      <c r="AX504" s="433">
        <f t="shared" si="264"/>
        <v>0</v>
      </c>
      <c r="AY504" s="433">
        <f t="shared" si="265"/>
        <v>0</v>
      </c>
      <c r="AZ504" s="433">
        <f t="shared" si="266"/>
        <v>0</v>
      </c>
      <c r="BA504" s="433">
        <f t="shared" si="256"/>
        <v>0</v>
      </c>
      <c r="BB504" s="433">
        <f t="shared" si="257"/>
        <v>0</v>
      </c>
      <c r="BC504" s="433">
        <f t="shared" si="258"/>
        <v>0</v>
      </c>
      <c r="BD504" s="433">
        <f t="shared" si="267"/>
        <v>0</v>
      </c>
      <c r="BE504" s="433">
        <f t="shared" si="268"/>
        <v>0</v>
      </c>
      <c r="BF504" s="433">
        <f t="shared" si="269"/>
        <v>0</v>
      </c>
      <c r="BG504" s="433">
        <f t="shared" si="270"/>
        <v>0</v>
      </c>
      <c r="BH504" s="433">
        <f t="shared" si="271"/>
        <v>0</v>
      </c>
      <c r="BI504" s="433">
        <f t="shared" si="272"/>
        <v>0</v>
      </c>
      <c r="BJ504" s="433">
        <f t="shared" si="273"/>
        <v>0</v>
      </c>
      <c r="BK504" s="433">
        <f t="shared" si="274"/>
        <v>0</v>
      </c>
      <c r="BL504" s="433">
        <f t="shared" si="275"/>
        <v>0</v>
      </c>
      <c r="BM504" s="433">
        <f t="shared" si="276"/>
        <v>0</v>
      </c>
      <c r="BN504" s="433">
        <f t="shared" si="277"/>
        <v>0</v>
      </c>
      <c r="BO504" s="433">
        <f t="shared" si="278"/>
        <v>0</v>
      </c>
      <c r="BP504" s="433">
        <f t="shared" si="279"/>
        <v>0</v>
      </c>
      <c r="BQ504" s="433">
        <f t="shared" si="280"/>
        <v>0</v>
      </c>
    </row>
    <row r="505" spans="1:69" x14ac:dyDescent="0.2">
      <c r="A505" s="102">
        <v>41838</v>
      </c>
      <c r="B505" s="319">
        <v>1</v>
      </c>
      <c r="C505" s="118" t="s">
        <v>2870</v>
      </c>
      <c r="D505" s="111">
        <v>0.78472222222222221</v>
      </c>
      <c r="E505" s="111">
        <v>0.97430555555555554</v>
      </c>
      <c r="F505" s="444">
        <v>47</v>
      </c>
      <c r="G505" s="445">
        <v>11</v>
      </c>
      <c r="H505" s="444"/>
      <c r="I505" s="390"/>
      <c r="J505" s="426">
        <f t="shared" si="253"/>
        <v>273</v>
      </c>
      <c r="K505" s="103">
        <v>1</v>
      </c>
      <c r="L505" s="103"/>
      <c r="M505" s="103"/>
      <c r="N505" s="427">
        <f t="shared" si="254"/>
        <v>1</v>
      </c>
      <c r="O505" s="103"/>
      <c r="P505" s="103"/>
      <c r="Q505" s="103"/>
      <c r="R505" s="428">
        <f t="shared" si="255"/>
        <v>0</v>
      </c>
      <c r="S505" s="103"/>
      <c r="T505" s="103"/>
      <c r="U505" s="103"/>
      <c r="V505" s="125"/>
      <c r="W505" s="428">
        <f t="shared" si="259"/>
        <v>0</v>
      </c>
      <c r="X505" s="103"/>
      <c r="Y505" s="103"/>
      <c r="Z505" s="125"/>
      <c r="AA505" s="428">
        <f t="shared" si="260"/>
        <v>0</v>
      </c>
      <c r="AB505" s="103"/>
      <c r="AC505" s="103"/>
      <c r="AD505" s="103"/>
      <c r="AE505" s="428">
        <f t="shared" si="261"/>
        <v>0</v>
      </c>
      <c r="AF505" s="103"/>
      <c r="AG505" s="103"/>
      <c r="AH505" s="103"/>
      <c r="AI505" s="103"/>
      <c r="AJ505" s="428">
        <f t="shared" si="262"/>
        <v>0</v>
      </c>
      <c r="AK505" s="446"/>
      <c r="AL505" s="446"/>
      <c r="AM505" s="446"/>
      <c r="AN505" s="446"/>
      <c r="AO505" s="446"/>
      <c r="AP505" s="446"/>
      <c r="AQ505" s="446"/>
      <c r="AR505" s="431">
        <f t="shared" si="263"/>
        <v>0</v>
      </c>
      <c r="AS505" s="10" t="s">
        <v>2871</v>
      </c>
      <c r="AT505" s="128"/>
      <c r="AU505" s="100" t="s">
        <v>2872</v>
      </c>
      <c r="AV505" s="128" t="s">
        <v>2914</v>
      </c>
      <c r="AW505" s="100" t="s">
        <v>3155</v>
      </c>
      <c r="AX505" s="433">
        <f t="shared" si="264"/>
        <v>1</v>
      </c>
      <c r="AY505" s="433">
        <f t="shared" si="265"/>
        <v>0</v>
      </c>
      <c r="AZ505" s="433">
        <f t="shared" si="266"/>
        <v>0</v>
      </c>
      <c r="BA505" s="433">
        <f t="shared" si="256"/>
        <v>0</v>
      </c>
      <c r="BB505" s="433">
        <f t="shared" si="257"/>
        <v>0</v>
      </c>
      <c r="BC505" s="433">
        <f t="shared" si="258"/>
        <v>0</v>
      </c>
      <c r="BD505" s="433">
        <f t="shared" si="267"/>
        <v>0</v>
      </c>
      <c r="BE505" s="433">
        <f t="shared" si="268"/>
        <v>0</v>
      </c>
      <c r="BF505" s="433">
        <f t="shared" si="269"/>
        <v>0</v>
      </c>
      <c r="BG505" s="433">
        <f t="shared" si="270"/>
        <v>0</v>
      </c>
      <c r="BH505" s="433">
        <f t="shared" si="271"/>
        <v>0</v>
      </c>
      <c r="BI505" s="433">
        <f t="shared" si="272"/>
        <v>0</v>
      </c>
      <c r="BJ505" s="433">
        <f t="shared" si="273"/>
        <v>0</v>
      </c>
      <c r="BK505" s="433">
        <f t="shared" si="274"/>
        <v>0</v>
      </c>
      <c r="BL505" s="433">
        <f t="shared" si="275"/>
        <v>0</v>
      </c>
      <c r="BM505" s="433">
        <f t="shared" si="276"/>
        <v>0</v>
      </c>
      <c r="BN505" s="433">
        <f t="shared" si="277"/>
        <v>0</v>
      </c>
      <c r="BO505" s="433">
        <f t="shared" si="278"/>
        <v>0</v>
      </c>
      <c r="BP505" s="433">
        <f t="shared" si="279"/>
        <v>0</v>
      </c>
      <c r="BQ505" s="433">
        <f t="shared" si="280"/>
        <v>0</v>
      </c>
    </row>
    <row r="506" spans="1:69" x14ac:dyDescent="0.2">
      <c r="A506" s="102">
        <v>41838</v>
      </c>
      <c r="B506" s="319">
        <v>2</v>
      </c>
      <c r="C506" s="118" t="s">
        <v>957</v>
      </c>
      <c r="D506" s="111">
        <v>0</v>
      </c>
      <c r="E506" s="111">
        <v>0.4069444444444445</v>
      </c>
      <c r="F506" s="444">
        <v>34</v>
      </c>
      <c r="G506" s="445">
        <v>12</v>
      </c>
      <c r="H506" s="444"/>
      <c r="I506" s="390"/>
      <c r="J506" s="426">
        <f t="shared" si="253"/>
        <v>586</v>
      </c>
      <c r="K506" s="103"/>
      <c r="L506" s="103"/>
      <c r="M506" s="103"/>
      <c r="N506" s="427">
        <f t="shared" si="254"/>
        <v>0</v>
      </c>
      <c r="O506" s="103"/>
      <c r="P506" s="103"/>
      <c r="Q506" s="103"/>
      <c r="R506" s="428">
        <f t="shared" si="255"/>
        <v>0</v>
      </c>
      <c r="S506" s="103">
        <v>3</v>
      </c>
      <c r="T506" s="103"/>
      <c r="U506" s="103"/>
      <c r="V506" s="125"/>
      <c r="W506" s="428">
        <f t="shared" si="259"/>
        <v>3</v>
      </c>
      <c r="X506" s="103"/>
      <c r="Y506" s="103"/>
      <c r="Z506" s="125"/>
      <c r="AA506" s="428">
        <f t="shared" si="260"/>
        <v>0</v>
      </c>
      <c r="AB506" s="103"/>
      <c r="AC506" s="103"/>
      <c r="AD506" s="103"/>
      <c r="AE506" s="428">
        <f t="shared" si="261"/>
        <v>0</v>
      </c>
      <c r="AF506" s="103"/>
      <c r="AG506" s="103"/>
      <c r="AH506" s="103"/>
      <c r="AI506" s="103"/>
      <c r="AJ506" s="428">
        <f t="shared" si="262"/>
        <v>0</v>
      </c>
      <c r="AK506" s="446"/>
      <c r="AL506" s="446"/>
      <c r="AM506" s="446"/>
      <c r="AN506" s="446"/>
      <c r="AO506" s="446"/>
      <c r="AP506" s="446"/>
      <c r="AQ506" s="446"/>
      <c r="AR506" s="431">
        <f t="shared" si="263"/>
        <v>0</v>
      </c>
      <c r="AT506" s="128"/>
      <c r="AU506" s="100" t="s">
        <v>2865</v>
      </c>
      <c r="AV506" s="128" t="s">
        <v>2914</v>
      </c>
      <c r="AW506" s="100" t="s">
        <v>3155</v>
      </c>
      <c r="AX506" s="433">
        <f t="shared" si="264"/>
        <v>0</v>
      </c>
      <c r="AY506" s="433">
        <f t="shared" si="265"/>
        <v>0</v>
      </c>
      <c r="AZ506" s="433">
        <f t="shared" si="266"/>
        <v>0</v>
      </c>
      <c r="BA506" s="433">
        <f t="shared" si="256"/>
        <v>0</v>
      </c>
      <c r="BB506" s="433">
        <f t="shared" si="257"/>
        <v>0</v>
      </c>
      <c r="BC506" s="433">
        <f t="shared" si="258"/>
        <v>0</v>
      </c>
      <c r="BD506" s="433">
        <f t="shared" si="267"/>
        <v>3</v>
      </c>
      <c r="BE506" s="433">
        <f t="shared" si="268"/>
        <v>0</v>
      </c>
      <c r="BF506" s="433">
        <f t="shared" si="269"/>
        <v>0</v>
      </c>
      <c r="BG506" s="433">
        <f t="shared" si="270"/>
        <v>0</v>
      </c>
      <c r="BH506" s="433">
        <f t="shared" si="271"/>
        <v>0</v>
      </c>
      <c r="BI506" s="433">
        <f t="shared" si="272"/>
        <v>0</v>
      </c>
      <c r="BJ506" s="433">
        <f t="shared" si="273"/>
        <v>0</v>
      </c>
      <c r="BK506" s="433">
        <f t="shared" si="274"/>
        <v>0</v>
      </c>
      <c r="BL506" s="433">
        <f t="shared" si="275"/>
        <v>0</v>
      </c>
      <c r="BM506" s="433">
        <f t="shared" si="276"/>
        <v>0</v>
      </c>
      <c r="BN506" s="433">
        <f t="shared" si="277"/>
        <v>0</v>
      </c>
      <c r="BO506" s="433">
        <f t="shared" si="278"/>
        <v>0</v>
      </c>
      <c r="BP506" s="433">
        <f t="shared" si="279"/>
        <v>0</v>
      </c>
      <c r="BQ506" s="433">
        <f t="shared" si="280"/>
        <v>0</v>
      </c>
    </row>
    <row r="507" spans="1:69" x14ac:dyDescent="0.2">
      <c r="A507" s="102">
        <v>41838</v>
      </c>
      <c r="B507" s="319">
        <v>2</v>
      </c>
      <c r="C507" s="118" t="s">
        <v>2575</v>
      </c>
      <c r="D507" s="111">
        <v>0.4069444444444445</v>
      </c>
      <c r="E507" s="111">
        <v>0.59444444444444444</v>
      </c>
      <c r="F507" s="444">
        <v>36</v>
      </c>
      <c r="G507" s="445">
        <v>12</v>
      </c>
      <c r="H507" s="444"/>
      <c r="I507" s="390"/>
      <c r="J507" s="426">
        <f t="shared" si="253"/>
        <v>269.99999999999989</v>
      </c>
      <c r="K507" s="103"/>
      <c r="L507" s="103"/>
      <c r="M507" s="103"/>
      <c r="N507" s="427">
        <f t="shared" si="254"/>
        <v>0</v>
      </c>
      <c r="O507" s="103"/>
      <c r="P507" s="103"/>
      <c r="Q507" s="103"/>
      <c r="R507" s="428">
        <f t="shared" si="255"/>
        <v>0</v>
      </c>
      <c r="S507" s="103"/>
      <c r="T507" s="103"/>
      <c r="U507" s="103"/>
      <c r="V507" s="125"/>
      <c r="W507" s="428">
        <f t="shared" si="259"/>
        <v>0</v>
      </c>
      <c r="X507" s="103"/>
      <c r="Y507" s="103"/>
      <c r="Z507" s="125"/>
      <c r="AA507" s="428">
        <f t="shared" si="260"/>
        <v>0</v>
      </c>
      <c r="AB507" s="103"/>
      <c r="AC507" s="103"/>
      <c r="AD507" s="103"/>
      <c r="AE507" s="428">
        <f t="shared" si="261"/>
        <v>0</v>
      </c>
      <c r="AF507" s="103"/>
      <c r="AG507" s="103"/>
      <c r="AH507" s="103"/>
      <c r="AI507" s="103"/>
      <c r="AJ507" s="428">
        <f t="shared" si="262"/>
        <v>0</v>
      </c>
      <c r="AK507" s="446"/>
      <c r="AL507" s="446"/>
      <c r="AM507" s="446"/>
      <c r="AN507" s="446"/>
      <c r="AO507" s="446"/>
      <c r="AP507" s="446"/>
      <c r="AQ507" s="446"/>
      <c r="AR507" s="431">
        <f t="shared" si="263"/>
        <v>0</v>
      </c>
      <c r="AT507" s="128" t="s">
        <v>2873</v>
      </c>
      <c r="AU507" s="100" t="s">
        <v>2869</v>
      </c>
      <c r="AV507" s="128" t="s">
        <v>2914</v>
      </c>
      <c r="AW507" s="100" t="s">
        <v>3155</v>
      </c>
      <c r="AX507" s="433">
        <f t="shared" si="264"/>
        <v>0</v>
      </c>
      <c r="AY507" s="433">
        <f t="shared" si="265"/>
        <v>0</v>
      </c>
      <c r="AZ507" s="433">
        <f t="shared" si="266"/>
        <v>0</v>
      </c>
      <c r="BA507" s="433">
        <f t="shared" si="256"/>
        <v>0</v>
      </c>
      <c r="BB507" s="433">
        <f t="shared" si="257"/>
        <v>0</v>
      </c>
      <c r="BC507" s="433">
        <f t="shared" si="258"/>
        <v>0</v>
      </c>
      <c r="BD507" s="433">
        <f t="shared" si="267"/>
        <v>0</v>
      </c>
      <c r="BE507" s="433">
        <f t="shared" si="268"/>
        <v>0</v>
      </c>
      <c r="BF507" s="433">
        <f t="shared" si="269"/>
        <v>0</v>
      </c>
      <c r="BG507" s="433">
        <f t="shared" si="270"/>
        <v>0</v>
      </c>
      <c r="BH507" s="433">
        <f t="shared" si="271"/>
        <v>0</v>
      </c>
      <c r="BI507" s="433">
        <f t="shared" si="272"/>
        <v>0</v>
      </c>
      <c r="BJ507" s="433">
        <f t="shared" si="273"/>
        <v>0</v>
      </c>
      <c r="BK507" s="433">
        <f t="shared" si="274"/>
        <v>0</v>
      </c>
      <c r="BL507" s="433">
        <f t="shared" si="275"/>
        <v>0</v>
      </c>
      <c r="BM507" s="433">
        <f t="shared" si="276"/>
        <v>0</v>
      </c>
      <c r="BN507" s="433">
        <f t="shared" si="277"/>
        <v>0</v>
      </c>
      <c r="BO507" s="433">
        <f t="shared" si="278"/>
        <v>0</v>
      </c>
      <c r="BP507" s="433">
        <f t="shared" si="279"/>
        <v>0</v>
      </c>
      <c r="BQ507" s="433">
        <f t="shared" si="280"/>
        <v>0</v>
      </c>
    </row>
    <row r="508" spans="1:69" x14ac:dyDescent="0.2">
      <c r="A508" s="102">
        <v>41838</v>
      </c>
      <c r="B508" s="319">
        <v>2</v>
      </c>
      <c r="C508" s="118" t="s">
        <v>2867</v>
      </c>
      <c r="D508" s="111">
        <v>0.59444444444444444</v>
      </c>
      <c r="E508" s="111">
        <v>0.77777777777777779</v>
      </c>
      <c r="F508" s="444">
        <v>36</v>
      </c>
      <c r="G508" s="445">
        <v>13</v>
      </c>
      <c r="H508" s="444"/>
      <c r="I508" s="390">
        <v>78.7</v>
      </c>
      <c r="J508" s="426">
        <f t="shared" si="253"/>
        <v>264</v>
      </c>
      <c r="K508" s="103"/>
      <c r="L508" s="103"/>
      <c r="M508" s="103"/>
      <c r="N508" s="427">
        <f t="shared" si="254"/>
        <v>0</v>
      </c>
      <c r="O508" s="103"/>
      <c r="P508" s="103"/>
      <c r="Q508" s="103"/>
      <c r="R508" s="428">
        <f t="shared" si="255"/>
        <v>0</v>
      </c>
      <c r="S508" s="103"/>
      <c r="T508" s="103"/>
      <c r="U508" s="103"/>
      <c r="V508" s="125"/>
      <c r="W508" s="428">
        <f t="shared" si="259"/>
        <v>0</v>
      </c>
      <c r="X508" s="103"/>
      <c r="Y508" s="103"/>
      <c r="Z508" s="125"/>
      <c r="AA508" s="428">
        <f t="shared" si="260"/>
        <v>0</v>
      </c>
      <c r="AB508" s="103"/>
      <c r="AC508" s="103"/>
      <c r="AD508" s="103"/>
      <c r="AE508" s="428">
        <f t="shared" si="261"/>
        <v>0</v>
      </c>
      <c r="AF508" s="103"/>
      <c r="AG508" s="103"/>
      <c r="AH508" s="103"/>
      <c r="AI508" s="103"/>
      <c r="AJ508" s="428">
        <f t="shared" si="262"/>
        <v>0</v>
      </c>
      <c r="AK508" s="446"/>
      <c r="AL508" s="446"/>
      <c r="AM508" s="446"/>
      <c r="AN508" s="446"/>
      <c r="AO508" s="446"/>
      <c r="AP508" s="446"/>
      <c r="AQ508" s="446"/>
      <c r="AR508" s="431">
        <f t="shared" si="263"/>
        <v>0</v>
      </c>
      <c r="AS508" s="10" t="s">
        <v>2868</v>
      </c>
      <c r="AT508" s="128" t="s">
        <v>424</v>
      </c>
      <c r="AU508" s="100" t="s">
        <v>2869</v>
      </c>
      <c r="AV508" s="128" t="s">
        <v>2914</v>
      </c>
      <c r="AW508" s="100" t="s">
        <v>3155</v>
      </c>
      <c r="AX508" s="433">
        <f t="shared" si="264"/>
        <v>0</v>
      </c>
      <c r="AY508" s="433">
        <f t="shared" si="265"/>
        <v>0</v>
      </c>
      <c r="AZ508" s="433">
        <f t="shared" si="266"/>
        <v>0</v>
      </c>
      <c r="BA508" s="433">
        <f t="shared" si="256"/>
        <v>0</v>
      </c>
      <c r="BB508" s="433">
        <f t="shared" si="257"/>
        <v>0</v>
      </c>
      <c r="BC508" s="433">
        <f t="shared" si="258"/>
        <v>0</v>
      </c>
      <c r="BD508" s="433">
        <f t="shared" si="267"/>
        <v>0</v>
      </c>
      <c r="BE508" s="433">
        <f t="shared" si="268"/>
        <v>0</v>
      </c>
      <c r="BF508" s="433">
        <f t="shared" si="269"/>
        <v>0</v>
      </c>
      <c r="BG508" s="433">
        <f t="shared" si="270"/>
        <v>0</v>
      </c>
      <c r="BH508" s="433">
        <f t="shared" si="271"/>
        <v>0</v>
      </c>
      <c r="BI508" s="433">
        <f t="shared" si="272"/>
        <v>0</v>
      </c>
      <c r="BJ508" s="433">
        <f t="shared" si="273"/>
        <v>0</v>
      </c>
      <c r="BK508" s="433">
        <f t="shared" si="274"/>
        <v>0</v>
      </c>
      <c r="BL508" s="433">
        <f t="shared" si="275"/>
        <v>0</v>
      </c>
      <c r="BM508" s="433">
        <f t="shared" si="276"/>
        <v>0</v>
      </c>
      <c r="BN508" s="433">
        <f t="shared" si="277"/>
        <v>0</v>
      </c>
      <c r="BO508" s="433">
        <f t="shared" si="278"/>
        <v>0</v>
      </c>
      <c r="BP508" s="433">
        <f t="shared" si="279"/>
        <v>0</v>
      </c>
      <c r="BQ508" s="433">
        <f t="shared" si="280"/>
        <v>0</v>
      </c>
    </row>
    <row r="509" spans="1:69" x14ac:dyDescent="0.2">
      <c r="A509" s="102">
        <v>41838</v>
      </c>
      <c r="B509" s="319">
        <v>2</v>
      </c>
      <c r="C509" s="118" t="s">
        <v>2870</v>
      </c>
      <c r="D509" s="111">
        <v>0.77777777777777779</v>
      </c>
      <c r="E509" s="111">
        <v>0.95972222222222225</v>
      </c>
      <c r="F509" s="444">
        <v>35</v>
      </c>
      <c r="G509" s="445">
        <v>13</v>
      </c>
      <c r="H509" s="444"/>
      <c r="I509" s="390"/>
      <c r="J509" s="426">
        <f t="shared" si="253"/>
        <v>262</v>
      </c>
      <c r="K509" s="103"/>
      <c r="L509" s="103"/>
      <c r="M509" s="103"/>
      <c r="N509" s="427">
        <f t="shared" si="254"/>
        <v>0</v>
      </c>
      <c r="O509" s="103"/>
      <c r="P509" s="103"/>
      <c r="Q509" s="103"/>
      <c r="R509" s="428">
        <f t="shared" si="255"/>
        <v>0</v>
      </c>
      <c r="S509" s="103"/>
      <c r="T509" s="103"/>
      <c r="U509" s="103"/>
      <c r="V509" s="125"/>
      <c r="W509" s="428">
        <f t="shared" si="259"/>
        <v>0</v>
      </c>
      <c r="X509" s="103"/>
      <c r="Y509" s="103"/>
      <c r="Z509" s="125"/>
      <c r="AA509" s="428">
        <f t="shared" si="260"/>
        <v>0</v>
      </c>
      <c r="AB509" s="103"/>
      <c r="AC509" s="103"/>
      <c r="AD509" s="103"/>
      <c r="AE509" s="428">
        <f t="shared" si="261"/>
        <v>0</v>
      </c>
      <c r="AF509" s="103"/>
      <c r="AG509" s="103"/>
      <c r="AH509" s="103"/>
      <c r="AI509" s="103"/>
      <c r="AJ509" s="428">
        <f t="shared" si="262"/>
        <v>0</v>
      </c>
      <c r="AK509" s="446"/>
      <c r="AL509" s="446">
        <v>1</v>
      </c>
      <c r="AM509" s="446"/>
      <c r="AN509" s="446"/>
      <c r="AO509" s="446"/>
      <c r="AP509" s="446"/>
      <c r="AQ509" s="446"/>
      <c r="AR509" s="431">
        <f t="shared" si="263"/>
        <v>1</v>
      </c>
      <c r="AS509" s="10" t="s">
        <v>2874</v>
      </c>
      <c r="AT509" s="128"/>
      <c r="AU509" s="100" t="s">
        <v>2872</v>
      </c>
      <c r="AV509" s="128" t="s">
        <v>2914</v>
      </c>
      <c r="AW509" s="100" t="s">
        <v>3155</v>
      </c>
      <c r="AX509" s="433">
        <f t="shared" si="264"/>
        <v>0</v>
      </c>
      <c r="AY509" s="433">
        <f t="shared" si="265"/>
        <v>0</v>
      </c>
      <c r="AZ509" s="433">
        <f t="shared" si="266"/>
        <v>0</v>
      </c>
      <c r="BA509" s="433">
        <f t="shared" si="256"/>
        <v>0</v>
      </c>
      <c r="BB509" s="433">
        <f t="shared" si="257"/>
        <v>0</v>
      </c>
      <c r="BC509" s="433">
        <f t="shared" si="258"/>
        <v>0</v>
      </c>
      <c r="BD509" s="433">
        <f t="shared" si="267"/>
        <v>0</v>
      </c>
      <c r="BE509" s="433">
        <f t="shared" si="268"/>
        <v>0</v>
      </c>
      <c r="BF509" s="433">
        <f t="shared" si="269"/>
        <v>0</v>
      </c>
      <c r="BG509" s="433">
        <f t="shared" si="270"/>
        <v>0</v>
      </c>
      <c r="BH509" s="433">
        <f t="shared" si="271"/>
        <v>0</v>
      </c>
      <c r="BI509" s="433">
        <f t="shared" si="272"/>
        <v>0</v>
      </c>
      <c r="BJ509" s="433">
        <f t="shared" si="273"/>
        <v>0</v>
      </c>
      <c r="BK509" s="433">
        <f t="shared" si="274"/>
        <v>0</v>
      </c>
      <c r="BL509" s="433">
        <f t="shared" si="275"/>
        <v>0</v>
      </c>
      <c r="BM509" s="433">
        <f t="shared" si="276"/>
        <v>0</v>
      </c>
      <c r="BN509" s="433">
        <f t="shared" si="277"/>
        <v>0</v>
      </c>
      <c r="BO509" s="433">
        <f t="shared" si="278"/>
        <v>0</v>
      </c>
      <c r="BP509" s="433">
        <f t="shared" si="279"/>
        <v>0</v>
      </c>
      <c r="BQ509" s="433">
        <f t="shared" si="280"/>
        <v>0</v>
      </c>
    </row>
    <row r="510" spans="1:69" x14ac:dyDescent="0.2">
      <c r="A510" s="102">
        <v>41838</v>
      </c>
      <c r="B510" s="319">
        <v>3</v>
      </c>
      <c r="C510" s="118" t="s">
        <v>2641</v>
      </c>
      <c r="D510" s="111">
        <v>0</v>
      </c>
      <c r="E510" s="111">
        <v>0.40625</v>
      </c>
      <c r="F510" s="444">
        <v>46</v>
      </c>
      <c r="G510" s="445">
        <v>12</v>
      </c>
      <c r="H510" s="444"/>
      <c r="I510" s="390"/>
      <c r="J510" s="426">
        <f t="shared" si="253"/>
        <v>585</v>
      </c>
      <c r="K510" s="103">
        <v>3</v>
      </c>
      <c r="L510" s="103"/>
      <c r="M510" s="103">
        <v>1</v>
      </c>
      <c r="N510" s="427">
        <f t="shared" si="254"/>
        <v>4</v>
      </c>
      <c r="O510" s="103"/>
      <c r="P510" s="103">
        <v>1</v>
      </c>
      <c r="Q510" s="103"/>
      <c r="R510" s="428">
        <f t="shared" si="255"/>
        <v>1</v>
      </c>
      <c r="S510" s="103"/>
      <c r="T510" s="103"/>
      <c r="U510" s="103"/>
      <c r="V510" s="125"/>
      <c r="W510" s="428">
        <f t="shared" si="259"/>
        <v>0</v>
      </c>
      <c r="X510" s="103">
        <v>1</v>
      </c>
      <c r="Y510" s="103"/>
      <c r="Z510" s="125">
        <v>1</v>
      </c>
      <c r="AA510" s="428">
        <f t="shared" si="260"/>
        <v>2</v>
      </c>
      <c r="AB510" s="103"/>
      <c r="AC510" s="103"/>
      <c r="AD510" s="103"/>
      <c r="AE510" s="428">
        <f t="shared" si="261"/>
        <v>0</v>
      </c>
      <c r="AF510" s="103"/>
      <c r="AG510" s="103"/>
      <c r="AH510" s="103"/>
      <c r="AI510" s="103"/>
      <c r="AJ510" s="428">
        <f t="shared" si="262"/>
        <v>0</v>
      </c>
      <c r="AK510" s="446"/>
      <c r="AL510" s="446">
        <v>1</v>
      </c>
      <c r="AM510" s="446"/>
      <c r="AN510" s="446"/>
      <c r="AO510" s="446"/>
      <c r="AP510" s="446"/>
      <c r="AQ510" s="446"/>
      <c r="AR510" s="431">
        <f t="shared" si="263"/>
        <v>1</v>
      </c>
      <c r="AT510" s="128" t="s">
        <v>2878</v>
      </c>
      <c r="AU510" s="100" t="s">
        <v>2876</v>
      </c>
      <c r="AV510" s="128" t="s">
        <v>2914</v>
      </c>
      <c r="AW510" s="100" t="s">
        <v>3155</v>
      </c>
      <c r="AX510" s="433">
        <f t="shared" si="264"/>
        <v>3</v>
      </c>
      <c r="AY510" s="433">
        <f t="shared" si="265"/>
        <v>0</v>
      </c>
      <c r="AZ510" s="433">
        <f t="shared" si="266"/>
        <v>1</v>
      </c>
      <c r="BA510" s="433">
        <f t="shared" si="256"/>
        <v>0</v>
      </c>
      <c r="BB510" s="433">
        <f t="shared" si="257"/>
        <v>1</v>
      </c>
      <c r="BC510" s="433">
        <f t="shared" si="258"/>
        <v>0</v>
      </c>
      <c r="BD510" s="433">
        <f t="shared" si="267"/>
        <v>0</v>
      </c>
      <c r="BE510" s="433">
        <f t="shared" si="268"/>
        <v>0</v>
      </c>
      <c r="BF510" s="433">
        <f t="shared" si="269"/>
        <v>0</v>
      </c>
      <c r="BG510" s="433">
        <f t="shared" si="270"/>
        <v>0</v>
      </c>
      <c r="BH510" s="433">
        <f t="shared" si="271"/>
        <v>1</v>
      </c>
      <c r="BI510" s="433">
        <f t="shared" si="272"/>
        <v>0</v>
      </c>
      <c r="BJ510" s="433">
        <f t="shared" si="273"/>
        <v>1</v>
      </c>
      <c r="BK510" s="433">
        <f t="shared" si="274"/>
        <v>0</v>
      </c>
      <c r="BL510" s="433">
        <f t="shared" si="275"/>
        <v>0</v>
      </c>
      <c r="BM510" s="433">
        <f t="shared" si="276"/>
        <v>0</v>
      </c>
      <c r="BN510" s="433">
        <f t="shared" si="277"/>
        <v>0</v>
      </c>
      <c r="BO510" s="433">
        <f t="shared" si="278"/>
        <v>0</v>
      </c>
      <c r="BP510" s="433">
        <f t="shared" si="279"/>
        <v>0</v>
      </c>
      <c r="BQ510" s="433">
        <f t="shared" si="280"/>
        <v>0</v>
      </c>
    </row>
    <row r="511" spans="1:69" x14ac:dyDescent="0.2">
      <c r="A511" s="102">
        <v>41838</v>
      </c>
      <c r="B511" s="319">
        <v>3</v>
      </c>
      <c r="C511" s="118" t="s">
        <v>420</v>
      </c>
      <c r="D511" s="111">
        <v>0.40625</v>
      </c>
      <c r="E511" s="111">
        <v>0.60416666666666663</v>
      </c>
      <c r="F511" s="444">
        <v>50</v>
      </c>
      <c r="G511" s="445">
        <v>12</v>
      </c>
      <c r="H511" s="444"/>
      <c r="I511" s="390"/>
      <c r="J511" s="426">
        <f t="shared" si="253"/>
        <v>284.99999999999994</v>
      </c>
      <c r="K511" s="103">
        <v>2</v>
      </c>
      <c r="L511" s="103"/>
      <c r="M511" s="103"/>
      <c r="N511" s="427">
        <f t="shared" si="254"/>
        <v>2</v>
      </c>
      <c r="O511" s="103">
        <v>1</v>
      </c>
      <c r="P511" s="103">
        <v>1</v>
      </c>
      <c r="Q511" s="103"/>
      <c r="R511" s="428">
        <f t="shared" si="255"/>
        <v>2</v>
      </c>
      <c r="S511" s="103"/>
      <c r="T511" s="103"/>
      <c r="U511" s="103"/>
      <c r="V511" s="125"/>
      <c r="W511" s="428">
        <f t="shared" si="259"/>
        <v>0</v>
      </c>
      <c r="X511" s="103"/>
      <c r="Y511" s="103"/>
      <c r="Z511" s="125"/>
      <c r="AA511" s="428">
        <f t="shared" si="260"/>
        <v>0</v>
      </c>
      <c r="AB511" s="103"/>
      <c r="AC511" s="103"/>
      <c r="AD511" s="103"/>
      <c r="AE511" s="428">
        <f t="shared" si="261"/>
        <v>0</v>
      </c>
      <c r="AF511" s="103"/>
      <c r="AG511" s="103"/>
      <c r="AH511" s="103"/>
      <c r="AI511" s="103"/>
      <c r="AJ511" s="428">
        <f t="shared" si="262"/>
        <v>0</v>
      </c>
      <c r="AK511" s="446">
        <v>2</v>
      </c>
      <c r="AL511" s="446"/>
      <c r="AM511" s="446">
        <v>1</v>
      </c>
      <c r="AN511" s="446">
        <v>1</v>
      </c>
      <c r="AO511" s="446"/>
      <c r="AP511" s="446"/>
      <c r="AQ511" s="446"/>
      <c r="AR511" s="431">
        <f t="shared" si="263"/>
        <v>4</v>
      </c>
      <c r="AT511" s="128" t="s">
        <v>2875</v>
      </c>
      <c r="AU511" s="100" t="s">
        <v>2877</v>
      </c>
      <c r="AV511" s="128" t="s">
        <v>2914</v>
      </c>
      <c r="AW511" s="100" t="s">
        <v>3155</v>
      </c>
      <c r="AX511" s="433">
        <f t="shared" si="264"/>
        <v>2</v>
      </c>
      <c r="AY511" s="433">
        <f t="shared" si="265"/>
        <v>0</v>
      </c>
      <c r="AZ511" s="433">
        <f t="shared" si="266"/>
        <v>0</v>
      </c>
      <c r="BA511" s="433">
        <f t="shared" si="256"/>
        <v>1</v>
      </c>
      <c r="BB511" s="433">
        <f t="shared" si="257"/>
        <v>1</v>
      </c>
      <c r="BC511" s="433">
        <f t="shared" si="258"/>
        <v>0</v>
      </c>
      <c r="BD511" s="433">
        <f t="shared" si="267"/>
        <v>0</v>
      </c>
      <c r="BE511" s="433">
        <f t="shared" si="268"/>
        <v>0</v>
      </c>
      <c r="BF511" s="433">
        <f t="shared" si="269"/>
        <v>0</v>
      </c>
      <c r="BG511" s="433">
        <f t="shared" si="270"/>
        <v>0</v>
      </c>
      <c r="BH511" s="433">
        <f t="shared" si="271"/>
        <v>0</v>
      </c>
      <c r="BI511" s="433">
        <f t="shared" si="272"/>
        <v>0</v>
      </c>
      <c r="BJ511" s="433">
        <f t="shared" si="273"/>
        <v>0</v>
      </c>
      <c r="BK511" s="433">
        <f t="shared" si="274"/>
        <v>0</v>
      </c>
      <c r="BL511" s="433">
        <f t="shared" si="275"/>
        <v>0</v>
      </c>
      <c r="BM511" s="433">
        <f t="shared" si="276"/>
        <v>0</v>
      </c>
      <c r="BN511" s="433">
        <f t="shared" si="277"/>
        <v>0</v>
      </c>
      <c r="BO511" s="433">
        <f t="shared" si="278"/>
        <v>0</v>
      </c>
      <c r="BP511" s="433">
        <f t="shared" si="279"/>
        <v>0</v>
      </c>
      <c r="BQ511" s="433">
        <f t="shared" si="280"/>
        <v>0</v>
      </c>
    </row>
    <row r="512" spans="1:69" x14ac:dyDescent="0.2">
      <c r="A512" s="102">
        <v>41838</v>
      </c>
      <c r="B512" s="319">
        <v>3</v>
      </c>
      <c r="C512" s="118" t="s">
        <v>2607</v>
      </c>
      <c r="D512" s="111">
        <v>0.60416666666666663</v>
      </c>
      <c r="E512" s="111">
        <v>0.78125</v>
      </c>
      <c r="F512" s="444">
        <v>50</v>
      </c>
      <c r="G512" s="445">
        <v>12</v>
      </c>
      <c r="H512" s="444"/>
      <c r="I512" s="390"/>
      <c r="J512" s="426">
        <f t="shared" si="253"/>
        <v>255.00000000000006</v>
      </c>
      <c r="K512" s="103">
        <v>1</v>
      </c>
      <c r="L512" s="103"/>
      <c r="M512" s="103"/>
      <c r="N512" s="427">
        <f t="shared" si="254"/>
        <v>1</v>
      </c>
      <c r="O512" s="103"/>
      <c r="P512" s="103">
        <v>1</v>
      </c>
      <c r="Q512" s="103"/>
      <c r="R512" s="428">
        <f t="shared" si="255"/>
        <v>1</v>
      </c>
      <c r="S512" s="103"/>
      <c r="T512" s="103"/>
      <c r="U512" s="103"/>
      <c r="V512" s="125"/>
      <c r="W512" s="428">
        <f t="shared" si="259"/>
        <v>0</v>
      </c>
      <c r="X512" s="103"/>
      <c r="Y512" s="103"/>
      <c r="Z512" s="125"/>
      <c r="AA512" s="428">
        <f t="shared" si="260"/>
        <v>0</v>
      </c>
      <c r="AB512" s="103"/>
      <c r="AC512" s="103"/>
      <c r="AD512" s="103"/>
      <c r="AE512" s="428">
        <f t="shared" si="261"/>
        <v>0</v>
      </c>
      <c r="AF512" s="103"/>
      <c r="AG512" s="103"/>
      <c r="AH512" s="103"/>
      <c r="AI512" s="103"/>
      <c r="AJ512" s="428">
        <f t="shared" si="262"/>
        <v>0</v>
      </c>
      <c r="AK512" s="446">
        <v>1</v>
      </c>
      <c r="AL512" s="446"/>
      <c r="AM512" s="446">
        <v>1</v>
      </c>
      <c r="AN512" s="446"/>
      <c r="AO512" s="446"/>
      <c r="AP512" s="446"/>
      <c r="AQ512" s="446"/>
      <c r="AR512" s="431">
        <f t="shared" si="263"/>
        <v>2</v>
      </c>
      <c r="AT512" s="128"/>
      <c r="AU512" s="100" t="s">
        <v>2879</v>
      </c>
      <c r="AV512" s="128" t="s">
        <v>2914</v>
      </c>
      <c r="AW512" s="100" t="s">
        <v>3155</v>
      </c>
      <c r="AX512" s="433">
        <f t="shared" si="264"/>
        <v>1</v>
      </c>
      <c r="AY512" s="433">
        <f t="shared" si="265"/>
        <v>0</v>
      </c>
      <c r="AZ512" s="433">
        <f t="shared" si="266"/>
        <v>0</v>
      </c>
      <c r="BA512" s="433">
        <f t="shared" si="256"/>
        <v>0</v>
      </c>
      <c r="BB512" s="433">
        <f t="shared" si="257"/>
        <v>1</v>
      </c>
      <c r="BC512" s="433">
        <f t="shared" si="258"/>
        <v>0</v>
      </c>
      <c r="BD512" s="433">
        <f t="shared" si="267"/>
        <v>0</v>
      </c>
      <c r="BE512" s="433">
        <f t="shared" si="268"/>
        <v>0</v>
      </c>
      <c r="BF512" s="433">
        <f t="shared" si="269"/>
        <v>0</v>
      </c>
      <c r="BG512" s="433">
        <f t="shared" si="270"/>
        <v>0</v>
      </c>
      <c r="BH512" s="433">
        <f t="shared" si="271"/>
        <v>0</v>
      </c>
      <c r="BI512" s="433">
        <f t="shared" si="272"/>
        <v>0</v>
      </c>
      <c r="BJ512" s="433">
        <f t="shared" si="273"/>
        <v>0</v>
      </c>
      <c r="BK512" s="433">
        <f t="shared" si="274"/>
        <v>0</v>
      </c>
      <c r="BL512" s="433">
        <f t="shared" si="275"/>
        <v>0</v>
      </c>
      <c r="BM512" s="433">
        <f t="shared" si="276"/>
        <v>0</v>
      </c>
      <c r="BN512" s="433">
        <f t="shared" si="277"/>
        <v>0</v>
      </c>
      <c r="BO512" s="433">
        <f t="shared" si="278"/>
        <v>0</v>
      </c>
      <c r="BP512" s="433">
        <f t="shared" si="279"/>
        <v>0</v>
      </c>
      <c r="BQ512" s="433">
        <f t="shared" si="280"/>
        <v>0</v>
      </c>
    </row>
    <row r="513" spans="1:69" s="291" customFormat="1" x14ac:dyDescent="0.2">
      <c r="A513" s="317">
        <v>41838</v>
      </c>
      <c r="B513" s="318">
        <v>3</v>
      </c>
      <c r="C513" s="320" t="s">
        <v>952</v>
      </c>
      <c r="D513" s="321">
        <v>0.78125</v>
      </c>
      <c r="E513" s="321">
        <v>0.97499999999999998</v>
      </c>
      <c r="F513" s="434">
        <v>56</v>
      </c>
      <c r="G513" s="435">
        <v>12</v>
      </c>
      <c r="H513" s="434"/>
      <c r="I513" s="436"/>
      <c r="J513" s="437">
        <f t="shared" si="253"/>
        <v>278.99999999999994</v>
      </c>
      <c r="K513" s="285">
        <v>1</v>
      </c>
      <c r="L513" s="285"/>
      <c r="M513" s="285"/>
      <c r="N513" s="438">
        <f t="shared" si="254"/>
        <v>1</v>
      </c>
      <c r="O513" s="285"/>
      <c r="P513" s="285">
        <v>1</v>
      </c>
      <c r="Q513" s="285"/>
      <c r="R513" s="439">
        <f t="shared" si="255"/>
        <v>1</v>
      </c>
      <c r="S513" s="285">
        <v>1</v>
      </c>
      <c r="T513" s="285"/>
      <c r="U513" s="285"/>
      <c r="V513" s="440"/>
      <c r="W513" s="439">
        <f t="shared" si="259"/>
        <v>1</v>
      </c>
      <c r="X513" s="285"/>
      <c r="Y513" s="285"/>
      <c r="Z513" s="440"/>
      <c r="AA513" s="439">
        <f t="shared" si="260"/>
        <v>0</v>
      </c>
      <c r="AB513" s="285"/>
      <c r="AC513" s="285"/>
      <c r="AD513" s="285"/>
      <c r="AE513" s="439">
        <f t="shared" si="261"/>
        <v>0</v>
      </c>
      <c r="AF513" s="285"/>
      <c r="AG513" s="285"/>
      <c r="AH513" s="285"/>
      <c r="AI513" s="285"/>
      <c r="AJ513" s="439">
        <f t="shared" si="262"/>
        <v>0</v>
      </c>
      <c r="AK513" s="340">
        <v>3</v>
      </c>
      <c r="AL513" s="340"/>
      <c r="AM513" s="340">
        <v>1</v>
      </c>
      <c r="AN513" s="340"/>
      <c r="AO513" s="340"/>
      <c r="AP513" s="340"/>
      <c r="AQ513" s="340"/>
      <c r="AR513" s="441">
        <f t="shared" si="263"/>
        <v>4</v>
      </c>
      <c r="AS513" s="291" t="s">
        <v>2880</v>
      </c>
      <c r="AT513" s="313"/>
      <c r="AU513" s="289" t="s">
        <v>2904</v>
      </c>
      <c r="AV513" s="313" t="s">
        <v>2914</v>
      </c>
      <c r="AW513" s="100" t="s">
        <v>3155</v>
      </c>
      <c r="AX513" s="443">
        <f t="shared" si="264"/>
        <v>1</v>
      </c>
      <c r="AY513" s="443">
        <f t="shared" si="265"/>
        <v>0</v>
      </c>
      <c r="AZ513" s="443">
        <f t="shared" si="266"/>
        <v>0</v>
      </c>
      <c r="BA513" s="443">
        <f t="shared" si="256"/>
        <v>0</v>
      </c>
      <c r="BB513" s="443">
        <f t="shared" si="257"/>
        <v>1</v>
      </c>
      <c r="BC513" s="443">
        <f t="shared" si="258"/>
        <v>0</v>
      </c>
      <c r="BD513" s="443">
        <f t="shared" si="267"/>
        <v>1</v>
      </c>
      <c r="BE513" s="443">
        <f t="shared" si="268"/>
        <v>0</v>
      </c>
      <c r="BF513" s="443">
        <f t="shared" si="269"/>
        <v>0</v>
      </c>
      <c r="BG513" s="443">
        <f t="shared" si="270"/>
        <v>0</v>
      </c>
      <c r="BH513" s="443">
        <f t="shared" si="271"/>
        <v>0</v>
      </c>
      <c r="BI513" s="443">
        <f t="shared" si="272"/>
        <v>0</v>
      </c>
      <c r="BJ513" s="443">
        <f t="shared" si="273"/>
        <v>0</v>
      </c>
      <c r="BK513" s="443">
        <f t="shared" si="274"/>
        <v>0</v>
      </c>
      <c r="BL513" s="443">
        <f t="shared" si="275"/>
        <v>0</v>
      </c>
      <c r="BM513" s="443">
        <f t="shared" si="276"/>
        <v>0</v>
      </c>
      <c r="BN513" s="443">
        <f t="shared" si="277"/>
        <v>0</v>
      </c>
      <c r="BO513" s="443">
        <f t="shared" si="278"/>
        <v>0</v>
      </c>
      <c r="BP513" s="443">
        <f t="shared" si="279"/>
        <v>0</v>
      </c>
      <c r="BQ513" s="443">
        <f t="shared" si="280"/>
        <v>0</v>
      </c>
    </row>
    <row r="514" spans="1:69" x14ac:dyDescent="0.2">
      <c r="A514" s="102">
        <v>41839</v>
      </c>
      <c r="B514" s="319">
        <v>1</v>
      </c>
      <c r="C514" s="118" t="s">
        <v>2916</v>
      </c>
      <c r="D514" s="111">
        <v>0.3444444444444445</v>
      </c>
      <c r="E514" s="111">
        <v>0.57986111111111105</v>
      </c>
      <c r="F514" s="444">
        <v>36</v>
      </c>
      <c r="G514" s="445">
        <v>11</v>
      </c>
      <c r="H514" s="444"/>
      <c r="I514" s="390"/>
      <c r="J514" s="426">
        <f t="shared" si="253"/>
        <v>338.99999999999983</v>
      </c>
      <c r="K514" s="103"/>
      <c r="L514" s="103"/>
      <c r="M514" s="103"/>
      <c r="N514" s="427">
        <f t="shared" si="254"/>
        <v>0</v>
      </c>
      <c r="O514" s="103"/>
      <c r="P514" s="103"/>
      <c r="Q514" s="103"/>
      <c r="R514" s="428">
        <f t="shared" si="255"/>
        <v>0</v>
      </c>
      <c r="S514" s="103"/>
      <c r="T514" s="103"/>
      <c r="U514" s="103"/>
      <c r="V514" s="125"/>
      <c r="W514" s="428">
        <f t="shared" si="259"/>
        <v>0</v>
      </c>
      <c r="X514" s="103"/>
      <c r="Y514" s="103"/>
      <c r="Z514" s="125"/>
      <c r="AA514" s="428">
        <f t="shared" si="260"/>
        <v>0</v>
      </c>
      <c r="AB514" s="103">
        <v>1</v>
      </c>
      <c r="AC514" s="103"/>
      <c r="AD514" s="103"/>
      <c r="AE514" s="428">
        <f t="shared" si="261"/>
        <v>1</v>
      </c>
      <c r="AF514" s="103"/>
      <c r="AG514" s="103"/>
      <c r="AH514" s="103"/>
      <c r="AI514" s="103"/>
      <c r="AJ514" s="428">
        <f t="shared" si="262"/>
        <v>0</v>
      </c>
      <c r="AK514" s="446"/>
      <c r="AL514" s="446"/>
      <c r="AM514" s="446"/>
      <c r="AN514" s="446"/>
      <c r="AO514" s="446"/>
      <c r="AP514" s="446"/>
      <c r="AQ514" s="446"/>
      <c r="AR514" s="431">
        <f t="shared" si="263"/>
        <v>0</v>
      </c>
      <c r="AS514" s="10" t="s">
        <v>2917</v>
      </c>
      <c r="AT514" s="128" t="s">
        <v>2918</v>
      </c>
      <c r="AU514" s="100" t="s">
        <v>2919</v>
      </c>
      <c r="AV514" s="128" t="s">
        <v>2956</v>
      </c>
      <c r="AW514" s="100" t="s">
        <v>3156</v>
      </c>
      <c r="AX514" s="433">
        <f t="shared" si="264"/>
        <v>0</v>
      </c>
      <c r="AY514" s="433">
        <f t="shared" si="265"/>
        <v>0</v>
      </c>
      <c r="AZ514" s="433">
        <f t="shared" si="266"/>
        <v>0</v>
      </c>
      <c r="BA514" s="433">
        <f t="shared" si="256"/>
        <v>0</v>
      </c>
      <c r="BB514" s="433">
        <f t="shared" si="257"/>
        <v>0</v>
      </c>
      <c r="BC514" s="433">
        <f t="shared" si="258"/>
        <v>0</v>
      </c>
      <c r="BD514" s="433">
        <f t="shared" si="267"/>
        <v>0</v>
      </c>
      <c r="BE514" s="433">
        <f t="shared" si="268"/>
        <v>0</v>
      </c>
      <c r="BF514" s="433">
        <f t="shared" si="269"/>
        <v>0</v>
      </c>
      <c r="BG514" s="433">
        <f t="shared" si="270"/>
        <v>0</v>
      </c>
      <c r="BH514" s="433">
        <f t="shared" si="271"/>
        <v>0</v>
      </c>
      <c r="BI514" s="433">
        <f t="shared" si="272"/>
        <v>0</v>
      </c>
      <c r="BJ514" s="433">
        <f t="shared" si="273"/>
        <v>0</v>
      </c>
      <c r="BK514" s="433">
        <f t="shared" si="274"/>
        <v>1</v>
      </c>
      <c r="BL514" s="433">
        <f t="shared" si="275"/>
        <v>0</v>
      </c>
      <c r="BM514" s="433">
        <f t="shared" si="276"/>
        <v>0</v>
      </c>
      <c r="BN514" s="433">
        <f t="shared" si="277"/>
        <v>0</v>
      </c>
      <c r="BO514" s="433">
        <f t="shared" si="278"/>
        <v>0</v>
      </c>
      <c r="BP514" s="433">
        <f t="shared" si="279"/>
        <v>0</v>
      </c>
      <c r="BQ514" s="433">
        <f t="shared" si="280"/>
        <v>0</v>
      </c>
    </row>
    <row r="515" spans="1:69" x14ac:dyDescent="0.2">
      <c r="A515" s="102">
        <v>41839</v>
      </c>
      <c r="B515" s="319">
        <v>1</v>
      </c>
      <c r="C515" s="118" t="s">
        <v>2920</v>
      </c>
      <c r="D515" s="111">
        <v>0.57986111111111105</v>
      </c>
      <c r="E515" s="111">
        <v>0.82291666666666663</v>
      </c>
      <c r="F515" s="444">
        <v>42</v>
      </c>
      <c r="G515" s="445">
        <v>14</v>
      </c>
      <c r="H515" s="444"/>
      <c r="I515" s="390"/>
      <c r="J515" s="426">
        <f t="shared" ref="J515:J578" si="281">(E515-D515)*24*60</f>
        <v>350.00000000000006</v>
      </c>
      <c r="K515" s="103">
        <v>1</v>
      </c>
      <c r="L515" s="103"/>
      <c r="M515" s="103"/>
      <c r="N515" s="427">
        <f t="shared" ref="N515:N578" si="282">SUM(K515:M515)</f>
        <v>1</v>
      </c>
      <c r="O515" s="103"/>
      <c r="P515" s="103"/>
      <c r="Q515" s="103"/>
      <c r="R515" s="428">
        <f t="shared" ref="R515:R578" si="283">SUM(O515:Q515)</f>
        <v>0</v>
      </c>
      <c r="S515" s="103">
        <v>1</v>
      </c>
      <c r="T515" s="103"/>
      <c r="U515" s="103"/>
      <c r="V515" s="125"/>
      <c r="W515" s="428">
        <f t="shared" si="259"/>
        <v>1</v>
      </c>
      <c r="X515" s="103"/>
      <c r="Y515" s="103"/>
      <c r="Z515" s="125"/>
      <c r="AA515" s="428">
        <f t="shared" si="260"/>
        <v>0</v>
      </c>
      <c r="AB515" s="103"/>
      <c r="AC515" s="103"/>
      <c r="AD515" s="103"/>
      <c r="AE515" s="428">
        <f t="shared" si="261"/>
        <v>0</v>
      </c>
      <c r="AF515" s="103"/>
      <c r="AG515" s="103"/>
      <c r="AH515" s="103"/>
      <c r="AI515" s="103"/>
      <c r="AJ515" s="428">
        <f t="shared" si="262"/>
        <v>0</v>
      </c>
      <c r="AK515" s="446"/>
      <c r="AL515" s="446"/>
      <c r="AM515" s="446"/>
      <c r="AN515" s="446"/>
      <c r="AO515" s="446"/>
      <c r="AP515" s="446"/>
      <c r="AQ515" s="446"/>
      <c r="AR515" s="431">
        <f t="shared" si="263"/>
        <v>0</v>
      </c>
      <c r="AT515" s="128"/>
      <c r="AU515" s="100" t="s">
        <v>2921</v>
      </c>
      <c r="AV515" s="128" t="s">
        <v>2956</v>
      </c>
      <c r="AW515" s="100" t="s">
        <v>3156</v>
      </c>
      <c r="AX515" s="433">
        <f t="shared" si="264"/>
        <v>1</v>
      </c>
      <c r="AY515" s="433">
        <f t="shared" si="265"/>
        <v>0</v>
      </c>
      <c r="AZ515" s="433">
        <f t="shared" si="266"/>
        <v>0</v>
      </c>
      <c r="BA515" s="433">
        <f t="shared" ref="BA515:BA578" si="284">O515</f>
        <v>0</v>
      </c>
      <c r="BB515" s="433">
        <f t="shared" ref="BB515:BB578" si="285">P515</f>
        <v>0</v>
      </c>
      <c r="BC515" s="433">
        <f t="shared" ref="BC515:BC578" si="286">Q515</f>
        <v>0</v>
      </c>
      <c r="BD515" s="433">
        <f t="shared" si="267"/>
        <v>1</v>
      </c>
      <c r="BE515" s="433">
        <f t="shared" si="268"/>
        <v>0</v>
      </c>
      <c r="BF515" s="433">
        <f t="shared" si="269"/>
        <v>0</v>
      </c>
      <c r="BG515" s="433">
        <f t="shared" si="270"/>
        <v>0</v>
      </c>
      <c r="BH515" s="433">
        <f t="shared" si="271"/>
        <v>0</v>
      </c>
      <c r="BI515" s="433">
        <f t="shared" si="272"/>
        <v>0</v>
      </c>
      <c r="BJ515" s="433">
        <f t="shared" si="273"/>
        <v>0</v>
      </c>
      <c r="BK515" s="433">
        <f t="shared" si="274"/>
        <v>0</v>
      </c>
      <c r="BL515" s="433">
        <f t="shared" si="275"/>
        <v>0</v>
      </c>
      <c r="BM515" s="433">
        <f t="shared" si="276"/>
        <v>0</v>
      </c>
      <c r="BN515" s="433">
        <f t="shared" si="277"/>
        <v>0</v>
      </c>
      <c r="BO515" s="433">
        <f t="shared" si="278"/>
        <v>0</v>
      </c>
      <c r="BP515" s="433">
        <f t="shared" si="279"/>
        <v>0</v>
      </c>
      <c r="BQ515" s="433">
        <f t="shared" si="280"/>
        <v>0</v>
      </c>
    </row>
    <row r="516" spans="1:69" x14ac:dyDescent="0.2">
      <c r="A516" s="102">
        <v>41839</v>
      </c>
      <c r="B516" s="319">
        <v>2</v>
      </c>
      <c r="C516" s="118" t="s">
        <v>2916</v>
      </c>
      <c r="D516" s="111">
        <v>0.35069444444444442</v>
      </c>
      <c r="E516" s="111">
        <v>0.57291666666666663</v>
      </c>
      <c r="F516" s="444">
        <v>40</v>
      </c>
      <c r="G516" s="445">
        <v>12</v>
      </c>
      <c r="H516" s="444"/>
      <c r="I516" s="390"/>
      <c r="J516" s="426">
        <f t="shared" si="281"/>
        <v>320</v>
      </c>
      <c r="K516" s="103"/>
      <c r="L516" s="103"/>
      <c r="M516" s="103"/>
      <c r="N516" s="427">
        <f t="shared" si="282"/>
        <v>0</v>
      </c>
      <c r="O516" s="103"/>
      <c r="P516" s="103"/>
      <c r="Q516" s="103"/>
      <c r="R516" s="428">
        <f t="shared" si="283"/>
        <v>0</v>
      </c>
      <c r="S516" s="103"/>
      <c r="T516" s="103"/>
      <c r="U516" s="103"/>
      <c r="V516" s="125"/>
      <c r="W516" s="428">
        <f t="shared" ref="W516:W579" si="287">SUM(S516:V516)</f>
        <v>0</v>
      </c>
      <c r="X516" s="103"/>
      <c r="Y516" s="103"/>
      <c r="Z516" s="125"/>
      <c r="AA516" s="428">
        <f t="shared" ref="AA516:AA579" si="288">SUM(X516:Z516)</f>
        <v>0</v>
      </c>
      <c r="AB516" s="103"/>
      <c r="AC516" s="103"/>
      <c r="AD516" s="103"/>
      <c r="AE516" s="428">
        <f t="shared" ref="AE516:AE579" si="289">SUM(AB516:AD516)</f>
        <v>0</v>
      </c>
      <c r="AF516" s="103"/>
      <c r="AG516" s="103"/>
      <c r="AH516" s="103"/>
      <c r="AI516" s="103"/>
      <c r="AJ516" s="428">
        <f t="shared" ref="AJ516:AJ579" si="290">SUM(AF516:AI516)</f>
        <v>0</v>
      </c>
      <c r="AK516" s="446"/>
      <c r="AL516" s="446"/>
      <c r="AM516" s="446"/>
      <c r="AN516" s="446"/>
      <c r="AO516" s="446"/>
      <c r="AP516" s="446"/>
      <c r="AQ516" s="446"/>
      <c r="AR516" s="431">
        <f t="shared" ref="AR516:AR579" si="291">SUM(AK516:AQ516)</f>
        <v>0</v>
      </c>
      <c r="AS516" s="10" t="s">
        <v>2922</v>
      </c>
      <c r="AT516" s="128" t="s">
        <v>2918</v>
      </c>
      <c r="AU516" s="100" t="s">
        <v>2919</v>
      </c>
      <c r="AV516" s="128" t="s">
        <v>2956</v>
      </c>
      <c r="AW516" s="100" t="s">
        <v>3156</v>
      </c>
      <c r="AX516" s="433">
        <f t="shared" ref="AX516:AX579" si="292">K516</f>
        <v>0</v>
      </c>
      <c r="AY516" s="433">
        <f t="shared" ref="AY516:AY579" si="293">L516</f>
        <v>0</v>
      </c>
      <c r="AZ516" s="433">
        <f t="shared" ref="AZ516:AZ579" si="294">M516</f>
        <v>0</v>
      </c>
      <c r="BA516" s="433">
        <f t="shared" si="284"/>
        <v>0</v>
      </c>
      <c r="BB516" s="433">
        <f t="shared" si="285"/>
        <v>0</v>
      </c>
      <c r="BC516" s="433">
        <f t="shared" si="286"/>
        <v>0</v>
      </c>
      <c r="BD516" s="433">
        <f t="shared" ref="BD516:BD579" si="295">S516</f>
        <v>0</v>
      </c>
      <c r="BE516" s="433">
        <f t="shared" ref="BE516:BE579" si="296">T516</f>
        <v>0</v>
      </c>
      <c r="BF516" s="433">
        <f t="shared" ref="BF516:BF579" si="297">U516</f>
        <v>0</v>
      </c>
      <c r="BG516" s="433">
        <f t="shared" ref="BG516:BG579" si="298">V516</f>
        <v>0</v>
      </c>
      <c r="BH516" s="433">
        <f t="shared" ref="BH516:BH579" si="299">X516</f>
        <v>0</v>
      </c>
      <c r="BI516" s="433">
        <f t="shared" ref="BI516:BI579" si="300">Y516</f>
        <v>0</v>
      </c>
      <c r="BJ516" s="433">
        <f t="shared" ref="BJ516:BJ579" si="301">Z516</f>
        <v>0</v>
      </c>
      <c r="BK516" s="433">
        <f t="shared" ref="BK516:BK579" si="302">AB516</f>
        <v>0</v>
      </c>
      <c r="BL516" s="433">
        <f t="shared" ref="BL516:BL579" si="303">AC516</f>
        <v>0</v>
      </c>
      <c r="BM516" s="433">
        <f t="shared" ref="BM516:BM579" si="304">AD516</f>
        <v>0</v>
      </c>
      <c r="BN516" s="433">
        <f t="shared" ref="BN516:BN579" si="305">AF516</f>
        <v>0</v>
      </c>
      <c r="BO516" s="433">
        <f t="shared" ref="BO516:BO579" si="306">AG516</f>
        <v>0</v>
      </c>
      <c r="BP516" s="433">
        <f t="shared" ref="BP516:BP579" si="307">AH516</f>
        <v>0</v>
      </c>
      <c r="BQ516" s="433">
        <f t="shared" ref="BQ516:BQ579" si="308">AI516</f>
        <v>0</v>
      </c>
    </row>
    <row r="517" spans="1:69" x14ac:dyDescent="0.2">
      <c r="A517" s="102">
        <v>41839</v>
      </c>
      <c r="B517" s="319">
        <v>2</v>
      </c>
      <c r="C517" s="118" t="s">
        <v>2920</v>
      </c>
      <c r="D517" s="111">
        <v>0.57291666666666663</v>
      </c>
      <c r="E517" s="111">
        <v>0.83194444444444438</v>
      </c>
      <c r="F517" s="444">
        <v>34</v>
      </c>
      <c r="G517" s="445">
        <v>15</v>
      </c>
      <c r="H517" s="444"/>
      <c r="I517" s="390"/>
      <c r="J517" s="426">
        <f>((E517-D517)*24*60)-85</f>
        <v>287.99999999999994</v>
      </c>
      <c r="K517" s="103"/>
      <c r="L517" s="103"/>
      <c r="M517" s="103"/>
      <c r="N517" s="427">
        <f t="shared" si="282"/>
        <v>0</v>
      </c>
      <c r="O517" s="103"/>
      <c r="P517" s="103"/>
      <c r="Q517" s="103"/>
      <c r="R517" s="428">
        <f t="shared" si="283"/>
        <v>0</v>
      </c>
      <c r="S517" s="103"/>
      <c r="T517" s="103"/>
      <c r="U517" s="103"/>
      <c r="V517" s="125"/>
      <c r="W517" s="428">
        <f t="shared" si="287"/>
        <v>0</v>
      </c>
      <c r="X517" s="103"/>
      <c r="Y517" s="103"/>
      <c r="Z517" s="125"/>
      <c r="AA517" s="428">
        <f t="shared" si="288"/>
        <v>0</v>
      </c>
      <c r="AB517" s="103"/>
      <c r="AC517" s="103">
        <v>1</v>
      </c>
      <c r="AD517" s="103"/>
      <c r="AE517" s="428">
        <f t="shared" si="289"/>
        <v>1</v>
      </c>
      <c r="AF517" s="103"/>
      <c r="AG517" s="103"/>
      <c r="AH517" s="103"/>
      <c r="AI517" s="103"/>
      <c r="AJ517" s="428">
        <f t="shared" si="290"/>
        <v>0</v>
      </c>
      <c r="AK517" s="446"/>
      <c r="AL517" s="446"/>
      <c r="AM517" s="446"/>
      <c r="AN517" s="446"/>
      <c r="AO517" s="446"/>
      <c r="AP517" s="446"/>
      <c r="AQ517" s="446"/>
      <c r="AR517" s="431">
        <f t="shared" si="291"/>
        <v>0</v>
      </c>
      <c r="AS517" s="10" t="s">
        <v>2923</v>
      </c>
      <c r="AT517" s="128"/>
      <c r="AU517" s="100" t="s">
        <v>2924</v>
      </c>
      <c r="AV517" s="128" t="s">
        <v>2956</v>
      </c>
      <c r="AW517" s="100" t="s">
        <v>3156</v>
      </c>
      <c r="AX517" s="433">
        <f t="shared" si="292"/>
        <v>0</v>
      </c>
      <c r="AY517" s="433">
        <f t="shared" si="293"/>
        <v>0</v>
      </c>
      <c r="AZ517" s="433">
        <f t="shared" si="294"/>
        <v>0</v>
      </c>
      <c r="BA517" s="433">
        <f t="shared" si="284"/>
        <v>0</v>
      </c>
      <c r="BB517" s="433">
        <f t="shared" si="285"/>
        <v>0</v>
      </c>
      <c r="BC517" s="433">
        <f t="shared" si="286"/>
        <v>0</v>
      </c>
      <c r="BD517" s="433">
        <f t="shared" si="295"/>
        <v>0</v>
      </c>
      <c r="BE517" s="433">
        <f t="shared" si="296"/>
        <v>0</v>
      </c>
      <c r="BF517" s="433">
        <f t="shared" si="297"/>
        <v>0</v>
      </c>
      <c r="BG517" s="433">
        <f t="shared" si="298"/>
        <v>0</v>
      </c>
      <c r="BH517" s="433">
        <f t="shared" si="299"/>
        <v>0</v>
      </c>
      <c r="BI517" s="433">
        <f t="shared" si="300"/>
        <v>0</v>
      </c>
      <c r="BJ517" s="433">
        <f t="shared" si="301"/>
        <v>0</v>
      </c>
      <c r="BK517" s="433">
        <f t="shared" si="302"/>
        <v>0</v>
      </c>
      <c r="BL517" s="433">
        <f t="shared" si="303"/>
        <v>1</v>
      </c>
      <c r="BM517" s="433">
        <f t="shared" si="304"/>
        <v>0</v>
      </c>
      <c r="BN517" s="433">
        <f t="shared" si="305"/>
        <v>0</v>
      </c>
      <c r="BO517" s="433">
        <f t="shared" si="306"/>
        <v>0</v>
      </c>
      <c r="BP517" s="433">
        <f t="shared" si="307"/>
        <v>0</v>
      </c>
      <c r="BQ517" s="433">
        <f t="shared" si="308"/>
        <v>0</v>
      </c>
    </row>
    <row r="518" spans="1:69" x14ac:dyDescent="0.2">
      <c r="A518" s="102">
        <v>41839</v>
      </c>
      <c r="B518" s="319">
        <v>3</v>
      </c>
      <c r="C518" s="118" t="s">
        <v>2607</v>
      </c>
      <c r="D518" s="111">
        <v>0.34097222222222223</v>
      </c>
      <c r="E518" s="111">
        <v>0.44166666666666665</v>
      </c>
      <c r="F518" s="444">
        <v>50</v>
      </c>
      <c r="G518" s="445">
        <v>12</v>
      </c>
      <c r="H518" s="444"/>
      <c r="I518" s="390"/>
      <c r="J518" s="426">
        <f t="shared" si="281"/>
        <v>144.99999999999997</v>
      </c>
      <c r="K518" s="103"/>
      <c r="L518" s="103"/>
      <c r="M518" s="103"/>
      <c r="N518" s="427">
        <f t="shared" si="282"/>
        <v>0</v>
      </c>
      <c r="O518" s="103"/>
      <c r="P518" s="103"/>
      <c r="Q518" s="103"/>
      <c r="R518" s="428">
        <f t="shared" si="283"/>
        <v>0</v>
      </c>
      <c r="S518" s="103"/>
      <c r="T518" s="103"/>
      <c r="U518" s="103"/>
      <c r="V518" s="125"/>
      <c r="W518" s="428">
        <f t="shared" si="287"/>
        <v>0</v>
      </c>
      <c r="X518" s="103"/>
      <c r="Y518" s="103"/>
      <c r="Z518" s="125"/>
      <c r="AA518" s="428">
        <f t="shared" si="288"/>
        <v>0</v>
      </c>
      <c r="AB518" s="103"/>
      <c r="AC518" s="103"/>
      <c r="AD518" s="103"/>
      <c r="AE518" s="428">
        <f t="shared" si="289"/>
        <v>0</v>
      </c>
      <c r="AF518" s="103"/>
      <c r="AG518" s="103"/>
      <c r="AH518" s="103"/>
      <c r="AI518" s="103"/>
      <c r="AJ518" s="428">
        <f t="shared" si="290"/>
        <v>0</v>
      </c>
      <c r="AK518" s="446">
        <v>2</v>
      </c>
      <c r="AL518" s="446"/>
      <c r="AM518" s="446"/>
      <c r="AN518" s="446"/>
      <c r="AO518" s="446"/>
      <c r="AP518" s="446"/>
      <c r="AQ518" s="446"/>
      <c r="AR518" s="431">
        <f t="shared" si="291"/>
        <v>2</v>
      </c>
      <c r="AT518" s="128"/>
      <c r="AU518" s="100" t="s">
        <v>2921</v>
      </c>
      <c r="AV518" s="128" t="s">
        <v>2956</v>
      </c>
      <c r="AW518" s="100" t="s">
        <v>3156</v>
      </c>
      <c r="AX518" s="433">
        <f t="shared" si="292"/>
        <v>0</v>
      </c>
      <c r="AY518" s="433">
        <f t="shared" si="293"/>
        <v>0</v>
      </c>
      <c r="AZ518" s="433">
        <f t="shared" si="294"/>
        <v>0</v>
      </c>
      <c r="BA518" s="433">
        <f t="shared" si="284"/>
        <v>0</v>
      </c>
      <c r="BB518" s="433">
        <f t="shared" si="285"/>
        <v>0</v>
      </c>
      <c r="BC518" s="433">
        <f t="shared" si="286"/>
        <v>0</v>
      </c>
      <c r="BD518" s="433">
        <f t="shared" si="295"/>
        <v>0</v>
      </c>
      <c r="BE518" s="433">
        <f t="shared" si="296"/>
        <v>0</v>
      </c>
      <c r="BF518" s="433">
        <f t="shared" si="297"/>
        <v>0</v>
      </c>
      <c r="BG518" s="433">
        <f t="shared" si="298"/>
        <v>0</v>
      </c>
      <c r="BH518" s="433">
        <f t="shared" si="299"/>
        <v>0</v>
      </c>
      <c r="BI518" s="433">
        <f t="shared" si="300"/>
        <v>0</v>
      </c>
      <c r="BJ518" s="433">
        <f t="shared" si="301"/>
        <v>0</v>
      </c>
      <c r="BK518" s="433">
        <f t="shared" si="302"/>
        <v>0</v>
      </c>
      <c r="BL518" s="433">
        <f t="shared" si="303"/>
        <v>0</v>
      </c>
      <c r="BM518" s="433">
        <f t="shared" si="304"/>
        <v>0</v>
      </c>
      <c r="BN518" s="433">
        <f t="shared" si="305"/>
        <v>0</v>
      </c>
      <c r="BO518" s="433">
        <f t="shared" si="306"/>
        <v>0</v>
      </c>
      <c r="BP518" s="433">
        <f t="shared" si="307"/>
        <v>0</v>
      </c>
      <c r="BQ518" s="433">
        <f t="shared" si="308"/>
        <v>0</v>
      </c>
    </row>
    <row r="519" spans="1:69" x14ac:dyDescent="0.2">
      <c r="A519" s="102">
        <v>41839</v>
      </c>
      <c r="B519" s="319">
        <v>3</v>
      </c>
      <c r="C519" s="118" t="s">
        <v>2925</v>
      </c>
      <c r="D519" s="111">
        <v>0.44166666666666665</v>
      </c>
      <c r="E519" s="111">
        <v>0.70833333333333337</v>
      </c>
      <c r="F519" s="444">
        <v>51</v>
      </c>
      <c r="G519" s="445">
        <v>12</v>
      </c>
      <c r="H519" s="444"/>
      <c r="I519" s="390"/>
      <c r="J519" s="426">
        <f t="shared" si="281"/>
        <v>384.00000000000006</v>
      </c>
      <c r="K519" s="103">
        <v>2</v>
      </c>
      <c r="L519" s="103"/>
      <c r="M519" s="103">
        <v>1</v>
      </c>
      <c r="N519" s="427">
        <f t="shared" si="282"/>
        <v>3</v>
      </c>
      <c r="O519" s="103">
        <v>1</v>
      </c>
      <c r="P519" s="103"/>
      <c r="Q519" s="103">
        <v>1</v>
      </c>
      <c r="R519" s="428">
        <f t="shared" si="283"/>
        <v>2</v>
      </c>
      <c r="S519" s="103">
        <v>2</v>
      </c>
      <c r="T519" s="103"/>
      <c r="U519" s="103"/>
      <c r="V519" s="125"/>
      <c r="W519" s="428">
        <f t="shared" si="287"/>
        <v>2</v>
      </c>
      <c r="X519" s="103">
        <v>1</v>
      </c>
      <c r="Y519" s="103"/>
      <c r="Z519" s="125"/>
      <c r="AA519" s="428">
        <f t="shared" si="288"/>
        <v>1</v>
      </c>
      <c r="AB519" s="103"/>
      <c r="AC519" s="103">
        <v>1</v>
      </c>
      <c r="AD519" s="103"/>
      <c r="AE519" s="428">
        <f t="shared" si="289"/>
        <v>1</v>
      </c>
      <c r="AF519" s="103"/>
      <c r="AG519" s="103"/>
      <c r="AH519" s="103"/>
      <c r="AI519" s="103"/>
      <c r="AJ519" s="428">
        <f t="shared" si="290"/>
        <v>0</v>
      </c>
      <c r="AK519" s="446"/>
      <c r="AL519" s="446"/>
      <c r="AM519" s="446"/>
      <c r="AN519" s="446"/>
      <c r="AO519" s="446"/>
      <c r="AP519" s="446"/>
      <c r="AQ519" s="446"/>
      <c r="AR519" s="431">
        <f t="shared" si="291"/>
        <v>0</v>
      </c>
      <c r="AT519" s="128"/>
      <c r="AU519" s="100" t="s">
        <v>2937</v>
      </c>
      <c r="AV519" s="128" t="s">
        <v>2956</v>
      </c>
      <c r="AW519" s="100" t="s">
        <v>3156</v>
      </c>
      <c r="AX519" s="433">
        <f t="shared" si="292"/>
        <v>2</v>
      </c>
      <c r="AY519" s="433">
        <f t="shared" si="293"/>
        <v>0</v>
      </c>
      <c r="AZ519" s="433">
        <f t="shared" si="294"/>
        <v>1</v>
      </c>
      <c r="BA519" s="433">
        <f t="shared" si="284"/>
        <v>1</v>
      </c>
      <c r="BB519" s="433">
        <f t="shared" si="285"/>
        <v>0</v>
      </c>
      <c r="BC519" s="433">
        <f t="shared" si="286"/>
        <v>1</v>
      </c>
      <c r="BD519" s="433">
        <f t="shared" si="295"/>
        <v>2</v>
      </c>
      <c r="BE519" s="433">
        <f t="shared" si="296"/>
        <v>0</v>
      </c>
      <c r="BF519" s="433">
        <f t="shared" si="297"/>
        <v>0</v>
      </c>
      <c r="BG519" s="433">
        <f t="shared" si="298"/>
        <v>0</v>
      </c>
      <c r="BH519" s="433">
        <f t="shared" si="299"/>
        <v>1</v>
      </c>
      <c r="BI519" s="433">
        <f t="shared" si="300"/>
        <v>0</v>
      </c>
      <c r="BJ519" s="433">
        <f t="shared" si="301"/>
        <v>0</v>
      </c>
      <c r="BK519" s="433">
        <f t="shared" si="302"/>
        <v>0</v>
      </c>
      <c r="BL519" s="433">
        <f t="shared" si="303"/>
        <v>1</v>
      </c>
      <c r="BM519" s="433">
        <f t="shared" si="304"/>
        <v>0</v>
      </c>
      <c r="BN519" s="433">
        <f t="shared" si="305"/>
        <v>0</v>
      </c>
      <c r="BO519" s="433">
        <f t="shared" si="306"/>
        <v>0</v>
      </c>
      <c r="BP519" s="433">
        <f t="shared" si="307"/>
        <v>0</v>
      </c>
      <c r="BQ519" s="433">
        <f t="shared" si="308"/>
        <v>0</v>
      </c>
    </row>
    <row r="520" spans="1:69" s="291" customFormat="1" x14ac:dyDescent="0.2">
      <c r="A520" s="317">
        <v>41839</v>
      </c>
      <c r="B520" s="318">
        <v>3</v>
      </c>
      <c r="C520" s="320" t="s">
        <v>2926</v>
      </c>
      <c r="D520" s="321">
        <v>0.70833333333333337</v>
      </c>
      <c r="E520" s="321">
        <v>0.8340277777777777</v>
      </c>
      <c r="F520" s="434">
        <v>48</v>
      </c>
      <c r="G520" s="435">
        <v>12</v>
      </c>
      <c r="H520" s="434"/>
      <c r="I520" s="436"/>
      <c r="J520" s="437">
        <f t="shared" si="281"/>
        <v>180.99999999999983</v>
      </c>
      <c r="K520" s="285">
        <v>1</v>
      </c>
      <c r="L520" s="285"/>
      <c r="M520" s="285">
        <v>1</v>
      </c>
      <c r="N520" s="438">
        <f t="shared" si="282"/>
        <v>2</v>
      </c>
      <c r="O520" s="285"/>
      <c r="P520" s="285"/>
      <c r="Q520" s="285">
        <v>0</v>
      </c>
      <c r="R520" s="439">
        <f t="shared" si="283"/>
        <v>0</v>
      </c>
      <c r="S520" s="285">
        <v>1</v>
      </c>
      <c r="T520" s="285"/>
      <c r="U520" s="285"/>
      <c r="V520" s="440"/>
      <c r="W520" s="439">
        <f t="shared" si="287"/>
        <v>1</v>
      </c>
      <c r="X520" s="285"/>
      <c r="Y520" s="285"/>
      <c r="Z520" s="440"/>
      <c r="AA520" s="439">
        <f t="shared" si="288"/>
        <v>0</v>
      </c>
      <c r="AB520" s="285"/>
      <c r="AC520" s="285">
        <v>1</v>
      </c>
      <c r="AD520" s="285"/>
      <c r="AE520" s="439">
        <f t="shared" si="289"/>
        <v>1</v>
      </c>
      <c r="AF520" s="285"/>
      <c r="AG520" s="285"/>
      <c r="AH520" s="285"/>
      <c r="AI520" s="285"/>
      <c r="AJ520" s="439">
        <f t="shared" si="290"/>
        <v>0</v>
      </c>
      <c r="AK520" s="340">
        <v>1</v>
      </c>
      <c r="AL520" s="340"/>
      <c r="AM520" s="340">
        <v>1</v>
      </c>
      <c r="AN520" s="340"/>
      <c r="AO520" s="340"/>
      <c r="AP520" s="340"/>
      <c r="AQ520" s="340"/>
      <c r="AR520" s="441">
        <f t="shared" si="291"/>
        <v>2</v>
      </c>
      <c r="AS520" s="291" t="s">
        <v>2927</v>
      </c>
      <c r="AT520" s="313"/>
      <c r="AU520" s="289" t="s">
        <v>2928</v>
      </c>
      <c r="AV520" s="313" t="s">
        <v>2956</v>
      </c>
      <c r="AW520" s="289" t="s">
        <v>3156</v>
      </c>
      <c r="AX520" s="443">
        <f t="shared" si="292"/>
        <v>1</v>
      </c>
      <c r="AY520" s="443">
        <f t="shared" si="293"/>
        <v>0</v>
      </c>
      <c r="AZ520" s="443">
        <f t="shared" si="294"/>
        <v>1</v>
      </c>
      <c r="BA520" s="443">
        <f t="shared" si="284"/>
        <v>0</v>
      </c>
      <c r="BB520" s="443">
        <f t="shared" si="285"/>
        <v>0</v>
      </c>
      <c r="BC520" s="443">
        <f t="shared" si="286"/>
        <v>0</v>
      </c>
      <c r="BD520" s="443">
        <f t="shared" si="295"/>
        <v>1</v>
      </c>
      <c r="BE520" s="443">
        <f t="shared" si="296"/>
        <v>0</v>
      </c>
      <c r="BF520" s="443">
        <f t="shared" si="297"/>
        <v>0</v>
      </c>
      <c r="BG520" s="443">
        <f t="shared" si="298"/>
        <v>0</v>
      </c>
      <c r="BH520" s="443">
        <f t="shared" si="299"/>
        <v>0</v>
      </c>
      <c r="BI520" s="443">
        <f t="shared" si="300"/>
        <v>0</v>
      </c>
      <c r="BJ520" s="443">
        <f t="shared" si="301"/>
        <v>0</v>
      </c>
      <c r="BK520" s="443">
        <f t="shared" si="302"/>
        <v>0</v>
      </c>
      <c r="BL520" s="443">
        <f t="shared" si="303"/>
        <v>1</v>
      </c>
      <c r="BM520" s="443">
        <f t="shared" si="304"/>
        <v>0</v>
      </c>
      <c r="BN520" s="443">
        <f t="shared" si="305"/>
        <v>0</v>
      </c>
      <c r="BO520" s="443">
        <f t="shared" si="306"/>
        <v>0</v>
      </c>
      <c r="BP520" s="443">
        <f t="shared" si="307"/>
        <v>0</v>
      </c>
      <c r="BQ520" s="443">
        <f t="shared" si="308"/>
        <v>0</v>
      </c>
    </row>
    <row r="521" spans="1:69" x14ac:dyDescent="0.2">
      <c r="A521" s="102">
        <v>41840</v>
      </c>
      <c r="B521" s="319">
        <v>1</v>
      </c>
      <c r="C521" s="118" t="s">
        <v>2075</v>
      </c>
      <c r="D521" s="111">
        <v>0.3354166666666667</v>
      </c>
      <c r="E521" s="111">
        <v>0.57430555555555551</v>
      </c>
      <c r="F521" s="444">
        <v>40</v>
      </c>
      <c r="G521" s="445">
        <v>9</v>
      </c>
      <c r="H521" s="444"/>
      <c r="I521" s="390">
        <v>71.5</v>
      </c>
      <c r="J521" s="426">
        <f>((E521-D521)*24*60)-80</f>
        <v>263.99999999999989</v>
      </c>
      <c r="K521" s="103"/>
      <c r="L521" s="103"/>
      <c r="M521" s="103"/>
      <c r="N521" s="427">
        <f t="shared" si="282"/>
        <v>0</v>
      </c>
      <c r="O521" s="103"/>
      <c r="P521" s="103"/>
      <c r="Q521" s="103"/>
      <c r="R521" s="428">
        <f t="shared" si="283"/>
        <v>0</v>
      </c>
      <c r="S521" s="103"/>
      <c r="T521" s="103"/>
      <c r="U521" s="103"/>
      <c r="V521" s="125"/>
      <c r="W521" s="428">
        <f t="shared" si="287"/>
        <v>0</v>
      </c>
      <c r="X521" s="103"/>
      <c r="Y521" s="103"/>
      <c r="Z521" s="125"/>
      <c r="AA521" s="428">
        <f t="shared" si="288"/>
        <v>0</v>
      </c>
      <c r="AB521" s="103"/>
      <c r="AC521" s="103"/>
      <c r="AD521" s="103"/>
      <c r="AE521" s="428">
        <f t="shared" si="289"/>
        <v>0</v>
      </c>
      <c r="AF521" s="103"/>
      <c r="AG521" s="103"/>
      <c r="AH521" s="103"/>
      <c r="AI521" s="103"/>
      <c r="AJ521" s="428">
        <f t="shared" si="290"/>
        <v>0</v>
      </c>
      <c r="AK521" s="446"/>
      <c r="AL521" s="446"/>
      <c r="AM521" s="446"/>
      <c r="AN521" s="446"/>
      <c r="AO521" s="446"/>
      <c r="AP521" s="446"/>
      <c r="AQ521" s="446"/>
      <c r="AR521" s="431">
        <f t="shared" si="291"/>
        <v>0</v>
      </c>
      <c r="AS521" s="10" t="s">
        <v>3157</v>
      </c>
      <c r="AT521" s="128"/>
      <c r="AU521" s="100" t="s">
        <v>3160</v>
      </c>
      <c r="AV521" s="128" t="s">
        <v>3196</v>
      </c>
      <c r="AW521" s="100" t="s">
        <v>3197</v>
      </c>
      <c r="AX521" s="433">
        <f t="shared" si="292"/>
        <v>0</v>
      </c>
      <c r="AY521" s="433">
        <f t="shared" si="293"/>
        <v>0</v>
      </c>
      <c r="AZ521" s="433">
        <f t="shared" si="294"/>
        <v>0</v>
      </c>
      <c r="BA521" s="433">
        <f t="shared" si="284"/>
        <v>0</v>
      </c>
      <c r="BB521" s="433">
        <f t="shared" si="285"/>
        <v>0</v>
      </c>
      <c r="BC521" s="433">
        <f t="shared" si="286"/>
        <v>0</v>
      </c>
      <c r="BD521" s="433">
        <f t="shared" si="295"/>
        <v>0</v>
      </c>
      <c r="BE521" s="433">
        <f t="shared" si="296"/>
        <v>0</v>
      </c>
      <c r="BF521" s="433">
        <f t="shared" si="297"/>
        <v>0</v>
      </c>
      <c r="BG521" s="433">
        <f t="shared" si="298"/>
        <v>0</v>
      </c>
      <c r="BH521" s="433">
        <f t="shared" si="299"/>
        <v>0</v>
      </c>
      <c r="BI521" s="433">
        <f t="shared" si="300"/>
        <v>0</v>
      </c>
      <c r="BJ521" s="433">
        <f t="shared" si="301"/>
        <v>0</v>
      </c>
      <c r="BK521" s="433">
        <f t="shared" si="302"/>
        <v>0</v>
      </c>
      <c r="BL521" s="433">
        <f t="shared" si="303"/>
        <v>0</v>
      </c>
      <c r="BM521" s="433">
        <f t="shared" si="304"/>
        <v>0</v>
      </c>
      <c r="BN521" s="433">
        <f t="shared" si="305"/>
        <v>0</v>
      </c>
      <c r="BO521" s="433">
        <f t="shared" si="306"/>
        <v>0</v>
      </c>
      <c r="BP521" s="433">
        <f t="shared" si="307"/>
        <v>0</v>
      </c>
      <c r="BQ521" s="433">
        <f t="shared" si="308"/>
        <v>0</v>
      </c>
    </row>
    <row r="522" spans="1:69" x14ac:dyDescent="0.2">
      <c r="A522" s="102">
        <v>41840</v>
      </c>
      <c r="B522" s="319">
        <v>1</v>
      </c>
      <c r="C522" s="118" t="s">
        <v>2916</v>
      </c>
      <c r="D522" s="111">
        <v>0.57430555555555551</v>
      </c>
      <c r="E522" s="111">
        <v>0.83194444444444438</v>
      </c>
      <c r="F522" s="444">
        <v>43</v>
      </c>
      <c r="G522" s="445">
        <v>10</v>
      </c>
      <c r="H522" s="444"/>
      <c r="I522" s="390"/>
      <c r="J522" s="426">
        <f t="shared" si="281"/>
        <v>370.99999999999994</v>
      </c>
      <c r="K522" s="103">
        <v>1</v>
      </c>
      <c r="L522" s="103"/>
      <c r="M522" s="103"/>
      <c r="N522" s="427">
        <f t="shared" si="282"/>
        <v>1</v>
      </c>
      <c r="O522" s="103"/>
      <c r="P522" s="103"/>
      <c r="Q522" s="103"/>
      <c r="R522" s="428">
        <f t="shared" si="283"/>
        <v>0</v>
      </c>
      <c r="S522" s="103"/>
      <c r="T522" s="103"/>
      <c r="U522" s="103"/>
      <c r="V522" s="125"/>
      <c r="W522" s="428">
        <f t="shared" si="287"/>
        <v>0</v>
      </c>
      <c r="X522" s="103"/>
      <c r="Y522" s="103">
        <v>1</v>
      </c>
      <c r="Z522" s="125"/>
      <c r="AA522" s="428">
        <f t="shared" si="288"/>
        <v>1</v>
      </c>
      <c r="AB522" s="103"/>
      <c r="AC522" s="103">
        <v>1</v>
      </c>
      <c r="AD522" s="103"/>
      <c r="AE522" s="428">
        <f t="shared" si="289"/>
        <v>1</v>
      </c>
      <c r="AF522" s="103"/>
      <c r="AG522" s="103"/>
      <c r="AH522" s="103"/>
      <c r="AI522" s="103"/>
      <c r="AJ522" s="428">
        <f t="shared" si="290"/>
        <v>0</v>
      </c>
      <c r="AK522" s="446"/>
      <c r="AL522" s="446"/>
      <c r="AM522" s="446"/>
      <c r="AN522" s="446"/>
      <c r="AO522" s="446"/>
      <c r="AP522" s="446"/>
      <c r="AQ522" s="446"/>
      <c r="AR522" s="431">
        <f t="shared" si="291"/>
        <v>0</v>
      </c>
      <c r="AS522" s="10" t="s">
        <v>3158</v>
      </c>
      <c r="AT522" s="128"/>
      <c r="AU522" s="100" t="s">
        <v>3161</v>
      </c>
      <c r="AV522" s="128" t="s">
        <v>3196</v>
      </c>
      <c r="AW522" s="100" t="s">
        <v>3197</v>
      </c>
      <c r="AX522" s="433">
        <f t="shared" si="292"/>
        <v>1</v>
      </c>
      <c r="AY522" s="433">
        <f t="shared" si="293"/>
        <v>0</v>
      </c>
      <c r="AZ522" s="433">
        <f t="shared" si="294"/>
        <v>0</v>
      </c>
      <c r="BA522" s="433">
        <f t="shared" si="284"/>
        <v>0</v>
      </c>
      <c r="BB522" s="433">
        <f t="shared" si="285"/>
        <v>0</v>
      </c>
      <c r="BC522" s="433">
        <f t="shared" si="286"/>
        <v>0</v>
      </c>
      <c r="BD522" s="433">
        <f t="shared" si="295"/>
        <v>0</v>
      </c>
      <c r="BE522" s="433">
        <f t="shared" si="296"/>
        <v>0</v>
      </c>
      <c r="BF522" s="433">
        <f t="shared" si="297"/>
        <v>0</v>
      </c>
      <c r="BG522" s="433">
        <f t="shared" si="298"/>
        <v>0</v>
      </c>
      <c r="BH522" s="433">
        <f t="shared" si="299"/>
        <v>0</v>
      </c>
      <c r="BI522" s="433">
        <f t="shared" si="300"/>
        <v>1</v>
      </c>
      <c r="BJ522" s="433">
        <f t="shared" si="301"/>
        <v>0</v>
      </c>
      <c r="BK522" s="433">
        <f t="shared" si="302"/>
        <v>0</v>
      </c>
      <c r="BL522" s="433">
        <f t="shared" si="303"/>
        <v>1</v>
      </c>
      <c r="BM522" s="433">
        <f t="shared" si="304"/>
        <v>0</v>
      </c>
      <c r="BN522" s="433">
        <f t="shared" si="305"/>
        <v>0</v>
      </c>
      <c r="BO522" s="433">
        <f t="shared" si="306"/>
        <v>0</v>
      </c>
      <c r="BP522" s="433">
        <f t="shared" si="307"/>
        <v>0</v>
      </c>
      <c r="BQ522" s="433">
        <f t="shared" si="308"/>
        <v>0</v>
      </c>
    </row>
    <row r="523" spans="1:69" x14ac:dyDescent="0.2">
      <c r="A523" s="102">
        <v>41840</v>
      </c>
      <c r="B523" s="319">
        <v>2</v>
      </c>
      <c r="C523" s="118" t="s">
        <v>2607</v>
      </c>
      <c r="D523" s="111">
        <v>0.32847222222222222</v>
      </c>
      <c r="E523" s="111">
        <v>0.56597222222222221</v>
      </c>
      <c r="F523" s="444">
        <v>31</v>
      </c>
      <c r="G523" s="445">
        <v>10</v>
      </c>
      <c r="H523" s="444"/>
      <c r="I523" s="390"/>
      <c r="J523" s="426">
        <f t="shared" si="281"/>
        <v>341.99999999999994</v>
      </c>
      <c r="K523" s="103"/>
      <c r="L523" s="103"/>
      <c r="M523" s="103"/>
      <c r="N523" s="427">
        <f t="shared" si="282"/>
        <v>0</v>
      </c>
      <c r="O523" s="103"/>
      <c r="P523" s="103"/>
      <c r="Q523" s="103"/>
      <c r="R523" s="428">
        <f t="shared" si="283"/>
        <v>0</v>
      </c>
      <c r="S523" s="103"/>
      <c r="T523" s="103"/>
      <c r="U523" s="103"/>
      <c r="V523" s="125"/>
      <c r="W523" s="428">
        <f t="shared" si="287"/>
        <v>0</v>
      </c>
      <c r="X523" s="103"/>
      <c r="Y523" s="103"/>
      <c r="Z523" s="125"/>
      <c r="AA523" s="428">
        <f t="shared" si="288"/>
        <v>0</v>
      </c>
      <c r="AB523" s="103"/>
      <c r="AC523" s="103"/>
      <c r="AD523" s="103"/>
      <c r="AE523" s="428">
        <f t="shared" si="289"/>
        <v>0</v>
      </c>
      <c r="AF523" s="103"/>
      <c r="AG523" s="103"/>
      <c r="AH523" s="103"/>
      <c r="AI523" s="103"/>
      <c r="AJ523" s="428">
        <f t="shared" si="290"/>
        <v>0</v>
      </c>
      <c r="AK523" s="446"/>
      <c r="AL523" s="446"/>
      <c r="AM523" s="446"/>
      <c r="AN523" s="446"/>
      <c r="AO523" s="446"/>
      <c r="AP523" s="446"/>
      <c r="AQ523" s="446"/>
      <c r="AR523" s="431">
        <f t="shared" si="291"/>
        <v>0</v>
      </c>
      <c r="AT523" s="128" t="s">
        <v>424</v>
      </c>
      <c r="AU523" s="100" t="s">
        <v>3160</v>
      </c>
      <c r="AV523" s="128" t="s">
        <v>3196</v>
      </c>
      <c r="AW523" s="100" t="s">
        <v>3197</v>
      </c>
      <c r="AX523" s="433">
        <f t="shared" si="292"/>
        <v>0</v>
      </c>
      <c r="AY523" s="433">
        <f t="shared" si="293"/>
        <v>0</v>
      </c>
      <c r="AZ523" s="433">
        <f t="shared" si="294"/>
        <v>0</v>
      </c>
      <c r="BA523" s="433">
        <f t="shared" si="284"/>
        <v>0</v>
      </c>
      <c r="BB523" s="433">
        <f t="shared" si="285"/>
        <v>0</v>
      </c>
      <c r="BC523" s="433">
        <f t="shared" si="286"/>
        <v>0</v>
      </c>
      <c r="BD523" s="433">
        <f t="shared" si="295"/>
        <v>0</v>
      </c>
      <c r="BE523" s="433">
        <f t="shared" si="296"/>
        <v>0</v>
      </c>
      <c r="BF523" s="433">
        <f t="shared" si="297"/>
        <v>0</v>
      </c>
      <c r="BG523" s="433">
        <f t="shared" si="298"/>
        <v>0</v>
      </c>
      <c r="BH523" s="433">
        <f t="shared" si="299"/>
        <v>0</v>
      </c>
      <c r="BI523" s="433">
        <f t="shared" si="300"/>
        <v>0</v>
      </c>
      <c r="BJ523" s="433">
        <f t="shared" si="301"/>
        <v>0</v>
      </c>
      <c r="BK523" s="433">
        <f t="shared" si="302"/>
        <v>0</v>
      </c>
      <c r="BL523" s="433">
        <f t="shared" si="303"/>
        <v>0</v>
      </c>
      <c r="BM523" s="433">
        <f t="shared" si="304"/>
        <v>0</v>
      </c>
      <c r="BN523" s="433">
        <f t="shared" si="305"/>
        <v>0</v>
      </c>
      <c r="BO523" s="433">
        <f t="shared" si="306"/>
        <v>0</v>
      </c>
      <c r="BP523" s="433">
        <f t="shared" si="307"/>
        <v>0</v>
      </c>
      <c r="BQ523" s="433">
        <f t="shared" si="308"/>
        <v>0</v>
      </c>
    </row>
    <row r="524" spans="1:69" x14ac:dyDescent="0.2">
      <c r="A524" s="102">
        <v>41840</v>
      </c>
      <c r="B524" s="319">
        <v>2</v>
      </c>
      <c r="C524" s="118" t="s">
        <v>2926</v>
      </c>
      <c r="D524" s="111">
        <v>0.56597222222222221</v>
      </c>
      <c r="E524" s="111">
        <v>0.81944444444444453</v>
      </c>
      <c r="F524" s="444">
        <v>32</v>
      </c>
      <c r="G524" s="445">
        <v>12</v>
      </c>
      <c r="H524" s="444"/>
      <c r="I524" s="390"/>
      <c r="J524" s="426">
        <f t="shared" si="281"/>
        <v>365.00000000000011</v>
      </c>
      <c r="K524" s="103"/>
      <c r="L524" s="103"/>
      <c r="M524" s="103"/>
      <c r="N524" s="427">
        <f t="shared" si="282"/>
        <v>0</v>
      </c>
      <c r="O524" s="103"/>
      <c r="P524" s="103"/>
      <c r="Q524" s="103"/>
      <c r="R524" s="428">
        <f t="shared" si="283"/>
        <v>0</v>
      </c>
      <c r="S524" s="103">
        <v>2</v>
      </c>
      <c r="T524" s="103"/>
      <c r="U524" s="103"/>
      <c r="V524" s="125"/>
      <c r="W524" s="428">
        <f t="shared" si="287"/>
        <v>2</v>
      </c>
      <c r="X524" s="103"/>
      <c r="Y524" s="103"/>
      <c r="Z524" s="125"/>
      <c r="AA524" s="428">
        <f t="shared" si="288"/>
        <v>0</v>
      </c>
      <c r="AB524" s="103">
        <v>1</v>
      </c>
      <c r="AC524" s="103"/>
      <c r="AD524" s="103"/>
      <c r="AE524" s="428">
        <f t="shared" si="289"/>
        <v>1</v>
      </c>
      <c r="AF524" s="103"/>
      <c r="AG524" s="103"/>
      <c r="AH524" s="103"/>
      <c r="AI524" s="103"/>
      <c r="AJ524" s="428">
        <f t="shared" si="290"/>
        <v>0</v>
      </c>
      <c r="AK524" s="446"/>
      <c r="AL524" s="446"/>
      <c r="AM524" s="446"/>
      <c r="AN524" s="446"/>
      <c r="AO524" s="446"/>
      <c r="AP524" s="446"/>
      <c r="AQ524" s="446"/>
      <c r="AR524" s="431">
        <f t="shared" si="291"/>
        <v>0</v>
      </c>
      <c r="AT524" s="128"/>
      <c r="AU524" s="100" t="s">
        <v>3159</v>
      </c>
      <c r="AV524" s="128" t="s">
        <v>3196</v>
      </c>
      <c r="AW524" s="100" t="s">
        <v>3197</v>
      </c>
      <c r="AX524" s="433">
        <f t="shared" si="292"/>
        <v>0</v>
      </c>
      <c r="AY524" s="433">
        <f t="shared" si="293"/>
        <v>0</v>
      </c>
      <c r="AZ524" s="433">
        <f t="shared" si="294"/>
        <v>0</v>
      </c>
      <c r="BA524" s="433">
        <f t="shared" si="284"/>
        <v>0</v>
      </c>
      <c r="BB524" s="433">
        <f t="shared" si="285"/>
        <v>0</v>
      </c>
      <c r="BC524" s="433">
        <f t="shared" si="286"/>
        <v>0</v>
      </c>
      <c r="BD524" s="433">
        <f t="shared" si="295"/>
        <v>2</v>
      </c>
      <c r="BE524" s="433">
        <f t="shared" si="296"/>
        <v>0</v>
      </c>
      <c r="BF524" s="433">
        <f t="shared" si="297"/>
        <v>0</v>
      </c>
      <c r="BG524" s="433">
        <f t="shared" si="298"/>
        <v>0</v>
      </c>
      <c r="BH524" s="433">
        <f t="shared" si="299"/>
        <v>0</v>
      </c>
      <c r="BI524" s="433">
        <f t="shared" si="300"/>
        <v>0</v>
      </c>
      <c r="BJ524" s="433">
        <f t="shared" si="301"/>
        <v>0</v>
      </c>
      <c r="BK524" s="433">
        <f t="shared" si="302"/>
        <v>1</v>
      </c>
      <c r="BL524" s="433">
        <f t="shared" si="303"/>
        <v>0</v>
      </c>
      <c r="BM524" s="433">
        <f t="shared" si="304"/>
        <v>0</v>
      </c>
      <c r="BN524" s="433">
        <f t="shared" si="305"/>
        <v>0</v>
      </c>
      <c r="BO524" s="433">
        <f t="shared" si="306"/>
        <v>0</v>
      </c>
      <c r="BP524" s="433">
        <f t="shared" si="307"/>
        <v>0</v>
      </c>
      <c r="BQ524" s="433">
        <f t="shared" si="308"/>
        <v>0</v>
      </c>
    </row>
    <row r="525" spans="1:69" x14ac:dyDescent="0.2">
      <c r="A525" s="102">
        <v>41840</v>
      </c>
      <c r="B525" s="319">
        <v>3</v>
      </c>
      <c r="C525" s="118" t="s">
        <v>2926</v>
      </c>
      <c r="D525" s="111">
        <v>0.3354166666666667</v>
      </c>
      <c r="E525" s="111">
        <v>0.44791666666666669</v>
      </c>
      <c r="F525" s="444">
        <v>44</v>
      </c>
      <c r="G525" s="445">
        <v>10</v>
      </c>
      <c r="H525" s="444"/>
      <c r="I525" s="390"/>
      <c r="J525" s="426">
        <f t="shared" si="281"/>
        <v>161.99999999999997</v>
      </c>
      <c r="K525" s="103"/>
      <c r="L525" s="103"/>
      <c r="M525" s="103"/>
      <c r="N525" s="427">
        <f t="shared" si="282"/>
        <v>0</v>
      </c>
      <c r="O525" s="103"/>
      <c r="P525" s="103"/>
      <c r="Q525" s="103"/>
      <c r="R525" s="428">
        <f t="shared" si="283"/>
        <v>0</v>
      </c>
      <c r="S525" s="103"/>
      <c r="T525" s="103"/>
      <c r="U525" s="103"/>
      <c r="V525" s="125"/>
      <c r="W525" s="428">
        <f t="shared" si="287"/>
        <v>0</v>
      </c>
      <c r="X525" s="103"/>
      <c r="Y525" s="103"/>
      <c r="Z525" s="125"/>
      <c r="AA525" s="428">
        <f t="shared" si="288"/>
        <v>0</v>
      </c>
      <c r="AB525" s="103">
        <v>1</v>
      </c>
      <c r="AC525" s="103"/>
      <c r="AD525" s="103"/>
      <c r="AE525" s="428">
        <f t="shared" si="289"/>
        <v>1</v>
      </c>
      <c r="AF525" s="103"/>
      <c r="AG525" s="103"/>
      <c r="AH525" s="103"/>
      <c r="AI525" s="103"/>
      <c r="AJ525" s="428">
        <f t="shared" si="290"/>
        <v>0</v>
      </c>
      <c r="AK525" s="446"/>
      <c r="AL525" s="446"/>
      <c r="AM525" s="446"/>
      <c r="AN525" s="446"/>
      <c r="AO525" s="446"/>
      <c r="AP525" s="446"/>
      <c r="AQ525" s="446"/>
      <c r="AR525" s="431">
        <f t="shared" si="291"/>
        <v>0</v>
      </c>
      <c r="AT525" s="128" t="s">
        <v>3162</v>
      </c>
      <c r="AU525" s="100" t="s">
        <v>3161</v>
      </c>
      <c r="AV525" s="128" t="s">
        <v>3196</v>
      </c>
      <c r="AW525" s="100" t="s">
        <v>3197</v>
      </c>
      <c r="AX525" s="433">
        <f t="shared" si="292"/>
        <v>0</v>
      </c>
      <c r="AY525" s="433">
        <f t="shared" si="293"/>
        <v>0</v>
      </c>
      <c r="AZ525" s="433">
        <f t="shared" si="294"/>
        <v>0</v>
      </c>
      <c r="BA525" s="433">
        <f t="shared" si="284"/>
        <v>0</v>
      </c>
      <c r="BB525" s="433">
        <f t="shared" si="285"/>
        <v>0</v>
      </c>
      <c r="BC525" s="433">
        <f t="shared" si="286"/>
        <v>0</v>
      </c>
      <c r="BD525" s="433">
        <f t="shared" si="295"/>
        <v>0</v>
      </c>
      <c r="BE525" s="433">
        <f t="shared" si="296"/>
        <v>0</v>
      </c>
      <c r="BF525" s="433">
        <f t="shared" si="297"/>
        <v>0</v>
      </c>
      <c r="BG525" s="433">
        <f t="shared" si="298"/>
        <v>0</v>
      </c>
      <c r="BH525" s="433">
        <f t="shared" si="299"/>
        <v>0</v>
      </c>
      <c r="BI525" s="433">
        <f t="shared" si="300"/>
        <v>0</v>
      </c>
      <c r="BJ525" s="433">
        <f t="shared" si="301"/>
        <v>0</v>
      </c>
      <c r="BK525" s="433">
        <f t="shared" si="302"/>
        <v>1</v>
      </c>
      <c r="BL525" s="433">
        <f t="shared" si="303"/>
        <v>0</v>
      </c>
      <c r="BM525" s="433">
        <f t="shared" si="304"/>
        <v>0</v>
      </c>
      <c r="BN525" s="433">
        <f t="shared" si="305"/>
        <v>0</v>
      </c>
      <c r="BO525" s="433">
        <f t="shared" si="306"/>
        <v>0</v>
      </c>
      <c r="BP525" s="433">
        <f t="shared" si="307"/>
        <v>0</v>
      </c>
      <c r="BQ525" s="433">
        <f t="shared" si="308"/>
        <v>0</v>
      </c>
    </row>
    <row r="526" spans="1:69" x14ac:dyDescent="0.2">
      <c r="A526" s="102">
        <v>41840</v>
      </c>
      <c r="B526" s="319">
        <v>3</v>
      </c>
      <c r="C526" s="118" t="s">
        <v>3163</v>
      </c>
      <c r="D526" s="111">
        <v>0.44791666666666669</v>
      </c>
      <c r="E526" s="111">
        <v>0.70624999999999993</v>
      </c>
      <c r="F526" s="444">
        <v>44</v>
      </c>
      <c r="G526" s="445">
        <v>11</v>
      </c>
      <c r="H526" s="444"/>
      <c r="I526" s="390"/>
      <c r="J526" s="426">
        <f t="shared" si="281"/>
        <v>371.99999999999983</v>
      </c>
      <c r="K526" s="103">
        <v>3</v>
      </c>
      <c r="L526" s="103"/>
      <c r="M526" s="103"/>
      <c r="N526" s="427">
        <f t="shared" si="282"/>
        <v>3</v>
      </c>
      <c r="O526" s="103"/>
      <c r="P526" s="103"/>
      <c r="Q526" s="103"/>
      <c r="R526" s="428">
        <f t="shared" si="283"/>
        <v>0</v>
      </c>
      <c r="S526" s="103"/>
      <c r="T526" s="103"/>
      <c r="U526" s="103"/>
      <c r="V526" s="125"/>
      <c r="W526" s="428">
        <f t="shared" si="287"/>
        <v>0</v>
      </c>
      <c r="X526" s="103">
        <v>1</v>
      </c>
      <c r="Y526" s="103">
        <v>3</v>
      </c>
      <c r="Z526" s="125">
        <v>1</v>
      </c>
      <c r="AA526" s="428">
        <f t="shared" si="288"/>
        <v>5</v>
      </c>
      <c r="AB526" s="103"/>
      <c r="AC526" s="103"/>
      <c r="AD526" s="103"/>
      <c r="AE526" s="428">
        <f t="shared" si="289"/>
        <v>0</v>
      </c>
      <c r="AF526" s="103"/>
      <c r="AG526" s="103"/>
      <c r="AH526" s="103"/>
      <c r="AI526" s="103"/>
      <c r="AJ526" s="428">
        <f t="shared" si="290"/>
        <v>0</v>
      </c>
      <c r="AK526" s="446"/>
      <c r="AL526" s="446"/>
      <c r="AM526" s="446"/>
      <c r="AN526" s="446"/>
      <c r="AO526" s="446"/>
      <c r="AP526" s="446"/>
      <c r="AQ526" s="446"/>
      <c r="AR526" s="431">
        <f t="shared" si="291"/>
        <v>0</v>
      </c>
      <c r="AT526" s="128"/>
      <c r="AU526" s="100" t="s">
        <v>2956</v>
      </c>
      <c r="AV526" s="128" t="s">
        <v>3196</v>
      </c>
      <c r="AW526" s="100" t="s">
        <v>3197</v>
      </c>
      <c r="AX526" s="433">
        <f t="shared" si="292"/>
        <v>3</v>
      </c>
      <c r="AY526" s="433">
        <f t="shared" si="293"/>
        <v>0</v>
      </c>
      <c r="AZ526" s="433">
        <f t="shared" si="294"/>
        <v>0</v>
      </c>
      <c r="BA526" s="433">
        <f t="shared" si="284"/>
        <v>0</v>
      </c>
      <c r="BB526" s="433">
        <f t="shared" si="285"/>
        <v>0</v>
      </c>
      <c r="BC526" s="433">
        <f t="shared" si="286"/>
        <v>0</v>
      </c>
      <c r="BD526" s="433">
        <f t="shared" si="295"/>
        <v>0</v>
      </c>
      <c r="BE526" s="433">
        <f t="shared" si="296"/>
        <v>0</v>
      </c>
      <c r="BF526" s="433">
        <f t="shared" si="297"/>
        <v>0</v>
      </c>
      <c r="BG526" s="433">
        <f t="shared" si="298"/>
        <v>0</v>
      </c>
      <c r="BH526" s="433">
        <f t="shared" si="299"/>
        <v>1</v>
      </c>
      <c r="BI526" s="433">
        <f t="shared" si="300"/>
        <v>3</v>
      </c>
      <c r="BJ526" s="433">
        <f t="shared" si="301"/>
        <v>1</v>
      </c>
      <c r="BK526" s="433">
        <f t="shared" si="302"/>
        <v>0</v>
      </c>
      <c r="BL526" s="433">
        <f t="shared" si="303"/>
        <v>0</v>
      </c>
      <c r="BM526" s="433">
        <f t="shared" si="304"/>
        <v>0</v>
      </c>
      <c r="BN526" s="433">
        <f t="shared" si="305"/>
        <v>0</v>
      </c>
      <c r="BO526" s="433">
        <f t="shared" si="306"/>
        <v>0</v>
      </c>
      <c r="BP526" s="433">
        <f t="shared" si="307"/>
        <v>0</v>
      </c>
      <c r="BQ526" s="433">
        <f t="shared" si="308"/>
        <v>0</v>
      </c>
    </row>
    <row r="527" spans="1:69" s="291" customFormat="1" x14ac:dyDescent="0.2">
      <c r="A527" s="317">
        <v>41840</v>
      </c>
      <c r="B527" s="318">
        <v>3</v>
      </c>
      <c r="C527" s="320" t="s">
        <v>2607</v>
      </c>
      <c r="D527" s="321">
        <v>0.70624999999999993</v>
      </c>
      <c r="E527" s="321">
        <v>0.83333333333333337</v>
      </c>
      <c r="F527" s="434">
        <v>44</v>
      </c>
      <c r="G527" s="435">
        <v>12</v>
      </c>
      <c r="H527" s="434"/>
      <c r="I527" s="436"/>
      <c r="J527" s="437">
        <f t="shared" si="281"/>
        <v>183.00000000000014</v>
      </c>
      <c r="K527" s="285">
        <v>2</v>
      </c>
      <c r="L527" s="285"/>
      <c r="M527" s="285"/>
      <c r="N527" s="438">
        <f t="shared" si="282"/>
        <v>2</v>
      </c>
      <c r="O527" s="285"/>
      <c r="P527" s="285">
        <v>1</v>
      </c>
      <c r="Q527" s="285"/>
      <c r="R527" s="439">
        <f t="shared" si="283"/>
        <v>1</v>
      </c>
      <c r="S527" s="285"/>
      <c r="T527" s="285">
        <v>1</v>
      </c>
      <c r="U527" s="285"/>
      <c r="V527" s="440"/>
      <c r="W527" s="439">
        <f t="shared" si="287"/>
        <v>1</v>
      </c>
      <c r="X527" s="285"/>
      <c r="Y527" s="285">
        <v>4</v>
      </c>
      <c r="Z527" s="440"/>
      <c r="AA527" s="439">
        <f t="shared" si="288"/>
        <v>4</v>
      </c>
      <c r="AB527" s="285"/>
      <c r="AC527" s="285"/>
      <c r="AD527" s="285"/>
      <c r="AE527" s="439">
        <f t="shared" si="289"/>
        <v>0</v>
      </c>
      <c r="AF527" s="285"/>
      <c r="AG527" s="285"/>
      <c r="AH527" s="285"/>
      <c r="AI527" s="285"/>
      <c r="AJ527" s="439">
        <f t="shared" si="290"/>
        <v>0</v>
      </c>
      <c r="AK527" s="340"/>
      <c r="AL527" s="340"/>
      <c r="AM527" s="340"/>
      <c r="AN527" s="340"/>
      <c r="AO527" s="340"/>
      <c r="AP527" s="340"/>
      <c r="AQ527" s="340"/>
      <c r="AR527" s="441">
        <f t="shared" si="291"/>
        <v>0</v>
      </c>
      <c r="AS527" s="291" t="s">
        <v>3164</v>
      </c>
      <c r="AT527" s="313"/>
      <c r="AU527" s="289" t="s">
        <v>3160</v>
      </c>
      <c r="AV527" s="313" t="s">
        <v>3196</v>
      </c>
      <c r="AW527" s="289" t="s">
        <v>3197</v>
      </c>
      <c r="AX527" s="443">
        <f t="shared" si="292"/>
        <v>2</v>
      </c>
      <c r="AY527" s="443">
        <f t="shared" si="293"/>
        <v>0</v>
      </c>
      <c r="AZ527" s="443">
        <f t="shared" si="294"/>
        <v>0</v>
      </c>
      <c r="BA527" s="443">
        <f t="shared" si="284"/>
        <v>0</v>
      </c>
      <c r="BB527" s="443">
        <f t="shared" si="285"/>
        <v>1</v>
      </c>
      <c r="BC527" s="443">
        <f t="shared" si="286"/>
        <v>0</v>
      </c>
      <c r="BD527" s="443">
        <f t="shared" si="295"/>
        <v>0</v>
      </c>
      <c r="BE527" s="443">
        <f t="shared" si="296"/>
        <v>1</v>
      </c>
      <c r="BF527" s="443">
        <f t="shared" si="297"/>
        <v>0</v>
      </c>
      <c r="BG527" s="443">
        <f t="shared" si="298"/>
        <v>0</v>
      </c>
      <c r="BH527" s="443">
        <f t="shared" si="299"/>
        <v>0</v>
      </c>
      <c r="BI527" s="443">
        <f t="shared" si="300"/>
        <v>4</v>
      </c>
      <c r="BJ527" s="443">
        <f t="shared" si="301"/>
        <v>0</v>
      </c>
      <c r="BK527" s="443">
        <f t="shared" si="302"/>
        <v>0</v>
      </c>
      <c r="BL527" s="443">
        <f t="shared" si="303"/>
        <v>0</v>
      </c>
      <c r="BM527" s="443">
        <f t="shared" si="304"/>
        <v>0</v>
      </c>
      <c r="BN527" s="443">
        <f t="shared" si="305"/>
        <v>0</v>
      </c>
      <c r="BO527" s="443">
        <f t="shared" si="306"/>
        <v>0</v>
      </c>
      <c r="BP527" s="443">
        <f t="shared" si="307"/>
        <v>0</v>
      </c>
      <c r="BQ527" s="443">
        <f t="shared" si="308"/>
        <v>0</v>
      </c>
    </row>
    <row r="528" spans="1:69" x14ac:dyDescent="0.2">
      <c r="A528" s="102">
        <v>41841</v>
      </c>
      <c r="B528" s="319">
        <v>1</v>
      </c>
      <c r="C528" s="323" t="s">
        <v>3198</v>
      </c>
      <c r="D528" s="111">
        <v>0.33888888888888885</v>
      </c>
      <c r="E528" s="111">
        <v>0.57986111111111105</v>
      </c>
      <c r="F528" s="444">
        <v>41</v>
      </c>
      <c r="G528" s="445">
        <v>9</v>
      </c>
      <c r="H528" s="444"/>
      <c r="I528" s="390"/>
      <c r="J528" s="426">
        <f t="shared" si="281"/>
        <v>347</v>
      </c>
      <c r="K528" s="103"/>
      <c r="L528" s="103"/>
      <c r="M528" s="103"/>
      <c r="N528" s="427">
        <f t="shared" si="282"/>
        <v>0</v>
      </c>
      <c r="O528" s="103"/>
      <c r="P528" s="103">
        <v>1</v>
      </c>
      <c r="Q528" s="103"/>
      <c r="R528" s="428">
        <f t="shared" si="283"/>
        <v>1</v>
      </c>
      <c r="S528" s="103"/>
      <c r="T528" s="103"/>
      <c r="U528" s="103"/>
      <c r="V528" s="125"/>
      <c r="W528" s="428">
        <f t="shared" si="287"/>
        <v>0</v>
      </c>
      <c r="X528" s="103">
        <v>1</v>
      </c>
      <c r="Y528" s="103"/>
      <c r="Z528" s="125"/>
      <c r="AA528" s="428">
        <f t="shared" si="288"/>
        <v>1</v>
      </c>
      <c r="AB528" s="103"/>
      <c r="AC528" s="103"/>
      <c r="AD528" s="103"/>
      <c r="AE528" s="428">
        <f t="shared" si="289"/>
        <v>0</v>
      </c>
      <c r="AF528" s="103"/>
      <c r="AG528" s="103"/>
      <c r="AH528" s="103"/>
      <c r="AI528" s="103"/>
      <c r="AJ528" s="428">
        <f t="shared" si="290"/>
        <v>0</v>
      </c>
      <c r="AK528" s="446"/>
      <c r="AL528" s="446"/>
      <c r="AM528" s="446"/>
      <c r="AN528" s="446"/>
      <c r="AO528" s="446"/>
      <c r="AP528" s="446"/>
      <c r="AQ528" s="446"/>
      <c r="AR528" s="431">
        <f t="shared" si="291"/>
        <v>0</v>
      </c>
      <c r="AT528" s="128"/>
      <c r="AU528" s="100" t="s">
        <v>3199</v>
      </c>
      <c r="AV528" s="128" t="s">
        <v>3234</v>
      </c>
      <c r="AW528" s="100" t="s">
        <v>3261</v>
      </c>
      <c r="AX528" s="433">
        <f t="shared" si="292"/>
        <v>0</v>
      </c>
      <c r="AY528" s="433">
        <f t="shared" si="293"/>
        <v>0</v>
      </c>
      <c r="AZ528" s="433">
        <f t="shared" si="294"/>
        <v>0</v>
      </c>
      <c r="BA528" s="433">
        <f t="shared" si="284"/>
        <v>0</v>
      </c>
      <c r="BB528" s="433">
        <f t="shared" si="285"/>
        <v>1</v>
      </c>
      <c r="BC528" s="433">
        <f t="shared" si="286"/>
        <v>0</v>
      </c>
      <c r="BD528" s="433">
        <f t="shared" si="295"/>
        <v>0</v>
      </c>
      <c r="BE528" s="433">
        <f t="shared" si="296"/>
        <v>0</v>
      </c>
      <c r="BF528" s="433">
        <f t="shared" si="297"/>
        <v>0</v>
      </c>
      <c r="BG528" s="433">
        <f t="shared" si="298"/>
        <v>0</v>
      </c>
      <c r="BH528" s="433">
        <f t="shared" si="299"/>
        <v>1</v>
      </c>
      <c r="BI528" s="433">
        <f t="shared" si="300"/>
        <v>0</v>
      </c>
      <c r="BJ528" s="433">
        <f t="shared" si="301"/>
        <v>0</v>
      </c>
      <c r="BK528" s="433">
        <f t="shared" si="302"/>
        <v>0</v>
      </c>
      <c r="BL528" s="433">
        <f t="shared" si="303"/>
        <v>0</v>
      </c>
      <c r="BM528" s="433">
        <f t="shared" si="304"/>
        <v>0</v>
      </c>
      <c r="BN528" s="433">
        <f t="shared" si="305"/>
        <v>0</v>
      </c>
      <c r="BO528" s="433">
        <f t="shared" si="306"/>
        <v>0</v>
      </c>
      <c r="BP528" s="433">
        <f t="shared" si="307"/>
        <v>0</v>
      </c>
      <c r="BQ528" s="433">
        <f t="shared" si="308"/>
        <v>0</v>
      </c>
    </row>
    <row r="529" spans="1:69" x14ac:dyDescent="0.2">
      <c r="A529" s="102">
        <v>41841</v>
      </c>
      <c r="B529" s="319">
        <v>1</v>
      </c>
      <c r="C529" s="118" t="s">
        <v>458</v>
      </c>
      <c r="D529" s="111">
        <v>0.57986111111111105</v>
      </c>
      <c r="E529" s="111">
        <v>0.83194444444444438</v>
      </c>
      <c r="F529" s="444">
        <v>41</v>
      </c>
      <c r="G529" s="445">
        <v>9.5</v>
      </c>
      <c r="H529" s="444"/>
      <c r="I529" s="390"/>
      <c r="J529" s="426">
        <f t="shared" si="281"/>
        <v>363</v>
      </c>
      <c r="K529" s="103"/>
      <c r="L529" s="103"/>
      <c r="M529" s="103"/>
      <c r="N529" s="427">
        <f t="shared" si="282"/>
        <v>0</v>
      </c>
      <c r="O529" s="103">
        <v>1</v>
      </c>
      <c r="P529" s="103"/>
      <c r="Q529" s="103"/>
      <c r="R529" s="428">
        <f t="shared" si="283"/>
        <v>1</v>
      </c>
      <c r="S529" s="103"/>
      <c r="T529" s="103"/>
      <c r="U529" s="103"/>
      <c r="V529" s="125"/>
      <c r="W529" s="428">
        <f t="shared" si="287"/>
        <v>0</v>
      </c>
      <c r="X529" s="103"/>
      <c r="Y529" s="103">
        <v>2</v>
      </c>
      <c r="Z529" s="125"/>
      <c r="AA529" s="428">
        <f t="shared" si="288"/>
        <v>2</v>
      </c>
      <c r="AB529" s="103"/>
      <c r="AC529" s="103"/>
      <c r="AD529" s="103"/>
      <c r="AE529" s="428">
        <f t="shared" si="289"/>
        <v>0</v>
      </c>
      <c r="AF529" s="103"/>
      <c r="AG529" s="103"/>
      <c r="AH529" s="103"/>
      <c r="AI529" s="103"/>
      <c r="AJ529" s="428">
        <f t="shared" si="290"/>
        <v>0</v>
      </c>
      <c r="AK529" s="446"/>
      <c r="AL529" s="446"/>
      <c r="AM529" s="446"/>
      <c r="AN529" s="446"/>
      <c r="AO529" s="446"/>
      <c r="AP529" s="446"/>
      <c r="AQ529" s="446"/>
      <c r="AR529" s="431">
        <f t="shared" si="291"/>
        <v>0</v>
      </c>
      <c r="AT529" s="128"/>
      <c r="AU529" s="100" t="s">
        <v>3200</v>
      </c>
      <c r="AV529" s="128" t="s">
        <v>3234</v>
      </c>
      <c r="AW529" s="100" t="s">
        <v>3261</v>
      </c>
      <c r="AX529" s="433">
        <f t="shared" si="292"/>
        <v>0</v>
      </c>
      <c r="AY529" s="433">
        <f t="shared" si="293"/>
        <v>0</v>
      </c>
      <c r="AZ529" s="433">
        <f t="shared" si="294"/>
        <v>0</v>
      </c>
      <c r="BA529" s="433">
        <f t="shared" si="284"/>
        <v>1</v>
      </c>
      <c r="BB529" s="433">
        <f t="shared" si="285"/>
        <v>0</v>
      </c>
      <c r="BC529" s="433">
        <f t="shared" si="286"/>
        <v>0</v>
      </c>
      <c r="BD529" s="433">
        <f t="shared" si="295"/>
        <v>0</v>
      </c>
      <c r="BE529" s="433">
        <f t="shared" si="296"/>
        <v>0</v>
      </c>
      <c r="BF529" s="433">
        <f t="shared" si="297"/>
        <v>0</v>
      </c>
      <c r="BG529" s="433">
        <f t="shared" si="298"/>
        <v>0</v>
      </c>
      <c r="BH529" s="433">
        <f t="shared" si="299"/>
        <v>0</v>
      </c>
      <c r="BI529" s="433">
        <f t="shared" si="300"/>
        <v>2</v>
      </c>
      <c r="BJ529" s="433">
        <f t="shared" si="301"/>
        <v>0</v>
      </c>
      <c r="BK529" s="433">
        <f t="shared" si="302"/>
        <v>0</v>
      </c>
      <c r="BL529" s="433">
        <f t="shared" si="303"/>
        <v>0</v>
      </c>
      <c r="BM529" s="433">
        <f t="shared" si="304"/>
        <v>0</v>
      </c>
      <c r="BN529" s="433">
        <f t="shared" si="305"/>
        <v>0</v>
      </c>
      <c r="BO529" s="433">
        <f t="shared" si="306"/>
        <v>0</v>
      </c>
      <c r="BP529" s="433">
        <f t="shared" si="307"/>
        <v>0</v>
      </c>
      <c r="BQ529" s="433">
        <f t="shared" si="308"/>
        <v>0</v>
      </c>
    </row>
    <row r="530" spans="1:69" x14ac:dyDescent="0.2">
      <c r="A530" s="102">
        <v>41841</v>
      </c>
      <c r="B530" s="319">
        <v>2</v>
      </c>
      <c r="C530" s="118" t="s">
        <v>3198</v>
      </c>
      <c r="D530" s="111">
        <v>0.33194444444444443</v>
      </c>
      <c r="E530" s="111">
        <v>0.57152777777777775</v>
      </c>
      <c r="F530" s="444">
        <v>31</v>
      </c>
      <c r="G530" s="445">
        <v>10</v>
      </c>
      <c r="H530" s="444"/>
      <c r="I530" s="390"/>
      <c r="J530" s="426">
        <f t="shared" si="281"/>
        <v>345</v>
      </c>
      <c r="K530" s="103"/>
      <c r="L530" s="103"/>
      <c r="M530" s="103"/>
      <c r="N530" s="427">
        <f t="shared" si="282"/>
        <v>0</v>
      </c>
      <c r="O530" s="103"/>
      <c r="P530" s="103"/>
      <c r="Q530" s="103"/>
      <c r="R530" s="428">
        <f t="shared" si="283"/>
        <v>0</v>
      </c>
      <c r="S530" s="103"/>
      <c r="T530" s="103"/>
      <c r="U530" s="103"/>
      <c r="V530" s="125"/>
      <c r="W530" s="428">
        <f t="shared" si="287"/>
        <v>0</v>
      </c>
      <c r="X530" s="103"/>
      <c r="Y530" s="103"/>
      <c r="Z530" s="125"/>
      <c r="AA530" s="428">
        <f t="shared" si="288"/>
        <v>0</v>
      </c>
      <c r="AB530" s="103"/>
      <c r="AC530" s="103"/>
      <c r="AD530" s="103"/>
      <c r="AE530" s="428">
        <f t="shared" si="289"/>
        <v>0</v>
      </c>
      <c r="AF530" s="103"/>
      <c r="AG530" s="103"/>
      <c r="AH530" s="103"/>
      <c r="AI530" s="103"/>
      <c r="AJ530" s="428">
        <f t="shared" si="290"/>
        <v>0</v>
      </c>
      <c r="AK530" s="446"/>
      <c r="AL530" s="446"/>
      <c r="AM530" s="446"/>
      <c r="AN530" s="446"/>
      <c r="AO530" s="446"/>
      <c r="AP530" s="446"/>
      <c r="AQ530" s="446"/>
      <c r="AR530" s="431">
        <f t="shared" si="291"/>
        <v>0</v>
      </c>
      <c r="AT530" s="128" t="s">
        <v>424</v>
      </c>
      <c r="AU530" s="100" t="s">
        <v>3202</v>
      </c>
      <c r="AV530" s="128" t="s">
        <v>3234</v>
      </c>
      <c r="AW530" s="100" t="s">
        <v>3261</v>
      </c>
      <c r="AX530" s="433">
        <f t="shared" si="292"/>
        <v>0</v>
      </c>
      <c r="AY530" s="433">
        <f t="shared" si="293"/>
        <v>0</v>
      </c>
      <c r="AZ530" s="433">
        <f t="shared" si="294"/>
        <v>0</v>
      </c>
      <c r="BA530" s="433">
        <f t="shared" si="284"/>
        <v>0</v>
      </c>
      <c r="BB530" s="433">
        <f t="shared" si="285"/>
        <v>0</v>
      </c>
      <c r="BC530" s="433">
        <f t="shared" si="286"/>
        <v>0</v>
      </c>
      <c r="BD530" s="433">
        <f t="shared" si="295"/>
        <v>0</v>
      </c>
      <c r="BE530" s="433">
        <f t="shared" si="296"/>
        <v>0</v>
      </c>
      <c r="BF530" s="433">
        <f t="shared" si="297"/>
        <v>0</v>
      </c>
      <c r="BG530" s="433">
        <f t="shared" si="298"/>
        <v>0</v>
      </c>
      <c r="BH530" s="433">
        <f t="shared" si="299"/>
        <v>0</v>
      </c>
      <c r="BI530" s="433">
        <f t="shared" si="300"/>
        <v>0</v>
      </c>
      <c r="BJ530" s="433">
        <f t="shared" si="301"/>
        <v>0</v>
      </c>
      <c r="BK530" s="433">
        <f t="shared" si="302"/>
        <v>0</v>
      </c>
      <c r="BL530" s="433">
        <f t="shared" si="303"/>
        <v>0</v>
      </c>
      <c r="BM530" s="433">
        <f t="shared" si="304"/>
        <v>0</v>
      </c>
      <c r="BN530" s="433">
        <f t="shared" si="305"/>
        <v>0</v>
      </c>
      <c r="BO530" s="433">
        <f t="shared" si="306"/>
        <v>0</v>
      </c>
      <c r="BP530" s="433">
        <f t="shared" si="307"/>
        <v>0</v>
      </c>
      <c r="BQ530" s="433">
        <f t="shared" si="308"/>
        <v>0</v>
      </c>
    </row>
    <row r="531" spans="1:69" x14ac:dyDescent="0.2">
      <c r="A531" s="102">
        <v>41841</v>
      </c>
      <c r="B531" s="319">
        <v>2</v>
      </c>
      <c r="C531" s="118" t="s">
        <v>458</v>
      </c>
      <c r="D531" s="111">
        <v>0.57152777777777775</v>
      </c>
      <c r="E531" s="111">
        <v>0.8222222222222223</v>
      </c>
      <c r="F531" s="444">
        <v>29</v>
      </c>
      <c r="G531" s="445">
        <v>12</v>
      </c>
      <c r="H531" s="444"/>
      <c r="I531" s="390"/>
      <c r="J531" s="426">
        <f t="shared" si="281"/>
        <v>361.00000000000017</v>
      </c>
      <c r="K531" s="103"/>
      <c r="L531" s="103"/>
      <c r="M531" s="103"/>
      <c r="N531" s="427">
        <f t="shared" si="282"/>
        <v>0</v>
      </c>
      <c r="O531" s="103"/>
      <c r="P531" s="103"/>
      <c r="Q531" s="103"/>
      <c r="R531" s="428">
        <f t="shared" si="283"/>
        <v>0</v>
      </c>
      <c r="S531" s="103"/>
      <c r="T531" s="103"/>
      <c r="U531" s="103"/>
      <c r="V531" s="125"/>
      <c r="W531" s="428">
        <f t="shared" si="287"/>
        <v>0</v>
      </c>
      <c r="X531" s="103"/>
      <c r="Y531" s="103"/>
      <c r="Z531" s="125"/>
      <c r="AA531" s="428">
        <f t="shared" si="288"/>
        <v>0</v>
      </c>
      <c r="AB531" s="103">
        <v>1</v>
      </c>
      <c r="AC531" s="103"/>
      <c r="AD531" s="103"/>
      <c r="AE531" s="428">
        <f t="shared" si="289"/>
        <v>1</v>
      </c>
      <c r="AF531" s="103"/>
      <c r="AG531" s="103"/>
      <c r="AH531" s="103"/>
      <c r="AI531" s="103"/>
      <c r="AJ531" s="428">
        <f t="shared" si="290"/>
        <v>0</v>
      </c>
      <c r="AK531" s="446"/>
      <c r="AL531" s="446"/>
      <c r="AM531" s="446"/>
      <c r="AN531" s="446"/>
      <c r="AO531" s="446"/>
      <c r="AP531" s="446"/>
      <c r="AQ531" s="446"/>
      <c r="AR531" s="431">
        <f t="shared" si="291"/>
        <v>0</v>
      </c>
      <c r="AT531" s="128"/>
      <c r="AU531" s="100" t="s">
        <v>3201</v>
      </c>
      <c r="AV531" s="128" t="s">
        <v>3234</v>
      </c>
      <c r="AW531" s="100" t="s">
        <v>3261</v>
      </c>
      <c r="AX531" s="433">
        <f t="shared" si="292"/>
        <v>0</v>
      </c>
      <c r="AY531" s="433">
        <f t="shared" si="293"/>
        <v>0</v>
      </c>
      <c r="AZ531" s="433">
        <f t="shared" si="294"/>
        <v>0</v>
      </c>
      <c r="BA531" s="433">
        <f t="shared" si="284"/>
        <v>0</v>
      </c>
      <c r="BB531" s="433">
        <f t="shared" si="285"/>
        <v>0</v>
      </c>
      <c r="BC531" s="433">
        <f t="shared" si="286"/>
        <v>0</v>
      </c>
      <c r="BD531" s="433">
        <f t="shared" si="295"/>
        <v>0</v>
      </c>
      <c r="BE531" s="433">
        <f t="shared" si="296"/>
        <v>0</v>
      </c>
      <c r="BF531" s="433">
        <f t="shared" si="297"/>
        <v>0</v>
      </c>
      <c r="BG531" s="433">
        <f t="shared" si="298"/>
        <v>0</v>
      </c>
      <c r="BH531" s="433">
        <f t="shared" si="299"/>
        <v>0</v>
      </c>
      <c r="BI531" s="433">
        <f t="shared" si="300"/>
        <v>0</v>
      </c>
      <c r="BJ531" s="433">
        <f t="shared" si="301"/>
        <v>0</v>
      </c>
      <c r="BK531" s="433">
        <f t="shared" si="302"/>
        <v>1</v>
      </c>
      <c r="BL531" s="433">
        <f t="shared" si="303"/>
        <v>0</v>
      </c>
      <c r="BM531" s="433">
        <f t="shared" si="304"/>
        <v>0</v>
      </c>
      <c r="BN531" s="433">
        <f t="shared" si="305"/>
        <v>0</v>
      </c>
      <c r="BO531" s="433">
        <f t="shared" si="306"/>
        <v>0</v>
      </c>
      <c r="BP531" s="433">
        <f t="shared" si="307"/>
        <v>0</v>
      </c>
      <c r="BQ531" s="433">
        <f t="shared" si="308"/>
        <v>0</v>
      </c>
    </row>
    <row r="532" spans="1:69" x14ac:dyDescent="0.2">
      <c r="A532" s="102">
        <v>41841</v>
      </c>
      <c r="B532" s="319">
        <v>3</v>
      </c>
      <c r="C532" s="118" t="s">
        <v>458</v>
      </c>
      <c r="D532" s="111">
        <v>0.33333333333333331</v>
      </c>
      <c r="E532" s="111">
        <v>0.45069444444444445</v>
      </c>
      <c r="F532" s="444">
        <v>43</v>
      </c>
      <c r="G532" s="445">
        <v>10</v>
      </c>
      <c r="H532" s="444"/>
      <c r="I532" s="390"/>
      <c r="J532" s="426">
        <f t="shared" si="281"/>
        <v>169.00000000000003</v>
      </c>
      <c r="K532" s="103">
        <v>1</v>
      </c>
      <c r="L532" s="103"/>
      <c r="M532" s="103"/>
      <c r="N532" s="427">
        <f t="shared" si="282"/>
        <v>1</v>
      </c>
      <c r="O532" s="103"/>
      <c r="P532" s="103"/>
      <c r="Q532" s="103"/>
      <c r="R532" s="428">
        <f t="shared" si="283"/>
        <v>0</v>
      </c>
      <c r="S532" s="103"/>
      <c r="T532" s="103"/>
      <c r="U532" s="103"/>
      <c r="V532" s="125"/>
      <c r="W532" s="428">
        <f t="shared" si="287"/>
        <v>0</v>
      </c>
      <c r="X532" s="103">
        <v>1</v>
      </c>
      <c r="Y532" s="103">
        <v>1</v>
      </c>
      <c r="Z532" s="125"/>
      <c r="AA532" s="428">
        <f t="shared" si="288"/>
        <v>2</v>
      </c>
      <c r="AB532" s="103"/>
      <c r="AC532" s="103"/>
      <c r="AD532" s="103"/>
      <c r="AE532" s="428">
        <f t="shared" si="289"/>
        <v>0</v>
      </c>
      <c r="AF532" s="103"/>
      <c r="AG532" s="103"/>
      <c r="AH532" s="103"/>
      <c r="AI532" s="103"/>
      <c r="AJ532" s="428">
        <f t="shared" si="290"/>
        <v>0</v>
      </c>
      <c r="AK532" s="446"/>
      <c r="AL532" s="446"/>
      <c r="AM532" s="446"/>
      <c r="AN532" s="446"/>
      <c r="AO532" s="446"/>
      <c r="AP532" s="446"/>
      <c r="AQ532" s="446"/>
      <c r="AR532" s="431">
        <f t="shared" si="291"/>
        <v>0</v>
      </c>
      <c r="AT532" s="128"/>
      <c r="AU532" s="100" t="s">
        <v>3201</v>
      </c>
      <c r="AV532" s="128" t="s">
        <v>3234</v>
      </c>
      <c r="AW532" s="100" t="s">
        <v>3261</v>
      </c>
      <c r="AX532" s="433">
        <f t="shared" si="292"/>
        <v>1</v>
      </c>
      <c r="AY532" s="433">
        <f t="shared" si="293"/>
        <v>0</v>
      </c>
      <c r="AZ532" s="433">
        <f t="shared" si="294"/>
        <v>0</v>
      </c>
      <c r="BA532" s="433">
        <f t="shared" si="284"/>
        <v>0</v>
      </c>
      <c r="BB532" s="433">
        <f t="shared" si="285"/>
        <v>0</v>
      </c>
      <c r="BC532" s="433">
        <f t="shared" si="286"/>
        <v>0</v>
      </c>
      <c r="BD532" s="433">
        <f t="shared" si="295"/>
        <v>0</v>
      </c>
      <c r="BE532" s="433">
        <f>T532</f>
        <v>0</v>
      </c>
      <c r="BF532" s="433">
        <f t="shared" si="297"/>
        <v>0</v>
      </c>
      <c r="BG532" s="433">
        <f t="shared" si="298"/>
        <v>0</v>
      </c>
      <c r="BH532" s="433">
        <f t="shared" si="299"/>
        <v>1</v>
      </c>
      <c r="BI532" s="433">
        <f t="shared" si="300"/>
        <v>1</v>
      </c>
      <c r="BJ532" s="433">
        <f t="shared" si="301"/>
        <v>0</v>
      </c>
      <c r="BK532" s="433">
        <f t="shared" si="302"/>
        <v>0</v>
      </c>
      <c r="BL532" s="433">
        <f t="shared" si="303"/>
        <v>0</v>
      </c>
      <c r="BM532" s="433">
        <f t="shared" si="304"/>
        <v>0</v>
      </c>
      <c r="BN532" s="433">
        <f t="shared" si="305"/>
        <v>0</v>
      </c>
      <c r="BO532" s="433">
        <f t="shared" si="306"/>
        <v>0</v>
      </c>
      <c r="BP532" s="433">
        <f t="shared" si="307"/>
        <v>0</v>
      </c>
      <c r="BQ532" s="433">
        <f t="shared" si="308"/>
        <v>0</v>
      </c>
    </row>
    <row r="533" spans="1:69" x14ac:dyDescent="0.2">
      <c r="A533" s="102">
        <v>41841</v>
      </c>
      <c r="B533" s="319">
        <v>3</v>
      </c>
      <c r="C533" s="118" t="s">
        <v>3203</v>
      </c>
      <c r="D533" s="111">
        <v>0.45069444444444445</v>
      </c>
      <c r="E533" s="111">
        <v>0.70486111111111116</v>
      </c>
      <c r="F533" s="444">
        <v>42</v>
      </c>
      <c r="G533" s="445">
        <v>11</v>
      </c>
      <c r="H533" s="444"/>
      <c r="I533" s="390"/>
      <c r="J533" s="426">
        <f t="shared" si="281"/>
        <v>366.00000000000011</v>
      </c>
      <c r="K533" s="103">
        <v>3</v>
      </c>
      <c r="L533" s="103"/>
      <c r="M533" s="103"/>
      <c r="N533" s="427">
        <f t="shared" si="282"/>
        <v>3</v>
      </c>
      <c r="O533" s="103"/>
      <c r="P533" s="103">
        <v>2</v>
      </c>
      <c r="Q533" s="103"/>
      <c r="R533" s="428">
        <f t="shared" si="283"/>
        <v>2</v>
      </c>
      <c r="S533" s="103"/>
      <c r="T533" s="103"/>
      <c r="U533" s="103"/>
      <c r="V533" s="125"/>
      <c r="W533" s="428">
        <f t="shared" si="287"/>
        <v>0</v>
      </c>
      <c r="X533" s="103"/>
      <c r="Y533" s="103"/>
      <c r="Z533" s="125"/>
      <c r="AA533" s="428">
        <f t="shared" si="288"/>
        <v>0</v>
      </c>
      <c r="AB533" s="103"/>
      <c r="AC533" s="103"/>
      <c r="AD533" s="103"/>
      <c r="AE533" s="428">
        <f t="shared" si="289"/>
        <v>0</v>
      </c>
      <c r="AF533" s="103"/>
      <c r="AG533" s="103"/>
      <c r="AH533" s="103"/>
      <c r="AI533" s="103"/>
      <c r="AJ533" s="428">
        <f t="shared" si="290"/>
        <v>0</v>
      </c>
      <c r="AK533" s="446"/>
      <c r="AL533" s="446"/>
      <c r="AM533" s="446"/>
      <c r="AN533" s="446"/>
      <c r="AO533" s="446"/>
      <c r="AP533" s="446"/>
      <c r="AQ533" s="446"/>
      <c r="AR533" s="431">
        <f t="shared" si="291"/>
        <v>0</v>
      </c>
      <c r="AS533" s="10" t="s">
        <v>3204</v>
      </c>
      <c r="AT533" s="128"/>
      <c r="AU533" s="100" t="s">
        <v>3196</v>
      </c>
      <c r="AV533" s="128" t="s">
        <v>3234</v>
      </c>
      <c r="AW533" s="100" t="s">
        <v>3261</v>
      </c>
      <c r="AX533" s="433">
        <f t="shared" si="292"/>
        <v>3</v>
      </c>
      <c r="AY533" s="433">
        <f t="shared" si="293"/>
        <v>0</v>
      </c>
      <c r="AZ533" s="433">
        <f t="shared" si="294"/>
        <v>0</v>
      </c>
      <c r="BA533" s="433">
        <f t="shared" si="284"/>
        <v>0</v>
      </c>
      <c r="BB533" s="433">
        <f t="shared" si="285"/>
        <v>2</v>
      </c>
      <c r="BC533" s="433">
        <f t="shared" si="286"/>
        <v>0</v>
      </c>
      <c r="BD533" s="433">
        <f t="shared" si="295"/>
        <v>0</v>
      </c>
      <c r="BE533" s="433">
        <f t="shared" si="296"/>
        <v>0</v>
      </c>
      <c r="BF533" s="433">
        <f t="shared" si="297"/>
        <v>0</v>
      </c>
      <c r="BG533" s="433">
        <f t="shared" si="298"/>
        <v>0</v>
      </c>
      <c r="BH533" s="433">
        <f t="shared" si="299"/>
        <v>0</v>
      </c>
      <c r="BI533" s="433">
        <f t="shared" si="300"/>
        <v>0</v>
      </c>
      <c r="BJ533" s="433">
        <f t="shared" si="301"/>
        <v>0</v>
      </c>
      <c r="BK533" s="433">
        <f t="shared" si="302"/>
        <v>0</v>
      </c>
      <c r="BL533" s="433">
        <f t="shared" si="303"/>
        <v>0</v>
      </c>
      <c r="BM533" s="433">
        <f t="shared" si="304"/>
        <v>0</v>
      </c>
      <c r="BN533" s="433">
        <f t="shared" si="305"/>
        <v>0</v>
      </c>
      <c r="BO533" s="433">
        <f t="shared" si="306"/>
        <v>0</v>
      </c>
      <c r="BP533" s="433">
        <f t="shared" si="307"/>
        <v>0</v>
      </c>
      <c r="BQ533" s="433">
        <f t="shared" si="308"/>
        <v>0</v>
      </c>
    </row>
    <row r="534" spans="1:69" s="291" customFormat="1" x14ac:dyDescent="0.2">
      <c r="A534" s="317">
        <v>41841</v>
      </c>
      <c r="B534" s="318">
        <v>3</v>
      </c>
      <c r="C534" s="320" t="s">
        <v>3198</v>
      </c>
      <c r="D534" s="321">
        <v>0.70486111111111116</v>
      </c>
      <c r="E534" s="321">
        <v>0.8340277777777777</v>
      </c>
      <c r="F534" s="434">
        <v>44</v>
      </c>
      <c r="G534" s="435">
        <v>12</v>
      </c>
      <c r="H534" s="434"/>
      <c r="I534" s="436"/>
      <c r="J534" s="437">
        <f t="shared" si="281"/>
        <v>185.99999999999983</v>
      </c>
      <c r="K534" s="285"/>
      <c r="L534" s="285"/>
      <c r="M534" s="285"/>
      <c r="N534" s="438">
        <f t="shared" si="282"/>
        <v>0</v>
      </c>
      <c r="O534" s="285"/>
      <c r="P534" s="285"/>
      <c r="Q534" s="285"/>
      <c r="R534" s="439">
        <f t="shared" si="283"/>
        <v>0</v>
      </c>
      <c r="S534" s="285"/>
      <c r="T534" s="285"/>
      <c r="U534" s="285"/>
      <c r="V534" s="440"/>
      <c r="W534" s="439">
        <f t="shared" si="287"/>
        <v>0</v>
      </c>
      <c r="X534" s="285"/>
      <c r="Y534" s="285">
        <v>1</v>
      </c>
      <c r="Z534" s="440"/>
      <c r="AA534" s="439">
        <f t="shared" si="288"/>
        <v>1</v>
      </c>
      <c r="AB534" s="285"/>
      <c r="AC534" s="285"/>
      <c r="AD534" s="285"/>
      <c r="AE534" s="439">
        <f t="shared" si="289"/>
        <v>0</v>
      </c>
      <c r="AF534" s="285"/>
      <c r="AG534" s="285"/>
      <c r="AH534" s="285"/>
      <c r="AI534" s="285"/>
      <c r="AJ534" s="439">
        <f t="shared" si="290"/>
        <v>0</v>
      </c>
      <c r="AK534" s="340"/>
      <c r="AL534" s="340"/>
      <c r="AM534" s="340">
        <v>1</v>
      </c>
      <c r="AN534" s="340"/>
      <c r="AO534" s="340"/>
      <c r="AP534" s="340"/>
      <c r="AQ534" s="340"/>
      <c r="AR534" s="441">
        <f t="shared" si="291"/>
        <v>1</v>
      </c>
      <c r="AS534" s="291" t="s">
        <v>2927</v>
      </c>
      <c r="AT534" s="313"/>
      <c r="AU534" s="289" t="s">
        <v>3202</v>
      </c>
      <c r="AV534" s="313" t="s">
        <v>3234</v>
      </c>
      <c r="AW534" s="382" t="s">
        <v>3261</v>
      </c>
      <c r="AX534" s="443">
        <f t="shared" si="292"/>
        <v>0</v>
      </c>
      <c r="AY534" s="443">
        <f t="shared" si="293"/>
        <v>0</v>
      </c>
      <c r="AZ534" s="443">
        <f t="shared" si="294"/>
        <v>0</v>
      </c>
      <c r="BA534" s="443">
        <f t="shared" si="284"/>
        <v>0</v>
      </c>
      <c r="BB534" s="443">
        <f t="shared" si="285"/>
        <v>0</v>
      </c>
      <c r="BC534" s="443">
        <f t="shared" si="286"/>
        <v>0</v>
      </c>
      <c r="BD534" s="443">
        <f t="shared" si="295"/>
        <v>0</v>
      </c>
      <c r="BE534" s="443">
        <f t="shared" si="296"/>
        <v>0</v>
      </c>
      <c r="BF534" s="443">
        <f t="shared" si="297"/>
        <v>0</v>
      </c>
      <c r="BG534" s="443">
        <f t="shared" si="298"/>
        <v>0</v>
      </c>
      <c r="BH534" s="443">
        <f t="shared" si="299"/>
        <v>0</v>
      </c>
      <c r="BI534" s="443">
        <f t="shared" si="300"/>
        <v>1</v>
      </c>
      <c r="BJ534" s="443">
        <f t="shared" si="301"/>
        <v>0</v>
      </c>
      <c r="BK534" s="443">
        <f t="shared" si="302"/>
        <v>0</v>
      </c>
      <c r="BL534" s="443">
        <f t="shared" si="303"/>
        <v>0</v>
      </c>
      <c r="BM534" s="443">
        <f t="shared" si="304"/>
        <v>0</v>
      </c>
      <c r="BN534" s="443">
        <f t="shared" si="305"/>
        <v>0</v>
      </c>
      <c r="BO534" s="443">
        <f t="shared" si="306"/>
        <v>0</v>
      </c>
      <c r="BP534" s="443">
        <f t="shared" si="307"/>
        <v>0</v>
      </c>
      <c r="BQ534" s="443">
        <f t="shared" si="308"/>
        <v>0</v>
      </c>
    </row>
    <row r="535" spans="1:69" x14ac:dyDescent="0.2">
      <c r="A535" s="102">
        <v>41842</v>
      </c>
      <c r="B535" s="319">
        <v>1</v>
      </c>
      <c r="C535" s="118" t="s">
        <v>3217</v>
      </c>
      <c r="D535" s="111">
        <v>0.34027777777777773</v>
      </c>
      <c r="E535" s="111">
        <v>0.45833333333333331</v>
      </c>
      <c r="F535" s="444">
        <v>43</v>
      </c>
      <c r="G535" s="445">
        <v>9</v>
      </c>
      <c r="H535" s="444"/>
      <c r="I535" s="390"/>
      <c r="J535" s="426">
        <f t="shared" si="281"/>
        <v>170.00000000000003</v>
      </c>
      <c r="K535" s="103"/>
      <c r="L535" s="103"/>
      <c r="M535" s="103"/>
      <c r="N535" s="427">
        <f t="shared" si="282"/>
        <v>0</v>
      </c>
      <c r="O535" s="103"/>
      <c r="P535" s="103"/>
      <c r="Q535" s="103"/>
      <c r="R535" s="428">
        <f t="shared" si="283"/>
        <v>0</v>
      </c>
      <c r="S535" s="103"/>
      <c r="T535" s="103"/>
      <c r="U535" s="103"/>
      <c r="V535" s="125"/>
      <c r="W535" s="428">
        <f t="shared" si="287"/>
        <v>0</v>
      </c>
      <c r="X535" s="103">
        <v>1</v>
      </c>
      <c r="Y535" s="103">
        <v>1</v>
      </c>
      <c r="Z535" s="125"/>
      <c r="AA535" s="428">
        <f t="shared" si="288"/>
        <v>2</v>
      </c>
      <c r="AB535" s="103"/>
      <c r="AC535" s="103"/>
      <c r="AD535" s="103"/>
      <c r="AE535" s="428">
        <f t="shared" si="289"/>
        <v>0</v>
      </c>
      <c r="AF535" s="103"/>
      <c r="AG535" s="103"/>
      <c r="AH535" s="103"/>
      <c r="AI535" s="103"/>
      <c r="AJ535" s="428">
        <f t="shared" si="290"/>
        <v>0</v>
      </c>
      <c r="AK535" s="446"/>
      <c r="AL535" s="446"/>
      <c r="AM535" s="446"/>
      <c r="AN535" s="446"/>
      <c r="AO535" s="446"/>
      <c r="AP535" s="446"/>
      <c r="AQ535" s="446"/>
      <c r="AR535" s="431">
        <f t="shared" si="291"/>
        <v>0</v>
      </c>
      <c r="AT535" s="128"/>
      <c r="AU535" s="100" t="s">
        <v>3218</v>
      </c>
      <c r="AV535" s="128" t="s">
        <v>3262</v>
      </c>
      <c r="AW535" s="100" t="s">
        <v>3263</v>
      </c>
      <c r="AX535" s="433">
        <f t="shared" si="292"/>
        <v>0</v>
      </c>
      <c r="AY535" s="433">
        <f t="shared" si="293"/>
        <v>0</v>
      </c>
      <c r="AZ535" s="433">
        <f t="shared" si="294"/>
        <v>0</v>
      </c>
      <c r="BA535" s="433">
        <f t="shared" si="284"/>
        <v>0</v>
      </c>
      <c r="BB535" s="433">
        <f t="shared" si="285"/>
        <v>0</v>
      </c>
      <c r="BC535" s="433">
        <f t="shared" si="286"/>
        <v>0</v>
      </c>
      <c r="BD535" s="433">
        <f t="shared" si="295"/>
        <v>0</v>
      </c>
      <c r="BE535" s="433">
        <f t="shared" si="296"/>
        <v>0</v>
      </c>
      <c r="BF535" s="433">
        <f t="shared" si="297"/>
        <v>0</v>
      </c>
      <c r="BG535" s="433">
        <f t="shared" si="298"/>
        <v>0</v>
      </c>
      <c r="BH535" s="433">
        <f t="shared" si="299"/>
        <v>1</v>
      </c>
      <c r="BI535" s="433">
        <f t="shared" si="300"/>
        <v>1</v>
      </c>
      <c r="BJ535" s="433">
        <f t="shared" si="301"/>
        <v>0</v>
      </c>
      <c r="BK535" s="433">
        <f t="shared" si="302"/>
        <v>0</v>
      </c>
      <c r="BL535" s="433">
        <f t="shared" si="303"/>
        <v>0</v>
      </c>
      <c r="BM535" s="433">
        <f t="shared" si="304"/>
        <v>0</v>
      </c>
      <c r="BN535" s="433">
        <f t="shared" si="305"/>
        <v>0</v>
      </c>
      <c r="BO535" s="433">
        <f t="shared" si="306"/>
        <v>0</v>
      </c>
      <c r="BP535" s="433">
        <f t="shared" si="307"/>
        <v>0</v>
      </c>
      <c r="BQ535" s="433">
        <f t="shared" si="308"/>
        <v>0</v>
      </c>
    </row>
    <row r="536" spans="1:69" x14ac:dyDescent="0.2">
      <c r="A536" s="102">
        <v>41842</v>
      </c>
      <c r="B536" s="319">
        <v>1</v>
      </c>
      <c r="C536" s="118" t="s">
        <v>3203</v>
      </c>
      <c r="D536" s="111">
        <v>0.45833333333333331</v>
      </c>
      <c r="E536" s="111">
        <v>0.70833333333333337</v>
      </c>
      <c r="F536" s="444">
        <v>42</v>
      </c>
      <c r="G536" s="445">
        <v>9</v>
      </c>
      <c r="H536" s="444"/>
      <c r="I536" s="390">
        <v>112</v>
      </c>
      <c r="J536" s="426">
        <f t="shared" si="281"/>
        <v>360.00000000000011</v>
      </c>
      <c r="K536" s="103"/>
      <c r="L536" s="103"/>
      <c r="M536" s="103"/>
      <c r="N536" s="427">
        <f t="shared" si="282"/>
        <v>0</v>
      </c>
      <c r="O536" s="103"/>
      <c r="P536" s="103"/>
      <c r="Q536" s="103"/>
      <c r="R536" s="428">
        <f t="shared" si="283"/>
        <v>0</v>
      </c>
      <c r="S536" s="103"/>
      <c r="T536" s="103"/>
      <c r="U536" s="103"/>
      <c r="V536" s="125"/>
      <c r="W536" s="428">
        <f t="shared" si="287"/>
        <v>0</v>
      </c>
      <c r="X536" s="103"/>
      <c r="Y536" s="103">
        <v>4</v>
      </c>
      <c r="Z536" s="125">
        <v>1</v>
      </c>
      <c r="AA536" s="428">
        <f t="shared" si="288"/>
        <v>5</v>
      </c>
      <c r="AB536" s="103"/>
      <c r="AC536" s="103">
        <v>2</v>
      </c>
      <c r="AD536" s="103">
        <v>1</v>
      </c>
      <c r="AE536" s="428">
        <f t="shared" si="289"/>
        <v>3</v>
      </c>
      <c r="AF536" s="103"/>
      <c r="AG536" s="103"/>
      <c r="AH536" s="103"/>
      <c r="AI536" s="103"/>
      <c r="AJ536" s="428">
        <f t="shared" si="290"/>
        <v>0</v>
      </c>
      <c r="AK536" s="446"/>
      <c r="AL536" s="446"/>
      <c r="AM536" s="446"/>
      <c r="AN536" s="446"/>
      <c r="AO536" s="446">
        <v>1</v>
      </c>
      <c r="AP536" s="446"/>
      <c r="AQ536" s="446"/>
      <c r="AR536" s="431">
        <f t="shared" si="291"/>
        <v>1</v>
      </c>
      <c r="AS536" s="10" t="s">
        <v>3219</v>
      </c>
      <c r="AT536" s="128" t="s">
        <v>3220</v>
      </c>
      <c r="AU536" s="100" t="s">
        <v>3260</v>
      </c>
      <c r="AV536" s="128" t="s">
        <v>3262</v>
      </c>
      <c r="AW536" s="100" t="s">
        <v>3263</v>
      </c>
      <c r="AX536" s="433">
        <f t="shared" si="292"/>
        <v>0</v>
      </c>
      <c r="AY536" s="433">
        <f t="shared" si="293"/>
        <v>0</v>
      </c>
      <c r="AZ536" s="433">
        <f t="shared" si="294"/>
        <v>0</v>
      </c>
      <c r="BA536" s="433">
        <f t="shared" si="284"/>
        <v>0</v>
      </c>
      <c r="BB536" s="433">
        <f t="shared" si="285"/>
        <v>0</v>
      </c>
      <c r="BC536" s="433">
        <f t="shared" si="286"/>
        <v>0</v>
      </c>
      <c r="BD536" s="433">
        <f t="shared" si="295"/>
        <v>0</v>
      </c>
      <c r="BE536" s="433">
        <f t="shared" si="296"/>
        <v>0</v>
      </c>
      <c r="BF536" s="433">
        <f t="shared" si="297"/>
        <v>0</v>
      </c>
      <c r="BG536" s="433">
        <f t="shared" si="298"/>
        <v>0</v>
      </c>
      <c r="BH536" s="433">
        <f t="shared" si="299"/>
        <v>0</v>
      </c>
      <c r="BI536" s="433">
        <f t="shared" si="300"/>
        <v>4</v>
      </c>
      <c r="BJ536" s="433">
        <f t="shared" si="301"/>
        <v>1</v>
      </c>
      <c r="BK536" s="433">
        <f t="shared" si="302"/>
        <v>0</v>
      </c>
      <c r="BL536" s="433">
        <f t="shared" si="303"/>
        <v>2</v>
      </c>
      <c r="BM536" s="433">
        <f t="shared" si="304"/>
        <v>1</v>
      </c>
      <c r="BN536" s="433">
        <f t="shared" si="305"/>
        <v>0</v>
      </c>
      <c r="BO536" s="433">
        <f t="shared" si="306"/>
        <v>0</v>
      </c>
      <c r="BP536" s="433">
        <f t="shared" si="307"/>
        <v>0</v>
      </c>
      <c r="BQ536" s="433">
        <f t="shared" si="308"/>
        <v>0</v>
      </c>
    </row>
    <row r="537" spans="1:69" x14ac:dyDescent="0.2">
      <c r="A537" s="102">
        <v>41842</v>
      </c>
      <c r="B537" s="319">
        <v>1</v>
      </c>
      <c r="C537" s="118" t="s">
        <v>3221</v>
      </c>
      <c r="D537" s="111">
        <v>0.70833333333333337</v>
      </c>
      <c r="E537" s="111">
        <v>0.83263888888888893</v>
      </c>
      <c r="F537" s="444">
        <v>44</v>
      </c>
      <c r="G537" s="445">
        <v>10.5</v>
      </c>
      <c r="H537" s="444"/>
      <c r="I537" s="390"/>
      <c r="J537" s="426">
        <f t="shared" si="281"/>
        <v>179</v>
      </c>
      <c r="K537" s="103"/>
      <c r="L537" s="103"/>
      <c r="M537" s="103"/>
      <c r="N537" s="427">
        <f t="shared" si="282"/>
        <v>0</v>
      </c>
      <c r="O537" s="103"/>
      <c r="P537" s="103">
        <v>1</v>
      </c>
      <c r="Q537" s="103"/>
      <c r="R537" s="428">
        <f t="shared" si="283"/>
        <v>1</v>
      </c>
      <c r="S537" s="103"/>
      <c r="T537" s="103"/>
      <c r="U537" s="103"/>
      <c r="V537" s="125"/>
      <c r="W537" s="428">
        <f t="shared" si="287"/>
        <v>0</v>
      </c>
      <c r="X537" s="103"/>
      <c r="Y537" s="103">
        <v>4</v>
      </c>
      <c r="Z537" s="125"/>
      <c r="AA537" s="428">
        <f t="shared" si="288"/>
        <v>4</v>
      </c>
      <c r="AB537" s="103"/>
      <c r="AC537" s="103"/>
      <c r="AD537" s="103"/>
      <c r="AE537" s="428">
        <f t="shared" si="289"/>
        <v>0</v>
      </c>
      <c r="AF537" s="103">
        <v>1</v>
      </c>
      <c r="AG537" s="103"/>
      <c r="AH537" s="103"/>
      <c r="AI537" s="103"/>
      <c r="AJ537" s="428">
        <f t="shared" si="290"/>
        <v>1</v>
      </c>
      <c r="AK537" s="446"/>
      <c r="AL537" s="446"/>
      <c r="AM537" s="446"/>
      <c r="AN537" s="446"/>
      <c r="AO537" s="446"/>
      <c r="AP537" s="446"/>
      <c r="AQ537" s="446"/>
      <c r="AR537" s="431">
        <f t="shared" si="291"/>
        <v>0</v>
      </c>
      <c r="AT537" s="128"/>
      <c r="AU537" s="100" t="s">
        <v>3222</v>
      </c>
      <c r="AV537" s="128" t="s">
        <v>3262</v>
      </c>
      <c r="AW537" s="100" t="s">
        <v>3263</v>
      </c>
      <c r="AX537" s="433">
        <f t="shared" si="292"/>
        <v>0</v>
      </c>
      <c r="AY537" s="433">
        <f t="shared" si="293"/>
        <v>0</v>
      </c>
      <c r="AZ537" s="433">
        <f t="shared" si="294"/>
        <v>0</v>
      </c>
      <c r="BA537" s="433">
        <f t="shared" si="284"/>
        <v>0</v>
      </c>
      <c r="BB537" s="433">
        <f t="shared" si="285"/>
        <v>1</v>
      </c>
      <c r="BC537" s="433">
        <f t="shared" si="286"/>
        <v>0</v>
      </c>
      <c r="BD537" s="433">
        <f t="shared" si="295"/>
        <v>0</v>
      </c>
      <c r="BE537" s="433">
        <f t="shared" si="296"/>
        <v>0</v>
      </c>
      <c r="BF537" s="433">
        <f t="shared" si="297"/>
        <v>0</v>
      </c>
      <c r="BG537" s="433">
        <f t="shared" si="298"/>
        <v>0</v>
      </c>
      <c r="BH537" s="433">
        <f t="shared" si="299"/>
        <v>0</v>
      </c>
      <c r="BI537" s="433">
        <f t="shared" si="300"/>
        <v>4</v>
      </c>
      <c r="BJ537" s="433">
        <f t="shared" si="301"/>
        <v>0</v>
      </c>
      <c r="BK537" s="433">
        <f t="shared" si="302"/>
        <v>0</v>
      </c>
      <c r="BL537" s="433">
        <f t="shared" si="303"/>
        <v>0</v>
      </c>
      <c r="BM537" s="433">
        <f t="shared" si="304"/>
        <v>0</v>
      </c>
      <c r="BN537" s="433">
        <f t="shared" si="305"/>
        <v>1</v>
      </c>
      <c r="BO537" s="433">
        <f t="shared" si="306"/>
        <v>0</v>
      </c>
      <c r="BP537" s="433">
        <f t="shared" si="307"/>
        <v>0</v>
      </c>
      <c r="BQ537" s="433">
        <f t="shared" si="308"/>
        <v>0</v>
      </c>
    </row>
    <row r="538" spans="1:69" x14ac:dyDescent="0.2">
      <c r="A538" s="102">
        <v>41842</v>
      </c>
      <c r="B538" s="319">
        <v>2</v>
      </c>
      <c r="C538" s="118" t="s">
        <v>3198</v>
      </c>
      <c r="D538" s="111">
        <v>0.33402777777777781</v>
      </c>
      <c r="E538" s="111">
        <v>0.44930555555555557</v>
      </c>
      <c r="F538" s="444">
        <v>34</v>
      </c>
      <c r="G538" s="445">
        <v>10</v>
      </c>
      <c r="H538" s="444"/>
      <c r="I538" s="390"/>
      <c r="J538" s="426">
        <f t="shared" si="281"/>
        <v>165.99999999999997</v>
      </c>
      <c r="K538" s="103"/>
      <c r="L538" s="103"/>
      <c r="M538" s="103"/>
      <c r="N538" s="427">
        <f t="shared" si="282"/>
        <v>0</v>
      </c>
      <c r="O538" s="103"/>
      <c r="P538" s="103"/>
      <c r="Q538" s="103"/>
      <c r="R538" s="428">
        <f t="shared" si="283"/>
        <v>0</v>
      </c>
      <c r="S538" s="103"/>
      <c r="T538" s="103"/>
      <c r="U538" s="103"/>
      <c r="V538" s="125"/>
      <c r="W538" s="428">
        <f t="shared" si="287"/>
        <v>0</v>
      </c>
      <c r="X538" s="103"/>
      <c r="Y538" s="103"/>
      <c r="Z538" s="125"/>
      <c r="AA538" s="428">
        <f t="shared" si="288"/>
        <v>0</v>
      </c>
      <c r="AB538" s="103">
        <v>1</v>
      </c>
      <c r="AC538" s="103"/>
      <c r="AD538" s="103"/>
      <c r="AE538" s="428">
        <f t="shared" si="289"/>
        <v>1</v>
      </c>
      <c r="AF538" s="103"/>
      <c r="AG538" s="103"/>
      <c r="AH538" s="103"/>
      <c r="AI538" s="103"/>
      <c r="AJ538" s="428">
        <f t="shared" si="290"/>
        <v>0</v>
      </c>
      <c r="AK538" s="446"/>
      <c r="AL538" s="446"/>
      <c r="AM538" s="446"/>
      <c r="AN538" s="446"/>
      <c r="AO538" s="446"/>
      <c r="AP538" s="446"/>
      <c r="AQ538" s="446"/>
      <c r="AR538" s="431">
        <f t="shared" si="291"/>
        <v>0</v>
      </c>
      <c r="AT538" s="128"/>
      <c r="AU538" s="100" t="s">
        <v>3223</v>
      </c>
      <c r="AV538" s="128" t="s">
        <v>3262</v>
      </c>
      <c r="AW538" s="100" t="s">
        <v>3263</v>
      </c>
      <c r="AX538" s="433">
        <f t="shared" si="292"/>
        <v>0</v>
      </c>
      <c r="AY538" s="433">
        <f t="shared" si="293"/>
        <v>0</v>
      </c>
      <c r="AZ538" s="433">
        <f t="shared" si="294"/>
        <v>0</v>
      </c>
      <c r="BA538" s="433">
        <f t="shared" si="284"/>
        <v>0</v>
      </c>
      <c r="BB538" s="433">
        <f t="shared" si="285"/>
        <v>0</v>
      </c>
      <c r="BC538" s="433">
        <f t="shared" si="286"/>
        <v>0</v>
      </c>
      <c r="BD538" s="433">
        <f t="shared" si="295"/>
        <v>0</v>
      </c>
      <c r="BE538" s="433">
        <f t="shared" si="296"/>
        <v>0</v>
      </c>
      <c r="BF538" s="433">
        <f t="shared" si="297"/>
        <v>0</v>
      </c>
      <c r="BG538" s="433">
        <f t="shared" si="298"/>
        <v>0</v>
      </c>
      <c r="BH538" s="433">
        <f t="shared" si="299"/>
        <v>0</v>
      </c>
      <c r="BI538" s="433">
        <f t="shared" si="300"/>
        <v>0</v>
      </c>
      <c r="BJ538" s="433">
        <f t="shared" si="301"/>
        <v>0</v>
      </c>
      <c r="BK538" s="433">
        <f t="shared" si="302"/>
        <v>1</v>
      </c>
      <c r="BL538" s="433">
        <f t="shared" si="303"/>
        <v>0</v>
      </c>
      <c r="BM538" s="433">
        <f t="shared" si="304"/>
        <v>0</v>
      </c>
      <c r="BN538" s="433">
        <f t="shared" si="305"/>
        <v>0</v>
      </c>
      <c r="BO538" s="433">
        <f t="shared" si="306"/>
        <v>0</v>
      </c>
      <c r="BP538" s="433">
        <f t="shared" si="307"/>
        <v>0</v>
      </c>
      <c r="BQ538" s="433">
        <f t="shared" si="308"/>
        <v>0</v>
      </c>
    </row>
    <row r="539" spans="1:69" x14ac:dyDescent="0.2">
      <c r="A539" s="102">
        <v>41842</v>
      </c>
      <c r="B539" s="319">
        <v>2</v>
      </c>
      <c r="C539" s="118" t="s">
        <v>3203</v>
      </c>
      <c r="D539" s="111">
        <v>0.44930555555555557</v>
      </c>
      <c r="E539" s="111">
        <v>0.70000000000000007</v>
      </c>
      <c r="F539" s="444">
        <v>34</v>
      </c>
      <c r="G539" s="445">
        <v>11</v>
      </c>
      <c r="H539" s="444"/>
      <c r="I539" s="390"/>
      <c r="J539" s="426">
        <f t="shared" si="281"/>
        <v>361.00000000000006</v>
      </c>
      <c r="K539" s="103"/>
      <c r="L539" s="103"/>
      <c r="M539" s="103"/>
      <c r="N539" s="427">
        <f t="shared" si="282"/>
        <v>0</v>
      </c>
      <c r="O539" s="103"/>
      <c r="P539" s="103"/>
      <c r="Q539" s="103"/>
      <c r="R539" s="428">
        <f t="shared" si="283"/>
        <v>0</v>
      </c>
      <c r="S539" s="103">
        <v>3</v>
      </c>
      <c r="T539" s="103"/>
      <c r="U539" s="103"/>
      <c r="V539" s="125"/>
      <c r="W539" s="428">
        <f t="shared" si="287"/>
        <v>3</v>
      </c>
      <c r="X539" s="103"/>
      <c r="Y539" s="103"/>
      <c r="Z539" s="125"/>
      <c r="AA539" s="428">
        <f t="shared" si="288"/>
        <v>0</v>
      </c>
      <c r="AB539" s="103">
        <v>1</v>
      </c>
      <c r="AC539" s="103"/>
      <c r="AD539" s="103"/>
      <c r="AE539" s="428">
        <f t="shared" si="289"/>
        <v>1</v>
      </c>
      <c r="AF539" s="103"/>
      <c r="AG539" s="103"/>
      <c r="AH539" s="103"/>
      <c r="AI539" s="103"/>
      <c r="AJ539" s="428">
        <f t="shared" si="290"/>
        <v>0</v>
      </c>
      <c r="AK539" s="446"/>
      <c r="AL539" s="446"/>
      <c r="AM539" s="446"/>
      <c r="AN539" s="446"/>
      <c r="AO539" s="446"/>
      <c r="AP539" s="446"/>
      <c r="AQ539" s="446"/>
      <c r="AR539" s="431">
        <f t="shared" si="291"/>
        <v>0</v>
      </c>
      <c r="AT539" s="128"/>
      <c r="AU539" s="100" t="s">
        <v>3260</v>
      </c>
      <c r="AV539" s="128" t="s">
        <v>3262</v>
      </c>
      <c r="AW539" s="100" t="s">
        <v>3263</v>
      </c>
      <c r="AX539" s="433">
        <f t="shared" si="292"/>
        <v>0</v>
      </c>
      <c r="AY539" s="433">
        <f t="shared" si="293"/>
        <v>0</v>
      </c>
      <c r="AZ539" s="433">
        <f t="shared" si="294"/>
        <v>0</v>
      </c>
      <c r="BA539" s="433">
        <f t="shared" si="284"/>
        <v>0</v>
      </c>
      <c r="BB539" s="433">
        <f t="shared" si="285"/>
        <v>0</v>
      </c>
      <c r="BC539" s="433">
        <f t="shared" si="286"/>
        <v>0</v>
      </c>
      <c r="BD539" s="433">
        <f t="shared" si="295"/>
        <v>3</v>
      </c>
      <c r="BE539" s="433">
        <f t="shared" si="296"/>
        <v>0</v>
      </c>
      <c r="BF539" s="433">
        <f t="shared" si="297"/>
        <v>0</v>
      </c>
      <c r="BG539" s="433">
        <f t="shared" si="298"/>
        <v>0</v>
      </c>
      <c r="BH539" s="433">
        <f t="shared" si="299"/>
        <v>0</v>
      </c>
      <c r="BI539" s="433">
        <f t="shared" si="300"/>
        <v>0</v>
      </c>
      <c r="BJ539" s="433">
        <f t="shared" si="301"/>
        <v>0</v>
      </c>
      <c r="BK539" s="433">
        <f t="shared" si="302"/>
        <v>1</v>
      </c>
      <c r="BL539" s="433">
        <f t="shared" si="303"/>
        <v>0</v>
      </c>
      <c r="BM539" s="433">
        <f t="shared" si="304"/>
        <v>0</v>
      </c>
      <c r="BN539" s="433">
        <f t="shared" si="305"/>
        <v>0</v>
      </c>
      <c r="BO539" s="433">
        <f t="shared" si="306"/>
        <v>0</v>
      </c>
      <c r="BP539" s="433">
        <f t="shared" si="307"/>
        <v>0</v>
      </c>
      <c r="BQ539" s="433">
        <f t="shared" si="308"/>
        <v>0</v>
      </c>
    </row>
    <row r="540" spans="1:69" x14ac:dyDescent="0.2">
      <c r="A540" s="102">
        <v>41842</v>
      </c>
      <c r="B540" s="319">
        <v>2</v>
      </c>
      <c r="C540" s="118" t="s">
        <v>458</v>
      </c>
      <c r="D540" s="111">
        <v>0.70000000000000007</v>
      </c>
      <c r="E540" s="111">
        <v>0.82152777777777775</v>
      </c>
      <c r="F540" s="444">
        <v>34</v>
      </c>
      <c r="G540" s="445">
        <v>13</v>
      </c>
      <c r="H540" s="444"/>
      <c r="I540" s="390"/>
      <c r="J540" s="426">
        <f t="shared" si="281"/>
        <v>174.99999999999986</v>
      </c>
      <c r="K540" s="103"/>
      <c r="L540" s="103"/>
      <c r="M540" s="103"/>
      <c r="N540" s="427">
        <f t="shared" si="282"/>
        <v>0</v>
      </c>
      <c r="O540" s="103"/>
      <c r="P540" s="103"/>
      <c r="Q540" s="103"/>
      <c r="R540" s="428">
        <f t="shared" si="283"/>
        <v>0</v>
      </c>
      <c r="S540" s="103">
        <v>5</v>
      </c>
      <c r="T540" s="103"/>
      <c r="U540" s="103"/>
      <c r="V540" s="125"/>
      <c r="W540" s="428">
        <f t="shared" si="287"/>
        <v>5</v>
      </c>
      <c r="X540" s="103"/>
      <c r="Y540" s="103">
        <v>4</v>
      </c>
      <c r="Z540" s="125"/>
      <c r="AA540" s="428">
        <f t="shared" si="288"/>
        <v>4</v>
      </c>
      <c r="AB540" s="103"/>
      <c r="AC540" s="103"/>
      <c r="AD540" s="103"/>
      <c r="AE540" s="428">
        <f t="shared" si="289"/>
        <v>0</v>
      </c>
      <c r="AF540" s="103"/>
      <c r="AG540" s="103"/>
      <c r="AH540" s="103"/>
      <c r="AI540" s="103"/>
      <c r="AJ540" s="428">
        <f t="shared" si="290"/>
        <v>0</v>
      </c>
      <c r="AK540" s="446"/>
      <c r="AL540" s="446"/>
      <c r="AM540" s="446"/>
      <c r="AN540" s="446"/>
      <c r="AO540" s="446"/>
      <c r="AP540" s="446"/>
      <c r="AQ540" s="446"/>
      <c r="AR540" s="431">
        <f t="shared" si="291"/>
        <v>0</v>
      </c>
      <c r="AT540" s="128"/>
      <c r="AU540" s="100" t="s">
        <v>3224</v>
      </c>
      <c r="AV540" s="128" t="s">
        <v>3262</v>
      </c>
      <c r="AW540" s="100" t="s">
        <v>3263</v>
      </c>
      <c r="AX540" s="433">
        <f t="shared" si="292"/>
        <v>0</v>
      </c>
      <c r="AY540" s="433">
        <f t="shared" si="293"/>
        <v>0</v>
      </c>
      <c r="AZ540" s="433">
        <f t="shared" si="294"/>
        <v>0</v>
      </c>
      <c r="BA540" s="433">
        <f t="shared" si="284"/>
        <v>0</v>
      </c>
      <c r="BB540" s="433">
        <f t="shared" si="285"/>
        <v>0</v>
      </c>
      <c r="BC540" s="433">
        <f t="shared" si="286"/>
        <v>0</v>
      </c>
      <c r="BD540" s="433">
        <f t="shared" si="295"/>
        <v>5</v>
      </c>
      <c r="BE540" s="433">
        <f t="shared" si="296"/>
        <v>0</v>
      </c>
      <c r="BF540" s="433">
        <f t="shared" si="297"/>
        <v>0</v>
      </c>
      <c r="BG540" s="433">
        <f t="shared" si="298"/>
        <v>0</v>
      </c>
      <c r="BH540" s="433">
        <f t="shared" si="299"/>
        <v>0</v>
      </c>
      <c r="BI540" s="433">
        <f t="shared" si="300"/>
        <v>4</v>
      </c>
      <c r="BJ540" s="433">
        <f t="shared" si="301"/>
        <v>0</v>
      </c>
      <c r="BK540" s="433">
        <f t="shared" si="302"/>
        <v>0</v>
      </c>
      <c r="BL540" s="433">
        <f t="shared" si="303"/>
        <v>0</v>
      </c>
      <c r="BM540" s="433">
        <f t="shared" si="304"/>
        <v>0</v>
      </c>
      <c r="BN540" s="433">
        <f t="shared" si="305"/>
        <v>0</v>
      </c>
      <c r="BO540" s="433">
        <f t="shared" si="306"/>
        <v>0</v>
      </c>
      <c r="BP540" s="433">
        <f t="shared" si="307"/>
        <v>0</v>
      </c>
      <c r="BQ540" s="433">
        <f t="shared" si="308"/>
        <v>0</v>
      </c>
    </row>
    <row r="541" spans="1:69" x14ac:dyDescent="0.2">
      <c r="A541" s="102">
        <v>41842</v>
      </c>
      <c r="B541" s="319">
        <v>3</v>
      </c>
      <c r="C541" s="118" t="s">
        <v>458</v>
      </c>
      <c r="D541" s="111">
        <v>0.33611111111111108</v>
      </c>
      <c r="E541" s="111">
        <v>0.58263888888888882</v>
      </c>
      <c r="F541" s="444">
        <v>42</v>
      </c>
      <c r="G541" s="445">
        <v>10</v>
      </c>
      <c r="H541" s="444"/>
      <c r="I541" s="390"/>
      <c r="J541" s="426">
        <f t="shared" si="281"/>
        <v>354.99999999999994</v>
      </c>
      <c r="K541" s="103"/>
      <c r="L541" s="103">
        <v>1</v>
      </c>
      <c r="M541" s="103"/>
      <c r="N541" s="427">
        <f t="shared" si="282"/>
        <v>1</v>
      </c>
      <c r="O541" s="103"/>
      <c r="P541" s="103"/>
      <c r="Q541" s="103"/>
      <c r="R541" s="428">
        <f t="shared" si="283"/>
        <v>0</v>
      </c>
      <c r="S541" s="103"/>
      <c r="T541" s="103"/>
      <c r="U541" s="103"/>
      <c r="V541" s="125"/>
      <c r="W541" s="428">
        <f t="shared" si="287"/>
        <v>0</v>
      </c>
      <c r="X541" s="103">
        <v>2</v>
      </c>
      <c r="Y541" s="103">
        <v>2</v>
      </c>
      <c r="Z541" s="125"/>
      <c r="AA541" s="428">
        <f t="shared" si="288"/>
        <v>4</v>
      </c>
      <c r="AB541" s="103"/>
      <c r="AC541" s="103"/>
      <c r="AD541" s="103">
        <v>1</v>
      </c>
      <c r="AE541" s="428">
        <f t="shared" si="289"/>
        <v>1</v>
      </c>
      <c r="AF541" s="103"/>
      <c r="AG541" s="103"/>
      <c r="AH541" s="103"/>
      <c r="AI541" s="103"/>
      <c r="AJ541" s="428">
        <f t="shared" si="290"/>
        <v>0</v>
      </c>
      <c r="AK541" s="446"/>
      <c r="AL541" s="446"/>
      <c r="AM541" s="446">
        <v>1</v>
      </c>
      <c r="AN541" s="446"/>
      <c r="AO541" s="446"/>
      <c r="AP541" s="446"/>
      <c r="AQ541" s="446"/>
      <c r="AR541" s="431">
        <f t="shared" si="291"/>
        <v>1</v>
      </c>
      <c r="AT541" s="128"/>
      <c r="AU541" s="100" t="s">
        <v>3224</v>
      </c>
      <c r="AV541" s="128" t="s">
        <v>3262</v>
      </c>
      <c r="AW541" s="100" t="s">
        <v>3263</v>
      </c>
      <c r="AX541" s="433">
        <f t="shared" si="292"/>
        <v>0</v>
      </c>
      <c r="AY541" s="433">
        <f t="shared" si="293"/>
        <v>1</v>
      </c>
      <c r="AZ541" s="433">
        <f t="shared" si="294"/>
        <v>0</v>
      </c>
      <c r="BA541" s="433">
        <f t="shared" si="284"/>
        <v>0</v>
      </c>
      <c r="BB541" s="433">
        <f t="shared" si="285"/>
        <v>0</v>
      </c>
      <c r="BC541" s="433">
        <f t="shared" si="286"/>
        <v>0</v>
      </c>
      <c r="BD541" s="433">
        <f t="shared" si="295"/>
        <v>0</v>
      </c>
      <c r="BE541" s="433">
        <f t="shared" si="296"/>
        <v>0</v>
      </c>
      <c r="BF541" s="433">
        <f t="shared" si="297"/>
        <v>0</v>
      </c>
      <c r="BG541" s="433">
        <f t="shared" si="298"/>
        <v>0</v>
      </c>
      <c r="BH541" s="433">
        <f t="shared" si="299"/>
        <v>2</v>
      </c>
      <c r="BI541" s="433">
        <f t="shared" si="300"/>
        <v>2</v>
      </c>
      <c r="BJ541" s="433">
        <f t="shared" si="301"/>
        <v>0</v>
      </c>
      <c r="BK541" s="433">
        <f t="shared" si="302"/>
        <v>0</v>
      </c>
      <c r="BL541" s="433">
        <f t="shared" si="303"/>
        <v>0</v>
      </c>
      <c r="BM541" s="433">
        <f t="shared" si="304"/>
        <v>1</v>
      </c>
      <c r="BN541" s="433">
        <f t="shared" si="305"/>
        <v>0</v>
      </c>
      <c r="BO541" s="433">
        <f t="shared" si="306"/>
        <v>0</v>
      </c>
      <c r="BP541" s="433">
        <f t="shared" si="307"/>
        <v>0</v>
      </c>
      <c r="BQ541" s="433">
        <f t="shared" si="308"/>
        <v>0</v>
      </c>
    </row>
    <row r="542" spans="1:69" s="291" customFormat="1" x14ac:dyDescent="0.2">
      <c r="A542" s="317">
        <v>41842</v>
      </c>
      <c r="B542" s="318">
        <v>3</v>
      </c>
      <c r="C542" s="320" t="s">
        <v>3217</v>
      </c>
      <c r="D542" s="321">
        <v>0.59375</v>
      </c>
      <c r="E542" s="321">
        <v>0.83333333333333337</v>
      </c>
      <c r="F542" s="434">
        <v>46</v>
      </c>
      <c r="G542" s="435">
        <v>11</v>
      </c>
      <c r="H542" s="434"/>
      <c r="I542" s="436"/>
      <c r="J542" s="437">
        <f t="shared" si="281"/>
        <v>345.00000000000006</v>
      </c>
      <c r="K542" s="285"/>
      <c r="L542" s="285"/>
      <c r="M542" s="285"/>
      <c r="N542" s="438">
        <f t="shared" si="282"/>
        <v>0</v>
      </c>
      <c r="O542" s="285"/>
      <c r="P542" s="285"/>
      <c r="Q542" s="285"/>
      <c r="R542" s="439">
        <f t="shared" si="283"/>
        <v>0</v>
      </c>
      <c r="S542" s="285"/>
      <c r="T542" s="285"/>
      <c r="U542" s="285"/>
      <c r="V542" s="440"/>
      <c r="W542" s="439">
        <f t="shared" si="287"/>
        <v>0</v>
      </c>
      <c r="X542" s="285"/>
      <c r="Y542" s="285">
        <v>6</v>
      </c>
      <c r="Z542" s="440"/>
      <c r="AA542" s="439">
        <f t="shared" si="288"/>
        <v>6</v>
      </c>
      <c r="AB542" s="285"/>
      <c r="AC542" s="285">
        <v>2</v>
      </c>
      <c r="AD542" s="285"/>
      <c r="AE542" s="439">
        <f t="shared" si="289"/>
        <v>2</v>
      </c>
      <c r="AF542" s="285"/>
      <c r="AG542" s="285"/>
      <c r="AH542" s="285"/>
      <c r="AI542" s="285"/>
      <c r="AJ542" s="439">
        <f t="shared" si="290"/>
        <v>0</v>
      </c>
      <c r="AK542" s="340">
        <v>1</v>
      </c>
      <c r="AL542" s="340"/>
      <c r="AM542" s="340"/>
      <c r="AN542" s="340"/>
      <c r="AO542" s="340"/>
      <c r="AP542" s="340"/>
      <c r="AQ542" s="340"/>
      <c r="AR542" s="441">
        <f t="shared" si="291"/>
        <v>1</v>
      </c>
      <c r="AS542" s="291" t="s">
        <v>3158</v>
      </c>
      <c r="AT542" s="313"/>
      <c r="AU542" s="289" t="s">
        <v>3223</v>
      </c>
      <c r="AV542" s="313" t="s">
        <v>3262</v>
      </c>
      <c r="AW542" s="382" t="s">
        <v>3263</v>
      </c>
      <c r="AX542" s="443">
        <f t="shared" si="292"/>
        <v>0</v>
      </c>
      <c r="AY542" s="443">
        <f t="shared" si="293"/>
        <v>0</v>
      </c>
      <c r="AZ542" s="443">
        <f t="shared" si="294"/>
        <v>0</v>
      </c>
      <c r="BA542" s="443">
        <f t="shared" si="284"/>
        <v>0</v>
      </c>
      <c r="BB542" s="443">
        <f t="shared" si="285"/>
        <v>0</v>
      </c>
      <c r="BC542" s="443">
        <f t="shared" si="286"/>
        <v>0</v>
      </c>
      <c r="BD542" s="443">
        <f t="shared" si="295"/>
        <v>0</v>
      </c>
      <c r="BE542" s="443">
        <f t="shared" si="296"/>
        <v>0</v>
      </c>
      <c r="BF542" s="443">
        <f t="shared" si="297"/>
        <v>0</v>
      </c>
      <c r="BG542" s="443">
        <f t="shared" si="298"/>
        <v>0</v>
      </c>
      <c r="BH542" s="443">
        <f t="shared" si="299"/>
        <v>0</v>
      </c>
      <c r="BI542" s="443">
        <f t="shared" si="300"/>
        <v>6</v>
      </c>
      <c r="BJ542" s="443">
        <f t="shared" si="301"/>
        <v>0</v>
      </c>
      <c r="BK542" s="443">
        <f t="shared" si="302"/>
        <v>0</v>
      </c>
      <c r="BL542" s="443">
        <f t="shared" si="303"/>
        <v>2</v>
      </c>
      <c r="BM542" s="443">
        <f t="shared" si="304"/>
        <v>0</v>
      </c>
      <c r="BN542" s="443">
        <f t="shared" si="305"/>
        <v>0</v>
      </c>
      <c r="BO542" s="443">
        <f t="shared" si="306"/>
        <v>0</v>
      </c>
      <c r="BP542" s="443">
        <f t="shared" si="307"/>
        <v>0</v>
      </c>
      <c r="BQ542" s="443">
        <f t="shared" si="308"/>
        <v>0</v>
      </c>
    </row>
    <row r="543" spans="1:69" x14ac:dyDescent="0.2">
      <c r="A543" s="102">
        <v>41843</v>
      </c>
      <c r="B543" s="319">
        <v>1</v>
      </c>
      <c r="C543" s="118" t="s">
        <v>3268</v>
      </c>
      <c r="D543" s="111">
        <v>0.33402777777777781</v>
      </c>
      <c r="E543" s="111">
        <v>0.44444444444444442</v>
      </c>
      <c r="F543" s="444">
        <v>51</v>
      </c>
      <c r="G543" s="445">
        <v>10</v>
      </c>
      <c r="H543" s="444"/>
      <c r="I543" s="390"/>
      <c r="J543" s="426">
        <f t="shared" si="281"/>
        <v>158.99999999999991</v>
      </c>
      <c r="K543" s="103"/>
      <c r="L543" s="103"/>
      <c r="M543" s="103"/>
      <c r="N543" s="427">
        <f t="shared" si="282"/>
        <v>0</v>
      </c>
      <c r="O543" s="103"/>
      <c r="P543" s="103"/>
      <c r="Q543" s="103"/>
      <c r="R543" s="428">
        <f t="shared" si="283"/>
        <v>0</v>
      </c>
      <c r="S543" s="103"/>
      <c r="T543" s="103"/>
      <c r="U543" s="103"/>
      <c r="V543" s="125"/>
      <c r="W543" s="428">
        <f t="shared" si="287"/>
        <v>0</v>
      </c>
      <c r="X543" s="103">
        <v>2</v>
      </c>
      <c r="Y543" s="103">
        <v>1</v>
      </c>
      <c r="Z543" s="125"/>
      <c r="AA543" s="428">
        <f t="shared" si="288"/>
        <v>3</v>
      </c>
      <c r="AB543" s="103"/>
      <c r="AC543" s="103"/>
      <c r="AD543" s="103"/>
      <c r="AE543" s="428">
        <f t="shared" si="289"/>
        <v>0</v>
      </c>
      <c r="AF543" s="103"/>
      <c r="AG543" s="103"/>
      <c r="AH543" s="103"/>
      <c r="AI543" s="103"/>
      <c r="AJ543" s="428">
        <f t="shared" si="290"/>
        <v>0</v>
      </c>
      <c r="AK543" s="446"/>
      <c r="AL543" s="446"/>
      <c r="AM543" s="446"/>
      <c r="AN543" s="446"/>
      <c r="AO543" s="446"/>
      <c r="AP543" s="446"/>
      <c r="AQ543" s="446"/>
      <c r="AR543" s="431">
        <f t="shared" si="291"/>
        <v>0</v>
      </c>
      <c r="AS543" s="10" t="s">
        <v>3318</v>
      </c>
      <c r="AT543" s="128"/>
      <c r="AU543" s="100" t="s">
        <v>3269</v>
      </c>
      <c r="AV543" s="128" t="s">
        <v>3320</v>
      </c>
      <c r="AW543" s="100" t="s">
        <v>3321</v>
      </c>
      <c r="AX543" s="433">
        <f t="shared" si="292"/>
        <v>0</v>
      </c>
      <c r="AY543" s="433">
        <f t="shared" si="293"/>
        <v>0</v>
      </c>
      <c r="AZ543" s="433">
        <f t="shared" si="294"/>
        <v>0</v>
      </c>
      <c r="BA543" s="433">
        <f t="shared" si="284"/>
        <v>0</v>
      </c>
      <c r="BB543" s="433">
        <f t="shared" si="285"/>
        <v>0</v>
      </c>
      <c r="BC543" s="433">
        <f t="shared" si="286"/>
        <v>0</v>
      </c>
      <c r="BD543" s="433">
        <f t="shared" si="295"/>
        <v>0</v>
      </c>
      <c r="BE543" s="433">
        <f t="shared" si="296"/>
        <v>0</v>
      </c>
      <c r="BF543" s="433">
        <f t="shared" si="297"/>
        <v>0</v>
      </c>
      <c r="BG543" s="433">
        <f t="shared" si="298"/>
        <v>0</v>
      </c>
      <c r="BH543" s="433">
        <f t="shared" si="299"/>
        <v>2</v>
      </c>
      <c r="BI543" s="433">
        <f t="shared" si="300"/>
        <v>1</v>
      </c>
      <c r="BJ543" s="433">
        <f t="shared" si="301"/>
        <v>0</v>
      </c>
      <c r="BK543" s="433">
        <f t="shared" si="302"/>
        <v>0</v>
      </c>
      <c r="BL543" s="433">
        <f t="shared" si="303"/>
        <v>0</v>
      </c>
      <c r="BM543" s="433">
        <f t="shared" si="304"/>
        <v>0</v>
      </c>
      <c r="BN543" s="433">
        <f t="shared" si="305"/>
        <v>0</v>
      </c>
      <c r="BO543" s="433">
        <f t="shared" si="306"/>
        <v>0</v>
      </c>
      <c r="BP543" s="433">
        <f t="shared" si="307"/>
        <v>0</v>
      </c>
      <c r="BQ543" s="433">
        <f t="shared" si="308"/>
        <v>0</v>
      </c>
    </row>
    <row r="544" spans="1:69" x14ac:dyDescent="0.2">
      <c r="A544" s="102">
        <v>41843</v>
      </c>
      <c r="B544" s="319">
        <v>1</v>
      </c>
      <c r="C544" s="118" t="s">
        <v>2925</v>
      </c>
      <c r="D544" s="111">
        <v>0.44444444444444442</v>
      </c>
      <c r="E544" s="111">
        <v>0.70486111111111116</v>
      </c>
      <c r="F544" s="444">
        <v>48</v>
      </c>
      <c r="G544" s="445">
        <v>11</v>
      </c>
      <c r="H544" s="444"/>
      <c r="I544" s="390"/>
      <c r="J544" s="426">
        <f t="shared" si="281"/>
        <v>375.00000000000011</v>
      </c>
      <c r="K544" s="103">
        <v>1</v>
      </c>
      <c r="L544" s="103"/>
      <c r="M544" s="103"/>
      <c r="N544" s="427">
        <f t="shared" si="282"/>
        <v>1</v>
      </c>
      <c r="O544" s="103"/>
      <c r="P544" s="103"/>
      <c r="Q544" s="103"/>
      <c r="R544" s="428">
        <f t="shared" si="283"/>
        <v>0</v>
      </c>
      <c r="S544" s="103">
        <v>3</v>
      </c>
      <c r="T544" s="103"/>
      <c r="U544" s="103"/>
      <c r="V544" s="125"/>
      <c r="W544" s="428">
        <f t="shared" si="287"/>
        <v>3</v>
      </c>
      <c r="X544" s="103"/>
      <c r="Y544" s="103">
        <v>8</v>
      </c>
      <c r="Z544" s="125"/>
      <c r="AA544" s="428">
        <f t="shared" si="288"/>
        <v>8</v>
      </c>
      <c r="AB544" s="103">
        <v>2</v>
      </c>
      <c r="AC544" s="103"/>
      <c r="AD544" s="103"/>
      <c r="AE544" s="428">
        <f t="shared" si="289"/>
        <v>2</v>
      </c>
      <c r="AF544" s="103"/>
      <c r="AG544" s="103"/>
      <c r="AH544" s="103"/>
      <c r="AI544" s="103"/>
      <c r="AJ544" s="428">
        <f t="shared" si="290"/>
        <v>0</v>
      </c>
      <c r="AK544" s="446"/>
      <c r="AL544" s="446"/>
      <c r="AM544" s="446"/>
      <c r="AN544" s="446"/>
      <c r="AO544" s="446"/>
      <c r="AP544" s="446"/>
      <c r="AQ544" s="446"/>
      <c r="AR544" s="431">
        <f t="shared" si="291"/>
        <v>0</v>
      </c>
      <c r="AT544" s="128"/>
      <c r="AU544" s="100" t="s">
        <v>3234</v>
      </c>
      <c r="AV544" s="128" t="s">
        <v>3320</v>
      </c>
      <c r="AW544" s="100" t="s">
        <v>3321</v>
      </c>
      <c r="AX544" s="433">
        <f t="shared" si="292"/>
        <v>1</v>
      </c>
      <c r="AY544" s="433">
        <f t="shared" si="293"/>
        <v>0</v>
      </c>
      <c r="AZ544" s="433">
        <f t="shared" si="294"/>
        <v>0</v>
      </c>
      <c r="BA544" s="433">
        <f t="shared" si="284"/>
        <v>0</v>
      </c>
      <c r="BB544" s="433">
        <f t="shared" si="285"/>
        <v>0</v>
      </c>
      <c r="BC544" s="433">
        <f t="shared" si="286"/>
        <v>0</v>
      </c>
      <c r="BD544" s="433">
        <f t="shared" si="295"/>
        <v>3</v>
      </c>
      <c r="BE544" s="433">
        <f t="shared" si="296"/>
        <v>0</v>
      </c>
      <c r="BF544" s="433">
        <f t="shared" si="297"/>
        <v>0</v>
      </c>
      <c r="BG544" s="433">
        <f t="shared" si="298"/>
        <v>0</v>
      </c>
      <c r="BH544" s="433">
        <f t="shared" si="299"/>
        <v>0</v>
      </c>
      <c r="BI544" s="433">
        <f t="shared" si="300"/>
        <v>8</v>
      </c>
      <c r="BJ544" s="433">
        <f t="shared" si="301"/>
        <v>0</v>
      </c>
      <c r="BK544" s="433">
        <f t="shared" si="302"/>
        <v>2</v>
      </c>
      <c r="BL544" s="433">
        <f t="shared" si="303"/>
        <v>0</v>
      </c>
      <c r="BM544" s="433">
        <f t="shared" si="304"/>
        <v>0</v>
      </c>
      <c r="BN544" s="433">
        <f t="shared" si="305"/>
        <v>0</v>
      </c>
      <c r="BO544" s="433">
        <f t="shared" si="306"/>
        <v>0</v>
      </c>
      <c r="BP544" s="433">
        <f t="shared" si="307"/>
        <v>0</v>
      </c>
      <c r="BQ544" s="433">
        <f t="shared" si="308"/>
        <v>0</v>
      </c>
    </row>
    <row r="545" spans="1:69" x14ac:dyDescent="0.2">
      <c r="A545" s="102">
        <v>41843</v>
      </c>
      <c r="B545" s="319">
        <v>1</v>
      </c>
      <c r="C545" s="118" t="s">
        <v>3270</v>
      </c>
      <c r="D545" s="111">
        <v>0.70486111111111116</v>
      </c>
      <c r="E545" s="111">
        <v>0.84097222222222223</v>
      </c>
      <c r="F545" s="444">
        <v>50</v>
      </c>
      <c r="G545" s="445">
        <v>11</v>
      </c>
      <c r="H545" s="444"/>
      <c r="I545" s="390"/>
      <c r="J545" s="426">
        <f t="shared" si="281"/>
        <v>195.99999999999994</v>
      </c>
      <c r="K545" s="103">
        <v>1</v>
      </c>
      <c r="L545" s="103"/>
      <c r="M545" s="103"/>
      <c r="N545" s="427">
        <f t="shared" si="282"/>
        <v>1</v>
      </c>
      <c r="O545" s="103"/>
      <c r="P545" s="103"/>
      <c r="Q545" s="103"/>
      <c r="R545" s="428">
        <f t="shared" si="283"/>
        <v>0</v>
      </c>
      <c r="S545" s="103"/>
      <c r="T545" s="103"/>
      <c r="U545" s="103"/>
      <c r="V545" s="125"/>
      <c r="W545" s="428">
        <f t="shared" si="287"/>
        <v>0</v>
      </c>
      <c r="X545" s="103"/>
      <c r="Y545" s="103">
        <v>5</v>
      </c>
      <c r="Z545" s="125"/>
      <c r="AA545" s="428">
        <f t="shared" si="288"/>
        <v>5</v>
      </c>
      <c r="AB545" s="103"/>
      <c r="AC545" s="103"/>
      <c r="AD545" s="103"/>
      <c r="AE545" s="428">
        <f t="shared" si="289"/>
        <v>0</v>
      </c>
      <c r="AF545" s="103"/>
      <c r="AG545" s="103"/>
      <c r="AH545" s="103"/>
      <c r="AI545" s="103"/>
      <c r="AJ545" s="428">
        <f t="shared" si="290"/>
        <v>0</v>
      </c>
      <c r="AK545" s="446"/>
      <c r="AL545" s="446"/>
      <c r="AM545" s="446"/>
      <c r="AN545" s="446"/>
      <c r="AO545" s="446"/>
      <c r="AP545" s="446"/>
      <c r="AQ545" s="446"/>
      <c r="AR545" s="431">
        <f t="shared" si="291"/>
        <v>0</v>
      </c>
      <c r="AT545" s="128"/>
      <c r="AU545" s="100" t="s">
        <v>3271</v>
      </c>
      <c r="AV545" s="128" t="s">
        <v>3320</v>
      </c>
      <c r="AW545" s="100" t="s">
        <v>3321</v>
      </c>
      <c r="AX545" s="433">
        <f t="shared" si="292"/>
        <v>1</v>
      </c>
      <c r="AY545" s="433">
        <f t="shared" si="293"/>
        <v>0</v>
      </c>
      <c r="AZ545" s="433">
        <f t="shared" si="294"/>
        <v>0</v>
      </c>
      <c r="BA545" s="433">
        <f t="shared" si="284"/>
        <v>0</v>
      </c>
      <c r="BB545" s="433">
        <f t="shared" si="285"/>
        <v>0</v>
      </c>
      <c r="BC545" s="433">
        <f t="shared" si="286"/>
        <v>0</v>
      </c>
      <c r="BD545" s="433">
        <f t="shared" si="295"/>
        <v>0</v>
      </c>
      <c r="BE545" s="433">
        <f t="shared" si="296"/>
        <v>0</v>
      </c>
      <c r="BF545" s="433">
        <f t="shared" si="297"/>
        <v>0</v>
      </c>
      <c r="BG545" s="433">
        <f t="shared" si="298"/>
        <v>0</v>
      </c>
      <c r="BH545" s="433">
        <f t="shared" si="299"/>
        <v>0</v>
      </c>
      <c r="BI545" s="433">
        <f t="shared" si="300"/>
        <v>5</v>
      </c>
      <c r="BJ545" s="433">
        <f t="shared" si="301"/>
        <v>0</v>
      </c>
      <c r="BK545" s="433">
        <f t="shared" si="302"/>
        <v>0</v>
      </c>
      <c r="BL545" s="433">
        <f t="shared" si="303"/>
        <v>0</v>
      </c>
      <c r="BM545" s="433">
        <f t="shared" si="304"/>
        <v>0</v>
      </c>
      <c r="BN545" s="433">
        <f t="shared" si="305"/>
        <v>0</v>
      </c>
      <c r="BO545" s="433">
        <f t="shared" si="306"/>
        <v>0</v>
      </c>
      <c r="BP545" s="433">
        <f t="shared" si="307"/>
        <v>0</v>
      </c>
      <c r="BQ545" s="433">
        <f t="shared" si="308"/>
        <v>0</v>
      </c>
    </row>
    <row r="546" spans="1:69" x14ac:dyDescent="0.2">
      <c r="A546" s="102">
        <v>41843</v>
      </c>
      <c r="B546" s="319">
        <v>2</v>
      </c>
      <c r="C546" s="118" t="s">
        <v>3272</v>
      </c>
      <c r="D546" s="111">
        <v>0.32847222222222222</v>
      </c>
      <c r="E546" s="111">
        <v>0.44791666666666669</v>
      </c>
      <c r="F546" s="444">
        <v>34</v>
      </c>
      <c r="G546" s="445">
        <v>11</v>
      </c>
      <c r="H546" s="444"/>
      <c r="I546" s="390"/>
      <c r="J546" s="426">
        <f t="shared" si="281"/>
        <v>172.00000000000003</v>
      </c>
      <c r="K546" s="103"/>
      <c r="L546" s="103"/>
      <c r="M546" s="103"/>
      <c r="N546" s="427">
        <f t="shared" si="282"/>
        <v>0</v>
      </c>
      <c r="O546" s="103"/>
      <c r="P546" s="103"/>
      <c r="Q546" s="103"/>
      <c r="R546" s="428">
        <f t="shared" si="283"/>
        <v>0</v>
      </c>
      <c r="S546" s="103">
        <v>2</v>
      </c>
      <c r="T546" s="103"/>
      <c r="U546" s="103"/>
      <c r="V546" s="125"/>
      <c r="W546" s="428">
        <f t="shared" si="287"/>
        <v>2</v>
      </c>
      <c r="X546" s="103">
        <v>1</v>
      </c>
      <c r="Y546" s="103">
        <v>2</v>
      </c>
      <c r="Z546" s="125"/>
      <c r="AA546" s="428">
        <f t="shared" si="288"/>
        <v>3</v>
      </c>
      <c r="AB546" s="103"/>
      <c r="AC546" s="103"/>
      <c r="AD546" s="103"/>
      <c r="AE546" s="428">
        <f t="shared" si="289"/>
        <v>0</v>
      </c>
      <c r="AF546" s="103"/>
      <c r="AG546" s="103"/>
      <c r="AH546" s="103"/>
      <c r="AI546" s="103"/>
      <c r="AJ546" s="428">
        <f t="shared" si="290"/>
        <v>0</v>
      </c>
      <c r="AK546" s="446"/>
      <c r="AL546" s="446"/>
      <c r="AM546" s="446"/>
      <c r="AN546" s="446"/>
      <c r="AO546" s="446"/>
      <c r="AP546" s="446"/>
      <c r="AQ546" s="446"/>
      <c r="AR546" s="431">
        <f t="shared" si="291"/>
        <v>0</v>
      </c>
      <c r="AS546" s="10" t="s">
        <v>3319</v>
      </c>
      <c r="AT546" s="128"/>
      <c r="AU546" s="100" t="s">
        <v>3273</v>
      </c>
      <c r="AV546" s="128" t="s">
        <v>3320</v>
      </c>
      <c r="AW546" s="100" t="s">
        <v>3321</v>
      </c>
      <c r="AX546" s="433">
        <f t="shared" si="292"/>
        <v>0</v>
      </c>
      <c r="AY546" s="433">
        <f t="shared" si="293"/>
        <v>0</v>
      </c>
      <c r="AZ546" s="433">
        <f t="shared" si="294"/>
        <v>0</v>
      </c>
      <c r="BA546" s="433">
        <f t="shared" si="284"/>
        <v>0</v>
      </c>
      <c r="BB546" s="433">
        <f t="shared" si="285"/>
        <v>0</v>
      </c>
      <c r="BC546" s="433">
        <f t="shared" si="286"/>
        <v>0</v>
      </c>
      <c r="BD546" s="433">
        <f t="shared" si="295"/>
        <v>2</v>
      </c>
      <c r="BE546" s="433">
        <f t="shared" si="296"/>
        <v>0</v>
      </c>
      <c r="BF546" s="433">
        <f t="shared" si="297"/>
        <v>0</v>
      </c>
      <c r="BG546" s="433">
        <f t="shared" si="298"/>
        <v>0</v>
      </c>
      <c r="BH546" s="433">
        <f t="shared" si="299"/>
        <v>1</v>
      </c>
      <c r="BI546" s="433">
        <f t="shared" si="300"/>
        <v>2</v>
      </c>
      <c r="BJ546" s="433">
        <f t="shared" si="301"/>
        <v>0</v>
      </c>
      <c r="BK546" s="433">
        <f t="shared" si="302"/>
        <v>0</v>
      </c>
      <c r="BL546" s="433">
        <f t="shared" si="303"/>
        <v>0</v>
      </c>
      <c r="BM546" s="433">
        <f t="shared" si="304"/>
        <v>0</v>
      </c>
      <c r="BN546" s="433">
        <f t="shared" si="305"/>
        <v>0</v>
      </c>
      <c r="BO546" s="433">
        <f t="shared" si="306"/>
        <v>0</v>
      </c>
      <c r="BP546" s="433">
        <f t="shared" si="307"/>
        <v>0</v>
      </c>
      <c r="BQ546" s="433">
        <f t="shared" si="308"/>
        <v>0</v>
      </c>
    </row>
    <row r="547" spans="1:69" x14ac:dyDescent="0.2">
      <c r="A547" s="102">
        <v>41843</v>
      </c>
      <c r="B547" s="319">
        <v>2</v>
      </c>
      <c r="C547" s="118" t="s">
        <v>2925</v>
      </c>
      <c r="D547" s="111">
        <v>0.44791666666666669</v>
      </c>
      <c r="E547" s="111">
        <v>0.69444444444444453</v>
      </c>
      <c r="F547" s="319">
        <v>34</v>
      </c>
      <c r="G547" s="445">
        <v>12</v>
      </c>
      <c r="H547" s="319"/>
      <c r="I547" s="390"/>
      <c r="J547" s="426">
        <f t="shared" si="281"/>
        <v>355.00000000000006</v>
      </c>
      <c r="K547" s="103"/>
      <c r="L547" s="103"/>
      <c r="M547" s="103"/>
      <c r="N547" s="427">
        <f t="shared" si="282"/>
        <v>0</v>
      </c>
      <c r="O547" s="103"/>
      <c r="P547" s="103"/>
      <c r="Q547" s="103"/>
      <c r="R547" s="428">
        <f t="shared" si="283"/>
        <v>0</v>
      </c>
      <c r="S547" s="103"/>
      <c r="T547" s="103"/>
      <c r="U547" s="103"/>
      <c r="V547" s="125"/>
      <c r="W547" s="428">
        <f t="shared" si="287"/>
        <v>0</v>
      </c>
      <c r="X547" s="103"/>
      <c r="Y547" s="103"/>
      <c r="Z547" s="125"/>
      <c r="AA547" s="428">
        <f t="shared" si="288"/>
        <v>0</v>
      </c>
      <c r="AB547" s="103"/>
      <c r="AC547" s="103"/>
      <c r="AD547" s="103"/>
      <c r="AE547" s="428">
        <f t="shared" si="289"/>
        <v>0</v>
      </c>
      <c r="AF547" s="103"/>
      <c r="AG547" s="103"/>
      <c r="AH547" s="103"/>
      <c r="AI547" s="103"/>
      <c r="AJ547" s="428">
        <f t="shared" si="290"/>
        <v>0</v>
      </c>
      <c r="AK547" s="446"/>
      <c r="AL547" s="446"/>
      <c r="AM547" s="446"/>
      <c r="AN547" s="446"/>
      <c r="AO547" s="446"/>
      <c r="AP547" s="446"/>
      <c r="AQ547" s="446"/>
      <c r="AR547" s="431">
        <f t="shared" si="291"/>
        <v>0</v>
      </c>
      <c r="AT547" s="128" t="s">
        <v>424</v>
      </c>
      <c r="AU547" s="100" t="s">
        <v>3274</v>
      </c>
      <c r="AV547" s="128" t="s">
        <v>3320</v>
      </c>
      <c r="AW547" s="100" t="s">
        <v>3321</v>
      </c>
      <c r="AX547" s="433">
        <f t="shared" si="292"/>
        <v>0</v>
      </c>
      <c r="AY547" s="433">
        <f t="shared" si="293"/>
        <v>0</v>
      </c>
      <c r="AZ547" s="433">
        <f t="shared" si="294"/>
        <v>0</v>
      </c>
      <c r="BA547" s="433">
        <f t="shared" si="284"/>
        <v>0</v>
      </c>
      <c r="BB547" s="433">
        <f t="shared" si="285"/>
        <v>0</v>
      </c>
      <c r="BC547" s="433">
        <f t="shared" si="286"/>
        <v>0</v>
      </c>
      <c r="BD547" s="433">
        <f t="shared" si="295"/>
        <v>0</v>
      </c>
      <c r="BE547" s="433">
        <f t="shared" si="296"/>
        <v>0</v>
      </c>
      <c r="BF547" s="433">
        <f t="shared" si="297"/>
        <v>0</v>
      </c>
      <c r="BG547" s="433">
        <f t="shared" si="298"/>
        <v>0</v>
      </c>
      <c r="BH547" s="433">
        <f t="shared" si="299"/>
        <v>0</v>
      </c>
      <c r="BI547" s="433">
        <f t="shared" si="300"/>
        <v>0</v>
      </c>
      <c r="BJ547" s="433">
        <f t="shared" si="301"/>
        <v>0</v>
      </c>
      <c r="BK547" s="433">
        <f t="shared" si="302"/>
        <v>0</v>
      </c>
      <c r="BL547" s="433">
        <f t="shared" si="303"/>
        <v>0</v>
      </c>
      <c r="BM547" s="433">
        <f t="shared" si="304"/>
        <v>0</v>
      </c>
      <c r="BN547" s="433">
        <f t="shared" si="305"/>
        <v>0</v>
      </c>
      <c r="BO547" s="433">
        <f t="shared" si="306"/>
        <v>0</v>
      </c>
      <c r="BP547" s="433">
        <f t="shared" si="307"/>
        <v>0</v>
      </c>
      <c r="BQ547" s="433">
        <f t="shared" si="308"/>
        <v>0</v>
      </c>
    </row>
    <row r="548" spans="1:69" x14ac:dyDescent="0.2">
      <c r="A548" s="102">
        <v>41843</v>
      </c>
      <c r="B548" s="319">
        <v>2</v>
      </c>
      <c r="C548" s="118" t="s">
        <v>3270</v>
      </c>
      <c r="D548" s="111">
        <v>0.69444444444444453</v>
      </c>
      <c r="E548" s="111">
        <v>0.82708333333333339</v>
      </c>
      <c r="F548" s="319">
        <v>33</v>
      </c>
      <c r="G548" s="445">
        <v>13</v>
      </c>
      <c r="H548" s="319"/>
      <c r="I548" s="390"/>
      <c r="J548" s="426">
        <f t="shared" si="281"/>
        <v>190.99999999999997</v>
      </c>
      <c r="K548" s="103"/>
      <c r="L548" s="103"/>
      <c r="M548" s="103"/>
      <c r="N548" s="427">
        <f t="shared" si="282"/>
        <v>0</v>
      </c>
      <c r="O548" s="103"/>
      <c r="P548" s="103"/>
      <c r="Q548" s="103"/>
      <c r="R548" s="428">
        <f t="shared" si="283"/>
        <v>0</v>
      </c>
      <c r="S548" s="103"/>
      <c r="T548" s="103"/>
      <c r="U548" s="103"/>
      <c r="V548" s="125"/>
      <c r="W548" s="428">
        <f t="shared" si="287"/>
        <v>0</v>
      </c>
      <c r="X548" s="103"/>
      <c r="Y548" s="103"/>
      <c r="Z548" s="125"/>
      <c r="AA548" s="428">
        <f t="shared" si="288"/>
        <v>0</v>
      </c>
      <c r="AB548" s="103">
        <v>1</v>
      </c>
      <c r="AC548" s="103"/>
      <c r="AD548" s="103"/>
      <c r="AE548" s="428">
        <f t="shared" si="289"/>
        <v>1</v>
      </c>
      <c r="AF548" s="103"/>
      <c r="AG548" s="103"/>
      <c r="AH548" s="103"/>
      <c r="AI548" s="103"/>
      <c r="AJ548" s="428">
        <f t="shared" si="290"/>
        <v>0</v>
      </c>
      <c r="AK548" s="446"/>
      <c r="AL548" s="446"/>
      <c r="AM548" s="446"/>
      <c r="AN548" s="446"/>
      <c r="AO548" s="446"/>
      <c r="AP548" s="446"/>
      <c r="AQ548" s="446"/>
      <c r="AR548" s="431">
        <f t="shared" si="291"/>
        <v>0</v>
      </c>
      <c r="AS548" s="10" t="s">
        <v>3275</v>
      </c>
      <c r="AT548" s="128"/>
      <c r="AU548" s="100" t="s">
        <v>3271</v>
      </c>
      <c r="AV548" s="128" t="s">
        <v>3320</v>
      </c>
      <c r="AW548" s="100" t="s">
        <v>3321</v>
      </c>
      <c r="AX548" s="433">
        <f t="shared" si="292"/>
        <v>0</v>
      </c>
      <c r="AY548" s="433">
        <f t="shared" si="293"/>
        <v>0</v>
      </c>
      <c r="AZ548" s="433">
        <f t="shared" si="294"/>
        <v>0</v>
      </c>
      <c r="BA548" s="433">
        <f t="shared" si="284"/>
        <v>0</v>
      </c>
      <c r="BB548" s="433">
        <f t="shared" si="285"/>
        <v>0</v>
      </c>
      <c r="BC548" s="433">
        <f t="shared" si="286"/>
        <v>0</v>
      </c>
      <c r="BD548" s="433">
        <f t="shared" si="295"/>
        <v>0</v>
      </c>
      <c r="BE548" s="433">
        <f t="shared" si="296"/>
        <v>0</v>
      </c>
      <c r="BF548" s="433">
        <f t="shared" si="297"/>
        <v>0</v>
      </c>
      <c r="BG548" s="433">
        <f t="shared" si="298"/>
        <v>0</v>
      </c>
      <c r="BH548" s="433">
        <f t="shared" si="299"/>
        <v>0</v>
      </c>
      <c r="BI548" s="433">
        <f t="shared" si="300"/>
        <v>0</v>
      </c>
      <c r="BJ548" s="433">
        <f t="shared" si="301"/>
        <v>0</v>
      </c>
      <c r="BK548" s="433">
        <f t="shared" si="302"/>
        <v>1</v>
      </c>
      <c r="BL548" s="433">
        <f t="shared" si="303"/>
        <v>0</v>
      </c>
      <c r="BM548" s="433">
        <f t="shared" si="304"/>
        <v>0</v>
      </c>
      <c r="BN548" s="433">
        <f t="shared" si="305"/>
        <v>0</v>
      </c>
      <c r="BO548" s="433">
        <f t="shared" si="306"/>
        <v>0</v>
      </c>
      <c r="BP548" s="433">
        <f t="shared" si="307"/>
        <v>0</v>
      </c>
      <c r="BQ548" s="433">
        <f t="shared" si="308"/>
        <v>0</v>
      </c>
    </row>
    <row r="549" spans="1:69" x14ac:dyDescent="0.2">
      <c r="A549" s="102">
        <v>41843</v>
      </c>
      <c r="B549" s="319">
        <v>3</v>
      </c>
      <c r="C549" s="118" t="s">
        <v>3270</v>
      </c>
      <c r="D549" s="111">
        <v>0.33333333333333331</v>
      </c>
      <c r="E549" s="111">
        <v>0.57638888888888895</v>
      </c>
      <c r="F549" s="319">
        <v>50</v>
      </c>
      <c r="G549" s="445">
        <v>12</v>
      </c>
      <c r="H549" s="319"/>
      <c r="I549" s="390"/>
      <c r="J549" s="426">
        <f>((E549-D549)*24*60)-5</f>
        <v>345.00000000000011</v>
      </c>
      <c r="K549" s="103">
        <v>1</v>
      </c>
      <c r="L549" s="103"/>
      <c r="M549" s="103"/>
      <c r="N549" s="427">
        <f t="shared" si="282"/>
        <v>1</v>
      </c>
      <c r="O549" s="103"/>
      <c r="P549" s="103"/>
      <c r="Q549" s="103"/>
      <c r="R549" s="428">
        <f t="shared" si="283"/>
        <v>0</v>
      </c>
      <c r="S549" s="103">
        <v>3</v>
      </c>
      <c r="T549" s="103"/>
      <c r="U549" s="103"/>
      <c r="V549" s="125"/>
      <c r="W549" s="428">
        <f t="shared" si="287"/>
        <v>3</v>
      </c>
      <c r="X549" s="103">
        <v>2</v>
      </c>
      <c r="Y549" s="103">
        <v>8</v>
      </c>
      <c r="Z549" s="125"/>
      <c r="AA549" s="428">
        <f t="shared" si="288"/>
        <v>10</v>
      </c>
      <c r="AB549" s="103"/>
      <c r="AC549" s="103"/>
      <c r="AD549" s="103"/>
      <c r="AE549" s="428">
        <f t="shared" si="289"/>
        <v>0</v>
      </c>
      <c r="AF549" s="103"/>
      <c r="AG549" s="103"/>
      <c r="AH549" s="103"/>
      <c r="AI549" s="103"/>
      <c r="AJ549" s="428">
        <f t="shared" si="290"/>
        <v>0</v>
      </c>
      <c r="AK549" s="446">
        <v>1</v>
      </c>
      <c r="AL549" s="446"/>
      <c r="AM549" s="446">
        <v>1</v>
      </c>
      <c r="AN549" s="446"/>
      <c r="AO549" s="446"/>
      <c r="AP549" s="446"/>
      <c r="AQ549" s="446"/>
      <c r="AR549" s="431">
        <f t="shared" si="291"/>
        <v>2</v>
      </c>
      <c r="AS549" s="10" t="s">
        <v>3276</v>
      </c>
      <c r="AT549" s="128"/>
      <c r="AU549" s="100" t="s">
        <v>3296</v>
      </c>
      <c r="AV549" s="128" t="s">
        <v>3320</v>
      </c>
      <c r="AW549" s="100" t="s">
        <v>3321</v>
      </c>
      <c r="AX549" s="433">
        <f t="shared" si="292"/>
        <v>1</v>
      </c>
      <c r="AY549" s="433">
        <f t="shared" si="293"/>
        <v>0</v>
      </c>
      <c r="AZ549" s="433">
        <f t="shared" si="294"/>
        <v>0</v>
      </c>
      <c r="BA549" s="433">
        <f t="shared" si="284"/>
        <v>0</v>
      </c>
      <c r="BB549" s="433">
        <f t="shared" si="285"/>
        <v>0</v>
      </c>
      <c r="BC549" s="433">
        <f t="shared" si="286"/>
        <v>0</v>
      </c>
      <c r="BD549" s="433">
        <f t="shared" si="295"/>
        <v>3</v>
      </c>
      <c r="BE549" s="433">
        <f t="shared" si="296"/>
        <v>0</v>
      </c>
      <c r="BF549" s="433">
        <f t="shared" si="297"/>
        <v>0</v>
      </c>
      <c r="BG549" s="433">
        <f t="shared" si="298"/>
        <v>0</v>
      </c>
      <c r="BH549" s="433">
        <f t="shared" si="299"/>
        <v>2</v>
      </c>
      <c r="BI549" s="433">
        <f t="shared" si="300"/>
        <v>8</v>
      </c>
      <c r="BJ549" s="433">
        <f t="shared" si="301"/>
        <v>0</v>
      </c>
      <c r="BK549" s="433">
        <f t="shared" si="302"/>
        <v>0</v>
      </c>
      <c r="BL549" s="433">
        <f t="shared" si="303"/>
        <v>0</v>
      </c>
      <c r="BM549" s="433">
        <f t="shared" si="304"/>
        <v>0</v>
      </c>
      <c r="BN549" s="433">
        <f t="shared" si="305"/>
        <v>0</v>
      </c>
      <c r="BO549" s="433">
        <f t="shared" si="306"/>
        <v>0</v>
      </c>
      <c r="BP549" s="433">
        <f t="shared" si="307"/>
        <v>0</v>
      </c>
      <c r="BQ549" s="433">
        <f t="shared" si="308"/>
        <v>0</v>
      </c>
    </row>
    <row r="550" spans="1:69" s="291" customFormat="1" x14ac:dyDescent="0.2">
      <c r="A550" s="317">
        <v>41843</v>
      </c>
      <c r="B550" s="318">
        <v>3</v>
      </c>
      <c r="C550" s="320" t="s">
        <v>3272</v>
      </c>
      <c r="D550" s="321">
        <v>0.57638888888888895</v>
      </c>
      <c r="E550" s="321">
        <v>0.83124999999999993</v>
      </c>
      <c r="F550" s="318">
        <v>53</v>
      </c>
      <c r="G550" s="435">
        <v>14</v>
      </c>
      <c r="H550" s="318"/>
      <c r="I550" s="436"/>
      <c r="J550" s="437">
        <f t="shared" si="281"/>
        <v>366.99999999999983</v>
      </c>
      <c r="K550" s="285"/>
      <c r="L550" s="285"/>
      <c r="M550" s="285"/>
      <c r="N550" s="438">
        <f t="shared" si="282"/>
        <v>0</v>
      </c>
      <c r="O550" s="285"/>
      <c r="P550" s="285"/>
      <c r="Q550" s="285"/>
      <c r="R550" s="439">
        <f t="shared" si="283"/>
        <v>0</v>
      </c>
      <c r="S550" s="285">
        <v>3</v>
      </c>
      <c r="T550" s="285"/>
      <c r="U550" s="285"/>
      <c r="V550" s="440"/>
      <c r="W550" s="439">
        <f t="shared" si="287"/>
        <v>3</v>
      </c>
      <c r="X550" s="285"/>
      <c r="Y550" s="285">
        <v>15</v>
      </c>
      <c r="Z550" s="440"/>
      <c r="AA550" s="439">
        <f t="shared" si="288"/>
        <v>15</v>
      </c>
      <c r="AB550" s="285">
        <v>2</v>
      </c>
      <c r="AC550" s="285">
        <v>3</v>
      </c>
      <c r="AD550" s="285"/>
      <c r="AE550" s="439">
        <f t="shared" si="289"/>
        <v>5</v>
      </c>
      <c r="AF550" s="285"/>
      <c r="AG550" s="285"/>
      <c r="AH550" s="285"/>
      <c r="AI550" s="285"/>
      <c r="AJ550" s="439">
        <f t="shared" si="290"/>
        <v>0</v>
      </c>
      <c r="AK550" s="340">
        <v>2</v>
      </c>
      <c r="AL550" s="340"/>
      <c r="AM550" s="340"/>
      <c r="AN550" s="340"/>
      <c r="AO550" s="340"/>
      <c r="AP550" s="340"/>
      <c r="AQ550" s="340"/>
      <c r="AR550" s="441">
        <f t="shared" si="291"/>
        <v>2</v>
      </c>
      <c r="AT550" s="313"/>
      <c r="AU550" s="289" t="s">
        <v>3273</v>
      </c>
      <c r="AV550" s="313" t="s">
        <v>3320</v>
      </c>
      <c r="AW550" s="382" t="s">
        <v>3321</v>
      </c>
      <c r="AX550" s="443">
        <f t="shared" si="292"/>
        <v>0</v>
      </c>
      <c r="AY550" s="443">
        <f t="shared" si="293"/>
        <v>0</v>
      </c>
      <c r="AZ550" s="443">
        <f t="shared" si="294"/>
        <v>0</v>
      </c>
      <c r="BA550" s="443">
        <f t="shared" si="284"/>
        <v>0</v>
      </c>
      <c r="BB550" s="443">
        <f t="shared" si="285"/>
        <v>0</v>
      </c>
      <c r="BC550" s="443">
        <f t="shared" si="286"/>
        <v>0</v>
      </c>
      <c r="BD550" s="443">
        <f t="shared" si="295"/>
        <v>3</v>
      </c>
      <c r="BE550" s="443">
        <f t="shared" si="296"/>
        <v>0</v>
      </c>
      <c r="BF550" s="443">
        <f t="shared" si="297"/>
        <v>0</v>
      </c>
      <c r="BG550" s="443">
        <f t="shared" si="298"/>
        <v>0</v>
      </c>
      <c r="BH550" s="443">
        <f t="shared" si="299"/>
        <v>0</v>
      </c>
      <c r="BI550" s="443">
        <f t="shared" si="300"/>
        <v>15</v>
      </c>
      <c r="BJ550" s="443">
        <f t="shared" si="301"/>
        <v>0</v>
      </c>
      <c r="BK550" s="443">
        <f t="shared" si="302"/>
        <v>2</v>
      </c>
      <c r="BL550" s="443">
        <f t="shared" si="303"/>
        <v>3</v>
      </c>
      <c r="BM550" s="443">
        <f t="shared" si="304"/>
        <v>0</v>
      </c>
      <c r="BN550" s="443">
        <f t="shared" si="305"/>
        <v>0</v>
      </c>
      <c r="BO550" s="443">
        <f t="shared" si="306"/>
        <v>0</v>
      </c>
      <c r="BP550" s="443">
        <f t="shared" si="307"/>
        <v>0</v>
      </c>
      <c r="BQ550" s="443">
        <f t="shared" si="308"/>
        <v>0</v>
      </c>
    </row>
    <row r="551" spans="1:69" x14ac:dyDescent="0.2">
      <c r="A551" s="102">
        <v>41844</v>
      </c>
      <c r="B551" s="319">
        <v>1</v>
      </c>
      <c r="C551" s="118" t="s">
        <v>3268</v>
      </c>
      <c r="D551" s="111">
        <v>0.32361111111111113</v>
      </c>
      <c r="E551" s="111">
        <v>0.57430555555555551</v>
      </c>
      <c r="F551" s="319">
        <v>53</v>
      </c>
      <c r="G551" s="445">
        <v>9</v>
      </c>
      <c r="H551" s="319"/>
      <c r="I551" s="390"/>
      <c r="J551" s="426">
        <f t="shared" si="281"/>
        <v>360.99999999999994</v>
      </c>
      <c r="K551" s="103">
        <v>1</v>
      </c>
      <c r="L551" s="103"/>
      <c r="M551" s="103"/>
      <c r="N551" s="427">
        <f t="shared" si="282"/>
        <v>1</v>
      </c>
      <c r="O551" s="103"/>
      <c r="P551" s="103"/>
      <c r="Q551" s="103"/>
      <c r="R551" s="428">
        <f t="shared" si="283"/>
        <v>0</v>
      </c>
      <c r="S551" s="103">
        <v>1</v>
      </c>
      <c r="T551" s="103"/>
      <c r="U551" s="103"/>
      <c r="V551" s="125"/>
      <c r="W551" s="428">
        <f t="shared" si="287"/>
        <v>1</v>
      </c>
      <c r="X551" s="103">
        <v>3</v>
      </c>
      <c r="Y551" s="103">
        <v>24</v>
      </c>
      <c r="Z551" s="125"/>
      <c r="AA551" s="428">
        <f t="shared" si="288"/>
        <v>27</v>
      </c>
      <c r="AB551" s="103"/>
      <c r="AC551" s="103"/>
      <c r="AD551" s="103"/>
      <c r="AE551" s="428">
        <f t="shared" si="289"/>
        <v>0</v>
      </c>
      <c r="AF551" s="103"/>
      <c r="AG551" s="103"/>
      <c r="AH551" s="103"/>
      <c r="AI551" s="103"/>
      <c r="AJ551" s="428">
        <f t="shared" si="290"/>
        <v>0</v>
      </c>
      <c r="AK551" s="446"/>
      <c r="AL551" s="446"/>
      <c r="AM551" s="446"/>
      <c r="AN551" s="446"/>
      <c r="AO551" s="446"/>
      <c r="AP551" s="446"/>
      <c r="AQ551" s="446"/>
      <c r="AR551" s="431">
        <f t="shared" si="291"/>
        <v>0</v>
      </c>
      <c r="AT551" s="128"/>
      <c r="AU551" s="100" t="s">
        <v>3323</v>
      </c>
      <c r="AV551" s="128" t="s">
        <v>3367</v>
      </c>
      <c r="AW551" s="100" t="s">
        <v>3368</v>
      </c>
      <c r="AX551" s="433">
        <f t="shared" si="292"/>
        <v>1</v>
      </c>
      <c r="AY551" s="433">
        <f t="shared" si="293"/>
        <v>0</v>
      </c>
      <c r="AZ551" s="433">
        <f t="shared" si="294"/>
        <v>0</v>
      </c>
      <c r="BA551" s="433">
        <f t="shared" si="284"/>
        <v>0</v>
      </c>
      <c r="BB551" s="433">
        <f t="shared" si="285"/>
        <v>0</v>
      </c>
      <c r="BC551" s="433">
        <f t="shared" si="286"/>
        <v>0</v>
      </c>
      <c r="BD551" s="433">
        <f t="shared" si="295"/>
        <v>1</v>
      </c>
      <c r="BE551" s="433">
        <f t="shared" si="296"/>
        <v>0</v>
      </c>
      <c r="BF551" s="433">
        <f t="shared" si="297"/>
        <v>0</v>
      </c>
      <c r="BG551" s="433">
        <f t="shared" si="298"/>
        <v>0</v>
      </c>
      <c r="BH551" s="433">
        <f t="shared" si="299"/>
        <v>3</v>
      </c>
      <c r="BI551" s="433">
        <f t="shared" si="300"/>
        <v>24</v>
      </c>
      <c r="BJ551" s="433">
        <f t="shared" si="301"/>
        <v>0</v>
      </c>
      <c r="BK551" s="433">
        <f t="shared" si="302"/>
        <v>0</v>
      </c>
      <c r="BL551" s="433">
        <f t="shared" si="303"/>
        <v>0</v>
      </c>
      <c r="BM551" s="433">
        <f t="shared" si="304"/>
        <v>0</v>
      </c>
      <c r="BN551" s="433">
        <f t="shared" si="305"/>
        <v>0</v>
      </c>
      <c r="BO551" s="433">
        <f t="shared" si="306"/>
        <v>0</v>
      </c>
      <c r="BP551" s="433">
        <f t="shared" si="307"/>
        <v>0</v>
      </c>
      <c r="BQ551" s="433">
        <f t="shared" si="308"/>
        <v>0</v>
      </c>
    </row>
    <row r="552" spans="1:69" x14ac:dyDescent="0.2">
      <c r="A552" s="102">
        <v>41844</v>
      </c>
      <c r="B552" s="319">
        <v>1</v>
      </c>
      <c r="C552" s="118" t="s">
        <v>3270</v>
      </c>
      <c r="D552" s="111">
        <v>0.57430555555555551</v>
      </c>
      <c r="E552" s="111">
        <v>0.83333333333333337</v>
      </c>
      <c r="F552" s="319">
        <v>50</v>
      </c>
      <c r="G552" s="445">
        <v>9.5</v>
      </c>
      <c r="H552" s="319"/>
      <c r="I552" s="390">
        <v>75.400000000000006</v>
      </c>
      <c r="J552" s="426">
        <f>((E552-D552)*24*60)-57</f>
        <v>316.00000000000011</v>
      </c>
      <c r="K552" s="103"/>
      <c r="L552" s="103"/>
      <c r="M552" s="103"/>
      <c r="N552" s="427">
        <f t="shared" si="282"/>
        <v>0</v>
      </c>
      <c r="O552" s="103"/>
      <c r="P552" s="103"/>
      <c r="Q552" s="103"/>
      <c r="R552" s="428">
        <f t="shared" si="283"/>
        <v>0</v>
      </c>
      <c r="S552" s="103">
        <v>1</v>
      </c>
      <c r="T552" s="103"/>
      <c r="U552" s="103"/>
      <c r="V552" s="125"/>
      <c r="W552" s="428">
        <f t="shared" si="287"/>
        <v>1</v>
      </c>
      <c r="X552" s="103"/>
      <c r="Y552" s="103">
        <v>41</v>
      </c>
      <c r="Z552" s="125"/>
      <c r="AA552" s="428">
        <f t="shared" si="288"/>
        <v>41</v>
      </c>
      <c r="AB552" s="103">
        <v>1</v>
      </c>
      <c r="AC552" s="103">
        <v>2</v>
      </c>
      <c r="AD552" s="103"/>
      <c r="AE552" s="428">
        <f t="shared" si="289"/>
        <v>3</v>
      </c>
      <c r="AF552" s="103"/>
      <c r="AG552" s="103"/>
      <c r="AH552" s="103"/>
      <c r="AI552" s="103"/>
      <c r="AJ552" s="428">
        <f t="shared" si="290"/>
        <v>0</v>
      </c>
      <c r="AK552" s="446"/>
      <c r="AL552" s="446"/>
      <c r="AM552" s="446"/>
      <c r="AN552" s="446"/>
      <c r="AO552" s="446"/>
      <c r="AP552" s="446"/>
      <c r="AQ552" s="446"/>
      <c r="AR552" s="431">
        <f t="shared" si="291"/>
        <v>0</v>
      </c>
      <c r="AS552" s="10" t="s">
        <v>3324</v>
      </c>
      <c r="AT552" s="128"/>
      <c r="AU552" s="100" t="s">
        <v>3338</v>
      </c>
      <c r="AV552" s="128" t="s">
        <v>3367</v>
      </c>
      <c r="AW552" s="100" t="s">
        <v>3368</v>
      </c>
      <c r="AX552" s="433">
        <f t="shared" si="292"/>
        <v>0</v>
      </c>
      <c r="AY552" s="433">
        <f t="shared" si="293"/>
        <v>0</v>
      </c>
      <c r="AZ552" s="433">
        <f t="shared" si="294"/>
        <v>0</v>
      </c>
      <c r="BA552" s="433">
        <f t="shared" si="284"/>
        <v>0</v>
      </c>
      <c r="BB552" s="433">
        <f t="shared" si="285"/>
        <v>0</v>
      </c>
      <c r="BC552" s="433">
        <f t="shared" si="286"/>
        <v>0</v>
      </c>
      <c r="BD552" s="433">
        <f t="shared" si="295"/>
        <v>1</v>
      </c>
      <c r="BE552" s="433">
        <f t="shared" si="296"/>
        <v>0</v>
      </c>
      <c r="BF552" s="433">
        <f t="shared" si="297"/>
        <v>0</v>
      </c>
      <c r="BG552" s="433">
        <f t="shared" si="298"/>
        <v>0</v>
      </c>
      <c r="BH552" s="433">
        <f t="shared" si="299"/>
        <v>0</v>
      </c>
      <c r="BI552" s="433">
        <f t="shared" si="300"/>
        <v>41</v>
      </c>
      <c r="BJ552" s="433">
        <f t="shared" si="301"/>
        <v>0</v>
      </c>
      <c r="BK552" s="433">
        <f t="shared" si="302"/>
        <v>1</v>
      </c>
      <c r="BL552" s="433">
        <f t="shared" si="303"/>
        <v>2</v>
      </c>
      <c r="BM552" s="433">
        <f t="shared" si="304"/>
        <v>0</v>
      </c>
      <c r="BN552" s="433">
        <f t="shared" si="305"/>
        <v>0</v>
      </c>
      <c r="BO552" s="433">
        <f t="shared" si="306"/>
        <v>0</v>
      </c>
      <c r="BP552" s="433">
        <f t="shared" si="307"/>
        <v>0</v>
      </c>
      <c r="BQ552" s="433">
        <f t="shared" si="308"/>
        <v>0</v>
      </c>
    </row>
    <row r="553" spans="1:69" x14ac:dyDescent="0.2">
      <c r="A553" s="102">
        <v>41844</v>
      </c>
      <c r="B553" s="319">
        <v>2</v>
      </c>
      <c r="C553" s="118" t="s">
        <v>3272</v>
      </c>
      <c r="D553" s="111">
        <v>0.33055555555555555</v>
      </c>
      <c r="E553" s="111">
        <v>0.56944444444444442</v>
      </c>
      <c r="F553" s="319">
        <v>35</v>
      </c>
      <c r="G553" s="445">
        <v>11</v>
      </c>
      <c r="H553" s="319"/>
      <c r="I553" s="390"/>
      <c r="J553" s="426">
        <f t="shared" si="281"/>
        <v>343.99999999999994</v>
      </c>
      <c r="K553" s="103"/>
      <c r="L553" s="103"/>
      <c r="M553" s="103"/>
      <c r="N553" s="427">
        <f t="shared" si="282"/>
        <v>0</v>
      </c>
      <c r="O553" s="103"/>
      <c r="P553" s="103"/>
      <c r="Q553" s="103"/>
      <c r="R553" s="428">
        <f t="shared" si="283"/>
        <v>0</v>
      </c>
      <c r="S553" s="103"/>
      <c r="T553" s="103"/>
      <c r="U553" s="103"/>
      <c r="V553" s="125"/>
      <c r="W553" s="428">
        <f t="shared" si="287"/>
        <v>0</v>
      </c>
      <c r="X553" s="103"/>
      <c r="Y553" s="103"/>
      <c r="Z553" s="125"/>
      <c r="AA553" s="428">
        <f t="shared" si="288"/>
        <v>0</v>
      </c>
      <c r="AB553" s="103">
        <v>1</v>
      </c>
      <c r="AC553" s="103"/>
      <c r="AD553" s="103"/>
      <c r="AE553" s="428">
        <f t="shared" si="289"/>
        <v>1</v>
      </c>
      <c r="AF553" s="103"/>
      <c r="AG553" s="103"/>
      <c r="AH553" s="103"/>
      <c r="AI553" s="103"/>
      <c r="AJ553" s="428">
        <f t="shared" si="290"/>
        <v>0</v>
      </c>
      <c r="AK553" s="446"/>
      <c r="AL553" s="446"/>
      <c r="AM553" s="446"/>
      <c r="AN553" s="446"/>
      <c r="AO553" s="446"/>
      <c r="AP553" s="446"/>
      <c r="AQ553" s="446"/>
      <c r="AR553" s="431">
        <f t="shared" si="291"/>
        <v>0</v>
      </c>
      <c r="AT553" s="128"/>
      <c r="AU553" s="100" t="s">
        <v>3323</v>
      </c>
      <c r="AV553" s="128" t="s">
        <v>3367</v>
      </c>
      <c r="AW553" s="100" t="s">
        <v>3368</v>
      </c>
      <c r="AX553" s="433">
        <f t="shared" si="292"/>
        <v>0</v>
      </c>
      <c r="AY553" s="433">
        <f t="shared" si="293"/>
        <v>0</v>
      </c>
      <c r="AZ553" s="433">
        <f t="shared" si="294"/>
        <v>0</v>
      </c>
      <c r="BA553" s="433">
        <f t="shared" si="284"/>
        <v>0</v>
      </c>
      <c r="BB553" s="433">
        <f t="shared" si="285"/>
        <v>0</v>
      </c>
      <c r="BC553" s="433">
        <f t="shared" si="286"/>
        <v>0</v>
      </c>
      <c r="BD553" s="433">
        <f t="shared" si="295"/>
        <v>0</v>
      </c>
      <c r="BE553" s="433">
        <f t="shared" si="296"/>
        <v>0</v>
      </c>
      <c r="BF553" s="433">
        <f t="shared" si="297"/>
        <v>0</v>
      </c>
      <c r="BG553" s="433">
        <f t="shared" si="298"/>
        <v>0</v>
      </c>
      <c r="BH553" s="433">
        <f t="shared" si="299"/>
        <v>0</v>
      </c>
      <c r="BI553" s="433">
        <f t="shared" si="300"/>
        <v>0</v>
      </c>
      <c r="BJ553" s="433">
        <f t="shared" si="301"/>
        <v>0</v>
      </c>
      <c r="BK553" s="433">
        <f t="shared" si="302"/>
        <v>1</v>
      </c>
      <c r="BL553" s="433">
        <f t="shared" si="303"/>
        <v>0</v>
      </c>
      <c r="BM553" s="433">
        <f t="shared" si="304"/>
        <v>0</v>
      </c>
      <c r="BN553" s="433">
        <f t="shared" si="305"/>
        <v>0</v>
      </c>
      <c r="BO553" s="433">
        <f t="shared" si="306"/>
        <v>0</v>
      </c>
      <c r="BP553" s="433">
        <f t="shared" si="307"/>
        <v>0</v>
      </c>
      <c r="BQ553" s="433">
        <f t="shared" si="308"/>
        <v>0</v>
      </c>
    </row>
    <row r="554" spans="1:69" x14ac:dyDescent="0.2">
      <c r="A554" s="102">
        <v>41844</v>
      </c>
      <c r="B554" s="319">
        <v>2</v>
      </c>
      <c r="C554" s="118" t="s">
        <v>3326</v>
      </c>
      <c r="D554" s="111">
        <v>0.56944444444444442</v>
      </c>
      <c r="E554" s="111">
        <v>0.83263888888888893</v>
      </c>
      <c r="F554" s="319">
        <v>38</v>
      </c>
      <c r="G554" s="445">
        <v>12</v>
      </c>
      <c r="H554" s="319"/>
      <c r="I554" s="390"/>
      <c r="J554" s="426">
        <f t="shared" si="281"/>
        <v>379.00000000000011</v>
      </c>
      <c r="K554" s="103"/>
      <c r="L554" s="103"/>
      <c r="M554" s="103"/>
      <c r="N554" s="427">
        <f t="shared" si="282"/>
        <v>0</v>
      </c>
      <c r="O554" s="103"/>
      <c r="P554" s="103"/>
      <c r="Q554" s="103"/>
      <c r="R554" s="428">
        <f t="shared" si="283"/>
        <v>0</v>
      </c>
      <c r="S554" s="103">
        <v>1</v>
      </c>
      <c r="T554" s="103"/>
      <c r="U554" s="103"/>
      <c r="V554" s="125"/>
      <c r="W554" s="428">
        <f t="shared" si="287"/>
        <v>1</v>
      </c>
      <c r="X554" s="103"/>
      <c r="Y554" s="103"/>
      <c r="Z554" s="125"/>
      <c r="AA554" s="428">
        <f t="shared" si="288"/>
        <v>0</v>
      </c>
      <c r="AB554" s="103"/>
      <c r="AC554" s="103">
        <v>2</v>
      </c>
      <c r="AD554" s="103"/>
      <c r="AE554" s="428">
        <f t="shared" si="289"/>
        <v>2</v>
      </c>
      <c r="AF554" s="103"/>
      <c r="AG554" s="103"/>
      <c r="AH554" s="103"/>
      <c r="AI554" s="103"/>
      <c r="AJ554" s="428">
        <f t="shared" si="290"/>
        <v>0</v>
      </c>
      <c r="AK554" s="446"/>
      <c r="AL554" s="446"/>
      <c r="AM554" s="446"/>
      <c r="AN554" s="446"/>
      <c r="AO554" s="446"/>
      <c r="AP554" s="446"/>
      <c r="AQ554" s="446"/>
      <c r="AR554" s="431">
        <f t="shared" si="291"/>
        <v>0</v>
      </c>
      <c r="AS554" s="10" t="s">
        <v>3327</v>
      </c>
      <c r="AT554" s="128"/>
      <c r="AU554" s="100" t="s">
        <v>3328</v>
      </c>
      <c r="AV554" s="128" t="s">
        <v>3367</v>
      </c>
      <c r="AW554" s="100" t="s">
        <v>3368</v>
      </c>
      <c r="AX554" s="433">
        <f t="shared" si="292"/>
        <v>0</v>
      </c>
      <c r="AY554" s="433">
        <f t="shared" si="293"/>
        <v>0</v>
      </c>
      <c r="AZ554" s="433">
        <f t="shared" si="294"/>
        <v>0</v>
      </c>
      <c r="BA554" s="433">
        <f t="shared" si="284"/>
        <v>0</v>
      </c>
      <c r="BB554" s="433">
        <f t="shared" si="285"/>
        <v>0</v>
      </c>
      <c r="BC554" s="433">
        <f t="shared" si="286"/>
        <v>0</v>
      </c>
      <c r="BD554" s="433">
        <f t="shared" si="295"/>
        <v>1</v>
      </c>
      <c r="BE554" s="433">
        <f t="shared" si="296"/>
        <v>0</v>
      </c>
      <c r="BF554" s="433">
        <f t="shared" si="297"/>
        <v>0</v>
      </c>
      <c r="BG554" s="433">
        <f t="shared" si="298"/>
        <v>0</v>
      </c>
      <c r="BH554" s="433">
        <f t="shared" si="299"/>
        <v>0</v>
      </c>
      <c r="BI554" s="433">
        <f t="shared" si="300"/>
        <v>0</v>
      </c>
      <c r="BJ554" s="433">
        <f t="shared" si="301"/>
        <v>0</v>
      </c>
      <c r="BK554" s="433">
        <f t="shared" si="302"/>
        <v>0</v>
      </c>
      <c r="BL554" s="433">
        <f t="shared" si="303"/>
        <v>2</v>
      </c>
      <c r="BM554" s="433">
        <f t="shared" si="304"/>
        <v>0</v>
      </c>
      <c r="BN554" s="433">
        <f t="shared" si="305"/>
        <v>0</v>
      </c>
      <c r="BO554" s="433">
        <f t="shared" si="306"/>
        <v>0</v>
      </c>
      <c r="BP554" s="433">
        <f t="shared" si="307"/>
        <v>0</v>
      </c>
      <c r="BQ554" s="433">
        <f t="shared" si="308"/>
        <v>0</v>
      </c>
    </row>
    <row r="555" spans="1:69" x14ac:dyDescent="0.2">
      <c r="A555" s="102">
        <v>41844</v>
      </c>
      <c r="B555" s="319">
        <v>3</v>
      </c>
      <c r="C555" s="118" t="s">
        <v>3270</v>
      </c>
      <c r="D555" s="111">
        <v>0.3298611111111111</v>
      </c>
      <c r="E555" s="111">
        <v>0.44861111111111113</v>
      </c>
      <c r="F555" s="319">
        <v>54</v>
      </c>
      <c r="G555" s="445">
        <v>12</v>
      </c>
      <c r="H555" s="319"/>
      <c r="I555" s="390"/>
      <c r="J555" s="426">
        <f t="shared" si="281"/>
        <v>171.00000000000003</v>
      </c>
      <c r="K555" s="103"/>
      <c r="L555" s="103"/>
      <c r="M555" s="103"/>
      <c r="N555" s="427">
        <f t="shared" si="282"/>
        <v>0</v>
      </c>
      <c r="O555" s="103">
        <v>1</v>
      </c>
      <c r="P555" s="103"/>
      <c r="Q555" s="103"/>
      <c r="R555" s="428">
        <f t="shared" si="283"/>
        <v>1</v>
      </c>
      <c r="S555" s="103"/>
      <c r="T555" s="103"/>
      <c r="U555" s="103"/>
      <c r="V555" s="125"/>
      <c r="W555" s="428">
        <f t="shared" si="287"/>
        <v>0</v>
      </c>
      <c r="X555" s="103">
        <v>2</v>
      </c>
      <c r="Y555" s="103">
        <v>12</v>
      </c>
      <c r="Z555" s="125"/>
      <c r="AA555" s="428">
        <f t="shared" si="288"/>
        <v>14</v>
      </c>
      <c r="AB555" s="103">
        <v>2</v>
      </c>
      <c r="AC555" s="103"/>
      <c r="AD555" s="103"/>
      <c r="AE555" s="428">
        <f t="shared" si="289"/>
        <v>2</v>
      </c>
      <c r="AF555" s="103"/>
      <c r="AG555" s="103"/>
      <c r="AH555" s="103"/>
      <c r="AI555" s="103"/>
      <c r="AJ555" s="428">
        <f t="shared" si="290"/>
        <v>0</v>
      </c>
      <c r="AK555" s="446"/>
      <c r="AL555" s="446"/>
      <c r="AM555" s="446"/>
      <c r="AN555" s="446"/>
      <c r="AO555" s="446"/>
      <c r="AP555" s="446"/>
      <c r="AQ555" s="446"/>
      <c r="AR555" s="431">
        <f t="shared" si="291"/>
        <v>0</v>
      </c>
      <c r="AS555" s="10" t="s">
        <v>3366</v>
      </c>
      <c r="AT555" s="128"/>
      <c r="AU555" s="100" t="s">
        <v>3328</v>
      </c>
      <c r="AV555" s="128" t="s">
        <v>3367</v>
      </c>
      <c r="AW555" s="100" t="s">
        <v>3368</v>
      </c>
      <c r="AX555" s="433">
        <f t="shared" si="292"/>
        <v>0</v>
      </c>
      <c r="AY555" s="433">
        <f t="shared" si="293"/>
        <v>0</v>
      </c>
      <c r="AZ555" s="433">
        <f t="shared" si="294"/>
        <v>0</v>
      </c>
      <c r="BA555" s="433">
        <f t="shared" si="284"/>
        <v>1</v>
      </c>
      <c r="BB555" s="433">
        <f t="shared" si="285"/>
        <v>0</v>
      </c>
      <c r="BC555" s="433">
        <f t="shared" si="286"/>
        <v>0</v>
      </c>
      <c r="BD555" s="433">
        <f t="shared" si="295"/>
        <v>0</v>
      </c>
      <c r="BE555" s="433">
        <f t="shared" si="296"/>
        <v>0</v>
      </c>
      <c r="BF555" s="433">
        <f t="shared" si="297"/>
        <v>0</v>
      </c>
      <c r="BG555" s="433">
        <f t="shared" si="298"/>
        <v>0</v>
      </c>
      <c r="BH555" s="433">
        <f t="shared" si="299"/>
        <v>2</v>
      </c>
      <c r="BI555" s="433">
        <f t="shared" si="300"/>
        <v>12</v>
      </c>
      <c r="BJ555" s="433">
        <f t="shared" si="301"/>
        <v>0</v>
      </c>
      <c r="BK555" s="433">
        <f t="shared" si="302"/>
        <v>2</v>
      </c>
      <c r="BL555" s="433">
        <f t="shared" si="303"/>
        <v>0</v>
      </c>
      <c r="BM555" s="433">
        <f t="shared" si="304"/>
        <v>0</v>
      </c>
      <c r="BN555" s="433">
        <f t="shared" si="305"/>
        <v>0</v>
      </c>
      <c r="BO555" s="433">
        <f t="shared" si="306"/>
        <v>0</v>
      </c>
      <c r="BP555" s="433">
        <f t="shared" si="307"/>
        <v>0</v>
      </c>
      <c r="BQ555" s="433">
        <f t="shared" si="308"/>
        <v>0</v>
      </c>
    </row>
    <row r="556" spans="1:69" x14ac:dyDescent="0.2">
      <c r="A556" s="102">
        <v>41844</v>
      </c>
      <c r="B556" s="319">
        <v>3</v>
      </c>
      <c r="C556" s="118" t="s">
        <v>3329</v>
      </c>
      <c r="D556" s="111">
        <v>0.44861111111111113</v>
      </c>
      <c r="E556" s="111">
        <v>0.70347222222222217</v>
      </c>
      <c r="F556" s="319">
        <v>49</v>
      </c>
      <c r="G556" s="445">
        <v>11</v>
      </c>
      <c r="H556" s="319"/>
      <c r="I556" s="390"/>
      <c r="J556" s="426">
        <f t="shared" si="281"/>
        <v>366.99999999999994</v>
      </c>
      <c r="K556" s="103"/>
      <c r="L556" s="103"/>
      <c r="M556" s="103"/>
      <c r="N556" s="427">
        <f t="shared" si="282"/>
        <v>0</v>
      </c>
      <c r="O556" s="103"/>
      <c r="P556" s="103"/>
      <c r="Q556" s="103"/>
      <c r="R556" s="428">
        <f t="shared" si="283"/>
        <v>0</v>
      </c>
      <c r="S556" s="103">
        <v>1</v>
      </c>
      <c r="T556" s="103"/>
      <c r="U556" s="103"/>
      <c r="V556" s="125"/>
      <c r="W556" s="428">
        <f t="shared" si="287"/>
        <v>1</v>
      </c>
      <c r="X556" s="103"/>
      <c r="Y556" s="103">
        <v>36</v>
      </c>
      <c r="Z556" s="125">
        <v>1</v>
      </c>
      <c r="AA556" s="428">
        <f t="shared" si="288"/>
        <v>37</v>
      </c>
      <c r="AB556" s="103">
        <v>2</v>
      </c>
      <c r="AC556" s="103"/>
      <c r="AD556" s="103"/>
      <c r="AE556" s="428">
        <f t="shared" si="289"/>
        <v>2</v>
      </c>
      <c r="AF556" s="103"/>
      <c r="AG556" s="103"/>
      <c r="AH556" s="103"/>
      <c r="AI556" s="103"/>
      <c r="AJ556" s="428">
        <f t="shared" si="290"/>
        <v>0</v>
      </c>
      <c r="AK556" s="446"/>
      <c r="AL556" s="446"/>
      <c r="AM556" s="446">
        <v>1</v>
      </c>
      <c r="AN556" s="446"/>
      <c r="AO556" s="446"/>
      <c r="AP556" s="446"/>
      <c r="AQ556" s="446"/>
      <c r="AR556" s="431">
        <f t="shared" si="291"/>
        <v>1</v>
      </c>
      <c r="AT556" s="128"/>
      <c r="AU556" s="100" t="s">
        <v>3320</v>
      </c>
      <c r="AV556" s="128" t="s">
        <v>3367</v>
      </c>
      <c r="AW556" s="100" t="s">
        <v>3368</v>
      </c>
      <c r="AX556" s="433">
        <f t="shared" si="292"/>
        <v>0</v>
      </c>
      <c r="AY556" s="433">
        <f t="shared" si="293"/>
        <v>0</v>
      </c>
      <c r="AZ556" s="433">
        <f t="shared" si="294"/>
        <v>0</v>
      </c>
      <c r="BA556" s="433">
        <f t="shared" si="284"/>
        <v>0</v>
      </c>
      <c r="BB556" s="433">
        <f t="shared" si="285"/>
        <v>0</v>
      </c>
      <c r="BC556" s="433">
        <f t="shared" si="286"/>
        <v>0</v>
      </c>
      <c r="BD556" s="433">
        <f t="shared" si="295"/>
        <v>1</v>
      </c>
      <c r="BE556" s="433">
        <f t="shared" si="296"/>
        <v>0</v>
      </c>
      <c r="BF556" s="433">
        <f t="shared" si="297"/>
        <v>0</v>
      </c>
      <c r="BG556" s="433">
        <f t="shared" si="298"/>
        <v>0</v>
      </c>
      <c r="BH556" s="433">
        <f t="shared" si="299"/>
        <v>0</v>
      </c>
      <c r="BI556" s="433">
        <f t="shared" si="300"/>
        <v>36</v>
      </c>
      <c r="BJ556" s="433">
        <f t="shared" si="301"/>
        <v>1</v>
      </c>
      <c r="BK556" s="433">
        <f t="shared" si="302"/>
        <v>2</v>
      </c>
      <c r="BL556" s="433">
        <f t="shared" si="303"/>
        <v>0</v>
      </c>
      <c r="BM556" s="433">
        <f t="shared" si="304"/>
        <v>0</v>
      </c>
      <c r="BN556" s="433">
        <f t="shared" si="305"/>
        <v>0</v>
      </c>
      <c r="BO556" s="433">
        <f t="shared" si="306"/>
        <v>0</v>
      </c>
      <c r="BP556" s="433">
        <f t="shared" si="307"/>
        <v>0</v>
      </c>
      <c r="BQ556" s="433">
        <f t="shared" si="308"/>
        <v>0</v>
      </c>
    </row>
    <row r="557" spans="1:69" s="291" customFormat="1" x14ac:dyDescent="0.2">
      <c r="A557" s="317">
        <v>41844</v>
      </c>
      <c r="B557" s="318">
        <v>3</v>
      </c>
      <c r="C557" s="320" t="s">
        <v>3272</v>
      </c>
      <c r="D557" s="321">
        <v>0.70347222222222217</v>
      </c>
      <c r="E557" s="321">
        <v>0.83333333333333337</v>
      </c>
      <c r="F557" s="318">
        <v>53</v>
      </c>
      <c r="G557" s="435">
        <v>11</v>
      </c>
      <c r="H557" s="318"/>
      <c r="I557" s="436"/>
      <c r="J557" s="437">
        <f t="shared" si="281"/>
        <v>187.00000000000014</v>
      </c>
      <c r="K557" s="285"/>
      <c r="L557" s="285"/>
      <c r="M557" s="285"/>
      <c r="N557" s="438">
        <f t="shared" si="282"/>
        <v>0</v>
      </c>
      <c r="O557" s="285">
        <v>1</v>
      </c>
      <c r="P557" s="285"/>
      <c r="Q557" s="285"/>
      <c r="R557" s="439">
        <f t="shared" si="283"/>
        <v>1</v>
      </c>
      <c r="S557" s="285">
        <v>1</v>
      </c>
      <c r="T557" s="285"/>
      <c r="U557" s="285"/>
      <c r="V557" s="440"/>
      <c r="W557" s="439">
        <f t="shared" si="287"/>
        <v>1</v>
      </c>
      <c r="X557" s="285"/>
      <c r="Y557" s="285">
        <v>35</v>
      </c>
      <c r="Z557" s="440"/>
      <c r="AA557" s="439">
        <f t="shared" si="288"/>
        <v>35</v>
      </c>
      <c r="AB557" s="285"/>
      <c r="AC557" s="285">
        <v>5</v>
      </c>
      <c r="AD557" s="285"/>
      <c r="AE557" s="439">
        <f t="shared" si="289"/>
        <v>5</v>
      </c>
      <c r="AF557" s="285"/>
      <c r="AG557" s="285"/>
      <c r="AH557" s="285"/>
      <c r="AI557" s="285"/>
      <c r="AJ557" s="439">
        <f t="shared" si="290"/>
        <v>0</v>
      </c>
      <c r="AK557" s="340"/>
      <c r="AL557" s="340"/>
      <c r="AM557" s="340">
        <v>1</v>
      </c>
      <c r="AN557" s="340"/>
      <c r="AO557" s="340"/>
      <c r="AP557" s="340"/>
      <c r="AQ557" s="340"/>
      <c r="AR557" s="441">
        <f t="shared" si="291"/>
        <v>1</v>
      </c>
      <c r="AT557" s="313"/>
      <c r="AU557" s="289" t="s">
        <v>3323</v>
      </c>
      <c r="AV557" s="313" t="s">
        <v>3367</v>
      </c>
      <c r="AW557" s="382" t="s">
        <v>3368</v>
      </c>
      <c r="AX557" s="443">
        <f t="shared" si="292"/>
        <v>0</v>
      </c>
      <c r="AY557" s="443">
        <f t="shared" si="293"/>
        <v>0</v>
      </c>
      <c r="AZ557" s="443">
        <f t="shared" si="294"/>
        <v>0</v>
      </c>
      <c r="BA557" s="443">
        <f t="shared" si="284"/>
        <v>1</v>
      </c>
      <c r="BB557" s="443">
        <f t="shared" si="285"/>
        <v>0</v>
      </c>
      <c r="BC557" s="443">
        <f t="shared" si="286"/>
        <v>0</v>
      </c>
      <c r="BD557" s="443">
        <f t="shared" si="295"/>
        <v>1</v>
      </c>
      <c r="BE557" s="443">
        <f t="shared" si="296"/>
        <v>0</v>
      </c>
      <c r="BF557" s="443">
        <f t="shared" si="297"/>
        <v>0</v>
      </c>
      <c r="BG557" s="443">
        <f t="shared" si="298"/>
        <v>0</v>
      </c>
      <c r="BH557" s="443">
        <f t="shared" si="299"/>
        <v>0</v>
      </c>
      <c r="BI557" s="443">
        <f t="shared" si="300"/>
        <v>35</v>
      </c>
      <c r="BJ557" s="443">
        <f t="shared" si="301"/>
        <v>0</v>
      </c>
      <c r="BK557" s="443">
        <f t="shared" si="302"/>
        <v>0</v>
      </c>
      <c r="BL557" s="443">
        <f t="shared" si="303"/>
        <v>5</v>
      </c>
      <c r="BM557" s="443">
        <f t="shared" si="304"/>
        <v>0</v>
      </c>
      <c r="BN557" s="443">
        <f t="shared" si="305"/>
        <v>0</v>
      </c>
      <c r="BO557" s="443">
        <f t="shared" si="306"/>
        <v>0</v>
      </c>
      <c r="BP557" s="443">
        <f t="shared" si="307"/>
        <v>0</v>
      </c>
      <c r="BQ557" s="443">
        <f t="shared" si="308"/>
        <v>0</v>
      </c>
    </row>
    <row r="558" spans="1:69" x14ac:dyDescent="0.2">
      <c r="A558" s="102">
        <v>41845</v>
      </c>
      <c r="B558" s="319">
        <v>1</v>
      </c>
      <c r="C558" s="118" t="s">
        <v>2607</v>
      </c>
      <c r="D558" s="111">
        <v>0.33680555555555558</v>
      </c>
      <c r="E558" s="111">
        <v>0.57222222222222219</v>
      </c>
      <c r="F558" s="319">
        <v>50</v>
      </c>
      <c r="G558" s="445">
        <v>8</v>
      </c>
      <c r="H558" s="319"/>
      <c r="I558" s="390"/>
      <c r="J558" s="426">
        <f t="shared" si="281"/>
        <v>338.99999999999989</v>
      </c>
      <c r="K558" s="103">
        <v>1</v>
      </c>
      <c r="L558" s="103"/>
      <c r="M558" s="103"/>
      <c r="N558" s="427">
        <f t="shared" si="282"/>
        <v>1</v>
      </c>
      <c r="O558" s="103"/>
      <c r="P558" s="103"/>
      <c r="Q558" s="103"/>
      <c r="R558" s="428">
        <f t="shared" si="283"/>
        <v>0</v>
      </c>
      <c r="S558" s="103"/>
      <c r="T558" s="103"/>
      <c r="U558" s="103"/>
      <c r="V558" s="125"/>
      <c r="W558" s="428">
        <f t="shared" si="287"/>
        <v>0</v>
      </c>
      <c r="X558" s="103">
        <v>2</v>
      </c>
      <c r="Y558" s="103">
        <v>86</v>
      </c>
      <c r="Z558" s="125"/>
      <c r="AA558" s="428">
        <f t="shared" si="288"/>
        <v>88</v>
      </c>
      <c r="AB558" s="103"/>
      <c r="AC558" s="103"/>
      <c r="AD558" s="103"/>
      <c r="AE558" s="428">
        <f t="shared" si="289"/>
        <v>0</v>
      </c>
      <c r="AF558" s="103"/>
      <c r="AG558" s="103"/>
      <c r="AH558" s="103"/>
      <c r="AI558" s="103"/>
      <c r="AJ558" s="428">
        <f t="shared" si="290"/>
        <v>0</v>
      </c>
      <c r="AK558" s="446"/>
      <c r="AL558" s="446"/>
      <c r="AM558" s="446"/>
      <c r="AN558" s="446"/>
      <c r="AO558" s="446"/>
      <c r="AP558" s="446"/>
      <c r="AQ558" s="446"/>
      <c r="AR558" s="431">
        <f t="shared" si="291"/>
        <v>0</v>
      </c>
      <c r="AT558" s="128"/>
      <c r="AU558" s="100" t="s">
        <v>3369</v>
      </c>
      <c r="AV558" s="128" t="s">
        <v>3409</v>
      </c>
      <c r="AW558" s="100" t="s">
        <v>3410</v>
      </c>
      <c r="AX558" s="433">
        <f t="shared" si="292"/>
        <v>1</v>
      </c>
      <c r="AY558" s="433">
        <f t="shared" si="293"/>
        <v>0</v>
      </c>
      <c r="AZ558" s="433">
        <f t="shared" si="294"/>
        <v>0</v>
      </c>
      <c r="BA558" s="433">
        <f t="shared" si="284"/>
        <v>0</v>
      </c>
      <c r="BB558" s="433">
        <f t="shared" si="285"/>
        <v>0</v>
      </c>
      <c r="BC558" s="433">
        <f t="shared" si="286"/>
        <v>0</v>
      </c>
      <c r="BD558" s="433">
        <f t="shared" si="295"/>
        <v>0</v>
      </c>
      <c r="BE558" s="433">
        <f t="shared" si="296"/>
        <v>0</v>
      </c>
      <c r="BF558" s="433">
        <f t="shared" si="297"/>
        <v>0</v>
      </c>
      <c r="BG558" s="433">
        <f t="shared" si="298"/>
        <v>0</v>
      </c>
      <c r="BH558" s="433">
        <f t="shared" si="299"/>
        <v>2</v>
      </c>
      <c r="BI558" s="433">
        <f t="shared" si="300"/>
        <v>86</v>
      </c>
      <c r="BJ558" s="433">
        <f t="shared" si="301"/>
        <v>0</v>
      </c>
      <c r="BK558" s="433">
        <f t="shared" si="302"/>
        <v>0</v>
      </c>
      <c r="BL558" s="433">
        <f t="shared" si="303"/>
        <v>0</v>
      </c>
      <c r="BM558" s="433">
        <f t="shared" si="304"/>
        <v>0</v>
      </c>
      <c r="BN558" s="433">
        <f t="shared" si="305"/>
        <v>0</v>
      </c>
      <c r="BO558" s="433">
        <f t="shared" si="306"/>
        <v>0</v>
      </c>
      <c r="BP558" s="433">
        <f t="shared" si="307"/>
        <v>0</v>
      </c>
      <c r="BQ558" s="433">
        <f t="shared" si="308"/>
        <v>0</v>
      </c>
    </row>
    <row r="559" spans="1:69" x14ac:dyDescent="0.2">
      <c r="A559" s="102">
        <v>41845</v>
      </c>
      <c r="B559" s="319">
        <v>1</v>
      </c>
      <c r="C559" s="118" t="s">
        <v>3370</v>
      </c>
      <c r="D559" s="111">
        <v>0.57222222222222219</v>
      </c>
      <c r="E559" s="111">
        <v>0.86319444444444438</v>
      </c>
      <c r="F559" s="319">
        <v>49</v>
      </c>
      <c r="G559" s="445">
        <v>9</v>
      </c>
      <c r="H559" s="319"/>
      <c r="I559" s="390"/>
      <c r="J559" s="426">
        <f t="shared" si="281"/>
        <v>418.99999999999994</v>
      </c>
      <c r="K559" s="103"/>
      <c r="L559" s="103"/>
      <c r="M559" s="103"/>
      <c r="N559" s="427">
        <f t="shared" si="282"/>
        <v>0</v>
      </c>
      <c r="O559" s="103"/>
      <c r="P559" s="103"/>
      <c r="Q559" s="103"/>
      <c r="R559" s="428">
        <f t="shared" si="283"/>
        <v>0</v>
      </c>
      <c r="S559" s="103">
        <v>1</v>
      </c>
      <c r="T559" s="103"/>
      <c r="U559" s="103"/>
      <c r="V559" s="125"/>
      <c r="W559" s="428">
        <f t="shared" si="287"/>
        <v>1</v>
      </c>
      <c r="X559" s="103"/>
      <c r="Y559" s="103">
        <v>47</v>
      </c>
      <c r="Z559" s="125"/>
      <c r="AA559" s="428">
        <f t="shared" si="288"/>
        <v>47</v>
      </c>
      <c r="AB559" s="103"/>
      <c r="AC559" s="103">
        <v>1</v>
      </c>
      <c r="AD559" s="103"/>
      <c r="AE559" s="428">
        <f t="shared" si="289"/>
        <v>1</v>
      </c>
      <c r="AF559" s="103"/>
      <c r="AG559" s="103"/>
      <c r="AH559" s="103"/>
      <c r="AI559" s="103"/>
      <c r="AJ559" s="428">
        <f t="shared" si="290"/>
        <v>0</v>
      </c>
      <c r="AK559" s="446"/>
      <c r="AL559" s="446"/>
      <c r="AM559" s="446"/>
      <c r="AN559" s="446"/>
      <c r="AO559" s="446"/>
      <c r="AP559" s="446"/>
      <c r="AQ559" s="446"/>
      <c r="AR559" s="431">
        <f t="shared" si="291"/>
        <v>0</v>
      </c>
      <c r="AT559" s="128"/>
      <c r="AU559" s="100" t="s">
        <v>3371</v>
      </c>
      <c r="AV559" s="128" t="s">
        <v>3409</v>
      </c>
      <c r="AW559" s="100" t="s">
        <v>3410</v>
      </c>
      <c r="AX559" s="433">
        <f t="shared" si="292"/>
        <v>0</v>
      </c>
      <c r="AY559" s="433">
        <f t="shared" si="293"/>
        <v>0</v>
      </c>
      <c r="AZ559" s="433">
        <f t="shared" si="294"/>
        <v>0</v>
      </c>
      <c r="BA559" s="433">
        <f t="shared" si="284"/>
        <v>0</v>
      </c>
      <c r="BB559" s="433">
        <f t="shared" si="285"/>
        <v>0</v>
      </c>
      <c r="BC559" s="433">
        <f t="shared" si="286"/>
        <v>0</v>
      </c>
      <c r="BD559" s="433">
        <f t="shared" si="295"/>
        <v>1</v>
      </c>
      <c r="BE559" s="433">
        <f t="shared" si="296"/>
        <v>0</v>
      </c>
      <c r="BF559" s="433">
        <f t="shared" si="297"/>
        <v>0</v>
      </c>
      <c r="BG559" s="433">
        <f t="shared" si="298"/>
        <v>0</v>
      </c>
      <c r="BH559" s="433">
        <f t="shared" si="299"/>
        <v>0</v>
      </c>
      <c r="BI559" s="433">
        <f t="shared" si="300"/>
        <v>47</v>
      </c>
      <c r="BJ559" s="433">
        <f t="shared" si="301"/>
        <v>0</v>
      </c>
      <c r="BK559" s="433">
        <f t="shared" si="302"/>
        <v>0</v>
      </c>
      <c r="BL559" s="433">
        <f t="shared" si="303"/>
        <v>1</v>
      </c>
      <c r="BM559" s="433">
        <f t="shared" si="304"/>
        <v>0</v>
      </c>
      <c r="BN559" s="433">
        <f t="shared" si="305"/>
        <v>0</v>
      </c>
      <c r="BO559" s="433">
        <f t="shared" si="306"/>
        <v>0</v>
      </c>
      <c r="BP559" s="433">
        <f t="shared" si="307"/>
        <v>0</v>
      </c>
      <c r="BQ559" s="433">
        <f t="shared" si="308"/>
        <v>0</v>
      </c>
    </row>
    <row r="560" spans="1:69" x14ac:dyDescent="0.2">
      <c r="A560" s="102">
        <v>41845</v>
      </c>
      <c r="B560" s="319">
        <v>2</v>
      </c>
      <c r="C560" s="118" t="s">
        <v>2607</v>
      </c>
      <c r="D560" s="111">
        <v>0.33055555555555555</v>
      </c>
      <c r="E560" s="111">
        <v>0.57638888888888895</v>
      </c>
      <c r="F560" s="319">
        <v>34</v>
      </c>
      <c r="G560" s="445">
        <v>10</v>
      </c>
      <c r="H560" s="319"/>
      <c r="I560" s="390"/>
      <c r="J560" s="426">
        <f>((E560-D560)*24*60)-10</f>
        <v>344.00000000000011</v>
      </c>
      <c r="K560" s="103"/>
      <c r="L560" s="103"/>
      <c r="M560" s="103"/>
      <c r="N560" s="427">
        <f t="shared" si="282"/>
        <v>0</v>
      </c>
      <c r="O560" s="103"/>
      <c r="P560" s="103"/>
      <c r="Q560" s="103"/>
      <c r="R560" s="428">
        <f t="shared" si="283"/>
        <v>0</v>
      </c>
      <c r="S560" s="103"/>
      <c r="T560" s="103"/>
      <c r="U560" s="103"/>
      <c r="V560" s="125"/>
      <c r="W560" s="428">
        <f t="shared" si="287"/>
        <v>0</v>
      </c>
      <c r="X560" s="103"/>
      <c r="Y560" s="103"/>
      <c r="Z560" s="125"/>
      <c r="AA560" s="428">
        <f t="shared" si="288"/>
        <v>0</v>
      </c>
      <c r="AB560" s="103">
        <v>2</v>
      </c>
      <c r="AC560" s="103"/>
      <c r="AD560" s="103"/>
      <c r="AE560" s="428">
        <f t="shared" si="289"/>
        <v>2</v>
      </c>
      <c r="AF560" s="103"/>
      <c r="AG560" s="103"/>
      <c r="AH560" s="103"/>
      <c r="AI560" s="103"/>
      <c r="AJ560" s="428">
        <f t="shared" si="290"/>
        <v>0</v>
      </c>
      <c r="AK560" s="446"/>
      <c r="AL560" s="446"/>
      <c r="AM560" s="446"/>
      <c r="AN560" s="446"/>
      <c r="AO560" s="446"/>
      <c r="AP560" s="446"/>
      <c r="AQ560" s="446"/>
      <c r="AR560" s="431">
        <f t="shared" si="291"/>
        <v>0</v>
      </c>
      <c r="AS560" s="10" t="s">
        <v>3372</v>
      </c>
      <c r="AT560" s="128"/>
      <c r="AU560" s="100" t="s">
        <v>3373</v>
      </c>
      <c r="AV560" s="128" t="s">
        <v>3409</v>
      </c>
      <c r="AW560" s="100" t="s">
        <v>3410</v>
      </c>
      <c r="AX560" s="433">
        <f t="shared" si="292"/>
        <v>0</v>
      </c>
      <c r="AY560" s="433">
        <f t="shared" si="293"/>
        <v>0</v>
      </c>
      <c r="AZ560" s="433">
        <f t="shared" si="294"/>
        <v>0</v>
      </c>
      <c r="BA560" s="433">
        <f t="shared" si="284"/>
        <v>0</v>
      </c>
      <c r="BB560" s="433">
        <f t="shared" si="285"/>
        <v>0</v>
      </c>
      <c r="BC560" s="433">
        <f t="shared" si="286"/>
        <v>0</v>
      </c>
      <c r="BD560" s="433">
        <f t="shared" si="295"/>
        <v>0</v>
      </c>
      <c r="BE560" s="433">
        <f t="shared" si="296"/>
        <v>0</v>
      </c>
      <c r="BF560" s="433">
        <f t="shared" si="297"/>
        <v>0</v>
      </c>
      <c r="BG560" s="433">
        <f t="shared" si="298"/>
        <v>0</v>
      </c>
      <c r="BH560" s="433">
        <f t="shared" si="299"/>
        <v>0</v>
      </c>
      <c r="BI560" s="433">
        <f t="shared" si="300"/>
        <v>0</v>
      </c>
      <c r="BJ560" s="433">
        <f t="shared" si="301"/>
        <v>0</v>
      </c>
      <c r="BK560" s="433">
        <f t="shared" si="302"/>
        <v>2</v>
      </c>
      <c r="BL560" s="433">
        <f t="shared" si="303"/>
        <v>0</v>
      </c>
      <c r="BM560" s="433">
        <f t="shared" si="304"/>
        <v>0</v>
      </c>
      <c r="BN560" s="433">
        <f t="shared" si="305"/>
        <v>0</v>
      </c>
      <c r="BO560" s="433">
        <f t="shared" si="306"/>
        <v>0</v>
      </c>
      <c r="BP560" s="433">
        <f t="shared" si="307"/>
        <v>0</v>
      </c>
      <c r="BQ560" s="433">
        <f t="shared" si="308"/>
        <v>0</v>
      </c>
    </row>
    <row r="561" spans="1:69" x14ac:dyDescent="0.2">
      <c r="A561" s="102">
        <v>41845</v>
      </c>
      <c r="B561" s="319">
        <v>2</v>
      </c>
      <c r="C561" s="118" t="s">
        <v>3408</v>
      </c>
      <c r="D561" s="111">
        <v>0.57638888888888895</v>
      </c>
      <c r="E561" s="111">
        <v>0.84375</v>
      </c>
      <c r="F561" s="319">
        <v>34</v>
      </c>
      <c r="G561" s="445">
        <v>11</v>
      </c>
      <c r="H561" s="319"/>
      <c r="I561" s="390"/>
      <c r="J561" s="426">
        <f>((E561-D561)*24*60)-8</f>
        <v>376.99999999999989</v>
      </c>
      <c r="K561" s="103"/>
      <c r="L561" s="103"/>
      <c r="M561" s="103"/>
      <c r="N561" s="427">
        <f t="shared" si="282"/>
        <v>0</v>
      </c>
      <c r="O561" s="103"/>
      <c r="P561" s="103"/>
      <c r="Q561" s="103"/>
      <c r="R561" s="428">
        <f t="shared" si="283"/>
        <v>0</v>
      </c>
      <c r="S561" s="103">
        <v>1</v>
      </c>
      <c r="T561" s="103"/>
      <c r="U561" s="103"/>
      <c r="V561" s="125"/>
      <c r="W561" s="428">
        <f t="shared" si="287"/>
        <v>1</v>
      </c>
      <c r="X561" s="103"/>
      <c r="Y561" s="103">
        <v>2</v>
      </c>
      <c r="Z561" s="125"/>
      <c r="AA561" s="428">
        <f t="shared" si="288"/>
        <v>2</v>
      </c>
      <c r="AB561" s="103">
        <v>3</v>
      </c>
      <c r="AC561" s="103"/>
      <c r="AD561" s="103"/>
      <c r="AE561" s="428">
        <f t="shared" si="289"/>
        <v>3</v>
      </c>
      <c r="AF561" s="103"/>
      <c r="AG561" s="103"/>
      <c r="AH561" s="103"/>
      <c r="AI561" s="103"/>
      <c r="AJ561" s="428">
        <f t="shared" si="290"/>
        <v>0</v>
      </c>
      <c r="AK561" s="446"/>
      <c r="AL561" s="446"/>
      <c r="AM561" s="446"/>
      <c r="AN561" s="446"/>
      <c r="AO561" s="446"/>
      <c r="AP561" s="446"/>
      <c r="AQ561" s="446"/>
      <c r="AR561" s="431">
        <f t="shared" si="291"/>
        <v>0</v>
      </c>
      <c r="AS561" s="10" t="s">
        <v>3374</v>
      </c>
      <c r="AT561" s="128" t="s">
        <v>3375</v>
      </c>
      <c r="AU561" s="100" t="s">
        <v>3371</v>
      </c>
      <c r="AV561" s="128" t="s">
        <v>3409</v>
      </c>
      <c r="AW561" s="100" t="s">
        <v>3410</v>
      </c>
      <c r="AX561" s="433">
        <f t="shared" si="292"/>
        <v>0</v>
      </c>
      <c r="AY561" s="433">
        <f t="shared" si="293"/>
        <v>0</v>
      </c>
      <c r="AZ561" s="433">
        <f t="shared" si="294"/>
        <v>0</v>
      </c>
      <c r="BA561" s="433">
        <f t="shared" si="284"/>
        <v>0</v>
      </c>
      <c r="BB561" s="433">
        <f t="shared" si="285"/>
        <v>0</v>
      </c>
      <c r="BC561" s="433">
        <f t="shared" si="286"/>
        <v>0</v>
      </c>
      <c r="BD561" s="433">
        <f t="shared" si="295"/>
        <v>1</v>
      </c>
      <c r="BE561" s="433">
        <f t="shared" si="296"/>
        <v>0</v>
      </c>
      <c r="BF561" s="433">
        <f t="shared" si="297"/>
        <v>0</v>
      </c>
      <c r="BG561" s="433">
        <f t="shared" si="298"/>
        <v>0</v>
      </c>
      <c r="BH561" s="433">
        <f t="shared" si="299"/>
        <v>0</v>
      </c>
      <c r="BI561" s="433">
        <f t="shared" si="300"/>
        <v>2</v>
      </c>
      <c r="BJ561" s="433">
        <f t="shared" si="301"/>
        <v>0</v>
      </c>
      <c r="BK561" s="433">
        <f t="shared" si="302"/>
        <v>3</v>
      </c>
      <c r="BL561" s="433">
        <f t="shared" si="303"/>
        <v>0</v>
      </c>
      <c r="BM561" s="433">
        <f t="shared" si="304"/>
        <v>0</v>
      </c>
      <c r="BN561" s="433">
        <f t="shared" si="305"/>
        <v>0</v>
      </c>
      <c r="BO561" s="433">
        <f t="shared" si="306"/>
        <v>0</v>
      </c>
      <c r="BP561" s="433">
        <f t="shared" si="307"/>
        <v>0</v>
      </c>
      <c r="BQ561" s="433">
        <f t="shared" si="308"/>
        <v>0</v>
      </c>
    </row>
    <row r="562" spans="1:69" x14ac:dyDescent="0.2">
      <c r="A562" s="102">
        <v>41845</v>
      </c>
      <c r="B562" s="319">
        <v>3</v>
      </c>
      <c r="C562" s="118" t="s">
        <v>2916</v>
      </c>
      <c r="D562" s="111">
        <v>0.33402777777777781</v>
      </c>
      <c r="E562" s="111">
        <v>0.44791666666666669</v>
      </c>
      <c r="F562" s="319">
        <v>52</v>
      </c>
      <c r="G562" s="445">
        <v>10</v>
      </c>
      <c r="H562" s="319"/>
      <c r="I562" s="390"/>
      <c r="J562" s="426">
        <f t="shared" si="281"/>
        <v>163.99999999999997</v>
      </c>
      <c r="K562" s="103"/>
      <c r="L562" s="103"/>
      <c r="M562" s="103"/>
      <c r="N562" s="427">
        <f t="shared" si="282"/>
        <v>0</v>
      </c>
      <c r="O562" s="103"/>
      <c r="P562" s="103"/>
      <c r="Q562" s="103"/>
      <c r="R562" s="428">
        <f t="shared" si="283"/>
        <v>0</v>
      </c>
      <c r="S562" s="103"/>
      <c r="T562" s="103"/>
      <c r="U562" s="103"/>
      <c r="V562" s="125"/>
      <c r="W562" s="428">
        <f t="shared" si="287"/>
        <v>0</v>
      </c>
      <c r="X562" s="103">
        <v>3</v>
      </c>
      <c r="Y562" s="103">
        <v>25</v>
      </c>
      <c r="Z562" s="125"/>
      <c r="AA562" s="428">
        <f t="shared" si="288"/>
        <v>28</v>
      </c>
      <c r="AB562" s="103">
        <v>1</v>
      </c>
      <c r="AC562" s="103"/>
      <c r="AD562" s="103"/>
      <c r="AE562" s="428">
        <f t="shared" si="289"/>
        <v>1</v>
      </c>
      <c r="AF562" s="103"/>
      <c r="AG562" s="103"/>
      <c r="AH562" s="103"/>
      <c r="AI562" s="103"/>
      <c r="AJ562" s="428">
        <f t="shared" si="290"/>
        <v>0</v>
      </c>
      <c r="AK562" s="446"/>
      <c r="AL562" s="446"/>
      <c r="AM562" s="446"/>
      <c r="AN562" s="446"/>
      <c r="AO562" s="446"/>
      <c r="AP562" s="446"/>
      <c r="AQ562" s="446"/>
      <c r="AR562" s="431">
        <f t="shared" si="291"/>
        <v>0</v>
      </c>
      <c r="AT562" s="128"/>
      <c r="AU562" s="100" t="s">
        <v>3376</v>
      </c>
      <c r="AV562" s="128" t="s">
        <v>3409</v>
      </c>
      <c r="AW562" s="100" t="s">
        <v>3410</v>
      </c>
      <c r="AX562" s="433">
        <f t="shared" si="292"/>
        <v>0</v>
      </c>
      <c r="AY562" s="433">
        <f t="shared" si="293"/>
        <v>0</v>
      </c>
      <c r="AZ562" s="433">
        <f t="shared" si="294"/>
        <v>0</v>
      </c>
      <c r="BA562" s="433">
        <f t="shared" si="284"/>
        <v>0</v>
      </c>
      <c r="BB562" s="433">
        <f t="shared" si="285"/>
        <v>0</v>
      </c>
      <c r="BC562" s="433">
        <f t="shared" si="286"/>
        <v>0</v>
      </c>
      <c r="BD562" s="433">
        <f t="shared" si="295"/>
        <v>0</v>
      </c>
      <c r="BE562" s="433">
        <f t="shared" si="296"/>
        <v>0</v>
      </c>
      <c r="BF562" s="433">
        <f t="shared" si="297"/>
        <v>0</v>
      </c>
      <c r="BG562" s="433">
        <f t="shared" si="298"/>
        <v>0</v>
      </c>
      <c r="BH562" s="433">
        <f t="shared" si="299"/>
        <v>3</v>
      </c>
      <c r="BI562" s="433">
        <f t="shared" si="300"/>
        <v>25</v>
      </c>
      <c r="BJ562" s="433">
        <f t="shared" si="301"/>
        <v>0</v>
      </c>
      <c r="BK562" s="433">
        <f t="shared" si="302"/>
        <v>1</v>
      </c>
      <c r="BL562" s="433">
        <f t="shared" si="303"/>
        <v>0</v>
      </c>
      <c r="BM562" s="433">
        <f t="shared" si="304"/>
        <v>0</v>
      </c>
      <c r="BN562" s="433">
        <f t="shared" si="305"/>
        <v>0</v>
      </c>
      <c r="BO562" s="433">
        <f t="shared" si="306"/>
        <v>0</v>
      </c>
      <c r="BP562" s="433">
        <f t="shared" si="307"/>
        <v>0</v>
      </c>
      <c r="BQ562" s="433">
        <f t="shared" si="308"/>
        <v>0</v>
      </c>
    </row>
    <row r="563" spans="1:69" x14ac:dyDescent="0.2">
      <c r="A563" s="102">
        <v>41845</v>
      </c>
      <c r="B563" s="319">
        <v>3</v>
      </c>
      <c r="C563" s="118" t="s">
        <v>3377</v>
      </c>
      <c r="D563" s="111">
        <v>0.44791666666666669</v>
      </c>
      <c r="E563" s="111">
        <v>0.70277777777777783</v>
      </c>
      <c r="F563" s="319">
        <v>48</v>
      </c>
      <c r="G563" s="445">
        <v>10</v>
      </c>
      <c r="H563" s="319"/>
      <c r="I563" s="390"/>
      <c r="J563" s="426">
        <f t="shared" si="281"/>
        <v>367</v>
      </c>
      <c r="K563" s="103"/>
      <c r="L563" s="103"/>
      <c r="M563" s="103"/>
      <c r="N563" s="427">
        <f t="shared" si="282"/>
        <v>0</v>
      </c>
      <c r="O563" s="103"/>
      <c r="P563" s="103"/>
      <c r="Q563" s="103"/>
      <c r="R563" s="428">
        <f t="shared" si="283"/>
        <v>0</v>
      </c>
      <c r="S563" s="103"/>
      <c r="T563" s="103"/>
      <c r="U563" s="103"/>
      <c r="V563" s="125"/>
      <c r="W563" s="428">
        <f t="shared" si="287"/>
        <v>0</v>
      </c>
      <c r="X563" s="103"/>
      <c r="Y563" s="103">
        <v>140</v>
      </c>
      <c r="Z563" s="125"/>
      <c r="AA563" s="428">
        <f t="shared" si="288"/>
        <v>140</v>
      </c>
      <c r="AB563" s="103">
        <v>1</v>
      </c>
      <c r="AC563" s="103"/>
      <c r="AD563" s="103"/>
      <c r="AE563" s="428">
        <f t="shared" si="289"/>
        <v>1</v>
      </c>
      <c r="AF563" s="103"/>
      <c r="AG563" s="103"/>
      <c r="AH563" s="103"/>
      <c r="AI563" s="103"/>
      <c r="AJ563" s="428">
        <f t="shared" si="290"/>
        <v>0</v>
      </c>
      <c r="AK563" s="446"/>
      <c r="AL563" s="446"/>
      <c r="AM563" s="446"/>
      <c r="AN563" s="446"/>
      <c r="AO563" s="446"/>
      <c r="AP563" s="446"/>
      <c r="AQ563" s="446"/>
      <c r="AR563" s="431">
        <f t="shared" si="291"/>
        <v>0</v>
      </c>
      <c r="AT563" s="128"/>
      <c r="AU563" s="100" t="s">
        <v>3367</v>
      </c>
      <c r="AV563" s="128" t="s">
        <v>3409</v>
      </c>
      <c r="AW563" s="100" t="s">
        <v>3410</v>
      </c>
      <c r="AX563" s="433">
        <f t="shared" si="292"/>
        <v>0</v>
      </c>
      <c r="AY563" s="433">
        <f t="shared" si="293"/>
        <v>0</v>
      </c>
      <c r="AZ563" s="433">
        <f t="shared" si="294"/>
        <v>0</v>
      </c>
      <c r="BA563" s="433">
        <f t="shared" si="284"/>
        <v>0</v>
      </c>
      <c r="BB563" s="433">
        <f t="shared" si="285"/>
        <v>0</v>
      </c>
      <c r="BC563" s="433">
        <f t="shared" si="286"/>
        <v>0</v>
      </c>
      <c r="BD563" s="433">
        <f t="shared" si="295"/>
        <v>0</v>
      </c>
      <c r="BE563" s="433">
        <f t="shared" si="296"/>
        <v>0</v>
      </c>
      <c r="BF563" s="433">
        <f t="shared" si="297"/>
        <v>0</v>
      </c>
      <c r="BG563" s="433">
        <f t="shared" si="298"/>
        <v>0</v>
      </c>
      <c r="BH563" s="433">
        <f t="shared" si="299"/>
        <v>0</v>
      </c>
      <c r="BI563" s="433">
        <f t="shared" si="300"/>
        <v>140</v>
      </c>
      <c r="BJ563" s="433">
        <f t="shared" si="301"/>
        <v>0</v>
      </c>
      <c r="BK563" s="433">
        <f t="shared" si="302"/>
        <v>1</v>
      </c>
      <c r="BL563" s="433">
        <f t="shared" si="303"/>
        <v>0</v>
      </c>
      <c r="BM563" s="433">
        <f t="shared" si="304"/>
        <v>0</v>
      </c>
      <c r="BN563" s="433">
        <f t="shared" si="305"/>
        <v>0</v>
      </c>
      <c r="BO563" s="433">
        <f t="shared" si="306"/>
        <v>0</v>
      </c>
      <c r="BP563" s="433">
        <f t="shared" si="307"/>
        <v>0</v>
      </c>
      <c r="BQ563" s="433">
        <f t="shared" si="308"/>
        <v>0</v>
      </c>
    </row>
    <row r="564" spans="1:69" s="291" customFormat="1" x14ac:dyDescent="0.2">
      <c r="A564" s="317">
        <v>41845</v>
      </c>
      <c r="B564" s="318">
        <v>3</v>
      </c>
      <c r="C564" s="320" t="s">
        <v>2073</v>
      </c>
      <c r="D564" s="321">
        <v>0.70277777777777783</v>
      </c>
      <c r="E564" s="321">
        <v>0.8340277777777777</v>
      </c>
      <c r="F564" s="318">
        <v>51</v>
      </c>
      <c r="G564" s="435">
        <v>10</v>
      </c>
      <c r="H564" s="318"/>
      <c r="I564" s="436"/>
      <c r="J564" s="437">
        <f t="shared" si="281"/>
        <v>188.9999999999998</v>
      </c>
      <c r="K564" s="285">
        <v>1</v>
      </c>
      <c r="L564" s="285"/>
      <c r="M564" s="285"/>
      <c r="N564" s="438">
        <f t="shared" si="282"/>
        <v>1</v>
      </c>
      <c r="O564" s="285"/>
      <c r="P564" s="285"/>
      <c r="Q564" s="285"/>
      <c r="R564" s="439">
        <f t="shared" si="283"/>
        <v>0</v>
      </c>
      <c r="S564" s="285"/>
      <c r="T564" s="285"/>
      <c r="U564" s="285"/>
      <c r="V564" s="440"/>
      <c r="W564" s="439">
        <f t="shared" si="287"/>
        <v>0</v>
      </c>
      <c r="X564" s="285"/>
      <c r="Y564" s="285">
        <v>77</v>
      </c>
      <c r="Z564" s="440"/>
      <c r="AA564" s="439">
        <f t="shared" si="288"/>
        <v>77</v>
      </c>
      <c r="AB564" s="285"/>
      <c r="AC564" s="285">
        <v>1</v>
      </c>
      <c r="AD564" s="285"/>
      <c r="AE564" s="439">
        <f t="shared" si="289"/>
        <v>1</v>
      </c>
      <c r="AF564" s="285"/>
      <c r="AG564" s="285"/>
      <c r="AH564" s="285"/>
      <c r="AI564" s="285"/>
      <c r="AJ564" s="439">
        <f t="shared" si="290"/>
        <v>0</v>
      </c>
      <c r="AK564" s="340"/>
      <c r="AL564" s="340"/>
      <c r="AM564" s="340"/>
      <c r="AN564" s="340"/>
      <c r="AO564" s="340"/>
      <c r="AP564" s="340"/>
      <c r="AQ564" s="340"/>
      <c r="AR564" s="441">
        <f t="shared" si="291"/>
        <v>0</v>
      </c>
      <c r="AT564" s="313"/>
      <c r="AU564" s="289" t="s">
        <v>3378</v>
      </c>
      <c r="AV564" s="313" t="s">
        <v>3409</v>
      </c>
      <c r="AW564" s="382" t="s">
        <v>3410</v>
      </c>
      <c r="AX564" s="443">
        <f t="shared" si="292"/>
        <v>1</v>
      </c>
      <c r="AY564" s="443">
        <f t="shared" si="293"/>
        <v>0</v>
      </c>
      <c r="AZ564" s="443">
        <f t="shared" si="294"/>
        <v>0</v>
      </c>
      <c r="BA564" s="443">
        <f t="shared" si="284"/>
        <v>0</v>
      </c>
      <c r="BB564" s="443">
        <f t="shared" si="285"/>
        <v>0</v>
      </c>
      <c r="BC564" s="443">
        <f t="shared" si="286"/>
        <v>0</v>
      </c>
      <c r="BD564" s="443">
        <f t="shared" si="295"/>
        <v>0</v>
      </c>
      <c r="BE564" s="443">
        <f t="shared" si="296"/>
        <v>0</v>
      </c>
      <c r="BF564" s="443">
        <f t="shared" si="297"/>
        <v>0</v>
      </c>
      <c r="BG564" s="443">
        <f t="shared" si="298"/>
        <v>0</v>
      </c>
      <c r="BH564" s="443">
        <f t="shared" si="299"/>
        <v>0</v>
      </c>
      <c r="BI564" s="443">
        <f t="shared" si="300"/>
        <v>77</v>
      </c>
      <c r="BJ564" s="443">
        <f t="shared" si="301"/>
        <v>0</v>
      </c>
      <c r="BK564" s="443">
        <f t="shared" si="302"/>
        <v>0</v>
      </c>
      <c r="BL564" s="443">
        <f t="shared" si="303"/>
        <v>1</v>
      </c>
      <c r="BM564" s="443">
        <f t="shared" si="304"/>
        <v>0</v>
      </c>
      <c r="BN564" s="443">
        <f t="shared" si="305"/>
        <v>0</v>
      </c>
      <c r="BO564" s="443">
        <f t="shared" si="306"/>
        <v>0</v>
      </c>
      <c r="BP564" s="443">
        <f t="shared" si="307"/>
        <v>0</v>
      </c>
      <c r="BQ564" s="443">
        <f t="shared" si="308"/>
        <v>0</v>
      </c>
    </row>
    <row r="565" spans="1:69" x14ac:dyDescent="0.2">
      <c r="A565" s="102">
        <v>41846</v>
      </c>
      <c r="B565" s="319">
        <v>1</v>
      </c>
      <c r="C565" s="118" t="s">
        <v>3412</v>
      </c>
      <c r="D565" s="111">
        <v>0.35069444444444442</v>
      </c>
      <c r="E565" s="111">
        <v>0.44444444444444442</v>
      </c>
      <c r="F565" s="319">
        <v>45</v>
      </c>
      <c r="G565" s="445">
        <v>7</v>
      </c>
      <c r="H565" s="319"/>
      <c r="I565" s="390"/>
      <c r="J565" s="426">
        <f t="shared" si="281"/>
        <v>135</v>
      </c>
      <c r="K565" s="103"/>
      <c r="L565" s="103"/>
      <c r="M565" s="103"/>
      <c r="N565" s="427">
        <f t="shared" si="282"/>
        <v>0</v>
      </c>
      <c r="O565" s="103"/>
      <c r="P565" s="103"/>
      <c r="Q565" s="103"/>
      <c r="R565" s="428">
        <f t="shared" si="283"/>
        <v>0</v>
      </c>
      <c r="S565" s="103"/>
      <c r="T565" s="103"/>
      <c r="U565" s="103"/>
      <c r="V565" s="125"/>
      <c r="W565" s="428">
        <f t="shared" si="287"/>
        <v>0</v>
      </c>
      <c r="X565" s="103">
        <v>4</v>
      </c>
      <c r="Y565" s="103"/>
      <c r="Z565" s="125"/>
      <c r="AA565" s="428">
        <f t="shared" si="288"/>
        <v>4</v>
      </c>
      <c r="AB565" s="103"/>
      <c r="AC565" s="103"/>
      <c r="AD565" s="103"/>
      <c r="AE565" s="428">
        <f t="shared" si="289"/>
        <v>0</v>
      </c>
      <c r="AF565" s="103"/>
      <c r="AG565" s="103"/>
      <c r="AH565" s="103"/>
      <c r="AI565" s="103"/>
      <c r="AJ565" s="428">
        <f t="shared" si="290"/>
        <v>0</v>
      </c>
      <c r="AK565" s="446"/>
      <c r="AL565" s="446"/>
      <c r="AM565" s="446"/>
      <c r="AN565" s="446"/>
      <c r="AO565" s="446"/>
      <c r="AP565" s="446"/>
      <c r="AQ565" s="446"/>
      <c r="AR565" s="431">
        <f t="shared" si="291"/>
        <v>0</v>
      </c>
      <c r="AT565" s="128"/>
      <c r="AU565" s="100" t="s">
        <v>3414</v>
      </c>
      <c r="AV565" s="128" t="s">
        <v>3454</v>
      </c>
      <c r="AW565" s="100" t="s">
        <v>3456</v>
      </c>
      <c r="AX565" s="433">
        <f t="shared" si="292"/>
        <v>0</v>
      </c>
      <c r="AY565" s="433">
        <f t="shared" si="293"/>
        <v>0</v>
      </c>
      <c r="AZ565" s="433">
        <f t="shared" si="294"/>
        <v>0</v>
      </c>
      <c r="BA565" s="433">
        <f t="shared" si="284"/>
        <v>0</v>
      </c>
      <c r="BB565" s="433">
        <f t="shared" si="285"/>
        <v>0</v>
      </c>
      <c r="BC565" s="433">
        <f t="shared" si="286"/>
        <v>0</v>
      </c>
      <c r="BD565" s="433">
        <f t="shared" si="295"/>
        <v>0</v>
      </c>
      <c r="BE565" s="433">
        <f t="shared" si="296"/>
        <v>0</v>
      </c>
      <c r="BF565" s="433">
        <f t="shared" si="297"/>
        <v>0</v>
      </c>
      <c r="BG565" s="433">
        <f t="shared" si="298"/>
        <v>0</v>
      </c>
      <c r="BH565" s="433">
        <f t="shared" si="299"/>
        <v>4</v>
      </c>
      <c r="BI565" s="433">
        <f t="shared" si="300"/>
        <v>0</v>
      </c>
      <c r="BJ565" s="433">
        <f t="shared" si="301"/>
        <v>0</v>
      </c>
      <c r="BK565" s="433">
        <f t="shared" si="302"/>
        <v>0</v>
      </c>
      <c r="BL565" s="433">
        <f t="shared" si="303"/>
        <v>0</v>
      </c>
      <c r="BM565" s="433">
        <f t="shared" si="304"/>
        <v>0</v>
      </c>
      <c r="BN565" s="433">
        <f t="shared" si="305"/>
        <v>0</v>
      </c>
      <c r="BO565" s="433">
        <f t="shared" si="306"/>
        <v>0</v>
      </c>
      <c r="BP565" s="433">
        <f t="shared" si="307"/>
        <v>0</v>
      </c>
      <c r="BQ565" s="433">
        <f t="shared" si="308"/>
        <v>0</v>
      </c>
    </row>
    <row r="566" spans="1:69" x14ac:dyDescent="0.2">
      <c r="A566" s="102">
        <v>41846</v>
      </c>
      <c r="B566" s="319">
        <v>1</v>
      </c>
      <c r="C566" s="118" t="s">
        <v>3415</v>
      </c>
      <c r="D566" s="111">
        <v>0.44444444444444442</v>
      </c>
      <c r="E566" s="111">
        <v>0.71666666666666667</v>
      </c>
      <c r="F566" s="319">
        <v>37</v>
      </c>
      <c r="G566" s="445">
        <v>8</v>
      </c>
      <c r="H566" s="319"/>
      <c r="I566" s="390"/>
      <c r="J566" s="426">
        <f t="shared" si="281"/>
        <v>392.00000000000006</v>
      </c>
      <c r="K566" s="103"/>
      <c r="L566" s="103"/>
      <c r="M566" s="103"/>
      <c r="N566" s="427">
        <f t="shared" si="282"/>
        <v>0</v>
      </c>
      <c r="O566" s="103"/>
      <c r="P566" s="103"/>
      <c r="Q566" s="103"/>
      <c r="R566" s="428">
        <f t="shared" si="283"/>
        <v>0</v>
      </c>
      <c r="S566" s="103"/>
      <c r="T566" s="103"/>
      <c r="U566" s="103"/>
      <c r="V566" s="125"/>
      <c r="W566" s="428">
        <f t="shared" si="287"/>
        <v>0</v>
      </c>
      <c r="X566" s="103">
        <v>1</v>
      </c>
      <c r="Y566" s="103">
        <v>29</v>
      </c>
      <c r="Z566" s="125"/>
      <c r="AA566" s="428">
        <f t="shared" si="288"/>
        <v>30</v>
      </c>
      <c r="AB566" s="103">
        <v>2</v>
      </c>
      <c r="AC566" s="103"/>
      <c r="AD566" s="103"/>
      <c r="AE566" s="428">
        <f t="shared" si="289"/>
        <v>2</v>
      </c>
      <c r="AF566" s="103"/>
      <c r="AG566" s="103"/>
      <c r="AH566" s="103"/>
      <c r="AI566" s="103"/>
      <c r="AJ566" s="428">
        <f t="shared" si="290"/>
        <v>0</v>
      </c>
      <c r="AK566" s="446"/>
      <c r="AL566" s="446"/>
      <c r="AM566" s="446"/>
      <c r="AN566" s="446"/>
      <c r="AO566" s="446"/>
      <c r="AP566" s="446"/>
      <c r="AQ566" s="446"/>
      <c r="AR566" s="431">
        <f t="shared" si="291"/>
        <v>0</v>
      </c>
      <c r="AS566" s="10" t="s">
        <v>3438</v>
      </c>
      <c r="AT566" s="128"/>
      <c r="AU566" s="100" t="s">
        <v>3409</v>
      </c>
      <c r="AV566" s="128" t="s">
        <v>3454</v>
      </c>
      <c r="AW566" s="100" t="s">
        <v>3456</v>
      </c>
      <c r="AX566" s="433">
        <f t="shared" si="292"/>
        <v>0</v>
      </c>
      <c r="AY566" s="433">
        <f t="shared" si="293"/>
        <v>0</v>
      </c>
      <c r="AZ566" s="433">
        <f t="shared" si="294"/>
        <v>0</v>
      </c>
      <c r="BA566" s="433">
        <f t="shared" si="284"/>
        <v>0</v>
      </c>
      <c r="BB566" s="433">
        <f t="shared" si="285"/>
        <v>0</v>
      </c>
      <c r="BC566" s="433">
        <f t="shared" si="286"/>
        <v>0</v>
      </c>
      <c r="BD566" s="433">
        <f t="shared" si="295"/>
        <v>0</v>
      </c>
      <c r="BE566" s="433">
        <f t="shared" si="296"/>
        <v>0</v>
      </c>
      <c r="BF566" s="433">
        <f t="shared" si="297"/>
        <v>0</v>
      </c>
      <c r="BG566" s="433">
        <f t="shared" si="298"/>
        <v>0</v>
      </c>
      <c r="BH566" s="433">
        <f t="shared" si="299"/>
        <v>1</v>
      </c>
      <c r="BI566" s="433">
        <f t="shared" si="300"/>
        <v>29</v>
      </c>
      <c r="BJ566" s="433">
        <f t="shared" si="301"/>
        <v>0</v>
      </c>
      <c r="BK566" s="433">
        <f t="shared" si="302"/>
        <v>2</v>
      </c>
      <c r="BL566" s="433">
        <f t="shared" si="303"/>
        <v>0</v>
      </c>
      <c r="BM566" s="433">
        <f t="shared" si="304"/>
        <v>0</v>
      </c>
      <c r="BN566" s="433">
        <f t="shared" si="305"/>
        <v>0</v>
      </c>
      <c r="BO566" s="433">
        <f t="shared" si="306"/>
        <v>0</v>
      </c>
      <c r="BP566" s="433">
        <f t="shared" si="307"/>
        <v>0</v>
      </c>
      <c r="BQ566" s="433">
        <f t="shared" si="308"/>
        <v>0</v>
      </c>
    </row>
    <row r="567" spans="1:69" x14ac:dyDescent="0.2">
      <c r="A567" s="102">
        <v>41846</v>
      </c>
      <c r="B567" s="319">
        <v>1</v>
      </c>
      <c r="C567" s="118" t="s">
        <v>572</v>
      </c>
      <c r="D567" s="111">
        <v>0.71666666666666667</v>
      </c>
      <c r="E567" s="111">
        <v>0.8534722222222223</v>
      </c>
      <c r="F567" s="319">
        <v>42</v>
      </c>
      <c r="G567" s="445">
        <v>8</v>
      </c>
      <c r="H567" s="319"/>
      <c r="I567" s="390"/>
      <c r="J567" s="426">
        <f t="shared" si="281"/>
        <v>197.00000000000011</v>
      </c>
      <c r="K567" s="103"/>
      <c r="L567" s="103"/>
      <c r="M567" s="103"/>
      <c r="N567" s="427">
        <f t="shared" si="282"/>
        <v>0</v>
      </c>
      <c r="O567" s="103"/>
      <c r="P567" s="103"/>
      <c r="Q567" s="103"/>
      <c r="R567" s="428">
        <f t="shared" si="283"/>
        <v>0</v>
      </c>
      <c r="S567" s="103"/>
      <c r="T567" s="103"/>
      <c r="U567" s="103"/>
      <c r="V567" s="125"/>
      <c r="W567" s="428">
        <f t="shared" si="287"/>
        <v>0</v>
      </c>
      <c r="X567" s="103"/>
      <c r="Y567" s="103">
        <v>11</v>
      </c>
      <c r="Z567" s="125"/>
      <c r="AA567" s="428">
        <f t="shared" si="288"/>
        <v>11</v>
      </c>
      <c r="AB567" s="103">
        <v>1</v>
      </c>
      <c r="AC567" s="103"/>
      <c r="AD567" s="103"/>
      <c r="AE567" s="428">
        <f t="shared" si="289"/>
        <v>1</v>
      </c>
      <c r="AF567" s="103"/>
      <c r="AG567" s="103"/>
      <c r="AH567" s="103"/>
      <c r="AI567" s="103"/>
      <c r="AJ567" s="428">
        <f t="shared" si="290"/>
        <v>0</v>
      </c>
      <c r="AK567" s="446"/>
      <c r="AL567" s="446"/>
      <c r="AM567" s="446"/>
      <c r="AN567" s="446"/>
      <c r="AO567" s="446"/>
      <c r="AP567" s="446"/>
      <c r="AQ567" s="446"/>
      <c r="AR567" s="431">
        <f t="shared" si="291"/>
        <v>0</v>
      </c>
      <c r="AT567" s="128"/>
      <c r="AU567" s="100" t="s">
        <v>3416</v>
      </c>
      <c r="AV567" s="128" t="s">
        <v>3454</v>
      </c>
      <c r="AW567" s="100" t="s">
        <v>3456</v>
      </c>
      <c r="AX567" s="433">
        <f t="shared" si="292"/>
        <v>0</v>
      </c>
      <c r="AY567" s="433">
        <f t="shared" si="293"/>
        <v>0</v>
      </c>
      <c r="AZ567" s="433">
        <f t="shared" si="294"/>
        <v>0</v>
      </c>
      <c r="BA567" s="433">
        <f t="shared" si="284"/>
        <v>0</v>
      </c>
      <c r="BB567" s="433">
        <f t="shared" si="285"/>
        <v>0</v>
      </c>
      <c r="BC567" s="433">
        <f t="shared" si="286"/>
        <v>0</v>
      </c>
      <c r="BD567" s="433">
        <f t="shared" si="295"/>
        <v>0</v>
      </c>
      <c r="BE567" s="433">
        <f t="shared" si="296"/>
        <v>0</v>
      </c>
      <c r="BF567" s="433">
        <f t="shared" si="297"/>
        <v>0</v>
      </c>
      <c r="BG567" s="433">
        <f t="shared" si="298"/>
        <v>0</v>
      </c>
      <c r="BH567" s="433">
        <f t="shared" si="299"/>
        <v>0</v>
      </c>
      <c r="BI567" s="433">
        <f t="shared" si="300"/>
        <v>11</v>
      </c>
      <c r="BJ567" s="433">
        <f t="shared" si="301"/>
        <v>0</v>
      </c>
      <c r="BK567" s="433">
        <f t="shared" si="302"/>
        <v>1</v>
      </c>
      <c r="BL567" s="433">
        <f t="shared" si="303"/>
        <v>0</v>
      </c>
      <c r="BM567" s="433">
        <f t="shared" si="304"/>
        <v>0</v>
      </c>
      <c r="BN567" s="433">
        <f t="shared" si="305"/>
        <v>0</v>
      </c>
      <c r="BO567" s="433">
        <f t="shared" si="306"/>
        <v>0</v>
      </c>
      <c r="BP567" s="433">
        <f t="shared" si="307"/>
        <v>0</v>
      </c>
      <c r="BQ567" s="433">
        <f t="shared" si="308"/>
        <v>0</v>
      </c>
    </row>
    <row r="568" spans="1:69" x14ac:dyDescent="0.2">
      <c r="A568" s="102">
        <v>41846</v>
      </c>
      <c r="B568" s="319">
        <v>2</v>
      </c>
      <c r="C568" s="118" t="s">
        <v>3417</v>
      </c>
      <c r="D568" s="111">
        <v>0.34652777777777777</v>
      </c>
      <c r="E568" s="111">
        <v>0.4513888888888889</v>
      </c>
      <c r="F568" s="319">
        <v>35</v>
      </c>
      <c r="G568" s="445">
        <v>9</v>
      </c>
      <c r="H568" s="319"/>
      <c r="I568" s="390"/>
      <c r="J568" s="426">
        <f t="shared" si="281"/>
        <v>151.00000000000003</v>
      </c>
      <c r="K568" s="103"/>
      <c r="L568" s="103"/>
      <c r="M568" s="103"/>
      <c r="N568" s="427">
        <f t="shared" si="282"/>
        <v>0</v>
      </c>
      <c r="O568" s="103"/>
      <c r="P568" s="103"/>
      <c r="Q568" s="103"/>
      <c r="R568" s="428">
        <f t="shared" si="283"/>
        <v>0</v>
      </c>
      <c r="S568" s="103"/>
      <c r="T568" s="103"/>
      <c r="U568" s="103"/>
      <c r="V568" s="125"/>
      <c r="W568" s="428">
        <f t="shared" si="287"/>
        <v>0</v>
      </c>
      <c r="X568" s="103"/>
      <c r="Y568" s="103"/>
      <c r="Z568" s="125"/>
      <c r="AA568" s="428">
        <f t="shared" si="288"/>
        <v>0</v>
      </c>
      <c r="AB568" s="103">
        <v>1</v>
      </c>
      <c r="AC568" s="103"/>
      <c r="AD568" s="103"/>
      <c r="AE568" s="428">
        <f t="shared" si="289"/>
        <v>1</v>
      </c>
      <c r="AF568" s="103"/>
      <c r="AG568" s="103"/>
      <c r="AH568" s="103"/>
      <c r="AI568" s="103"/>
      <c r="AJ568" s="428">
        <f t="shared" si="290"/>
        <v>0</v>
      </c>
      <c r="AK568" s="446"/>
      <c r="AL568" s="446"/>
      <c r="AM568" s="446"/>
      <c r="AN568" s="446"/>
      <c r="AO568" s="446"/>
      <c r="AP568" s="446"/>
      <c r="AQ568" s="446"/>
      <c r="AR568" s="431">
        <f t="shared" si="291"/>
        <v>0</v>
      </c>
      <c r="AS568" s="10" t="s">
        <v>3439</v>
      </c>
      <c r="AT568" s="128"/>
      <c r="AU568" s="100" t="s">
        <v>3418</v>
      </c>
      <c r="AV568" s="128" t="s">
        <v>3454</v>
      </c>
      <c r="AW568" s="100" t="s">
        <v>3456</v>
      </c>
      <c r="AX568" s="433">
        <f t="shared" si="292"/>
        <v>0</v>
      </c>
      <c r="AY568" s="433">
        <f t="shared" si="293"/>
        <v>0</v>
      </c>
      <c r="AZ568" s="433">
        <f t="shared" si="294"/>
        <v>0</v>
      </c>
      <c r="BA568" s="433">
        <f t="shared" si="284"/>
        <v>0</v>
      </c>
      <c r="BB568" s="433">
        <f t="shared" si="285"/>
        <v>0</v>
      </c>
      <c r="BC568" s="433">
        <f t="shared" si="286"/>
        <v>0</v>
      </c>
      <c r="BD568" s="433">
        <f t="shared" si="295"/>
        <v>0</v>
      </c>
      <c r="BE568" s="433">
        <f t="shared" si="296"/>
        <v>0</v>
      </c>
      <c r="BF568" s="433">
        <f t="shared" si="297"/>
        <v>0</v>
      </c>
      <c r="BG568" s="433">
        <f t="shared" si="298"/>
        <v>0</v>
      </c>
      <c r="BH568" s="433">
        <f t="shared" si="299"/>
        <v>0</v>
      </c>
      <c r="BI568" s="433">
        <f t="shared" si="300"/>
        <v>0</v>
      </c>
      <c r="BJ568" s="433">
        <f t="shared" si="301"/>
        <v>0</v>
      </c>
      <c r="BK568" s="433">
        <f t="shared" si="302"/>
        <v>1</v>
      </c>
      <c r="BL568" s="433">
        <f t="shared" si="303"/>
        <v>0</v>
      </c>
      <c r="BM568" s="433">
        <f t="shared" si="304"/>
        <v>0</v>
      </c>
      <c r="BN568" s="433">
        <f t="shared" si="305"/>
        <v>0</v>
      </c>
      <c r="BO568" s="433">
        <f t="shared" si="306"/>
        <v>0</v>
      </c>
      <c r="BP568" s="433">
        <f t="shared" si="307"/>
        <v>0</v>
      </c>
      <c r="BQ568" s="433">
        <f t="shared" si="308"/>
        <v>0</v>
      </c>
    </row>
    <row r="569" spans="1:69" x14ac:dyDescent="0.2">
      <c r="A569" s="102">
        <v>41846</v>
      </c>
      <c r="B569" s="319">
        <v>2</v>
      </c>
      <c r="C569" s="118" t="s">
        <v>3415</v>
      </c>
      <c r="D569" s="111">
        <v>0.4513888888888889</v>
      </c>
      <c r="E569" s="111">
        <v>0.70624999999999993</v>
      </c>
      <c r="F569" s="319">
        <v>33</v>
      </c>
      <c r="G569" s="445">
        <v>11</v>
      </c>
      <c r="H569" s="319"/>
      <c r="I569" s="390"/>
      <c r="J569" s="426">
        <f t="shared" si="281"/>
        <v>366.99999999999994</v>
      </c>
      <c r="K569" s="103"/>
      <c r="L569" s="103"/>
      <c r="M569" s="103"/>
      <c r="N569" s="427">
        <f t="shared" si="282"/>
        <v>0</v>
      </c>
      <c r="O569" s="103"/>
      <c r="P569" s="103"/>
      <c r="Q569" s="103"/>
      <c r="R569" s="428">
        <f t="shared" si="283"/>
        <v>0</v>
      </c>
      <c r="S569" s="103">
        <v>2</v>
      </c>
      <c r="T569" s="103"/>
      <c r="U569" s="103"/>
      <c r="V569" s="125"/>
      <c r="W569" s="428">
        <f t="shared" si="287"/>
        <v>2</v>
      </c>
      <c r="X569" s="103"/>
      <c r="Y569" s="103"/>
      <c r="Z569" s="125"/>
      <c r="AA569" s="428">
        <f t="shared" si="288"/>
        <v>0</v>
      </c>
      <c r="AB569" s="103"/>
      <c r="AC569" s="103"/>
      <c r="AD569" s="103"/>
      <c r="AE569" s="428">
        <f t="shared" si="289"/>
        <v>0</v>
      </c>
      <c r="AF569" s="103"/>
      <c r="AG569" s="103"/>
      <c r="AH569" s="103"/>
      <c r="AI569" s="103"/>
      <c r="AJ569" s="428">
        <f t="shared" si="290"/>
        <v>0</v>
      </c>
      <c r="AK569" s="446">
        <v>2</v>
      </c>
      <c r="AL569" s="446"/>
      <c r="AM569" s="446"/>
      <c r="AN569" s="446"/>
      <c r="AO569" s="446"/>
      <c r="AP569" s="446"/>
      <c r="AQ569" s="446"/>
      <c r="AR569" s="431">
        <f t="shared" si="291"/>
        <v>2</v>
      </c>
      <c r="AS569" s="10" t="s">
        <v>3440</v>
      </c>
      <c r="AT569" s="128"/>
      <c r="AU569" s="100" t="s">
        <v>3419</v>
      </c>
      <c r="AV569" s="128" t="s">
        <v>3454</v>
      </c>
      <c r="AW569" s="100" t="s">
        <v>3456</v>
      </c>
      <c r="AX569" s="433">
        <f t="shared" si="292"/>
        <v>0</v>
      </c>
      <c r="AY569" s="433">
        <f t="shared" si="293"/>
        <v>0</v>
      </c>
      <c r="AZ569" s="433">
        <f t="shared" si="294"/>
        <v>0</v>
      </c>
      <c r="BA569" s="433">
        <f t="shared" si="284"/>
        <v>0</v>
      </c>
      <c r="BB569" s="433">
        <f t="shared" si="285"/>
        <v>0</v>
      </c>
      <c r="BC569" s="433">
        <f t="shared" si="286"/>
        <v>0</v>
      </c>
      <c r="BD569" s="433">
        <f t="shared" si="295"/>
        <v>2</v>
      </c>
      <c r="BE569" s="433">
        <f t="shared" si="296"/>
        <v>0</v>
      </c>
      <c r="BF569" s="433">
        <f t="shared" si="297"/>
        <v>0</v>
      </c>
      <c r="BG569" s="433">
        <f t="shared" si="298"/>
        <v>0</v>
      </c>
      <c r="BH569" s="433">
        <f t="shared" si="299"/>
        <v>0</v>
      </c>
      <c r="BI569" s="433">
        <f t="shared" si="300"/>
        <v>0</v>
      </c>
      <c r="BJ569" s="433">
        <f t="shared" si="301"/>
        <v>0</v>
      </c>
      <c r="BK569" s="433">
        <f t="shared" si="302"/>
        <v>0</v>
      </c>
      <c r="BL569" s="433">
        <f t="shared" si="303"/>
        <v>0</v>
      </c>
      <c r="BM569" s="433">
        <f t="shared" si="304"/>
        <v>0</v>
      </c>
      <c r="BN569" s="433">
        <f t="shared" si="305"/>
        <v>0</v>
      </c>
      <c r="BO569" s="433">
        <f t="shared" si="306"/>
        <v>0</v>
      </c>
      <c r="BP569" s="433">
        <f t="shared" si="307"/>
        <v>0</v>
      </c>
      <c r="BQ569" s="433">
        <f t="shared" si="308"/>
        <v>0</v>
      </c>
    </row>
    <row r="570" spans="1:69" x14ac:dyDescent="0.2">
      <c r="A570" s="102">
        <v>41846</v>
      </c>
      <c r="B570" s="319">
        <v>2</v>
      </c>
      <c r="C570" s="118" t="s">
        <v>3420</v>
      </c>
      <c r="D570" s="111">
        <v>0.70624999999999993</v>
      </c>
      <c r="E570" s="111">
        <v>0.84583333333333333</v>
      </c>
      <c r="F570" s="319">
        <v>33</v>
      </c>
      <c r="G570" s="445">
        <v>12</v>
      </c>
      <c r="H570" s="319"/>
      <c r="I570" s="390"/>
      <c r="J570" s="426">
        <f t="shared" si="281"/>
        <v>201.00000000000009</v>
      </c>
      <c r="K570" s="103"/>
      <c r="L570" s="103"/>
      <c r="M570" s="103"/>
      <c r="N570" s="427">
        <f t="shared" si="282"/>
        <v>0</v>
      </c>
      <c r="O570" s="103"/>
      <c r="P570" s="103"/>
      <c r="Q570" s="103"/>
      <c r="R570" s="428">
        <f t="shared" si="283"/>
        <v>0</v>
      </c>
      <c r="S570" s="103"/>
      <c r="T570" s="103"/>
      <c r="U570" s="103"/>
      <c r="V570" s="125"/>
      <c r="W570" s="428">
        <f t="shared" si="287"/>
        <v>0</v>
      </c>
      <c r="X570" s="103">
        <v>2</v>
      </c>
      <c r="Y570" s="103">
        <v>2</v>
      </c>
      <c r="Z570" s="125"/>
      <c r="AA570" s="428">
        <f t="shared" si="288"/>
        <v>4</v>
      </c>
      <c r="AB570" s="103"/>
      <c r="AC570" s="103">
        <v>1</v>
      </c>
      <c r="AD570" s="103"/>
      <c r="AE570" s="428">
        <f t="shared" si="289"/>
        <v>1</v>
      </c>
      <c r="AF570" s="103"/>
      <c r="AG570" s="103"/>
      <c r="AH570" s="103"/>
      <c r="AI570" s="103"/>
      <c r="AJ570" s="428">
        <f t="shared" si="290"/>
        <v>0</v>
      </c>
      <c r="AK570" s="446"/>
      <c r="AL570" s="446"/>
      <c r="AM570" s="446"/>
      <c r="AN570" s="446"/>
      <c r="AO570" s="446"/>
      <c r="AP570" s="446"/>
      <c r="AQ570" s="446"/>
      <c r="AR570" s="431">
        <f t="shared" si="291"/>
        <v>0</v>
      </c>
      <c r="AT570" s="128"/>
      <c r="AU570" s="100" t="s">
        <v>3423</v>
      </c>
      <c r="AV570" s="128" t="s">
        <v>3454</v>
      </c>
      <c r="AW570" s="100" t="s">
        <v>3456</v>
      </c>
      <c r="AX570" s="433">
        <f t="shared" si="292"/>
        <v>0</v>
      </c>
      <c r="AY570" s="433">
        <f t="shared" si="293"/>
        <v>0</v>
      </c>
      <c r="AZ570" s="433">
        <f t="shared" si="294"/>
        <v>0</v>
      </c>
      <c r="BA570" s="433">
        <f t="shared" si="284"/>
        <v>0</v>
      </c>
      <c r="BB570" s="433">
        <f t="shared" si="285"/>
        <v>0</v>
      </c>
      <c r="BC570" s="433">
        <f t="shared" si="286"/>
        <v>0</v>
      </c>
      <c r="BD570" s="433">
        <f t="shared" si="295"/>
        <v>0</v>
      </c>
      <c r="BE570" s="433">
        <f t="shared" si="296"/>
        <v>0</v>
      </c>
      <c r="BF570" s="433">
        <f t="shared" si="297"/>
        <v>0</v>
      </c>
      <c r="BG570" s="433">
        <f t="shared" si="298"/>
        <v>0</v>
      </c>
      <c r="BH570" s="433">
        <f t="shared" si="299"/>
        <v>2</v>
      </c>
      <c r="BI570" s="433">
        <f t="shared" si="300"/>
        <v>2</v>
      </c>
      <c r="BJ570" s="433">
        <f t="shared" si="301"/>
        <v>0</v>
      </c>
      <c r="BK570" s="433">
        <f t="shared" si="302"/>
        <v>0</v>
      </c>
      <c r="BL570" s="433">
        <f t="shared" si="303"/>
        <v>1</v>
      </c>
      <c r="BM570" s="433">
        <f t="shared" si="304"/>
        <v>0</v>
      </c>
      <c r="BN570" s="433">
        <f t="shared" si="305"/>
        <v>0</v>
      </c>
      <c r="BO570" s="433">
        <f t="shared" si="306"/>
        <v>0</v>
      </c>
      <c r="BP570" s="433">
        <f t="shared" si="307"/>
        <v>0</v>
      </c>
      <c r="BQ570" s="433">
        <f t="shared" si="308"/>
        <v>0</v>
      </c>
    </row>
    <row r="571" spans="1:69" x14ac:dyDescent="0.2">
      <c r="A571" s="102">
        <v>41846</v>
      </c>
      <c r="B571" s="319">
        <v>3</v>
      </c>
      <c r="C571" s="118" t="s">
        <v>572</v>
      </c>
      <c r="D571" s="111">
        <v>0.34583333333333338</v>
      </c>
      <c r="E571" s="111">
        <v>0.57986111111111105</v>
      </c>
      <c r="F571" s="319">
        <v>48</v>
      </c>
      <c r="G571" s="445">
        <v>9</v>
      </c>
      <c r="H571" s="319"/>
      <c r="I571" s="390"/>
      <c r="J571" s="426">
        <f t="shared" si="281"/>
        <v>336.99999999999983</v>
      </c>
      <c r="K571" s="103"/>
      <c r="L571" s="103"/>
      <c r="M571" s="103"/>
      <c r="N571" s="427">
        <f t="shared" si="282"/>
        <v>0</v>
      </c>
      <c r="O571" s="103"/>
      <c r="P571" s="103"/>
      <c r="Q571" s="103"/>
      <c r="R571" s="428">
        <f t="shared" si="283"/>
        <v>0</v>
      </c>
      <c r="S571" s="103"/>
      <c r="T571" s="103"/>
      <c r="U571" s="103"/>
      <c r="V571" s="125"/>
      <c r="W571" s="428">
        <f t="shared" si="287"/>
        <v>0</v>
      </c>
      <c r="X571" s="103">
        <v>5</v>
      </c>
      <c r="Y571" s="103">
        <v>133</v>
      </c>
      <c r="Z571" s="125"/>
      <c r="AA571" s="428">
        <f t="shared" si="288"/>
        <v>138</v>
      </c>
      <c r="AB571" s="103">
        <v>1</v>
      </c>
      <c r="AC571" s="103"/>
      <c r="AD571" s="103"/>
      <c r="AE571" s="428">
        <f t="shared" si="289"/>
        <v>1</v>
      </c>
      <c r="AF571" s="103"/>
      <c r="AG571" s="103"/>
      <c r="AH571" s="103"/>
      <c r="AI571" s="103"/>
      <c r="AJ571" s="428">
        <f t="shared" si="290"/>
        <v>0</v>
      </c>
      <c r="AK571" s="446">
        <v>1</v>
      </c>
      <c r="AL571" s="446"/>
      <c r="AM571" s="446"/>
      <c r="AN571" s="446"/>
      <c r="AO571" s="446"/>
      <c r="AP571" s="446"/>
      <c r="AQ571" s="446"/>
      <c r="AR571" s="431">
        <f t="shared" si="291"/>
        <v>1</v>
      </c>
      <c r="AS571" s="10" t="s">
        <v>3441</v>
      </c>
      <c r="AT571" s="128"/>
      <c r="AU571" s="100" t="s">
        <v>3442</v>
      </c>
      <c r="AV571" s="128" t="s">
        <v>3454</v>
      </c>
      <c r="AW571" s="100" t="s">
        <v>3456</v>
      </c>
      <c r="AX571" s="433">
        <f t="shared" si="292"/>
        <v>0</v>
      </c>
      <c r="AY571" s="433">
        <f t="shared" si="293"/>
        <v>0</v>
      </c>
      <c r="AZ571" s="433">
        <f t="shared" si="294"/>
        <v>0</v>
      </c>
      <c r="BA571" s="433">
        <f t="shared" si="284"/>
        <v>0</v>
      </c>
      <c r="BB571" s="433">
        <f t="shared" si="285"/>
        <v>0</v>
      </c>
      <c r="BC571" s="433">
        <f t="shared" si="286"/>
        <v>0</v>
      </c>
      <c r="BD571" s="433">
        <f t="shared" si="295"/>
        <v>0</v>
      </c>
      <c r="BE571" s="433">
        <f t="shared" si="296"/>
        <v>0</v>
      </c>
      <c r="BF571" s="433">
        <f t="shared" si="297"/>
        <v>0</v>
      </c>
      <c r="BG571" s="433">
        <f t="shared" si="298"/>
        <v>0</v>
      </c>
      <c r="BH571" s="433">
        <f t="shared" si="299"/>
        <v>5</v>
      </c>
      <c r="BI571" s="433">
        <f t="shared" si="300"/>
        <v>133</v>
      </c>
      <c r="BJ571" s="433">
        <f t="shared" si="301"/>
        <v>0</v>
      </c>
      <c r="BK571" s="433">
        <f t="shared" si="302"/>
        <v>1</v>
      </c>
      <c r="BL571" s="433">
        <f t="shared" si="303"/>
        <v>0</v>
      </c>
      <c r="BM571" s="433">
        <f t="shared" si="304"/>
        <v>0</v>
      </c>
      <c r="BN571" s="433">
        <f t="shared" si="305"/>
        <v>0</v>
      </c>
      <c r="BO571" s="433">
        <f t="shared" si="306"/>
        <v>0</v>
      </c>
      <c r="BP571" s="433">
        <f t="shared" si="307"/>
        <v>0</v>
      </c>
      <c r="BQ571" s="433">
        <f t="shared" si="308"/>
        <v>0</v>
      </c>
    </row>
    <row r="572" spans="1:69" s="291" customFormat="1" x14ac:dyDescent="0.2">
      <c r="A572" s="317">
        <v>41846</v>
      </c>
      <c r="B572" s="318">
        <v>3</v>
      </c>
      <c r="C572" s="320" t="s">
        <v>3417</v>
      </c>
      <c r="D572" s="321">
        <v>0.57986111111111105</v>
      </c>
      <c r="E572" s="321">
        <v>0.87152777777777779</v>
      </c>
      <c r="F572" s="318">
        <v>46</v>
      </c>
      <c r="G572" s="435">
        <v>10</v>
      </c>
      <c r="H572" s="318"/>
      <c r="I572" s="436"/>
      <c r="J572" s="437">
        <f t="shared" si="281"/>
        <v>420.00000000000011</v>
      </c>
      <c r="K572" s="285"/>
      <c r="L572" s="285"/>
      <c r="M572" s="285">
        <v>1</v>
      </c>
      <c r="N572" s="438">
        <f t="shared" si="282"/>
        <v>1</v>
      </c>
      <c r="O572" s="285"/>
      <c r="P572" s="285"/>
      <c r="Q572" s="285"/>
      <c r="R572" s="439">
        <f t="shared" si="283"/>
        <v>0</v>
      </c>
      <c r="S572" s="285">
        <v>2</v>
      </c>
      <c r="T572" s="285"/>
      <c r="U572" s="285"/>
      <c r="V572" s="440"/>
      <c r="W572" s="439">
        <f t="shared" si="287"/>
        <v>2</v>
      </c>
      <c r="X572" s="285">
        <v>3</v>
      </c>
      <c r="Y572" s="285">
        <v>101</v>
      </c>
      <c r="Z572" s="440"/>
      <c r="AA572" s="439">
        <f t="shared" si="288"/>
        <v>104</v>
      </c>
      <c r="AB572" s="285">
        <v>1</v>
      </c>
      <c r="AC572" s="285"/>
      <c r="AD572" s="285"/>
      <c r="AE572" s="439">
        <f t="shared" si="289"/>
        <v>1</v>
      </c>
      <c r="AF572" s="285"/>
      <c r="AG572" s="285"/>
      <c r="AH572" s="285"/>
      <c r="AI572" s="285"/>
      <c r="AJ572" s="439">
        <f t="shared" si="290"/>
        <v>0</v>
      </c>
      <c r="AK572" s="340"/>
      <c r="AL572" s="340"/>
      <c r="AM572" s="340"/>
      <c r="AN572" s="340"/>
      <c r="AO572" s="340"/>
      <c r="AP572" s="340"/>
      <c r="AQ572" s="340"/>
      <c r="AR572" s="441">
        <f t="shared" si="291"/>
        <v>0</v>
      </c>
      <c r="AT572" s="313"/>
      <c r="AU572" s="289" t="s">
        <v>3418</v>
      </c>
      <c r="AV572" s="313" t="s">
        <v>3454</v>
      </c>
      <c r="AW572" s="382" t="s">
        <v>3456</v>
      </c>
      <c r="AX572" s="443">
        <f t="shared" si="292"/>
        <v>0</v>
      </c>
      <c r="AY572" s="443">
        <f t="shared" si="293"/>
        <v>0</v>
      </c>
      <c r="AZ572" s="443">
        <f t="shared" si="294"/>
        <v>1</v>
      </c>
      <c r="BA572" s="443">
        <f t="shared" si="284"/>
        <v>0</v>
      </c>
      <c r="BB572" s="443">
        <f t="shared" si="285"/>
        <v>0</v>
      </c>
      <c r="BC572" s="443">
        <f t="shared" si="286"/>
        <v>0</v>
      </c>
      <c r="BD572" s="443">
        <f t="shared" si="295"/>
        <v>2</v>
      </c>
      <c r="BE572" s="443">
        <f t="shared" si="296"/>
        <v>0</v>
      </c>
      <c r="BF572" s="443">
        <f t="shared" si="297"/>
        <v>0</v>
      </c>
      <c r="BG572" s="443">
        <f t="shared" si="298"/>
        <v>0</v>
      </c>
      <c r="BH572" s="443">
        <f t="shared" si="299"/>
        <v>3</v>
      </c>
      <c r="BI572" s="443">
        <f t="shared" si="300"/>
        <v>101</v>
      </c>
      <c r="BJ572" s="443">
        <f t="shared" si="301"/>
        <v>0</v>
      </c>
      <c r="BK572" s="443">
        <f t="shared" si="302"/>
        <v>1</v>
      </c>
      <c r="BL572" s="443">
        <f t="shared" si="303"/>
        <v>0</v>
      </c>
      <c r="BM572" s="443">
        <f t="shared" si="304"/>
        <v>0</v>
      </c>
      <c r="BN572" s="443">
        <f t="shared" si="305"/>
        <v>0</v>
      </c>
      <c r="BO572" s="443">
        <f t="shared" si="306"/>
        <v>0</v>
      </c>
      <c r="BP572" s="443">
        <f t="shared" si="307"/>
        <v>0</v>
      </c>
      <c r="BQ572" s="443">
        <f t="shared" si="308"/>
        <v>0</v>
      </c>
    </row>
    <row r="573" spans="1:69" x14ac:dyDescent="0.2">
      <c r="A573" s="102">
        <v>41847</v>
      </c>
      <c r="B573" s="319">
        <v>1</v>
      </c>
      <c r="C573" s="118" t="s">
        <v>3412</v>
      </c>
      <c r="D573" s="111">
        <v>0.33263888888888887</v>
      </c>
      <c r="E573" s="111">
        <v>0.46180555555555558</v>
      </c>
      <c r="F573" s="319">
        <v>46</v>
      </c>
      <c r="G573" s="445">
        <v>8</v>
      </c>
      <c r="H573" s="319"/>
      <c r="I573" s="390">
        <v>78.099999999999994</v>
      </c>
      <c r="J573" s="426">
        <f t="shared" si="281"/>
        <v>186.00000000000006</v>
      </c>
      <c r="K573" s="103"/>
      <c r="L573" s="103"/>
      <c r="M573" s="103"/>
      <c r="N573" s="427">
        <f t="shared" si="282"/>
        <v>0</v>
      </c>
      <c r="O573" s="103"/>
      <c r="P573" s="103"/>
      <c r="Q573" s="103"/>
      <c r="R573" s="428">
        <f t="shared" si="283"/>
        <v>0</v>
      </c>
      <c r="S573" s="103"/>
      <c r="T573" s="103"/>
      <c r="U573" s="103"/>
      <c r="V573" s="125"/>
      <c r="W573" s="428">
        <f t="shared" si="287"/>
        <v>0</v>
      </c>
      <c r="X573" s="103">
        <v>3</v>
      </c>
      <c r="Y573" s="103">
        <v>11</v>
      </c>
      <c r="Z573" s="125"/>
      <c r="AA573" s="428">
        <f t="shared" si="288"/>
        <v>14</v>
      </c>
      <c r="AB573" s="103"/>
      <c r="AC573" s="103"/>
      <c r="AD573" s="103"/>
      <c r="AE573" s="428">
        <f t="shared" si="289"/>
        <v>0</v>
      </c>
      <c r="AF573" s="103"/>
      <c r="AG573" s="103"/>
      <c r="AH573" s="103"/>
      <c r="AI573" s="103"/>
      <c r="AJ573" s="428">
        <f t="shared" si="290"/>
        <v>0</v>
      </c>
      <c r="AK573" s="446"/>
      <c r="AL573" s="446"/>
      <c r="AM573" s="446"/>
      <c r="AN573" s="446"/>
      <c r="AO573" s="446"/>
      <c r="AP573" s="446"/>
      <c r="AQ573" s="446"/>
      <c r="AR573" s="431">
        <f t="shared" si="291"/>
        <v>0</v>
      </c>
      <c r="AT573" s="128" t="s">
        <v>3457</v>
      </c>
      <c r="AU573" s="100" t="s">
        <v>3458</v>
      </c>
      <c r="AV573" s="100" t="s">
        <v>3501</v>
      </c>
      <c r="AW573" s="389" t="s">
        <v>3502</v>
      </c>
      <c r="AX573" s="433">
        <f t="shared" si="292"/>
        <v>0</v>
      </c>
      <c r="AY573" s="433">
        <f t="shared" si="293"/>
        <v>0</v>
      </c>
      <c r="AZ573" s="433">
        <f t="shared" si="294"/>
        <v>0</v>
      </c>
      <c r="BA573" s="433">
        <f t="shared" si="284"/>
        <v>0</v>
      </c>
      <c r="BB573" s="433">
        <f t="shared" si="285"/>
        <v>0</v>
      </c>
      <c r="BC573" s="433">
        <f t="shared" si="286"/>
        <v>0</v>
      </c>
      <c r="BD573" s="433">
        <f t="shared" si="295"/>
        <v>0</v>
      </c>
      <c r="BE573" s="433">
        <f t="shared" si="296"/>
        <v>0</v>
      </c>
      <c r="BF573" s="433">
        <f t="shared" si="297"/>
        <v>0</v>
      </c>
      <c r="BG573" s="433">
        <f t="shared" si="298"/>
        <v>0</v>
      </c>
      <c r="BH573" s="433">
        <f t="shared" si="299"/>
        <v>3</v>
      </c>
      <c r="BI573" s="433">
        <f t="shared" si="300"/>
        <v>11</v>
      </c>
      <c r="BJ573" s="433">
        <f t="shared" si="301"/>
        <v>0</v>
      </c>
      <c r="BK573" s="433">
        <f t="shared" si="302"/>
        <v>0</v>
      </c>
      <c r="BL573" s="433">
        <f t="shared" si="303"/>
        <v>0</v>
      </c>
      <c r="BM573" s="433">
        <f t="shared" si="304"/>
        <v>0</v>
      </c>
      <c r="BN573" s="433">
        <f t="shared" si="305"/>
        <v>0</v>
      </c>
      <c r="BO573" s="433">
        <f t="shared" si="306"/>
        <v>0</v>
      </c>
      <c r="BP573" s="433">
        <f t="shared" si="307"/>
        <v>0</v>
      </c>
      <c r="BQ573" s="433">
        <f t="shared" si="308"/>
        <v>0</v>
      </c>
    </row>
    <row r="574" spans="1:69" x14ac:dyDescent="0.2">
      <c r="A574" s="102">
        <v>41847</v>
      </c>
      <c r="B574" s="319">
        <v>1</v>
      </c>
      <c r="C574" s="118" t="s">
        <v>3459</v>
      </c>
      <c r="D574" s="111">
        <v>0.46180555555555558</v>
      </c>
      <c r="E574" s="111">
        <v>0.70138888888888884</v>
      </c>
      <c r="F574" s="319">
        <v>48</v>
      </c>
      <c r="G574" s="445">
        <v>8</v>
      </c>
      <c r="H574" s="319"/>
      <c r="I574" s="390"/>
      <c r="J574" s="426">
        <f t="shared" si="281"/>
        <v>344.99999999999989</v>
      </c>
      <c r="K574" s="103"/>
      <c r="L574" s="103"/>
      <c r="M574" s="103"/>
      <c r="N574" s="427">
        <f t="shared" si="282"/>
        <v>0</v>
      </c>
      <c r="O574" s="103"/>
      <c r="P574" s="103"/>
      <c r="Q574" s="103"/>
      <c r="R574" s="428">
        <f t="shared" si="283"/>
        <v>0</v>
      </c>
      <c r="S574" s="103"/>
      <c r="T574" s="103"/>
      <c r="U574" s="103"/>
      <c r="V574" s="125"/>
      <c r="W574" s="428">
        <f t="shared" si="287"/>
        <v>0</v>
      </c>
      <c r="X574" s="103"/>
      <c r="Y574" s="103">
        <v>39</v>
      </c>
      <c r="Z574" s="125"/>
      <c r="AA574" s="428">
        <f t="shared" si="288"/>
        <v>39</v>
      </c>
      <c r="AB574" s="103">
        <v>1</v>
      </c>
      <c r="AC574" s="103">
        <v>1</v>
      </c>
      <c r="AD574" s="103"/>
      <c r="AE574" s="428">
        <f t="shared" si="289"/>
        <v>2</v>
      </c>
      <c r="AF574" s="103"/>
      <c r="AG574" s="103"/>
      <c r="AH574" s="103"/>
      <c r="AI574" s="103"/>
      <c r="AJ574" s="428">
        <f t="shared" si="290"/>
        <v>0</v>
      </c>
      <c r="AK574" s="446"/>
      <c r="AL574" s="446"/>
      <c r="AM574" s="446"/>
      <c r="AN574" s="446"/>
      <c r="AO574" s="446"/>
      <c r="AP574" s="446"/>
      <c r="AQ574" s="446"/>
      <c r="AR574" s="431">
        <f t="shared" si="291"/>
        <v>0</v>
      </c>
      <c r="AT574" s="128"/>
      <c r="AU574" s="100" t="s">
        <v>3461</v>
      </c>
      <c r="AV574" s="128" t="s">
        <v>3501</v>
      </c>
      <c r="AW574" s="100" t="s">
        <v>3502</v>
      </c>
      <c r="AX574" s="433">
        <f t="shared" si="292"/>
        <v>0</v>
      </c>
      <c r="AY574" s="433">
        <f t="shared" si="293"/>
        <v>0</v>
      </c>
      <c r="AZ574" s="433">
        <f t="shared" si="294"/>
        <v>0</v>
      </c>
      <c r="BA574" s="433">
        <f t="shared" si="284"/>
        <v>0</v>
      </c>
      <c r="BB574" s="433">
        <f t="shared" si="285"/>
        <v>0</v>
      </c>
      <c r="BC574" s="433">
        <f t="shared" si="286"/>
        <v>0</v>
      </c>
      <c r="BD574" s="433">
        <f t="shared" si="295"/>
        <v>0</v>
      </c>
      <c r="BE574" s="433">
        <f t="shared" si="296"/>
        <v>0</v>
      </c>
      <c r="BF574" s="433">
        <f t="shared" si="297"/>
        <v>0</v>
      </c>
      <c r="BG574" s="433">
        <f t="shared" si="298"/>
        <v>0</v>
      </c>
      <c r="BH574" s="433">
        <f t="shared" si="299"/>
        <v>0</v>
      </c>
      <c r="BI574" s="433">
        <f t="shared" si="300"/>
        <v>39</v>
      </c>
      <c r="BJ574" s="433">
        <f t="shared" si="301"/>
        <v>0</v>
      </c>
      <c r="BK574" s="433">
        <f t="shared" si="302"/>
        <v>1</v>
      </c>
      <c r="BL574" s="433">
        <f t="shared" si="303"/>
        <v>1</v>
      </c>
      <c r="BM574" s="433">
        <f t="shared" si="304"/>
        <v>0</v>
      </c>
      <c r="BN574" s="433">
        <f t="shared" si="305"/>
        <v>0</v>
      </c>
      <c r="BO574" s="433">
        <f t="shared" si="306"/>
        <v>0</v>
      </c>
      <c r="BP574" s="433">
        <f t="shared" si="307"/>
        <v>0</v>
      </c>
      <c r="BQ574" s="433">
        <f t="shared" si="308"/>
        <v>0</v>
      </c>
    </row>
    <row r="575" spans="1:69" x14ac:dyDescent="0.2">
      <c r="A575" s="102">
        <v>41847</v>
      </c>
      <c r="B575" s="319">
        <v>1</v>
      </c>
      <c r="C575" s="118" t="s">
        <v>420</v>
      </c>
      <c r="D575" s="111">
        <v>0.70138888888888884</v>
      </c>
      <c r="E575" s="111">
        <v>0.84444444444444444</v>
      </c>
      <c r="F575" s="319">
        <v>46</v>
      </c>
      <c r="G575" s="445">
        <v>10</v>
      </c>
      <c r="H575" s="319"/>
      <c r="I575" s="390"/>
      <c r="J575" s="426">
        <f t="shared" si="281"/>
        <v>206.00000000000006</v>
      </c>
      <c r="K575" s="103"/>
      <c r="L575" s="103"/>
      <c r="M575" s="103"/>
      <c r="N575" s="427">
        <f t="shared" si="282"/>
        <v>0</v>
      </c>
      <c r="O575" s="103">
        <v>1</v>
      </c>
      <c r="P575" s="103"/>
      <c r="Q575" s="103"/>
      <c r="R575" s="428">
        <f t="shared" si="283"/>
        <v>1</v>
      </c>
      <c r="S575" s="103"/>
      <c r="T575" s="103"/>
      <c r="U575" s="103"/>
      <c r="V575" s="125"/>
      <c r="W575" s="428">
        <f t="shared" si="287"/>
        <v>0</v>
      </c>
      <c r="X575" s="103"/>
      <c r="Y575" s="103">
        <v>48</v>
      </c>
      <c r="Z575" s="125"/>
      <c r="AA575" s="428">
        <f t="shared" si="288"/>
        <v>48</v>
      </c>
      <c r="AB575" s="103"/>
      <c r="AC575" s="103">
        <v>1</v>
      </c>
      <c r="AD575" s="103"/>
      <c r="AE575" s="428">
        <f t="shared" si="289"/>
        <v>1</v>
      </c>
      <c r="AF575" s="103"/>
      <c r="AG575" s="103"/>
      <c r="AH575" s="103"/>
      <c r="AI575" s="103"/>
      <c r="AJ575" s="428">
        <f t="shared" si="290"/>
        <v>0</v>
      </c>
      <c r="AK575" s="446"/>
      <c r="AL575" s="446"/>
      <c r="AM575" s="446"/>
      <c r="AN575" s="446"/>
      <c r="AO575" s="446"/>
      <c r="AP575" s="446"/>
      <c r="AQ575" s="446"/>
      <c r="AR575" s="431">
        <f t="shared" si="291"/>
        <v>0</v>
      </c>
      <c r="AT575" s="128"/>
      <c r="AU575" s="100" t="s">
        <v>3462</v>
      </c>
      <c r="AV575" s="128" t="s">
        <v>3501</v>
      </c>
      <c r="AW575" s="100" t="s">
        <v>3502</v>
      </c>
      <c r="AX575" s="433">
        <f t="shared" si="292"/>
        <v>0</v>
      </c>
      <c r="AY575" s="433">
        <f t="shared" si="293"/>
        <v>0</v>
      </c>
      <c r="AZ575" s="433">
        <f t="shared" si="294"/>
        <v>0</v>
      </c>
      <c r="BA575" s="433">
        <f t="shared" si="284"/>
        <v>1</v>
      </c>
      <c r="BB575" s="433">
        <f t="shared" si="285"/>
        <v>0</v>
      </c>
      <c r="BC575" s="433">
        <f t="shared" si="286"/>
        <v>0</v>
      </c>
      <c r="BD575" s="433">
        <f t="shared" si="295"/>
        <v>0</v>
      </c>
      <c r="BE575" s="433">
        <f t="shared" si="296"/>
        <v>0</v>
      </c>
      <c r="BF575" s="433">
        <f t="shared" si="297"/>
        <v>0</v>
      </c>
      <c r="BG575" s="433">
        <f t="shared" si="298"/>
        <v>0</v>
      </c>
      <c r="BH575" s="433">
        <f t="shared" si="299"/>
        <v>0</v>
      </c>
      <c r="BI575" s="433">
        <f t="shared" si="300"/>
        <v>48</v>
      </c>
      <c r="BJ575" s="433">
        <f t="shared" si="301"/>
        <v>0</v>
      </c>
      <c r="BK575" s="433">
        <f t="shared" si="302"/>
        <v>0</v>
      </c>
      <c r="BL575" s="433">
        <f t="shared" si="303"/>
        <v>1</v>
      </c>
      <c r="BM575" s="433">
        <f t="shared" si="304"/>
        <v>0</v>
      </c>
      <c r="BN575" s="433">
        <f t="shared" si="305"/>
        <v>0</v>
      </c>
      <c r="BO575" s="433">
        <f t="shared" si="306"/>
        <v>0</v>
      </c>
      <c r="BP575" s="433">
        <f t="shared" si="307"/>
        <v>0</v>
      </c>
      <c r="BQ575" s="433">
        <f t="shared" si="308"/>
        <v>0</v>
      </c>
    </row>
    <row r="576" spans="1:69" x14ac:dyDescent="0.2">
      <c r="A576" s="102">
        <v>41847</v>
      </c>
      <c r="B576" s="319">
        <v>2</v>
      </c>
      <c r="C576" s="118" t="s">
        <v>3412</v>
      </c>
      <c r="D576" s="111">
        <v>0.3263888888888889</v>
      </c>
      <c r="E576" s="111">
        <v>0.45277777777777778</v>
      </c>
      <c r="F576" s="319">
        <v>32</v>
      </c>
      <c r="G576" s="445">
        <v>9</v>
      </c>
      <c r="H576" s="319"/>
      <c r="I576" s="390"/>
      <c r="J576" s="426">
        <f t="shared" si="281"/>
        <v>182</v>
      </c>
      <c r="K576" s="103"/>
      <c r="L576" s="103"/>
      <c r="M576" s="103"/>
      <c r="N576" s="427">
        <f t="shared" si="282"/>
        <v>0</v>
      </c>
      <c r="O576" s="103"/>
      <c r="P576" s="103"/>
      <c r="Q576" s="103"/>
      <c r="R576" s="428">
        <f t="shared" si="283"/>
        <v>0</v>
      </c>
      <c r="S576" s="103">
        <v>1</v>
      </c>
      <c r="T576" s="103"/>
      <c r="U576" s="103"/>
      <c r="V576" s="125"/>
      <c r="W576" s="428">
        <f t="shared" si="287"/>
        <v>1</v>
      </c>
      <c r="X576" s="103"/>
      <c r="Y576" s="103"/>
      <c r="Z576" s="125"/>
      <c r="AA576" s="428">
        <f t="shared" si="288"/>
        <v>0</v>
      </c>
      <c r="AB576" s="103">
        <v>2</v>
      </c>
      <c r="AC576" s="103"/>
      <c r="AD576" s="103"/>
      <c r="AE576" s="428">
        <f t="shared" si="289"/>
        <v>2</v>
      </c>
      <c r="AF576" s="103">
        <v>1</v>
      </c>
      <c r="AG576" s="103"/>
      <c r="AH576" s="103"/>
      <c r="AI576" s="103"/>
      <c r="AJ576" s="428">
        <f t="shared" si="290"/>
        <v>1</v>
      </c>
      <c r="AK576" s="446"/>
      <c r="AL576" s="446"/>
      <c r="AM576" s="446"/>
      <c r="AN576" s="446"/>
      <c r="AO576" s="446"/>
      <c r="AP576" s="446"/>
      <c r="AQ576" s="446"/>
      <c r="AR576" s="431">
        <f t="shared" si="291"/>
        <v>0</v>
      </c>
      <c r="AT576" s="128" t="s">
        <v>3463</v>
      </c>
      <c r="AU576" s="100" t="s">
        <v>3464</v>
      </c>
      <c r="AV576" s="128" t="s">
        <v>3501</v>
      </c>
      <c r="AW576" s="100" t="s">
        <v>3502</v>
      </c>
      <c r="AX576" s="433">
        <f t="shared" si="292"/>
        <v>0</v>
      </c>
      <c r="AY576" s="433">
        <f t="shared" si="293"/>
        <v>0</v>
      </c>
      <c r="AZ576" s="433">
        <f t="shared" si="294"/>
        <v>0</v>
      </c>
      <c r="BA576" s="433">
        <f t="shared" si="284"/>
        <v>0</v>
      </c>
      <c r="BB576" s="433">
        <f t="shared" si="285"/>
        <v>0</v>
      </c>
      <c r="BC576" s="433">
        <f t="shared" si="286"/>
        <v>0</v>
      </c>
      <c r="BD576" s="433">
        <f t="shared" si="295"/>
        <v>1</v>
      </c>
      <c r="BE576" s="433">
        <f t="shared" si="296"/>
        <v>0</v>
      </c>
      <c r="BF576" s="433">
        <f t="shared" si="297"/>
        <v>0</v>
      </c>
      <c r="BG576" s="433">
        <f t="shared" si="298"/>
        <v>0</v>
      </c>
      <c r="BH576" s="433">
        <f t="shared" si="299"/>
        <v>0</v>
      </c>
      <c r="BI576" s="433">
        <f t="shared" si="300"/>
        <v>0</v>
      </c>
      <c r="BJ576" s="433">
        <f t="shared" si="301"/>
        <v>0</v>
      </c>
      <c r="BK576" s="433">
        <f t="shared" si="302"/>
        <v>2</v>
      </c>
      <c r="BL576" s="433">
        <f t="shared" si="303"/>
        <v>0</v>
      </c>
      <c r="BM576" s="433">
        <f t="shared" si="304"/>
        <v>0</v>
      </c>
      <c r="BN576" s="433">
        <f t="shared" si="305"/>
        <v>1</v>
      </c>
      <c r="BO576" s="433">
        <f t="shared" si="306"/>
        <v>0</v>
      </c>
      <c r="BP576" s="433">
        <f t="shared" si="307"/>
        <v>0</v>
      </c>
      <c r="BQ576" s="433">
        <f t="shared" si="308"/>
        <v>0</v>
      </c>
    </row>
    <row r="577" spans="1:69" x14ac:dyDescent="0.2">
      <c r="A577" s="102">
        <v>41847</v>
      </c>
      <c r="B577" s="319">
        <v>2</v>
      </c>
      <c r="C577" s="118" t="s">
        <v>3459</v>
      </c>
      <c r="D577" s="111">
        <v>0.45277777777777778</v>
      </c>
      <c r="E577" s="111">
        <v>0.69374999999999998</v>
      </c>
      <c r="F577" s="319">
        <v>32</v>
      </c>
      <c r="G577" s="445">
        <v>11</v>
      </c>
      <c r="H577" s="319"/>
      <c r="I577" s="390"/>
      <c r="J577" s="426">
        <f t="shared" si="281"/>
        <v>347</v>
      </c>
      <c r="K577" s="103"/>
      <c r="L577" s="103"/>
      <c r="M577" s="103"/>
      <c r="N577" s="427">
        <f t="shared" si="282"/>
        <v>0</v>
      </c>
      <c r="O577" s="103"/>
      <c r="P577" s="103"/>
      <c r="Q577" s="103"/>
      <c r="R577" s="428">
        <f t="shared" si="283"/>
        <v>0</v>
      </c>
      <c r="S577" s="103">
        <v>4</v>
      </c>
      <c r="T577" s="103"/>
      <c r="U577" s="103"/>
      <c r="V577" s="125"/>
      <c r="W577" s="428">
        <f t="shared" si="287"/>
        <v>4</v>
      </c>
      <c r="X577" s="103">
        <v>1</v>
      </c>
      <c r="Y577" s="103"/>
      <c r="Z577" s="125"/>
      <c r="AA577" s="428">
        <f t="shared" si="288"/>
        <v>1</v>
      </c>
      <c r="AB577" s="103"/>
      <c r="AC577" s="103"/>
      <c r="AD577" s="103"/>
      <c r="AE577" s="428">
        <f t="shared" si="289"/>
        <v>0</v>
      </c>
      <c r="AF577" s="103"/>
      <c r="AG577" s="103"/>
      <c r="AH577" s="103"/>
      <c r="AI577" s="103"/>
      <c r="AJ577" s="428">
        <f t="shared" si="290"/>
        <v>0</v>
      </c>
      <c r="AK577" s="446"/>
      <c r="AL577" s="446"/>
      <c r="AM577" s="446"/>
      <c r="AN577" s="446"/>
      <c r="AO577" s="446"/>
      <c r="AP577" s="446"/>
      <c r="AQ577" s="446"/>
      <c r="AR577" s="431">
        <f t="shared" si="291"/>
        <v>0</v>
      </c>
      <c r="AS577" s="10" t="s">
        <v>3465</v>
      </c>
      <c r="AT577" s="128"/>
      <c r="AU577" s="100" t="s">
        <v>3461</v>
      </c>
      <c r="AV577" s="128" t="s">
        <v>3501</v>
      </c>
      <c r="AW577" s="100" t="s">
        <v>3502</v>
      </c>
      <c r="AX577" s="433">
        <f t="shared" si="292"/>
        <v>0</v>
      </c>
      <c r="AY577" s="433">
        <f t="shared" si="293"/>
        <v>0</v>
      </c>
      <c r="AZ577" s="433">
        <f t="shared" si="294"/>
        <v>0</v>
      </c>
      <c r="BA577" s="433">
        <f t="shared" si="284"/>
        <v>0</v>
      </c>
      <c r="BB577" s="433">
        <f t="shared" si="285"/>
        <v>0</v>
      </c>
      <c r="BC577" s="433">
        <f t="shared" si="286"/>
        <v>0</v>
      </c>
      <c r="BD577" s="433">
        <f t="shared" si="295"/>
        <v>4</v>
      </c>
      <c r="BE577" s="433">
        <f t="shared" si="296"/>
        <v>0</v>
      </c>
      <c r="BF577" s="433">
        <f t="shared" si="297"/>
        <v>0</v>
      </c>
      <c r="BG577" s="433">
        <f t="shared" si="298"/>
        <v>0</v>
      </c>
      <c r="BH577" s="433">
        <f t="shared" si="299"/>
        <v>1</v>
      </c>
      <c r="BI577" s="433">
        <f t="shared" si="300"/>
        <v>0</v>
      </c>
      <c r="BJ577" s="433">
        <f t="shared" si="301"/>
        <v>0</v>
      </c>
      <c r="BK577" s="433">
        <f t="shared" si="302"/>
        <v>0</v>
      </c>
      <c r="BL577" s="433">
        <f t="shared" si="303"/>
        <v>0</v>
      </c>
      <c r="BM577" s="433">
        <f t="shared" si="304"/>
        <v>0</v>
      </c>
      <c r="BN577" s="433">
        <f t="shared" si="305"/>
        <v>0</v>
      </c>
      <c r="BO577" s="433">
        <f t="shared" si="306"/>
        <v>0</v>
      </c>
      <c r="BP577" s="433">
        <f t="shared" si="307"/>
        <v>0</v>
      </c>
      <c r="BQ577" s="433">
        <f t="shared" si="308"/>
        <v>0</v>
      </c>
    </row>
    <row r="578" spans="1:69" x14ac:dyDescent="0.2">
      <c r="A578" s="102">
        <v>41847</v>
      </c>
      <c r="B578" s="319">
        <v>2</v>
      </c>
      <c r="C578" s="118" t="s">
        <v>437</v>
      </c>
      <c r="D578" s="111">
        <v>0.69374999999999998</v>
      </c>
      <c r="E578" s="111">
        <v>0.82708333333333339</v>
      </c>
      <c r="F578" s="319">
        <v>30</v>
      </c>
      <c r="G578" s="445">
        <v>12</v>
      </c>
      <c r="H578" s="319"/>
      <c r="I578" s="390"/>
      <c r="J578" s="426">
        <f t="shared" si="281"/>
        <v>192.00000000000011</v>
      </c>
      <c r="K578" s="103"/>
      <c r="L578" s="103"/>
      <c r="M578" s="103"/>
      <c r="N578" s="427">
        <f t="shared" si="282"/>
        <v>0</v>
      </c>
      <c r="O578" s="103"/>
      <c r="P578" s="103"/>
      <c r="Q578" s="103"/>
      <c r="R578" s="428">
        <f t="shared" si="283"/>
        <v>0</v>
      </c>
      <c r="S578" s="103">
        <v>1</v>
      </c>
      <c r="T578" s="103"/>
      <c r="U578" s="103"/>
      <c r="V578" s="125"/>
      <c r="W578" s="428">
        <f t="shared" si="287"/>
        <v>1</v>
      </c>
      <c r="X578" s="103">
        <v>1</v>
      </c>
      <c r="Y578" s="103"/>
      <c r="Z578" s="125"/>
      <c r="AA578" s="428">
        <f t="shared" si="288"/>
        <v>1</v>
      </c>
      <c r="AB578" s="103"/>
      <c r="AC578" s="103">
        <v>1</v>
      </c>
      <c r="AD578" s="103"/>
      <c r="AE578" s="428">
        <f t="shared" si="289"/>
        <v>1</v>
      </c>
      <c r="AF578" s="103"/>
      <c r="AG578" s="103"/>
      <c r="AH578" s="103"/>
      <c r="AI578" s="103"/>
      <c r="AJ578" s="428">
        <f t="shared" si="290"/>
        <v>0</v>
      </c>
      <c r="AK578" s="446"/>
      <c r="AL578" s="446"/>
      <c r="AM578" s="446"/>
      <c r="AN578" s="446"/>
      <c r="AO578" s="446"/>
      <c r="AP578" s="446"/>
      <c r="AQ578" s="446"/>
      <c r="AR578" s="431">
        <f t="shared" si="291"/>
        <v>0</v>
      </c>
      <c r="AT578" s="128"/>
      <c r="AU578" s="100" t="s">
        <v>3466</v>
      </c>
      <c r="AV578" s="128" t="s">
        <v>3501</v>
      </c>
      <c r="AW578" s="100" t="s">
        <v>3502</v>
      </c>
      <c r="AX578" s="433">
        <f t="shared" si="292"/>
        <v>0</v>
      </c>
      <c r="AY578" s="433">
        <f t="shared" si="293"/>
        <v>0</v>
      </c>
      <c r="AZ578" s="433">
        <f t="shared" si="294"/>
        <v>0</v>
      </c>
      <c r="BA578" s="433">
        <f t="shared" si="284"/>
        <v>0</v>
      </c>
      <c r="BB578" s="433">
        <f t="shared" si="285"/>
        <v>0</v>
      </c>
      <c r="BC578" s="433">
        <f t="shared" si="286"/>
        <v>0</v>
      </c>
      <c r="BD578" s="433">
        <f t="shared" si="295"/>
        <v>1</v>
      </c>
      <c r="BE578" s="433">
        <f t="shared" si="296"/>
        <v>0</v>
      </c>
      <c r="BF578" s="433">
        <f t="shared" si="297"/>
        <v>0</v>
      </c>
      <c r="BG578" s="433">
        <f t="shared" si="298"/>
        <v>0</v>
      </c>
      <c r="BH578" s="433">
        <f t="shared" si="299"/>
        <v>1</v>
      </c>
      <c r="BI578" s="433">
        <f t="shared" si="300"/>
        <v>0</v>
      </c>
      <c r="BJ578" s="433">
        <f t="shared" si="301"/>
        <v>0</v>
      </c>
      <c r="BK578" s="433">
        <f t="shared" si="302"/>
        <v>0</v>
      </c>
      <c r="BL578" s="433">
        <f t="shared" si="303"/>
        <v>1</v>
      </c>
      <c r="BM578" s="433">
        <f t="shared" si="304"/>
        <v>0</v>
      </c>
      <c r="BN578" s="433">
        <f t="shared" si="305"/>
        <v>0</v>
      </c>
      <c r="BO578" s="433">
        <f t="shared" si="306"/>
        <v>0</v>
      </c>
      <c r="BP578" s="433">
        <f t="shared" si="307"/>
        <v>0</v>
      </c>
      <c r="BQ578" s="433">
        <f t="shared" si="308"/>
        <v>0</v>
      </c>
    </row>
    <row r="579" spans="1:69" x14ac:dyDescent="0.2">
      <c r="A579" s="102">
        <v>41847</v>
      </c>
      <c r="B579" s="319">
        <v>3</v>
      </c>
      <c r="C579" s="118" t="s">
        <v>420</v>
      </c>
      <c r="D579" s="111">
        <v>0.33055555555555555</v>
      </c>
      <c r="E579" s="111">
        <v>0.57916666666666672</v>
      </c>
      <c r="F579" s="319">
        <v>49</v>
      </c>
      <c r="G579" s="445">
        <v>9</v>
      </c>
      <c r="H579" s="319"/>
      <c r="I579" s="390"/>
      <c r="J579" s="426">
        <f t="shared" ref="J579:J642" si="309">(E579-D579)*24*60</f>
        <v>358.00000000000011</v>
      </c>
      <c r="K579" s="103"/>
      <c r="L579" s="103"/>
      <c r="M579" s="103"/>
      <c r="N579" s="427">
        <f t="shared" ref="N579:N642" si="310">SUM(K579:M579)</f>
        <v>0</v>
      </c>
      <c r="O579" s="103"/>
      <c r="P579" s="103"/>
      <c r="Q579" s="103"/>
      <c r="R579" s="428">
        <f t="shared" ref="R579:R642" si="311">SUM(O579:Q579)</f>
        <v>0</v>
      </c>
      <c r="S579" s="103">
        <v>2</v>
      </c>
      <c r="T579" s="103"/>
      <c r="U579" s="103"/>
      <c r="V579" s="125"/>
      <c r="W579" s="428">
        <f t="shared" si="287"/>
        <v>2</v>
      </c>
      <c r="X579" s="103">
        <v>5</v>
      </c>
      <c r="Y579" s="103">
        <v>56</v>
      </c>
      <c r="Z579" s="125"/>
      <c r="AA579" s="428">
        <f t="shared" si="288"/>
        <v>61</v>
      </c>
      <c r="AB579" s="103"/>
      <c r="AC579" s="103"/>
      <c r="AD579" s="103"/>
      <c r="AE579" s="428">
        <f t="shared" si="289"/>
        <v>0</v>
      </c>
      <c r="AF579" s="103"/>
      <c r="AG579" s="103"/>
      <c r="AH579" s="103"/>
      <c r="AI579" s="103"/>
      <c r="AJ579" s="428">
        <f t="shared" si="290"/>
        <v>0</v>
      </c>
      <c r="AK579" s="446"/>
      <c r="AL579" s="446"/>
      <c r="AM579" s="446"/>
      <c r="AN579" s="446"/>
      <c r="AO579" s="446"/>
      <c r="AP579" s="446"/>
      <c r="AQ579" s="446"/>
      <c r="AR579" s="431">
        <f t="shared" si="291"/>
        <v>0</v>
      </c>
      <c r="AT579" s="128"/>
      <c r="AU579" s="100" t="s">
        <v>3462</v>
      </c>
      <c r="AV579" s="128" t="s">
        <v>3501</v>
      </c>
      <c r="AW579" s="100" t="s">
        <v>3502</v>
      </c>
      <c r="AX579" s="433">
        <f t="shared" si="292"/>
        <v>0</v>
      </c>
      <c r="AY579" s="433">
        <f t="shared" si="293"/>
        <v>0</v>
      </c>
      <c r="AZ579" s="433">
        <f t="shared" si="294"/>
        <v>0</v>
      </c>
      <c r="BA579" s="433">
        <f t="shared" ref="BA579:BA642" si="312">O579</f>
        <v>0</v>
      </c>
      <c r="BB579" s="433">
        <f t="shared" ref="BB579:BB642" si="313">P579</f>
        <v>0</v>
      </c>
      <c r="BC579" s="433">
        <f t="shared" ref="BC579:BC642" si="314">Q579</f>
        <v>0</v>
      </c>
      <c r="BD579" s="433">
        <f t="shared" si="295"/>
        <v>2</v>
      </c>
      <c r="BE579" s="433">
        <f t="shared" si="296"/>
        <v>0</v>
      </c>
      <c r="BF579" s="433">
        <f t="shared" si="297"/>
        <v>0</v>
      </c>
      <c r="BG579" s="433">
        <f t="shared" si="298"/>
        <v>0</v>
      </c>
      <c r="BH579" s="433">
        <f t="shared" si="299"/>
        <v>5</v>
      </c>
      <c r="BI579" s="433">
        <f t="shared" si="300"/>
        <v>56</v>
      </c>
      <c r="BJ579" s="433">
        <f t="shared" si="301"/>
        <v>0</v>
      </c>
      <c r="BK579" s="433">
        <f t="shared" si="302"/>
        <v>0</v>
      </c>
      <c r="BL579" s="433">
        <f t="shared" si="303"/>
        <v>0</v>
      </c>
      <c r="BM579" s="433">
        <f t="shared" si="304"/>
        <v>0</v>
      </c>
      <c r="BN579" s="433">
        <f t="shared" si="305"/>
        <v>0</v>
      </c>
      <c r="BO579" s="433">
        <f t="shared" si="306"/>
        <v>0</v>
      </c>
      <c r="BP579" s="433">
        <f t="shared" si="307"/>
        <v>0</v>
      </c>
      <c r="BQ579" s="433">
        <f t="shared" si="308"/>
        <v>0</v>
      </c>
    </row>
    <row r="580" spans="1:69" s="291" customFormat="1" x14ac:dyDescent="0.2">
      <c r="A580" s="317">
        <v>41847</v>
      </c>
      <c r="B580" s="318">
        <v>3</v>
      </c>
      <c r="C580" s="320" t="s">
        <v>3412</v>
      </c>
      <c r="D580" s="321">
        <v>0.57916666666666672</v>
      </c>
      <c r="E580" s="321">
        <v>0.83124999999999993</v>
      </c>
      <c r="F580" s="318">
        <v>49</v>
      </c>
      <c r="G580" s="435">
        <v>11</v>
      </c>
      <c r="H580" s="318"/>
      <c r="I580" s="436"/>
      <c r="J580" s="437">
        <f t="shared" si="309"/>
        <v>362.99999999999983</v>
      </c>
      <c r="K580" s="285"/>
      <c r="L580" s="285"/>
      <c r="M580" s="285"/>
      <c r="N580" s="438">
        <f t="shared" si="310"/>
        <v>0</v>
      </c>
      <c r="O580" s="285"/>
      <c r="P580" s="285"/>
      <c r="Q580" s="285"/>
      <c r="R580" s="439">
        <f t="shared" si="311"/>
        <v>0</v>
      </c>
      <c r="S580" s="285">
        <v>1</v>
      </c>
      <c r="T580" s="285"/>
      <c r="U580" s="285"/>
      <c r="V580" s="440"/>
      <c r="W580" s="439">
        <f t="shared" ref="W580:W643" si="315">SUM(S580:V580)</f>
        <v>1</v>
      </c>
      <c r="X580" s="285"/>
      <c r="Y580" s="285">
        <v>85</v>
      </c>
      <c r="Z580" s="440"/>
      <c r="AA580" s="439">
        <f t="shared" ref="AA580:AA643" si="316">SUM(X580:Z580)</f>
        <v>85</v>
      </c>
      <c r="AB580" s="285"/>
      <c r="AC580" s="285">
        <v>3</v>
      </c>
      <c r="AD580" s="285"/>
      <c r="AE580" s="439">
        <f t="shared" ref="AE580:AE643" si="317">SUM(AB580:AD580)</f>
        <v>3</v>
      </c>
      <c r="AF580" s="285"/>
      <c r="AG580" s="285"/>
      <c r="AH580" s="285"/>
      <c r="AI580" s="285"/>
      <c r="AJ580" s="439">
        <f t="shared" ref="AJ580:AJ643" si="318">SUM(AF580:AI580)</f>
        <v>0</v>
      </c>
      <c r="AK580" s="340"/>
      <c r="AL580" s="340"/>
      <c r="AM580" s="340"/>
      <c r="AN580" s="340"/>
      <c r="AO580" s="340"/>
      <c r="AP580" s="340"/>
      <c r="AQ580" s="340"/>
      <c r="AR580" s="441">
        <f t="shared" ref="AR580:AR643" si="319">SUM(AK580:AQ580)</f>
        <v>0</v>
      </c>
      <c r="AT580" s="313"/>
      <c r="AU580" s="289" t="s">
        <v>3458</v>
      </c>
      <c r="AV580" s="313" t="s">
        <v>3501</v>
      </c>
      <c r="AW580" s="382" t="s">
        <v>3502</v>
      </c>
      <c r="AX580" s="443">
        <f t="shared" ref="AX580:AX643" si="320">K580</f>
        <v>0</v>
      </c>
      <c r="AY580" s="443">
        <f t="shared" ref="AY580:AY643" si="321">L580</f>
        <v>0</v>
      </c>
      <c r="AZ580" s="443">
        <f t="shared" ref="AZ580:AZ643" si="322">M580</f>
        <v>0</v>
      </c>
      <c r="BA580" s="443">
        <f t="shared" si="312"/>
        <v>0</v>
      </c>
      <c r="BB580" s="443">
        <f t="shared" si="313"/>
        <v>0</v>
      </c>
      <c r="BC580" s="443">
        <f t="shared" si="314"/>
        <v>0</v>
      </c>
      <c r="BD580" s="443">
        <f t="shared" ref="BD580:BD643" si="323">S580</f>
        <v>1</v>
      </c>
      <c r="BE580" s="443">
        <f t="shared" ref="BE580:BE643" si="324">T580</f>
        <v>0</v>
      </c>
      <c r="BF580" s="443">
        <f t="shared" ref="BF580:BF643" si="325">U580</f>
        <v>0</v>
      </c>
      <c r="BG580" s="443">
        <f t="shared" ref="BG580:BG643" si="326">V580</f>
        <v>0</v>
      </c>
      <c r="BH580" s="443">
        <f t="shared" ref="BH580:BH643" si="327">X580</f>
        <v>0</v>
      </c>
      <c r="BI580" s="443">
        <f t="shared" ref="BI580:BI643" si="328">Y580</f>
        <v>85</v>
      </c>
      <c r="BJ580" s="443">
        <f t="shared" ref="BJ580:BJ643" si="329">Z580</f>
        <v>0</v>
      </c>
      <c r="BK580" s="443">
        <f t="shared" ref="BK580:BK643" si="330">AB580</f>
        <v>0</v>
      </c>
      <c r="BL580" s="443">
        <f t="shared" ref="BL580:BL643" si="331">AC580</f>
        <v>3</v>
      </c>
      <c r="BM580" s="443">
        <f t="shared" ref="BM580:BM643" si="332">AD580</f>
        <v>0</v>
      </c>
      <c r="BN580" s="443">
        <f t="shared" ref="BN580:BN643" si="333">AF580</f>
        <v>0</v>
      </c>
      <c r="BO580" s="443">
        <f t="shared" ref="BO580:BO643" si="334">AG580</f>
        <v>0</v>
      </c>
      <c r="BP580" s="443">
        <f t="shared" ref="BP580:BP643" si="335">AH580</f>
        <v>0</v>
      </c>
      <c r="BQ580" s="443">
        <f t="shared" ref="BQ580:BQ643" si="336">AI580</f>
        <v>0</v>
      </c>
    </row>
    <row r="581" spans="1:69" x14ac:dyDescent="0.2">
      <c r="A581" s="102">
        <v>41848</v>
      </c>
      <c r="B581" s="319">
        <v>1</v>
      </c>
      <c r="C581" s="118" t="s">
        <v>3700</v>
      </c>
      <c r="D581" s="111">
        <v>0.33124999999999999</v>
      </c>
      <c r="E581" s="111">
        <v>0.57916666666666672</v>
      </c>
      <c r="F581" s="319">
        <v>54</v>
      </c>
      <c r="G581" s="445">
        <v>8</v>
      </c>
      <c r="H581" s="319"/>
      <c r="I581" s="390"/>
      <c r="J581" s="426">
        <f t="shared" si="309"/>
        <v>357.00000000000006</v>
      </c>
      <c r="K581" s="103"/>
      <c r="L581" s="103"/>
      <c r="M581" s="103"/>
      <c r="N581" s="427">
        <f t="shared" si="310"/>
        <v>0</v>
      </c>
      <c r="O581" s="103"/>
      <c r="P581" s="103"/>
      <c r="Q581" s="103"/>
      <c r="R581" s="428">
        <f t="shared" si="311"/>
        <v>0</v>
      </c>
      <c r="S581" s="103">
        <v>1</v>
      </c>
      <c r="T581" s="103"/>
      <c r="U581" s="103"/>
      <c r="V581" s="125"/>
      <c r="W581" s="428">
        <f t="shared" si="315"/>
        <v>1</v>
      </c>
      <c r="X581" s="103">
        <v>3</v>
      </c>
      <c r="Y581" s="103">
        <v>92</v>
      </c>
      <c r="Z581" s="125"/>
      <c r="AA581" s="428">
        <f t="shared" si="316"/>
        <v>95</v>
      </c>
      <c r="AB581" s="103">
        <v>2</v>
      </c>
      <c r="AC581" s="103">
        <v>1</v>
      </c>
      <c r="AD581" s="103"/>
      <c r="AE581" s="428">
        <f t="shared" si="317"/>
        <v>3</v>
      </c>
      <c r="AF581" s="103"/>
      <c r="AG581" s="103"/>
      <c r="AH581" s="103"/>
      <c r="AI581" s="103"/>
      <c r="AJ581" s="428">
        <f t="shared" si="318"/>
        <v>0</v>
      </c>
      <c r="AK581" s="446"/>
      <c r="AL581" s="446"/>
      <c r="AM581" s="446"/>
      <c r="AN581" s="446"/>
      <c r="AO581" s="446"/>
      <c r="AP581" s="446"/>
      <c r="AQ581" s="446"/>
      <c r="AR581" s="431">
        <f t="shared" si="319"/>
        <v>0</v>
      </c>
      <c r="AS581" s="10" t="s">
        <v>3701</v>
      </c>
      <c r="AT581" s="128" t="s">
        <v>3702</v>
      </c>
      <c r="AU581" s="100" t="s">
        <v>3703</v>
      </c>
      <c r="AV581" s="100" t="s">
        <v>3739</v>
      </c>
      <c r="AW581" s="388" t="s">
        <v>3741</v>
      </c>
      <c r="AX581" s="433">
        <f t="shared" si="320"/>
        <v>0</v>
      </c>
      <c r="AY581" s="433">
        <f t="shared" si="321"/>
        <v>0</v>
      </c>
      <c r="AZ581" s="433">
        <f t="shared" si="322"/>
        <v>0</v>
      </c>
      <c r="BA581" s="433">
        <f t="shared" si="312"/>
        <v>0</v>
      </c>
      <c r="BB581" s="433">
        <f t="shared" si="313"/>
        <v>0</v>
      </c>
      <c r="BC581" s="433">
        <f t="shared" si="314"/>
        <v>0</v>
      </c>
      <c r="BD581" s="433">
        <f t="shared" si="323"/>
        <v>1</v>
      </c>
      <c r="BE581" s="433">
        <f t="shared" si="324"/>
        <v>0</v>
      </c>
      <c r="BF581" s="433">
        <f t="shared" si="325"/>
        <v>0</v>
      </c>
      <c r="BG581" s="433">
        <f t="shared" si="326"/>
        <v>0</v>
      </c>
      <c r="BH581" s="433">
        <f t="shared" si="327"/>
        <v>3</v>
      </c>
      <c r="BI581" s="433">
        <f t="shared" si="328"/>
        <v>92</v>
      </c>
      <c r="BJ581" s="433">
        <f t="shared" si="329"/>
        <v>0</v>
      </c>
      <c r="BK581" s="433">
        <f t="shared" si="330"/>
        <v>2</v>
      </c>
      <c r="BL581" s="433">
        <f t="shared" si="331"/>
        <v>1</v>
      </c>
      <c r="BM581" s="433">
        <f t="shared" si="332"/>
        <v>0</v>
      </c>
      <c r="BN581" s="433">
        <f t="shared" si="333"/>
        <v>0</v>
      </c>
      <c r="BO581" s="433">
        <f t="shared" si="334"/>
        <v>0</v>
      </c>
      <c r="BP581" s="433">
        <f t="shared" si="335"/>
        <v>0</v>
      </c>
      <c r="BQ581" s="433">
        <f t="shared" si="336"/>
        <v>0</v>
      </c>
    </row>
    <row r="582" spans="1:69" x14ac:dyDescent="0.2">
      <c r="A582" s="102">
        <v>41848</v>
      </c>
      <c r="B582" s="319">
        <v>1</v>
      </c>
      <c r="C582" s="118" t="s">
        <v>2073</v>
      </c>
      <c r="D582" s="111">
        <v>0.57916666666666672</v>
      </c>
      <c r="E582" s="111">
        <v>0.84583333333333333</v>
      </c>
      <c r="F582" s="319">
        <v>51</v>
      </c>
      <c r="G582" s="445">
        <v>9</v>
      </c>
      <c r="H582" s="319"/>
      <c r="I582" s="390"/>
      <c r="J582" s="426">
        <f t="shared" si="309"/>
        <v>383.99999999999989</v>
      </c>
      <c r="K582" s="103">
        <v>1</v>
      </c>
      <c r="L582" s="103"/>
      <c r="M582" s="103"/>
      <c r="N582" s="427">
        <f t="shared" si="310"/>
        <v>1</v>
      </c>
      <c r="O582" s="103"/>
      <c r="P582" s="103"/>
      <c r="Q582" s="103"/>
      <c r="R582" s="428">
        <f t="shared" si="311"/>
        <v>0</v>
      </c>
      <c r="S582" s="103">
        <v>2</v>
      </c>
      <c r="T582" s="103"/>
      <c r="U582" s="103"/>
      <c r="V582" s="125"/>
      <c r="W582" s="428">
        <f t="shared" si="315"/>
        <v>2</v>
      </c>
      <c r="X582" s="103"/>
      <c r="Y582" s="103">
        <v>132</v>
      </c>
      <c r="Z582" s="125"/>
      <c r="AA582" s="428">
        <f t="shared" si="316"/>
        <v>132</v>
      </c>
      <c r="AB582" s="103"/>
      <c r="AC582" s="103">
        <v>1</v>
      </c>
      <c r="AD582" s="103"/>
      <c r="AE582" s="428">
        <f t="shared" si="317"/>
        <v>1</v>
      </c>
      <c r="AF582" s="103"/>
      <c r="AG582" s="103"/>
      <c r="AH582" s="103"/>
      <c r="AI582" s="103"/>
      <c r="AJ582" s="428">
        <f t="shared" si="318"/>
        <v>0</v>
      </c>
      <c r="AK582" s="446"/>
      <c r="AL582" s="446"/>
      <c r="AM582" s="446"/>
      <c r="AN582" s="446"/>
      <c r="AO582" s="446"/>
      <c r="AP582" s="446"/>
      <c r="AQ582" s="446"/>
      <c r="AR582" s="431">
        <f t="shared" si="319"/>
        <v>0</v>
      </c>
      <c r="AT582" s="128"/>
      <c r="AU582" s="100" t="s">
        <v>3704</v>
      </c>
      <c r="AV582" s="128" t="s">
        <v>3739</v>
      </c>
      <c r="AW582" s="388" t="s">
        <v>3741</v>
      </c>
      <c r="AX582" s="433">
        <f t="shared" si="320"/>
        <v>1</v>
      </c>
      <c r="AY582" s="433">
        <f t="shared" si="321"/>
        <v>0</v>
      </c>
      <c r="AZ582" s="433">
        <f t="shared" si="322"/>
        <v>0</v>
      </c>
      <c r="BA582" s="433">
        <f t="shared" si="312"/>
        <v>0</v>
      </c>
      <c r="BB582" s="433">
        <f t="shared" si="313"/>
        <v>0</v>
      </c>
      <c r="BC582" s="433">
        <f t="shared" si="314"/>
        <v>0</v>
      </c>
      <c r="BD582" s="433">
        <f t="shared" si="323"/>
        <v>2</v>
      </c>
      <c r="BE582" s="433">
        <f t="shared" si="324"/>
        <v>0</v>
      </c>
      <c r="BF582" s="433">
        <f t="shared" si="325"/>
        <v>0</v>
      </c>
      <c r="BG582" s="433">
        <f t="shared" si="326"/>
        <v>0</v>
      </c>
      <c r="BH582" s="433">
        <f t="shared" si="327"/>
        <v>0</v>
      </c>
      <c r="BI582" s="433">
        <f t="shared" si="328"/>
        <v>132</v>
      </c>
      <c r="BJ582" s="433">
        <f t="shared" si="329"/>
        <v>0</v>
      </c>
      <c r="BK582" s="433">
        <f t="shared" si="330"/>
        <v>0</v>
      </c>
      <c r="BL582" s="433">
        <f t="shared" si="331"/>
        <v>1</v>
      </c>
      <c r="BM582" s="433">
        <f t="shared" si="332"/>
        <v>0</v>
      </c>
      <c r="BN582" s="433">
        <f t="shared" si="333"/>
        <v>0</v>
      </c>
      <c r="BO582" s="433">
        <f t="shared" si="334"/>
        <v>0</v>
      </c>
      <c r="BP582" s="433">
        <f t="shared" si="335"/>
        <v>0</v>
      </c>
      <c r="BQ582" s="433">
        <f t="shared" si="336"/>
        <v>0</v>
      </c>
    </row>
    <row r="583" spans="1:69" x14ac:dyDescent="0.2">
      <c r="A583" s="102">
        <v>41848</v>
      </c>
      <c r="B583" s="319">
        <v>2</v>
      </c>
      <c r="C583" s="118" t="s">
        <v>3705</v>
      </c>
      <c r="D583" s="111">
        <v>0.33611111111111108</v>
      </c>
      <c r="E583" s="111">
        <v>0.55902777777777779</v>
      </c>
      <c r="F583" s="319">
        <v>33</v>
      </c>
      <c r="G583" s="445">
        <v>11</v>
      </c>
      <c r="H583" s="319"/>
      <c r="I583" s="390"/>
      <c r="J583" s="426">
        <f t="shared" si="309"/>
        <v>321.00000000000011</v>
      </c>
      <c r="K583" s="103"/>
      <c r="L583" s="103"/>
      <c r="M583" s="103"/>
      <c r="N583" s="427">
        <f t="shared" si="310"/>
        <v>0</v>
      </c>
      <c r="O583" s="103"/>
      <c r="P583" s="103"/>
      <c r="Q583" s="103"/>
      <c r="R583" s="428">
        <f t="shared" si="311"/>
        <v>0</v>
      </c>
      <c r="S583" s="103">
        <v>1</v>
      </c>
      <c r="T583" s="103"/>
      <c r="U583" s="103"/>
      <c r="V583" s="125"/>
      <c r="W583" s="428">
        <f t="shared" si="315"/>
        <v>1</v>
      </c>
      <c r="X583" s="103">
        <v>2</v>
      </c>
      <c r="Y583" s="103">
        <v>1</v>
      </c>
      <c r="Z583" s="125"/>
      <c r="AA583" s="428">
        <f t="shared" si="316"/>
        <v>3</v>
      </c>
      <c r="AB583" s="103">
        <v>1</v>
      </c>
      <c r="AC583" s="103"/>
      <c r="AD583" s="103"/>
      <c r="AE583" s="428">
        <f t="shared" si="317"/>
        <v>1</v>
      </c>
      <c r="AF583" s="103"/>
      <c r="AG583" s="103"/>
      <c r="AH583" s="103"/>
      <c r="AI583" s="103"/>
      <c r="AJ583" s="428">
        <f t="shared" si="318"/>
        <v>0</v>
      </c>
      <c r="AK583" s="446"/>
      <c r="AL583" s="446"/>
      <c r="AM583" s="446"/>
      <c r="AN583" s="446"/>
      <c r="AO583" s="446"/>
      <c r="AP583" s="446"/>
      <c r="AQ583" s="446"/>
      <c r="AR583" s="431">
        <f t="shared" si="319"/>
        <v>0</v>
      </c>
      <c r="AS583" s="10" t="s">
        <v>3706</v>
      </c>
      <c r="AT583" s="128"/>
      <c r="AU583" s="100" t="s">
        <v>3703</v>
      </c>
      <c r="AV583" s="128" t="s">
        <v>3739</v>
      </c>
      <c r="AW583" s="388" t="s">
        <v>3741</v>
      </c>
      <c r="AX583" s="433">
        <f t="shared" si="320"/>
        <v>0</v>
      </c>
      <c r="AY583" s="433">
        <f t="shared" si="321"/>
        <v>0</v>
      </c>
      <c r="AZ583" s="433">
        <f t="shared" si="322"/>
        <v>0</v>
      </c>
      <c r="BA583" s="433">
        <f t="shared" si="312"/>
        <v>0</v>
      </c>
      <c r="BB583" s="433">
        <f t="shared" si="313"/>
        <v>0</v>
      </c>
      <c r="BC583" s="433">
        <f t="shared" si="314"/>
        <v>0</v>
      </c>
      <c r="BD583" s="433">
        <f t="shared" si="323"/>
        <v>1</v>
      </c>
      <c r="BE583" s="433">
        <f t="shared" si="324"/>
        <v>0</v>
      </c>
      <c r="BF583" s="433">
        <f t="shared" si="325"/>
        <v>0</v>
      </c>
      <c r="BG583" s="433">
        <f t="shared" si="326"/>
        <v>0</v>
      </c>
      <c r="BH583" s="433">
        <f t="shared" si="327"/>
        <v>2</v>
      </c>
      <c r="BI583" s="433">
        <f t="shared" si="328"/>
        <v>1</v>
      </c>
      <c r="BJ583" s="433">
        <f t="shared" si="329"/>
        <v>0</v>
      </c>
      <c r="BK583" s="433">
        <f t="shared" si="330"/>
        <v>1</v>
      </c>
      <c r="BL583" s="433">
        <f t="shared" si="331"/>
        <v>0</v>
      </c>
      <c r="BM583" s="433">
        <f t="shared" si="332"/>
        <v>0</v>
      </c>
      <c r="BN583" s="433">
        <f t="shared" si="333"/>
        <v>0</v>
      </c>
      <c r="BO583" s="433">
        <f t="shared" si="334"/>
        <v>0</v>
      </c>
      <c r="BP583" s="433">
        <f t="shared" si="335"/>
        <v>0</v>
      </c>
      <c r="BQ583" s="433">
        <f t="shared" si="336"/>
        <v>0</v>
      </c>
    </row>
    <row r="584" spans="1:69" x14ac:dyDescent="0.2">
      <c r="A584" s="102">
        <v>41848</v>
      </c>
      <c r="B584" s="319">
        <v>2</v>
      </c>
      <c r="C584" s="118" t="s">
        <v>2073</v>
      </c>
      <c r="D584" s="111">
        <v>0.55902777777777779</v>
      </c>
      <c r="E584" s="111">
        <v>0.83680555555555547</v>
      </c>
      <c r="F584" s="319">
        <v>33</v>
      </c>
      <c r="G584" s="445">
        <v>12</v>
      </c>
      <c r="H584" s="319"/>
      <c r="I584" s="390"/>
      <c r="J584" s="426">
        <f t="shared" si="309"/>
        <v>399.99999999999989</v>
      </c>
      <c r="K584" s="103"/>
      <c r="L584" s="103"/>
      <c r="M584" s="103"/>
      <c r="N584" s="427">
        <f t="shared" si="310"/>
        <v>0</v>
      </c>
      <c r="O584" s="103"/>
      <c r="P584" s="103"/>
      <c r="Q584" s="103"/>
      <c r="R584" s="428">
        <f t="shared" si="311"/>
        <v>0</v>
      </c>
      <c r="S584" s="103">
        <v>4</v>
      </c>
      <c r="T584" s="103"/>
      <c r="U584" s="103"/>
      <c r="V584" s="125"/>
      <c r="W584" s="428">
        <f t="shared" si="315"/>
        <v>4</v>
      </c>
      <c r="X584" s="103"/>
      <c r="Y584" s="103">
        <v>1</v>
      </c>
      <c r="Z584" s="125"/>
      <c r="AA584" s="428">
        <f t="shared" si="316"/>
        <v>1</v>
      </c>
      <c r="AB584" s="103"/>
      <c r="AC584" s="103">
        <v>3</v>
      </c>
      <c r="AD584" s="103"/>
      <c r="AE584" s="428">
        <f t="shared" si="317"/>
        <v>3</v>
      </c>
      <c r="AF584" s="103"/>
      <c r="AG584" s="103"/>
      <c r="AH584" s="103"/>
      <c r="AI584" s="103"/>
      <c r="AJ584" s="428">
        <f t="shared" si="318"/>
        <v>0</v>
      </c>
      <c r="AK584" s="446"/>
      <c r="AL584" s="446"/>
      <c r="AM584" s="446"/>
      <c r="AN584" s="446"/>
      <c r="AO584" s="446"/>
      <c r="AP584" s="446"/>
      <c r="AQ584" s="446"/>
      <c r="AR584" s="431">
        <f t="shared" si="319"/>
        <v>0</v>
      </c>
      <c r="AT584" s="128"/>
      <c r="AU584" s="100" t="s">
        <v>3704</v>
      </c>
      <c r="AV584" s="128" t="s">
        <v>3739</v>
      </c>
      <c r="AW584" s="388" t="s">
        <v>3741</v>
      </c>
      <c r="AX584" s="433">
        <f t="shared" si="320"/>
        <v>0</v>
      </c>
      <c r="AY584" s="433">
        <f t="shared" si="321"/>
        <v>0</v>
      </c>
      <c r="AZ584" s="433">
        <f t="shared" si="322"/>
        <v>0</v>
      </c>
      <c r="BA584" s="433">
        <f t="shared" si="312"/>
        <v>0</v>
      </c>
      <c r="BB584" s="433">
        <f t="shared" si="313"/>
        <v>0</v>
      </c>
      <c r="BC584" s="433">
        <f t="shared" si="314"/>
        <v>0</v>
      </c>
      <c r="BD584" s="433">
        <f t="shared" si="323"/>
        <v>4</v>
      </c>
      <c r="BE584" s="433">
        <f t="shared" si="324"/>
        <v>0</v>
      </c>
      <c r="BF584" s="433">
        <f t="shared" si="325"/>
        <v>0</v>
      </c>
      <c r="BG584" s="433">
        <f t="shared" si="326"/>
        <v>0</v>
      </c>
      <c r="BH584" s="433">
        <f t="shared" si="327"/>
        <v>0</v>
      </c>
      <c r="BI584" s="433">
        <f t="shared" si="328"/>
        <v>1</v>
      </c>
      <c r="BJ584" s="433">
        <f t="shared" si="329"/>
        <v>0</v>
      </c>
      <c r="BK584" s="433">
        <f t="shared" si="330"/>
        <v>0</v>
      </c>
      <c r="BL584" s="433">
        <f t="shared" si="331"/>
        <v>3</v>
      </c>
      <c r="BM584" s="433">
        <f t="shared" si="332"/>
        <v>0</v>
      </c>
      <c r="BN584" s="433">
        <f t="shared" si="333"/>
        <v>0</v>
      </c>
      <c r="BO584" s="433">
        <f t="shared" si="334"/>
        <v>0</v>
      </c>
      <c r="BP584" s="433">
        <f t="shared" si="335"/>
        <v>0</v>
      </c>
      <c r="BQ584" s="433">
        <f t="shared" si="336"/>
        <v>0</v>
      </c>
    </row>
    <row r="585" spans="1:69" x14ac:dyDescent="0.2">
      <c r="A585" s="102">
        <v>41848</v>
      </c>
      <c r="B585" s="319">
        <v>3</v>
      </c>
      <c r="C585" s="118" t="s">
        <v>2073</v>
      </c>
      <c r="D585" s="111">
        <v>0.33333333333333331</v>
      </c>
      <c r="E585" s="111">
        <v>0.45624999999999999</v>
      </c>
      <c r="F585" s="319">
        <v>54</v>
      </c>
      <c r="G585" s="445">
        <v>10</v>
      </c>
      <c r="H585" s="319"/>
      <c r="I585" s="390"/>
      <c r="J585" s="426">
        <f t="shared" si="309"/>
        <v>177</v>
      </c>
      <c r="K585" s="103"/>
      <c r="L585" s="103"/>
      <c r="M585" s="103"/>
      <c r="N585" s="427">
        <f t="shared" si="310"/>
        <v>0</v>
      </c>
      <c r="O585" s="103"/>
      <c r="P585" s="103"/>
      <c r="Q585" s="103"/>
      <c r="R585" s="428">
        <f t="shared" si="311"/>
        <v>0</v>
      </c>
      <c r="S585" s="103">
        <v>2</v>
      </c>
      <c r="T585" s="103"/>
      <c r="U585" s="103"/>
      <c r="V585" s="125"/>
      <c r="W585" s="428">
        <f t="shared" si="315"/>
        <v>2</v>
      </c>
      <c r="X585" s="103">
        <v>3</v>
      </c>
      <c r="Y585" s="103">
        <v>13</v>
      </c>
      <c r="Z585" s="125"/>
      <c r="AA585" s="428">
        <f t="shared" si="316"/>
        <v>16</v>
      </c>
      <c r="AB585" s="103"/>
      <c r="AC585" s="103"/>
      <c r="AD585" s="103"/>
      <c r="AE585" s="428">
        <f t="shared" si="317"/>
        <v>0</v>
      </c>
      <c r="AF585" s="103"/>
      <c r="AG585" s="103"/>
      <c r="AH585" s="103"/>
      <c r="AI585" s="103"/>
      <c r="AJ585" s="428">
        <f t="shared" si="318"/>
        <v>0</v>
      </c>
      <c r="AK585" s="446"/>
      <c r="AL585" s="446"/>
      <c r="AM585" s="446"/>
      <c r="AN585" s="446"/>
      <c r="AO585" s="446"/>
      <c r="AP585" s="446"/>
      <c r="AQ585" s="446"/>
      <c r="AR585" s="431">
        <f t="shared" si="319"/>
        <v>0</v>
      </c>
      <c r="AS585" s="10" t="s">
        <v>3707</v>
      </c>
      <c r="AT585" s="128"/>
      <c r="AU585" s="100" t="s">
        <v>3708</v>
      </c>
      <c r="AV585" s="128" t="s">
        <v>3739</v>
      </c>
      <c r="AW585" s="388" t="s">
        <v>3741</v>
      </c>
      <c r="AX585" s="433">
        <f t="shared" si="320"/>
        <v>0</v>
      </c>
      <c r="AY585" s="433">
        <f t="shared" si="321"/>
        <v>0</v>
      </c>
      <c r="AZ585" s="433">
        <f t="shared" si="322"/>
        <v>0</v>
      </c>
      <c r="BA585" s="433">
        <f t="shared" si="312"/>
        <v>0</v>
      </c>
      <c r="BB585" s="433">
        <f t="shared" si="313"/>
        <v>0</v>
      </c>
      <c r="BC585" s="433">
        <f t="shared" si="314"/>
        <v>0</v>
      </c>
      <c r="BD585" s="433">
        <f t="shared" si="323"/>
        <v>2</v>
      </c>
      <c r="BE585" s="433">
        <f t="shared" si="324"/>
        <v>0</v>
      </c>
      <c r="BF585" s="433">
        <f t="shared" si="325"/>
        <v>0</v>
      </c>
      <c r="BG585" s="433">
        <f t="shared" si="326"/>
        <v>0</v>
      </c>
      <c r="BH585" s="433">
        <f t="shared" si="327"/>
        <v>3</v>
      </c>
      <c r="BI585" s="433">
        <f t="shared" si="328"/>
        <v>13</v>
      </c>
      <c r="BJ585" s="433">
        <f t="shared" si="329"/>
        <v>0</v>
      </c>
      <c r="BK585" s="433">
        <f t="shared" si="330"/>
        <v>0</v>
      </c>
      <c r="BL585" s="433">
        <f t="shared" si="331"/>
        <v>0</v>
      </c>
      <c r="BM585" s="433">
        <f t="shared" si="332"/>
        <v>0</v>
      </c>
      <c r="BN585" s="433">
        <f t="shared" si="333"/>
        <v>0</v>
      </c>
      <c r="BO585" s="433">
        <f t="shared" si="334"/>
        <v>0</v>
      </c>
      <c r="BP585" s="433">
        <f t="shared" si="335"/>
        <v>0</v>
      </c>
      <c r="BQ585" s="433">
        <f t="shared" si="336"/>
        <v>0</v>
      </c>
    </row>
    <row r="586" spans="1:69" x14ac:dyDescent="0.2">
      <c r="A586" s="102">
        <v>41848</v>
      </c>
      <c r="B586" s="319">
        <v>3</v>
      </c>
      <c r="C586" s="118" t="s">
        <v>3709</v>
      </c>
      <c r="D586" s="111">
        <v>0.45624999999999999</v>
      </c>
      <c r="E586" s="111">
        <v>0.70833333333333337</v>
      </c>
      <c r="F586" s="319">
        <v>52</v>
      </c>
      <c r="G586" s="445">
        <v>10</v>
      </c>
      <c r="H586" s="319"/>
      <c r="I586" s="390"/>
      <c r="J586" s="426">
        <f t="shared" si="309"/>
        <v>363.00000000000006</v>
      </c>
      <c r="K586" s="103"/>
      <c r="L586" s="103"/>
      <c r="M586" s="103"/>
      <c r="N586" s="427">
        <f t="shared" si="310"/>
        <v>0</v>
      </c>
      <c r="O586" s="103"/>
      <c r="P586" s="103"/>
      <c r="Q586" s="103"/>
      <c r="R586" s="428">
        <f t="shared" si="311"/>
        <v>0</v>
      </c>
      <c r="S586" s="103">
        <v>3</v>
      </c>
      <c r="T586" s="103"/>
      <c r="U586" s="103"/>
      <c r="V586" s="125"/>
      <c r="W586" s="428">
        <f t="shared" si="315"/>
        <v>3</v>
      </c>
      <c r="X586" s="103"/>
      <c r="Y586" s="103">
        <v>156</v>
      </c>
      <c r="Z586" s="125"/>
      <c r="AA586" s="428">
        <f t="shared" si="316"/>
        <v>156</v>
      </c>
      <c r="AB586" s="103"/>
      <c r="AC586" s="103"/>
      <c r="AD586" s="103"/>
      <c r="AE586" s="428">
        <f t="shared" si="317"/>
        <v>0</v>
      </c>
      <c r="AF586" s="103"/>
      <c r="AG586" s="103"/>
      <c r="AH586" s="103"/>
      <c r="AI586" s="103"/>
      <c r="AJ586" s="428">
        <f t="shared" si="318"/>
        <v>0</v>
      </c>
      <c r="AK586" s="446">
        <v>1</v>
      </c>
      <c r="AL586" s="446">
        <v>1</v>
      </c>
      <c r="AM586" s="446"/>
      <c r="AN586" s="446"/>
      <c r="AO586" s="446"/>
      <c r="AP586" s="446"/>
      <c r="AQ586" s="446"/>
      <c r="AR586" s="431">
        <f t="shared" si="319"/>
        <v>2</v>
      </c>
      <c r="AT586" s="128" t="s">
        <v>3710</v>
      </c>
      <c r="AU586" s="100" t="s">
        <v>3712</v>
      </c>
      <c r="AV586" s="128" t="s">
        <v>3739</v>
      </c>
      <c r="AW586" s="388" t="s">
        <v>3741</v>
      </c>
      <c r="AX586" s="433">
        <f t="shared" si="320"/>
        <v>0</v>
      </c>
      <c r="AY586" s="433">
        <f t="shared" si="321"/>
        <v>0</v>
      </c>
      <c r="AZ586" s="433">
        <f t="shared" si="322"/>
        <v>0</v>
      </c>
      <c r="BA586" s="433">
        <f t="shared" si="312"/>
        <v>0</v>
      </c>
      <c r="BB586" s="433">
        <f t="shared" si="313"/>
        <v>0</v>
      </c>
      <c r="BC586" s="433">
        <f t="shared" si="314"/>
        <v>0</v>
      </c>
      <c r="BD586" s="433">
        <f t="shared" si="323"/>
        <v>3</v>
      </c>
      <c r="BE586" s="433">
        <f t="shared" si="324"/>
        <v>0</v>
      </c>
      <c r="BF586" s="433">
        <f t="shared" si="325"/>
        <v>0</v>
      </c>
      <c r="BG586" s="433">
        <f t="shared" si="326"/>
        <v>0</v>
      </c>
      <c r="BH586" s="433">
        <f t="shared" si="327"/>
        <v>0</v>
      </c>
      <c r="BI586" s="433">
        <f t="shared" si="328"/>
        <v>156</v>
      </c>
      <c r="BJ586" s="433">
        <f t="shared" si="329"/>
        <v>0</v>
      </c>
      <c r="BK586" s="433">
        <f t="shared" si="330"/>
        <v>0</v>
      </c>
      <c r="BL586" s="433">
        <f t="shared" si="331"/>
        <v>0</v>
      </c>
      <c r="BM586" s="433">
        <f t="shared" si="332"/>
        <v>0</v>
      </c>
      <c r="BN586" s="433">
        <f t="shared" si="333"/>
        <v>0</v>
      </c>
      <c r="BO586" s="433">
        <f t="shared" si="334"/>
        <v>0</v>
      </c>
      <c r="BP586" s="433">
        <f t="shared" si="335"/>
        <v>0</v>
      </c>
      <c r="BQ586" s="433">
        <f t="shared" si="336"/>
        <v>0</v>
      </c>
    </row>
    <row r="587" spans="1:69" s="291" customFormat="1" x14ac:dyDescent="0.2">
      <c r="A587" s="317">
        <v>41848</v>
      </c>
      <c r="B587" s="318">
        <v>3</v>
      </c>
      <c r="C587" s="320" t="s">
        <v>3700</v>
      </c>
      <c r="D587" s="321">
        <v>0.70833333333333337</v>
      </c>
      <c r="E587" s="321">
        <v>0.83472222222222225</v>
      </c>
      <c r="F587" s="318">
        <v>54</v>
      </c>
      <c r="G587" s="435">
        <v>10</v>
      </c>
      <c r="H587" s="318"/>
      <c r="I587" s="436"/>
      <c r="J587" s="437">
        <f t="shared" si="309"/>
        <v>182</v>
      </c>
      <c r="K587" s="285"/>
      <c r="L587" s="285"/>
      <c r="M587" s="285"/>
      <c r="N587" s="438">
        <f t="shared" si="310"/>
        <v>0</v>
      </c>
      <c r="O587" s="285">
        <v>1</v>
      </c>
      <c r="P587" s="285"/>
      <c r="Q587" s="285"/>
      <c r="R587" s="439">
        <f t="shared" si="311"/>
        <v>1</v>
      </c>
      <c r="S587" s="285"/>
      <c r="T587" s="285"/>
      <c r="U587" s="285"/>
      <c r="V587" s="440"/>
      <c r="W587" s="439">
        <f t="shared" si="315"/>
        <v>0</v>
      </c>
      <c r="X587" s="285"/>
      <c r="Y587" s="285">
        <v>86</v>
      </c>
      <c r="Z587" s="440"/>
      <c r="AA587" s="439">
        <f t="shared" si="316"/>
        <v>86</v>
      </c>
      <c r="AB587" s="285"/>
      <c r="AC587" s="285"/>
      <c r="AD587" s="285"/>
      <c r="AE587" s="439">
        <f t="shared" si="317"/>
        <v>0</v>
      </c>
      <c r="AF587" s="285"/>
      <c r="AG587" s="285"/>
      <c r="AH587" s="285"/>
      <c r="AI587" s="285"/>
      <c r="AJ587" s="439">
        <f t="shared" si="318"/>
        <v>0</v>
      </c>
      <c r="AK587" s="340"/>
      <c r="AL587" s="340"/>
      <c r="AM587" s="340"/>
      <c r="AN587" s="340"/>
      <c r="AO587" s="340"/>
      <c r="AP587" s="340"/>
      <c r="AQ587" s="340"/>
      <c r="AR587" s="441">
        <f t="shared" si="319"/>
        <v>0</v>
      </c>
      <c r="AT587" s="313"/>
      <c r="AU587" s="289" t="s">
        <v>3711</v>
      </c>
      <c r="AV587" s="313" t="s">
        <v>3739</v>
      </c>
      <c r="AW587" s="382" t="s">
        <v>3741</v>
      </c>
      <c r="AX587" s="443">
        <f t="shared" si="320"/>
        <v>0</v>
      </c>
      <c r="AY587" s="443">
        <f t="shared" si="321"/>
        <v>0</v>
      </c>
      <c r="AZ587" s="443">
        <f t="shared" si="322"/>
        <v>0</v>
      </c>
      <c r="BA587" s="443">
        <f t="shared" si="312"/>
        <v>1</v>
      </c>
      <c r="BB587" s="443">
        <f t="shared" si="313"/>
        <v>0</v>
      </c>
      <c r="BC587" s="443">
        <f t="shared" si="314"/>
        <v>0</v>
      </c>
      <c r="BD587" s="443">
        <f t="shared" si="323"/>
        <v>0</v>
      </c>
      <c r="BE587" s="443">
        <f t="shared" si="324"/>
        <v>0</v>
      </c>
      <c r="BF587" s="443">
        <f t="shared" si="325"/>
        <v>0</v>
      </c>
      <c r="BG587" s="443">
        <f t="shared" si="326"/>
        <v>0</v>
      </c>
      <c r="BH587" s="443">
        <f t="shared" si="327"/>
        <v>0</v>
      </c>
      <c r="BI587" s="443">
        <f t="shared" si="328"/>
        <v>86</v>
      </c>
      <c r="BJ587" s="443">
        <f t="shared" si="329"/>
        <v>0</v>
      </c>
      <c r="BK587" s="443">
        <f t="shared" si="330"/>
        <v>0</v>
      </c>
      <c r="BL587" s="443">
        <f t="shared" si="331"/>
        <v>0</v>
      </c>
      <c r="BM587" s="443">
        <f t="shared" si="332"/>
        <v>0</v>
      </c>
      <c r="BN587" s="443">
        <f t="shared" si="333"/>
        <v>0</v>
      </c>
      <c r="BO587" s="443">
        <f t="shared" si="334"/>
        <v>0</v>
      </c>
      <c r="BP587" s="443">
        <f t="shared" si="335"/>
        <v>0</v>
      </c>
      <c r="BQ587" s="443">
        <f t="shared" si="336"/>
        <v>0</v>
      </c>
    </row>
    <row r="588" spans="1:69" x14ac:dyDescent="0.2">
      <c r="A588" s="102">
        <v>41849</v>
      </c>
      <c r="B588" s="319">
        <v>1</v>
      </c>
      <c r="C588" s="118" t="s">
        <v>3705</v>
      </c>
      <c r="D588" s="111">
        <v>0.3347222222222222</v>
      </c>
      <c r="E588" s="111">
        <v>0.5805555555555556</v>
      </c>
      <c r="F588" s="319">
        <v>55</v>
      </c>
      <c r="G588" s="445">
        <v>7</v>
      </c>
      <c r="H588" s="319"/>
      <c r="I588" s="390"/>
      <c r="J588" s="426">
        <f t="shared" si="309"/>
        <v>354.00000000000011</v>
      </c>
      <c r="K588" s="103"/>
      <c r="L588" s="103"/>
      <c r="M588" s="103"/>
      <c r="N588" s="427">
        <f t="shared" si="310"/>
        <v>0</v>
      </c>
      <c r="O588" s="103"/>
      <c r="P588" s="103"/>
      <c r="Q588" s="103"/>
      <c r="R588" s="428">
        <f t="shared" si="311"/>
        <v>0</v>
      </c>
      <c r="S588" s="103"/>
      <c r="T588" s="103"/>
      <c r="U588" s="103"/>
      <c r="V588" s="125"/>
      <c r="W588" s="428">
        <f t="shared" si="315"/>
        <v>0</v>
      </c>
      <c r="X588" s="103">
        <v>1</v>
      </c>
      <c r="Y588" s="103">
        <v>172</v>
      </c>
      <c r="Z588" s="125"/>
      <c r="AA588" s="428">
        <f t="shared" si="316"/>
        <v>173</v>
      </c>
      <c r="AB588" s="103"/>
      <c r="AC588" s="103">
        <v>1</v>
      </c>
      <c r="AD588" s="103"/>
      <c r="AE588" s="428">
        <f t="shared" si="317"/>
        <v>1</v>
      </c>
      <c r="AF588" s="103"/>
      <c r="AG588" s="103"/>
      <c r="AH588" s="103"/>
      <c r="AI588" s="103"/>
      <c r="AJ588" s="428">
        <f t="shared" si="318"/>
        <v>0</v>
      </c>
      <c r="AK588" s="446"/>
      <c r="AL588" s="446"/>
      <c r="AM588" s="446"/>
      <c r="AN588" s="446"/>
      <c r="AO588" s="446"/>
      <c r="AP588" s="446"/>
      <c r="AQ588" s="446"/>
      <c r="AR588" s="431">
        <f t="shared" si="319"/>
        <v>0</v>
      </c>
      <c r="AT588" s="128"/>
      <c r="AU588" s="100" t="s">
        <v>3742</v>
      </c>
      <c r="AV588" s="128" t="s">
        <v>3778</v>
      </c>
      <c r="AW588" s="100" t="s">
        <v>3812</v>
      </c>
      <c r="AX588" s="433">
        <f t="shared" si="320"/>
        <v>0</v>
      </c>
      <c r="AY588" s="433">
        <f t="shared" si="321"/>
        <v>0</v>
      </c>
      <c r="AZ588" s="433">
        <f t="shared" si="322"/>
        <v>0</v>
      </c>
      <c r="BA588" s="433">
        <f t="shared" si="312"/>
        <v>0</v>
      </c>
      <c r="BB588" s="433">
        <f t="shared" si="313"/>
        <v>0</v>
      </c>
      <c r="BC588" s="433">
        <f t="shared" si="314"/>
        <v>0</v>
      </c>
      <c r="BD588" s="433">
        <f t="shared" si="323"/>
        <v>0</v>
      </c>
      <c r="BE588" s="433">
        <f t="shared" si="324"/>
        <v>0</v>
      </c>
      <c r="BF588" s="433">
        <f t="shared" si="325"/>
        <v>0</v>
      </c>
      <c r="BG588" s="433">
        <f t="shared" si="326"/>
        <v>0</v>
      </c>
      <c r="BH588" s="433">
        <f t="shared" si="327"/>
        <v>1</v>
      </c>
      <c r="BI588" s="433">
        <f t="shared" si="328"/>
        <v>172</v>
      </c>
      <c r="BJ588" s="433">
        <f t="shared" si="329"/>
        <v>0</v>
      </c>
      <c r="BK588" s="433">
        <f t="shared" si="330"/>
        <v>0</v>
      </c>
      <c r="BL588" s="433">
        <f t="shared" si="331"/>
        <v>1</v>
      </c>
      <c r="BM588" s="433">
        <f t="shared" si="332"/>
        <v>0</v>
      </c>
      <c r="BN588" s="433">
        <f t="shared" si="333"/>
        <v>0</v>
      </c>
      <c r="BO588" s="433">
        <f t="shared" si="334"/>
        <v>0</v>
      </c>
      <c r="BP588" s="433">
        <f t="shared" si="335"/>
        <v>0</v>
      </c>
      <c r="BQ588" s="433">
        <f t="shared" si="336"/>
        <v>0</v>
      </c>
    </row>
    <row r="589" spans="1:69" x14ac:dyDescent="0.2">
      <c r="A589" s="102">
        <v>41849</v>
      </c>
      <c r="B589" s="319">
        <v>1</v>
      </c>
      <c r="C589" s="118" t="s">
        <v>2073</v>
      </c>
      <c r="D589" s="111">
        <v>0.5805555555555556</v>
      </c>
      <c r="E589" s="111">
        <v>0.83611111111111114</v>
      </c>
      <c r="F589" s="319">
        <v>54</v>
      </c>
      <c r="G589" s="445">
        <v>11</v>
      </c>
      <c r="H589" s="319"/>
      <c r="I589" s="390"/>
      <c r="J589" s="426">
        <f t="shared" si="309"/>
        <v>368</v>
      </c>
      <c r="K589" s="103"/>
      <c r="L589" s="103"/>
      <c r="M589" s="103"/>
      <c r="N589" s="427">
        <f t="shared" si="310"/>
        <v>0</v>
      </c>
      <c r="O589" s="103"/>
      <c r="P589" s="103"/>
      <c r="Q589" s="103"/>
      <c r="R589" s="428">
        <f t="shared" si="311"/>
        <v>0</v>
      </c>
      <c r="S589" s="103">
        <v>2</v>
      </c>
      <c r="T589" s="103"/>
      <c r="U589" s="103"/>
      <c r="V589" s="125"/>
      <c r="W589" s="428">
        <f t="shared" si="315"/>
        <v>2</v>
      </c>
      <c r="X589" s="103"/>
      <c r="Y589" s="103">
        <v>176</v>
      </c>
      <c r="Z589" s="125"/>
      <c r="AA589" s="428">
        <f t="shared" si="316"/>
        <v>176</v>
      </c>
      <c r="AB589" s="103"/>
      <c r="AC589" s="103">
        <v>9</v>
      </c>
      <c r="AD589" s="103"/>
      <c r="AE589" s="428">
        <f t="shared" si="317"/>
        <v>9</v>
      </c>
      <c r="AF589" s="103">
        <v>1</v>
      </c>
      <c r="AG589" s="103"/>
      <c r="AH589" s="103"/>
      <c r="AI589" s="103"/>
      <c r="AJ589" s="428">
        <f t="shared" si="318"/>
        <v>1</v>
      </c>
      <c r="AK589" s="446"/>
      <c r="AL589" s="446"/>
      <c r="AM589" s="446"/>
      <c r="AN589" s="446"/>
      <c r="AO589" s="446"/>
      <c r="AP589" s="446"/>
      <c r="AQ589" s="446"/>
      <c r="AR589" s="431">
        <f t="shared" si="319"/>
        <v>0</v>
      </c>
      <c r="AT589" s="128"/>
      <c r="AU589" s="100" t="s">
        <v>3743</v>
      </c>
      <c r="AV589" s="128" t="s">
        <v>3778</v>
      </c>
      <c r="AW589" s="100" t="s">
        <v>3812</v>
      </c>
      <c r="AX589" s="433">
        <f t="shared" si="320"/>
        <v>0</v>
      </c>
      <c r="AY589" s="433">
        <f t="shared" si="321"/>
        <v>0</v>
      </c>
      <c r="AZ589" s="433">
        <f t="shared" si="322"/>
        <v>0</v>
      </c>
      <c r="BA589" s="433">
        <f t="shared" si="312"/>
        <v>0</v>
      </c>
      <c r="BB589" s="433">
        <f t="shared" si="313"/>
        <v>0</v>
      </c>
      <c r="BC589" s="433">
        <f t="shared" si="314"/>
        <v>0</v>
      </c>
      <c r="BD589" s="433">
        <f t="shared" si="323"/>
        <v>2</v>
      </c>
      <c r="BE589" s="433">
        <f t="shared" si="324"/>
        <v>0</v>
      </c>
      <c r="BF589" s="433">
        <f t="shared" si="325"/>
        <v>0</v>
      </c>
      <c r="BG589" s="433">
        <f t="shared" si="326"/>
        <v>0</v>
      </c>
      <c r="BH589" s="433">
        <f t="shared" si="327"/>
        <v>0</v>
      </c>
      <c r="BI589" s="433">
        <f t="shared" si="328"/>
        <v>176</v>
      </c>
      <c r="BJ589" s="433">
        <f t="shared" si="329"/>
        <v>0</v>
      </c>
      <c r="BK589" s="433">
        <f t="shared" si="330"/>
        <v>0</v>
      </c>
      <c r="BL589" s="433">
        <f t="shared" si="331"/>
        <v>9</v>
      </c>
      <c r="BM589" s="433">
        <f t="shared" si="332"/>
        <v>0</v>
      </c>
      <c r="BN589" s="433">
        <f t="shared" si="333"/>
        <v>1</v>
      </c>
      <c r="BO589" s="433">
        <f t="shared" si="334"/>
        <v>0</v>
      </c>
      <c r="BP589" s="433">
        <f t="shared" si="335"/>
        <v>0</v>
      </c>
      <c r="BQ589" s="433">
        <f t="shared" si="336"/>
        <v>0</v>
      </c>
    </row>
    <row r="590" spans="1:69" x14ac:dyDescent="0.2">
      <c r="A590" s="102">
        <v>41849</v>
      </c>
      <c r="B590" s="319">
        <v>2</v>
      </c>
      <c r="C590" s="118" t="s">
        <v>3700</v>
      </c>
      <c r="D590" s="111">
        <v>0.35694444444444445</v>
      </c>
      <c r="E590" s="111">
        <v>0.56527777777777777</v>
      </c>
      <c r="F590" s="319">
        <v>37</v>
      </c>
      <c r="G590" s="445">
        <v>9</v>
      </c>
      <c r="H590" s="319"/>
      <c r="I590" s="390"/>
      <c r="J590" s="426">
        <f>((E590-D590)*24*60)-7</f>
        <v>293</v>
      </c>
      <c r="K590" s="103"/>
      <c r="L590" s="103"/>
      <c r="M590" s="103"/>
      <c r="N590" s="427">
        <f t="shared" si="310"/>
        <v>0</v>
      </c>
      <c r="O590" s="103"/>
      <c r="P590" s="103"/>
      <c r="Q590" s="103"/>
      <c r="R590" s="428">
        <f t="shared" si="311"/>
        <v>0</v>
      </c>
      <c r="S590" s="103">
        <v>3</v>
      </c>
      <c r="T590" s="103"/>
      <c r="U590" s="103"/>
      <c r="V590" s="125"/>
      <c r="W590" s="428">
        <f t="shared" si="315"/>
        <v>3</v>
      </c>
      <c r="X590" s="103">
        <v>1</v>
      </c>
      <c r="Y590" s="103">
        <v>1</v>
      </c>
      <c r="Z590" s="125"/>
      <c r="AA590" s="428">
        <f>SUM(X590:Z590)</f>
        <v>2</v>
      </c>
      <c r="AB590" s="103">
        <v>1</v>
      </c>
      <c r="AC590" s="103">
        <v>1</v>
      </c>
      <c r="AD590" s="103"/>
      <c r="AE590" s="428">
        <f t="shared" si="317"/>
        <v>2</v>
      </c>
      <c r="AF590" s="103"/>
      <c r="AG590" s="103"/>
      <c r="AH590" s="103"/>
      <c r="AI590" s="103"/>
      <c r="AJ590" s="428">
        <f t="shared" si="318"/>
        <v>0</v>
      </c>
      <c r="AK590" s="446"/>
      <c r="AL590" s="446"/>
      <c r="AM590" s="446"/>
      <c r="AN590" s="446"/>
      <c r="AO590" s="446"/>
      <c r="AP590" s="446"/>
      <c r="AQ590" s="446"/>
      <c r="AR590" s="431">
        <f t="shared" si="319"/>
        <v>0</v>
      </c>
      <c r="AS590" s="10" t="s">
        <v>3745</v>
      </c>
      <c r="AT590" s="128"/>
      <c r="AU590" s="100" t="s">
        <v>3751</v>
      </c>
      <c r="AV590" s="128" t="s">
        <v>3778</v>
      </c>
      <c r="AW590" s="100" t="s">
        <v>3812</v>
      </c>
      <c r="AX590" s="433">
        <f t="shared" si="320"/>
        <v>0</v>
      </c>
      <c r="AY590" s="433">
        <f t="shared" si="321"/>
        <v>0</v>
      </c>
      <c r="AZ590" s="433">
        <f t="shared" si="322"/>
        <v>0</v>
      </c>
      <c r="BA590" s="433">
        <f t="shared" si="312"/>
        <v>0</v>
      </c>
      <c r="BB590" s="433">
        <f t="shared" si="313"/>
        <v>0</v>
      </c>
      <c r="BC590" s="433">
        <f t="shared" si="314"/>
        <v>0</v>
      </c>
      <c r="BD590" s="433">
        <f t="shared" si="323"/>
        <v>3</v>
      </c>
      <c r="BE590" s="433">
        <f t="shared" si="324"/>
        <v>0</v>
      </c>
      <c r="BF590" s="433">
        <f t="shared" si="325"/>
        <v>0</v>
      </c>
      <c r="BG590" s="433">
        <f t="shared" si="326"/>
        <v>0</v>
      </c>
      <c r="BH590" s="433">
        <f t="shared" si="327"/>
        <v>1</v>
      </c>
      <c r="BI590" s="433">
        <f t="shared" si="328"/>
        <v>1</v>
      </c>
      <c r="BJ590" s="433">
        <f t="shared" si="329"/>
        <v>0</v>
      </c>
      <c r="BK590" s="433">
        <f t="shared" si="330"/>
        <v>1</v>
      </c>
      <c r="BL590" s="433">
        <f t="shared" si="331"/>
        <v>1</v>
      </c>
      <c r="BM590" s="433">
        <f t="shared" si="332"/>
        <v>0</v>
      </c>
      <c r="BN590" s="433">
        <f t="shared" si="333"/>
        <v>0</v>
      </c>
      <c r="BO590" s="433">
        <f t="shared" si="334"/>
        <v>0</v>
      </c>
      <c r="BP590" s="433">
        <f t="shared" si="335"/>
        <v>0</v>
      </c>
      <c r="BQ590" s="433">
        <f t="shared" si="336"/>
        <v>0</v>
      </c>
    </row>
    <row r="591" spans="1:69" x14ac:dyDescent="0.2">
      <c r="A591" s="102">
        <v>41849</v>
      </c>
      <c r="B591" s="319">
        <v>2</v>
      </c>
      <c r="C591" s="118" t="s">
        <v>2073</v>
      </c>
      <c r="D591" s="111">
        <v>0.56527777777777777</v>
      </c>
      <c r="E591" s="111">
        <v>0.8569444444444444</v>
      </c>
      <c r="F591" s="319">
        <v>36</v>
      </c>
      <c r="G591" s="445">
        <v>12</v>
      </c>
      <c r="H591" s="319"/>
      <c r="I591" s="390"/>
      <c r="J591" s="426">
        <f t="shared" si="309"/>
        <v>419.99999999999994</v>
      </c>
      <c r="K591" s="103"/>
      <c r="L591" s="103"/>
      <c r="M591" s="103"/>
      <c r="N591" s="427">
        <f t="shared" si="310"/>
        <v>0</v>
      </c>
      <c r="O591" s="103"/>
      <c r="P591" s="103"/>
      <c r="Q591" s="103"/>
      <c r="R591" s="428">
        <f t="shared" si="311"/>
        <v>0</v>
      </c>
      <c r="S591" s="103">
        <v>1</v>
      </c>
      <c r="T591" s="103"/>
      <c r="U591" s="103"/>
      <c r="V591" s="125"/>
      <c r="W591" s="428">
        <f t="shared" si="315"/>
        <v>1</v>
      </c>
      <c r="X591" s="103"/>
      <c r="Y591" s="103">
        <v>3</v>
      </c>
      <c r="Z591" s="125"/>
      <c r="AA591" s="428">
        <f t="shared" si="316"/>
        <v>3</v>
      </c>
      <c r="AB591" s="103"/>
      <c r="AC591" s="103">
        <v>2</v>
      </c>
      <c r="AD591" s="103"/>
      <c r="AE591" s="428">
        <f t="shared" si="317"/>
        <v>2</v>
      </c>
      <c r="AF591" s="103"/>
      <c r="AG591" s="103"/>
      <c r="AH591" s="103"/>
      <c r="AI591" s="103"/>
      <c r="AJ591" s="428">
        <f t="shared" si="318"/>
        <v>0</v>
      </c>
      <c r="AK591" s="446"/>
      <c r="AL591" s="446"/>
      <c r="AM591" s="446">
        <v>1</v>
      </c>
      <c r="AN591" s="446"/>
      <c r="AO591" s="446"/>
      <c r="AP591" s="446"/>
      <c r="AQ591" s="446"/>
      <c r="AR591" s="431">
        <f t="shared" si="319"/>
        <v>1</v>
      </c>
      <c r="AS591" s="10" t="s">
        <v>3744</v>
      </c>
      <c r="AT591" s="128"/>
      <c r="AU591" s="100" t="s">
        <v>3743</v>
      </c>
      <c r="AV591" s="128" t="s">
        <v>3778</v>
      </c>
      <c r="AW591" s="100" t="s">
        <v>3812</v>
      </c>
      <c r="AX591" s="433">
        <f t="shared" si="320"/>
        <v>0</v>
      </c>
      <c r="AY591" s="433">
        <f t="shared" si="321"/>
        <v>0</v>
      </c>
      <c r="AZ591" s="433">
        <f t="shared" si="322"/>
        <v>0</v>
      </c>
      <c r="BA591" s="433">
        <f t="shared" si="312"/>
        <v>0</v>
      </c>
      <c r="BB591" s="433">
        <f t="shared" si="313"/>
        <v>0</v>
      </c>
      <c r="BC591" s="433">
        <f t="shared" si="314"/>
        <v>0</v>
      </c>
      <c r="BD591" s="433">
        <f t="shared" si="323"/>
        <v>1</v>
      </c>
      <c r="BE591" s="433">
        <f t="shared" si="324"/>
        <v>0</v>
      </c>
      <c r="BF591" s="433">
        <f t="shared" si="325"/>
        <v>0</v>
      </c>
      <c r="BG591" s="433">
        <f t="shared" si="326"/>
        <v>0</v>
      </c>
      <c r="BH591" s="433">
        <f t="shared" si="327"/>
        <v>0</v>
      </c>
      <c r="BI591" s="433">
        <f t="shared" si="328"/>
        <v>3</v>
      </c>
      <c r="BJ591" s="433">
        <f t="shared" si="329"/>
        <v>0</v>
      </c>
      <c r="BK591" s="433">
        <f t="shared" si="330"/>
        <v>0</v>
      </c>
      <c r="BL591" s="433">
        <f t="shared" si="331"/>
        <v>2</v>
      </c>
      <c r="BM591" s="433">
        <f t="shared" si="332"/>
        <v>0</v>
      </c>
      <c r="BN591" s="433">
        <f t="shared" si="333"/>
        <v>0</v>
      </c>
      <c r="BO591" s="433">
        <f t="shared" si="334"/>
        <v>0</v>
      </c>
      <c r="BP591" s="433">
        <f t="shared" si="335"/>
        <v>0</v>
      </c>
      <c r="BQ591" s="433">
        <f t="shared" si="336"/>
        <v>0</v>
      </c>
    </row>
    <row r="592" spans="1:69" x14ac:dyDescent="0.2">
      <c r="A592" s="102">
        <v>41849</v>
      </c>
      <c r="B592" s="319">
        <v>3</v>
      </c>
      <c r="C592" s="118" t="s">
        <v>2073</v>
      </c>
      <c r="D592" s="111">
        <v>0.3347222222222222</v>
      </c>
      <c r="E592" s="111">
        <v>0.45</v>
      </c>
      <c r="F592" s="319">
        <v>57</v>
      </c>
      <c r="G592" s="445">
        <v>8</v>
      </c>
      <c r="H592" s="319"/>
      <c r="I592" s="390"/>
      <c r="J592" s="426">
        <f t="shared" si="309"/>
        <v>166.00000000000006</v>
      </c>
      <c r="K592" s="103"/>
      <c r="L592" s="103"/>
      <c r="M592" s="103"/>
      <c r="N592" s="427">
        <f t="shared" si="310"/>
        <v>0</v>
      </c>
      <c r="O592" s="103"/>
      <c r="P592" s="103"/>
      <c r="Q592" s="103"/>
      <c r="R592" s="428">
        <f t="shared" si="311"/>
        <v>0</v>
      </c>
      <c r="S592" s="103"/>
      <c r="T592" s="103"/>
      <c r="U592" s="103"/>
      <c r="V592" s="125"/>
      <c r="W592" s="428">
        <f t="shared" si="315"/>
        <v>0</v>
      </c>
      <c r="X592" s="103">
        <v>3</v>
      </c>
      <c r="Y592" s="103">
        <v>79</v>
      </c>
      <c r="Z592" s="125"/>
      <c r="AA592" s="428">
        <f t="shared" si="316"/>
        <v>82</v>
      </c>
      <c r="AB592" s="103"/>
      <c r="AC592" s="103"/>
      <c r="AD592" s="103"/>
      <c r="AE592" s="428">
        <f t="shared" si="317"/>
        <v>0</v>
      </c>
      <c r="AF592" s="103">
        <v>1</v>
      </c>
      <c r="AG592" s="103"/>
      <c r="AH592" s="103"/>
      <c r="AI592" s="103"/>
      <c r="AJ592" s="428">
        <f t="shared" si="318"/>
        <v>1</v>
      </c>
      <c r="AK592" s="446"/>
      <c r="AL592" s="446"/>
      <c r="AM592" s="446"/>
      <c r="AN592" s="446"/>
      <c r="AO592" s="446"/>
      <c r="AP592" s="446"/>
      <c r="AQ592" s="446"/>
      <c r="AR592" s="431">
        <f t="shared" si="319"/>
        <v>0</v>
      </c>
      <c r="AS592" s="10" t="s">
        <v>3746</v>
      </c>
      <c r="AT592" s="128"/>
      <c r="AU592" s="100" t="s">
        <v>3747</v>
      </c>
      <c r="AV592" s="128" t="s">
        <v>3778</v>
      </c>
      <c r="AW592" s="100" t="s">
        <v>3812</v>
      </c>
      <c r="AX592" s="433">
        <f t="shared" si="320"/>
        <v>0</v>
      </c>
      <c r="AY592" s="433">
        <f t="shared" si="321"/>
        <v>0</v>
      </c>
      <c r="AZ592" s="433">
        <f t="shared" si="322"/>
        <v>0</v>
      </c>
      <c r="BA592" s="433">
        <f t="shared" si="312"/>
        <v>0</v>
      </c>
      <c r="BB592" s="433">
        <f t="shared" si="313"/>
        <v>0</v>
      </c>
      <c r="BC592" s="433">
        <f t="shared" si="314"/>
        <v>0</v>
      </c>
      <c r="BD592" s="433">
        <f t="shared" si="323"/>
        <v>0</v>
      </c>
      <c r="BE592" s="433">
        <f t="shared" si="324"/>
        <v>0</v>
      </c>
      <c r="BF592" s="433">
        <f t="shared" si="325"/>
        <v>0</v>
      </c>
      <c r="BG592" s="433">
        <f t="shared" si="326"/>
        <v>0</v>
      </c>
      <c r="BH592" s="433">
        <f t="shared" si="327"/>
        <v>3</v>
      </c>
      <c r="BI592" s="433">
        <f t="shared" si="328"/>
        <v>79</v>
      </c>
      <c r="BJ592" s="433">
        <f t="shared" si="329"/>
        <v>0</v>
      </c>
      <c r="BK592" s="433">
        <f t="shared" si="330"/>
        <v>0</v>
      </c>
      <c r="BL592" s="433">
        <f t="shared" si="331"/>
        <v>0</v>
      </c>
      <c r="BM592" s="433">
        <f t="shared" si="332"/>
        <v>0</v>
      </c>
      <c r="BN592" s="433">
        <f t="shared" si="333"/>
        <v>1</v>
      </c>
      <c r="BO592" s="433">
        <f t="shared" si="334"/>
        <v>0</v>
      </c>
      <c r="BP592" s="433">
        <f t="shared" si="335"/>
        <v>0</v>
      </c>
      <c r="BQ592" s="433">
        <f t="shared" si="336"/>
        <v>0</v>
      </c>
    </row>
    <row r="593" spans="1:69" x14ac:dyDescent="0.2">
      <c r="A593" s="102">
        <v>41849</v>
      </c>
      <c r="B593" s="319">
        <v>3</v>
      </c>
      <c r="C593" s="118" t="s">
        <v>3748</v>
      </c>
      <c r="D593" s="111">
        <v>0.45</v>
      </c>
      <c r="E593" s="111">
        <v>0.70972222222222225</v>
      </c>
      <c r="F593" s="319">
        <v>55</v>
      </c>
      <c r="G593" s="445">
        <v>11</v>
      </c>
      <c r="H593" s="319"/>
      <c r="I593" s="390"/>
      <c r="J593" s="426">
        <f t="shared" si="309"/>
        <v>374.00000000000006</v>
      </c>
      <c r="K593" s="103"/>
      <c r="L593" s="103"/>
      <c r="M593" s="103"/>
      <c r="N593" s="427">
        <f t="shared" si="310"/>
        <v>0</v>
      </c>
      <c r="O593" s="103"/>
      <c r="P593" s="103"/>
      <c r="Q593" s="103"/>
      <c r="R593" s="428">
        <f t="shared" si="311"/>
        <v>0</v>
      </c>
      <c r="S593" s="103">
        <v>1</v>
      </c>
      <c r="T593" s="103"/>
      <c r="U593" s="103"/>
      <c r="V593" s="125"/>
      <c r="W593" s="428">
        <f t="shared" si="315"/>
        <v>1</v>
      </c>
      <c r="X593" s="103"/>
      <c r="Y593" s="103">
        <v>327</v>
      </c>
      <c r="Z593" s="125"/>
      <c r="AA593" s="428">
        <f t="shared" si="316"/>
        <v>327</v>
      </c>
      <c r="AB593" s="103">
        <v>2</v>
      </c>
      <c r="AC593" s="103">
        <v>5</v>
      </c>
      <c r="AD593" s="103"/>
      <c r="AE593" s="428">
        <f t="shared" si="317"/>
        <v>7</v>
      </c>
      <c r="AF593" s="103">
        <v>1</v>
      </c>
      <c r="AG593" s="103"/>
      <c r="AH593" s="103"/>
      <c r="AI593" s="103"/>
      <c r="AJ593" s="428">
        <f t="shared" si="318"/>
        <v>1</v>
      </c>
      <c r="AK593" s="446"/>
      <c r="AL593" s="446"/>
      <c r="AM593" s="446"/>
      <c r="AN593" s="446"/>
      <c r="AO593" s="446"/>
      <c r="AP593" s="446"/>
      <c r="AQ593" s="446"/>
      <c r="AR593" s="431">
        <f t="shared" si="319"/>
        <v>0</v>
      </c>
      <c r="AT593" s="128" t="s">
        <v>3749</v>
      </c>
      <c r="AU593" s="100" t="s">
        <v>3750</v>
      </c>
      <c r="AV593" s="128" t="s">
        <v>3778</v>
      </c>
      <c r="AW593" s="100" t="s">
        <v>3812</v>
      </c>
      <c r="AX593" s="433">
        <f t="shared" si="320"/>
        <v>0</v>
      </c>
      <c r="AY593" s="433">
        <f t="shared" si="321"/>
        <v>0</v>
      </c>
      <c r="AZ593" s="433">
        <f t="shared" si="322"/>
        <v>0</v>
      </c>
      <c r="BA593" s="433">
        <f t="shared" si="312"/>
        <v>0</v>
      </c>
      <c r="BB593" s="433">
        <f t="shared" si="313"/>
        <v>0</v>
      </c>
      <c r="BC593" s="433">
        <f t="shared" si="314"/>
        <v>0</v>
      </c>
      <c r="BD593" s="433">
        <f t="shared" si="323"/>
        <v>1</v>
      </c>
      <c r="BE593" s="433">
        <f t="shared" si="324"/>
        <v>0</v>
      </c>
      <c r="BF593" s="433">
        <f t="shared" si="325"/>
        <v>0</v>
      </c>
      <c r="BG593" s="433">
        <f t="shared" si="326"/>
        <v>0</v>
      </c>
      <c r="BH593" s="433">
        <f t="shared" si="327"/>
        <v>0</v>
      </c>
      <c r="BI593" s="433">
        <f t="shared" si="328"/>
        <v>327</v>
      </c>
      <c r="BJ593" s="433">
        <f t="shared" si="329"/>
        <v>0</v>
      </c>
      <c r="BK593" s="433">
        <f t="shared" si="330"/>
        <v>2</v>
      </c>
      <c r="BL593" s="433">
        <f t="shared" si="331"/>
        <v>5</v>
      </c>
      <c r="BM593" s="433">
        <f t="shared" si="332"/>
        <v>0</v>
      </c>
      <c r="BN593" s="433">
        <f t="shared" si="333"/>
        <v>1</v>
      </c>
      <c r="BO593" s="433">
        <f t="shared" si="334"/>
        <v>0</v>
      </c>
      <c r="BP593" s="433">
        <f t="shared" si="335"/>
        <v>0</v>
      </c>
      <c r="BQ593" s="433">
        <f t="shared" si="336"/>
        <v>0</v>
      </c>
    </row>
    <row r="594" spans="1:69" s="291" customFormat="1" x14ac:dyDescent="0.2">
      <c r="A594" s="317">
        <v>41849</v>
      </c>
      <c r="B594" s="318">
        <v>3</v>
      </c>
      <c r="C594" s="320" t="s">
        <v>3700</v>
      </c>
      <c r="D594" s="321">
        <v>0.70972222222222225</v>
      </c>
      <c r="E594" s="321">
        <v>0.8354166666666667</v>
      </c>
      <c r="F594" s="318">
        <v>58</v>
      </c>
      <c r="G594" s="435">
        <v>11</v>
      </c>
      <c r="H594" s="318"/>
      <c r="I594" s="436"/>
      <c r="J594" s="437">
        <f t="shared" si="309"/>
        <v>181</v>
      </c>
      <c r="K594" s="285"/>
      <c r="L594" s="285"/>
      <c r="M594" s="285"/>
      <c r="N594" s="438">
        <f t="shared" si="310"/>
        <v>0</v>
      </c>
      <c r="O594" s="285"/>
      <c r="P594" s="285"/>
      <c r="Q594" s="285"/>
      <c r="R594" s="439">
        <f t="shared" si="311"/>
        <v>0</v>
      </c>
      <c r="S594" s="285">
        <v>1</v>
      </c>
      <c r="T594" s="285"/>
      <c r="U594" s="285"/>
      <c r="V594" s="440"/>
      <c r="W594" s="439">
        <f t="shared" si="315"/>
        <v>1</v>
      </c>
      <c r="X594" s="285"/>
      <c r="Y594" s="285">
        <v>216</v>
      </c>
      <c r="Z594" s="440"/>
      <c r="AA594" s="439">
        <f t="shared" si="316"/>
        <v>216</v>
      </c>
      <c r="AB594" s="285"/>
      <c r="AC594" s="285">
        <v>3</v>
      </c>
      <c r="AD594" s="285"/>
      <c r="AE594" s="439">
        <f t="shared" si="317"/>
        <v>3</v>
      </c>
      <c r="AF594" s="285">
        <v>1</v>
      </c>
      <c r="AG594" s="285"/>
      <c r="AH594" s="285"/>
      <c r="AI594" s="285"/>
      <c r="AJ594" s="439">
        <f t="shared" si="318"/>
        <v>1</v>
      </c>
      <c r="AK594" s="340"/>
      <c r="AL594" s="340"/>
      <c r="AM594" s="340"/>
      <c r="AN594" s="340"/>
      <c r="AO594" s="340"/>
      <c r="AP594" s="340"/>
      <c r="AQ594" s="340"/>
      <c r="AR594" s="441">
        <f t="shared" si="319"/>
        <v>0</v>
      </c>
      <c r="AT594" s="313"/>
      <c r="AU594" s="289" t="s">
        <v>3751</v>
      </c>
      <c r="AV594" s="313" t="s">
        <v>3778</v>
      </c>
      <c r="AW594" s="382" t="s">
        <v>3812</v>
      </c>
      <c r="AX594" s="443">
        <f t="shared" si="320"/>
        <v>0</v>
      </c>
      <c r="AY594" s="443">
        <f t="shared" si="321"/>
        <v>0</v>
      </c>
      <c r="AZ594" s="443">
        <f t="shared" si="322"/>
        <v>0</v>
      </c>
      <c r="BA594" s="443">
        <f t="shared" si="312"/>
        <v>0</v>
      </c>
      <c r="BB594" s="443">
        <f t="shared" si="313"/>
        <v>0</v>
      </c>
      <c r="BC594" s="443">
        <f t="shared" si="314"/>
        <v>0</v>
      </c>
      <c r="BD594" s="443">
        <f t="shared" si="323"/>
        <v>1</v>
      </c>
      <c r="BE594" s="443">
        <f t="shared" si="324"/>
        <v>0</v>
      </c>
      <c r="BF594" s="443">
        <f t="shared" si="325"/>
        <v>0</v>
      </c>
      <c r="BG594" s="443">
        <f t="shared" si="326"/>
        <v>0</v>
      </c>
      <c r="BH594" s="443">
        <f t="shared" si="327"/>
        <v>0</v>
      </c>
      <c r="BI594" s="443">
        <f t="shared" si="328"/>
        <v>216</v>
      </c>
      <c r="BJ594" s="443">
        <f t="shared" si="329"/>
        <v>0</v>
      </c>
      <c r="BK594" s="443">
        <f t="shared" si="330"/>
        <v>0</v>
      </c>
      <c r="BL594" s="443">
        <f t="shared" si="331"/>
        <v>3</v>
      </c>
      <c r="BM594" s="443">
        <f t="shared" si="332"/>
        <v>0</v>
      </c>
      <c r="BN594" s="443">
        <f t="shared" si="333"/>
        <v>1</v>
      </c>
      <c r="BO594" s="443">
        <f t="shared" si="334"/>
        <v>0</v>
      </c>
      <c r="BP594" s="443">
        <f t="shared" si="335"/>
        <v>0</v>
      </c>
      <c r="BQ594" s="443">
        <f t="shared" si="336"/>
        <v>0</v>
      </c>
    </row>
    <row r="595" spans="1:69" x14ac:dyDescent="0.2">
      <c r="A595" s="102">
        <v>41850</v>
      </c>
      <c r="B595" s="319">
        <v>1</v>
      </c>
      <c r="C595" s="118" t="s">
        <v>3780</v>
      </c>
      <c r="D595" s="111">
        <v>0.33055555555555555</v>
      </c>
      <c r="E595" s="111">
        <v>0.54166666666666663</v>
      </c>
      <c r="F595" s="319">
        <v>54</v>
      </c>
      <c r="G595" s="445">
        <v>9</v>
      </c>
      <c r="H595" s="319"/>
      <c r="I595" s="390"/>
      <c r="J595" s="468">
        <f t="shared" si="309"/>
        <v>304</v>
      </c>
      <c r="K595" s="103"/>
      <c r="L595" s="103"/>
      <c r="M595" s="103"/>
      <c r="N595" s="427">
        <f t="shared" si="310"/>
        <v>0</v>
      </c>
      <c r="O595" s="103"/>
      <c r="P595" s="103"/>
      <c r="Q595" s="103"/>
      <c r="R595" s="428">
        <f t="shared" si="311"/>
        <v>0</v>
      </c>
      <c r="S595" s="103"/>
      <c r="T595" s="103"/>
      <c r="U595" s="103"/>
      <c r="V595" s="125"/>
      <c r="W595" s="428">
        <f t="shared" si="315"/>
        <v>0</v>
      </c>
      <c r="X595" s="103">
        <v>3</v>
      </c>
      <c r="Y595" s="103">
        <v>58</v>
      </c>
      <c r="Z595" s="125"/>
      <c r="AA595" s="428">
        <f t="shared" si="316"/>
        <v>61</v>
      </c>
      <c r="AB595" s="103">
        <v>1</v>
      </c>
      <c r="AC595" s="103"/>
      <c r="AD595" s="103"/>
      <c r="AE595" s="428">
        <f t="shared" si="317"/>
        <v>1</v>
      </c>
      <c r="AF595" s="103"/>
      <c r="AG595" s="103"/>
      <c r="AH595" s="103"/>
      <c r="AI595" s="103"/>
      <c r="AJ595" s="428">
        <f t="shared" si="318"/>
        <v>0</v>
      </c>
      <c r="AK595" s="446"/>
      <c r="AL595" s="446"/>
      <c r="AM595" s="446"/>
      <c r="AN595" s="446"/>
      <c r="AO595" s="446"/>
      <c r="AP595" s="446"/>
      <c r="AQ595" s="446"/>
      <c r="AR595" s="431">
        <f t="shared" si="319"/>
        <v>0</v>
      </c>
      <c r="AS595" s="10" t="s">
        <v>3781</v>
      </c>
      <c r="AT595" s="128"/>
      <c r="AU595" s="100" t="s">
        <v>3782</v>
      </c>
      <c r="AV595" s="128" t="s">
        <v>3813</v>
      </c>
      <c r="AW595" s="100" t="s">
        <v>3814</v>
      </c>
      <c r="AX595" s="433">
        <f t="shared" si="320"/>
        <v>0</v>
      </c>
      <c r="AY595" s="433">
        <f t="shared" si="321"/>
        <v>0</v>
      </c>
      <c r="AZ595" s="433">
        <f t="shared" si="322"/>
        <v>0</v>
      </c>
      <c r="BA595" s="433">
        <f t="shared" si="312"/>
        <v>0</v>
      </c>
      <c r="BB595" s="433">
        <f t="shared" si="313"/>
        <v>0</v>
      </c>
      <c r="BC595" s="433">
        <f t="shared" si="314"/>
        <v>0</v>
      </c>
      <c r="BD595" s="433">
        <f t="shared" si="323"/>
        <v>0</v>
      </c>
      <c r="BE595" s="433">
        <f t="shared" si="324"/>
        <v>0</v>
      </c>
      <c r="BF595" s="433">
        <f t="shared" si="325"/>
        <v>0</v>
      </c>
      <c r="BG595" s="433">
        <f t="shared" si="326"/>
        <v>0</v>
      </c>
      <c r="BH595" s="433">
        <f t="shared" si="327"/>
        <v>3</v>
      </c>
      <c r="BI595" s="433">
        <f t="shared" si="328"/>
        <v>58</v>
      </c>
      <c r="BJ595" s="433">
        <f t="shared" si="329"/>
        <v>0</v>
      </c>
      <c r="BK595" s="433">
        <f t="shared" si="330"/>
        <v>1</v>
      </c>
      <c r="BL595" s="433">
        <f t="shared" si="331"/>
        <v>0</v>
      </c>
      <c r="BM595" s="433">
        <f t="shared" si="332"/>
        <v>0</v>
      </c>
      <c r="BN595" s="433">
        <f t="shared" si="333"/>
        <v>0</v>
      </c>
      <c r="BO595" s="433">
        <f t="shared" si="334"/>
        <v>0</v>
      </c>
      <c r="BP595" s="433">
        <f t="shared" si="335"/>
        <v>0</v>
      </c>
      <c r="BQ595" s="433">
        <f t="shared" si="336"/>
        <v>0</v>
      </c>
    </row>
    <row r="596" spans="1:69" x14ac:dyDescent="0.2">
      <c r="A596" s="102">
        <v>41850</v>
      </c>
      <c r="B596" s="319">
        <v>1</v>
      </c>
      <c r="C596" s="118" t="s">
        <v>3783</v>
      </c>
      <c r="D596" s="111">
        <v>0.59027777777777779</v>
      </c>
      <c r="E596" s="111">
        <v>0.83750000000000002</v>
      </c>
      <c r="F596" s="319">
        <v>52</v>
      </c>
      <c r="G596" s="445">
        <v>12</v>
      </c>
      <c r="H596" s="319"/>
      <c r="I596" s="390"/>
      <c r="J596" s="426">
        <f t="shared" si="309"/>
        <v>356</v>
      </c>
      <c r="K596" s="103"/>
      <c r="L596" s="103"/>
      <c r="M596" s="103"/>
      <c r="N596" s="427">
        <f t="shared" si="310"/>
        <v>0</v>
      </c>
      <c r="O596" s="103"/>
      <c r="P596" s="103"/>
      <c r="Q596" s="103"/>
      <c r="R596" s="428">
        <f t="shared" si="311"/>
        <v>0</v>
      </c>
      <c r="S596" s="103">
        <v>1</v>
      </c>
      <c r="T596" s="103"/>
      <c r="U596" s="103"/>
      <c r="V596" s="125"/>
      <c r="W596" s="428">
        <f t="shared" si="315"/>
        <v>1</v>
      </c>
      <c r="X596" s="103"/>
      <c r="Y596" s="103">
        <v>59</v>
      </c>
      <c r="Z596" s="125"/>
      <c r="AA596" s="428">
        <f t="shared" si="316"/>
        <v>59</v>
      </c>
      <c r="AB596" s="103">
        <v>2</v>
      </c>
      <c r="AC596" s="103">
        <v>1</v>
      </c>
      <c r="AD596" s="103"/>
      <c r="AE596" s="428">
        <f t="shared" si="317"/>
        <v>3</v>
      </c>
      <c r="AF596" s="103"/>
      <c r="AG596" s="103"/>
      <c r="AH596" s="103"/>
      <c r="AI596" s="103"/>
      <c r="AJ596" s="428">
        <f t="shared" si="318"/>
        <v>0</v>
      </c>
      <c r="AK596" s="446"/>
      <c r="AL596" s="446"/>
      <c r="AM596" s="446"/>
      <c r="AN596" s="446"/>
      <c r="AO596" s="446"/>
      <c r="AP596" s="446"/>
      <c r="AQ596" s="446"/>
      <c r="AR596" s="431">
        <f t="shared" si="319"/>
        <v>0</v>
      </c>
      <c r="AS596" s="10" t="s">
        <v>3784</v>
      </c>
      <c r="AT596" s="128"/>
      <c r="AU596" s="100" t="s">
        <v>3785</v>
      </c>
      <c r="AV596" s="128" t="s">
        <v>3813</v>
      </c>
      <c r="AW596" s="100" t="s">
        <v>3814</v>
      </c>
      <c r="AX596" s="433">
        <f t="shared" si="320"/>
        <v>0</v>
      </c>
      <c r="AY596" s="433">
        <f t="shared" si="321"/>
        <v>0</v>
      </c>
      <c r="AZ596" s="433">
        <f t="shared" si="322"/>
        <v>0</v>
      </c>
      <c r="BA596" s="433">
        <f t="shared" si="312"/>
        <v>0</v>
      </c>
      <c r="BB596" s="433">
        <f t="shared" si="313"/>
        <v>0</v>
      </c>
      <c r="BC596" s="433">
        <f t="shared" si="314"/>
        <v>0</v>
      </c>
      <c r="BD596" s="433">
        <f t="shared" si="323"/>
        <v>1</v>
      </c>
      <c r="BE596" s="433">
        <f t="shared" si="324"/>
        <v>0</v>
      </c>
      <c r="BF596" s="433">
        <f t="shared" si="325"/>
        <v>0</v>
      </c>
      <c r="BG596" s="433">
        <f t="shared" si="326"/>
        <v>0</v>
      </c>
      <c r="BH596" s="433">
        <f t="shared" si="327"/>
        <v>0</v>
      </c>
      <c r="BI596" s="433">
        <f t="shared" si="328"/>
        <v>59</v>
      </c>
      <c r="BJ596" s="433">
        <f t="shared" si="329"/>
        <v>0</v>
      </c>
      <c r="BK596" s="433">
        <f t="shared" si="330"/>
        <v>2</v>
      </c>
      <c r="BL596" s="433">
        <f t="shared" si="331"/>
        <v>1</v>
      </c>
      <c r="BM596" s="433">
        <f t="shared" si="332"/>
        <v>0</v>
      </c>
      <c r="BN596" s="433">
        <f t="shared" si="333"/>
        <v>0</v>
      </c>
      <c r="BO596" s="433">
        <f t="shared" si="334"/>
        <v>0</v>
      </c>
      <c r="BP596" s="433">
        <f t="shared" si="335"/>
        <v>0</v>
      </c>
      <c r="BQ596" s="433">
        <f t="shared" si="336"/>
        <v>0</v>
      </c>
    </row>
    <row r="597" spans="1:69" x14ac:dyDescent="0.2">
      <c r="A597" s="102">
        <v>41850</v>
      </c>
      <c r="B597" s="319">
        <v>2</v>
      </c>
      <c r="C597" s="118" t="s">
        <v>3780</v>
      </c>
      <c r="D597" s="111">
        <v>0.33611111111111108</v>
      </c>
      <c r="E597" s="111">
        <v>0.58333333333333337</v>
      </c>
      <c r="F597" s="319">
        <v>44</v>
      </c>
      <c r="G597" s="445">
        <v>9</v>
      </c>
      <c r="H597" s="319"/>
      <c r="I597" s="390"/>
      <c r="J597" s="426">
        <f t="shared" si="309"/>
        <v>356.00000000000011</v>
      </c>
      <c r="K597" s="103"/>
      <c r="L597" s="103"/>
      <c r="M597" s="103"/>
      <c r="N597" s="427">
        <f t="shared" si="310"/>
        <v>0</v>
      </c>
      <c r="O597" s="103"/>
      <c r="P597" s="103"/>
      <c r="Q597" s="103"/>
      <c r="R597" s="428">
        <f t="shared" si="311"/>
        <v>0</v>
      </c>
      <c r="S597" s="103">
        <v>1</v>
      </c>
      <c r="T597" s="103"/>
      <c r="U597" s="103"/>
      <c r="V597" s="125"/>
      <c r="W597" s="428">
        <f t="shared" si="315"/>
        <v>1</v>
      </c>
      <c r="X597" s="103">
        <v>2</v>
      </c>
      <c r="Y597" s="103"/>
      <c r="Z597" s="125"/>
      <c r="AA597" s="428">
        <f t="shared" si="316"/>
        <v>2</v>
      </c>
      <c r="AB597" s="103"/>
      <c r="AC597" s="103"/>
      <c r="AD597" s="103"/>
      <c r="AE597" s="428">
        <f t="shared" si="317"/>
        <v>0</v>
      </c>
      <c r="AF597" s="103"/>
      <c r="AG597" s="103"/>
      <c r="AH597" s="103"/>
      <c r="AI597" s="103"/>
      <c r="AJ597" s="428">
        <f t="shared" si="318"/>
        <v>0</v>
      </c>
      <c r="AK597" s="446"/>
      <c r="AL597" s="446"/>
      <c r="AM597" s="446"/>
      <c r="AN597" s="446"/>
      <c r="AO597" s="446"/>
      <c r="AP597" s="446"/>
      <c r="AQ597" s="446"/>
      <c r="AR597" s="431">
        <f t="shared" si="319"/>
        <v>0</v>
      </c>
      <c r="AT597" s="128"/>
      <c r="AU597" s="100" t="s">
        <v>3782</v>
      </c>
      <c r="AV597" s="128" t="s">
        <v>3813</v>
      </c>
      <c r="AW597" s="100" t="s">
        <v>3814</v>
      </c>
      <c r="AX597" s="433">
        <f t="shared" si="320"/>
        <v>0</v>
      </c>
      <c r="AY597" s="433">
        <f t="shared" si="321"/>
        <v>0</v>
      </c>
      <c r="AZ597" s="433">
        <f t="shared" si="322"/>
        <v>0</v>
      </c>
      <c r="BA597" s="433">
        <f t="shared" si="312"/>
        <v>0</v>
      </c>
      <c r="BB597" s="433">
        <f t="shared" si="313"/>
        <v>0</v>
      </c>
      <c r="BC597" s="433">
        <f t="shared" si="314"/>
        <v>0</v>
      </c>
      <c r="BD597" s="433">
        <f t="shared" si="323"/>
        <v>1</v>
      </c>
      <c r="BE597" s="433">
        <f t="shared" si="324"/>
        <v>0</v>
      </c>
      <c r="BF597" s="433">
        <f t="shared" si="325"/>
        <v>0</v>
      </c>
      <c r="BG597" s="433">
        <f t="shared" si="326"/>
        <v>0</v>
      </c>
      <c r="BH597" s="433">
        <f t="shared" si="327"/>
        <v>2</v>
      </c>
      <c r="BI597" s="433">
        <f t="shared" si="328"/>
        <v>0</v>
      </c>
      <c r="BJ597" s="433">
        <f t="shared" si="329"/>
        <v>0</v>
      </c>
      <c r="BK597" s="433">
        <f t="shared" si="330"/>
        <v>0</v>
      </c>
      <c r="BL597" s="433">
        <f t="shared" si="331"/>
        <v>0</v>
      </c>
      <c r="BM597" s="433">
        <f t="shared" si="332"/>
        <v>0</v>
      </c>
      <c r="BN597" s="433">
        <f t="shared" si="333"/>
        <v>0</v>
      </c>
      <c r="BO597" s="433">
        <f t="shared" si="334"/>
        <v>0</v>
      </c>
      <c r="BP597" s="433">
        <f t="shared" si="335"/>
        <v>0</v>
      </c>
      <c r="BQ597" s="433">
        <f t="shared" si="336"/>
        <v>0</v>
      </c>
    </row>
    <row r="598" spans="1:69" x14ac:dyDescent="0.2">
      <c r="A598" s="102">
        <v>41850</v>
      </c>
      <c r="B598" s="319">
        <v>2</v>
      </c>
      <c r="C598" s="118" t="s">
        <v>3786</v>
      </c>
      <c r="D598" s="111">
        <v>0.58333333333333337</v>
      </c>
      <c r="E598" s="111">
        <v>0.83194444444444438</v>
      </c>
      <c r="F598" s="319">
        <v>36</v>
      </c>
      <c r="G598" s="445">
        <v>14</v>
      </c>
      <c r="H598" s="319"/>
      <c r="I598" s="390"/>
      <c r="J598" s="426">
        <f t="shared" si="309"/>
        <v>357.99999999999983</v>
      </c>
      <c r="K598" s="103"/>
      <c r="L598" s="103"/>
      <c r="M598" s="103"/>
      <c r="N598" s="427">
        <f t="shared" si="310"/>
        <v>0</v>
      </c>
      <c r="O598" s="103"/>
      <c r="P598" s="103"/>
      <c r="Q598" s="103"/>
      <c r="R598" s="428">
        <f t="shared" si="311"/>
        <v>0</v>
      </c>
      <c r="S598" s="103">
        <v>2</v>
      </c>
      <c r="T598" s="103"/>
      <c r="U598" s="103"/>
      <c r="V598" s="125"/>
      <c r="W598" s="428">
        <f t="shared" si="315"/>
        <v>2</v>
      </c>
      <c r="X598" s="103"/>
      <c r="Y598" s="103"/>
      <c r="Z598" s="125"/>
      <c r="AA598" s="428">
        <f t="shared" si="316"/>
        <v>0</v>
      </c>
      <c r="AB598" s="103"/>
      <c r="AC598" s="103">
        <v>2</v>
      </c>
      <c r="AD598" s="103"/>
      <c r="AE598" s="428">
        <f t="shared" si="317"/>
        <v>2</v>
      </c>
      <c r="AF598" s="103"/>
      <c r="AG598" s="103"/>
      <c r="AH598" s="103"/>
      <c r="AI598" s="103"/>
      <c r="AJ598" s="428">
        <f t="shared" si="318"/>
        <v>0</v>
      </c>
      <c r="AK598" s="446"/>
      <c r="AL598" s="446"/>
      <c r="AM598" s="446"/>
      <c r="AN598" s="446"/>
      <c r="AO598" s="446"/>
      <c r="AP598" s="446"/>
      <c r="AQ598" s="446"/>
      <c r="AR598" s="431">
        <f t="shared" si="319"/>
        <v>0</v>
      </c>
      <c r="AT598" s="128"/>
      <c r="AU598" s="100" t="s">
        <v>3785</v>
      </c>
      <c r="AV598" s="128" t="s">
        <v>3813</v>
      </c>
      <c r="AW598" s="100" t="s">
        <v>3814</v>
      </c>
      <c r="AX598" s="433">
        <f t="shared" si="320"/>
        <v>0</v>
      </c>
      <c r="AY598" s="433">
        <f t="shared" si="321"/>
        <v>0</v>
      </c>
      <c r="AZ598" s="433">
        <f t="shared" si="322"/>
        <v>0</v>
      </c>
      <c r="BA598" s="433">
        <f t="shared" si="312"/>
        <v>0</v>
      </c>
      <c r="BB598" s="433">
        <f t="shared" si="313"/>
        <v>0</v>
      </c>
      <c r="BC598" s="433">
        <f t="shared" si="314"/>
        <v>0</v>
      </c>
      <c r="BD598" s="433">
        <f t="shared" si="323"/>
        <v>2</v>
      </c>
      <c r="BE598" s="433">
        <f t="shared" si="324"/>
        <v>0</v>
      </c>
      <c r="BF598" s="433">
        <f t="shared" si="325"/>
        <v>0</v>
      </c>
      <c r="BG598" s="433">
        <f t="shared" si="326"/>
        <v>0</v>
      </c>
      <c r="BH598" s="433">
        <f t="shared" si="327"/>
        <v>0</v>
      </c>
      <c r="BI598" s="433">
        <f t="shared" si="328"/>
        <v>0</v>
      </c>
      <c r="BJ598" s="433">
        <f t="shared" si="329"/>
        <v>0</v>
      </c>
      <c r="BK598" s="433">
        <f t="shared" si="330"/>
        <v>0</v>
      </c>
      <c r="BL598" s="433">
        <f t="shared" si="331"/>
        <v>2</v>
      </c>
      <c r="BM598" s="433">
        <f t="shared" si="332"/>
        <v>0</v>
      </c>
      <c r="BN598" s="433">
        <f t="shared" si="333"/>
        <v>0</v>
      </c>
      <c r="BO598" s="433">
        <f t="shared" si="334"/>
        <v>0</v>
      </c>
      <c r="BP598" s="433">
        <f t="shared" si="335"/>
        <v>0</v>
      </c>
      <c r="BQ598" s="433">
        <f t="shared" si="336"/>
        <v>0</v>
      </c>
    </row>
    <row r="599" spans="1:69" x14ac:dyDescent="0.2">
      <c r="A599" s="102">
        <v>41850</v>
      </c>
      <c r="B599" s="319">
        <v>3</v>
      </c>
      <c r="C599" s="118" t="s">
        <v>3783</v>
      </c>
      <c r="D599" s="111">
        <v>0.3298611111111111</v>
      </c>
      <c r="E599" s="111">
        <v>0.4513888888888889</v>
      </c>
      <c r="F599" s="319">
        <v>58</v>
      </c>
      <c r="G599" s="445">
        <v>11</v>
      </c>
      <c r="H599" s="319"/>
      <c r="I599" s="390"/>
      <c r="J599" s="426">
        <f t="shared" si="309"/>
        <v>175.00000000000003</v>
      </c>
      <c r="K599" s="103"/>
      <c r="L599" s="103"/>
      <c r="M599" s="103"/>
      <c r="N599" s="427">
        <f t="shared" si="310"/>
        <v>0</v>
      </c>
      <c r="O599" s="103"/>
      <c r="P599" s="103"/>
      <c r="Q599" s="103"/>
      <c r="R599" s="428">
        <f t="shared" si="311"/>
        <v>0</v>
      </c>
      <c r="S599" s="103"/>
      <c r="T599" s="103"/>
      <c r="U599" s="103"/>
      <c r="V599" s="125"/>
      <c r="W599" s="428">
        <f t="shared" si="315"/>
        <v>0</v>
      </c>
      <c r="X599" s="103">
        <v>6</v>
      </c>
      <c r="Y599" s="103">
        <v>42</v>
      </c>
      <c r="Z599" s="125"/>
      <c r="AA599" s="428">
        <f t="shared" si="316"/>
        <v>48</v>
      </c>
      <c r="AB599" s="103">
        <v>1</v>
      </c>
      <c r="AC599" s="103"/>
      <c r="AD599" s="103"/>
      <c r="AE599" s="428">
        <f t="shared" si="317"/>
        <v>1</v>
      </c>
      <c r="AF599" s="103">
        <v>1</v>
      </c>
      <c r="AG599" s="103"/>
      <c r="AH599" s="103"/>
      <c r="AI599" s="103"/>
      <c r="AJ599" s="428">
        <f t="shared" si="318"/>
        <v>1</v>
      </c>
      <c r="AK599" s="446"/>
      <c r="AL599" s="446"/>
      <c r="AM599" s="446"/>
      <c r="AN599" s="446"/>
      <c r="AO599" s="446"/>
      <c r="AP599" s="446"/>
      <c r="AQ599" s="446"/>
      <c r="AR599" s="431">
        <f t="shared" si="319"/>
        <v>0</v>
      </c>
      <c r="AS599" s="10" t="s">
        <v>3787</v>
      </c>
      <c r="AT599" s="128"/>
      <c r="AU599" s="100" t="s">
        <v>3788</v>
      </c>
      <c r="AV599" s="128" t="s">
        <v>3813</v>
      </c>
      <c r="AW599" s="100" t="s">
        <v>3814</v>
      </c>
      <c r="AX599" s="433">
        <f t="shared" si="320"/>
        <v>0</v>
      </c>
      <c r="AY599" s="433">
        <f t="shared" si="321"/>
        <v>0</v>
      </c>
      <c r="AZ599" s="433">
        <f t="shared" si="322"/>
        <v>0</v>
      </c>
      <c r="BA599" s="433">
        <f t="shared" si="312"/>
        <v>0</v>
      </c>
      <c r="BB599" s="433">
        <f t="shared" si="313"/>
        <v>0</v>
      </c>
      <c r="BC599" s="433">
        <f t="shared" si="314"/>
        <v>0</v>
      </c>
      <c r="BD599" s="433">
        <f t="shared" si="323"/>
        <v>0</v>
      </c>
      <c r="BE599" s="433">
        <f t="shared" si="324"/>
        <v>0</v>
      </c>
      <c r="BF599" s="433">
        <f t="shared" si="325"/>
        <v>0</v>
      </c>
      <c r="BG599" s="433">
        <f t="shared" si="326"/>
        <v>0</v>
      </c>
      <c r="BH599" s="433">
        <f t="shared" si="327"/>
        <v>6</v>
      </c>
      <c r="BI599" s="433">
        <f t="shared" si="328"/>
        <v>42</v>
      </c>
      <c r="BJ599" s="433">
        <f t="shared" si="329"/>
        <v>0</v>
      </c>
      <c r="BK599" s="433">
        <f t="shared" si="330"/>
        <v>1</v>
      </c>
      <c r="BL599" s="433">
        <f t="shared" si="331"/>
        <v>0</v>
      </c>
      <c r="BM599" s="433">
        <f t="shared" si="332"/>
        <v>0</v>
      </c>
      <c r="BN599" s="433">
        <f t="shared" si="333"/>
        <v>1</v>
      </c>
      <c r="BO599" s="433">
        <f t="shared" si="334"/>
        <v>0</v>
      </c>
      <c r="BP599" s="433">
        <f t="shared" si="335"/>
        <v>0</v>
      </c>
      <c r="BQ599" s="433">
        <f t="shared" si="336"/>
        <v>0</v>
      </c>
    </row>
    <row r="600" spans="1:69" x14ac:dyDescent="0.2">
      <c r="A600" s="102">
        <v>41850</v>
      </c>
      <c r="B600" s="319">
        <v>3</v>
      </c>
      <c r="C600" s="118" t="s">
        <v>2925</v>
      </c>
      <c r="D600" s="111">
        <v>0.4513888888888889</v>
      </c>
      <c r="E600" s="111">
        <v>0.7090277777777777</v>
      </c>
      <c r="F600" s="319">
        <v>56</v>
      </c>
      <c r="G600" s="445">
        <v>12</v>
      </c>
      <c r="H600" s="319"/>
      <c r="I600" s="390"/>
      <c r="J600" s="426">
        <f t="shared" si="309"/>
        <v>370.99999999999989</v>
      </c>
      <c r="K600" s="103"/>
      <c r="L600" s="103"/>
      <c r="M600" s="103"/>
      <c r="N600" s="427">
        <f t="shared" si="310"/>
        <v>0</v>
      </c>
      <c r="O600" s="103"/>
      <c r="P600" s="103"/>
      <c r="Q600" s="103"/>
      <c r="R600" s="428">
        <f t="shared" si="311"/>
        <v>0</v>
      </c>
      <c r="S600" s="103">
        <v>1</v>
      </c>
      <c r="T600" s="103"/>
      <c r="U600" s="103"/>
      <c r="V600" s="125"/>
      <c r="W600" s="428">
        <f t="shared" si="315"/>
        <v>1</v>
      </c>
      <c r="X600" s="103"/>
      <c r="Y600" s="103">
        <v>218</v>
      </c>
      <c r="Z600" s="125"/>
      <c r="AA600" s="428">
        <f t="shared" si="316"/>
        <v>218</v>
      </c>
      <c r="AB600" s="103"/>
      <c r="AC600" s="103">
        <v>3</v>
      </c>
      <c r="AD600" s="103"/>
      <c r="AE600" s="428">
        <f t="shared" si="317"/>
        <v>3</v>
      </c>
      <c r="AF600" s="103">
        <v>1</v>
      </c>
      <c r="AG600" s="103"/>
      <c r="AH600" s="103"/>
      <c r="AI600" s="103"/>
      <c r="AJ600" s="428">
        <f t="shared" si="318"/>
        <v>1</v>
      </c>
      <c r="AK600" s="446"/>
      <c r="AL600" s="446"/>
      <c r="AM600" s="446"/>
      <c r="AN600" s="446"/>
      <c r="AO600" s="446"/>
      <c r="AP600" s="446"/>
      <c r="AQ600" s="446"/>
      <c r="AR600" s="431">
        <f t="shared" si="319"/>
        <v>0</v>
      </c>
      <c r="AS600" s="10" t="s">
        <v>3789</v>
      </c>
      <c r="AT600" s="128"/>
      <c r="AU600" s="100" t="s">
        <v>3790</v>
      </c>
      <c r="AV600" s="128" t="s">
        <v>3813</v>
      </c>
      <c r="AW600" s="100" t="s">
        <v>3814</v>
      </c>
      <c r="AX600" s="433">
        <f t="shared" si="320"/>
        <v>0</v>
      </c>
      <c r="AY600" s="433">
        <f t="shared" si="321"/>
        <v>0</v>
      </c>
      <c r="AZ600" s="433">
        <f t="shared" si="322"/>
        <v>0</v>
      </c>
      <c r="BA600" s="433">
        <f t="shared" si="312"/>
        <v>0</v>
      </c>
      <c r="BB600" s="433">
        <f t="shared" si="313"/>
        <v>0</v>
      </c>
      <c r="BC600" s="433">
        <f t="shared" si="314"/>
        <v>0</v>
      </c>
      <c r="BD600" s="433">
        <f t="shared" si="323"/>
        <v>1</v>
      </c>
      <c r="BE600" s="433">
        <f t="shared" si="324"/>
        <v>0</v>
      </c>
      <c r="BF600" s="433">
        <f t="shared" si="325"/>
        <v>0</v>
      </c>
      <c r="BG600" s="433">
        <f t="shared" si="326"/>
        <v>0</v>
      </c>
      <c r="BH600" s="433">
        <f t="shared" si="327"/>
        <v>0</v>
      </c>
      <c r="BI600" s="433">
        <f t="shared" si="328"/>
        <v>218</v>
      </c>
      <c r="BJ600" s="433">
        <f t="shared" si="329"/>
        <v>0</v>
      </c>
      <c r="BK600" s="433">
        <f t="shared" si="330"/>
        <v>0</v>
      </c>
      <c r="BL600" s="433">
        <f t="shared" si="331"/>
        <v>3</v>
      </c>
      <c r="BM600" s="433">
        <f t="shared" si="332"/>
        <v>0</v>
      </c>
      <c r="BN600" s="433">
        <f t="shared" si="333"/>
        <v>1</v>
      </c>
      <c r="BO600" s="433">
        <f t="shared" si="334"/>
        <v>0</v>
      </c>
      <c r="BP600" s="433">
        <f t="shared" si="335"/>
        <v>0</v>
      </c>
      <c r="BQ600" s="433">
        <f t="shared" si="336"/>
        <v>0</v>
      </c>
    </row>
    <row r="601" spans="1:69" s="291" customFormat="1" x14ac:dyDescent="0.2">
      <c r="A601" s="317">
        <v>41850</v>
      </c>
      <c r="B601" s="318">
        <v>3</v>
      </c>
      <c r="C601" s="320" t="s">
        <v>3791</v>
      </c>
      <c r="D601" s="321">
        <v>0.7090277777777777</v>
      </c>
      <c r="E601" s="321">
        <v>0.83333333333333337</v>
      </c>
      <c r="F601" s="318">
        <v>52</v>
      </c>
      <c r="G601" s="435">
        <v>12</v>
      </c>
      <c r="H601" s="318"/>
      <c r="I601" s="436"/>
      <c r="J601" s="437">
        <f t="shared" si="309"/>
        <v>179.00000000000017</v>
      </c>
      <c r="K601" s="285"/>
      <c r="L601" s="285"/>
      <c r="M601" s="285"/>
      <c r="N601" s="438">
        <f t="shared" si="310"/>
        <v>0</v>
      </c>
      <c r="O601" s="285"/>
      <c r="P601" s="285"/>
      <c r="Q601" s="285"/>
      <c r="R601" s="439">
        <f t="shared" si="311"/>
        <v>0</v>
      </c>
      <c r="S601" s="285"/>
      <c r="T601" s="285"/>
      <c r="U601" s="285"/>
      <c r="V601" s="440"/>
      <c r="W601" s="439">
        <f t="shared" si="315"/>
        <v>0</v>
      </c>
      <c r="X601" s="285"/>
      <c r="Y601" s="285">
        <v>104</v>
      </c>
      <c r="Z601" s="440"/>
      <c r="AA601" s="439">
        <f t="shared" si="316"/>
        <v>104</v>
      </c>
      <c r="AB601" s="285"/>
      <c r="AC601" s="285">
        <v>1</v>
      </c>
      <c r="AD601" s="285"/>
      <c r="AE601" s="439">
        <f t="shared" si="317"/>
        <v>1</v>
      </c>
      <c r="AF601" s="285"/>
      <c r="AG601" s="285"/>
      <c r="AH601" s="285"/>
      <c r="AI601" s="285"/>
      <c r="AJ601" s="439">
        <f t="shared" si="318"/>
        <v>0</v>
      </c>
      <c r="AK601" s="340"/>
      <c r="AL601" s="340"/>
      <c r="AM601" s="340"/>
      <c r="AN601" s="340"/>
      <c r="AO601" s="340"/>
      <c r="AP601" s="340"/>
      <c r="AQ601" s="340"/>
      <c r="AR601" s="441">
        <f t="shared" si="319"/>
        <v>0</v>
      </c>
      <c r="AT601" s="313"/>
      <c r="AU601" s="289" t="s">
        <v>3782</v>
      </c>
      <c r="AV601" s="313" t="s">
        <v>3813</v>
      </c>
      <c r="AW601" s="382" t="s">
        <v>3814</v>
      </c>
      <c r="AX601" s="443">
        <f t="shared" si="320"/>
        <v>0</v>
      </c>
      <c r="AY601" s="443">
        <f t="shared" si="321"/>
        <v>0</v>
      </c>
      <c r="AZ601" s="443">
        <f t="shared" si="322"/>
        <v>0</v>
      </c>
      <c r="BA601" s="443">
        <f t="shared" si="312"/>
        <v>0</v>
      </c>
      <c r="BB601" s="443">
        <f t="shared" si="313"/>
        <v>0</v>
      </c>
      <c r="BC601" s="443">
        <f t="shared" si="314"/>
        <v>0</v>
      </c>
      <c r="BD601" s="443">
        <f t="shared" si="323"/>
        <v>0</v>
      </c>
      <c r="BE601" s="443">
        <f t="shared" si="324"/>
        <v>0</v>
      </c>
      <c r="BF601" s="443">
        <f t="shared" si="325"/>
        <v>0</v>
      </c>
      <c r="BG601" s="443">
        <f t="shared" si="326"/>
        <v>0</v>
      </c>
      <c r="BH601" s="443">
        <f t="shared" si="327"/>
        <v>0</v>
      </c>
      <c r="BI601" s="443">
        <f t="shared" si="328"/>
        <v>104</v>
      </c>
      <c r="BJ601" s="443">
        <f t="shared" si="329"/>
        <v>0</v>
      </c>
      <c r="BK601" s="443">
        <f t="shared" si="330"/>
        <v>0</v>
      </c>
      <c r="BL601" s="443">
        <f t="shared" si="331"/>
        <v>1</v>
      </c>
      <c r="BM601" s="443">
        <f t="shared" si="332"/>
        <v>0</v>
      </c>
      <c r="BN601" s="443">
        <f t="shared" si="333"/>
        <v>0</v>
      </c>
      <c r="BO601" s="443">
        <f t="shared" si="334"/>
        <v>0</v>
      </c>
      <c r="BP601" s="443">
        <f t="shared" si="335"/>
        <v>0</v>
      </c>
      <c r="BQ601" s="443">
        <f t="shared" si="336"/>
        <v>0</v>
      </c>
    </row>
    <row r="602" spans="1:69" x14ac:dyDescent="0.2">
      <c r="A602" s="102">
        <v>41851</v>
      </c>
      <c r="B602" s="319">
        <v>1</v>
      </c>
      <c r="C602" s="118" t="s">
        <v>420</v>
      </c>
      <c r="D602" s="111">
        <v>0.33819444444444446</v>
      </c>
      <c r="E602" s="111">
        <v>0.45763888888888887</v>
      </c>
      <c r="F602" s="319">
        <v>53</v>
      </c>
      <c r="G602" s="445">
        <v>10.5</v>
      </c>
      <c r="H602" s="319"/>
      <c r="I602" s="390"/>
      <c r="J602" s="426">
        <f t="shared" si="309"/>
        <v>171.99999999999994</v>
      </c>
      <c r="K602" s="103"/>
      <c r="L602" s="103"/>
      <c r="M602" s="103"/>
      <c r="N602" s="427">
        <f t="shared" si="310"/>
        <v>0</v>
      </c>
      <c r="O602" s="103"/>
      <c r="P602" s="103"/>
      <c r="Q602" s="103"/>
      <c r="R602" s="428">
        <f t="shared" si="311"/>
        <v>0</v>
      </c>
      <c r="S602" s="103"/>
      <c r="T602" s="103"/>
      <c r="U602" s="103"/>
      <c r="V602" s="125"/>
      <c r="W602" s="428">
        <f t="shared" si="315"/>
        <v>0</v>
      </c>
      <c r="X602" s="103">
        <v>3</v>
      </c>
      <c r="Y602" s="103">
        <v>72</v>
      </c>
      <c r="Z602" s="125"/>
      <c r="AA602" s="428">
        <f t="shared" si="316"/>
        <v>75</v>
      </c>
      <c r="AB602" s="103">
        <v>2</v>
      </c>
      <c r="AC602" s="103">
        <v>1</v>
      </c>
      <c r="AD602" s="103"/>
      <c r="AE602" s="428">
        <f t="shared" si="317"/>
        <v>3</v>
      </c>
      <c r="AF602" s="103">
        <v>1</v>
      </c>
      <c r="AG602" s="103"/>
      <c r="AH602" s="103"/>
      <c r="AI602" s="103"/>
      <c r="AJ602" s="428">
        <f t="shared" si="318"/>
        <v>1</v>
      </c>
      <c r="AK602" s="446"/>
      <c r="AL602" s="446"/>
      <c r="AM602" s="446"/>
      <c r="AN602" s="446"/>
      <c r="AO602" s="446"/>
      <c r="AP602" s="446"/>
      <c r="AQ602" s="446"/>
      <c r="AR602" s="431">
        <f t="shared" si="319"/>
        <v>0</v>
      </c>
      <c r="AT602" s="128"/>
      <c r="AU602" s="100" t="s">
        <v>3815</v>
      </c>
      <c r="AV602" s="128" t="s">
        <v>3846</v>
      </c>
      <c r="AW602" s="389" t="s">
        <v>3847</v>
      </c>
      <c r="AX602" s="433">
        <f t="shared" si="320"/>
        <v>0</v>
      </c>
      <c r="AY602" s="433">
        <f t="shared" si="321"/>
        <v>0</v>
      </c>
      <c r="AZ602" s="433">
        <f t="shared" si="322"/>
        <v>0</v>
      </c>
      <c r="BA602" s="433">
        <f t="shared" si="312"/>
        <v>0</v>
      </c>
      <c r="BB602" s="433">
        <f t="shared" si="313"/>
        <v>0</v>
      </c>
      <c r="BC602" s="433">
        <f t="shared" si="314"/>
        <v>0</v>
      </c>
      <c r="BD602" s="433">
        <f t="shared" si="323"/>
        <v>0</v>
      </c>
      <c r="BE602" s="433">
        <f t="shared" si="324"/>
        <v>0</v>
      </c>
      <c r="BF602" s="433">
        <f t="shared" si="325"/>
        <v>0</v>
      </c>
      <c r="BG602" s="433">
        <f t="shared" si="326"/>
        <v>0</v>
      </c>
      <c r="BH602" s="433">
        <f t="shared" si="327"/>
        <v>3</v>
      </c>
      <c r="BI602" s="433">
        <f t="shared" si="328"/>
        <v>72</v>
      </c>
      <c r="BJ602" s="433">
        <f t="shared" si="329"/>
        <v>0</v>
      </c>
      <c r="BK602" s="433">
        <f t="shared" si="330"/>
        <v>2</v>
      </c>
      <c r="BL602" s="433">
        <f t="shared" si="331"/>
        <v>1</v>
      </c>
      <c r="BM602" s="433">
        <f t="shared" si="332"/>
        <v>0</v>
      </c>
      <c r="BN602" s="433">
        <f t="shared" si="333"/>
        <v>1</v>
      </c>
      <c r="BO602" s="433">
        <f t="shared" si="334"/>
        <v>0</v>
      </c>
      <c r="BP602" s="433">
        <f t="shared" si="335"/>
        <v>0</v>
      </c>
      <c r="BQ602" s="433">
        <f t="shared" si="336"/>
        <v>0</v>
      </c>
    </row>
    <row r="603" spans="1:69" x14ac:dyDescent="0.2">
      <c r="A603" s="102">
        <v>41851</v>
      </c>
      <c r="B603" s="319">
        <v>1</v>
      </c>
      <c r="C603" s="118" t="s">
        <v>3816</v>
      </c>
      <c r="D603" s="111">
        <v>0.45763888888888887</v>
      </c>
      <c r="E603" s="111">
        <v>0.71111111111111114</v>
      </c>
      <c r="F603" s="319">
        <v>53</v>
      </c>
      <c r="G603" s="445">
        <v>12</v>
      </c>
      <c r="H603" s="319"/>
      <c r="I603" s="390">
        <v>59.6</v>
      </c>
      <c r="J603" s="426">
        <f t="shared" si="309"/>
        <v>365.00000000000006</v>
      </c>
      <c r="K603" s="103">
        <v>1</v>
      </c>
      <c r="L603" s="103"/>
      <c r="M603" s="103"/>
      <c r="N603" s="427">
        <f t="shared" si="310"/>
        <v>1</v>
      </c>
      <c r="O603" s="103"/>
      <c r="P603" s="103"/>
      <c r="Q603" s="103"/>
      <c r="R603" s="428">
        <f t="shared" si="311"/>
        <v>0</v>
      </c>
      <c r="S603" s="103"/>
      <c r="T603" s="103"/>
      <c r="U603" s="103"/>
      <c r="V603" s="125"/>
      <c r="W603" s="428">
        <f t="shared" si="315"/>
        <v>0</v>
      </c>
      <c r="X603" s="103"/>
      <c r="Y603" s="103">
        <v>150</v>
      </c>
      <c r="Z603" s="125"/>
      <c r="AA603" s="428">
        <f t="shared" si="316"/>
        <v>150</v>
      </c>
      <c r="AB603" s="103"/>
      <c r="AC603" s="103">
        <v>6</v>
      </c>
      <c r="AD603" s="103"/>
      <c r="AE603" s="428">
        <f t="shared" si="317"/>
        <v>6</v>
      </c>
      <c r="AF603" s="103"/>
      <c r="AG603" s="103"/>
      <c r="AH603" s="103"/>
      <c r="AI603" s="103"/>
      <c r="AJ603" s="428">
        <f t="shared" si="318"/>
        <v>0</v>
      </c>
      <c r="AK603" s="446"/>
      <c r="AL603" s="446"/>
      <c r="AM603" s="446"/>
      <c r="AN603" s="446"/>
      <c r="AO603" s="446"/>
      <c r="AP603" s="446"/>
      <c r="AQ603" s="446"/>
      <c r="AR603" s="431">
        <f t="shared" si="319"/>
        <v>0</v>
      </c>
      <c r="AT603" s="128" t="s">
        <v>3817</v>
      </c>
      <c r="AU603" s="100" t="s">
        <v>3818</v>
      </c>
      <c r="AV603" s="128" t="s">
        <v>3846</v>
      </c>
      <c r="AW603" s="388" t="s">
        <v>3847</v>
      </c>
      <c r="AX603" s="433">
        <f t="shared" si="320"/>
        <v>1</v>
      </c>
      <c r="AY603" s="433">
        <f t="shared" si="321"/>
        <v>0</v>
      </c>
      <c r="AZ603" s="433">
        <f t="shared" si="322"/>
        <v>0</v>
      </c>
      <c r="BA603" s="433">
        <f t="shared" si="312"/>
        <v>0</v>
      </c>
      <c r="BB603" s="433">
        <f t="shared" si="313"/>
        <v>0</v>
      </c>
      <c r="BC603" s="433">
        <f t="shared" si="314"/>
        <v>0</v>
      </c>
      <c r="BD603" s="433">
        <f t="shared" si="323"/>
        <v>0</v>
      </c>
      <c r="BE603" s="433">
        <f t="shared" si="324"/>
        <v>0</v>
      </c>
      <c r="BF603" s="433">
        <f t="shared" si="325"/>
        <v>0</v>
      </c>
      <c r="BG603" s="433">
        <f t="shared" si="326"/>
        <v>0</v>
      </c>
      <c r="BH603" s="433">
        <f t="shared" si="327"/>
        <v>0</v>
      </c>
      <c r="BI603" s="433">
        <f t="shared" si="328"/>
        <v>150</v>
      </c>
      <c r="BJ603" s="433">
        <f t="shared" si="329"/>
        <v>0</v>
      </c>
      <c r="BK603" s="433">
        <f t="shared" si="330"/>
        <v>0</v>
      </c>
      <c r="BL603" s="433">
        <f t="shared" si="331"/>
        <v>6</v>
      </c>
      <c r="BM603" s="433">
        <f t="shared" si="332"/>
        <v>0</v>
      </c>
      <c r="BN603" s="433">
        <f t="shared" si="333"/>
        <v>0</v>
      </c>
      <c r="BO603" s="433">
        <f t="shared" si="334"/>
        <v>0</v>
      </c>
      <c r="BP603" s="433">
        <f t="shared" si="335"/>
        <v>0</v>
      </c>
      <c r="BQ603" s="433">
        <f t="shared" si="336"/>
        <v>0</v>
      </c>
    </row>
    <row r="604" spans="1:69" x14ac:dyDescent="0.2">
      <c r="A604" s="102">
        <v>41851</v>
      </c>
      <c r="B604" s="319">
        <v>1</v>
      </c>
      <c r="C604" s="118" t="s">
        <v>3819</v>
      </c>
      <c r="D604" s="111">
        <v>0.71111111111111114</v>
      </c>
      <c r="E604" s="111">
        <v>0.83888888888888891</v>
      </c>
      <c r="F604" s="319">
        <v>49</v>
      </c>
      <c r="G604" s="445">
        <v>12</v>
      </c>
      <c r="H604" s="319"/>
      <c r="I604" s="390"/>
      <c r="J604" s="426">
        <f t="shared" si="309"/>
        <v>184</v>
      </c>
      <c r="K604" s="103"/>
      <c r="L604" s="103"/>
      <c r="M604" s="103"/>
      <c r="N604" s="427">
        <f t="shared" si="310"/>
        <v>0</v>
      </c>
      <c r="O604" s="103"/>
      <c r="P604" s="103"/>
      <c r="Q604" s="103"/>
      <c r="R604" s="428">
        <f t="shared" si="311"/>
        <v>0</v>
      </c>
      <c r="S604" s="103"/>
      <c r="T604" s="103"/>
      <c r="U604" s="103"/>
      <c r="V604" s="125"/>
      <c r="W604" s="428">
        <f t="shared" si="315"/>
        <v>0</v>
      </c>
      <c r="X604" s="103"/>
      <c r="Y604" s="103">
        <v>22</v>
      </c>
      <c r="Z604" s="125"/>
      <c r="AA604" s="428">
        <f t="shared" si="316"/>
        <v>22</v>
      </c>
      <c r="AB604" s="103"/>
      <c r="AC604" s="103">
        <v>2</v>
      </c>
      <c r="AD604" s="103"/>
      <c r="AE604" s="428">
        <f t="shared" si="317"/>
        <v>2</v>
      </c>
      <c r="AF604" s="103">
        <v>1</v>
      </c>
      <c r="AG604" s="103"/>
      <c r="AH604" s="103"/>
      <c r="AI604" s="103"/>
      <c r="AJ604" s="428">
        <f t="shared" si="318"/>
        <v>1</v>
      </c>
      <c r="AK604" s="446"/>
      <c r="AL604" s="446"/>
      <c r="AM604" s="446"/>
      <c r="AN604" s="446"/>
      <c r="AO604" s="446"/>
      <c r="AP604" s="446"/>
      <c r="AQ604" s="446"/>
      <c r="AR604" s="431">
        <f t="shared" si="319"/>
        <v>0</v>
      </c>
      <c r="AT604" s="128"/>
      <c r="AU604" s="100" t="s">
        <v>3820</v>
      </c>
      <c r="AV604" s="128" t="s">
        <v>3846</v>
      </c>
      <c r="AW604" s="388" t="s">
        <v>3847</v>
      </c>
      <c r="AX604" s="433">
        <f t="shared" si="320"/>
        <v>0</v>
      </c>
      <c r="AY604" s="433">
        <f t="shared" si="321"/>
        <v>0</v>
      </c>
      <c r="AZ604" s="433">
        <f t="shared" si="322"/>
        <v>0</v>
      </c>
      <c r="BA604" s="433">
        <f t="shared" si="312"/>
        <v>0</v>
      </c>
      <c r="BB604" s="433">
        <f t="shared" si="313"/>
        <v>0</v>
      </c>
      <c r="BC604" s="433">
        <f t="shared" si="314"/>
        <v>0</v>
      </c>
      <c r="BD604" s="433">
        <f t="shared" si="323"/>
        <v>0</v>
      </c>
      <c r="BE604" s="433">
        <f t="shared" si="324"/>
        <v>0</v>
      </c>
      <c r="BF604" s="433">
        <f t="shared" si="325"/>
        <v>0</v>
      </c>
      <c r="BG604" s="433">
        <f t="shared" si="326"/>
        <v>0</v>
      </c>
      <c r="BH604" s="433">
        <f t="shared" si="327"/>
        <v>0</v>
      </c>
      <c r="BI604" s="433">
        <f t="shared" si="328"/>
        <v>22</v>
      </c>
      <c r="BJ604" s="433">
        <f t="shared" si="329"/>
        <v>0</v>
      </c>
      <c r="BK604" s="433">
        <f t="shared" si="330"/>
        <v>0</v>
      </c>
      <c r="BL604" s="433">
        <f t="shared" si="331"/>
        <v>2</v>
      </c>
      <c r="BM604" s="433">
        <f t="shared" si="332"/>
        <v>0</v>
      </c>
      <c r="BN604" s="433">
        <f t="shared" si="333"/>
        <v>1</v>
      </c>
      <c r="BO604" s="433">
        <f t="shared" si="334"/>
        <v>0</v>
      </c>
      <c r="BP604" s="433">
        <f t="shared" si="335"/>
        <v>0</v>
      </c>
      <c r="BQ604" s="433">
        <f t="shared" si="336"/>
        <v>0</v>
      </c>
    </row>
    <row r="605" spans="1:69" x14ac:dyDescent="0.2">
      <c r="A605" s="102">
        <v>41851</v>
      </c>
      <c r="B605" s="319">
        <v>2</v>
      </c>
      <c r="C605" s="118" t="s">
        <v>437</v>
      </c>
      <c r="D605" s="111">
        <v>0.33124999999999999</v>
      </c>
      <c r="E605" s="111">
        <v>0.44791666666666669</v>
      </c>
      <c r="F605" s="319">
        <v>38</v>
      </c>
      <c r="G605" s="445">
        <v>12</v>
      </c>
      <c r="H605" s="319"/>
      <c r="I605" s="390"/>
      <c r="J605" s="426">
        <f t="shared" si="309"/>
        <v>168.00000000000006</v>
      </c>
      <c r="K605" s="103"/>
      <c r="L605" s="103"/>
      <c r="M605" s="103"/>
      <c r="N605" s="427">
        <f t="shared" si="310"/>
        <v>0</v>
      </c>
      <c r="O605" s="103"/>
      <c r="P605" s="103"/>
      <c r="Q605" s="103"/>
      <c r="R605" s="428">
        <f t="shared" si="311"/>
        <v>0</v>
      </c>
      <c r="S605" s="103">
        <v>1</v>
      </c>
      <c r="T605" s="103"/>
      <c r="U605" s="103"/>
      <c r="V605" s="125"/>
      <c r="W605" s="428">
        <f t="shared" si="315"/>
        <v>1</v>
      </c>
      <c r="X605" s="103"/>
      <c r="Y605" s="103">
        <v>1</v>
      </c>
      <c r="Z605" s="125"/>
      <c r="AA605" s="428">
        <f t="shared" si="316"/>
        <v>1</v>
      </c>
      <c r="AB605" s="103"/>
      <c r="AC605" s="103"/>
      <c r="AD605" s="103"/>
      <c r="AE605" s="428">
        <f t="shared" si="317"/>
        <v>0</v>
      </c>
      <c r="AF605" s="103"/>
      <c r="AG605" s="103"/>
      <c r="AH605" s="103"/>
      <c r="AI605" s="103"/>
      <c r="AJ605" s="428">
        <f t="shared" si="318"/>
        <v>0</v>
      </c>
      <c r="AK605" s="446"/>
      <c r="AL605" s="446"/>
      <c r="AM605" s="446"/>
      <c r="AN605" s="446"/>
      <c r="AO605" s="446"/>
      <c r="AP605" s="446"/>
      <c r="AQ605" s="446"/>
      <c r="AR605" s="431">
        <f t="shared" si="319"/>
        <v>0</v>
      </c>
      <c r="AT605" s="128" t="s">
        <v>3821</v>
      </c>
      <c r="AU605" s="100" t="s">
        <v>3822</v>
      </c>
      <c r="AV605" s="128" t="s">
        <v>3846</v>
      </c>
      <c r="AW605" s="388" t="s">
        <v>3847</v>
      </c>
      <c r="AX605" s="433">
        <f t="shared" si="320"/>
        <v>0</v>
      </c>
      <c r="AY605" s="433">
        <f t="shared" si="321"/>
        <v>0</v>
      </c>
      <c r="AZ605" s="433">
        <f t="shared" si="322"/>
        <v>0</v>
      </c>
      <c r="BA605" s="433">
        <f t="shared" si="312"/>
        <v>0</v>
      </c>
      <c r="BB605" s="433">
        <f t="shared" si="313"/>
        <v>0</v>
      </c>
      <c r="BC605" s="433">
        <f t="shared" si="314"/>
        <v>0</v>
      </c>
      <c r="BD605" s="433">
        <f t="shared" si="323"/>
        <v>1</v>
      </c>
      <c r="BE605" s="433">
        <f t="shared" si="324"/>
        <v>0</v>
      </c>
      <c r="BF605" s="433">
        <f t="shared" si="325"/>
        <v>0</v>
      </c>
      <c r="BG605" s="433">
        <f t="shared" si="326"/>
        <v>0</v>
      </c>
      <c r="BH605" s="433">
        <f t="shared" si="327"/>
        <v>0</v>
      </c>
      <c r="BI605" s="433">
        <f t="shared" si="328"/>
        <v>1</v>
      </c>
      <c r="BJ605" s="433">
        <f t="shared" si="329"/>
        <v>0</v>
      </c>
      <c r="BK605" s="433">
        <f t="shared" si="330"/>
        <v>0</v>
      </c>
      <c r="BL605" s="433">
        <f t="shared" si="331"/>
        <v>0</v>
      </c>
      <c r="BM605" s="433">
        <f t="shared" si="332"/>
        <v>0</v>
      </c>
      <c r="BN605" s="433">
        <f t="shared" si="333"/>
        <v>0</v>
      </c>
      <c r="BO605" s="433">
        <f t="shared" si="334"/>
        <v>0</v>
      </c>
      <c r="BP605" s="433">
        <f t="shared" si="335"/>
        <v>0</v>
      </c>
      <c r="BQ605" s="433">
        <f t="shared" si="336"/>
        <v>0</v>
      </c>
    </row>
    <row r="606" spans="1:69" x14ac:dyDescent="0.2">
      <c r="A606" s="102">
        <v>41851</v>
      </c>
      <c r="B606" s="319">
        <v>2</v>
      </c>
      <c r="C606" s="118" t="s">
        <v>3816</v>
      </c>
      <c r="D606" s="111">
        <v>0.44791666666666669</v>
      </c>
      <c r="E606" s="111">
        <v>0.71597222222222223</v>
      </c>
      <c r="F606" s="319">
        <v>35</v>
      </c>
      <c r="G606" s="445">
        <v>12</v>
      </c>
      <c r="H606" s="319"/>
      <c r="I606" s="390"/>
      <c r="J606" s="426">
        <f t="shared" si="309"/>
        <v>386</v>
      </c>
      <c r="K606" s="103"/>
      <c r="L606" s="103"/>
      <c r="M606" s="103"/>
      <c r="N606" s="427">
        <f t="shared" si="310"/>
        <v>0</v>
      </c>
      <c r="O606" s="103"/>
      <c r="P606" s="103"/>
      <c r="Q606" s="103"/>
      <c r="R606" s="428">
        <f t="shared" si="311"/>
        <v>0</v>
      </c>
      <c r="S606" s="103">
        <v>3</v>
      </c>
      <c r="T606" s="103"/>
      <c r="U606" s="103"/>
      <c r="V606" s="125"/>
      <c r="W606" s="428">
        <f t="shared" si="315"/>
        <v>3</v>
      </c>
      <c r="X606" s="103"/>
      <c r="Y606" s="103">
        <v>3</v>
      </c>
      <c r="Z606" s="125"/>
      <c r="AA606" s="428">
        <f t="shared" si="316"/>
        <v>3</v>
      </c>
      <c r="AB606" s="103"/>
      <c r="AC606" s="103"/>
      <c r="AD606" s="103"/>
      <c r="AE606" s="428">
        <f t="shared" si="317"/>
        <v>0</v>
      </c>
      <c r="AF606" s="103"/>
      <c r="AG606" s="103"/>
      <c r="AH606" s="103"/>
      <c r="AI606" s="103"/>
      <c r="AJ606" s="428">
        <f t="shared" si="318"/>
        <v>0</v>
      </c>
      <c r="AK606" s="446"/>
      <c r="AL606" s="446"/>
      <c r="AM606" s="446"/>
      <c r="AN606" s="446"/>
      <c r="AO606" s="446"/>
      <c r="AP606" s="446"/>
      <c r="AQ606" s="446"/>
      <c r="AR606" s="431">
        <f t="shared" si="319"/>
        <v>0</v>
      </c>
      <c r="AT606" s="128"/>
      <c r="AU606" s="100" t="s">
        <v>3823</v>
      </c>
      <c r="AV606" s="128" t="s">
        <v>3846</v>
      </c>
      <c r="AW606" s="388" t="s">
        <v>3847</v>
      </c>
      <c r="AX606" s="433">
        <f t="shared" si="320"/>
        <v>0</v>
      </c>
      <c r="AY606" s="433">
        <f t="shared" si="321"/>
        <v>0</v>
      </c>
      <c r="AZ606" s="433">
        <f t="shared" si="322"/>
        <v>0</v>
      </c>
      <c r="BA606" s="433">
        <f t="shared" si="312"/>
        <v>0</v>
      </c>
      <c r="BB606" s="433">
        <f t="shared" si="313"/>
        <v>0</v>
      </c>
      <c r="BC606" s="433">
        <f t="shared" si="314"/>
        <v>0</v>
      </c>
      <c r="BD606" s="433">
        <f t="shared" si="323"/>
        <v>3</v>
      </c>
      <c r="BE606" s="433">
        <f t="shared" si="324"/>
        <v>0</v>
      </c>
      <c r="BF606" s="433">
        <f t="shared" si="325"/>
        <v>0</v>
      </c>
      <c r="BG606" s="433">
        <f t="shared" si="326"/>
        <v>0</v>
      </c>
      <c r="BH606" s="433">
        <f t="shared" si="327"/>
        <v>0</v>
      </c>
      <c r="BI606" s="433">
        <f t="shared" si="328"/>
        <v>3</v>
      </c>
      <c r="BJ606" s="433">
        <f t="shared" si="329"/>
        <v>0</v>
      </c>
      <c r="BK606" s="433">
        <f t="shared" si="330"/>
        <v>0</v>
      </c>
      <c r="BL606" s="433">
        <f t="shared" si="331"/>
        <v>0</v>
      </c>
      <c r="BM606" s="433">
        <f t="shared" si="332"/>
        <v>0</v>
      </c>
      <c r="BN606" s="433">
        <f t="shared" si="333"/>
        <v>0</v>
      </c>
      <c r="BO606" s="433">
        <f t="shared" si="334"/>
        <v>0</v>
      </c>
      <c r="BP606" s="433">
        <f t="shared" si="335"/>
        <v>0</v>
      </c>
      <c r="BQ606" s="433">
        <f t="shared" si="336"/>
        <v>0</v>
      </c>
    </row>
    <row r="607" spans="1:69" x14ac:dyDescent="0.2">
      <c r="A607" s="102">
        <v>41851</v>
      </c>
      <c r="B607" s="319">
        <v>2</v>
      </c>
      <c r="C607" s="118" t="s">
        <v>3819</v>
      </c>
      <c r="D607" s="111">
        <v>0.71597222222222223</v>
      </c>
      <c r="E607" s="111">
        <v>0.83194444444444438</v>
      </c>
      <c r="F607" s="319">
        <v>35</v>
      </c>
      <c r="G607" s="445">
        <v>13</v>
      </c>
      <c r="H607" s="319"/>
      <c r="I607" s="390"/>
      <c r="J607" s="426">
        <f t="shared" si="309"/>
        <v>166.99999999999989</v>
      </c>
      <c r="K607" s="103"/>
      <c r="L607" s="103"/>
      <c r="M607" s="103"/>
      <c r="N607" s="427">
        <f t="shared" si="310"/>
        <v>0</v>
      </c>
      <c r="O607" s="103"/>
      <c r="P607" s="103"/>
      <c r="Q607" s="103"/>
      <c r="R607" s="428">
        <f t="shared" si="311"/>
        <v>0</v>
      </c>
      <c r="S607" s="103"/>
      <c r="T607" s="103"/>
      <c r="U607" s="103"/>
      <c r="V607" s="125"/>
      <c r="W607" s="428">
        <f t="shared" si="315"/>
        <v>0</v>
      </c>
      <c r="X607" s="103"/>
      <c r="Y607" s="103"/>
      <c r="Z607" s="125"/>
      <c r="AA607" s="428">
        <f t="shared" si="316"/>
        <v>0</v>
      </c>
      <c r="AB607" s="103"/>
      <c r="AC607" s="103">
        <v>4</v>
      </c>
      <c r="AD607" s="103"/>
      <c r="AE607" s="428">
        <f t="shared" si="317"/>
        <v>4</v>
      </c>
      <c r="AF607" s="103"/>
      <c r="AG607" s="103"/>
      <c r="AH607" s="103"/>
      <c r="AI607" s="103"/>
      <c r="AJ607" s="428">
        <f t="shared" si="318"/>
        <v>0</v>
      </c>
      <c r="AK607" s="446"/>
      <c r="AL607" s="446"/>
      <c r="AM607" s="446"/>
      <c r="AN607" s="446"/>
      <c r="AO607" s="446"/>
      <c r="AP607" s="446"/>
      <c r="AQ607" s="446"/>
      <c r="AR607" s="431">
        <f t="shared" si="319"/>
        <v>0</v>
      </c>
      <c r="AT607" s="128"/>
      <c r="AU607" s="100" t="s">
        <v>3820</v>
      </c>
      <c r="AV607" s="128" t="s">
        <v>3846</v>
      </c>
      <c r="AW607" s="388" t="s">
        <v>3847</v>
      </c>
      <c r="AX607" s="433">
        <f t="shared" si="320"/>
        <v>0</v>
      </c>
      <c r="AY607" s="433">
        <f t="shared" si="321"/>
        <v>0</v>
      </c>
      <c r="AZ607" s="433">
        <f t="shared" si="322"/>
        <v>0</v>
      </c>
      <c r="BA607" s="433">
        <f t="shared" si="312"/>
        <v>0</v>
      </c>
      <c r="BB607" s="433">
        <f t="shared" si="313"/>
        <v>0</v>
      </c>
      <c r="BC607" s="433">
        <f t="shared" si="314"/>
        <v>0</v>
      </c>
      <c r="BD607" s="433">
        <f t="shared" si="323"/>
        <v>0</v>
      </c>
      <c r="BE607" s="433">
        <f t="shared" si="324"/>
        <v>0</v>
      </c>
      <c r="BF607" s="433">
        <f t="shared" si="325"/>
        <v>0</v>
      </c>
      <c r="BG607" s="433">
        <f t="shared" si="326"/>
        <v>0</v>
      </c>
      <c r="BH607" s="433">
        <f t="shared" si="327"/>
        <v>0</v>
      </c>
      <c r="BI607" s="433">
        <f t="shared" si="328"/>
        <v>0</v>
      </c>
      <c r="BJ607" s="433">
        <f t="shared" si="329"/>
        <v>0</v>
      </c>
      <c r="BK607" s="433">
        <f t="shared" si="330"/>
        <v>0</v>
      </c>
      <c r="BL607" s="433">
        <f t="shared" si="331"/>
        <v>4</v>
      </c>
      <c r="BM607" s="433">
        <f t="shared" si="332"/>
        <v>0</v>
      </c>
      <c r="BN607" s="433">
        <f t="shared" si="333"/>
        <v>0</v>
      </c>
      <c r="BO607" s="433">
        <f t="shared" si="334"/>
        <v>0</v>
      </c>
      <c r="BP607" s="433">
        <f t="shared" si="335"/>
        <v>0</v>
      </c>
      <c r="BQ607" s="433">
        <f t="shared" si="336"/>
        <v>0</v>
      </c>
    </row>
    <row r="608" spans="1:69" x14ac:dyDescent="0.2">
      <c r="A608" s="102">
        <v>41851</v>
      </c>
      <c r="B608" s="319">
        <v>3</v>
      </c>
      <c r="C608" s="118" t="s">
        <v>3824</v>
      </c>
      <c r="D608" s="111">
        <v>0.3354166666666667</v>
      </c>
      <c r="E608" s="111">
        <v>0.57638888888888895</v>
      </c>
      <c r="F608" s="319">
        <v>49</v>
      </c>
      <c r="G608" s="445">
        <v>12</v>
      </c>
      <c r="H608" s="319"/>
      <c r="I608" s="390"/>
      <c r="J608" s="426">
        <f t="shared" si="309"/>
        <v>347.00000000000006</v>
      </c>
      <c r="K608" s="103">
        <v>2</v>
      </c>
      <c r="L608" s="103"/>
      <c r="M608" s="103"/>
      <c r="N608" s="427">
        <f t="shared" si="310"/>
        <v>2</v>
      </c>
      <c r="O608" s="103"/>
      <c r="P608" s="103"/>
      <c r="Q608" s="103"/>
      <c r="R608" s="428">
        <f t="shared" si="311"/>
        <v>0</v>
      </c>
      <c r="S608" s="103">
        <v>2</v>
      </c>
      <c r="T608" s="103">
        <v>1</v>
      </c>
      <c r="U608" s="103"/>
      <c r="V608" s="125"/>
      <c r="W608" s="428">
        <f t="shared" si="315"/>
        <v>3</v>
      </c>
      <c r="X608" s="103">
        <v>3</v>
      </c>
      <c r="Y608" s="103">
        <v>172</v>
      </c>
      <c r="Z608" s="125"/>
      <c r="AA608" s="428">
        <f t="shared" si="316"/>
        <v>175</v>
      </c>
      <c r="AB608" s="103">
        <v>1</v>
      </c>
      <c r="AC608" s="103">
        <v>4</v>
      </c>
      <c r="AD608" s="103"/>
      <c r="AE608" s="428">
        <f t="shared" si="317"/>
        <v>5</v>
      </c>
      <c r="AF608" s="103"/>
      <c r="AG608" s="103"/>
      <c r="AH608" s="103"/>
      <c r="AI608" s="103"/>
      <c r="AJ608" s="428">
        <f t="shared" si="318"/>
        <v>0</v>
      </c>
      <c r="AK608" s="446"/>
      <c r="AL608" s="446"/>
      <c r="AM608" s="446"/>
      <c r="AN608" s="446"/>
      <c r="AO608" s="446"/>
      <c r="AP608" s="446"/>
      <c r="AQ608" s="446"/>
      <c r="AR608" s="431">
        <f t="shared" si="319"/>
        <v>0</v>
      </c>
      <c r="AT608" s="128"/>
      <c r="AU608" s="100" t="s">
        <v>3820</v>
      </c>
      <c r="AV608" s="128" t="s">
        <v>3846</v>
      </c>
      <c r="AW608" s="388" t="s">
        <v>3847</v>
      </c>
      <c r="AX608" s="433">
        <f t="shared" si="320"/>
        <v>2</v>
      </c>
      <c r="AY608" s="433">
        <f t="shared" si="321"/>
        <v>0</v>
      </c>
      <c r="AZ608" s="433">
        <f t="shared" si="322"/>
        <v>0</v>
      </c>
      <c r="BA608" s="433">
        <f t="shared" si="312"/>
        <v>0</v>
      </c>
      <c r="BB608" s="433">
        <f t="shared" si="313"/>
        <v>0</v>
      </c>
      <c r="BC608" s="433">
        <f t="shared" si="314"/>
        <v>0</v>
      </c>
      <c r="BD608" s="433">
        <f t="shared" si="323"/>
        <v>2</v>
      </c>
      <c r="BE608" s="433">
        <f t="shared" si="324"/>
        <v>1</v>
      </c>
      <c r="BF608" s="433">
        <f t="shared" si="325"/>
        <v>0</v>
      </c>
      <c r="BG608" s="433">
        <f t="shared" si="326"/>
        <v>0</v>
      </c>
      <c r="BH608" s="433">
        <f t="shared" si="327"/>
        <v>3</v>
      </c>
      <c r="BI608" s="433">
        <f t="shared" si="328"/>
        <v>172</v>
      </c>
      <c r="BJ608" s="433">
        <f t="shared" si="329"/>
        <v>0</v>
      </c>
      <c r="BK608" s="433">
        <f t="shared" si="330"/>
        <v>1</v>
      </c>
      <c r="BL608" s="433">
        <f t="shared" si="331"/>
        <v>4</v>
      </c>
      <c r="BM608" s="433">
        <f t="shared" si="332"/>
        <v>0</v>
      </c>
      <c r="BN608" s="433">
        <f t="shared" si="333"/>
        <v>0</v>
      </c>
      <c r="BO608" s="433">
        <f t="shared" si="334"/>
        <v>0</v>
      </c>
      <c r="BP608" s="433">
        <f t="shared" si="335"/>
        <v>0</v>
      </c>
      <c r="BQ608" s="433">
        <f t="shared" si="336"/>
        <v>0</v>
      </c>
    </row>
    <row r="609" spans="1:69" s="291" customFormat="1" x14ac:dyDescent="0.2">
      <c r="A609" s="317">
        <v>41851</v>
      </c>
      <c r="B609" s="318">
        <v>3</v>
      </c>
      <c r="C609" s="320" t="s">
        <v>437</v>
      </c>
      <c r="D609" s="321">
        <v>0.57638888888888895</v>
      </c>
      <c r="E609" s="321">
        <v>0.8340277777777777</v>
      </c>
      <c r="F609" s="318">
        <v>49</v>
      </c>
      <c r="G609" s="435">
        <v>13</v>
      </c>
      <c r="H609" s="318"/>
      <c r="I609" s="436"/>
      <c r="J609" s="437">
        <f>((E609-D609)*24*60)-11</f>
        <v>359.99999999999977</v>
      </c>
      <c r="K609" s="285"/>
      <c r="L609" s="285"/>
      <c r="M609" s="285"/>
      <c r="N609" s="438">
        <f t="shared" si="310"/>
        <v>0</v>
      </c>
      <c r="O609" s="285"/>
      <c r="P609" s="285"/>
      <c r="Q609" s="285"/>
      <c r="R609" s="439">
        <f t="shared" si="311"/>
        <v>0</v>
      </c>
      <c r="S609" s="285"/>
      <c r="T609" s="285"/>
      <c r="U609" s="285"/>
      <c r="V609" s="440"/>
      <c r="W609" s="439">
        <f t="shared" si="315"/>
        <v>0</v>
      </c>
      <c r="X609" s="285"/>
      <c r="Y609" s="285">
        <v>223</v>
      </c>
      <c r="Z609" s="440"/>
      <c r="AA609" s="439">
        <f t="shared" si="316"/>
        <v>223</v>
      </c>
      <c r="AB609" s="285"/>
      <c r="AC609" s="285">
        <v>8</v>
      </c>
      <c r="AD609" s="285"/>
      <c r="AE609" s="439">
        <f t="shared" si="317"/>
        <v>8</v>
      </c>
      <c r="AF609" s="285"/>
      <c r="AG609" s="285"/>
      <c r="AH609" s="285"/>
      <c r="AI609" s="285"/>
      <c r="AJ609" s="439">
        <f t="shared" si="318"/>
        <v>0</v>
      </c>
      <c r="AK609" s="340"/>
      <c r="AL609" s="340"/>
      <c r="AM609" s="340"/>
      <c r="AN609" s="340"/>
      <c r="AO609" s="340"/>
      <c r="AP609" s="340"/>
      <c r="AQ609" s="340"/>
      <c r="AR609" s="441">
        <f t="shared" si="319"/>
        <v>0</v>
      </c>
      <c r="AS609" s="291" t="s">
        <v>3825</v>
      </c>
      <c r="AT609" s="313"/>
      <c r="AU609" s="289" t="s">
        <v>3822</v>
      </c>
      <c r="AV609" s="313" t="s">
        <v>3846</v>
      </c>
      <c r="AW609" s="382" t="s">
        <v>3847</v>
      </c>
      <c r="AX609" s="443">
        <f t="shared" si="320"/>
        <v>0</v>
      </c>
      <c r="AY609" s="443">
        <f t="shared" si="321"/>
        <v>0</v>
      </c>
      <c r="AZ609" s="443">
        <f t="shared" si="322"/>
        <v>0</v>
      </c>
      <c r="BA609" s="443">
        <f t="shared" si="312"/>
        <v>0</v>
      </c>
      <c r="BB609" s="443">
        <f t="shared" si="313"/>
        <v>0</v>
      </c>
      <c r="BC609" s="443">
        <f t="shared" si="314"/>
        <v>0</v>
      </c>
      <c r="BD609" s="443">
        <f t="shared" si="323"/>
        <v>0</v>
      </c>
      <c r="BE609" s="443">
        <f t="shared" si="324"/>
        <v>0</v>
      </c>
      <c r="BF609" s="443">
        <f t="shared" si="325"/>
        <v>0</v>
      </c>
      <c r="BG609" s="443">
        <f t="shared" si="326"/>
        <v>0</v>
      </c>
      <c r="BH609" s="443">
        <f t="shared" si="327"/>
        <v>0</v>
      </c>
      <c r="BI609" s="443">
        <f t="shared" si="328"/>
        <v>223</v>
      </c>
      <c r="BJ609" s="443">
        <f t="shared" si="329"/>
        <v>0</v>
      </c>
      <c r="BK609" s="443">
        <f t="shared" si="330"/>
        <v>0</v>
      </c>
      <c r="BL609" s="443">
        <f t="shared" si="331"/>
        <v>8</v>
      </c>
      <c r="BM609" s="443">
        <f t="shared" si="332"/>
        <v>0</v>
      </c>
      <c r="BN609" s="443">
        <f t="shared" si="333"/>
        <v>0</v>
      </c>
      <c r="BO609" s="443">
        <f t="shared" si="334"/>
        <v>0</v>
      </c>
      <c r="BP609" s="443">
        <f t="shared" si="335"/>
        <v>0</v>
      </c>
      <c r="BQ609" s="443">
        <f t="shared" si="336"/>
        <v>0</v>
      </c>
    </row>
    <row r="610" spans="1:69" x14ac:dyDescent="0.2">
      <c r="A610" s="102">
        <v>41852</v>
      </c>
      <c r="B610" s="319">
        <v>1</v>
      </c>
      <c r="C610" s="118" t="s">
        <v>3849</v>
      </c>
      <c r="D610" s="111">
        <v>0.3347222222222222</v>
      </c>
      <c r="E610" s="111">
        <v>0.57013888888888886</v>
      </c>
      <c r="F610" s="319">
        <v>54</v>
      </c>
      <c r="G610" s="445">
        <v>12</v>
      </c>
      <c r="H610" s="319"/>
      <c r="I610" s="390"/>
      <c r="J610" s="426">
        <f>((E610-D610)*24*60)</f>
        <v>339</v>
      </c>
      <c r="K610" s="103"/>
      <c r="L610" s="103"/>
      <c r="M610" s="103"/>
      <c r="N610" s="427">
        <f t="shared" si="310"/>
        <v>0</v>
      </c>
      <c r="O610" s="103"/>
      <c r="P610" s="103"/>
      <c r="Q610" s="103"/>
      <c r="R610" s="428">
        <f t="shared" si="311"/>
        <v>0</v>
      </c>
      <c r="S610" s="103"/>
      <c r="T610" s="103"/>
      <c r="U610" s="103"/>
      <c r="V610" s="125"/>
      <c r="W610" s="428">
        <f t="shared" si="315"/>
        <v>0</v>
      </c>
      <c r="X610" s="103">
        <v>2</v>
      </c>
      <c r="Y610" s="103">
        <v>109</v>
      </c>
      <c r="Z610" s="125"/>
      <c r="AA610" s="428">
        <f t="shared" si="316"/>
        <v>111</v>
      </c>
      <c r="AB610" s="103">
        <v>1</v>
      </c>
      <c r="AC610" s="103">
        <v>17</v>
      </c>
      <c r="AD610" s="103"/>
      <c r="AE610" s="428">
        <f t="shared" si="317"/>
        <v>18</v>
      </c>
      <c r="AF610" s="103"/>
      <c r="AG610" s="103"/>
      <c r="AH610" s="103"/>
      <c r="AI610" s="103"/>
      <c r="AJ610" s="428">
        <f t="shared" si="318"/>
        <v>0</v>
      </c>
      <c r="AK610" s="446"/>
      <c r="AL610" s="446"/>
      <c r="AM610" s="446">
        <v>1</v>
      </c>
      <c r="AN610" s="446"/>
      <c r="AO610" s="446"/>
      <c r="AP610" s="446"/>
      <c r="AQ610" s="446"/>
      <c r="AR610" s="431">
        <f t="shared" si="319"/>
        <v>1</v>
      </c>
      <c r="AT610" s="128"/>
      <c r="AU610" s="100" t="s">
        <v>3851</v>
      </c>
      <c r="AV610" s="128" t="s">
        <v>3912</v>
      </c>
      <c r="AW610" s="100" t="s">
        <v>3940</v>
      </c>
      <c r="AX610" s="433">
        <f t="shared" si="320"/>
        <v>0</v>
      </c>
      <c r="AY610" s="433">
        <f t="shared" si="321"/>
        <v>0</v>
      </c>
      <c r="AZ610" s="433">
        <f t="shared" si="322"/>
        <v>0</v>
      </c>
      <c r="BA610" s="433">
        <f t="shared" si="312"/>
        <v>0</v>
      </c>
      <c r="BB610" s="433">
        <f t="shared" si="313"/>
        <v>0</v>
      </c>
      <c r="BC610" s="433">
        <f t="shared" si="314"/>
        <v>0</v>
      </c>
      <c r="BD610" s="433">
        <f t="shared" si="323"/>
        <v>0</v>
      </c>
      <c r="BE610" s="433">
        <f t="shared" si="324"/>
        <v>0</v>
      </c>
      <c r="BF610" s="433">
        <f t="shared" si="325"/>
        <v>0</v>
      </c>
      <c r="BG610" s="433">
        <f t="shared" si="326"/>
        <v>0</v>
      </c>
      <c r="BH610" s="433">
        <f t="shared" si="327"/>
        <v>2</v>
      </c>
      <c r="BI610" s="433">
        <f t="shared" si="328"/>
        <v>109</v>
      </c>
      <c r="BJ610" s="433">
        <f t="shared" si="329"/>
        <v>0</v>
      </c>
      <c r="BK610" s="433">
        <f t="shared" si="330"/>
        <v>1</v>
      </c>
      <c r="BL610" s="433">
        <f t="shared" si="331"/>
        <v>17</v>
      </c>
      <c r="BM610" s="433">
        <f t="shared" si="332"/>
        <v>0</v>
      </c>
      <c r="BN610" s="433">
        <f t="shared" si="333"/>
        <v>0</v>
      </c>
      <c r="BO610" s="433">
        <f t="shared" si="334"/>
        <v>0</v>
      </c>
      <c r="BP610" s="433">
        <f t="shared" si="335"/>
        <v>0</v>
      </c>
      <c r="BQ610" s="433">
        <f t="shared" si="336"/>
        <v>0</v>
      </c>
    </row>
    <row r="611" spans="1:69" x14ac:dyDescent="0.2">
      <c r="A611" s="102">
        <v>41852</v>
      </c>
      <c r="B611" s="319">
        <v>1</v>
      </c>
      <c r="C611" s="118" t="s">
        <v>2073</v>
      </c>
      <c r="D611" s="111">
        <v>0.57013888888888886</v>
      </c>
      <c r="E611" s="111">
        <v>0.83472222222222225</v>
      </c>
      <c r="F611" s="319">
        <v>54</v>
      </c>
      <c r="G611" s="445">
        <v>12</v>
      </c>
      <c r="H611" s="319"/>
      <c r="I611" s="390"/>
      <c r="J611" s="426">
        <f>((E611-D611)*24*60)-10</f>
        <v>371.00000000000011</v>
      </c>
      <c r="K611" s="103"/>
      <c r="L611" s="103"/>
      <c r="M611" s="103"/>
      <c r="N611" s="427">
        <f t="shared" si="310"/>
        <v>0</v>
      </c>
      <c r="O611" s="103"/>
      <c r="P611" s="103"/>
      <c r="Q611" s="103"/>
      <c r="R611" s="428">
        <f t="shared" si="311"/>
        <v>0</v>
      </c>
      <c r="S611" s="103">
        <v>2</v>
      </c>
      <c r="T611" s="103"/>
      <c r="U611" s="103"/>
      <c r="V611" s="125">
        <v>1</v>
      </c>
      <c r="W611" s="428">
        <f t="shared" si="315"/>
        <v>3</v>
      </c>
      <c r="X611" s="103">
        <v>3</v>
      </c>
      <c r="Y611" s="103">
        <v>103</v>
      </c>
      <c r="Z611" s="125"/>
      <c r="AA611" s="428">
        <f t="shared" si="316"/>
        <v>106</v>
      </c>
      <c r="AB611" s="103"/>
      <c r="AC611" s="103">
        <v>4</v>
      </c>
      <c r="AD611" s="103"/>
      <c r="AE611" s="428">
        <f t="shared" si="317"/>
        <v>4</v>
      </c>
      <c r="AF611" s="103"/>
      <c r="AG611" s="103"/>
      <c r="AH611" s="103"/>
      <c r="AI611" s="103"/>
      <c r="AJ611" s="428">
        <f t="shared" si="318"/>
        <v>0</v>
      </c>
      <c r="AK611" s="446"/>
      <c r="AL611" s="446"/>
      <c r="AM611" s="446"/>
      <c r="AN611" s="446"/>
      <c r="AO611" s="446"/>
      <c r="AP611" s="446"/>
      <c r="AQ611" s="446"/>
      <c r="AR611" s="431">
        <f t="shared" si="319"/>
        <v>0</v>
      </c>
      <c r="AS611" s="10" t="s">
        <v>3850</v>
      </c>
      <c r="AT611" s="128"/>
      <c r="AU611" s="100" t="s">
        <v>3852</v>
      </c>
      <c r="AV611" s="128" t="s">
        <v>3912</v>
      </c>
      <c r="AW611" s="100" t="s">
        <v>3940</v>
      </c>
      <c r="AX611" s="433">
        <f t="shared" si="320"/>
        <v>0</v>
      </c>
      <c r="AY611" s="433">
        <f t="shared" si="321"/>
        <v>0</v>
      </c>
      <c r="AZ611" s="433">
        <f t="shared" si="322"/>
        <v>0</v>
      </c>
      <c r="BA611" s="433">
        <f t="shared" si="312"/>
        <v>0</v>
      </c>
      <c r="BB611" s="433">
        <f t="shared" si="313"/>
        <v>0</v>
      </c>
      <c r="BC611" s="433">
        <f t="shared" si="314"/>
        <v>0</v>
      </c>
      <c r="BD611" s="433">
        <f t="shared" si="323"/>
        <v>2</v>
      </c>
      <c r="BE611" s="433">
        <f t="shared" si="324"/>
        <v>0</v>
      </c>
      <c r="BF611" s="433">
        <f t="shared" si="325"/>
        <v>0</v>
      </c>
      <c r="BG611" s="433">
        <f t="shared" si="326"/>
        <v>1</v>
      </c>
      <c r="BH611" s="433">
        <f t="shared" si="327"/>
        <v>3</v>
      </c>
      <c r="BI611" s="433">
        <f t="shared" si="328"/>
        <v>103</v>
      </c>
      <c r="BJ611" s="433">
        <f t="shared" si="329"/>
        <v>0</v>
      </c>
      <c r="BK611" s="433">
        <f t="shared" si="330"/>
        <v>0</v>
      </c>
      <c r="BL611" s="433">
        <f t="shared" si="331"/>
        <v>4</v>
      </c>
      <c r="BM611" s="433">
        <f t="shared" si="332"/>
        <v>0</v>
      </c>
      <c r="BN611" s="433">
        <f t="shared" si="333"/>
        <v>0</v>
      </c>
      <c r="BO611" s="433">
        <f t="shared" si="334"/>
        <v>0</v>
      </c>
      <c r="BP611" s="433">
        <f t="shared" si="335"/>
        <v>0</v>
      </c>
      <c r="BQ611" s="433">
        <f t="shared" si="336"/>
        <v>0</v>
      </c>
    </row>
    <row r="612" spans="1:69" x14ac:dyDescent="0.2">
      <c r="A612" s="102">
        <v>41852</v>
      </c>
      <c r="B612" s="319">
        <v>2</v>
      </c>
      <c r="C612" s="118" t="s">
        <v>3853</v>
      </c>
      <c r="D612" s="111">
        <v>0.34166666666666662</v>
      </c>
      <c r="E612" s="111">
        <v>0.58472222222222225</v>
      </c>
      <c r="F612" s="319">
        <v>35</v>
      </c>
      <c r="G612" s="445">
        <v>12</v>
      </c>
      <c r="H612" s="319"/>
      <c r="I612" s="390"/>
      <c r="J612" s="426">
        <f t="shared" si="309"/>
        <v>350.00000000000011</v>
      </c>
      <c r="K612" s="103"/>
      <c r="L612" s="103"/>
      <c r="M612" s="103"/>
      <c r="N612" s="427">
        <f t="shared" si="310"/>
        <v>0</v>
      </c>
      <c r="O612" s="103"/>
      <c r="P612" s="103"/>
      <c r="Q612" s="103"/>
      <c r="R612" s="428">
        <f t="shared" si="311"/>
        <v>0</v>
      </c>
      <c r="S612" s="103">
        <v>1</v>
      </c>
      <c r="T612" s="103"/>
      <c r="U612" s="103"/>
      <c r="V612" s="125"/>
      <c r="W612" s="428">
        <f t="shared" si="315"/>
        <v>1</v>
      </c>
      <c r="X612" s="103">
        <v>1</v>
      </c>
      <c r="Y612" s="103">
        <v>2</v>
      </c>
      <c r="Z612" s="125"/>
      <c r="AA612" s="428">
        <f t="shared" si="316"/>
        <v>3</v>
      </c>
      <c r="AB612" s="103">
        <v>1</v>
      </c>
      <c r="AC612" s="103">
        <v>3</v>
      </c>
      <c r="AD612" s="103"/>
      <c r="AE612" s="428">
        <f t="shared" si="317"/>
        <v>4</v>
      </c>
      <c r="AF612" s="103"/>
      <c r="AG612" s="103"/>
      <c r="AH612" s="103"/>
      <c r="AI612" s="103"/>
      <c r="AJ612" s="428">
        <f t="shared" si="318"/>
        <v>0</v>
      </c>
      <c r="AK612" s="446"/>
      <c r="AL612" s="446"/>
      <c r="AM612" s="446"/>
      <c r="AN612" s="446"/>
      <c r="AO612" s="446"/>
      <c r="AP612" s="446"/>
      <c r="AQ612" s="446"/>
      <c r="AR612" s="431">
        <f t="shared" si="319"/>
        <v>0</v>
      </c>
      <c r="AS612" s="10" t="s">
        <v>3913</v>
      </c>
      <c r="AT612" s="128"/>
      <c r="AU612" s="100" t="s">
        <v>3851</v>
      </c>
      <c r="AV612" s="128" t="s">
        <v>3912</v>
      </c>
      <c r="AW612" s="100" t="s">
        <v>3940</v>
      </c>
      <c r="AX612" s="433">
        <f t="shared" si="320"/>
        <v>0</v>
      </c>
      <c r="AY612" s="433">
        <f t="shared" si="321"/>
        <v>0</v>
      </c>
      <c r="AZ612" s="433">
        <f t="shared" si="322"/>
        <v>0</v>
      </c>
      <c r="BA612" s="433">
        <f t="shared" si="312"/>
        <v>0</v>
      </c>
      <c r="BB612" s="433">
        <f t="shared" si="313"/>
        <v>0</v>
      </c>
      <c r="BC612" s="433">
        <f t="shared" si="314"/>
        <v>0</v>
      </c>
      <c r="BD612" s="433">
        <f t="shared" si="323"/>
        <v>1</v>
      </c>
      <c r="BE612" s="433">
        <f t="shared" si="324"/>
        <v>0</v>
      </c>
      <c r="BF612" s="433">
        <f t="shared" si="325"/>
        <v>0</v>
      </c>
      <c r="BG612" s="433">
        <f t="shared" si="326"/>
        <v>0</v>
      </c>
      <c r="BH612" s="433">
        <f t="shared" si="327"/>
        <v>1</v>
      </c>
      <c r="BI612" s="433">
        <f t="shared" si="328"/>
        <v>2</v>
      </c>
      <c r="BJ612" s="433">
        <f t="shared" si="329"/>
        <v>0</v>
      </c>
      <c r="BK612" s="433">
        <f t="shared" si="330"/>
        <v>1</v>
      </c>
      <c r="BL612" s="433">
        <f t="shared" si="331"/>
        <v>3</v>
      </c>
      <c r="BM612" s="433">
        <f t="shared" si="332"/>
        <v>0</v>
      </c>
      <c r="BN612" s="433">
        <f t="shared" si="333"/>
        <v>0</v>
      </c>
      <c r="BO612" s="433">
        <f t="shared" si="334"/>
        <v>0</v>
      </c>
      <c r="BP612" s="433">
        <f t="shared" si="335"/>
        <v>0</v>
      </c>
      <c r="BQ612" s="433">
        <f t="shared" si="336"/>
        <v>0</v>
      </c>
    </row>
    <row r="613" spans="1:69" x14ac:dyDescent="0.2">
      <c r="A613" s="102">
        <v>41852</v>
      </c>
      <c r="B613" s="319">
        <v>2</v>
      </c>
      <c r="C613" s="118" t="s">
        <v>3854</v>
      </c>
      <c r="D613" s="111">
        <v>0.58472222222222225</v>
      </c>
      <c r="E613" s="111">
        <v>0.84583333333333333</v>
      </c>
      <c r="F613" s="319">
        <v>36</v>
      </c>
      <c r="G613" s="445">
        <v>12</v>
      </c>
      <c r="H613" s="319"/>
      <c r="I613" s="390"/>
      <c r="J613" s="426">
        <f t="shared" si="309"/>
        <v>375.99999999999994</v>
      </c>
      <c r="K613" s="103"/>
      <c r="L613" s="103"/>
      <c r="M613" s="103"/>
      <c r="N613" s="427">
        <f t="shared" si="310"/>
        <v>0</v>
      </c>
      <c r="O613" s="103"/>
      <c r="P613" s="103"/>
      <c r="Q613" s="103"/>
      <c r="R613" s="428">
        <f t="shared" si="311"/>
        <v>0</v>
      </c>
      <c r="S613" s="103"/>
      <c r="T613" s="103"/>
      <c r="U613" s="103"/>
      <c r="V613" s="125"/>
      <c r="W613" s="428">
        <f t="shared" si="315"/>
        <v>0</v>
      </c>
      <c r="X613" s="103"/>
      <c r="Y613" s="103">
        <v>2</v>
      </c>
      <c r="Z613" s="125"/>
      <c r="AA613" s="428">
        <f t="shared" si="316"/>
        <v>2</v>
      </c>
      <c r="AB613" s="103"/>
      <c r="AC613" s="103">
        <v>6</v>
      </c>
      <c r="AD613" s="103"/>
      <c r="AE613" s="428">
        <f t="shared" si="317"/>
        <v>6</v>
      </c>
      <c r="AF613" s="103"/>
      <c r="AG613" s="103"/>
      <c r="AH613" s="103"/>
      <c r="AI613" s="103"/>
      <c r="AJ613" s="428">
        <f t="shared" si="318"/>
        <v>0</v>
      </c>
      <c r="AK613" s="446"/>
      <c r="AL613" s="446"/>
      <c r="AM613" s="446"/>
      <c r="AN613" s="446"/>
      <c r="AO613" s="446"/>
      <c r="AP613" s="446"/>
      <c r="AQ613" s="446"/>
      <c r="AR613" s="431">
        <f t="shared" si="319"/>
        <v>0</v>
      </c>
      <c r="AT613" s="128"/>
      <c r="AU613" s="100" t="s">
        <v>3852</v>
      </c>
      <c r="AV613" s="128" t="s">
        <v>3912</v>
      </c>
      <c r="AW613" s="100" t="s">
        <v>3940</v>
      </c>
      <c r="AX613" s="433">
        <f t="shared" si="320"/>
        <v>0</v>
      </c>
      <c r="AY613" s="433">
        <f t="shared" si="321"/>
        <v>0</v>
      </c>
      <c r="AZ613" s="433">
        <f t="shared" si="322"/>
        <v>0</v>
      </c>
      <c r="BA613" s="433">
        <f t="shared" si="312"/>
        <v>0</v>
      </c>
      <c r="BB613" s="433">
        <f t="shared" si="313"/>
        <v>0</v>
      </c>
      <c r="BC613" s="433">
        <f t="shared" si="314"/>
        <v>0</v>
      </c>
      <c r="BD613" s="433">
        <f t="shared" si="323"/>
        <v>0</v>
      </c>
      <c r="BE613" s="433">
        <f t="shared" si="324"/>
        <v>0</v>
      </c>
      <c r="BF613" s="433">
        <f t="shared" si="325"/>
        <v>0</v>
      </c>
      <c r="BG613" s="433">
        <f t="shared" si="326"/>
        <v>0</v>
      </c>
      <c r="BH613" s="433">
        <f t="shared" si="327"/>
        <v>0</v>
      </c>
      <c r="BI613" s="433">
        <f t="shared" si="328"/>
        <v>2</v>
      </c>
      <c r="BJ613" s="433">
        <f t="shared" si="329"/>
        <v>0</v>
      </c>
      <c r="BK613" s="433">
        <f t="shared" si="330"/>
        <v>0</v>
      </c>
      <c r="BL613" s="433">
        <f t="shared" si="331"/>
        <v>6</v>
      </c>
      <c r="BM613" s="433">
        <f t="shared" si="332"/>
        <v>0</v>
      </c>
      <c r="BN613" s="433">
        <f t="shared" si="333"/>
        <v>0</v>
      </c>
      <c r="BO613" s="433">
        <f t="shared" si="334"/>
        <v>0</v>
      </c>
      <c r="BP613" s="433">
        <f t="shared" si="335"/>
        <v>0</v>
      </c>
      <c r="BQ613" s="433">
        <f t="shared" si="336"/>
        <v>0</v>
      </c>
    </row>
    <row r="614" spans="1:69" x14ac:dyDescent="0.2">
      <c r="A614" s="102">
        <v>41852</v>
      </c>
      <c r="B614" s="319">
        <v>3</v>
      </c>
      <c r="C614" s="118" t="s">
        <v>3854</v>
      </c>
      <c r="D614" s="111">
        <v>0.33402777777777781</v>
      </c>
      <c r="E614" s="111">
        <v>0.44930555555555557</v>
      </c>
      <c r="F614" s="319">
        <v>54</v>
      </c>
      <c r="G614" s="445">
        <v>12</v>
      </c>
      <c r="H614" s="319"/>
      <c r="I614" s="390"/>
      <c r="J614" s="426">
        <f t="shared" si="309"/>
        <v>165.99999999999997</v>
      </c>
      <c r="K614" s="103"/>
      <c r="L614" s="103">
        <v>1</v>
      </c>
      <c r="M614" s="103"/>
      <c r="N614" s="427">
        <f t="shared" si="310"/>
        <v>1</v>
      </c>
      <c r="O614" s="103"/>
      <c r="P614" s="103"/>
      <c r="Q614" s="103"/>
      <c r="R614" s="428">
        <f t="shared" si="311"/>
        <v>0</v>
      </c>
      <c r="S614" s="103">
        <v>1</v>
      </c>
      <c r="T614" s="103">
        <v>1</v>
      </c>
      <c r="U614" s="103"/>
      <c r="V614" s="125"/>
      <c r="W614" s="428">
        <f t="shared" si="315"/>
        <v>2</v>
      </c>
      <c r="X614" s="103">
        <v>2</v>
      </c>
      <c r="Y614" s="103">
        <v>49</v>
      </c>
      <c r="Z614" s="125"/>
      <c r="AA614" s="428">
        <f t="shared" si="316"/>
        <v>51</v>
      </c>
      <c r="AB614" s="103">
        <v>2</v>
      </c>
      <c r="AC614" s="103">
        <v>4</v>
      </c>
      <c r="AD614" s="103"/>
      <c r="AE614" s="428">
        <f t="shared" si="317"/>
        <v>6</v>
      </c>
      <c r="AF614" s="103">
        <v>1</v>
      </c>
      <c r="AG614" s="103"/>
      <c r="AH614" s="103"/>
      <c r="AI614" s="103"/>
      <c r="AJ614" s="428">
        <f t="shared" si="318"/>
        <v>1</v>
      </c>
      <c r="AK614" s="446"/>
      <c r="AL614" s="446"/>
      <c r="AM614" s="446"/>
      <c r="AN614" s="446"/>
      <c r="AO614" s="446"/>
      <c r="AP614" s="446"/>
      <c r="AQ614" s="446"/>
      <c r="AR614" s="431">
        <f t="shared" si="319"/>
        <v>0</v>
      </c>
      <c r="AS614" s="10" t="s">
        <v>3855</v>
      </c>
      <c r="AT614" s="128"/>
      <c r="AU614" s="100" t="s">
        <v>3858</v>
      </c>
      <c r="AV614" s="128" t="s">
        <v>3912</v>
      </c>
      <c r="AW614" s="100" t="s">
        <v>3940</v>
      </c>
      <c r="AX614" s="433">
        <f t="shared" si="320"/>
        <v>0</v>
      </c>
      <c r="AY614" s="433">
        <f t="shared" si="321"/>
        <v>1</v>
      </c>
      <c r="AZ614" s="433">
        <f t="shared" si="322"/>
        <v>0</v>
      </c>
      <c r="BA614" s="433">
        <f t="shared" si="312"/>
        <v>0</v>
      </c>
      <c r="BB614" s="433">
        <f t="shared" si="313"/>
        <v>0</v>
      </c>
      <c r="BC614" s="433">
        <f t="shared" si="314"/>
        <v>0</v>
      </c>
      <c r="BD614" s="433">
        <f t="shared" si="323"/>
        <v>1</v>
      </c>
      <c r="BE614" s="433">
        <f t="shared" si="324"/>
        <v>1</v>
      </c>
      <c r="BF614" s="433">
        <f t="shared" si="325"/>
        <v>0</v>
      </c>
      <c r="BG614" s="433">
        <f t="shared" si="326"/>
        <v>0</v>
      </c>
      <c r="BH614" s="433">
        <f t="shared" si="327"/>
        <v>2</v>
      </c>
      <c r="BI614" s="433">
        <f t="shared" si="328"/>
        <v>49</v>
      </c>
      <c r="BJ614" s="433">
        <f t="shared" si="329"/>
        <v>0</v>
      </c>
      <c r="BK614" s="433">
        <f t="shared" si="330"/>
        <v>2</v>
      </c>
      <c r="BL614" s="433">
        <f t="shared" si="331"/>
        <v>4</v>
      </c>
      <c r="BM614" s="433">
        <f t="shared" si="332"/>
        <v>0</v>
      </c>
      <c r="BN614" s="433">
        <f t="shared" si="333"/>
        <v>1</v>
      </c>
      <c r="BO614" s="433">
        <f t="shared" si="334"/>
        <v>0</v>
      </c>
      <c r="BP614" s="433">
        <f t="shared" si="335"/>
        <v>0</v>
      </c>
      <c r="BQ614" s="433">
        <f t="shared" si="336"/>
        <v>0</v>
      </c>
    </row>
    <row r="615" spans="1:69" x14ac:dyDescent="0.2">
      <c r="A615" s="102">
        <v>41852</v>
      </c>
      <c r="B615" s="319">
        <v>3</v>
      </c>
      <c r="C615" s="118" t="s">
        <v>3856</v>
      </c>
      <c r="D615" s="111">
        <v>0.44930555555555557</v>
      </c>
      <c r="E615" s="111">
        <v>0.69305555555555554</v>
      </c>
      <c r="F615" s="319">
        <v>49</v>
      </c>
      <c r="G615" s="445">
        <v>13</v>
      </c>
      <c r="H615" s="319"/>
      <c r="I615" s="390"/>
      <c r="J615" s="426">
        <f t="shared" si="309"/>
        <v>351</v>
      </c>
      <c r="K615" s="103"/>
      <c r="L615" s="103"/>
      <c r="M615" s="103"/>
      <c r="N615" s="427">
        <f t="shared" si="310"/>
        <v>0</v>
      </c>
      <c r="O615" s="103"/>
      <c r="P615" s="103"/>
      <c r="Q615" s="103"/>
      <c r="R615" s="428">
        <f t="shared" si="311"/>
        <v>0</v>
      </c>
      <c r="S615" s="103"/>
      <c r="T615" s="103"/>
      <c r="U615" s="103"/>
      <c r="V615" s="125"/>
      <c r="W615" s="428">
        <f t="shared" si="315"/>
        <v>0</v>
      </c>
      <c r="X615" s="103"/>
      <c r="Y615" s="103">
        <v>164</v>
      </c>
      <c r="Z615" s="125"/>
      <c r="AA615" s="428">
        <f t="shared" si="316"/>
        <v>164</v>
      </c>
      <c r="AB615" s="103">
        <v>1</v>
      </c>
      <c r="AC615" s="103">
        <v>18</v>
      </c>
      <c r="AD615" s="103"/>
      <c r="AE615" s="428">
        <f t="shared" si="317"/>
        <v>19</v>
      </c>
      <c r="AF615" s="103"/>
      <c r="AG615" s="103">
        <v>1</v>
      </c>
      <c r="AH615" s="103"/>
      <c r="AI615" s="103"/>
      <c r="AJ615" s="428">
        <f t="shared" si="318"/>
        <v>1</v>
      </c>
      <c r="AK615" s="446"/>
      <c r="AL615" s="446"/>
      <c r="AM615" s="446">
        <v>3</v>
      </c>
      <c r="AN615" s="446"/>
      <c r="AO615" s="446"/>
      <c r="AP615" s="446"/>
      <c r="AQ615" s="446"/>
      <c r="AR615" s="431">
        <f t="shared" si="319"/>
        <v>3</v>
      </c>
      <c r="AS615" s="10" t="s">
        <v>3857</v>
      </c>
      <c r="AT615" s="128"/>
      <c r="AU615" s="100" t="s">
        <v>3813</v>
      </c>
      <c r="AV615" s="128" t="s">
        <v>3912</v>
      </c>
      <c r="AW615" s="100" t="s">
        <v>3940</v>
      </c>
      <c r="AX615" s="433">
        <f t="shared" si="320"/>
        <v>0</v>
      </c>
      <c r="AY615" s="433">
        <f t="shared" si="321"/>
        <v>0</v>
      </c>
      <c r="AZ615" s="433">
        <f t="shared" si="322"/>
        <v>0</v>
      </c>
      <c r="BA615" s="433">
        <f t="shared" si="312"/>
        <v>0</v>
      </c>
      <c r="BB615" s="433">
        <f t="shared" si="313"/>
        <v>0</v>
      </c>
      <c r="BC615" s="433">
        <f t="shared" si="314"/>
        <v>0</v>
      </c>
      <c r="BD615" s="433">
        <f t="shared" si="323"/>
        <v>0</v>
      </c>
      <c r="BE615" s="433">
        <f t="shared" si="324"/>
        <v>0</v>
      </c>
      <c r="BF615" s="433">
        <f t="shared" si="325"/>
        <v>0</v>
      </c>
      <c r="BG615" s="433">
        <f t="shared" si="326"/>
        <v>0</v>
      </c>
      <c r="BH615" s="433">
        <f t="shared" si="327"/>
        <v>0</v>
      </c>
      <c r="BI615" s="433">
        <f t="shared" si="328"/>
        <v>164</v>
      </c>
      <c r="BJ615" s="433">
        <f t="shared" si="329"/>
        <v>0</v>
      </c>
      <c r="BK615" s="433">
        <f t="shared" si="330"/>
        <v>1</v>
      </c>
      <c r="BL615" s="433">
        <f t="shared" si="331"/>
        <v>18</v>
      </c>
      <c r="BM615" s="433">
        <f t="shared" si="332"/>
        <v>0</v>
      </c>
      <c r="BN615" s="433">
        <f t="shared" si="333"/>
        <v>0</v>
      </c>
      <c r="BO615" s="433">
        <f t="shared" si="334"/>
        <v>1</v>
      </c>
      <c r="BP615" s="433">
        <f t="shared" si="335"/>
        <v>0</v>
      </c>
      <c r="BQ615" s="433">
        <f t="shared" si="336"/>
        <v>0</v>
      </c>
    </row>
    <row r="616" spans="1:69" s="291" customFormat="1" x14ac:dyDescent="0.2">
      <c r="A616" s="317">
        <v>41852</v>
      </c>
      <c r="B616" s="318">
        <v>3</v>
      </c>
      <c r="C616" s="320" t="s">
        <v>3859</v>
      </c>
      <c r="D616" s="321">
        <v>0.69305555555555554</v>
      </c>
      <c r="E616" s="321">
        <v>0.8340277777777777</v>
      </c>
      <c r="F616" s="318">
        <v>49</v>
      </c>
      <c r="G616" s="435">
        <v>12</v>
      </c>
      <c r="H616" s="318"/>
      <c r="I616" s="436"/>
      <c r="J616" s="437">
        <f t="shared" si="309"/>
        <v>202.99999999999991</v>
      </c>
      <c r="K616" s="285"/>
      <c r="L616" s="285"/>
      <c r="M616" s="285"/>
      <c r="N616" s="438">
        <f t="shared" si="310"/>
        <v>0</v>
      </c>
      <c r="O616" s="285"/>
      <c r="P616" s="285"/>
      <c r="Q616" s="285"/>
      <c r="R616" s="439">
        <f t="shared" si="311"/>
        <v>0</v>
      </c>
      <c r="S616" s="285">
        <v>2</v>
      </c>
      <c r="T616" s="285"/>
      <c r="U616" s="285"/>
      <c r="V616" s="440"/>
      <c r="W616" s="439">
        <f t="shared" si="315"/>
        <v>2</v>
      </c>
      <c r="X616" s="285">
        <v>4</v>
      </c>
      <c r="Y616" s="285">
        <v>62</v>
      </c>
      <c r="Z616" s="440"/>
      <c r="AA616" s="439">
        <f t="shared" si="316"/>
        <v>66</v>
      </c>
      <c r="AB616" s="285">
        <v>1</v>
      </c>
      <c r="AC616" s="285">
        <v>2</v>
      </c>
      <c r="AD616" s="285"/>
      <c r="AE616" s="439">
        <f t="shared" si="317"/>
        <v>3</v>
      </c>
      <c r="AF616" s="285">
        <v>1</v>
      </c>
      <c r="AG616" s="285"/>
      <c r="AH616" s="285"/>
      <c r="AI616" s="285"/>
      <c r="AJ616" s="439">
        <f t="shared" si="318"/>
        <v>1</v>
      </c>
      <c r="AK616" s="340"/>
      <c r="AL616" s="340">
        <v>1</v>
      </c>
      <c r="AM616" s="340"/>
      <c r="AN616" s="340"/>
      <c r="AO616" s="340"/>
      <c r="AP616" s="340"/>
      <c r="AQ616" s="340"/>
      <c r="AR616" s="441">
        <f t="shared" si="319"/>
        <v>1</v>
      </c>
      <c r="AT616" s="313"/>
      <c r="AU616" s="382" t="s">
        <v>3860</v>
      </c>
      <c r="AV616" s="313" t="s">
        <v>3912</v>
      </c>
      <c r="AW616" s="289" t="s">
        <v>3940</v>
      </c>
      <c r="AX616" s="443">
        <f t="shared" si="320"/>
        <v>0</v>
      </c>
      <c r="AY616" s="443">
        <f t="shared" si="321"/>
        <v>0</v>
      </c>
      <c r="AZ616" s="443">
        <f t="shared" si="322"/>
        <v>0</v>
      </c>
      <c r="BA616" s="443">
        <f t="shared" si="312"/>
        <v>0</v>
      </c>
      <c r="BB616" s="443">
        <f t="shared" si="313"/>
        <v>0</v>
      </c>
      <c r="BC616" s="443">
        <f t="shared" si="314"/>
        <v>0</v>
      </c>
      <c r="BD616" s="443">
        <f t="shared" si="323"/>
        <v>2</v>
      </c>
      <c r="BE616" s="443">
        <f t="shared" si="324"/>
        <v>0</v>
      </c>
      <c r="BF616" s="443">
        <f t="shared" si="325"/>
        <v>0</v>
      </c>
      <c r="BG616" s="443">
        <f t="shared" si="326"/>
        <v>0</v>
      </c>
      <c r="BH616" s="443">
        <f t="shared" si="327"/>
        <v>4</v>
      </c>
      <c r="BI616" s="443">
        <f t="shared" si="328"/>
        <v>62</v>
      </c>
      <c r="BJ616" s="443">
        <f t="shared" si="329"/>
        <v>0</v>
      </c>
      <c r="BK616" s="443">
        <f t="shared" si="330"/>
        <v>1</v>
      </c>
      <c r="BL616" s="443">
        <f t="shared" si="331"/>
        <v>2</v>
      </c>
      <c r="BM616" s="443">
        <f t="shared" si="332"/>
        <v>0</v>
      </c>
      <c r="BN616" s="443">
        <f t="shared" si="333"/>
        <v>1</v>
      </c>
      <c r="BO616" s="443">
        <f t="shared" si="334"/>
        <v>0</v>
      </c>
      <c r="BP616" s="443">
        <f t="shared" si="335"/>
        <v>0</v>
      </c>
      <c r="BQ616" s="443">
        <f t="shared" si="336"/>
        <v>0</v>
      </c>
    </row>
    <row r="617" spans="1:69" x14ac:dyDescent="0.2">
      <c r="A617" s="102">
        <v>41853</v>
      </c>
      <c r="B617" s="319">
        <v>1</v>
      </c>
      <c r="C617" s="118" t="s">
        <v>1563</v>
      </c>
      <c r="D617" s="111">
        <v>0.34027777777777773</v>
      </c>
      <c r="E617" s="111">
        <v>0.57777777777777783</v>
      </c>
      <c r="F617" s="319">
        <v>54</v>
      </c>
      <c r="G617" s="445">
        <v>10</v>
      </c>
      <c r="H617" s="319"/>
      <c r="I617" s="390">
        <v>92.4</v>
      </c>
      <c r="J617" s="426">
        <f t="shared" si="309"/>
        <v>342.00000000000017</v>
      </c>
      <c r="K617" s="103"/>
      <c r="L617" s="103"/>
      <c r="M617" s="103"/>
      <c r="N617" s="427">
        <f t="shared" si="310"/>
        <v>0</v>
      </c>
      <c r="O617" s="103"/>
      <c r="P617" s="103"/>
      <c r="Q617" s="103"/>
      <c r="R617" s="428">
        <f t="shared" si="311"/>
        <v>0</v>
      </c>
      <c r="S617" s="103"/>
      <c r="T617" s="103"/>
      <c r="U617" s="103"/>
      <c r="V617" s="125"/>
      <c r="W617" s="428">
        <f t="shared" si="315"/>
        <v>0</v>
      </c>
      <c r="X617" s="103">
        <v>4</v>
      </c>
      <c r="Y617" s="103">
        <v>92</v>
      </c>
      <c r="Z617" s="125"/>
      <c r="AA617" s="428">
        <f t="shared" si="316"/>
        <v>96</v>
      </c>
      <c r="AB617" s="103">
        <v>3</v>
      </c>
      <c r="AC617" s="103">
        <v>9</v>
      </c>
      <c r="AD617" s="103"/>
      <c r="AE617" s="428">
        <f t="shared" si="317"/>
        <v>12</v>
      </c>
      <c r="AF617" s="103"/>
      <c r="AG617" s="103"/>
      <c r="AH617" s="103"/>
      <c r="AI617" s="103"/>
      <c r="AJ617" s="428">
        <f t="shared" si="318"/>
        <v>0</v>
      </c>
      <c r="AK617" s="446"/>
      <c r="AL617" s="446"/>
      <c r="AM617" s="446"/>
      <c r="AN617" s="446"/>
      <c r="AO617" s="446"/>
      <c r="AP617" s="446"/>
      <c r="AQ617" s="446"/>
      <c r="AR617" s="431">
        <f t="shared" si="319"/>
        <v>0</v>
      </c>
      <c r="AT617" s="128"/>
      <c r="AU617" s="100" t="s">
        <v>3919</v>
      </c>
      <c r="AV617" s="128" t="s">
        <v>3938</v>
      </c>
      <c r="AW617" s="100" t="s">
        <v>3939</v>
      </c>
      <c r="AX617" s="433">
        <f t="shared" si="320"/>
        <v>0</v>
      </c>
      <c r="AY617" s="433">
        <f t="shared" si="321"/>
        <v>0</v>
      </c>
      <c r="AZ617" s="433">
        <f t="shared" si="322"/>
        <v>0</v>
      </c>
      <c r="BA617" s="433">
        <f t="shared" si="312"/>
        <v>0</v>
      </c>
      <c r="BB617" s="433">
        <f t="shared" si="313"/>
        <v>0</v>
      </c>
      <c r="BC617" s="433">
        <f t="shared" si="314"/>
        <v>0</v>
      </c>
      <c r="BD617" s="433">
        <f t="shared" si="323"/>
        <v>0</v>
      </c>
      <c r="BE617" s="433">
        <f t="shared" si="324"/>
        <v>0</v>
      </c>
      <c r="BF617" s="433">
        <f t="shared" si="325"/>
        <v>0</v>
      </c>
      <c r="BG617" s="433">
        <f t="shared" si="326"/>
        <v>0</v>
      </c>
      <c r="BH617" s="433">
        <f t="shared" si="327"/>
        <v>4</v>
      </c>
      <c r="BI617" s="433">
        <f t="shared" si="328"/>
        <v>92</v>
      </c>
      <c r="BJ617" s="433">
        <f t="shared" si="329"/>
        <v>0</v>
      </c>
      <c r="BK617" s="433">
        <f t="shared" si="330"/>
        <v>3</v>
      </c>
      <c r="BL617" s="433">
        <f t="shared" si="331"/>
        <v>9</v>
      </c>
      <c r="BM617" s="433">
        <f t="shared" si="332"/>
        <v>0</v>
      </c>
      <c r="BN617" s="433">
        <f t="shared" si="333"/>
        <v>0</v>
      </c>
      <c r="BO617" s="433">
        <f t="shared" si="334"/>
        <v>0</v>
      </c>
      <c r="BP617" s="433">
        <f t="shared" si="335"/>
        <v>0</v>
      </c>
      <c r="BQ617" s="433">
        <f t="shared" si="336"/>
        <v>0</v>
      </c>
    </row>
    <row r="618" spans="1:69" x14ac:dyDescent="0.2">
      <c r="A618" s="102">
        <v>41853</v>
      </c>
      <c r="B618" s="319">
        <v>1</v>
      </c>
      <c r="C618" s="118" t="s">
        <v>3921</v>
      </c>
      <c r="D618" s="111">
        <v>0.57777777777777783</v>
      </c>
      <c r="E618" s="111">
        <v>0.84027777777777779</v>
      </c>
      <c r="F618" s="319">
        <v>50</v>
      </c>
      <c r="G618" s="445">
        <v>10.5</v>
      </c>
      <c r="H618" s="319"/>
      <c r="I618" s="390"/>
      <c r="J618" s="426">
        <f t="shared" si="309"/>
        <v>377.99999999999994</v>
      </c>
      <c r="K618" s="103"/>
      <c r="L618" s="103"/>
      <c r="M618" s="103"/>
      <c r="N618" s="427">
        <f t="shared" si="310"/>
        <v>0</v>
      </c>
      <c r="O618" s="103"/>
      <c r="P618" s="103"/>
      <c r="Q618" s="103"/>
      <c r="R618" s="428">
        <f t="shared" si="311"/>
        <v>0</v>
      </c>
      <c r="S618" s="103"/>
      <c r="T618" s="103"/>
      <c r="U618" s="103"/>
      <c r="V618" s="125"/>
      <c r="W618" s="428">
        <f t="shared" si="315"/>
        <v>0</v>
      </c>
      <c r="X618" s="103"/>
      <c r="Y618" s="103">
        <v>143</v>
      </c>
      <c r="Z618" s="125"/>
      <c r="AA618" s="428">
        <f t="shared" si="316"/>
        <v>143</v>
      </c>
      <c r="AB618" s="103"/>
      <c r="AC618" s="103">
        <v>13</v>
      </c>
      <c r="AD618" s="103"/>
      <c r="AE618" s="428">
        <f t="shared" si="317"/>
        <v>13</v>
      </c>
      <c r="AF618" s="103"/>
      <c r="AG618" s="103"/>
      <c r="AH618" s="103"/>
      <c r="AI618" s="103"/>
      <c r="AJ618" s="428">
        <f t="shared" si="318"/>
        <v>0</v>
      </c>
      <c r="AK618" s="446"/>
      <c r="AL618" s="446"/>
      <c r="AM618" s="446"/>
      <c r="AN618" s="446"/>
      <c r="AO618" s="446"/>
      <c r="AP618" s="446"/>
      <c r="AQ618" s="446"/>
      <c r="AR618" s="431">
        <f t="shared" si="319"/>
        <v>0</v>
      </c>
      <c r="AT618" s="128"/>
      <c r="AU618" s="100" t="s">
        <v>3920</v>
      </c>
      <c r="AV618" s="128" t="s">
        <v>3938</v>
      </c>
      <c r="AW618" s="100" t="s">
        <v>3939</v>
      </c>
      <c r="AX618" s="433">
        <f t="shared" si="320"/>
        <v>0</v>
      </c>
      <c r="AY618" s="433">
        <f t="shared" si="321"/>
        <v>0</v>
      </c>
      <c r="AZ618" s="433">
        <f t="shared" si="322"/>
        <v>0</v>
      </c>
      <c r="BA618" s="433">
        <f t="shared" si="312"/>
        <v>0</v>
      </c>
      <c r="BB618" s="433">
        <f t="shared" si="313"/>
        <v>0</v>
      </c>
      <c r="BC618" s="433">
        <f t="shared" si="314"/>
        <v>0</v>
      </c>
      <c r="BD618" s="433">
        <f t="shared" si="323"/>
        <v>0</v>
      </c>
      <c r="BE618" s="433">
        <f t="shared" si="324"/>
        <v>0</v>
      </c>
      <c r="BF618" s="433">
        <f t="shared" si="325"/>
        <v>0</v>
      </c>
      <c r="BG618" s="433">
        <f t="shared" si="326"/>
        <v>0</v>
      </c>
      <c r="BH618" s="433">
        <f t="shared" si="327"/>
        <v>0</v>
      </c>
      <c r="BI618" s="433">
        <f t="shared" si="328"/>
        <v>143</v>
      </c>
      <c r="BJ618" s="433">
        <f t="shared" si="329"/>
        <v>0</v>
      </c>
      <c r="BK618" s="433">
        <f t="shared" si="330"/>
        <v>0</v>
      </c>
      <c r="BL618" s="433">
        <f t="shared" si="331"/>
        <v>13</v>
      </c>
      <c r="BM618" s="433">
        <f t="shared" si="332"/>
        <v>0</v>
      </c>
      <c r="BN618" s="433">
        <f t="shared" si="333"/>
        <v>0</v>
      </c>
      <c r="BO618" s="433">
        <f t="shared" si="334"/>
        <v>0</v>
      </c>
      <c r="BP618" s="433">
        <f t="shared" si="335"/>
        <v>0</v>
      </c>
      <c r="BQ618" s="433">
        <f t="shared" si="336"/>
        <v>0</v>
      </c>
    </row>
    <row r="619" spans="1:69" x14ac:dyDescent="0.2">
      <c r="A619" s="102">
        <v>41853</v>
      </c>
      <c r="B619" s="319">
        <v>2</v>
      </c>
      <c r="C619" s="118" t="s">
        <v>1563</v>
      </c>
      <c r="D619" s="111">
        <v>0.3354166666666667</v>
      </c>
      <c r="E619" s="111">
        <v>0.56597222222222221</v>
      </c>
      <c r="F619" s="319">
        <v>36</v>
      </c>
      <c r="G619" s="445">
        <v>11</v>
      </c>
      <c r="H619" s="319"/>
      <c r="I619" s="390"/>
      <c r="J619" s="426">
        <f t="shared" si="309"/>
        <v>331.99999999999994</v>
      </c>
      <c r="K619" s="103"/>
      <c r="L619" s="103"/>
      <c r="M619" s="103"/>
      <c r="N619" s="427">
        <f t="shared" si="310"/>
        <v>0</v>
      </c>
      <c r="O619" s="103"/>
      <c r="P619" s="103"/>
      <c r="Q619" s="103"/>
      <c r="R619" s="428">
        <f t="shared" si="311"/>
        <v>0</v>
      </c>
      <c r="S619" s="103"/>
      <c r="T619" s="103"/>
      <c r="U619" s="103"/>
      <c r="V619" s="125"/>
      <c r="W619" s="428">
        <f t="shared" si="315"/>
        <v>0</v>
      </c>
      <c r="X619" s="103">
        <v>1</v>
      </c>
      <c r="Y619" s="103"/>
      <c r="Z619" s="125"/>
      <c r="AA619" s="428">
        <f t="shared" si="316"/>
        <v>1</v>
      </c>
      <c r="AB619" s="103"/>
      <c r="AC619" s="103">
        <v>1</v>
      </c>
      <c r="AD619" s="103"/>
      <c r="AE619" s="428">
        <f t="shared" si="317"/>
        <v>1</v>
      </c>
      <c r="AF619" s="103">
        <v>1</v>
      </c>
      <c r="AG619" s="103"/>
      <c r="AH619" s="103"/>
      <c r="AI619" s="103"/>
      <c r="AJ619" s="428">
        <f t="shared" si="318"/>
        <v>1</v>
      </c>
      <c r="AK619" s="446"/>
      <c r="AL619" s="446"/>
      <c r="AM619" s="446"/>
      <c r="AN619" s="446"/>
      <c r="AO619" s="446"/>
      <c r="AP619" s="446"/>
      <c r="AQ619" s="446"/>
      <c r="AR619" s="431">
        <f t="shared" si="319"/>
        <v>0</v>
      </c>
      <c r="AT619" s="128"/>
      <c r="AU619" s="100" t="s">
        <v>3919</v>
      </c>
      <c r="AV619" s="128" t="s">
        <v>3938</v>
      </c>
      <c r="AW619" s="100" t="s">
        <v>3939</v>
      </c>
      <c r="AX619" s="433">
        <f t="shared" si="320"/>
        <v>0</v>
      </c>
      <c r="AY619" s="433">
        <f t="shared" si="321"/>
        <v>0</v>
      </c>
      <c r="AZ619" s="433">
        <f t="shared" si="322"/>
        <v>0</v>
      </c>
      <c r="BA619" s="433">
        <f t="shared" si="312"/>
        <v>0</v>
      </c>
      <c r="BB619" s="433">
        <f t="shared" si="313"/>
        <v>0</v>
      </c>
      <c r="BC619" s="433">
        <f t="shared" si="314"/>
        <v>0</v>
      </c>
      <c r="BD619" s="433">
        <f t="shared" si="323"/>
        <v>0</v>
      </c>
      <c r="BE619" s="433">
        <f t="shared" si="324"/>
        <v>0</v>
      </c>
      <c r="BF619" s="433">
        <f t="shared" si="325"/>
        <v>0</v>
      </c>
      <c r="BG619" s="433">
        <f t="shared" si="326"/>
        <v>0</v>
      </c>
      <c r="BH619" s="433">
        <f t="shared" si="327"/>
        <v>1</v>
      </c>
      <c r="BI619" s="433">
        <f t="shared" si="328"/>
        <v>0</v>
      </c>
      <c r="BJ619" s="433">
        <f t="shared" si="329"/>
        <v>0</v>
      </c>
      <c r="BK619" s="433">
        <f t="shared" si="330"/>
        <v>0</v>
      </c>
      <c r="BL619" s="433">
        <f t="shared" si="331"/>
        <v>1</v>
      </c>
      <c r="BM619" s="433">
        <f t="shared" si="332"/>
        <v>0</v>
      </c>
      <c r="BN619" s="433">
        <f t="shared" si="333"/>
        <v>1</v>
      </c>
      <c r="BO619" s="433">
        <f t="shared" si="334"/>
        <v>0</v>
      </c>
      <c r="BP619" s="433">
        <f t="shared" si="335"/>
        <v>0</v>
      </c>
      <c r="BQ619" s="433">
        <f t="shared" si="336"/>
        <v>0</v>
      </c>
    </row>
    <row r="620" spans="1:69" x14ac:dyDescent="0.2">
      <c r="A620" s="102">
        <v>41853</v>
      </c>
      <c r="B620" s="319">
        <v>2</v>
      </c>
      <c r="C620" s="118" t="s">
        <v>3921</v>
      </c>
      <c r="D620" s="111">
        <v>0.56597222222222221</v>
      </c>
      <c r="E620" s="111">
        <v>0.8354166666666667</v>
      </c>
      <c r="F620" s="319">
        <v>35</v>
      </c>
      <c r="G620" s="445">
        <v>12.5</v>
      </c>
      <c r="H620" s="319"/>
      <c r="I620" s="390"/>
      <c r="J620" s="426">
        <f t="shared" si="309"/>
        <v>388.00000000000006</v>
      </c>
      <c r="K620" s="103"/>
      <c r="L620" s="103"/>
      <c r="M620" s="103"/>
      <c r="N620" s="427">
        <f t="shared" si="310"/>
        <v>0</v>
      </c>
      <c r="O620" s="103"/>
      <c r="P620" s="103"/>
      <c r="Q620" s="103"/>
      <c r="R620" s="428">
        <f t="shared" si="311"/>
        <v>0</v>
      </c>
      <c r="S620" s="103">
        <v>1</v>
      </c>
      <c r="T620" s="103"/>
      <c r="U620" s="103"/>
      <c r="V620" s="125"/>
      <c r="W620" s="428">
        <f t="shared" si="315"/>
        <v>1</v>
      </c>
      <c r="X620" s="103">
        <v>1</v>
      </c>
      <c r="Y620" s="103"/>
      <c r="Z620" s="125"/>
      <c r="AA620" s="428">
        <f t="shared" si="316"/>
        <v>1</v>
      </c>
      <c r="AB620" s="103"/>
      <c r="AC620" s="103">
        <v>2</v>
      </c>
      <c r="AD620" s="103"/>
      <c r="AE620" s="428">
        <f t="shared" si="317"/>
        <v>2</v>
      </c>
      <c r="AF620" s="103"/>
      <c r="AG620" s="103"/>
      <c r="AH620" s="103"/>
      <c r="AI620" s="103"/>
      <c r="AJ620" s="428">
        <f t="shared" si="318"/>
        <v>0</v>
      </c>
      <c r="AK620" s="446"/>
      <c r="AL620" s="446"/>
      <c r="AM620" s="446"/>
      <c r="AN620" s="446"/>
      <c r="AO620" s="446"/>
      <c r="AP620" s="446"/>
      <c r="AQ620" s="446"/>
      <c r="AR620" s="431">
        <f t="shared" si="319"/>
        <v>0</v>
      </c>
      <c r="AT620" s="128"/>
      <c r="AU620" s="100" t="s">
        <v>3920</v>
      </c>
      <c r="AV620" s="128" t="s">
        <v>3938</v>
      </c>
      <c r="AW620" s="100" t="s">
        <v>3939</v>
      </c>
      <c r="AX620" s="433">
        <f t="shared" si="320"/>
        <v>0</v>
      </c>
      <c r="AY620" s="433">
        <f t="shared" si="321"/>
        <v>0</v>
      </c>
      <c r="AZ620" s="433">
        <f t="shared" si="322"/>
        <v>0</v>
      </c>
      <c r="BA620" s="433">
        <f t="shared" si="312"/>
        <v>0</v>
      </c>
      <c r="BB620" s="433">
        <f t="shared" si="313"/>
        <v>0</v>
      </c>
      <c r="BC620" s="433">
        <f t="shared" si="314"/>
        <v>0</v>
      </c>
      <c r="BD620" s="433">
        <f t="shared" si="323"/>
        <v>1</v>
      </c>
      <c r="BE620" s="433">
        <f t="shared" si="324"/>
        <v>0</v>
      </c>
      <c r="BF620" s="433">
        <f t="shared" si="325"/>
        <v>0</v>
      </c>
      <c r="BG620" s="433">
        <f t="shared" si="326"/>
        <v>0</v>
      </c>
      <c r="BH620" s="433">
        <f t="shared" si="327"/>
        <v>1</v>
      </c>
      <c r="BI620" s="433">
        <f t="shared" si="328"/>
        <v>0</v>
      </c>
      <c r="BJ620" s="433">
        <f t="shared" si="329"/>
        <v>0</v>
      </c>
      <c r="BK620" s="433">
        <f t="shared" si="330"/>
        <v>0</v>
      </c>
      <c r="BL620" s="433">
        <f t="shared" si="331"/>
        <v>2</v>
      </c>
      <c r="BM620" s="433">
        <f t="shared" si="332"/>
        <v>0</v>
      </c>
      <c r="BN620" s="433">
        <f t="shared" si="333"/>
        <v>0</v>
      </c>
      <c r="BO620" s="433">
        <f t="shared" si="334"/>
        <v>0</v>
      </c>
      <c r="BP620" s="433">
        <f t="shared" si="335"/>
        <v>0</v>
      </c>
      <c r="BQ620" s="433">
        <f t="shared" si="336"/>
        <v>0</v>
      </c>
    </row>
    <row r="621" spans="1:69" x14ac:dyDescent="0.2">
      <c r="A621" s="102">
        <v>41853</v>
      </c>
      <c r="B621" s="319">
        <v>3</v>
      </c>
      <c r="C621" s="118" t="s">
        <v>3921</v>
      </c>
      <c r="D621" s="111">
        <v>0.34027777777777773</v>
      </c>
      <c r="E621" s="111">
        <v>0.45833333333333331</v>
      </c>
      <c r="F621" s="319">
        <v>49</v>
      </c>
      <c r="G621" s="445">
        <v>12</v>
      </c>
      <c r="H621" s="319"/>
      <c r="I621" s="390"/>
      <c r="J621" s="426">
        <f t="shared" si="309"/>
        <v>170.00000000000003</v>
      </c>
      <c r="K621" s="103"/>
      <c r="L621" s="103"/>
      <c r="M621" s="103"/>
      <c r="N621" s="427">
        <f t="shared" si="310"/>
        <v>0</v>
      </c>
      <c r="O621" s="103"/>
      <c r="P621" s="103"/>
      <c r="Q621" s="103"/>
      <c r="R621" s="428">
        <f t="shared" si="311"/>
        <v>0</v>
      </c>
      <c r="S621" s="103"/>
      <c r="T621" s="103"/>
      <c r="U621" s="103"/>
      <c r="V621" s="125"/>
      <c r="W621" s="428">
        <f t="shared" si="315"/>
        <v>0</v>
      </c>
      <c r="X621" s="103">
        <v>3</v>
      </c>
      <c r="Y621" s="103">
        <v>22</v>
      </c>
      <c r="Z621" s="125"/>
      <c r="AA621" s="428">
        <f t="shared" si="316"/>
        <v>25</v>
      </c>
      <c r="AB621" s="103">
        <v>2</v>
      </c>
      <c r="AC621" s="103">
        <v>5</v>
      </c>
      <c r="AD621" s="103"/>
      <c r="AE621" s="428">
        <f t="shared" si="317"/>
        <v>7</v>
      </c>
      <c r="AF621" s="103"/>
      <c r="AG621" s="103"/>
      <c r="AH621" s="103"/>
      <c r="AI621" s="103"/>
      <c r="AJ621" s="428">
        <f t="shared" si="318"/>
        <v>0</v>
      </c>
      <c r="AK621" s="446"/>
      <c r="AL621" s="446"/>
      <c r="AM621" s="446"/>
      <c r="AN621" s="446"/>
      <c r="AO621" s="446"/>
      <c r="AP621" s="446"/>
      <c r="AQ621" s="446"/>
      <c r="AR621" s="431">
        <f t="shared" si="319"/>
        <v>0</v>
      </c>
      <c r="AT621" s="128"/>
      <c r="AU621" s="100" t="s">
        <v>3922</v>
      </c>
      <c r="AV621" s="128" t="s">
        <v>3938</v>
      </c>
      <c r="AW621" s="100" t="s">
        <v>3939</v>
      </c>
      <c r="AX621" s="433">
        <f t="shared" si="320"/>
        <v>0</v>
      </c>
      <c r="AY621" s="433">
        <f t="shared" si="321"/>
        <v>0</v>
      </c>
      <c r="AZ621" s="433">
        <f t="shared" si="322"/>
        <v>0</v>
      </c>
      <c r="BA621" s="433">
        <f t="shared" si="312"/>
        <v>0</v>
      </c>
      <c r="BB621" s="433">
        <f t="shared" si="313"/>
        <v>0</v>
      </c>
      <c r="BC621" s="433">
        <f t="shared" si="314"/>
        <v>0</v>
      </c>
      <c r="BD621" s="433">
        <f t="shared" si="323"/>
        <v>0</v>
      </c>
      <c r="BE621" s="433">
        <f t="shared" si="324"/>
        <v>0</v>
      </c>
      <c r="BF621" s="433">
        <f t="shared" si="325"/>
        <v>0</v>
      </c>
      <c r="BG621" s="433">
        <f t="shared" si="326"/>
        <v>0</v>
      </c>
      <c r="BH621" s="433">
        <f t="shared" si="327"/>
        <v>3</v>
      </c>
      <c r="BI621" s="433">
        <f t="shared" si="328"/>
        <v>22</v>
      </c>
      <c r="BJ621" s="433">
        <f t="shared" si="329"/>
        <v>0</v>
      </c>
      <c r="BK621" s="433">
        <f t="shared" si="330"/>
        <v>2</v>
      </c>
      <c r="BL621" s="433">
        <f t="shared" si="331"/>
        <v>5</v>
      </c>
      <c r="BM621" s="433">
        <f t="shared" si="332"/>
        <v>0</v>
      </c>
      <c r="BN621" s="433">
        <f t="shared" si="333"/>
        <v>0</v>
      </c>
      <c r="BO621" s="433">
        <f t="shared" si="334"/>
        <v>0</v>
      </c>
      <c r="BP621" s="433">
        <f t="shared" si="335"/>
        <v>0</v>
      </c>
      <c r="BQ621" s="433">
        <f t="shared" si="336"/>
        <v>0</v>
      </c>
    </row>
    <row r="622" spans="1:69" x14ac:dyDescent="0.2">
      <c r="A622" s="102">
        <v>41853</v>
      </c>
      <c r="B622" s="319">
        <v>3</v>
      </c>
      <c r="C622" s="118" t="s">
        <v>3923</v>
      </c>
      <c r="D622" s="111">
        <v>0.45833333333333331</v>
      </c>
      <c r="E622" s="111">
        <v>0.7055555555555556</v>
      </c>
      <c r="F622" s="319">
        <v>48</v>
      </c>
      <c r="G622" s="445">
        <v>11</v>
      </c>
      <c r="H622" s="319"/>
      <c r="I622" s="390"/>
      <c r="J622" s="426">
        <f t="shared" si="309"/>
        <v>356.00000000000011</v>
      </c>
      <c r="K622" s="103"/>
      <c r="L622" s="103"/>
      <c r="M622" s="103"/>
      <c r="N622" s="427">
        <f t="shared" si="310"/>
        <v>0</v>
      </c>
      <c r="O622" s="103"/>
      <c r="P622" s="103"/>
      <c r="Q622" s="103"/>
      <c r="R622" s="428">
        <f t="shared" si="311"/>
        <v>0</v>
      </c>
      <c r="S622" s="103"/>
      <c r="T622" s="103"/>
      <c r="U622" s="103"/>
      <c r="V622" s="125"/>
      <c r="W622" s="428">
        <f t="shared" si="315"/>
        <v>0</v>
      </c>
      <c r="X622" s="103">
        <v>2</v>
      </c>
      <c r="Y622" s="103">
        <v>116</v>
      </c>
      <c r="Z622" s="125"/>
      <c r="AA622" s="428">
        <f>SUM(X622:Z622)</f>
        <v>118</v>
      </c>
      <c r="AB622" s="103">
        <v>1</v>
      </c>
      <c r="AC622" s="103">
        <v>8</v>
      </c>
      <c r="AD622" s="103"/>
      <c r="AE622" s="428">
        <f t="shared" si="317"/>
        <v>9</v>
      </c>
      <c r="AF622" s="103"/>
      <c r="AG622" s="103"/>
      <c r="AH622" s="103"/>
      <c r="AI622" s="103"/>
      <c r="AJ622" s="428">
        <f t="shared" si="318"/>
        <v>0</v>
      </c>
      <c r="AK622" s="446"/>
      <c r="AL622" s="446"/>
      <c r="AM622" s="446">
        <v>1</v>
      </c>
      <c r="AN622" s="446"/>
      <c r="AO622" s="446"/>
      <c r="AP622" s="446"/>
      <c r="AQ622" s="446"/>
      <c r="AR622" s="431">
        <f t="shared" si="319"/>
        <v>1</v>
      </c>
      <c r="AT622" s="128"/>
      <c r="AU622" s="100" t="s">
        <v>3924</v>
      </c>
      <c r="AV622" s="128" t="s">
        <v>3938</v>
      </c>
      <c r="AW622" s="100" t="s">
        <v>3939</v>
      </c>
      <c r="AX622" s="433">
        <f t="shared" si="320"/>
        <v>0</v>
      </c>
      <c r="AY622" s="433">
        <f t="shared" si="321"/>
        <v>0</v>
      </c>
      <c r="AZ622" s="433">
        <f t="shared" si="322"/>
        <v>0</v>
      </c>
      <c r="BA622" s="433">
        <f t="shared" si="312"/>
        <v>0</v>
      </c>
      <c r="BB622" s="433">
        <f t="shared" si="313"/>
        <v>0</v>
      </c>
      <c r="BC622" s="433">
        <f t="shared" si="314"/>
        <v>0</v>
      </c>
      <c r="BD622" s="433">
        <f t="shared" si="323"/>
        <v>0</v>
      </c>
      <c r="BE622" s="433">
        <f t="shared" si="324"/>
        <v>0</v>
      </c>
      <c r="BF622" s="433">
        <f t="shared" si="325"/>
        <v>0</v>
      </c>
      <c r="BG622" s="433">
        <f t="shared" si="326"/>
        <v>0</v>
      </c>
      <c r="BH622" s="433">
        <f t="shared" si="327"/>
        <v>2</v>
      </c>
      <c r="BI622" s="433">
        <f t="shared" si="328"/>
        <v>116</v>
      </c>
      <c r="BJ622" s="433">
        <f t="shared" si="329"/>
        <v>0</v>
      </c>
      <c r="BK622" s="433">
        <f t="shared" si="330"/>
        <v>1</v>
      </c>
      <c r="BL622" s="433">
        <f t="shared" si="331"/>
        <v>8</v>
      </c>
      <c r="BM622" s="433">
        <f t="shared" si="332"/>
        <v>0</v>
      </c>
      <c r="BN622" s="433">
        <f t="shared" si="333"/>
        <v>0</v>
      </c>
      <c r="BO622" s="433">
        <f t="shared" si="334"/>
        <v>0</v>
      </c>
      <c r="BP622" s="433">
        <f t="shared" si="335"/>
        <v>0</v>
      </c>
      <c r="BQ622" s="433">
        <f t="shared" si="336"/>
        <v>0</v>
      </c>
    </row>
    <row r="623" spans="1:69" s="291" customFormat="1" x14ac:dyDescent="0.2">
      <c r="A623" s="317">
        <v>41853</v>
      </c>
      <c r="B623" s="318">
        <v>3</v>
      </c>
      <c r="C623" s="320" t="s">
        <v>1563</v>
      </c>
      <c r="D623" s="321">
        <v>0.7055555555555556</v>
      </c>
      <c r="E623" s="321">
        <v>0.84097222222222223</v>
      </c>
      <c r="F623" s="318">
        <v>47</v>
      </c>
      <c r="G623" s="435">
        <v>12</v>
      </c>
      <c r="H623" s="318"/>
      <c r="I623" s="436"/>
      <c r="J623" s="437">
        <f t="shared" si="309"/>
        <v>194.99999999999994</v>
      </c>
      <c r="K623" s="285"/>
      <c r="L623" s="285"/>
      <c r="M623" s="285"/>
      <c r="N623" s="438">
        <f t="shared" si="310"/>
        <v>0</v>
      </c>
      <c r="O623" s="285"/>
      <c r="P623" s="285"/>
      <c r="Q623" s="285"/>
      <c r="R623" s="439">
        <f t="shared" si="311"/>
        <v>0</v>
      </c>
      <c r="S623" s="285"/>
      <c r="T623" s="285"/>
      <c r="U623" s="285"/>
      <c r="V623" s="440"/>
      <c r="W623" s="439">
        <f t="shared" si="315"/>
        <v>0</v>
      </c>
      <c r="X623" s="285">
        <v>1</v>
      </c>
      <c r="Y623" s="285">
        <v>65</v>
      </c>
      <c r="Z623" s="440"/>
      <c r="AA623" s="439">
        <f t="shared" si="316"/>
        <v>66</v>
      </c>
      <c r="AB623" s="285"/>
      <c r="AC623" s="285">
        <v>2</v>
      </c>
      <c r="AD623" s="285"/>
      <c r="AE623" s="439">
        <f t="shared" si="317"/>
        <v>2</v>
      </c>
      <c r="AF623" s="285">
        <v>2</v>
      </c>
      <c r="AG623" s="285"/>
      <c r="AH623" s="285"/>
      <c r="AI623" s="285"/>
      <c r="AJ623" s="439">
        <f t="shared" si="318"/>
        <v>2</v>
      </c>
      <c r="AK623" s="340"/>
      <c r="AL623" s="340"/>
      <c r="AM623" s="340"/>
      <c r="AN623" s="340"/>
      <c r="AO623" s="340"/>
      <c r="AP623" s="340"/>
      <c r="AQ623" s="340"/>
      <c r="AR623" s="441">
        <f t="shared" si="319"/>
        <v>0</v>
      </c>
      <c r="AT623" s="313"/>
      <c r="AU623" s="289" t="s">
        <v>3925</v>
      </c>
      <c r="AV623" s="313" t="s">
        <v>3938</v>
      </c>
      <c r="AW623" s="289" t="s">
        <v>3939</v>
      </c>
      <c r="AX623" s="443">
        <f t="shared" si="320"/>
        <v>0</v>
      </c>
      <c r="AY623" s="443">
        <f t="shared" si="321"/>
        <v>0</v>
      </c>
      <c r="AZ623" s="443">
        <f t="shared" si="322"/>
        <v>0</v>
      </c>
      <c r="BA623" s="443">
        <f t="shared" si="312"/>
        <v>0</v>
      </c>
      <c r="BB623" s="443">
        <f t="shared" si="313"/>
        <v>0</v>
      </c>
      <c r="BC623" s="443">
        <f t="shared" si="314"/>
        <v>0</v>
      </c>
      <c r="BD623" s="443">
        <f t="shared" si="323"/>
        <v>0</v>
      </c>
      <c r="BE623" s="443">
        <f t="shared" si="324"/>
        <v>0</v>
      </c>
      <c r="BF623" s="443">
        <f t="shared" si="325"/>
        <v>0</v>
      </c>
      <c r="BG623" s="443">
        <f t="shared" si="326"/>
        <v>0</v>
      </c>
      <c r="BH623" s="443">
        <f t="shared" si="327"/>
        <v>1</v>
      </c>
      <c r="BI623" s="443">
        <f t="shared" si="328"/>
        <v>65</v>
      </c>
      <c r="BJ623" s="443">
        <f t="shared" si="329"/>
        <v>0</v>
      </c>
      <c r="BK623" s="443">
        <f t="shared" si="330"/>
        <v>0</v>
      </c>
      <c r="BL623" s="443">
        <f t="shared" si="331"/>
        <v>2</v>
      </c>
      <c r="BM623" s="443">
        <f t="shared" si="332"/>
        <v>0</v>
      </c>
      <c r="BN623" s="443">
        <f t="shared" si="333"/>
        <v>2</v>
      </c>
      <c r="BO623" s="443">
        <f t="shared" si="334"/>
        <v>0</v>
      </c>
      <c r="BP623" s="443">
        <f t="shared" si="335"/>
        <v>0</v>
      </c>
      <c r="BQ623" s="443">
        <f t="shared" si="336"/>
        <v>0</v>
      </c>
    </row>
    <row r="624" spans="1:69" x14ac:dyDescent="0.2">
      <c r="A624" s="102">
        <v>41854</v>
      </c>
      <c r="B624" s="319">
        <v>1</v>
      </c>
      <c r="C624" s="118" t="s">
        <v>3941</v>
      </c>
      <c r="D624" s="111">
        <v>0.34583333333333338</v>
      </c>
      <c r="E624" s="111">
        <v>0.58263888888888882</v>
      </c>
      <c r="F624" s="319">
        <v>49</v>
      </c>
      <c r="G624" s="445">
        <v>8</v>
      </c>
      <c r="H624" s="319"/>
      <c r="I624" s="390"/>
      <c r="J624" s="426">
        <f t="shared" si="309"/>
        <v>340.99999999999977</v>
      </c>
      <c r="K624" s="103"/>
      <c r="L624" s="103"/>
      <c r="M624" s="103"/>
      <c r="N624" s="427">
        <f t="shared" si="310"/>
        <v>0</v>
      </c>
      <c r="O624" s="103"/>
      <c r="P624" s="103"/>
      <c r="Q624" s="103"/>
      <c r="R624" s="428">
        <f t="shared" si="311"/>
        <v>0</v>
      </c>
      <c r="S624" s="103"/>
      <c r="T624" s="103"/>
      <c r="U624" s="103"/>
      <c r="V624" s="125"/>
      <c r="W624" s="428">
        <f t="shared" si="315"/>
        <v>0</v>
      </c>
      <c r="X624" s="103">
        <v>3</v>
      </c>
      <c r="Y624" s="103">
        <v>97</v>
      </c>
      <c r="Z624" s="125"/>
      <c r="AA624" s="428">
        <f t="shared" si="316"/>
        <v>100</v>
      </c>
      <c r="AB624" s="103">
        <v>2</v>
      </c>
      <c r="AC624" s="103">
        <v>6</v>
      </c>
      <c r="AD624" s="103"/>
      <c r="AE624" s="428">
        <f t="shared" si="317"/>
        <v>8</v>
      </c>
      <c r="AF624" s="103">
        <v>1</v>
      </c>
      <c r="AG624" s="103"/>
      <c r="AH624" s="103"/>
      <c r="AI624" s="103"/>
      <c r="AJ624" s="428">
        <f t="shared" si="318"/>
        <v>1</v>
      </c>
      <c r="AK624" s="446"/>
      <c r="AL624" s="446"/>
      <c r="AM624" s="446"/>
      <c r="AN624" s="446"/>
      <c r="AO624" s="446"/>
      <c r="AP624" s="446"/>
      <c r="AQ624" s="446"/>
      <c r="AR624" s="431">
        <f t="shared" si="319"/>
        <v>0</v>
      </c>
      <c r="AT624" s="128"/>
      <c r="AU624" s="100" t="s">
        <v>3954</v>
      </c>
      <c r="AV624" s="128" t="s">
        <v>3958</v>
      </c>
      <c r="AW624" s="100" t="s">
        <v>3959</v>
      </c>
      <c r="AX624" s="433">
        <f t="shared" si="320"/>
        <v>0</v>
      </c>
      <c r="AY624" s="433">
        <f t="shared" si="321"/>
        <v>0</v>
      </c>
      <c r="AZ624" s="433">
        <f t="shared" si="322"/>
        <v>0</v>
      </c>
      <c r="BA624" s="433">
        <f t="shared" si="312"/>
        <v>0</v>
      </c>
      <c r="BB624" s="433">
        <f t="shared" si="313"/>
        <v>0</v>
      </c>
      <c r="BC624" s="433">
        <f t="shared" si="314"/>
        <v>0</v>
      </c>
      <c r="BD624" s="433">
        <f t="shared" si="323"/>
        <v>0</v>
      </c>
      <c r="BE624" s="433">
        <f t="shared" si="324"/>
        <v>0</v>
      </c>
      <c r="BF624" s="433">
        <f t="shared" si="325"/>
        <v>0</v>
      </c>
      <c r="BG624" s="433">
        <f t="shared" si="326"/>
        <v>0</v>
      </c>
      <c r="BH624" s="433">
        <f t="shared" si="327"/>
        <v>3</v>
      </c>
      <c r="BI624" s="433">
        <f t="shared" si="328"/>
        <v>97</v>
      </c>
      <c r="BJ624" s="433">
        <f t="shared" si="329"/>
        <v>0</v>
      </c>
      <c r="BK624" s="433">
        <f t="shared" si="330"/>
        <v>2</v>
      </c>
      <c r="BL624" s="433">
        <f t="shared" si="331"/>
        <v>6</v>
      </c>
      <c r="BM624" s="433">
        <f t="shared" si="332"/>
        <v>0</v>
      </c>
      <c r="BN624" s="433">
        <f t="shared" si="333"/>
        <v>1</v>
      </c>
      <c r="BO624" s="433">
        <f t="shared" si="334"/>
        <v>0</v>
      </c>
      <c r="BP624" s="433">
        <f t="shared" si="335"/>
        <v>0</v>
      </c>
      <c r="BQ624" s="433">
        <f t="shared" si="336"/>
        <v>0</v>
      </c>
    </row>
    <row r="625" spans="1:69" x14ac:dyDescent="0.2">
      <c r="A625" s="102">
        <v>41854</v>
      </c>
      <c r="B625" s="319">
        <v>1</v>
      </c>
      <c r="C625" s="323" t="s">
        <v>3942</v>
      </c>
      <c r="D625" s="111">
        <v>0.58263888888888882</v>
      </c>
      <c r="E625" s="111">
        <v>0.89027777777777783</v>
      </c>
      <c r="F625" s="319">
        <v>49</v>
      </c>
      <c r="G625" s="445">
        <v>8</v>
      </c>
      <c r="H625" s="319"/>
      <c r="I625" s="390"/>
      <c r="J625" s="426">
        <f t="shared" si="309"/>
        <v>443.00000000000017</v>
      </c>
      <c r="K625" s="103"/>
      <c r="L625" s="103"/>
      <c r="M625" s="103"/>
      <c r="N625" s="427">
        <f t="shared" si="310"/>
        <v>0</v>
      </c>
      <c r="O625" s="103"/>
      <c r="P625" s="103"/>
      <c r="Q625" s="103"/>
      <c r="R625" s="428">
        <f t="shared" si="311"/>
        <v>0</v>
      </c>
      <c r="S625" s="103">
        <v>1</v>
      </c>
      <c r="T625" s="103"/>
      <c r="U625" s="103"/>
      <c r="V625" s="125"/>
      <c r="W625" s="428">
        <f t="shared" si="315"/>
        <v>1</v>
      </c>
      <c r="X625" s="103">
        <v>2</v>
      </c>
      <c r="Y625" s="103">
        <v>122</v>
      </c>
      <c r="Z625" s="125"/>
      <c r="AA625" s="428">
        <f t="shared" si="316"/>
        <v>124</v>
      </c>
      <c r="AB625" s="103">
        <v>3</v>
      </c>
      <c r="AC625" s="103">
        <v>2</v>
      </c>
      <c r="AD625" s="103"/>
      <c r="AE625" s="428">
        <f t="shared" si="317"/>
        <v>5</v>
      </c>
      <c r="AF625" s="103"/>
      <c r="AG625" s="103"/>
      <c r="AH625" s="103"/>
      <c r="AI625" s="103"/>
      <c r="AJ625" s="428">
        <f t="shared" si="318"/>
        <v>0</v>
      </c>
      <c r="AK625" s="446"/>
      <c r="AL625" s="446"/>
      <c r="AM625" s="446"/>
      <c r="AN625" s="446"/>
      <c r="AO625" s="446"/>
      <c r="AP625" s="446"/>
      <c r="AQ625" s="446"/>
      <c r="AR625" s="431">
        <f t="shared" si="319"/>
        <v>0</v>
      </c>
      <c r="AT625" s="128"/>
      <c r="AU625" s="100" t="s">
        <v>3953</v>
      </c>
      <c r="AV625" s="128" t="s">
        <v>3958</v>
      </c>
      <c r="AW625" s="100" t="s">
        <v>3959</v>
      </c>
      <c r="AX625" s="433">
        <f t="shared" si="320"/>
        <v>0</v>
      </c>
      <c r="AY625" s="433">
        <f t="shared" si="321"/>
        <v>0</v>
      </c>
      <c r="AZ625" s="433">
        <f t="shared" si="322"/>
        <v>0</v>
      </c>
      <c r="BA625" s="433">
        <f t="shared" si="312"/>
        <v>0</v>
      </c>
      <c r="BB625" s="433">
        <f t="shared" si="313"/>
        <v>0</v>
      </c>
      <c r="BC625" s="433">
        <f t="shared" si="314"/>
        <v>0</v>
      </c>
      <c r="BD625" s="433">
        <f t="shared" si="323"/>
        <v>1</v>
      </c>
      <c r="BE625" s="433">
        <f t="shared" si="324"/>
        <v>0</v>
      </c>
      <c r="BF625" s="433">
        <f t="shared" si="325"/>
        <v>0</v>
      </c>
      <c r="BG625" s="433">
        <f t="shared" si="326"/>
        <v>0</v>
      </c>
      <c r="BH625" s="433">
        <f t="shared" si="327"/>
        <v>2</v>
      </c>
      <c r="BI625" s="433">
        <f t="shared" si="328"/>
        <v>122</v>
      </c>
      <c r="BJ625" s="433">
        <f t="shared" si="329"/>
        <v>0</v>
      </c>
      <c r="BK625" s="433">
        <f t="shared" si="330"/>
        <v>3</v>
      </c>
      <c r="BL625" s="433">
        <f t="shared" si="331"/>
        <v>2</v>
      </c>
      <c r="BM625" s="433">
        <f t="shared" si="332"/>
        <v>0</v>
      </c>
      <c r="BN625" s="433">
        <f t="shared" si="333"/>
        <v>0</v>
      </c>
      <c r="BO625" s="433">
        <f t="shared" si="334"/>
        <v>0</v>
      </c>
      <c r="BP625" s="433">
        <f t="shared" si="335"/>
        <v>0</v>
      </c>
      <c r="BQ625" s="433">
        <f t="shared" si="336"/>
        <v>0</v>
      </c>
    </row>
    <row r="626" spans="1:69" x14ac:dyDescent="0.2">
      <c r="A626" s="102">
        <v>41854</v>
      </c>
      <c r="B626" s="319">
        <v>2</v>
      </c>
      <c r="C626" s="118" t="s">
        <v>3941</v>
      </c>
      <c r="D626" s="111">
        <v>0.33958333333333335</v>
      </c>
      <c r="E626" s="111">
        <v>0.56597222222222221</v>
      </c>
      <c r="F626" s="319">
        <v>34</v>
      </c>
      <c r="G626" s="445">
        <v>11</v>
      </c>
      <c r="H626" s="319"/>
      <c r="I626" s="390"/>
      <c r="J626" s="426">
        <f t="shared" si="309"/>
        <v>325.99999999999994</v>
      </c>
      <c r="K626" s="103"/>
      <c r="L626" s="103"/>
      <c r="M626" s="103"/>
      <c r="N626" s="427">
        <f t="shared" si="310"/>
        <v>0</v>
      </c>
      <c r="O626" s="103"/>
      <c r="P626" s="103"/>
      <c r="Q626" s="103"/>
      <c r="R626" s="428">
        <f t="shared" si="311"/>
        <v>0</v>
      </c>
      <c r="S626" s="103"/>
      <c r="T626" s="103"/>
      <c r="U626" s="103"/>
      <c r="V626" s="125"/>
      <c r="W626" s="428">
        <f t="shared" si="315"/>
        <v>0</v>
      </c>
      <c r="X626" s="103">
        <v>1</v>
      </c>
      <c r="Y626" s="103"/>
      <c r="Z626" s="125"/>
      <c r="AA626" s="428">
        <f t="shared" si="316"/>
        <v>1</v>
      </c>
      <c r="AB626" s="103">
        <v>1</v>
      </c>
      <c r="AC626" s="103"/>
      <c r="AD626" s="103"/>
      <c r="AE626" s="428">
        <f t="shared" si="317"/>
        <v>1</v>
      </c>
      <c r="AF626" s="103"/>
      <c r="AG626" s="103"/>
      <c r="AH626" s="103"/>
      <c r="AI626" s="103"/>
      <c r="AJ626" s="428">
        <f t="shared" si="318"/>
        <v>0</v>
      </c>
      <c r="AK626" s="446"/>
      <c r="AL626" s="446"/>
      <c r="AM626" s="446"/>
      <c r="AN626" s="446"/>
      <c r="AO626" s="446"/>
      <c r="AP626" s="446"/>
      <c r="AQ626" s="446"/>
      <c r="AR626" s="431">
        <f t="shared" si="319"/>
        <v>0</v>
      </c>
      <c r="AS626" s="10" t="s">
        <v>3943</v>
      </c>
      <c r="AT626" s="128"/>
      <c r="AU626" s="100" t="s">
        <v>3954</v>
      </c>
      <c r="AV626" s="128" t="s">
        <v>3958</v>
      </c>
      <c r="AW626" s="100" t="s">
        <v>3959</v>
      </c>
      <c r="AX626" s="433">
        <f t="shared" si="320"/>
        <v>0</v>
      </c>
      <c r="AY626" s="433">
        <f t="shared" si="321"/>
        <v>0</v>
      </c>
      <c r="AZ626" s="433">
        <f t="shared" si="322"/>
        <v>0</v>
      </c>
      <c r="BA626" s="433">
        <f t="shared" si="312"/>
        <v>0</v>
      </c>
      <c r="BB626" s="433">
        <f t="shared" si="313"/>
        <v>0</v>
      </c>
      <c r="BC626" s="433">
        <f t="shared" si="314"/>
        <v>0</v>
      </c>
      <c r="BD626" s="433">
        <f t="shared" si="323"/>
        <v>0</v>
      </c>
      <c r="BE626" s="433">
        <f t="shared" si="324"/>
        <v>0</v>
      </c>
      <c r="BF626" s="433">
        <f t="shared" si="325"/>
        <v>0</v>
      </c>
      <c r="BG626" s="433">
        <f t="shared" si="326"/>
        <v>0</v>
      </c>
      <c r="BH626" s="433">
        <f t="shared" si="327"/>
        <v>1</v>
      </c>
      <c r="BI626" s="433">
        <f t="shared" si="328"/>
        <v>0</v>
      </c>
      <c r="BJ626" s="433">
        <f t="shared" si="329"/>
        <v>0</v>
      </c>
      <c r="BK626" s="433">
        <f t="shared" si="330"/>
        <v>1</v>
      </c>
      <c r="BL626" s="433">
        <f t="shared" si="331"/>
        <v>0</v>
      </c>
      <c r="BM626" s="433">
        <f t="shared" si="332"/>
        <v>0</v>
      </c>
      <c r="BN626" s="433">
        <f t="shared" si="333"/>
        <v>0</v>
      </c>
      <c r="BO626" s="433">
        <f t="shared" si="334"/>
        <v>0</v>
      </c>
      <c r="BP626" s="433">
        <f t="shared" si="335"/>
        <v>0</v>
      </c>
      <c r="BQ626" s="433">
        <f t="shared" si="336"/>
        <v>0</v>
      </c>
    </row>
    <row r="627" spans="1:69" x14ac:dyDescent="0.2">
      <c r="A627" s="102">
        <v>41854</v>
      </c>
      <c r="B627" s="319">
        <v>2</v>
      </c>
      <c r="C627" s="118" t="s">
        <v>3942</v>
      </c>
      <c r="D627" s="111">
        <v>0.56597222222222221</v>
      </c>
      <c r="E627" s="111">
        <v>0.83958333333333324</v>
      </c>
      <c r="F627" s="319">
        <v>35</v>
      </c>
      <c r="G627" s="445">
        <v>11</v>
      </c>
      <c r="H627" s="319"/>
      <c r="I627" s="390"/>
      <c r="J627" s="426">
        <f t="shared" si="309"/>
        <v>393.99999999999989</v>
      </c>
      <c r="K627" s="103"/>
      <c r="L627" s="103"/>
      <c r="M627" s="103"/>
      <c r="N627" s="427">
        <f t="shared" si="310"/>
        <v>0</v>
      </c>
      <c r="O627" s="103"/>
      <c r="P627" s="103"/>
      <c r="Q627" s="103"/>
      <c r="R627" s="428">
        <f t="shared" si="311"/>
        <v>0</v>
      </c>
      <c r="S627" s="103">
        <v>1</v>
      </c>
      <c r="T627" s="103"/>
      <c r="U627" s="103"/>
      <c r="V627" s="125"/>
      <c r="W627" s="428">
        <f t="shared" si="315"/>
        <v>1</v>
      </c>
      <c r="X627" s="103"/>
      <c r="Y627" s="103"/>
      <c r="Z627" s="125"/>
      <c r="AA627" s="428">
        <f t="shared" si="316"/>
        <v>0</v>
      </c>
      <c r="AB627" s="103"/>
      <c r="AC627" s="103">
        <v>1</v>
      </c>
      <c r="AD627" s="103"/>
      <c r="AE627" s="428">
        <f t="shared" si="317"/>
        <v>1</v>
      </c>
      <c r="AF627" s="103"/>
      <c r="AG627" s="103"/>
      <c r="AH627" s="103"/>
      <c r="AI627" s="103"/>
      <c r="AJ627" s="428">
        <f t="shared" si="318"/>
        <v>0</v>
      </c>
      <c r="AK627" s="446"/>
      <c r="AL627" s="446"/>
      <c r="AM627" s="446"/>
      <c r="AN627" s="446"/>
      <c r="AO627" s="446"/>
      <c r="AP627" s="446"/>
      <c r="AQ627" s="446"/>
      <c r="AR627" s="431">
        <f t="shared" si="319"/>
        <v>0</v>
      </c>
      <c r="AT627" s="128"/>
      <c r="AU627" s="100" t="s">
        <v>3957</v>
      </c>
      <c r="AV627" s="128" t="s">
        <v>3958</v>
      </c>
      <c r="AW627" s="100" t="s">
        <v>3959</v>
      </c>
      <c r="AX627" s="433">
        <f t="shared" si="320"/>
        <v>0</v>
      </c>
      <c r="AY627" s="433">
        <f t="shared" si="321"/>
        <v>0</v>
      </c>
      <c r="AZ627" s="433">
        <f t="shared" si="322"/>
        <v>0</v>
      </c>
      <c r="BA627" s="433">
        <f t="shared" si="312"/>
        <v>0</v>
      </c>
      <c r="BB627" s="433">
        <f t="shared" si="313"/>
        <v>0</v>
      </c>
      <c r="BC627" s="433">
        <f t="shared" si="314"/>
        <v>0</v>
      </c>
      <c r="BD627" s="433">
        <f t="shared" si="323"/>
        <v>1</v>
      </c>
      <c r="BE627" s="433">
        <f t="shared" si="324"/>
        <v>0</v>
      </c>
      <c r="BF627" s="433">
        <f t="shared" si="325"/>
        <v>0</v>
      </c>
      <c r="BG627" s="433">
        <f t="shared" si="326"/>
        <v>0</v>
      </c>
      <c r="BH627" s="433">
        <f t="shared" si="327"/>
        <v>0</v>
      </c>
      <c r="BI627" s="433">
        <f t="shared" si="328"/>
        <v>0</v>
      </c>
      <c r="BJ627" s="433">
        <f t="shared" si="329"/>
        <v>0</v>
      </c>
      <c r="BK627" s="433">
        <f t="shared" si="330"/>
        <v>0</v>
      </c>
      <c r="BL627" s="433">
        <f t="shared" si="331"/>
        <v>1</v>
      </c>
      <c r="BM627" s="433">
        <f t="shared" si="332"/>
        <v>0</v>
      </c>
      <c r="BN627" s="433">
        <f t="shared" si="333"/>
        <v>0</v>
      </c>
      <c r="BO627" s="433">
        <f t="shared" si="334"/>
        <v>0</v>
      </c>
      <c r="BP627" s="433">
        <f t="shared" si="335"/>
        <v>0</v>
      </c>
      <c r="BQ627" s="433">
        <f t="shared" si="336"/>
        <v>0</v>
      </c>
    </row>
    <row r="628" spans="1:69" x14ac:dyDescent="0.2">
      <c r="A628" s="102">
        <v>41854</v>
      </c>
      <c r="B628" s="319">
        <v>3</v>
      </c>
      <c r="C628" s="118" t="s">
        <v>3942</v>
      </c>
      <c r="D628" s="111">
        <v>0.33680555555555558</v>
      </c>
      <c r="E628" s="111">
        <v>0.44791666666666669</v>
      </c>
      <c r="F628" s="319">
        <v>49</v>
      </c>
      <c r="G628" s="445">
        <v>10</v>
      </c>
      <c r="H628" s="319"/>
      <c r="I628" s="390"/>
      <c r="J628" s="426">
        <f t="shared" si="309"/>
        <v>160</v>
      </c>
      <c r="K628" s="103"/>
      <c r="L628" s="103"/>
      <c r="M628" s="103"/>
      <c r="N628" s="427">
        <f t="shared" si="310"/>
        <v>0</v>
      </c>
      <c r="O628" s="103"/>
      <c r="P628" s="103"/>
      <c r="Q628" s="103"/>
      <c r="R628" s="428">
        <f t="shared" si="311"/>
        <v>0</v>
      </c>
      <c r="S628" s="103"/>
      <c r="T628" s="103"/>
      <c r="U628" s="103"/>
      <c r="V628" s="125"/>
      <c r="W628" s="428">
        <f t="shared" si="315"/>
        <v>0</v>
      </c>
      <c r="X628" s="103">
        <v>3</v>
      </c>
      <c r="Y628" s="103">
        <v>34</v>
      </c>
      <c r="Z628" s="125"/>
      <c r="AA628" s="428">
        <f t="shared" si="316"/>
        <v>37</v>
      </c>
      <c r="AB628" s="103"/>
      <c r="AC628" s="103">
        <v>2</v>
      </c>
      <c r="AD628" s="103"/>
      <c r="AE628" s="428">
        <f t="shared" si="317"/>
        <v>2</v>
      </c>
      <c r="AF628" s="103"/>
      <c r="AG628" s="103"/>
      <c r="AH628" s="103"/>
      <c r="AI628" s="103"/>
      <c r="AJ628" s="428">
        <f t="shared" si="318"/>
        <v>0</v>
      </c>
      <c r="AK628" s="446">
        <v>1</v>
      </c>
      <c r="AL628" s="446"/>
      <c r="AM628" s="446"/>
      <c r="AN628" s="446"/>
      <c r="AO628" s="446"/>
      <c r="AP628" s="446"/>
      <c r="AQ628" s="446"/>
      <c r="AR628" s="431">
        <f t="shared" si="319"/>
        <v>1</v>
      </c>
      <c r="AT628" s="128"/>
      <c r="AU628" s="100" t="s">
        <v>3957</v>
      </c>
      <c r="AV628" s="128" t="s">
        <v>3958</v>
      </c>
      <c r="AW628" s="100" t="s">
        <v>3959</v>
      </c>
      <c r="AX628" s="433">
        <f t="shared" si="320"/>
        <v>0</v>
      </c>
      <c r="AY628" s="433">
        <f t="shared" si="321"/>
        <v>0</v>
      </c>
      <c r="AZ628" s="433">
        <f t="shared" si="322"/>
        <v>0</v>
      </c>
      <c r="BA628" s="433">
        <f t="shared" si="312"/>
        <v>0</v>
      </c>
      <c r="BB628" s="433">
        <f t="shared" si="313"/>
        <v>0</v>
      </c>
      <c r="BC628" s="433">
        <f t="shared" si="314"/>
        <v>0</v>
      </c>
      <c r="BD628" s="433">
        <f t="shared" si="323"/>
        <v>0</v>
      </c>
      <c r="BE628" s="433">
        <f t="shared" si="324"/>
        <v>0</v>
      </c>
      <c r="BF628" s="433">
        <f t="shared" si="325"/>
        <v>0</v>
      </c>
      <c r="BG628" s="433">
        <f t="shared" si="326"/>
        <v>0</v>
      </c>
      <c r="BH628" s="433">
        <f t="shared" si="327"/>
        <v>3</v>
      </c>
      <c r="BI628" s="433">
        <f t="shared" si="328"/>
        <v>34</v>
      </c>
      <c r="BJ628" s="433">
        <f t="shared" si="329"/>
        <v>0</v>
      </c>
      <c r="BK628" s="433">
        <f t="shared" si="330"/>
        <v>0</v>
      </c>
      <c r="BL628" s="433">
        <f t="shared" si="331"/>
        <v>2</v>
      </c>
      <c r="BM628" s="433">
        <f t="shared" si="332"/>
        <v>0</v>
      </c>
      <c r="BN628" s="433">
        <f t="shared" si="333"/>
        <v>0</v>
      </c>
      <c r="BO628" s="433">
        <f t="shared" si="334"/>
        <v>0</v>
      </c>
      <c r="BP628" s="433">
        <f t="shared" si="335"/>
        <v>0</v>
      </c>
      <c r="BQ628" s="433">
        <f t="shared" si="336"/>
        <v>0</v>
      </c>
    </row>
    <row r="629" spans="1:69" x14ac:dyDescent="0.2">
      <c r="A629" s="102">
        <v>41854</v>
      </c>
      <c r="B629" s="319">
        <v>3</v>
      </c>
      <c r="C629" s="118" t="s">
        <v>3944</v>
      </c>
      <c r="D629" s="111">
        <v>0.44791666666666669</v>
      </c>
      <c r="E629" s="111">
        <v>0.70833333333333337</v>
      </c>
      <c r="F629" s="319">
        <v>47</v>
      </c>
      <c r="G629" s="445">
        <v>12</v>
      </c>
      <c r="H629" s="319"/>
      <c r="I629" s="390"/>
      <c r="J629" s="426">
        <f t="shared" si="309"/>
        <v>375</v>
      </c>
      <c r="K629" s="103"/>
      <c r="L629" s="103"/>
      <c r="M629" s="103"/>
      <c r="N629" s="427">
        <f t="shared" si="310"/>
        <v>0</v>
      </c>
      <c r="O629" s="103"/>
      <c r="P629" s="103"/>
      <c r="Q629" s="103"/>
      <c r="R629" s="428">
        <f t="shared" si="311"/>
        <v>0</v>
      </c>
      <c r="S629" s="103"/>
      <c r="T629" s="103"/>
      <c r="U629" s="103"/>
      <c r="V629" s="125"/>
      <c r="W629" s="428">
        <f t="shared" si="315"/>
        <v>0</v>
      </c>
      <c r="X629" s="103">
        <v>2</v>
      </c>
      <c r="Y629" s="103">
        <v>84</v>
      </c>
      <c r="Z629" s="125"/>
      <c r="AA629" s="428">
        <f t="shared" si="316"/>
        <v>86</v>
      </c>
      <c r="AB629" s="103">
        <v>4</v>
      </c>
      <c r="AC629" s="103"/>
      <c r="AD629" s="103"/>
      <c r="AE629" s="428">
        <f t="shared" si="317"/>
        <v>4</v>
      </c>
      <c r="AF629" s="103"/>
      <c r="AG629" s="103"/>
      <c r="AH629" s="103"/>
      <c r="AI629" s="103"/>
      <c r="AJ629" s="428">
        <f t="shared" si="318"/>
        <v>0</v>
      </c>
      <c r="AK629" s="446">
        <v>1</v>
      </c>
      <c r="AL629" s="446"/>
      <c r="AM629" s="446">
        <v>1</v>
      </c>
      <c r="AN629" s="446"/>
      <c r="AO629" s="446"/>
      <c r="AP629" s="446"/>
      <c r="AQ629" s="446"/>
      <c r="AR629" s="431">
        <f t="shared" si="319"/>
        <v>2</v>
      </c>
      <c r="AT629" s="128"/>
      <c r="AU629" s="100" t="s">
        <v>3938</v>
      </c>
      <c r="AV629" s="128" t="s">
        <v>3958</v>
      </c>
      <c r="AW629" s="100" t="s">
        <v>3959</v>
      </c>
      <c r="AX629" s="433">
        <f t="shared" si="320"/>
        <v>0</v>
      </c>
      <c r="AY629" s="433">
        <f t="shared" si="321"/>
        <v>0</v>
      </c>
      <c r="AZ629" s="433">
        <f t="shared" si="322"/>
        <v>0</v>
      </c>
      <c r="BA629" s="433">
        <f t="shared" si="312"/>
        <v>0</v>
      </c>
      <c r="BB629" s="433">
        <f t="shared" si="313"/>
        <v>0</v>
      </c>
      <c r="BC629" s="433">
        <f t="shared" si="314"/>
        <v>0</v>
      </c>
      <c r="BD629" s="433">
        <f t="shared" si="323"/>
        <v>0</v>
      </c>
      <c r="BE629" s="433">
        <f t="shared" si="324"/>
        <v>0</v>
      </c>
      <c r="BF629" s="433">
        <f t="shared" si="325"/>
        <v>0</v>
      </c>
      <c r="BG629" s="433">
        <f t="shared" si="326"/>
        <v>0</v>
      </c>
      <c r="BH629" s="433">
        <f t="shared" si="327"/>
        <v>2</v>
      </c>
      <c r="BI629" s="433">
        <f t="shared" si="328"/>
        <v>84</v>
      </c>
      <c r="BJ629" s="433">
        <f t="shared" si="329"/>
        <v>0</v>
      </c>
      <c r="BK629" s="433">
        <f t="shared" si="330"/>
        <v>4</v>
      </c>
      <c r="BL629" s="433">
        <f t="shared" si="331"/>
        <v>0</v>
      </c>
      <c r="BM629" s="433">
        <f t="shared" si="332"/>
        <v>0</v>
      </c>
      <c r="BN629" s="433">
        <f t="shared" si="333"/>
        <v>0</v>
      </c>
      <c r="BO629" s="433">
        <f t="shared" si="334"/>
        <v>0</v>
      </c>
      <c r="BP629" s="433">
        <f t="shared" si="335"/>
        <v>0</v>
      </c>
      <c r="BQ629" s="433">
        <f t="shared" si="336"/>
        <v>0</v>
      </c>
    </row>
    <row r="630" spans="1:69" s="291" customFormat="1" x14ac:dyDescent="0.2">
      <c r="A630" s="317">
        <v>41854</v>
      </c>
      <c r="B630" s="318">
        <v>3</v>
      </c>
      <c r="C630" s="320" t="s">
        <v>3941</v>
      </c>
      <c r="D630" s="321">
        <v>0.70833333333333337</v>
      </c>
      <c r="E630" s="321">
        <v>0.83680555555555547</v>
      </c>
      <c r="F630" s="318">
        <v>47</v>
      </c>
      <c r="G630" s="435">
        <v>11</v>
      </c>
      <c r="H630" s="318"/>
      <c r="I630" s="436"/>
      <c r="J630" s="437">
        <f t="shared" si="309"/>
        <v>184.99999999999983</v>
      </c>
      <c r="K630" s="285"/>
      <c r="L630" s="285"/>
      <c r="M630" s="285"/>
      <c r="N630" s="438">
        <f t="shared" si="310"/>
        <v>0</v>
      </c>
      <c r="O630" s="285"/>
      <c r="P630" s="285"/>
      <c r="Q630" s="285"/>
      <c r="R630" s="439">
        <f t="shared" si="311"/>
        <v>0</v>
      </c>
      <c r="S630" s="285"/>
      <c r="T630" s="285"/>
      <c r="U630" s="285"/>
      <c r="V630" s="440"/>
      <c r="W630" s="439">
        <f t="shared" si="315"/>
        <v>0</v>
      </c>
      <c r="X630" s="285">
        <v>1</v>
      </c>
      <c r="Y630" s="285">
        <v>80</v>
      </c>
      <c r="Z630" s="440"/>
      <c r="AA630" s="439">
        <f t="shared" si="316"/>
        <v>81</v>
      </c>
      <c r="AB630" s="285">
        <v>2</v>
      </c>
      <c r="AC630" s="285"/>
      <c r="AD630" s="285"/>
      <c r="AE630" s="439">
        <f t="shared" si="317"/>
        <v>2</v>
      </c>
      <c r="AF630" s="285"/>
      <c r="AG630" s="285"/>
      <c r="AH630" s="285"/>
      <c r="AI630" s="285"/>
      <c r="AJ630" s="439">
        <f t="shared" si="318"/>
        <v>0</v>
      </c>
      <c r="AK630" s="340"/>
      <c r="AL630" s="340"/>
      <c r="AM630" s="340"/>
      <c r="AN630" s="340"/>
      <c r="AO630" s="340"/>
      <c r="AP630" s="340"/>
      <c r="AQ630" s="340"/>
      <c r="AR630" s="441">
        <f t="shared" si="319"/>
        <v>0</v>
      </c>
      <c r="AT630" s="313"/>
      <c r="AU630" s="289" t="s">
        <v>3954</v>
      </c>
      <c r="AV630" s="313" t="s">
        <v>3958</v>
      </c>
      <c r="AW630" s="382" t="s">
        <v>3959</v>
      </c>
      <c r="AX630" s="443">
        <f t="shared" si="320"/>
        <v>0</v>
      </c>
      <c r="AY630" s="443">
        <f t="shared" si="321"/>
        <v>0</v>
      </c>
      <c r="AZ630" s="443">
        <f t="shared" si="322"/>
        <v>0</v>
      </c>
      <c r="BA630" s="443">
        <f t="shared" si="312"/>
        <v>0</v>
      </c>
      <c r="BB630" s="443">
        <f t="shared" si="313"/>
        <v>0</v>
      </c>
      <c r="BC630" s="443">
        <f t="shared" si="314"/>
        <v>0</v>
      </c>
      <c r="BD630" s="443">
        <f t="shared" si="323"/>
        <v>0</v>
      </c>
      <c r="BE630" s="443">
        <f t="shared" si="324"/>
        <v>0</v>
      </c>
      <c r="BF630" s="443">
        <f t="shared" si="325"/>
        <v>0</v>
      </c>
      <c r="BG630" s="443">
        <f t="shared" si="326"/>
        <v>0</v>
      </c>
      <c r="BH630" s="443">
        <f t="shared" si="327"/>
        <v>1</v>
      </c>
      <c r="BI630" s="443">
        <f t="shared" si="328"/>
        <v>80</v>
      </c>
      <c r="BJ630" s="443">
        <f t="shared" si="329"/>
        <v>0</v>
      </c>
      <c r="BK630" s="443">
        <f t="shared" si="330"/>
        <v>2</v>
      </c>
      <c r="BL630" s="443">
        <f t="shared" si="331"/>
        <v>0</v>
      </c>
      <c r="BM630" s="443">
        <f t="shared" si="332"/>
        <v>0</v>
      </c>
      <c r="BN630" s="443">
        <f t="shared" si="333"/>
        <v>0</v>
      </c>
      <c r="BO630" s="443">
        <f t="shared" si="334"/>
        <v>0</v>
      </c>
      <c r="BP630" s="443">
        <f t="shared" si="335"/>
        <v>0</v>
      </c>
      <c r="BQ630" s="443">
        <f t="shared" si="336"/>
        <v>0</v>
      </c>
    </row>
    <row r="631" spans="1:69" x14ac:dyDescent="0.2">
      <c r="A631" s="102">
        <v>41855</v>
      </c>
      <c r="B631" s="319">
        <v>1</v>
      </c>
      <c r="C631" s="118" t="s">
        <v>2068</v>
      </c>
      <c r="D631" s="111">
        <v>0.33749999999999997</v>
      </c>
      <c r="E631" s="111">
        <v>0.4465277777777778</v>
      </c>
      <c r="F631" s="319">
        <v>54</v>
      </c>
      <c r="G631" s="445">
        <v>9</v>
      </c>
      <c r="H631" s="319"/>
      <c r="I631" s="390"/>
      <c r="J631" s="426">
        <f t="shared" si="309"/>
        <v>157.00000000000009</v>
      </c>
      <c r="K631" s="103"/>
      <c r="L631" s="103"/>
      <c r="M631" s="103"/>
      <c r="N631" s="427">
        <f t="shared" si="310"/>
        <v>0</v>
      </c>
      <c r="O631" s="103"/>
      <c r="P631" s="103">
        <v>1</v>
      </c>
      <c r="Q631" s="103"/>
      <c r="R631" s="428">
        <f t="shared" si="311"/>
        <v>1</v>
      </c>
      <c r="S631" s="103"/>
      <c r="T631" s="103">
        <v>1</v>
      </c>
      <c r="U631" s="103"/>
      <c r="V631" s="125"/>
      <c r="W631" s="428">
        <f t="shared" si="315"/>
        <v>1</v>
      </c>
      <c r="X631" s="103">
        <v>1</v>
      </c>
      <c r="Y631" s="103">
        <v>53</v>
      </c>
      <c r="Z631" s="125"/>
      <c r="AA631" s="428">
        <f t="shared" si="316"/>
        <v>54</v>
      </c>
      <c r="AB631" s="103">
        <v>1</v>
      </c>
      <c r="AC631" s="103">
        <v>4</v>
      </c>
      <c r="AD631" s="103"/>
      <c r="AE631" s="428">
        <f t="shared" si="317"/>
        <v>5</v>
      </c>
      <c r="AF631" s="103"/>
      <c r="AG631" s="103"/>
      <c r="AH631" s="103"/>
      <c r="AI631" s="103"/>
      <c r="AJ631" s="428">
        <f t="shared" si="318"/>
        <v>0</v>
      </c>
      <c r="AK631" s="446"/>
      <c r="AL631" s="446"/>
      <c r="AM631" s="446"/>
      <c r="AN631" s="446"/>
      <c r="AO631" s="446"/>
      <c r="AP631" s="446"/>
      <c r="AQ631" s="446"/>
      <c r="AR631" s="431">
        <f t="shared" si="319"/>
        <v>0</v>
      </c>
      <c r="AT631" s="128"/>
      <c r="AU631" s="100" t="s">
        <v>3963</v>
      </c>
      <c r="AV631" s="128" t="s">
        <v>3991</v>
      </c>
      <c r="AW631" s="100" t="s">
        <v>3992</v>
      </c>
      <c r="AX631" s="433">
        <f t="shared" si="320"/>
        <v>0</v>
      </c>
      <c r="AY631" s="433">
        <f t="shared" si="321"/>
        <v>0</v>
      </c>
      <c r="AZ631" s="433">
        <f t="shared" si="322"/>
        <v>0</v>
      </c>
      <c r="BA631" s="433">
        <f t="shared" si="312"/>
        <v>0</v>
      </c>
      <c r="BB631" s="433">
        <f t="shared" si="313"/>
        <v>1</v>
      </c>
      <c r="BC631" s="433">
        <f t="shared" si="314"/>
        <v>0</v>
      </c>
      <c r="BD631" s="433">
        <f t="shared" si="323"/>
        <v>0</v>
      </c>
      <c r="BE631" s="433">
        <f t="shared" si="324"/>
        <v>1</v>
      </c>
      <c r="BF631" s="433">
        <f t="shared" si="325"/>
        <v>0</v>
      </c>
      <c r="BG631" s="433">
        <f t="shared" si="326"/>
        <v>0</v>
      </c>
      <c r="BH631" s="433">
        <f t="shared" si="327"/>
        <v>1</v>
      </c>
      <c r="BI631" s="433">
        <f t="shared" si="328"/>
        <v>53</v>
      </c>
      <c r="BJ631" s="433">
        <f t="shared" si="329"/>
        <v>0</v>
      </c>
      <c r="BK631" s="433">
        <f t="shared" si="330"/>
        <v>1</v>
      </c>
      <c r="BL631" s="433">
        <f t="shared" si="331"/>
        <v>4</v>
      </c>
      <c r="BM631" s="433">
        <f t="shared" si="332"/>
        <v>0</v>
      </c>
      <c r="BN631" s="433">
        <f t="shared" si="333"/>
        <v>0</v>
      </c>
      <c r="BO631" s="433">
        <f t="shared" si="334"/>
        <v>0</v>
      </c>
      <c r="BP631" s="433">
        <f t="shared" si="335"/>
        <v>0</v>
      </c>
      <c r="BQ631" s="433">
        <f t="shared" si="336"/>
        <v>0</v>
      </c>
    </row>
    <row r="632" spans="1:69" x14ac:dyDescent="0.2">
      <c r="A632" s="102">
        <v>41855</v>
      </c>
      <c r="B632" s="319">
        <v>1</v>
      </c>
      <c r="C632" s="118" t="s">
        <v>3964</v>
      </c>
      <c r="D632" s="111">
        <v>0.4465277777777778</v>
      </c>
      <c r="E632" s="111">
        <v>0.68888888888888899</v>
      </c>
      <c r="F632" s="319">
        <v>54</v>
      </c>
      <c r="G632" s="445">
        <v>10</v>
      </c>
      <c r="H632" s="319"/>
      <c r="I632" s="390">
        <v>131</v>
      </c>
      <c r="J632" s="426">
        <f t="shared" si="309"/>
        <v>349.00000000000011</v>
      </c>
      <c r="K632" s="103"/>
      <c r="L632" s="103"/>
      <c r="M632" s="103"/>
      <c r="N632" s="427">
        <f t="shared" si="310"/>
        <v>0</v>
      </c>
      <c r="O632" s="103"/>
      <c r="P632" s="103"/>
      <c r="Q632" s="103"/>
      <c r="R632" s="428">
        <f t="shared" si="311"/>
        <v>0</v>
      </c>
      <c r="S632" s="103"/>
      <c r="T632" s="103"/>
      <c r="U632" s="103"/>
      <c r="V632" s="125"/>
      <c r="W632" s="428">
        <f t="shared" si="315"/>
        <v>0</v>
      </c>
      <c r="X632" s="103">
        <v>1</v>
      </c>
      <c r="Y632" s="103">
        <v>93</v>
      </c>
      <c r="Z632" s="125"/>
      <c r="AA632" s="428">
        <f t="shared" si="316"/>
        <v>94</v>
      </c>
      <c r="AB632" s="103">
        <v>4</v>
      </c>
      <c r="AC632" s="103">
        <v>4</v>
      </c>
      <c r="AD632" s="103"/>
      <c r="AE632" s="428">
        <f t="shared" si="317"/>
        <v>8</v>
      </c>
      <c r="AF632" s="103">
        <v>2</v>
      </c>
      <c r="AG632" s="103"/>
      <c r="AH632" s="103"/>
      <c r="AI632" s="103"/>
      <c r="AJ632" s="428">
        <f t="shared" si="318"/>
        <v>2</v>
      </c>
      <c r="AK632" s="446"/>
      <c r="AL632" s="446"/>
      <c r="AM632" s="446"/>
      <c r="AN632" s="446"/>
      <c r="AO632" s="446"/>
      <c r="AP632" s="446"/>
      <c r="AQ632" s="446"/>
      <c r="AR632" s="431">
        <f t="shared" si="319"/>
        <v>0</v>
      </c>
      <c r="AT632" s="128"/>
      <c r="AU632" s="100" t="s">
        <v>3965</v>
      </c>
      <c r="AV632" s="128" t="s">
        <v>3991</v>
      </c>
      <c r="AW632" s="100" t="s">
        <v>3992</v>
      </c>
      <c r="AX632" s="433">
        <f t="shared" si="320"/>
        <v>0</v>
      </c>
      <c r="AY632" s="433">
        <f t="shared" si="321"/>
        <v>0</v>
      </c>
      <c r="AZ632" s="433">
        <f t="shared" si="322"/>
        <v>0</v>
      </c>
      <c r="BA632" s="433">
        <f t="shared" si="312"/>
        <v>0</v>
      </c>
      <c r="BB632" s="433">
        <f t="shared" si="313"/>
        <v>0</v>
      </c>
      <c r="BC632" s="433">
        <f t="shared" si="314"/>
        <v>0</v>
      </c>
      <c r="BD632" s="433">
        <f t="shared" si="323"/>
        <v>0</v>
      </c>
      <c r="BE632" s="433">
        <f t="shared" si="324"/>
        <v>0</v>
      </c>
      <c r="BF632" s="433">
        <f t="shared" si="325"/>
        <v>0</v>
      </c>
      <c r="BG632" s="433">
        <f t="shared" si="326"/>
        <v>0</v>
      </c>
      <c r="BH632" s="433">
        <f t="shared" si="327"/>
        <v>1</v>
      </c>
      <c r="BI632" s="433">
        <f t="shared" si="328"/>
        <v>93</v>
      </c>
      <c r="BJ632" s="433">
        <f t="shared" si="329"/>
        <v>0</v>
      </c>
      <c r="BK632" s="433">
        <f t="shared" si="330"/>
        <v>4</v>
      </c>
      <c r="BL632" s="433">
        <f t="shared" si="331"/>
        <v>4</v>
      </c>
      <c r="BM632" s="433">
        <f t="shared" si="332"/>
        <v>0</v>
      </c>
      <c r="BN632" s="433">
        <f t="shared" si="333"/>
        <v>2</v>
      </c>
      <c r="BO632" s="433">
        <f t="shared" si="334"/>
        <v>0</v>
      </c>
      <c r="BP632" s="433">
        <f t="shared" si="335"/>
        <v>0</v>
      </c>
      <c r="BQ632" s="433">
        <f t="shared" si="336"/>
        <v>0</v>
      </c>
    </row>
    <row r="633" spans="1:69" x14ac:dyDescent="0.2">
      <c r="A633" s="102">
        <v>41855</v>
      </c>
      <c r="B633" s="319">
        <v>1</v>
      </c>
      <c r="C633" s="118" t="s">
        <v>3921</v>
      </c>
      <c r="D633" s="111">
        <v>0.68888888888888899</v>
      </c>
      <c r="E633" s="111">
        <v>0.83750000000000002</v>
      </c>
      <c r="F633" s="319">
        <v>53</v>
      </c>
      <c r="G633" s="445">
        <v>9</v>
      </c>
      <c r="H633" s="319"/>
      <c r="I633" s="390"/>
      <c r="J633" s="426">
        <f t="shared" si="309"/>
        <v>213.99999999999989</v>
      </c>
      <c r="K633" s="103"/>
      <c r="L633" s="103"/>
      <c r="M633" s="103"/>
      <c r="N633" s="427">
        <f t="shared" si="310"/>
        <v>0</v>
      </c>
      <c r="O633" s="103"/>
      <c r="P633" s="103"/>
      <c r="Q633" s="103"/>
      <c r="R633" s="428">
        <f t="shared" si="311"/>
        <v>0</v>
      </c>
      <c r="S633" s="103"/>
      <c r="T633" s="103"/>
      <c r="U633" s="103"/>
      <c r="V633" s="125"/>
      <c r="W633" s="428">
        <f t="shared" si="315"/>
        <v>0</v>
      </c>
      <c r="X633" s="103"/>
      <c r="Y633" s="103">
        <v>73</v>
      </c>
      <c r="Z633" s="125"/>
      <c r="AA633" s="428">
        <f t="shared" si="316"/>
        <v>73</v>
      </c>
      <c r="AB633" s="103"/>
      <c r="AC633" s="103">
        <v>5</v>
      </c>
      <c r="AD633" s="103"/>
      <c r="AE633" s="428">
        <f t="shared" si="317"/>
        <v>5</v>
      </c>
      <c r="AF633" s="103"/>
      <c r="AG633" s="103"/>
      <c r="AH633" s="103"/>
      <c r="AI633" s="103"/>
      <c r="AJ633" s="428">
        <f t="shared" si="318"/>
        <v>0</v>
      </c>
      <c r="AK633" s="446"/>
      <c r="AL633" s="446"/>
      <c r="AM633" s="446"/>
      <c r="AN633" s="446"/>
      <c r="AO633" s="446"/>
      <c r="AP633" s="446"/>
      <c r="AQ633" s="446"/>
      <c r="AR633" s="431">
        <f t="shared" si="319"/>
        <v>0</v>
      </c>
      <c r="AT633" s="128"/>
      <c r="AU633" s="100" t="s">
        <v>3966</v>
      </c>
      <c r="AV633" s="128" t="s">
        <v>3991</v>
      </c>
      <c r="AW633" s="100" t="s">
        <v>3992</v>
      </c>
      <c r="AX633" s="433">
        <f t="shared" si="320"/>
        <v>0</v>
      </c>
      <c r="AY633" s="433">
        <f t="shared" si="321"/>
        <v>0</v>
      </c>
      <c r="AZ633" s="433">
        <f t="shared" si="322"/>
        <v>0</v>
      </c>
      <c r="BA633" s="433">
        <f t="shared" si="312"/>
        <v>0</v>
      </c>
      <c r="BB633" s="433">
        <f t="shared" si="313"/>
        <v>0</v>
      </c>
      <c r="BC633" s="433">
        <f t="shared" si="314"/>
        <v>0</v>
      </c>
      <c r="BD633" s="433">
        <f t="shared" si="323"/>
        <v>0</v>
      </c>
      <c r="BE633" s="433">
        <f t="shared" si="324"/>
        <v>0</v>
      </c>
      <c r="BF633" s="433">
        <f t="shared" si="325"/>
        <v>0</v>
      </c>
      <c r="BG633" s="433">
        <f t="shared" si="326"/>
        <v>0</v>
      </c>
      <c r="BH633" s="433">
        <f t="shared" si="327"/>
        <v>0</v>
      </c>
      <c r="BI633" s="433">
        <f t="shared" si="328"/>
        <v>73</v>
      </c>
      <c r="BJ633" s="433">
        <f t="shared" si="329"/>
        <v>0</v>
      </c>
      <c r="BK633" s="433">
        <f t="shared" si="330"/>
        <v>0</v>
      </c>
      <c r="BL633" s="433">
        <f t="shared" si="331"/>
        <v>5</v>
      </c>
      <c r="BM633" s="433">
        <f t="shared" si="332"/>
        <v>0</v>
      </c>
      <c r="BN633" s="433">
        <f t="shared" si="333"/>
        <v>0</v>
      </c>
      <c r="BO633" s="433">
        <f t="shared" si="334"/>
        <v>0</v>
      </c>
      <c r="BP633" s="433">
        <f t="shared" si="335"/>
        <v>0</v>
      </c>
      <c r="BQ633" s="433">
        <f t="shared" si="336"/>
        <v>0</v>
      </c>
    </row>
    <row r="634" spans="1:69" x14ac:dyDescent="0.2">
      <c r="A634" s="102">
        <v>41855</v>
      </c>
      <c r="B634" s="319">
        <v>2</v>
      </c>
      <c r="C634" s="118" t="s">
        <v>2068</v>
      </c>
      <c r="D634" s="111">
        <v>0.33194444444444443</v>
      </c>
      <c r="E634" s="111">
        <v>0.45416666666666666</v>
      </c>
      <c r="F634" s="319">
        <v>38</v>
      </c>
      <c r="G634" s="445">
        <v>11</v>
      </c>
      <c r="H634" s="319"/>
      <c r="I634" s="390"/>
      <c r="J634" s="426">
        <f t="shared" si="309"/>
        <v>176</v>
      </c>
      <c r="K634" s="103"/>
      <c r="L634" s="103"/>
      <c r="M634" s="103"/>
      <c r="N634" s="427">
        <f t="shared" si="310"/>
        <v>0</v>
      </c>
      <c r="O634" s="103"/>
      <c r="P634" s="103"/>
      <c r="Q634" s="103"/>
      <c r="R634" s="428">
        <f t="shared" si="311"/>
        <v>0</v>
      </c>
      <c r="S634" s="103"/>
      <c r="T634" s="103"/>
      <c r="U634" s="103"/>
      <c r="V634" s="125"/>
      <c r="W634" s="428">
        <f t="shared" si="315"/>
        <v>0</v>
      </c>
      <c r="X634" s="103">
        <v>1</v>
      </c>
      <c r="Y634" s="103"/>
      <c r="Z634" s="125"/>
      <c r="AA634" s="428">
        <f t="shared" si="316"/>
        <v>1</v>
      </c>
      <c r="AB634" s="103"/>
      <c r="AC634" s="103"/>
      <c r="AD634" s="103"/>
      <c r="AE634" s="428">
        <f t="shared" si="317"/>
        <v>0</v>
      </c>
      <c r="AF634" s="103"/>
      <c r="AG634" s="103"/>
      <c r="AH634" s="103"/>
      <c r="AI634" s="103"/>
      <c r="AJ634" s="428">
        <f t="shared" si="318"/>
        <v>0</v>
      </c>
      <c r="AK634" s="446"/>
      <c r="AL634" s="446"/>
      <c r="AM634" s="446"/>
      <c r="AN634" s="446"/>
      <c r="AO634" s="446"/>
      <c r="AP634" s="446"/>
      <c r="AQ634" s="446"/>
      <c r="AR634" s="431">
        <f t="shared" si="319"/>
        <v>0</v>
      </c>
      <c r="AT634" s="128"/>
      <c r="AU634" s="100" t="s">
        <v>3967</v>
      </c>
      <c r="AV634" s="128" t="s">
        <v>3991</v>
      </c>
      <c r="AW634" s="100" t="s">
        <v>3992</v>
      </c>
      <c r="AX634" s="433">
        <f t="shared" si="320"/>
        <v>0</v>
      </c>
      <c r="AY634" s="433">
        <f t="shared" si="321"/>
        <v>0</v>
      </c>
      <c r="AZ634" s="433">
        <f t="shared" si="322"/>
        <v>0</v>
      </c>
      <c r="BA634" s="433">
        <f t="shared" si="312"/>
        <v>0</v>
      </c>
      <c r="BB634" s="433">
        <f t="shared" si="313"/>
        <v>0</v>
      </c>
      <c r="BC634" s="433">
        <f t="shared" si="314"/>
        <v>0</v>
      </c>
      <c r="BD634" s="433">
        <f t="shared" si="323"/>
        <v>0</v>
      </c>
      <c r="BE634" s="433">
        <f t="shared" si="324"/>
        <v>0</v>
      </c>
      <c r="BF634" s="433">
        <f t="shared" si="325"/>
        <v>0</v>
      </c>
      <c r="BG634" s="433">
        <f t="shared" si="326"/>
        <v>0</v>
      </c>
      <c r="BH634" s="433">
        <f t="shared" si="327"/>
        <v>1</v>
      </c>
      <c r="BI634" s="433">
        <f t="shared" si="328"/>
        <v>0</v>
      </c>
      <c r="BJ634" s="433">
        <f t="shared" si="329"/>
        <v>0</v>
      </c>
      <c r="BK634" s="433">
        <f t="shared" si="330"/>
        <v>0</v>
      </c>
      <c r="BL634" s="433">
        <f t="shared" si="331"/>
        <v>0</v>
      </c>
      <c r="BM634" s="433">
        <f t="shared" si="332"/>
        <v>0</v>
      </c>
      <c r="BN634" s="433">
        <f t="shared" si="333"/>
        <v>0</v>
      </c>
      <c r="BO634" s="433">
        <f t="shared" si="334"/>
        <v>0</v>
      </c>
      <c r="BP634" s="433">
        <f t="shared" si="335"/>
        <v>0</v>
      </c>
      <c r="BQ634" s="433">
        <f t="shared" si="336"/>
        <v>0</v>
      </c>
    </row>
    <row r="635" spans="1:69" x14ac:dyDescent="0.2">
      <c r="A635" s="102">
        <v>41855</v>
      </c>
      <c r="B635" s="319">
        <v>2</v>
      </c>
      <c r="C635" s="118" t="s">
        <v>3964</v>
      </c>
      <c r="D635" s="111">
        <v>0.45416666666666666</v>
      </c>
      <c r="E635" s="111">
        <v>0.70000000000000007</v>
      </c>
      <c r="F635" s="319">
        <v>35</v>
      </c>
      <c r="G635" s="445">
        <v>11</v>
      </c>
      <c r="H635" s="319"/>
      <c r="I635" s="390"/>
      <c r="J635" s="426">
        <f t="shared" si="309"/>
        <v>354.00000000000011</v>
      </c>
      <c r="K635" s="103"/>
      <c r="L635" s="103"/>
      <c r="M635" s="103"/>
      <c r="N635" s="427">
        <f t="shared" si="310"/>
        <v>0</v>
      </c>
      <c r="O635" s="103"/>
      <c r="P635" s="103"/>
      <c r="Q635" s="103"/>
      <c r="R635" s="428">
        <f t="shared" si="311"/>
        <v>0</v>
      </c>
      <c r="S635" s="103">
        <v>1</v>
      </c>
      <c r="T635" s="103"/>
      <c r="U635" s="103"/>
      <c r="V635" s="125"/>
      <c r="W635" s="428">
        <f t="shared" si="315"/>
        <v>1</v>
      </c>
      <c r="X635" s="103">
        <v>1</v>
      </c>
      <c r="Y635" s="103">
        <v>2</v>
      </c>
      <c r="Z635" s="125"/>
      <c r="AA635" s="428">
        <f t="shared" si="316"/>
        <v>3</v>
      </c>
      <c r="AB635" s="103">
        <v>1</v>
      </c>
      <c r="AC635" s="103">
        <v>5</v>
      </c>
      <c r="AD635" s="103"/>
      <c r="AE635" s="428">
        <f t="shared" si="317"/>
        <v>6</v>
      </c>
      <c r="AF635" s="103"/>
      <c r="AG635" s="103"/>
      <c r="AH635" s="103"/>
      <c r="AI635" s="103"/>
      <c r="AJ635" s="428">
        <f t="shared" si="318"/>
        <v>0</v>
      </c>
      <c r="AK635" s="446"/>
      <c r="AL635" s="446"/>
      <c r="AM635" s="446"/>
      <c r="AN635" s="446"/>
      <c r="AO635" s="446"/>
      <c r="AP635" s="446"/>
      <c r="AQ635" s="446"/>
      <c r="AR635" s="431">
        <f t="shared" si="319"/>
        <v>0</v>
      </c>
      <c r="AT635" s="128"/>
      <c r="AU635" s="100" t="s">
        <v>3965</v>
      </c>
      <c r="AV635" s="128" t="s">
        <v>3991</v>
      </c>
      <c r="AW635" s="100" t="s">
        <v>3992</v>
      </c>
      <c r="AX635" s="433">
        <f t="shared" si="320"/>
        <v>0</v>
      </c>
      <c r="AY635" s="433">
        <f t="shared" si="321"/>
        <v>0</v>
      </c>
      <c r="AZ635" s="433">
        <f t="shared" si="322"/>
        <v>0</v>
      </c>
      <c r="BA635" s="433">
        <f t="shared" si="312"/>
        <v>0</v>
      </c>
      <c r="BB635" s="433">
        <f t="shared" si="313"/>
        <v>0</v>
      </c>
      <c r="BC635" s="433">
        <f t="shared" si="314"/>
        <v>0</v>
      </c>
      <c r="BD635" s="433">
        <f t="shared" si="323"/>
        <v>1</v>
      </c>
      <c r="BE635" s="433">
        <f t="shared" si="324"/>
        <v>0</v>
      </c>
      <c r="BF635" s="433">
        <f t="shared" si="325"/>
        <v>0</v>
      </c>
      <c r="BG635" s="433">
        <f t="shared" si="326"/>
        <v>0</v>
      </c>
      <c r="BH635" s="433">
        <f t="shared" si="327"/>
        <v>1</v>
      </c>
      <c r="BI635" s="433">
        <f t="shared" si="328"/>
        <v>2</v>
      </c>
      <c r="BJ635" s="433">
        <f t="shared" si="329"/>
        <v>0</v>
      </c>
      <c r="BK635" s="433">
        <f t="shared" si="330"/>
        <v>1</v>
      </c>
      <c r="BL635" s="433">
        <f t="shared" si="331"/>
        <v>5</v>
      </c>
      <c r="BM635" s="433">
        <f t="shared" si="332"/>
        <v>0</v>
      </c>
      <c r="BN635" s="433">
        <f t="shared" si="333"/>
        <v>0</v>
      </c>
      <c r="BO635" s="433">
        <f t="shared" si="334"/>
        <v>0</v>
      </c>
      <c r="BP635" s="433">
        <f t="shared" si="335"/>
        <v>0</v>
      </c>
      <c r="BQ635" s="433">
        <f t="shared" si="336"/>
        <v>0</v>
      </c>
    </row>
    <row r="636" spans="1:69" x14ac:dyDescent="0.2">
      <c r="A636" s="102">
        <v>41855</v>
      </c>
      <c r="B636" s="319">
        <v>2</v>
      </c>
      <c r="C636" s="118" t="s">
        <v>3921</v>
      </c>
      <c r="D636" s="111">
        <v>0.70000000000000007</v>
      </c>
      <c r="E636" s="111">
        <v>0.83194444444444438</v>
      </c>
      <c r="F636" s="319">
        <v>32</v>
      </c>
      <c r="G636" s="445">
        <v>12</v>
      </c>
      <c r="H636" s="319"/>
      <c r="I636" s="390"/>
      <c r="J636" s="426">
        <f t="shared" si="309"/>
        <v>189.9999999999998</v>
      </c>
      <c r="K636" s="103"/>
      <c r="L636" s="103"/>
      <c r="M636" s="103"/>
      <c r="N636" s="427">
        <f t="shared" si="310"/>
        <v>0</v>
      </c>
      <c r="O636" s="103"/>
      <c r="P636" s="103"/>
      <c r="Q636" s="103"/>
      <c r="R636" s="428">
        <f t="shared" si="311"/>
        <v>0</v>
      </c>
      <c r="S636" s="103">
        <v>1</v>
      </c>
      <c r="T636" s="103"/>
      <c r="U636" s="103"/>
      <c r="V636" s="125"/>
      <c r="W636" s="428">
        <f t="shared" si="315"/>
        <v>1</v>
      </c>
      <c r="X636" s="103"/>
      <c r="Y636" s="103">
        <v>3</v>
      </c>
      <c r="Z636" s="125"/>
      <c r="AA636" s="428">
        <f t="shared" si="316"/>
        <v>3</v>
      </c>
      <c r="AB636" s="103"/>
      <c r="AC636" s="103">
        <v>2</v>
      </c>
      <c r="AD636" s="103"/>
      <c r="AE636" s="428">
        <f t="shared" si="317"/>
        <v>2</v>
      </c>
      <c r="AF636" s="103"/>
      <c r="AG636" s="103"/>
      <c r="AH636" s="103"/>
      <c r="AI636" s="103"/>
      <c r="AJ636" s="428">
        <f t="shared" si="318"/>
        <v>0</v>
      </c>
      <c r="AK636" s="446"/>
      <c r="AL636" s="446"/>
      <c r="AM636" s="446"/>
      <c r="AN636" s="446"/>
      <c r="AO636" s="446"/>
      <c r="AP636" s="446"/>
      <c r="AQ636" s="446"/>
      <c r="AR636" s="431">
        <f t="shared" si="319"/>
        <v>0</v>
      </c>
      <c r="AT636" s="128"/>
      <c r="AU636" s="100" t="s">
        <v>3966</v>
      </c>
      <c r="AV636" s="128" t="s">
        <v>3991</v>
      </c>
      <c r="AW636" s="100" t="s">
        <v>3992</v>
      </c>
      <c r="AX636" s="433">
        <f t="shared" si="320"/>
        <v>0</v>
      </c>
      <c r="AY636" s="433">
        <f t="shared" si="321"/>
        <v>0</v>
      </c>
      <c r="AZ636" s="433">
        <f t="shared" si="322"/>
        <v>0</v>
      </c>
      <c r="BA636" s="433">
        <f t="shared" si="312"/>
        <v>0</v>
      </c>
      <c r="BB636" s="433">
        <f t="shared" si="313"/>
        <v>0</v>
      </c>
      <c r="BC636" s="433">
        <f t="shared" si="314"/>
        <v>0</v>
      </c>
      <c r="BD636" s="433">
        <f t="shared" si="323"/>
        <v>1</v>
      </c>
      <c r="BE636" s="433">
        <f t="shared" si="324"/>
        <v>0</v>
      </c>
      <c r="BF636" s="433">
        <f t="shared" si="325"/>
        <v>0</v>
      </c>
      <c r="BG636" s="433">
        <f t="shared" si="326"/>
        <v>0</v>
      </c>
      <c r="BH636" s="433">
        <f t="shared" si="327"/>
        <v>0</v>
      </c>
      <c r="BI636" s="433">
        <f t="shared" si="328"/>
        <v>3</v>
      </c>
      <c r="BJ636" s="433">
        <f t="shared" si="329"/>
        <v>0</v>
      </c>
      <c r="BK636" s="433">
        <f t="shared" si="330"/>
        <v>0</v>
      </c>
      <c r="BL636" s="433">
        <f t="shared" si="331"/>
        <v>2</v>
      </c>
      <c r="BM636" s="433">
        <f t="shared" si="332"/>
        <v>0</v>
      </c>
      <c r="BN636" s="433">
        <f t="shared" si="333"/>
        <v>0</v>
      </c>
      <c r="BO636" s="433">
        <f t="shared" si="334"/>
        <v>0</v>
      </c>
      <c r="BP636" s="433">
        <f t="shared" si="335"/>
        <v>0</v>
      </c>
      <c r="BQ636" s="433">
        <f t="shared" si="336"/>
        <v>0</v>
      </c>
    </row>
    <row r="637" spans="1:69" x14ac:dyDescent="0.2">
      <c r="A637" s="102">
        <v>41855</v>
      </c>
      <c r="B637" s="319">
        <v>3</v>
      </c>
      <c r="C637" s="118" t="s">
        <v>3921</v>
      </c>
      <c r="D637" s="111">
        <v>0.33958333333333335</v>
      </c>
      <c r="E637" s="111">
        <v>0.58333333333333337</v>
      </c>
      <c r="F637" s="319">
        <v>49</v>
      </c>
      <c r="G637" s="445">
        <v>10</v>
      </c>
      <c r="H637" s="319"/>
      <c r="I637" s="390"/>
      <c r="J637" s="426">
        <f t="shared" si="309"/>
        <v>351.00000000000006</v>
      </c>
      <c r="K637" s="103"/>
      <c r="L637" s="103"/>
      <c r="M637" s="103"/>
      <c r="N637" s="427">
        <f t="shared" si="310"/>
        <v>0</v>
      </c>
      <c r="O637" s="103"/>
      <c r="P637" s="103">
        <v>1</v>
      </c>
      <c r="Q637" s="103"/>
      <c r="R637" s="428">
        <f t="shared" si="311"/>
        <v>1</v>
      </c>
      <c r="S637" s="103"/>
      <c r="T637" s="103"/>
      <c r="U637" s="103"/>
      <c r="V637" s="125">
        <v>1</v>
      </c>
      <c r="W637" s="428">
        <f t="shared" si="315"/>
        <v>1</v>
      </c>
      <c r="X637" s="103">
        <v>2</v>
      </c>
      <c r="Y637" s="103">
        <v>84</v>
      </c>
      <c r="Z637" s="125"/>
      <c r="AA637" s="428">
        <f t="shared" si="316"/>
        <v>86</v>
      </c>
      <c r="AB637" s="103">
        <v>3</v>
      </c>
      <c r="AC637" s="103">
        <v>10</v>
      </c>
      <c r="AD637" s="103">
        <v>1</v>
      </c>
      <c r="AE637" s="428">
        <f t="shared" si="317"/>
        <v>14</v>
      </c>
      <c r="AF637" s="103">
        <v>1</v>
      </c>
      <c r="AG637" s="103"/>
      <c r="AH637" s="103"/>
      <c r="AI637" s="103"/>
      <c r="AJ637" s="428">
        <f t="shared" si="318"/>
        <v>1</v>
      </c>
      <c r="AK637" s="446"/>
      <c r="AL637" s="446"/>
      <c r="AM637" s="446"/>
      <c r="AN637" s="446"/>
      <c r="AO637" s="446"/>
      <c r="AP637" s="446"/>
      <c r="AQ637" s="446"/>
      <c r="AR637" s="431">
        <f t="shared" si="319"/>
        <v>0</v>
      </c>
      <c r="AT637" s="128"/>
      <c r="AU637" s="100" t="s">
        <v>3968</v>
      </c>
      <c r="AV637" s="128" t="s">
        <v>3991</v>
      </c>
      <c r="AW637" s="100" t="s">
        <v>3992</v>
      </c>
      <c r="AX637" s="433">
        <f t="shared" si="320"/>
        <v>0</v>
      </c>
      <c r="AY637" s="433">
        <f t="shared" si="321"/>
        <v>0</v>
      </c>
      <c r="AZ637" s="433">
        <f t="shared" si="322"/>
        <v>0</v>
      </c>
      <c r="BA637" s="433">
        <f t="shared" si="312"/>
        <v>0</v>
      </c>
      <c r="BB637" s="433">
        <f t="shared" si="313"/>
        <v>1</v>
      </c>
      <c r="BC637" s="433">
        <f t="shared" si="314"/>
        <v>0</v>
      </c>
      <c r="BD637" s="433">
        <f t="shared" si="323"/>
        <v>0</v>
      </c>
      <c r="BE637" s="433">
        <f t="shared" si="324"/>
        <v>0</v>
      </c>
      <c r="BF637" s="433">
        <f t="shared" si="325"/>
        <v>0</v>
      </c>
      <c r="BG637" s="433">
        <f t="shared" si="326"/>
        <v>1</v>
      </c>
      <c r="BH637" s="433">
        <f t="shared" si="327"/>
        <v>2</v>
      </c>
      <c r="BI637" s="433">
        <f t="shared" si="328"/>
        <v>84</v>
      </c>
      <c r="BJ637" s="433">
        <f t="shared" si="329"/>
        <v>0</v>
      </c>
      <c r="BK637" s="433">
        <f t="shared" si="330"/>
        <v>3</v>
      </c>
      <c r="BL637" s="433">
        <f t="shared" si="331"/>
        <v>10</v>
      </c>
      <c r="BM637" s="433">
        <f t="shared" si="332"/>
        <v>1</v>
      </c>
      <c r="BN637" s="433">
        <f t="shared" si="333"/>
        <v>1</v>
      </c>
      <c r="BO637" s="433">
        <f t="shared" si="334"/>
        <v>0</v>
      </c>
      <c r="BP637" s="433">
        <f t="shared" si="335"/>
        <v>0</v>
      </c>
      <c r="BQ637" s="433">
        <f t="shared" si="336"/>
        <v>0</v>
      </c>
    </row>
    <row r="638" spans="1:69" s="291" customFormat="1" x14ac:dyDescent="0.2">
      <c r="A638" s="317">
        <v>41855</v>
      </c>
      <c r="B638" s="318">
        <v>3</v>
      </c>
      <c r="C638" s="320" t="s">
        <v>2068</v>
      </c>
      <c r="D638" s="321">
        <v>0.58333333333333337</v>
      </c>
      <c r="E638" s="321">
        <v>0.83958333333333324</v>
      </c>
      <c r="F638" s="318">
        <v>51</v>
      </c>
      <c r="G638" s="435">
        <v>12</v>
      </c>
      <c r="H638" s="318"/>
      <c r="I638" s="436"/>
      <c r="J638" s="437">
        <f t="shared" si="309"/>
        <v>368.99999999999983</v>
      </c>
      <c r="K638" s="285"/>
      <c r="L638" s="285"/>
      <c r="M638" s="285"/>
      <c r="N638" s="438">
        <f t="shared" si="310"/>
        <v>0</v>
      </c>
      <c r="O638" s="285"/>
      <c r="P638" s="285"/>
      <c r="Q638" s="285"/>
      <c r="R638" s="439">
        <f t="shared" si="311"/>
        <v>0</v>
      </c>
      <c r="S638" s="285">
        <v>1</v>
      </c>
      <c r="T638" s="285"/>
      <c r="U638" s="285"/>
      <c r="V638" s="440"/>
      <c r="W638" s="439">
        <f t="shared" si="315"/>
        <v>1</v>
      </c>
      <c r="X638" s="285">
        <v>2</v>
      </c>
      <c r="Y638" s="285">
        <v>99</v>
      </c>
      <c r="Z638" s="440"/>
      <c r="AA638" s="439">
        <f t="shared" si="316"/>
        <v>101</v>
      </c>
      <c r="AB638" s="285">
        <v>3</v>
      </c>
      <c r="AC638" s="285">
        <v>3</v>
      </c>
      <c r="AD638" s="285"/>
      <c r="AE638" s="439">
        <f t="shared" si="317"/>
        <v>6</v>
      </c>
      <c r="AF638" s="285">
        <v>1</v>
      </c>
      <c r="AG638" s="285"/>
      <c r="AH638" s="285"/>
      <c r="AI638" s="285"/>
      <c r="AJ638" s="439">
        <f t="shared" si="318"/>
        <v>1</v>
      </c>
      <c r="AK638" s="340"/>
      <c r="AL638" s="340"/>
      <c r="AM638" s="340">
        <v>1</v>
      </c>
      <c r="AN638" s="340"/>
      <c r="AO638" s="340"/>
      <c r="AP638" s="340"/>
      <c r="AQ638" s="340"/>
      <c r="AR638" s="441">
        <f t="shared" si="319"/>
        <v>1</v>
      </c>
      <c r="AT638" s="313"/>
      <c r="AU638" s="289" t="s">
        <v>3967</v>
      </c>
      <c r="AV638" s="313" t="s">
        <v>3991</v>
      </c>
      <c r="AW638" s="382" t="s">
        <v>3992</v>
      </c>
      <c r="AX638" s="443">
        <f t="shared" si="320"/>
        <v>0</v>
      </c>
      <c r="AY638" s="443">
        <f t="shared" si="321"/>
        <v>0</v>
      </c>
      <c r="AZ638" s="443">
        <f t="shared" si="322"/>
        <v>0</v>
      </c>
      <c r="BA638" s="443">
        <f t="shared" si="312"/>
        <v>0</v>
      </c>
      <c r="BB638" s="443">
        <f t="shared" si="313"/>
        <v>0</v>
      </c>
      <c r="BC638" s="443">
        <f t="shared" si="314"/>
        <v>0</v>
      </c>
      <c r="BD638" s="443">
        <f t="shared" si="323"/>
        <v>1</v>
      </c>
      <c r="BE638" s="443">
        <f t="shared" si="324"/>
        <v>0</v>
      </c>
      <c r="BF638" s="443">
        <f t="shared" si="325"/>
        <v>0</v>
      </c>
      <c r="BG638" s="443">
        <f t="shared" si="326"/>
        <v>0</v>
      </c>
      <c r="BH638" s="443">
        <f t="shared" si="327"/>
        <v>2</v>
      </c>
      <c r="BI638" s="443">
        <f t="shared" si="328"/>
        <v>99</v>
      </c>
      <c r="BJ638" s="443">
        <f t="shared" si="329"/>
        <v>0</v>
      </c>
      <c r="BK638" s="443">
        <f t="shared" si="330"/>
        <v>3</v>
      </c>
      <c r="BL638" s="443">
        <f t="shared" si="331"/>
        <v>3</v>
      </c>
      <c r="BM638" s="443">
        <f t="shared" si="332"/>
        <v>0</v>
      </c>
      <c r="BN638" s="443">
        <f t="shared" si="333"/>
        <v>1</v>
      </c>
      <c r="BO638" s="443">
        <f t="shared" si="334"/>
        <v>0</v>
      </c>
      <c r="BP638" s="443">
        <f t="shared" si="335"/>
        <v>0</v>
      </c>
      <c r="BQ638" s="443">
        <f t="shared" si="336"/>
        <v>0</v>
      </c>
    </row>
    <row r="639" spans="1:69" x14ac:dyDescent="0.2">
      <c r="A639" s="102">
        <v>41856</v>
      </c>
      <c r="B639" s="319">
        <v>1</v>
      </c>
      <c r="C639" s="118" t="s">
        <v>3994</v>
      </c>
      <c r="D639" s="111">
        <v>0.34097222222222223</v>
      </c>
      <c r="E639" s="111">
        <v>0.45833333333333331</v>
      </c>
      <c r="F639" s="319">
        <v>50</v>
      </c>
      <c r="G639" s="445">
        <v>9</v>
      </c>
      <c r="H639" s="319"/>
      <c r="I639" s="390"/>
      <c r="J639" s="426">
        <f t="shared" si="309"/>
        <v>168.99999999999997</v>
      </c>
      <c r="K639" s="103"/>
      <c r="L639" s="103"/>
      <c r="M639" s="103"/>
      <c r="N639" s="427">
        <f t="shared" si="310"/>
        <v>0</v>
      </c>
      <c r="O639" s="103"/>
      <c r="P639" s="103"/>
      <c r="Q639" s="103"/>
      <c r="R639" s="428">
        <f t="shared" si="311"/>
        <v>0</v>
      </c>
      <c r="S639" s="103">
        <v>1</v>
      </c>
      <c r="T639" s="103"/>
      <c r="U639" s="103"/>
      <c r="V639" s="125"/>
      <c r="W639" s="428">
        <f t="shared" si="315"/>
        <v>1</v>
      </c>
      <c r="X639" s="103">
        <v>2</v>
      </c>
      <c r="Y639" s="103">
        <v>18</v>
      </c>
      <c r="Z639" s="125"/>
      <c r="AA639" s="428">
        <f t="shared" si="316"/>
        <v>20</v>
      </c>
      <c r="AB639" s="103">
        <v>1</v>
      </c>
      <c r="AC639" s="103"/>
      <c r="AD639" s="103"/>
      <c r="AE639" s="428">
        <f t="shared" si="317"/>
        <v>1</v>
      </c>
      <c r="AF639" s="103"/>
      <c r="AG639" s="103"/>
      <c r="AH639" s="103"/>
      <c r="AI639" s="103"/>
      <c r="AJ639" s="428">
        <f t="shared" si="318"/>
        <v>0</v>
      </c>
      <c r="AK639" s="446"/>
      <c r="AL639" s="446"/>
      <c r="AM639" s="446"/>
      <c r="AN639" s="446"/>
      <c r="AO639" s="446"/>
      <c r="AP639" s="446"/>
      <c r="AQ639" s="446"/>
      <c r="AR639" s="431">
        <f t="shared" si="319"/>
        <v>0</v>
      </c>
      <c r="AT639" s="128"/>
      <c r="AU639" s="100" t="s">
        <v>4018</v>
      </c>
      <c r="AV639" s="128" t="s">
        <v>4023</v>
      </c>
      <c r="AW639" s="100" t="s">
        <v>4022</v>
      </c>
      <c r="AX639" s="433">
        <f t="shared" si="320"/>
        <v>0</v>
      </c>
      <c r="AY639" s="433">
        <f t="shared" si="321"/>
        <v>0</v>
      </c>
      <c r="AZ639" s="433">
        <f t="shared" si="322"/>
        <v>0</v>
      </c>
      <c r="BA639" s="433">
        <f t="shared" si="312"/>
        <v>0</v>
      </c>
      <c r="BB639" s="433">
        <f t="shared" si="313"/>
        <v>0</v>
      </c>
      <c r="BC639" s="433">
        <f t="shared" si="314"/>
        <v>0</v>
      </c>
      <c r="BD639" s="433">
        <f t="shared" si="323"/>
        <v>1</v>
      </c>
      <c r="BE639" s="433">
        <f t="shared" si="324"/>
        <v>0</v>
      </c>
      <c r="BF639" s="433">
        <f t="shared" si="325"/>
        <v>0</v>
      </c>
      <c r="BG639" s="433">
        <f t="shared" si="326"/>
        <v>0</v>
      </c>
      <c r="BH639" s="433">
        <f t="shared" si="327"/>
        <v>2</v>
      </c>
      <c r="BI639" s="433">
        <f t="shared" si="328"/>
        <v>18</v>
      </c>
      <c r="BJ639" s="433">
        <f t="shared" si="329"/>
        <v>0</v>
      </c>
      <c r="BK639" s="433">
        <f t="shared" si="330"/>
        <v>1</v>
      </c>
      <c r="BL639" s="433">
        <f t="shared" si="331"/>
        <v>0</v>
      </c>
      <c r="BM639" s="433">
        <f t="shared" si="332"/>
        <v>0</v>
      </c>
      <c r="BN639" s="433">
        <f t="shared" si="333"/>
        <v>0</v>
      </c>
      <c r="BO639" s="433">
        <f t="shared" si="334"/>
        <v>0</v>
      </c>
      <c r="BP639" s="433">
        <f t="shared" si="335"/>
        <v>0</v>
      </c>
      <c r="BQ639" s="433">
        <f t="shared" si="336"/>
        <v>0</v>
      </c>
    </row>
    <row r="640" spans="1:69" x14ac:dyDescent="0.2">
      <c r="A640" s="102">
        <v>41856</v>
      </c>
      <c r="B640" s="319">
        <v>1</v>
      </c>
      <c r="C640" s="118" t="s">
        <v>3995</v>
      </c>
      <c r="D640" s="111">
        <v>0.45833333333333331</v>
      </c>
      <c r="E640" s="111">
        <v>0.70277777777777783</v>
      </c>
      <c r="F640" s="319">
        <v>50</v>
      </c>
      <c r="G640" s="445">
        <v>9.5</v>
      </c>
      <c r="H640" s="319"/>
      <c r="I640" s="390"/>
      <c r="J640" s="426">
        <f t="shared" si="309"/>
        <v>352.00000000000011</v>
      </c>
      <c r="K640" s="103"/>
      <c r="L640" s="103"/>
      <c r="M640" s="103"/>
      <c r="N640" s="427">
        <f t="shared" si="310"/>
        <v>0</v>
      </c>
      <c r="O640" s="103"/>
      <c r="P640" s="103"/>
      <c r="Q640" s="103"/>
      <c r="R640" s="428">
        <f t="shared" si="311"/>
        <v>0</v>
      </c>
      <c r="S640" s="103"/>
      <c r="T640" s="103"/>
      <c r="U640" s="103"/>
      <c r="V640" s="125"/>
      <c r="W640" s="428">
        <f t="shared" si="315"/>
        <v>0</v>
      </c>
      <c r="X640" s="103">
        <v>1</v>
      </c>
      <c r="Y640" s="103">
        <v>97</v>
      </c>
      <c r="Z640" s="125"/>
      <c r="AA640" s="428">
        <f t="shared" si="316"/>
        <v>98</v>
      </c>
      <c r="AB640" s="103">
        <v>1</v>
      </c>
      <c r="AC640" s="103">
        <v>1</v>
      </c>
      <c r="AD640" s="103"/>
      <c r="AE640" s="428">
        <f t="shared" si="317"/>
        <v>2</v>
      </c>
      <c r="AF640" s="103">
        <v>1</v>
      </c>
      <c r="AG640" s="103"/>
      <c r="AH640" s="103"/>
      <c r="AI640" s="103"/>
      <c r="AJ640" s="428">
        <f t="shared" si="318"/>
        <v>1</v>
      </c>
      <c r="AK640" s="446"/>
      <c r="AL640" s="446"/>
      <c r="AM640" s="446"/>
      <c r="AN640" s="446"/>
      <c r="AO640" s="446"/>
      <c r="AP640" s="446"/>
      <c r="AQ640" s="446"/>
      <c r="AR640" s="431">
        <f t="shared" si="319"/>
        <v>0</v>
      </c>
      <c r="AT640" s="128"/>
      <c r="AU640" s="100" t="s">
        <v>4020</v>
      </c>
      <c r="AV640" s="128" t="s">
        <v>4023</v>
      </c>
      <c r="AW640" s="100" t="s">
        <v>4022</v>
      </c>
      <c r="AX640" s="433">
        <f t="shared" si="320"/>
        <v>0</v>
      </c>
      <c r="AY640" s="433">
        <f t="shared" si="321"/>
        <v>0</v>
      </c>
      <c r="AZ640" s="433">
        <f t="shared" si="322"/>
        <v>0</v>
      </c>
      <c r="BA640" s="433">
        <f t="shared" si="312"/>
        <v>0</v>
      </c>
      <c r="BB640" s="433">
        <f t="shared" si="313"/>
        <v>0</v>
      </c>
      <c r="BC640" s="433">
        <f t="shared" si="314"/>
        <v>0</v>
      </c>
      <c r="BD640" s="433">
        <f t="shared" si="323"/>
        <v>0</v>
      </c>
      <c r="BE640" s="433">
        <f t="shared" si="324"/>
        <v>0</v>
      </c>
      <c r="BF640" s="433">
        <f t="shared" si="325"/>
        <v>0</v>
      </c>
      <c r="BG640" s="433">
        <f t="shared" si="326"/>
        <v>0</v>
      </c>
      <c r="BH640" s="433">
        <f t="shared" si="327"/>
        <v>1</v>
      </c>
      <c r="BI640" s="433">
        <f t="shared" si="328"/>
        <v>97</v>
      </c>
      <c r="BJ640" s="433">
        <f t="shared" si="329"/>
        <v>0</v>
      </c>
      <c r="BK640" s="433">
        <f t="shared" si="330"/>
        <v>1</v>
      </c>
      <c r="BL640" s="433">
        <f t="shared" si="331"/>
        <v>1</v>
      </c>
      <c r="BM640" s="433">
        <f t="shared" si="332"/>
        <v>0</v>
      </c>
      <c r="BN640" s="433">
        <f t="shared" si="333"/>
        <v>1</v>
      </c>
      <c r="BO640" s="433">
        <f t="shared" si="334"/>
        <v>0</v>
      </c>
      <c r="BP640" s="433">
        <f t="shared" si="335"/>
        <v>0</v>
      </c>
      <c r="BQ640" s="433">
        <f t="shared" si="336"/>
        <v>0</v>
      </c>
    </row>
    <row r="641" spans="1:69" x14ac:dyDescent="0.2">
      <c r="A641" s="102">
        <v>41856</v>
      </c>
      <c r="B641" s="319">
        <v>1</v>
      </c>
      <c r="C641" s="118" t="s">
        <v>2068</v>
      </c>
      <c r="D641" s="111">
        <v>0.70277777777777783</v>
      </c>
      <c r="E641" s="111">
        <v>0.84097222222222223</v>
      </c>
      <c r="F641" s="319">
        <v>46</v>
      </c>
      <c r="G641" s="445">
        <v>10</v>
      </c>
      <c r="H641" s="319"/>
      <c r="I641" s="390"/>
      <c r="J641" s="426">
        <f t="shared" si="309"/>
        <v>198.99999999999994</v>
      </c>
      <c r="K641" s="103"/>
      <c r="L641" s="103"/>
      <c r="M641" s="103"/>
      <c r="N641" s="427">
        <f t="shared" si="310"/>
        <v>0</v>
      </c>
      <c r="O641" s="103"/>
      <c r="P641" s="103"/>
      <c r="Q641" s="103"/>
      <c r="R641" s="428">
        <f t="shared" si="311"/>
        <v>0</v>
      </c>
      <c r="S641" s="103">
        <v>2</v>
      </c>
      <c r="T641" s="103"/>
      <c r="U641" s="103"/>
      <c r="V641" s="125"/>
      <c r="W641" s="428">
        <f t="shared" si="315"/>
        <v>2</v>
      </c>
      <c r="X641" s="103">
        <v>1</v>
      </c>
      <c r="Y641" s="103">
        <v>43</v>
      </c>
      <c r="Z641" s="125"/>
      <c r="AA641" s="428">
        <f t="shared" si="316"/>
        <v>44</v>
      </c>
      <c r="AB641" s="103"/>
      <c r="AC641" s="103">
        <v>6</v>
      </c>
      <c r="AD641" s="103"/>
      <c r="AE641" s="428">
        <f t="shared" si="317"/>
        <v>6</v>
      </c>
      <c r="AF641" s="103"/>
      <c r="AG641" s="103"/>
      <c r="AH641" s="103"/>
      <c r="AI641" s="103"/>
      <c r="AJ641" s="428">
        <f t="shared" si="318"/>
        <v>0</v>
      </c>
      <c r="AK641" s="446"/>
      <c r="AL641" s="446"/>
      <c r="AM641" s="446"/>
      <c r="AN641" s="446"/>
      <c r="AO641" s="446"/>
      <c r="AP641" s="446"/>
      <c r="AQ641" s="446"/>
      <c r="AR641" s="431">
        <f t="shared" si="319"/>
        <v>0</v>
      </c>
      <c r="AT641" s="128"/>
      <c r="AU641" s="100" t="s">
        <v>4019</v>
      </c>
      <c r="AV641" s="128" t="s">
        <v>4023</v>
      </c>
      <c r="AW641" s="100" t="s">
        <v>4022</v>
      </c>
      <c r="AX641" s="433">
        <f t="shared" si="320"/>
        <v>0</v>
      </c>
      <c r="AY641" s="433">
        <f t="shared" si="321"/>
        <v>0</v>
      </c>
      <c r="AZ641" s="433">
        <f t="shared" si="322"/>
        <v>0</v>
      </c>
      <c r="BA641" s="433">
        <f t="shared" si="312"/>
        <v>0</v>
      </c>
      <c r="BB641" s="433">
        <f t="shared" si="313"/>
        <v>0</v>
      </c>
      <c r="BC641" s="433">
        <f t="shared" si="314"/>
        <v>0</v>
      </c>
      <c r="BD641" s="433">
        <f t="shared" si="323"/>
        <v>2</v>
      </c>
      <c r="BE641" s="433">
        <f t="shared" si="324"/>
        <v>0</v>
      </c>
      <c r="BF641" s="433">
        <f t="shared" si="325"/>
        <v>0</v>
      </c>
      <c r="BG641" s="433">
        <f t="shared" si="326"/>
        <v>0</v>
      </c>
      <c r="BH641" s="433">
        <f t="shared" si="327"/>
        <v>1</v>
      </c>
      <c r="BI641" s="433">
        <f t="shared" si="328"/>
        <v>43</v>
      </c>
      <c r="BJ641" s="433">
        <f t="shared" si="329"/>
        <v>0</v>
      </c>
      <c r="BK641" s="433">
        <f t="shared" si="330"/>
        <v>0</v>
      </c>
      <c r="BL641" s="433">
        <f t="shared" si="331"/>
        <v>6</v>
      </c>
      <c r="BM641" s="433">
        <f t="shared" si="332"/>
        <v>0</v>
      </c>
      <c r="BN641" s="433">
        <f t="shared" si="333"/>
        <v>0</v>
      </c>
      <c r="BO641" s="433">
        <f t="shared" si="334"/>
        <v>0</v>
      </c>
      <c r="BP641" s="433">
        <f t="shared" si="335"/>
        <v>0</v>
      </c>
      <c r="BQ641" s="433">
        <f t="shared" si="336"/>
        <v>0</v>
      </c>
    </row>
    <row r="642" spans="1:69" x14ac:dyDescent="0.2">
      <c r="A642" s="102">
        <v>41856</v>
      </c>
      <c r="B642" s="319">
        <v>2</v>
      </c>
      <c r="C642" s="118" t="s">
        <v>3994</v>
      </c>
      <c r="D642" s="111">
        <v>0.3354166666666667</v>
      </c>
      <c r="E642" s="111">
        <v>0.45833333333333331</v>
      </c>
      <c r="F642" s="319">
        <v>35</v>
      </c>
      <c r="G642" s="445">
        <v>11</v>
      </c>
      <c r="H642" s="319"/>
      <c r="I642" s="390"/>
      <c r="J642" s="426">
        <f t="shared" si="309"/>
        <v>176.99999999999994</v>
      </c>
      <c r="K642" s="103"/>
      <c r="L642" s="103"/>
      <c r="M642" s="103"/>
      <c r="N642" s="427">
        <f t="shared" si="310"/>
        <v>0</v>
      </c>
      <c r="O642" s="103"/>
      <c r="P642" s="103"/>
      <c r="Q642" s="103"/>
      <c r="R642" s="428">
        <f t="shared" si="311"/>
        <v>0</v>
      </c>
      <c r="S642" s="103"/>
      <c r="T642" s="103"/>
      <c r="U642" s="103"/>
      <c r="V642" s="125"/>
      <c r="W642" s="428">
        <f t="shared" si="315"/>
        <v>0</v>
      </c>
      <c r="X642" s="103"/>
      <c r="Y642" s="103"/>
      <c r="Z642" s="125"/>
      <c r="AA642" s="428">
        <f t="shared" si="316"/>
        <v>0</v>
      </c>
      <c r="AB642" s="103">
        <v>2</v>
      </c>
      <c r="AC642" s="103"/>
      <c r="AD642" s="103"/>
      <c r="AE642" s="428">
        <f t="shared" si="317"/>
        <v>2</v>
      </c>
      <c r="AF642" s="103"/>
      <c r="AG642" s="103"/>
      <c r="AH642" s="103"/>
      <c r="AI642" s="103"/>
      <c r="AJ642" s="428">
        <f t="shared" si="318"/>
        <v>0</v>
      </c>
      <c r="AK642" s="446"/>
      <c r="AL642" s="446"/>
      <c r="AM642" s="446"/>
      <c r="AN642" s="446"/>
      <c r="AO642" s="446"/>
      <c r="AP642" s="446"/>
      <c r="AQ642" s="446"/>
      <c r="AR642" s="431">
        <f t="shared" si="319"/>
        <v>0</v>
      </c>
      <c r="AT642" s="128"/>
      <c r="AU642" s="100" t="s">
        <v>4018</v>
      </c>
      <c r="AV642" s="128" t="s">
        <v>4023</v>
      </c>
      <c r="AW642" s="100" t="s">
        <v>4022</v>
      </c>
      <c r="AX642" s="433">
        <f t="shared" si="320"/>
        <v>0</v>
      </c>
      <c r="AY642" s="433">
        <f t="shared" si="321"/>
        <v>0</v>
      </c>
      <c r="AZ642" s="433">
        <f t="shared" si="322"/>
        <v>0</v>
      </c>
      <c r="BA642" s="433">
        <f t="shared" si="312"/>
        <v>0</v>
      </c>
      <c r="BB642" s="433">
        <f t="shared" si="313"/>
        <v>0</v>
      </c>
      <c r="BC642" s="433">
        <f t="shared" si="314"/>
        <v>0</v>
      </c>
      <c r="BD642" s="433">
        <f t="shared" si="323"/>
        <v>0</v>
      </c>
      <c r="BE642" s="433">
        <f t="shared" si="324"/>
        <v>0</v>
      </c>
      <c r="BF642" s="433">
        <f t="shared" si="325"/>
        <v>0</v>
      </c>
      <c r="BG642" s="433">
        <f t="shared" si="326"/>
        <v>0</v>
      </c>
      <c r="BH642" s="433">
        <f t="shared" si="327"/>
        <v>0</v>
      </c>
      <c r="BI642" s="433">
        <f t="shared" si="328"/>
        <v>0</v>
      </c>
      <c r="BJ642" s="433">
        <f t="shared" si="329"/>
        <v>0</v>
      </c>
      <c r="BK642" s="433">
        <f t="shared" si="330"/>
        <v>2</v>
      </c>
      <c r="BL642" s="433">
        <f t="shared" si="331"/>
        <v>0</v>
      </c>
      <c r="BM642" s="433">
        <f t="shared" si="332"/>
        <v>0</v>
      </c>
      <c r="BN642" s="433">
        <f t="shared" si="333"/>
        <v>0</v>
      </c>
      <c r="BO642" s="433">
        <f t="shared" si="334"/>
        <v>0</v>
      </c>
      <c r="BP642" s="433">
        <f t="shared" si="335"/>
        <v>0</v>
      </c>
      <c r="BQ642" s="433">
        <f t="shared" si="336"/>
        <v>0</v>
      </c>
    </row>
    <row r="643" spans="1:69" x14ac:dyDescent="0.2">
      <c r="A643" s="102">
        <v>41856</v>
      </c>
      <c r="B643" s="319">
        <v>2</v>
      </c>
      <c r="C643" s="118" t="s">
        <v>3995</v>
      </c>
      <c r="D643" s="111">
        <v>0.45833333333333331</v>
      </c>
      <c r="E643" s="111">
        <v>0.67361111111111116</v>
      </c>
      <c r="F643" s="319">
        <v>35</v>
      </c>
      <c r="G643" s="445">
        <v>12</v>
      </c>
      <c r="H643" s="319"/>
      <c r="I643" s="390"/>
      <c r="J643" s="426">
        <f t="shared" ref="J643:J706" si="337">(E643-D643)*24*60</f>
        <v>310.00000000000006</v>
      </c>
      <c r="K643" s="103"/>
      <c r="L643" s="103"/>
      <c r="M643" s="103"/>
      <c r="N643" s="427">
        <f t="shared" ref="N643:N706" si="338">SUM(K643:M643)</f>
        <v>0</v>
      </c>
      <c r="O643" s="103"/>
      <c r="P643" s="103"/>
      <c r="Q643" s="103"/>
      <c r="R643" s="428">
        <f t="shared" ref="R643:R706" si="339">SUM(O643:Q643)</f>
        <v>0</v>
      </c>
      <c r="S643" s="103"/>
      <c r="T643" s="103"/>
      <c r="U643" s="103"/>
      <c r="V643" s="125"/>
      <c r="W643" s="428">
        <f t="shared" si="315"/>
        <v>0</v>
      </c>
      <c r="X643" s="103">
        <v>1</v>
      </c>
      <c r="Y643" s="103"/>
      <c r="Z643" s="125"/>
      <c r="AA643" s="428">
        <f t="shared" si="316"/>
        <v>1</v>
      </c>
      <c r="AB643" s="103">
        <v>2</v>
      </c>
      <c r="AC643" s="103"/>
      <c r="AD643" s="103"/>
      <c r="AE643" s="428">
        <f t="shared" si="317"/>
        <v>2</v>
      </c>
      <c r="AF643" s="103"/>
      <c r="AG643" s="103"/>
      <c r="AH643" s="103"/>
      <c r="AI643" s="103"/>
      <c r="AJ643" s="428">
        <f t="shared" si="318"/>
        <v>0</v>
      </c>
      <c r="AK643" s="446"/>
      <c r="AL643" s="446"/>
      <c r="AM643" s="446"/>
      <c r="AN643" s="446"/>
      <c r="AO643" s="446"/>
      <c r="AP643" s="446"/>
      <c r="AQ643" s="446"/>
      <c r="AR643" s="431">
        <f t="shared" si="319"/>
        <v>0</v>
      </c>
      <c r="AS643" s="10" t="s">
        <v>3996</v>
      </c>
      <c r="AT643" s="128"/>
      <c r="AU643" s="100" t="s">
        <v>3991</v>
      </c>
      <c r="AV643" s="128" t="s">
        <v>4023</v>
      </c>
      <c r="AW643" s="100" t="s">
        <v>4022</v>
      </c>
      <c r="AX643" s="433">
        <f t="shared" si="320"/>
        <v>0</v>
      </c>
      <c r="AY643" s="433">
        <f t="shared" si="321"/>
        <v>0</v>
      </c>
      <c r="AZ643" s="433">
        <f t="shared" si="322"/>
        <v>0</v>
      </c>
      <c r="BA643" s="433">
        <f t="shared" ref="BA643:BA706" si="340">O643</f>
        <v>0</v>
      </c>
      <c r="BB643" s="433">
        <f t="shared" ref="BB643:BB706" si="341">P643</f>
        <v>0</v>
      </c>
      <c r="BC643" s="433">
        <f t="shared" ref="BC643:BC706" si="342">Q643</f>
        <v>0</v>
      </c>
      <c r="BD643" s="433">
        <f t="shared" si="323"/>
        <v>0</v>
      </c>
      <c r="BE643" s="433">
        <f t="shared" si="324"/>
        <v>0</v>
      </c>
      <c r="BF643" s="433">
        <f t="shared" si="325"/>
        <v>0</v>
      </c>
      <c r="BG643" s="433">
        <f t="shared" si="326"/>
        <v>0</v>
      </c>
      <c r="BH643" s="433">
        <f t="shared" si="327"/>
        <v>1</v>
      </c>
      <c r="BI643" s="433">
        <f t="shared" si="328"/>
        <v>0</v>
      </c>
      <c r="BJ643" s="433">
        <f t="shared" si="329"/>
        <v>0</v>
      </c>
      <c r="BK643" s="433">
        <f t="shared" si="330"/>
        <v>2</v>
      </c>
      <c r="BL643" s="433">
        <f t="shared" si="331"/>
        <v>0</v>
      </c>
      <c r="BM643" s="433">
        <f t="shared" si="332"/>
        <v>0</v>
      </c>
      <c r="BN643" s="433">
        <f t="shared" si="333"/>
        <v>0</v>
      </c>
      <c r="BO643" s="433">
        <f t="shared" si="334"/>
        <v>0</v>
      </c>
      <c r="BP643" s="433">
        <f t="shared" si="335"/>
        <v>0</v>
      </c>
      <c r="BQ643" s="433">
        <f t="shared" si="336"/>
        <v>0</v>
      </c>
    </row>
    <row r="644" spans="1:69" x14ac:dyDescent="0.2">
      <c r="A644" s="102">
        <v>41856</v>
      </c>
      <c r="B644" s="319">
        <v>2</v>
      </c>
      <c r="C644" s="118" t="s">
        <v>3997</v>
      </c>
      <c r="D644" s="111">
        <v>0.67361111111111116</v>
      </c>
      <c r="E644" s="111">
        <v>0.8354166666666667</v>
      </c>
      <c r="F644" s="319">
        <v>36</v>
      </c>
      <c r="G644" s="445">
        <v>12</v>
      </c>
      <c r="H644" s="319"/>
      <c r="I644" s="390"/>
      <c r="J644" s="426">
        <f t="shared" si="337"/>
        <v>232.99999999999997</v>
      </c>
      <c r="K644" s="103"/>
      <c r="L644" s="103"/>
      <c r="M644" s="103"/>
      <c r="N644" s="427">
        <f t="shared" si="338"/>
        <v>0</v>
      </c>
      <c r="O644" s="103"/>
      <c r="P644" s="103"/>
      <c r="Q644" s="103"/>
      <c r="R644" s="428">
        <f t="shared" si="339"/>
        <v>0</v>
      </c>
      <c r="S644" s="103">
        <v>2</v>
      </c>
      <c r="T644" s="103"/>
      <c r="U644" s="103"/>
      <c r="V644" s="125"/>
      <c r="W644" s="428">
        <f t="shared" ref="W644:W707" si="343">SUM(S644:V644)</f>
        <v>2</v>
      </c>
      <c r="X644" s="103"/>
      <c r="Y644" s="103"/>
      <c r="Z644" s="125"/>
      <c r="AA644" s="428">
        <f t="shared" ref="AA644:AA707" si="344">SUM(X644:Z644)</f>
        <v>0</v>
      </c>
      <c r="AB644" s="103"/>
      <c r="AC644" s="103">
        <v>3</v>
      </c>
      <c r="AD644" s="103"/>
      <c r="AE644" s="428">
        <f t="shared" ref="AE644:AE707" si="345">SUM(AB644:AD644)</f>
        <v>3</v>
      </c>
      <c r="AF644" s="103"/>
      <c r="AG644" s="103"/>
      <c r="AH644" s="103"/>
      <c r="AI644" s="103"/>
      <c r="AJ644" s="428">
        <f t="shared" ref="AJ644:AJ707" si="346">SUM(AF644:AI644)</f>
        <v>0</v>
      </c>
      <c r="AK644" s="446"/>
      <c r="AL644" s="446"/>
      <c r="AM644" s="446"/>
      <c r="AN644" s="446"/>
      <c r="AO644" s="446"/>
      <c r="AP644" s="446"/>
      <c r="AQ644" s="446"/>
      <c r="AR644" s="431">
        <f t="shared" ref="AR644:AR707" si="347">SUM(AK644:AQ644)</f>
        <v>0</v>
      </c>
      <c r="AT644" s="128"/>
      <c r="AU644" s="100" t="s">
        <v>4021</v>
      </c>
      <c r="AV644" s="128" t="s">
        <v>4023</v>
      </c>
      <c r="AW644" s="100" t="s">
        <v>4022</v>
      </c>
      <c r="AX644" s="433">
        <f t="shared" ref="AX644:AX707" si="348">K644</f>
        <v>0</v>
      </c>
      <c r="AY644" s="433">
        <f t="shared" ref="AY644:AY707" si="349">L644</f>
        <v>0</v>
      </c>
      <c r="AZ644" s="433">
        <f t="shared" ref="AZ644:AZ707" si="350">M644</f>
        <v>0</v>
      </c>
      <c r="BA644" s="433">
        <f t="shared" si="340"/>
        <v>0</v>
      </c>
      <c r="BB644" s="433">
        <f t="shared" si="341"/>
        <v>0</v>
      </c>
      <c r="BC644" s="433">
        <f t="shared" si="342"/>
        <v>0</v>
      </c>
      <c r="BD644" s="433">
        <f t="shared" ref="BD644:BD707" si="351">S644</f>
        <v>2</v>
      </c>
      <c r="BE644" s="433">
        <f t="shared" ref="BE644:BE707" si="352">T644</f>
        <v>0</v>
      </c>
      <c r="BF644" s="433">
        <f t="shared" ref="BF644:BF707" si="353">U644</f>
        <v>0</v>
      </c>
      <c r="BG644" s="433">
        <f t="shared" ref="BG644:BG707" si="354">V644</f>
        <v>0</v>
      </c>
      <c r="BH644" s="433">
        <f t="shared" ref="BH644:BH707" si="355">X644</f>
        <v>0</v>
      </c>
      <c r="BI644" s="433">
        <f t="shared" ref="BI644:BI707" si="356">Y644</f>
        <v>0</v>
      </c>
      <c r="BJ644" s="433">
        <f t="shared" ref="BJ644:BJ707" si="357">Z644</f>
        <v>0</v>
      </c>
      <c r="BK644" s="433">
        <f t="shared" ref="BK644:BK707" si="358">AB644</f>
        <v>0</v>
      </c>
      <c r="BL644" s="433">
        <f t="shared" ref="BL644:BL707" si="359">AC644</f>
        <v>3</v>
      </c>
      <c r="BM644" s="433">
        <f t="shared" ref="BM644:BM707" si="360">AD644</f>
        <v>0</v>
      </c>
      <c r="BN644" s="433">
        <f t="shared" ref="BN644:BN707" si="361">AF644</f>
        <v>0</v>
      </c>
      <c r="BO644" s="433">
        <f t="shared" ref="BO644:BO707" si="362">AG644</f>
        <v>0</v>
      </c>
      <c r="BP644" s="433">
        <f t="shared" ref="BP644:BP707" si="363">AH644</f>
        <v>0</v>
      </c>
      <c r="BQ644" s="433">
        <f t="shared" ref="BQ644:BQ707" si="364">AI644</f>
        <v>0</v>
      </c>
    </row>
    <row r="645" spans="1:69" x14ac:dyDescent="0.2">
      <c r="A645" s="102">
        <v>41856</v>
      </c>
      <c r="B645" s="319">
        <v>3</v>
      </c>
      <c r="C645" s="118" t="s">
        <v>3998</v>
      </c>
      <c r="D645" s="111">
        <v>0.33611111111111108</v>
      </c>
      <c r="E645" s="111">
        <v>0.56597222222222221</v>
      </c>
      <c r="F645" s="319">
        <v>48</v>
      </c>
      <c r="G645" s="445">
        <v>10</v>
      </c>
      <c r="H645" s="319"/>
      <c r="I645" s="390"/>
      <c r="J645" s="426">
        <f t="shared" si="337"/>
        <v>331.00000000000006</v>
      </c>
      <c r="K645" s="103"/>
      <c r="L645" s="103">
        <v>2</v>
      </c>
      <c r="M645" s="103"/>
      <c r="N645" s="427">
        <f t="shared" si="338"/>
        <v>2</v>
      </c>
      <c r="O645" s="103"/>
      <c r="P645" s="103"/>
      <c r="Q645" s="103"/>
      <c r="R645" s="428">
        <f t="shared" si="339"/>
        <v>0</v>
      </c>
      <c r="S645" s="103">
        <v>1</v>
      </c>
      <c r="T645" s="103"/>
      <c r="U645" s="103"/>
      <c r="V645" s="125"/>
      <c r="W645" s="428">
        <f t="shared" si="343"/>
        <v>1</v>
      </c>
      <c r="X645" s="103">
        <v>3</v>
      </c>
      <c r="Y645" s="103">
        <v>79</v>
      </c>
      <c r="Z645" s="125"/>
      <c r="AA645" s="428">
        <f t="shared" si="344"/>
        <v>82</v>
      </c>
      <c r="AB645" s="103">
        <v>4</v>
      </c>
      <c r="AC645" s="103"/>
      <c r="AD645" s="103"/>
      <c r="AE645" s="428">
        <f t="shared" si="345"/>
        <v>4</v>
      </c>
      <c r="AF645" s="103"/>
      <c r="AG645" s="103">
        <v>1</v>
      </c>
      <c r="AH645" s="103"/>
      <c r="AI645" s="103"/>
      <c r="AJ645" s="428">
        <f t="shared" si="346"/>
        <v>1</v>
      </c>
      <c r="AK645" s="446"/>
      <c r="AL645" s="446"/>
      <c r="AM645" s="446">
        <v>1</v>
      </c>
      <c r="AN645" s="446"/>
      <c r="AO645" s="446"/>
      <c r="AP645" s="446"/>
      <c r="AQ645" s="446"/>
      <c r="AR645" s="431">
        <f t="shared" si="347"/>
        <v>1</v>
      </c>
      <c r="AT645" s="128"/>
      <c r="AU645" s="100" t="s">
        <v>4021</v>
      </c>
      <c r="AV645" s="128" t="s">
        <v>4023</v>
      </c>
      <c r="AW645" s="100" t="s">
        <v>4022</v>
      </c>
      <c r="AX645" s="433">
        <f t="shared" si="348"/>
        <v>0</v>
      </c>
      <c r="AY645" s="433">
        <f t="shared" si="349"/>
        <v>2</v>
      </c>
      <c r="AZ645" s="433">
        <f t="shared" si="350"/>
        <v>0</v>
      </c>
      <c r="BA645" s="433">
        <f t="shared" si="340"/>
        <v>0</v>
      </c>
      <c r="BB645" s="433">
        <f t="shared" si="341"/>
        <v>0</v>
      </c>
      <c r="BC645" s="433">
        <f t="shared" si="342"/>
        <v>0</v>
      </c>
      <c r="BD645" s="433">
        <f t="shared" si="351"/>
        <v>1</v>
      </c>
      <c r="BE645" s="433">
        <f t="shared" si="352"/>
        <v>0</v>
      </c>
      <c r="BF645" s="433">
        <f t="shared" si="353"/>
        <v>0</v>
      </c>
      <c r="BG645" s="433">
        <f t="shared" si="354"/>
        <v>0</v>
      </c>
      <c r="BH645" s="433">
        <f t="shared" si="355"/>
        <v>3</v>
      </c>
      <c r="BI645" s="433">
        <f t="shared" si="356"/>
        <v>79</v>
      </c>
      <c r="BJ645" s="433">
        <f t="shared" si="357"/>
        <v>0</v>
      </c>
      <c r="BK645" s="433">
        <f t="shared" si="358"/>
        <v>4</v>
      </c>
      <c r="BL645" s="433">
        <f t="shared" si="359"/>
        <v>0</v>
      </c>
      <c r="BM645" s="433">
        <f t="shared" si="360"/>
        <v>0</v>
      </c>
      <c r="BN645" s="433">
        <f t="shared" si="361"/>
        <v>0</v>
      </c>
      <c r="BO645" s="433">
        <f t="shared" si="362"/>
        <v>1</v>
      </c>
      <c r="BP645" s="433">
        <f t="shared" si="363"/>
        <v>0</v>
      </c>
      <c r="BQ645" s="433">
        <f t="shared" si="364"/>
        <v>0</v>
      </c>
    </row>
    <row r="646" spans="1:69" s="291" customFormat="1" x14ac:dyDescent="0.2">
      <c r="A646" s="317">
        <v>41856</v>
      </c>
      <c r="B646" s="318">
        <v>3</v>
      </c>
      <c r="C646" s="320" t="s">
        <v>3994</v>
      </c>
      <c r="D646" s="321">
        <v>0.56597222222222221</v>
      </c>
      <c r="E646" s="321">
        <v>0.83958333333333324</v>
      </c>
      <c r="F646" s="318">
        <v>47</v>
      </c>
      <c r="G646" s="435">
        <v>11.5</v>
      </c>
      <c r="H646" s="318"/>
      <c r="I646" s="436"/>
      <c r="J646" s="437">
        <f t="shared" si="337"/>
        <v>393.99999999999989</v>
      </c>
      <c r="K646" s="285"/>
      <c r="L646" s="285">
        <v>1</v>
      </c>
      <c r="M646" s="285"/>
      <c r="N646" s="438">
        <f t="shared" si="338"/>
        <v>1</v>
      </c>
      <c r="O646" s="285"/>
      <c r="P646" s="285"/>
      <c r="Q646" s="285"/>
      <c r="R646" s="439">
        <f t="shared" si="339"/>
        <v>0</v>
      </c>
      <c r="S646" s="285">
        <v>2</v>
      </c>
      <c r="T646" s="285"/>
      <c r="U646" s="285"/>
      <c r="V646" s="440"/>
      <c r="W646" s="439">
        <f t="shared" si="343"/>
        <v>2</v>
      </c>
      <c r="X646" s="285">
        <v>2</v>
      </c>
      <c r="Y646" s="285">
        <v>92</v>
      </c>
      <c r="Z646" s="440">
        <v>1</v>
      </c>
      <c r="AA646" s="439">
        <f t="shared" si="344"/>
        <v>95</v>
      </c>
      <c r="AB646" s="285">
        <v>2</v>
      </c>
      <c r="AC646" s="285">
        <v>6</v>
      </c>
      <c r="AD646" s="285">
        <v>1</v>
      </c>
      <c r="AE646" s="439">
        <f t="shared" si="345"/>
        <v>9</v>
      </c>
      <c r="AF646" s="285">
        <v>2</v>
      </c>
      <c r="AG646" s="285"/>
      <c r="AH646" s="285"/>
      <c r="AI646" s="285"/>
      <c r="AJ646" s="439">
        <f t="shared" si="346"/>
        <v>2</v>
      </c>
      <c r="AK646" s="340"/>
      <c r="AL646" s="340"/>
      <c r="AM646" s="340"/>
      <c r="AN646" s="340"/>
      <c r="AO646" s="340"/>
      <c r="AP646" s="340"/>
      <c r="AQ646" s="340"/>
      <c r="AR646" s="441">
        <f t="shared" si="347"/>
        <v>0</v>
      </c>
      <c r="AT646" s="313"/>
      <c r="AU646" s="289" t="s">
        <v>4018</v>
      </c>
      <c r="AV646" s="313" t="s">
        <v>4023</v>
      </c>
      <c r="AW646" s="382" t="s">
        <v>4022</v>
      </c>
      <c r="AX646" s="443">
        <f t="shared" si="348"/>
        <v>0</v>
      </c>
      <c r="AY646" s="443">
        <f t="shared" si="349"/>
        <v>1</v>
      </c>
      <c r="AZ646" s="443">
        <f t="shared" si="350"/>
        <v>0</v>
      </c>
      <c r="BA646" s="443">
        <f t="shared" si="340"/>
        <v>0</v>
      </c>
      <c r="BB646" s="443">
        <f t="shared" si="341"/>
        <v>0</v>
      </c>
      <c r="BC646" s="443">
        <f t="shared" si="342"/>
        <v>0</v>
      </c>
      <c r="BD646" s="443">
        <f t="shared" si="351"/>
        <v>2</v>
      </c>
      <c r="BE646" s="443">
        <f t="shared" si="352"/>
        <v>0</v>
      </c>
      <c r="BF646" s="443">
        <f t="shared" si="353"/>
        <v>0</v>
      </c>
      <c r="BG646" s="443">
        <f t="shared" si="354"/>
        <v>0</v>
      </c>
      <c r="BH646" s="443">
        <f t="shared" si="355"/>
        <v>2</v>
      </c>
      <c r="BI646" s="443">
        <f t="shared" si="356"/>
        <v>92</v>
      </c>
      <c r="BJ646" s="443">
        <f t="shared" si="357"/>
        <v>1</v>
      </c>
      <c r="BK646" s="443">
        <f t="shared" si="358"/>
        <v>2</v>
      </c>
      <c r="BL646" s="443">
        <f t="shared" si="359"/>
        <v>6</v>
      </c>
      <c r="BM646" s="443">
        <f t="shared" si="360"/>
        <v>1</v>
      </c>
      <c r="BN646" s="443">
        <f t="shared" si="361"/>
        <v>2</v>
      </c>
      <c r="BO646" s="443">
        <f t="shared" si="362"/>
        <v>0</v>
      </c>
      <c r="BP646" s="443">
        <f t="shared" si="363"/>
        <v>0</v>
      </c>
      <c r="BQ646" s="443">
        <f t="shared" si="364"/>
        <v>0</v>
      </c>
    </row>
    <row r="647" spans="1:69" x14ac:dyDescent="0.2">
      <c r="A647" s="102">
        <v>41857</v>
      </c>
      <c r="B647" s="319">
        <v>1</v>
      </c>
      <c r="C647" s="118" t="s">
        <v>4028</v>
      </c>
      <c r="D647" s="111">
        <v>0.3430555555555555</v>
      </c>
      <c r="E647" s="111">
        <v>0.45833333333333331</v>
      </c>
      <c r="F647" s="319">
        <v>49</v>
      </c>
      <c r="G647" s="445">
        <v>8.5</v>
      </c>
      <c r="H647" s="319"/>
      <c r="I647" s="390"/>
      <c r="J647" s="426">
        <f t="shared" si="337"/>
        <v>166.00000000000006</v>
      </c>
      <c r="K647" s="103"/>
      <c r="L647" s="103"/>
      <c r="M647" s="103"/>
      <c r="N647" s="427">
        <f t="shared" si="338"/>
        <v>0</v>
      </c>
      <c r="O647" s="103"/>
      <c r="P647" s="103"/>
      <c r="Q647" s="103"/>
      <c r="R647" s="428">
        <f t="shared" si="339"/>
        <v>0</v>
      </c>
      <c r="S647" s="103">
        <v>1</v>
      </c>
      <c r="T647" s="103"/>
      <c r="U647" s="103"/>
      <c r="V647" s="125"/>
      <c r="W647" s="428">
        <f t="shared" si="343"/>
        <v>1</v>
      </c>
      <c r="X647" s="103">
        <v>2</v>
      </c>
      <c r="Y647" s="103">
        <v>4</v>
      </c>
      <c r="Z647" s="125"/>
      <c r="AA647" s="428">
        <f t="shared" si="344"/>
        <v>6</v>
      </c>
      <c r="AB647" s="103"/>
      <c r="AC647" s="103"/>
      <c r="AD647" s="103"/>
      <c r="AE647" s="428">
        <f t="shared" si="345"/>
        <v>0</v>
      </c>
      <c r="AF647" s="103"/>
      <c r="AG647" s="103"/>
      <c r="AH647" s="103"/>
      <c r="AI647" s="103"/>
      <c r="AJ647" s="428">
        <f t="shared" si="346"/>
        <v>0</v>
      </c>
      <c r="AK647" s="446"/>
      <c r="AL647" s="446"/>
      <c r="AM647" s="446"/>
      <c r="AN647" s="446"/>
      <c r="AO647" s="446"/>
      <c r="AP647" s="446"/>
      <c r="AQ647" s="446"/>
      <c r="AR647" s="431">
        <f t="shared" si="347"/>
        <v>0</v>
      </c>
      <c r="AT647" s="128"/>
      <c r="AU647" s="100" t="s">
        <v>4029</v>
      </c>
      <c r="AV647" s="128" t="s">
        <v>4054</v>
      </c>
      <c r="AW647" s="100" t="s">
        <v>4057</v>
      </c>
      <c r="AX647" s="433">
        <f t="shared" si="348"/>
        <v>0</v>
      </c>
      <c r="AY647" s="433">
        <f t="shared" si="349"/>
        <v>0</v>
      </c>
      <c r="AZ647" s="433">
        <f t="shared" si="350"/>
        <v>0</v>
      </c>
      <c r="BA647" s="433">
        <f t="shared" si="340"/>
        <v>0</v>
      </c>
      <c r="BB647" s="433">
        <f t="shared" si="341"/>
        <v>0</v>
      </c>
      <c r="BC647" s="433">
        <f t="shared" si="342"/>
        <v>0</v>
      </c>
      <c r="BD647" s="433">
        <f t="shared" si="351"/>
        <v>1</v>
      </c>
      <c r="BE647" s="433">
        <f t="shared" si="352"/>
        <v>0</v>
      </c>
      <c r="BF647" s="433">
        <f t="shared" si="353"/>
        <v>0</v>
      </c>
      <c r="BG647" s="433">
        <f t="shared" si="354"/>
        <v>0</v>
      </c>
      <c r="BH647" s="433">
        <f t="shared" si="355"/>
        <v>2</v>
      </c>
      <c r="BI647" s="433">
        <f t="shared" si="356"/>
        <v>4</v>
      </c>
      <c r="BJ647" s="433">
        <f t="shared" si="357"/>
        <v>0</v>
      </c>
      <c r="BK647" s="433">
        <f t="shared" si="358"/>
        <v>0</v>
      </c>
      <c r="BL647" s="433">
        <f t="shared" si="359"/>
        <v>0</v>
      </c>
      <c r="BM647" s="433">
        <f t="shared" si="360"/>
        <v>0</v>
      </c>
      <c r="BN647" s="433">
        <f t="shared" si="361"/>
        <v>0</v>
      </c>
      <c r="BO647" s="433">
        <f t="shared" si="362"/>
        <v>0</v>
      </c>
      <c r="BP647" s="433">
        <f t="shared" si="363"/>
        <v>0</v>
      </c>
      <c r="BQ647" s="433">
        <f t="shared" si="364"/>
        <v>0</v>
      </c>
    </row>
    <row r="648" spans="1:69" x14ac:dyDescent="0.2">
      <c r="A648" s="102">
        <v>41857</v>
      </c>
      <c r="B648" s="319">
        <v>1</v>
      </c>
      <c r="C648" s="118" t="s">
        <v>4030</v>
      </c>
      <c r="D648" s="111">
        <v>0.45833333333333331</v>
      </c>
      <c r="E648" s="111">
        <v>0.69791666666666663</v>
      </c>
      <c r="F648" s="319">
        <v>44</v>
      </c>
      <c r="G648" s="445">
        <v>9</v>
      </c>
      <c r="H648" s="319"/>
      <c r="I648" s="390">
        <v>81.7</v>
      </c>
      <c r="J648" s="426">
        <f t="shared" si="337"/>
        <v>345</v>
      </c>
      <c r="K648" s="103"/>
      <c r="L648" s="103"/>
      <c r="M648" s="103"/>
      <c r="N648" s="427">
        <f t="shared" si="338"/>
        <v>0</v>
      </c>
      <c r="O648" s="103"/>
      <c r="P648" s="103"/>
      <c r="Q648" s="103"/>
      <c r="R648" s="428">
        <f t="shared" si="339"/>
        <v>0</v>
      </c>
      <c r="S648" s="103"/>
      <c r="T648" s="103"/>
      <c r="U648" s="103"/>
      <c r="V648" s="125"/>
      <c r="W648" s="428">
        <f t="shared" si="343"/>
        <v>0</v>
      </c>
      <c r="X648" s="103"/>
      <c r="Y648" s="103">
        <v>43</v>
      </c>
      <c r="Z648" s="125"/>
      <c r="AA648" s="428">
        <f t="shared" si="344"/>
        <v>43</v>
      </c>
      <c r="AB648" s="103">
        <v>3</v>
      </c>
      <c r="AC648" s="103">
        <v>1</v>
      </c>
      <c r="AD648" s="103"/>
      <c r="AE648" s="428">
        <f t="shared" si="345"/>
        <v>4</v>
      </c>
      <c r="AF648" s="103"/>
      <c r="AG648" s="103"/>
      <c r="AH648" s="103"/>
      <c r="AI648" s="103"/>
      <c r="AJ648" s="428">
        <f t="shared" si="346"/>
        <v>0</v>
      </c>
      <c r="AK648" s="446"/>
      <c r="AL648" s="446">
        <v>1</v>
      </c>
      <c r="AM648" s="446"/>
      <c r="AN648" s="446"/>
      <c r="AO648" s="446"/>
      <c r="AP648" s="446"/>
      <c r="AQ648" s="446"/>
      <c r="AR648" s="431">
        <f t="shared" si="347"/>
        <v>1</v>
      </c>
      <c r="AT648" s="128"/>
      <c r="AU648" s="100" t="s">
        <v>4031</v>
      </c>
      <c r="AV648" s="128" t="s">
        <v>4054</v>
      </c>
      <c r="AW648" s="100" t="s">
        <v>4057</v>
      </c>
      <c r="AX648" s="433">
        <f t="shared" si="348"/>
        <v>0</v>
      </c>
      <c r="AY648" s="433">
        <f t="shared" si="349"/>
        <v>0</v>
      </c>
      <c r="AZ648" s="433">
        <f t="shared" si="350"/>
        <v>0</v>
      </c>
      <c r="BA648" s="433">
        <f t="shared" si="340"/>
        <v>0</v>
      </c>
      <c r="BB648" s="433">
        <f t="shared" si="341"/>
        <v>0</v>
      </c>
      <c r="BC648" s="433">
        <f t="shared" si="342"/>
        <v>0</v>
      </c>
      <c r="BD648" s="433">
        <f t="shared" si="351"/>
        <v>0</v>
      </c>
      <c r="BE648" s="433">
        <f t="shared" si="352"/>
        <v>0</v>
      </c>
      <c r="BF648" s="433">
        <f t="shared" si="353"/>
        <v>0</v>
      </c>
      <c r="BG648" s="433">
        <f t="shared" si="354"/>
        <v>0</v>
      </c>
      <c r="BH648" s="433">
        <f t="shared" si="355"/>
        <v>0</v>
      </c>
      <c r="BI648" s="433">
        <f t="shared" si="356"/>
        <v>43</v>
      </c>
      <c r="BJ648" s="433">
        <f t="shared" si="357"/>
        <v>0</v>
      </c>
      <c r="BK648" s="433">
        <f t="shared" si="358"/>
        <v>3</v>
      </c>
      <c r="BL648" s="433">
        <f t="shared" si="359"/>
        <v>1</v>
      </c>
      <c r="BM648" s="433">
        <f t="shared" si="360"/>
        <v>0</v>
      </c>
      <c r="BN648" s="433">
        <f t="shared" si="361"/>
        <v>0</v>
      </c>
      <c r="BO648" s="433">
        <f t="shared" si="362"/>
        <v>0</v>
      </c>
      <c r="BP648" s="433">
        <f t="shared" si="363"/>
        <v>0</v>
      </c>
      <c r="BQ648" s="433">
        <f t="shared" si="364"/>
        <v>0</v>
      </c>
    </row>
    <row r="649" spans="1:69" x14ac:dyDescent="0.2">
      <c r="A649" s="102">
        <v>41857</v>
      </c>
      <c r="B649" s="319">
        <v>1</v>
      </c>
      <c r="C649" s="118" t="s">
        <v>1614</v>
      </c>
      <c r="D649" s="111">
        <v>0.69791666666666663</v>
      </c>
      <c r="E649" s="111">
        <v>0.84305555555555556</v>
      </c>
      <c r="F649" s="319">
        <v>46</v>
      </c>
      <c r="G649" s="445">
        <v>9</v>
      </c>
      <c r="H649" s="319"/>
      <c r="I649" s="390"/>
      <c r="J649" s="426">
        <f t="shared" si="337"/>
        <v>209.00000000000006</v>
      </c>
      <c r="K649" s="103"/>
      <c r="L649" s="103"/>
      <c r="M649" s="103"/>
      <c r="N649" s="427">
        <f t="shared" si="338"/>
        <v>0</v>
      </c>
      <c r="O649" s="103"/>
      <c r="P649" s="103"/>
      <c r="Q649" s="103"/>
      <c r="R649" s="428">
        <f t="shared" si="339"/>
        <v>0</v>
      </c>
      <c r="S649" s="103"/>
      <c r="T649" s="103"/>
      <c r="U649" s="103"/>
      <c r="V649" s="125"/>
      <c r="W649" s="428">
        <f t="shared" si="343"/>
        <v>0</v>
      </c>
      <c r="X649" s="103">
        <v>1</v>
      </c>
      <c r="Y649" s="103">
        <v>36</v>
      </c>
      <c r="Z649" s="125"/>
      <c r="AA649" s="428">
        <f t="shared" si="344"/>
        <v>37</v>
      </c>
      <c r="AB649" s="103">
        <v>1</v>
      </c>
      <c r="AC649" s="103">
        <v>1</v>
      </c>
      <c r="AD649" s="103"/>
      <c r="AE649" s="428">
        <f t="shared" si="345"/>
        <v>2</v>
      </c>
      <c r="AF649" s="103"/>
      <c r="AG649" s="103"/>
      <c r="AH649" s="103">
        <v>1</v>
      </c>
      <c r="AI649" s="103"/>
      <c r="AJ649" s="428">
        <f t="shared" si="346"/>
        <v>1</v>
      </c>
      <c r="AK649" s="446"/>
      <c r="AL649" s="446"/>
      <c r="AM649" s="446"/>
      <c r="AN649" s="446"/>
      <c r="AO649" s="446"/>
      <c r="AP649" s="446"/>
      <c r="AQ649" s="446"/>
      <c r="AR649" s="431">
        <f t="shared" si="347"/>
        <v>0</v>
      </c>
      <c r="AT649" s="128"/>
      <c r="AU649" s="100" t="s">
        <v>4033</v>
      </c>
      <c r="AV649" s="128" t="s">
        <v>4054</v>
      </c>
      <c r="AW649" s="100" t="s">
        <v>4057</v>
      </c>
      <c r="AX649" s="433">
        <f t="shared" si="348"/>
        <v>0</v>
      </c>
      <c r="AY649" s="433">
        <f t="shared" si="349"/>
        <v>0</v>
      </c>
      <c r="AZ649" s="433">
        <f t="shared" si="350"/>
        <v>0</v>
      </c>
      <c r="BA649" s="433">
        <f t="shared" si="340"/>
        <v>0</v>
      </c>
      <c r="BB649" s="433">
        <f t="shared" si="341"/>
        <v>0</v>
      </c>
      <c r="BC649" s="433">
        <f t="shared" si="342"/>
        <v>0</v>
      </c>
      <c r="BD649" s="433">
        <f t="shared" si="351"/>
        <v>0</v>
      </c>
      <c r="BE649" s="433">
        <f t="shared" si="352"/>
        <v>0</v>
      </c>
      <c r="BF649" s="433">
        <f t="shared" si="353"/>
        <v>0</v>
      </c>
      <c r="BG649" s="433">
        <f t="shared" si="354"/>
        <v>0</v>
      </c>
      <c r="BH649" s="433">
        <f t="shared" si="355"/>
        <v>1</v>
      </c>
      <c r="BI649" s="433">
        <f t="shared" si="356"/>
        <v>36</v>
      </c>
      <c r="BJ649" s="433">
        <f t="shared" si="357"/>
        <v>0</v>
      </c>
      <c r="BK649" s="433">
        <f t="shared" si="358"/>
        <v>1</v>
      </c>
      <c r="BL649" s="433">
        <f t="shared" si="359"/>
        <v>1</v>
      </c>
      <c r="BM649" s="433">
        <f t="shared" si="360"/>
        <v>0</v>
      </c>
      <c r="BN649" s="433">
        <f t="shared" si="361"/>
        <v>0</v>
      </c>
      <c r="BO649" s="433">
        <f t="shared" si="362"/>
        <v>0</v>
      </c>
      <c r="BP649" s="433">
        <f t="shared" si="363"/>
        <v>1</v>
      </c>
      <c r="BQ649" s="433">
        <f t="shared" si="364"/>
        <v>0</v>
      </c>
    </row>
    <row r="650" spans="1:69" x14ac:dyDescent="0.2">
      <c r="A650" s="102">
        <v>41857</v>
      </c>
      <c r="B650" s="319">
        <v>2</v>
      </c>
      <c r="C650" s="118" t="s">
        <v>4032</v>
      </c>
      <c r="D650" s="111">
        <v>0.33888888888888885</v>
      </c>
      <c r="E650" s="111">
        <v>0.45833333333333331</v>
      </c>
      <c r="F650" s="319">
        <v>33</v>
      </c>
      <c r="G650" s="445">
        <v>10.5</v>
      </c>
      <c r="H650" s="319"/>
      <c r="I650" s="390"/>
      <c r="J650" s="426">
        <f t="shared" si="337"/>
        <v>172.00000000000003</v>
      </c>
      <c r="K650" s="103"/>
      <c r="L650" s="103"/>
      <c r="M650" s="103"/>
      <c r="N650" s="427">
        <f t="shared" si="338"/>
        <v>0</v>
      </c>
      <c r="O650" s="103"/>
      <c r="P650" s="103"/>
      <c r="Q650" s="103"/>
      <c r="R650" s="428">
        <f t="shared" si="339"/>
        <v>0</v>
      </c>
      <c r="S650" s="103"/>
      <c r="T650" s="103"/>
      <c r="U650" s="103"/>
      <c r="V650" s="125"/>
      <c r="W650" s="428">
        <f t="shared" si="343"/>
        <v>0</v>
      </c>
      <c r="X650" s="103"/>
      <c r="Y650" s="103"/>
      <c r="Z650" s="125"/>
      <c r="AA650" s="428">
        <f t="shared" si="344"/>
        <v>0</v>
      </c>
      <c r="AB650" s="103"/>
      <c r="AC650" s="103"/>
      <c r="AD650" s="103"/>
      <c r="AE650" s="428">
        <f t="shared" si="345"/>
        <v>0</v>
      </c>
      <c r="AF650" s="103"/>
      <c r="AG650" s="103"/>
      <c r="AH650" s="103"/>
      <c r="AI650" s="103"/>
      <c r="AJ650" s="428">
        <f t="shared" si="346"/>
        <v>0</v>
      </c>
      <c r="AK650" s="446"/>
      <c r="AL650" s="446"/>
      <c r="AM650" s="446"/>
      <c r="AN650" s="446"/>
      <c r="AO650" s="446"/>
      <c r="AP650" s="446"/>
      <c r="AQ650" s="446"/>
      <c r="AR650" s="431">
        <f t="shared" si="347"/>
        <v>0</v>
      </c>
      <c r="AT650" s="128" t="s">
        <v>4055</v>
      </c>
      <c r="AU650" s="100" t="s">
        <v>4029</v>
      </c>
      <c r="AV650" s="128" t="s">
        <v>4054</v>
      </c>
      <c r="AW650" s="100" t="s">
        <v>4057</v>
      </c>
      <c r="AX650" s="433">
        <f t="shared" si="348"/>
        <v>0</v>
      </c>
      <c r="AY650" s="433">
        <f t="shared" si="349"/>
        <v>0</v>
      </c>
      <c r="AZ650" s="433">
        <f t="shared" si="350"/>
        <v>0</v>
      </c>
      <c r="BA650" s="433">
        <f t="shared" si="340"/>
        <v>0</v>
      </c>
      <c r="BB650" s="433">
        <f t="shared" si="341"/>
        <v>0</v>
      </c>
      <c r="BC650" s="433">
        <f t="shared" si="342"/>
        <v>0</v>
      </c>
      <c r="BD650" s="433">
        <f t="shared" si="351"/>
        <v>0</v>
      </c>
      <c r="BE650" s="433">
        <f t="shared" si="352"/>
        <v>0</v>
      </c>
      <c r="BF650" s="433">
        <f t="shared" si="353"/>
        <v>0</v>
      </c>
      <c r="BG650" s="433">
        <f t="shared" si="354"/>
        <v>0</v>
      </c>
      <c r="BH650" s="433">
        <f t="shared" si="355"/>
        <v>0</v>
      </c>
      <c r="BI650" s="433">
        <f t="shared" si="356"/>
        <v>0</v>
      </c>
      <c r="BJ650" s="433">
        <f t="shared" si="357"/>
        <v>0</v>
      </c>
      <c r="BK650" s="433">
        <f t="shared" si="358"/>
        <v>0</v>
      </c>
      <c r="BL650" s="433">
        <f t="shared" si="359"/>
        <v>0</v>
      </c>
      <c r="BM650" s="433">
        <f t="shared" si="360"/>
        <v>0</v>
      </c>
      <c r="BN650" s="433">
        <f t="shared" si="361"/>
        <v>0</v>
      </c>
      <c r="BO650" s="433">
        <f t="shared" si="362"/>
        <v>0</v>
      </c>
      <c r="BP650" s="433">
        <f t="shared" si="363"/>
        <v>0</v>
      </c>
      <c r="BQ650" s="433">
        <f t="shared" si="364"/>
        <v>0</v>
      </c>
    </row>
    <row r="651" spans="1:69" x14ac:dyDescent="0.2">
      <c r="A651" s="102">
        <v>41857</v>
      </c>
      <c r="B651" s="319">
        <v>2</v>
      </c>
      <c r="C651" s="118" t="s">
        <v>4034</v>
      </c>
      <c r="D651" s="111">
        <v>0.45833333333333331</v>
      </c>
      <c r="E651" s="111">
        <v>0.68958333333333333</v>
      </c>
      <c r="F651" s="319">
        <v>35</v>
      </c>
      <c r="G651" s="445">
        <v>10</v>
      </c>
      <c r="H651" s="319"/>
      <c r="I651" s="390"/>
      <c r="J651" s="426">
        <f t="shared" si="337"/>
        <v>333.00000000000006</v>
      </c>
      <c r="K651" s="103"/>
      <c r="L651" s="103"/>
      <c r="M651" s="103"/>
      <c r="N651" s="427">
        <f t="shared" si="338"/>
        <v>0</v>
      </c>
      <c r="O651" s="103"/>
      <c r="P651" s="103"/>
      <c r="Q651" s="103"/>
      <c r="R651" s="428">
        <f t="shared" si="339"/>
        <v>0</v>
      </c>
      <c r="S651" s="103">
        <v>2</v>
      </c>
      <c r="T651" s="103"/>
      <c r="U651" s="103"/>
      <c r="V651" s="125"/>
      <c r="W651" s="428">
        <f t="shared" si="343"/>
        <v>2</v>
      </c>
      <c r="X651" s="103">
        <v>1</v>
      </c>
      <c r="Y651" s="103"/>
      <c r="Z651" s="125"/>
      <c r="AA651" s="428">
        <f t="shared" si="344"/>
        <v>1</v>
      </c>
      <c r="AB651" s="103">
        <v>1</v>
      </c>
      <c r="AC651" s="103"/>
      <c r="AD651" s="103"/>
      <c r="AE651" s="428">
        <f t="shared" si="345"/>
        <v>1</v>
      </c>
      <c r="AF651" s="103">
        <v>1</v>
      </c>
      <c r="AG651" s="103"/>
      <c r="AH651" s="103"/>
      <c r="AI651" s="103"/>
      <c r="AJ651" s="428">
        <f t="shared" si="346"/>
        <v>1</v>
      </c>
      <c r="AK651" s="446"/>
      <c r="AL651" s="446"/>
      <c r="AM651" s="446"/>
      <c r="AN651" s="446"/>
      <c r="AO651" s="446"/>
      <c r="AP651" s="446"/>
      <c r="AQ651" s="446"/>
      <c r="AR651" s="431">
        <f t="shared" si="347"/>
        <v>0</v>
      </c>
      <c r="AS651" s="10" t="s">
        <v>4035</v>
      </c>
      <c r="AT651" s="128"/>
      <c r="AU651" s="100" t="s">
        <v>4031</v>
      </c>
      <c r="AV651" s="128" t="s">
        <v>4054</v>
      </c>
      <c r="AW651" s="100" t="s">
        <v>4057</v>
      </c>
      <c r="AX651" s="433">
        <f t="shared" si="348"/>
        <v>0</v>
      </c>
      <c r="AY651" s="433">
        <f t="shared" si="349"/>
        <v>0</v>
      </c>
      <c r="AZ651" s="433">
        <f t="shared" si="350"/>
        <v>0</v>
      </c>
      <c r="BA651" s="433">
        <f t="shared" si="340"/>
        <v>0</v>
      </c>
      <c r="BB651" s="433">
        <f t="shared" si="341"/>
        <v>0</v>
      </c>
      <c r="BC651" s="433">
        <f t="shared" si="342"/>
        <v>0</v>
      </c>
      <c r="BD651" s="433">
        <f t="shared" si="351"/>
        <v>2</v>
      </c>
      <c r="BE651" s="433">
        <f t="shared" si="352"/>
        <v>0</v>
      </c>
      <c r="BF651" s="433">
        <f t="shared" si="353"/>
        <v>0</v>
      </c>
      <c r="BG651" s="433">
        <f t="shared" si="354"/>
        <v>0</v>
      </c>
      <c r="BH651" s="433">
        <f t="shared" si="355"/>
        <v>1</v>
      </c>
      <c r="BI651" s="433">
        <f t="shared" si="356"/>
        <v>0</v>
      </c>
      <c r="BJ651" s="433">
        <f t="shared" si="357"/>
        <v>0</v>
      </c>
      <c r="BK651" s="433">
        <f t="shared" si="358"/>
        <v>1</v>
      </c>
      <c r="BL651" s="433">
        <f t="shared" si="359"/>
        <v>0</v>
      </c>
      <c r="BM651" s="433">
        <f t="shared" si="360"/>
        <v>0</v>
      </c>
      <c r="BN651" s="433">
        <f t="shared" si="361"/>
        <v>1</v>
      </c>
      <c r="BO651" s="433">
        <f t="shared" si="362"/>
        <v>0</v>
      </c>
      <c r="BP651" s="433">
        <f t="shared" si="363"/>
        <v>0</v>
      </c>
      <c r="BQ651" s="433">
        <f t="shared" si="364"/>
        <v>0</v>
      </c>
    </row>
    <row r="652" spans="1:69" x14ac:dyDescent="0.2">
      <c r="A652" s="102">
        <v>41857</v>
      </c>
      <c r="B652" s="319">
        <v>2</v>
      </c>
      <c r="C652" s="118" t="s">
        <v>1614</v>
      </c>
      <c r="D652" s="111">
        <v>0.68958333333333333</v>
      </c>
      <c r="E652" s="111">
        <v>0.83888888888888891</v>
      </c>
      <c r="F652" s="319">
        <v>34</v>
      </c>
      <c r="G652" s="445">
        <v>10</v>
      </c>
      <c r="H652" s="319"/>
      <c r="I652" s="390"/>
      <c r="J652" s="426">
        <f t="shared" si="337"/>
        <v>215.00000000000003</v>
      </c>
      <c r="K652" s="103"/>
      <c r="L652" s="103"/>
      <c r="M652" s="103"/>
      <c r="N652" s="427">
        <f t="shared" si="338"/>
        <v>0</v>
      </c>
      <c r="O652" s="103"/>
      <c r="P652" s="103"/>
      <c r="Q652" s="103"/>
      <c r="R652" s="428">
        <f t="shared" si="339"/>
        <v>0</v>
      </c>
      <c r="S652" s="103">
        <v>2</v>
      </c>
      <c r="T652" s="103"/>
      <c r="U652" s="103"/>
      <c r="V652" s="125">
        <v>1</v>
      </c>
      <c r="W652" s="428">
        <f t="shared" si="343"/>
        <v>3</v>
      </c>
      <c r="X652" s="103"/>
      <c r="Y652" s="103">
        <v>1</v>
      </c>
      <c r="Z652" s="125"/>
      <c r="AA652" s="428">
        <f t="shared" si="344"/>
        <v>1</v>
      </c>
      <c r="AB652" s="103">
        <v>1</v>
      </c>
      <c r="AC652" s="103">
        <v>1</v>
      </c>
      <c r="AD652" s="103"/>
      <c r="AE652" s="428">
        <f t="shared" si="345"/>
        <v>2</v>
      </c>
      <c r="AF652" s="103"/>
      <c r="AG652" s="103"/>
      <c r="AH652" s="103"/>
      <c r="AI652" s="103"/>
      <c r="AJ652" s="428">
        <f t="shared" si="346"/>
        <v>0</v>
      </c>
      <c r="AK652" s="446"/>
      <c r="AL652" s="446"/>
      <c r="AM652" s="446"/>
      <c r="AN652" s="446"/>
      <c r="AO652" s="446"/>
      <c r="AP652" s="446"/>
      <c r="AQ652" s="446"/>
      <c r="AR652" s="431">
        <f t="shared" si="347"/>
        <v>0</v>
      </c>
      <c r="AT652" s="128"/>
      <c r="AU652" s="100" t="s">
        <v>4036</v>
      </c>
      <c r="AV652" s="128" t="s">
        <v>4054</v>
      </c>
      <c r="AW652" s="100" t="s">
        <v>4057</v>
      </c>
      <c r="AX652" s="433">
        <f t="shared" si="348"/>
        <v>0</v>
      </c>
      <c r="AY652" s="433">
        <f t="shared" si="349"/>
        <v>0</v>
      </c>
      <c r="AZ652" s="433">
        <f t="shared" si="350"/>
        <v>0</v>
      </c>
      <c r="BA652" s="433">
        <f t="shared" si="340"/>
        <v>0</v>
      </c>
      <c r="BB652" s="433">
        <f t="shared" si="341"/>
        <v>0</v>
      </c>
      <c r="BC652" s="433">
        <f t="shared" si="342"/>
        <v>0</v>
      </c>
      <c r="BD652" s="433">
        <f t="shared" si="351"/>
        <v>2</v>
      </c>
      <c r="BE652" s="433">
        <f t="shared" si="352"/>
        <v>0</v>
      </c>
      <c r="BF652" s="433">
        <f t="shared" si="353"/>
        <v>0</v>
      </c>
      <c r="BG652" s="433">
        <f t="shared" si="354"/>
        <v>1</v>
      </c>
      <c r="BH652" s="433">
        <f t="shared" si="355"/>
        <v>0</v>
      </c>
      <c r="BI652" s="433">
        <f t="shared" si="356"/>
        <v>1</v>
      </c>
      <c r="BJ652" s="433">
        <f t="shared" si="357"/>
        <v>0</v>
      </c>
      <c r="BK652" s="433">
        <f t="shared" si="358"/>
        <v>1</v>
      </c>
      <c r="BL652" s="433">
        <f t="shared" si="359"/>
        <v>1</v>
      </c>
      <c r="BM652" s="433">
        <f t="shared" si="360"/>
        <v>0</v>
      </c>
      <c r="BN652" s="433">
        <f t="shared" si="361"/>
        <v>0</v>
      </c>
      <c r="BO652" s="433">
        <f t="shared" si="362"/>
        <v>0</v>
      </c>
      <c r="BP652" s="433">
        <f t="shared" si="363"/>
        <v>0</v>
      </c>
      <c r="BQ652" s="433">
        <f t="shared" si="364"/>
        <v>0</v>
      </c>
    </row>
    <row r="653" spans="1:69" x14ac:dyDescent="0.2">
      <c r="A653" s="102">
        <v>41857</v>
      </c>
      <c r="B653" s="319">
        <v>3</v>
      </c>
      <c r="C653" s="118" t="s">
        <v>4037</v>
      </c>
      <c r="D653" s="111">
        <v>0.33749999999999997</v>
      </c>
      <c r="E653" s="111">
        <v>0.5805555555555556</v>
      </c>
      <c r="F653" s="319">
        <v>47</v>
      </c>
      <c r="G653" s="445">
        <v>10</v>
      </c>
      <c r="H653" s="319"/>
      <c r="I653" s="390"/>
      <c r="J653" s="426">
        <f t="shared" si="337"/>
        <v>350.00000000000011</v>
      </c>
      <c r="K653" s="103"/>
      <c r="L653" s="103"/>
      <c r="M653" s="103"/>
      <c r="N653" s="427">
        <f t="shared" si="338"/>
        <v>0</v>
      </c>
      <c r="O653" s="103"/>
      <c r="P653" s="103">
        <v>1</v>
      </c>
      <c r="Q653" s="103"/>
      <c r="R653" s="428">
        <f t="shared" si="339"/>
        <v>1</v>
      </c>
      <c r="S653" s="103"/>
      <c r="T653" s="103"/>
      <c r="U653" s="103"/>
      <c r="V653" s="125"/>
      <c r="W653" s="428">
        <f t="shared" si="343"/>
        <v>0</v>
      </c>
      <c r="X653" s="103">
        <v>2</v>
      </c>
      <c r="Y653" s="103">
        <v>64</v>
      </c>
      <c r="Z653" s="125"/>
      <c r="AA653" s="428">
        <f t="shared" si="344"/>
        <v>66</v>
      </c>
      <c r="AB653" s="103">
        <v>4</v>
      </c>
      <c r="AC653" s="103">
        <v>1</v>
      </c>
      <c r="AD653" s="103"/>
      <c r="AE653" s="428">
        <f t="shared" si="345"/>
        <v>5</v>
      </c>
      <c r="AF653" s="103"/>
      <c r="AG653" s="103"/>
      <c r="AH653" s="103"/>
      <c r="AI653" s="103"/>
      <c r="AJ653" s="428">
        <f t="shared" si="346"/>
        <v>0</v>
      </c>
      <c r="AK653" s="446"/>
      <c r="AL653" s="446"/>
      <c r="AM653" s="446"/>
      <c r="AN653" s="446"/>
      <c r="AO653" s="446"/>
      <c r="AP653" s="446"/>
      <c r="AQ653" s="446"/>
      <c r="AR653" s="431">
        <f t="shared" si="347"/>
        <v>0</v>
      </c>
      <c r="AT653" s="128"/>
      <c r="AU653" s="100" t="s">
        <v>4033</v>
      </c>
      <c r="AV653" s="128" t="s">
        <v>4054</v>
      </c>
      <c r="AW653" s="100" t="s">
        <v>4057</v>
      </c>
      <c r="AX653" s="433">
        <f t="shared" si="348"/>
        <v>0</v>
      </c>
      <c r="AY653" s="433">
        <f t="shared" si="349"/>
        <v>0</v>
      </c>
      <c r="AZ653" s="433">
        <f t="shared" si="350"/>
        <v>0</v>
      </c>
      <c r="BA653" s="433">
        <f t="shared" si="340"/>
        <v>0</v>
      </c>
      <c r="BB653" s="433">
        <f t="shared" si="341"/>
        <v>1</v>
      </c>
      <c r="BC653" s="433">
        <f t="shared" si="342"/>
        <v>0</v>
      </c>
      <c r="BD653" s="433">
        <f t="shared" si="351"/>
        <v>0</v>
      </c>
      <c r="BE653" s="433">
        <f t="shared" si="352"/>
        <v>0</v>
      </c>
      <c r="BF653" s="433">
        <f t="shared" si="353"/>
        <v>0</v>
      </c>
      <c r="BG653" s="433">
        <f t="shared" si="354"/>
        <v>0</v>
      </c>
      <c r="BH653" s="433">
        <f t="shared" si="355"/>
        <v>2</v>
      </c>
      <c r="BI653" s="433">
        <f t="shared" si="356"/>
        <v>64</v>
      </c>
      <c r="BJ653" s="433">
        <f t="shared" si="357"/>
        <v>0</v>
      </c>
      <c r="BK653" s="433">
        <f t="shared" si="358"/>
        <v>4</v>
      </c>
      <c r="BL653" s="433">
        <f t="shared" si="359"/>
        <v>1</v>
      </c>
      <c r="BM653" s="433">
        <f t="shared" si="360"/>
        <v>0</v>
      </c>
      <c r="BN653" s="433">
        <f t="shared" si="361"/>
        <v>0</v>
      </c>
      <c r="BO653" s="433">
        <f t="shared" si="362"/>
        <v>0</v>
      </c>
      <c r="BP653" s="433">
        <f t="shared" si="363"/>
        <v>0</v>
      </c>
      <c r="BQ653" s="433">
        <f t="shared" si="364"/>
        <v>0</v>
      </c>
    </row>
    <row r="654" spans="1:69" s="291" customFormat="1" x14ac:dyDescent="0.2">
      <c r="A654" s="317">
        <v>41857</v>
      </c>
      <c r="B654" s="318">
        <v>3</v>
      </c>
      <c r="C654" s="320" t="s">
        <v>4038</v>
      </c>
      <c r="D654" s="321">
        <v>0.5805555555555556</v>
      </c>
      <c r="E654" s="321">
        <v>0.83750000000000002</v>
      </c>
      <c r="F654" s="318">
        <v>46</v>
      </c>
      <c r="G654" s="435">
        <v>11</v>
      </c>
      <c r="H654" s="318"/>
      <c r="I654" s="436"/>
      <c r="J654" s="437">
        <f t="shared" si="337"/>
        <v>369.99999999999994</v>
      </c>
      <c r="K654" s="285"/>
      <c r="L654" s="285">
        <v>1</v>
      </c>
      <c r="M654" s="285"/>
      <c r="N654" s="438">
        <f t="shared" si="338"/>
        <v>1</v>
      </c>
      <c r="O654" s="285"/>
      <c r="P654" s="285"/>
      <c r="Q654" s="285"/>
      <c r="R654" s="439">
        <f t="shared" si="339"/>
        <v>0</v>
      </c>
      <c r="S654" s="285"/>
      <c r="T654" s="285"/>
      <c r="U654" s="285"/>
      <c r="V654" s="440"/>
      <c r="W654" s="439">
        <f t="shared" si="343"/>
        <v>0</v>
      </c>
      <c r="X654" s="285">
        <v>2</v>
      </c>
      <c r="Y654" s="285">
        <v>101</v>
      </c>
      <c r="Z654" s="440">
        <v>1</v>
      </c>
      <c r="AA654" s="439">
        <f t="shared" si="344"/>
        <v>104</v>
      </c>
      <c r="AB654" s="285">
        <v>2</v>
      </c>
      <c r="AC654" s="285">
        <v>2</v>
      </c>
      <c r="AD654" s="285"/>
      <c r="AE654" s="439">
        <f t="shared" si="345"/>
        <v>4</v>
      </c>
      <c r="AF654" s="285">
        <v>3</v>
      </c>
      <c r="AG654" s="285"/>
      <c r="AH654" s="285"/>
      <c r="AI654" s="285"/>
      <c r="AJ654" s="439">
        <f t="shared" si="346"/>
        <v>3</v>
      </c>
      <c r="AK654" s="340"/>
      <c r="AL654" s="340"/>
      <c r="AM654" s="340">
        <v>1</v>
      </c>
      <c r="AN654" s="340"/>
      <c r="AO654" s="340"/>
      <c r="AP654" s="340"/>
      <c r="AQ654" s="340"/>
      <c r="AR654" s="441">
        <f t="shared" si="347"/>
        <v>1</v>
      </c>
      <c r="AT654" s="313" t="s">
        <v>4039</v>
      </c>
      <c r="AU654" s="289" t="s">
        <v>4040</v>
      </c>
      <c r="AV654" s="313" t="s">
        <v>4054</v>
      </c>
      <c r="AW654" s="382" t="s">
        <v>4057</v>
      </c>
      <c r="AX654" s="443">
        <f t="shared" si="348"/>
        <v>0</v>
      </c>
      <c r="AY654" s="443">
        <f t="shared" si="349"/>
        <v>1</v>
      </c>
      <c r="AZ654" s="443">
        <f t="shared" si="350"/>
        <v>0</v>
      </c>
      <c r="BA654" s="443">
        <f t="shared" si="340"/>
        <v>0</v>
      </c>
      <c r="BB654" s="443">
        <f t="shared" si="341"/>
        <v>0</v>
      </c>
      <c r="BC654" s="443">
        <f t="shared" si="342"/>
        <v>0</v>
      </c>
      <c r="BD654" s="443">
        <f t="shared" si="351"/>
        <v>0</v>
      </c>
      <c r="BE654" s="443">
        <f t="shared" si="352"/>
        <v>0</v>
      </c>
      <c r="BF654" s="443">
        <f t="shared" si="353"/>
        <v>0</v>
      </c>
      <c r="BG654" s="443">
        <f t="shared" si="354"/>
        <v>0</v>
      </c>
      <c r="BH654" s="443">
        <f t="shared" si="355"/>
        <v>2</v>
      </c>
      <c r="BI654" s="443">
        <f t="shared" si="356"/>
        <v>101</v>
      </c>
      <c r="BJ654" s="443">
        <f t="shared" si="357"/>
        <v>1</v>
      </c>
      <c r="BK654" s="443">
        <f t="shared" si="358"/>
        <v>2</v>
      </c>
      <c r="BL654" s="443">
        <f t="shared" si="359"/>
        <v>2</v>
      </c>
      <c r="BM654" s="443">
        <f t="shared" si="360"/>
        <v>0</v>
      </c>
      <c r="BN654" s="443">
        <f t="shared" si="361"/>
        <v>3</v>
      </c>
      <c r="BO654" s="443">
        <f t="shared" si="362"/>
        <v>0</v>
      </c>
      <c r="BP654" s="443">
        <f t="shared" si="363"/>
        <v>0</v>
      </c>
      <c r="BQ654" s="443">
        <f t="shared" si="364"/>
        <v>0</v>
      </c>
    </row>
    <row r="655" spans="1:69" x14ac:dyDescent="0.2">
      <c r="A655" s="102">
        <v>41858</v>
      </c>
      <c r="B655" s="319">
        <v>1</v>
      </c>
      <c r="C655" s="118" t="s">
        <v>3854</v>
      </c>
      <c r="D655" s="111">
        <v>0.34027777777777773</v>
      </c>
      <c r="E655" s="111">
        <v>0.57013888888888886</v>
      </c>
      <c r="F655" s="319">
        <v>49</v>
      </c>
      <c r="G655" s="445">
        <v>7</v>
      </c>
      <c r="H655" s="319"/>
      <c r="I655" s="390"/>
      <c r="J655" s="426">
        <f t="shared" si="337"/>
        <v>331.00000000000006</v>
      </c>
      <c r="K655" s="103"/>
      <c r="L655" s="103">
        <v>1</v>
      </c>
      <c r="M655" s="103"/>
      <c r="N655" s="427">
        <f t="shared" si="338"/>
        <v>1</v>
      </c>
      <c r="O655" s="103"/>
      <c r="P655" s="103"/>
      <c r="Q655" s="103"/>
      <c r="R655" s="428">
        <f t="shared" si="339"/>
        <v>0</v>
      </c>
      <c r="S655" s="103">
        <v>1</v>
      </c>
      <c r="T655" s="103"/>
      <c r="U655" s="103"/>
      <c r="V655" s="125"/>
      <c r="W655" s="428">
        <f t="shared" si="343"/>
        <v>1</v>
      </c>
      <c r="X655" s="103">
        <v>1</v>
      </c>
      <c r="Y655" s="103">
        <v>63</v>
      </c>
      <c r="Z655" s="125"/>
      <c r="AA655" s="428">
        <f t="shared" si="344"/>
        <v>64</v>
      </c>
      <c r="AB655" s="103">
        <v>2</v>
      </c>
      <c r="AC655" s="103">
        <v>6</v>
      </c>
      <c r="AD655" s="103"/>
      <c r="AE655" s="428">
        <f t="shared" si="345"/>
        <v>8</v>
      </c>
      <c r="AF655" s="103">
        <v>2</v>
      </c>
      <c r="AG655" s="103"/>
      <c r="AH655" s="103"/>
      <c r="AI655" s="103"/>
      <c r="AJ655" s="428">
        <f t="shared" si="346"/>
        <v>2</v>
      </c>
      <c r="AK655" s="446"/>
      <c r="AL655" s="446"/>
      <c r="AM655" s="446"/>
      <c r="AN655" s="446"/>
      <c r="AO655" s="446"/>
      <c r="AP655" s="446"/>
      <c r="AQ655" s="446"/>
      <c r="AR655" s="431">
        <f t="shared" si="347"/>
        <v>0</v>
      </c>
      <c r="AT655" s="128"/>
      <c r="AU655" s="100" t="s">
        <v>4058</v>
      </c>
      <c r="AV655" s="128" t="s">
        <v>4089</v>
      </c>
      <c r="AW655" s="100" t="s">
        <v>4091</v>
      </c>
      <c r="AX655" s="433">
        <f t="shared" si="348"/>
        <v>0</v>
      </c>
      <c r="AY655" s="433">
        <f t="shared" si="349"/>
        <v>1</v>
      </c>
      <c r="AZ655" s="433">
        <f t="shared" si="350"/>
        <v>0</v>
      </c>
      <c r="BA655" s="433">
        <f t="shared" si="340"/>
        <v>0</v>
      </c>
      <c r="BB655" s="433">
        <f t="shared" si="341"/>
        <v>0</v>
      </c>
      <c r="BC655" s="433">
        <f t="shared" si="342"/>
        <v>0</v>
      </c>
      <c r="BD655" s="433">
        <f t="shared" si="351"/>
        <v>1</v>
      </c>
      <c r="BE655" s="433">
        <f t="shared" si="352"/>
        <v>0</v>
      </c>
      <c r="BF655" s="433">
        <f t="shared" si="353"/>
        <v>0</v>
      </c>
      <c r="BG655" s="433">
        <f t="shared" si="354"/>
        <v>0</v>
      </c>
      <c r="BH655" s="433">
        <f t="shared" si="355"/>
        <v>1</v>
      </c>
      <c r="BI655" s="433">
        <f t="shared" si="356"/>
        <v>63</v>
      </c>
      <c r="BJ655" s="433">
        <f t="shared" si="357"/>
        <v>0</v>
      </c>
      <c r="BK655" s="433">
        <f t="shared" si="358"/>
        <v>2</v>
      </c>
      <c r="BL655" s="433">
        <f t="shared" si="359"/>
        <v>6</v>
      </c>
      <c r="BM655" s="433">
        <f t="shared" si="360"/>
        <v>0</v>
      </c>
      <c r="BN655" s="433">
        <f t="shared" si="361"/>
        <v>2</v>
      </c>
      <c r="BO655" s="433">
        <f t="shared" si="362"/>
        <v>0</v>
      </c>
      <c r="BP655" s="433">
        <f t="shared" si="363"/>
        <v>0</v>
      </c>
      <c r="BQ655" s="433">
        <f t="shared" si="364"/>
        <v>0</v>
      </c>
    </row>
    <row r="656" spans="1:69" x14ac:dyDescent="0.2">
      <c r="A656" s="102">
        <v>41858</v>
      </c>
      <c r="B656" s="319">
        <v>1</v>
      </c>
      <c r="C656" s="118" t="s">
        <v>4059</v>
      </c>
      <c r="D656" s="111">
        <v>0.57013888888888886</v>
      </c>
      <c r="E656" s="111">
        <v>0.84027777777777779</v>
      </c>
      <c r="F656" s="319">
        <v>52</v>
      </c>
      <c r="G656" s="445">
        <v>10</v>
      </c>
      <c r="H656" s="319"/>
      <c r="I656" s="390"/>
      <c r="J656" s="426">
        <f t="shared" si="337"/>
        <v>389.00000000000006</v>
      </c>
      <c r="K656" s="103"/>
      <c r="L656" s="103">
        <v>1</v>
      </c>
      <c r="M656" s="103"/>
      <c r="N656" s="427">
        <f t="shared" si="338"/>
        <v>1</v>
      </c>
      <c r="O656" s="103"/>
      <c r="P656" s="103"/>
      <c r="Q656" s="103"/>
      <c r="R656" s="428">
        <f t="shared" si="339"/>
        <v>0</v>
      </c>
      <c r="S656" s="103">
        <v>2</v>
      </c>
      <c r="T656" s="103"/>
      <c r="U656" s="103"/>
      <c r="V656" s="125"/>
      <c r="W656" s="428">
        <f t="shared" si="343"/>
        <v>2</v>
      </c>
      <c r="X656" s="103">
        <v>2</v>
      </c>
      <c r="Y656" s="103">
        <v>96</v>
      </c>
      <c r="Z656" s="125">
        <v>1</v>
      </c>
      <c r="AA656" s="428">
        <f t="shared" si="344"/>
        <v>99</v>
      </c>
      <c r="AB656" s="103"/>
      <c r="AC656" s="103">
        <v>10</v>
      </c>
      <c r="AD656" s="103"/>
      <c r="AE656" s="428">
        <f t="shared" si="345"/>
        <v>10</v>
      </c>
      <c r="AF656" s="103">
        <v>3</v>
      </c>
      <c r="AG656" s="103"/>
      <c r="AH656" s="103"/>
      <c r="AI656" s="103"/>
      <c r="AJ656" s="428">
        <f t="shared" si="346"/>
        <v>3</v>
      </c>
      <c r="AK656" s="446"/>
      <c r="AL656" s="446"/>
      <c r="AM656" s="446"/>
      <c r="AN656" s="446"/>
      <c r="AO656" s="446"/>
      <c r="AP656" s="446"/>
      <c r="AQ656" s="446"/>
      <c r="AR656" s="431">
        <f t="shared" si="347"/>
        <v>0</v>
      </c>
      <c r="AT656" s="128"/>
      <c r="AU656" s="100" t="s">
        <v>4060</v>
      </c>
      <c r="AV656" s="128" t="s">
        <v>4089</v>
      </c>
      <c r="AW656" s="100" t="s">
        <v>4091</v>
      </c>
      <c r="AX656" s="433">
        <f t="shared" si="348"/>
        <v>0</v>
      </c>
      <c r="AY656" s="433">
        <f t="shared" si="349"/>
        <v>1</v>
      </c>
      <c r="AZ656" s="433">
        <f t="shared" si="350"/>
        <v>0</v>
      </c>
      <c r="BA656" s="433">
        <f t="shared" si="340"/>
        <v>0</v>
      </c>
      <c r="BB656" s="433">
        <f t="shared" si="341"/>
        <v>0</v>
      </c>
      <c r="BC656" s="433">
        <f t="shared" si="342"/>
        <v>0</v>
      </c>
      <c r="BD656" s="433">
        <f t="shared" si="351"/>
        <v>2</v>
      </c>
      <c r="BE656" s="433">
        <f t="shared" si="352"/>
        <v>0</v>
      </c>
      <c r="BF656" s="433">
        <f t="shared" si="353"/>
        <v>0</v>
      </c>
      <c r="BG656" s="433">
        <f t="shared" si="354"/>
        <v>0</v>
      </c>
      <c r="BH656" s="433">
        <f t="shared" si="355"/>
        <v>2</v>
      </c>
      <c r="BI656" s="433">
        <f t="shared" si="356"/>
        <v>96</v>
      </c>
      <c r="BJ656" s="433">
        <f t="shared" si="357"/>
        <v>1</v>
      </c>
      <c r="BK656" s="433">
        <f t="shared" si="358"/>
        <v>0</v>
      </c>
      <c r="BL656" s="433">
        <f t="shared" si="359"/>
        <v>10</v>
      </c>
      <c r="BM656" s="433">
        <f t="shared" si="360"/>
        <v>0</v>
      </c>
      <c r="BN656" s="433">
        <f t="shared" si="361"/>
        <v>3</v>
      </c>
      <c r="BO656" s="433">
        <f t="shared" si="362"/>
        <v>0</v>
      </c>
      <c r="BP656" s="433">
        <f t="shared" si="363"/>
        <v>0</v>
      </c>
      <c r="BQ656" s="433">
        <f t="shared" si="364"/>
        <v>0</v>
      </c>
    </row>
    <row r="657" spans="1:69" x14ac:dyDescent="0.2">
      <c r="A657" s="102">
        <v>41858</v>
      </c>
      <c r="B657" s="319">
        <v>2</v>
      </c>
      <c r="C657" s="118" t="s">
        <v>2073</v>
      </c>
      <c r="D657" s="111">
        <v>0.3347222222222222</v>
      </c>
      <c r="E657" s="111">
        <v>0.58333333333333337</v>
      </c>
      <c r="F657" s="319">
        <v>35</v>
      </c>
      <c r="G657" s="445">
        <v>10</v>
      </c>
      <c r="H657" s="319"/>
      <c r="I657" s="390"/>
      <c r="J657" s="426">
        <f t="shared" si="337"/>
        <v>358.00000000000011</v>
      </c>
      <c r="K657" s="103"/>
      <c r="L657" s="103"/>
      <c r="M657" s="103"/>
      <c r="N657" s="427">
        <f t="shared" si="338"/>
        <v>0</v>
      </c>
      <c r="O657" s="103"/>
      <c r="P657" s="103"/>
      <c r="Q657" s="103"/>
      <c r="R657" s="428">
        <f t="shared" si="339"/>
        <v>0</v>
      </c>
      <c r="S657" s="103">
        <v>5</v>
      </c>
      <c r="T657" s="103"/>
      <c r="U657" s="103"/>
      <c r="V657" s="125"/>
      <c r="W657" s="428">
        <f t="shared" si="343"/>
        <v>5</v>
      </c>
      <c r="X657" s="103"/>
      <c r="Y657" s="103">
        <v>1</v>
      </c>
      <c r="Z657" s="125"/>
      <c r="AA657" s="428">
        <f t="shared" si="344"/>
        <v>1</v>
      </c>
      <c r="AB657" s="103">
        <v>4</v>
      </c>
      <c r="AC657" s="103">
        <v>9</v>
      </c>
      <c r="AD657" s="103"/>
      <c r="AE657" s="428">
        <f t="shared" si="345"/>
        <v>13</v>
      </c>
      <c r="AF657" s="103"/>
      <c r="AG657" s="103"/>
      <c r="AH657" s="103"/>
      <c r="AI657" s="103"/>
      <c r="AJ657" s="428">
        <f t="shared" si="346"/>
        <v>0</v>
      </c>
      <c r="AK657" s="446"/>
      <c r="AL657" s="446"/>
      <c r="AM657" s="446"/>
      <c r="AN657" s="446"/>
      <c r="AO657" s="446"/>
      <c r="AP657" s="446"/>
      <c r="AQ657" s="446"/>
      <c r="AR657" s="431">
        <f t="shared" si="347"/>
        <v>0</v>
      </c>
      <c r="AT657" s="128"/>
      <c r="AU657" s="100" t="s">
        <v>4061</v>
      </c>
      <c r="AV657" s="128" t="s">
        <v>4090</v>
      </c>
      <c r="AW657" s="100" t="s">
        <v>4091</v>
      </c>
      <c r="AX657" s="433">
        <f t="shared" si="348"/>
        <v>0</v>
      </c>
      <c r="AY657" s="433">
        <f t="shared" si="349"/>
        <v>0</v>
      </c>
      <c r="AZ657" s="433">
        <f t="shared" si="350"/>
        <v>0</v>
      </c>
      <c r="BA657" s="433">
        <f t="shared" si="340"/>
        <v>0</v>
      </c>
      <c r="BB657" s="433">
        <f t="shared" si="341"/>
        <v>0</v>
      </c>
      <c r="BC657" s="433">
        <f t="shared" si="342"/>
        <v>0</v>
      </c>
      <c r="BD657" s="433">
        <f t="shared" si="351"/>
        <v>5</v>
      </c>
      <c r="BE657" s="433">
        <f t="shared" si="352"/>
        <v>0</v>
      </c>
      <c r="BF657" s="433">
        <f t="shared" si="353"/>
        <v>0</v>
      </c>
      <c r="BG657" s="433">
        <f t="shared" si="354"/>
        <v>0</v>
      </c>
      <c r="BH657" s="433">
        <f t="shared" si="355"/>
        <v>0</v>
      </c>
      <c r="BI657" s="433">
        <f t="shared" si="356"/>
        <v>1</v>
      </c>
      <c r="BJ657" s="433">
        <f t="shared" si="357"/>
        <v>0</v>
      </c>
      <c r="BK657" s="433">
        <f t="shared" si="358"/>
        <v>4</v>
      </c>
      <c r="BL657" s="433">
        <f t="shared" si="359"/>
        <v>9</v>
      </c>
      <c r="BM657" s="433">
        <f t="shared" si="360"/>
        <v>0</v>
      </c>
      <c r="BN657" s="433">
        <f t="shared" si="361"/>
        <v>0</v>
      </c>
      <c r="BO657" s="433">
        <f t="shared" si="362"/>
        <v>0</v>
      </c>
      <c r="BP657" s="433">
        <f t="shared" si="363"/>
        <v>0</v>
      </c>
      <c r="BQ657" s="433">
        <f t="shared" si="364"/>
        <v>0</v>
      </c>
    </row>
    <row r="658" spans="1:69" x14ac:dyDescent="0.2">
      <c r="A658" s="102">
        <v>41858</v>
      </c>
      <c r="B658" s="319">
        <v>2</v>
      </c>
      <c r="C658" s="118" t="s">
        <v>4062</v>
      </c>
      <c r="D658" s="111">
        <v>0.58333333333333337</v>
      </c>
      <c r="E658" s="111">
        <v>0.83472222222222225</v>
      </c>
      <c r="F658" s="319">
        <v>35</v>
      </c>
      <c r="G658" s="445">
        <v>11</v>
      </c>
      <c r="H658" s="319"/>
      <c r="I658" s="390"/>
      <c r="J658" s="426">
        <f t="shared" si="337"/>
        <v>362</v>
      </c>
      <c r="K658" s="103"/>
      <c r="L658" s="103"/>
      <c r="M658" s="103"/>
      <c r="N658" s="427">
        <f t="shared" si="338"/>
        <v>0</v>
      </c>
      <c r="O658" s="103"/>
      <c r="P658" s="103"/>
      <c r="Q658" s="103"/>
      <c r="R658" s="428">
        <f t="shared" si="339"/>
        <v>0</v>
      </c>
      <c r="S658" s="103">
        <v>3</v>
      </c>
      <c r="T658" s="103"/>
      <c r="U658" s="103"/>
      <c r="V658" s="125"/>
      <c r="W658" s="428">
        <f t="shared" si="343"/>
        <v>3</v>
      </c>
      <c r="X658" s="103">
        <v>1</v>
      </c>
      <c r="Y658" s="103">
        <v>1</v>
      </c>
      <c r="Z658" s="125"/>
      <c r="AA658" s="428">
        <f t="shared" si="344"/>
        <v>2</v>
      </c>
      <c r="AB658" s="103"/>
      <c r="AC658" s="103">
        <v>6</v>
      </c>
      <c r="AD658" s="103"/>
      <c r="AE658" s="428">
        <f t="shared" si="345"/>
        <v>6</v>
      </c>
      <c r="AF658" s="103"/>
      <c r="AG658" s="103"/>
      <c r="AH658" s="103"/>
      <c r="AI658" s="103"/>
      <c r="AJ658" s="428">
        <f t="shared" si="346"/>
        <v>0</v>
      </c>
      <c r="AK658" s="446"/>
      <c r="AL658" s="446"/>
      <c r="AM658" s="446"/>
      <c r="AN658" s="446"/>
      <c r="AO658" s="446"/>
      <c r="AP658" s="446"/>
      <c r="AQ658" s="446"/>
      <c r="AR658" s="431">
        <f t="shared" si="347"/>
        <v>0</v>
      </c>
      <c r="AT658" s="128"/>
      <c r="AU658" s="100" t="s">
        <v>4063</v>
      </c>
      <c r="AV658" s="128" t="s">
        <v>4090</v>
      </c>
      <c r="AW658" s="100" t="s">
        <v>4091</v>
      </c>
      <c r="AX658" s="433">
        <f t="shared" si="348"/>
        <v>0</v>
      </c>
      <c r="AY658" s="433">
        <f t="shared" si="349"/>
        <v>0</v>
      </c>
      <c r="AZ658" s="433">
        <f t="shared" si="350"/>
        <v>0</v>
      </c>
      <c r="BA658" s="433">
        <f t="shared" si="340"/>
        <v>0</v>
      </c>
      <c r="BB658" s="433">
        <f t="shared" si="341"/>
        <v>0</v>
      </c>
      <c r="BC658" s="433">
        <f t="shared" si="342"/>
        <v>0</v>
      </c>
      <c r="BD658" s="433">
        <f t="shared" si="351"/>
        <v>3</v>
      </c>
      <c r="BE658" s="433">
        <f t="shared" si="352"/>
        <v>0</v>
      </c>
      <c r="BF658" s="433">
        <f t="shared" si="353"/>
        <v>0</v>
      </c>
      <c r="BG658" s="433">
        <f t="shared" si="354"/>
        <v>0</v>
      </c>
      <c r="BH658" s="433">
        <f t="shared" si="355"/>
        <v>1</v>
      </c>
      <c r="BI658" s="433">
        <f t="shared" si="356"/>
        <v>1</v>
      </c>
      <c r="BJ658" s="433">
        <f t="shared" si="357"/>
        <v>0</v>
      </c>
      <c r="BK658" s="433">
        <f t="shared" si="358"/>
        <v>0</v>
      </c>
      <c r="BL658" s="433">
        <f t="shared" si="359"/>
        <v>6</v>
      </c>
      <c r="BM658" s="433">
        <f t="shared" si="360"/>
        <v>0</v>
      </c>
      <c r="BN658" s="433">
        <f t="shared" si="361"/>
        <v>0</v>
      </c>
      <c r="BO658" s="433">
        <f t="shared" si="362"/>
        <v>0</v>
      </c>
      <c r="BP658" s="433">
        <f t="shared" si="363"/>
        <v>0</v>
      </c>
      <c r="BQ658" s="433">
        <f t="shared" si="364"/>
        <v>0</v>
      </c>
    </row>
    <row r="659" spans="1:69" x14ac:dyDescent="0.2">
      <c r="A659" s="102">
        <v>41858</v>
      </c>
      <c r="B659" s="319">
        <v>3</v>
      </c>
      <c r="C659" s="118" t="s">
        <v>4062</v>
      </c>
      <c r="D659" s="111">
        <v>0.3354166666666667</v>
      </c>
      <c r="E659" s="111">
        <v>0.44791666666666669</v>
      </c>
      <c r="F659" s="319">
        <v>49</v>
      </c>
      <c r="G659" s="445">
        <v>10</v>
      </c>
      <c r="H659" s="319"/>
      <c r="I659" s="390"/>
      <c r="J659" s="426">
        <f t="shared" si="337"/>
        <v>161.99999999999997</v>
      </c>
      <c r="K659" s="103"/>
      <c r="L659" s="103"/>
      <c r="M659" s="103"/>
      <c r="N659" s="427">
        <f t="shared" si="338"/>
        <v>0</v>
      </c>
      <c r="O659" s="103"/>
      <c r="P659" s="103"/>
      <c r="Q659" s="103"/>
      <c r="R659" s="428">
        <f t="shared" si="339"/>
        <v>0</v>
      </c>
      <c r="S659" s="103"/>
      <c r="T659" s="103"/>
      <c r="U659" s="103"/>
      <c r="V659" s="125"/>
      <c r="W659" s="428">
        <f t="shared" si="343"/>
        <v>0</v>
      </c>
      <c r="X659" s="103">
        <v>1</v>
      </c>
      <c r="Y659" s="103">
        <v>30</v>
      </c>
      <c r="Z659" s="125"/>
      <c r="AA659" s="428">
        <f t="shared" si="344"/>
        <v>31</v>
      </c>
      <c r="AB659" s="103">
        <v>3</v>
      </c>
      <c r="AC659" s="103">
        <v>2</v>
      </c>
      <c r="AD659" s="103"/>
      <c r="AE659" s="428">
        <f t="shared" si="345"/>
        <v>5</v>
      </c>
      <c r="AF659" s="103">
        <v>1</v>
      </c>
      <c r="AG659" s="103"/>
      <c r="AH659" s="103">
        <v>1</v>
      </c>
      <c r="AI659" s="103"/>
      <c r="AJ659" s="428">
        <f t="shared" si="346"/>
        <v>2</v>
      </c>
      <c r="AK659" s="446"/>
      <c r="AL659" s="446"/>
      <c r="AM659" s="446"/>
      <c r="AN659" s="446"/>
      <c r="AO659" s="446"/>
      <c r="AP659" s="446"/>
      <c r="AQ659" s="446"/>
      <c r="AR659" s="431">
        <f t="shared" si="347"/>
        <v>0</v>
      </c>
      <c r="AT659" s="128"/>
      <c r="AU659" s="100" t="s">
        <v>4060</v>
      </c>
      <c r="AV659" s="128" t="s">
        <v>4090</v>
      </c>
      <c r="AW659" s="100" t="s">
        <v>4091</v>
      </c>
      <c r="AX659" s="433">
        <f t="shared" si="348"/>
        <v>0</v>
      </c>
      <c r="AY659" s="433">
        <f t="shared" si="349"/>
        <v>0</v>
      </c>
      <c r="AZ659" s="433">
        <f t="shared" si="350"/>
        <v>0</v>
      </c>
      <c r="BA659" s="433">
        <f t="shared" si="340"/>
        <v>0</v>
      </c>
      <c r="BB659" s="433">
        <f t="shared" si="341"/>
        <v>0</v>
      </c>
      <c r="BC659" s="433">
        <f t="shared" si="342"/>
        <v>0</v>
      </c>
      <c r="BD659" s="433">
        <f t="shared" si="351"/>
        <v>0</v>
      </c>
      <c r="BE659" s="433">
        <f t="shared" si="352"/>
        <v>0</v>
      </c>
      <c r="BF659" s="433">
        <f t="shared" si="353"/>
        <v>0</v>
      </c>
      <c r="BG659" s="433">
        <f t="shared" si="354"/>
        <v>0</v>
      </c>
      <c r="BH659" s="433">
        <f t="shared" si="355"/>
        <v>1</v>
      </c>
      <c r="BI659" s="433">
        <f t="shared" si="356"/>
        <v>30</v>
      </c>
      <c r="BJ659" s="433">
        <f t="shared" si="357"/>
        <v>0</v>
      </c>
      <c r="BK659" s="433">
        <f t="shared" si="358"/>
        <v>3</v>
      </c>
      <c r="BL659" s="433">
        <f t="shared" si="359"/>
        <v>2</v>
      </c>
      <c r="BM659" s="433">
        <f t="shared" si="360"/>
        <v>0</v>
      </c>
      <c r="BN659" s="433">
        <f t="shared" si="361"/>
        <v>1</v>
      </c>
      <c r="BO659" s="433">
        <f t="shared" si="362"/>
        <v>0</v>
      </c>
      <c r="BP659" s="433">
        <f t="shared" si="363"/>
        <v>1</v>
      </c>
      <c r="BQ659" s="433">
        <f t="shared" si="364"/>
        <v>0</v>
      </c>
    </row>
    <row r="660" spans="1:69" x14ac:dyDescent="0.2">
      <c r="A660" s="102">
        <v>41858</v>
      </c>
      <c r="B660" s="319">
        <v>3</v>
      </c>
      <c r="C660" s="118" t="s">
        <v>4064</v>
      </c>
      <c r="D660" s="111">
        <v>0.44791666666666669</v>
      </c>
      <c r="E660" s="111">
        <v>0.70833333333333337</v>
      </c>
      <c r="F660" s="319">
        <v>49</v>
      </c>
      <c r="G660" s="445">
        <v>11</v>
      </c>
      <c r="H660" s="319"/>
      <c r="I660" s="390"/>
      <c r="J660" s="426">
        <f t="shared" si="337"/>
        <v>375</v>
      </c>
      <c r="K660" s="103"/>
      <c r="L660" s="103">
        <v>1</v>
      </c>
      <c r="M660" s="103"/>
      <c r="N660" s="427">
        <f t="shared" si="338"/>
        <v>1</v>
      </c>
      <c r="O660" s="103"/>
      <c r="P660" s="103"/>
      <c r="Q660" s="103"/>
      <c r="R660" s="428">
        <f t="shared" si="339"/>
        <v>0</v>
      </c>
      <c r="S660" s="103">
        <v>1</v>
      </c>
      <c r="T660" s="103"/>
      <c r="U660" s="103"/>
      <c r="V660" s="125"/>
      <c r="W660" s="428">
        <f t="shared" si="343"/>
        <v>1</v>
      </c>
      <c r="X660" s="103">
        <v>2</v>
      </c>
      <c r="Y660" s="103">
        <v>87</v>
      </c>
      <c r="Z660" s="125">
        <v>1</v>
      </c>
      <c r="AA660" s="428">
        <f t="shared" si="344"/>
        <v>90</v>
      </c>
      <c r="AB660" s="103">
        <v>2</v>
      </c>
      <c r="AC660" s="103">
        <v>8</v>
      </c>
      <c r="AD660" s="103"/>
      <c r="AE660" s="428">
        <f t="shared" si="345"/>
        <v>10</v>
      </c>
      <c r="AF660" s="103">
        <v>3</v>
      </c>
      <c r="AG660" s="103"/>
      <c r="AH660" s="103"/>
      <c r="AI660" s="103"/>
      <c r="AJ660" s="428">
        <f t="shared" si="346"/>
        <v>3</v>
      </c>
      <c r="AK660" s="446"/>
      <c r="AL660" s="446"/>
      <c r="AM660" s="446"/>
      <c r="AN660" s="446"/>
      <c r="AO660" s="446"/>
      <c r="AP660" s="446"/>
      <c r="AQ660" s="446"/>
      <c r="AR660" s="431">
        <f t="shared" si="347"/>
        <v>0</v>
      </c>
      <c r="AT660" s="128"/>
      <c r="AU660" s="100" t="s">
        <v>4065</v>
      </c>
      <c r="AV660" s="128" t="s">
        <v>4090</v>
      </c>
      <c r="AW660" s="100" t="s">
        <v>4091</v>
      </c>
      <c r="AX660" s="433">
        <f t="shared" si="348"/>
        <v>0</v>
      </c>
      <c r="AY660" s="433">
        <f t="shared" si="349"/>
        <v>1</v>
      </c>
      <c r="AZ660" s="433">
        <f t="shared" si="350"/>
        <v>0</v>
      </c>
      <c r="BA660" s="433">
        <f t="shared" si="340"/>
        <v>0</v>
      </c>
      <c r="BB660" s="433">
        <f t="shared" si="341"/>
        <v>0</v>
      </c>
      <c r="BC660" s="433">
        <f t="shared" si="342"/>
        <v>0</v>
      </c>
      <c r="BD660" s="433">
        <f t="shared" si="351"/>
        <v>1</v>
      </c>
      <c r="BE660" s="433">
        <f t="shared" si="352"/>
        <v>0</v>
      </c>
      <c r="BF660" s="433">
        <f t="shared" si="353"/>
        <v>0</v>
      </c>
      <c r="BG660" s="433">
        <f t="shared" si="354"/>
        <v>0</v>
      </c>
      <c r="BH660" s="433">
        <f t="shared" si="355"/>
        <v>2</v>
      </c>
      <c r="BI660" s="433">
        <f t="shared" si="356"/>
        <v>87</v>
      </c>
      <c r="BJ660" s="433">
        <f t="shared" si="357"/>
        <v>1</v>
      </c>
      <c r="BK660" s="433">
        <f t="shared" si="358"/>
        <v>2</v>
      </c>
      <c r="BL660" s="433">
        <f t="shared" si="359"/>
        <v>8</v>
      </c>
      <c r="BM660" s="433">
        <f t="shared" si="360"/>
        <v>0</v>
      </c>
      <c r="BN660" s="433">
        <f t="shared" si="361"/>
        <v>3</v>
      </c>
      <c r="BO660" s="433">
        <f t="shared" si="362"/>
        <v>0</v>
      </c>
      <c r="BP660" s="433">
        <f t="shared" si="363"/>
        <v>0</v>
      </c>
      <c r="BQ660" s="433">
        <f t="shared" si="364"/>
        <v>0</v>
      </c>
    </row>
    <row r="661" spans="1:69" s="291" customFormat="1" x14ac:dyDescent="0.2">
      <c r="A661" s="317">
        <v>41858</v>
      </c>
      <c r="B661" s="318">
        <v>3</v>
      </c>
      <c r="C661" s="320" t="s">
        <v>3854</v>
      </c>
      <c r="D661" s="321">
        <v>0.70833333333333337</v>
      </c>
      <c r="E661" s="321">
        <v>0.8354166666666667</v>
      </c>
      <c r="F661" s="318">
        <v>44</v>
      </c>
      <c r="G661" s="435">
        <v>11</v>
      </c>
      <c r="H661" s="318"/>
      <c r="I661" s="436"/>
      <c r="J661" s="437">
        <f t="shared" si="337"/>
        <v>183</v>
      </c>
      <c r="K661" s="285"/>
      <c r="L661" s="285"/>
      <c r="M661" s="285"/>
      <c r="N661" s="438">
        <f t="shared" si="338"/>
        <v>0</v>
      </c>
      <c r="O661" s="285"/>
      <c r="P661" s="285"/>
      <c r="Q661" s="285"/>
      <c r="R661" s="439">
        <f t="shared" si="339"/>
        <v>0</v>
      </c>
      <c r="S661" s="285"/>
      <c r="T661" s="285"/>
      <c r="U661" s="285"/>
      <c r="V661" s="440"/>
      <c r="W661" s="439">
        <f t="shared" si="343"/>
        <v>0</v>
      </c>
      <c r="X661" s="285">
        <v>1</v>
      </c>
      <c r="Y661" s="285">
        <v>58</v>
      </c>
      <c r="Z661" s="440"/>
      <c r="AA661" s="439">
        <f t="shared" si="344"/>
        <v>59</v>
      </c>
      <c r="AB661" s="285">
        <v>1</v>
      </c>
      <c r="AC661" s="285">
        <v>4</v>
      </c>
      <c r="AD661" s="285"/>
      <c r="AE661" s="439">
        <f t="shared" si="345"/>
        <v>5</v>
      </c>
      <c r="AF661" s="285">
        <v>1</v>
      </c>
      <c r="AG661" s="285"/>
      <c r="AH661" s="285"/>
      <c r="AI661" s="285"/>
      <c r="AJ661" s="439">
        <f t="shared" si="346"/>
        <v>1</v>
      </c>
      <c r="AK661" s="340"/>
      <c r="AL661" s="340"/>
      <c r="AM661" s="340"/>
      <c r="AN661" s="340"/>
      <c r="AO661" s="340"/>
      <c r="AP661" s="340"/>
      <c r="AQ661" s="340"/>
      <c r="AR661" s="441">
        <f t="shared" si="347"/>
        <v>0</v>
      </c>
      <c r="AT661" s="313"/>
      <c r="AU661" s="289" t="s">
        <v>4061</v>
      </c>
      <c r="AV661" s="313" t="s">
        <v>4090</v>
      </c>
      <c r="AW661" s="382" t="s">
        <v>4091</v>
      </c>
      <c r="AX661" s="443">
        <f t="shared" si="348"/>
        <v>0</v>
      </c>
      <c r="AY661" s="443">
        <f t="shared" si="349"/>
        <v>0</v>
      </c>
      <c r="AZ661" s="443">
        <f t="shared" si="350"/>
        <v>0</v>
      </c>
      <c r="BA661" s="443">
        <f t="shared" si="340"/>
        <v>0</v>
      </c>
      <c r="BB661" s="443">
        <f t="shared" si="341"/>
        <v>0</v>
      </c>
      <c r="BC661" s="443">
        <f t="shared" si="342"/>
        <v>0</v>
      </c>
      <c r="BD661" s="443">
        <f t="shared" si="351"/>
        <v>0</v>
      </c>
      <c r="BE661" s="443">
        <f t="shared" si="352"/>
        <v>0</v>
      </c>
      <c r="BF661" s="443">
        <f t="shared" si="353"/>
        <v>0</v>
      </c>
      <c r="BG661" s="443">
        <f t="shared" si="354"/>
        <v>0</v>
      </c>
      <c r="BH661" s="443">
        <f t="shared" si="355"/>
        <v>1</v>
      </c>
      <c r="BI661" s="443">
        <f t="shared" si="356"/>
        <v>58</v>
      </c>
      <c r="BJ661" s="443">
        <f t="shared" si="357"/>
        <v>0</v>
      </c>
      <c r="BK661" s="443">
        <f t="shared" si="358"/>
        <v>1</v>
      </c>
      <c r="BL661" s="443">
        <f t="shared" si="359"/>
        <v>4</v>
      </c>
      <c r="BM661" s="443">
        <f t="shared" si="360"/>
        <v>0</v>
      </c>
      <c r="BN661" s="443">
        <f t="shared" si="361"/>
        <v>1</v>
      </c>
      <c r="BO661" s="443">
        <f t="shared" si="362"/>
        <v>0</v>
      </c>
      <c r="BP661" s="443">
        <f t="shared" si="363"/>
        <v>0</v>
      </c>
      <c r="BQ661" s="443">
        <f t="shared" si="364"/>
        <v>0</v>
      </c>
    </row>
    <row r="662" spans="1:69" x14ac:dyDescent="0.2">
      <c r="A662" s="102">
        <v>41859</v>
      </c>
      <c r="B662" s="319">
        <v>1</v>
      </c>
      <c r="C662" s="118" t="s">
        <v>4064</v>
      </c>
      <c r="D662" s="111">
        <v>0.3444444444444445</v>
      </c>
      <c r="E662" s="111">
        <v>0.58333333333333337</v>
      </c>
      <c r="F662" s="319">
        <v>52</v>
      </c>
      <c r="G662" s="445">
        <v>9</v>
      </c>
      <c r="H662" s="319"/>
      <c r="I662" s="390">
        <v>46.6</v>
      </c>
      <c r="J662" s="426">
        <f t="shared" si="337"/>
        <v>343.99999999999994</v>
      </c>
      <c r="K662" s="103"/>
      <c r="L662" s="103"/>
      <c r="M662" s="103"/>
      <c r="N662" s="427">
        <f t="shared" si="338"/>
        <v>0</v>
      </c>
      <c r="O662" s="103"/>
      <c r="P662" s="103"/>
      <c r="Q662" s="103"/>
      <c r="R662" s="428">
        <f t="shared" si="339"/>
        <v>0</v>
      </c>
      <c r="S662" s="103">
        <v>1</v>
      </c>
      <c r="T662" s="103"/>
      <c r="U662" s="103"/>
      <c r="V662" s="125"/>
      <c r="W662" s="428">
        <f t="shared" si="343"/>
        <v>1</v>
      </c>
      <c r="X662" s="103">
        <v>1</v>
      </c>
      <c r="Y662" s="103">
        <v>26</v>
      </c>
      <c r="Z662" s="125"/>
      <c r="AA662" s="428">
        <f t="shared" si="344"/>
        <v>27</v>
      </c>
      <c r="AB662" s="103">
        <v>1</v>
      </c>
      <c r="AC662" s="103">
        <v>1</v>
      </c>
      <c r="AD662" s="103"/>
      <c r="AE662" s="428">
        <f t="shared" si="345"/>
        <v>2</v>
      </c>
      <c r="AF662" s="103"/>
      <c r="AG662" s="103"/>
      <c r="AH662" s="103"/>
      <c r="AI662" s="103"/>
      <c r="AJ662" s="428">
        <f t="shared" si="346"/>
        <v>0</v>
      </c>
      <c r="AK662" s="446"/>
      <c r="AL662" s="446"/>
      <c r="AM662" s="446"/>
      <c r="AN662" s="446"/>
      <c r="AO662" s="446"/>
      <c r="AP662" s="446"/>
      <c r="AQ662" s="446"/>
      <c r="AR662" s="431">
        <f t="shared" si="347"/>
        <v>0</v>
      </c>
      <c r="AT662" s="128"/>
      <c r="AU662" s="100" t="s">
        <v>4098</v>
      </c>
      <c r="AV662" s="128" t="s">
        <v>4115</v>
      </c>
      <c r="AW662" s="100" t="s">
        <v>4116</v>
      </c>
      <c r="AX662" s="433">
        <f t="shared" si="348"/>
        <v>0</v>
      </c>
      <c r="AY662" s="433">
        <f t="shared" si="349"/>
        <v>0</v>
      </c>
      <c r="AZ662" s="433">
        <f t="shared" si="350"/>
        <v>0</v>
      </c>
      <c r="BA662" s="433">
        <f t="shared" si="340"/>
        <v>0</v>
      </c>
      <c r="BB662" s="433">
        <f t="shared" si="341"/>
        <v>0</v>
      </c>
      <c r="BC662" s="433">
        <f t="shared" si="342"/>
        <v>0</v>
      </c>
      <c r="BD662" s="433">
        <f t="shared" si="351"/>
        <v>1</v>
      </c>
      <c r="BE662" s="433">
        <f t="shared" si="352"/>
        <v>0</v>
      </c>
      <c r="BF662" s="433">
        <f t="shared" si="353"/>
        <v>0</v>
      </c>
      <c r="BG662" s="433">
        <f t="shared" si="354"/>
        <v>0</v>
      </c>
      <c r="BH662" s="433">
        <f t="shared" si="355"/>
        <v>1</v>
      </c>
      <c r="BI662" s="433">
        <f t="shared" si="356"/>
        <v>26</v>
      </c>
      <c r="BJ662" s="433">
        <f t="shared" si="357"/>
        <v>0</v>
      </c>
      <c r="BK662" s="433">
        <f t="shared" si="358"/>
        <v>1</v>
      </c>
      <c r="BL662" s="433">
        <f t="shared" si="359"/>
        <v>1</v>
      </c>
      <c r="BM662" s="433">
        <f t="shared" si="360"/>
        <v>0</v>
      </c>
      <c r="BN662" s="433">
        <f t="shared" si="361"/>
        <v>0</v>
      </c>
      <c r="BO662" s="433">
        <f t="shared" si="362"/>
        <v>0</v>
      </c>
      <c r="BP662" s="433">
        <f t="shared" si="363"/>
        <v>0</v>
      </c>
      <c r="BQ662" s="433">
        <f t="shared" si="364"/>
        <v>0</v>
      </c>
    </row>
    <row r="663" spans="1:69" x14ac:dyDescent="0.2">
      <c r="A663" s="102">
        <v>41859</v>
      </c>
      <c r="B663" s="319">
        <v>1</v>
      </c>
      <c r="C663" s="118" t="s">
        <v>4097</v>
      </c>
      <c r="D663" s="111">
        <v>0.58333333333333337</v>
      </c>
      <c r="E663" s="111">
        <v>0.84444444444444444</v>
      </c>
      <c r="F663" s="319">
        <v>54</v>
      </c>
      <c r="G663" s="445">
        <v>12</v>
      </c>
      <c r="H663" s="319"/>
      <c r="I663" s="390"/>
      <c r="J663" s="426">
        <f t="shared" si="337"/>
        <v>375.99999999999994</v>
      </c>
      <c r="K663" s="103"/>
      <c r="L663" s="103"/>
      <c r="M663" s="103"/>
      <c r="N663" s="427">
        <f t="shared" si="338"/>
        <v>0</v>
      </c>
      <c r="O663" s="103"/>
      <c r="P663" s="103">
        <v>1</v>
      </c>
      <c r="Q663" s="103"/>
      <c r="R663" s="428">
        <f t="shared" si="339"/>
        <v>1</v>
      </c>
      <c r="S663" s="103">
        <v>3</v>
      </c>
      <c r="T663" s="103"/>
      <c r="U663" s="103"/>
      <c r="V663" s="125"/>
      <c r="W663" s="428">
        <f t="shared" si="343"/>
        <v>3</v>
      </c>
      <c r="X663" s="103">
        <v>3</v>
      </c>
      <c r="Y663" s="103">
        <v>48</v>
      </c>
      <c r="Z663" s="125"/>
      <c r="AA663" s="428">
        <f t="shared" si="344"/>
        <v>51</v>
      </c>
      <c r="AB663" s="103"/>
      <c r="AC663" s="103">
        <v>7</v>
      </c>
      <c r="AD663" s="103"/>
      <c r="AE663" s="428">
        <f t="shared" si="345"/>
        <v>7</v>
      </c>
      <c r="AF663" s="103">
        <v>1</v>
      </c>
      <c r="AG663" s="103">
        <v>1</v>
      </c>
      <c r="AH663" s="103"/>
      <c r="AI663" s="103"/>
      <c r="AJ663" s="428">
        <f t="shared" si="346"/>
        <v>2</v>
      </c>
      <c r="AK663" s="446"/>
      <c r="AL663" s="446"/>
      <c r="AM663" s="446"/>
      <c r="AN663" s="446"/>
      <c r="AO663" s="446"/>
      <c r="AP663" s="446"/>
      <c r="AQ663" s="446"/>
      <c r="AR663" s="431">
        <f t="shared" si="347"/>
        <v>0</v>
      </c>
      <c r="AT663" s="128"/>
      <c r="AU663" s="100" t="s">
        <v>4099</v>
      </c>
      <c r="AV663" s="128" t="s">
        <v>4115</v>
      </c>
      <c r="AW663" s="100" t="s">
        <v>4116</v>
      </c>
      <c r="AX663" s="433">
        <f t="shared" si="348"/>
        <v>0</v>
      </c>
      <c r="AY663" s="433">
        <f t="shared" si="349"/>
        <v>0</v>
      </c>
      <c r="AZ663" s="433">
        <f t="shared" si="350"/>
        <v>0</v>
      </c>
      <c r="BA663" s="433">
        <f t="shared" si="340"/>
        <v>0</v>
      </c>
      <c r="BB663" s="433">
        <f t="shared" si="341"/>
        <v>1</v>
      </c>
      <c r="BC663" s="433">
        <f t="shared" si="342"/>
        <v>0</v>
      </c>
      <c r="BD663" s="433">
        <f t="shared" si="351"/>
        <v>3</v>
      </c>
      <c r="BE663" s="433">
        <f t="shared" si="352"/>
        <v>0</v>
      </c>
      <c r="BF663" s="433">
        <f t="shared" si="353"/>
        <v>0</v>
      </c>
      <c r="BG663" s="433">
        <f t="shared" si="354"/>
        <v>0</v>
      </c>
      <c r="BH663" s="433">
        <f t="shared" si="355"/>
        <v>3</v>
      </c>
      <c r="BI663" s="433">
        <f t="shared" si="356"/>
        <v>48</v>
      </c>
      <c r="BJ663" s="433">
        <f t="shared" si="357"/>
        <v>0</v>
      </c>
      <c r="BK663" s="433">
        <f t="shared" si="358"/>
        <v>0</v>
      </c>
      <c r="BL663" s="433">
        <f t="shared" si="359"/>
        <v>7</v>
      </c>
      <c r="BM663" s="433">
        <f t="shared" si="360"/>
        <v>0</v>
      </c>
      <c r="BN663" s="433">
        <f t="shared" si="361"/>
        <v>1</v>
      </c>
      <c r="BO663" s="433">
        <f t="shared" si="362"/>
        <v>1</v>
      </c>
      <c r="BP663" s="433">
        <f t="shared" si="363"/>
        <v>0</v>
      </c>
      <c r="BQ663" s="433">
        <f t="shared" si="364"/>
        <v>0</v>
      </c>
    </row>
    <row r="664" spans="1:69" x14ac:dyDescent="0.2">
      <c r="A664" s="102">
        <v>41859</v>
      </c>
      <c r="B664" s="319">
        <v>2</v>
      </c>
      <c r="C664" s="118" t="s">
        <v>4064</v>
      </c>
      <c r="D664" s="111">
        <v>0.33749999999999997</v>
      </c>
      <c r="E664" s="111">
        <v>0.58333333333333337</v>
      </c>
      <c r="F664" s="319">
        <v>36</v>
      </c>
      <c r="G664" s="445">
        <v>11</v>
      </c>
      <c r="H664" s="319"/>
      <c r="I664" s="390"/>
      <c r="J664" s="426">
        <f t="shared" si="337"/>
        <v>354.00000000000011</v>
      </c>
      <c r="K664" s="103"/>
      <c r="L664" s="103"/>
      <c r="M664" s="103"/>
      <c r="N664" s="427">
        <f t="shared" si="338"/>
        <v>0</v>
      </c>
      <c r="O664" s="103"/>
      <c r="P664" s="103"/>
      <c r="Q664" s="103"/>
      <c r="R664" s="428">
        <f t="shared" si="339"/>
        <v>0</v>
      </c>
      <c r="S664" s="103"/>
      <c r="T664" s="103"/>
      <c r="U664" s="103"/>
      <c r="V664" s="125"/>
      <c r="W664" s="428">
        <f t="shared" si="343"/>
        <v>0</v>
      </c>
      <c r="X664" s="103">
        <v>1</v>
      </c>
      <c r="Y664" s="103">
        <v>1</v>
      </c>
      <c r="Z664" s="125"/>
      <c r="AA664" s="428">
        <f t="shared" si="344"/>
        <v>2</v>
      </c>
      <c r="AB664" s="103">
        <v>3</v>
      </c>
      <c r="AC664" s="103">
        <v>3</v>
      </c>
      <c r="AD664" s="103"/>
      <c r="AE664" s="428">
        <f t="shared" si="345"/>
        <v>6</v>
      </c>
      <c r="AF664" s="103"/>
      <c r="AG664" s="103"/>
      <c r="AH664" s="103"/>
      <c r="AI664" s="103"/>
      <c r="AJ664" s="428">
        <f t="shared" si="346"/>
        <v>0</v>
      </c>
      <c r="AK664" s="446"/>
      <c r="AL664" s="446"/>
      <c r="AM664" s="446"/>
      <c r="AN664" s="446"/>
      <c r="AO664" s="446"/>
      <c r="AP664" s="446"/>
      <c r="AQ664" s="446"/>
      <c r="AR664" s="431">
        <f t="shared" si="347"/>
        <v>0</v>
      </c>
      <c r="AT664" s="128"/>
      <c r="AU664" s="100" t="s">
        <v>4098</v>
      </c>
      <c r="AV664" s="128" t="s">
        <v>4115</v>
      </c>
      <c r="AW664" s="100" t="s">
        <v>4116</v>
      </c>
      <c r="AX664" s="433">
        <f t="shared" si="348"/>
        <v>0</v>
      </c>
      <c r="AY664" s="433">
        <f t="shared" si="349"/>
        <v>0</v>
      </c>
      <c r="AZ664" s="433">
        <f t="shared" si="350"/>
        <v>0</v>
      </c>
      <c r="BA664" s="433">
        <f t="shared" si="340"/>
        <v>0</v>
      </c>
      <c r="BB664" s="433">
        <f t="shared" si="341"/>
        <v>0</v>
      </c>
      <c r="BC664" s="433">
        <f t="shared" si="342"/>
        <v>0</v>
      </c>
      <c r="BD664" s="433">
        <f t="shared" si="351"/>
        <v>0</v>
      </c>
      <c r="BE664" s="433">
        <f t="shared" si="352"/>
        <v>0</v>
      </c>
      <c r="BF664" s="433">
        <f t="shared" si="353"/>
        <v>0</v>
      </c>
      <c r="BG664" s="433">
        <f t="shared" si="354"/>
        <v>0</v>
      </c>
      <c r="BH664" s="433">
        <f t="shared" si="355"/>
        <v>1</v>
      </c>
      <c r="BI664" s="433">
        <f t="shared" si="356"/>
        <v>1</v>
      </c>
      <c r="BJ664" s="433">
        <f t="shared" si="357"/>
        <v>0</v>
      </c>
      <c r="BK664" s="433">
        <f t="shared" si="358"/>
        <v>3</v>
      </c>
      <c r="BL664" s="433">
        <f t="shared" si="359"/>
        <v>3</v>
      </c>
      <c r="BM664" s="433">
        <f t="shared" si="360"/>
        <v>0</v>
      </c>
      <c r="BN664" s="433">
        <f t="shared" si="361"/>
        <v>0</v>
      </c>
      <c r="BO664" s="433">
        <f t="shared" si="362"/>
        <v>0</v>
      </c>
      <c r="BP664" s="433">
        <f t="shared" si="363"/>
        <v>0</v>
      </c>
      <c r="BQ664" s="433">
        <f t="shared" si="364"/>
        <v>0</v>
      </c>
    </row>
    <row r="665" spans="1:69" x14ac:dyDescent="0.2">
      <c r="A665" s="102">
        <v>41859</v>
      </c>
      <c r="B665" s="319">
        <v>2</v>
      </c>
      <c r="C665" s="118" t="s">
        <v>4100</v>
      </c>
      <c r="D665" s="111">
        <v>0.58333333333333337</v>
      </c>
      <c r="E665" s="111">
        <v>0.83750000000000002</v>
      </c>
      <c r="F665" s="319">
        <v>37</v>
      </c>
      <c r="G665" s="445">
        <v>11</v>
      </c>
      <c r="H665" s="319"/>
      <c r="I665" s="390"/>
      <c r="J665" s="426">
        <f t="shared" si="337"/>
        <v>366</v>
      </c>
      <c r="K665" s="103"/>
      <c r="L665" s="103"/>
      <c r="M665" s="103"/>
      <c r="N665" s="427">
        <f t="shared" si="338"/>
        <v>0</v>
      </c>
      <c r="O665" s="103"/>
      <c r="P665" s="103"/>
      <c r="Q665" s="103"/>
      <c r="R665" s="428">
        <f t="shared" si="339"/>
        <v>0</v>
      </c>
      <c r="S665" s="103"/>
      <c r="T665" s="103"/>
      <c r="U665" s="103"/>
      <c r="V665" s="125"/>
      <c r="W665" s="428">
        <f t="shared" si="343"/>
        <v>0</v>
      </c>
      <c r="X665" s="103"/>
      <c r="Y665" s="103"/>
      <c r="Z665" s="125"/>
      <c r="AA665" s="428">
        <f t="shared" si="344"/>
        <v>0</v>
      </c>
      <c r="AB665" s="103">
        <v>2</v>
      </c>
      <c r="AC665" s="103">
        <v>5</v>
      </c>
      <c r="AD665" s="103">
        <v>1</v>
      </c>
      <c r="AE665" s="428">
        <f t="shared" si="345"/>
        <v>8</v>
      </c>
      <c r="AF665" s="103"/>
      <c r="AG665" s="103"/>
      <c r="AH665" s="103"/>
      <c r="AI665" s="103"/>
      <c r="AJ665" s="428">
        <f t="shared" si="346"/>
        <v>0</v>
      </c>
      <c r="AK665" s="446"/>
      <c r="AL665" s="446"/>
      <c r="AM665" s="446"/>
      <c r="AN665" s="446"/>
      <c r="AO665" s="446"/>
      <c r="AP665" s="446"/>
      <c r="AQ665" s="446"/>
      <c r="AR665" s="431">
        <f t="shared" si="347"/>
        <v>0</v>
      </c>
      <c r="AT665" s="128"/>
      <c r="AU665" s="100" t="s">
        <v>4099</v>
      </c>
      <c r="AV665" s="128" t="s">
        <v>4115</v>
      </c>
      <c r="AW665" s="100" t="s">
        <v>4116</v>
      </c>
      <c r="AX665" s="433">
        <f t="shared" si="348"/>
        <v>0</v>
      </c>
      <c r="AY665" s="433">
        <f t="shared" si="349"/>
        <v>0</v>
      </c>
      <c r="AZ665" s="433">
        <f t="shared" si="350"/>
        <v>0</v>
      </c>
      <c r="BA665" s="433">
        <f t="shared" si="340"/>
        <v>0</v>
      </c>
      <c r="BB665" s="433">
        <f t="shared" si="341"/>
        <v>0</v>
      </c>
      <c r="BC665" s="433">
        <f t="shared" si="342"/>
        <v>0</v>
      </c>
      <c r="BD665" s="433">
        <f t="shared" si="351"/>
        <v>0</v>
      </c>
      <c r="BE665" s="433">
        <f t="shared" si="352"/>
        <v>0</v>
      </c>
      <c r="BF665" s="433">
        <f t="shared" si="353"/>
        <v>0</v>
      </c>
      <c r="BG665" s="433">
        <f t="shared" si="354"/>
        <v>0</v>
      </c>
      <c r="BH665" s="433">
        <f t="shared" si="355"/>
        <v>0</v>
      </c>
      <c r="BI665" s="433">
        <f t="shared" si="356"/>
        <v>0</v>
      </c>
      <c r="BJ665" s="433">
        <f t="shared" si="357"/>
        <v>0</v>
      </c>
      <c r="BK665" s="433">
        <f t="shared" si="358"/>
        <v>2</v>
      </c>
      <c r="BL665" s="433">
        <f t="shared" si="359"/>
        <v>5</v>
      </c>
      <c r="BM665" s="433">
        <f t="shared" si="360"/>
        <v>1</v>
      </c>
      <c r="BN665" s="433">
        <f t="shared" si="361"/>
        <v>0</v>
      </c>
      <c r="BO665" s="433">
        <f t="shared" si="362"/>
        <v>0</v>
      </c>
      <c r="BP665" s="433">
        <f t="shared" si="363"/>
        <v>0</v>
      </c>
      <c r="BQ665" s="433">
        <f t="shared" si="364"/>
        <v>0</v>
      </c>
    </row>
    <row r="666" spans="1:69" x14ac:dyDescent="0.2">
      <c r="A666" s="102">
        <v>41859</v>
      </c>
      <c r="B666" s="319">
        <v>3</v>
      </c>
      <c r="C666" s="118" t="s">
        <v>4097</v>
      </c>
      <c r="D666" s="111">
        <v>0.33819444444444446</v>
      </c>
      <c r="E666" s="111">
        <v>0.44930555555555557</v>
      </c>
      <c r="F666" s="319">
        <v>51</v>
      </c>
      <c r="G666" s="445">
        <v>10</v>
      </c>
      <c r="H666" s="319"/>
      <c r="I666" s="390"/>
      <c r="J666" s="426">
        <f t="shared" si="337"/>
        <v>160</v>
      </c>
      <c r="K666" s="103"/>
      <c r="L666" s="103"/>
      <c r="M666" s="103"/>
      <c r="N666" s="427">
        <f t="shared" si="338"/>
        <v>0</v>
      </c>
      <c r="O666" s="103"/>
      <c r="P666" s="103"/>
      <c r="Q666" s="103"/>
      <c r="R666" s="428">
        <f t="shared" si="339"/>
        <v>0</v>
      </c>
      <c r="S666" s="103"/>
      <c r="T666" s="103"/>
      <c r="U666" s="103"/>
      <c r="V666" s="125"/>
      <c r="W666" s="428">
        <f t="shared" si="343"/>
        <v>0</v>
      </c>
      <c r="X666" s="103">
        <v>2</v>
      </c>
      <c r="Y666" s="103">
        <v>25</v>
      </c>
      <c r="Z666" s="125"/>
      <c r="AA666" s="428">
        <f t="shared" si="344"/>
        <v>27</v>
      </c>
      <c r="AB666" s="103">
        <v>1</v>
      </c>
      <c r="AC666" s="103"/>
      <c r="AD666" s="103"/>
      <c r="AE666" s="428">
        <f t="shared" si="345"/>
        <v>1</v>
      </c>
      <c r="AF666" s="103"/>
      <c r="AG666" s="103"/>
      <c r="AH666" s="103"/>
      <c r="AI666" s="103"/>
      <c r="AJ666" s="428">
        <f t="shared" si="346"/>
        <v>0</v>
      </c>
      <c r="AK666" s="446"/>
      <c r="AL666" s="446"/>
      <c r="AM666" s="446"/>
      <c r="AN666" s="446"/>
      <c r="AO666" s="446"/>
      <c r="AP666" s="446"/>
      <c r="AQ666" s="446"/>
      <c r="AR666" s="431">
        <f t="shared" si="347"/>
        <v>0</v>
      </c>
      <c r="AT666" s="128"/>
      <c r="AU666" s="100" t="s">
        <v>4099</v>
      </c>
      <c r="AV666" s="128" t="s">
        <v>4115</v>
      </c>
      <c r="AW666" s="100" t="s">
        <v>4116</v>
      </c>
      <c r="AX666" s="433">
        <f t="shared" si="348"/>
        <v>0</v>
      </c>
      <c r="AY666" s="433">
        <f t="shared" si="349"/>
        <v>0</v>
      </c>
      <c r="AZ666" s="433">
        <f t="shared" si="350"/>
        <v>0</v>
      </c>
      <c r="BA666" s="433">
        <f t="shared" si="340"/>
        <v>0</v>
      </c>
      <c r="BB666" s="433">
        <f t="shared" si="341"/>
        <v>0</v>
      </c>
      <c r="BC666" s="433">
        <f t="shared" si="342"/>
        <v>0</v>
      </c>
      <c r="BD666" s="433">
        <f t="shared" si="351"/>
        <v>0</v>
      </c>
      <c r="BE666" s="433">
        <f t="shared" si="352"/>
        <v>0</v>
      </c>
      <c r="BF666" s="433">
        <f t="shared" si="353"/>
        <v>0</v>
      </c>
      <c r="BG666" s="433">
        <f t="shared" si="354"/>
        <v>0</v>
      </c>
      <c r="BH666" s="433">
        <f t="shared" si="355"/>
        <v>2</v>
      </c>
      <c r="BI666" s="433">
        <f t="shared" si="356"/>
        <v>25</v>
      </c>
      <c r="BJ666" s="433">
        <f t="shared" si="357"/>
        <v>0</v>
      </c>
      <c r="BK666" s="433">
        <f t="shared" si="358"/>
        <v>1</v>
      </c>
      <c r="BL666" s="433">
        <f t="shared" si="359"/>
        <v>0</v>
      </c>
      <c r="BM666" s="433">
        <f t="shared" si="360"/>
        <v>0</v>
      </c>
      <c r="BN666" s="433">
        <f t="shared" si="361"/>
        <v>0</v>
      </c>
      <c r="BO666" s="433">
        <f t="shared" si="362"/>
        <v>0</v>
      </c>
      <c r="BP666" s="433">
        <f t="shared" si="363"/>
        <v>0</v>
      </c>
      <c r="BQ666" s="433">
        <f t="shared" si="364"/>
        <v>0</v>
      </c>
    </row>
    <row r="667" spans="1:69" x14ac:dyDescent="0.2">
      <c r="A667" s="102">
        <v>41859</v>
      </c>
      <c r="B667" s="319">
        <v>3</v>
      </c>
      <c r="C667" s="118" t="s">
        <v>2068</v>
      </c>
      <c r="D667" s="111">
        <v>0.44930555555555557</v>
      </c>
      <c r="E667" s="111">
        <v>0.6972222222222223</v>
      </c>
      <c r="F667" s="319">
        <v>51</v>
      </c>
      <c r="G667" s="445">
        <v>11</v>
      </c>
      <c r="H667" s="319"/>
      <c r="I667" s="390"/>
      <c r="J667" s="426">
        <f t="shared" si="337"/>
        <v>357.00000000000006</v>
      </c>
      <c r="K667" s="103"/>
      <c r="L667" s="103"/>
      <c r="M667" s="103"/>
      <c r="N667" s="427">
        <f t="shared" si="338"/>
        <v>0</v>
      </c>
      <c r="O667" s="103"/>
      <c r="P667" s="103"/>
      <c r="Q667" s="103"/>
      <c r="R667" s="428">
        <f t="shared" si="339"/>
        <v>0</v>
      </c>
      <c r="S667" s="103"/>
      <c r="T667" s="103"/>
      <c r="U667" s="103"/>
      <c r="V667" s="125"/>
      <c r="W667" s="428">
        <f t="shared" si="343"/>
        <v>0</v>
      </c>
      <c r="X667" s="103">
        <v>1</v>
      </c>
      <c r="Y667" s="103">
        <v>77</v>
      </c>
      <c r="Z667" s="125"/>
      <c r="AA667" s="428">
        <f t="shared" si="344"/>
        <v>78</v>
      </c>
      <c r="AB667" s="103">
        <v>4</v>
      </c>
      <c r="AC667" s="103">
        <v>6</v>
      </c>
      <c r="AD667" s="103"/>
      <c r="AE667" s="428">
        <f t="shared" si="345"/>
        <v>10</v>
      </c>
      <c r="AF667" s="103"/>
      <c r="AG667" s="103"/>
      <c r="AH667" s="103">
        <v>1</v>
      </c>
      <c r="AI667" s="103"/>
      <c r="AJ667" s="428">
        <f t="shared" si="346"/>
        <v>1</v>
      </c>
      <c r="AK667" s="446"/>
      <c r="AL667" s="446"/>
      <c r="AM667" s="446"/>
      <c r="AN667" s="446"/>
      <c r="AO667" s="446"/>
      <c r="AP667" s="446"/>
      <c r="AQ667" s="446"/>
      <c r="AR667" s="431">
        <f t="shared" si="347"/>
        <v>0</v>
      </c>
      <c r="AT667" s="128"/>
      <c r="AU667" s="100" t="s">
        <v>4101</v>
      </c>
      <c r="AV667" s="128" t="s">
        <v>4115</v>
      </c>
      <c r="AW667" s="100" t="s">
        <v>4116</v>
      </c>
      <c r="AX667" s="433">
        <f t="shared" si="348"/>
        <v>0</v>
      </c>
      <c r="AY667" s="433">
        <f t="shared" si="349"/>
        <v>0</v>
      </c>
      <c r="AZ667" s="433">
        <f t="shared" si="350"/>
        <v>0</v>
      </c>
      <c r="BA667" s="433">
        <f t="shared" si="340"/>
        <v>0</v>
      </c>
      <c r="BB667" s="433">
        <f t="shared" si="341"/>
        <v>0</v>
      </c>
      <c r="BC667" s="433">
        <f t="shared" si="342"/>
        <v>0</v>
      </c>
      <c r="BD667" s="433">
        <f t="shared" si="351"/>
        <v>0</v>
      </c>
      <c r="BE667" s="433">
        <f t="shared" si="352"/>
        <v>0</v>
      </c>
      <c r="BF667" s="433">
        <f t="shared" si="353"/>
        <v>0</v>
      </c>
      <c r="BG667" s="433">
        <f t="shared" si="354"/>
        <v>0</v>
      </c>
      <c r="BH667" s="433">
        <f t="shared" si="355"/>
        <v>1</v>
      </c>
      <c r="BI667" s="433">
        <f t="shared" si="356"/>
        <v>77</v>
      </c>
      <c r="BJ667" s="433">
        <f t="shared" si="357"/>
        <v>0</v>
      </c>
      <c r="BK667" s="433">
        <f t="shared" si="358"/>
        <v>4</v>
      </c>
      <c r="BL667" s="433">
        <f t="shared" si="359"/>
        <v>6</v>
      </c>
      <c r="BM667" s="433">
        <f t="shared" si="360"/>
        <v>0</v>
      </c>
      <c r="BN667" s="433">
        <f t="shared" si="361"/>
        <v>0</v>
      </c>
      <c r="BO667" s="433">
        <f t="shared" si="362"/>
        <v>0</v>
      </c>
      <c r="BP667" s="433">
        <f t="shared" si="363"/>
        <v>1</v>
      </c>
      <c r="BQ667" s="433">
        <f t="shared" si="364"/>
        <v>0</v>
      </c>
    </row>
    <row r="668" spans="1:69" s="291" customFormat="1" x14ac:dyDescent="0.2">
      <c r="A668" s="317">
        <v>41859</v>
      </c>
      <c r="B668" s="318">
        <v>3</v>
      </c>
      <c r="C668" s="320" t="s">
        <v>3268</v>
      </c>
      <c r="D668" s="321">
        <v>0.6972222222222223</v>
      </c>
      <c r="E668" s="321">
        <v>0.83680555555555547</v>
      </c>
      <c r="F668" s="318">
        <v>50</v>
      </c>
      <c r="G668" s="435">
        <v>12</v>
      </c>
      <c r="H668" s="318"/>
      <c r="I668" s="436"/>
      <c r="J668" s="437">
        <f t="shared" si="337"/>
        <v>200.99999999999977</v>
      </c>
      <c r="K668" s="285"/>
      <c r="L668" s="285">
        <v>1</v>
      </c>
      <c r="M668" s="285"/>
      <c r="N668" s="438">
        <f t="shared" si="338"/>
        <v>1</v>
      </c>
      <c r="O668" s="285"/>
      <c r="P668" s="285"/>
      <c r="Q668" s="285"/>
      <c r="R668" s="439">
        <f t="shared" si="339"/>
        <v>0</v>
      </c>
      <c r="S668" s="285">
        <v>1</v>
      </c>
      <c r="T668" s="285"/>
      <c r="U668" s="285"/>
      <c r="V668" s="440"/>
      <c r="W668" s="439">
        <f t="shared" si="343"/>
        <v>1</v>
      </c>
      <c r="X668" s="285">
        <v>1</v>
      </c>
      <c r="Y668" s="285">
        <v>51</v>
      </c>
      <c r="Z668" s="440"/>
      <c r="AA668" s="439">
        <f t="shared" si="344"/>
        <v>52</v>
      </c>
      <c r="AB668" s="285">
        <v>1</v>
      </c>
      <c r="AC668" s="285">
        <v>6</v>
      </c>
      <c r="AD668" s="285"/>
      <c r="AE668" s="439">
        <f t="shared" si="345"/>
        <v>7</v>
      </c>
      <c r="AF668" s="285">
        <v>1</v>
      </c>
      <c r="AG668" s="285"/>
      <c r="AH668" s="285"/>
      <c r="AI668" s="285"/>
      <c r="AJ668" s="439">
        <f t="shared" si="346"/>
        <v>1</v>
      </c>
      <c r="AK668" s="340"/>
      <c r="AL668" s="340"/>
      <c r="AM668" s="340"/>
      <c r="AN668" s="340"/>
      <c r="AO668" s="340"/>
      <c r="AP668" s="340"/>
      <c r="AQ668" s="340"/>
      <c r="AR668" s="441">
        <f t="shared" si="347"/>
        <v>0</v>
      </c>
      <c r="AT668" s="313"/>
      <c r="AU668" s="289" t="s">
        <v>4102</v>
      </c>
      <c r="AV668" s="313" t="s">
        <v>4115</v>
      </c>
      <c r="AW668" s="382" t="s">
        <v>4116</v>
      </c>
      <c r="AX668" s="443">
        <f t="shared" si="348"/>
        <v>0</v>
      </c>
      <c r="AY668" s="443">
        <f t="shared" si="349"/>
        <v>1</v>
      </c>
      <c r="AZ668" s="443">
        <f t="shared" si="350"/>
        <v>0</v>
      </c>
      <c r="BA668" s="443">
        <f t="shared" si="340"/>
        <v>0</v>
      </c>
      <c r="BB668" s="443">
        <f t="shared" si="341"/>
        <v>0</v>
      </c>
      <c r="BC668" s="443">
        <f t="shared" si="342"/>
        <v>0</v>
      </c>
      <c r="BD668" s="443">
        <f t="shared" si="351"/>
        <v>1</v>
      </c>
      <c r="BE668" s="443">
        <f t="shared" si="352"/>
        <v>0</v>
      </c>
      <c r="BF668" s="443">
        <f t="shared" si="353"/>
        <v>0</v>
      </c>
      <c r="BG668" s="443">
        <f t="shared" si="354"/>
        <v>0</v>
      </c>
      <c r="BH668" s="443">
        <f t="shared" si="355"/>
        <v>1</v>
      </c>
      <c r="BI668" s="443">
        <f t="shared" si="356"/>
        <v>51</v>
      </c>
      <c r="BJ668" s="443">
        <f t="shared" si="357"/>
        <v>0</v>
      </c>
      <c r="BK668" s="443">
        <f t="shared" si="358"/>
        <v>1</v>
      </c>
      <c r="BL668" s="443">
        <f t="shared" si="359"/>
        <v>6</v>
      </c>
      <c r="BM668" s="443">
        <f t="shared" si="360"/>
        <v>0</v>
      </c>
      <c r="BN668" s="443">
        <f t="shared" si="361"/>
        <v>1</v>
      </c>
      <c r="BO668" s="443">
        <f t="shared" si="362"/>
        <v>0</v>
      </c>
      <c r="BP668" s="443">
        <f t="shared" si="363"/>
        <v>0</v>
      </c>
      <c r="BQ668" s="443">
        <f t="shared" si="364"/>
        <v>0</v>
      </c>
    </row>
    <row r="669" spans="1:69" x14ac:dyDescent="0.2">
      <c r="A669" s="102">
        <v>41860</v>
      </c>
      <c r="B669" s="319">
        <v>1</v>
      </c>
      <c r="C669" s="118" t="s">
        <v>4117</v>
      </c>
      <c r="D669" s="111">
        <v>0.34236111111111112</v>
      </c>
      <c r="E669" s="111">
        <v>0.5805555555555556</v>
      </c>
      <c r="F669" s="319">
        <v>58</v>
      </c>
      <c r="G669" s="445">
        <v>9</v>
      </c>
      <c r="H669" s="319"/>
      <c r="I669" s="390"/>
      <c r="J669" s="426">
        <f t="shared" si="337"/>
        <v>343.00000000000006</v>
      </c>
      <c r="K669" s="103"/>
      <c r="L669" s="103"/>
      <c r="M669" s="103"/>
      <c r="N669" s="427">
        <f t="shared" si="338"/>
        <v>0</v>
      </c>
      <c r="O669" s="103"/>
      <c r="P669" s="103"/>
      <c r="Q669" s="103"/>
      <c r="R669" s="428">
        <f t="shared" si="339"/>
        <v>0</v>
      </c>
      <c r="S669" s="103"/>
      <c r="T669" s="103">
        <v>1</v>
      </c>
      <c r="U669" s="103"/>
      <c r="V669" s="125"/>
      <c r="W669" s="428">
        <f t="shared" si="343"/>
        <v>1</v>
      </c>
      <c r="X669" s="103">
        <v>1</v>
      </c>
      <c r="Y669" s="103">
        <v>13</v>
      </c>
      <c r="Z669" s="125"/>
      <c r="AA669" s="428">
        <f t="shared" si="344"/>
        <v>14</v>
      </c>
      <c r="AB669" s="103">
        <v>2</v>
      </c>
      <c r="AC669" s="103">
        <v>4</v>
      </c>
      <c r="AD669" s="103"/>
      <c r="AE669" s="428">
        <f t="shared" si="345"/>
        <v>6</v>
      </c>
      <c r="AF669" s="103"/>
      <c r="AG669" s="103"/>
      <c r="AH669" s="103"/>
      <c r="AI669" s="103"/>
      <c r="AJ669" s="428">
        <f t="shared" si="346"/>
        <v>0</v>
      </c>
      <c r="AK669" s="446"/>
      <c r="AL669" s="446"/>
      <c r="AM669" s="446"/>
      <c r="AN669" s="446"/>
      <c r="AO669" s="446"/>
      <c r="AP669" s="446"/>
      <c r="AQ669" s="446"/>
      <c r="AR669" s="431">
        <f t="shared" si="347"/>
        <v>0</v>
      </c>
      <c r="AT669" s="128" t="s">
        <v>4118</v>
      </c>
      <c r="AU669" s="100" t="s">
        <v>4119</v>
      </c>
      <c r="AV669" s="128" t="s">
        <v>4136</v>
      </c>
      <c r="AW669" s="100" t="s">
        <v>4137</v>
      </c>
      <c r="AX669" s="433">
        <f t="shared" si="348"/>
        <v>0</v>
      </c>
      <c r="AY669" s="433">
        <f t="shared" si="349"/>
        <v>0</v>
      </c>
      <c r="AZ669" s="433">
        <f t="shared" si="350"/>
        <v>0</v>
      </c>
      <c r="BA669" s="433">
        <f t="shared" si="340"/>
        <v>0</v>
      </c>
      <c r="BB669" s="433">
        <f t="shared" si="341"/>
        <v>0</v>
      </c>
      <c r="BC669" s="433">
        <f t="shared" si="342"/>
        <v>0</v>
      </c>
      <c r="BD669" s="433">
        <f t="shared" si="351"/>
        <v>0</v>
      </c>
      <c r="BE669" s="433">
        <f t="shared" si="352"/>
        <v>1</v>
      </c>
      <c r="BF669" s="433">
        <f t="shared" si="353"/>
        <v>0</v>
      </c>
      <c r="BG669" s="433">
        <f t="shared" si="354"/>
        <v>0</v>
      </c>
      <c r="BH669" s="433">
        <f t="shared" si="355"/>
        <v>1</v>
      </c>
      <c r="BI669" s="433">
        <f t="shared" si="356"/>
        <v>13</v>
      </c>
      <c r="BJ669" s="433">
        <f t="shared" si="357"/>
        <v>0</v>
      </c>
      <c r="BK669" s="433">
        <f t="shared" si="358"/>
        <v>2</v>
      </c>
      <c r="BL669" s="433">
        <f t="shared" si="359"/>
        <v>4</v>
      </c>
      <c r="BM669" s="433">
        <f t="shared" si="360"/>
        <v>0</v>
      </c>
      <c r="BN669" s="433">
        <f t="shared" si="361"/>
        <v>0</v>
      </c>
      <c r="BO669" s="433">
        <f t="shared" si="362"/>
        <v>0</v>
      </c>
      <c r="BP669" s="433">
        <f t="shared" si="363"/>
        <v>0</v>
      </c>
      <c r="BQ669" s="433">
        <f t="shared" si="364"/>
        <v>0</v>
      </c>
    </row>
    <row r="670" spans="1:69" x14ac:dyDescent="0.2">
      <c r="A670" s="102">
        <v>41860</v>
      </c>
      <c r="B670" s="319">
        <v>1</v>
      </c>
      <c r="C670" s="118" t="s">
        <v>4120</v>
      </c>
      <c r="D670" s="111">
        <v>0.5805555555555556</v>
      </c>
      <c r="E670" s="111">
        <v>0.85</v>
      </c>
      <c r="F670" s="319">
        <v>55</v>
      </c>
      <c r="G670" s="445">
        <v>10</v>
      </c>
      <c r="H670" s="319"/>
      <c r="I670" s="390"/>
      <c r="J670" s="426">
        <f t="shared" si="337"/>
        <v>387.99999999999989</v>
      </c>
      <c r="K670" s="103"/>
      <c r="L670" s="103"/>
      <c r="M670" s="103"/>
      <c r="N670" s="427">
        <f t="shared" si="338"/>
        <v>0</v>
      </c>
      <c r="O670" s="103"/>
      <c r="P670" s="103"/>
      <c r="Q670" s="103"/>
      <c r="R670" s="428">
        <f t="shared" si="339"/>
        <v>0</v>
      </c>
      <c r="S670" s="103"/>
      <c r="T670" s="103"/>
      <c r="U670" s="103"/>
      <c r="V670" s="125"/>
      <c r="W670" s="428">
        <f t="shared" si="343"/>
        <v>0</v>
      </c>
      <c r="X670" s="103">
        <v>3</v>
      </c>
      <c r="Y670" s="103">
        <v>36</v>
      </c>
      <c r="Z670" s="125"/>
      <c r="AA670" s="428">
        <f t="shared" si="344"/>
        <v>39</v>
      </c>
      <c r="AB670" s="103"/>
      <c r="AC670" s="103">
        <v>6</v>
      </c>
      <c r="AD670" s="103"/>
      <c r="AE670" s="428">
        <f t="shared" si="345"/>
        <v>6</v>
      </c>
      <c r="AF670" s="103">
        <v>1</v>
      </c>
      <c r="AG670" s="103"/>
      <c r="AH670" s="103"/>
      <c r="AI670" s="103"/>
      <c r="AJ670" s="428">
        <f t="shared" si="346"/>
        <v>1</v>
      </c>
      <c r="AK670" s="446"/>
      <c r="AL670" s="446"/>
      <c r="AM670" s="446"/>
      <c r="AN670" s="446"/>
      <c r="AO670" s="446"/>
      <c r="AP670" s="446"/>
      <c r="AQ670" s="446"/>
      <c r="AR670" s="431">
        <f t="shared" si="347"/>
        <v>0</v>
      </c>
      <c r="AT670" s="128"/>
      <c r="AU670" s="100" t="s">
        <v>4121</v>
      </c>
      <c r="AV670" s="128" t="s">
        <v>4136</v>
      </c>
      <c r="AW670" s="100" t="s">
        <v>4137</v>
      </c>
      <c r="AX670" s="433">
        <f t="shared" si="348"/>
        <v>0</v>
      </c>
      <c r="AY670" s="433">
        <f t="shared" si="349"/>
        <v>0</v>
      </c>
      <c r="AZ670" s="433">
        <f t="shared" si="350"/>
        <v>0</v>
      </c>
      <c r="BA670" s="433">
        <f t="shared" si="340"/>
        <v>0</v>
      </c>
      <c r="BB670" s="433">
        <f t="shared" si="341"/>
        <v>0</v>
      </c>
      <c r="BC670" s="433">
        <f t="shared" si="342"/>
        <v>0</v>
      </c>
      <c r="BD670" s="433">
        <f t="shared" si="351"/>
        <v>0</v>
      </c>
      <c r="BE670" s="433">
        <f t="shared" si="352"/>
        <v>0</v>
      </c>
      <c r="BF670" s="433">
        <f t="shared" si="353"/>
        <v>0</v>
      </c>
      <c r="BG670" s="433">
        <f t="shared" si="354"/>
        <v>0</v>
      </c>
      <c r="BH670" s="433">
        <f t="shared" si="355"/>
        <v>3</v>
      </c>
      <c r="BI670" s="433">
        <f t="shared" si="356"/>
        <v>36</v>
      </c>
      <c r="BJ670" s="433">
        <f t="shared" si="357"/>
        <v>0</v>
      </c>
      <c r="BK670" s="433">
        <f t="shared" si="358"/>
        <v>0</v>
      </c>
      <c r="BL670" s="433">
        <f t="shared" si="359"/>
        <v>6</v>
      </c>
      <c r="BM670" s="433">
        <f t="shared" si="360"/>
        <v>0</v>
      </c>
      <c r="BN670" s="433">
        <f t="shared" si="361"/>
        <v>1</v>
      </c>
      <c r="BO670" s="433">
        <f t="shared" si="362"/>
        <v>0</v>
      </c>
      <c r="BP670" s="433">
        <f t="shared" si="363"/>
        <v>0</v>
      </c>
      <c r="BQ670" s="433">
        <f t="shared" si="364"/>
        <v>0</v>
      </c>
    </row>
    <row r="671" spans="1:69" x14ac:dyDescent="0.2">
      <c r="A671" s="102">
        <v>41860</v>
      </c>
      <c r="B671" s="319">
        <v>2</v>
      </c>
      <c r="C671" s="118" t="s">
        <v>4117</v>
      </c>
      <c r="D671" s="111">
        <v>0.3347222222222222</v>
      </c>
      <c r="E671" s="111">
        <v>0.57013888888888886</v>
      </c>
      <c r="F671" s="319">
        <v>54</v>
      </c>
      <c r="G671" s="445">
        <v>11</v>
      </c>
      <c r="H671" s="319"/>
      <c r="I671" s="390"/>
      <c r="J671" s="426">
        <f t="shared" si="337"/>
        <v>339</v>
      </c>
      <c r="K671" s="103"/>
      <c r="L671" s="103"/>
      <c r="M671" s="103"/>
      <c r="N671" s="427">
        <f t="shared" si="338"/>
        <v>0</v>
      </c>
      <c r="O671" s="103"/>
      <c r="P671" s="103"/>
      <c r="Q671" s="103"/>
      <c r="R671" s="428">
        <f t="shared" si="339"/>
        <v>0</v>
      </c>
      <c r="S671" s="103"/>
      <c r="T671" s="103"/>
      <c r="U671" s="103"/>
      <c r="V671" s="125"/>
      <c r="W671" s="428">
        <f t="shared" si="343"/>
        <v>0</v>
      </c>
      <c r="X671" s="103"/>
      <c r="Y671" s="103"/>
      <c r="Z671" s="125"/>
      <c r="AA671" s="428">
        <f t="shared" si="344"/>
        <v>0</v>
      </c>
      <c r="AB671" s="103">
        <v>1</v>
      </c>
      <c r="AC671" s="103">
        <v>3</v>
      </c>
      <c r="AD671" s="103"/>
      <c r="AE671" s="428">
        <f t="shared" si="345"/>
        <v>4</v>
      </c>
      <c r="AF671" s="103"/>
      <c r="AG671" s="103"/>
      <c r="AH671" s="103"/>
      <c r="AI671" s="103"/>
      <c r="AJ671" s="428">
        <f t="shared" si="346"/>
        <v>0</v>
      </c>
      <c r="AK671" s="446"/>
      <c r="AL671" s="446"/>
      <c r="AM671" s="446"/>
      <c r="AN671" s="446"/>
      <c r="AO671" s="446"/>
      <c r="AP671" s="446"/>
      <c r="AQ671" s="446"/>
      <c r="AR671" s="431">
        <f t="shared" si="347"/>
        <v>0</v>
      </c>
      <c r="AT671" s="128"/>
      <c r="AU671" s="100" t="s">
        <v>4119</v>
      </c>
      <c r="AV671" s="128" t="s">
        <v>4136</v>
      </c>
      <c r="AW671" s="100" t="s">
        <v>4137</v>
      </c>
      <c r="AX671" s="433">
        <f t="shared" si="348"/>
        <v>0</v>
      </c>
      <c r="AY671" s="433">
        <f t="shared" si="349"/>
        <v>0</v>
      </c>
      <c r="AZ671" s="433">
        <f t="shared" si="350"/>
        <v>0</v>
      </c>
      <c r="BA671" s="433">
        <f t="shared" si="340"/>
        <v>0</v>
      </c>
      <c r="BB671" s="433">
        <f t="shared" si="341"/>
        <v>0</v>
      </c>
      <c r="BC671" s="433">
        <f t="shared" si="342"/>
        <v>0</v>
      </c>
      <c r="BD671" s="433">
        <f t="shared" si="351"/>
        <v>0</v>
      </c>
      <c r="BE671" s="433">
        <f t="shared" si="352"/>
        <v>0</v>
      </c>
      <c r="BF671" s="433">
        <f t="shared" si="353"/>
        <v>0</v>
      </c>
      <c r="BG671" s="433">
        <f t="shared" si="354"/>
        <v>0</v>
      </c>
      <c r="BH671" s="433">
        <f t="shared" si="355"/>
        <v>0</v>
      </c>
      <c r="BI671" s="433">
        <f t="shared" si="356"/>
        <v>0</v>
      </c>
      <c r="BJ671" s="433">
        <f t="shared" si="357"/>
        <v>0</v>
      </c>
      <c r="BK671" s="433">
        <f t="shared" si="358"/>
        <v>1</v>
      </c>
      <c r="BL671" s="433">
        <f t="shared" si="359"/>
        <v>3</v>
      </c>
      <c r="BM671" s="433">
        <f t="shared" si="360"/>
        <v>0</v>
      </c>
      <c r="BN671" s="433">
        <f t="shared" si="361"/>
        <v>0</v>
      </c>
      <c r="BO671" s="433">
        <f t="shared" si="362"/>
        <v>0</v>
      </c>
      <c r="BP671" s="433">
        <f t="shared" si="363"/>
        <v>0</v>
      </c>
      <c r="BQ671" s="433">
        <f t="shared" si="364"/>
        <v>0</v>
      </c>
    </row>
    <row r="672" spans="1:69" x14ac:dyDescent="0.2">
      <c r="A672" s="102">
        <v>41860</v>
      </c>
      <c r="B672" s="319">
        <v>2</v>
      </c>
      <c r="C672" s="118" t="s">
        <v>4120</v>
      </c>
      <c r="D672" s="111">
        <v>0.57013888888888886</v>
      </c>
      <c r="E672" s="111">
        <v>0.83472222222222225</v>
      </c>
      <c r="F672" s="319">
        <v>35</v>
      </c>
      <c r="G672" s="445">
        <v>12</v>
      </c>
      <c r="H672" s="319"/>
      <c r="I672" s="390"/>
      <c r="J672" s="426">
        <f t="shared" si="337"/>
        <v>381.00000000000011</v>
      </c>
      <c r="K672" s="103"/>
      <c r="L672" s="103"/>
      <c r="M672" s="103"/>
      <c r="N672" s="427">
        <f t="shared" si="338"/>
        <v>0</v>
      </c>
      <c r="O672" s="103"/>
      <c r="P672" s="103"/>
      <c r="Q672" s="103"/>
      <c r="R672" s="428">
        <f t="shared" si="339"/>
        <v>0</v>
      </c>
      <c r="S672" s="103"/>
      <c r="T672" s="103"/>
      <c r="U672" s="103"/>
      <c r="V672" s="125"/>
      <c r="W672" s="428">
        <f t="shared" si="343"/>
        <v>0</v>
      </c>
      <c r="X672" s="103"/>
      <c r="Y672" s="103"/>
      <c r="Z672" s="125"/>
      <c r="AA672" s="428">
        <f t="shared" si="344"/>
        <v>0</v>
      </c>
      <c r="AB672" s="103"/>
      <c r="AC672" s="103">
        <v>4</v>
      </c>
      <c r="AD672" s="103"/>
      <c r="AE672" s="428">
        <f t="shared" si="345"/>
        <v>4</v>
      </c>
      <c r="AF672" s="103"/>
      <c r="AG672" s="103"/>
      <c r="AH672" s="103"/>
      <c r="AI672" s="103"/>
      <c r="AJ672" s="428">
        <f t="shared" si="346"/>
        <v>0</v>
      </c>
      <c r="AK672" s="446"/>
      <c r="AL672" s="446"/>
      <c r="AM672" s="446">
        <v>1</v>
      </c>
      <c r="AN672" s="446"/>
      <c r="AO672" s="446"/>
      <c r="AP672" s="446"/>
      <c r="AQ672" s="446"/>
      <c r="AR672" s="431">
        <f t="shared" si="347"/>
        <v>1</v>
      </c>
      <c r="AT672" s="128"/>
      <c r="AU672" s="100" t="s">
        <v>4121</v>
      </c>
      <c r="AV672" s="128" t="s">
        <v>4136</v>
      </c>
      <c r="AW672" s="100" t="s">
        <v>4137</v>
      </c>
      <c r="AX672" s="433">
        <f t="shared" si="348"/>
        <v>0</v>
      </c>
      <c r="AY672" s="433">
        <f t="shared" si="349"/>
        <v>0</v>
      </c>
      <c r="AZ672" s="433">
        <f t="shared" si="350"/>
        <v>0</v>
      </c>
      <c r="BA672" s="433">
        <f t="shared" si="340"/>
        <v>0</v>
      </c>
      <c r="BB672" s="433">
        <f t="shared" si="341"/>
        <v>0</v>
      </c>
      <c r="BC672" s="433">
        <f t="shared" si="342"/>
        <v>0</v>
      </c>
      <c r="BD672" s="433">
        <f t="shared" si="351"/>
        <v>0</v>
      </c>
      <c r="BE672" s="433">
        <f t="shared" si="352"/>
        <v>0</v>
      </c>
      <c r="BF672" s="433">
        <f t="shared" si="353"/>
        <v>0</v>
      </c>
      <c r="BG672" s="433">
        <f t="shared" si="354"/>
        <v>0</v>
      </c>
      <c r="BH672" s="433">
        <f t="shared" si="355"/>
        <v>0</v>
      </c>
      <c r="BI672" s="433">
        <f t="shared" si="356"/>
        <v>0</v>
      </c>
      <c r="BJ672" s="433">
        <f t="shared" si="357"/>
        <v>0</v>
      </c>
      <c r="BK672" s="433">
        <f t="shared" si="358"/>
        <v>0</v>
      </c>
      <c r="BL672" s="433">
        <f t="shared" si="359"/>
        <v>4</v>
      </c>
      <c r="BM672" s="433">
        <f t="shared" si="360"/>
        <v>0</v>
      </c>
      <c r="BN672" s="433">
        <f t="shared" si="361"/>
        <v>0</v>
      </c>
      <c r="BO672" s="433">
        <f t="shared" si="362"/>
        <v>0</v>
      </c>
      <c r="BP672" s="433">
        <f t="shared" si="363"/>
        <v>0</v>
      </c>
      <c r="BQ672" s="433">
        <f t="shared" si="364"/>
        <v>0</v>
      </c>
    </row>
    <row r="673" spans="1:69" x14ac:dyDescent="0.2">
      <c r="A673" s="102">
        <v>41860</v>
      </c>
      <c r="B673" s="319">
        <v>3</v>
      </c>
      <c r="C673" s="118" t="s">
        <v>4122</v>
      </c>
      <c r="D673" s="111">
        <v>0.3354166666666667</v>
      </c>
      <c r="E673" s="111">
        <v>0.45</v>
      </c>
      <c r="F673" s="319">
        <v>51</v>
      </c>
      <c r="G673" s="445">
        <v>10</v>
      </c>
      <c r="H673" s="319"/>
      <c r="I673" s="390"/>
      <c r="J673" s="426">
        <f t="shared" si="337"/>
        <v>164.99999999999997</v>
      </c>
      <c r="K673" s="103"/>
      <c r="L673" s="103">
        <v>1</v>
      </c>
      <c r="M673" s="103"/>
      <c r="N673" s="427">
        <f t="shared" si="338"/>
        <v>1</v>
      </c>
      <c r="O673" s="103"/>
      <c r="P673" s="103"/>
      <c r="Q673" s="103"/>
      <c r="R673" s="428">
        <f t="shared" si="339"/>
        <v>0</v>
      </c>
      <c r="S673" s="103"/>
      <c r="T673" s="103"/>
      <c r="U673" s="103"/>
      <c r="V673" s="125"/>
      <c r="W673" s="428">
        <f t="shared" si="343"/>
        <v>0</v>
      </c>
      <c r="X673" s="103">
        <v>1</v>
      </c>
      <c r="Y673" s="103">
        <v>17</v>
      </c>
      <c r="Z673" s="125"/>
      <c r="AA673" s="428">
        <f t="shared" si="344"/>
        <v>18</v>
      </c>
      <c r="AB673" s="103">
        <v>2</v>
      </c>
      <c r="AC673" s="103">
        <v>3</v>
      </c>
      <c r="AD673" s="103"/>
      <c r="AE673" s="428">
        <f t="shared" si="345"/>
        <v>5</v>
      </c>
      <c r="AF673" s="103"/>
      <c r="AG673" s="103"/>
      <c r="AH673" s="103"/>
      <c r="AI673" s="103"/>
      <c r="AJ673" s="428">
        <f t="shared" si="346"/>
        <v>0</v>
      </c>
      <c r="AK673" s="446"/>
      <c r="AL673" s="446"/>
      <c r="AM673" s="446"/>
      <c r="AN673" s="446"/>
      <c r="AO673" s="446"/>
      <c r="AP673" s="446"/>
      <c r="AQ673" s="446"/>
      <c r="AR673" s="431">
        <f t="shared" si="347"/>
        <v>0</v>
      </c>
      <c r="AT673" s="128"/>
      <c r="AU673" s="100" t="s">
        <v>4123</v>
      </c>
      <c r="AV673" s="128" t="s">
        <v>4136</v>
      </c>
      <c r="AW673" s="100" t="s">
        <v>4137</v>
      </c>
      <c r="AX673" s="433">
        <f t="shared" si="348"/>
        <v>0</v>
      </c>
      <c r="AY673" s="433">
        <f t="shared" si="349"/>
        <v>1</v>
      </c>
      <c r="AZ673" s="433">
        <f t="shared" si="350"/>
        <v>0</v>
      </c>
      <c r="BA673" s="433">
        <f t="shared" si="340"/>
        <v>0</v>
      </c>
      <c r="BB673" s="433">
        <f t="shared" si="341"/>
        <v>0</v>
      </c>
      <c r="BC673" s="433">
        <f t="shared" si="342"/>
        <v>0</v>
      </c>
      <c r="BD673" s="433">
        <f t="shared" si="351"/>
        <v>0</v>
      </c>
      <c r="BE673" s="433">
        <f t="shared" si="352"/>
        <v>0</v>
      </c>
      <c r="BF673" s="433">
        <f t="shared" si="353"/>
        <v>0</v>
      </c>
      <c r="BG673" s="433">
        <f t="shared" si="354"/>
        <v>0</v>
      </c>
      <c r="BH673" s="433">
        <f t="shared" si="355"/>
        <v>1</v>
      </c>
      <c r="BI673" s="433">
        <f t="shared" si="356"/>
        <v>17</v>
      </c>
      <c r="BJ673" s="433">
        <f t="shared" si="357"/>
        <v>0</v>
      </c>
      <c r="BK673" s="433">
        <f t="shared" si="358"/>
        <v>2</v>
      </c>
      <c r="BL673" s="433">
        <f t="shared" si="359"/>
        <v>3</v>
      </c>
      <c r="BM673" s="433">
        <f t="shared" si="360"/>
        <v>0</v>
      </c>
      <c r="BN673" s="433">
        <f t="shared" si="361"/>
        <v>0</v>
      </c>
      <c r="BO673" s="433">
        <f t="shared" si="362"/>
        <v>0</v>
      </c>
      <c r="BP673" s="433">
        <f t="shared" si="363"/>
        <v>0</v>
      </c>
      <c r="BQ673" s="433">
        <f t="shared" si="364"/>
        <v>0</v>
      </c>
    </row>
    <row r="674" spans="1:69" x14ac:dyDescent="0.2">
      <c r="A674" s="102">
        <v>41860</v>
      </c>
      <c r="B674" s="319">
        <v>3</v>
      </c>
      <c r="C674" s="118" t="s">
        <v>4124</v>
      </c>
      <c r="D674" s="111">
        <v>0.45</v>
      </c>
      <c r="E674" s="111">
        <v>0.70277777777777783</v>
      </c>
      <c r="F674" s="319">
        <v>49</v>
      </c>
      <c r="G674" s="445">
        <v>11</v>
      </c>
      <c r="H674" s="319"/>
      <c r="I674" s="390"/>
      <c r="J674" s="426">
        <f t="shared" si="337"/>
        <v>364.00000000000011</v>
      </c>
      <c r="K674" s="103"/>
      <c r="L674" s="103"/>
      <c r="M674" s="103"/>
      <c r="N674" s="427">
        <f t="shared" si="338"/>
        <v>0</v>
      </c>
      <c r="O674" s="103"/>
      <c r="P674" s="103"/>
      <c r="Q674" s="103"/>
      <c r="R674" s="428">
        <f t="shared" si="339"/>
        <v>0</v>
      </c>
      <c r="S674" s="103"/>
      <c r="T674" s="103"/>
      <c r="U674" s="103"/>
      <c r="V674" s="125"/>
      <c r="W674" s="428">
        <f t="shared" si="343"/>
        <v>0</v>
      </c>
      <c r="X674" s="103">
        <v>2</v>
      </c>
      <c r="Y674" s="103">
        <v>55</v>
      </c>
      <c r="Z674" s="125"/>
      <c r="AA674" s="428">
        <f t="shared" si="344"/>
        <v>57</v>
      </c>
      <c r="AB674" s="103"/>
      <c r="AC674" s="103">
        <v>14</v>
      </c>
      <c r="AD674" s="103"/>
      <c r="AE674" s="428">
        <f t="shared" si="345"/>
        <v>14</v>
      </c>
      <c r="AF674" s="103">
        <v>1</v>
      </c>
      <c r="AG674" s="103">
        <v>1</v>
      </c>
      <c r="AH674" s="103"/>
      <c r="AI674" s="103"/>
      <c r="AJ674" s="428">
        <f t="shared" si="346"/>
        <v>2</v>
      </c>
      <c r="AK674" s="446"/>
      <c r="AL674" s="446"/>
      <c r="AM674" s="446">
        <v>1</v>
      </c>
      <c r="AN674" s="446"/>
      <c r="AO674" s="446"/>
      <c r="AP674" s="446"/>
      <c r="AQ674" s="446"/>
      <c r="AR674" s="431">
        <f t="shared" si="347"/>
        <v>1</v>
      </c>
      <c r="AT674" s="128"/>
      <c r="AU674" s="100" t="s">
        <v>4115</v>
      </c>
      <c r="AV674" s="128" t="s">
        <v>4136</v>
      </c>
      <c r="AW674" s="100" t="s">
        <v>4137</v>
      </c>
      <c r="AX674" s="433">
        <f t="shared" si="348"/>
        <v>0</v>
      </c>
      <c r="AY674" s="433">
        <f t="shared" si="349"/>
        <v>0</v>
      </c>
      <c r="AZ674" s="433">
        <f t="shared" si="350"/>
        <v>0</v>
      </c>
      <c r="BA674" s="433">
        <f t="shared" si="340"/>
        <v>0</v>
      </c>
      <c r="BB674" s="433">
        <f t="shared" si="341"/>
        <v>0</v>
      </c>
      <c r="BC674" s="433">
        <f t="shared" si="342"/>
        <v>0</v>
      </c>
      <c r="BD674" s="433">
        <f t="shared" si="351"/>
        <v>0</v>
      </c>
      <c r="BE674" s="433">
        <f t="shared" si="352"/>
        <v>0</v>
      </c>
      <c r="BF674" s="433">
        <f t="shared" si="353"/>
        <v>0</v>
      </c>
      <c r="BG674" s="433">
        <f t="shared" si="354"/>
        <v>0</v>
      </c>
      <c r="BH674" s="433">
        <f t="shared" si="355"/>
        <v>2</v>
      </c>
      <c r="BI674" s="433">
        <f t="shared" si="356"/>
        <v>55</v>
      </c>
      <c r="BJ674" s="433">
        <f t="shared" si="357"/>
        <v>0</v>
      </c>
      <c r="BK674" s="433">
        <f t="shared" si="358"/>
        <v>0</v>
      </c>
      <c r="BL674" s="433">
        <f t="shared" si="359"/>
        <v>14</v>
      </c>
      <c r="BM674" s="433">
        <f t="shared" si="360"/>
        <v>0</v>
      </c>
      <c r="BN674" s="433">
        <f t="shared" si="361"/>
        <v>1</v>
      </c>
      <c r="BO674" s="433">
        <f t="shared" si="362"/>
        <v>1</v>
      </c>
      <c r="BP674" s="433">
        <f t="shared" si="363"/>
        <v>0</v>
      </c>
      <c r="BQ674" s="433">
        <f t="shared" si="364"/>
        <v>0</v>
      </c>
    </row>
    <row r="675" spans="1:69" s="291" customFormat="1" x14ac:dyDescent="0.2">
      <c r="A675" s="317">
        <v>41860</v>
      </c>
      <c r="B675" s="318">
        <v>3</v>
      </c>
      <c r="C675" s="320" t="s">
        <v>4117</v>
      </c>
      <c r="D675" s="321">
        <v>0.70277777777777783</v>
      </c>
      <c r="E675" s="321">
        <v>0.8354166666666667</v>
      </c>
      <c r="F675" s="318">
        <v>48</v>
      </c>
      <c r="G675" s="435">
        <v>11</v>
      </c>
      <c r="H675" s="318"/>
      <c r="I675" s="436"/>
      <c r="J675" s="437">
        <f t="shared" si="337"/>
        <v>190.99999999999997</v>
      </c>
      <c r="K675" s="285"/>
      <c r="L675" s="285"/>
      <c r="M675" s="285"/>
      <c r="N675" s="438">
        <f t="shared" si="338"/>
        <v>0</v>
      </c>
      <c r="O675" s="285"/>
      <c r="P675" s="285"/>
      <c r="Q675" s="285"/>
      <c r="R675" s="439">
        <f t="shared" si="339"/>
        <v>0</v>
      </c>
      <c r="S675" s="285"/>
      <c r="T675" s="285"/>
      <c r="U675" s="285"/>
      <c r="V675" s="440"/>
      <c r="W675" s="439">
        <f t="shared" si="343"/>
        <v>0</v>
      </c>
      <c r="X675" s="285">
        <v>1</v>
      </c>
      <c r="Y675" s="285">
        <v>31</v>
      </c>
      <c r="Z675" s="440"/>
      <c r="AA675" s="439">
        <f t="shared" si="344"/>
        <v>32</v>
      </c>
      <c r="AB675" s="285"/>
      <c r="AC675" s="285">
        <v>7</v>
      </c>
      <c r="AD675" s="285"/>
      <c r="AE675" s="439">
        <f t="shared" si="345"/>
        <v>7</v>
      </c>
      <c r="AF675" s="285">
        <v>2</v>
      </c>
      <c r="AG675" s="285">
        <v>1</v>
      </c>
      <c r="AH675" s="285"/>
      <c r="AI675" s="285"/>
      <c r="AJ675" s="439">
        <f t="shared" si="346"/>
        <v>3</v>
      </c>
      <c r="AK675" s="340"/>
      <c r="AL675" s="340"/>
      <c r="AM675" s="340"/>
      <c r="AN675" s="340"/>
      <c r="AO675" s="340"/>
      <c r="AP675" s="340"/>
      <c r="AQ675" s="340"/>
      <c r="AR675" s="441">
        <f t="shared" si="347"/>
        <v>0</v>
      </c>
      <c r="AT675" s="313"/>
      <c r="AU675" s="289" t="s">
        <v>4119</v>
      </c>
      <c r="AV675" s="313" t="s">
        <v>4136</v>
      </c>
      <c r="AW675" s="382" t="s">
        <v>4137</v>
      </c>
      <c r="AX675" s="443">
        <f t="shared" si="348"/>
        <v>0</v>
      </c>
      <c r="AY675" s="443">
        <f t="shared" si="349"/>
        <v>0</v>
      </c>
      <c r="AZ675" s="443">
        <f t="shared" si="350"/>
        <v>0</v>
      </c>
      <c r="BA675" s="443">
        <f t="shared" si="340"/>
        <v>0</v>
      </c>
      <c r="BB675" s="443">
        <f t="shared" si="341"/>
        <v>0</v>
      </c>
      <c r="BC675" s="443">
        <f t="shared" si="342"/>
        <v>0</v>
      </c>
      <c r="BD675" s="443">
        <f t="shared" si="351"/>
        <v>0</v>
      </c>
      <c r="BE675" s="443">
        <f t="shared" si="352"/>
        <v>0</v>
      </c>
      <c r="BF675" s="443">
        <f t="shared" si="353"/>
        <v>0</v>
      </c>
      <c r="BG675" s="443">
        <f t="shared" si="354"/>
        <v>0</v>
      </c>
      <c r="BH675" s="443">
        <f t="shared" si="355"/>
        <v>1</v>
      </c>
      <c r="BI675" s="443">
        <f t="shared" si="356"/>
        <v>31</v>
      </c>
      <c r="BJ675" s="443">
        <f t="shared" si="357"/>
        <v>0</v>
      </c>
      <c r="BK675" s="443">
        <f t="shared" si="358"/>
        <v>0</v>
      </c>
      <c r="BL675" s="443">
        <f t="shared" si="359"/>
        <v>7</v>
      </c>
      <c r="BM675" s="443">
        <f t="shared" si="360"/>
        <v>0</v>
      </c>
      <c r="BN675" s="443">
        <f t="shared" si="361"/>
        <v>2</v>
      </c>
      <c r="BO675" s="443">
        <f t="shared" si="362"/>
        <v>1</v>
      </c>
      <c r="BP675" s="443">
        <f t="shared" si="363"/>
        <v>0</v>
      </c>
      <c r="BQ675" s="443">
        <f t="shared" si="364"/>
        <v>0</v>
      </c>
    </row>
    <row r="676" spans="1:69" x14ac:dyDescent="0.2">
      <c r="A676" s="102">
        <v>41861</v>
      </c>
      <c r="B676" s="319">
        <v>1</v>
      </c>
      <c r="C676" s="118" t="s">
        <v>2641</v>
      </c>
      <c r="D676" s="111">
        <v>0.34166666666666662</v>
      </c>
      <c r="E676" s="111">
        <v>0.5708333333333333</v>
      </c>
      <c r="F676" s="319">
        <v>54</v>
      </c>
      <c r="G676" s="445">
        <v>11</v>
      </c>
      <c r="H676" s="319"/>
      <c r="I676" s="390"/>
      <c r="J676" s="426">
        <f t="shared" si="337"/>
        <v>330</v>
      </c>
      <c r="K676" s="103"/>
      <c r="L676" s="103">
        <v>1</v>
      </c>
      <c r="M676" s="103"/>
      <c r="N676" s="427">
        <f t="shared" si="338"/>
        <v>1</v>
      </c>
      <c r="O676" s="103"/>
      <c r="P676" s="103"/>
      <c r="Q676" s="103"/>
      <c r="R676" s="428">
        <f t="shared" si="339"/>
        <v>0</v>
      </c>
      <c r="S676" s="103"/>
      <c r="T676" s="103"/>
      <c r="U676" s="103"/>
      <c r="V676" s="125"/>
      <c r="W676" s="428">
        <f t="shared" si="343"/>
        <v>0</v>
      </c>
      <c r="X676" s="103"/>
      <c r="Y676" s="103">
        <v>30</v>
      </c>
      <c r="Z676" s="125"/>
      <c r="AA676" s="428">
        <f t="shared" si="344"/>
        <v>30</v>
      </c>
      <c r="AB676" s="103">
        <v>1</v>
      </c>
      <c r="AC676" s="103">
        <v>14</v>
      </c>
      <c r="AD676" s="103"/>
      <c r="AE676" s="428">
        <f t="shared" si="345"/>
        <v>15</v>
      </c>
      <c r="AF676" s="103">
        <v>1</v>
      </c>
      <c r="AG676" s="103"/>
      <c r="AH676" s="103"/>
      <c r="AI676" s="103"/>
      <c r="AJ676" s="428">
        <f t="shared" si="346"/>
        <v>1</v>
      </c>
      <c r="AK676" s="446"/>
      <c r="AL676" s="446"/>
      <c r="AM676" s="446"/>
      <c r="AN676" s="446"/>
      <c r="AO676" s="446"/>
      <c r="AP676" s="446"/>
      <c r="AQ676" s="446"/>
      <c r="AR676" s="431">
        <f t="shared" si="347"/>
        <v>0</v>
      </c>
      <c r="AS676" s="10" t="s">
        <v>4138</v>
      </c>
      <c r="AT676" s="128"/>
      <c r="AU676" s="100" t="s">
        <v>4139</v>
      </c>
      <c r="AV676" s="128" t="s">
        <v>4136</v>
      </c>
      <c r="AW676" s="100" t="s">
        <v>4159</v>
      </c>
      <c r="AX676" s="433">
        <f t="shared" si="348"/>
        <v>0</v>
      </c>
      <c r="AY676" s="433">
        <f t="shared" si="349"/>
        <v>1</v>
      </c>
      <c r="AZ676" s="433">
        <f t="shared" si="350"/>
        <v>0</v>
      </c>
      <c r="BA676" s="433">
        <f t="shared" si="340"/>
        <v>0</v>
      </c>
      <c r="BB676" s="433">
        <f t="shared" si="341"/>
        <v>0</v>
      </c>
      <c r="BC676" s="433">
        <f t="shared" si="342"/>
        <v>0</v>
      </c>
      <c r="BD676" s="433">
        <f t="shared" si="351"/>
        <v>0</v>
      </c>
      <c r="BE676" s="433">
        <f t="shared" si="352"/>
        <v>0</v>
      </c>
      <c r="BF676" s="433">
        <f t="shared" si="353"/>
        <v>0</v>
      </c>
      <c r="BG676" s="433">
        <f t="shared" si="354"/>
        <v>0</v>
      </c>
      <c r="BH676" s="433">
        <f t="shared" si="355"/>
        <v>0</v>
      </c>
      <c r="BI676" s="433">
        <f t="shared" si="356"/>
        <v>30</v>
      </c>
      <c r="BJ676" s="433">
        <f t="shared" si="357"/>
        <v>0</v>
      </c>
      <c r="BK676" s="433">
        <f t="shared" si="358"/>
        <v>1</v>
      </c>
      <c r="BL676" s="433">
        <f t="shared" si="359"/>
        <v>14</v>
      </c>
      <c r="BM676" s="433">
        <f t="shared" si="360"/>
        <v>0</v>
      </c>
      <c r="BN676" s="433">
        <f t="shared" si="361"/>
        <v>1</v>
      </c>
      <c r="BO676" s="433">
        <f t="shared" si="362"/>
        <v>0</v>
      </c>
      <c r="BP676" s="433">
        <f t="shared" si="363"/>
        <v>0</v>
      </c>
      <c r="BQ676" s="433">
        <f t="shared" si="364"/>
        <v>0</v>
      </c>
    </row>
    <row r="677" spans="1:69" x14ac:dyDescent="0.2">
      <c r="A677" s="102">
        <v>41861</v>
      </c>
      <c r="B677" s="319">
        <v>1</v>
      </c>
      <c r="C677" s="118" t="s">
        <v>4140</v>
      </c>
      <c r="D677" s="111">
        <v>0.5708333333333333</v>
      </c>
      <c r="E677" s="111">
        <v>0.85555555555555562</v>
      </c>
      <c r="F677" s="319">
        <v>57</v>
      </c>
      <c r="G677" s="445">
        <v>14</v>
      </c>
      <c r="H677" s="319"/>
      <c r="I677" s="390">
        <v>77</v>
      </c>
      <c r="J677" s="426">
        <f t="shared" si="337"/>
        <v>410.00000000000011</v>
      </c>
      <c r="K677" s="103"/>
      <c r="L677" s="103"/>
      <c r="M677" s="103"/>
      <c r="N677" s="427">
        <f t="shared" si="338"/>
        <v>0</v>
      </c>
      <c r="O677" s="103"/>
      <c r="P677" s="103"/>
      <c r="Q677" s="103"/>
      <c r="R677" s="428">
        <f t="shared" si="339"/>
        <v>0</v>
      </c>
      <c r="S677" s="103"/>
      <c r="T677" s="103"/>
      <c r="U677" s="103"/>
      <c r="V677" s="125"/>
      <c r="W677" s="428">
        <f t="shared" si="343"/>
        <v>0</v>
      </c>
      <c r="X677" s="103"/>
      <c r="Y677" s="103">
        <v>39</v>
      </c>
      <c r="Z677" s="125"/>
      <c r="AA677" s="428">
        <f t="shared" si="344"/>
        <v>39</v>
      </c>
      <c r="AB677" s="103">
        <v>1</v>
      </c>
      <c r="AC677" s="103">
        <v>21</v>
      </c>
      <c r="AD677" s="103"/>
      <c r="AE677" s="428">
        <f t="shared" si="345"/>
        <v>22</v>
      </c>
      <c r="AF677" s="103">
        <v>1</v>
      </c>
      <c r="AG677" s="103">
        <v>1</v>
      </c>
      <c r="AH677" s="103"/>
      <c r="AI677" s="103"/>
      <c r="AJ677" s="428">
        <f t="shared" si="346"/>
        <v>2</v>
      </c>
      <c r="AK677" s="446"/>
      <c r="AL677" s="446"/>
      <c r="AM677" s="446"/>
      <c r="AN677" s="446"/>
      <c r="AO677" s="446"/>
      <c r="AP677" s="446"/>
      <c r="AQ677" s="446"/>
      <c r="AR677" s="431">
        <f t="shared" si="347"/>
        <v>0</v>
      </c>
      <c r="AT677" s="128" t="s">
        <v>4141</v>
      </c>
      <c r="AU677" s="100" t="s">
        <v>4142</v>
      </c>
      <c r="AV677" s="128" t="s">
        <v>4136</v>
      </c>
      <c r="AW677" s="100" t="s">
        <v>4159</v>
      </c>
      <c r="AX677" s="433">
        <f t="shared" si="348"/>
        <v>0</v>
      </c>
      <c r="AY677" s="433">
        <f t="shared" si="349"/>
        <v>0</v>
      </c>
      <c r="AZ677" s="433">
        <f t="shared" si="350"/>
        <v>0</v>
      </c>
      <c r="BA677" s="433">
        <f t="shared" si="340"/>
        <v>0</v>
      </c>
      <c r="BB677" s="433">
        <f t="shared" si="341"/>
        <v>0</v>
      </c>
      <c r="BC677" s="433">
        <f t="shared" si="342"/>
        <v>0</v>
      </c>
      <c r="BD677" s="433">
        <f t="shared" si="351"/>
        <v>0</v>
      </c>
      <c r="BE677" s="433">
        <f t="shared" si="352"/>
        <v>0</v>
      </c>
      <c r="BF677" s="433">
        <f t="shared" si="353"/>
        <v>0</v>
      </c>
      <c r="BG677" s="433">
        <f t="shared" si="354"/>
        <v>0</v>
      </c>
      <c r="BH677" s="433">
        <f t="shared" si="355"/>
        <v>0</v>
      </c>
      <c r="BI677" s="433">
        <f t="shared" si="356"/>
        <v>39</v>
      </c>
      <c r="BJ677" s="433">
        <f t="shared" si="357"/>
        <v>0</v>
      </c>
      <c r="BK677" s="433">
        <f t="shared" si="358"/>
        <v>1</v>
      </c>
      <c r="BL677" s="433">
        <f t="shared" si="359"/>
        <v>21</v>
      </c>
      <c r="BM677" s="433">
        <f t="shared" si="360"/>
        <v>0</v>
      </c>
      <c r="BN677" s="433">
        <f t="shared" si="361"/>
        <v>1</v>
      </c>
      <c r="BO677" s="433">
        <f t="shared" si="362"/>
        <v>1</v>
      </c>
      <c r="BP677" s="433">
        <f t="shared" si="363"/>
        <v>0</v>
      </c>
      <c r="BQ677" s="433">
        <f t="shared" si="364"/>
        <v>0</v>
      </c>
    </row>
    <row r="678" spans="1:69" x14ac:dyDescent="0.2">
      <c r="A678" s="102">
        <v>41861</v>
      </c>
      <c r="B678" s="319">
        <v>2</v>
      </c>
      <c r="C678" s="118" t="s">
        <v>2807</v>
      </c>
      <c r="D678" s="111">
        <v>0.33402777777777781</v>
      </c>
      <c r="E678" s="111">
        <v>0.58333333333333337</v>
      </c>
      <c r="F678" s="319">
        <v>37</v>
      </c>
      <c r="G678" s="445">
        <v>11</v>
      </c>
      <c r="H678" s="319"/>
      <c r="I678" s="390"/>
      <c r="J678" s="426">
        <f t="shared" si="337"/>
        <v>359</v>
      </c>
      <c r="K678" s="103"/>
      <c r="L678" s="103"/>
      <c r="M678" s="103"/>
      <c r="N678" s="427">
        <f t="shared" si="338"/>
        <v>0</v>
      </c>
      <c r="O678" s="103"/>
      <c r="P678" s="103"/>
      <c r="Q678" s="103"/>
      <c r="R678" s="428">
        <f t="shared" si="339"/>
        <v>0</v>
      </c>
      <c r="S678" s="103">
        <v>2</v>
      </c>
      <c r="T678" s="103"/>
      <c r="U678" s="103"/>
      <c r="V678" s="125"/>
      <c r="W678" s="428">
        <f t="shared" si="343"/>
        <v>2</v>
      </c>
      <c r="X678" s="103">
        <v>2</v>
      </c>
      <c r="Y678" s="103"/>
      <c r="Z678" s="125"/>
      <c r="AA678" s="428">
        <f t="shared" si="344"/>
        <v>2</v>
      </c>
      <c r="AB678" s="103">
        <v>1</v>
      </c>
      <c r="AC678" s="103">
        <v>4</v>
      </c>
      <c r="AD678" s="103"/>
      <c r="AE678" s="428">
        <f t="shared" si="345"/>
        <v>5</v>
      </c>
      <c r="AF678" s="103"/>
      <c r="AG678" s="103"/>
      <c r="AH678" s="103"/>
      <c r="AI678" s="103"/>
      <c r="AJ678" s="428">
        <f t="shared" si="346"/>
        <v>0</v>
      </c>
      <c r="AK678" s="446"/>
      <c r="AL678" s="446"/>
      <c r="AM678" s="446"/>
      <c r="AN678" s="446"/>
      <c r="AO678" s="446"/>
      <c r="AP678" s="446"/>
      <c r="AQ678" s="446"/>
      <c r="AR678" s="431">
        <f t="shared" si="347"/>
        <v>0</v>
      </c>
      <c r="AS678" s="10" t="s">
        <v>4143</v>
      </c>
      <c r="AT678" s="128"/>
      <c r="AU678" s="100" t="s">
        <v>4139</v>
      </c>
      <c r="AV678" s="128" t="s">
        <v>4136</v>
      </c>
      <c r="AW678" s="100" t="s">
        <v>4159</v>
      </c>
      <c r="AX678" s="433">
        <f t="shared" si="348"/>
        <v>0</v>
      </c>
      <c r="AY678" s="433">
        <f t="shared" si="349"/>
        <v>0</v>
      </c>
      <c r="AZ678" s="433">
        <f t="shared" si="350"/>
        <v>0</v>
      </c>
      <c r="BA678" s="433">
        <f t="shared" si="340"/>
        <v>0</v>
      </c>
      <c r="BB678" s="433">
        <f t="shared" si="341"/>
        <v>0</v>
      </c>
      <c r="BC678" s="433">
        <f t="shared" si="342"/>
        <v>0</v>
      </c>
      <c r="BD678" s="433">
        <f t="shared" si="351"/>
        <v>2</v>
      </c>
      <c r="BE678" s="433">
        <f t="shared" si="352"/>
        <v>0</v>
      </c>
      <c r="BF678" s="433">
        <f t="shared" si="353"/>
        <v>0</v>
      </c>
      <c r="BG678" s="433">
        <f t="shared" si="354"/>
        <v>0</v>
      </c>
      <c r="BH678" s="433">
        <f t="shared" si="355"/>
        <v>2</v>
      </c>
      <c r="BI678" s="433">
        <f t="shared" si="356"/>
        <v>0</v>
      </c>
      <c r="BJ678" s="433">
        <f t="shared" si="357"/>
        <v>0</v>
      </c>
      <c r="BK678" s="433">
        <f t="shared" si="358"/>
        <v>1</v>
      </c>
      <c r="BL678" s="433">
        <f t="shared" si="359"/>
        <v>4</v>
      </c>
      <c r="BM678" s="433">
        <f t="shared" si="360"/>
        <v>0</v>
      </c>
      <c r="BN678" s="433">
        <f t="shared" si="361"/>
        <v>0</v>
      </c>
      <c r="BO678" s="433">
        <f t="shared" si="362"/>
        <v>0</v>
      </c>
      <c r="BP678" s="433">
        <f t="shared" si="363"/>
        <v>0</v>
      </c>
      <c r="BQ678" s="433">
        <f t="shared" si="364"/>
        <v>0</v>
      </c>
    </row>
    <row r="679" spans="1:69" x14ac:dyDescent="0.2">
      <c r="A679" s="102">
        <v>41861</v>
      </c>
      <c r="B679" s="319">
        <v>2</v>
      </c>
      <c r="C679" s="118" t="s">
        <v>4144</v>
      </c>
      <c r="D679" s="111">
        <v>0.58333333333333337</v>
      </c>
      <c r="E679" s="111">
        <v>0.8354166666666667</v>
      </c>
      <c r="F679" s="319">
        <v>36</v>
      </c>
      <c r="G679" s="445">
        <v>13</v>
      </c>
      <c r="H679" s="319"/>
      <c r="I679" s="390"/>
      <c r="J679" s="426">
        <f t="shared" si="337"/>
        <v>363</v>
      </c>
      <c r="K679" s="103"/>
      <c r="L679" s="103"/>
      <c r="M679" s="103"/>
      <c r="N679" s="427">
        <f t="shared" si="338"/>
        <v>0</v>
      </c>
      <c r="O679" s="103"/>
      <c r="P679" s="103"/>
      <c r="Q679" s="103"/>
      <c r="R679" s="428">
        <f t="shared" si="339"/>
        <v>0</v>
      </c>
      <c r="S679" s="103">
        <v>1</v>
      </c>
      <c r="T679" s="103"/>
      <c r="U679" s="103"/>
      <c r="V679" s="125"/>
      <c r="W679" s="428">
        <f t="shared" si="343"/>
        <v>1</v>
      </c>
      <c r="X679" s="103">
        <v>1</v>
      </c>
      <c r="Y679" s="103">
        <v>1</v>
      </c>
      <c r="Z679" s="125"/>
      <c r="AA679" s="428">
        <f t="shared" si="344"/>
        <v>2</v>
      </c>
      <c r="AB679" s="103"/>
      <c r="AC679" s="103"/>
      <c r="AD679" s="103">
        <v>1</v>
      </c>
      <c r="AE679" s="428">
        <f t="shared" si="345"/>
        <v>1</v>
      </c>
      <c r="AF679" s="103"/>
      <c r="AG679" s="103"/>
      <c r="AH679" s="103"/>
      <c r="AI679" s="103"/>
      <c r="AJ679" s="428">
        <f t="shared" si="346"/>
        <v>0</v>
      </c>
      <c r="AK679" s="446"/>
      <c r="AL679" s="446"/>
      <c r="AM679" s="446"/>
      <c r="AN679" s="446"/>
      <c r="AO679" s="446"/>
      <c r="AP679" s="446"/>
      <c r="AQ679" s="446"/>
      <c r="AR679" s="431">
        <f t="shared" si="347"/>
        <v>0</v>
      </c>
      <c r="AT679" s="128"/>
      <c r="AU679" s="100" t="s">
        <v>4142</v>
      </c>
      <c r="AV679" s="128" t="s">
        <v>4136</v>
      </c>
      <c r="AW679" s="100" t="s">
        <v>4159</v>
      </c>
      <c r="AX679" s="433">
        <f t="shared" si="348"/>
        <v>0</v>
      </c>
      <c r="AY679" s="433">
        <f t="shared" si="349"/>
        <v>0</v>
      </c>
      <c r="AZ679" s="433">
        <f t="shared" si="350"/>
        <v>0</v>
      </c>
      <c r="BA679" s="433">
        <f t="shared" si="340"/>
        <v>0</v>
      </c>
      <c r="BB679" s="433">
        <f t="shared" si="341"/>
        <v>0</v>
      </c>
      <c r="BC679" s="433">
        <f t="shared" si="342"/>
        <v>0</v>
      </c>
      <c r="BD679" s="433">
        <f t="shared" si="351"/>
        <v>1</v>
      </c>
      <c r="BE679" s="433">
        <f t="shared" si="352"/>
        <v>0</v>
      </c>
      <c r="BF679" s="433">
        <f t="shared" si="353"/>
        <v>0</v>
      </c>
      <c r="BG679" s="433">
        <f t="shared" si="354"/>
        <v>0</v>
      </c>
      <c r="BH679" s="433">
        <f t="shared" si="355"/>
        <v>1</v>
      </c>
      <c r="BI679" s="433">
        <f t="shared" si="356"/>
        <v>1</v>
      </c>
      <c r="BJ679" s="433">
        <f t="shared" si="357"/>
        <v>0</v>
      </c>
      <c r="BK679" s="433">
        <f t="shared" si="358"/>
        <v>0</v>
      </c>
      <c r="BL679" s="433">
        <f t="shared" si="359"/>
        <v>0</v>
      </c>
      <c r="BM679" s="433">
        <f t="shared" si="360"/>
        <v>1</v>
      </c>
      <c r="BN679" s="433">
        <f t="shared" si="361"/>
        <v>0</v>
      </c>
      <c r="BO679" s="433">
        <f t="shared" si="362"/>
        <v>0</v>
      </c>
      <c r="BP679" s="433">
        <f t="shared" si="363"/>
        <v>0</v>
      </c>
      <c r="BQ679" s="433">
        <f t="shared" si="364"/>
        <v>0</v>
      </c>
    </row>
    <row r="680" spans="1:69" x14ac:dyDescent="0.2">
      <c r="A680" s="102">
        <v>41861</v>
      </c>
      <c r="B680" s="319">
        <v>3</v>
      </c>
      <c r="C680" s="118" t="s">
        <v>4144</v>
      </c>
      <c r="D680" s="111">
        <v>0.3354166666666667</v>
      </c>
      <c r="E680" s="111">
        <v>0.4513888888888889</v>
      </c>
      <c r="F680" s="319">
        <v>50</v>
      </c>
      <c r="G680" s="445">
        <v>10</v>
      </c>
      <c r="H680" s="319"/>
      <c r="I680" s="390"/>
      <c r="J680" s="426">
        <f t="shared" si="337"/>
        <v>166.99999999999997</v>
      </c>
      <c r="K680" s="103"/>
      <c r="L680" s="103"/>
      <c r="M680" s="103"/>
      <c r="N680" s="427">
        <f t="shared" si="338"/>
        <v>0</v>
      </c>
      <c r="O680" s="103"/>
      <c r="P680" s="103"/>
      <c r="Q680" s="103"/>
      <c r="R680" s="428">
        <f t="shared" si="339"/>
        <v>0</v>
      </c>
      <c r="S680" s="103"/>
      <c r="T680" s="103"/>
      <c r="U680" s="103"/>
      <c r="V680" s="125"/>
      <c r="W680" s="428">
        <f t="shared" si="343"/>
        <v>0</v>
      </c>
      <c r="X680" s="103">
        <v>1</v>
      </c>
      <c r="Y680" s="103">
        <v>6</v>
      </c>
      <c r="Z680" s="125"/>
      <c r="AA680" s="428">
        <f t="shared" si="344"/>
        <v>7</v>
      </c>
      <c r="AB680" s="103">
        <v>1</v>
      </c>
      <c r="AC680" s="103">
        <v>4</v>
      </c>
      <c r="AD680" s="103"/>
      <c r="AE680" s="428">
        <f t="shared" si="345"/>
        <v>5</v>
      </c>
      <c r="AF680" s="103"/>
      <c r="AG680" s="103"/>
      <c r="AH680" s="103"/>
      <c r="AI680" s="103"/>
      <c r="AJ680" s="428">
        <f t="shared" si="346"/>
        <v>0</v>
      </c>
      <c r="AK680" s="446"/>
      <c r="AL680" s="446"/>
      <c r="AM680" s="446"/>
      <c r="AN680" s="446"/>
      <c r="AO680" s="446"/>
      <c r="AP680" s="446"/>
      <c r="AQ680" s="446"/>
      <c r="AR680" s="431">
        <f t="shared" si="347"/>
        <v>0</v>
      </c>
      <c r="AT680" s="128"/>
      <c r="AU680" s="100" t="s">
        <v>4145</v>
      </c>
      <c r="AV680" s="128" t="s">
        <v>4136</v>
      </c>
      <c r="AW680" s="100" t="s">
        <v>4159</v>
      </c>
      <c r="AX680" s="433">
        <f t="shared" si="348"/>
        <v>0</v>
      </c>
      <c r="AY680" s="433">
        <f t="shared" si="349"/>
        <v>0</v>
      </c>
      <c r="AZ680" s="433">
        <f t="shared" si="350"/>
        <v>0</v>
      </c>
      <c r="BA680" s="433">
        <f t="shared" si="340"/>
        <v>0</v>
      </c>
      <c r="BB680" s="433">
        <f t="shared" si="341"/>
        <v>0</v>
      </c>
      <c r="BC680" s="433">
        <f t="shared" si="342"/>
        <v>0</v>
      </c>
      <c r="BD680" s="433">
        <f t="shared" si="351"/>
        <v>0</v>
      </c>
      <c r="BE680" s="433">
        <f t="shared" si="352"/>
        <v>0</v>
      </c>
      <c r="BF680" s="433">
        <f t="shared" si="353"/>
        <v>0</v>
      </c>
      <c r="BG680" s="433">
        <f t="shared" si="354"/>
        <v>0</v>
      </c>
      <c r="BH680" s="433">
        <f t="shared" si="355"/>
        <v>1</v>
      </c>
      <c r="BI680" s="433">
        <f t="shared" si="356"/>
        <v>6</v>
      </c>
      <c r="BJ680" s="433">
        <f t="shared" si="357"/>
        <v>0</v>
      </c>
      <c r="BK680" s="433">
        <f t="shared" si="358"/>
        <v>1</v>
      </c>
      <c r="BL680" s="433">
        <f t="shared" si="359"/>
        <v>4</v>
      </c>
      <c r="BM680" s="433">
        <f t="shared" si="360"/>
        <v>0</v>
      </c>
      <c r="BN680" s="433">
        <f t="shared" si="361"/>
        <v>0</v>
      </c>
      <c r="BO680" s="433">
        <f t="shared" si="362"/>
        <v>0</v>
      </c>
      <c r="BP680" s="433">
        <f t="shared" si="363"/>
        <v>0</v>
      </c>
      <c r="BQ680" s="433">
        <f t="shared" si="364"/>
        <v>0</v>
      </c>
    </row>
    <row r="681" spans="1:69" x14ac:dyDescent="0.2">
      <c r="A681" s="102">
        <v>41861</v>
      </c>
      <c r="B681" s="319">
        <v>3</v>
      </c>
      <c r="C681" s="118" t="s">
        <v>4146</v>
      </c>
      <c r="D681" s="111">
        <v>0.4513888888888889</v>
      </c>
      <c r="E681" s="111">
        <v>0.68055555555555547</v>
      </c>
      <c r="F681" s="319">
        <v>51</v>
      </c>
      <c r="G681" s="445">
        <v>11</v>
      </c>
      <c r="H681" s="319"/>
      <c r="I681" s="390"/>
      <c r="J681" s="426">
        <f t="shared" si="337"/>
        <v>329.99999999999989</v>
      </c>
      <c r="K681" s="103"/>
      <c r="L681" s="103"/>
      <c r="M681" s="103"/>
      <c r="N681" s="427">
        <f t="shared" si="338"/>
        <v>0</v>
      </c>
      <c r="O681" s="103"/>
      <c r="P681" s="103"/>
      <c r="Q681" s="103"/>
      <c r="R681" s="428">
        <f t="shared" si="339"/>
        <v>0</v>
      </c>
      <c r="S681" s="103">
        <v>1</v>
      </c>
      <c r="T681" s="103"/>
      <c r="U681" s="103"/>
      <c r="V681" s="125"/>
      <c r="W681" s="428">
        <f t="shared" si="343"/>
        <v>1</v>
      </c>
      <c r="X681" s="103">
        <v>1</v>
      </c>
      <c r="Y681" s="103">
        <v>44</v>
      </c>
      <c r="Z681" s="125"/>
      <c r="AA681" s="428">
        <f t="shared" si="344"/>
        <v>45</v>
      </c>
      <c r="AB681" s="103">
        <v>1</v>
      </c>
      <c r="AC681" s="103">
        <v>18</v>
      </c>
      <c r="AD681" s="103"/>
      <c r="AE681" s="428">
        <f t="shared" si="345"/>
        <v>19</v>
      </c>
      <c r="AF681" s="103">
        <v>4</v>
      </c>
      <c r="AG681" s="103"/>
      <c r="AH681" s="103"/>
      <c r="AI681" s="103"/>
      <c r="AJ681" s="428">
        <f t="shared" si="346"/>
        <v>4</v>
      </c>
      <c r="AK681" s="446">
        <v>1</v>
      </c>
      <c r="AL681" s="446"/>
      <c r="AM681" s="446"/>
      <c r="AN681" s="446"/>
      <c r="AO681" s="446"/>
      <c r="AP681" s="446"/>
      <c r="AQ681" s="446"/>
      <c r="AR681" s="431">
        <f t="shared" si="347"/>
        <v>1</v>
      </c>
      <c r="AT681" s="128" t="s">
        <v>4147</v>
      </c>
      <c r="AU681" s="100" t="s">
        <v>4148</v>
      </c>
      <c r="AV681" s="128" t="s">
        <v>4136</v>
      </c>
      <c r="AW681" s="100" t="s">
        <v>4159</v>
      </c>
      <c r="AX681" s="433">
        <f t="shared" si="348"/>
        <v>0</v>
      </c>
      <c r="AY681" s="433">
        <f t="shared" si="349"/>
        <v>0</v>
      </c>
      <c r="AZ681" s="433">
        <f t="shared" si="350"/>
        <v>0</v>
      </c>
      <c r="BA681" s="433">
        <f t="shared" si="340"/>
        <v>0</v>
      </c>
      <c r="BB681" s="433">
        <f t="shared" si="341"/>
        <v>0</v>
      </c>
      <c r="BC681" s="433">
        <f t="shared" si="342"/>
        <v>0</v>
      </c>
      <c r="BD681" s="433">
        <f t="shared" si="351"/>
        <v>1</v>
      </c>
      <c r="BE681" s="433">
        <f t="shared" si="352"/>
        <v>0</v>
      </c>
      <c r="BF681" s="433">
        <f t="shared" si="353"/>
        <v>0</v>
      </c>
      <c r="BG681" s="433">
        <f t="shared" si="354"/>
        <v>0</v>
      </c>
      <c r="BH681" s="433">
        <f t="shared" si="355"/>
        <v>1</v>
      </c>
      <c r="BI681" s="433">
        <f t="shared" si="356"/>
        <v>44</v>
      </c>
      <c r="BJ681" s="433">
        <f t="shared" si="357"/>
        <v>0</v>
      </c>
      <c r="BK681" s="433">
        <f t="shared" si="358"/>
        <v>1</v>
      </c>
      <c r="BL681" s="433">
        <f t="shared" si="359"/>
        <v>18</v>
      </c>
      <c r="BM681" s="433">
        <f t="shared" si="360"/>
        <v>0</v>
      </c>
      <c r="BN681" s="433">
        <f t="shared" si="361"/>
        <v>4</v>
      </c>
      <c r="BO681" s="433">
        <f t="shared" si="362"/>
        <v>0</v>
      </c>
      <c r="BP681" s="433">
        <f t="shared" si="363"/>
        <v>0</v>
      </c>
      <c r="BQ681" s="433">
        <f t="shared" si="364"/>
        <v>0</v>
      </c>
    </row>
    <row r="682" spans="1:69" s="291" customFormat="1" x14ac:dyDescent="0.2">
      <c r="A682" s="317">
        <v>41861</v>
      </c>
      <c r="B682" s="318">
        <v>3</v>
      </c>
      <c r="C682" s="320" t="s">
        <v>2641</v>
      </c>
      <c r="D682" s="321">
        <v>0.68055555555555547</v>
      </c>
      <c r="E682" s="321">
        <v>0.84444444444444444</v>
      </c>
      <c r="F682" s="318">
        <v>52</v>
      </c>
      <c r="G682" s="435">
        <v>12</v>
      </c>
      <c r="H682" s="318"/>
      <c r="I682" s="436"/>
      <c r="J682" s="437">
        <f t="shared" si="337"/>
        <v>236.00000000000011</v>
      </c>
      <c r="K682" s="285"/>
      <c r="L682" s="285"/>
      <c r="M682" s="285"/>
      <c r="N682" s="438">
        <f t="shared" si="338"/>
        <v>0</v>
      </c>
      <c r="O682" s="285"/>
      <c r="P682" s="285"/>
      <c r="Q682" s="285"/>
      <c r="R682" s="439">
        <f t="shared" si="339"/>
        <v>0</v>
      </c>
      <c r="S682" s="285">
        <v>2</v>
      </c>
      <c r="T682" s="285"/>
      <c r="U682" s="285"/>
      <c r="V682" s="440"/>
      <c r="W682" s="439">
        <f t="shared" si="343"/>
        <v>2</v>
      </c>
      <c r="X682" s="285"/>
      <c r="Y682" s="285">
        <v>32</v>
      </c>
      <c r="Z682" s="440"/>
      <c r="AA682" s="439">
        <f t="shared" si="344"/>
        <v>32</v>
      </c>
      <c r="AB682" s="285"/>
      <c r="AC682" s="285">
        <v>21</v>
      </c>
      <c r="AD682" s="285"/>
      <c r="AE682" s="439">
        <f t="shared" si="345"/>
        <v>21</v>
      </c>
      <c r="AF682" s="285">
        <v>7</v>
      </c>
      <c r="AG682" s="285"/>
      <c r="AH682" s="285"/>
      <c r="AI682" s="285"/>
      <c r="AJ682" s="439">
        <f t="shared" si="346"/>
        <v>7</v>
      </c>
      <c r="AK682" s="340"/>
      <c r="AL682" s="340"/>
      <c r="AM682" s="340">
        <v>1</v>
      </c>
      <c r="AN682" s="340"/>
      <c r="AO682" s="340"/>
      <c r="AP682" s="340"/>
      <c r="AQ682" s="340"/>
      <c r="AR682" s="441">
        <f t="shared" si="347"/>
        <v>1</v>
      </c>
      <c r="AT682" s="313" t="s">
        <v>4149</v>
      </c>
      <c r="AU682" s="289" t="s">
        <v>4139</v>
      </c>
      <c r="AV682" s="313" t="s">
        <v>4136</v>
      </c>
      <c r="AW682" s="382" t="s">
        <v>4159</v>
      </c>
      <c r="AX682" s="443">
        <f t="shared" si="348"/>
        <v>0</v>
      </c>
      <c r="AY682" s="443">
        <f t="shared" si="349"/>
        <v>0</v>
      </c>
      <c r="AZ682" s="443">
        <f t="shared" si="350"/>
        <v>0</v>
      </c>
      <c r="BA682" s="443">
        <f t="shared" si="340"/>
        <v>0</v>
      </c>
      <c r="BB682" s="443">
        <f t="shared" si="341"/>
        <v>0</v>
      </c>
      <c r="BC682" s="443">
        <f t="shared" si="342"/>
        <v>0</v>
      </c>
      <c r="BD682" s="443">
        <f t="shared" si="351"/>
        <v>2</v>
      </c>
      <c r="BE682" s="443">
        <f t="shared" si="352"/>
        <v>0</v>
      </c>
      <c r="BF682" s="443">
        <f t="shared" si="353"/>
        <v>0</v>
      </c>
      <c r="BG682" s="443">
        <f t="shared" si="354"/>
        <v>0</v>
      </c>
      <c r="BH682" s="443">
        <f t="shared" si="355"/>
        <v>0</v>
      </c>
      <c r="BI682" s="443">
        <f t="shared" si="356"/>
        <v>32</v>
      </c>
      <c r="BJ682" s="443">
        <f t="shared" si="357"/>
        <v>0</v>
      </c>
      <c r="BK682" s="443">
        <f t="shared" si="358"/>
        <v>0</v>
      </c>
      <c r="BL682" s="443">
        <f t="shared" si="359"/>
        <v>21</v>
      </c>
      <c r="BM682" s="443">
        <f t="shared" si="360"/>
        <v>0</v>
      </c>
      <c r="BN682" s="443">
        <f t="shared" si="361"/>
        <v>7</v>
      </c>
      <c r="BO682" s="443">
        <f t="shared" si="362"/>
        <v>0</v>
      </c>
      <c r="BP682" s="443">
        <f t="shared" si="363"/>
        <v>0</v>
      </c>
      <c r="BQ682" s="443">
        <f t="shared" si="364"/>
        <v>0</v>
      </c>
    </row>
    <row r="683" spans="1:69" x14ac:dyDescent="0.2">
      <c r="A683" s="102">
        <v>41862</v>
      </c>
      <c r="B683" s="319">
        <v>1</v>
      </c>
      <c r="C683" s="118" t="s">
        <v>2870</v>
      </c>
      <c r="D683" s="111">
        <v>0.33958333333333335</v>
      </c>
      <c r="E683" s="111">
        <v>0.57986111111111105</v>
      </c>
      <c r="F683" s="319">
        <v>63</v>
      </c>
      <c r="G683" s="445">
        <v>10</v>
      </c>
      <c r="H683" s="319"/>
      <c r="I683" s="390"/>
      <c r="J683" s="426">
        <f t="shared" si="337"/>
        <v>345.99999999999989</v>
      </c>
      <c r="K683" s="103"/>
      <c r="L683" s="103"/>
      <c r="M683" s="103"/>
      <c r="N683" s="427">
        <f t="shared" si="338"/>
        <v>0</v>
      </c>
      <c r="O683" s="103"/>
      <c r="P683" s="103"/>
      <c r="Q683" s="103"/>
      <c r="R683" s="428">
        <f t="shared" si="339"/>
        <v>0</v>
      </c>
      <c r="S683" s="103">
        <v>2</v>
      </c>
      <c r="T683" s="103"/>
      <c r="U683" s="103"/>
      <c r="V683" s="125"/>
      <c r="W683" s="428">
        <f t="shared" si="343"/>
        <v>2</v>
      </c>
      <c r="X683" s="103">
        <v>1</v>
      </c>
      <c r="Y683" s="103">
        <v>14</v>
      </c>
      <c r="Z683" s="125"/>
      <c r="AA683" s="428">
        <f t="shared" si="344"/>
        <v>15</v>
      </c>
      <c r="AB683" s="103">
        <v>1</v>
      </c>
      <c r="AC683" s="103">
        <v>23</v>
      </c>
      <c r="AD683" s="103"/>
      <c r="AE683" s="428">
        <f t="shared" si="345"/>
        <v>24</v>
      </c>
      <c r="AF683" s="103"/>
      <c r="AG683" s="103"/>
      <c r="AH683" s="103"/>
      <c r="AI683" s="103"/>
      <c r="AJ683" s="428">
        <f t="shared" si="346"/>
        <v>0</v>
      </c>
      <c r="AK683" s="446"/>
      <c r="AL683" s="446"/>
      <c r="AM683" s="446"/>
      <c r="AN683" s="446"/>
      <c r="AO683" s="446"/>
      <c r="AP683" s="446"/>
      <c r="AQ683" s="446"/>
      <c r="AR683" s="431">
        <f t="shared" si="347"/>
        <v>0</v>
      </c>
      <c r="AS683" s="10" t="s">
        <v>4161</v>
      </c>
      <c r="AT683" s="128"/>
      <c r="AU683" s="100" t="s">
        <v>4162</v>
      </c>
      <c r="AV683" s="128" t="s">
        <v>4185</v>
      </c>
      <c r="AW683" s="100" t="s">
        <v>4180</v>
      </c>
      <c r="AX683" s="433">
        <f t="shared" si="348"/>
        <v>0</v>
      </c>
      <c r="AY683" s="433">
        <f t="shared" si="349"/>
        <v>0</v>
      </c>
      <c r="AZ683" s="433">
        <f t="shared" si="350"/>
        <v>0</v>
      </c>
      <c r="BA683" s="433">
        <f t="shared" si="340"/>
        <v>0</v>
      </c>
      <c r="BB683" s="433">
        <f t="shared" si="341"/>
        <v>0</v>
      </c>
      <c r="BC683" s="433">
        <f t="shared" si="342"/>
        <v>0</v>
      </c>
      <c r="BD683" s="433">
        <f t="shared" si="351"/>
        <v>2</v>
      </c>
      <c r="BE683" s="433">
        <f t="shared" si="352"/>
        <v>0</v>
      </c>
      <c r="BF683" s="433">
        <f t="shared" si="353"/>
        <v>0</v>
      </c>
      <c r="BG683" s="433">
        <f t="shared" si="354"/>
        <v>0</v>
      </c>
      <c r="BH683" s="433">
        <f t="shared" si="355"/>
        <v>1</v>
      </c>
      <c r="BI683" s="433">
        <f t="shared" si="356"/>
        <v>14</v>
      </c>
      <c r="BJ683" s="433">
        <f t="shared" si="357"/>
        <v>0</v>
      </c>
      <c r="BK683" s="433">
        <f t="shared" si="358"/>
        <v>1</v>
      </c>
      <c r="BL683" s="433">
        <f t="shared" si="359"/>
        <v>23</v>
      </c>
      <c r="BM683" s="433">
        <f t="shared" si="360"/>
        <v>0</v>
      </c>
      <c r="BN683" s="433">
        <f t="shared" si="361"/>
        <v>0</v>
      </c>
      <c r="BO683" s="433">
        <f t="shared" si="362"/>
        <v>0</v>
      </c>
      <c r="BP683" s="433">
        <f t="shared" si="363"/>
        <v>0</v>
      </c>
      <c r="BQ683" s="433">
        <f t="shared" si="364"/>
        <v>0</v>
      </c>
    </row>
    <row r="684" spans="1:69" x14ac:dyDescent="0.2">
      <c r="A684" s="102">
        <v>41862</v>
      </c>
      <c r="B684" s="319">
        <v>1</v>
      </c>
      <c r="C684" s="118" t="s">
        <v>4100</v>
      </c>
      <c r="D684" s="111">
        <v>0.57986111111111105</v>
      </c>
      <c r="E684" s="111">
        <v>0.84236111111111101</v>
      </c>
      <c r="F684" s="319">
        <v>60</v>
      </c>
      <c r="G684" s="445">
        <v>12</v>
      </c>
      <c r="H684" s="319"/>
      <c r="I684" s="390"/>
      <c r="J684" s="426">
        <f t="shared" si="337"/>
        <v>377.99999999999994</v>
      </c>
      <c r="K684" s="103"/>
      <c r="L684" s="103"/>
      <c r="M684" s="103"/>
      <c r="N684" s="427">
        <f t="shared" si="338"/>
        <v>0</v>
      </c>
      <c r="O684" s="103"/>
      <c r="P684" s="103"/>
      <c r="Q684" s="103"/>
      <c r="R684" s="428">
        <f t="shared" si="339"/>
        <v>0</v>
      </c>
      <c r="S684" s="103">
        <v>1</v>
      </c>
      <c r="T684" s="103"/>
      <c r="U684" s="103"/>
      <c r="V684" s="125"/>
      <c r="W684" s="428">
        <f t="shared" si="343"/>
        <v>1</v>
      </c>
      <c r="X684" s="103"/>
      <c r="Y684" s="103">
        <v>10</v>
      </c>
      <c r="Z684" s="125"/>
      <c r="AA684" s="428">
        <f t="shared" si="344"/>
        <v>10</v>
      </c>
      <c r="AB684" s="103"/>
      <c r="AC684" s="103">
        <v>16</v>
      </c>
      <c r="AD684" s="103"/>
      <c r="AE684" s="428">
        <f t="shared" si="345"/>
        <v>16</v>
      </c>
      <c r="AF684" s="103"/>
      <c r="AG684" s="103">
        <v>2</v>
      </c>
      <c r="AH684" s="103"/>
      <c r="AI684" s="103"/>
      <c r="AJ684" s="428">
        <f t="shared" si="346"/>
        <v>2</v>
      </c>
      <c r="AK684" s="446"/>
      <c r="AL684" s="446"/>
      <c r="AM684" s="446"/>
      <c r="AN684" s="446"/>
      <c r="AO684" s="446"/>
      <c r="AP684" s="446"/>
      <c r="AQ684" s="446"/>
      <c r="AR684" s="431">
        <f t="shared" si="347"/>
        <v>0</v>
      </c>
      <c r="AS684" s="10" t="s">
        <v>4163</v>
      </c>
      <c r="AT684" s="128"/>
      <c r="AU684" s="100" t="s">
        <v>4164</v>
      </c>
      <c r="AV684" s="128" t="s">
        <v>4185</v>
      </c>
      <c r="AW684" s="100" t="s">
        <v>4180</v>
      </c>
      <c r="AX684" s="433">
        <f t="shared" si="348"/>
        <v>0</v>
      </c>
      <c r="AY684" s="433">
        <f t="shared" si="349"/>
        <v>0</v>
      </c>
      <c r="AZ684" s="433">
        <f t="shared" si="350"/>
        <v>0</v>
      </c>
      <c r="BA684" s="433">
        <f t="shared" si="340"/>
        <v>0</v>
      </c>
      <c r="BB684" s="433">
        <f t="shared" si="341"/>
        <v>0</v>
      </c>
      <c r="BC684" s="433">
        <f t="shared" si="342"/>
        <v>0</v>
      </c>
      <c r="BD684" s="433">
        <f t="shared" si="351"/>
        <v>1</v>
      </c>
      <c r="BE684" s="433">
        <f t="shared" si="352"/>
        <v>0</v>
      </c>
      <c r="BF684" s="433">
        <f t="shared" si="353"/>
        <v>0</v>
      </c>
      <c r="BG684" s="433">
        <f t="shared" si="354"/>
        <v>0</v>
      </c>
      <c r="BH684" s="433">
        <f t="shared" si="355"/>
        <v>0</v>
      </c>
      <c r="BI684" s="433">
        <f t="shared" si="356"/>
        <v>10</v>
      </c>
      <c r="BJ684" s="433">
        <f t="shared" si="357"/>
        <v>0</v>
      </c>
      <c r="BK684" s="433">
        <f t="shared" si="358"/>
        <v>0</v>
      </c>
      <c r="BL684" s="433">
        <f t="shared" si="359"/>
        <v>16</v>
      </c>
      <c r="BM684" s="433">
        <f t="shared" si="360"/>
        <v>0</v>
      </c>
      <c r="BN684" s="433">
        <f t="shared" si="361"/>
        <v>0</v>
      </c>
      <c r="BO684" s="433">
        <f t="shared" si="362"/>
        <v>2</v>
      </c>
      <c r="BP684" s="433">
        <f t="shared" si="363"/>
        <v>0</v>
      </c>
      <c r="BQ684" s="433">
        <f t="shared" si="364"/>
        <v>0</v>
      </c>
    </row>
    <row r="685" spans="1:69" x14ac:dyDescent="0.2">
      <c r="A685" s="102">
        <v>41862</v>
      </c>
      <c r="B685" s="319">
        <v>2</v>
      </c>
      <c r="C685" s="118" t="s">
        <v>4165</v>
      </c>
      <c r="D685" s="111">
        <v>0.3354166666666667</v>
      </c>
      <c r="E685" s="111">
        <v>0.58680555555555558</v>
      </c>
      <c r="F685" s="319">
        <v>37</v>
      </c>
      <c r="G685" s="445">
        <v>12</v>
      </c>
      <c r="H685" s="319"/>
      <c r="I685" s="390"/>
      <c r="J685" s="426">
        <f t="shared" si="337"/>
        <v>362</v>
      </c>
      <c r="K685" s="103"/>
      <c r="L685" s="103"/>
      <c r="M685" s="103"/>
      <c r="N685" s="427">
        <f t="shared" si="338"/>
        <v>0</v>
      </c>
      <c r="O685" s="103"/>
      <c r="P685" s="103"/>
      <c r="Q685" s="103"/>
      <c r="R685" s="428">
        <f t="shared" si="339"/>
        <v>0</v>
      </c>
      <c r="S685" s="103"/>
      <c r="T685" s="103"/>
      <c r="U685" s="103"/>
      <c r="V685" s="125"/>
      <c r="W685" s="428">
        <f t="shared" si="343"/>
        <v>0</v>
      </c>
      <c r="X685" s="103">
        <v>1</v>
      </c>
      <c r="Y685" s="103"/>
      <c r="Z685" s="125"/>
      <c r="AA685" s="428">
        <f t="shared" si="344"/>
        <v>1</v>
      </c>
      <c r="AB685" s="103">
        <v>1</v>
      </c>
      <c r="AC685" s="103">
        <v>3</v>
      </c>
      <c r="AD685" s="103"/>
      <c r="AE685" s="428">
        <f t="shared" si="345"/>
        <v>4</v>
      </c>
      <c r="AF685" s="103"/>
      <c r="AG685" s="103"/>
      <c r="AH685" s="103"/>
      <c r="AI685" s="103"/>
      <c r="AJ685" s="428">
        <f t="shared" si="346"/>
        <v>0</v>
      </c>
      <c r="AK685" s="446"/>
      <c r="AL685" s="446"/>
      <c r="AM685" s="446"/>
      <c r="AN685" s="446"/>
      <c r="AO685" s="446"/>
      <c r="AP685" s="446"/>
      <c r="AQ685" s="446"/>
      <c r="AR685" s="431">
        <f t="shared" si="347"/>
        <v>0</v>
      </c>
      <c r="AS685" s="10" t="s">
        <v>4166</v>
      </c>
      <c r="AT685" s="128"/>
      <c r="AU685" s="100" t="s">
        <v>4162</v>
      </c>
      <c r="AV685" s="128" t="s">
        <v>4185</v>
      </c>
      <c r="AW685" s="100" t="s">
        <v>4180</v>
      </c>
      <c r="AX685" s="433">
        <f t="shared" si="348"/>
        <v>0</v>
      </c>
      <c r="AY685" s="433">
        <f t="shared" si="349"/>
        <v>0</v>
      </c>
      <c r="AZ685" s="433">
        <f t="shared" si="350"/>
        <v>0</v>
      </c>
      <c r="BA685" s="433">
        <f t="shared" si="340"/>
        <v>0</v>
      </c>
      <c r="BB685" s="433">
        <f t="shared" si="341"/>
        <v>0</v>
      </c>
      <c r="BC685" s="433">
        <f t="shared" si="342"/>
        <v>0</v>
      </c>
      <c r="BD685" s="433">
        <f t="shared" si="351"/>
        <v>0</v>
      </c>
      <c r="BE685" s="433">
        <f t="shared" si="352"/>
        <v>0</v>
      </c>
      <c r="BF685" s="433">
        <f t="shared" si="353"/>
        <v>0</v>
      </c>
      <c r="BG685" s="433">
        <f t="shared" si="354"/>
        <v>0</v>
      </c>
      <c r="BH685" s="433">
        <f t="shared" si="355"/>
        <v>1</v>
      </c>
      <c r="BI685" s="433">
        <f t="shared" si="356"/>
        <v>0</v>
      </c>
      <c r="BJ685" s="433">
        <f t="shared" si="357"/>
        <v>0</v>
      </c>
      <c r="BK685" s="433">
        <f t="shared" si="358"/>
        <v>1</v>
      </c>
      <c r="BL685" s="433">
        <f t="shared" si="359"/>
        <v>3</v>
      </c>
      <c r="BM685" s="433">
        <f t="shared" si="360"/>
        <v>0</v>
      </c>
      <c r="BN685" s="433">
        <f t="shared" si="361"/>
        <v>0</v>
      </c>
      <c r="BO685" s="433">
        <f t="shared" si="362"/>
        <v>0</v>
      </c>
      <c r="BP685" s="433">
        <f t="shared" si="363"/>
        <v>0</v>
      </c>
      <c r="BQ685" s="433">
        <f t="shared" si="364"/>
        <v>0</v>
      </c>
    </row>
    <row r="686" spans="1:69" x14ac:dyDescent="0.2">
      <c r="A686" s="102">
        <v>41862</v>
      </c>
      <c r="B686" s="319">
        <v>2</v>
      </c>
      <c r="C686" s="118" t="s">
        <v>4097</v>
      </c>
      <c r="D686" s="111">
        <v>0.58680555555555558</v>
      </c>
      <c r="E686" s="111">
        <v>0.8354166666666667</v>
      </c>
      <c r="F686" s="319">
        <v>37</v>
      </c>
      <c r="G686" s="445">
        <v>13</v>
      </c>
      <c r="H686" s="319"/>
      <c r="I686" s="390"/>
      <c r="J686" s="426">
        <f t="shared" si="337"/>
        <v>358</v>
      </c>
      <c r="K686" s="103"/>
      <c r="L686" s="103"/>
      <c r="M686" s="103"/>
      <c r="N686" s="427">
        <f t="shared" si="338"/>
        <v>0</v>
      </c>
      <c r="O686" s="103"/>
      <c r="P686" s="103"/>
      <c r="Q686" s="103"/>
      <c r="R686" s="428">
        <f t="shared" si="339"/>
        <v>0</v>
      </c>
      <c r="S686" s="103"/>
      <c r="T686" s="103"/>
      <c r="U686" s="103"/>
      <c r="V686" s="125"/>
      <c r="W686" s="428">
        <f t="shared" si="343"/>
        <v>0</v>
      </c>
      <c r="X686" s="103">
        <v>1</v>
      </c>
      <c r="Y686" s="103"/>
      <c r="Z686" s="125"/>
      <c r="AA686" s="428">
        <f t="shared" si="344"/>
        <v>1</v>
      </c>
      <c r="AB686" s="103">
        <v>1</v>
      </c>
      <c r="AC686" s="103">
        <v>8</v>
      </c>
      <c r="AD686" s="103"/>
      <c r="AE686" s="428">
        <f t="shared" si="345"/>
        <v>9</v>
      </c>
      <c r="AF686" s="103"/>
      <c r="AG686" s="103"/>
      <c r="AH686" s="103"/>
      <c r="AI686" s="103"/>
      <c r="AJ686" s="428">
        <f t="shared" si="346"/>
        <v>0</v>
      </c>
      <c r="AK686" s="446"/>
      <c r="AL686" s="446"/>
      <c r="AM686" s="446"/>
      <c r="AN686" s="446"/>
      <c r="AO686" s="446"/>
      <c r="AP686" s="446"/>
      <c r="AQ686" s="446"/>
      <c r="AR686" s="431">
        <f t="shared" si="347"/>
        <v>0</v>
      </c>
      <c r="AS686" s="10" t="s">
        <v>4167</v>
      </c>
      <c r="AT686" s="128"/>
      <c r="AU686" s="100" t="s">
        <v>4168</v>
      </c>
      <c r="AV686" s="128" t="s">
        <v>4185</v>
      </c>
      <c r="AW686" s="100" t="s">
        <v>4180</v>
      </c>
      <c r="AX686" s="433">
        <f t="shared" si="348"/>
        <v>0</v>
      </c>
      <c r="AY686" s="433">
        <f t="shared" si="349"/>
        <v>0</v>
      </c>
      <c r="AZ686" s="433">
        <f t="shared" si="350"/>
        <v>0</v>
      </c>
      <c r="BA686" s="433">
        <f t="shared" si="340"/>
        <v>0</v>
      </c>
      <c r="BB686" s="433">
        <f t="shared" si="341"/>
        <v>0</v>
      </c>
      <c r="BC686" s="433">
        <f t="shared" si="342"/>
        <v>0</v>
      </c>
      <c r="BD686" s="433">
        <f t="shared" si="351"/>
        <v>0</v>
      </c>
      <c r="BE686" s="433">
        <f t="shared" si="352"/>
        <v>0</v>
      </c>
      <c r="BF686" s="433">
        <f t="shared" si="353"/>
        <v>0</v>
      </c>
      <c r="BG686" s="433">
        <f t="shared" si="354"/>
        <v>0</v>
      </c>
      <c r="BH686" s="433">
        <f t="shared" si="355"/>
        <v>1</v>
      </c>
      <c r="BI686" s="433">
        <f t="shared" si="356"/>
        <v>0</v>
      </c>
      <c r="BJ686" s="433">
        <f t="shared" si="357"/>
        <v>0</v>
      </c>
      <c r="BK686" s="433">
        <f t="shared" si="358"/>
        <v>1</v>
      </c>
      <c r="BL686" s="433">
        <f t="shared" si="359"/>
        <v>8</v>
      </c>
      <c r="BM686" s="433">
        <f t="shared" si="360"/>
        <v>0</v>
      </c>
      <c r="BN686" s="433">
        <f t="shared" si="361"/>
        <v>0</v>
      </c>
      <c r="BO686" s="433">
        <f t="shared" si="362"/>
        <v>0</v>
      </c>
      <c r="BP686" s="433">
        <f t="shared" si="363"/>
        <v>0</v>
      </c>
      <c r="BQ686" s="433">
        <f t="shared" si="364"/>
        <v>0</v>
      </c>
    </row>
    <row r="687" spans="1:69" x14ac:dyDescent="0.2">
      <c r="A687" s="102">
        <v>41862</v>
      </c>
      <c r="B687" s="319">
        <v>3</v>
      </c>
      <c r="C687" s="118" t="s">
        <v>4100</v>
      </c>
      <c r="D687" s="111">
        <v>0.33402777777777781</v>
      </c>
      <c r="E687" s="111">
        <v>0.4548611111111111</v>
      </c>
      <c r="F687" s="319">
        <v>53</v>
      </c>
      <c r="G687" s="445">
        <v>11</v>
      </c>
      <c r="H687" s="319"/>
      <c r="I687" s="390"/>
      <c r="J687" s="426">
        <f t="shared" si="337"/>
        <v>173.99999999999994</v>
      </c>
      <c r="K687" s="103"/>
      <c r="L687" s="103"/>
      <c r="M687" s="103"/>
      <c r="N687" s="427">
        <f t="shared" si="338"/>
        <v>0</v>
      </c>
      <c r="O687" s="103"/>
      <c r="P687" s="103"/>
      <c r="Q687" s="103"/>
      <c r="R687" s="428">
        <f t="shared" si="339"/>
        <v>0</v>
      </c>
      <c r="S687" s="103"/>
      <c r="T687" s="103"/>
      <c r="U687" s="103"/>
      <c r="V687" s="125"/>
      <c r="W687" s="428">
        <f t="shared" si="343"/>
        <v>0</v>
      </c>
      <c r="X687" s="103">
        <v>1</v>
      </c>
      <c r="Y687" s="103">
        <v>12</v>
      </c>
      <c r="Z687" s="125"/>
      <c r="AA687" s="428">
        <f t="shared" si="344"/>
        <v>13</v>
      </c>
      <c r="AB687" s="103">
        <v>1</v>
      </c>
      <c r="AC687" s="103">
        <v>3</v>
      </c>
      <c r="AD687" s="103"/>
      <c r="AE687" s="428">
        <f t="shared" si="345"/>
        <v>4</v>
      </c>
      <c r="AF687" s="103">
        <v>2</v>
      </c>
      <c r="AG687" s="103">
        <v>1</v>
      </c>
      <c r="AH687" s="103"/>
      <c r="AI687" s="103"/>
      <c r="AJ687" s="428">
        <f t="shared" si="346"/>
        <v>3</v>
      </c>
      <c r="AK687" s="446"/>
      <c r="AL687" s="446"/>
      <c r="AM687" s="446"/>
      <c r="AN687" s="446"/>
      <c r="AO687" s="446"/>
      <c r="AP687" s="446"/>
      <c r="AQ687" s="446"/>
      <c r="AR687" s="431">
        <f t="shared" si="347"/>
        <v>0</v>
      </c>
      <c r="AS687" s="10" t="s">
        <v>4169</v>
      </c>
      <c r="AT687" s="128"/>
      <c r="AU687" s="100" t="s">
        <v>4164</v>
      </c>
      <c r="AV687" s="128" t="s">
        <v>4185</v>
      </c>
      <c r="AW687" s="100" t="s">
        <v>4180</v>
      </c>
      <c r="AX687" s="433">
        <f t="shared" si="348"/>
        <v>0</v>
      </c>
      <c r="AY687" s="433">
        <f t="shared" si="349"/>
        <v>0</v>
      </c>
      <c r="AZ687" s="433">
        <f t="shared" si="350"/>
        <v>0</v>
      </c>
      <c r="BA687" s="433">
        <f t="shared" si="340"/>
        <v>0</v>
      </c>
      <c r="BB687" s="433">
        <f t="shared" si="341"/>
        <v>0</v>
      </c>
      <c r="BC687" s="433">
        <f t="shared" si="342"/>
        <v>0</v>
      </c>
      <c r="BD687" s="433">
        <f t="shared" si="351"/>
        <v>0</v>
      </c>
      <c r="BE687" s="433">
        <f t="shared" si="352"/>
        <v>0</v>
      </c>
      <c r="BF687" s="433">
        <f t="shared" si="353"/>
        <v>0</v>
      </c>
      <c r="BG687" s="433">
        <f t="shared" si="354"/>
        <v>0</v>
      </c>
      <c r="BH687" s="433">
        <f t="shared" si="355"/>
        <v>1</v>
      </c>
      <c r="BI687" s="433">
        <f t="shared" si="356"/>
        <v>12</v>
      </c>
      <c r="BJ687" s="433">
        <f t="shared" si="357"/>
        <v>0</v>
      </c>
      <c r="BK687" s="433">
        <f t="shared" si="358"/>
        <v>1</v>
      </c>
      <c r="BL687" s="433">
        <f t="shared" si="359"/>
        <v>3</v>
      </c>
      <c r="BM687" s="433">
        <f t="shared" si="360"/>
        <v>0</v>
      </c>
      <c r="BN687" s="433">
        <f t="shared" si="361"/>
        <v>2</v>
      </c>
      <c r="BO687" s="433">
        <f t="shared" si="362"/>
        <v>1</v>
      </c>
      <c r="BP687" s="433">
        <f t="shared" si="363"/>
        <v>0</v>
      </c>
      <c r="BQ687" s="433">
        <f t="shared" si="364"/>
        <v>0</v>
      </c>
    </row>
    <row r="688" spans="1:69" x14ac:dyDescent="0.2">
      <c r="A688" s="102">
        <v>41862</v>
      </c>
      <c r="B688" s="319">
        <v>3</v>
      </c>
      <c r="C688" s="118" t="s">
        <v>4122</v>
      </c>
      <c r="D688" s="111">
        <v>0.4548611111111111</v>
      </c>
      <c r="E688" s="111">
        <v>0.70138888888888884</v>
      </c>
      <c r="F688" s="319">
        <v>53</v>
      </c>
      <c r="G688" s="445">
        <v>12</v>
      </c>
      <c r="H688" s="319"/>
      <c r="I688" s="390"/>
      <c r="J688" s="426">
        <f t="shared" si="337"/>
        <v>354.99999999999994</v>
      </c>
      <c r="K688" s="103"/>
      <c r="L688" s="103"/>
      <c r="M688" s="103"/>
      <c r="N688" s="427">
        <f t="shared" si="338"/>
        <v>0</v>
      </c>
      <c r="O688" s="103"/>
      <c r="P688" s="103"/>
      <c r="Q688" s="103"/>
      <c r="R688" s="428">
        <f t="shared" si="339"/>
        <v>0</v>
      </c>
      <c r="S688" s="103">
        <v>3</v>
      </c>
      <c r="T688" s="103"/>
      <c r="U688" s="103"/>
      <c r="V688" s="125"/>
      <c r="W688" s="428">
        <f t="shared" si="343"/>
        <v>3</v>
      </c>
      <c r="X688" s="103"/>
      <c r="Y688" s="103">
        <v>33</v>
      </c>
      <c r="Z688" s="125"/>
      <c r="AA688" s="428">
        <f t="shared" si="344"/>
        <v>33</v>
      </c>
      <c r="AB688" s="103"/>
      <c r="AC688" s="103">
        <v>17</v>
      </c>
      <c r="AD688" s="103"/>
      <c r="AE688" s="428">
        <f t="shared" si="345"/>
        <v>17</v>
      </c>
      <c r="AF688" s="103">
        <v>5</v>
      </c>
      <c r="AG688" s="103">
        <v>1</v>
      </c>
      <c r="AH688" s="103"/>
      <c r="AI688" s="103"/>
      <c r="AJ688" s="428">
        <f t="shared" si="346"/>
        <v>6</v>
      </c>
      <c r="AK688" s="446"/>
      <c r="AL688" s="446"/>
      <c r="AM688" s="446">
        <v>1</v>
      </c>
      <c r="AN688" s="446"/>
      <c r="AO688" s="446"/>
      <c r="AP688" s="446"/>
      <c r="AQ688" s="446"/>
      <c r="AR688" s="431">
        <f t="shared" si="347"/>
        <v>1</v>
      </c>
      <c r="AT688" s="128"/>
      <c r="AU688" s="100" t="s">
        <v>4171</v>
      </c>
      <c r="AV688" s="128" t="s">
        <v>4185</v>
      </c>
      <c r="AW688" s="100" t="s">
        <v>4180</v>
      </c>
      <c r="AX688" s="433">
        <f t="shared" si="348"/>
        <v>0</v>
      </c>
      <c r="AY688" s="433">
        <f t="shared" si="349"/>
        <v>0</v>
      </c>
      <c r="AZ688" s="433">
        <f t="shared" si="350"/>
        <v>0</v>
      </c>
      <c r="BA688" s="433">
        <f t="shared" si="340"/>
        <v>0</v>
      </c>
      <c r="BB688" s="433">
        <f t="shared" si="341"/>
        <v>0</v>
      </c>
      <c r="BC688" s="433">
        <f t="shared" si="342"/>
        <v>0</v>
      </c>
      <c r="BD688" s="433">
        <f t="shared" si="351"/>
        <v>3</v>
      </c>
      <c r="BE688" s="433">
        <f t="shared" si="352"/>
        <v>0</v>
      </c>
      <c r="BF688" s="433">
        <f t="shared" si="353"/>
        <v>0</v>
      </c>
      <c r="BG688" s="433">
        <f t="shared" si="354"/>
        <v>0</v>
      </c>
      <c r="BH688" s="433">
        <f t="shared" si="355"/>
        <v>0</v>
      </c>
      <c r="BI688" s="433">
        <f t="shared" si="356"/>
        <v>33</v>
      </c>
      <c r="BJ688" s="433">
        <f t="shared" si="357"/>
        <v>0</v>
      </c>
      <c r="BK688" s="433">
        <f t="shared" si="358"/>
        <v>0</v>
      </c>
      <c r="BL688" s="433">
        <f t="shared" si="359"/>
        <v>17</v>
      </c>
      <c r="BM688" s="433">
        <f t="shared" si="360"/>
        <v>0</v>
      </c>
      <c r="BN688" s="433">
        <f t="shared" si="361"/>
        <v>5</v>
      </c>
      <c r="BO688" s="433">
        <f t="shared" si="362"/>
        <v>1</v>
      </c>
      <c r="BP688" s="433">
        <f t="shared" si="363"/>
        <v>0</v>
      </c>
      <c r="BQ688" s="433">
        <f t="shared" si="364"/>
        <v>0</v>
      </c>
    </row>
    <row r="689" spans="1:69" s="291" customFormat="1" x14ac:dyDescent="0.2">
      <c r="A689" s="317">
        <v>41862</v>
      </c>
      <c r="B689" s="318">
        <v>3</v>
      </c>
      <c r="C689" s="320" t="s">
        <v>3377</v>
      </c>
      <c r="D689" s="321">
        <v>0.70138888888888884</v>
      </c>
      <c r="E689" s="321">
        <v>0.8340277777777777</v>
      </c>
      <c r="F689" s="318">
        <v>51</v>
      </c>
      <c r="G689" s="435">
        <v>12</v>
      </c>
      <c r="H689" s="318"/>
      <c r="I689" s="436"/>
      <c r="J689" s="437">
        <f t="shared" si="337"/>
        <v>190.99999999999997</v>
      </c>
      <c r="K689" s="285"/>
      <c r="L689" s="285"/>
      <c r="M689" s="285"/>
      <c r="N689" s="438">
        <f t="shared" si="338"/>
        <v>0</v>
      </c>
      <c r="O689" s="285"/>
      <c r="P689" s="285"/>
      <c r="Q689" s="285"/>
      <c r="R689" s="439">
        <f t="shared" si="339"/>
        <v>0</v>
      </c>
      <c r="S689" s="285">
        <v>3</v>
      </c>
      <c r="T689" s="285"/>
      <c r="U689" s="285"/>
      <c r="V689" s="440"/>
      <c r="W689" s="439">
        <f t="shared" si="343"/>
        <v>3</v>
      </c>
      <c r="X689" s="285">
        <v>1</v>
      </c>
      <c r="Y689" s="285">
        <v>16</v>
      </c>
      <c r="Z689" s="440"/>
      <c r="AA689" s="439">
        <f t="shared" si="344"/>
        <v>17</v>
      </c>
      <c r="AB689" s="285">
        <v>1</v>
      </c>
      <c r="AC689" s="285">
        <v>14</v>
      </c>
      <c r="AD689" s="285"/>
      <c r="AE689" s="439">
        <f t="shared" si="345"/>
        <v>15</v>
      </c>
      <c r="AF689" s="285"/>
      <c r="AG689" s="285">
        <v>2</v>
      </c>
      <c r="AH689" s="285"/>
      <c r="AI689" s="285"/>
      <c r="AJ689" s="439">
        <f t="shared" si="346"/>
        <v>2</v>
      </c>
      <c r="AK689" s="340"/>
      <c r="AL689" s="340"/>
      <c r="AM689" s="340"/>
      <c r="AN689" s="340"/>
      <c r="AO689" s="340"/>
      <c r="AP689" s="340"/>
      <c r="AQ689" s="340"/>
      <c r="AR689" s="441">
        <f t="shared" si="347"/>
        <v>0</v>
      </c>
      <c r="AS689" s="291" t="s">
        <v>4170</v>
      </c>
      <c r="AT689" s="313"/>
      <c r="AU689" s="289" t="s">
        <v>4172</v>
      </c>
      <c r="AV689" s="313" t="s">
        <v>4185</v>
      </c>
      <c r="AW689" s="289" t="s">
        <v>4180</v>
      </c>
      <c r="AX689" s="443">
        <f t="shared" si="348"/>
        <v>0</v>
      </c>
      <c r="AY689" s="443">
        <f t="shared" si="349"/>
        <v>0</v>
      </c>
      <c r="AZ689" s="443">
        <f t="shared" si="350"/>
        <v>0</v>
      </c>
      <c r="BA689" s="443">
        <f t="shared" si="340"/>
        <v>0</v>
      </c>
      <c r="BB689" s="443">
        <f t="shared" si="341"/>
        <v>0</v>
      </c>
      <c r="BC689" s="443">
        <f t="shared" si="342"/>
        <v>0</v>
      </c>
      <c r="BD689" s="443">
        <f t="shared" si="351"/>
        <v>3</v>
      </c>
      <c r="BE689" s="443">
        <f t="shared" si="352"/>
        <v>0</v>
      </c>
      <c r="BF689" s="443">
        <f t="shared" si="353"/>
        <v>0</v>
      </c>
      <c r="BG689" s="443">
        <f t="shared" si="354"/>
        <v>0</v>
      </c>
      <c r="BH689" s="443">
        <f t="shared" si="355"/>
        <v>1</v>
      </c>
      <c r="BI689" s="443">
        <f t="shared" si="356"/>
        <v>16</v>
      </c>
      <c r="BJ689" s="443">
        <f t="shared" si="357"/>
        <v>0</v>
      </c>
      <c r="BK689" s="443">
        <f t="shared" si="358"/>
        <v>1</v>
      </c>
      <c r="BL689" s="443">
        <f t="shared" si="359"/>
        <v>14</v>
      </c>
      <c r="BM689" s="443">
        <f t="shared" si="360"/>
        <v>0</v>
      </c>
      <c r="BN689" s="443">
        <f t="shared" si="361"/>
        <v>0</v>
      </c>
      <c r="BO689" s="443">
        <f t="shared" si="362"/>
        <v>2</v>
      </c>
      <c r="BP689" s="443">
        <f t="shared" si="363"/>
        <v>0</v>
      </c>
      <c r="BQ689" s="443">
        <f t="shared" si="364"/>
        <v>0</v>
      </c>
    </row>
    <row r="690" spans="1:69" x14ac:dyDescent="0.2">
      <c r="A690" s="102">
        <v>41863</v>
      </c>
      <c r="B690" s="319">
        <v>1</v>
      </c>
      <c r="C690" s="118" t="s">
        <v>3268</v>
      </c>
      <c r="D690" s="111">
        <v>0.33888888888888885</v>
      </c>
      <c r="E690" s="111">
        <v>0.44097222222222227</v>
      </c>
      <c r="F690" s="319">
        <v>57</v>
      </c>
      <c r="G690" s="445">
        <v>11</v>
      </c>
      <c r="H690" s="319"/>
      <c r="I690" s="390"/>
      <c r="J690" s="426">
        <f t="shared" si="337"/>
        <v>147.00000000000011</v>
      </c>
      <c r="K690" s="103"/>
      <c r="L690" s="103"/>
      <c r="M690" s="103"/>
      <c r="N690" s="427">
        <f t="shared" si="338"/>
        <v>0</v>
      </c>
      <c r="O690" s="103"/>
      <c r="P690" s="103"/>
      <c r="Q690" s="103"/>
      <c r="R690" s="428">
        <f t="shared" si="339"/>
        <v>0</v>
      </c>
      <c r="S690" s="103"/>
      <c r="T690" s="103"/>
      <c r="U690" s="103"/>
      <c r="V690" s="125"/>
      <c r="W690" s="428">
        <f t="shared" si="343"/>
        <v>0</v>
      </c>
      <c r="X690" s="103">
        <v>1</v>
      </c>
      <c r="Y690" s="103">
        <v>2</v>
      </c>
      <c r="Z690" s="125"/>
      <c r="AA690" s="428">
        <f t="shared" si="344"/>
        <v>3</v>
      </c>
      <c r="AB690" s="103">
        <v>1</v>
      </c>
      <c r="AC690" s="103">
        <v>4</v>
      </c>
      <c r="AD690" s="103"/>
      <c r="AE690" s="428">
        <f t="shared" si="345"/>
        <v>5</v>
      </c>
      <c r="AF690" s="103"/>
      <c r="AG690" s="103"/>
      <c r="AH690" s="103"/>
      <c r="AI690" s="103"/>
      <c r="AJ690" s="428">
        <f t="shared" si="346"/>
        <v>0</v>
      </c>
      <c r="AK690" s="446"/>
      <c r="AL690" s="446"/>
      <c r="AM690" s="446"/>
      <c r="AN690" s="446"/>
      <c r="AO690" s="446"/>
      <c r="AP690" s="446"/>
      <c r="AQ690" s="446"/>
      <c r="AR690" s="431">
        <f t="shared" si="347"/>
        <v>0</v>
      </c>
      <c r="AT690" s="128"/>
      <c r="AU690" s="100" t="s">
        <v>4183</v>
      </c>
      <c r="AV690" s="128" t="s">
        <v>4229</v>
      </c>
      <c r="AW690" s="100" t="s">
        <v>4202</v>
      </c>
      <c r="AX690" s="433">
        <f t="shared" si="348"/>
        <v>0</v>
      </c>
      <c r="AY690" s="433">
        <f t="shared" si="349"/>
        <v>0</v>
      </c>
      <c r="AZ690" s="433">
        <f t="shared" si="350"/>
        <v>0</v>
      </c>
      <c r="BA690" s="433">
        <f t="shared" si="340"/>
        <v>0</v>
      </c>
      <c r="BB690" s="433">
        <f t="shared" si="341"/>
        <v>0</v>
      </c>
      <c r="BC690" s="433">
        <f t="shared" si="342"/>
        <v>0</v>
      </c>
      <c r="BD690" s="433">
        <f t="shared" si="351"/>
        <v>0</v>
      </c>
      <c r="BE690" s="433">
        <f t="shared" si="352"/>
        <v>0</v>
      </c>
      <c r="BF690" s="433">
        <f t="shared" si="353"/>
        <v>0</v>
      </c>
      <c r="BG690" s="433">
        <f t="shared" si="354"/>
        <v>0</v>
      </c>
      <c r="BH690" s="433">
        <f t="shared" si="355"/>
        <v>1</v>
      </c>
      <c r="BI690" s="433">
        <f t="shared" si="356"/>
        <v>2</v>
      </c>
      <c r="BJ690" s="433">
        <f t="shared" si="357"/>
        <v>0</v>
      </c>
      <c r="BK690" s="433">
        <f t="shared" si="358"/>
        <v>1</v>
      </c>
      <c r="BL690" s="433">
        <f t="shared" si="359"/>
        <v>4</v>
      </c>
      <c r="BM690" s="433">
        <f t="shared" si="360"/>
        <v>0</v>
      </c>
      <c r="BN690" s="433">
        <f t="shared" si="361"/>
        <v>0</v>
      </c>
      <c r="BO690" s="433">
        <f t="shared" si="362"/>
        <v>0</v>
      </c>
      <c r="BP690" s="433">
        <f t="shared" si="363"/>
        <v>0</v>
      </c>
      <c r="BQ690" s="433">
        <f t="shared" si="364"/>
        <v>0</v>
      </c>
    </row>
    <row r="691" spans="1:69" x14ac:dyDescent="0.2">
      <c r="A691" s="102">
        <v>41863</v>
      </c>
      <c r="B691" s="319">
        <v>1</v>
      </c>
      <c r="C691" s="118" t="s">
        <v>3412</v>
      </c>
      <c r="D691" s="111">
        <v>0.44097222222222227</v>
      </c>
      <c r="E691" s="111">
        <v>0.71111111111111114</v>
      </c>
      <c r="F691" s="319">
        <v>52</v>
      </c>
      <c r="G691" s="445">
        <v>11</v>
      </c>
      <c r="H691" s="319"/>
      <c r="I691" s="390">
        <v>89.3</v>
      </c>
      <c r="J691" s="426">
        <f t="shared" si="337"/>
        <v>388.99999999999994</v>
      </c>
      <c r="K691" s="103"/>
      <c r="L691" s="103"/>
      <c r="M691" s="103"/>
      <c r="N691" s="427">
        <f t="shared" si="338"/>
        <v>0</v>
      </c>
      <c r="O691" s="103"/>
      <c r="P691" s="103"/>
      <c r="Q691" s="103"/>
      <c r="R691" s="428">
        <f t="shared" si="339"/>
        <v>0</v>
      </c>
      <c r="S691" s="103">
        <v>1</v>
      </c>
      <c r="T691" s="103"/>
      <c r="U691" s="103"/>
      <c r="V691" s="125"/>
      <c r="W691" s="428">
        <f t="shared" si="343"/>
        <v>1</v>
      </c>
      <c r="X691" s="103">
        <v>1</v>
      </c>
      <c r="Y691" s="103">
        <v>8</v>
      </c>
      <c r="Z691" s="125"/>
      <c r="AA691" s="428">
        <f t="shared" si="344"/>
        <v>9</v>
      </c>
      <c r="AB691" s="103"/>
      <c r="AC691" s="103">
        <v>10</v>
      </c>
      <c r="AD691" s="103"/>
      <c r="AE691" s="428">
        <f t="shared" si="345"/>
        <v>10</v>
      </c>
      <c r="AF691" s="103">
        <v>1</v>
      </c>
      <c r="AG691" s="103"/>
      <c r="AH691" s="103"/>
      <c r="AI691" s="103"/>
      <c r="AJ691" s="428">
        <f t="shared" si="346"/>
        <v>1</v>
      </c>
      <c r="AK691" s="446"/>
      <c r="AL691" s="446"/>
      <c r="AM691" s="446"/>
      <c r="AN691" s="446"/>
      <c r="AO691" s="446"/>
      <c r="AP691" s="446"/>
      <c r="AQ691" s="446"/>
      <c r="AR691" s="431">
        <f t="shared" si="347"/>
        <v>0</v>
      </c>
      <c r="AT691" s="128"/>
      <c r="AU691" s="100" t="s">
        <v>4185</v>
      </c>
      <c r="AV691" s="128" t="s">
        <v>4229</v>
      </c>
      <c r="AW691" s="100" t="s">
        <v>4202</v>
      </c>
      <c r="AX691" s="433">
        <f t="shared" si="348"/>
        <v>0</v>
      </c>
      <c r="AY691" s="433">
        <f t="shared" si="349"/>
        <v>0</v>
      </c>
      <c r="AZ691" s="433">
        <f t="shared" si="350"/>
        <v>0</v>
      </c>
      <c r="BA691" s="433">
        <f t="shared" si="340"/>
        <v>0</v>
      </c>
      <c r="BB691" s="433">
        <f t="shared" si="341"/>
        <v>0</v>
      </c>
      <c r="BC691" s="433">
        <f t="shared" si="342"/>
        <v>0</v>
      </c>
      <c r="BD691" s="433">
        <f t="shared" si="351"/>
        <v>1</v>
      </c>
      <c r="BE691" s="433">
        <f t="shared" si="352"/>
        <v>0</v>
      </c>
      <c r="BF691" s="433">
        <f t="shared" si="353"/>
        <v>0</v>
      </c>
      <c r="BG691" s="433">
        <f t="shared" si="354"/>
        <v>0</v>
      </c>
      <c r="BH691" s="433">
        <f t="shared" si="355"/>
        <v>1</v>
      </c>
      <c r="BI691" s="433">
        <f t="shared" si="356"/>
        <v>8</v>
      </c>
      <c r="BJ691" s="433">
        <f t="shared" si="357"/>
        <v>0</v>
      </c>
      <c r="BK691" s="433">
        <f t="shared" si="358"/>
        <v>0</v>
      </c>
      <c r="BL691" s="433">
        <f t="shared" si="359"/>
        <v>10</v>
      </c>
      <c r="BM691" s="433">
        <f t="shared" si="360"/>
        <v>0</v>
      </c>
      <c r="BN691" s="433">
        <f t="shared" si="361"/>
        <v>1</v>
      </c>
      <c r="BO691" s="433">
        <f t="shared" si="362"/>
        <v>0</v>
      </c>
      <c r="BP691" s="433">
        <f t="shared" si="363"/>
        <v>0</v>
      </c>
      <c r="BQ691" s="433">
        <f t="shared" si="364"/>
        <v>0</v>
      </c>
    </row>
    <row r="692" spans="1:69" x14ac:dyDescent="0.2">
      <c r="A692" s="102">
        <v>41863</v>
      </c>
      <c r="B692" s="319">
        <v>1</v>
      </c>
      <c r="C692" s="118" t="s">
        <v>4182</v>
      </c>
      <c r="D692" s="111">
        <v>0.71111111111111114</v>
      </c>
      <c r="E692" s="111">
        <v>0.84027777777777779</v>
      </c>
      <c r="F692" s="319">
        <v>53</v>
      </c>
      <c r="G692" s="445">
        <v>12</v>
      </c>
      <c r="H692" s="319"/>
      <c r="I692" s="390"/>
      <c r="J692" s="426">
        <f t="shared" si="337"/>
        <v>185.99999999999997</v>
      </c>
      <c r="K692" s="103"/>
      <c r="L692" s="103"/>
      <c r="M692" s="103"/>
      <c r="N692" s="427">
        <f t="shared" si="338"/>
        <v>0</v>
      </c>
      <c r="O692" s="103"/>
      <c r="P692" s="103"/>
      <c r="Q692" s="103"/>
      <c r="R692" s="428">
        <f t="shared" si="339"/>
        <v>0</v>
      </c>
      <c r="S692" s="103"/>
      <c r="T692" s="103"/>
      <c r="U692" s="103"/>
      <c r="V692" s="125"/>
      <c r="W692" s="428">
        <f t="shared" si="343"/>
        <v>0</v>
      </c>
      <c r="X692" s="103">
        <v>1</v>
      </c>
      <c r="Y692" s="103">
        <v>3</v>
      </c>
      <c r="Z692" s="125"/>
      <c r="AA692" s="428">
        <f t="shared" si="344"/>
        <v>4</v>
      </c>
      <c r="AB692" s="103"/>
      <c r="AC692" s="103">
        <v>5</v>
      </c>
      <c r="AD692" s="103"/>
      <c r="AE692" s="428">
        <f t="shared" si="345"/>
        <v>5</v>
      </c>
      <c r="AF692" s="103">
        <v>1</v>
      </c>
      <c r="AG692" s="103"/>
      <c r="AH692" s="103"/>
      <c r="AI692" s="103"/>
      <c r="AJ692" s="428">
        <f t="shared" si="346"/>
        <v>1</v>
      </c>
      <c r="AK692" s="446"/>
      <c r="AL692" s="446"/>
      <c r="AM692" s="446"/>
      <c r="AN692" s="446"/>
      <c r="AO692" s="446"/>
      <c r="AP692" s="446"/>
      <c r="AQ692" s="446"/>
      <c r="AR692" s="431">
        <f t="shared" si="347"/>
        <v>0</v>
      </c>
      <c r="AT692" s="128"/>
      <c r="AU692" s="100" t="s">
        <v>4184</v>
      </c>
      <c r="AV692" s="128" t="s">
        <v>4229</v>
      </c>
      <c r="AW692" s="100" t="s">
        <v>4202</v>
      </c>
      <c r="AX692" s="433">
        <f t="shared" si="348"/>
        <v>0</v>
      </c>
      <c r="AY692" s="433">
        <f t="shared" si="349"/>
        <v>0</v>
      </c>
      <c r="AZ692" s="433">
        <f t="shared" si="350"/>
        <v>0</v>
      </c>
      <c r="BA692" s="433">
        <f t="shared" si="340"/>
        <v>0</v>
      </c>
      <c r="BB692" s="433">
        <f t="shared" si="341"/>
        <v>0</v>
      </c>
      <c r="BC692" s="433">
        <f t="shared" si="342"/>
        <v>0</v>
      </c>
      <c r="BD692" s="433">
        <f t="shared" si="351"/>
        <v>0</v>
      </c>
      <c r="BE692" s="433">
        <f t="shared" si="352"/>
        <v>0</v>
      </c>
      <c r="BF692" s="433">
        <f t="shared" si="353"/>
        <v>0</v>
      </c>
      <c r="BG692" s="433">
        <f t="shared" si="354"/>
        <v>0</v>
      </c>
      <c r="BH692" s="433">
        <f t="shared" si="355"/>
        <v>1</v>
      </c>
      <c r="BI692" s="433">
        <f t="shared" si="356"/>
        <v>3</v>
      </c>
      <c r="BJ692" s="433">
        <f t="shared" si="357"/>
        <v>0</v>
      </c>
      <c r="BK692" s="433">
        <f t="shared" si="358"/>
        <v>0</v>
      </c>
      <c r="BL692" s="433">
        <f t="shared" si="359"/>
        <v>5</v>
      </c>
      <c r="BM692" s="433">
        <f t="shared" si="360"/>
        <v>0</v>
      </c>
      <c r="BN692" s="433">
        <f t="shared" si="361"/>
        <v>1</v>
      </c>
      <c r="BO692" s="433">
        <f t="shared" si="362"/>
        <v>0</v>
      </c>
      <c r="BP692" s="433">
        <f t="shared" si="363"/>
        <v>0</v>
      </c>
      <c r="BQ692" s="433">
        <f t="shared" si="364"/>
        <v>0</v>
      </c>
    </row>
    <row r="693" spans="1:69" x14ac:dyDescent="0.2">
      <c r="A693" s="102">
        <v>41863</v>
      </c>
      <c r="B693" s="319">
        <v>2</v>
      </c>
      <c r="C693" s="118" t="s">
        <v>3268</v>
      </c>
      <c r="D693" s="111">
        <v>0.33194444444444443</v>
      </c>
      <c r="E693" s="111">
        <v>0.44861111111111113</v>
      </c>
      <c r="F693" s="319">
        <v>39</v>
      </c>
      <c r="G693" s="445">
        <v>10</v>
      </c>
      <c r="H693" s="319"/>
      <c r="I693" s="319"/>
      <c r="J693" s="426">
        <f t="shared" si="337"/>
        <v>168.00000000000006</v>
      </c>
      <c r="K693" s="103"/>
      <c r="L693" s="103"/>
      <c r="M693" s="103"/>
      <c r="N693" s="427">
        <f t="shared" si="338"/>
        <v>0</v>
      </c>
      <c r="O693" s="103"/>
      <c r="P693" s="103"/>
      <c r="Q693" s="103"/>
      <c r="R693" s="428">
        <f t="shared" si="339"/>
        <v>0</v>
      </c>
      <c r="S693" s="103">
        <v>2</v>
      </c>
      <c r="T693" s="103"/>
      <c r="U693" s="103"/>
      <c r="V693" s="125"/>
      <c r="W693" s="428">
        <f t="shared" si="343"/>
        <v>2</v>
      </c>
      <c r="X693" s="103"/>
      <c r="Y693" s="103"/>
      <c r="Z693" s="125"/>
      <c r="AA693" s="428">
        <f t="shared" si="344"/>
        <v>0</v>
      </c>
      <c r="AB693" s="103"/>
      <c r="AC693" s="103">
        <v>3</v>
      </c>
      <c r="AD693" s="103"/>
      <c r="AE693" s="428">
        <f t="shared" si="345"/>
        <v>3</v>
      </c>
      <c r="AF693" s="103"/>
      <c r="AG693" s="103"/>
      <c r="AH693" s="103"/>
      <c r="AI693" s="103"/>
      <c r="AJ693" s="428">
        <f t="shared" si="346"/>
        <v>0</v>
      </c>
      <c r="AK693" s="446"/>
      <c r="AL693" s="446"/>
      <c r="AM693" s="446"/>
      <c r="AN693" s="446"/>
      <c r="AO693" s="446"/>
      <c r="AP693" s="446"/>
      <c r="AQ693" s="446"/>
      <c r="AR693" s="431">
        <f t="shared" si="347"/>
        <v>0</v>
      </c>
      <c r="AT693" s="128"/>
      <c r="AU693" s="100" t="s">
        <v>4183</v>
      </c>
      <c r="AV693" s="128" t="s">
        <v>4229</v>
      </c>
      <c r="AW693" s="100" t="s">
        <v>4202</v>
      </c>
      <c r="AX693" s="433">
        <f t="shared" si="348"/>
        <v>0</v>
      </c>
      <c r="AY693" s="433">
        <f t="shared" si="349"/>
        <v>0</v>
      </c>
      <c r="AZ693" s="433">
        <f t="shared" si="350"/>
        <v>0</v>
      </c>
      <c r="BA693" s="433">
        <f t="shared" si="340"/>
        <v>0</v>
      </c>
      <c r="BB693" s="433">
        <f t="shared" si="341"/>
        <v>0</v>
      </c>
      <c r="BC693" s="433">
        <f t="shared" si="342"/>
        <v>0</v>
      </c>
      <c r="BD693" s="433">
        <f t="shared" si="351"/>
        <v>2</v>
      </c>
      <c r="BE693" s="433">
        <f t="shared" si="352"/>
        <v>0</v>
      </c>
      <c r="BF693" s="433">
        <f t="shared" si="353"/>
        <v>0</v>
      </c>
      <c r="BG693" s="433">
        <f t="shared" si="354"/>
        <v>0</v>
      </c>
      <c r="BH693" s="433">
        <f t="shared" si="355"/>
        <v>0</v>
      </c>
      <c r="BI693" s="433">
        <f t="shared" si="356"/>
        <v>0</v>
      </c>
      <c r="BJ693" s="433">
        <f t="shared" si="357"/>
        <v>0</v>
      </c>
      <c r="BK693" s="433">
        <f t="shared" si="358"/>
        <v>0</v>
      </c>
      <c r="BL693" s="433">
        <f t="shared" si="359"/>
        <v>3</v>
      </c>
      <c r="BM693" s="433">
        <f t="shared" si="360"/>
        <v>0</v>
      </c>
      <c r="BN693" s="433">
        <f t="shared" si="361"/>
        <v>0</v>
      </c>
      <c r="BO693" s="433">
        <f t="shared" si="362"/>
        <v>0</v>
      </c>
      <c r="BP693" s="433">
        <f t="shared" si="363"/>
        <v>0</v>
      </c>
      <c r="BQ693" s="433">
        <f t="shared" si="364"/>
        <v>0</v>
      </c>
    </row>
    <row r="694" spans="1:69" x14ac:dyDescent="0.2">
      <c r="A694" s="102">
        <v>41863</v>
      </c>
      <c r="B694" s="319">
        <v>2</v>
      </c>
      <c r="C694" s="118" t="s">
        <v>3412</v>
      </c>
      <c r="D694" s="111">
        <v>0.44861111111111113</v>
      </c>
      <c r="E694" s="111">
        <v>0.70000000000000007</v>
      </c>
      <c r="F694" s="319">
        <v>36</v>
      </c>
      <c r="G694" s="445">
        <v>12</v>
      </c>
      <c r="H694" s="319"/>
      <c r="I694" s="319"/>
      <c r="J694" s="426">
        <f t="shared" si="337"/>
        <v>362.00000000000011</v>
      </c>
      <c r="K694" s="103"/>
      <c r="L694" s="103"/>
      <c r="M694" s="103"/>
      <c r="N694" s="427">
        <f t="shared" si="338"/>
        <v>0</v>
      </c>
      <c r="O694" s="103"/>
      <c r="P694" s="103"/>
      <c r="Q694" s="103"/>
      <c r="R694" s="428">
        <f t="shared" si="339"/>
        <v>0</v>
      </c>
      <c r="S694" s="103">
        <v>2</v>
      </c>
      <c r="T694" s="103">
        <v>1</v>
      </c>
      <c r="U694" s="103"/>
      <c r="V694" s="125"/>
      <c r="W694" s="428">
        <f t="shared" si="343"/>
        <v>3</v>
      </c>
      <c r="X694" s="103"/>
      <c r="Y694" s="103"/>
      <c r="Z694" s="125"/>
      <c r="AA694" s="428">
        <f t="shared" si="344"/>
        <v>0</v>
      </c>
      <c r="AB694" s="103">
        <v>2</v>
      </c>
      <c r="AC694" s="103">
        <v>13</v>
      </c>
      <c r="AD694" s="103"/>
      <c r="AE694" s="428">
        <f t="shared" si="345"/>
        <v>15</v>
      </c>
      <c r="AF694" s="103"/>
      <c r="AG694" s="103"/>
      <c r="AH694" s="103"/>
      <c r="AI694" s="103"/>
      <c r="AJ694" s="428">
        <f t="shared" si="346"/>
        <v>0</v>
      </c>
      <c r="AK694" s="446"/>
      <c r="AL694" s="446"/>
      <c r="AM694" s="446"/>
      <c r="AN694" s="446"/>
      <c r="AO694" s="446"/>
      <c r="AP694" s="446"/>
      <c r="AQ694" s="446"/>
      <c r="AR694" s="431">
        <f t="shared" si="347"/>
        <v>0</v>
      </c>
      <c r="AS694" s="10" t="s">
        <v>4186</v>
      </c>
      <c r="AT694" s="128"/>
      <c r="AU694" s="100" t="s">
        <v>4187</v>
      </c>
      <c r="AV694" s="128" t="s">
        <v>4229</v>
      </c>
      <c r="AW694" s="100" t="s">
        <v>4202</v>
      </c>
      <c r="AX694" s="433">
        <f t="shared" si="348"/>
        <v>0</v>
      </c>
      <c r="AY694" s="433">
        <f t="shared" si="349"/>
        <v>0</v>
      </c>
      <c r="AZ694" s="433">
        <f t="shared" si="350"/>
        <v>0</v>
      </c>
      <c r="BA694" s="433">
        <f t="shared" si="340"/>
        <v>0</v>
      </c>
      <c r="BB694" s="433">
        <f t="shared" si="341"/>
        <v>0</v>
      </c>
      <c r="BC694" s="433">
        <f t="shared" si="342"/>
        <v>0</v>
      </c>
      <c r="BD694" s="433">
        <f t="shared" si="351"/>
        <v>2</v>
      </c>
      <c r="BE694" s="433">
        <f t="shared" si="352"/>
        <v>1</v>
      </c>
      <c r="BF694" s="433">
        <f t="shared" si="353"/>
        <v>0</v>
      </c>
      <c r="BG694" s="433">
        <f t="shared" si="354"/>
        <v>0</v>
      </c>
      <c r="BH694" s="433">
        <f t="shared" si="355"/>
        <v>0</v>
      </c>
      <c r="BI694" s="433">
        <f t="shared" si="356"/>
        <v>0</v>
      </c>
      <c r="BJ694" s="433">
        <f t="shared" si="357"/>
        <v>0</v>
      </c>
      <c r="BK694" s="433">
        <f t="shared" si="358"/>
        <v>2</v>
      </c>
      <c r="BL694" s="433">
        <f t="shared" si="359"/>
        <v>13</v>
      </c>
      <c r="BM694" s="433">
        <f t="shared" si="360"/>
        <v>0</v>
      </c>
      <c r="BN694" s="433">
        <f t="shared" si="361"/>
        <v>0</v>
      </c>
      <c r="BO694" s="433">
        <f t="shared" si="362"/>
        <v>0</v>
      </c>
      <c r="BP694" s="433">
        <f t="shared" si="363"/>
        <v>0</v>
      </c>
      <c r="BQ694" s="433">
        <f t="shared" si="364"/>
        <v>0</v>
      </c>
    </row>
    <row r="695" spans="1:69" x14ac:dyDescent="0.2">
      <c r="A695" s="102">
        <v>41863</v>
      </c>
      <c r="B695" s="319">
        <v>2</v>
      </c>
      <c r="C695" s="118" t="s">
        <v>4182</v>
      </c>
      <c r="D695" s="111">
        <v>0.70000000000000007</v>
      </c>
      <c r="E695" s="111">
        <v>0.83194444444444438</v>
      </c>
      <c r="F695" s="319">
        <v>34</v>
      </c>
      <c r="G695" s="445">
        <v>13</v>
      </c>
      <c r="H695" s="319"/>
      <c r="I695" s="319"/>
      <c r="J695" s="426">
        <f t="shared" si="337"/>
        <v>189.9999999999998</v>
      </c>
      <c r="K695" s="103"/>
      <c r="L695" s="103"/>
      <c r="M695" s="103"/>
      <c r="N695" s="427">
        <f t="shared" si="338"/>
        <v>0</v>
      </c>
      <c r="O695" s="103"/>
      <c r="P695" s="103"/>
      <c r="Q695" s="103"/>
      <c r="R695" s="428">
        <f t="shared" si="339"/>
        <v>0</v>
      </c>
      <c r="S695" s="103">
        <v>1</v>
      </c>
      <c r="T695" s="103"/>
      <c r="U695" s="103"/>
      <c r="V695" s="125"/>
      <c r="W695" s="428">
        <f t="shared" si="343"/>
        <v>1</v>
      </c>
      <c r="X695" s="103"/>
      <c r="Y695" s="103"/>
      <c r="Z695" s="125"/>
      <c r="AA695" s="428">
        <f t="shared" si="344"/>
        <v>0</v>
      </c>
      <c r="AB695" s="103"/>
      <c r="AC695" s="103">
        <v>8</v>
      </c>
      <c r="AD695" s="103"/>
      <c r="AE695" s="428">
        <f t="shared" si="345"/>
        <v>8</v>
      </c>
      <c r="AF695" s="103"/>
      <c r="AG695" s="103"/>
      <c r="AH695" s="103"/>
      <c r="AI695" s="103"/>
      <c r="AJ695" s="428">
        <f t="shared" si="346"/>
        <v>0</v>
      </c>
      <c r="AK695" s="446"/>
      <c r="AL695" s="446"/>
      <c r="AM695" s="446"/>
      <c r="AN695" s="446"/>
      <c r="AO695" s="446"/>
      <c r="AP695" s="446"/>
      <c r="AQ695" s="446"/>
      <c r="AR695" s="431">
        <f t="shared" si="347"/>
        <v>0</v>
      </c>
      <c r="AT695" s="128"/>
      <c r="AU695" s="100" t="s">
        <v>4184</v>
      </c>
      <c r="AV695" s="128" t="s">
        <v>4229</v>
      </c>
      <c r="AW695" s="100" t="s">
        <v>4202</v>
      </c>
      <c r="AX695" s="433">
        <f t="shared" si="348"/>
        <v>0</v>
      </c>
      <c r="AY695" s="433">
        <f t="shared" si="349"/>
        <v>0</v>
      </c>
      <c r="AZ695" s="433">
        <f t="shared" si="350"/>
        <v>0</v>
      </c>
      <c r="BA695" s="433">
        <f t="shared" si="340"/>
        <v>0</v>
      </c>
      <c r="BB695" s="433">
        <f t="shared" si="341"/>
        <v>0</v>
      </c>
      <c r="BC695" s="433">
        <f t="shared" si="342"/>
        <v>0</v>
      </c>
      <c r="BD695" s="433">
        <f t="shared" si="351"/>
        <v>1</v>
      </c>
      <c r="BE695" s="433">
        <f t="shared" si="352"/>
        <v>0</v>
      </c>
      <c r="BF695" s="433">
        <f t="shared" si="353"/>
        <v>0</v>
      </c>
      <c r="BG695" s="433">
        <f t="shared" si="354"/>
        <v>0</v>
      </c>
      <c r="BH695" s="433">
        <f t="shared" si="355"/>
        <v>0</v>
      </c>
      <c r="BI695" s="433">
        <f t="shared" si="356"/>
        <v>0</v>
      </c>
      <c r="BJ695" s="433">
        <f t="shared" si="357"/>
        <v>0</v>
      </c>
      <c r="BK695" s="433">
        <f t="shared" si="358"/>
        <v>0</v>
      </c>
      <c r="BL695" s="433">
        <f t="shared" si="359"/>
        <v>8</v>
      </c>
      <c r="BM695" s="433">
        <f t="shared" si="360"/>
        <v>0</v>
      </c>
      <c r="BN695" s="433">
        <f t="shared" si="361"/>
        <v>0</v>
      </c>
      <c r="BO695" s="433">
        <f t="shared" si="362"/>
        <v>0</v>
      </c>
      <c r="BP695" s="433">
        <f t="shared" si="363"/>
        <v>0</v>
      </c>
      <c r="BQ695" s="433">
        <f t="shared" si="364"/>
        <v>0</v>
      </c>
    </row>
    <row r="696" spans="1:69" x14ac:dyDescent="0.2">
      <c r="A696" s="102">
        <v>41863</v>
      </c>
      <c r="B696" s="319">
        <v>3</v>
      </c>
      <c r="C696" s="118" t="s">
        <v>4182</v>
      </c>
      <c r="D696" s="111">
        <v>0.3347222222222222</v>
      </c>
      <c r="E696" s="111">
        <v>0.58263888888888882</v>
      </c>
      <c r="F696" s="319">
        <v>54</v>
      </c>
      <c r="G696" s="445">
        <v>11</v>
      </c>
      <c r="H696" s="319"/>
      <c r="I696" s="319"/>
      <c r="J696" s="426">
        <f t="shared" si="337"/>
        <v>356.99999999999994</v>
      </c>
      <c r="K696" s="103"/>
      <c r="L696" s="103"/>
      <c r="M696" s="103"/>
      <c r="N696" s="427">
        <f t="shared" si="338"/>
        <v>0</v>
      </c>
      <c r="O696" s="103"/>
      <c r="P696" s="103"/>
      <c r="Q696" s="103"/>
      <c r="R696" s="428">
        <f t="shared" si="339"/>
        <v>0</v>
      </c>
      <c r="S696" s="103">
        <v>1</v>
      </c>
      <c r="T696" s="103"/>
      <c r="U696" s="103"/>
      <c r="V696" s="125"/>
      <c r="W696" s="428">
        <f t="shared" si="343"/>
        <v>1</v>
      </c>
      <c r="X696" s="103">
        <v>1</v>
      </c>
      <c r="Y696" s="103">
        <v>19</v>
      </c>
      <c r="Z696" s="125"/>
      <c r="AA696" s="428">
        <f t="shared" si="344"/>
        <v>20</v>
      </c>
      <c r="AB696" s="103">
        <v>1</v>
      </c>
      <c r="AC696" s="103">
        <v>7</v>
      </c>
      <c r="AD696" s="103"/>
      <c r="AE696" s="428">
        <f t="shared" si="345"/>
        <v>8</v>
      </c>
      <c r="AF696" s="103">
        <v>2</v>
      </c>
      <c r="AG696" s="103"/>
      <c r="AH696" s="103"/>
      <c r="AI696" s="103"/>
      <c r="AJ696" s="428">
        <f t="shared" si="346"/>
        <v>2</v>
      </c>
      <c r="AK696" s="446"/>
      <c r="AL696" s="446"/>
      <c r="AM696" s="446"/>
      <c r="AN696" s="446"/>
      <c r="AO696" s="446"/>
      <c r="AP696" s="446"/>
      <c r="AQ696" s="446"/>
      <c r="AR696" s="431">
        <f t="shared" si="347"/>
        <v>0</v>
      </c>
      <c r="AS696" s="10" t="s">
        <v>4188</v>
      </c>
      <c r="AT696" s="128"/>
      <c r="AU696" s="100" t="s">
        <v>4189</v>
      </c>
      <c r="AV696" s="128" t="s">
        <v>4229</v>
      </c>
      <c r="AW696" s="100" t="s">
        <v>4202</v>
      </c>
      <c r="AX696" s="433">
        <f t="shared" si="348"/>
        <v>0</v>
      </c>
      <c r="AY696" s="433">
        <f t="shared" si="349"/>
        <v>0</v>
      </c>
      <c r="AZ696" s="433">
        <f t="shared" si="350"/>
        <v>0</v>
      </c>
      <c r="BA696" s="433">
        <f t="shared" si="340"/>
        <v>0</v>
      </c>
      <c r="BB696" s="433">
        <f t="shared" si="341"/>
        <v>0</v>
      </c>
      <c r="BC696" s="433">
        <f t="shared" si="342"/>
        <v>0</v>
      </c>
      <c r="BD696" s="433">
        <f t="shared" si="351"/>
        <v>1</v>
      </c>
      <c r="BE696" s="433">
        <f t="shared" si="352"/>
        <v>0</v>
      </c>
      <c r="BF696" s="433">
        <f t="shared" si="353"/>
        <v>0</v>
      </c>
      <c r="BG696" s="433">
        <f t="shared" si="354"/>
        <v>0</v>
      </c>
      <c r="BH696" s="433">
        <f t="shared" si="355"/>
        <v>1</v>
      </c>
      <c r="BI696" s="433">
        <f t="shared" si="356"/>
        <v>19</v>
      </c>
      <c r="BJ696" s="433">
        <f t="shared" si="357"/>
        <v>0</v>
      </c>
      <c r="BK696" s="433">
        <f t="shared" si="358"/>
        <v>1</v>
      </c>
      <c r="BL696" s="433">
        <f t="shared" si="359"/>
        <v>7</v>
      </c>
      <c r="BM696" s="433">
        <f t="shared" si="360"/>
        <v>0</v>
      </c>
      <c r="BN696" s="433">
        <f t="shared" si="361"/>
        <v>2</v>
      </c>
      <c r="BO696" s="433">
        <f t="shared" si="362"/>
        <v>0</v>
      </c>
      <c r="BP696" s="433">
        <f t="shared" si="363"/>
        <v>0</v>
      </c>
      <c r="BQ696" s="433">
        <f t="shared" si="364"/>
        <v>0</v>
      </c>
    </row>
    <row r="697" spans="1:69" s="291" customFormat="1" x14ac:dyDescent="0.2">
      <c r="A697" s="317">
        <v>41863</v>
      </c>
      <c r="B697" s="318">
        <v>3</v>
      </c>
      <c r="C697" s="320" t="s">
        <v>3272</v>
      </c>
      <c r="D697" s="321">
        <v>0.58263888888888882</v>
      </c>
      <c r="E697" s="321">
        <v>0.83472222222222225</v>
      </c>
      <c r="F697" s="318">
        <v>42</v>
      </c>
      <c r="G697" s="435">
        <v>12</v>
      </c>
      <c r="H697" s="318"/>
      <c r="I697" s="318"/>
      <c r="J697" s="437">
        <f t="shared" si="337"/>
        <v>363.00000000000017</v>
      </c>
      <c r="K697" s="285"/>
      <c r="L697" s="285"/>
      <c r="M697" s="285"/>
      <c r="N697" s="438">
        <f t="shared" si="338"/>
        <v>0</v>
      </c>
      <c r="O697" s="285"/>
      <c r="P697" s="285"/>
      <c r="Q697" s="285"/>
      <c r="R697" s="439">
        <f t="shared" si="339"/>
        <v>0</v>
      </c>
      <c r="S697" s="285">
        <v>2</v>
      </c>
      <c r="T697" s="285"/>
      <c r="U697" s="285"/>
      <c r="V697" s="440"/>
      <c r="W697" s="439">
        <f t="shared" si="343"/>
        <v>2</v>
      </c>
      <c r="X697" s="285">
        <v>1</v>
      </c>
      <c r="Y697" s="285">
        <v>11</v>
      </c>
      <c r="Z697" s="440"/>
      <c r="AA697" s="439">
        <f t="shared" si="344"/>
        <v>12</v>
      </c>
      <c r="AB697" s="285">
        <v>1</v>
      </c>
      <c r="AC697" s="285">
        <v>9</v>
      </c>
      <c r="AD697" s="285"/>
      <c r="AE697" s="439">
        <f t="shared" si="345"/>
        <v>10</v>
      </c>
      <c r="AF697" s="285">
        <v>2</v>
      </c>
      <c r="AG697" s="285"/>
      <c r="AH697" s="285"/>
      <c r="AI697" s="285"/>
      <c r="AJ697" s="439">
        <f t="shared" si="346"/>
        <v>2</v>
      </c>
      <c r="AK697" s="340"/>
      <c r="AL697" s="340"/>
      <c r="AM697" s="340">
        <v>1</v>
      </c>
      <c r="AN697" s="340"/>
      <c r="AO697" s="340"/>
      <c r="AP697" s="340"/>
      <c r="AQ697" s="340"/>
      <c r="AR697" s="441">
        <f t="shared" si="347"/>
        <v>1</v>
      </c>
      <c r="AT697" s="313"/>
      <c r="AU697" s="289" t="s">
        <v>4190</v>
      </c>
      <c r="AV697" s="313" t="s">
        <v>4229</v>
      </c>
      <c r="AW697" s="382" t="s">
        <v>4202</v>
      </c>
      <c r="AX697" s="443">
        <f t="shared" si="348"/>
        <v>0</v>
      </c>
      <c r="AY697" s="443">
        <f t="shared" si="349"/>
        <v>0</v>
      </c>
      <c r="AZ697" s="443">
        <f t="shared" si="350"/>
        <v>0</v>
      </c>
      <c r="BA697" s="443">
        <f t="shared" si="340"/>
        <v>0</v>
      </c>
      <c r="BB697" s="443">
        <f t="shared" si="341"/>
        <v>0</v>
      </c>
      <c r="BC697" s="443">
        <f t="shared" si="342"/>
        <v>0</v>
      </c>
      <c r="BD697" s="443">
        <f t="shared" si="351"/>
        <v>2</v>
      </c>
      <c r="BE697" s="443">
        <f t="shared" si="352"/>
        <v>0</v>
      </c>
      <c r="BF697" s="443">
        <f t="shared" si="353"/>
        <v>0</v>
      </c>
      <c r="BG697" s="443">
        <f t="shared" si="354"/>
        <v>0</v>
      </c>
      <c r="BH697" s="443">
        <f t="shared" si="355"/>
        <v>1</v>
      </c>
      <c r="BI697" s="443">
        <f t="shared" si="356"/>
        <v>11</v>
      </c>
      <c r="BJ697" s="443">
        <f t="shared" si="357"/>
        <v>0</v>
      </c>
      <c r="BK697" s="443">
        <f t="shared" si="358"/>
        <v>1</v>
      </c>
      <c r="BL697" s="443">
        <f t="shared" si="359"/>
        <v>9</v>
      </c>
      <c r="BM697" s="443">
        <f t="shared" si="360"/>
        <v>0</v>
      </c>
      <c r="BN697" s="443">
        <f t="shared" si="361"/>
        <v>2</v>
      </c>
      <c r="BO697" s="443">
        <f t="shared" si="362"/>
        <v>0</v>
      </c>
      <c r="BP697" s="443">
        <f t="shared" si="363"/>
        <v>0</v>
      </c>
      <c r="BQ697" s="443">
        <f t="shared" si="364"/>
        <v>0</v>
      </c>
    </row>
    <row r="698" spans="1:69" x14ac:dyDescent="0.2">
      <c r="A698" s="102">
        <v>41864</v>
      </c>
      <c r="B698" s="319">
        <v>1</v>
      </c>
      <c r="C698" s="118" t="s">
        <v>4203</v>
      </c>
      <c r="D698" s="111">
        <v>0.34027777777777773</v>
      </c>
      <c r="E698" s="111">
        <v>0.4513888888888889</v>
      </c>
      <c r="F698" s="319">
        <v>52</v>
      </c>
      <c r="G698" s="445">
        <v>10</v>
      </c>
      <c r="H698" s="319"/>
      <c r="I698" s="319"/>
      <c r="J698" s="426">
        <f t="shared" si="337"/>
        <v>160.00000000000006</v>
      </c>
      <c r="K698" s="103"/>
      <c r="L698" s="103"/>
      <c r="M698" s="103"/>
      <c r="N698" s="427">
        <f t="shared" si="338"/>
        <v>0</v>
      </c>
      <c r="O698" s="103"/>
      <c r="P698" s="103"/>
      <c r="Q698" s="103"/>
      <c r="R698" s="428">
        <f t="shared" si="339"/>
        <v>0</v>
      </c>
      <c r="S698" s="103"/>
      <c r="T698" s="103"/>
      <c r="U698" s="103"/>
      <c r="V698" s="125"/>
      <c r="W698" s="428">
        <f t="shared" si="343"/>
        <v>0</v>
      </c>
      <c r="X698" s="103">
        <v>1</v>
      </c>
      <c r="Y698" s="103">
        <v>2</v>
      </c>
      <c r="Z698" s="125"/>
      <c r="AA698" s="428">
        <f t="shared" si="344"/>
        <v>3</v>
      </c>
      <c r="AB698" s="103">
        <v>1</v>
      </c>
      <c r="AC698" s="103">
        <v>2</v>
      </c>
      <c r="AD698" s="103"/>
      <c r="AE698" s="428">
        <f t="shared" si="345"/>
        <v>3</v>
      </c>
      <c r="AF698" s="103"/>
      <c r="AG698" s="103"/>
      <c r="AH698" s="103"/>
      <c r="AI698" s="103"/>
      <c r="AJ698" s="428">
        <f t="shared" si="346"/>
        <v>0</v>
      </c>
      <c r="AK698" s="446"/>
      <c r="AL698" s="446"/>
      <c r="AM698" s="446"/>
      <c r="AN698" s="446"/>
      <c r="AO698" s="446"/>
      <c r="AP698" s="446"/>
      <c r="AQ698" s="446"/>
      <c r="AR698" s="431">
        <f t="shared" si="347"/>
        <v>0</v>
      </c>
      <c r="AT698" s="128"/>
      <c r="AU698" s="100" t="s">
        <v>4213</v>
      </c>
      <c r="AV698" s="128" t="s">
        <v>4214</v>
      </c>
      <c r="AW698" s="100" t="s">
        <v>4232</v>
      </c>
      <c r="AX698" s="433">
        <f t="shared" si="348"/>
        <v>0</v>
      </c>
      <c r="AY698" s="433">
        <f t="shared" si="349"/>
        <v>0</v>
      </c>
      <c r="AZ698" s="433">
        <f t="shared" si="350"/>
        <v>0</v>
      </c>
      <c r="BA698" s="433">
        <f t="shared" si="340"/>
        <v>0</v>
      </c>
      <c r="BB698" s="433">
        <f t="shared" si="341"/>
        <v>0</v>
      </c>
      <c r="BC698" s="433">
        <f t="shared" si="342"/>
        <v>0</v>
      </c>
      <c r="BD698" s="433">
        <f t="shared" si="351"/>
        <v>0</v>
      </c>
      <c r="BE698" s="433">
        <f t="shared" si="352"/>
        <v>0</v>
      </c>
      <c r="BF698" s="433">
        <f t="shared" si="353"/>
        <v>0</v>
      </c>
      <c r="BG698" s="433">
        <f t="shared" si="354"/>
        <v>0</v>
      </c>
      <c r="BH698" s="433">
        <f t="shared" si="355"/>
        <v>1</v>
      </c>
      <c r="BI698" s="433">
        <f t="shared" si="356"/>
        <v>2</v>
      </c>
      <c r="BJ698" s="433">
        <f t="shared" si="357"/>
        <v>0</v>
      </c>
      <c r="BK698" s="433">
        <f t="shared" si="358"/>
        <v>1</v>
      </c>
      <c r="BL698" s="433">
        <f t="shared" si="359"/>
        <v>2</v>
      </c>
      <c r="BM698" s="433">
        <f t="shared" si="360"/>
        <v>0</v>
      </c>
      <c r="BN698" s="433">
        <f t="shared" si="361"/>
        <v>0</v>
      </c>
      <c r="BO698" s="433">
        <f t="shared" si="362"/>
        <v>0</v>
      </c>
      <c r="BP698" s="433">
        <f t="shared" si="363"/>
        <v>0</v>
      </c>
      <c r="BQ698" s="433">
        <f t="shared" si="364"/>
        <v>0</v>
      </c>
    </row>
    <row r="699" spans="1:69" x14ac:dyDescent="0.2">
      <c r="A699" s="102">
        <v>41864</v>
      </c>
      <c r="B699" s="319">
        <v>1</v>
      </c>
      <c r="C699" s="118" t="s">
        <v>4204</v>
      </c>
      <c r="D699" s="111">
        <v>0.4513888888888889</v>
      </c>
      <c r="E699" s="111">
        <v>0.70416666666666661</v>
      </c>
      <c r="F699" s="319">
        <v>53</v>
      </c>
      <c r="G699" s="445">
        <v>11</v>
      </c>
      <c r="H699" s="319"/>
      <c r="I699" s="319"/>
      <c r="J699" s="426">
        <f t="shared" si="337"/>
        <v>363.99999999999989</v>
      </c>
      <c r="K699" s="103"/>
      <c r="L699" s="103"/>
      <c r="M699" s="103"/>
      <c r="N699" s="427">
        <f t="shared" si="338"/>
        <v>0</v>
      </c>
      <c r="O699" s="103"/>
      <c r="P699" s="103"/>
      <c r="Q699" s="103"/>
      <c r="R699" s="428">
        <f t="shared" si="339"/>
        <v>0</v>
      </c>
      <c r="S699" s="103"/>
      <c r="T699" s="103"/>
      <c r="U699" s="103"/>
      <c r="V699" s="125"/>
      <c r="W699" s="428">
        <f t="shared" si="343"/>
        <v>0</v>
      </c>
      <c r="X699" s="103"/>
      <c r="Y699" s="103">
        <v>16</v>
      </c>
      <c r="Z699" s="125"/>
      <c r="AA699" s="428">
        <f t="shared" si="344"/>
        <v>16</v>
      </c>
      <c r="AB699" s="103"/>
      <c r="AC699" s="103">
        <v>17</v>
      </c>
      <c r="AD699" s="103"/>
      <c r="AE699" s="428">
        <f t="shared" si="345"/>
        <v>17</v>
      </c>
      <c r="AF699" s="103">
        <v>1</v>
      </c>
      <c r="AG699" s="103"/>
      <c r="AH699" s="103"/>
      <c r="AI699" s="103"/>
      <c r="AJ699" s="428">
        <f t="shared" si="346"/>
        <v>1</v>
      </c>
      <c r="AK699" s="446"/>
      <c r="AL699" s="446"/>
      <c r="AM699" s="446"/>
      <c r="AN699" s="446"/>
      <c r="AO699" s="446"/>
      <c r="AP699" s="446"/>
      <c r="AQ699" s="446"/>
      <c r="AR699" s="431">
        <f t="shared" si="347"/>
        <v>0</v>
      </c>
      <c r="AS699" s="10" t="s">
        <v>4205</v>
      </c>
      <c r="AT699" s="128"/>
      <c r="AU699" s="100" t="s">
        <v>4229</v>
      </c>
      <c r="AV699" s="128" t="s">
        <v>4214</v>
      </c>
      <c r="AW699" s="100" t="s">
        <v>4232</v>
      </c>
      <c r="AX699" s="433">
        <f t="shared" si="348"/>
        <v>0</v>
      </c>
      <c r="AY699" s="433">
        <f t="shared" si="349"/>
        <v>0</v>
      </c>
      <c r="AZ699" s="433">
        <f t="shared" si="350"/>
        <v>0</v>
      </c>
      <c r="BA699" s="433">
        <f t="shared" si="340"/>
        <v>0</v>
      </c>
      <c r="BB699" s="433">
        <f t="shared" si="341"/>
        <v>0</v>
      </c>
      <c r="BC699" s="433">
        <f t="shared" si="342"/>
        <v>0</v>
      </c>
      <c r="BD699" s="433">
        <f t="shared" si="351"/>
        <v>0</v>
      </c>
      <c r="BE699" s="433">
        <f t="shared" si="352"/>
        <v>0</v>
      </c>
      <c r="BF699" s="433">
        <f t="shared" si="353"/>
        <v>0</v>
      </c>
      <c r="BG699" s="433">
        <f t="shared" si="354"/>
        <v>0</v>
      </c>
      <c r="BH699" s="433">
        <f t="shared" si="355"/>
        <v>0</v>
      </c>
      <c r="BI699" s="433">
        <f t="shared" si="356"/>
        <v>16</v>
      </c>
      <c r="BJ699" s="433">
        <f t="shared" si="357"/>
        <v>0</v>
      </c>
      <c r="BK699" s="433">
        <f t="shared" si="358"/>
        <v>0</v>
      </c>
      <c r="BL699" s="433">
        <f t="shared" si="359"/>
        <v>17</v>
      </c>
      <c r="BM699" s="433">
        <f t="shared" si="360"/>
        <v>0</v>
      </c>
      <c r="BN699" s="433">
        <f t="shared" si="361"/>
        <v>1</v>
      </c>
      <c r="BO699" s="433">
        <f t="shared" si="362"/>
        <v>0</v>
      </c>
      <c r="BP699" s="433">
        <f t="shared" si="363"/>
        <v>0</v>
      </c>
      <c r="BQ699" s="433">
        <f t="shared" si="364"/>
        <v>0</v>
      </c>
    </row>
    <row r="700" spans="1:69" x14ac:dyDescent="0.2">
      <c r="A700" s="102">
        <v>41864</v>
      </c>
      <c r="B700" s="319">
        <v>1</v>
      </c>
      <c r="C700" s="118" t="s">
        <v>4206</v>
      </c>
      <c r="D700" s="111">
        <v>0.70416666666666661</v>
      </c>
      <c r="E700" s="111">
        <v>0.84444444444444444</v>
      </c>
      <c r="F700" s="319">
        <v>53</v>
      </c>
      <c r="G700" s="445">
        <v>12</v>
      </c>
      <c r="H700" s="319"/>
      <c r="I700" s="319"/>
      <c r="J700" s="426">
        <f t="shared" si="337"/>
        <v>202.00000000000009</v>
      </c>
      <c r="K700" s="103"/>
      <c r="L700" s="103"/>
      <c r="M700" s="103"/>
      <c r="N700" s="427">
        <f t="shared" si="338"/>
        <v>0</v>
      </c>
      <c r="O700" s="103"/>
      <c r="P700" s="103"/>
      <c r="Q700" s="103"/>
      <c r="R700" s="428">
        <f t="shared" si="339"/>
        <v>0</v>
      </c>
      <c r="S700" s="103">
        <v>2</v>
      </c>
      <c r="T700" s="103"/>
      <c r="U700" s="103"/>
      <c r="V700" s="125"/>
      <c r="W700" s="428">
        <f t="shared" si="343"/>
        <v>2</v>
      </c>
      <c r="X700" s="103">
        <v>1</v>
      </c>
      <c r="Y700" s="103">
        <v>7</v>
      </c>
      <c r="Z700" s="125"/>
      <c r="AA700" s="428">
        <f t="shared" si="344"/>
        <v>8</v>
      </c>
      <c r="AB700" s="103"/>
      <c r="AC700" s="103">
        <v>10</v>
      </c>
      <c r="AD700" s="103"/>
      <c r="AE700" s="428">
        <f t="shared" si="345"/>
        <v>10</v>
      </c>
      <c r="AF700" s="103">
        <v>4</v>
      </c>
      <c r="AG700" s="103"/>
      <c r="AH700" s="103"/>
      <c r="AI700" s="103"/>
      <c r="AJ700" s="428">
        <f t="shared" si="346"/>
        <v>4</v>
      </c>
      <c r="AK700" s="446"/>
      <c r="AL700" s="446"/>
      <c r="AM700" s="446"/>
      <c r="AN700" s="446"/>
      <c r="AO700" s="446"/>
      <c r="AP700" s="446"/>
      <c r="AQ700" s="446"/>
      <c r="AR700" s="431">
        <f t="shared" si="347"/>
        <v>0</v>
      </c>
      <c r="AT700" s="128"/>
      <c r="AU700" s="100" t="s">
        <v>4230</v>
      </c>
      <c r="AV700" s="128" t="s">
        <v>4214</v>
      </c>
      <c r="AW700" s="100" t="s">
        <v>4232</v>
      </c>
      <c r="AX700" s="433">
        <f t="shared" si="348"/>
        <v>0</v>
      </c>
      <c r="AY700" s="433">
        <f t="shared" si="349"/>
        <v>0</v>
      </c>
      <c r="AZ700" s="433">
        <f t="shared" si="350"/>
        <v>0</v>
      </c>
      <c r="BA700" s="433">
        <f t="shared" si="340"/>
        <v>0</v>
      </c>
      <c r="BB700" s="433">
        <f t="shared" si="341"/>
        <v>0</v>
      </c>
      <c r="BC700" s="433">
        <f t="shared" si="342"/>
        <v>0</v>
      </c>
      <c r="BD700" s="433">
        <f t="shared" si="351"/>
        <v>2</v>
      </c>
      <c r="BE700" s="433">
        <f t="shared" si="352"/>
        <v>0</v>
      </c>
      <c r="BF700" s="433">
        <f t="shared" si="353"/>
        <v>0</v>
      </c>
      <c r="BG700" s="433">
        <f t="shared" si="354"/>
        <v>0</v>
      </c>
      <c r="BH700" s="433">
        <f t="shared" si="355"/>
        <v>1</v>
      </c>
      <c r="BI700" s="433">
        <f t="shared" si="356"/>
        <v>7</v>
      </c>
      <c r="BJ700" s="433">
        <f t="shared" si="357"/>
        <v>0</v>
      </c>
      <c r="BK700" s="433">
        <f t="shared" si="358"/>
        <v>0</v>
      </c>
      <c r="BL700" s="433">
        <f t="shared" si="359"/>
        <v>10</v>
      </c>
      <c r="BM700" s="433">
        <f t="shared" si="360"/>
        <v>0</v>
      </c>
      <c r="BN700" s="433">
        <f t="shared" si="361"/>
        <v>4</v>
      </c>
      <c r="BO700" s="433">
        <f t="shared" si="362"/>
        <v>0</v>
      </c>
      <c r="BP700" s="433">
        <f t="shared" si="363"/>
        <v>0</v>
      </c>
      <c r="BQ700" s="433">
        <f t="shared" si="364"/>
        <v>0</v>
      </c>
    </row>
    <row r="701" spans="1:69" x14ac:dyDescent="0.2">
      <c r="A701" s="102">
        <v>41864</v>
      </c>
      <c r="B701" s="319">
        <v>2</v>
      </c>
      <c r="C701" s="118" t="s">
        <v>4203</v>
      </c>
      <c r="D701" s="111">
        <v>0.33333333333333331</v>
      </c>
      <c r="E701" s="115">
        <v>0.4375</v>
      </c>
      <c r="F701" s="319">
        <v>37</v>
      </c>
      <c r="G701" s="445">
        <v>11</v>
      </c>
      <c r="H701" s="319"/>
      <c r="I701" s="319"/>
      <c r="J701" s="426">
        <f t="shared" si="337"/>
        <v>150.00000000000003</v>
      </c>
      <c r="K701" s="103"/>
      <c r="L701" s="103"/>
      <c r="M701" s="103"/>
      <c r="N701" s="427">
        <f t="shared" si="338"/>
        <v>0</v>
      </c>
      <c r="O701" s="103"/>
      <c r="P701" s="103"/>
      <c r="Q701" s="103"/>
      <c r="R701" s="428">
        <f t="shared" si="339"/>
        <v>0</v>
      </c>
      <c r="S701" s="103"/>
      <c r="T701" s="103"/>
      <c r="U701" s="103"/>
      <c r="V701" s="125"/>
      <c r="W701" s="428">
        <f t="shared" si="343"/>
        <v>0</v>
      </c>
      <c r="X701" s="103"/>
      <c r="Y701" s="103"/>
      <c r="Z701" s="125"/>
      <c r="AA701" s="428">
        <f t="shared" si="344"/>
        <v>0</v>
      </c>
      <c r="AB701" s="103"/>
      <c r="AC701" s="103">
        <v>6</v>
      </c>
      <c r="AD701" s="103"/>
      <c r="AE701" s="428">
        <f t="shared" si="345"/>
        <v>6</v>
      </c>
      <c r="AF701" s="103"/>
      <c r="AG701" s="103"/>
      <c r="AH701" s="103"/>
      <c r="AI701" s="103"/>
      <c r="AJ701" s="428">
        <f t="shared" si="346"/>
        <v>0</v>
      </c>
      <c r="AK701" s="446"/>
      <c r="AL701" s="446"/>
      <c r="AM701" s="446"/>
      <c r="AN701" s="446"/>
      <c r="AO701" s="446"/>
      <c r="AP701" s="446"/>
      <c r="AQ701" s="446"/>
      <c r="AR701" s="431">
        <f t="shared" si="347"/>
        <v>0</v>
      </c>
      <c r="AT701" s="128"/>
      <c r="AU701" s="100" t="s">
        <v>4213</v>
      </c>
      <c r="AV701" s="128" t="s">
        <v>4214</v>
      </c>
      <c r="AW701" s="100" t="s">
        <v>4232</v>
      </c>
      <c r="AX701" s="433">
        <f t="shared" si="348"/>
        <v>0</v>
      </c>
      <c r="AY701" s="433">
        <f t="shared" si="349"/>
        <v>0</v>
      </c>
      <c r="AZ701" s="433">
        <f t="shared" si="350"/>
        <v>0</v>
      </c>
      <c r="BA701" s="433">
        <f t="shared" si="340"/>
        <v>0</v>
      </c>
      <c r="BB701" s="433">
        <f t="shared" si="341"/>
        <v>0</v>
      </c>
      <c r="BC701" s="433">
        <f t="shared" si="342"/>
        <v>0</v>
      </c>
      <c r="BD701" s="433">
        <f t="shared" si="351"/>
        <v>0</v>
      </c>
      <c r="BE701" s="433">
        <f t="shared" si="352"/>
        <v>0</v>
      </c>
      <c r="BF701" s="433">
        <f t="shared" si="353"/>
        <v>0</v>
      </c>
      <c r="BG701" s="433">
        <f t="shared" si="354"/>
        <v>0</v>
      </c>
      <c r="BH701" s="433">
        <f t="shared" si="355"/>
        <v>0</v>
      </c>
      <c r="BI701" s="433">
        <f t="shared" si="356"/>
        <v>0</v>
      </c>
      <c r="BJ701" s="433">
        <f t="shared" si="357"/>
        <v>0</v>
      </c>
      <c r="BK701" s="433">
        <f t="shared" si="358"/>
        <v>0</v>
      </c>
      <c r="BL701" s="433">
        <f t="shared" si="359"/>
        <v>6</v>
      </c>
      <c r="BM701" s="433">
        <f t="shared" si="360"/>
        <v>0</v>
      </c>
      <c r="BN701" s="433">
        <f t="shared" si="361"/>
        <v>0</v>
      </c>
      <c r="BO701" s="433">
        <f t="shared" si="362"/>
        <v>0</v>
      </c>
      <c r="BP701" s="433">
        <f t="shared" si="363"/>
        <v>0</v>
      </c>
      <c r="BQ701" s="433">
        <f t="shared" si="364"/>
        <v>0</v>
      </c>
    </row>
    <row r="702" spans="1:69" x14ac:dyDescent="0.2">
      <c r="A702" s="102">
        <v>41864</v>
      </c>
      <c r="B702" s="477">
        <v>2</v>
      </c>
      <c r="C702" s="118" t="s">
        <v>4207</v>
      </c>
      <c r="D702" s="115">
        <v>0.4375</v>
      </c>
      <c r="E702" s="111">
        <v>0.68888888888888899</v>
      </c>
      <c r="F702" s="477">
        <v>33</v>
      </c>
      <c r="G702" s="478">
        <v>12</v>
      </c>
      <c r="H702" s="477"/>
      <c r="I702" s="477"/>
      <c r="J702" s="426">
        <f t="shared" si="337"/>
        <v>362.00000000000017</v>
      </c>
      <c r="K702" s="103"/>
      <c r="L702" s="103"/>
      <c r="M702" s="103"/>
      <c r="N702" s="427">
        <f t="shared" si="338"/>
        <v>0</v>
      </c>
      <c r="O702" s="103"/>
      <c r="P702" s="103"/>
      <c r="Q702" s="103"/>
      <c r="R702" s="428">
        <f t="shared" si="339"/>
        <v>0</v>
      </c>
      <c r="S702" s="103"/>
      <c r="T702" s="103">
        <v>1</v>
      </c>
      <c r="U702" s="103"/>
      <c r="V702" s="125"/>
      <c r="W702" s="428">
        <f t="shared" si="343"/>
        <v>1</v>
      </c>
      <c r="X702" s="103">
        <v>1</v>
      </c>
      <c r="Y702" s="103"/>
      <c r="Z702" s="125"/>
      <c r="AA702" s="428">
        <f t="shared" si="344"/>
        <v>1</v>
      </c>
      <c r="AB702" s="103">
        <v>1</v>
      </c>
      <c r="AC702" s="103">
        <v>12</v>
      </c>
      <c r="AD702" s="103"/>
      <c r="AE702" s="428">
        <f t="shared" si="345"/>
        <v>13</v>
      </c>
      <c r="AF702" s="103"/>
      <c r="AG702" s="103"/>
      <c r="AH702" s="103"/>
      <c r="AI702" s="103"/>
      <c r="AJ702" s="428">
        <f t="shared" si="346"/>
        <v>0</v>
      </c>
      <c r="AK702" s="446"/>
      <c r="AL702" s="446"/>
      <c r="AM702" s="446"/>
      <c r="AN702" s="446"/>
      <c r="AO702" s="446"/>
      <c r="AP702" s="446"/>
      <c r="AQ702" s="446"/>
      <c r="AR702" s="431">
        <f t="shared" si="347"/>
        <v>0</v>
      </c>
      <c r="AT702" s="128"/>
      <c r="AU702" s="100" t="s">
        <v>4229</v>
      </c>
      <c r="AV702" s="128" t="s">
        <v>4214</v>
      </c>
      <c r="AW702" s="100" t="s">
        <v>4232</v>
      </c>
      <c r="AX702" s="479">
        <f t="shared" si="348"/>
        <v>0</v>
      </c>
      <c r="AY702" s="479">
        <f t="shared" si="349"/>
        <v>0</v>
      </c>
      <c r="AZ702" s="479">
        <f t="shared" si="350"/>
        <v>0</v>
      </c>
      <c r="BA702" s="433">
        <f t="shared" si="340"/>
        <v>0</v>
      </c>
      <c r="BB702" s="433">
        <f t="shared" si="341"/>
        <v>0</v>
      </c>
      <c r="BC702" s="433">
        <f t="shared" si="342"/>
        <v>0</v>
      </c>
      <c r="BD702" s="433">
        <f t="shared" si="351"/>
        <v>0</v>
      </c>
      <c r="BE702" s="433">
        <f t="shared" si="352"/>
        <v>1</v>
      </c>
      <c r="BF702" s="433">
        <f t="shared" si="353"/>
        <v>0</v>
      </c>
      <c r="BG702" s="433">
        <f t="shared" si="354"/>
        <v>0</v>
      </c>
      <c r="BH702" s="433">
        <f t="shared" si="355"/>
        <v>1</v>
      </c>
      <c r="BI702" s="433">
        <f t="shared" si="356"/>
        <v>0</v>
      </c>
      <c r="BJ702" s="433">
        <f t="shared" si="357"/>
        <v>0</v>
      </c>
      <c r="BK702" s="433">
        <f t="shared" si="358"/>
        <v>1</v>
      </c>
      <c r="BL702" s="433">
        <f t="shared" si="359"/>
        <v>12</v>
      </c>
      <c r="BM702" s="433">
        <f t="shared" si="360"/>
        <v>0</v>
      </c>
      <c r="BN702" s="433">
        <f t="shared" si="361"/>
        <v>0</v>
      </c>
      <c r="BO702" s="433">
        <f t="shared" si="362"/>
        <v>0</v>
      </c>
      <c r="BP702" s="433">
        <f t="shared" si="363"/>
        <v>0</v>
      </c>
      <c r="BQ702" s="433">
        <f t="shared" si="364"/>
        <v>0</v>
      </c>
    </row>
    <row r="703" spans="1:69" x14ac:dyDescent="0.2">
      <c r="A703" s="102">
        <v>41864</v>
      </c>
      <c r="B703" s="319">
        <v>2</v>
      </c>
      <c r="C703" s="118" t="s">
        <v>4206</v>
      </c>
      <c r="D703" s="111">
        <v>0.68888888888888899</v>
      </c>
      <c r="E703" s="111">
        <v>0.83333333333333337</v>
      </c>
      <c r="F703" s="319">
        <v>36</v>
      </c>
      <c r="G703" s="445">
        <v>12</v>
      </c>
      <c r="H703" s="319"/>
      <c r="I703" s="319"/>
      <c r="J703" s="426">
        <f t="shared" si="337"/>
        <v>207.99999999999989</v>
      </c>
      <c r="K703" s="103"/>
      <c r="L703" s="103"/>
      <c r="M703" s="103"/>
      <c r="N703" s="427">
        <f t="shared" si="338"/>
        <v>0</v>
      </c>
      <c r="O703" s="103"/>
      <c r="P703" s="103"/>
      <c r="Q703" s="103"/>
      <c r="R703" s="428">
        <f t="shared" si="339"/>
        <v>0</v>
      </c>
      <c r="S703" s="103"/>
      <c r="T703" s="103"/>
      <c r="U703" s="103"/>
      <c r="V703" s="125"/>
      <c r="W703" s="428">
        <f t="shared" si="343"/>
        <v>0</v>
      </c>
      <c r="X703" s="103">
        <v>1</v>
      </c>
      <c r="Y703" s="103">
        <v>1</v>
      </c>
      <c r="Z703" s="125"/>
      <c r="AA703" s="428">
        <f t="shared" si="344"/>
        <v>2</v>
      </c>
      <c r="AB703" s="103">
        <v>2</v>
      </c>
      <c r="AC703" s="103">
        <v>1</v>
      </c>
      <c r="AD703" s="103"/>
      <c r="AE703" s="428">
        <f t="shared" si="345"/>
        <v>3</v>
      </c>
      <c r="AF703" s="103"/>
      <c r="AG703" s="103"/>
      <c r="AH703" s="103"/>
      <c r="AI703" s="103"/>
      <c r="AJ703" s="428">
        <f t="shared" si="346"/>
        <v>0</v>
      </c>
      <c r="AK703" s="446"/>
      <c r="AL703" s="446"/>
      <c r="AM703" s="446"/>
      <c r="AN703" s="446"/>
      <c r="AO703" s="446"/>
      <c r="AP703" s="446"/>
      <c r="AQ703" s="446"/>
      <c r="AR703" s="431">
        <f t="shared" si="347"/>
        <v>0</v>
      </c>
      <c r="AT703" s="128"/>
      <c r="AU703" s="100" t="s">
        <v>4231</v>
      </c>
      <c r="AV703" s="128" t="s">
        <v>4214</v>
      </c>
      <c r="AW703" s="100" t="s">
        <v>4232</v>
      </c>
      <c r="AX703" s="433">
        <f t="shared" si="348"/>
        <v>0</v>
      </c>
      <c r="AY703" s="433">
        <f t="shared" si="349"/>
        <v>0</v>
      </c>
      <c r="AZ703" s="433">
        <f t="shared" si="350"/>
        <v>0</v>
      </c>
      <c r="BA703" s="433">
        <f t="shared" si="340"/>
        <v>0</v>
      </c>
      <c r="BB703" s="433">
        <f t="shared" si="341"/>
        <v>0</v>
      </c>
      <c r="BC703" s="433">
        <f t="shared" si="342"/>
        <v>0</v>
      </c>
      <c r="BD703" s="433">
        <f t="shared" si="351"/>
        <v>0</v>
      </c>
      <c r="BE703" s="433">
        <f t="shared" si="352"/>
        <v>0</v>
      </c>
      <c r="BF703" s="433">
        <f t="shared" si="353"/>
        <v>0</v>
      </c>
      <c r="BG703" s="433">
        <f t="shared" si="354"/>
        <v>0</v>
      </c>
      <c r="BH703" s="433">
        <f t="shared" si="355"/>
        <v>1</v>
      </c>
      <c r="BI703" s="433">
        <f t="shared" si="356"/>
        <v>1</v>
      </c>
      <c r="BJ703" s="433">
        <f t="shared" si="357"/>
        <v>0</v>
      </c>
      <c r="BK703" s="433">
        <f t="shared" si="358"/>
        <v>2</v>
      </c>
      <c r="BL703" s="433">
        <f t="shared" si="359"/>
        <v>1</v>
      </c>
      <c r="BM703" s="433">
        <f t="shared" si="360"/>
        <v>0</v>
      </c>
      <c r="BN703" s="433">
        <f t="shared" si="361"/>
        <v>0</v>
      </c>
      <c r="BO703" s="433">
        <f t="shared" si="362"/>
        <v>0</v>
      </c>
      <c r="BP703" s="433">
        <f t="shared" si="363"/>
        <v>0</v>
      </c>
      <c r="BQ703" s="433">
        <f t="shared" si="364"/>
        <v>0</v>
      </c>
    </row>
    <row r="704" spans="1:69" x14ac:dyDescent="0.2">
      <c r="A704" s="102">
        <v>41864</v>
      </c>
      <c r="B704" s="319">
        <v>3</v>
      </c>
      <c r="C704" s="118" t="s">
        <v>4206</v>
      </c>
      <c r="D704" s="111">
        <v>0.33611111111111108</v>
      </c>
      <c r="E704" s="111">
        <v>0.58194444444444449</v>
      </c>
      <c r="F704" s="319">
        <v>40</v>
      </c>
      <c r="G704" s="445">
        <v>11</v>
      </c>
      <c r="H704" s="319"/>
      <c r="I704" s="319"/>
      <c r="J704" s="426">
        <f t="shared" si="337"/>
        <v>354.00000000000011</v>
      </c>
      <c r="K704" s="103"/>
      <c r="L704" s="103"/>
      <c r="M704" s="103"/>
      <c r="N704" s="427">
        <f t="shared" si="338"/>
        <v>0</v>
      </c>
      <c r="O704" s="103"/>
      <c r="P704" s="103"/>
      <c r="Q704" s="103"/>
      <c r="R704" s="428">
        <f t="shared" si="339"/>
        <v>0</v>
      </c>
      <c r="S704" s="103"/>
      <c r="T704" s="103"/>
      <c r="U704" s="103"/>
      <c r="V704" s="125"/>
      <c r="W704" s="428">
        <f t="shared" si="343"/>
        <v>0</v>
      </c>
      <c r="X704" s="103">
        <v>1</v>
      </c>
      <c r="Y704" s="103">
        <v>25</v>
      </c>
      <c r="Z704" s="125"/>
      <c r="AA704" s="428">
        <f t="shared" si="344"/>
        <v>26</v>
      </c>
      <c r="AB704" s="103">
        <v>1</v>
      </c>
      <c r="AC704" s="103">
        <v>5</v>
      </c>
      <c r="AD704" s="103"/>
      <c r="AE704" s="428">
        <f t="shared" si="345"/>
        <v>6</v>
      </c>
      <c r="AF704" s="103">
        <v>2</v>
      </c>
      <c r="AG704" s="103">
        <v>1</v>
      </c>
      <c r="AH704" s="103"/>
      <c r="AI704" s="103"/>
      <c r="AJ704" s="428">
        <f t="shared" si="346"/>
        <v>3</v>
      </c>
      <c r="AK704" s="446"/>
      <c r="AL704" s="446"/>
      <c r="AM704" s="446"/>
      <c r="AN704" s="446"/>
      <c r="AO704" s="446"/>
      <c r="AP704" s="446"/>
      <c r="AQ704" s="446"/>
      <c r="AR704" s="431">
        <f t="shared" si="347"/>
        <v>0</v>
      </c>
      <c r="AT704" s="128"/>
      <c r="AU704" s="100" t="s">
        <v>4230</v>
      </c>
      <c r="AV704" s="128" t="s">
        <v>4214</v>
      </c>
      <c r="AW704" s="100" t="s">
        <v>4232</v>
      </c>
      <c r="AX704" s="433">
        <f t="shared" si="348"/>
        <v>0</v>
      </c>
      <c r="AY704" s="433">
        <f t="shared" si="349"/>
        <v>0</v>
      </c>
      <c r="AZ704" s="433">
        <f t="shared" si="350"/>
        <v>0</v>
      </c>
      <c r="BA704" s="433">
        <f t="shared" si="340"/>
        <v>0</v>
      </c>
      <c r="BB704" s="433">
        <f t="shared" si="341"/>
        <v>0</v>
      </c>
      <c r="BC704" s="433">
        <f t="shared" si="342"/>
        <v>0</v>
      </c>
      <c r="BD704" s="433">
        <f t="shared" si="351"/>
        <v>0</v>
      </c>
      <c r="BE704" s="433">
        <f t="shared" si="352"/>
        <v>0</v>
      </c>
      <c r="BF704" s="433">
        <f t="shared" si="353"/>
        <v>0</v>
      </c>
      <c r="BG704" s="433">
        <f t="shared" si="354"/>
        <v>0</v>
      </c>
      <c r="BH704" s="433">
        <f t="shared" si="355"/>
        <v>1</v>
      </c>
      <c r="BI704" s="433">
        <f t="shared" si="356"/>
        <v>25</v>
      </c>
      <c r="BJ704" s="433">
        <f t="shared" si="357"/>
        <v>0</v>
      </c>
      <c r="BK704" s="433">
        <f t="shared" si="358"/>
        <v>1</v>
      </c>
      <c r="BL704" s="433">
        <f t="shared" si="359"/>
        <v>5</v>
      </c>
      <c r="BM704" s="433">
        <f t="shared" si="360"/>
        <v>0</v>
      </c>
      <c r="BN704" s="433">
        <f t="shared" si="361"/>
        <v>2</v>
      </c>
      <c r="BO704" s="433">
        <f t="shared" si="362"/>
        <v>1</v>
      </c>
      <c r="BP704" s="433">
        <f t="shared" si="363"/>
        <v>0</v>
      </c>
      <c r="BQ704" s="433">
        <f t="shared" si="364"/>
        <v>0</v>
      </c>
    </row>
    <row r="705" spans="1:69" s="291" customFormat="1" x14ac:dyDescent="0.2">
      <c r="A705" s="317">
        <v>41864</v>
      </c>
      <c r="B705" s="318">
        <v>3</v>
      </c>
      <c r="C705" s="320" t="s">
        <v>4208</v>
      </c>
      <c r="D705" s="321">
        <v>0.58194444444444449</v>
      </c>
      <c r="E705" s="321">
        <v>0.8354166666666667</v>
      </c>
      <c r="F705" s="318">
        <v>40</v>
      </c>
      <c r="G705" s="435">
        <v>12</v>
      </c>
      <c r="H705" s="318"/>
      <c r="I705" s="318"/>
      <c r="J705" s="437">
        <f t="shared" si="337"/>
        <v>365</v>
      </c>
      <c r="K705" s="285"/>
      <c r="L705" s="285">
        <v>1</v>
      </c>
      <c r="M705" s="285"/>
      <c r="N705" s="438">
        <f t="shared" si="338"/>
        <v>1</v>
      </c>
      <c r="O705" s="285"/>
      <c r="P705" s="285"/>
      <c r="Q705" s="285"/>
      <c r="R705" s="439">
        <f t="shared" si="339"/>
        <v>0</v>
      </c>
      <c r="S705" s="285"/>
      <c r="T705" s="285">
        <v>1</v>
      </c>
      <c r="U705" s="285"/>
      <c r="V705" s="440"/>
      <c r="W705" s="439">
        <f t="shared" si="343"/>
        <v>1</v>
      </c>
      <c r="X705" s="285"/>
      <c r="Y705" s="285">
        <v>3</v>
      </c>
      <c r="Z705" s="440"/>
      <c r="AA705" s="439">
        <f t="shared" si="344"/>
        <v>3</v>
      </c>
      <c r="AB705" s="285"/>
      <c r="AC705" s="285">
        <v>6</v>
      </c>
      <c r="AD705" s="285"/>
      <c r="AE705" s="439">
        <f t="shared" si="345"/>
        <v>6</v>
      </c>
      <c r="AF705" s="285">
        <v>1</v>
      </c>
      <c r="AG705" s="285"/>
      <c r="AH705" s="285"/>
      <c r="AI705" s="285"/>
      <c r="AJ705" s="439">
        <f t="shared" si="346"/>
        <v>1</v>
      </c>
      <c r="AK705" s="340"/>
      <c r="AL705" s="340"/>
      <c r="AM705" s="340"/>
      <c r="AN705" s="340"/>
      <c r="AO705" s="340"/>
      <c r="AP705" s="340"/>
      <c r="AQ705" s="340"/>
      <c r="AR705" s="441">
        <f t="shared" si="347"/>
        <v>0</v>
      </c>
      <c r="AT705" s="313"/>
      <c r="AU705" s="289" t="s">
        <v>4213</v>
      </c>
      <c r="AV705" s="313" t="s">
        <v>4214</v>
      </c>
      <c r="AW705" s="289" t="s">
        <v>4232</v>
      </c>
      <c r="AX705" s="443">
        <f t="shared" si="348"/>
        <v>0</v>
      </c>
      <c r="AY705" s="443">
        <f t="shared" si="349"/>
        <v>1</v>
      </c>
      <c r="AZ705" s="443">
        <f t="shared" si="350"/>
        <v>0</v>
      </c>
      <c r="BA705" s="443">
        <f t="shared" si="340"/>
        <v>0</v>
      </c>
      <c r="BB705" s="443">
        <f t="shared" si="341"/>
        <v>0</v>
      </c>
      <c r="BC705" s="443">
        <f t="shared" si="342"/>
        <v>0</v>
      </c>
      <c r="BD705" s="443">
        <f t="shared" si="351"/>
        <v>0</v>
      </c>
      <c r="BE705" s="443">
        <f t="shared" si="352"/>
        <v>1</v>
      </c>
      <c r="BF705" s="443">
        <f t="shared" si="353"/>
        <v>0</v>
      </c>
      <c r="BG705" s="443">
        <f t="shared" si="354"/>
        <v>0</v>
      </c>
      <c r="BH705" s="443">
        <f t="shared" si="355"/>
        <v>0</v>
      </c>
      <c r="BI705" s="443">
        <f t="shared" si="356"/>
        <v>3</v>
      </c>
      <c r="BJ705" s="443">
        <f t="shared" si="357"/>
        <v>0</v>
      </c>
      <c r="BK705" s="443">
        <f t="shared" si="358"/>
        <v>0</v>
      </c>
      <c r="BL705" s="443">
        <f t="shared" si="359"/>
        <v>6</v>
      </c>
      <c r="BM705" s="443">
        <f t="shared" si="360"/>
        <v>0</v>
      </c>
      <c r="BN705" s="443">
        <f t="shared" si="361"/>
        <v>1</v>
      </c>
      <c r="BO705" s="443">
        <f t="shared" si="362"/>
        <v>0</v>
      </c>
      <c r="BP705" s="443">
        <f t="shared" si="363"/>
        <v>0</v>
      </c>
      <c r="BQ705" s="443">
        <f t="shared" si="364"/>
        <v>0</v>
      </c>
    </row>
    <row r="706" spans="1:69" x14ac:dyDescent="0.2">
      <c r="A706" s="102">
        <v>41865</v>
      </c>
      <c r="B706" s="319">
        <v>1</v>
      </c>
      <c r="C706" s="118" t="s">
        <v>3786</v>
      </c>
      <c r="D706" s="111">
        <v>0.33611111111111108</v>
      </c>
      <c r="E706" s="111">
        <v>0.5854166666666667</v>
      </c>
      <c r="F706" s="319">
        <v>57</v>
      </c>
      <c r="G706" s="445">
        <v>9</v>
      </c>
      <c r="H706" s="319"/>
      <c r="I706" s="319">
        <v>107</v>
      </c>
      <c r="J706" s="426">
        <f t="shared" si="337"/>
        <v>359.00000000000006</v>
      </c>
      <c r="K706" s="103"/>
      <c r="L706" s="103"/>
      <c r="M706" s="103"/>
      <c r="N706" s="427">
        <f t="shared" si="338"/>
        <v>0</v>
      </c>
      <c r="O706" s="103"/>
      <c r="P706" s="103"/>
      <c r="Q706" s="103"/>
      <c r="R706" s="428">
        <f t="shared" si="339"/>
        <v>0</v>
      </c>
      <c r="S706" s="103">
        <v>1</v>
      </c>
      <c r="T706" s="103"/>
      <c r="U706" s="103">
        <v>1</v>
      </c>
      <c r="V706" s="125"/>
      <c r="W706" s="428">
        <f t="shared" si="343"/>
        <v>2</v>
      </c>
      <c r="X706" s="103">
        <v>1</v>
      </c>
      <c r="Y706" s="103">
        <v>17</v>
      </c>
      <c r="Z706" s="125">
        <v>1</v>
      </c>
      <c r="AA706" s="428">
        <f t="shared" si="344"/>
        <v>19</v>
      </c>
      <c r="AB706" s="103">
        <v>1</v>
      </c>
      <c r="AC706" s="103">
        <v>13</v>
      </c>
      <c r="AD706" s="103"/>
      <c r="AE706" s="428">
        <f t="shared" si="345"/>
        <v>14</v>
      </c>
      <c r="AF706" s="103">
        <v>2</v>
      </c>
      <c r="AG706" s="103">
        <v>2</v>
      </c>
      <c r="AH706" s="103"/>
      <c r="AI706" s="103"/>
      <c r="AJ706" s="428">
        <f t="shared" si="346"/>
        <v>4</v>
      </c>
      <c r="AK706" s="446"/>
      <c r="AL706" s="446"/>
      <c r="AM706" s="446"/>
      <c r="AN706" s="446"/>
      <c r="AO706" s="446"/>
      <c r="AP706" s="446"/>
      <c r="AQ706" s="446"/>
      <c r="AR706" s="431">
        <f t="shared" si="347"/>
        <v>0</v>
      </c>
      <c r="AT706" s="128"/>
      <c r="AU706" s="100" t="s">
        <v>4215</v>
      </c>
      <c r="AV706" s="128" t="s">
        <v>4253</v>
      </c>
      <c r="AW706" s="100" t="s">
        <v>4252</v>
      </c>
      <c r="AX706" s="433">
        <f t="shared" si="348"/>
        <v>0</v>
      </c>
      <c r="AY706" s="433">
        <f t="shared" si="349"/>
        <v>0</v>
      </c>
      <c r="AZ706" s="433">
        <f t="shared" si="350"/>
        <v>0</v>
      </c>
      <c r="BA706" s="433">
        <f t="shared" si="340"/>
        <v>0</v>
      </c>
      <c r="BB706" s="433">
        <f t="shared" si="341"/>
        <v>0</v>
      </c>
      <c r="BC706" s="433">
        <f t="shared" si="342"/>
        <v>0</v>
      </c>
      <c r="BD706" s="433">
        <f t="shared" si="351"/>
        <v>1</v>
      </c>
      <c r="BE706" s="433">
        <f t="shared" si="352"/>
        <v>0</v>
      </c>
      <c r="BF706" s="433">
        <f t="shared" si="353"/>
        <v>1</v>
      </c>
      <c r="BG706" s="433">
        <f t="shared" si="354"/>
        <v>0</v>
      </c>
      <c r="BH706" s="433">
        <f t="shared" si="355"/>
        <v>1</v>
      </c>
      <c r="BI706" s="433">
        <f t="shared" si="356"/>
        <v>17</v>
      </c>
      <c r="BJ706" s="433">
        <f t="shared" si="357"/>
        <v>1</v>
      </c>
      <c r="BK706" s="433">
        <f t="shared" si="358"/>
        <v>1</v>
      </c>
      <c r="BL706" s="433">
        <f t="shared" si="359"/>
        <v>13</v>
      </c>
      <c r="BM706" s="433">
        <f t="shared" si="360"/>
        <v>0</v>
      </c>
      <c r="BN706" s="433">
        <f t="shared" si="361"/>
        <v>2</v>
      </c>
      <c r="BO706" s="433">
        <f t="shared" si="362"/>
        <v>2</v>
      </c>
      <c r="BP706" s="433">
        <f t="shared" si="363"/>
        <v>0</v>
      </c>
      <c r="BQ706" s="433">
        <f t="shared" si="364"/>
        <v>0</v>
      </c>
    </row>
    <row r="707" spans="1:69" x14ac:dyDescent="0.2">
      <c r="A707" s="102">
        <v>41865</v>
      </c>
      <c r="B707" s="319">
        <v>1</v>
      </c>
      <c r="C707" s="118" t="s">
        <v>1826</v>
      </c>
      <c r="D707" s="111">
        <v>0.5854166666666667</v>
      </c>
      <c r="E707" s="111">
        <v>0.8354166666666667</v>
      </c>
      <c r="F707" s="319">
        <v>53</v>
      </c>
      <c r="G707" s="445">
        <v>9</v>
      </c>
      <c r="H707" s="319"/>
      <c r="I707" s="319"/>
      <c r="J707" s="426">
        <f t="shared" ref="J707:J770" si="365">(E707-D707)*24*60</f>
        <v>360</v>
      </c>
      <c r="K707" s="103"/>
      <c r="L707" s="103"/>
      <c r="M707" s="103"/>
      <c r="N707" s="427">
        <f t="shared" ref="N707:N770" si="366">SUM(K707:M707)</f>
        <v>0</v>
      </c>
      <c r="O707" s="103"/>
      <c r="P707" s="103">
        <v>1</v>
      </c>
      <c r="Q707" s="103"/>
      <c r="R707" s="428">
        <f t="shared" ref="R707:R770" si="367">SUM(O707:Q707)</f>
        <v>1</v>
      </c>
      <c r="S707" s="103">
        <v>1</v>
      </c>
      <c r="T707" s="103"/>
      <c r="U707" s="103"/>
      <c r="V707" s="125"/>
      <c r="W707" s="428">
        <f t="shared" si="343"/>
        <v>1</v>
      </c>
      <c r="X707" s="103"/>
      <c r="Y707" s="103">
        <v>13</v>
      </c>
      <c r="Z707" s="125"/>
      <c r="AA707" s="428">
        <f t="shared" si="344"/>
        <v>13</v>
      </c>
      <c r="AB707" s="103"/>
      <c r="AC707" s="103">
        <v>10</v>
      </c>
      <c r="AD707" s="103"/>
      <c r="AE707" s="428">
        <f t="shared" si="345"/>
        <v>10</v>
      </c>
      <c r="AF707" s="103">
        <v>4</v>
      </c>
      <c r="AG707" s="103">
        <v>1</v>
      </c>
      <c r="AH707" s="103"/>
      <c r="AI707" s="103"/>
      <c r="AJ707" s="428">
        <f t="shared" si="346"/>
        <v>5</v>
      </c>
      <c r="AK707" s="446"/>
      <c r="AL707" s="446"/>
      <c r="AM707" s="446"/>
      <c r="AN707" s="446"/>
      <c r="AO707" s="446"/>
      <c r="AP707" s="446"/>
      <c r="AQ707" s="446"/>
      <c r="AR707" s="431">
        <f t="shared" si="347"/>
        <v>0</v>
      </c>
      <c r="AT707" s="128"/>
      <c r="AU707" s="100" t="s">
        <v>4233</v>
      </c>
      <c r="AV707" s="128" t="s">
        <v>4253</v>
      </c>
      <c r="AW707" s="100" t="s">
        <v>4252</v>
      </c>
      <c r="AX707" s="433">
        <f t="shared" si="348"/>
        <v>0</v>
      </c>
      <c r="AY707" s="433">
        <f t="shared" si="349"/>
        <v>0</v>
      </c>
      <c r="AZ707" s="433">
        <f t="shared" si="350"/>
        <v>0</v>
      </c>
      <c r="BA707" s="433">
        <f t="shared" ref="BA707:BA770" si="368">O707</f>
        <v>0</v>
      </c>
      <c r="BB707" s="433">
        <f t="shared" ref="BB707:BB770" si="369">P707</f>
        <v>1</v>
      </c>
      <c r="BC707" s="433">
        <f t="shared" ref="BC707:BC770" si="370">Q707</f>
        <v>0</v>
      </c>
      <c r="BD707" s="433">
        <f t="shared" si="351"/>
        <v>1</v>
      </c>
      <c r="BE707" s="433">
        <f t="shared" si="352"/>
        <v>0</v>
      </c>
      <c r="BF707" s="433">
        <f t="shared" si="353"/>
        <v>0</v>
      </c>
      <c r="BG707" s="433">
        <f t="shared" si="354"/>
        <v>0</v>
      </c>
      <c r="BH707" s="433">
        <f t="shared" si="355"/>
        <v>0</v>
      </c>
      <c r="BI707" s="433">
        <f t="shared" si="356"/>
        <v>13</v>
      </c>
      <c r="BJ707" s="433">
        <f t="shared" si="357"/>
        <v>0</v>
      </c>
      <c r="BK707" s="433">
        <f t="shared" si="358"/>
        <v>0</v>
      </c>
      <c r="BL707" s="433">
        <f t="shared" si="359"/>
        <v>10</v>
      </c>
      <c r="BM707" s="433">
        <f t="shared" si="360"/>
        <v>0</v>
      </c>
      <c r="BN707" s="433">
        <f t="shared" si="361"/>
        <v>4</v>
      </c>
      <c r="BO707" s="433">
        <f t="shared" si="362"/>
        <v>1</v>
      </c>
      <c r="BP707" s="433">
        <f t="shared" si="363"/>
        <v>0</v>
      </c>
      <c r="BQ707" s="433">
        <f t="shared" si="364"/>
        <v>0</v>
      </c>
    </row>
    <row r="708" spans="1:69" x14ac:dyDescent="0.2">
      <c r="A708" s="102">
        <v>41865</v>
      </c>
      <c r="B708" s="319">
        <v>2</v>
      </c>
      <c r="C708" s="118" t="s">
        <v>3786</v>
      </c>
      <c r="D708" s="111">
        <v>0.33055555555555555</v>
      </c>
      <c r="E708" s="111">
        <v>0.57638888888888895</v>
      </c>
      <c r="F708" s="319">
        <v>39</v>
      </c>
      <c r="G708" s="445">
        <v>11</v>
      </c>
      <c r="H708" s="319"/>
      <c r="I708" s="319"/>
      <c r="J708" s="426">
        <f t="shared" si="365"/>
        <v>354.00000000000011</v>
      </c>
      <c r="K708" s="103"/>
      <c r="L708" s="103"/>
      <c r="M708" s="103"/>
      <c r="N708" s="427">
        <f t="shared" si="366"/>
        <v>0</v>
      </c>
      <c r="O708" s="103"/>
      <c r="P708" s="103"/>
      <c r="Q708" s="103"/>
      <c r="R708" s="428">
        <f t="shared" si="367"/>
        <v>0</v>
      </c>
      <c r="S708" s="103"/>
      <c r="T708" s="103"/>
      <c r="U708" s="103"/>
      <c r="V708" s="125"/>
      <c r="W708" s="428">
        <f t="shared" ref="W708:W771" si="371">SUM(S708:V708)</f>
        <v>0</v>
      </c>
      <c r="X708" s="103"/>
      <c r="Y708" s="103"/>
      <c r="Z708" s="125"/>
      <c r="AA708" s="428">
        <f t="shared" ref="AA708:AA771" si="372">SUM(X708:Z708)</f>
        <v>0</v>
      </c>
      <c r="AB708" s="103">
        <v>1</v>
      </c>
      <c r="AC708" s="103">
        <v>5</v>
      </c>
      <c r="AD708" s="103"/>
      <c r="AE708" s="428">
        <f t="shared" ref="AE708:AE771" si="373">SUM(AB708:AD708)</f>
        <v>6</v>
      </c>
      <c r="AF708" s="103">
        <v>1</v>
      </c>
      <c r="AG708" s="103"/>
      <c r="AH708" s="103"/>
      <c r="AI708" s="103"/>
      <c r="AJ708" s="428">
        <f t="shared" ref="AJ708:AJ771" si="374">SUM(AF708:AI708)</f>
        <v>1</v>
      </c>
      <c r="AK708" s="446"/>
      <c r="AL708" s="446"/>
      <c r="AM708" s="446"/>
      <c r="AN708" s="446"/>
      <c r="AO708" s="446"/>
      <c r="AP708" s="446"/>
      <c r="AQ708" s="446"/>
      <c r="AR708" s="431">
        <f t="shared" ref="AR708:AR771" si="375">SUM(AK708:AQ708)</f>
        <v>0</v>
      </c>
      <c r="AT708" s="128"/>
      <c r="AU708" s="100" t="s">
        <v>4215</v>
      </c>
      <c r="AV708" s="128" t="s">
        <v>4253</v>
      </c>
      <c r="AW708" s="100" t="s">
        <v>4252</v>
      </c>
      <c r="AX708" s="433">
        <f t="shared" ref="AX708:AX771" si="376">K708</f>
        <v>0</v>
      </c>
      <c r="AY708" s="433">
        <f t="shared" ref="AY708:AY771" si="377">L708</f>
        <v>0</v>
      </c>
      <c r="AZ708" s="433">
        <f t="shared" ref="AZ708:AZ771" si="378">M708</f>
        <v>0</v>
      </c>
      <c r="BA708" s="433">
        <f t="shared" si="368"/>
        <v>0</v>
      </c>
      <c r="BB708" s="433">
        <f t="shared" si="369"/>
        <v>0</v>
      </c>
      <c r="BC708" s="433">
        <f t="shared" si="370"/>
        <v>0</v>
      </c>
      <c r="BD708" s="433">
        <f t="shared" ref="BD708:BD771" si="379">S708</f>
        <v>0</v>
      </c>
      <c r="BE708" s="433">
        <f t="shared" ref="BE708:BE771" si="380">T708</f>
        <v>0</v>
      </c>
      <c r="BF708" s="433">
        <f t="shared" ref="BF708:BF771" si="381">U708</f>
        <v>0</v>
      </c>
      <c r="BG708" s="433">
        <f t="shared" ref="BG708:BG771" si="382">V708</f>
        <v>0</v>
      </c>
      <c r="BH708" s="433">
        <f t="shared" ref="BH708:BH771" si="383">X708</f>
        <v>0</v>
      </c>
      <c r="BI708" s="433">
        <f t="shared" ref="BI708:BI771" si="384">Y708</f>
        <v>0</v>
      </c>
      <c r="BJ708" s="433">
        <f t="shared" ref="BJ708:BJ771" si="385">Z708</f>
        <v>0</v>
      </c>
      <c r="BK708" s="433">
        <f t="shared" ref="BK708:BK771" si="386">AB708</f>
        <v>1</v>
      </c>
      <c r="BL708" s="433">
        <f t="shared" ref="BL708:BL771" si="387">AC708</f>
        <v>5</v>
      </c>
      <c r="BM708" s="433">
        <f t="shared" ref="BM708:BM771" si="388">AD708</f>
        <v>0</v>
      </c>
      <c r="BN708" s="433">
        <f t="shared" ref="BN708:BN771" si="389">AF708</f>
        <v>1</v>
      </c>
      <c r="BO708" s="433">
        <f t="shared" ref="BO708:BO771" si="390">AG708</f>
        <v>0</v>
      </c>
      <c r="BP708" s="433">
        <f t="shared" ref="BP708:BP771" si="391">AH708</f>
        <v>0</v>
      </c>
      <c r="BQ708" s="433">
        <f t="shared" ref="BQ708:BQ771" si="392">AI708</f>
        <v>0</v>
      </c>
    </row>
    <row r="709" spans="1:69" x14ac:dyDescent="0.2">
      <c r="A709" s="102">
        <v>41865</v>
      </c>
      <c r="B709" s="319">
        <v>2</v>
      </c>
      <c r="C709" s="118" t="s">
        <v>1826</v>
      </c>
      <c r="D709" s="111">
        <v>0.57638888888888895</v>
      </c>
      <c r="E709" s="111">
        <v>0.82361111111111107</v>
      </c>
      <c r="F709" s="319">
        <v>36</v>
      </c>
      <c r="G709" s="445">
        <v>11</v>
      </c>
      <c r="H709" s="319"/>
      <c r="I709" s="319"/>
      <c r="J709" s="426">
        <f t="shared" si="365"/>
        <v>355.99999999999983</v>
      </c>
      <c r="K709" s="103"/>
      <c r="L709" s="103"/>
      <c r="M709" s="103"/>
      <c r="N709" s="427">
        <f t="shared" si="366"/>
        <v>0</v>
      </c>
      <c r="O709" s="103"/>
      <c r="P709" s="103"/>
      <c r="Q709" s="103"/>
      <c r="R709" s="428">
        <f t="shared" si="367"/>
        <v>0</v>
      </c>
      <c r="S709" s="103"/>
      <c r="T709" s="103"/>
      <c r="U709" s="103"/>
      <c r="V709" s="125"/>
      <c r="W709" s="428">
        <f t="shared" si="371"/>
        <v>0</v>
      </c>
      <c r="X709" s="103"/>
      <c r="Y709" s="103">
        <v>1</v>
      </c>
      <c r="Z709" s="125"/>
      <c r="AA709" s="428">
        <f t="shared" si="372"/>
        <v>1</v>
      </c>
      <c r="AB709" s="103">
        <v>1</v>
      </c>
      <c r="AC709" s="103">
        <v>4</v>
      </c>
      <c r="AD709" s="103"/>
      <c r="AE709" s="428">
        <f t="shared" si="373"/>
        <v>5</v>
      </c>
      <c r="AF709" s="103"/>
      <c r="AG709" s="103"/>
      <c r="AH709" s="103"/>
      <c r="AI709" s="103"/>
      <c r="AJ709" s="428">
        <f t="shared" si="374"/>
        <v>0</v>
      </c>
      <c r="AK709" s="446"/>
      <c r="AL709" s="446"/>
      <c r="AM709" s="446"/>
      <c r="AN709" s="446"/>
      <c r="AO709" s="446"/>
      <c r="AP709" s="446"/>
      <c r="AQ709" s="446"/>
      <c r="AR709" s="431">
        <f t="shared" si="375"/>
        <v>0</v>
      </c>
      <c r="AS709" s="10" t="s">
        <v>4234</v>
      </c>
      <c r="AT709" s="128"/>
      <c r="AU709" s="100" t="s">
        <v>4219</v>
      </c>
      <c r="AV709" s="128" t="s">
        <v>4253</v>
      </c>
      <c r="AW709" s="100" t="s">
        <v>4252</v>
      </c>
      <c r="AX709" s="433">
        <f t="shared" si="376"/>
        <v>0</v>
      </c>
      <c r="AY709" s="433">
        <f t="shared" si="377"/>
        <v>0</v>
      </c>
      <c r="AZ709" s="433">
        <f t="shared" si="378"/>
        <v>0</v>
      </c>
      <c r="BA709" s="433">
        <f t="shared" si="368"/>
        <v>0</v>
      </c>
      <c r="BB709" s="433">
        <f t="shared" si="369"/>
        <v>0</v>
      </c>
      <c r="BC709" s="433">
        <f t="shared" si="370"/>
        <v>0</v>
      </c>
      <c r="BD709" s="433">
        <f t="shared" si="379"/>
        <v>0</v>
      </c>
      <c r="BE709" s="433">
        <f t="shared" si="380"/>
        <v>0</v>
      </c>
      <c r="BF709" s="433">
        <f t="shared" si="381"/>
        <v>0</v>
      </c>
      <c r="BG709" s="433">
        <f t="shared" si="382"/>
        <v>0</v>
      </c>
      <c r="BH709" s="433">
        <f t="shared" si="383"/>
        <v>0</v>
      </c>
      <c r="BI709" s="433">
        <f t="shared" si="384"/>
        <v>1</v>
      </c>
      <c r="BJ709" s="433">
        <f t="shared" si="385"/>
        <v>0</v>
      </c>
      <c r="BK709" s="433">
        <f t="shared" si="386"/>
        <v>1</v>
      </c>
      <c r="BL709" s="433">
        <f t="shared" si="387"/>
        <v>4</v>
      </c>
      <c r="BM709" s="433">
        <f t="shared" si="388"/>
        <v>0</v>
      </c>
      <c r="BN709" s="433">
        <f t="shared" si="389"/>
        <v>0</v>
      </c>
      <c r="BO709" s="433">
        <f t="shared" si="390"/>
        <v>0</v>
      </c>
      <c r="BP709" s="433">
        <f t="shared" si="391"/>
        <v>0</v>
      </c>
      <c r="BQ709" s="433">
        <f t="shared" si="392"/>
        <v>0</v>
      </c>
    </row>
    <row r="710" spans="1:69" x14ac:dyDescent="0.2">
      <c r="A710" s="102">
        <v>41865</v>
      </c>
      <c r="B710" s="319">
        <v>3</v>
      </c>
      <c r="C710" s="118" t="s">
        <v>1826</v>
      </c>
      <c r="D710" s="111">
        <v>0.33333333333333331</v>
      </c>
      <c r="E710" s="111">
        <v>0.44791666666666669</v>
      </c>
      <c r="F710" s="319">
        <v>43</v>
      </c>
      <c r="G710" s="445">
        <v>10</v>
      </c>
      <c r="H710" s="319"/>
      <c r="I710" s="319"/>
      <c r="J710" s="426">
        <f t="shared" si="365"/>
        <v>165.00000000000006</v>
      </c>
      <c r="K710" s="103"/>
      <c r="L710" s="103"/>
      <c r="M710" s="103"/>
      <c r="N710" s="427">
        <f t="shared" si="366"/>
        <v>0</v>
      </c>
      <c r="O710" s="103"/>
      <c r="P710" s="103"/>
      <c r="Q710" s="103"/>
      <c r="R710" s="428">
        <f t="shared" si="367"/>
        <v>0</v>
      </c>
      <c r="S710" s="103"/>
      <c r="T710" s="103"/>
      <c r="U710" s="103"/>
      <c r="V710" s="125"/>
      <c r="W710" s="428">
        <f t="shared" si="371"/>
        <v>0</v>
      </c>
      <c r="X710" s="103">
        <v>1</v>
      </c>
      <c r="Y710" s="103">
        <v>4</v>
      </c>
      <c r="Z710" s="125"/>
      <c r="AA710" s="428">
        <f t="shared" si="372"/>
        <v>5</v>
      </c>
      <c r="AB710" s="103">
        <v>1</v>
      </c>
      <c r="AC710" s="103"/>
      <c r="AD710" s="103"/>
      <c r="AE710" s="428">
        <f t="shared" si="373"/>
        <v>1</v>
      </c>
      <c r="AF710" s="103">
        <v>1</v>
      </c>
      <c r="AG710" s="103"/>
      <c r="AH710" s="103"/>
      <c r="AI710" s="103"/>
      <c r="AJ710" s="428">
        <f t="shared" si="374"/>
        <v>1</v>
      </c>
      <c r="AK710" s="446"/>
      <c r="AL710" s="446"/>
      <c r="AM710" s="446"/>
      <c r="AN710" s="446"/>
      <c r="AO710" s="446"/>
      <c r="AP710" s="446"/>
      <c r="AQ710" s="446"/>
      <c r="AR710" s="431">
        <f t="shared" si="375"/>
        <v>0</v>
      </c>
      <c r="AT710" s="128"/>
      <c r="AU710" s="100" t="s">
        <v>4219</v>
      </c>
      <c r="AV710" s="128" t="s">
        <v>4253</v>
      </c>
      <c r="AW710" s="100" t="s">
        <v>4252</v>
      </c>
      <c r="AX710" s="433">
        <f t="shared" si="376"/>
        <v>0</v>
      </c>
      <c r="AY710" s="433">
        <f t="shared" si="377"/>
        <v>0</v>
      </c>
      <c r="AZ710" s="433">
        <f t="shared" si="378"/>
        <v>0</v>
      </c>
      <c r="BA710" s="433">
        <f t="shared" si="368"/>
        <v>0</v>
      </c>
      <c r="BB710" s="433">
        <f t="shared" si="369"/>
        <v>0</v>
      </c>
      <c r="BC710" s="433">
        <f t="shared" si="370"/>
        <v>0</v>
      </c>
      <c r="BD710" s="433">
        <f t="shared" si="379"/>
        <v>0</v>
      </c>
      <c r="BE710" s="433">
        <f t="shared" si="380"/>
        <v>0</v>
      </c>
      <c r="BF710" s="433">
        <f t="shared" si="381"/>
        <v>0</v>
      </c>
      <c r="BG710" s="433">
        <f t="shared" si="382"/>
        <v>0</v>
      </c>
      <c r="BH710" s="433">
        <f t="shared" si="383"/>
        <v>1</v>
      </c>
      <c r="BI710" s="433">
        <f t="shared" si="384"/>
        <v>4</v>
      </c>
      <c r="BJ710" s="433">
        <f t="shared" si="385"/>
        <v>0</v>
      </c>
      <c r="BK710" s="433">
        <f t="shared" si="386"/>
        <v>1</v>
      </c>
      <c r="BL710" s="433">
        <f t="shared" si="387"/>
        <v>0</v>
      </c>
      <c r="BM710" s="433">
        <f t="shared" si="388"/>
        <v>0</v>
      </c>
      <c r="BN710" s="433">
        <f t="shared" si="389"/>
        <v>1</v>
      </c>
      <c r="BO710" s="433">
        <f t="shared" si="390"/>
        <v>0</v>
      </c>
      <c r="BP710" s="433">
        <f t="shared" si="391"/>
        <v>0</v>
      </c>
      <c r="BQ710" s="433">
        <f t="shared" si="392"/>
        <v>0</v>
      </c>
    </row>
    <row r="711" spans="1:69" x14ac:dyDescent="0.2">
      <c r="A711" s="102">
        <v>41865</v>
      </c>
      <c r="B711" s="319">
        <v>3</v>
      </c>
      <c r="C711" s="118" t="s">
        <v>3377</v>
      </c>
      <c r="D711" s="111">
        <v>0.44791666666666669</v>
      </c>
      <c r="E711" s="111">
        <v>0.70972222222222225</v>
      </c>
      <c r="F711" s="319">
        <v>42</v>
      </c>
      <c r="G711" s="445">
        <v>11</v>
      </c>
      <c r="H711" s="319"/>
      <c r="I711" s="319"/>
      <c r="J711" s="426">
        <f t="shared" si="365"/>
        <v>377</v>
      </c>
      <c r="K711" s="103"/>
      <c r="L711" s="103"/>
      <c r="M711" s="103"/>
      <c r="N711" s="427">
        <f t="shared" si="366"/>
        <v>0</v>
      </c>
      <c r="O711" s="103"/>
      <c r="P711" s="103"/>
      <c r="Q711" s="103"/>
      <c r="R711" s="428">
        <f t="shared" si="367"/>
        <v>0</v>
      </c>
      <c r="S711" s="103"/>
      <c r="T711" s="103"/>
      <c r="U711" s="103"/>
      <c r="V711" s="125"/>
      <c r="W711" s="428">
        <f t="shared" si="371"/>
        <v>0</v>
      </c>
      <c r="X711" s="103"/>
      <c r="Y711" s="103">
        <v>14</v>
      </c>
      <c r="Z711" s="125"/>
      <c r="AA711" s="428">
        <f t="shared" si="372"/>
        <v>14</v>
      </c>
      <c r="AB711" s="103">
        <v>1</v>
      </c>
      <c r="AC711" s="103">
        <v>4</v>
      </c>
      <c r="AD711" s="103"/>
      <c r="AE711" s="428">
        <f t="shared" si="373"/>
        <v>5</v>
      </c>
      <c r="AF711" s="103">
        <v>3</v>
      </c>
      <c r="AG711" s="103"/>
      <c r="AH711" s="103"/>
      <c r="AI711" s="103"/>
      <c r="AJ711" s="428">
        <f t="shared" si="374"/>
        <v>3</v>
      </c>
      <c r="AK711" s="446"/>
      <c r="AL711" s="446"/>
      <c r="AM711" s="446"/>
      <c r="AN711" s="446"/>
      <c r="AO711" s="446"/>
      <c r="AP711" s="446"/>
      <c r="AQ711" s="446"/>
      <c r="AR711" s="431">
        <f t="shared" si="375"/>
        <v>0</v>
      </c>
      <c r="AS711" s="10" t="s">
        <v>4245</v>
      </c>
      <c r="AT711" s="128"/>
      <c r="AU711" s="100" t="s">
        <v>4235</v>
      </c>
      <c r="AV711" s="128" t="s">
        <v>4253</v>
      </c>
      <c r="AW711" s="100" t="s">
        <v>4252</v>
      </c>
      <c r="AX711" s="433">
        <f t="shared" si="376"/>
        <v>0</v>
      </c>
      <c r="AY711" s="433">
        <f t="shared" si="377"/>
        <v>0</v>
      </c>
      <c r="AZ711" s="433">
        <f t="shared" si="378"/>
        <v>0</v>
      </c>
      <c r="BA711" s="433">
        <f t="shared" si="368"/>
        <v>0</v>
      </c>
      <c r="BB711" s="433">
        <f t="shared" si="369"/>
        <v>0</v>
      </c>
      <c r="BC711" s="433">
        <f t="shared" si="370"/>
        <v>0</v>
      </c>
      <c r="BD711" s="433">
        <f t="shared" si="379"/>
        <v>0</v>
      </c>
      <c r="BE711" s="433">
        <f t="shared" si="380"/>
        <v>0</v>
      </c>
      <c r="BF711" s="433">
        <f t="shared" si="381"/>
        <v>0</v>
      </c>
      <c r="BG711" s="433">
        <f t="shared" si="382"/>
        <v>0</v>
      </c>
      <c r="BH711" s="433">
        <f t="shared" si="383"/>
        <v>0</v>
      </c>
      <c r="BI711" s="433">
        <f t="shared" si="384"/>
        <v>14</v>
      </c>
      <c r="BJ711" s="433">
        <f t="shared" si="385"/>
        <v>0</v>
      </c>
      <c r="BK711" s="433">
        <f t="shared" si="386"/>
        <v>1</v>
      </c>
      <c r="BL711" s="433">
        <f t="shared" si="387"/>
        <v>4</v>
      </c>
      <c r="BM711" s="433">
        <f t="shared" si="388"/>
        <v>0</v>
      </c>
      <c r="BN711" s="433">
        <f t="shared" si="389"/>
        <v>3</v>
      </c>
      <c r="BO711" s="433">
        <f t="shared" si="390"/>
        <v>0</v>
      </c>
      <c r="BP711" s="433">
        <f t="shared" si="391"/>
        <v>0</v>
      </c>
      <c r="BQ711" s="433">
        <f t="shared" si="392"/>
        <v>0</v>
      </c>
    </row>
    <row r="712" spans="1:69" s="291" customFormat="1" x14ac:dyDescent="0.2">
      <c r="A712" s="317">
        <v>41865</v>
      </c>
      <c r="B712" s="318">
        <v>3</v>
      </c>
      <c r="C712" s="320" t="s">
        <v>4236</v>
      </c>
      <c r="D712" s="321">
        <v>0.70972222222222225</v>
      </c>
      <c r="E712" s="321">
        <v>0.83472222222222225</v>
      </c>
      <c r="F712" s="318">
        <v>37</v>
      </c>
      <c r="G712" s="435">
        <v>11</v>
      </c>
      <c r="H712" s="318"/>
      <c r="I712" s="318"/>
      <c r="J712" s="437">
        <f t="shared" si="365"/>
        <v>180</v>
      </c>
      <c r="K712" s="285"/>
      <c r="L712" s="285"/>
      <c r="M712" s="285"/>
      <c r="N712" s="438">
        <f t="shared" si="366"/>
        <v>0</v>
      </c>
      <c r="O712" s="285"/>
      <c r="P712" s="285"/>
      <c r="Q712" s="285"/>
      <c r="R712" s="439">
        <f t="shared" si="367"/>
        <v>0</v>
      </c>
      <c r="S712" s="285"/>
      <c r="T712" s="285"/>
      <c r="U712" s="285"/>
      <c r="V712" s="440"/>
      <c r="W712" s="439">
        <f t="shared" si="371"/>
        <v>0</v>
      </c>
      <c r="X712" s="285"/>
      <c r="Y712" s="285">
        <v>4</v>
      </c>
      <c r="Z712" s="440"/>
      <c r="AA712" s="439">
        <f t="shared" si="372"/>
        <v>4</v>
      </c>
      <c r="AB712" s="285">
        <v>1</v>
      </c>
      <c r="AC712" s="285">
        <v>2</v>
      </c>
      <c r="AD712" s="285"/>
      <c r="AE712" s="439">
        <f t="shared" si="373"/>
        <v>3</v>
      </c>
      <c r="AF712" s="285"/>
      <c r="AG712" s="285">
        <v>1</v>
      </c>
      <c r="AH712" s="285"/>
      <c r="AI712" s="285"/>
      <c r="AJ712" s="439">
        <f t="shared" si="374"/>
        <v>1</v>
      </c>
      <c r="AK712" s="340"/>
      <c r="AL712" s="340"/>
      <c r="AM712" s="340"/>
      <c r="AN712" s="340"/>
      <c r="AO712" s="340"/>
      <c r="AP712" s="340"/>
      <c r="AQ712" s="340"/>
      <c r="AR712" s="441">
        <f t="shared" si="375"/>
        <v>0</v>
      </c>
      <c r="AT712" s="313"/>
      <c r="AU712" s="289" t="s">
        <v>4237</v>
      </c>
      <c r="AV712" s="313" t="s">
        <v>4253</v>
      </c>
      <c r="AW712" s="289" t="s">
        <v>4252</v>
      </c>
      <c r="AX712" s="443">
        <f t="shared" si="376"/>
        <v>0</v>
      </c>
      <c r="AY712" s="443">
        <f t="shared" si="377"/>
        <v>0</v>
      </c>
      <c r="AZ712" s="443">
        <f t="shared" si="378"/>
        <v>0</v>
      </c>
      <c r="BA712" s="443">
        <f t="shared" si="368"/>
        <v>0</v>
      </c>
      <c r="BB712" s="443">
        <f t="shared" si="369"/>
        <v>0</v>
      </c>
      <c r="BC712" s="443">
        <f t="shared" si="370"/>
        <v>0</v>
      </c>
      <c r="BD712" s="443">
        <f t="shared" si="379"/>
        <v>0</v>
      </c>
      <c r="BE712" s="443">
        <f t="shared" si="380"/>
        <v>0</v>
      </c>
      <c r="BF712" s="443">
        <f t="shared" si="381"/>
        <v>0</v>
      </c>
      <c r="BG712" s="443">
        <f t="shared" si="382"/>
        <v>0</v>
      </c>
      <c r="BH712" s="443">
        <f t="shared" si="383"/>
        <v>0</v>
      </c>
      <c r="BI712" s="443">
        <f t="shared" si="384"/>
        <v>4</v>
      </c>
      <c r="BJ712" s="443">
        <f t="shared" si="385"/>
        <v>0</v>
      </c>
      <c r="BK712" s="443">
        <f t="shared" si="386"/>
        <v>1</v>
      </c>
      <c r="BL712" s="443">
        <f t="shared" si="387"/>
        <v>2</v>
      </c>
      <c r="BM712" s="443">
        <f t="shared" si="388"/>
        <v>0</v>
      </c>
      <c r="BN712" s="443">
        <f t="shared" si="389"/>
        <v>0</v>
      </c>
      <c r="BO712" s="443">
        <f t="shared" si="390"/>
        <v>1</v>
      </c>
      <c r="BP712" s="443">
        <f t="shared" si="391"/>
        <v>0</v>
      </c>
      <c r="BQ712" s="443">
        <f t="shared" si="392"/>
        <v>0</v>
      </c>
    </row>
    <row r="713" spans="1:69" x14ac:dyDescent="0.2">
      <c r="A713" s="102">
        <v>41866</v>
      </c>
      <c r="B713" s="319">
        <v>1</v>
      </c>
      <c r="C713" s="118" t="s">
        <v>1826</v>
      </c>
      <c r="D713" s="111">
        <v>0.34236111111111112</v>
      </c>
      <c r="E713" s="111">
        <v>0.58611111111111114</v>
      </c>
      <c r="F713" s="319">
        <v>59</v>
      </c>
      <c r="G713" s="445">
        <v>11</v>
      </c>
      <c r="H713" s="319"/>
      <c r="I713" s="319"/>
      <c r="J713" s="426">
        <f t="shared" si="365"/>
        <v>351.00000000000006</v>
      </c>
      <c r="K713" s="103"/>
      <c r="L713" s="103"/>
      <c r="M713" s="103"/>
      <c r="N713" s="427">
        <f t="shared" si="366"/>
        <v>0</v>
      </c>
      <c r="O713" s="103"/>
      <c r="P713" s="103"/>
      <c r="Q713" s="103"/>
      <c r="R713" s="428">
        <f t="shared" si="367"/>
        <v>0</v>
      </c>
      <c r="S713" s="103">
        <v>2</v>
      </c>
      <c r="T713" s="103"/>
      <c r="U713" s="103"/>
      <c r="V713" s="125"/>
      <c r="W713" s="428">
        <f t="shared" si="371"/>
        <v>2</v>
      </c>
      <c r="X713" s="103">
        <v>1</v>
      </c>
      <c r="Y713" s="103">
        <v>8</v>
      </c>
      <c r="Z713" s="125">
        <v>1</v>
      </c>
      <c r="AA713" s="428">
        <f t="shared" si="372"/>
        <v>10</v>
      </c>
      <c r="AB713" s="103">
        <v>1</v>
      </c>
      <c r="AC713" s="103">
        <v>9</v>
      </c>
      <c r="AD713" s="103"/>
      <c r="AE713" s="428">
        <f t="shared" si="373"/>
        <v>10</v>
      </c>
      <c r="AF713" s="103">
        <v>2</v>
      </c>
      <c r="AG713" s="103"/>
      <c r="AH713" s="103"/>
      <c r="AI713" s="103"/>
      <c r="AJ713" s="428">
        <f t="shared" si="374"/>
        <v>2</v>
      </c>
      <c r="AK713" s="446"/>
      <c r="AL713" s="446"/>
      <c r="AM713" s="446"/>
      <c r="AN713" s="446"/>
      <c r="AO713" s="446"/>
      <c r="AP713" s="446"/>
      <c r="AQ713" s="446"/>
      <c r="AR713" s="431">
        <f t="shared" si="375"/>
        <v>0</v>
      </c>
      <c r="AT713" s="128"/>
      <c r="AU713" s="100" t="s">
        <v>4254</v>
      </c>
      <c r="AV713" s="128" t="s">
        <v>4265</v>
      </c>
      <c r="AW713" s="100" t="s">
        <v>4266</v>
      </c>
      <c r="AX713" s="433">
        <f t="shared" si="376"/>
        <v>0</v>
      </c>
      <c r="AY713" s="433">
        <f t="shared" si="377"/>
        <v>0</v>
      </c>
      <c r="AZ713" s="433">
        <f t="shared" si="378"/>
        <v>0</v>
      </c>
      <c r="BA713" s="433">
        <f t="shared" si="368"/>
        <v>0</v>
      </c>
      <c r="BB713" s="433">
        <f t="shared" si="369"/>
        <v>0</v>
      </c>
      <c r="BC713" s="433">
        <f t="shared" si="370"/>
        <v>0</v>
      </c>
      <c r="BD713" s="433">
        <f t="shared" si="379"/>
        <v>2</v>
      </c>
      <c r="BE713" s="433">
        <f t="shared" si="380"/>
        <v>0</v>
      </c>
      <c r="BF713" s="433">
        <f t="shared" si="381"/>
        <v>0</v>
      </c>
      <c r="BG713" s="433">
        <f t="shared" si="382"/>
        <v>0</v>
      </c>
      <c r="BH713" s="433">
        <f t="shared" si="383"/>
        <v>1</v>
      </c>
      <c r="BI713" s="433">
        <f t="shared" si="384"/>
        <v>8</v>
      </c>
      <c r="BJ713" s="433">
        <f t="shared" si="385"/>
        <v>1</v>
      </c>
      <c r="BK713" s="433">
        <f t="shared" si="386"/>
        <v>1</v>
      </c>
      <c r="BL713" s="433">
        <f t="shared" si="387"/>
        <v>9</v>
      </c>
      <c r="BM713" s="433">
        <f t="shared" si="388"/>
        <v>0</v>
      </c>
      <c r="BN713" s="433">
        <f t="shared" si="389"/>
        <v>2</v>
      </c>
      <c r="BO713" s="433">
        <f t="shared" si="390"/>
        <v>0</v>
      </c>
      <c r="BP713" s="433">
        <f t="shared" si="391"/>
        <v>0</v>
      </c>
      <c r="BQ713" s="433">
        <f t="shared" si="392"/>
        <v>0</v>
      </c>
    </row>
    <row r="714" spans="1:69" x14ac:dyDescent="0.2">
      <c r="A714" s="102">
        <v>41866</v>
      </c>
      <c r="B714" s="319">
        <v>1</v>
      </c>
      <c r="C714" s="118" t="s">
        <v>4255</v>
      </c>
      <c r="D714" s="111">
        <v>0.58611111111111114</v>
      </c>
      <c r="E714" s="111">
        <v>0.84305555555555556</v>
      </c>
      <c r="F714" s="319">
        <v>58</v>
      </c>
      <c r="G714" s="445">
        <v>10</v>
      </c>
      <c r="H714" s="319"/>
      <c r="I714" s="319"/>
      <c r="J714" s="426">
        <f t="shared" si="365"/>
        <v>369.99999999999994</v>
      </c>
      <c r="K714" s="103"/>
      <c r="L714" s="103"/>
      <c r="M714" s="103"/>
      <c r="N714" s="427">
        <f t="shared" si="366"/>
        <v>0</v>
      </c>
      <c r="O714" s="103"/>
      <c r="P714" s="103"/>
      <c r="Q714" s="103"/>
      <c r="R714" s="428">
        <f t="shared" si="367"/>
        <v>0</v>
      </c>
      <c r="S714" s="103">
        <v>2</v>
      </c>
      <c r="T714" s="103"/>
      <c r="U714" s="103"/>
      <c r="V714" s="125"/>
      <c r="W714" s="428">
        <f t="shared" si="371"/>
        <v>2</v>
      </c>
      <c r="X714" s="103"/>
      <c r="Y714" s="103">
        <v>8</v>
      </c>
      <c r="Z714" s="125"/>
      <c r="AA714" s="428">
        <f t="shared" si="372"/>
        <v>8</v>
      </c>
      <c r="AB714" s="103">
        <v>2</v>
      </c>
      <c r="AC714" s="103">
        <v>19</v>
      </c>
      <c r="AD714" s="103"/>
      <c r="AE714" s="428">
        <f t="shared" si="373"/>
        <v>21</v>
      </c>
      <c r="AF714" s="103"/>
      <c r="AG714" s="103"/>
      <c r="AH714" s="103"/>
      <c r="AI714" s="103"/>
      <c r="AJ714" s="428">
        <f t="shared" si="374"/>
        <v>0</v>
      </c>
      <c r="AK714" s="446"/>
      <c r="AL714" s="446"/>
      <c r="AM714" s="446"/>
      <c r="AN714" s="446">
        <v>1</v>
      </c>
      <c r="AO714" s="446"/>
      <c r="AP714" s="446"/>
      <c r="AQ714" s="446"/>
      <c r="AR714" s="431">
        <f t="shared" si="375"/>
        <v>1</v>
      </c>
      <c r="AT714" s="128"/>
      <c r="AU714" s="100" t="s">
        <v>4256</v>
      </c>
      <c r="AV714" s="128" t="s">
        <v>4265</v>
      </c>
      <c r="AW714" s="100" t="s">
        <v>4266</v>
      </c>
      <c r="AX714" s="433">
        <f t="shared" si="376"/>
        <v>0</v>
      </c>
      <c r="AY714" s="433">
        <f t="shared" si="377"/>
        <v>0</v>
      </c>
      <c r="AZ714" s="433">
        <f t="shared" si="378"/>
        <v>0</v>
      </c>
      <c r="BA714" s="433">
        <f t="shared" si="368"/>
        <v>0</v>
      </c>
      <c r="BB714" s="433">
        <f t="shared" si="369"/>
        <v>0</v>
      </c>
      <c r="BC714" s="433">
        <f t="shared" si="370"/>
        <v>0</v>
      </c>
      <c r="BD714" s="433">
        <f t="shared" si="379"/>
        <v>2</v>
      </c>
      <c r="BE714" s="433">
        <f t="shared" si="380"/>
        <v>0</v>
      </c>
      <c r="BF714" s="433">
        <f t="shared" si="381"/>
        <v>0</v>
      </c>
      <c r="BG714" s="433">
        <f t="shared" si="382"/>
        <v>0</v>
      </c>
      <c r="BH714" s="433">
        <f t="shared" si="383"/>
        <v>0</v>
      </c>
      <c r="BI714" s="433">
        <f t="shared" si="384"/>
        <v>8</v>
      </c>
      <c r="BJ714" s="433">
        <f t="shared" si="385"/>
        <v>0</v>
      </c>
      <c r="BK714" s="433">
        <f t="shared" si="386"/>
        <v>2</v>
      </c>
      <c r="BL714" s="433">
        <f t="shared" si="387"/>
        <v>19</v>
      </c>
      <c r="BM714" s="433">
        <f t="shared" si="388"/>
        <v>0</v>
      </c>
      <c r="BN714" s="433">
        <f t="shared" si="389"/>
        <v>0</v>
      </c>
      <c r="BO714" s="433">
        <f t="shared" si="390"/>
        <v>0</v>
      </c>
      <c r="BP714" s="433">
        <f t="shared" si="391"/>
        <v>0</v>
      </c>
      <c r="BQ714" s="433">
        <f t="shared" si="392"/>
        <v>0</v>
      </c>
    </row>
    <row r="715" spans="1:69" x14ac:dyDescent="0.2">
      <c r="A715" s="102">
        <v>41866</v>
      </c>
      <c r="B715" s="319">
        <v>2</v>
      </c>
      <c r="C715" s="118" t="s">
        <v>1826</v>
      </c>
      <c r="D715" s="111">
        <v>0.33680555555555558</v>
      </c>
      <c r="E715" s="111">
        <v>0.56944444444444442</v>
      </c>
      <c r="F715" s="319">
        <v>36</v>
      </c>
      <c r="G715" s="445">
        <v>10</v>
      </c>
      <c r="H715" s="319"/>
      <c r="I715" s="319"/>
      <c r="J715" s="426">
        <f t="shared" si="365"/>
        <v>334.99999999999994</v>
      </c>
      <c r="K715" s="103"/>
      <c r="L715" s="103"/>
      <c r="M715" s="103"/>
      <c r="N715" s="427">
        <f t="shared" si="366"/>
        <v>0</v>
      </c>
      <c r="O715" s="103"/>
      <c r="P715" s="103"/>
      <c r="Q715" s="103"/>
      <c r="R715" s="428">
        <f t="shared" si="367"/>
        <v>0</v>
      </c>
      <c r="S715" s="103"/>
      <c r="T715" s="103"/>
      <c r="U715" s="103"/>
      <c r="V715" s="125"/>
      <c r="W715" s="428">
        <f t="shared" si="371"/>
        <v>0</v>
      </c>
      <c r="X715" s="103"/>
      <c r="Y715" s="103">
        <v>1</v>
      </c>
      <c r="Z715" s="125"/>
      <c r="AA715" s="428">
        <f t="shared" si="372"/>
        <v>1</v>
      </c>
      <c r="AB715" s="103"/>
      <c r="AC715" s="103">
        <v>6</v>
      </c>
      <c r="AD715" s="103"/>
      <c r="AE715" s="428">
        <f t="shared" si="373"/>
        <v>6</v>
      </c>
      <c r="AF715" s="103">
        <v>2</v>
      </c>
      <c r="AG715" s="103"/>
      <c r="AH715" s="103"/>
      <c r="AI715" s="103"/>
      <c r="AJ715" s="428">
        <f t="shared" si="374"/>
        <v>2</v>
      </c>
      <c r="AK715" s="446"/>
      <c r="AL715" s="446"/>
      <c r="AM715" s="446"/>
      <c r="AN715" s="446"/>
      <c r="AO715" s="446"/>
      <c r="AP715" s="446"/>
      <c r="AQ715" s="446"/>
      <c r="AR715" s="431">
        <f t="shared" si="375"/>
        <v>0</v>
      </c>
      <c r="AT715" s="128"/>
      <c r="AU715" s="100" t="s">
        <v>4257</v>
      </c>
      <c r="AV715" s="128" t="s">
        <v>4265</v>
      </c>
      <c r="AW715" s="100" t="s">
        <v>4266</v>
      </c>
      <c r="AX715" s="433">
        <f t="shared" si="376"/>
        <v>0</v>
      </c>
      <c r="AY715" s="433">
        <f t="shared" si="377"/>
        <v>0</v>
      </c>
      <c r="AZ715" s="433">
        <f t="shared" si="378"/>
        <v>0</v>
      </c>
      <c r="BA715" s="433">
        <f t="shared" si="368"/>
        <v>0</v>
      </c>
      <c r="BB715" s="433">
        <f t="shared" si="369"/>
        <v>0</v>
      </c>
      <c r="BC715" s="433">
        <f t="shared" si="370"/>
        <v>0</v>
      </c>
      <c r="BD715" s="433">
        <f t="shared" si="379"/>
        <v>0</v>
      </c>
      <c r="BE715" s="433">
        <f t="shared" si="380"/>
        <v>0</v>
      </c>
      <c r="BF715" s="433">
        <f t="shared" si="381"/>
        <v>0</v>
      </c>
      <c r="BG715" s="433">
        <f t="shared" si="382"/>
        <v>0</v>
      </c>
      <c r="BH715" s="433">
        <f t="shared" si="383"/>
        <v>0</v>
      </c>
      <c r="BI715" s="433">
        <f t="shared" si="384"/>
        <v>1</v>
      </c>
      <c r="BJ715" s="433">
        <f t="shared" si="385"/>
        <v>0</v>
      </c>
      <c r="BK715" s="433">
        <f t="shared" si="386"/>
        <v>0</v>
      </c>
      <c r="BL715" s="433">
        <f t="shared" si="387"/>
        <v>6</v>
      </c>
      <c r="BM715" s="433">
        <f t="shared" si="388"/>
        <v>0</v>
      </c>
      <c r="BN715" s="433">
        <f t="shared" si="389"/>
        <v>2</v>
      </c>
      <c r="BO715" s="433">
        <f t="shared" si="390"/>
        <v>0</v>
      </c>
      <c r="BP715" s="433">
        <f t="shared" si="391"/>
        <v>0</v>
      </c>
      <c r="BQ715" s="433">
        <f t="shared" si="392"/>
        <v>0</v>
      </c>
    </row>
    <row r="716" spans="1:69" x14ac:dyDescent="0.2">
      <c r="A716" s="102">
        <v>41866</v>
      </c>
      <c r="B716" s="319">
        <v>2</v>
      </c>
      <c r="C716" s="118" t="s">
        <v>4255</v>
      </c>
      <c r="D716" s="111">
        <v>0.56944444444444442</v>
      </c>
      <c r="E716" s="111">
        <v>0.83680555555555547</v>
      </c>
      <c r="F716" s="319">
        <v>35</v>
      </c>
      <c r="G716" s="445">
        <v>11</v>
      </c>
      <c r="H716" s="319"/>
      <c r="I716" s="319"/>
      <c r="J716" s="426">
        <f t="shared" si="365"/>
        <v>384.99999999999989</v>
      </c>
      <c r="K716" s="103"/>
      <c r="L716" s="103">
        <v>1</v>
      </c>
      <c r="M716" s="103"/>
      <c r="N716" s="427">
        <f t="shared" si="366"/>
        <v>1</v>
      </c>
      <c r="O716" s="103"/>
      <c r="P716" s="103"/>
      <c r="Q716" s="103"/>
      <c r="R716" s="428">
        <f t="shared" si="367"/>
        <v>0</v>
      </c>
      <c r="S716" s="103"/>
      <c r="T716" s="103"/>
      <c r="U716" s="103"/>
      <c r="V716" s="125"/>
      <c r="W716" s="428">
        <f t="shared" si="371"/>
        <v>0</v>
      </c>
      <c r="X716" s="103"/>
      <c r="Y716" s="103">
        <v>2</v>
      </c>
      <c r="Z716" s="125"/>
      <c r="AA716" s="428">
        <f t="shared" si="372"/>
        <v>2</v>
      </c>
      <c r="AB716" s="103"/>
      <c r="AC716" s="103">
        <v>6</v>
      </c>
      <c r="AD716" s="103"/>
      <c r="AE716" s="428">
        <f t="shared" si="373"/>
        <v>6</v>
      </c>
      <c r="AF716" s="103"/>
      <c r="AG716" s="103">
        <v>2</v>
      </c>
      <c r="AH716" s="103"/>
      <c r="AI716" s="103"/>
      <c r="AJ716" s="428">
        <f t="shared" si="374"/>
        <v>2</v>
      </c>
      <c r="AK716" s="446"/>
      <c r="AL716" s="446"/>
      <c r="AM716" s="446"/>
      <c r="AN716" s="446"/>
      <c r="AO716" s="446"/>
      <c r="AP716" s="446"/>
      <c r="AQ716" s="446"/>
      <c r="AR716" s="431">
        <f t="shared" si="375"/>
        <v>0</v>
      </c>
      <c r="AT716" s="128"/>
      <c r="AU716" s="100" t="s">
        <v>4256</v>
      </c>
      <c r="AV716" s="128" t="s">
        <v>4265</v>
      </c>
      <c r="AW716" s="100" t="s">
        <v>4266</v>
      </c>
      <c r="AX716" s="433">
        <f t="shared" si="376"/>
        <v>0</v>
      </c>
      <c r="AY716" s="433">
        <f t="shared" si="377"/>
        <v>1</v>
      </c>
      <c r="AZ716" s="433">
        <f t="shared" si="378"/>
        <v>0</v>
      </c>
      <c r="BA716" s="433">
        <f t="shared" si="368"/>
        <v>0</v>
      </c>
      <c r="BB716" s="433">
        <f t="shared" si="369"/>
        <v>0</v>
      </c>
      <c r="BC716" s="433">
        <f t="shared" si="370"/>
        <v>0</v>
      </c>
      <c r="BD716" s="433">
        <f t="shared" si="379"/>
        <v>0</v>
      </c>
      <c r="BE716" s="433">
        <f t="shared" si="380"/>
        <v>0</v>
      </c>
      <c r="BF716" s="433">
        <f t="shared" si="381"/>
        <v>0</v>
      </c>
      <c r="BG716" s="433">
        <f t="shared" si="382"/>
        <v>0</v>
      </c>
      <c r="BH716" s="433">
        <f t="shared" si="383"/>
        <v>0</v>
      </c>
      <c r="BI716" s="433">
        <f t="shared" si="384"/>
        <v>2</v>
      </c>
      <c r="BJ716" s="433">
        <f t="shared" si="385"/>
        <v>0</v>
      </c>
      <c r="BK716" s="433">
        <f t="shared" si="386"/>
        <v>0</v>
      </c>
      <c r="BL716" s="433">
        <f t="shared" si="387"/>
        <v>6</v>
      </c>
      <c r="BM716" s="433">
        <f t="shared" si="388"/>
        <v>0</v>
      </c>
      <c r="BN716" s="433">
        <f t="shared" si="389"/>
        <v>0</v>
      </c>
      <c r="BO716" s="433">
        <f t="shared" si="390"/>
        <v>2</v>
      </c>
      <c r="BP716" s="433">
        <f t="shared" si="391"/>
        <v>0</v>
      </c>
      <c r="BQ716" s="433">
        <f t="shared" si="392"/>
        <v>0</v>
      </c>
    </row>
    <row r="717" spans="1:69" x14ac:dyDescent="0.2">
      <c r="A717" s="102">
        <v>41866</v>
      </c>
      <c r="B717" s="319">
        <v>3</v>
      </c>
      <c r="C717" s="118" t="s">
        <v>4255</v>
      </c>
      <c r="D717" s="111">
        <v>0.34027777777777773</v>
      </c>
      <c r="E717" s="111">
        <v>0.44791666666666669</v>
      </c>
      <c r="F717" s="319">
        <v>36</v>
      </c>
      <c r="G717" s="445">
        <v>10</v>
      </c>
      <c r="H717" s="319"/>
      <c r="I717" s="319"/>
      <c r="J717" s="426">
        <f t="shared" si="365"/>
        <v>155.00000000000009</v>
      </c>
      <c r="K717" s="103"/>
      <c r="L717" s="103"/>
      <c r="M717" s="103"/>
      <c r="N717" s="427">
        <f t="shared" si="366"/>
        <v>0</v>
      </c>
      <c r="O717" s="103"/>
      <c r="P717" s="103"/>
      <c r="Q717" s="103"/>
      <c r="R717" s="428">
        <f t="shared" si="367"/>
        <v>0</v>
      </c>
      <c r="S717" s="103"/>
      <c r="T717" s="103"/>
      <c r="U717" s="103"/>
      <c r="V717" s="125">
        <v>1</v>
      </c>
      <c r="W717" s="428">
        <f t="shared" si="371"/>
        <v>1</v>
      </c>
      <c r="X717" s="103"/>
      <c r="Y717" s="103"/>
      <c r="Z717" s="125"/>
      <c r="AA717" s="428">
        <f t="shared" si="372"/>
        <v>0</v>
      </c>
      <c r="AB717" s="103">
        <v>1</v>
      </c>
      <c r="AC717" s="103"/>
      <c r="AD717" s="103"/>
      <c r="AE717" s="428">
        <f t="shared" si="373"/>
        <v>1</v>
      </c>
      <c r="AF717" s="103">
        <v>1</v>
      </c>
      <c r="AG717" s="103"/>
      <c r="AH717" s="103"/>
      <c r="AI717" s="103"/>
      <c r="AJ717" s="428">
        <f t="shared" si="374"/>
        <v>1</v>
      </c>
      <c r="AK717" s="446"/>
      <c r="AL717" s="446"/>
      <c r="AM717" s="446">
        <v>1</v>
      </c>
      <c r="AN717" s="446"/>
      <c r="AO717" s="446"/>
      <c r="AP717" s="446"/>
      <c r="AQ717" s="446"/>
      <c r="AR717" s="431">
        <f t="shared" si="375"/>
        <v>1</v>
      </c>
      <c r="AT717" s="128"/>
      <c r="AU717" s="100" t="s">
        <v>4256</v>
      </c>
      <c r="AV717" s="128" t="s">
        <v>4265</v>
      </c>
      <c r="AW717" s="100" t="s">
        <v>4266</v>
      </c>
      <c r="AX717" s="433">
        <f t="shared" si="376"/>
        <v>0</v>
      </c>
      <c r="AY717" s="433">
        <f t="shared" si="377"/>
        <v>0</v>
      </c>
      <c r="AZ717" s="433">
        <f t="shared" si="378"/>
        <v>0</v>
      </c>
      <c r="BA717" s="433">
        <f t="shared" si="368"/>
        <v>0</v>
      </c>
      <c r="BB717" s="433">
        <f t="shared" si="369"/>
        <v>0</v>
      </c>
      <c r="BC717" s="433">
        <f t="shared" si="370"/>
        <v>0</v>
      </c>
      <c r="BD717" s="433">
        <f t="shared" si="379"/>
        <v>0</v>
      </c>
      <c r="BE717" s="433">
        <f t="shared" si="380"/>
        <v>0</v>
      </c>
      <c r="BF717" s="433">
        <f t="shared" si="381"/>
        <v>0</v>
      </c>
      <c r="BG717" s="433">
        <f t="shared" si="382"/>
        <v>1</v>
      </c>
      <c r="BH717" s="433">
        <f t="shared" si="383"/>
        <v>0</v>
      </c>
      <c r="BI717" s="433">
        <f t="shared" si="384"/>
        <v>0</v>
      </c>
      <c r="BJ717" s="433">
        <f t="shared" si="385"/>
        <v>0</v>
      </c>
      <c r="BK717" s="433">
        <f t="shared" si="386"/>
        <v>1</v>
      </c>
      <c r="BL717" s="433">
        <f t="shared" si="387"/>
        <v>0</v>
      </c>
      <c r="BM717" s="433">
        <f t="shared" si="388"/>
        <v>0</v>
      </c>
      <c r="BN717" s="433">
        <f t="shared" si="389"/>
        <v>1</v>
      </c>
      <c r="BO717" s="433">
        <f t="shared" si="390"/>
        <v>0</v>
      </c>
      <c r="BP717" s="433">
        <f t="shared" si="391"/>
        <v>0</v>
      </c>
      <c r="BQ717" s="433">
        <f t="shared" si="392"/>
        <v>0</v>
      </c>
    </row>
    <row r="718" spans="1:69" x14ac:dyDescent="0.2">
      <c r="A718" s="102">
        <v>41866</v>
      </c>
      <c r="B718" s="319">
        <v>3</v>
      </c>
      <c r="C718" s="118" t="s">
        <v>3377</v>
      </c>
      <c r="D718" s="111">
        <v>0.44791666666666669</v>
      </c>
      <c r="E718" s="111">
        <v>0.70486111111111116</v>
      </c>
      <c r="F718" s="319">
        <v>37</v>
      </c>
      <c r="G718" s="445">
        <v>11</v>
      </c>
      <c r="H718" s="319"/>
      <c r="I718" s="319"/>
      <c r="J718" s="426">
        <f t="shared" si="365"/>
        <v>370.00000000000006</v>
      </c>
      <c r="K718" s="103"/>
      <c r="L718" s="103"/>
      <c r="M718" s="103"/>
      <c r="N718" s="427">
        <f t="shared" si="366"/>
        <v>0</v>
      </c>
      <c r="O718" s="103"/>
      <c r="P718" s="103"/>
      <c r="Q718" s="103"/>
      <c r="R718" s="428">
        <f t="shared" si="367"/>
        <v>0</v>
      </c>
      <c r="S718" s="103"/>
      <c r="T718" s="103"/>
      <c r="U718" s="103"/>
      <c r="V718" s="125"/>
      <c r="W718" s="428">
        <f t="shared" si="371"/>
        <v>0</v>
      </c>
      <c r="X718" s="103">
        <v>1</v>
      </c>
      <c r="Y718" s="103">
        <v>4</v>
      </c>
      <c r="Z718" s="125"/>
      <c r="AA718" s="428">
        <f t="shared" si="372"/>
        <v>5</v>
      </c>
      <c r="AB718" s="103">
        <v>1</v>
      </c>
      <c r="AC718" s="103">
        <v>2</v>
      </c>
      <c r="AD718" s="103"/>
      <c r="AE718" s="428">
        <f t="shared" si="373"/>
        <v>3</v>
      </c>
      <c r="AF718" s="103">
        <v>3</v>
      </c>
      <c r="AG718" s="103">
        <v>1</v>
      </c>
      <c r="AH718" s="103"/>
      <c r="AI718" s="103"/>
      <c r="AJ718" s="428">
        <f t="shared" si="374"/>
        <v>4</v>
      </c>
      <c r="AK718" s="446"/>
      <c r="AL718" s="446"/>
      <c r="AM718" s="446"/>
      <c r="AN718" s="446"/>
      <c r="AO718" s="446"/>
      <c r="AP718" s="446"/>
      <c r="AQ718" s="446"/>
      <c r="AR718" s="431">
        <f t="shared" si="375"/>
        <v>0</v>
      </c>
      <c r="AT718" s="128"/>
      <c r="AU718" s="100" t="s">
        <v>4251</v>
      </c>
      <c r="AV718" s="128" t="s">
        <v>4265</v>
      </c>
      <c r="AW718" s="100" t="s">
        <v>4266</v>
      </c>
      <c r="AX718" s="433">
        <f t="shared" si="376"/>
        <v>0</v>
      </c>
      <c r="AY718" s="433">
        <f t="shared" si="377"/>
        <v>0</v>
      </c>
      <c r="AZ718" s="433">
        <f t="shared" si="378"/>
        <v>0</v>
      </c>
      <c r="BA718" s="433">
        <f t="shared" si="368"/>
        <v>0</v>
      </c>
      <c r="BB718" s="433">
        <f t="shared" si="369"/>
        <v>0</v>
      </c>
      <c r="BC718" s="433">
        <f t="shared" si="370"/>
        <v>0</v>
      </c>
      <c r="BD718" s="433">
        <f t="shared" si="379"/>
        <v>0</v>
      </c>
      <c r="BE718" s="433">
        <f t="shared" si="380"/>
        <v>0</v>
      </c>
      <c r="BF718" s="433">
        <f t="shared" si="381"/>
        <v>0</v>
      </c>
      <c r="BG718" s="433">
        <f t="shared" si="382"/>
        <v>0</v>
      </c>
      <c r="BH718" s="433">
        <f t="shared" si="383"/>
        <v>1</v>
      </c>
      <c r="BI718" s="433">
        <f t="shared" si="384"/>
        <v>4</v>
      </c>
      <c r="BJ718" s="433">
        <f t="shared" si="385"/>
        <v>0</v>
      </c>
      <c r="BK718" s="433">
        <f t="shared" si="386"/>
        <v>1</v>
      </c>
      <c r="BL718" s="433">
        <f t="shared" si="387"/>
        <v>2</v>
      </c>
      <c r="BM718" s="433">
        <f t="shared" si="388"/>
        <v>0</v>
      </c>
      <c r="BN718" s="433">
        <f t="shared" si="389"/>
        <v>3</v>
      </c>
      <c r="BO718" s="433">
        <f t="shared" si="390"/>
        <v>1</v>
      </c>
      <c r="BP718" s="433">
        <f t="shared" si="391"/>
        <v>0</v>
      </c>
      <c r="BQ718" s="433">
        <f t="shared" si="392"/>
        <v>0</v>
      </c>
    </row>
    <row r="719" spans="1:69" s="291" customFormat="1" x14ac:dyDescent="0.2">
      <c r="A719" s="317">
        <v>41866</v>
      </c>
      <c r="B719" s="318">
        <v>3</v>
      </c>
      <c r="C719" s="320" t="s">
        <v>1556</v>
      </c>
      <c r="D719" s="321">
        <v>0.70486111111111116</v>
      </c>
      <c r="E719" s="321">
        <v>0.84027777777777779</v>
      </c>
      <c r="F719" s="318">
        <v>38</v>
      </c>
      <c r="G719" s="435">
        <v>10.5</v>
      </c>
      <c r="H719" s="318"/>
      <c r="I719" s="318"/>
      <c r="J719" s="437">
        <f t="shared" si="365"/>
        <v>194.99999999999994</v>
      </c>
      <c r="K719" s="285"/>
      <c r="L719" s="285"/>
      <c r="M719" s="285"/>
      <c r="N719" s="438">
        <f t="shared" si="366"/>
        <v>0</v>
      </c>
      <c r="O719" s="285"/>
      <c r="P719" s="285"/>
      <c r="Q719" s="285"/>
      <c r="R719" s="439">
        <f t="shared" si="367"/>
        <v>0</v>
      </c>
      <c r="S719" s="285"/>
      <c r="T719" s="285"/>
      <c r="U719" s="285"/>
      <c r="V719" s="440"/>
      <c r="W719" s="439">
        <f t="shared" si="371"/>
        <v>0</v>
      </c>
      <c r="X719" s="285"/>
      <c r="Y719" s="285">
        <v>2</v>
      </c>
      <c r="Z719" s="440"/>
      <c r="AA719" s="439">
        <f t="shared" si="372"/>
        <v>2</v>
      </c>
      <c r="AB719" s="285"/>
      <c r="AC719" s="285">
        <v>3</v>
      </c>
      <c r="AD719" s="285"/>
      <c r="AE719" s="439">
        <f t="shared" si="373"/>
        <v>3</v>
      </c>
      <c r="AF719" s="285"/>
      <c r="AG719" s="285"/>
      <c r="AH719" s="285"/>
      <c r="AI719" s="285"/>
      <c r="AJ719" s="439">
        <f t="shared" si="374"/>
        <v>0</v>
      </c>
      <c r="AK719" s="340"/>
      <c r="AL719" s="340"/>
      <c r="AM719" s="340"/>
      <c r="AN719" s="340"/>
      <c r="AO719" s="340"/>
      <c r="AP719" s="340"/>
      <c r="AQ719" s="340"/>
      <c r="AR719" s="441">
        <f t="shared" si="375"/>
        <v>0</v>
      </c>
      <c r="AT719" s="313"/>
      <c r="AU719" s="289" t="s">
        <v>4258</v>
      </c>
      <c r="AV719" s="313" t="s">
        <v>4265</v>
      </c>
      <c r="AW719" s="382" t="s">
        <v>4266</v>
      </c>
      <c r="AX719" s="443">
        <f t="shared" si="376"/>
        <v>0</v>
      </c>
      <c r="AY719" s="443">
        <f t="shared" si="377"/>
        <v>0</v>
      </c>
      <c r="AZ719" s="443">
        <f t="shared" si="378"/>
        <v>0</v>
      </c>
      <c r="BA719" s="443">
        <f t="shared" si="368"/>
        <v>0</v>
      </c>
      <c r="BB719" s="443">
        <f t="shared" si="369"/>
        <v>0</v>
      </c>
      <c r="BC719" s="443">
        <f t="shared" si="370"/>
        <v>0</v>
      </c>
      <c r="BD719" s="443">
        <f t="shared" si="379"/>
        <v>0</v>
      </c>
      <c r="BE719" s="443">
        <f t="shared" si="380"/>
        <v>0</v>
      </c>
      <c r="BF719" s="443">
        <f t="shared" si="381"/>
        <v>0</v>
      </c>
      <c r="BG719" s="443">
        <f t="shared" si="382"/>
        <v>0</v>
      </c>
      <c r="BH719" s="443">
        <f t="shared" si="383"/>
        <v>0</v>
      </c>
      <c r="BI719" s="443">
        <f t="shared" si="384"/>
        <v>2</v>
      </c>
      <c r="BJ719" s="443">
        <f t="shared" si="385"/>
        <v>0</v>
      </c>
      <c r="BK719" s="443">
        <f t="shared" si="386"/>
        <v>0</v>
      </c>
      <c r="BL719" s="443">
        <f t="shared" si="387"/>
        <v>3</v>
      </c>
      <c r="BM719" s="443">
        <f t="shared" si="388"/>
        <v>0</v>
      </c>
      <c r="BN719" s="443">
        <f t="shared" si="389"/>
        <v>0</v>
      </c>
      <c r="BO719" s="443">
        <f t="shared" si="390"/>
        <v>0</v>
      </c>
      <c r="BP719" s="443">
        <f t="shared" si="391"/>
        <v>0</v>
      </c>
      <c r="BQ719" s="443">
        <f t="shared" si="392"/>
        <v>0</v>
      </c>
    </row>
    <row r="720" spans="1:69" x14ac:dyDescent="0.2">
      <c r="A720" s="102">
        <v>41867</v>
      </c>
      <c r="B720" s="319">
        <v>1</v>
      </c>
      <c r="C720" s="118" t="s">
        <v>4268</v>
      </c>
      <c r="D720" s="111">
        <v>0.3444444444444445</v>
      </c>
      <c r="E720" s="111">
        <v>0.5854166666666667</v>
      </c>
      <c r="F720" s="319">
        <v>54</v>
      </c>
      <c r="G720" s="445">
        <v>9</v>
      </c>
      <c r="H720" s="319"/>
      <c r="I720" s="319">
        <v>74.3</v>
      </c>
      <c r="J720" s="426">
        <f t="shared" si="365"/>
        <v>347</v>
      </c>
      <c r="K720" s="103"/>
      <c r="L720" s="103"/>
      <c r="M720" s="103"/>
      <c r="N720" s="427">
        <f t="shared" si="366"/>
        <v>0</v>
      </c>
      <c r="O720" s="103"/>
      <c r="P720" s="103"/>
      <c r="Q720" s="103"/>
      <c r="R720" s="428">
        <f t="shared" si="367"/>
        <v>0</v>
      </c>
      <c r="S720" s="103">
        <v>1</v>
      </c>
      <c r="T720" s="103"/>
      <c r="U720" s="103"/>
      <c r="V720" s="125"/>
      <c r="W720" s="428">
        <f t="shared" si="371"/>
        <v>1</v>
      </c>
      <c r="X720" s="103">
        <v>1</v>
      </c>
      <c r="Y720" s="103">
        <v>7</v>
      </c>
      <c r="Z720" s="125"/>
      <c r="AA720" s="428">
        <f t="shared" si="372"/>
        <v>8</v>
      </c>
      <c r="AB720" s="103">
        <v>1</v>
      </c>
      <c r="AC720" s="103">
        <v>2</v>
      </c>
      <c r="AD720" s="103"/>
      <c r="AE720" s="428">
        <f t="shared" si="373"/>
        <v>3</v>
      </c>
      <c r="AF720" s="103">
        <v>1</v>
      </c>
      <c r="AG720" s="103"/>
      <c r="AH720" s="103"/>
      <c r="AI720" s="103"/>
      <c r="AJ720" s="428">
        <f t="shared" si="374"/>
        <v>1</v>
      </c>
      <c r="AK720" s="446"/>
      <c r="AL720" s="446"/>
      <c r="AM720" s="446"/>
      <c r="AN720" s="446"/>
      <c r="AO720" s="446"/>
      <c r="AP720" s="446"/>
      <c r="AQ720" s="446"/>
      <c r="AR720" s="431">
        <f t="shared" si="375"/>
        <v>0</v>
      </c>
      <c r="AT720" s="128"/>
      <c r="AU720" s="100" t="s">
        <v>4269</v>
      </c>
      <c r="AV720" s="128" t="s">
        <v>4280</v>
      </c>
      <c r="AW720" s="100" t="s">
        <v>4281</v>
      </c>
      <c r="AX720" s="433">
        <f t="shared" si="376"/>
        <v>0</v>
      </c>
      <c r="AY720" s="433">
        <f t="shared" si="377"/>
        <v>0</v>
      </c>
      <c r="AZ720" s="433">
        <f t="shared" si="378"/>
        <v>0</v>
      </c>
      <c r="BA720" s="433">
        <f t="shared" si="368"/>
        <v>0</v>
      </c>
      <c r="BB720" s="433">
        <f t="shared" si="369"/>
        <v>0</v>
      </c>
      <c r="BC720" s="433">
        <f t="shared" si="370"/>
        <v>0</v>
      </c>
      <c r="BD720" s="433">
        <f t="shared" si="379"/>
        <v>1</v>
      </c>
      <c r="BE720" s="433">
        <f t="shared" si="380"/>
        <v>0</v>
      </c>
      <c r="BF720" s="433">
        <f t="shared" si="381"/>
        <v>0</v>
      </c>
      <c r="BG720" s="433">
        <f t="shared" si="382"/>
        <v>0</v>
      </c>
      <c r="BH720" s="433">
        <f t="shared" si="383"/>
        <v>1</v>
      </c>
      <c r="BI720" s="433">
        <f t="shared" si="384"/>
        <v>7</v>
      </c>
      <c r="BJ720" s="433">
        <f t="shared" si="385"/>
        <v>0</v>
      </c>
      <c r="BK720" s="433">
        <f t="shared" si="386"/>
        <v>1</v>
      </c>
      <c r="BL720" s="433">
        <f t="shared" si="387"/>
        <v>2</v>
      </c>
      <c r="BM720" s="433">
        <f t="shared" si="388"/>
        <v>0</v>
      </c>
      <c r="BN720" s="433">
        <f t="shared" si="389"/>
        <v>1</v>
      </c>
      <c r="BO720" s="433">
        <f t="shared" si="390"/>
        <v>0</v>
      </c>
      <c r="BP720" s="433">
        <f t="shared" si="391"/>
        <v>0</v>
      </c>
      <c r="BQ720" s="433">
        <f t="shared" si="392"/>
        <v>0</v>
      </c>
    </row>
    <row r="721" spans="1:69" x14ac:dyDescent="0.2">
      <c r="A721" s="102">
        <v>41867</v>
      </c>
      <c r="B721" s="319">
        <v>1</v>
      </c>
      <c r="C721" s="118" t="s">
        <v>4270</v>
      </c>
      <c r="D721" s="111">
        <v>0.5854166666666667</v>
      </c>
      <c r="E721" s="111">
        <v>0.84722222222222221</v>
      </c>
      <c r="F721" s="319">
        <v>56</v>
      </c>
      <c r="G721" s="445">
        <v>10</v>
      </c>
      <c r="H721" s="319"/>
      <c r="I721" s="319"/>
      <c r="J721" s="426">
        <f t="shared" si="365"/>
        <v>376.99999999999994</v>
      </c>
      <c r="K721" s="103"/>
      <c r="L721" s="103"/>
      <c r="M721" s="103"/>
      <c r="N721" s="427">
        <f t="shared" si="366"/>
        <v>0</v>
      </c>
      <c r="O721" s="103"/>
      <c r="P721" s="103"/>
      <c r="Q721" s="103"/>
      <c r="R721" s="428">
        <f t="shared" si="367"/>
        <v>0</v>
      </c>
      <c r="S721" s="103">
        <v>1</v>
      </c>
      <c r="T721" s="103"/>
      <c r="U721" s="103"/>
      <c r="V721" s="125"/>
      <c r="W721" s="428">
        <f t="shared" si="371"/>
        <v>1</v>
      </c>
      <c r="X721" s="103"/>
      <c r="Y721" s="103">
        <v>5</v>
      </c>
      <c r="Z721" s="125"/>
      <c r="AA721" s="428">
        <f t="shared" si="372"/>
        <v>5</v>
      </c>
      <c r="AB721" s="103"/>
      <c r="AC721" s="103">
        <v>13</v>
      </c>
      <c r="AD721" s="103"/>
      <c r="AE721" s="428">
        <f t="shared" si="373"/>
        <v>13</v>
      </c>
      <c r="AF721" s="103"/>
      <c r="AG721" s="103"/>
      <c r="AH721" s="103"/>
      <c r="AI721" s="103"/>
      <c r="AJ721" s="428">
        <f t="shared" si="374"/>
        <v>0</v>
      </c>
      <c r="AK721" s="446"/>
      <c r="AL721" s="446"/>
      <c r="AM721" s="446"/>
      <c r="AN721" s="446"/>
      <c r="AO721" s="446"/>
      <c r="AP721" s="446"/>
      <c r="AQ721" s="446"/>
      <c r="AR721" s="431">
        <f t="shared" si="375"/>
        <v>0</v>
      </c>
      <c r="AT721" s="128"/>
      <c r="AU721" s="100" t="s">
        <v>4271</v>
      </c>
      <c r="AV721" s="128" t="s">
        <v>4280</v>
      </c>
      <c r="AW721" s="100" t="s">
        <v>4281</v>
      </c>
      <c r="AX721" s="433">
        <f t="shared" si="376"/>
        <v>0</v>
      </c>
      <c r="AY721" s="433">
        <f t="shared" si="377"/>
        <v>0</v>
      </c>
      <c r="AZ721" s="433">
        <f t="shared" si="378"/>
        <v>0</v>
      </c>
      <c r="BA721" s="433">
        <f t="shared" si="368"/>
        <v>0</v>
      </c>
      <c r="BB721" s="433">
        <f t="shared" si="369"/>
        <v>0</v>
      </c>
      <c r="BC721" s="433">
        <f t="shared" si="370"/>
        <v>0</v>
      </c>
      <c r="BD721" s="433">
        <f t="shared" si="379"/>
        <v>1</v>
      </c>
      <c r="BE721" s="433">
        <f t="shared" si="380"/>
        <v>0</v>
      </c>
      <c r="BF721" s="433">
        <f t="shared" si="381"/>
        <v>0</v>
      </c>
      <c r="BG721" s="433">
        <f t="shared" si="382"/>
        <v>0</v>
      </c>
      <c r="BH721" s="433">
        <f t="shared" si="383"/>
        <v>0</v>
      </c>
      <c r="BI721" s="433">
        <f t="shared" si="384"/>
        <v>5</v>
      </c>
      <c r="BJ721" s="433">
        <f t="shared" si="385"/>
        <v>0</v>
      </c>
      <c r="BK721" s="433">
        <f t="shared" si="386"/>
        <v>0</v>
      </c>
      <c r="BL721" s="433">
        <f t="shared" si="387"/>
        <v>13</v>
      </c>
      <c r="BM721" s="433">
        <f t="shared" si="388"/>
        <v>0</v>
      </c>
      <c r="BN721" s="433">
        <f t="shared" si="389"/>
        <v>0</v>
      </c>
      <c r="BO721" s="433">
        <f t="shared" si="390"/>
        <v>0</v>
      </c>
      <c r="BP721" s="433">
        <f t="shared" si="391"/>
        <v>0</v>
      </c>
      <c r="BQ721" s="433">
        <f t="shared" si="392"/>
        <v>0</v>
      </c>
    </row>
    <row r="722" spans="1:69" x14ac:dyDescent="0.2">
      <c r="A722" s="102">
        <v>41867</v>
      </c>
      <c r="B722" s="319">
        <v>2</v>
      </c>
      <c r="C722" s="118" t="s">
        <v>4268</v>
      </c>
      <c r="D722" s="111">
        <v>0.34027777777777773</v>
      </c>
      <c r="E722" s="111">
        <v>0.5805555555555556</v>
      </c>
      <c r="F722" s="319">
        <v>33</v>
      </c>
      <c r="G722" s="445">
        <v>10</v>
      </c>
      <c r="H722" s="319"/>
      <c r="I722" s="319"/>
      <c r="J722" s="426">
        <f t="shared" si="365"/>
        <v>346.00000000000017</v>
      </c>
      <c r="K722" s="103"/>
      <c r="L722" s="103"/>
      <c r="M722" s="103"/>
      <c r="N722" s="427">
        <f t="shared" si="366"/>
        <v>0</v>
      </c>
      <c r="O722" s="103"/>
      <c r="P722" s="103"/>
      <c r="Q722" s="103"/>
      <c r="R722" s="428">
        <f t="shared" si="367"/>
        <v>0</v>
      </c>
      <c r="S722" s="103"/>
      <c r="T722" s="103"/>
      <c r="U722" s="103"/>
      <c r="V722" s="125"/>
      <c r="W722" s="428">
        <f t="shared" si="371"/>
        <v>0</v>
      </c>
      <c r="X722" s="103"/>
      <c r="Y722" s="103">
        <v>1</v>
      </c>
      <c r="Z722" s="125"/>
      <c r="AA722" s="428">
        <f t="shared" si="372"/>
        <v>1</v>
      </c>
      <c r="AB722" s="103">
        <v>1</v>
      </c>
      <c r="AC722" s="103">
        <v>2</v>
      </c>
      <c r="AD722" s="103"/>
      <c r="AE722" s="428">
        <f t="shared" si="373"/>
        <v>3</v>
      </c>
      <c r="AF722" s="103"/>
      <c r="AG722" s="103"/>
      <c r="AH722" s="103"/>
      <c r="AI722" s="103"/>
      <c r="AJ722" s="428">
        <f t="shared" si="374"/>
        <v>0</v>
      </c>
      <c r="AK722" s="446"/>
      <c r="AL722" s="446"/>
      <c r="AM722" s="446"/>
      <c r="AN722" s="446"/>
      <c r="AO722" s="446"/>
      <c r="AP722" s="446"/>
      <c r="AQ722" s="446"/>
      <c r="AR722" s="431">
        <f t="shared" si="375"/>
        <v>0</v>
      </c>
      <c r="AT722" s="128"/>
      <c r="AU722" s="100" t="s">
        <v>4272</v>
      </c>
      <c r="AV722" s="128" t="s">
        <v>4280</v>
      </c>
      <c r="AW722" s="100" t="s">
        <v>4281</v>
      </c>
      <c r="AX722" s="433">
        <f t="shared" si="376"/>
        <v>0</v>
      </c>
      <c r="AY722" s="433">
        <f t="shared" si="377"/>
        <v>0</v>
      </c>
      <c r="AZ722" s="433">
        <f t="shared" si="378"/>
        <v>0</v>
      </c>
      <c r="BA722" s="433">
        <f t="shared" si="368"/>
        <v>0</v>
      </c>
      <c r="BB722" s="433">
        <f t="shared" si="369"/>
        <v>0</v>
      </c>
      <c r="BC722" s="433">
        <f t="shared" si="370"/>
        <v>0</v>
      </c>
      <c r="BD722" s="433">
        <f t="shared" si="379"/>
        <v>0</v>
      </c>
      <c r="BE722" s="433">
        <f t="shared" si="380"/>
        <v>0</v>
      </c>
      <c r="BF722" s="433">
        <f t="shared" si="381"/>
        <v>0</v>
      </c>
      <c r="BG722" s="433">
        <f t="shared" si="382"/>
        <v>0</v>
      </c>
      <c r="BH722" s="433">
        <f t="shared" si="383"/>
        <v>0</v>
      </c>
      <c r="BI722" s="433">
        <f t="shared" si="384"/>
        <v>1</v>
      </c>
      <c r="BJ722" s="433">
        <f t="shared" si="385"/>
        <v>0</v>
      </c>
      <c r="BK722" s="433">
        <f t="shared" si="386"/>
        <v>1</v>
      </c>
      <c r="BL722" s="433">
        <f t="shared" si="387"/>
        <v>2</v>
      </c>
      <c r="BM722" s="433">
        <f t="shared" si="388"/>
        <v>0</v>
      </c>
      <c r="BN722" s="433">
        <f t="shared" si="389"/>
        <v>0</v>
      </c>
      <c r="BO722" s="433">
        <f t="shared" si="390"/>
        <v>0</v>
      </c>
      <c r="BP722" s="433">
        <f t="shared" si="391"/>
        <v>0</v>
      </c>
      <c r="BQ722" s="433">
        <f t="shared" si="392"/>
        <v>0</v>
      </c>
    </row>
    <row r="723" spans="1:69" x14ac:dyDescent="0.2">
      <c r="A723" s="102">
        <v>41867</v>
      </c>
      <c r="B723" s="319">
        <v>2</v>
      </c>
      <c r="C723" s="118" t="s">
        <v>4270</v>
      </c>
      <c r="D723" s="111">
        <v>0.5805555555555556</v>
      </c>
      <c r="E723" s="111">
        <v>0.84027777777777779</v>
      </c>
      <c r="F723" s="319">
        <v>35</v>
      </c>
      <c r="G723" s="445">
        <v>11</v>
      </c>
      <c r="H723" s="319"/>
      <c r="I723" s="319"/>
      <c r="J723" s="426">
        <f t="shared" si="365"/>
        <v>373.99999999999994</v>
      </c>
      <c r="K723" s="103"/>
      <c r="L723" s="103"/>
      <c r="M723" s="103"/>
      <c r="N723" s="427">
        <f t="shared" si="366"/>
        <v>0</v>
      </c>
      <c r="O723" s="103"/>
      <c r="P723" s="103"/>
      <c r="Q723" s="103"/>
      <c r="R723" s="428">
        <f t="shared" si="367"/>
        <v>0</v>
      </c>
      <c r="S723" s="103">
        <v>1</v>
      </c>
      <c r="T723" s="103"/>
      <c r="U723" s="103"/>
      <c r="V723" s="125"/>
      <c r="W723" s="428">
        <f t="shared" si="371"/>
        <v>1</v>
      </c>
      <c r="X723" s="103"/>
      <c r="Y723" s="103"/>
      <c r="Z723" s="125"/>
      <c r="AA723" s="428">
        <f t="shared" si="372"/>
        <v>0</v>
      </c>
      <c r="AB723" s="103"/>
      <c r="AC723" s="103">
        <v>5</v>
      </c>
      <c r="AD723" s="103"/>
      <c r="AE723" s="428">
        <f t="shared" si="373"/>
        <v>5</v>
      </c>
      <c r="AF723" s="103"/>
      <c r="AG723" s="103"/>
      <c r="AH723" s="103"/>
      <c r="AI723" s="103"/>
      <c r="AJ723" s="428">
        <f t="shared" si="374"/>
        <v>0</v>
      </c>
      <c r="AK723" s="446"/>
      <c r="AL723" s="446"/>
      <c r="AM723" s="446"/>
      <c r="AN723" s="446"/>
      <c r="AO723" s="446"/>
      <c r="AP723" s="446"/>
      <c r="AQ723" s="446"/>
      <c r="AR723" s="431">
        <f t="shared" si="375"/>
        <v>0</v>
      </c>
      <c r="AT723" s="128"/>
      <c r="AU723" s="100" t="s">
        <v>4271</v>
      </c>
      <c r="AV723" s="128" t="s">
        <v>4280</v>
      </c>
      <c r="AW723" s="100" t="s">
        <v>4281</v>
      </c>
      <c r="AX723" s="433">
        <f t="shared" si="376"/>
        <v>0</v>
      </c>
      <c r="AY723" s="433">
        <f t="shared" si="377"/>
        <v>0</v>
      </c>
      <c r="AZ723" s="433">
        <f t="shared" si="378"/>
        <v>0</v>
      </c>
      <c r="BA723" s="433">
        <f t="shared" si="368"/>
        <v>0</v>
      </c>
      <c r="BB723" s="433">
        <f t="shared" si="369"/>
        <v>0</v>
      </c>
      <c r="BC723" s="433">
        <f t="shared" si="370"/>
        <v>0</v>
      </c>
      <c r="BD723" s="433">
        <f t="shared" si="379"/>
        <v>1</v>
      </c>
      <c r="BE723" s="433">
        <f t="shared" si="380"/>
        <v>0</v>
      </c>
      <c r="BF723" s="433">
        <f t="shared" si="381"/>
        <v>0</v>
      </c>
      <c r="BG723" s="433">
        <f t="shared" si="382"/>
        <v>0</v>
      </c>
      <c r="BH723" s="433">
        <f t="shared" si="383"/>
        <v>0</v>
      </c>
      <c r="BI723" s="433">
        <f t="shared" si="384"/>
        <v>0</v>
      </c>
      <c r="BJ723" s="433">
        <f t="shared" si="385"/>
        <v>0</v>
      </c>
      <c r="BK723" s="433">
        <f t="shared" si="386"/>
        <v>0</v>
      </c>
      <c r="BL723" s="433">
        <f t="shared" si="387"/>
        <v>5</v>
      </c>
      <c r="BM723" s="433">
        <f t="shared" si="388"/>
        <v>0</v>
      </c>
      <c r="BN723" s="433">
        <f t="shared" si="389"/>
        <v>0</v>
      </c>
      <c r="BO723" s="433">
        <f t="shared" si="390"/>
        <v>0</v>
      </c>
      <c r="BP723" s="433">
        <f t="shared" si="391"/>
        <v>0</v>
      </c>
      <c r="BQ723" s="433">
        <f t="shared" si="392"/>
        <v>0</v>
      </c>
    </row>
    <row r="724" spans="1:69" x14ac:dyDescent="0.2">
      <c r="A724" s="102">
        <v>41867</v>
      </c>
      <c r="B724" s="319">
        <v>3</v>
      </c>
      <c r="C724" s="118" t="s">
        <v>4270</v>
      </c>
      <c r="D724" s="111">
        <v>0.33888888888888885</v>
      </c>
      <c r="E724" s="111">
        <v>0.45416666666666666</v>
      </c>
      <c r="F724" s="319">
        <v>37</v>
      </c>
      <c r="G724" s="445">
        <v>9</v>
      </c>
      <c r="H724" s="319"/>
      <c r="I724" s="319"/>
      <c r="J724" s="426">
        <f t="shared" si="365"/>
        <v>166.00000000000006</v>
      </c>
      <c r="K724" s="103"/>
      <c r="L724" s="103"/>
      <c r="M724" s="103"/>
      <c r="N724" s="427">
        <f t="shared" si="366"/>
        <v>0</v>
      </c>
      <c r="O724" s="103"/>
      <c r="P724" s="103"/>
      <c r="Q724" s="103"/>
      <c r="R724" s="428">
        <f t="shared" si="367"/>
        <v>0</v>
      </c>
      <c r="S724" s="103"/>
      <c r="T724" s="103"/>
      <c r="U724" s="103"/>
      <c r="V724" s="125"/>
      <c r="W724" s="428">
        <f t="shared" si="371"/>
        <v>0</v>
      </c>
      <c r="X724" s="103">
        <v>1</v>
      </c>
      <c r="Y724" s="103">
        <v>4</v>
      </c>
      <c r="Z724" s="125"/>
      <c r="AA724" s="428">
        <f t="shared" si="372"/>
        <v>5</v>
      </c>
      <c r="AB724" s="103">
        <v>1</v>
      </c>
      <c r="AC724" s="103">
        <v>1</v>
      </c>
      <c r="AD724" s="103"/>
      <c r="AE724" s="428">
        <f t="shared" si="373"/>
        <v>2</v>
      </c>
      <c r="AF724" s="103"/>
      <c r="AG724" s="103"/>
      <c r="AH724" s="103"/>
      <c r="AI724" s="103"/>
      <c r="AJ724" s="428">
        <f t="shared" si="374"/>
        <v>0</v>
      </c>
      <c r="AK724" s="446"/>
      <c r="AL724" s="446"/>
      <c r="AM724" s="446"/>
      <c r="AN724" s="446"/>
      <c r="AO724" s="446"/>
      <c r="AP724" s="446"/>
      <c r="AQ724" s="446"/>
      <c r="AR724" s="431">
        <f t="shared" si="375"/>
        <v>0</v>
      </c>
      <c r="AT724" s="128"/>
      <c r="AU724" s="100" t="s">
        <v>4271</v>
      </c>
      <c r="AV724" s="128" t="s">
        <v>4280</v>
      </c>
      <c r="AW724" s="100" t="s">
        <v>4281</v>
      </c>
      <c r="AX724" s="433">
        <f t="shared" si="376"/>
        <v>0</v>
      </c>
      <c r="AY724" s="433">
        <f t="shared" si="377"/>
        <v>0</v>
      </c>
      <c r="AZ724" s="433">
        <f t="shared" si="378"/>
        <v>0</v>
      </c>
      <c r="BA724" s="433">
        <f t="shared" si="368"/>
        <v>0</v>
      </c>
      <c r="BB724" s="433">
        <f t="shared" si="369"/>
        <v>0</v>
      </c>
      <c r="BC724" s="433">
        <f t="shared" si="370"/>
        <v>0</v>
      </c>
      <c r="BD724" s="433">
        <f t="shared" si="379"/>
        <v>0</v>
      </c>
      <c r="BE724" s="433">
        <f t="shared" si="380"/>
        <v>0</v>
      </c>
      <c r="BF724" s="433">
        <f t="shared" si="381"/>
        <v>0</v>
      </c>
      <c r="BG724" s="433">
        <f t="shared" si="382"/>
        <v>0</v>
      </c>
      <c r="BH724" s="433">
        <f t="shared" si="383"/>
        <v>1</v>
      </c>
      <c r="BI724" s="433">
        <f t="shared" si="384"/>
        <v>4</v>
      </c>
      <c r="BJ724" s="433">
        <f t="shared" si="385"/>
        <v>0</v>
      </c>
      <c r="BK724" s="433">
        <f t="shared" si="386"/>
        <v>1</v>
      </c>
      <c r="BL724" s="433">
        <f t="shared" si="387"/>
        <v>1</v>
      </c>
      <c r="BM724" s="433">
        <f t="shared" si="388"/>
        <v>0</v>
      </c>
      <c r="BN724" s="433">
        <f t="shared" si="389"/>
        <v>0</v>
      </c>
      <c r="BO724" s="433">
        <f t="shared" si="390"/>
        <v>0</v>
      </c>
      <c r="BP724" s="433">
        <f t="shared" si="391"/>
        <v>0</v>
      </c>
      <c r="BQ724" s="433">
        <f t="shared" si="392"/>
        <v>0</v>
      </c>
    </row>
    <row r="725" spans="1:69" x14ac:dyDescent="0.2">
      <c r="A725" s="102">
        <v>41867</v>
      </c>
      <c r="B725" s="319">
        <v>3</v>
      </c>
      <c r="C725" s="118" t="s">
        <v>3377</v>
      </c>
      <c r="D725" s="111">
        <v>0.45416666666666666</v>
      </c>
      <c r="E725" s="111">
        <v>0.70347222222222217</v>
      </c>
      <c r="F725" s="319">
        <v>36</v>
      </c>
      <c r="G725" s="445">
        <v>10</v>
      </c>
      <c r="H725" s="319"/>
      <c r="I725" s="319"/>
      <c r="J725" s="426">
        <f t="shared" si="365"/>
        <v>358.99999999999994</v>
      </c>
      <c r="K725" s="103"/>
      <c r="L725" s="103"/>
      <c r="M725" s="103"/>
      <c r="N725" s="427">
        <f t="shared" si="366"/>
        <v>0</v>
      </c>
      <c r="O725" s="103"/>
      <c r="P725" s="103"/>
      <c r="Q725" s="103"/>
      <c r="R725" s="428">
        <f t="shared" si="367"/>
        <v>0</v>
      </c>
      <c r="S725" s="103">
        <v>1</v>
      </c>
      <c r="T725" s="103"/>
      <c r="U725" s="103"/>
      <c r="V725" s="125"/>
      <c r="W725" s="428">
        <f t="shared" si="371"/>
        <v>1</v>
      </c>
      <c r="X725" s="103"/>
      <c r="Y725" s="103">
        <v>5</v>
      </c>
      <c r="Z725" s="125"/>
      <c r="AA725" s="428">
        <f t="shared" si="372"/>
        <v>5</v>
      </c>
      <c r="AB725" s="103"/>
      <c r="AC725" s="103">
        <v>5</v>
      </c>
      <c r="AD725" s="103"/>
      <c r="AE725" s="428">
        <f t="shared" si="373"/>
        <v>5</v>
      </c>
      <c r="AF725" s="103">
        <v>3</v>
      </c>
      <c r="AG725" s="103"/>
      <c r="AH725" s="103"/>
      <c r="AI725" s="103"/>
      <c r="AJ725" s="428">
        <f t="shared" si="374"/>
        <v>3</v>
      </c>
      <c r="AK725" s="446"/>
      <c r="AL725" s="446"/>
      <c r="AM725" s="446"/>
      <c r="AN725" s="446"/>
      <c r="AO725" s="446"/>
      <c r="AP725" s="446"/>
      <c r="AQ725" s="446"/>
      <c r="AR725" s="431">
        <f t="shared" si="375"/>
        <v>0</v>
      </c>
      <c r="AS725" s="10" t="s">
        <v>4273</v>
      </c>
      <c r="AT725" s="128"/>
      <c r="AU725" s="100" t="s">
        <v>4265</v>
      </c>
      <c r="AV725" s="128" t="s">
        <v>4280</v>
      </c>
      <c r="AW725" s="100" t="s">
        <v>4281</v>
      </c>
      <c r="AX725" s="433">
        <f t="shared" si="376"/>
        <v>0</v>
      </c>
      <c r="AY725" s="433">
        <f t="shared" si="377"/>
        <v>0</v>
      </c>
      <c r="AZ725" s="433">
        <f t="shared" si="378"/>
        <v>0</v>
      </c>
      <c r="BA725" s="433">
        <f t="shared" si="368"/>
        <v>0</v>
      </c>
      <c r="BB725" s="433">
        <f t="shared" si="369"/>
        <v>0</v>
      </c>
      <c r="BC725" s="433">
        <f t="shared" si="370"/>
        <v>0</v>
      </c>
      <c r="BD725" s="433">
        <f t="shared" si="379"/>
        <v>1</v>
      </c>
      <c r="BE725" s="433">
        <f t="shared" si="380"/>
        <v>0</v>
      </c>
      <c r="BF725" s="433">
        <f t="shared" si="381"/>
        <v>0</v>
      </c>
      <c r="BG725" s="433">
        <f t="shared" si="382"/>
        <v>0</v>
      </c>
      <c r="BH725" s="433">
        <f t="shared" si="383"/>
        <v>0</v>
      </c>
      <c r="BI725" s="433">
        <f t="shared" si="384"/>
        <v>5</v>
      </c>
      <c r="BJ725" s="433">
        <f t="shared" si="385"/>
        <v>0</v>
      </c>
      <c r="BK725" s="433">
        <f t="shared" si="386"/>
        <v>0</v>
      </c>
      <c r="BL725" s="433">
        <f t="shared" si="387"/>
        <v>5</v>
      </c>
      <c r="BM725" s="433">
        <f t="shared" si="388"/>
        <v>0</v>
      </c>
      <c r="BN725" s="433">
        <f t="shared" si="389"/>
        <v>3</v>
      </c>
      <c r="BO725" s="433">
        <f t="shared" si="390"/>
        <v>0</v>
      </c>
      <c r="BP725" s="433">
        <f t="shared" si="391"/>
        <v>0</v>
      </c>
      <c r="BQ725" s="433">
        <f t="shared" si="392"/>
        <v>0</v>
      </c>
    </row>
    <row r="726" spans="1:69" s="291" customFormat="1" x14ac:dyDescent="0.2">
      <c r="A726" s="317">
        <v>41867</v>
      </c>
      <c r="B726" s="318">
        <v>3</v>
      </c>
      <c r="C726" s="320" t="s">
        <v>4268</v>
      </c>
      <c r="D726" s="321">
        <v>0.70347222222222217</v>
      </c>
      <c r="E726" s="321">
        <v>0.84722222222222221</v>
      </c>
      <c r="F726" s="318">
        <v>42</v>
      </c>
      <c r="G726" s="435">
        <v>10</v>
      </c>
      <c r="H726" s="318"/>
      <c r="I726" s="318"/>
      <c r="J726" s="437">
        <f t="shared" si="365"/>
        <v>207.00000000000006</v>
      </c>
      <c r="K726" s="285"/>
      <c r="L726" s="285"/>
      <c r="M726" s="285"/>
      <c r="N726" s="438">
        <f t="shared" si="366"/>
        <v>0</v>
      </c>
      <c r="O726" s="285"/>
      <c r="P726" s="285">
        <v>1</v>
      </c>
      <c r="Q726" s="285"/>
      <c r="R726" s="439">
        <f t="shared" si="367"/>
        <v>1</v>
      </c>
      <c r="S726" s="285"/>
      <c r="T726" s="285"/>
      <c r="U726" s="285"/>
      <c r="V726" s="440"/>
      <c r="W726" s="439">
        <f t="shared" si="371"/>
        <v>0</v>
      </c>
      <c r="X726" s="285"/>
      <c r="Y726" s="285">
        <v>7</v>
      </c>
      <c r="Z726" s="440"/>
      <c r="AA726" s="439">
        <f t="shared" si="372"/>
        <v>7</v>
      </c>
      <c r="AB726" s="285"/>
      <c r="AC726" s="285">
        <v>2</v>
      </c>
      <c r="AD726" s="285"/>
      <c r="AE726" s="439">
        <f t="shared" si="373"/>
        <v>2</v>
      </c>
      <c r="AF726" s="285">
        <v>3</v>
      </c>
      <c r="AG726" s="285"/>
      <c r="AH726" s="285"/>
      <c r="AI726" s="285"/>
      <c r="AJ726" s="439">
        <f t="shared" si="374"/>
        <v>3</v>
      </c>
      <c r="AK726" s="340"/>
      <c r="AL726" s="340"/>
      <c r="AM726" s="340"/>
      <c r="AN726" s="340"/>
      <c r="AO726" s="340"/>
      <c r="AP726" s="340"/>
      <c r="AQ726" s="340"/>
      <c r="AR726" s="441">
        <f t="shared" si="375"/>
        <v>0</v>
      </c>
      <c r="AT726" s="313"/>
      <c r="AU726" s="289" t="s">
        <v>4272</v>
      </c>
      <c r="AV726" s="313" t="s">
        <v>4280</v>
      </c>
      <c r="AW726" s="382" t="s">
        <v>4281</v>
      </c>
      <c r="AX726" s="443">
        <f t="shared" si="376"/>
        <v>0</v>
      </c>
      <c r="AY726" s="443">
        <f t="shared" si="377"/>
        <v>0</v>
      </c>
      <c r="AZ726" s="443">
        <f t="shared" si="378"/>
        <v>0</v>
      </c>
      <c r="BA726" s="443">
        <f t="shared" si="368"/>
        <v>0</v>
      </c>
      <c r="BB726" s="443">
        <f t="shared" si="369"/>
        <v>1</v>
      </c>
      <c r="BC726" s="443">
        <f t="shared" si="370"/>
        <v>0</v>
      </c>
      <c r="BD726" s="443">
        <f t="shared" si="379"/>
        <v>0</v>
      </c>
      <c r="BE726" s="443">
        <f t="shared" si="380"/>
        <v>0</v>
      </c>
      <c r="BF726" s="443">
        <f t="shared" si="381"/>
        <v>0</v>
      </c>
      <c r="BG726" s="443">
        <f t="shared" si="382"/>
        <v>0</v>
      </c>
      <c r="BH726" s="443">
        <f t="shared" si="383"/>
        <v>0</v>
      </c>
      <c r="BI726" s="443">
        <f t="shared" si="384"/>
        <v>7</v>
      </c>
      <c r="BJ726" s="443">
        <f t="shared" si="385"/>
        <v>0</v>
      </c>
      <c r="BK726" s="443">
        <f t="shared" si="386"/>
        <v>0</v>
      </c>
      <c r="BL726" s="443">
        <f t="shared" si="387"/>
        <v>2</v>
      </c>
      <c r="BM726" s="443">
        <f t="shared" si="388"/>
        <v>0</v>
      </c>
      <c r="BN726" s="443">
        <f t="shared" si="389"/>
        <v>3</v>
      </c>
      <c r="BO726" s="443">
        <f t="shared" si="390"/>
        <v>0</v>
      </c>
      <c r="BP726" s="443">
        <f t="shared" si="391"/>
        <v>0</v>
      </c>
      <c r="BQ726" s="443">
        <f t="shared" si="392"/>
        <v>0</v>
      </c>
    </row>
    <row r="727" spans="1:69" x14ac:dyDescent="0.2">
      <c r="A727" s="102">
        <v>41868</v>
      </c>
      <c r="B727" s="319">
        <v>1</v>
      </c>
      <c r="C727" s="118" t="s">
        <v>4283</v>
      </c>
      <c r="D727" s="111">
        <v>0.33680555555555558</v>
      </c>
      <c r="E727" s="111">
        <v>0.58194444444444449</v>
      </c>
      <c r="F727" s="319">
        <v>46</v>
      </c>
      <c r="G727" s="445">
        <v>9</v>
      </c>
      <c r="H727" s="319"/>
      <c r="I727" s="319"/>
      <c r="J727" s="426">
        <f t="shared" si="365"/>
        <v>353</v>
      </c>
      <c r="K727" s="103"/>
      <c r="L727" s="103"/>
      <c r="M727" s="103"/>
      <c r="N727" s="427">
        <f t="shared" si="366"/>
        <v>0</v>
      </c>
      <c r="O727" s="103"/>
      <c r="P727" s="103"/>
      <c r="Q727" s="103"/>
      <c r="R727" s="428">
        <f t="shared" si="367"/>
        <v>0</v>
      </c>
      <c r="S727" s="103">
        <v>1</v>
      </c>
      <c r="T727" s="103"/>
      <c r="U727" s="103"/>
      <c r="V727" s="125"/>
      <c r="W727" s="428">
        <f t="shared" si="371"/>
        <v>1</v>
      </c>
      <c r="X727" s="103">
        <v>1</v>
      </c>
      <c r="Y727" s="103">
        <v>1</v>
      </c>
      <c r="Z727" s="125"/>
      <c r="AA727" s="428">
        <f t="shared" si="372"/>
        <v>2</v>
      </c>
      <c r="AB727" s="103">
        <v>1</v>
      </c>
      <c r="AC727" s="103">
        <v>3</v>
      </c>
      <c r="AD727" s="103"/>
      <c r="AE727" s="428">
        <f t="shared" si="373"/>
        <v>4</v>
      </c>
      <c r="AF727" s="103">
        <v>2</v>
      </c>
      <c r="AG727" s="103"/>
      <c r="AH727" s="103"/>
      <c r="AI727" s="103"/>
      <c r="AJ727" s="428">
        <f t="shared" si="374"/>
        <v>2</v>
      </c>
      <c r="AK727" s="446"/>
      <c r="AL727" s="446"/>
      <c r="AM727" s="446"/>
      <c r="AN727" s="446"/>
      <c r="AO727" s="446"/>
      <c r="AP727" s="446"/>
      <c r="AQ727" s="446"/>
      <c r="AR727" s="431">
        <f t="shared" si="375"/>
        <v>0</v>
      </c>
      <c r="AT727" s="128"/>
      <c r="AU727" s="100" t="s">
        <v>4284</v>
      </c>
      <c r="AV727" s="128" t="s">
        <v>4280</v>
      </c>
      <c r="AW727" s="100" t="s">
        <v>4303</v>
      </c>
      <c r="AX727" s="433">
        <f t="shared" si="376"/>
        <v>0</v>
      </c>
      <c r="AY727" s="433">
        <f t="shared" si="377"/>
        <v>0</v>
      </c>
      <c r="AZ727" s="433">
        <f t="shared" si="378"/>
        <v>0</v>
      </c>
      <c r="BA727" s="433">
        <f t="shared" si="368"/>
        <v>0</v>
      </c>
      <c r="BB727" s="433">
        <f t="shared" si="369"/>
        <v>0</v>
      </c>
      <c r="BC727" s="433">
        <f t="shared" si="370"/>
        <v>0</v>
      </c>
      <c r="BD727" s="433">
        <f t="shared" si="379"/>
        <v>1</v>
      </c>
      <c r="BE727" s="433">
        <f t="shared" si="380"/>
        <v>0</v>
      </c>
      <c r="BF727" s="433">
        <f t="shared" si="381"/>
        <v>0</v>
      </c>
      <c r="BG727" s="433">
        <f t="shared" si="382"/>
        <v>0</v>
      </c>
      <c r="BH727" s="433">
        <f t="shared" si="383"/>
        <v>1</v>
      </c>
      <c r="BI727" s="433">
        <f t="shared" si="384"/>
        <v>1</v>
      </c>
      <c r="BJ727" s="433">
        <f t="shared" si="385"/>
        <v>0</v>
      </c>
      <c r="BK727" s="433">
        <f t="shared" si="386"/>
        <v>1</v>
      </c>
      <c r="BL727" s="433">
        <f t="shared" si="387"/>
        <v>3</v>
      </c>
      <c r="BM727" s="433">
        <f t="shared" si="388"/>
        <v>0</v>
      </c>
      <c r="BN727" s="433">
        <f t="shared" si="389"/>
        <v>2</v>
      </c>
      <c r="BO727" s="433">
        <f t="shared" si="390"/>
        <v>0</v>
      </c>
      <c r="BP727" s="433">
        <f t="shared" si="391"/>
        <v>0</v>
      </c>
      <c r="BQ727" s="433">
        <f t="shared" si="392"/>
        <v>0</v>
      </c>
    </row>
    <row r="728" spans="1:69" x14ac:dyDescent="0.2">
      <c r="A728" s="102">
        <v>41868</v>
      </c>
      <c r="B728" s="319">
        <v>1</v>
      </c>
      <c r="C728" s="118" t="s">
        <v>4097</v>
      </c>
      <c r="D728" s="111">
        <v>0.58194444444444449</v>
      </c>
      <c r="E728" s="111">
        <v>0.83750000000000002</v>
      </c>
      <c r="F728" s="319">
        <v>49</v>
      </c>
      <c r="G728" s="445">
        <v>11</v>
      </c>
      <c r="H728" s="319"/>
      <c r="I728" s="319"/>
      <c r="J728" s="426">
        <f t="shared" si="365"/>
        <v>368</v>
      </c>
      <c r="K728" s="103"/>
      <c r="L728" s="103"/>
      <c r="M728" s="103"/>
      <c r="N728" s="427">
        <f t="shared" si="366"/>
        <v>0</v>
      </c>
      <c r="O728" s="103"/>
      <c r="P728" s="103"/>
      <c r="Q728" s="103"/>
      <c r="R728" s="428">
        <f t="shared" si="367"/>
        <v>0</v>
      </c>
      <c r="S728" s="103"/>
      <c r="T728" s="103"/>
      <c r="U728" s="103"/>
      <c r="V728" s="125"/>
      <c r="W728" s="428">
        <f t="shared" si="371"/>
        <v>0</v>
      </c>
      <c r="X728" s="103"/>
      <c r="Y728" s="103">
        <v>2</v>
      </c>
      <c r="Z728" s="125"/>
      <c r="AA728" s="428">
        <f t="shared" si="372"/>
        <v>2</v>
      </c>
      <c r="AB728" s="103">
        <v>1</v>
      </c>
      <c r="AC728" s="103">
        <v>4</v>
      </c>
      <c r="AD728" s="103"/>
      <c r="AE728" s="428">
        <f t="shared" si="373"/>
        <v>5</v>
      </c>
      <c r="AF728" s="103">
        <v>2</v>
      </c>
      <c r="AG728" s="103">
        <v>1</v>
      </c>
      <c r="AH728" s="103"/>
      <c r="AI728" s="103"/>
      <c r="AJ728" s="428">
        <f t="shared" si="374"/>
        <v>3</v>
      </c>
      <c r="AK728" s="446"/>
      <c r="AL728" s="446"/>
      <c r="AM728" s="446"/>
      <c r="AN728" s="446"/>
      <c r="AO728" s="446"/>
      <c r="AP728" s="446"/>
      <c r="AQ728" s="446"/>
      <c r="AR728" s="431">
        <f t="shared" si="375"/>
        <v>0</v>
      </c>
      <c r="AT728" s="128"/>
      <c r="AU728" s="100" t="s">
        <v>4285</v>
      </c>
      <c r="AV728" s="128" t="s">
        <v>4280</v>
      </c>
      <c r="AW728" s="100" t="s">
        <v>4303</v>
      </c>
      <c r="AX728" s="433">
        <f t="shared" si="376"/>
        <v>0</v>
      </c>
      <c r="AY728" s="433">
        <f t="shared" si="377"/>
        <v>0</v>
      </c>
      <c r="AZ728" s="433">
        <f t="shared" si="378"/>
        <v>0</v>
      </c>
      <c r="BA728" s="433">
        <f t="shared" si="368"/>
        <v>0</v>
      </c>
      <c r="BB728" s="433">
        <f t="shared" si="369"/>
        <v>0</v>
      </c>
      <c r="BC728" s="433">
        <f t="shared" si="370"/>
        <v>0</v>
      </c>
      <c r="BD728" s="433">
        <f t="shared" si="379"/>
        <v>0</v>
      </c>
      <c r="BE728" s="433">
        <f t="shared" si="380"/>
        <v>0</v>
      </c>
      <c r="BF728" s="433">
        <f t="shared" si="381"/>
        <v>0</v>
      </c>
      <c r="BG728" s="433">
        <f t="shared" si="382"/>
        <v>0</v>
      </c>
      <c r="BH728" s="433">
        <f t="shared" si="383"/>
        <v>0</v>
      </c>
      <c r="BI728" s="433">
        <f t="shared" si="384"/>
        <v>2</v>
      </c>
      <c r="BJ728" s="433">
        <f t="shared" si="385"/>
        <v>0</v>
      </c>
      <c r="BK728" s="433">
        <f t="shared" si="386"/>
        <v>1</v>
      </c>
      <c r="BL728" s="433">
        <f t="shared" si="387"/>
        <v>4</v>
      </c>
      <c r="BM728" s="433">
        <f t="shared" si="388"/>
        <v>0</v>
      </c>
      <c r="BN728" s="433">
        <f t="shared" si="389"/>
        <v>2</v>
      </c>
      <c r="BO728" s="433">
        <f t="shared" si="390"/>
        <v>1</v>
      </c>
      <c r="BP728" s="433">
        <f t="shared" si="391"/>
        <v>0</v>
      </c>
      <c r="BQ728" s="433">
        <f t="shared" si="392"/>
        <v>0</v>
      </c>
    </row>
    <row r="729" spans="1:69" x14ac:dyDescent="0.2">
      <c r="A729" s="102">
        <v>41868</v>
      </c>
      <c r="B729" s="319">
        <v>2</v>
      </c>
      <c r="C729" s="118" t="s">
        <v>4283</v>
      </c>
      <c r="D729" s="111">
        <v>0.34097222222222223</v>
      </c>
      <c r="E729" s="111">
        <v>0.57222222222222219</v>
      </c>
      <c r="F729" s="319">
        <v>33</v>
      </c>
      <c r="G729" s="445">
        <v>10</v>
      </c>
      <c r="H729" s="319"/>
      <c r="I729" s="319"/>
      <c r="J729" s="426">
        <f t="shared" si="365"/>
        <v>332.99999999999994</v>
      </c>
      <c r="K729" s="103"/>
      <c r="L729" s="103"/>
      <c r="M729" s="103"/>
      <c r="N729" s="427">
        <f t="shared" si="366"/>
        <v>0</v>
      </c>
      <c r="O729" s="103"/>
      <c r="P729" s="103"/>
      <c r="Q729" s="103"/>
      <c r="R729" s="428">
        <f t="shared" si="367"/>
        <v>0</v>
      </c>
      <c r="S729" s="103"/>
      <c r="T729" s="103"/>
      <c r="U729" s="103"/>
      <c r="V729" s="125"/>
      <c r="W729" s="428">
        <f t="shared" si="371"/>
        <v>0</v>
      </c>
      <c r="X729" s="103"/>
      <c r="Y729" s="103"/>
      <c r="Z729" s="125"/>
      <c r="AA729" s="428">
        <f t="shared" si="372"/>
        <v>0</v>
      </c>
      <c r="AB729" s="103"/>
      <c r="AC729" s="103">
        <v>4</v>
      </c>
      <c r="AD729" s="103"/>
      <c r="AE729" s="428">
        <f t="shared" si="373"/>
        <v>4</v>
      </c>
      <c r="AF729" s="103"/>
      <c r="AG729" s="103"/>
      <c r="AH729" s="103"/>
      <c r="AI729" s="103"/>
      <c r="AJ729" s="428">
        <f t="shared" si="374"/>
        <v>0</v>
      </c>
      <c r="AK729" s="446"/>
      <c r="AL729" s="446"/>
      <c r="AM729" s="446"/>
      <c r="AN729" s="446"/>
      <c r="AO729" s="446"/>
      <c r="AP729" s="446"/>
      <c r="AQ729" s="446"/>
      <c r="AR729" s="431">
        <f t="shared" si="375"/>
        <v>0</v>
      </c>
      <c r="AS729" s="10" t="s">
        <v>4287</v>
      </c>
      <c r="AT729" s="128"/>
      <c r="AU729" s="100" t="s">
        <v>4286</v>
      </c>
      <c r="AV729" s="128" t="s">
        <v>4280</v>
      </c>
      <c r="AW729" s="100" t="s">
        <v>4303</v>
      </c>
      <c r="AX729" s="433">
        <f t="shared" si="376"/>
        <v>0</v>
      </c>
      <c r="AY729" s="433">
        <f t="shared" si="377"/>
        <v>0</v>
      </c>
      <c r="AZ729" s="433">
        <f t="shared" si="378"/>
        <v>0</v>
      </c>
      <c r="BA729" s="433">
        <f t="shared" si="368"/>
        <v>0</v>
      </c>
      <c r="BB729" s="433">
        <f t="shared" si="369"/>
        <v>0</v>
      </c>
      <c r="BC729" s="433">
        <f t="shared" si="370"/>
        <v>0</v>
      </c>
      <c r="BD729" s="433">
        <f t="shared" si="379"/>
        <v>0</v>
      </c>
      <c r="BE729" s="433">
        <f t="shared" si="380"/>
        <v>0</v>
      </c>
      <c r="BF729" s="433">
        <f t="shared" si="381"/>
        <v>0</v>
      </c>
      <c r="BG729" s="433">
        <f t="shared" si="382"/>
        <v>0</v>
      </c>
      <c r="BH729" s="433">
        <f t="shared" si="383"/>
        <v>0</v>
      </c>
      <c r="BI729" s="433">
        <f t="shared" si="384"/>
        <v>0</v>
      </c>
      <c r="BJ729" s="433">
        <f t="shared" si="385"/>
        <v>0</v>
      </c>
      <c r="BK729" s="433">
        <f t="shared" si="386"/>
        <v>0</v>
      </c>
      <c r="BL729" s="433">
        <f t="shared" si="387"/>
        <v>4</v>
      </c>
      <c r="BM729" s="433">
        <f t="shared" si="388"/>
        <v>0</v>
      </c>
      <c r="BN729" s="433">
        <f t="shared" si="389"/>
        <v>0</v>
      </c>
      <c r="BO729" s="433">
        <f t="shared" si="390"/>
        <v>0</v>
      </c>
      <c r="BP729" s="433">
        <f t="shared" si="391"/>
        <v>0</v>
      </c>
      <c r="BQ729" s="433">
        <f t="shared" si="392"/>
        <v>0</v>
      </c>
    </row>
    <row r="730" spans="1:69" x14ac:dyDescent="0.2">
      <c r="A730" s="102">
        <v>41868</v>
      </c>
      <c r="B730" s="319">
        <v>2</v>
      </c>
      <c r="C730" s="118" t="s">
        <v>4097</v>
      </c>
      <c r="D730" s="111">
        <v>0.57222222222222219</v>
      </c>
      <c r="E730" s="111">
        <v>0.84166666666666667</v>
      </c>
      <c r="F730" s="319">
        <v>34</v>
      </c>
      <c r="G730" s="445">
        <v>11</v>
      </c>
      <c r="H730" s="319"/>
      <c r="I730" s="319"/>
      <c r="J730" s="426">
        <f t="shared" si="365"/>
        <v>388.00000000000006</v>
      </c>
      <c r="K730" s="103"/>
      <c r="L730" s="103"/>
      <c r="M730" s="103"/>
      <c r="N730" s="427">
        <f t="shared" si="366"/>
        <v>0</v>
      </c>
      <c r="O730" s="103"/>
      <c r="P730" s="103"/>
      <c r="Q730" s="103"/>
      <c r="R730" s="428">
        <f t="shared" si="367"/>
        <v>0</v>
      </c>
      <c r="S730" s="103"/>
      <c r="T730" s="103"/>
      <c r="U730" s="103"/>
      <c r="V730" s="125"/>
      <c r="W730" s="428">
        <f t="shared" si="371"/>
        <v>0</v>
      </c>
      <c r="X730" s="103"/>
      <c r="Y730" s="103">
        <v>1</v>
      </c>
      <c r="Z730" s="125"/>
      <c r="AA730" s="428">
        <f t="shared" si="372"/>
        <v>1</v>
      </c>
      <c r="AB730" s="103">
        <v>1</v>
      </c>
      <c r="AC730" s="103">
        <v>3</v>
      </c>
      <c r="AD730" s="103"/>
      <c r="AE730" s="428">
        <f t="shared" si="373"/>
        <v>4</v>
      </c>
      <c r="AF730" s="103"/>
      <c r="AG730" s="103">
        <v>1</v>
      </c>
      <c r="AH730" s="103"/>
      <c r="AI730" s="103"/>
      <c r="AJ730" s="428">
        <f t="shared" si="374"/>
        <v>1</v>
      </c>
      <c r="AK730" s="446"/>
      <c r="AL730" s="446"/>
      <c r="AM730" s="446"/>
      <c r="AN730" s="446"/>
      <c r="AO730" s="446"/>
      <c r="AP730" s="446"/>
      <c r="AQ730" s="446"/>
      <c r="AR730" s="431">
        <f t="shared" si="375"/>
        <v>0</v>
      </c>
      <c r="AT730" s="128"/>
      <c r="AU730" s="100" t="s">
        <v>4288</v>
      </c>
      <c r="AV730" s="128" t="s">
        <v>4280</v>
      </c>
      <c r="AW730" s="100" t="s">
        <v>4303</v>
      </c>
      <c r="AX730" s="433">
        <f t="shared" si="376"/>
        <v>0</v>
      </c>
      <c r="AY730" s="433">
        <f t="shared" si="377"/>
        <v>0</v>
      </c>
      <c r="AZ730" s="433">
        <f t="shared" si="378"/>
        <v>0</v>
      </c>
      <c r="BA730" s="433">
        <f t="shared" si="368"/>
        <v>0</v>
      </c>
      <c r="BB730" s="433">
        <f t="shared" si="369"/>
        <v>0</v>
      </c>
      <c r="BC730" s="433">
        <f t="shared" si="370"/>
        <v>0</v>
      </c>
      <c r="BD730" s="433">
        <f t="shared" si="379"/>
        <v>0</v>
      </c>
      <c r="BE730" s="433">
        <f t="shared" si="380"/>
        <v>0</v>
      </c>
      <c r="BF730" s="433">
        <f t="shared" si="381"/>
        <v>0</v>
      </c>
      <c r="BG730" s="433">
        <f t="shared" si="382"/>
        <v>0</v>
      </c>
      <c r="BH730" s="433">
        <f t="shared" si="383"/>
        <v>0</v>
      </c>
      <c r="BI730" s="433">
        <f t="shared" si="384"/>
        <v>1</v>
      </c>
      <c r="BJ730" s="433">
        <f t="shared" si="385"/>
        <v>0</v>
      </c>
      <c r="BK730" s="433">
        <f t="shared" si="386"/>
        <v>1</v>
      </c>
      <c r="BL730" s="433">
        <f t="shared" si="387"/>
        <v>3</v>
      </c>
      <c r="BM730" s="433">
        <f t="shared" si="388"/>
        <v>0</v>
      </c>
      <c r="BN730" s="433">
        <f t="shared" si="389"/>
        <v>0</v>
      </c>
      <c r="BO730" s="433">
        <f t="shared" si="390"/>
        <v>1</v>
      </c>
      <c r="BP730" s="433">
        <f t="shared" si="391"/>
        <v>0</v>
      </c>
      <c r="BQ730" s="433">
        <f t="shared" si="392"/>
        <v>0</v>
      </c>
    </row>
    <row r="731" spans="1:69" x14ac:dyDescent="0.2">
      <c r="A731" s="102">
        <v>41868</v>
      </c>
      <c r="B731" s="319">
        <v>3</v>
      </c>
      <c r="C731" s="118" t="s">
        <v>4097</v>
      </c>
      <c r="D731" s="111">
        <v>0.34027777777777773</v>
      </c>
      <c r="E731" s="111">
        <v>0.44861111111111113</v>
      </c>
      <c r="F731" s="319">
        <v>56</v>
      </c>
      <c r="G731" s="445">
        <v>10</v>
      </c>
      <c r="H731" s="319"/>
      <c r="I731" s="319"/>
      <c r="J731" s="426">
        <f t="shared" si="365"/>
        <v>156.00000000000009</v>
      </c>
      <c r="K731" s="103"/>
      <c r="L731" s="103"/>
      <c r="M731" s="103"/>
      <c r="N731" s="427">
        <f t="shared" si="366"/>
        <v>0</v>
      </c>
      <c r="O731" s="103"/>
      <c r="P731" s="103"/>
      <c r="Q731" s="103"/>
      <c r="R731" s="428">
        <f t="shared" si="367"/>
        <v>0</v>
      </c>
      <c r="S731" s="103"/>
      <c r="T731" s="103"/>
      <c r="U731" s="103"/>
      <c r="V731" s="125"/>
      <c r="W731" s="428">
        <f t="shared" si="371"/>
        <v>0</v>
      </c>
      <c r="X731" s="103">
        <v>1</v>
      </c>
      <c r="Y731" s="103">
        <v>2</v>
      </c>
      <c r="Z731" s="125"/>
      <c r="AA731" s="428">
        <f t="shared" si="372"/>
        <v>3</v>
      </c>
      <c r="AB731" s="103">
        <v>1</v>
      </c>
      <c r="AC731" s="103"/>
      <c r="AD731" s="103"/>
      <c r="AE731" s="428">
        <f t="shared" si="373"/>
        <v>1</v>
      </c>
      <c r="AF731" s="103"/>
      <c r="AG731" s="103"/>
      <c r="AH731" s="103"/>
      <c r="AI731" s="103"/>
      <c r="AJ731" s="428">
        <f t="shared" si="374"/>
        <v>0</v>
      </c>
      <c r="AK731" s="446"/>
      <c r="AL731" s="446"/>
      <c r="AM731" s="446"/>
      <c r="AN731" s="446"/>
      <c r="AO731" s="446"/>
      <c r="AP731" s="446"/>
      <c r="AQ731" s="446"/>
      <c r="AR731" s="431">
        <f t="shared" si="375"/>
        <v>0</v>
      </c>
      <c r="AT731" s="128"/>
      <c r="AU731" s="100" t="s">
        <v>4285</v>
      </c>
      <c r="AV731" s="128" t="s">
        <v>4280</v>
      </c>
      <c r="AW731" s="100" t="s">
        <v>4303</v>
      </c>
      <c r="AX731" s="433">
        <f t="shared" si="376"/>
        <v>0</v>
      </c>
      <c r="AY731" s="433">
        <f t="shared" si="377"/>
        <v>0</v>
      </c>
      <c r="AZ731" s="433">
        <f t="shared" si="378"/>
        <v>0</v>
      </c>
      <c r="BA731" s="433">
        <f t="shared" si="368"/>
        <v>0</v>
      </c>
      <c r="BB731" s="433">
        <f t="shared" si="369"/>
        <v>0</v>
      </c>
      <c r="BC731" s="433">
        <f t="shared" si="370"/>
        <v>0</v>
      </c>
      <c r="BD731" s="433">
        <f t="shared" si="379"/>
        <v>0</v>
      </c>
      <c r="BE731" s="433">
        <f t="shared" si="380"/>
        <v>0</v>
      </c>
      <c r="BF731" s="433">
        <f t="shared" si="381"/>
        <v>0</v>
      </c>
      <c r="BG731" s="433">
        <f t="shared" si="382"/>
        <v>0</v>
      </c>
      <c r="BH731" s="433">
        <f t="shared" si="383"/>
        <v>1</v>
      </c>
      <c r="BI731" s="433">
        <f t="shared" si="384"/>
        <v>2</v>
      </c>
      <c r="BJ731" s="433">
        <f t="shared" si="385"/>
        <v>0</v>
      </c>
      <c r="BK731" s="433">
        <f t="shared" si="386"/>
        <v>1</v>
      </c>
      <c r="BL731" s="433">
        <f t="shared" si="387"/>
        <v>0</v>
      </c>
      <c r="BM731" s="433">
        <f t="shared" si="388"/>
        <v>0</v>
      </c>
      <c r="BN731" s="433">
        <f t="shared" si="389"/>
        <v>0</v>
      </c>
      <c r="BO731" s="433">
        <f t="shared" si="390"/>
        <v>0</v>
      </c>
      <c r="BP731" s="433">
        <f t="shared" si="391"/>
        <v>0</v>
      </c>
      <c r="BQ731" s="433">
        <f t="shared" si="392"/>
        <v>0</v>
      </c>
    </row>
    <row r="732" spans="1:69" x14ac:dyDescent="0.2">
      <c r="A732" s="102">
        <v>41868</v>
      </c>
      <c r="B732" s="319">
        <v>3</v>
      </c>
      <c r="C732" s="118" t="s">
        <v>4289</v>
      </c>
      <c r="D732" s="111">
        <v>0.44861111111111113</v>
      </c>
      <c r="E732" s="111">
        <v>0.70138888888888884</v>
      </c>
      <c r="F732" s="319">
        <v>41</v>
      </c>
      <c r="G732" s="445">
        <v>10</v>
      </c>
      <c r="H732" s="319"/>
      <c r="I732" s="319"/>
      <c r="J732" s="426">
        <f t="shared" si="365"/>
        <v>363.99999999999989</v>
      </c>
      <c r="K732" s="103"/>
      <c r="L732" s="103"/>
      <c r="M732" s="103"/>
      <c r="N732" s="427">
        <f t="shared" si="366"/>
        <v>0</v>
      </c>
      <c r="O732" s="103"/>
      <c r="P732" s="103"/>
      <c r="Q732" s="103"/>
      <c r="R732" s="428">
        <f t="shared" si="367"/>
        <v>0</v>
      </c>
      <c r="S732" s="103">
        <v>1</v>
      </c>
      <c r="T732" s="103"/>
      <c r="U732" s="103"/>
      <c r="V732" s="125"/>
      <c r="W732" s="428">
        <f t="shared" si="371"/>
        <v>1</v>
      </c>
      <c r="X732" s="103"/>
      <c r="Y732" s="103"/>
      <c r="Z732" s="125"/>
      <c r="AA732" s="428">
        <f t="shared" si="372"/>
        <v>0</v>
      </c>
      <c r="AB732" s="103"/>
      <c r="AC732" s="103">
        <v>1</v>
      </c>
      <c r="AD732" s="103"/>
      <c r="AE732" s="428">
        <f t="shared" si="373"/>
        <v>1</v>
      </c>
      <c r="AF732" s="103">
        <v>4</v>
      </c>
      <c r="AG732" s="103"/>
      <c r="AH732" s="103"/>
      <c r="AI732" s="103"/>
      <c r="AJ732" s="428">
        <f t="shared" si="374"/>
        <v>4</v>
      </c>
      <c r="AK732" s="446"/>
      <c r="AL732" s="446"/>
      <c r="AM732" s="446"/>
      <c r="AN732" s="446"/>
      <c r="AO732" s="446"/>
      <c r="AP732" s="446"/>
      <c r="AQ732" s="446"/>
      <c r="AR732" s="431">
        <f t="shared" si="375"/>
        <v>0</v>
      </c>
      <c r="AT732" s="128" t="s">
        <v>4302</v>
      </c>
      <c r="AU732" s="100" t="s">
        <v>4290</v>
      </c>
      <c r="AV732" s="128" t="s">
        <v>4280</v>
      </c>
      <c r="AW732" s="100" t="s">
        <v>4303</v>
      </c>
      <c r="AX732" s="433">
        <f t="shared" si="376"/>
        <v>0</v>
      </c>
      <c r="AY732" s="433">
        <f t="shared" si="377"/>
        <v>0</v>
      </c>
      <c r="AZ732" s="433">
        <f t="shared" si="378"/>
        <v>0</v>
      </c>
      <c r="BA732" s="433">
        <f t="shared" si="368"/>
        <v>0</v>
      </c>
      <c r="BB732" s="433">
        <f t="shared" si="369"/>
        <v>0</v>
      </c>
      <c r="BC732" s="433">
        <f t="shared" si="370"/>
        <v>0</v>
      </c>
      <c r="BD732" s="433">
        <f t="shared" si="379"/>
        <v>1</v>
      </c>
      <c r="BE732" s="433">
        <f t="shared" si="380"/>
        <v>0</v>
      </c>
      <c r="BF732" s="433">
        <f t="shared" si="381"/>
        <v>0</v>
      </c>
      <c r="BG732" s="433">
        <f t="shared" si="382"/>
        <v>0</v>
      </c>
      <c r="BH732" s="433">
        <f t="shared" si="383"/>
        <v>0</v>
      </c>
      <c r="BI732" s="433">
        <f t="shared" si="384"/>
        <v>0</v>
      </c>
      <c r="BJ732" s="433">
        <f t="shared" si="385"/>
        <v>0</v>
      </c>
      <c r="BK732" s="433">
        <f t="shared" si="386"/>
        <v>0</v>
      </c>
      <c r="BL732" s="433">
        <f t="shared" si="387"/>
        <v>1</v>
      </c>
      <c r="BM732" s="433">
        <f t="shared" si="388"/>
        <v>0</v>
      </c>
      <c r="BN732" s="433">
        <f t="shared" si="389"/>
        <v>4</v>
      </c>
      <c r="BO732" s="433">
        <f t="shared" si="390"/>
        <v>0</v>
      </c>
      <c r="BP732" s="433">
        <f t="shared" si="391"/>
        <v>0</v>
      </c>
      <c r="BQ732" s="433">
        <f t="shared" si="392"/>
        <v>0</v>
      </c>
    </row>
    <row r="733" spans="1:69" s="291" customFormat="1" x14ac:dyDescent="0.2">
      <c r="A733" s="317">
        <v>41868</v>
      </c>
      <c r="B733" s="318">
        <v>3</v>
      </c>
      <c r="C733" s="320" t="s">
        <v>4283</v>
      </c>
      <c r="D733" s="321">
        <v>0.70138888888888884</v>
      </c>
      <c r="E733" s="321">
        <v>0.84027777777777779</v>
      </c>
      <c r="F733" s="318">
        <v>41</v>
      </c>
      <c r="G733" s="435">
        <v>10</v>
      </c>
      <c r="H733" s="318"/>
      <c r="I733" s="318"/>
      <c r="J733" s="437">
        <f t="shared" si="365"/>
        <v>200.00000000000009</v>
      </c>
      <c r="K733" s="285"/>
      <c r="L733" s="285"/>
      <c r="M733" s="285"/>
      <c r="N733" s="438">
        <f t="shared" si="366"/>
        <v>0</v>
      </c>
      <c r="O733" s="285"/>
      <c r="P733" s="285"/>
      <c r="Q733" s="285"/>
      <c r="R733" s="439">
        <f t="shared" si="367"/>
        <v>0</v>
      </c>
      <c r="S733" s="285"/>
      <c r="T733" s="285"/>
      <c r="U733" s="285"/>
      <c r="V733" s="440"/>
      <c r="W733" s="439">
        <f t="shared" si="371"/>
        <v>0</v>
      </c>
      <c r="X733" s="285"/>
      <c r="Y733" s="285">
        <v>3</v>
      </c>
      <c r="Z733" s="440"/>
      <c r="AA733" s="439">
        <f t="shared" si="372"/>
        <v>3</v>
      </c>
      <c r="AB733" s="285"/>
      <c r="AC733" s="285">
        <v>3</v>
      </c>
      <c r="AD733" s="285"/>
      <c r="AE733" s="439">
        <f t="shared" si="373"/>
        <v>3</v>
      </c>
      <c r="AF733" s="285"/>
      <c r="AG733" s="285"/>
      <c r="AH733" s="285"/>
      <c r="AI733" s="285"/>
      <c r="AJ733" s="439">
        <f t="shared" si="374"/>
        <v>0</v>
      </c>
      <c r="AK733" s="340"/>
      <c r="AL733" s="340"/>
      <c r="AM733" s="340"/>
      <c r="AN733" s="340"/>
      <c r="AO733" s="340"/>
      <c r="AP733" s="340"/>
      <c r="AQ733" s="340"/>
      <c r="AR733" s="441">
        <f t="shared" si="375"/>
        <v>0</v>
      </c>
      <c r="AS733" s="291" t="s">
        <v>4291</v>
      </c>
      <c r="AT733" s="313" t="s">
        <v>4292</v>
      </c>
      <c r="AU733" s="289" t="s">
        <v>4284</v>
      </c>
      <c r="AV733" s="313" t="s">
        <v>4280</v>
      </c>
      <c r="AW733" s="382" t="s">
        <v>4303</v>
      </c>
      <c r="AX733" s="443">
        <f t="shared" si="376"/>
        <v>0</v>
      </c>
      <c r="AY733" s="443">
        <f t="shared" si="377"/>
        <v>0</v>
      </c>
      <c r="AZ733" s="443">
        <f t="shared" si="378"/>
        <v>0</v>
      </c>
      <c r="BA733" s="443">
        <f t="shared" si="368"/>
        <v>0</v>
      </c>
      <c r="BB733" s="443">
        <f t="shared" si="369"/>
        <v>0</v>
      </c>
      <c r="BC733" s="443">
        <f t="shared" si="370"/>
        <v>0</v>
      </c>
      <c r="BD733" s="443">
        <f t="shared" si="379"/>
        <v>0</v>
      </c>
      <c r="BE733" s="443">
        <f t="shared" si="380"/>
        <v>0</v>
      </c>
      <c r="BF733" s="443">
        <f t="shared" si="381"/>
        <v>0</v>
      </c>
      <c r="BG733" s="443">
        <f t="shared" si="382"/>
        <v>0</v>
      </c>
      <c r="BH733" s="443">
        <f t="shared" si="383"/>
        <v>0</v>
      </c>
      <c r="BI733" s="443">
        <f t="shared" si="384"/>
        <v>3</v>
      </c>
      <c r="BJ733" s="443">
        <f t="shared" si="385"/>
        <v>0</v>
      </c>
      <c r="BK733" s="443">
        <f t="shared" si="386"/>
        <v>0</v>
      </c>
      <c r="BL733" s="443">
        <f t="shared" si="387"/>
        <v>3</v>
      </c>
      <c r="BM733" s="443">
        <f t="shared" si="388"/>
        <v>0</v>
      </c>
      <c r="BN733" s="443">
        <f t="shared" si="389"/>
        <v>0</v>
      </c>
      <c r="BO733" s="443">
        <f t="shared" si="390"/>
        <v>0</v>
      </c>
      <c r="BP733" s="443">
        <f t="shared" si="391"/>
        <v>0</v>
      </c>
      <c r="BQ733" s="443">
        <f t="shared" si="392"/>
        <v>0</v>
      </c>
    </row>
    <row r="734" spans="1:69" x14ac:dyDescent="0.2">
      <c r="A734" s="102">
        <v>41869</v>
      </c>
      <c r="B734" s="319">
        <v>1</v>
      </c>
      <c r="C734" s="118" t="s">
        <v>4270</v>
      </c>
      <c r="D734" s="111">
        <v>0.33958333333333335</v>
      </c>
      <c r="E734" s="111">
        <v>0.59375</v>
      </c>
      <c r="F734" s="319">
        <v>45</v>
      </c>
      <c r="G734" s="445">
        <v>9</v>
      </c>
      <c r="H734" s="319"/>
      <c r="I734" s="319">
        <v>104</v>
      </c>
      <c r="J734" s="426">
        <f t="shared" si="365"/>
        <v>366</v>
      </c>
      <c r="K734" s="103"/>
      <c r="L734" s="103"/>
      <c r="M734" s="103">
        <v>1</v>
      </c>
      <c r="N734" s="427">
        <f t="shared" si="366"/>
        <v>1</v>
      </c>
      <c r="O734" s="103"/>
      <c r="P734" s="103"/>
      <c r="Q734" s="103"/>
      <c r="R734" s="428">
        <f t="shared" si="367"/>
        <v>0</v>
      </c>
      <c r="S734" s="103">
        <v>1</v>
      </c>
      <c r="T734" s="103"/>
      <c r="U734" s="103"/>
      <c r="V734" s="125"/>
      <c r="W734" s="428">
        <f t="shared" si="371"/>
        <v>1</v>
      </c>
      <c r="X734" s="103"/>
      <c r="Y734" s="103">
        <v>1</v>
      </c>
      <c r="Z734" s="125"/>
      <c r="AA734" s="428">
        <f t="shared" si="372"/>
        <v>1</v>
      </c>
      <c r="AB734" s="103">
        <v>1</v>
      </c>
      <c r="AC734" s="103">
        <v>3</v>
      </c>
      <c r="AD734" s="103"/>
      <c r="AE734" s="428">
        <f t="shared" si="373"/>
        <v>4</v>
      </c>
      <c r="AF734" s="103">
        <v>2</v>
      </c>
      <c r="AG734" s="103"/>
      <c r="AH734" s="103"/>
      <c r="AI734" s="103"/>
      <c r="AJ734" s="428">
        <f t="shared" si="374"/>
        <v>2</v>
      </c>
      <c r="AK734" s="446"/>
      <c r="AL734" s="446"/>
      <c r="AM734" s="446"/>
      <c r="AN734" s="446"/>
      <c r="AO734" s="446"/>
      <c r="AP734" s="446"/>
      <c r="AQ734" s="446"/>
      <c r="AR734" s="431">
        <f t="shared" si="375"/>
        <v>0</v>
      </c>
      <c r="AS734" s="10" t="s">
        <v>4304</v>
      </c>
      <c r="AT734" s="128"/>
      <c r="AU734" s="100" t="s">
        <v>4305</v>
      </c>
      <c r="AV734" s="128" t="s">
        <v>4321</v>
      </c>
      <c r="AW734" s="100" t="s">
        <v>4326</v>
      </c>
      <c r="AX734" s="433">
        <f t="shared" si="376"/>
        <v>0</v>
      </c>
      <c r="AY734" s="433">
        <f t="shared" si="377"/>
        <v>0</v>
      </c>
      <c r="AZ734" s="433">
        <f t="shared" si="378"/>
        <v>1</v>
      </c>
      <c r="BA734" s="433">
        <f t="shared" si="368"/>
        <v>0</v>
      </c>
      <c r="BB734" s="433">
        <f t="shared" si="369"/>
        <v>0</v>
      </c>
      <c r="BC734" s="433">
        <f t="shared" si="370"/>
        <v>0</v>
      </c>
      <c r="BD734" s="433">
        <f t="shared" si="379"/>
        <v>1</v>
      </c>
      <c r="BE734" s="433">
        <f t="shared" si="380"/>
        <v>0</v>
      </c>
      <c r="BF734" s="433">
        <f t="shared" si="381"/>
        <v>0</v>
      </c>
      <c r="BG734" s="433">
        <f t="shared" si="382"/>
        <v>0</v>
      </c>
      <c r="BH734" s="433">
        <f t="shared" si="383"/>
        <v>0</v>
      </c>
      <c r="BI734" s="433">
        <f t="shared" si="384"/>
        <v>1</v>
      </c>
      <c r="BJ734" s="433">
        <f t="shared" si="385"/>
        <v>0</v>
      </c>
      <c r="BK734" s="433">
        <f t="shared" si="386"/>
        <v>1</v>
      </c>
      <c r="BL734" s="433">
        <f t="shared" si="387"/>
        <v>3</v>
      </c>
      <c r="BM734" s="433">
        <f t="shared" si="388"/>
        <v>0</v>
      </c>
      <c r="BN734" s="433">
        <f t="shared" si="389"/>
        <v>2</v>
      </c>
      <c r="BO734" s="433">
        <f t="shared" si="390"/>
        <v>0</v>
      </c>
      <c r="BP734" s="433">
        <f t="shared" si="391"/>
        <v>0</v>
      </c>
      <c r="BQ734" s="433">
        <f t="shared" si="392"/>
        <v>0</v>
      </c>
    </row>
    <row r="735" spans="1:69" x14ac:dyDescent="0.2">
      <c r="A735" s="102">
        <v>41869</v>
      </c>
      <c r="B735" s="319">
        <v>1</v>
      </c>
      <c r="C735" s="118" t="s">
        <v>1614</v>
      </c>
      <c r="D735" s="111">
        <v>0.59375</v>
      </c>
      <c r="E735" s="111">
        <v>0.84444444444444444</v>
      </c>
      <c r="F735" s="319">
        <v>46</v>
      </c>
      <c r="G735" s="445">
        <v>9</v>
      </c>
      <c r="H735" s="319"/>
      <c r="I735" s="319"/>
      <c r="J735" s="426">
        <f t="shared" si="365"/>
        <v>361</v>
      </c>
      <c r="K735" s="103"/>
      <c r="L735" s="103"/>
      <c r="M735" s="103"/>
      <c r="N735" s="427">
        <f t="shared" si="366"/>
        <v>0</v>
      </c>
      <c r="O735" s="103"/>
      <c r="P735" s="103">
        <v>1</v>
      </c>
      <c r="Q735" s="103"/>
      <c r="R735" s="428">
        <f t="shared" si="367"/>
        <v>1</v>
      </c>
      <c r="S735" s="103"/>
      <c r="T735" s="103"/>
      <c r="U735" s="103"/>
      <c r="V735" s="125"/>
      <c r="W735" s="428">
        <f t="shared" si="371"/>
        <v>0</v>
      </c>
      <c r="X735" s="103"/>
      <c r="Y735" s="103">
        <v>8</v>
      </c>
      <c r="Z735" s="125"/>
      <c r="AA735" s="428">
        <f t="shared" si="372"/>
        <v>8</v>
      </c>
      <c r="AB735" s="103"/>
      <c r="AC735" s="103">
        <v>7</v>
      </c>
      <c r="AD735" s="103"/>
      <c r="AE735" s="428">
        <f t="shared" si="373"/>
        <v>7</v>
      </c>
      <c r="AF735" s="103">
        <v>4</v>
      </c>
      <c r="AG735" s="103">
        <v>2</v>
      </c>
      <c r="AH735" s="103"/>
      <c r="AI735" s="103"/>
      <c r="AJ735" s="428">
        <f t="shared" si="374"/>
        <v>6</v>
      </c>
      <c r="AK735" s="446"/>
      <c r="AL735" s="446"/>
      <c r="AM735" s="446"/>
      <c r="AN735" s="446"/>
      <c r="AO735" s="446"/>
      <c r="AP735" s="446"/>
      <c r="AQ735" s="446"/>
      <c r="AR735" s="431">
        <f t="shared" si="375"/>
        <v>0</v>
      </c>
      <c r="AT735" s="128"/>
      <c r="AU735" s="100" t="s">
        <v>4306</v>
      </c>
      <c r="AV735" s="128" t="s">
        <v>4321</v>
      </c>
      <c r="AW735" s="100" t="s">
        <v>4326</v>
      </c>
      <c r="AX735" s="433">
        <f t="shared" si="376"/>
        <v>0</v>
      </c>
      <c r="AY735" s="433">
        <f t="shared" si="377"/>
        <v>0</v>
      </c>
      <c r="AZ735" s="433">
        <f t="shared" si="378"/>
        <v>0</v>
      </c>
      <c r="BA735" s="433">
        <f t="shared" si="368"/>
        <v>0</v>
      </c>
      <c r="BB735" s="433">
        <f t="shared" si="369"/>
        <v>1</v>
      </c>
      <c r="BC735" s="433">
        <f t="shared" si="370"/>
        <v>0</v>
      </c>
      <c r="BD735" s="433">
        <f t="shared" si="379"/>
        <v>0</v>
      </c>
      <c r="BE735" s="433">
        <f t="shared" si="380"/>
        <v>0</v>
      </c>
      <c r="BF735" s="433">
        <f t="shared" si="381"/>
        <v>0</v>
      </c>
      <c r="BG735" s="433">
        <f t="shared" si="382"/>
        <v>0</v>
      </c>
      <c r="BH735" s="433">
        <f t="shared" si="383"/>
        <v>0</v>
      </c>
      <c r="BI735" s="433">
        <f t="shared" si="384"/>
        <v>8</v>
      </c>
      <c r="BJ735" s="433">
        <f t="shared" si="385"/>
        <v>0</v>
      </c>
      <c r="BK735" s="433">
        <f t="shared" si="386"/>
        <v>0</v>
      </c>
      <c r="BL735" s="433">
        <f t="shared" si="387"/>
        <v>7</v>
      </c>
      <c r="BM735" s="433">
        <f t="shared" si="388"/>
        <v>0</v>
      </c>
      <c r="BN735" s="433">
        <f t="shared" si="389"/>
        <v>4</v>
      </c>
      <c r="BO735" s="433">
        <f t="shared" si="390"/>
        <v>2</v>
      </c>
      <c r="BP735" s="433">
        <f t="shared" si="391"/>
        <v>0</v>
      </c>
      <c r="BQ735" s="433">
        <f t="shared" si="392"/>
        <v>0</v>
      </c>
    </row>
    <row r="736" spans="1:69" x14ac:dyDescent="0.2">
      <c r="A736" s="102">
        <v>41869</v>
      </c>
      <c r="B736" s="319">
        <v>2</v>
      </c>
      <c r="C736" s="118" t="s">
        <v>4325</v>
      </c>
      <c r="D736" s="111">
        <v>0.33402777777777781</v>
      </c>
      <c r="E736" s="111">
        <v>0.57291666666666663</v>
      </c>
      <c r="F736" s="319">
        <v>34</v>
      </c>
      <c r="G736" s="445">
        <v>9</v>
      </c>
      <c r="H736" s="319"/>
      <c r="I736" s="319"/>
      <c r="J736" s="426">
        <f t="shared" si="365"/>
        <v>343.99999999999989</v>
      </c>
      <c r="K736" s="103"/>
      <c r="L736" s="103"/>
      <c r="M736" s="103"/>
      <c r="N736" s="427">
        <f t="shared" si="366"/>
        <v>0</v>
      </c>
      <c r="O736" s="103"/>
      <c r="P736" s="103"/>
      <c r="Q736" s="103"/>
      <c r="R736" s="428">
        <f t="shared" si="367"/>
        <v>0</v>
      </c>
      <c r="S736" s="103"/>
      <c r="T736" s="103"/>
      <c r="U736" s="103"/>
      <c r="V736" s="125"/>
      <c r="W736" s="428">
        <f t="shared" si="371"/>
        <v>0</v>
      </c>
      <c r="X736" s="103"/>
      <c r="Y736" s="103"/>
      <c r="Z736" s="125"/>
      <c r="AA736" s="428">
        <f t="shared" si="372"/>
        <v>0</v>
      </c>
      <c r="AB736" s="103"/>
      <c r="AC736" s="103"/>
      <c r="AD736" s="103"/>
      <c r="AE736" s="428">
        <f t="shared" si="373"/>
        <v>0</v>
      </c>
      <c r="AF736" s="103"/>
      <c r="AG736" s="103"/>
      <c r="AH736" s="103"/>
      <c r="AI736" s="103"/>
      <c r="AJ736" s="428">
        <f t="shared" si="374"/>
        <v>0</v>
      </c>
      <c r="AK736" s="446"/>
      <c r="AL736" s="446"/>
      <c r="AM736" s="446"/>
      <c r="AN736" s="446"/>
      <c r="AO736" s="446"/>
      <c r="AP736" s="446"/>
      <c r="AQ736" s="446"/>
      <c r="AR736" s="431">
        <f t="shared" si="375"/>
        <v>0</v>
      </c>
      <c r="AS736" s="10" t="s">
        <v>4327</v>
      </c>
      <c r="AT736" s="128" t="s">
        <v>4307</v>
      </c>
      <c r="AU736" s="100" t="s">
        <v>4305</v>
      </c>
      <c r="AV736" s="128" t="s">
        <v>4321</v>
      </c>
      <c r="AW736" s="100" t="s">
        <v>4326</v>
      </c>
      <c r="AX736" s="433">
        <f t="shared" si="376"/>
        <v>0</v>
      </c>
      <c r="AY736" s="433">
        <f t="shared" si="377"/>
        <v>0</v>
      </c>
      <c r="AZ736" s="433">
        <f t="shared" si="378"/>
        <v>0</v>
      </c>
      <c r="BA736" s="433">
        <f t="shared" si="368"/>
        <v>0</v>
      </c>
      <c r="BB736" s="433">
        <f t="shared" si="369"/>
        <v>0</v>
      </c>
      <c r="BC736" s="433">
        <f t="shared" si="370"/>
        <v>0</v>
      </c>
      <c r="BD736" s="433">
        <f t="shared" si="379"/>
        <v>0</v>
      </c>
      <c r="BE736" s="433">
        <f t="shared" si="380"/>
        <v>0</v>
      </c>
      <c r="BF736" s="433">
        <f t="shared" si="381"/>
        <v>0</v>
      </c>
      <c r="BG736" s="433">
        <f t="shared" si="382"/>
        <v>0</v>
      </c>
      <c r="BH736" s="433">
        <f t="shared" si="383"/>
        <v>0</v>
      </c>
      <c r="BI736" s="433">
        <f t="shared" si="384"/>
        <v>0</v>
      </c>
      <c r="BJ736" s="433">
        <f t="shared" si="385"/>
        <v>0</v>
      </c>
      <c r="BK736" s="433">
        <f t="shared" si="386"/>
        <v>0</v>
      </c>
      <c r="BL736" s="433">
        <f t="shared" si="387"/>
        <v>0</v>
      </c>
      <c r="BM736" s="433">
        <f t="shared" si="388"/>
        <v>0</v>
      </c>
      <c r="BN736" s="433">
        <f t="shared" si="389"/>
        <v>0</v>
      </c>
      <c r="BO736" s="433">
        <f t="shared" si="390"/>
        <v>0</v>
      </c>
      <c r="BP736" s="433">
        <f t="shared" si="391"/>
        <v>0</v>
      </c>
      <c r="BQ736" s="433">
        <f t="shared" si="392"/>
        <v>0</v>
      </c>
    </row>
    <row r="737" spans="1:69" x14ac:dyDescent="0.2">
      <c r="A737" s="102">
        <v>41869</v>
      </c>
      <c r="B737" s="319">
        <v>2</v>
      </c>
      <c r="C737" s="118" t="s">
        <v>1614</v>
      </c>
      <c r="D737" s="111">
        <v>0.57291666666666663</v>
      </c>
      <c r="E737" s="111">
        <v>0.8340277777777777</v>
      </c>
      <c r="F737" s="319">
        <v>30</v>
      </c>
      <c r="G737" s="445">
        <v>10</v>
      </c>
      <c r="H737" s="319"/>
      <c r="I737" s="319"/>
      <c r="J737" s="426">
        <f t="shared" si="365"/>
        <v>375.99999999999994</v>
      </c>
      <c r="K737" s="103"/>
      <c r="L737" s="103"/>
      <c r="M737" s="103"/>
      <c r="N737" s="427">
        <f t="shared" si="366"/>
        <v>0</v>
      </c>
      <c r="O737" s="103"/>
      <c r="P737" s="103"/>
      <c r="Q737" s="103"/>
      <c r="R737" s="428">
        <f t="shared" si="367"/>
        <v>0</v>
      </c>
      <c r="S737" s="103"/>
      <c r="T737" s="103"/>
      <c r="U737" s="103"/>
      <c r="V737" s="125"/>
      <c r="W737" s="428">
        <f t="shared" si="371"/>
        <v>0</v>
      </c>
      <c r="X737" s="103"/>
      <c r="Y737" s="103">
        <v>1</v>
      </c>
      <c r="Z737" s="125"/>
      <c r="AA737" s="428">
        <f t="shared" si="372"/>
        <v>1</v>
      </c>
      <c r="AB737" s="103">
        <v>1</v>
      </c>
      <c r="AC737" s="103">
        <v>4</v>
      </c>
      <c r="AD737" s="103"/>
      <c r="AE737" s="428">
        <f t="shared" si="373"/>
        <v>5</v>
      </c>
      <c r="AF737" s="103">
        <v>2</v>
      </c>
      <c r="AG737" s="103"/>
      <c r="AH737" s="103"/>
      <c r="AI737" s="103"/>
      <c r="AJ737" s="428">
        <f t="shared" si="374"/>
        <v>2</v>
      </c>
      <c r="AK737" s="446"/>
      <c r="AL737" s="446"/>
      <c r="AM737" s="446"/>
      <c r="AN737" s="446"/>
      <c r="AO737" s="446"/>
      <c r="AP737" s="446"/>
      <c r="AQ737" s="446"/>
      <c r="AR737" s="431">
        <f t="shared" si="375"/>
        <v>0</v>
      </c>
      <c r="AT737" s="128"/>
      <c r="AU737" s="100" t="s">
        <v>4306</v>
      </c>
      <c r="AV737" s="128" t="s">
        <v>4321</v>
      </c>
      <c r="AW737" s="100" t="s">
        <v>4326</v>
      </c>
      <c r="AX737" s="433">
        <f t="shared" si="376"/>
        <v>0</v>
      </c>
      <c r="AY737" s="433">
        <f t="shared" si="377"/>
        <v>0</v>
      </c>
      <c r="AZ737" s="433">
        <f t="shared" si="378"/>
        <v>0</v>
      </c>
      <c r="BA737" s="433">
        <f t="shared" si="368"/>
        <v>0</v>
      </c>
      <c r="BB737" s="433">
        <f t="shared" si="369"/>
        <v>0</v>
      </c>
      <c r="BC737" s="433">
        <f t="shared" si="370"/>
        <v>0</v>
      </c>
      <c r="BD737" s="433">
        <f t="shared" si="379"/>
        <v>0</v>
      </c>
      <c r="BE737" s="433">
        <f t="shared" si="380"/>
        <v>0</v>
      </c>
      <c r="BF737" s="433">
        <f t="shared" si="381"/>
        <v>0</v>
      </c>
      <c r="BG737" s="433">
        <f t="shared" si="382"/>
        <v>0</v>
      </c>
      <c r="BH737" s="433">
        <f t="shared" si="383"/>
        <v>0</v>
      </c>
      <c r="BI737" s="433">
        <f t="shared" si="384"/>
        <v>1</v>
      </c>
      <c r="BJ737" s="433">
        <f t="shared" si="385"/>
        <v>0</v>
      </c>
      <c r="BK737" s="433">
        <f t="shared" si="386"/>
        <v>1</v>
      </c>
      <c r="BL737" s="433">
        <f t="shared" si="387"/>
        <v>4</v>
      </c>
      <c r="BM737" s="433">
        <f t="shared" si="388"/>
        <v>0</v>
      </c>
      <c r="BN737" s="433">
        <f t="shared" si="389"/>
        <v>2</v>
      </c>
      <c r="BO737" s="433">
        <f t="shared" si="390"/>
        <v>0</v>
      </c>
      <c r="BP737" s="433">
        <f t="shared" si="391"/>
        <v>0</v>
      </c>
      <c r="BQ737" s="433">
        <f t="shared" si="392"/>
        <v>0</v>
      </c>
    </row>
    <row r="738" spans="1:69" x14ac:dyDescent="0.2">
      <c r="A738" s="102">
        <v>41869</v>
      </c>
      <c r="B738" s="319">
        <v>3</v>
      </c>
      <c r="C738" s="118" t="s">
        <v>1614</v>
      </c>
      <c r="D738" s="111">
        <v>0.34027777777777773</v>
      </c>
      <c r="E738" s="111">
        <v>0.45833333333333331</v>
      </c>
      <c r="F738" s="319">
        <v>42</v>
      </c>
      <c r="G738" s="445">
        <v>9</v>
      </c>
      <c r="H738" s="319"/>
      <c r="I738" s="319"/>
      <c r="J738" s="426">
        <f t="shared" si="365"/>
        <v>170.00000000000003</v>
      </c>
      <c r="K738" s="103"/>
      <c r="L738" s="103"/>
      <c r="M738" s="103"/>
      <c r="N738" s="427">
        <f t="shared" si="366"/>
        <v>0</v>
      </c>
      <c r="O738" s="103"/>
      <c r="P738" s="103"/>
      <c r="Q738" s="103"/>
      <c r="R738" s="428">
        <f t="shared" si="367"/>
        <v>0</v>
      </c>
      <c r="S738" s="103"/>
      <c r="T738" s="103"/>
      <c r="U738" s="103"/>
      <c r="V738" s="125"/>
      <c r="W738" s="428">
        <f t="shared" si="371"/>
        <v>0</v>
      </c>
      <c r="X738" s="103">
        <v>2</v>
      </c>
      <c r="Y738" s="103"/>
      <c r="Z738" s="125"/>
      <c r="AA738" s="428">
        <f t="shared" si="372"/>
        <v>2</v>
      </c>
      <c r="AB738" s="103">
        <v>2</v>
      </c>
      <c r="AC738" s="103"/>
      <c r="AD738" s="103"/>
      <c r="AE738" s="428">
        <f t="shared" si="373"/>
        <v>2</v>
      </c>
      <c r="AF738" s="103">
        <v>1</v>
      </c>
      <c r="AG738" s="103">
        <v>1</v>
      </c>
      <c r="AH738" s="103"/>
      <c r="AI738" s="103"/>
      <c r="AJ738" s="428">
        <f t="shared" si="374"/>
        <v>2</v>
      </c>
      <c r="AK738" s="446"/>
      <c r="AL738" s="446"/>
      <c r="AM738" s="446"/>
      <c r="AN738" s="446"/>
      <c r="AO738" s="446"/>
      <c r="AP738" s="446"/>
      <c r="AQ738" s="446"/>
      <c r="AR738" s="431">
        <f t="shared" si="375"/>
        <v>0</v>
      </c>
      <c r="AT738" s="128"/>
      <c r="AU738" s="100" t="s">
        <v>4308</v>
      </c>
      <c r="AV738" s="128" t="s">
        <v>4321</v>
      </c>
      <c r="AW738" s="100" t="s">
        <v>4326</v>
      </c>
      <c r="AX738" s="433">
        <f t="shared" si="376"/>
        <v>0</v>
      </c>
      <c r="AY738" s="433">
        <f t="shared" si="377"/>
        <v>0</v>
      </c>
      <c r="AZ738" s="433">
        <f t="shared" si="378"/>
        <v>0</v>
      </c>
      <c r="BA738" s="433">
        <f t="shared" si="368"/>
        <v>0</v>
      </c>
      <c r="BB738" s="433">
        <f t="shared" si="369"/>
        <v>0</v>
      </c>
      <c r="BC738" s="433">
        <f t="shared" si="370"/>
        <v>0</v>
      </c>
      <c r="BD738" s="433">
        <f t="shared" si="379"/>
        <v>0</v>
      </c>
      <c r="BE738" s="433">
        <f t="shared" si="380"/>
        <v>0</v>
      </c>
      <c r="BF738" s="433">
        <f t="shared" si="381"/>
        <v>0</v>
      </c>
      <c r="BG738" s="433">
        <f t="shared" si="382"/>
        <v>0</v>
      </c>
      <c r="BH738" s="433">
        <f t="shared" si="383"/>
        <v>2</v>
      </c>
      <c r="BI738" s="433">
        <f t="shared" si="384"/>
        <v>0</v>
      </c>
      <c r="BJ738" s="433">
        <f t="shared" si="385"/>
        <v>0</v>
      </c>
      <c r="BK738" s="433">
        <f t="shared" si="386"/>
        <v>2</v>
      </c>
      <c r="BL738" s="433">
        <f t="shared" si="387"/>
        <v>0</v>
      </c>
      <c r="BM738" s="433">
        <f t="shared" si="388"/>
        <v>0</v>
      </c>
      <c r="BN738" s="433">
        <f t="shared" si="389"/>
        <v>1</v>
      </c>
      <c r="BO738" s="433">
        <f t="shared" si="390"/>
        <v>1</v>
      </c>
      <c r="BP738" s="433">
        <f t="shared" si="391"/>
        <v>0</v>
      </c>
      <c r="BQ738" s="433">
        <f t="shared" si="392"/>
        <v>0</v>
      </c>
    </row>
    <row r="739" spans="1:69" x14ac:dyDescent="0.2">
      <c r="A739" s="102">
        <v>41869</v>
      </c>
      <c r="B739" s="319">
        <v>3</v>
      </c>
      <c r="C739" s="118" t="s">
        <v>3377</v>
      </c>
      <c r="D739" s="111">
        <v>0.45833333333333331</v>
      </c>
      <c r="E739" s="111">
        <v>0.7270833333333333</v>
      </c>
      <c r="F739" s="319">
        <v>39</v>
      </c>
      <c r="G739" s="445">
        <v>9</v>
      </c>
      <c r="H739" s="319"/>
      <c r="I739" s="319"/>
      <c r="J739" s="426">
        <f t="shared" si="365"/>
        <v>386.99999999999994</v>
      </c>
      <c r="K739" s="103"/>
      <c r="L739" s="103"/>
      <c r="M739" s="103"/>
      <c r="N739" s="427">
        <f t="shared" si="366"/>
        <v>0</v>
      </c>
      <c r="O739" s="103"/>
      <c r="P739" s="103"/>
      <c r="Q739" s="103"/>
      <c r="R739" s="428">
        <f t="shared" si="367"/>
        <v>0</v>
      </c>
      <c r="S739" s="103"/>
      <c r="T739" s="103"/>
      <c r="U739" s="103"/>
      <c r="V739" s="125"/>
      <c r="W739" s="428">
        <f t="shared" si="371"/>
        <v>0</v>
      </c>
      <c r="X739" s="103">
        <v>3</v>
      </c>
      <c r="Y739" s="103">
        <v>4</v>
      </c>
      <c r="Z739" s="125"/>
      <c r="AA739" s="428">
        <f t="shared" si="372"/>
        <v>7</v>
      </c>
      <c r="AB739" s="103"/>
      <c r="AC739" s="103">
        <v>3</v>
      </c>
      <c r="AD739" s="103">
        <v>1</v>
      </c>
      <c r="AE739" s="428">
        <f t="shared" si="373"/>
        <v>4</v>
      </c>
      <c r="AF739" s="103"/>
      <c r="AG739" s="103"/>
      <c r="AH739" s="103"/>
      <c r="AI739" s="103"/>
      <c r="AJ739" s="428">
        <f t="shared" si="374"/>
        <v>0</v>
      </c>
      <c r="AK739" s="446"/>
      <c r="AL739" s="446"/>
      <c r="AM739" s="446"/>
      <c r="AN739" s="446"/>
      <c r="AO739" s="446"/>
      <c r="AP739" s="446"/>
      <c r="AQ739" s="446"/>
      <c r="AR739" s="431">
        <f t="shared" si="375"/>
        <v>0</v>
      </c>
      <c r="AT739" s="128"/>
      <c r="AU739" s="100" t="s">
        <v>4309</v>
      </c>
      <c r="AV739" s="128" t="s">
        <v>4321</v>
      </c>
      <c r="AW739" s="100" t="s">
        <v>4326</v>
      </c>
      <c r="AX739" s="433">
        <f t="shared" si="376"/>
        <v>0</v>
      </c>
      <c r="AY739" s="433">
        <f t="shared" si="377"/>
        <v>0</v>
      </c>
      <c r="AZ739" s="433">
        <f t="shared" si="378"/>
        <v>0</v>
      </c>
      <c r="BA739" s="433">
        <f t="shared" si="368"/>
        <v>0</v>
      </c>
      <c r="BB739" s="433">
        <f t="shared" si="369"/>
        <v>0</v>
      </c>
      <c r="BC739" s="433">
        <f t="shared" si="370"/>
        <v>0</v>
      </c>
      <c r="BD739" s="433">
        <f t="shared" si="379"/>
        <v>0</v>
      </c>
      <c r="BE739" s="433">
        <f t="shared" si="380"/>
        <v>0</v>
      </c>
      <c r="BF739" s="433">
        <f t="shared" si="381"/>
        <v>0</v>
      </c>
      <c r="BG739" s="433">
        <f t="shared" si="382"/>
        <v>0</v>
      </c>
      <c r="BH739" s="433">
        <f t="shared" si="383"/>
        <v>3</v>
      </c>
      <c r="BI739" s="433">
        <f t="shared" si="384"/>
        <v>4</v>
      </c>
      <c r="BJ739" s="433">
        <f t="shared" si="385"/>
        <v>0</v>
      </c>
      <c r="BK739" s="433">
        <f t="shared" si="386"/>
        <v>0</v>
      </c>
      <c r="BL739" s="433">
        <f t="shared" si="387"/>
        <v>3</v>
      </c>
      <c r="BM739" s="433">
        <f t="shared" si="388"/>
        <v>1</v>
      </c>
      <c r="BN739" s="433">
        <f t="shared" si="389"/>
        <v>0</v>
      </c>
      <c r="BO739" s="433">
        <f t="shared" si="390"/>
        <v>0</v>
      </c>
      <c r="BP739" s="433">
        <f t="shared" si="391"/>
        <v>0</v>
      </c>
      <c r="BQ739" s="433">
        <f t="shared" si="392"/>
        <v>0</v>
      </c>
    </row>
    <row r="740" spans="1:69" s="291" customFormat="1" x14ac:dyDescent="0.2">
      <c r="A740" s="317">
        <v>41869</v>
      </c>
      <c r="B740" s="318">
        <v>3</v>
      </c>
      <c r="C740" s="320" t="s">
        <v>4324</v>
      </c>
      <c r="D740" s="321">
        <v>0.7270833333333333</v>
      </c>
      <c r="E740" s="321">
        <v>0.84444444444444444</v>
      </c>
      <c r="F740" s="318">
        <v>39</v>
      </c>
      <c r="G740" s="435">
        <v>9</v>
      </c>
      <c r="H740" s="318"/>
      <c r="I740" s="318"/>
      <c r="J740" s="437">
        <f t="shared" si="365"/>
        <v>169.00000000000003</v>
      </c>
      <c r="K740" s="285"/>
      <c r="L740" s="285"/>
      <c r="M740" s="285"/>
      <c r="N740" s="438">
        <f t="shared" si="366"/>
        <v>0</v>
      </c>
      <c r="O740" s="285"/>
      <c r="P740" s="285"/>
      <c r="Q740" s="285"/>
      <c r="R740" s="439">
        <f t="shared" si="367"/>
        <v>0</v>
      </c>
      <c r="S740" s="285"/>
      <c r="T740" s="285"/>
      <c r="U740" s="285"/>
      <c r="V740" s="440"/>
      <c r="W740" s="439">
        <f t="shared" si="371"/>
        <v>0</v>
      </c>
      <c r="X740" s="285"/>
      <c r="Y740" s="285">
        <v>3</v>
      </c>
      <c r="Z740" s="440"/>
      <c r="AA740" s="439">
        <f t="shared" si="372"/>
        <v>3</v>
      </c>
      <c r="AB740" s="285"/>
      <c r="AC740" s="285">
        <v>1</v>
      </c>
      <c r="AD740" s="285"/>
      <c r="AE740" s="439">
        <f t="shared" si="373"/>
        <v>1</v>
      </c>
      <c r="AF740" s="285">
        <v>1</v>
      </c>
      <c r="AG740" s="285"/>
      <c r="AH740" s="285"/>
      <c r="AI740" s="285"/>
      <c r="AJ740" s="439">
        <f t="shared" si="374"/>
        <v>1</v>
      </c>
      <c r="AK740" s="340"/>
      <c r="AL740" s="340">
        <v>1</v>
      </c>
      <c r="AM740" s="340"/>
      <c r="AN740" s="340"/>
      <c r="AO740" s="340"/>
      <c r="AP740" s="340"/>
      <c r="AQ740" s="340"/>
      <c r="AR740" s="441">
        <f t="shared" si="375"/>
        <v>1</v>
      </c>
      <c r="AT740" s="313"/>
      <c r="AU740" s="289" t="s">
        <v>4310</v>
      </c>
      <c r="AV740" s="313" t="s">
        <v>4321</v>
      </c>
      <c r="AW740" s="382" t="s">
        <v>4326</v>
      </c>
      <c r="AX740" s="443">
        <f t="shared" si="376"/>
        <v>0</v>
      </c>
      <c r="AY740" s="443">
        <f t="shared" si="377"/>
        <v>0</v>
      </c>
      <c r="AZ740" s="443">
        <f t="shared" si="378"/>
        <v>0</v>
      </c>
      <c r="BA740" s="443">
        <f t="shared" si="368"/>
        <v>0</v>
      </c>
      <c r="BB740" s="443">
        <f t="shared" si="369"/>
        <v>0</v>
      </c>
      <c r="BC740" s="443">
        <f t="shared" si="370"/>
        <v>0</v>
      </c>
      <c r="BD740" s="443">
        <f t="shared" si="379"/>
        <v>0</v>
      </c>
      <c r="BE740" s="443">
        <f t="shared" si="380"/>
        <v>0</v>
      </c>
      <c r="BF740" s="443">
        <f t="shared" si="381"/>
        <v>0</v>
      </c>
      <c r="BG740" s="443">
        <f t="shared" si="382"/>
        <v>0</v>
      </c>
      <c r="BH740" s="443">
        <f t="shared" si="383"/>
        <v>0</v>
      </c>
      <c r="BI740" s="443">
        <f t="shared" si="384"/>
        <v>3</v>
      </c>
      <c r="BJ740" s="443">
        <f t="shared" si="385"/>
        <v>0</v>
      </c>
      <c r="BK740" s="443">
        <f t="shared" si="386"/>
        <v>0</v>
      </c>
      <c r="BL740" s="443">
        <f t="shared" si="387"/>
        <v>1</v>
      </c>
      <c r="BM740" s="443">
        <f t="shared" si="388"/>
        <v>0</v>
      </c>
      <c r="BN740" s="443">
        <f t="shared" si="389"/>
        <v>1</v>
      </c>
      <c r="BO740" s="443">
        <f t="shared" si="390"/>
        <v>0</v>
      </c>
      <c r="BP740" s="443">
        <f t="shared" si="391"/>
        <v>0</v>
      </c>
      <c r="BQ740" s="443">
        <f t="shared" si="392"/>
        <v>0</v>
      </c>
    </row>
    <row r="741" spans="1:69" x14ac:dyDescent="0.2">
      <c r="A741" s="102">
        <v>41870</v>
      </c>
      <c r="B741" s="319">
        <v>1</v>
      </c>
      <c r="C741" s="118" t="s">
        <v>4329</v>
      </c>
      <c r="D741" s="111">
        <v>0.34791666666666665</v>
      </c>
      <c r="E741" s="111">
        <v>0.45624999999999999</v>
      </c>
      <c r="F741" s="319">
        <v>46</v>
      </c>
      <c r="G741" s="445">
        <v>9</v>
      </c>
      <c r="H741" s="319"/>
      <c r="I741" s="319"/>
      <c r="J741" s="426">
        <f t="shared" si="365"/>
        <v>156</v>
      </c>
      <c r="K741" s="103"/>
      <c r="L741" s="103"/>
      <c r="M741" s="103"/>
      <c r="N741" s="427">
        <f t="shared" si="366"/>
        <v>0</v>
      </c>
      <c r="O741" s="103"/>
      <c r="P741" s="103"/>
      <c r="Q741" s="103"/>
      <c r="R741" s="428">
        <f t="shared" si="367"/>
        <v>0</v>
      </c>
      <c r="S741" s="103"/>
      <c r="T741" s="103"/>
      <c r="U741" s="103"/>
      <c r="V741" s="125"/>
      <c r="W741" s="428">
        <f t="shared" si="371"/>
        <v>0</v>
      </c>
      <c r="X741" s="103"/>
      <c r="Y741" s="103">
        <v>1</v>
      </c>
      <c r="Z741" s="125"/>
      <c r="AA741" s="428">
        <f t="shared" si="372"/>
        <v>1</v>
      </c>
      <c r="AB741" s="103">
        <v>2</v>
      </c>
      <c r="AC741" s="103">
        <v>3</v>
      </c>
      <c r="AD741" s="103"/>
      <c r="AE741" s="428">
        <f t="shared" si="373"/>
        <v>5</v>
      </c>
      <c r="AF741" s="103">
        <v>2</v>
      </c>
      <c r="AG741" s="103"/>
      <c r="AH741" s="103"/>
      <c r="AI741" s="103"/>
      <c r="AJ741" s="428">
        <f t="shared" si="374"/>
        <v>2</v>
      </c>
      <c r="AK741" s="446"/>
      <c r="AL741" s="446"/>
      <c r="AM741" s="446"/>
      <c r="AN741" s="446"/>
      <c r="AO741" s="446"/>
      <c r="AP741" s="446"/>
      <c r="AQ741" s="446"/>
      <c r="AR741" s="431">
        <f t="shared" si="375"/>
        <v>0</v>
      </c>
      <c r="AS741" s="10" t="s">
        <v>4330</v>
      </c>
      <c r="AT741" s="128"/>
      <c r="AU741" s="100" t="s">
        <v>4331</v>
      </c>
      <c r="AV741" s="128" t="s">
        <v>4351</v>
      </c>
      <c r="AW741" s="100" t="s">
        <v>4338</v>
      </c>
      <c r="AX741" s="433">
        <f t="shared" si="376"/>
        <v>0</v>
      </c>
      <c r="AY741" s="433">
        <f t="shared" si="377"/>
        <v>0</v>
      </c>
      <c r="AZ741" s="433">
        <f t="shared" si="378"/>
        <v>0</v>
      </c>
      <c r="BA741" s="433">
        <f t="shared" si="368"/>
        <v>0</v>
      </c>
      <c r="BB741" s="433">
        <f t="shared" si="369"/>
        <v>0</v>
      </c>
      <c r="BC741" s="433">
        <f t="shared" si="370"/>
        <v>0</v>
      </c>
      <c r="BD741" s="433">
        <f t="shared" si="379"/>
        <v>0</v>
      </c>
      <c r="BE741" s="433">
        <f t="shared" si="380"/>
        <v>0</v>
      </c>
      <c r="BF741" s="433">
        <f t="shared" si="381"/>
        <v>0</v>
      </c>
      <c r="BG741" s="433">
        <f t="shared" si="382"/>
        <v>0</v>
      </c>
      <c r="BH741" s="433">
        <f t="shared" si="383"/>
        <v>0</v>
      </c>
      <c r="BI741" s="433">
        <f t="shared" si="384"/>
        <v>1</v>
      </c>
      <c r="BJ741" s="433">
        <f t="shared" si="385"/>
        <v>0</v>
      </c>
      <c r="BK741" s="433">
        <f t="shared" si="386"/>
        <v>2</v>
      </c>
      <c r="BL741" s="433">
        <f t="shared" si="387"/>
        <v>3</v>
      </c>
      <c r="BM741" s="433">
        <f t="shared" si="388"/>
        <v>0</v>
      </c>
      <c r="BN741" s="433">
        <f t="shared" si="389"/>
        <v>2</v>
      </c>
      <c r="BO741" s="433">
        <f t="shared" si="390"/>
        <v>0</v>
      </c>
      <c r="BP741" s="433">
        <f t="shared" si="391"/>
        <v>0</v>
      </c>
      <c r="BQ741" s="433">
        <f t="shared" si="392"/>
        <v>0</v>
      </c>
    </row>
    <row r="742" spans="1:69" x14ac:dyDescent="0.2">
      <c r="A742" s="102">
        <v>41870</v>
      </c>
      <c r="B742" s="319">
        <v>1</v>
      </c>
      <c r="C742" s="118" t="s">
        <v>4332</v>
      </c>
      <c r="D742" s="111">
        <v>0.45624999999999999</v>
      </c>
      <c r="E742" s="111">
        <v>0.55208333333333337</v>
      </c>
      <c r="F742" s="319">
        <v>47</v>
      </c>
      <c r="G742" s="445">
        <v>10</v>
      </c>
      <c r="H742" s="319"/>
      <c r="I742" s="319"/>
      <c r="J742" s="426">
        <f t="shared" si="365"/>
        <v>138.00000000000006</v>
      </c>
      <c r="K742" s="103"/>
      <c r="L742" s="103"/>
      <c r="M742" s="103"/>
      <c r="N742" s="427">
        <f t="shared" si="366"/>
        <v>0</v>
      </c>
      <c r="O742" s="103"/>
      <c r="P742" s="103"/>
      <c r="Q742" s="103"/>
      <c r="R742" s="428">
        <f t="shared" si="367"/>
        <v>0</v>
      </c>
      <c r="S742" s="103">
        <v>1</v>
      </c>
      <c r="T742" s="103"/>
      <c r="U742" s="103"/>
      <c r="V742" s="125"/>
      <c r="W742" s="428">
        <f t="shared" si="371"/>
        <v>1</v>
      </c>
      <c r="X742" s="103"/>
      <c r="Y742" s="103">
        <v>3</v>
      </c>
      <c r="Z742" s="125"/>
      <c r="AA742" s="428">
        <f t="shared" si="372"/>
        <v>3</v>
      </c>
      <c r="AB742" s="103"/>
      <c r="AC742" s="103">
        <v>5</v>
      </c>
      <c r="AD742" s="103"/>
      <c r="AE742" s="428">
        <f t="shared" si="373"/>
        <v>5</v>
      </c>
      <c r="AF742" s="103">
        <v>1</v>
      </c>
      <c r="AG742" s="103"/>
      <c r="AH742" s="103"/>
      <c r="AI742" s="103"/>
      <c r="AJ742" s="428">
        <f t="shared" si="374"/>
        <v>1</v>
      </c>
      <c r="AK742" s="446"/>
      <c r="AL742" s="446"/>
      <c r="AM742" s="446"/>
      <c r="AN742" s="446"/>
      <c r="AO742" s="446"/>
      <c r="AP742" s="446"/>
      <c r="AQ742" s="446"/>
      <c r="AR742" s="431">
        <f t="shared" si="375"/>
        <v>0</v>
      </c>
      <c r="AT742" s="128"/>
      <c r="AU742" s="100" t="s">
        <v>4321</v>
      </c>
      <c r="AV742" s="128" t="s">
        <v>4351</v>
      </c>
      <c r="AW742" s="100" t="s">
        <v>4338</v>
      </c>
      <c r="AX742" s="433">
        <f t="shared" si="376"/>
        <v>0</v>
      </c>
      <c r="AY742" s="433">
        <f t="shared" si="377"/>
        <v>0</v>
      </c>
      <c r="AZ742" s="433">
        <f t="shared" si="378"/>
        <v>0</v>
      </c>
      <c r="BA742" s="433">
        <f t="shared" si="368"/>
        <v>0</v>
      </c>
      <c r="BB742" s="433">
        <f t="shared" si="369"/>
        <v>0</v>
      </c>
      <c r="BC742" s="433">
        <f t="shared" si="370"/>
        <v>0</v>
      </c>
      <c r="BD742" s="433">
        <f t="shared" si="379"/>
        <v>1</v>
      </c>
      <c r="BE742" s="433">
        <f t="shared" si="380"/>
        <v>0</v>
      </c>
      <c r="BF742" s="433">
        <f t="shared" si="381"/>
        <v>0</v>
      </c>
      <c r="BG742" s="433">
        <f t="shared" si="382"/>
        <v>0</v>
      </c>
      <c r="BH742" s="433">
        <f t="shared" si="383"/>
        <v>0</v>
      </c>
      <c r="BI742" s="433">
        <f t="shared" si="384"/>
        <v>3</v>
      </c>
      <c r="BJ742" s="433">
        <f t="shared" si="385"/>
        <v>0</v>
      </c>
      <c r="BK742" s="433">
        <f t="shared" si="386"/>
        <v>0</v>
      </c>
      <c r="BL742" s="433">
        <f t="shared" si="387"/>
        <v>5</v>
      </c>
      <c r="BM742" s="433">
        <f t="shared" si="388"/>
        <v>0</v>
      </c>
      <c r="BN742" s="433">
        <f t="shared" si="389"/>
        <v>1</v>
      </c>
      <c r="BO742" s="433">
        <f t="shared" si="390"/>
        <v>0</v>
      </c>
      <c r="BP742" s="433">
        <f t="shared" si="391"/>
        <v>0</v>
      </c>
      <c r="BQ742" s="433">
        <f t="shared" si="392"/>
        <v>0</v>
      </c>
    </row>
    <row r="743" spans="1:69" x14ac:dyDescent="0.2">
      <c r="A743" s="102">
        <v>41870</v>
      </c>
      <c r="B743" s="319">
        <v>1</v>
      </c>
      <c r="C743" s="118" t="s">
        <v>4333</v>
      </c>
      <c r="D743" s="111">
        <v>0.55208333333333337</v>
      </c>
      <c r="E743" s="111">
        <v>0.70486111111111116</v>
      </c>
      <c r="F743" s="319">
        <v>48</v>
      </c>
      <c r="G743" s="445">
        <v>10</v>
      </c>
      <c r="H743" s="319"/>
      <c r="I743" s="319"/>
      <c r="J743" s="426">
        <f t="shared" si="365"/>
        <v>220.00000000000003</v>
      </c>
      <c r="K743" s="103"/>
      <c r="L743" s="103"/>
      <c r="M743" s="103"/>
      <c r="N743" s="427">
        <f t="shared" si="366"/>
        <v>0</v>
      </c>
      <c r="O743" s="103"/>
      <c r="P743" s="103">
        <v>1</v>
      </c>
      <c r="Q743" s="103"/>
      <c r="R743" s="428">
        <f t="shared" si="367"/>
        <v>1</v>
      </c>
      <c r="S743" s="103"/>
      <c r="T743" s="103"/>
      <c r="U743" s="103"/>
      <c r="V743" s="125"/>
      <c r="W743" s="428">
        <f t="shared" si="371"/>
        <v>0</v>
      </c>
      <c r="X743" s="103"/>
      <c r="Y743" s="103">
        <v>6</v>
      </c>
      <c r="Z743" s="125"/>
      <c r="AA743" s="428">
        <f t="shared" si="372"/>
        <v>6</v>
      </c>
      <c r="AB743" s="103"/>
      <c r="AC743" s="103">
        <v>4</v>
      </c>
      <c r="AD743" s="103">
        <v>1</v>
      </c>
      <c r="AE743" s="428">
        <f t="shared" si="373"/>
        <v>5</v>
      </c>
      <c r="AF743" s="103">
        <v>2</v>
      </c>
      <c r="AG743" s="103">
        <v>1</v>
      </c>
      <c r="AH743" s="103"/>
      <c r="AI743" s="103"/>
      <c r="AJ743" s="428">
        <f t="shared" si="374"/>
        <v>3</v>
      </c>
      <c r="AK743" s="446"/>
      <c r="AL743" s="446"/>
      <c r="AM743" s="446"/>
      <c r="AN743" s="446"/>
      <c r="AO743" s="446"/>
      <c r="AP743" s="446"/>
      <c r="AQ743" s="446"/>
      <c r="AR743" s="431">
        <f t="shared" si="375"/>
        <v>0</v>
      </c>
      <c r="AT743" s="128"/>
      <c r="AU743" s="100" t="s">
        <v>4321</v>
      </c>
      <c r="AV743" s="128" t="s">
        <v>4351</v>
      </c>
      <c r="AW743" s="100" t="s">
        <v>4338</v>
      </c>
      <c r="AX743" s="433">
        <f t="shared" si="376"/>
        <v>0</v>
      </c>
      <c r="AY743" s="433">
        <f t="shared" si="377"/>
        <v>0</v>
      </c>
      <c r="AZ743" s="433">
        <f t="shared" si="378"/>
        <v>0</v>
      </c>
      <c r="BA743" s="433">
        <f t="shared" si="368"/>
        <v>0</v>
      </c>
      <c r="BB743" s="433">
        <f t="shared" si="369"/>
        <v>1</v>
      </c>
      <c r="BC743" s="433">
        <f t="shared" si="370"/>
        <v>0</v>
      </c>
      <c r="BD743" s="433">
        <f t="shared" si="379"/>
        <v>0</v>
      </c>
      <c r="BE743" s="433">
        <f t="shared" si="380"/>
        <v>0</v>
      </c>
      <c r="BF743" s="433">
        <f t="shared" si="381"/>
        <v>0</v>
      </c>
      <c r="BG743" s="433">
        <f t="shared" si="382"/>
        <v>0</v>
      </c>
      <c r="BH743" s="433">
        <f t="shared" si="383"/>
        <v>0</v>
      </c>
      <c r="BI743" s="433">
        <f t="shared" si="384"/>
        <v>6</v>
      </c>
      <c r="BJ743" s="433">
        <f t="shared" si="385"/>
        <v>0</v>
      </c>
      <c r="BK743" s="433">
        <f t="shared" si="386"/>
        <v>0</v>
      </c>
      <c r="BL743" s="433">
        <f t="shared" si="387"/>
        <v>4</v>
      </c>
      <c r="BM743" s="433">
        <f t="shared" si="388"/>
        <v>1</v>
      </c>
      <c r="BN743" s="433">
        <f t="shared" si="389"/>
        <v>2</v>
      </c>
      <c r="BO743" s="433">
        <f t="shared" si="390"/>
        <v>1</v>
      </c>
      <c r="BP743" s="433">
        <f t="shared" si="391"/>
        <v>0</v>
      </c>
      <c r="BQ743" s="433">
        <f t="shared" si="392"/>
        <v>0</v>
      </c>
    </row>
    <row r="744" spans="1:69" x14ac:dyDescent="0.2">
      <c r="A744" s="102">
        <v>41870</v>
      </c>
      <c r="B744" s="319">
        <v>1</v>
      </c>
      <c r="C744" s="118" t="s">
        <v>4182</v>
      </c>
      <c r="D744" s="111">
        <v>0.70486111111111116</v>
      </c>
      <c r="E744" s="111">
        <v>0.84097222222222223</v>
      </c>
      <c r="F744" s="319">
        <v>50</v>
      </c>
      <c r="G744" s="445">
        <v>11</v>
      </c>
      <c r="H744" s="319"/>
      <c r="I744" s="319"/>
      <c r="J744" s="426">
        <f t="shared" si="365"/>
        <v>195.99999999999994</v>
      </c>
      <c r="K744" s="103"/>
      <c r="L744" s="103"/>
      <c r="M744" s="103"/>
      <c r="N744" s="427">
        <f t="shared" si="366"/>
        <v>0</v>
      </c>
      <c r="O744" s="103"/>
      <c r="P744" s="103"/>
      <c r="Q744" s="103"/>
      <c r="R744" s="428">
        <f t="shared" si="367"/>
        <v>0</v>
      </c>
      <c r="S744" s="103"/>
      <c r="T744" s="103"/>
      <c r="U744" s="103"/>
      <c r="V744" s="125"/>
      <c r="W744" s="428">
        <f t="shared" si="371"/>
        <v>0</v>
      </c>
      <c r="X744" s="103"/>
      <c r="Y744" s="103">
        <v>1</v>
      </c>
      <c r="Z744" s="125"/>
      <c r="AA744" s="428">
        <f t="shared" si="372"/>
        <v>1</v>
      </c>
      <c r="AB744" s="103"/>
      <c r="AC744" s="103">
        <v>16</v>
      </c>
      <c r="AD744" s="103"/>
      <c r="AE744" s="428">
        <f t="shared" si="373"/>
        <v>16</v>
      </c>
      <c r="AF744" s="103"/>
      <c r="AG744" s="103">
        <v>1</v>
      </c>
      <c r="AH744" s="103"/>
      <c r="AI744" s="103"/>
      <c r="AJ744" s="428">
        <f t="shared" si="374"/>
        <v>1</v>
      </c>
      <c r="AK744" s="446"/>
      <c r="AL744" s="446"/>
      <c r="AM744" s="446">
        <v>1</v>
      </c>
      <c r="AN744" s="446"/>
      <c r="AO744" s="446"/>
      <c r="AP744" s="446"/>
      <c r="AQ744" s="446"/>
      <c r="AR744" s="431">
        <f t="shared" si="375"/>
        <v>1</v>
      </c>
      <c r="AT744" s="128"/>
      <c r="AU744" s="100" t="s">
        <v>4334</v>
      </c>
      <c r="AV744" s="128" t="s">
        <v>4351</v>
      </c>
      <c r="AW744" s="100" t="s">
        <v>4338</v>
      </c>
      <c r="AX744" s="433">
        <f t="shared" si="376"/>
        <v>0</v>
      </c>
      <c r="AY744" s="433">
        <f t="shared" si="377"/>
        <v>0</v>
      </c>
      <c r="AZ744" s="433">
        <f t="shared" si="378"/>
        <v>0</v>
      </c>
      <c r="BA744" s="433">
        <f t="shared" si="368"/>
        <v>0</v>
      </c>
      <c r="BB744" s="433">
        <f t="shared" si="369"/>
        <v>0</v>
      </c>
      <c r="BC744" s="433">
        <f t="shared" si="370"/>
        <v>0</v>
      </c>
      <c r="BD744" s="433">
        <f t="shared" si="379"/>
        <v>0</v>
      </c>
      <c r="BE744" s="433">
        <f t="shared" si="380"/>
        <v>0</v>
      </c>
      <c r="BF744" s="433">
        <f t="shared" si="381"/>
        <v>0</v>
      </c>
      <c r="BG744" s="433">
        <f t="shared" si="382"/>
        <v>0</v>
      </c>
      <c r="BH744" s="433">
        <f t="shared" si="383"/>
        <v>0</v>
      </c>
      <c r="BI744" s="433">
        <f t="shared" si="384"/>
        <v>1</v>
      </c>
      <c r="BJ744" s="433">
        <f t="shared" si="385"/>
        <v>0</v>
      </c>
      <c r="BK744" s="433">
        <f t="shared" si="386"/>
        <v>0</v>
      </c>
      <c r="BL744" s="433">
        <f t="shared" si="387"/>
        <v>16</v>
      </c>
      <c r="BM744" s="433">
        <f t="shared" si="388"/>
        <v>0</v>
      </c>
      <c r="BN744" s="433">
        <f t="shared" si="389"/>
        <v>0</v>
      </c>
      <c r="BO744" s="433">
        <f t="shared" si="390"/>
        <v>1</v>
      </c>
      <c r="BP744" s="433">
        <f t="shared" si="391"/>
        <v>0</v>
      </c>
      <c r="BQ744" s="433">
        <f t="shared" si="392"/>
        <v>0</v>
      </c>
    </row>
    <row r="745" spans="1:69" x14ac:dyDescent="0.2">
      <c r="A745" s="102">
        <v>41870</v>
      </c>
      <c r="B745" s="319">
        <v>2</v>
      </c>
      <c r="C745" s="118" t="s">
        <v>4329</v>
      </c>
      <c r="D745" s="111">
        <v>0.34097222222222223</v>
      </c>
      <c r="E745" s="111">
        <v>0.44236111111111115</v>
      </c>
      <c r="F745" s="319">
        <v>31</v>
      </c>
      <c r="G745" s="445">
        <v>10</v>
      </c>
      <c r="H745" s="319"/>
      <c r="I745" s="319"/>
      <c r="J745" s="426">
        <f t="shared" si="365"/>
        <v>146.00000000000003</v>
      </c>
      <c r="K745" s="103"/>
      <c r="L745" s="103"/>
      <c r="M745" s="103"/>
      <c r="N745" s="427">
        <f t="shared" si="366"/>
        <v>0</v>
      </c>
      <c r="O745" s="103"/>
      <c r="P745" s="103"/>
      <c r="Q745" s="103"/>
      <c r="R745" s="428">
        <f t="shared" si="367"/>
        <v>0</v>
      </c>
      <c r="S745" s="103"/>
      <c r="T745" s="103"/>
      <c r="U745" s="103"/>
      <c r="V745" s="125"/>
      <c r="W745" s="428">
        <f t="shared" si="371"/>
        <v>0</v>
      </c>
      <c r="X745" s="103"/>
      <c r="Y745" s="103"/>
      <c r="Z745" s="125"/>
      <c r="AA745" s="428">
        <f t="shared" si="372"/>
        <v>0</v>
      </c>
      <c r="AB745" s="103"/>
      <c r="AC745" s="103">
        <v>1</v>
      </c>
      <c r="AD745" s="103"/>
      <c r="AE745" s="428">
        <f t="shared" si="373"/>
        <v>1</v>
      </c>
      <c r="AF745" s="103"/>
      <c r="AG745" s="103"/>
      <c r="AH745" s="103"/>
      <c r="AI745" s="103"/>
      <c r="AJ745" s="428">
        <f t="shared" si="374"/>
        <v>0</v>
      </c>
      <c r="AK745" s="446"/>
      <c r="AL745" s="446"/>
      <c r="AM745" s="446"/>
      <c r="AN745" s="446"/>
      <c r="AO745" s="446"/>
      <c r="AP745" s="446"/>
      <c r="AQ745" s="446"/>
      <c r="AR745" s="431">
        <f t="shared" si="375"/>
        <v>0</v>
      </c>
      <c r="AT745" s="128"/>
      <c r="AU745" s="100" t="s">
        <v>4323</v>
      </c>
      <c r="AV745" s="128" t="s">
        <v>4351</v>
      </c>
      <c r="AW745" s="100" t="s">
        <v>4338</v>
      </c>
      <c r="AX745" s="433">
        <f t="shared" si="376"/>
        <v>0</v>
      </c>
      <c r="AY745" s="433">
        <f t="shared" si="377"/>
        <v>0</v>
      </c>
      <c r="AZ745" s="433">
        <f t="shared" si="378"/>
        <v>0</v>
      </c>
      <c r="BA745" s="433">
        <f t="shared" si="368"/>
        <v>0</v>
      </c>
      <c r="BB745" s="433">
        <f t="shared" si="369"/>
        <v>0</v>
      </c>
      <c r="BC745" s="433">
        <f t="shared" si="370"/>
        <v>0</v>
      </c>
      <c r="BD745" s="433">
        <f t="shared" si="379"/>
        <v>0</v>
      </c>
      <c r="BE745" s="433">
        <f t="shared" si="380"/>
        <v>0</v>
      </c>
      <c r="BF745" s="433">
        <f t="shared" si="381"/>
        <v>0</v>
      </c>
      <c r="BG745" s="433">
        <f t="shared" si="382"/>
        <v>0</v>
      </c>
      <c r="BH745" s="433">
        <f t="shared" si="383"/>
        <v>0</v>
      </c>
      <c r="BI745" s="433">
        <f t="shared" si="384"/>
        <v>0</v>
      </c>
      <c r="BJ745" s="433">
        <f t="shared" si="385"/>
        <v>0</v>
      </c>
      <c r="BK745" s="433">
        <f t="shared" si="386"/>
        <v>0</v>
      </c>
      <c r="BL745" s="433">
        <f t="shared" si="387"/>
        <v>1</v>
      </c>
      <c r="BM745" s="433">
        <f t="shared" si="388"/>
        <v>0</v>
      </c>
      <c r="BN745" s="433">
        <f t="shared" si="389"/>
        <v>0</v>
      </c>
      <c r="BO745" s="433">
        <f t="shared" si="390"/>
        <v>0</v>
      </c>
      <c r="BP745" s="433">
        <f t="shared" si="391"/>
        <v>0</v>
      </c>
      <c r="BQ745" s="433">
        <f t="shared" si="392"/>
        <v>0</v>
      </c>
    </row>
    <row r="746" spans="1:69" x14ac:dyDescent="0.2">
      <c r="A746" s="102">
        <v>41870</v>
      </c>
      <c r="B746" s="319">
        <v>2</v>
      </c>
      <c r="C746" s="118" t="s">
        <v>4332</v>
      </c>
      <c r="D746" s="111">
        <v>0.44236111111111115</v>
      </c>
      <c r="E746" s="111">
        <v>0.56944444444444442</v>
      </c>
      <c r="F746" s="319">
        <v>32</v>
      </c>
      <c r="G746" s="445">
        <v>10</v>
      </c>
      <c r="H746" s="319"/>
      <c r="I746" s="319"/>
      <c r="J746" s="426">
        <f t="shared" si="365"/>
        <v>182.99999999999991</v>
      </c>
      <c r="K746" s="103"/>
      <c r="L746" s="103"/>
      <c r="M746" s="103"/>
      <c r="N746" s="427">
        <f t="shared" si="366"/>
        <v>0</v>
      </c>
      <c r="O746" s="103"/>
      <c r="P746" s="103"/>
      <c r="Q746" s="103"/>
      <c r="R746" s="428">
        <f t="shared" si="367"/>
        <v>0</v>
      </c>
      <c r="S746" s="103"/>
      <c r="T746" s="103"/>
      <c r="U746" s="103"/>
      <c r="V746" s="125"/>
      <c r="W746" s="428">
        <f t="shared" si="371"/>
        <v>0</v>
      </c>
      <c r="X746" s="103"/>
      <c r="Y746" s="103"/>
      <c r="Z746" s="125"/>
      <c r="AA746" s="428">
        <f t="shared" si="372"/>
        <v>0</v>
      </c>
      <c r="AB746" s="103"/>
      <c r="AC746" s="103">
        <v>1</v>
      </c>
      <c r="AD746" s="103"/>
      <c r="AE746" s="428">
        <f t="shared" si="373"/>
        <v>1</v>
      </c>
      <c r="AF746" s="103"/>
      <c r="AG746" s="103"/>
      <c r="AH746" s="103"/>
      <c r="AI746" s="103"/>
      <c r="AJ746" s="428">
        <f t="shared" si="374"/>
        <v>0</v>
      </c>
      <c r="AK746" s="446"/>
      <c r="AL746" s="446"/>
      <c r="AM746" s="446"/>
      <c r="AN746" s="446"/>
      <c r="AO746" s="446"/>
      <c r="AP746" s="446"/>
      <c r="AQ746" s="446"/>
      <c r="AR746" s="431">
        <f t="shared" si="375"/>
        <v>0</v>
      </c>
      <c r="AT746" s="128"/>
      <c r="AU746" s="100" t="s">
        <v>4321</v>
      </c>
      <c r="AV746" s="128" t="s">
        <v>4351</v>
      </c>
      <c r="AW746" s="100" t="s">
        <v>4338</v>
      </c>
      <c r="AX746" s="433">
        <f t="shared" si="376"/>
        <v>0</v>
      </c>
      <c r="AY746" s="433">
        <f t="shared" si="377"/>
        <v>0</v>
      </c>
      <c r="AZ746" s="433">
        <f t="shared" si="378"/>
        <v>0</v>
      </c>
      <c r="BA746" s="433">
        <f t="shared" si="368"/>
        <v>0</v>
      </c>
      <c r="BB746" s="433">
        <f t="shared" si="369"/>
        <v>0</v>
      </c>
      <c r="BC746" s="433">
        <f t="shared" si="370"/>
        <v>0</v>
      </c>
      <c r="BD746" s="433">
        <f t="shared" si="379"/>
        <v>0</v>
      </c>
      <c r="BE746" s="433">
        <f t="shared" si="380"/>
        <v>0</v>
      </c>
      <c r="BF746" s="433">
        <f t="shared" si="381"/>
        <v>0</v>
      </c>
      <c r="BG746" s="433">
        <f t="shared" si="382"/>
        <v>0</v>
      </c>
      <c r="BH746" s="433">
        <f t="shared" si="383"/>
        <v>0</v>
      </c>
      <c r="BI746" s="433">
        <f t="shared" si="384"/>
        <v>0</v>
      </c>
      <c r="BJ746" s="433">
        <f t="shared" si="385"/>
        <v>0</v>
      </c>
      <c r="BK746" s="433">
        <f t="shared" si="386"/>
        <v>0</v>
      </c>
      <c r="BL746" s="433">
        <f t="shared" si="387"/>
        <v>1</v>
      </c>
      <c r="BM746" s="433">
        <f t="shared" si="388"/>
        <v>0</v>
      </c>
      <c r="BN746" s="433">
        <f t="shared" si="389"/>
        <v>0</v>
      </c>
      <c r="BO746" s="433">
        <f t="shared" si="390"/>
        <v>0</v>
      </c>
      <c r="BP746" s="433">
        <f t="shared" si="391"/>
        <v>0</v>
      </c>
      <c r="BQ746" s="433">
        <f t="shared" si="392"/>
        <v>0</v>
      </c>
    </row>
    <row r="747" spans="1:69" x14ac:dyDescent="0.2">
      <c r="A747" s="102">
        <v>41870</v>
      </c>
      <c r="B747" s="319">
        <v>2</v>
      </c>
      <c r="C747" s="118" t="s">
        <v>4335</v>
      </c>
      <c r="D747" s="111">
        <v>0.56944444444444442</v>
      </c>
      <c r="E747" s="111">
        <v>0.69791666666666663</v>
      </c>
      <c r="F747" s="319">
        <v>33</v>
      </c>
      <c r="G747" s="445">
        <v>11</v>
      </c>
      <c r="H747" s="319"/>
      <c r="I747" s="319"/>
      <c r="J747" s="426">
        <f t="shared" si="365"/>
        <v>184.99999999999997</v>
      </c>
      <c r="K747" s="103"/>
      <c r="L747" s="103"/>
      <c r="M747" s="103"/>
      <c r="N747" s="427">
        <f t="shared" si="366"/>
        <v>0</v>
      </c>
      <c r="O747" s="103"/>
      <c r="P747" s="103"/>
      <c r="Q747" s="103"/>
      <c r="R747" s="428">
        <f t="shared" si="367"/>
        <v>0</v>
      </c>
      <c r="S747" s="103"/>
      <c r="T747" s="103"/>
      <c r="U747" s="103"/>
      <c r="V747" s="125"/>
      <c r="W747" s="428">
        <f t="shared" si="371"/>
        <v>0</v>
      </c>
      <c r="X747" s="103"/>
      <c r="Y747" s="103"/>
      <c r="Z747" s="125"/>
      <c r="AA747" s="428">
        <f t="shared" si="372"/>
        <v>0</v>
      </c>
      <c r="AB747" s="103"/>
      <c r="AC747" s="103">
        <v>9</v>
      </c>
      <c r="AD747" s="103"/>
      <c r="AE747" s="428">
        <f t="shared" si="373"/>
        <v>9</v>
      </c>
      <c r="AF747" s="103"/>
      <c r="AG747" s="103"/>
      <c r="AH747" s="103"/>
      <c r="AI747" s="103"/>
      <c r="AJ747" s="428">
        <f t="shared" si="374"/>
        <v>0</v>
      </c>
      <c r="AK747" s="446"/>
      <c r="AL747" s="446"/>
      <c r="AM747" s="446"/>
      <c r="AN747" s="446"/>
      <c r="AO747" s="446"/>
      <c r="AP747" s="446"/>
      <c r="AQ747" s="446"/>
      <c r="AR747" s="431">
        <f t="shared" si="375"/>
        <v>0</v>
      </c>
      <c r="AT747" s="128"/>
      <c r="AU747" s="100" t="s">
        <v>4321</v>
      </c>
      <c r="AV747" s="128" t="s">
        <v>4351</v>
      </c>
      <c r="AW747" s="100" t="s">
        <v>4338</v>
      </c>
      <c r="AX747" s="433">
        <f t="shared" si="376"/>
        <v>0</v>
      </c>
      <c r="AY747" s="433">
        <f t="shared" si="377"/>
        <v>0</v>
      </c>
      <c r="AZ747" s="433">
        <f t="shared" si="378"/>
        <v>0</v>
      </c>
      <c r="BA747" s="433">
        <f t="shared" si="368"/>
        <v>0</v>
      </c>
      <c r="BB747" s="433">
        <f t="shared" si="369"/>
        <v>0</v>
      </c>
      <c r="BC747" s="433">
        <f t="shared" si="370"/>
        <v>0</v>
      </c>
      <c r="BD747" s="433">
        <f t="shared" si="379"/>
        <v>0</v>
      </c>
      <c r="BE747" s="433">
        <f t="shared" si="380"/>
        <v>0</v>
      </c>
      <c r="BF747" s="433">
        <f t="shared" si="381"/>
        <v>0</v>
      </c>
      <c r="BG747" s="433">
        <f t="shared" si="382"/>
        <v>0</v>
      </c>
      <c r="BH747" s="433">
        <f t="shared" si="383"/>
        <v>0</v>
      </c>
      <c r="BI747" s="433">
        <f t="shared" si="384"/>
        <v>0</v>
      </c>
      <c r="BJ747" s="433">
        <f t="shared" si="385"/>
        <v>0</v>
      </c>
      <c r="BK747" s="433">
        <f t="shared" si="386"/>
        <v>0</v>
      </c>
      <c r="BL747" s="433">
        <f t="shared" si="387"/>
        <v>9</v>
      </c>
      <c r="BM747" s="433">
        <f t="shared" si="388"/>
        <v>0</v>
      </c>
      <c r="BN747" s="433">
        <f t="shared" si="389"/>
        <v>0</v>
      </c>
      <c r="BO747" s="433">
        <f t="shared" si="390"/>
        <v>0</v>
      </c>
      <c r="BP747" s="433">
        <f t="shared" si="391"/>
        <v>0</v>
      </c>
      <c r="BQ747" s="433">
        <f t="shared" si="392"/>
        <v>0</v>
      </c>
    </row>
    <row r="748" spans="1:69" x14ac:dyDescent="0.2">
      <c r="A748" s="102">
        <v>41870</v>
      </c>
      <c r="B748" s="319">
        <v>2</v>
      </c>
      <c r="C748" s="118" t="s">
        <v>4182</v>
      </c>
      <c r="D748" s="111">
        <v>0.69791666666666663</v>
      </c>
      <c r="E748" s="111">
        <v>0.84097222222222223</v>
      </c>
      <c r="F748" s="319">
        <v>34</v>
      </c>
      <c r="G748" s="445">
        <v>11</v>
      </c>
      <c r="H748" s="319"/>
      <c r="I748" s="319"/>
      <c r="J748" s="426">
        <f t="shared" si="365"/>
        <v>206.00000000000006</v>
      </c>
      <c r="K748" s="103"/>
      <c r="L748" s="103"/>
      <c r="M748" s="103"/>
      <c r="N748" s="427">
        <f t="shared" si="366"/>
        <v>0</v>
      </c>
      <c r="O748" s="103"/>
      <c r="P748" s="103"/>
      <c r="Q748" s="103"/>
      <c r="R748" s="428">
        <f t="shared" si="367"/>
        <v>0</v>
      </c>
      <c r="S748" s="103">
        <v>1</v>
      </c>
      <c r="T748" s="103"/>
      <c r="U748" s="103"/>
      <c r="V748" s="125"/>
      <c r="W748" s="428">
        <f t="shared" si="371"/>
        <v>1</v>
      </c>
      <c r="X748" s="103"/>
      <c r="Y748" s="103"/>
      <c r="Z748" s="125"/>
      <c r="AA748" s="428">
        <f t="shared" si="372"/>
        <v>0</v>
      </c>
      <c r="AB748" s="103"/>
      <c r="AC748" s="103">
        <v>5</v>
      </c>
      <c r="AD748" s="103"/>
      <c r="AE748" s="428">
        <f t="shared" si="373"/>
        <v>5</v>
      </c>
      <c r="AF748" s="103"/>
      <c r="AG748" s="103"/>
      <c r="AH748" s="103"/>
      <c r="AI748" s="103"/>
      <c r="AJ748" s="428">
        <f t="shared" si="374"/>
        <v>0</v>
      </c>
      <c r="AK748" s="446"/>
      <c r="AL748" s="446"/>
      <c r="AM748" s="446"/>
      <c r="AN748" s="446"/>
      <c r="AO748" s="446"/>
      <c r="AP748" s="446"/>
      <c r="AQ748" s="446"/>
      <c r="AR748" s="431">
        <f t="shared" si="375"/>
        <v>0</v>
      </c>
      <c r="AT748" s="128"/>
      <c r="AU748" s="100" t="s">
        <v>4334</v>
      </c>
      <c r="AV748" s="128" t="s">
        <v>4351</v>
      </c>
      <c r="AW748" s="100" t="s">
        <v>4338</v>
      </c>
      <c r="AX748" s="433">
        <f t="shared" si="376"/>
        <v>0</v>
      </c>
      <c r="AY748" s="433">
        <f t="shared" si="377"/>
        <v>0</v>
      </c>
      <c r="AZ748" s="433">
        <f t="shared" si="378"/>
        <v>0</v>
      </c>
      <c r="BA748" s="433">
        <f t="shared" si="368"/>
        <v>0</v>
      </c>
      <c r="BB748" s="433">
        <f t="shared" si="369"/>
        <v>0</v>
      </c>
      <c r="BC748" s="433">
        <f t="shared" si="370"/>
        <v>0</v>
      </c>
      <c r="BD748" s="433">
        <f t="shared" si="379"/>
        <v>1</v>
      </c>
      <c r="BE748" s="433">
        <f t="shared" si="380"/>
        <v>0</v>
      </c>
      <c r="BF748" s="433">
        <f t="shared" si="381"/>
        <v>0</v>
      </c>
      <c r="BG748" s="433">
        <f t="shared" si="382"/>
        <v>0</v>
      </c>
      <c r="BH748" s="433">
        <f t="shared" si="383"/>
        <v>0</v>
      </c>
      <c r="BI748" s="433">
        <f t="shared" si="384"/>
        <v>0</v>
      </c>
      <c r="BJ748" s="433">
        <f t="shared" si="385"/>
        <v>0</v>
      </c>
      <c r="BK748" s="433">
        <f t="shared" si="386"/>
        <v>0</v>
      </c>
      <c r="BL748" s="433">
        <f t="shared" si="387"/>
        <v>5</v>
      </c>
      <c r="BM748" s="433">
        <f t="shared" si="388"/>
        <v>0</v>
      </c>
      <c r="BN748" s="433">
        <f t="shared" si="389"/>
        <v>0</v>
      </c>
      <c r="BO748" s="433">
        <f t="shared" si="390"/>
        <v>0</v>
      </c>
      <c r="BP748" s="433">
        <f t="shared" si="391"/>
        <v>0</v>
      </c>
      <c r="BQ748" s="433">
        <f t="shared" si="392"/>
        <v>0</v>
      </c>
    </row>
    <row r="749" spans="1:69" x14ac:dyDescent="0.2">
      <c r="A749" s="102">
        <v>41870</v>
      </c>
      <c r="B749" s="319">
        <v>3</v>
      </c>
      <c r="C749" s="118" t="s">
        <v>4336</v>
      </c>
      <c r="D749" s="111">
        <v>0.34027777777777773</v>
      </c>
      <c r="E749" s="111">
        <v>0.58194444444444449</v>
      </c>
      <c r="F749" s="319">
        <v>39</v>
      </c>
      <c r="G749" s="445">
        <v>9</v>
      </c>
      <c r="H749" s="319"/>
      <c r="I749" s="319"/>
      <c r="J749" s="426">
        <f t="shared" si="365"/>
        <v>348.00000000000017</v>
      </c>
      <c r="K749" s="103"/>
      <c r="L749" s="103"/>
      <c r="M749" s="103"/>
      <c r="N749" s="427">
        <f t="shared" si="366"/>
        <v>0</v>
      </c>
      <c r="O749" s="103"/>
      <c r="P749" s="103"/>
      <c r="Q749" s="103"/>
      <c r="R749" s="428">
        <f t="shared" si="367"/>
        <v>0</v>
      </c>
      <c r="S749" s="103"/>
      <c r="T749" s="103"/>
      <c r="U749" s="103"/>
      <c r="V749" s="125"/>
      <c r="W749" s="428">
        <f t="shared" si="371"/>
        <v>0</v>
      </c>
      <c r="X749" s="103"/>
      <c r="Y749" s="103">
        <v>2</v>
      </c>
      <c r="Z749" s="125"/>
      <c r="AA749" s="428">
        <f t="shared" si="372"/>
        <v>2</v>
      </c>
      <c r="AB749" s="103">
        <v>1</v>
      </c>
      <c r="AC749" s="103">
        <v>7</v>
      </c>
      <c r="AD749" s="103"/>
      <c r="AE749" s="428">
        <f t="shared" si="373"/>
        <v>8</v>
      </c>
      <c r="AF749" s="103">
        <v>5</v>
      </c>
      <c r="AG749" s="103"/>
      <c r="AH749" s="103"/>
      <c r="AI749" s="103"/>
      <c r="AJ749" s="428">
        <f t="shared" si="374"/>
        <v>5</v>
      </c>
      <c r="AK749" s="446"/>
      <c r="AL749" s="446"/>
      <c r="AM749" s="446"/>
      <c r="AN749" s="446"/>
      <c r="AO749" s="446"/>
      <c r="AP749" s="446"/>
      <c r="AQ749" s="446"/>
      <c r="AR749" s="431">
        <f t="shared" si="375"/>
        <v>0</v>
      </c>
      <c r="AT749" s="128"/>
      <c r="AU749" s="100" t="s">
        <v>4321</v>
      </c>
      <c r="AV749" s="128" t="s">
        <v>4351</v>
      </c>
      <c r="AW749" s="100" t="s">
        <v>4338</v>
      </c>
      <c r="AX749" s="433">
        <f t="shared" si="376"/>
        <v>0</v>
      </c>
      <c r="AY749" s="433">
        <f t="shared" si="377"/>
        <v>0</v>
      </c>
      <c r="AZ749" s="433">
        <f t="shared" si="378"/>
        <v>0</v>
      </c>
      <c r="BA749" s="433">
        <f t="shared" si="368"/>
        <v>0</v>
      </c>
      <c r="BB749" s="433">
        <f t="shared" si="369"/>
        <v>0</v>
      </c>
      <c r="BC749" s="433">
        <f t="shared" si="370"/>
        <v>0</v>
      </c>
      <c r="BD749" s="433">
        <f t="shared" si="379"/>
        <v>0</v>
      </c>
      <c r="BE749" s="433">
        <f t="shared" si="380"/>
        <v>0</v>
      </c>
      <c r="BF749" s="433">
        <f t="shared" si="381"/>
        <v>0</v>
      </c>
      <c r="BG749" s="433">
        <f t="shared" si="382"/>
        <v>0</v>
      </c>
      <c r="BH749" s="433">
        <f t="shared" si="383"/>
        <v>0</v>
      </c>
      <c r="BI749" s="433">
        <f t="shared" si="384"/>
        <v>2</v>
      </c>
      <c r="BJ749" s="433">
        <f t="shared" si="385"/>
        <v>0</v>
      </c>
      <c r="BK749" s="433">
        <f t="shared" si="386"/>
        <v>1</v>
      </c>
      <c r="BL749" s="433">
        <f t="shared" si="387"/>
        <v>7</v>
      </c>
      <c r="BM749" s="433">
        <f t="shared" si="388"/>
        <v>0</v>
      </c>
      <c r="BN749" s="433">
        <f t="shared" si="389"/>
        <v>5</v>
      </c>
      <c r="BO749" s="433">
        <f t="shared" si="390"/>
        <v>0</v>
      </c>
      <c r="BP749" s="433">
        <f t="shared" si="391"/>
        <v>0</v>
      </c>
      <c r="BQ749" s="433">
        <f t="shared" si="392"/>
        <v>0</v>
      </c>
    </row>
    <row r="750" spans="1:69" s="291" customFormat="1" x14ac:dyDescent="0.2">
      <c r="A750" s="317">
        <v>41870</v>
      </c>
      <c r="B750" s="318">
        <v>3</v>
      </c>
      <c r="C750" s="320" t="s">
        <v>4337</v>
      </c>
      <c r="D750" s="321">
        <v>0.58194444444444449</v>
      </c>
      <c r="E750" s="321">
        <v>0.84027777777777779</v>
      </c>
      <c r="F750" s="318">
        <v>40</v>
      </c>
      <c r="G750" s="435">
        <v>11</v>
      </c>
      <c r="H750" s="318"/>
      <c r="I750" s="318"/>
      <c r="J750" s="437">
        <f t="shared" si="365"/>
        <v>371.99999999999994</v>
      </c>
      <c r="K750" s="285"/>
      <c r="L750" s="285"/>
      <c r="M750" s="285"/>
      <c r="N750" s="438">
        <f t="shared" si="366"/>
        <v>0</v>
      </c>
      <c r="O750" s="285"/>
      <c r="P750" s="285">
        <v>1</v>
      </c>
      <c r="Q750" s="285"/>
      <c r="R750" s="439">
        <f t="shared" si="367"/>
        <v>1</v>
      </c>
      <c r="S750" s="285"/>
      <c r="T750" s="285"/>
      <c r="U750" s="285"/>
      <c r="V750" s="440"/>
      <c r="W750" s="439">
        <f t="shared" si="371"/>
        <v>0</v>
      </c>
      <c r="X750" s="285"/>
      <c r="Y750" s="285">
        <v>6</v>
      </c>
      <c r="Z750" s="440"/>
      <c r="AA750" s="439">
        <f t="shared" si="372"/>
        <v>6</v>
      </c>
      <c r="AB750" s="285"/>
      <c r="AC750" s="285">
        <v>6</v>
      </c>
      <c r="AD750" s="285"/>
      <c r="AE750" s="439">
        <f t="shared" si="373"/>
        <v>6</v>
      </c>
      <c r="AF750" s="285"/>
      <c r="AG750" s="285">
        <v>3</v>
      </c>
      <c r="AH750" s="285"/>
      <c r="AI750" s="285"/>
      <c r="AJ750" s="439">
        <f t="shared" si="374"/>
        <v>3</v>
      </c>
      <c r="AK750" s="340"/>
      <c r="AL750" s="340"/>
      <c r="AM750" s="340"/>
      <c r="AN750" s="340"/>
      <c r="AO750" s="340"/>
      <c r="AP750" s="340"/>
      <c r="AQ750" s="340"/>
      <c r="AR750" s="441">
        <f t="shared" si="375"/>
        <v>0</v>
      </c>
      <c r="AT750" s="313"/>
      <c r="AU750" s="289" t="s">
        <v>4323</v>
      </c>
      <c r="AV750" s="313" t="s">
        <v>4351</v>
      </c>
      <c r="AW750" s="382" t="s">
        <v>4338</v>
      </c>
      <c r="AX750" s="443">
        <f t="shared" si="376"/>
        <v>0</v>
      </c>
      <c r="AY750" s="443">
        <f t="shared" si="377"/>
        <v>0</v>
      </c>
      <c r="AZ750" s="443">
        <f t="shared" si="378"/>
        <v>0</v>
      </c>
      <c r="BA750" s="443">
        <f t="shared" si="368"/>
        <v>0</v>
      </c>
      <c r="BB750" s="443">
        <f t="shared" si="369"/>
        <v>1</v>
      </c>
      <c r="BC750" s="443">
        <f t="shared" si="370"/>
        <v>0</v>
      </c>
      <c r="BD750" s="443">
        <f t="shared" si="379"/>
        <v>0</v>
      </c>
      <c r="BE750" s="443">
        <f t="shared" si="380"/>
        <v>0</v>
      </c>
      <c r="BF750" s="443">
        <f t="shared" si="381"/>
        <v>0</v>
      </c>
      <c r="BG750" s="443">
        <f t="shared" si="382"/>
        <v>0</v>
      </c>
      <c r="BH750" s="443">
        <f t="shared" si="383"/>
        <v>0</v>
      </c>
      <c r="BI750" s="443">
        <f t="shared" si="384"/>
        <v>6</v>
      </c>
      <c r="BJ750" s="443">
        <f t="shared" si="385"/>
        <v>0</v>
      </c>
      <c r="BK750" s="443">
        <f t="shared" si="386"/>
        <v>0</v>
      </c>
      <c r="BL750" s="443">
        <f t="shared" si="387"/>
        <v>6</v>
      </c>
      <c r="BM750" s="443">
        <f t="shared" si="388"/>
        <v>0</v>
      </c>
      <c r="BN750" s="443">
        <f t="shared" si="389"/>
        <v>0</v>
      </c>
      <c r="BO750" s="443">
        <f t="shared" si="390"/>
        <v>3</v>
      </c>
      <c r="BP750" s="443">
        <f t="shared" si="391"/>
        <v>0</v>
      </c>
      <c r="BQ750" s="443">
        <f t="shared" si="392"/>
        <v>0</v>
      </c>
    </row>
    <row r="751" spans="1:69" x14ac:dyDescent="0.2">
      <c r="A751" s="102">
        <v>41871</v>
      </c>
      <c r="B751" s="319">
        <v>1</v>
      </c>
      <c r="C751" s="118" t="s">
        <v>4283</v>
      </c>
      <c r="D751" s="111">
        <v>0.34027777777777773</v>
      </c>
      <c r="E751" s="111">
        <v>0.46388888888888885</v>
      </c>
      <c r="F751" s="319">
        <v>51</v>
      </c>
      <c r="G751" s="445">
        <v>9</v>
      </c>
      <c r="H751" s="319"/>
      <c r="I751" s="319">
        <v>60.4</v>
      </c>
      <c r="J751" s="426">
        <f t="shared" si="365"/>
        <v>178</v>
      </c>
      <c r="K751" s="103"/>
      <c r="L751" s="103"/>
      <c r="M751" s="103"/>
      <c r="N751" s="427">
        <f t="shared" si="366"/>
        <v>0</v>
      </c>
      <c r="O751" s="103"/>
      <c r="P751" s="103"/>
      <c r="Q751" s="103"/>
      <c r="R751" s="428">
        <f t="shared" si="367"/>
        <v>0</v>
      </c>
      <c r="S751" s="103">
        <v>1</v>
      </c>
      <c r="T751" s="103"/>
      <c r="U751" s="103"/>
      <c r="V751" s="125"/>
      <c r="W751" s="428">
        <f t="shared" si="371"/>
        <v>1</v>
      </c>
      <c r="X751" s="103"/>
      <c r="Y751" s="103">
        <v>1</v>
      </c>
      <c r="Z751" s="125"/>
      <c r="AA751" s="428">
        <f t="shared" si="372"/>
        <v>1</v>
      </c>
      <c r="AB751" s="103">
        <v>1</v>
      </c>
      <c r="AC751" s="103">
        <v>7</v>
      </c>
      <c r="AD751" s="103"/>
      <c r="AE751" s="428">
        <f t="shared" si="373"/>
        <v>8</v>
      </c>
      <c r="AF751" s="103">
        <v>2</v>
      </c>
      <c r="AG751" s="103"/>
      <c r="AH751" s="103"/>
      <c r="AI751" s="103"/>
      <c r="AJ751" s="428">
        <f t="shared" si="374"/>
        <v>2</v>
      </c>
      <c r="AK751" s="446"/>
      <c r="AL751" s="446"/>
      <c r="AM751" s="446"/>
      <c r="AN751" s="446"/>
      <c r="AO751" s="446"/>
      <c r="AP751" s="446"/>
      <c r="AQ751" s="446"/>
      <c r="AR751" s="431">
        <f t="shared" si="375"/>
        <v>0</v>
      </c>
      <c r="AT751" s="128"/>
      <c r="AU751" s="100" t="s">
        <v>4353</v>
      </c>
      <c r="AV751" s="128" t="s">
        <v>4370</v>
      </c>
      <c r="AW751" s="100" t="s">
        <v>4369</v>
      </c>
      <c r="AX751" s="433">
        <f t="shared" si="376"/>
        <v>0</v>
      </c>
      <c r="AY751" s="433">
        <f t="shared" si="377"/>
        <v>0</v>
      </c>
      <c r="AZ751" s="433">
        <f t="shared" si="378"/>
        <v>0</v>
      </c>
      <c r="BA751" s="433">
        <f t="shared" si="368"/>
        <v>0</v>
      </c>
      <c r="BB751" s="433">
        <f t="shared" si="369"/>
        <v>0</v>
      </c>
      <c r="BC751" s="433">
        <f t="shared" si="370"/>
        <v>0</v>
      </c>
      <c r="BD751" s="433">
        <f t="shared" si="379"/>
        <v>1</v>
      </c>
      <c r="BE751" s="433">
        <f t="shared" si="380"/>
        <v>0</v>
      </c>
      <c r="BF751" s="433">
        <f t="shared" si="381"/>
        <v>0</v>
      </c>
      <c r="BG751" s="433">
        <f t="shared" si="382"/>
        <v>0</v>
      </c>
      <c r="BH751" s="433">
        <f t="shared" si="383"/>
        <v>0</v>
      </c>
      <c r="BI751" s="433">
        <f t="shared" si="384"/>
        <v>1</v>
      </c>
      <c r="BJ751" s="433">
        <f t="shared" si="385"/>
        <v>0</v>
      </c>
      <c r="BK751" s="433">
        <f t="shared" si="386"/>
        <v>1</v>
      </c>
      <c r="BL751" s="433">
        <f t="shared" si="387"/>
        <v>7</v>
      </c>
      <c r="BM751" s="433">
        <f t="shared" si="388"/>
        <v>0</v>
      </c>
      <c r="BN751" s="433">
        <f t="shared" si="389"/>
        <v>2</v>
      </c>
      <c r="BO751" s="433">
        <f t="shared" si="390"/>
        <v>0</v>
      </c>
      <c r="BP751" s="433">
        <f t="shared" si="391"/>
        <v>0</v>
      </c>
      <c r="BQ751" s="433">
        <f t="shared" si="392"/>
        <v>0</v>
      </c>
    </row>
    <row r="752" spans="1:69" x14ac:dyDescent="0.2">
      <c r="A752" s="102">
        <v>41871</v>
      </c>
      <c r="B752" s="319">
        <v>1</v>
      </c>
      <c r="C752" s="118" t="s">
        <v>4352</v>
      </c>
      <c r="D752" s="111">
        <v>0.46388888888888885</v>
      </c>
      <c r="E752" s="111">
        <v>0.56874999999999998</v>
      </c>
      <c r="F752" s="319">
        <v>50</v>
      </c>
      <c r="G752" s="445">
        <v>10</v>
      </c>
      <c r="H752" s="319"/>
      <c r="I752" s="319"/>
      <c r="J752" s="426">
        <f t="shared" si="365"/>
        <v>151.00000000000003</v>
      </c>
      <c r="K752" s="103"/>
      <c r="L752" s="103"/>
      <c r="M752" s="103"/>
      <c r="N752" s="427">
        <f t="shared" si="366"/>
        <v>0</v>
      </c>
      <c r="O752" s="103"/>
      <c r="P752" s="103"/>
      <c r="Q752" s="103"/>
      <c r="R752" s="428">
        <f t="shared" si="367"/>
        <v>0</v>
      </c>
      <c r="S752" s="103">
        <v>1</v>
      </c>
      <c r="T752" s="103"/>
      <c r="U752" s="103"/>
      <c r="V752" s="125"/>
      <c r="W752" s="428">
        <f t="shared" si="371"/>
        <v>1</v>
      </c>
      <c r="X752" s="103"/>
      <c r="Y752" s="103">
        <v>1</v>
      </c>
      <c r="Z752" s="125"/>
      <c r="AA752" s="428">
        <f t="shared" si="372"/>
        <v>1</v>
      </c>
      <c r="AB752" s="103">
        <v>1</v>
      </c>
      <c r="AC752" s="103">
        <v>6</v>
      </c>
      <c r="AD752" s="103"/>
      <c r="AE752" s="428">
        <f t="shared" si="373"/>
        <v>7</v>
      </c>
      <c r="AF752" s="103"/>
      <c r="AG752" s="103"/>
      <c r="AH752" s="103"/>
      <c r="AI752" s="103"/>
      <c r="AJ752" s="428">
        <f t="shared" si="374"/>
        <v>0</v>
      </c>
      <c r="AK752" s="446"/>
      <c r="AL752" s="446"/>
      <c r="AM752" s="446"/>
      <c r="AN752" s="446"/>
      <c r="AO752" s="446"/>
      <c r="AP752" s="446"/>
      <c r="AQ752" s="446"/>
      <c r="AR752" s="431">
        <f t="shared" si="375"/>
        <v>0</v>
      </c>
      <c r="AT752" s="128"/>
      <c r="AU752" s="100" t="s">
        <v>4354</v>
      </c>
      <c r="AV752" s="128" t="s">
        <v>4370</v>
      </c>
      <c r="AW752" s="100" t="s">
        <v>4369</v>
      </c>
      <c r="AX752" s="433">
        <f t="shared" si="376"/>
        <v>0</v>
      </c>
      <c r="AY752" s="433">
        <f t="shared" si="377"/>
        <v>0</v>
      </c>
      <c r="AZ752" s="433">
        <f t="shared" si="378"/>
        <v>0</v>
      </c>
      <c r="BA752" s="433">
        <f t="shared" si="368"/>
        <v>0</v>
      </c>
      <c r="BB752" s="433">
        <f t="shared" si="369"/>
        <v>0</v>
      </c>
      <c r="BC752" s="433">
        <f t="shared" si="370"/>
        <v>0</v>
      </c>
      <c r="BD752" s="433">
        <f t="shared" si="379"/>
        <v>1</v>
      </c>
      <c r="BE752" s="433">
        <f t="shared" si="380"/>
        <v>0</v>
      </c>
      <c r="BF752" s="433">
        <f t="shared" si="381"/>
        <v>0</v>
      </c>
      <c r="BG752" s="433">
        <f t="shared" si="382"/>
        <v>0</v>
      </c>
      <c r="BH752" s="433">
        <f t="shared" si="383"/>
        <v>0</v>
      </c>
      <c r="BI752" s="433">
        <f t="shared" si="384"/>
        <v>1</v>
      </c>
      <c r="BJ752" s="433">
        <f t="shared" si="385"/>
        <v>0</v>
      </c>
      <c r="BK752" s="433">
        <f t="shared" si="386"/>
        <v>1</v>
      </c>
      <c r="BL752" s="433">
        <f t="shared" si="387"/>
        <v>6</v>
      </c>
      <c r="BM752" s="433">
        <f t="shared" si="388"/>
        <v>0</v>
      </c>
      <c r="BN752" s="433">
        <f t="shared" si="389"/>
        <v>0</v>
      </c>
      <c r="BO752" s="433">
        <f t="shared" si="390"/>
        <v>0</v>
      </c>
      <c r="BP752" s="433">
        <f t="shared" si="391"/>
        <v>0</v>
      </c>
      <c r="BQ752" s="433">
        <f t="shared" si="392"/>
        <v>0</v>
      </c>
    </row>
    <row r="753" spans="1:69" x14ac:dyDescent="0.2">
      <c r="A753" s="102">
        <v>41871</v>
      </c>
      <c r="B753" s="319">
        <v>1</v>
      </c>
      <c r="C753" s="118" t="s">
        <v>4355</v>
      </c>
      <c r="D753" s="111">
        <v>0.56874999999999998</v>
      </c>
      <c r="E753" s="111">
        <v>0.69305555555555554</v>
      </c>
      <c r="F753" s="319">
        <v>52</v>
      </c>
      <c r="G753" s="445">
        <v>10</v>
      </c>
      <c r="H753" s="319"/>
      <c r="I753" s="319"/>
      <c r="J753" s="426">
        <f t="shared" si="365"/>
        <v>179</v>
      </c>
      <c r="K753" s="103"/>
      <c r="L753" s="103"/>
      <c r="M753" s="103"/>
      <c r="N753" s="427">
        <f t="shared" si="366"/>
        <v>0</v>
      </c>
      <c r="O753" s="103"/>
      <c r="P753" s="103"/>
      <c r="Q753" s="103"/>
      <c r="R753" s="428">
        <f t="shared" si="367"/>
        <v>0</v>
      </c>
      <c r="S753" s="103"/>
      <c r="T753" s="103"/>
      <c r="U753" s="103"/>
      <c r="V753" s="125"/>
      <c r="W753" s="428">
        <f t="shared" si="371"/>
        <v>0</v>
      </c>
      <c r="X753" s="103"/>
      <c r="Y753" s="103">
        <v>2</v>
      </c>
      <c r="Z753" s="125"/>
      <c r="AA753" s="428">
        <f t="shared" si="372"/>
        <v>2</v>
      </c>
      <c r="AB753" s="103"/>
      <c r="AC753" s="103">
        <v>4</v>
      </c>
      <c r="AD753" s="103"/>
      <c r="AE753" s="428">
        <f t="shared" si="373"/>
        <v>4</v>
      </c>
      <c r="AF753" s="103">
        <v>2</v>
      </c>
      <c r="AG753" s="103"/>
      <c r="AH753" s="103"/>
      <c r="AI753" s="103"/>
      <c r="AJ753" s="428">
        <f t="shared" si="374"/>
        <v>2</v>
      </c>
      <c r="AK753" s="446"/>
      <c r="AL753" s="446"/>
      <c r="AM753" s="446"/>
      <c r="AN753" s="446"/>
      <c r="AO753" s="446"/>
      <c r="AP753" s="446"/>
      <c r="AQ753" s="446"/>
      <c r="AR753" s="431">
        <f t="shared" si="375"/>
        <v>0</v>
      </c>
      <c r="AT753" s="128"/>
      <c r="AU753" s="100" t="s">
        <v>4353</v>
      </c>
      <c r="AV753" s="128" t="s">
        <v>4370</v>
      </c>
      <c r="AW753" s="100" t="s">
        <v>4369</v>
      </c>
      <c r="AX753" s="433">
        <f t="shared" si="376"/>
        <v>0</v>
      </c>
      <c r="AY753" s="433">
        <f t="shared" si="377"/>
        <v>0</v>
      </c>
      <c r="AZ753" s="433">
        <f t="shared" si="378"/>
        <v>0</v>
      </c>
      <c r="BA753" s="433">
        <f t="shared" si="368"/>
        <v>0</v>
      </c>
      <c r="BB753" s="433">
        <f t="shared" si="369"/>
        <v>0</v>
      </c>
      <c r="BC753" s="433">
        <f t="shared" si="370"/>
        <v>0</v>
      </c>
      <c r="BD753" s="433">
        <f t="shared" si="379"/>
        <v>0</v>
      </c>
      <c r="BE753" s="433">
        <f t="shared" si="380"/>
        <v>0</v>
      </c>
      <c r="BF753" s="433">
        <f t="shared" si="381"/>
        <v>0</v>
      </c>
      <c r="BG753" s="433">
        <f t="shared" si="382"/>
        <v>0</v>
      </c>
      <c r="BH753" s="433">
        <f t="shared" si="383"/>
        <v>0</v>
      </c>
      <c r="BI753" s="433">
        <f t="shared" si="384"/>
        <v>2</v>
      </c>
      <c r="BJ753" s="433">
        <f t="shared" si="385"/>
        <v>0</v>
      </c>
      <c r="BK753" s="433">
        <f t="shared" si="386"/>
        <v>0</v>
      </c>
      <c r="BL753" s="433">
        <f t="shared" si="387"/>
        <v>4</v>
      </c>
      <c r="BM753" s="433">
        <f t="shared" si="388"/>
        <v>0</v>
      </c>
      <c r="BN753" s="433">
        <f t="shared" si="389"/>
        <v>2</v>
      </c>
      <c r="BO753" s="433">
        <f t="shared" si="390"/>
        <v>0</v>
      </c>
      <c r="BP753" s="433">
        <f t="shared" si="391"/>
        <v>0</v>
      </c>
      <c r="BQ753" s="433">
        <f t="shared" si="392"/>
        <v>0</v>
      </c>
    </row>
    <row r="754" spans="1:69" x14ac:dyDescent="0.2">
      <c r="A754" s="102">
        <v>41871</v>
      </c>
      <c r="B754" s="319">
        <v>1</v>
      </c>
      <c r="C754" s="118" t="s">
        <v>4356</v>
      </c>
      <c r="D754" s="111">
        <v>0.69305555555555554</v>
      </c>
      <c r="E754" s="111">
        <v>0.84652777777777777</v>
      </c>
      <c r="F754" s="319">
        <v>53</v>
      </c>
      <c r="G754" s="445">
        <v>11</v>
      </c>
      <c r="H754" s="319"/>
      <c r="I754" s="319"/>
      <c r="J754" s="426">
        <f t="shared" si="365"/>
        <v>221</v>
      </c>
      <c r="K754" s="103"/>
      <c r="L754" s="103"/>
      <c r="M754" s="103"/>
      <c r="N754" s="427">
        <f t="shared" si="366"/>
        <v>0</v>
      </c>
      <c r="O754" s="103"/>
      <c r="P754" s="103"/>
      <c r="Q754" s="103"/>
      <c r="R754" s="428">
        <f t="shared" si="367"/>
        <v>0</v>
      </c>
      <c r="S754" s="103"/>
      <c r="T754" s="103"/>
      <c r="U754" s="103"/>
      <c r="V754" s="125"/>
      <c r="W754" s="428">
        <f t="shared" si="371"/>
        <v>0</v>
      </c>
      <c r="X754" s="103"/>
      <c r="Y754" s="103">
        <v>1</v>
      </c>
      <c r="Z754" s="125"/>
      <c r="AA754" s="428">
        <f t="shared" si="372"/>
        <v>1</v>
      </c>
      <c r="AB754" s="103"/>
      <c r="AC754" s="103">
        <v>9</v>
      </c>
      <c r="AD754" s="103"/>
      <c r="AE754" s="428">
        <f t="shared" si="373"/>
        <v>9</v>
      </c>
      <c r="AF754" s="103"/>
      <c r="AG754" s="103">
        <v>6</v>
      </c>
      <c r="AH754" s="103"/>
      <c r="AI754" s="103"/>
      <c r="AJ754" s="428">
        <f t="shared" si="374"/>
        <v>6</v>
      </c>
      <c r="AK754" s="446"/>
      <c r="AL754" s="446"/>
      <c r="AM754" s="446"/>
      <c r="AN754" s="446"/>
      <c r="AO754" s="446"/>
      <c r="AP754" s="446"/>
      <c r="AQ754" s="446"/>
      <c r="AR754" s="431">
        <f t="shared" si="375"/>
        <v>0</v>
      </c>
      <c r="AT754" s="128"/>
      <c r="AU754" s="100" t="s">
        <v>4357</v>
      </c>
      <c r="AV754" s="128" t="s">
        <v>4370</v>
      </c>
      <c r="AW754" s="100" t="s">
        <v>4369</v>
      </c>
      <c r="AX754" s="433">
        <f t="shared" si="376"/>
        <v>0</v>
      </c>
      <c r="AY754" s="433">
        <f t="shared" si="377"/>
        <v>0</v>
      </c>
      <c r="AZ754" s="433">
        <f t="shared" si="378"/>
        <v>0</v>
      </c>
      <c r="BA754" s="433">
        <f t="shared" si="368"/>
        <v>0</v>
      </c>
      <c r="BB754" s="433">
        <f t="shared" si="369"/>
        <v>0</v>
      </c>
      <c r="BC754" s="433">
        <f t="shared" si="370"/>
        <v>0</v>
      </c>
      <c r="BD754" s="433">
        <f t="shared" si="379"/>
        <v>0</v>
      </c>
      <c r="BE754" s="433">
        <f t="shared" si="380"/>
        <v>0</v>
      </c>
      <c r="BF754" s="433">
        <f t="shared" si="381"/>
        <v>0</v>
      </c>
      <c r="BG754" s="433">
        <f t="shared" si="382"/>
        <v>0</v>
      </c>
      <c r="BH754" s="433">
        <f t="shared" si="383"/>
        <v>0</v>
      </c>
      <c r="BI754" s="433">
        <f t="shared" si="384"/>
        <v>1</v>
      </c>
      <c r="BJ754" s="433">
        <f t="shared" si="385"/>
        <v>0</v>
      </c>
      <c r="BK754" s="433">
        <f t="shared" si="386"/>
        <v>0</v>
      </c>
      <c r="BL754" s="433">
        <f t="shared" si="387"/>
        <v>9</v>
      </c>
      <c r="BM754" s="433">
        <f t="shared" si="388"/>
        <v>0</v>
      </c>
      <c r="BN754" s="433">
        <f t="shared" si="389"/>
        <v>0</v>
      </c>
      <c r="BO754" s="433">
        <f t="shared" si="390"/>
        <v>6</v>
      </c>
      <c r="BP754" s="433">
        <f t="shared" si="391"/>
        <v>0</v>
      </c>
      <c r="BQ754" s="433">
        <f t="shared" si="392"/>
        <v>0</v>
      </c>
    </row>
    <row r="755" spans="1:69" x14ac:dyDescent="0.2">
      <c r="A755" s="102">
        <v>41871</v>
      </c>
      <c r="B755" s="319">
        <v>2</v>
      </c>
      <c r="C755" s="118" t="s">
        <v>4283</v>
      </c>
      <c r="D755" s="111">
        <v>0.3347222222222222</v>
      </c>
      <c r="E755" s="111">
        <v>0.45694444444444443</v>
      </c>
      <c r="F755" s="319">
        <v>34</v>
      </c>
      <c r="G755" s="445">
        <v>10</v>
      </c>
      <c r="H755" s="319"/>
      <c r="I755" s="319"/>
      <c r="J755" s="426">
        <f t="shared" si="365"/>
        <v>176</v>
      </c>
      <c r="K755" s="103"/>
      <c r="L755" s="103"/>
      <c r="M755" s="103"/>
      <c r="N755" s="427">
        <f t="shared" si="366"/>
        <v>0</v>
      </c>
      <c r="O755" s="103"/>
      <c r="P755" s="103"/>
      <c r="Q755" s="103"/>
      <c r="R755" s="428">
        <f t="shared" si="367"/>
        <v>0</v>
      </c>
      <c r="S755" s="103"/>
      <c r="T755" s="103"/>
      <c r="U755" s="103"/>
      <c r="V755" s="125"/>
      <c r="W755" s="428">
        <f t="shared" si="371"/>
        <v>0</v>
      </c>
      <c r="X755" s="103"/>
      <c r="Y755" s="103"/>
      <c r="Z755" s="125"/>
      <c r="AA755" s="428">
        <f t="shared" si="372"/>
        <v>0</v>
      </c>
      <c r="AB755" s="103"/>
      <c r="AC755" s="103">
        <v>5</v>
      </c>
      <c r="AD755" s="103"/>
      <c r="AE755" s="428">
        <f t="shared" si="373"/>
        <v>5</v>
      </c>
      <c r="AF755" s="103"/>
      <c r="AG755" s="103"/>
      <c r="AH755" s="103"/>
      <c r="AI755" s="103"/>
      <c r="AJ755" s="428">
        <f t="shared" si="374"/>
        <v>0</v>
      </c>
      <c r="AK755" s="446"/>
      <c r="AL755" s="446"/>
      <c r="AM755" s="446"/>
      <c r="AN755" s="446"/>
      <c r="AO755" s="446"/>
      <c r="AP755" s="446"/>
      <c r="AQ755" s="446"/>
      <c r="AR755" s="431">
        <f t="shared" si="375"/>
        <v>0</v>
      </c>
      <c r="AT755" s="128" t="s">
        <v>4359</v>
      </c>
      <c r="AU755" s="100" t="s">
        <v>4360</v>
      </c>
      <c r="AV755" s="128" t="s">
        <v>4370</v>
      </c>
      <c r="AW755" s="100" t="s">
        <v>4369</v>
      </c>
      <c r="AX755" s="433">
        <f t="shared" si="376"/>
        <v>0</v>
      </c>
      <c r="AY755" s="433">
        <f t="shared" si="377"/>
        <v>0</v>
      </c>
      <c r="AZ755" s="433">
        <f t="shared" si="378"/>
        <v>0</v>
      </c>
      <c r="BA755" s="433">
        <f t="shared" si="368"/>
        <v>0</v>
      </c>
      <c r="BB755" s="433">
        <f t="shared" si="369"/>
        <v>0</v>
      </c>
      <c r="BC755" s="433">
        <f t="shared" si="370"/>
        <v>0</v>
      </c>
      <c r="BD755" s="433">
        <f t="shared" si="379"/>
        <v>0</v>
      </c>
      <c r="BE755" s="433">
        <f t="shared" si="380"/>
        <v>0</v>
      </c>
      <c r="BF755" s="433">
        <f t="shared" si="381"/>
        <v>0</v>
      </c>
      <c r="BG755" s="433">
        <f t="shared" si="382"/>
        <v>0</v>
      </c>
      <c r="BH755" s="433">
        <f t="shared" si="383"/>
        <v>0</v>
      </c>
      <c r="BI755" s="433">
        <f t="shared" si="384"/>
        <v>0</v>
      </c>
      <c r="BJ755" s="433">
        <f t="shared" si="385"/>
        <v>0</v>
      </c>
      <c r="BK755" s="433">
        <f t="shared" si="386"/>
        <v>0</v>
      </c>
      <c r="BL755" s="433">
        <f t="shared" si="387"/>
        <v>5</v>
      </c>
      <c r="BM755" s="433">
        <f t="shared" si="388"/>
        <v>0</v>
      </c>
      <c r="BN755" s="433">
        <f t="shared" si="389"/>
        <v>0</v>
      </c>
      <c r="BO755" s="433">
        <f t="shared" si="390"/>
        <v>0</v>
      </c>
      <c r="BP755" s="433">
        <f t="shared" si="391"/>
        <v>0</v>
      </c>
      <c r="BQ755" s="433">
        <f t="shared" si="392"/>
        <v>0</v>
      </c>
    </row>
    <row r="756" spans="1:69" x14ac:dyDescent="0.2">
      <c r="A756" s="102">
        <v>41871</v>
      </c>
      <c r="B756" s="319">
        <v>2</v>
      </c>
      <c r="C756" s="118" t="s">
        <v>4352</v>
      </c>
      <c r="D756" s="111">
        <v>0.45694444444444443</v>
      </c>
      <c r="E756" s="111">
        <v>0.56597222222222221</v>
      </c>
      <c r="F756" s="319">
        <v>34</v>
      </c>
      <c r="G756" s="445">
        <v>10</v>
      </c>
      <c r="H756" s="319"/>
      <c r="I756" s="319"/>
      <c r="J756" s="426">
        <f t="shared" si="365"/>
        <v>157</v>
      </c>
      <c r="K756" s="103"/>
      <c r="L756" s="103"/>
      <c r="M756" s="103"/>
      <c r="N756" s="427">
        <f t="shared" si="366"/>
        <v>0</v>
      </c>
      <c r="O756" s="103"/>
      <c r="P756" s="103"/>
      <c r="Q756" s="103"/>
      <c r="R756" s="428">
        <f t="shared" si="367"/>
        <v>0</v>
      </c>
      <c r="S756" s="103"/>
      <c r="T756" s="103"/>
      <c r="U756" s="103"/>
      <c r="V756" s="125"/>
      <c r="W756" s="428">
        <f t="shared" si="371"/>
        <v>0</v>
      </c>
      <c r="X756" s="103"/>
      <c r="Y756" s="103"/>
      <c r="Z756" s="125"/>
      <c r="AA756" s="428">
        <f t="shared" si="372"/>
        <v>0</v>
      </c>
      <c r="AB756" s="103"/>
      <c r="AC756" s="103">
        <v>2</v>
      </c>
      <c r="AD756" s="103"/>
      <c r="AE756" s="428">
        <f t="shared" si="373"/>
        <v>2</v>
      </c>
      <c r="AF756" s="103"/>
      <c r="AG756" s="103"/>
      <c r="AH756" s="103"/>
      <c r="AI756" s="103"/>
      <c r="AJ756" s="428">
        <f t="shared" si="374"/>
        <v>0</v>
      </c>
      <c r="AK756" s="446"/>
      <c r="AL756" s="446"/>
      <c r="AM756" s="446"/>
      <c r="AN756" s="446"/>
      <c r="AO756" s="446"/>
      <c r="AP756" s="446"/>
      <c r="AQ756" s="446"/>
      <c r="AR756" s="431">
        <f t="shared" si="375"/>
        <v>0</v>
      </c>
      <c r="AT756" s="128"/>
      <c r="AU756" s="100" t="s">
        <v>4351</v>
      </c>
      <c r="AV756" s="128" t="s">
        <v>4370</v>
      </c>
      <c r="AW756" s="100" t="s">
        <v>4369</v>
      </c>
      <c r="AX756" s="433">
        <f t="shared" si="376"/>
        <v>0</v>
      </c>
      <c r="AY756" s="433">
        <f t="shared" si="377"/>
        <v>0</v>
      </c>
      <c r="AZ756" s="433">
        <f t="shared" si="378"/>
        <v>0</v>
      </c>
      <c r="BA756" s="433">
        <f t="shared" si="368"/>
        <v>0</v>
      </c>
      <c r="BB756" s="433">
        <f t="shared" si="369"/>
        <v>0</v>
      </c>
      <c r="BC756" s="433">
        <f t="shared" si="370"/>
        <v>0</v>
      </c>
      <c r="BD756" s="433">
        <f t="shared" si="379"/>
        <v>0</v>
      </c>
      <c r="BE756" s="433">
        <f t="shared" si="380"/>
        <v>0</v>
      </c>
      <c r="BF756" s="433">
        <f t="shared" si="381"/>
        <v>0</v>
      </c>
      <c r="BG756" s="433">
        <f t="shared" si="382"/>
        <v>0</v>
      </c>
      <c r="BH756" s="433">
        <f t="shared" si="383"/>
        <v>0</v>
      </c>
      <c r="BI756" s="433">
        <f t="shared" si="384"/>
        <v>0</v>
      </c>
      <c r="BJ756" s="433">
        <f t="shared" si="385"/>
        <v>0</v>
      </c>
      <c r="BK756" s="433">
        <f t="shared" si="386"/>
        <v>0</v>
      </c>
      <c r="BL756" s="433">
        <f t="shared" si="387"/>
        <v>2</v>
      </c>
      <c r="BM756" s="433">
        <f t="shared" si="388"/>
        <v>0</v>
      </c>
      <c r="BN756" s="433">
        <f t="shared" si="389"/>
        <v>0</v>
      </c>
      <c r="BO756" s="433">
        <f t="shared" si="390"/>
        <v>0</v>
      </c>
      <c r="BP756" s="433">
        <f t="shared" si="391"/>
        <v>0</v>
      </c>
      <c r="BQ756" s="433">
        <f t="shared" si="392"/>
        <v>0</v>
      </c>
    </row>
    <row r="757" spans="1:69" x14ac:dyDescent="0.2">
      <c r="A757" s="102">
        <v>41871</v>
      </c>
      <c r="B757" s="319">
        <v>2</v>
      </c>
      <c r="C757" s="118" t="s">
        <v>4358</v>
      </c>
      <c r="D757" s="111">
        <v>0.56597222222222221</v>
      </c>
      <c r="E757" s="111">
        <v>0.68472222222222223</v>
      </c>
      <c r="F757" s="319">
        <v>35</v>
      </c>
      <c r="G757" s="445">
        <v>11</v>
      </c>
      <c r="H757" s="319"/>
      <c r="I757" s="319"/>
      <c r="J757" s="426">
        <f t="shared" si="365"/>
        <v>171.00000000000003</v>
      </c>
      <c r="K757" s="103"/>
      <c r="L757" s="103"/>
      <c r="M757" s="103"/>
      <c r="N757" s="427">
        <f t="shared" si="366"/>
        <v>0</v>
      </c>
      <c r="O757" s="103"/>
      <c r="P757" s="103"/>
      <c r="Q757" s="103"/>
      <c r="R757" s="428">
        <f t="shared" si="367"/>
        <v>0</v>
      </c>
      <c r="S757" s="103"/>
      <c r="T757" s="103"/>
      <c r="U757" s="103"/>
      <c r="V757" s="125"/>
      <c r="W757" s="428">
        <f t="shared" si="371"/>
        <v>0</v>
      </c>
      <c r="X757" s="103"/>
      <c r="Y757" s="103">
        <v>2</v>
      </c>
      <c r="Z757" s="125"/>
      <c r="AA757" s="428">
        <f t="shared" si="372"/>
        <v>2</v>
      </c>
      <c r="AB757" s="103"/>
      <c r="AC757" s="103">
        <v>12</v>
      </c>
      <c r="AD757" s="103"/>
      <c r="AE757" s="428">
        <f t="shared" si="373"/>
        <v>12</v>
      </c>
      <c r="AF757" s="103"/>
      <c r="AG757" s="103"/>
      <c r="AH757" s="103"/>
      <c r="AI757" s="103"/>
      <c r="AJ757" s="428">
        <f t="shared" si="374"/>
        <v>0</v>
      </c>
      <c r="AK757" s="446"/>
      <c r="AL757" s="446"/>
      <c r="AM757" s="446"/>
      <c r="AN757" s="446"/>
      <c r="AO757" s="446"/>
      <c r="AP757" s="446"/>
      <c r="AQ757" s="446"/>
      <c r="AR757" s="431">
        <f t="shared" si="375"/>
        <v>0</v>
      </c>
      <c r="AT757" s="128"/>
      <c r="AU757" s="100" t="s">
        <v>4357</v>
      </c>
      <c r="AV757" s="128" t="s">
        <v>4370</v>
      </c>
      <c r="AW757" s="100" t="s">
        <v>4369</v>
      </c>
      <c r="AX757" s="433">
        <f t="shared" si="376"/>
        <v>0</v>
      </c>
      <c r="AY757" s="433">
        <f t="shared" si="377"/>
        <v>0</v>
      </c>
      <c r="AZ757" s="433">
        <f t="shared" si="378"/>
        <v>0</v>
      </c>
      <c r="BA757" s="433">
        <f t="shared" si="368"/>
        <v>0</v>
      </c>
      <c r="BB757" s="433">
        <f t="shared" si="369"/>
        <v>0</v>
      </c>
      <c r="BC757" s="433">
        <f t="shared" si="370"/>
        <v>0</v>
      </c>
      <c r="BD757" s="433">
        <f t="shared" si="379"/>
        <v>0</v>
      </c>
      <c r="BE757" s="433">
        <f t="shared" si="380"/>
        <v>0</v>
      </c>
      <c r="BF757" s="433">
        <f t="shared" si="381"/>
        <v>0</v>
      </c>
      <c r="BG757" s="433">
        <f t="shared" si="382"/>
        <v>0</v>
      </c>
      <c r="BH757" s="433">
        <f t="shared" si="383"/>
        <v>0</v>
      </c>
      <c r="BI757" s="433">
        <f t="shared" si="384"/>
        <v>2</v>
      </c>
      <c r="BJ757" s="433">
        <f t="shared" si="385"/>
        <v>0</v>
      </c>
      <c r="BK757" s="433">
        <f t="shared" si="386"/>
        <v>0</v>
      </c>
      <c r="BL757" s="433">
        <f t="shared" si="387"/>
        <v>12</v>
      </c>
      <c r="BM757" s="433">
        <f t="shared" si="388"/>
        <v>0</v>
      </c>
      <c r="BN757" s="433">
        <f t="shared" si="389"/>
        <v>0</v>
      </c>
      <c r="BO757" s="433">
        <f t="shared" si="390"/>
        <v>0</v>
      </c>
      <c r="BP757" s="433">
        <f t="shared" si="391"/>
        <v>0</v>
      </c>
      <c r="BQ757" s="433">
        <f t="shared" si="392"/>
        <v>0</v>
      </c>
    </row>
    <row r="758" spans="1:69" x14ac:dyDescent="0.2">
      <c r="A758" s="102">
        <v>41871</v>
      </c>
      <c r="B758" s="319">
        <v>2</v>
      </c>
      <c r="C758" s="118" t="s">
        <v>4356</v>
      </c>
      <c r="D758" s="111">
        <v>0.68472222222222223</v>
      </c>
      <c r="E758" s="111">
        <v>0.83819444444444446</v>
      </c>
      <c r="F758" s="319">
        <v>37</v>
      </c>
      <c r="G758" s="445">
        <v>11</v>
      </c>
      <c r="H758" s="319"/>
      <c r="I758" s="319"/>
      <c r="J758" s="426">
        <f t="shared" si="365"/>
        <v>221</v>
      </c>
      <c r="K758" s="103"/>
      <c r="L758" s="103"/>
      <c r="M758" s="103"/>
      <c r="N758" s="427">
        <f t="shared" si="366"/>
        <v>0</v>
      </c>
      <c r="O758" s="103"/>
      <c r="P758" s="103"/>
      <c r="Q758" s="103"/>
      <c r="R758" s="428">
        <f t="shared" si="367"/>
        <v>0</v>
      </c>
      <c r="S758" s="103">
        <v>2</v>
      </c>
      <c r="T758" s="103"/>
      <c r="U758" s="103"/>
      <c r="V758" s="125">
        <v>1</v>
      </c>
      <c r="W758" s="428">
        <f t="shared" si="371"/>
        <v>3</v>
      </c>
      <c r="X758" s="103"/>
      <c r="Y758" s="103"/>
      <c r="Z758" s="125"/>
      <c r="AA758" s="428">
        <f t="shared" si="372"/>
        <v>0</v>
      </c>
      <c r="AB758" s="103"/>
      <c r="AC758" s="103">
        <v>20</v>
      </c>
      <c r="AD758" s="103"/>
      <c r="AE758" s="428">
        <f t="shared" si="373"/>
        <v>20</v>
      </c>
      <c r="AF758" s="103"/>
      <c r="AG758" s="103">
        <v>2</v>
      </c>
      <c r="AH758" s="103"/>
      <c r="AI758" s="103"/>
      <c r="AJ758" s="428">
        <f t="shared" si="374"/>
        <v>2</v>
      </c>
      <c r="AK758" s="446"/>
      <c r="AL758" s="446"/>
      <c r="AM758" s="446"/>
      <c r="AN758" s="446"/>
      <c r="AO758" s="446"/>
      <c r="AP758" s="446"/>
      <c r="AQ758" s="446"/>
      <c r="AR758" s="431">
        <f t="shared" si="375"/>
        <v>0</v>
      </c>
      <c r="AT758" s="128"/>
      <c r="AU758" s="100" t="s">
        <v>4357</v>
      </c>
      <c r="AV758" s="128" t="s">
        <v>4370</v>
      </c>
      <c r="AW758" s="100" t="s">
        <v>4369</v>
      </c>
      <c r="AX758" s="433">
        <f t="shared" si="376"/>
        <v>0</v>
      </c>
      <c r="AY758" s="433">
        <f t="shared" si="377"/>
        <v>0</v>
      </c>
      <c r="AZ758" s="433">
        <f t="shared" si="378"/>
        <v>0</v>
      </c>
      <c r="BA758" s="433">
        <f t="shared" si="368"/>
        <v>0</v>
      </c>
      <c r="BB758" s="433">
        <f t="shared" si="369"/>
        <v>0</v>
      </c>
      <c r="BC758" s="433">
        <f t="shared" si="370"/>
        <v>0</v>
      </c>
      <c r="BD758" s="433">
        <f t="shared" si="379"/>
        <v>2</v>
      </c>
      <c r="BE758" s="433">
        <f t="shared" si="380"/>
        <v>0</v>
      </c>
      <c r="BF758" s="433">
        <f t="shared" si="381"/>
        <v>0</v>
      </c>
      <c r="BG758" s="433">
        <f t="shared" si="382"/>
        <v>1</v>
      </c>
      <c r="BH758" s="433">
        <f t="shared" si="383"/>
        <v>0</v>
      </c>
      <c r="BI758" s="433">
        <f t="shared" si="384"/>
        <v>0</v>
      </c>
      <c r="BJ758" s="433">
        <f t="shared" si="385"/>
        <v>0</v>
      </c>
      <c r="BK758" s="433">
        <f t="shared" si="386"/>
        <v>0</v>
      </c>
      <c r="BL758" s="433">
        <f t="shared" si="387"/>
        <v>20</v>
      </c>
      <c r="BM758" s="433">
        <f t="shared" si="388"/>
        <v>0</v>
      </c>
      <c r="BN758" s="433">
        <f t="shared" si="389"/>
        <v>0</v>
      </c>
      <c r="BO758" s="433">
        <f t="shared" si="390"/>
        <v>2</v>
      </c>
      <c r="BP758" s="433">
        <f t="shared" si="391"/>
        <v>0</v>
      </c>
      <c r="BQ758" s="433">
        <f t="shared" si="392"/>
        <v>0</v>
      </c>
    </row>
    <row r="759" spans="1:69" x14ac:dyDescent="0.2">
      <c r="A759" s="102">
        <v>41871</v>
      </c>
      <c r="B759" s="319">
        <v>3</v>
      </c>
      <c r="C759" s="118" t="s">
        <v>4361</v>
      </c>
      <c r="D759" s="111">
        <v>0.34027777777777773</v>
      </c>
      <c r="E759" s="111">
        <v>0.57986111111111105</v>
      </c>
      <c r="F759" s="319">
        <v>40</v>
      </c>
      <c r="G759" s="445">
        <v>10</v>
      </c>
      <c r="H759" s="319"/>
      <c r="I759" s="319"/>
      <c r="J759" s="426">
        <f t="shared" si="365"/>
        <v>345</v>
      </c>
      <c r="K759" s="103"/>
      <c r="L759" s="103"/>
      <c r="M759" s="103"/>
      <c r="N759" s="427">
        <f t="shared" si="366"/>
        <v>0</v>
      </c>
      <c r="O759" s="103"/>
      <c r="P759" s="103"/>
      <c r="Q759" s="103"/>
      <c r="R759" s="428">
        <f t="shared" si="367"/>
        <v>0</v>
      </c>
      <c r="S759" s="103"/>
      <c r="T759" s="103"/>
      <c r="U759" s="103"/>
      <c r="V759" s="125"/>
      <c r="W759" s="428">
        <f t="shared" si="371"/>
        <v>0</v>
      </c>
      <c r="X759" s="103"/>
      <c r="Y759" s="103">
        <v>2</v>
      </c>
      <c r="Z759" s="125"/>
      <c r="AA759" s="428">
        <f t="shared" si="372"/>
        <v>2</v>
      </c>
      <c r="AB759" s="103">
        <v>1</v>
      </c>
      <c r="AC759" s="103">
        <v>2</v>
      </c>
      <c r="AD759" s="103"/>
      <c r="AE759" s="428">
        <f t="shared" si="373"/>
        <v>3</v>
      </c>
      <c r="AF759" s="103">
        <v>4</v>
      </c>
      <c r="AG759" s="103"/>
      <c r="AH759" s="103"/>
      <c r="AI759" s="103"/>
      <c r="AJ759" s="428">
        <f t="shared" si="374"/>
        <v>4</v>
      </c>
      <c r="AK759" s="446"/>
      <c r="AL759" s="446"/>
      <c r="AM759" s="446"/>
      <c r="AN759" s="446"/>
      <c r="AO759" s="446"/>
      <c r="AP759" s="446"/>
      <c r="AQ759" s="446"/>
      <c r="AR759" s="431">
        <f t="shared" si="375"/>
        <v>0</v>
      </c>
      <c r="AT759" s="128"/>
      <c r="AU759" s="100" t="s">
        <v>4354</v>
      </c>
      <c r="AV759" s="128" t="s">
        <v>4370</v>
      </c>
      <c r="AW759" s="100" t="s">
        <v>4369</v>
      </c>
      <c r="AX759" s="433">
        <f t="shared" si="376"/>
        <v>0</v>
      </c>
      <c r="AY759" s="433">
        <f t="shared" si="377"/>
        <v>0</v>
      </c>
      <c r="AZ759" s="433">
        <f t="shared" si="378"/>
        <v>0</v>
      </c>
      <c r="BA759" s="433">
        <f t="shared" si="368"/>
        <v>0</v>
      </c>
      <c r="BB759" s="433">
        <f t="shared" si="369"/>
        <v>0</v>
      </c>
      <c r="BC759" s="433">
        <f t="shared" si="370"/>
        <v>0</v>
      </c>
      <c r="BD759" s="433">
        <f t="shared" si="379"/>
        <v>0</v>
      </c>
      <c r="BE759" s="433">
        <f t="shared" si="380"/>
        <v>0</v>
      </c>
      <c r="BF759" s="433">
        <f t="shared" si="381"/>
        <v>0</v>
      </c>
      <c r="BG759" s="433">
        <f t="shared" si="382"/>
        <v>0</v>
      </c>
      <c r="BH759" s="433">
        <f t="shared" si="383"/>
        <v>0</v>
      </c>
      <c r="BI759" s="433">
        <f t="shared" si="384"/>
        <v>2</v>
      </c>
      <c r="BJ759" s="433">
        <f t="shared" si="385"/>
        <v>0</v>
      </c>
      <c r="BK759" s="433">
        <f t="shared" si="386"/>
        <v>1</v>
      </c>
      <c r="BL759" s="433">
        <f t="shared" si="387"/>
        <v>2</v>
      </c>
      <c r="BM759" s="433">
        <f t="shared" si="388"/>
        <v>0</v>
      </c>
      <c r="BN759" s="433">
        <f t="shared" si="389"/>
        <v>4</v>
      </c>
      <c r="BO759" s="433">
        <f t="shared" si="390"/>
        <v>0</v>
      </c>
      <c r="BP759" s="433">
        <f t="shared" si="391"/>
        <v>0</v>
      </c>
      <c r="BQ759" s="433">
        <f t="shared" si="392"/>
        <v>0</v>
      </c>
    </row>
    <row r="760" spans="1:69" s="291" customFormat="1" x14ac:dyDescent="0.2">
      <c r="A760" s="317">
        <v>41871</v>
      </c>
      <c r="B760" s="318">
        <v>3</v>
      </c>
      <c r="C760" s="320" t="s">
        <v>4358</v>
      </c>
      <c r="D760" s="321">
        <v>0.57986111111111105</v>
      </c>
      <c r="E760" s="321">
        <v>0.84027777777777779</v>
      </c>
      <c r="F760" s="318">
        <v>43</v>
      </c>
      <c r="G760" s="435">
        <v>11</v>
      </c>
      <c r="H760" s="318"/>
      <c r="I760" s="318"/>
      <c r="J760" s="437">
        <f t="shared" si="365"/>
        <v>375.00000000000011</v>
      </c>
      <c r="K760" s="285"/>
      <c r="L760" s="285"/>
      <c r="M760" s="285"/>
      <c r="N760" s="438">
        <f t="shared" si="366"/>
        <v>0</v>
      </c>
      <c r="O760" s="285"/>
      <c r="P760" s="285"/>
      <c r="Q760" s="285"/>
      <c r="R760" s="439">
        <f t="shared" si="367"/>
        <v>0</v>
      </c>
      <c r="S760" s="285"/>
      <c r="T760" s="285"/>
      <c r="U760" s="285"/>
      <c r="V760" s="440"/>
      <c r="W760" s="439">
        <f t="shared" si="371"/>
        <v>0</v>
      </c>
      <c r="X760" s="285"/>
      <c r="Y760" s="285">
        <v>1</v>
      </c>
      <c r="Z760" s="440"/>
      <c r="AA760" s="439">
        <f t="shared" si="372"/>
        <v>1</v>
      </c>
      <c r="AB760" s="285"/>
      <c r="AC760" s="285">
        <v>4</v>
      </c>
      <c r="AD760" s="285"/>
      <c r="AE760" s="439">
        <f t="shared" si="373"/>
        <v>4</v>
      </c>
      <c r="AF760" s="285">
        <v>2</v>
      </c>
      <c r="AG760" s="285">
        <v>6</v>
      </c>
      <c r="AH760" s="285"/>
      <c r="AI760" s="285"/>
      <c r="AJ760" s="439">
        <f t="shared" si="374"/>
        <v>8</v>
      </c>
      <c r="AK760" s="340">
        <v>1</v>
      </c>
      <c r="AL760" s="340"/>
      <c r="AM760" s="340">
        <v>1</v>
      </c>
      <c r="AN760" s="340"/>
      <c r="AO760" s="340"/>
      <c r="AP760" s="340"/>
      <c r="AQ760" s="340"/>
      <c r="AR760" s="441">
        <f t="shared" si="375"/>
        <v>2</v>
      </c>
      <c r="AT760" s="313"/>
      <c r="AU760" s="289" t="s">
        <v>4353</v>
      </c>
      <c r="AV760" s="313" t="s">
        <v>4370</v>
      </c>
      <c r="AW760" s="382" t="s">
        <v>4369</v>
      </c>
      <c r="AX760" s="443">
        <f t="shared" si="376"/>
        <v>0</v>
      </c>
      <c r="AY760" s="443">
        <f t="shared" si="377"/>
        <v>0</v>
      </c>
      <c r="AZ760" s="443">
        <f t="shared" si="378"/>
        <v>0</v>
      </c>
      <c r="BA760" s="443">
        <f t="shared" si="368"/>
        <v>0</v>
      </c>
      <c r="BB760" s="443">
        <f t="shared" si="369"/>
        <v>0</v>
      </c>
      <c r="BC760" s="443">
        <f t="shared" si="370"/>
        <v>0</v>
      </c>
      <c r="BD760" s="443">
        <f t="shared" si="379"/>
        <v>0</v>
      </c>
      <c r="BE760" s="443">
        <f t="shared" si="380"/>
        <v>0</v>
      </c>
      <c r="BF760" s="443">
        <f t="shared" si="381"/>
        <v>0</v>
      </c>
      <c r="BG760" s="443">
        <f t="shared" si="382"/>
        <v>0</v>
      </c>
      <c r="BH760" s="443">
        <f t="shared" si="383"/>
        <v>0</v>
      </c>
      <c r="BI760" s="443">
        <f t="shared" si="384"/>
        <v>1</v>
      </c>
      <c r="BJ760" s="443">
        <f t="shared" si="385"/>
        <v>0</v>
      </c>
      <c r="BK760" s="443">
        <f t="shared" si="386"/>
        <v>0</v>
      </c>
      <c r="BL760" s="443">
        <f t="shared" si="387"/>
        <v>4</v>
      </c>
      <c r="BM760" s="443">
        <f t="shared" si="388"/>
        <v>0</v>
      </c>
      <c r="BN760" s="443">
        <f t="shared" si="389"/>
        <v>2</v>
      </c>
      <c r="BO760" s="443">
        <f t="shared" si="390"/>
        <v>6</v>
      </c>
      <c r="BP760" s="443">
        <f t="shared" si="391"/>
        <v>0</v>
      </c>
      <c r="BQ760" s="443">
        <f t="shared" si="392"/>
        <v>0</v>
      </c>
    </row>
    <row r="761" spans="1:69" x14ac:dyDescent="0.2">
      <c r="A761" s="102">
        <v>41872</v>
      </c>
      <c r="B761" s="319">
        <v>1</v>
      </c>
      <c r="C761" s="118" t="s">
        <v>1556</v>
      </c>
      <c r="D761" s="111">
        <v>0.3444444444444445</v>
      </c>
      <c r="E761" s="111">
        <v>0.45555555555555555</v>
      </c>
      <c r="F761" s="319">
        <v>56</v>
      </c>
      <c r="G761" s="445">
        <v>10</v>
      </c>
      <c r="H761" s="319"/>
      <c r="I761" s="319"/>
      <c r="J761" s="426">
        <f t="shared" si="365"/>
        <v>159.99999999999991</v>
      </c>
      <c r="K761" s="103"/>
      <c r="L761" s="103"/>
      <c r="M761" s="103"/>
      <c r="N761" s="427">
        <f t="shared" si="366"/>
        <v>0</v>
      </c>
      <c r="O761" s="103"/>
      <c r="P761" s="103"/>
      <c r="Q761" s="103"/>
      <c r="R761" s="428">
        <f t="shared" si="367"/>
        <v>0</v>
      </c>
      <c r="S761" s="103"/>
      <c r="T761" s="103"/>
      <c r="U761" s="103"/>
      <c r="V761" s="125"/>
      <c r="W761" s="428">
        <f t="shared" si="371"/>
        <v>0</v>
      </c>
      <c r="X761" s="103"/>
      <c r="Y761" s="103">
        <v>2</v>
      </c>
      <c r="Z761" s="125"/>
      <c r="AA761" s="428">
        <f t="shared" si="372"/>
        <v>2</v>
      </c>
      <c r="AB761" s="103"/>
      <c r="AC761" s="103">
        <v>5</v>
      </c>
      <c r="AD761" s="103"/>
      <c r="AE761" s="428">
        <f t="shared" si="373"/>
        <v>5</v>
      </c>
      <c r="AF761" s="103">
        <v>3</v>
      </c>
      <c r="AG761" s="103"/>
      <c r="AH761" s="103"/>
      <c r="AI761" s="103"/>
      <c r="AJ761" s="428">
        <f t="shared" si="374"/>
        <v>3</v>
      </c>
      <c r="AK761" s="446"/>
      <c r="AL761" s="446"/>
      <c r="AM761" s="446"/>
      <c r="AN761" s="446"/>
      <c r="AO761" s="446"/>
      <c r="AP761" s="446"/>
      <c r="AQ761" s="446"/>
      <c r="AR761" s="431">
        <f t="shared" si="375"/>
        <v>0</v>
      </c>
      <c r="AT761" s="128"/>
      <c r="AU761" s="100" t="s">
        <v>4371</v>
      </c>
      <c r="AV761" s="128" t="s">
        <v>4391</v>
      </c>
      <c r="AW761" s="100" t="s">
        <v>4392</v>
      </c>
      <c r="AX761" s="433">
        <f t="shared" si="376"/>
        <v>0</v>
      </c>
      <c r="AY761" s="433">
        <f t="shared" si="377"/>
        <v>0</v>
      </c>
      <c r="AZ761" s="433">
        <f t="shared" si="378"/>
        <v>0</v>
      </c>
      <c r="BA761" s="433">
        <f t="shared" si="368"/>
        <v>0</v>
      </c>
      <c r="BB761" s="433">
        <f t="shared" si="369"/>
        <v>0</v>
      </c>
      <c r="BC761" s="433">
        <f t="shared" si="370"/>
        <v>0</v>
      </c>
      <c r="BD761" s="433">
        <f t="shared" si="379"/>
        <v>0</v>
      </c>
      <c r="BE761" s="433">
        <f t="shared" si="380"/>
        <v>0</v>
      </c>
      <c r="BF761" s="433">
        <f t="shared" si="381"/>
        <v>0</v>
      </c>
      <c r="BG761" s="433">
        <f t="shared" si="382"/>
        <v>0</v>
      </c>
      <c r="BH761" s="433">
        <f t="shared" si="383"/>
        <v>0</v>
      </c>
      <c r="BI761" s="433">
        <f t="shared" si="384"/>
        <v>2</v>
      </c>
      <c r="BJ761" s="433">
        <f t="shared" si="385"/>
        <v>0</v>
      </c>
      <c r="BK761" s="433">
        <f t="shared" si="386"/>
        <v>0</v>
      </c>
      <c r="BL761" s="433">
        <f t="shared" si="387"/>
        <v>5</v>
      </c>
      <c r="BM761" s="433">
        <f t="shared" si="388"/>
        <v>0</v>
      </c>
      <c r="BN761" s="433">
        <f t="shared" si="389"/>
        <v>3</v>
      </c>
      <c r="BO761" s="433">
        <f t="shared" si="390"/>
        <v>0</v>
      </c>
      <c r="BP761" s="433">
        <f t="shared" si="391"/>
        <v>0</v>
      </c>
      <c r="BQ761" s="433">
        <f t="shared" si="392"/>
        <v>0</v>
      </c>
    </row>
    <row r="762" spans="1:69" x14ac:dyDescent="0.2">
      <c r="A762" s="102">
        <v>41872</v>
      </c>
      <c r="B762" s="319">
        <v>1</v>
      </c>
      <c r="C762" s="118" t="s">
        <v>4372</v>
      </c>
      <c r="D762" s="111">
        <v>0.45555555555555555</v>
      </c>
      <c r="E762" s="111">
        <v>0.58194444444444449</v>
      </c>
      <c r="F762" s="319">
        <v>54</v>
      </c>
      <c r="G762" s="445">
        <v>11</v>
      </c>
      <c r="H762" s="319"/>
      <c r="I762" s="319"/>
      <c r="J762" s="426">
        <f t="shared" si="365"/>
        <v>182.00000000000009</v>
      </c>
      <c r="K762" s="103"/>
      <c r="L762" s="103"/>
      <c r="M762" s="103"/>
      <c r="N762" s="427">
        <f t="shared" si="366"/>
        <v>0</v>
      </c>
      <c r="O762" s="103"/>
      <c r="P762" s="103"/>
      <c r="Q762" s="103"/>
      <c r="R762" s="428">
        <f t="shared" si="367"/>
        <v>0</v>
      </c>
      <c r="S762" s="103"/>
      <c r="T762" s="103"/>
      <c r="U762" s="103"/>
      <c r="V762" s="125"/>
      <c r="W762" s="428">
        <f t="shared" si="371"/>
        <v>0</v>
      </c>
      <c r="X762" s="103"/>
      <c r="Y762" s="103">
        <v>2</v>
      </c>
      <c r="Z762" s="125"/>
      <c r="AA762" s="428">
        <f t="shared" si="372"/>
        <v>2</v>
      </c>
      <c r="AB762" s="103"/>
      <c r="AC762" s="103">
        <v>10</v>
      </c>
      <c r="AD762" s="103"/>
      <c r="AE762" s="428">
        <f t="shared" si="373"/>
        <v>10</v>
      </c>
      <c r="AF762" s="103">
        <v>1</v>
      </c>
      <c r="AG762" s="103"/>
      <c r="AH762" s="103"/>
      <c r="AI762" s="103"/>
      <c r="AJ762" s="428">
        <f t="shared" si="374"/>
        <v>1</v>
      </c>
      <c r="AK762" s="446"/>
      <c r="AL762" s="446"/>
      <c r="AM762" s="446"/>
      <c r="AN762" s="446"/>
      <c r="AO762" s="446"/>
      <c r="AP762" s="446"/>
      <c r="AQ762" s="446"/>
      <c r="AR762" s="431">
        <f t="shared" si="375"/>
        <v>0</v>
      </c>
      <c r="AT762" s="128"/>
      <c r="AU762" s="100" t="s">
        <v>4373</v>
      </c>
      <c r="AV762" s="128" t="s">
        <v>4391</v>
      </c>
      <c r="AW762" s="100" t="s">
        <v>4392</v>
      </c>
      <c r="AX762" s="433">
        <f t="shared" si="376"/>
        <v>0</v>
      </c>
      <c r="AY762" s="433">
        <f t="shared" si="377"/>
        <v>0</v>
      </c>
      <c r="AZ762" s="433">
        <f t="shared" si="378"/>
        <v>0</v>
      </c>
      <c r="BA762" s="433">
        <f t="shared" si="368"/>
        <v>0</v>
      </c>
      <c r="BB762" s="433">
        <f t="shared" si="369"/>
        <v>0</v>
      </c>
      <c r="BC762" s="433">
        <f t="shared" si="370"/>
        <v>0</v>
      </c>
      <c r="BD762" s="433">
        <f t="shared" si="379"/>
        <v>0</v>
      </c>
      <c r="BE762" s="433">
        <f t="shared" si="380"/>
        <v>0</v>
      </c>
      <c r="BF762" s="433">
        <f t="shared" si="381"/>
        <v>0</v>
      </c>
      <c r="BG762" s="433">
        <f t="shared" si="382"/>
        <v>0</v>
      </c>
      <c r="BH762" s="433">
        <f t="shared" si="383"/>
        <v>0</v>
      </c>
      <c r="BI762" s="433">
        <f t="shared" si="384"/>
        <v>2</v>
      </c>
      <c r="BJ762" s="433">
        <f t="shared" si="385"/>
        <v>0</v>
      </c>
      <c r="BK762" s="433">
        <f t="shared" si="386"/>
        <v>0</v>
      </c>
      <c r="BL762" s="433">
        <f t="shared" si="387"/>
        <v>10</v>
      </c>
      <c r="BM762" s="433">
        <f t="shared" si="388"/>
        <v>0</v>
      </c>
      <c r="BN762" s="433">
        <f t="shared" si="389"/>
        <v>1</v>
      </c>
      <c r="BO762" s="433">
        <f t="shared" si="390"/>
        <v>0</v>
      </c>
      <c r="BP762" s="433">
        <f t="shared" si="391"/>
        <v>0</v>
      </c>
      <c r="BQ762" s="433">
        <f t="shared" si="392"/>
        <v>0</v>
      </c>
    </row>
    <row r="763" spans="1:69" x14ac:dyDescent="0.2">
      <c r="A763" s="102">
        <v>41872</v>
      </c>
      <c r="B763" s="319">
        <v>1</v>
      </c>
      <c r="C763" s="118" t="s">
        <v>4374</v>
      </c>
      <c r="D763" s="111">
        <v>0.58194444444444449</v>
      </c>
      <c r="E763" s="111">
        <v>0.69374999999999998</v>
      </c>
      <c r="F763" s="319">
        <v>55</v>
      </c>
      <c r="G763" s="445">
        <v>12</v>
      </c>
      <c r="H763" s="319"/>
      <c r="I763" s="319"/>
      <c r="J763" s="426">
        <f t="shared" si="365"/>
        <v>160.99999999999991</v>
      </c>
      <c r="K763" s="103"/>
      <c r="L763" s="103"/>
      <c r="M763" s="103"/>
      <c r="N763" s="427">
        <f t="shared" si="366"/>
        <v>0</v>
      </c>
      <c r="O763" s="103"/>
      <c r="P763" s="103"/>
      <c r="Q763" s="103"/>
      <c r="R763" s="428">
        <f t="shared" si="367"/>
        <v>0</v>
      </c>
      <c r="S763" s="103"/>
      <c r="T763" s="103"/>
      <c r="U763" s="103"/>
      <c r="V763" s="125"/>
      <c r="W763" s="428">
        <f t="shared" si="371"/>
        <v>0</v>
      </c>
      <c r="X763" s="103"/>
      <c r="Y763" s="103"/>
      <c r="Z763" s="125"/>
      <c r="AA763" s="428">
        <f t="shared" si="372"/>
        <v>0</v>
      </c>
      <c r="AB763" s="103"/>
      <c r="AC763" s="103">
        <v>14</v>
      </c>
      <c r="AD763" s="103"/>
      <c r="AE763" s="428">
        <f t="shared" si="373"/>
        <v>14</v>
      </c>
      <c r="AF763" s="103">
        <v>1</v>
      </c>
      <c r="AG763" s="103"/>
      <c r="AH763" s="103"/>
      <c r="AI763" s="103"/>
      <c r="AJ763" s="428">
        <f t="shared" si="374"/>
        <v>1</v>
      </c>
      <c r="AK763" s="446"/>
      <c r="AL763" s="446"/>
      <c r="AM763" s="446"/>
      <c r="AN763" s="446"/>
      <c r="AO763" s="446"/>
      <c r="AP763" s="446"/>
      <c r="AQ763" s="446"/>
      <c r="AR763" s="431">
        <f t="shared" si="375"/>
        <v>0</v>
      </c>
      <c r="AT763" s="128"/>
      <c r="AU763" s="100" t="s">
        <v>4375</v>
      </c>
      <c r="AV763" s="128" t="s">
        <v>4391</v>
      </c>
      <c r="AW763" s="100" t="s">
        <v>4392</v>
      </c>
      <c r="AX763" s="433">
        <f t="shared" si="376"/>
        <v>0</v>
      </c>
      <c r="AY763" s="433">
        <f t="shared" si="377"/>
        <v>0</v>
      </c>
      <c r="AZ763" s="433">
        <f t="shared" si="378"/>
        <v>0</v>
      </c>
      <c r="BA763" s="433">
        <f t="shared" si="368"/>
        <v>0</v>
      </c>
      <c r="BB763" s="433">
        <f t="shared" si="369"/>
        <v>0</v>
      </c>
      <c r="BC763" s="433">
        <f t="shared" si="370"/>
        <v>0</v>
      </c>
      <c r="BD763" s="433">
        <f t="shared" si="379"/>
        <v>0</v>
      </c>
      <c r="BE763" s="433">
        <f t="shared" si="380"/>
        <v>0</v>
      </c>
      <c r="BF763" s="433">
        <f t="shared" si="381"/>
        <v>0</v>
      </c>
      <c r="BG763" s="433">
        <f t="shared" si="382"/>
        <v>0</v>
      </c>
      <c r="BH763" s="433">
        <f t="shared" si="383"/>
        <v>0</v>
      </c>
      <c r="BI763" s="433">
        <f t="shared" si="384"/>
        <v>0</v>
      </c>
      <c r="BJ763" s="433">
        <f t="shared" si="385"/>
        <v>0</v>
      </c>
      <c r="BK763" s="433">
        <f t="shared" si="386"/>
        <v>0</v>
      </c>
      <c r="BL763" s="433">
        <f t="shared" si="387"/>
        <v>14</v>
      </c>
      <c r="BM763" s="433">
        <f t="shared" si="388"/>
        <v>0</v>
      </c>
      <c r="BN763" s="433">
        <f t="shared" si="389"/>
        <v>1</v>
      </c>
      <c r="BO763" s="433">
        <f t="shared" si="390"/>
        <v>0</v>
      </c>
      <c r="BP763" s="433">
        <f t="shared" si="391"/>
        <v>0</v>
      </c>
      <c r="BQ763" s="433">
        <f t="shared" si="392"/>
        <v>0</v>
      </c>
    </row>
    <row r="764" spans="1:69" x14ac:dyDescent="0.2">
      <c r="A764" s="102">
        <v>41872</v>
      </c>
      <c r="B764" s="319">
        <v>1</v>
      </c>
      <c r="C764" s="118" t="s">
        <v>4255</v>
      </c>
      <c r="D764" s="111">
        <v>0.69374999999999998</v>
      </c>
      <c r="E764" s="111">
        <v>0.84444444444444444</v>
      </c>
      <c r="F764" s="319">
        <v>55</v>
      </c>
      <c r="G764" s="445">
        <v>13</v>
      </c>
      <c r="H764" s="319"/>
      <c r="I764" s="319"/>
      <c r="J764" s="426">
        <f t="shared" si="365"/>
        <v>217.00000000000003</v>
      </c>
      <c r="K764" s="103"/>
      <c r="L764" s="103"/>
      <c r="M764" s="103"/>
      <c r="N764" s="427">
        <f t="shared" si="366"/>
        <v>0</v>
      </c>
      <c r="O764" s="103"/>
      <c r="P764" s="103"/>
      <c r="Q764" s="103"/>
      <c r="R764" s="428">
        <f t="shared" si="367"/>
        <v>0</v>
      </c>
      <c r="S764" s="103"/>
      <c r="T764" s="103"/>
      <c r="U764" s="103"/>
      <c r="V764" s="125"/>
      <c r="W764" s="428">
        <f t="shared" si="371"/>
        <v>0</v>
      </c>
      <c r="X764" s="103"/>
      <c r="Y764" s="103">
        <v>1</v>
      </c>
      <c r="Z764" s="125"/>
      <c r="AA764" s="428">
        <f t="shared" si="372"/>
        <v>1</v>
      </c>
      <c r="AB764" s="103"/>
      <c r="AC764" s="103">
        <v>8</v>
      </c>
      <c r="AD764" s="103"/>
      <c r="AE764" s="428">
        <f t="shared" si="373"/>
        <v>8</v>
      </c>
      <c r="AF764" s="103"/>
      <c r="AG764" s="103">
        <v>2</v>
      </c>
      <c r="AH764" s="103"/>
      <c r="AI764" s="103"/>
      <c r="AJ764" s="428">
        <f t="shared" si="374"/>
        <v>2</v>
      </c>
      <c r="AK764" s="446"/>
      <c r="AL764" s="446"/>
      <c r="AM764" s="446"/>
      <c r="AN764" s="446"/>
      <c r="AO764" s="446"/>
      <c r="AP764" s="446"/>
      <c r="AQ764" s="446"/>
      <c r="AR764" s="431">
        <f t="shared" si="375"/>
        <v>0</v>
      </c>
      <c r="AT764" s="128"/>
      <c r="AU764" s="100" t="s">
        <v>4376</v>
      </c>
      <c r="AV764" s="128" t="s">
        <v>4391</v>
      </c>
      <c r="AW764" s="100" t="s">
        <v>4392</v>
      </c>
      <c r="AX764" s="433">
        <f t="shared" si="376"/>
        <v>0</v>
      </c>
      <c r="AY764" s="433">
        <f t="shared" si="377"/>
        <v>0</v>
      </c>
      <c r="AZ764" s="433">
        <f t="shared" si="378"/>
        <v>0</v>
      </c>
      <c r="BA764" s="433">
        <f t="shared" si="368"/>
        <v>0</v>
      </c>
      <c r="BB764" s="433">
        <f t="shared" si="369"/>
        <v>0</v>
      </c>
      <c r="BC764" s="433">
        <f t="shared" si="370"/>
        <v>0</v>
      </c>
      <c r="BD764" s="433">
        <f t="shared" si="379"/>
        <v>0</v>
      </c>
      <c r="BE764" s="433">
        <f t="shared" si="380"/>
        <v>0</v>
      </c>
      <c r="BF764" s="433">
        <f t="shared" si="381"/>
        <v>0</v>
      </c>
      <c r="BG764" s="433">
        <f t="shared" si="382"/>
        <v>0</v>
      </c>
      <c r="BH764" s="433">
        <f t="shared" si="383"/>
        <v>0</v>
      </c>
      <c r="BI764" s="433">
        <f t="shared" si="384"/>
        <v>1</v>
      </c>
      <c r="BJ764" s="433">
        <f t="shared" si="385"/>
        <v>0</v>
      </c>
      <c r="BK764" s="433">
        <f t="shared" si="386"/>
        <v>0</v>
      </c>
      <c r="BL764" s="433">
        <f t="shared" si="387"/>
        <v>8</v>
      </c>
      <c r="BM764" s="433">
        <f t="shared" si="388"/>
        <v>0</v>
      </c>
      <c r="BN764" s="433">
        <f t="shared" si="389"/>
        <v>0</v>
      </c>
      <c r="BO764" s="433">
        <f t="shared" si="390"/>
        <v>2</v>
      </c>
      <c r="BP764" s="433">
        <f t="shared" si="391"/>
        <v>0</v>
      </c>
      <c r="BQ764" s="433">
        <f t="shared" si="392"/>
        <v>0</v>
      </c>
    </row>
    <row r="765" spans="1:69" x14ac:dyDescent="0.2">
      <c r="A765" s="102">
        <v>41872</v>
      </c>
      <c r="B765" s="319">
        <v>2</v>
      </c>
      <c r="C765" s="118" t="s">
        <v>1556</v>
      </c>
      <c r="D765" s="111">
        <v>0.33888888888888885</v>
      </c>
      <c r="E765" s="111">
        <v>0.44861111111111113</v>
      </c>
      <c r="F765" s="319">
        <v>37</v>
      </c>
      <c r="G765" s="445">
        <v>11</v>
      </c>
      <c r="H765" s="319"/>
      <c r="I765" s="319"/>
      <c r="J765" s="426">
        <f t="shared" si="365"/>
        <v>158.00000000000009</v>
      </c>
      <c r="K765" s="103"/>
      <c r="L765" s="103"/>
      <c r="M765" s="103"/>
      <c r="N765" s="427">
        <f t="shared" si="366"/>
        <v>0</v>
      </c>
      <c r="O765" s="103"/>
      <c r="P765" s="103"/>
      <c r="Q765" s="103"/>
      <c r="R765" s="428">
        <f t="shared" si="367"/>
        <v>0</v>
      </c>
      <c r="S765" s="103"/>
      <c r="T765" s="103"/>
      <c r="U765" s="103"/>
      <c r="V765" s="125"/>
      <c r="W765" s="428">
        <f t="shared" si="371"/>
        <v>0</v>
      </c>
      <c r="X765" s="103"/>
      <c r="Y765" s="103"/>
      <c r="Z765" s="125"/>
      <c r="AA765" s="428">
        <f t="shared" si="372"/>
        <v>0</v>
      </c>
      <c r="AB765" s="103">
        <v>1</v>
      </c>
      <c r="AC765" s="103">
        <v>7</v>
      </c>
      <c r="AD765" s="103"/>
      <c r="AE765" s="428">
        <f t="shared" si="373"/>
        <v>8</v>
      </c>
      <c r="AF765" s="103"/>
      <c r="AG765" s="103"/>
      <c r="AH765" s="103"/>
      <c r="AI765" s="103"/>
      <c r="AJ765" s="428">
        <f t="shared" si="374"/>
        <v>0</v>
      </c>
      <c r="AK765" s="446"/>
      <c r="AL765" s="446"/>
      <c r="AM765" s="446"/>
      <c r="AN765" s="446"/>
      <c r="AO765" s="446"/>
      <c r="AP765" s="446"/>
      <c r="AQ765" s="446"/>
      <c r="AR765" s="431">
        <f t="shared" si="375"/>
        <v>0</v>
      </c>
      <c r="AS765" s="10" t="s">
        <v>4377</v>
      </c>
      <c r="AT765" s="128"/>
      <c r="AU765" s="100" t="s">
        <v>4371</v>
      </c>
      <c r="AV765" s="128" t="s">
        <v>4391</v>
      </c>
      <c r="AW765" s="100" t="s">
        <v>4392</v>
      </c>
      <c r="AX765" s="433">
        <f t="shared" si="376"/>
        <v>0</v>
      </c>
      <c r="AY765" s="433">
        <f t="shared" si="377"/>
        <v>0</v>
      </c>
      <c r="AZ765" s="433">
        <f t="shared" si="378"/>
        <v>0</v>
      </c>
      <c r="BA765" s="433">
        <f t="shared" si="368"/>
        <v>0</v>
      </c>
      <c r="BB765" s="433">
        <f t="shared" si="369"/>
        <v>0</v>
      </c>
      <c r="BC765" s="433">
        <f t="shared" si="370"/>
        <v>0</v>
      </c>
      <c r="BD765" s="433">
        <f t="shared" si="379"/>
        <v>0</v>
      </c>
      <c r="BE765" s="433">
        <f t="shared" si="380"/>
        <v>0</v>
      </c>
      <c r="BF765" s="433">
        <f t="shared" si="381"/>
        <v>0</v>
      </c>
      <c r="BG765" s="433">
        <f t="shared" si="382"/>
        <v>0</v>
      </c>
      <c r="BH765" s="433">
        <f t="shared" si="383"/>
        <v>0</v>
      </c>
      <c r="BI765" s="433">
        <f t="shared" si="384"/>
        <v>0</v>
      </c>
      <c r="BJ765" s="433">
        <f t="shared" si="385"/>
        <v>0</v>
      </c>
      <c r="BK765" s="433">
        <f t="shared" si="386"/>
        <v>1</v>
      </c>
      <c r="BL765" s="433">
        <f t="shared" si="387"/>
        <v>7</v>
      </c>
      <c r="BM765" s="433">
        <f t="shared" si="388"/>
        <v>0</v>
      </c>
      <c r="BN765" s="433">
        <f t="shared" si="389"/>
        <v>0</v>
      </c>
      <c r="BO765" s="433">
        <f t="shared" si="390"/>
        <v>0</v>
      </c>
      <c r="BP765" s="433">
        <f t="shared" si="391"/>
        <v>0</v>
      </c>
      <c r="BQ765" s="433">
        <f t="shared" si="392"/>
        <v>0</v>
      </c>
    </row>
    <row r="766" spans="1:69" x14ac:dyDescent="0.2">
      <c r="A766" s="102">
        <v>41872</v>
      </c>
      <c r="B766" s="319">
        <v>2</v>
      </c>
      <c r="C766" s="118" t="s">
        <v>4378</v>
      </c>
      <c r="D766" s="111">
        <v>0.44861111111111113</v>
      </c>
      <c r="E766" s="111">
        <v>0.56874999999999998</v>
      </c>
      <c r="F766" s="319">
        <v>35</v>
      </c>
      <c r="G766" s="445">
        <v>11</v>
      </c>
      <c r="H766" s="319"/>
      <c r="I766" s="319"/>
      <c r="J766" s="426">
        <f t="shared" si="365"/>
        <v>172.99999999999994</v>
      </c>
      <c r="K766" s="103"/>
      <c r="L766" s="103"/>
      <c r="M766" s="103"/>
      <c r="N766" s="427">
        <f t="shared" si="366"/>
        <v>0</v>
      </c>
      <c r="O766" s="103"/>
      <c r="P766" s="103"/>
      <c r="Q766" s="103"/>
      <c r="R766" s="428">
        <f t="shared" si="367"/>
        <v>0</v>
      </c>
      <c r="S766" s="103">
        <v>1</v>
      </c>
      <c r="T766" s="103"/>
      <c r="U766" s="103"/>
      <c r="V766" s="125"/>
      <c r="W766" s="428">
        <f t="shared" si="371"/>
        <v>1</v>
      </c>
      <c r="X766" s="103"/>
      <c r="Y766" s="103"/>
      <c r="Z766" s="125"/>
      <c r="AA766" s="428">
        <f t="shared" si="372"/>
        <v>0</v>
      </c>
      <c r="AB766" s="103"/>
      <c r="AC766" s="103">
        <v>4</v>
      </c>
      <c r="AD766" s="103"/>
      <c r="AE766" s="428">
        <f t="shared" si="373"/>
        <v>4</v>
      </c>
      <c r="AF766" s="103"/>
      <c r="AG766" s="103"/>
      <c r="AH766" s="103"/>
      <c r="AI766" s="103"/>
      <c r="AJ766" s="428">
        <f t="shared" si="374"/>
        <v>0</v>
      </c>
      <c r="AK766" s="446"/>
      <c r="AL766" s="446"/>
      <c r="AM766" s="446"/>
      <c r="AN766" s="446"/>
      <c r="AO766" s="446"/>
      <c r="AP766" s="446"/>
      <c r="AQ766" s="446"/>
      <c r="AR766" s="431">
        <f t="shared" si="375"/>
        <v>0</v>
      </c>
      <c r="AS766" s="10" t="s">
        <v>4379</v>
      </c>
      <c r="AT766" s="128"/>
      <c r="AU766" s="100" t="s">
        <v>4375</v>
      </c>
      <c r="AV766" s="128" t="s">
        <v>4391</v>
      </c>
      <c r="AW766" s="100" t="s">
        <v>4392</v>
      </c>
      <c r="AX766" s="433">
        <f t="shared" si="376"/>
        <v>0</v>
      </c>
      <c r="AY766" s="433">
        <f t="shared" si="377"/>
        <v>0</v>
      </c>
      <c r="AZ766" s="433">
        <f t="shared" si="378"/>
        <v>0</v>
      </c>
      <c r="BA766" s="433">
        <f t="shared" si="368"/>
        <v>0</v>
      </c>
      <c r="BB766" s="433">
        <f t="shared" si="369"/>
        <v>0</v>
      </c>
      <c r="BC766" s="433">
        <f t="shared" si="370"/>
        <v>0</v>
      </c>
      <c r="BD766" s="433">
        <f t="shared" si="379"/>
        <v>1</v>
      </c>
      <c r="BE766" s="433">
        <f t="shared" si="380"/>
        <v>0</v>
      </c>
      <c r="BF766" s="433">
        <f t="shared" si="381"/>
        <v>0</v>
      </c>
      <c r="BG766" s="433">
        <f t="shared" si="382"/>
        <v>0</v>
      </c>
      <c r="BH766" s="433">
        <f t="shared" si="383"/>
        <v>0</v>
      </c>
      <c r="BI766" s="433">
        <f t="shared" si="384"/>
        <v>0</v>
      </c>
      <c r="BJ766" s="433">
        <f t="shared" si="385"/>
        <v>0</v>
      </c>
      <c r="BK766" s="433">
        <f t="shared" si="386"/>
        <v>0</v>
      </c>
      <c r="BL766" s="433">
        <f t="shared" si="387"/>
        <v>4</v>
      </c>
      <c r="BM766" s="433">
        <f t="shared" si="388"/>
        <v>0</v>
      </c>
      <c r="BN766" s="433">
        <f t="shared" si="389"/>
        <v>0</v>
      </c>
      <c r="BO766" s="433">
        <f t="shared" si="390"/>
        <v>0</v>
      </c>
      <c r="BP766" s="433">
        <f t="shared" si="391"/>
        <v>0</v>
      </c>
      <c r="BQ766" s="433">
        <f t="shared" si="392"/>
        <v>0</v>
      </c>
    </row>
    <row r="767" spans="1:69" x14ac:dyDescent="0.2">
      <c r="A767" s="102">
        <v>41872</v>
      </c>
      <c r="B767" s="319">
        <v>2</v>
      </c>
      <c r="C767" s="118" t="s">
        <v>4380</v>
      </c>
      <c r="D767" s="111">
        <v>0.56874999999999998</v>
      </c>
      <c r="E767" s="111">
        <v>0.6875</v>
      </c>
      <c r="F767" s="319">
        <v>36</v>
      </c>
      <c r="G767" s="445">
        <v>12</v>
      </c>
      <c r="H767" s="319"/>
      <c r="I767" s="319"/>
      <c r="J767" s="426">
        <f t="shared" si="365"/>
        <v>171.00000000000003</v>
      </c>
      <c r="K767" s="103"/>
      <c r="L767" s="103"/>
      <c r="M767" s="103"/>
      <c r="N767" s="427">
        <f t="shared" si="366"/>
        <v>0</v>
      </c>
      <c r="O767" s="103"/>
      <c r="P767" s="103"/>
      <c r="Q767" s="103"/>
      <c r="R767" s="428">
        <f t="shared" si="367"/>
        <v>0</v>
      </c>
      <c r="S767" s="103"/>
      <c r="T767" s="103"/>
      <c r="U767" s="103"/>
      <c r="V767" s="125"/>
      <c r="W767" s="428">
        <f t="shared" si="371"/>
        <v>0</v>
      </c>
      <c r="X767" s="103"/>
      <c r="Y767" s="103"/>
      <c r="Z767" s="125"/>
      <c r="AA767" s="428">
        <f t="shared" si="372"/>
        <v>0</v>
      </c>
      <c r="AB767" s="103"/>
      <c r="AC767" s="103">
        <v>6</v>
      </c>
      <c r="AD767" s="103"/>
      <c r="AE767" s="428">
        <f t="shared" si="373"/>
        <v>6</v>
      </c>
      <c r="AF767" s="103"/>
      <c r="AG767" s="103"/>
      <c r="AH767" s="103"/>
      <c r="AI767" s="103"/>
      <c r="AJ767" s="428">
        <f t="shared" si="374"/>
        <v>0</v>
      </c>
      <c r="AK767" s="446"/>
      <c r="AL767" s="446"/>
      <c r="AM767" s="446"/>
      <c r="AN767" s="446"/>
      <c r="AO767" s="446"/>
      <c r="AP767" s="446"/>
      <c r="AQ767" s="446"/>
      <c r="AR767" s="431">
        <f t="shared" si="375"/>
        <v>0</v>
      </c>
      <c r="AT767" s="128"/>
      <c r="AU767" s="100" t="s">
        <v>4381</v>
      </c>
      <c r="AV767" s="128" t="s">
        <v>4391</v>
      </c>
      <c r="AW767" s="100" t="s">
        <v>4392</v>
      </c>
      <c r="AX767" s="433">
        <f t="shared" si="376"/>
        <v>0</v>
      </c>
      <c r="AY767" s="433">
        <f t="shared" si="377"/>
        <v>0</v>
      </c>
      <c r="AZ767" s="433">
        <f t="shared" si="378"/>
        <v>0</v>
      </c>
      <c r="BA767" s="433">
        <f t="shared" si="368"/>
        <v>0</v>
      </c>
      <c r="BB767" s="433">
        <f t="shared" si="369"/>
        <v>0</v>
      </c>
      <c r="BC767" s="433">
        <f t="shared" si="370"/>
        <v>0</v>
      </c>
      <c r="BD767" s="433">
        <f t="shared" si="379"/>
        <v>0</v>
      </c>
      <c r="BE767" s="433">
        <f t="shared" si="380"/>
        <v>0</v>
      </c>
      <c r="BF767" s="433">
        <f t="shared" si="381"/>
        <v>0</v>
      </c>
      <c r="BG767" s="433">
        <f t="shared" si="382"/>
        <v>0</v>
      </c>
      <c r="BH767" s="433">
        <f t="shared" si="383"/>
        <v>0</v>
      </c>
      <c r="BI767" s="433">
        <f t="shared" si="384"/>
        <v>0</v>
      </c>
      <c r="BJ767" s="433">
        <f t="shared" si="385"/>
        <v>0</v>
      </c>
      <c r="BK767" s="433">
        <f t="shared" si="386"/>
        <v>0</v>
      </c>
      <c r="BL767" s="433">
        <f t="shared" si="387"/>
        <v>6</v>
      </c>
      <c r="BM767" s="433">
        <f t="shared" si="388"/>
        <v>0</v>
      </c>
      <c r="BN767" s="433">
        <f t="shared" si="389"/>
        <v>0</v>
      </c>
      <c r="BO767" s="433">
        <f t="shared" si="390"/>
        <v>0</v>
      </c>
      <c r="BP767" s="433">
        <f t="shared" si="391"/>
        <v>0</v>
      </c>
      <c r="BQ767" s="433">
        <f t="shared" si="392"/>
        <v>0</v>
      </c>
    </row>
    <row r="768" spans="1:69" x14ac:dyDescent="0.2">
      <c r="A768" s="102">
        <v>41872</v>
      </c>
      <c r="B768" s="319">
        <v>2</v>
      </c>
      <c r="C768" s="118" t="s">
        <v>4382</v>
      </c>
      <c r="D768" s="111">
        <v>0.6875</v>
      </c>
      <c r="E768" s="111">
        <v>0.83888888888888891</v>
      </c>
      <c r="F768" s="319">
        <v>34</v>
      </c>
      <c r="G768" s="445">
        <v>13</v>
      </c>
      <c r="H768" s="319"/>
      <c r="I768" s="319"/>
      <c r="J768" s="426">
        <f t="shared" si="365"/>
        <v>218.00000000000003</v>
      </c>
      <c r="K768" s="103"/>
      <c r="L768" s="103"/>
      <c r="M768" s="103"/>
      <c r="N768" s="427">
        <f t="shared" si="366"/>
        <v>0</v>
      </c>
      <c r="O768" s="103"/>
      <c r="P768" s="103"/>
      <c r="Q768" s="103"/>
      <c r="R768" s="428">
        <f t="shared" si="367"/>
        <v>0</v>
      </c>
      <c r="S768" s="103"/>
      <c r="T768" s="103"/>
      <c r="U768" s="103"/>
      <c r="V768" s="125"/>
      <c r="W768" s="428">
        <f t="shared" si="371"/>
        <v>0</v>
      </c>
      <c r="X768" s="103"/>
      <c r="Y768" s="103"/>
      <c r="Z768" s="125"/>
      <c r="AA768" s="428">
        <f t="shared" si="372"/>
        <v>0</v>
      </c>
      <c r="AB768" s="103"/>
      <c r="AC768" s="103">
        <v>4</v>
      </c>
      <c r="AD768" s="103"/>
      <c r="AE768" s="428">
        <f t="shared" si="373"/>
        <v>4</v>
      </c>
      <c r="AF768" s="103"/>
      <c r="AG768" s="103"/>
      <c r="AH768" s="103"/>
      <c r="AI768" s="103"/>
      <c r="AJ768" s="428">
        <f t="shared" si="374"/>
        <v>0</v>
      </c>
      <c r="AK768" s="446"/>
      <c r="AL768" s="446"/>
      <c r="AM768" s="446"/>
      <c r="AN768" s="446"/>
      <c r="AO768" s="446"/>
      <c r="AP768" s="446"/>
      <c r="AQ768" s="446"/>
      <c r="AR768" s="431">
        <f t="shared" si="375"/>
        <v>0</v>
      </c>
      <c r="AT768" s="128"/>
      <c r="AU768" s="100" t="s">
        <v>4373</v>
      </c>
      <c r="AV768" s="128" t="s">
        <v>4391</v>
      </c>
      <c r="AW768" s="100" t="s">
        <v>4392</v>
      </c>
      <c r="AX768" s="433">
        <f t="shared" si="376"/>
        <v>0</v>
      </c>
      <c r="AY768" s="433">
        <f t="shared" si="377"/>
        <v>0</v>
      </c>
      <c r="AZ768" s="433">
        <f t="shared" si="378"/>
        <v>0</v>
      </c>
      <c r="BA768" s="433">
        <f t="shared" si="368"/>
        <v>0</v>
      </c>
      <c r="BB768" s="433">
        <f t="shared" si="369"/>
        <v>0</v>
      </c>
      <c r="BC768" s="433">
        <f t="shared" si="370"/>
        <v>0</v>
      </c>
      <c r="BD768" s="433">
        <f t="shared" si="379"/>
        <v>0</v>
      </c>
      <c r="BE768" s="433">
        <f t="shared" si="380"/>
        <v>0</v>
      </c>
      <c r="BF768" s="433">
        <f t="shared" si="381"/>
        <v>0</v>
      </c>
      <c r="BG768" s="433">
        <f t="shared" si="382"/>
        <v>0</v>
      </c>
      <c r="BH768" s="433">
        <f t="shared" si="383"/>
        <v>0</v>
      </c>
      <c r="BI768" s="433">
        <f t="shared" si="384"/>
        <v>0</v>
      </c>
      <c r="BJ768" s="433">
        <f t="shared" si="385"/>
        <v>0</v>
      </c>
      <c r="BK768" s="433">
        <f t="shared" si="386"/>
        <v>0</v>
      </c>
      <c r="BL768" s="433">
        <f t="shared" si="387"/>
        <v>4</v>
      </c>
      <c r="BM768" s="433">
        <f t="shared" si="388"/>
        <v>0</v>
      </c>
      <c r="BN768" s="433">
        <f t="shared" si="389"/>
        <v>0</v>
      </c>
      <c r="BO768" s="433">
        <f t="shared" si="390"/>
        <v>0</v>
      </c>
      <c r="BP768" s="433">
        <f t="shared" si="391"/>
        <v>0</v>
      </c>
      <c r="BQ768" s="433">
        <f t="shared" si="392"/>
        <v>0</v>
      </c>
    </row>
    <row r="769" spans="1:69" x14ac:dyDescent="0.2">
      <c r="A769" s="102">
        <v>41872</v>
      </c>
      <c r="B769" s="319">
        <v>3</v>
      </c>
      <c r="C769" s="118" t="s">
        <v>4383</v>
      </c>
      <c r="D769" s="111">
        <v>0.33749999999999997</v>
      </c>
      <c r="E769" s="111">
        <v>0.59305555555555556</v>
      </c>
      <c r="F769" s="319">
        <v>44</v>
      </c>
      <c r="G769" s="445">
        <v>11</v>
      </c>
      <c r="H769" s="319"/>
      <c r="I769" s="319"/>
      <c r="J769" s="426">
        <f t="shared" si="365"/>
        <v>368.00000000000006</v>
      </c>
      <c r="K769" s="103"/>
      <c r="L769" s="103"/>
      <c r="M769" s="103"/>
      <c r="N769" s="427">
        <f t="shared" si="366"/>
        <v>0</v>
      </c>
      <c r="O769" s="103"/>
      <c r="P769" s="103"/>
      <c r="Q769" s="103"/>
      <c r="R769" s="428">
        <f t="shared" si="367"/>
        <v>0</v>
      </c>
      <c r="S769" s="103"/>
      <c r="T769" s="103"/>
      <c r="U769" s="103"/>
      <c r="V769" s="125"/>
      <c r="W769" s="428">
        <f t="shared" si="371"/>
        <v>0</v>
      </c>
      <c r="X769" s="103"/>
      <c r="Y769" s="103">
        <v>1</v>
      </c>
      <c r="Z769" s="125"/>
      <c r="AA769" s="428">
        <f t="shared" si="372"/>
        <v>1</v>
      </c>
      <c r="AB769" s="103">
        <v>1</v>
      </c>
      <c r="AC769" s="103">
        <v>9</v>
      </c>
      <c r="AD769" s="103"/>
      <c r="AE769" s="428">
        <f t="shared" si="373"/>
        <v>10</v>
      </c>
      <c r="AF769" s="103">
        <v>4</v>
      </c>
      <c r="AG769" s="103">
        <v>1</v>
      </c>
      <c r="AH769" s="103"/>
      <c r="AI769" s="103"/>
      <c r="AJ769" s="428">
        <f t="shared" si="374"/>
        <v>5</v>
      </c>
      <c r="AK769" s="446"/>
      <c r="AL769" s="446"/>
      <c r="AM769" s="446"/>
      <c r="AN769" s="446">
        <v>1</v>
      </c>
      <c r="AO769" s="446"/>
      <c r="AP769" s="446"/>
      <c r="AQ769" s="446"/>
      <c r="AR769" s="431">
        <f t="shared" si="375"/>
        <v>1</v>
      </c>
      <c r="AT769" s="128"/>
      <c r="AU769" s="100" t="s">
        <v>4373</v>
      </c>
      <c r="AV769" s="128" t="s">
        <v>4391</v>
      </c>
      <c r="AW769" s="100" t="s">
        <v>4392</v>
      </c>
      <c r="AX769" s="433">
        <f t="shared" si="376"/>
        <v>0</v>
      </c>
      <c r="AY769" s="433">
        <f t="shared" si="377"/>
        <v>0</v>
      </c>
      <c r="AZ769" s="433">
        <f t="shared" si="378"/>
        <v>0</v>
      </c>
      <c r="BA769" s="433">
        <f t="shared" si="368"/>
        <v>0</v>
      </c>
      <c r="BB769" s="433">
        <f t="shared" si="369"/>
        <v>0</v>
      </c>
      <c r="BC769" s="433">
        <f t="shared" si="370"/>
        <v>0</v>
      </c>
      <c r="BD769" s="433">
        <f t="shared" si="379"/>
        <v>0</v>
      </c>
      <c r="BE769" s="433">
        <f t="shared" si="380"/>
        <v>0</v>
      </c>
      <c r="BF769" s="433">
        <f t="shared" si="381"/>
        <v>0</v>
      </c>
      <c r="BG769" s="433">
        <f t="shared" si="382"/>
        <v>0</v>
      </c>
      <c r="BH769" s="433">
        <f t="shared" si="383"/>
        <v>0</v>
      </c>
      <c r="BI769" s="433">
        <f t="shared" si="384"/>
        <v>1</v>
      </c>
      <c r="BJ769" s="433">
        <f t="shared" si="385"/>
        <v>0</v>
      </c>
      <c r="BK769" s="433">
        <f t="shared" si="386"/>
        <v>1</v>
      </c>
      <c r="BL769" s="433">
        <f t="shared" si="387"/>
        <v>9</v>
      </c>
      <c r="BM769" s="433">
        <f t="shared" si="388"/>
        <v>0</v>
      </c>
      <c r="BN769" s="433">
        <f t="shared" si="389"/>
        <v>4</v>
      </c>
      <c r="BO769" s="433">
        <f t="shared" si="390"/>
        <v>1</v>
      </c>
      <c r="BP769" s="433">
        <f t="shared" si="391"/>
        <v>0</v>
      </c>
      <c r="BQ769" s="433">
        <f t="shared" si="392"/>
        <v>0</v>
      </c>
    </row>
    <row r="770" spans="1:69" s="291" customFormat="1" x14ac:dyDescent="0.2">
      <c r="A770" s="317">
        <v>41872</v>
      </c>
      <c r="B770" s="318">
        <v>3</v>
      </c>
      <c r="C770" s="320" t="s">
        <v>4380</v>
      </c>
      <c r="D770" s="321">
        <v>0.59305555555555556</v>
      </c>
      <c r="E770" s="321">
        <v>0.83750000000000002</v>
      </c>
      <c r="F770" s="318">
        <v>42</v>
      </c>
      <c r="G770" s="435">
        <v>12</v>
      </c>
      <c r="H770" s="318"/>
      <c r="I770" s="318"/>
      <c r="J770" s="437">
        <f t="shared" si="365"/>
        <v>352</v>
      </c>
      <c r="K770" s="285"/>
      <c r="L770" s="285"/>
      <c r="M770" s="285"/>
      <c r="N770" s="438">
        <f t="shared" si="366"/>
        <v>0</v>
      </c>
      <c r="O770" s="285"/>
      <c r="P770" s="285"/>
      <c r="Q770" s="285"/>
      <c r="R770" s="439">
        <f t="shared" si="367"/>
        <v>0</v>
      </c>
      <c r="S770" s="285">
        <v>1</v>
      </c>
      <c r="T770" s="285"/>
      <c r="U770" s="285"/>
      <c r="V770" s="440"/>
      <c r="W770" s="439">
        <f t="shared" si="371"/>
        <v>1</v>
      </c>
      <c r="X770" s="285"/>
      <c r="Y770" s="285">
        <v>2</v>
      </c>
      <c r="Z770" s="440"/>
      <c r="AA770" s="439">
        <f t="shared" si="372"/>
        <v>2</v>
      </c>
      <c r="AB770" s="285"/>
      <c r="AC770" s="285">
        <v>12</v>
      </c>
      <c r="AD770" s="285"/>
      <c r="AE770" s="439">
        <f t="shared" si="373"/>
        <v>12</v>
      </c>
      <c r="AF770" s="285"/>
      <c r="AG770" s="285">
        <v>8</v>
      </c>
      <c r="AH770" s="285"/>
      <c r="AI770" s="285"/>
      <c r="AJ770" s="439">
        <f t="shared" si="374"/>
        <v>8</v>
      </c>
      <c r="AK770" s="340"/>
      <c r="AL770" s="340"/>
      <c r="AM770" s="340"/>
      <c r="AN770" s="340"/>
      <c r="AO770" s="340"/>
      <c r="AP770" s="340"/>
      <c r="AQ770" s="340"/>
      <c r="AR770" s="441">
        <f t="shared" si="375"/>
        <v>0</v>
      </c>
      <c r="AT770" s="313"/>
      <c r="AU770" s="289" t="s">
        <v>4371</v>
      </c>
      <c r="AV770" s="313" t="s">
        <v>4391</v>
      </c>
      <c r="AW770" s="289" t="s">
        <v>4392</v>
      </c>
      <c r="AX770" s="443">
        <f t="shared" si="376"/>
        <v>0</v>
      </c>
      <c r="AY770" s="443">
        <f t="shared" si="377"/>
        <v>0</v>
      </c>
      <c r="AZ770" s="443">
        <f t="shared" si="378"/>
        <v>0</v>
      </c>
      <c r="BA770" s="443">
        <f t="shared" si="368"/>
        <v>0</v>
      </c>
      <c r="BB770" s="443">
        <f t="shared" si="369"/>
        <v>0</v>
      </c>
      <c r="BC770" s="443">
        <f t="shared" si="370"/>
        <v>0</v>
      </c>
      <c r="BD770" s="443">
        <f t="shared" si="379"/>
        <v>1</v>
      </c>
      <c r="BE770" s="443">
        <f t="shared" si="380"/>
        <v>0</v>
      </c>
      <c r="BF770" s="443">
        <f t="shared" si="381"/>
        <v>0</v>
      </c>
      <c r="BG770" s="443">
        <f t="shared" si="382"/>
        <v>0</v>
      </c>
      <c r="BH770" s="443">
        <f t="shared" si="383"/>
        <v>0</v>
      </c>
      <c r="BI770" s="443">
        <f t="shared" si="384"/>
        <v>2</v>
      </c>
      <c r="BJ770" s="443">
        <f t="shared" si="385"/>
        <v>0</v>
      </c>
      <c r="BK770" s="443">
        <f t="shared" si="386"/>
        <v>0</v>
      </c>
      <c r="BL770" s="443">
        <f t="shared" si="387"/>
        <v>12</v>
      </c>
      <c r="BM770" s="443">
        <f t="shared" si="388"/>
        <v>0</v>
      </c>
      <c r="BN770" s="443">
        <f t="shared" si="389"/>
        <v>0</v>
      </c>
      <c r="BO770" s="443">
        <f t="shared" si="390"/>
        <v>8</v>
      </c>
      <c r="BP770" s="443">
        <f t="shared" si="391"/>
        <v>0</v>
      </c>
      <c r="BQ770" s="443">
        <f t="shared" si="392"/>
        <v>0</v>
      </c>
    </row>
    <row r="771" spans="1:69" x14ac:dyDescent="0.2">
      <c r="A771" s="102">
        <v>41873</v>
      </c>
      <c r="B771" s="319">
        <v>1</v>
      </c>
      <c r="C771" s="118" t="s">
        <v>4268</v>
      </c>
      <c r="D771" s="111">
        <v>0.34375</v>
      </c>
      <c r="E771" s="111">
        <v>0.45555555555555555</v>
      </c>
      <c r="F771" s="319">
        <v>62</v>
      </c>
      <c r="G771" s="445">
        <v>10</v>
      </c>
      <c r="H771" s="319"/>
      <c r="I771" s="319"/>
      <c r="J771" s="426">
        <f t="shared" ref="J771:J834" si="393">(E771-D771)*24*60</f>
        <v>161</v>
      </c>
      <c r="K771" s="103"/>
      <c r="L771" s="103"/>
      <c r="M771" s="103"/>
      <c r="N771" s="427">
        <f t="shared" ref="N771:N834" si="394">SUM(K771:M771)</f>
        <v>0</v>
      </c>
      <c r="O771" s="103"/>
      <c r="P771" s="103"/>
      <c r="Q771" s="103"/>
      <c r="R771" s="428">
        <f t="shared" ref="R771:R834" si="395">SUM(O771:Q771)</f>
        <v>0</v>
      </c>
      <c r="S771" s="103"/>
      <c r="T771" s="103"/>
      <c r="U771" s="103"/>
      <c r="V771" s="125"/>
      <c r="W771" s="428">
        <f t="shared" si="371"/>
        <v>0</v>
      </c>
      <c r="X771" s="103"/>
      <c r="Y771" s="103">
        <v>1</v>
      </c>
      <c r="Z771" s="125"/>
      <c r="AA771" s="428">
        <f t="shared" si="372"/>
        <v>1</v>
      </c>
      <c r="AB771" s="103">
        <v>1</v>
      </c>
      <c r="AC771" s="103">
        <v>4</v>
      </c>
      <c r="AD771" s="103"/>
      <c r="AE771" s="428">
        <f t="shared" si="373"/>
        <v>5</v>
      </c>
      <c r="AF771" s="103">
        <v>3</v>
      </c>
      <c r="AG771" s="103"/>
      <c r="AH771" s="103"/>
      <c r="AI771" s="103"/>
      <c r="AJ771" s="428">
        <f t="shared" si="374"/>
        <v>3</v>
      </c>
      <c r="AK771" s="446"/>
      <c r="AL771" s="446"/>
      <c r="AM771" s="446"/>
      <c r="AN771" s="446"/>
      <c r="AO771" s="446"/>
      <c r="AP771" s="446"/>
      <c r="AQ771" s="446"/>
      <c r="AR771" s="431">
        <f t="shared" si="375"/>
        <v>0</v>
      </c>
      <c r="AT771" s="128"/>
      <c r="AU771" s="100" t="s">
        <v>4393</v>
      </c>
      <c r="AV771" s="128" t="s">
        <v>4415</v>
      </c>
      <c r="AW771" s="100" t="s">
        <v>4410</v>
      </c>
      <c r="AX771" s="433">
        <f t="shared" si="376"/>
        <v>0</v>
      </c>
      <c r="AY771" s="433">
        <f t="shared" si="377"/>
        <v>0</v>
      </c>
      <c r="AZ771" s="433">
        <f t="shared" si="378"/>
        <v>0</v>
      </c>
      <c r="BA771" s="433">
        <f t="shared" ref="BA771:BA834" si="396">O771</f>
        <v>0</v>
      </c>
      <c r="BB771" s="433">
        <f t="shared" ref="BB771:BB834" si="397">P771</f>
        <v>0</v>
      </c>
      <c r="BC771" s="433">
        <f t="shared" ref="BC771:BC834" si="398">Q771</f>
        <v>0</v>
      </c>
      <c r="BD771" s="433">
        <f t="shared" si="379"/>
        <v>0</v>
      </c>
      <c r="BE771" s="433">
        <f t="shared" si="380"/>
        <v>0</v>
      </c>
      <c r="BF771" s="433">
        <f t="shared" si="381"/>
        <v>0</v>
      </c>
      <c r="BG771" s="433">
        <f t="shared" si="382"/>
        <v>0</v>
      </c>
      <c r="BH771" s="433">
        <f t="shared" si="383"/>
        <v>0</v>
      </c>
      <c r="BI771" s="433">
        <f t="shared" si="384"/>
        <v>1</v>
      </c>
      <c r="BJ771" s="433">
        <f t="shared" si="385"/>
        <v>0</v>
      </c>
      <c r="BK771" s="433">
        <f t="shared" si="386"/>
        <v>1</v>
      </c>
      <c r="BL771" s="433">
        <f t="shared" si="387"/>
        <v>4</v>
      </c>
      <c r="BM771" s="433">
        <f t="shared" si="388"/>
        <v>0</v>
      </c>
      <c r="BN771" s="433">
        <f t="shared" si="389"/>
        <v>3</v>
      </c>
      <c r="BO771" s="433">
        <f t="shared" si="390"/>
        <v>0</v>
      </c>
      <c r="BP771" s="433">
        <f t="shared" si="391"/>
        <v>0</v>
      </c>
      <c r="BQ771" s="433">
        <f t="shared" si="392"/>
        <v>0</v>
      </c>
    </row>
    <row r="772" spans="1:69" x14ac:dyDescent="0.2">
      <c r="A772" s="102">
        <v>41873</v>
      </c>
      <c r="B772" s="319">
        <v>1</v>
      </c>
      <c r="C772" s="118" t="s">
        <v>2062</v>
      </c>
      <c r="D772" s="111">
        <v>0.45555555555555555</v>
      </c>
      <c r="E772" s="111">
        <v>0.56180555555555556</v>
      </c>
      <c r="F772" s="319">
        <v>59</v>
      </c>
      <c r="G772" s="445">
        <v>10</v>
      </c>
      <c r="H772" s="319"/>
      <c r="I772" s="319">
        <v>63</v>
      </c>
      <c r="J772" s="426">
        <f t="shared" si="393"/>
        <v>153.00000000000003</v>
      </c>
      <c r="K772" s="103"/>
      <c r="L772" s="103"/>
      <c r="M772" s="103"/>
      <c r="N772" s="427">
        <f t="shared" si="394"/>
        <v>0</v>
      </c>
      <c r="O772" s="103"/>
      <c r="P772" s="103"/>
      <c r="Q772" s="103"/>
      <c r="R772" s="428">
        <f t="shared" si="395"/>
        <v>0</v>
      </c>
      <c r="S772" s="103">
        <v>1</v>
      </c>
      <c r="T772" s="103"/>
      <c r="U772" s="103"/>
      <c r="V772" s="125"/>
      <c r="W772" s="428">
        <f t="shared" ref="W772:W835" si="399">SUM(S772:V772)</f>
        <v>1</v>
      </c>
      <c r="X772" s="103"/>
      <c r="Y772" s="103"/>
      <c r="Z772" s="125"/>
      <c r="AA772" s="428">
        <f t="shared" ref="AA772:AA835" si="400">SUM(X772:Z772)</f>
        <v>0</v>
      </c>
      <c r="AB772" s="103"/>
      <c r="AC772" s="103">
        <v>1</v>
      </c>
      <c r="AD772" s="103"/>
      <c r="AE772" s="428">
        <f t="shared" ref="AE772:AE835" si="401">SUM(AB772:AD772)</f>
        <v>1</v>
      </c>
      <c r="AF772" s="103">
        <v>1</v>
      </c>
      <c r="AG772" s="103"/>
      <c r="AH772" s="103"/>
      <c r="AI772" s="103"/>
      <c r="AJ772" s="428">
        <f t="shared" ref="AJ772:AJ835" si="402">SUM(AF772:AI772)</f>
        <v>1</v>
      </c>
      <c r="AK772" s="446"/>
      <c r="AL772" s="446"/>
      <c r="AM772" s="446"/>
      <c r="AN772" s="446"/>
      <c r="AO772" s="446"/>
      <c r="AP772" s="446"/>
      <c r="AQ772" s="446"/>
      <c r="AR772" s="431">
        <f t="shared" ref="AR772:AR835" si="403">SUM(AK772:AQ772)</f>
        <v>0</v>
      </c>
      <c r="AS772" s="10" t="s">
        <v>4394</v>
      </c>
      <c r="AT772" s="128"/>
      <c r="AU772" s="100" t="s">
        <v>4399</v>
      </c>
      <c r="AV772" s="128" t="s">
        <v>4415</v>
      </c>
      <c r="AW772" s="100" t="s">
        <v>4410</v>
      </c>
      <c r="AX772" s="433">
        <f t="shared" ref="AX772:AX835" si="404">K772</f>
        <v>0</v>
      </c>
      <c r="AY772" s="433">
        <f t="shared" ref="AY772:AY835" si="405">L772</f>
        <v>0</v>
      </c>
      <c r="AZ772" s="433">
        <f t="shared" ref="AZ772:AZ835" si="406">M772</f>
        <v>0</v>
      </c>
      <c r="BA772" s="433">
        <f t="shared" si="396"/>
        <v>0</v>
      </c>
      <c r="BB772" s="433">
        <f t="shared" si="397"/>
        <v>0</v>
      </c>
      <c r="BC772" s="433">
        <f t="shared" si="398"/>
        <v>0</v>
      </c>
      <c r="BD772" s="433">
        <f t="shared" ref="BD772:BD835" si="407">S772</f>
        <v>1</v>
      </c>
      <c r="BE772" s="433">
        <f t="shared" ref="BE772:BE835" si="408">T772</f>
        <v>0</v>
      </c>
      <c r="BF772" s="433">
        <f t="shared" ref="BF772:BF835" si="409">U772</f>
        <v>0</v>
      </c>
      <c r="BG772" s="433">
        <f t="shared" ref="BG772:BG835" si="410">V772</f>
        <v>0</v>
      </c>
      <c r="BH772" s="433">
        <f t="shared" ref="BH772:BH835" si="411">X772</f>
        <v>0</v>
      </c>
      <c r="BI772" s="433">
        <f t="shared" ref="BI772:BI835" si="412">Y772</f>
        <v>0</v>
      </c>
      <c r="BJ772" s="433">
        <f t="shared" ref="BJ772:BJ835" si="413">Z772</f>
        <v>0</v>
      </c>
      <c r="BK772" s="433">
        <f t="shared" ref="BK772:BK835" si="414">AB772</f>
        <v>0</v>
      </c>
      <c r="BL772" s="433">
        <f t="shared" ref="BL772:BL835" si="415">AC772</f>
        <v>1</v>
      </c>
      <c r="BM772" s="433">
        <f t="shared" ref="BM772:BM835" si="416">AD772</f>
        <v>0</v>
      </c>
      <c r="BN772" s="433">
        <f t="shared" ref="BN772:BN835" si="417">AF772</f>
        <v>1</v>
      </c>
      <c r="BO772" s="433">
        <f t="shared" ref="BO772:BO835" si="418">AG772</f>
        <v>0</v>
      </c>
      <c r="BP772" s="433">
        <f t="shared" ref="BP772:BP835" si="419">AH772</f>
        <v>0</v>
      </c>
      <c r="BQ772" s="433">
        <f t="shared" ref="BQ772:BQ835" si="420">AI772</f>
        <v>0</v>
      </c>
    </row>
    <row r="773" spans="1:69" x14ac:dyDescent="0.2">
      <c r="A773" s="102">
        <v>41873</v>
      </c>
      <c r="B773" s="319">
        <v>1</v>
      </c>
      <c r="C773" s="118" t="s">
        <v>4395</v>
      </c>
      <c r="D773" s="111">
        <v>0.56180555555555556</v>
      </c>
      <c r="E773" s="111">
        <v>0.70833333333333337</v>
      </c>
      <c r="F773" s="319">
        <v>53</v>
      </c>
      <c r="G773" s="445">
        <v>11</v>
      </c>
      <c r="H773" s="319"/>
      <c r="I773" s="319"/>
      <c r="J773" s="426">
        <f t="shared" si="393"/>
        <v>211.00000000000006</v>
      </c>
      <c r="K773" s="103"/>
      <c r="L773" s="103"/>
      <c r="M773" s="103"/>
      <c r="N773" s="427">
        <f t="shared" si="394"/>
        <v>0</v>
      </c>
      <c r="O773" s="103"/>
      <c r="P773" s="103"/>
      <c r="Q773" s="103"/>
      <c r="R773" s="428">
        <f t="shared" si="395"/>
        <v>0</v>
      </c>
      <c r="S773" s="103"/>
      <c r="T773" s="103"/>
      <c r="U773" s="103"/>
      <c r="V773" s="125"/>
      <c r="W773" s="428">
        <f t="shared" si="399"/>
        <v>0</v>
      </c>
      <c r="X773" s="103"/>
      <c r="Y773" s="103">
        <v>2</v>
      </c>
      <c r="Z773" s="125"/>
      <c r="AA773" s="428">
        <f t="shared" si="400"/>
        <v>2</v>
      </c>
      <c r="AB773" s="103"/>
      <c r="AC773" s="103">
        <v>4</v>
      </c>
      <c r="AD773" s="103"/>
      <c r="AE773" s="428">
        <f t="shared" si="401"/>
        <v>4</v>
      </c>
      <c r="AF773" s="103"/>
      <c r="AG773" s="103">
        <v>7</v>
      </c>
      <c r="AH773" s="103"/>
      <c r="AI773" s="103"/>
      <c r="AJ773" s="428">
        <f t="shared" si="402"/>
        <v>7</v>
      </c>
      <c r="AK773" s="446"/>
      <c r="AL773" s="446"/>
      <c r="AM773" s="446"/>
      <c r="AN773" s="446"/>
      <c r="AO773" s="446"/>
      <c r="AP773" s="446"/>
      <c r="AQ773" s="446"/>
      <c r="AR773" s="431">
        <f t="shared" si="403"/>
        <v>0</v>
      </c>
      <c r="AT773" s="128"/>
      <c r="AU773" s="100" t="s">
        <v>4393</v>
      </c>
      <c r="AV773" s="128" t="s">
        <v>4415</v>
      </c>
      <c r="AW773" s="100" t="s">
        <v>4410</v>
      </c>
      <c r="AX773" s="433">
        <f t="shared" si="404"/>
        <v>0</v>
      </c>
      <c r="AY773" s="433">
        <f t="shared" si="405"/>
        <v>0</v>
      </c>
      <c r="AZ773" s="433">
        <f t="shared" si="406"/>
        <v>0</v>
      </c>
      <c r="BA773" s="433">
        <f t="shared" si="396"/>
        <v>0</v>
      </c>
      <c r="BB773" s="433">
        <f t="shared" si="397"/>
        <v>0</v>
      </c>
      <c r="BC773" s="433">
        <f t="shared" si="398"/>
        <v>0</v>
      </c>
      <c r="BD773" s="433">
        <f t="shared" si="407"/>
        <v>0</v>
      </c>
      <c r="BE773" s="433">
        <f t="shared" si="408"/>
        <v>0</v>
      </c>
      <c r="BF773" s="433">
        <f t="shared" si="409"/>
        <v>0</v>
      </c>
      <c r="BG773" s="433">
        <f t="shared" si="410"/>
        <v>0</v>
      </c>
      <c r="BH773" s="433">
        <f t="shared" si="411"/>
        <v>0</v>
      </c>
      <c r="BI773" s="433">
        <f t="shared" si="412"/>
        <v>2</v>
      </c>
      <c r="BJ773" s="433">
        <f t="shared" si="413"/>
        <v>0</v>
      </c>
      <c r="BK773" s="433">
        <f t="shared" si="414"/>
        <v>0</v>
      </c>
      <c r="BL773" s="433">
        <f t="shared" si="415"/>
        <v>4</v>
      </c>
      <c r="BM773" s="433">
        <f t="shared" si="416"/>
        <v>0</v>
      </c>
      <c r="BN773" s="433">
        <f t="shared" si="417"/>
        <v>0</v>
      </c>
      <c r="BO773" s="433">
        <f t="shared" si="418"/>
        <v>7</v>
      </c>
      <c r="BP773" s="433">
        <f t="shared" si="419"/>
        <v>0</v>
      </c>
      <c r="BQ773" s="433">
        <f t="shared" si="420"/>
        <v>0</v>
      </c>
    </row>
    <row r="774" spans="1:69" x14ac:dyDescent="0.2">
      <c r="A774" s="102">
        <v>41873</v>
      </c>
      <c r="B774" s="319">
        <v>1</v>
      </c>
      <c r="C774" s="118" t="s">
        <v>4396</v>
      </c>
      <c r="D774" s="111">
        <v>0.70833333333333337</v>
      </c>
      <c r="E774" s="111">
        <v>0.85138888888888886</v>
      </c>
      <c r="F774" s="319">
        <v>57</v>
      </c>
      <c r="G774" s="445">
        <v>13</v>
      </c>
      <c r="H774" s="319"/>
      <c r="I774" s="319"/>
      <c r="J774" s="426">
        <f t="shared" si="393"/>
        <v>205.99999999999991</v>
      </c>
      <c r="K774" s="103"/>
      <c r="L774" s="103"/>
      <c r="M774" s="103"/>
      <c r="N774" s="427">
        <f t="shared" si="394"/>
        <v>0</v>
      </c>
      <c r="O774" s="103"/>
      <c r="P774" s="103"/>
      <c r="Q774" s="103"/>
      <c r="R774" s="428">
        <f t="shared" si="395"/>
        <v>0</v>
      </c>
      <c r="S774" s="103"/>
      <c r="T774" s="103"/>
      <c r="U774" s="103"/>
      <c r="V774" s="125"/>
      <c r="W774" s="428">
        <f t="shared" si="399"/>
        <v>0</v>
      </c>
      <c r="X774" s="103"/>
      <c r="Y774" s="103">
        <v>3</v>
      </c>
      <c r="Z774" s="125"/>
      <c r="AA774" s="428">
        <f t="shared" si="400"/>
        <v>3</v>
      </c>
      <c r="AB774" s="103"/>
      <c r="AC774" s="103">
        <v>12</v>
      </c>
      <c r="AD774" s="103"/>
      <c r="AE774" s="428">
        <f t="shared" si="401"/>
        <v>12</v>
      </c>
      <c r="AF774" s="103"/>
      <c r="AG774" s="103">
        <v>2</v>
      </c>
      <c r="AH774" s="103"/>
      <c r="AI774" s="103"/>
      <c r="AJ774" s="428">
        <f t="shared" si="402"/>
        <v>2</v>
      </c>
      <c r="AK774" s="446">
        <v>1</v>
      </c>
      <c r="AL774" s="446"/>
      <c r="AM774" s="446"/>
      <c r="AN774" s="446"/>
      <c r="AO774" s="446"/>
      <c r="AP774" s="446"/>
      <c r="AQ774" s="446"/>
      <c r="AR774" s="431">
        <f t="shared" si="403"/>
        <v>1</v>
      </c>
      <c r="AT774" s="128"/>
      <c r="AU774" s="100" t="s">
        <v>4397</v>
      </c>
      <c r="AV774" s="128" t="s">
        <v>4415</v>
      </c>
      <c r="AW774" s="100" t="s">
        <v>4410</v>
      </c>
      <c r="AX774" s="433">
        <f t="shared" si="404"/>
        <v>0</v>
      </c>
      <c r="AY774" s="433">
        <f t="shared" si="405"/>
        <v>0</v>
      </c>
      <c r="AZ774" s="433">
        <f t="shared" si="406"/>
        <v>0</v>
      </c>
      <c r="BA774" s="433">
        <f t="shared" si="396"/>
        <v>0</v>
      </c>
      <c r="BB774" s="433">
        <f t="shared" si="397"/>
        <v>0</v>
      </c>
      <c r="BC774" s="433">
        <f t="shared" si="398"/>
        <v>0</v>
      </c>
      <c r="BD774" s="433">
        <f t="shared" si="407"/>
        <v>0</v>
      </c>
      <c r="BE774" s="433">
        <f t="shared" si="408"/>
        <v>0</v>
      </c>
      <c r="BF774" s="433">
        <f t="shared" si="409"/>
        <v>0</v>
      </c>
      <c r="BG774" s="433">
        <f t="shared" si="410"/>
        <v>0</v>
      </c>
      <c r="BH774" s="433">
        <f t="shared" si="411"/>
        <v>0</v>
      </c>
      <c r="BI774" s="433">
        <f t="shared" si="412"/>
        <v>3</v>
      </c>
      <c r="BJ774" s="433">
        <f t="shared" si="413"/>
        <v>0</v>
      </c>
      <c r="BK774" s="433">
        <f t="shared" si="414"/>
        <v>0</v>
      </c>
      <c r="BL774" s="433">
        <f t="shared" si="415"/>
        <v>12</v>
      </c>
      <c r="BM774" s="433">
        <f t="shared" si="416"/>
        <v>0</v>
      </c>
      <c r="BN774" s="433">
        <f t="shared" si="417"/>
        <v>0</v>
      </c>
      <c r="BO774" s="433">
        <f t="shared" si="418"/>
        <v>2</v>
      </c>
      <c r="BP774" s="433">
        <f t="shared" si="419"/>
        <v>0</v>
      </c>
      <c r="BQ774" s="433">
        <f t="shared" si="420"/>
        <v>0</v>
      </c>
    </row>
    <row r="775" spans="1:69" x14ac:dyDescent="0.2">
      <c r="A775" s="102">
        <v>41873</v>
      </c>
      <c r="B775" s="319">
        <v>2</v>
      </c>
      <c r="C775" s="118" t="s">
        <v>4268</v>
      </c>
      <c r="D775" s="111">
        <v>0.33958333333333335</v>
      </c>
      <c r="E775" s="111">
        <v>0.45069444444444445</v>
      </c>
      <c r="F775" s="319">
        <v>38</v>
      </c>
      <c r="G775" s="445">
        <v>11</v>
      </c>
      <c r="H775" s="319"/>
      <c r="I775" s="319"/>
      <c r="J775" s="426">
        <f t="shared" si="393"/>
        <v>160</v>
      </c>
      <c r="K775" s="103"/>
      <c r="L775" s="103"/>
      <c r="M775" s="103"/>
      <c r="N775" s="427">
        <f t="shared" si="394"/>
        <v>0</v>
      </c>
      <c r="O775" s="103"/>
      <c r="P775" s="103"/>
      <c r="Q775" s="103"/>
      <c r="R775" s="428">
        <f t="shared" si="395"/>
        <v>0</v>
      </c>
      <c r="S775" s="103"/>
      <c r="T775" s="103"/>
      <c r="U775" s="103"/>
      <c r="V775" s="125"/>
      <c r="W775" s="428">
        <f t="shared" si="399"/>
        <v>0</v>
      </c>
      <c r="X775" s="103"/>
      <c r="Y775" s="103"/>
      <c r="Z775" s="125"/>
      <c r="AA775" s="428">
        <f t="shared" si="400"/>
        <v>0</v>
      </c>
      <c r="AB775" s="103"/>
      <c r="AC775" s="103">
        <v>2</v>
      </c>
      <c r="AD775" s="103"/>
      <c r="AE775" s="428">
        <f t="shared" si="401"/>
        <v>2</v>
      </c>
      <c r="AF775" s="103"/>
      <c r="AG775" s="103"/>
      <c r="AH775" s="103"/>
      <c r="AI775" s="103"/>
      <c r="AJ775" s="428">
        <f t="shared" si="402"/>
        <v>0</v>
      </c>
      <c r="AK775" s="446"/>
      <c r="AL775" s="446"/>
      <c r="AM775" s="446"/>
      <c r="AN775" s="446"/>
      <c r="AO775" s="446"/>
      <c r="AP775" s="446"/>
      <c r="AQ775" s="446"/>
      <c r="AR775" s="431">
        <f t="shared" si="403"/>
        <v>0</v>
      </c>
      <c r="AT775" s="128"/>
      <c r="AU775" s="100" t="s">
        <v>4398</v>
      </c>
      <c r="AV775" s="128" t="s">
        <v>4415</v>
      </c>
      <c r="AW775" s="100" t="s">
        <v>4410</v>
      </c>
      <c r="AX775" s="433">
        <f t="shared" si="404"/>
        <v>0</v>
      </c>
      <c r="AY775" s="433">
        <f t="shared" si="405"/>
        <v>0</v>
      </c>
      <c r="AZ775" s="433">
        <f t="shared" si="406"/>
        <v>0</v>
      </c>
      <c r="BA775" s="433">
        <f t="shared" si="396"/>
        <v>0</v>
      </c>
      <c r="BB775" s="433">
        <f t="shared" si="397"/>
        <v>0</v>
      </c>
      <c r="BC775" s="433">
        <f t="shared" si="398"/>
        <v>0</v>
      </c>
      <c r="BD775" s="433">
        <f t="shared" si="407"/>
        <v>0</v>
      </c>
      <c r="BE775" s="433">
        <f t="shared" si="408"/>
        <v>0</v>
      </c>
      <c r="BF775" s="433">
        <f t="shared" si="409"/>
        <v>0</v>
      </c>
      <c r="BG775" s="433">
        <f t="shared" si="410"/>
        <v>0</v>
      </c>
      <c r="BH775" s="433">
        <f t="shared" si="411"/>
        <v>0</v>
      </c>
      <c r="BI775" s="433">
        <f t="shared" si="412"/>
        <v>0</v>
      </c>
      <c r="BJ775" s="433">
        <f t="shared" si="413"/>
        <v>0</v>
      </c>
      <c r="BK775" s="433">
        <f t="shared" si="414"/>
        <v>0</v>
      </c>
      <c r="BL775" s="433">
        <f t="shared" si="415"/>
        <v>2</v>
      </c>
      <c r="BM775" s="433">
        <f t="shared" si="416"/>
        <v>0</v>
      </c>
      <c r="BN775" s="433">
        <f t="shared" si="417"/>
        <v>0</v>
      </c>
      <c r="BO775" s="433">
        <f t="shared" si="418"/>
        <v>0</v>
      </c>
      <c r="BP775" s="433">
        <f t="shared" si="419"/>
        <v>0</v>
      </c>
      <c r="BQ775" s="433">
        <f t="shared" si="420"/>
        <v>0</v>
      </c>
    </row>
    <row r="776" spans="1:69" x14ac:dyDescent="0.2">
      <c r="A776" s="102">
        <v>41873</v>
      </c>
      <c r="B776" s="319">
        <v>2</v>
      </c>
      <c r="C776" s="118" t="s">
        <v>4352</v>
      </c>
      <c r="D776" s="111">
        <v>0.45069444444444445</v>
      </c>
      <c r="E776" s="111">
        <v>0.55208333333333337</v>
      </c>
      <c r="F776" s="319">
        <v>37</v>
      </c>
      <c r="G776" s="445">
        <v>11</v>
      </c>
      <c r="H776" s="319"/>
      <c r="I776" s="319"/>
      <c r="J776" s="426">
        <f t="shared" si="393"/>
        <v>146.00000000000003</v>
      </c>
      <c r="K776" s="103"/>
      <c r="L776" s="103"/>
      <c r="M776" s="103"/>
      <c r="N776" s="427">
        <f t="shared" si="394"/>
        <v>0</v>
      </c>
      <c r="O776" s="103"/>
      <c r="P776" s="103"/>
      <c r="Q776" s="103"/>
      <c r="R776" s="428">
        <f t="shared" si="395"/>
        <v>0</v>
      </c>
      <c r="S776" s="103"/>
      <c r="T776" s="103"/>
      <c r="U776" s="103"/>
      <c r="V776" s="125"/>
      <c r="W776" s="428">
        <f t="shared" si="399"/>
        <v>0</v>
      </c>
      <c r="X776" s="103"/>
      <c r="Y776" s="103"/>
      <c r="Z776" s="125"/>
      <c r="AA776" s="428">
        <f t="shared" si="400"/>
        <v>0</v>
      </c>
      <c r="AB776" s="103"/>
      <c r="AC776" s="103">
        <v>1</v>
      </c>
      <c r="AD776" s="103"/>
      <c r="AE776" s="428">
        <f t="shared" si="401"/>
        <v>1</v>
      </c>
      <c r="AF776" s="103"/>
      <c r="AG776" s="103"/>
      <c r="AH776" s="103"/>
      <c r="AI776" s="103"/>
      <c r="AJ776" s="428">
        <f t="shared" si="402"/>
        <v>0</v>
      </c>
      <c r="AK776" s="446"/>
      <c r="AL776" s="446"/>
      <c r="AM776" s="446"/>
      <c r="AN776" s="446"/>
      <c r="AO776" s="446"/>
      <c r="AP776" s="446"/>
      <c r="AQ776" s="446"/>
      <c r="AR776" s="431">
        <f t="shared" si="403"/>
        <v>0</v>
      </c>
      <c r="AT776" s="128"/>
      <c r="AU776" s="100" t="s">
        <v>4399</v>
      </c>
      <c r="AV776" s="128" t="s">
        <v>4415</v>
      </c>
      <c r="AW776" s="100" t="s">
        <v>4410</v>
      </c>
      <c r="AX776" s="433">
        <f t="shared" si="404"/>
        <v>0</v>
      </c>
      <c r="AY776" s="433">
        <f t="shared" si="405"/>
        <v>0</v>
      </c>
      <c r="AZ776" s="433">
        <f t="shared" si="406"/>
        <v>0</v>
      </c>
      <c r="BA776" s="433">
        <f t="shared" si="396"/>
        <v>0</v>
      </c>
      <c r="BB776" s="433">
        <f t="shared" si="397"/>
        <v>0</v>
      </c>
      <c r="BC776" s="433">
        <f t="shared" si="398"/>
        <v>0</v>
      </c>
      <c r="BD776" s="433">
        <f t="shared" si="407"/>
        <v>0</v>
      </c>
      <c r="BE776" s="433">
        <f t="shared" si="408"/>
        <v>0</v>
      </c>
      <c r="BF776" s="433">
        <f t="shared" si="409"/>
        <v>0</v>
      </c>
      <c r="BG776" s="433">
        <f t="shared" si="410"/>
        <v>0</v>
      </c>
      <c r="BH776" s="433">
        <f t="shared" si="411"/>
        <v>0</v>
      </c>
      <c r="BI776" s="433">
        <f t="shared" si="412"/>
        <v>0</v>
      </c>
      <c r="BJ776" s="433">
        <f t="shared" si="413"/>
        <v>0</v>
      </c>
      <c r="BK776" s="433">
        <f t="shared" si="414"/>
        <v>0</v>
      </c>
      <c r="BL776" s="433">
        <f t="shared" si="415"/>
        <v>1</v>
      </c>
      <c r="BM776" s="433">
        <f t="shared" si="416"/>
        <v>0</v>
      </c>
      <c r="BN776" s="433">
        <f t="shared" si="417"/>
        <v>0</v>
      </c>
      <c r="BO776" s="433">
        <f t="shared" si="418"/>
        <v>0</v>
      </c>
      <c r="BP776" s="433">
        <f t="shared" si="419"/>
        <v>0</v>
      </c>
      <c r="BQ776" s="433">
        <f t="shared" si="420"/>
        <v>0</v>
      </c>
    </row>
    <row r="777" spans="1:69" x14ac:dyDescent="0.2">
      <c r="A777" s="102">
        <v>41873</v>
      </c>
      <c r="B777" s="319">
        <v>2</v>
      </c>
      <c r="C777" s="118" t="s">
        <v>4268</v>
      </c>
      <c r="D777" s="111">
        <v>0.55208333333333337</v>
      </c>
      <c r="E777" s="111">
        <v>0.67847222222222225</v>
      </c>
      <c r="F777" s="319">
        <v>36</v>
      </c>
      <c r="G777" s="445">
        <v>12</v>
      </c>
      <c r="H777" s="319"/>
      <c r="I777" s="319"/>
      <c r="J777" s="426">
        <f t="shared" si="393"/>
        <v>182</v>
      </c>
      <c r="K777" s="103"/>
      <c r="L777" s="103"/>
      <c r="M777" s="103"/>
      <c r="N777" s="427">
        <f t="shared" si="394"/>
        <v>0</v>
      </c>
      <c r="O777" s="103"/>
      <c r="P777" s="103"/>
      <c r="Q777" s="103"/>
      <c r="R777" s="428">
        <f t="shared" si="395"/>
        <v>0</v>
      </c>
      <c r="S777" s="103">
        <v>1</v>
      </c>
      <c r="T777" s="103"/>
      <c r="U777" s="103"/>
      <c r="V777" s="125"/>
      <c r="W777" s="428">
        <f t="shared" si="399"/>
        <v>1</v>
      </c>
      <c r="X777" s="103"/>
      <c r="Y777" s="103">
        <v>1</v>
      </c>
      <c r="Z777" s="125"/>
      <c r="AA777" s="428">
        <f t="shared" si="400"/>
        <v>1</v>
      </c>
      <c r="AB777" s="103"/>
      <c r="AC777" s="103">
        <v>4</v>
      </c>
      <c r="AD777" s="103"/>
      <c r="AE777" s="428">
        <f t="shared" si="401"/>
        <v>4</v>
      </c>
      <c r="AF777" s="103"/>
      <c r="AG777" s="103">
        <v>2</v>
      </c>
      <c r="AH777" s="103"/>
      <c r="AI777" s="103"/>
      <c r="AJ777" s="428">
        <f t="shared" si="402"/>
        <v>2</v>
      </c>
      <c r="AK777" s="446"/>
      <c r="AL777" s="446"/>
      <c r="AM777" s="446"/>
      <c r="AN777" s="446"/>
      <c r="AO777" s="446"/>
      <c r="AP777" s="446"/>
      <c r="AQ777" s="446"/>
      <c r="AR777" s="431">
        <f t="shared" si="403"/>
        <v>0</v>
      </c>
      <c r="AT777" s="128"/>
      <c r="AU777" s="100" t="s">
        <v>4393</v>
      </c>
      <c r="AV777" s="128" t="s">
        <v>4415</v>
      </c>
      <c r="AW777" s="100" t="s">
        <v>4410</v>
      </c>
      <c r="AX777" s="433">
        <f t="shared" si="404"/>
        <v>0</v>
      </c>
      <c r="AY777" s="433">
        <f t="shared" si="405"/>
        <v>0</v>
      </c>
      <c r="AZ777" s="433">
        <f t="shared" si="406"/>
        <v>0</v>
      </c>
      <c r="BA777" s="433">
        <f t="shared" si="396"/>
        <v>0</v>
      </c>
      <c r="BB777" s="433">
        <f t="shared" si="397"/>
        <v>0</v>
      </c>
      <c r="BC777" s="433">
        <f t="shared" si="398"/>
        <v>0</v>
      </c>
      <c r="BD777" s="433">
        <f t="shared" si="407"/>
        <v>1</v>
      </c>
      <c r="BE777" s="433">
        <f t="shared" si="408"/>
        <v>0</v>
      </c>
      <c r="BF777" s="433">
        <f t="shared" si="409"/>
        <v>0</v>
      </c>
      <c r="BG777" s="433">
        <f t="shared" si="410"/>
        <v>0</v>
      </c>
      <c r="BH777" s="433">
        <f t="shared" si="411"/>
        <v>0</v>
      </c>
      <c r="BI777" s="433">
        <f t="shared" si="412"/>
        <v>1</v>
      </c>
      <c r="BJ777" s="433">
        <f t="shared" si="413"/>
        <v>0</v>
      </c>
      <c r="BK777" s="433">
        <f t="shared" si="414"/>
        <v>0</v>
      </c>
      <c r="BL777" s="433">
        <f t="shared" si="415"/>
        <v>4</v>
      </c>
      <c r="BM777" s="433">
        <f t="shared" si="416"/>
        <v>0</v>
      </c>
      <c r="BN777" s="433">
        <f t="shared" si="417"/>
        <v>0</v>
      </c>
      <c r="BO777" s="433">
        <f t="shared" si="418"/>
        <v>2</v>
      </c>
      <c r="BP777" s="433">
        <f t="shared" si="419"/>
        <v>0</v>
      </c>
      <c r="BQ777" s="433">
        <f t="shared" si="420"/>
        <v>0</v>
      </c>
    </row>
    <row r="778" spans="1:69" x14ac:dyDescent="0.2">
      <c r="A778" s="102">
        <v>41873</v>
      </c>
      <c r="B778" s="319">
        <v>2</v>
      </c>
      <c r="C778" s="118" t="s">
        <v>4396</v>
      </c>
      <c r="D778" s="111">
        <v>0.67847222222222225</v>
      </c>
      <c r="E778" s="111">
        <v>0.83958333333333324</v>
      </c>
      <c r="F778" s="319">
        <v>37</v>
      </c>
      <c r="G778" s="445">
        <v>13</v>
      </c>
      <c r="H778" s="319"/>
      <c r="I778" s="319"/>
      <c r="J778" s="426">
        <f t="shared" si="393"/>
        <v>231.99999999999983</v>
      </c>
      <c r="K778" s="103"/>
      <c r="L778" s="103"/>
      <c r="M778" s="103"/>
      <c r="N778" s="427">
        <f t="shared" si="394"/>
        <v>0</v>
      </c>
      <c r="O778" s="103"/>
      <c r="P778" s="103"/>
      <c r="Q778" s="103"/>
      <c r="R778" s="428">
        <f t="shared" si="395"/>
        <v>0</v>
      </c>
      <c r="S778" s="103"/>
      <c r="T778" s="103"/>
      <c r="U778" s="103"/>
      <c r="V778" s="125"/>
      <c r="W778" s="428">
        <f t="shared" si="399"/>
        <v>0</v>
      </c>
      <c r="X778" s="103"/>
      <c r="Y778" s="103"/>
      <c r="Z778" s="125"/>
      <c r="AA778" s="428">
        <f t="shared" si="400"/>
        <v>0</v>
      </c>
      <c r="AB778" s="103"/>
      <c r="AC778" s="103">
        <v>6</v>
      </c>
      <c r="AD778" s="103"/>
      <c r="AE778" s="428">
        <f t="shared" si="401"/>
        <v>6</v>
      </c>
      <c r="AF778" s="103"/>
      <c r="AG778" s="103">
        <v>1</v>
      </c>
      <c r="AH778" s="103"/>
      <c r="AI778" s="103"/>
      <c r="AJ778" s="428">
        <f t="shared" si="402"/>
        <v>1</v>
      </c>
      <c r="AK778" s="446"/>
      <c r="AL778" s="446"/>
      <c r="AM778" s="446"/>
      <c r="AN778" s="446"/>
      <c r="AO778" s="446"/>
      <c r="AP778" s="446"/>
      <c r="AQ778" s="446"/>
      <c r="AR778" s="431">
        <f t="shared" si="403"/>
        <v>0</v>
      </c>
      <c r="AT778" s="128"/>
      <c r="AU778" s="100" t="s">
        <v>4397</v>
      </c>
      <c r="AV778" s="128" t="s">
        <v>4415</v>
      </c>
      <c r="AW778" s="100" t="s">
        <v>4410</v>
      </c>
      <c r="AX778" s="433">
        <f t="shared" si="404"/>
        <v>0</v>
      </c>
      <c r="AY778" s="433">
        <f t="shared" si="405"/>
        <v>0</v>
      </c>
      <c r="AZ778" s="433">
        <f t="shared" si="406"/>
        <v>0</v>
      </c>
      <c r="BA778" s="433">
        <f t="shared" si="396"/>
        <v>0</v>
      </c>
      <c r="BB778" s="433">
        <f t="shared" si="397"/>
        <v>0</v>
      </c>
      <c r="BC778" s="433">
        <f t="shared" si="398"/>
        <v>0</v>
      </c>
      <c r="BD778" s="433">
        <f t="shared" si="407"/>
        <v>0</v>
      </c>
      <c r="BE778" s="433">
        <f t="shared" si="408"/>
        <v>0</v>
      </c>
      <c r="BF778" s="433">
        <f t="shared" si="409"/>
        <v>0</v>
      </c>
      <c r="BG778" s="433">
        <f t="shared" si="410"/>
        <v>0</v>
      </c>
      <c r="BH778" s="433">
        <f t="shared" si="411"/>
        <v>0</v>
      </c>
      <c r="BI778" s="433">
        <f t="shared" si="412"/>
        <v>0</v>
      </c>
      <c r="BJ778" s="433">
        <f t="shared" si="413"/>
        <v>0</v>
      </c>
      <c r="BK778" s="433">
        <f t="shared" si="414"/>
        <v>0</v>
      </c>
      <c r="BL778" s="433">
        <f t="shared" si="415"/>
        <v>6</v>
      </c>
      <c r="BM778" s="433">
        <f t="shared" si="416"/>
        <v>0</v>
      </c>
      <c r="BN778" s="433">
        <f t="shared" si="417"/>
        <v>0</v>
      </c>
      <c r="BO778" s="433">
        <f t="shared" si="418"/>
        <v>1</v>
      </c>
      <c r="BP778" s="433">
        <f t="shared" si="419"/>
        <v>0</v>
      </c>
      <c r="BQ778" s="433">
        <f t="shared" si="420"/>
        <v>0</v>
      </c>
    </row>
    <row r="779" spans="1:69" x14ac:dyDescent="0.2">
      <c r="A779" s="102">
        <v>41873</v>
      </c>
      <c r="B779" s="319">
        <v>3</v>
      </c>
      <c r="C779" s="118" t="s">
        <v>4361</v>
      </c>
      <c r="D779" s="111">
        <v>0.34027777777777773</v>
      </c>
      <c r="E779" s="111">
        <v>0.57222222222222219</v>
      </c>
      <c r="F779" s="319">
        <v>51</v>
      </c>
      <c r="G779" s="445">
        <v>10</v>
      </c>
      <c r="H779" s="319"/>
      <c r="I779" s="319"/>
      <c r="J779" s="426">
        <f t="shared" si="393"/>
        <v>334</v>
      </c>
      <c r="K779" s="103"/>
      <c r="L779" s="103"/>
      <c r="M779" s="103"/>
      <c r="N779" s="427">
        <f t="shared" si="394"/>
        <v>0</v>
      </c>
      <c r="O779" s="103"/>
      <c r="P779" s="103"/>
      <c r="Q779" s="103"/>
      <c r="R779" s="428">
        <f t="shared" si="395"/>
        <v>0</v>
      </c>
      <c r="S779" s="103">
        <v>1</v>
      </c>
      <c r="T779" s="103"/>
      <c r="U779" s="103"/>
      <c r="V779" s="125"/>
      <c r="W779" s="428">
        <f t="shared" si="399"/>
        <v>1</v>
      </c>
      <c r="X779" s="103"/>
      <c r="Y779" s="103">
        <v>2</v>
      </c>
      <c r="Z779" s="125"/>
      <c r="AA779" s="428">
        <f t="shared" si="400"/>
        <v>2</v>
      </c>
      <c r="AB779" s="103">
        <v>1</v>
      </c>
      <c r="AC779" s="103">
        <v>8</v>
      </c>
      <c r="AD779" s="103"/>
      <c r="AE779" s="428">
        <f t="shared" si="401"/>
        <v>9</v>
      </c>
      <c r="AF779" s="103">
        <v>5</v>
      </c>
      <c r="AG779" s="103">
        <v>1</v>
      </c>
      <c r="AH779" s="103"/>
      <c r="AI779" s="103"/>
      <c r="AJ779" s="428">
        <f t="shared" si="402"/>
        <v>6</v>
      </c>
      <c r="AK779" s="446">
        <v>1</v>
      </c>
      <c r="AL779" s="446"/>
      <c r="AM779" s="446">
        <v>2</v>
      </c>
      <c r="AN779" s="446"/>
      <c r="AO779" s="446"/>
      <c r="AP779" s="446"/>
      <c r="AQ779" s="446"/>
      <c r="AR779" s="431">
        <f t="shared" si="403"/>
        <v>3</v>
      </c>
      <c r="AT779" s="128" t="s">
        <v>4400</v>
      </c>
      <c r="AU779" s="100" t="s">
        <v>4399</v>
      </c>
      <c r="AV779" s="128" t="s">
        <v>4415</v>
      </c>
      <c r="AW779" s="100" t="s">
        <v>4410</v>
      </c>
      <c r="AX779" s="433">
        <f t="shared" si="404"/>
        <v>0</v>
      </c>
      <c r="AY779" s="433">
        <f t="shared" si="405"/>
        <v>0</v>
      </c>
      <c r="AZ779" s="433">
        <f t="shared" si="406"/>
        <v>0</v>
      </c>
      <c r="BA779" s="433">
        <f t="shared" si="396"/>
        <v>0</v>
      </c>
      <c r="BB779" s="433">
        <f t="shared" si="397"/>
        <v>0</v>
      </c>
      <c r="BC779" s="433">
        <f t="shared" si="398"/>
        <v>0</v>
      </c>
      <c r="BD779" s="433">
        <f t="shared" si="407"/>
        <v>1</v>
      </c>
      <c r="BE779" s="433">
        <f t="shared" si="408"/>
        <v>0</v>
      </c>
      <c r="BF779" s="433">
        <f t="shared" si="409"/>
        <v>0</v>
      </c>
      <c r="BG779" s="433">
        <f t="shared" si="410"/>
        <v>0</v>
      </c>
      <c r="BH779" s="433">
        <f t="shared" si="411"/>
        <v>0</v>
      </c>
      <c r="BI779" s="433">
        <f t="shared" si="412"/>
        <v>2</v>
      </c>
      <c r="BJ779" s="433">
        <f t="shared" si="413"/>
        <v>0</v>
      </c>
      <c r="BK779" s="433">
        <f t="shared" si="414"/>
        <v>1</v>
      </c>
      <c r="BL779" s="433">
        <f t="shared" si="415"/>
        <v>8</v>
      </c>
      <c r="BM779" s="433">
        <f t="shared" si="416"/>
        <v>0</v>
      </c>
      <c r="BN779" s="433">
        <f t="shared" si="417"/>
        <v>5</v>
      </c>
      <c r="BO779" s="433">
        <f t="shared" si="418"/>
        <v>1</v>
      </c>
      <c r="BP779" s="433">
        <f t="shared" si="419"/>
        <v>0</v>
      </c>
      <c r="BQ779" s="433">
        <f t="shared" si="420"/>
        <v>0</v>
      </c>
    </row>
    <row r="780" spans="1:69" s="291" customFormat="1" x14ac:dyDescent="0.2">
      <c r="A780" s="317">
        <v>41873</v>
      </c>
      <c r="B780" s="318">
        <v>3</v>
      </c>
      <c r="C780" s="320" t="s">
        <v>4268</v>
      </c>
      <c r="D780" s="321">
        <v>0.57222222222222219</v>
      </c>
      <c r="E780" s="321">
        <v>0.84097222222222223</v>
      </c>
      <c r="F780" s="318">
        <v>43</v>
      </c>
      <c r="G780" s="435">
        <v>11</v>
      </c>
      <c r="H780" s="318"/>
      <c r="I780" s="318"/>
      <c r="J780" s="437">
        <f t="shared" si="393"/>
        <v>387.00000000000006</v>
      </c>
      <c r="K780" s="285"/>
      <c r="L780" s="285"/>
      <c r="M780" s="285"/>
      <c r="N780" s="438">
        <f t="shared" si="394"/>
        <v>0</v>
      </c>
      <c r="O780" s="285"/>
      <c r="P780" s="285"/>
      <c r="Q780" s="285"/>
      <c r="R780" s="439">
        <f t="shared" si="395"/>
        <v>0</v>
      </c>
      <c r="S780" s="285">
        <v>1</v>
      </c>
      <c r="T780" s="285"/>
      <c r="U780" s="285"/>
      <c r="V780" s="440"/>
      <c r="W780" s="439">
        <f t="shared" si="399"/>
        <v>1</v>
      </c>
      <c r="X780" s="285"/>
      <c r="Y780" s="285">
        <v>3</v>
      </c>
      <c r="Z780" s="440"/>
      <c r="AA780" s="439">
        <f t="shared" si="400"/>
        <v>3</v>
      </c>
      <c r="AB780" s="285"/>
      <c r="AC780" s="285">
        <v>10</v>
      </c>
      <c r="AD780" s="285"/>
      <c r="AE780" s="439">
        <f t="shared" si="401"/>
        <v>10</v>
      </c>
      <c r="AF780" s="285"/>
      <c r="AG780" s="285">
        <v>8</v>
      </c>
      <c r="AH780" s="285"/>
      <c r="AI780" s="285"/>
      <c r="AJ780" s="439">
        <f t="shared" si="402"/>
        <v>8</v>
      </c>
      <c r="AK780" s="340"/>
      <c r="AL780" s="340"/>
      <c r="AM780" s="340">
        <v>1</v>
      </c>
      <c r="AN780" s="340"/>
      <c r="AO780" s="340"/>
      <c r="AP780" s="340"/>
      <c r="AQ780" s="340"/>
      <c r="AR780" s="441">
        <f t="shared" si="403"/>
        <v>1</v>
      </c>
      <c r="AT780" s="313"/>
      <c r="AU780" s="289" t="s">
        <v>4398</v>
      </c>
      <c r="AV780" s="128" t="s">
        <v>4415</v>
      </c>
      <c r="AW780" s="289" t="s">
        <v>4410</v>
      </c>
      <c r="AX780" s="443">
        <f t="shared" si="404"/>
        <v>0</v>
      </c>
      <c r="AY780" s="443">
        <f t="shared" si="405"/>
        <v>0</v>
      </c>
      <c r="AZ780" s="443">
        <f t="shared" si="406"/>
        <v>0</v>
      </c>
      <c r="BA780" s="443">
        <f t="shared" si="396"/>
        <v>0</v>
      </c>
      <c r="BB780" s="443">
        <f t="shared" si="397"/>
        <v>0</v>
      </c>
      <c r="BC780" s="443">
        <f t="shared" si="398"/>
        <v>0</v>
      </c>
      <c r="BD780" s="443">
        <f t="shared" si="407"/>
        <v>1</v>
      </c>
      <c r="BE780" s="443">
        <f t="shared" si="408"/>
        <v>0</v>
      </c>
      <c r="BF780" s="443">
        <f t="shared" si="409"/>
        <v>0</v>
      </c>
      <c r="BG780" s="443">
        <f t="shared" si="410"/>
        <v>0</v>
      </c>
      <c r="BH780" s="443">
        <f t="shared" si="411"/>
        <v>0</v>
      </c>
      <c r="BI780" s="443">
        <f t="shared" si="412"/>
        <v>3</v>
      </c>
      <c r="BJ780" s="443">
        <f t="shared" si="413"/>
        <v>0</v>
      </c>
      <c r="BK780" s="443">
        <f t="shared" si="414"/>
        <v>0</v>
      </c>
      <c r="BL780" s="443">
        <f t="shared" si="415"/>
        <v>10</v>
      </c>
      <c r="BM780" s="443">
        <f t="shared" si="416"/>
        <v>0</v>
      </c>
      <c r="BN780" s="443">
        <f t="shared" si="417"/>
        <v>0</v>
      </c>
      <c r="BO780" s="443">
        <f t="shared" si="418"/>
        <v>8</v>
      </c>
      <c r="BP780" s="443">
        <f t="shared" si="419"/>
        <v>0</v>
      </c>
      <c r="BQ780" s="443">
        <f t="shared" si="420"/>
        <v>0</v>
      </c>
    </row>
    <row r="781" spans="1:69" x14ac:dyDescent="0.2">
      <c r="A781" s="102">
        <v>41874</v>
      </c>
      <c r="B781" s="319">
        <v>1</v>
      </c>
      <c r="C781" s="118" t="s">
        <v>4396</v>
      </c>
      <c r="D781" s="111">
        <v>0.3430555555555555</v>
      </c>
      <c r="E781" s="111">
        <v>0.45833333333333331</v>
      </c>
      <c r="F781" s="319">
        <v>62</v>
      </c>
      <c r="G781" s="445">
        <v>11.5</v>
      </c>
      <c r="H781" s="319"/>
      <c r="I781" s="319"/>
      <c r="J781" s="426">
        <f t="shared" si="393"/>
        <v>166.00000000000006</v>
      </c>
      <c r="K781" s="103"/>
      <c r="L781" s="103"/>
      <c r="M781" s="103"/>
      <c r="N781" s="427">
        <f t="shared" si="394"/>
        <v>0</v>
      </c>
      <c r="O781" s="103"/>
      <c r="P781" s="103"/>
      <c r="Q781" s="103"/>
      <c r="R781" s="428">
        <f t="shared" si="395"/>
        <v>0</v>
      </c>
      <c r="S781" s="103"/>
      <c r="T781" s="103"/>
      <c r="U781" s="103"/>
      <c r="V781" s="125"/>
      <c r="W781" s="428">
        <f t="shared" si="399"/>
        <v>0</v>
      </c>
      <c r="X781" s="103"/>
      <c r="Y781" s="103">
        <v>1</v>
      </c>
      <c r="Z781" s="125"/>
      <c r="AA781" s="428">
        <f t="shared" si="400"/>
        <v>1</v>
      </c>
      <c r="AB781" s="103">
        <v>1</v>
      </c>
      <c r="AC781" s="103">
        <v>4</v>
      </c>
      <c r="AD781" s="103"/>
      <c r="AE781" s="428">
        <f t="shared" si="401"/>
        <v>5</v>
      </c>
      <c r="AF781" s="103"/>
      <c r="AG781" s="103"/>
      <c r="AH781" s="103"/>
      <c r="AI781" s="103"/>
      <c r="AJ781" s="428">
        <f t="shared" si="402"/>
        <v>0</v>
      </c>
      <c r="AK781" s="446"/>
      <c r="AL781" s="446"/>
      <c r="AM781" s="446"/>
      <c r="AN781" s="446"/>
      <c r="AO781" s="446"/>
      <c r="AP781" s="446"/>
      <c r="AQ781" s="446"/>
      <c r="AR781" s="431">
        <f t="shared" si="403"/>
        <v>0</v>
      </c>
      <c r="AT781" s="128"/>
      <c r="AU781" s="100" t="s">
        <v>4411</v>
      </c>
      <c r="AV781" s="128" t="s">
        <v>4422</v>
      </c>
      <c r="AW781" s="100" t="s">
        <v>4423</v>
      </c>
      <c r="AX781" s="433">
        <f t="shared" si="404"/>
        <v>0</v>
      </c>
      <c r="AY781" s="433">
        <f t="shared" si="405"/>
        <v>0</v>
      </c>
      <c r="AZ781" s="433">
        <f t="shared" si="406"/>
        <v>0</v>
      </c>
      <c r="BA781" s="433">
        <f t="shared" si="396"/>
        <v>0</v>
      </c>
      <c r="BB781" s="433">
        <f t="shared" si="397"/>
        <v>0</v>
      </c>
      <c r="BC781" s="433">
        <f t="shared" si="398"/>
        <v>0</v>
      </c>
      <c r="BD781" s="433">
        <f t="shared" si="407"/>
        <v>0</v>
      </c>
      <c r="BE781" s="433">
        <f t="shared" si="408"/>
        <v>0</v>
      </c>
      <c r="BF781" s="433">
        <f t="shared" si="409"/>
        <v>0</v>
      </c>
      <c r="BG781" s="433">
        <f t="shared" si="410"/>
        <v>0</v>
      </c>
      <c r="BH781" s="433">
        <f t="shared" si="411"/>
        <v>0</v>
      </c>
      <c r="BI781" s="433">
        <f t="shared" si="412"/>
        <v>1</v>
      </c>
      <c r="BJ781" s="433">
        <f t="shared" si="413"/>
        <v>0</v>
      </c>
      <c r="BK781" s="433">
        <f t="shared" si="414"/>
        <v>1</v>
      </c>
      <c r="BL781" s="433">
        <f t="shared" si="415"/>
        <v>4</v>
      </c>
      <c r="BM781" s="433">
        <f t="shared" si="416"/>
        <v>0</v>
      </c>
      <c r="BN781" s="433">
        <f t="shared" si="417"/>
        <v>0</v>
      </c>
      <c r="BO781" s="433">
        <f t="shared" si="418"/>
        <v>0</v>
      </c>
      <c r="BP781" s="433">
        <f t="shared" si="419"/>
        <v>0</v>
      </c>
      <c r="BQ781" s="433">
        <f t="shared" si="420"/>
        <v>0</v>
      </c>
    </row>
    <row r="782" spans="1:69" x14ac:dyDescent="0.2">
      <c r="A782" s="102">
        <v>41874</v>
      </c>
      <c r="B782" s="319">
        <v>1</v>
      </c>
      <c r="C782" s="118" t="s">
        <v>4412</v>
      </c>
      <c r="D782" s="111">
        <v>0.45833333333333331</v>
      </c>
      <c r="E782" s="111">
        <v>0.70624999999999993</v>
      </c>
      <c r="F782" s="319">
        <v>63</v>
      </c>
      <c r="G782" s="445">
        <v>15</v>
      </c>
      <c r="H782" s="319"/>
      <c r="I782" s="319"/>
      <c r="J782" s="426">
        <f t="shared" si="393"/>
        <v>356.99999999999994</v>
      </c>
      <c r="K782" s="103"/>
      <c r="L782" s="103"/>
      <c r="M782" s="103"/>
      <c r="N782" s="427">
        <f t="shared" si="394"/>
        <v>0</v>
      </c>
      <c r="O782" s="103"/>
      <c r="P782" s="103"/>
      <c r="Q782" s="103"/>
      <c r="R782" s="428">
        <f t="shared" si="395"/>
        <v>0</v>
      </c>
      <c r="S782" s="103"/>
      <c r="T782" s="103"/>
      <c r="U782" s="103"/>
      <c r="V782" s="125"/>
      <c r="W782" s="428">
        <f t="shared" si="399"/>
        <v>0</v>
      </c>
      <c r="X782" s="103"/>
      <c r="Y782" s="103"/>
      <c r="Z782" s="125"/>
      <c r="AA782" s="428">
        <f t="shared" si="400"/>
        <v>0</v>
      </c>
      <c r="AB782" s="103"/>
      <c r="AC782" s="103">
        <v>12</v>
      </c>
      <c r="AD782" s="103"/>
      <c r="AE782" s="428">
        <f t="shared" si="401"/>
        <v>12</v>
      </c>
      <c r="AF782" s="103">
        <v>1</v>
      </c>
      <c r="AG782" s="103"/>
      <c r="AH782" s="103"/>
      <c r="AI782" s="103"/>
      <c r="AJ782" s="428">
        <f t="shared" si="402"/>
        <v>1</v>
      </c>
      <c r="AK782" s="446"/>
      <c r="AL782" s="446"/>
      <c r="AM782" s="446"/>
      <c r="AN782" s="446"/>
      <c r="AO782" s="446"/>
      <c r="AP782" s="446"/>
      <c r="AQ782" s="446"/>
      <c r="AR782" s="431">
        <f t="shared" si="403"/>
        <v>0</v>
      </c>
      <c r="AT782" s="128"/>
      <c r="AU782" s="100" t="s">
        <v>4413</v>
      </c>
      <c r="AV782" s="128" t="s">
        <v>4422</v>
      </c>
      <c r="AW782" s="100" t="s">
        <v>4423</v>
      </c>
      <c r="AX782" s="433">
        <f t="shared" si="404"/>
        <v>0</v>
      </c>
      <c r="AY782" s="433">
        <f t="shared" si="405"/>
        <v>0</v>
      </c>
      <c r="AZ782" s="433">
        <f t="shared" si="406"/>
        <v>0</v>
      </c>
      <c r="BA782" s="433">
        <f t="shared" si="396"/>
        <v>0</v>
      </c>
      <c r="BB782" s="433">
        <f t="shared" si="397"/>
        <v>0</v>
      </c>
      <c r="BC782" s="433">
        <f t="shared" si="398"/>
        <v>0</v>
      </c>
      <c r="BD782" s="433">
        <f t="shared" si="407"/>
        <v>0</v>
      </c>
      <c r="BE782" s="433">
        <f t="shared" si="408"/>
        <v>0</v>
      </c>
      <c r="BF782" s="433">
        <f t="shared" si="409"/>
        <v>0</v>
      </c>
      <c r="BG782" s="433">
        <f t="shared" si="410"/>
        <v>0</v>
      </c>
      <c r="BH782" s="433">
        <f t="shared" si="411"/>
        <v>0</v>
      </c>
      <c r="BI782" s="433">
        <f t="shared" si="412"/>
        <v>0</v>
      </c>
      <c r="BJ782" s="433">
        <f t="shared" si="413"/>
        <v>0</v>
      </c>
      <c r="BK782" s="433">
        <f t="shared" si="414"/>
        <v>0</v>
      </c>
      <c r="BL782" s="433">
        <f t="shared" si="415"/>
        <v>12</v>
      </c>
      <c r="BM782" s="433">
        <f t="shared" si="416"/>
        <v>0</v>
      </c>
      <c r="BN782" s="433">
        <f t="shared" si="417"/>
        <v>1</v>
      </c>
      <c r="BO782" s="433">
        <f t="shared" si="418"/>
        <v>0</v>
      </c>
      <c r="BP782" s="433">
        <f t="shared" si="419"/>
        <v>0</v>
      </c>
      <c r="BQ782" s="433">
        <f t="shared" si="420"/>
        <v>0</v>
      </c>
    </row>
    <row r="783" spans="1:69" x14ac:dyDescent="0.2">
      <c r="A783" s="102">
        <v>41874</v>
      </c>
      <c r="B783" s="319">
        <v>1</v>
      </c>
      <c r="C783" s="118" t="s">
        <v>420</v>
      </c>
      <c r="D783" s="111">
        <v>0.70624999999999993</v>
      </c>
      <c r="E783" s="111">
        <v>0.84930555555555554</v>
      </c>
      <c r="F783" s="319">
        <v>62</v>
      </c>
      <c r="G783" s="445">
        <v>12</v>
      </c>
      <c r="H783" s="319"/>
      <c r="I783" s="319"/>
      <c r="J783" s="426">
        <f t="shared" si="393"/>
        <v>206.00000000000006</v>
      </c>
      <c r="K783" s="103"/>
      <c r="L783" s="103"/>
      <c r="M783" s="103"/>
      <c r="N783" s="427">
        <f t="shared" si="394"/>
        <v>0</v>
      </c>
      <c r="O783" s="103"/>
      <c r="P783" s="103"/>
      <c r="Q783" s="103"/>
      <c r="R783" s="428">
        <f t="shared" si="395"/>
        <v>0</v>
      </c>
      <c r="S783" s="103"/>
      <c r="T783" s="103"/>
      <c r="U783" s="103"/>
      <c r="V783" s="125"/>
      <c r="W783" s="428">
        <f t="shared" si="399"/>
        <v>0</v>
      </c>
      <c r="X783" s="103"/>
      <c r="Y783" s="103"/>
      <c r="Z783" s="125"/>
      <c r="AA783" s="428">
        <f t="shared" si="400"/>
        <v>0</v>
      </c>
      <c r="AB783" s="103"/>
      <c r="AC783" s="103">
        <v>5</v>
      </c>
      <c r="AD783" s="103"/>
      <c r="AE783" s="428">
        <f t="shared" si="401"/>
        <v>5</v>
      </c>
      <c r="AF783" s="103">
        <v>1</v>
      </c>
      <c r="AG783" s="103"/>
      <c r="AH783" s="103"/>
      <c r="AI783" s="103"/>
      <c r="AJ783" s="428">
        <f t="shared" si="402"/>
        <v>1</v>
      </c>
      <c r="AK783" s="446"/>
      <c r="AL783" s="446"/>
      <c r="AM783" s="446"/>
      <c r="AN783" s="446"/>
      <c r="AO783" s="446"/>
      <c r="AP783" s="446"/>
      <c r="AQ783" s="446"/>
      <c r="AR783" s="431">
        <f t="shared" si="403"/>
        <v>0</v>
      </c>
      <c r="AT783" s="128"/>
      <c r="AU783" s="100" t="s">
        <v>4416</v>
      </c>
      <c r="AV783" s="128" t="s">
        <v>4422</v>
      </c>
      <c r="AW783" s="100" t="s">
        <v>4423</v>
      </c>
      <c r="AX783" s="433">
        <f t="shared" si="404"/>
        <v>0</v>
      </c>
      <c r="AY783" s="433">
        <f t="shared" si="405"/>
        <v>0</v>
      </c>
      <c r="AZ783" s="433">
        <f t="shared" si="406"/>
        <v>0</v>
      </c>
      <c r="BA783" s="433">
        <f t="shared" si="396"/>
        <v>0</v>
      </c>
      <c r="BB783" s="433">
        <f t="shared" si="397"/>
        <v>0</v>
      </c>
      <c r="BC783" s="433">
        <f t="shared" si="398"/>
        <v>0</v>
      </c>
      <c r="BD783" s="433">
        <f t="shared" si="407"/>
        <v>0</v>
      </c>
      <c r="BE783" s="433">
        <f t="shared" si="408"/>
        <v>0</v>
      </c>
      <c r="BF783" s="433">
        <f t="shared" si="409"/>
        <v>0</v>
      </c>
      <c r="BG783" s="433">
        <f t="shared" si="410"/>
        <v>0</v>
      </c>
      <c r="BH783" s="433">
        <f t="shared" si="411"/>
        <v>0</v>
      </c>
      <c r="BI783" s="433">
        <f t="shared" si="412"/>
        <v>0</v>
      </c>
      <c r="BJ783" s="433">
        <f t="shared" si="413"/>
        <v>0</v>
      </c>
      <c r="BK783" s="433">
        <f t="shared" si="414"/>
        <v>0</v>
      </c>
      <c r="BL783" s="433">
        <f t="shared" si="415"/>
        <v>5</v>
      </c>
      <c r="BM783" s="433">
        <f t="shared" si="416"/>
        <v>0</v>
      </c>
      <c r="BN783" s="433">
        <f t="shared" si="417"/>
        <v>1</v>
      </c>
      <c r="BO783" s="433">
        <f t="shared" si="418"/>
        <v>0</v>
      </c>
      <c r="BP783" s="433">
        <f t="shared" si="419"/>
        <v>0</v>
      </c>
      <c r="BQ783" s="433">
        <f t="shared" si="420"/>
        <v>0</v>
      </c>
    </row>
    <row r="784" spans="1:69" x14ac:dyDescent="0.2">
      <c r="A784" s="102">
        <v>41874</v>
      </c>
      <c r="B784" s="319">
        <v>2</v>
      </c>
      <c r="C784" s="118" t="s">
        <v>4396</v>
      </c>
      <c r="D784" s="111">
        <v>0.33888888888888885</v>
      </c>
      <c r="E784" s="111">
        <v>0.45833333333333331</v>
      </c>
      <c r="F784" s="319">
        <v>38</v>
      </c>
      <c r="G784" s="445">
        <v>12</v>
      </c>
      <c r="H784" s="319"/>
      <c r="I784" s="319"/>
      <c r="J784" s="426">
        <f t="shared" si="393"/>
        <v>172.00000000000003</v>
      </c>
      <c r="K784" s="103"/>
      <c r="L784" s="103"/>
      <c r="M784" s="103"/>
      <c r="N784" s="427">
        <f t="shared" si="394"/>
        <v>0</v>
      </c>
      <c r="O784" s="103"/>
      <c r="P784" s="103"/>
      <c r="Q784" s="103"/>
      <c r="R784" s="428">
        <f t="shared" si="395"/>
        <v>0</v>
      </c>
      <c r="S784" s="103"/>
      <c r="T784" s="103"/>
      <c r="U784" s="103"/>
      <c r="V784" s="125"/>
      <c r="W784" s="428">
        <f t="shared" si="399"/>
        <v>0</v>
      </c>
      <c r="X784" s="103"/>
      <c r="Y784" s="103"/>
      <c r="Z784" s="125"/>
      <c r="AA784" s="428">
        <f t="shared" si="400"/>
        <v>0</v>
      </c>
      <c r="AB784" s="103"/>
      <c r="AC784" s="103">
        <v>4</v>
      </c>
      <c r="AD784" s="103"/>
      <c r="AE784" s="428">
        <f t="shared" si="401"/>
        <v>4</v>
      </c>
      <c r="AF784" s="103"/>
      <c r="AG784" s="103"/>
      <c r="AH784" s="103"/>
      <c r="AI784" s="103"/>
      <c r="AJ784" s="428">
        <f t="shared" si="402"/>
        <v>0</v>
      </c>
      <c r="AK784" s="446"/>
      <c r="AL784" s="446"/>
      <c r="AM784" s="446"/>
      <c r="AN784" s="446"/>
      <c r="AO784" s="446"/>
      <c r="AP784" s="446"/>
      <c r="AQ784" s="446"/>
      <c r="AR784" s="431">
        <f t="shared" si="403"/>
        <v>0</v>
      </c>
      <c r="AT784" s="128"/>
      <c r="AU784" s="100" t="s">
        <v>4411</v>
      </c>
      <c r="AV784" s="128" t="s">
        <v>4422</v>
      </c>
      <c r="AW784" s="100" t="s">
        <v>4423</v>
      </c>
      <c r="AX784" s="433">
        <f t="shared" si="404"/>
        <v>0</v>
      </c>
      <c r="AY784" s="433">
        <f t="shared" si="405"/>
        <v>0</v>
      </c>
      <c r="AZ784" s="433">
        <f t="shared" si="406"/>
        <v>0</v>
      </c>
      <c r="BA784" s="433">
        <f t="shared" si="396"/>
        <v>0</v>
      </c>
      <c r="BB784" s="433">
        <f t="shared" si="397"/>
        <v>0</v>
      </c>
      <c r="BC784" s="433">
        <f t="shared" si="398"/>
        <v>0</v>
      </c>
      <c r="BD784" s="433">
        <f t="shared" si="407"/>
        <v>0</v>
      </c>
      <c r="BE784" s="433">
        <f t="shared" si="408"/>
        <v>0</v>
      </c>
      <c r="BF784" s="433">
        <f t="shared" si="409"/>
        <v>0</v>
      </c>
      <c r="BG784" s="433">
        <f t="shared" si="410"/>
        <v>0</v>
      </c>
      <c r="BH784" s="433">
        <f t="shared" si="411"/>
        <v>0</v>
      </c>
      <c r="BI784" s="433">
        <f t="shared" si="412"/>
        <v>0</v>
      </c>
      <c r="BJ784" s="433">
        <f t="shared" si="413"/>
        <v>0</v>
      </c>
      <c r="BK784" s="433">
        <f t="shared" si="414"/>
        <v>0</v>
      </c>
      <c r="BL784" s="433">
        <f t="shared" si="415"/>
        <v>4</v>
      </c>
      <c r="BM784" s="433">
        <f t="shared" si="416"/>
        <v>0</v>
      </c>
      <c r="BN784" s="433">
        <f t="shared" si="417"/>
        <v>0</v>
      </c>
      <c r="BO784" s="433">
        <f t="shared" si="418"/>
        <v>0</v>
      </c>
      <c r="BP784" s="433">
        <f t="shared" si="419"/>
        <v>0</v>
      </c>
      <c r="BQ784" s="433">
        <f t="shared" si="420"/>
        <v>0</v>
      </c>
    </row>
    <row r="785" spans="1:69" x14ac:dyDescent="0.2">
      <c r="A785" s="102">
        <v>41874</v>
      </c>
      <c r="B785" s="319">
        <v>2</v>
      </c>
      <c r="C785" s="118" t="s">
        <v>4412</v>
      </c>
      <c r="D785" s="111">
        <v>0.45833333333333331</v>
      </c>
      <c r="E785" s="111">
        <v>0.6958333333333333</v>
      </c>
      <c r="F785" s="319">
        <v>35</v>
      </c>
      <c r="G785" s="445">
        <v>12</v>
      </c>
      <c r="H785" s="319"/>
      <c r="I785" s="319"/>
      <c r="J785" s="426">
        <f t="shared" si="393"/>
        <v>341.99999999999994</v>
      </c>
      <c r="K785" s="103"/>
      <c r="L785" s="103"/>
      <c r="M785" s="103"/>
      <c r="N785" s="427">
        <f t="shared" si="394"/>
        <v>0</v>
      </c>
      <c r="O785" s="103"/>
      <c r="P785" s="103"/>
      <c r="Q785" s="103"/>
      <c r="R785" s="428">
        <f t="shared" si="395"/>
        <v>0</v>
      </c>
      <c r="S785" s="103"/>
      <c r="T785" s="103"/>
      <c r="U785" s="103"/>
      <c r="V785" s="125"/>
      <c r="W785" s="428">
        <f t="shared" si="399"/>
        <v>0</v>
      </c>
      <c r="X785" s="103"/>
      <c r="Y785" s="103"/>
      <c r="Z785" s="125"/>
      <c r="AA785" s="428">
        <f t="shared" si="400"/>
        <v>0</v>
      </c>
      <c r="AB785" s="103"/>
      <c r="AC785" s="103">
        <v>2</v>
      </c>
      <c r="AD785" s="103"/>
      <c r="AE785" s="428">
        <f t="shared" si="401"/>
        <v>2</v>
      </c>
      <c r="AF785" s="103"/>
      <c r="AG785" s="103"/>
      <c r="AH785" s="103"/>
      <c r="AI785" s="103"/>
      <c r="AJ785" s="428">
        <f t="shared" si="402"/>
        <v>0</v>
      </c>
      <c r="AK785" s="446"/>
      <c r="AL785" s="446"/>
      <c r="AM785" s="446"/>
      <c r="AN785" s="446"/>
      <c r="AO785" s="446"/>
      <c r="AP785" s="446"/>
      <c r="AQ785" s="446"/>
      <c r="AR785" s="431">
        <f t="shared" si="403"/>
        <v>0</v>
      </c>
      <c r="AS785" s="10" t="s">
        <v>4414</v>
      </c>
      <c r="AT785" s="128"/>
      <c r="AU785" s="100" t="s">
        <v>4415</v>
      </c>
      <c r="AV785" s="128" t="s">
        <v>4422</v>
      </c>
      <c r="AW785" s="100" t="s">
        <v>4423</v>
      </c>
      <c r="AX785" s="433">
        <f t="shared" si="404"/>
        <v>0</v>
      </c>
      <c r="AY785" s="433">
        <f t="shared" si="405"/>
        <v>0</v>
      </c>
      <c r="AZ785" s="433">
        <f t="shared" si="406"/>
        <v>0</v>
      </c>
      <c r="BA785" s="433">
        <f t="shared" si="396"/>
        <v>0</v>
      </c>
      <c r="BB785" s="433">
        <f t="shared" si="397"/>
        <v>0</v>
      </c>
      <c r="BC785" s="433">
        <f t="shared" si="398"/>
        <v>0</v>
      </c>
      <c r="BD785" s="433">
        <f t="shared" si="407"/>
        <v>0</v>
      </c>
      <c r="BE785" s="433">
        <f t="shared" si="408"/>
        <v>0</v>
      </c>
      <c r="BF785" s="433">
        <f t="shared" si="409"/>
        <v>0</v>
      </c>
      <c r="BG785" s="433">
        <f t="shared" si="410"/>
        <v>0</v>
      </c>
      <c r="BH785" s="433">
        <f t="shared" si="411"/>
        <v>0</v>
      </c>
      <c r="BI785" s="433">
        <f t="shared" si="412"/>
        <v>0</v>
      </c>
      <c r="BJ785" s="433">
        <f t="shared" si="413"/>
        <v>0</v>
      </c>
      <c r="BK785" s="433">
        <f t="shared" si="414"/>
        <v>0</v>
      </c>
      <c r="BL785" s="433">
        <f t="shared" si="415"/>
        <v>2</v>
      </c>
      <c r="BM785" s="433">
        <f t="shared" si="416"/>
        <v>0</v>
      </c>
      <c r="BN785" s="433">
        <f t="shared" si="417"/>
        <v>0</v>
      </c>
      <c r="BO785" s="433">
        <f t="shared" si="418"/>
        <v>0</v>
      </c>
      <c r="BP785" s="433">
        <f t="shared" si="419"/>
        <v>0</v>
      </c>
      <c r="BQ785" s="433">
        <f t="shared" si="420"/>
        <v>0</v>
      </c>
    </row>
    <row r="786" spans="1:69" x14ac:dyDescent="0.2">
      <c r="A786" s="102">
        <v>41874</v>
      </c>
      <c r="B786" s="319">
        <v>2</v>
      </c>
      <c r="C786" s="118" t="s">
        <v>437</v>
      </c>
      <c r="D786" s="111">
        <v>0.6958333333333333</v>
      </c>
      <c r="E786" s="111">
        <v>0.84305555555555556</v>
      </c>
      <c r="F786" s="319">
        <v>37</v>
      </c>
      <c r="G786" s="445">
        <v>12</v>
      </c>
      <c r="H786" s="319"/>
      <c r="I786" s="319"/>
      <c r="J786" s="426">
        <f t="shared" si="393"/>
        <v>212.00000000000006</v>
      </c>
      <c r="K786" s="103"/>
      <c r="L786" s="103"/>
      <c r="M786" s="103"/>
      <c r="N786" s="427">
        <f t="shared" si="394"/>
        <v>0</v>
      </c>
      <c r="O786" s="103"/>
      <c r="P786" s="103"/>
      <c r="Q786" s="103"/>
      <c r="R786" s="428">
        <f t="shared" si="395"/>
        <v>0</v>
      </c>
      <c r="S786" s="103"/>
      <c r="T786" s="103"/>
      <c r="U786" s="103"/>
      <c r="V786" s="125"/>
      <c r="W786" s="428">
        <f t="shared" si="399"/>
        <v>0</v>
      </c>
      <c r="X786" s="103"/>
      <c r="Y786" s="103"/>
      <c r="Z786" s="125"/>
      <c r="AA786" s="428">
        <f t="shared" si="400"/>
        <v>0</v>
      </c>
      <c r="AB786" s="103"/>
      <c r="AC786" s="103"/>
      <c r="AD786" s="103"/>
      <c r="AE786" s="428">
        <f t="shared" si="401"/>
        <v>0</v>
      </c>
      <c r="AF786" s="103"/>
      <c r="AG786" s="103"/>
      <c r="AH786" s="103"/>
      <c r="AI786" s="103"/>
      <c r="AJ786" s="428">
        <f t="shared" si="402"/>
        <v>0</v>
      </c>
      <c r="AK786" s="446"/>
      <c r="AL786" s="446"/>
      <c r="AM786" s="446"/>
      <c r="AN786" s="446"/>
      <c r="AO786" s="446"/>
      <c r="AP786" s="446"/>
      <c r="AQ786" s="446"/>
      <c r="AR786" s="431">
        <f t="shared" si="403"/>
        <v>0</v>
      </c>
      <c r="AT786" s="128" t="s">
        <v>4307</v>
      </c>
      <c r="AU786" s="100" t="s">
        <v>4416</v>
      </c>
      <c r="AV786" s="128" t="s">
        <v>4422</v>
      </c>
      <c r="AW786" s="100" t="s">
        <v>4423</v>
      </c>
      <c r="AX786" s="433">
        <f t="shared" si="404"/>
        <v>0</v>
      </c>
      <c r="AY786" s="433">
        <f t="shared" si="405"/>
        <v>0</v>
      </c>
      <c r="AZ786" s="433">
        <f t="shared" si="406"/>
        <v>0</v>
      </c>
      <c r="BA786" s="433">
        <f t="shared" si="396"/>
        <v>0</v>
      </c>
      <c r="BB786" s="433">
        <f t="shared" si="397"/>
        <v>0</v>
      </c>
      <c r="BC786" s="433">
        <f t="shared" si="398"/>
        <v>0</v>
      </c>
      <c r="BD786" s="433">
        <f t="shared" si="407"/>
        <v>0</v>
      </c>
      <c r="BE786" s="433">
        <f t="shared" si="408"/>
        <v>0</v>
      </c>
      <c r="BF786" s="433">
        <f t="shared" si="409"/>
        <v>0</v>
      </c>
      <c r="BG786" s="433">
        <f t="shared" si="410"/>
        <v>0</v>
      </c>
      <c r="BH786" s="433">
        <f t="shared" si="411"/>
        <v>0</v>
      </c>
      <c r="BI786" s="433">
        <f t="shared" si="412"/>
        <v>0</v>
      </c>
      <c r="BJ786" s="433">
        <f t="shared" si="413"/>
        <v>0</v>
      </c>
      <c r="BK786" s="433">
        <f t="shared" si="414"/>
        <v>0</v>
      </c>
      <c r="BL786" s="433">
        <f t="shared" si="415"/>
        <v>0</v>
      </c>
      <c r="BM786" s="433">
        <f t="shared" si="416"/>
        <v>0</v>
      </c>
      <c r="BN786" s="433">
        <f t="shared" si="417"/>
        <v>0</v>
      </c>
      <c r="BO786" s="433">
        <f t="shared" si="418"/>
        <v>0</v>
      </c>
      <c r="BP786" s="433">
        <f t="shared" si="419"/>
        <v>0</v>
      </c>
      <c r="BQ786" s="433">
        <f t="shared" si="420"/>
        <v>0</v>
      </c>
    </row>
    <row r="787" spans="1:69" x14ac:dyDescent="0.2">
      <c r="A787" s="102">
        <v>41874</v>
      </c>
      <c r="B787" s="319">
        <v>3</v>
      </c>
      <c r="C787" s="118" t="s">
        <v>420</v>
      </c>
      <c r="D787" s="111">
        <v>0.34166666666666662</v>
      </c>
      <c r="E787" s="111">
        <v>0.58750000000000002</v>
      </c>
      <c r="F787" s="319">
        <v>46</v>
      </c>
      <c r="G787" s="445">
        <v>11</v>
      </c>
      <c r="H787" s="319"/>
      <c r="I787" s="319"/>
      <c r="J787" s="426">
        <f t="shared" si="393"/>
        <v>354.00000000000011</v>
      </c>
      <c r="K787" s="103"/>
      <c r="L787" s="103"/>
      <c r="M787" s="103"/>
      <c r="N787" s="427">
        <f t="shared" si="394"/>
        <v>0</v>
      </c>
      <c r="O787" s="103"/>
      <c r="P787" s="103"/>
      <c r="Q787" s="103"/>
      <c r="R787" s="428">
        <f t="shared" si="395"/>
        <v>0</v>
      </c>
      <c r="S787" s="103"/>
      <c r="T787" s="103"/>
      <c r="U787" s="103"/>
      <c r="V787" s="125"/>
      <c r="W787" s="428">
        <f t="shared" si="399"/>
        <v>0</v>
      </c>
      <c r="X787" s="103"/>
      <c r="Y787" s="103">
        <v>2</v>
      </c>
      <c r="Z787" s="125"/>
      <c r="AA787" s="428">
        <f t="shared" si="400"/>
        <v>2</v>
      </c>
      <c r="AB787" s="103">
        <v>1</v>
      </c>
      <c r="AC787" s="103">
        <v>7</v>
      </c>
      <c r="AD787" s="103"/>
      <c r="AE787" s="428">
        <f t="shared" si="401"/>
        <v>8</v>
      </c>
      <c r="AF787" s="103">
        <v>3</v>
      </c>
      <c r="AG787" s="103">
        <v>2</v>
      </c>
      <c r="AH787" s="103"/>
      <c r="AI787" s="103"/>
      <c r="AJ787" s="428">
        <f t="shared" si="402"/>
        <v>5</v>
      </c>
      <c r="AK787" s="446"/>
      <c r="AL787" s="446"/>
      <c r="AM787" s="446">
        <v>2</v>
      </c>
      <c r="AN787" s="446"/>
      <c r="AO787" s="446"/>
      <c r="AP787" s="446"/>
      <c r="AQ787" s="446"/>
      <c r="AR787" s="431">
        <f t="shared" si="403"/>
        <v>2</v>
      </c>
      <c r="AT787" s="128"/>
      <c r="AU787" s="100" t="s">
        <v>4416</v>
      </c>
      <c r="AV787" s="128" t="s">
        <v>4422</v>
      </c>
      <c r="AW787" s="100" t="s">
        <v>4423</v>
      </c>
      <c r="AX787" s="433">
        <f t="shared" si="404"/>
        <v>0</v>
      </c>
      <c r="AY787" s="433">
        <f t="shared" si="405"/>
        <v>0</v>
      </c>
      <c r="AZ787" s="433">
        <f t="shared" si="406"/>
        <v>0</v>
      </c>
      <c r="BA787" s="433">
        <f t="shared" si="396"/>
        <v>0</v>
      </c>
      <c r="BB787" s="433">
        <f t="shared" si="397"/>
        <v>0</v>
      </c>
      <c r="BC787" s="433">
        <f t="shared" si="398"/>
        <v>0</v>
      </c>
      <c r="BD787" s="433">
        <f t="shared" si="407"/>
        <v>0</v>
      </c>
      <c r="BE787" s="433">
        <f t="shared" si="408"/>
        <v>0</v>
      </c>
      <c r="BF787" s="433">
        <f t="shared" si="409"/>
        <v>0</v>
      </c>
      <c r="BG787" s="433">
        <f t="shared" si="410"/>
        <v>0</v>
      </c>
      <c r="BH787" s="433">
        <f t="shared" si="411"/>
        <v>0</v>
      </c>
      <c r="BI787" s="433">
        <f t="shared" si="412"/>
        <v>2</v>
      </c>
      <c r="BJ787" s="433">
        <f t="shared" si="413"/>
        <v>0</v>
      </c>
      <c r="BK787" s="433">
        <f t="shared" si="414"/>
        <v>1</v>
      </c>
      <c r="BL787" s="433">
        <f t="shared" si="415"/>
        <v>7</v>
      </c>
      <c r="BM787" s="433">
        <f t="shared" si="416"/>
        <v>0</v>
      </c>
      <c r="BN787" s="433">
        <f t="shared" si="417"/>
        <v>3</v>
      </c>
      <c r="BO787" s="433">
        <f t="shared" si="418"/>
        <v>2</v>
      </c>
      <c r="BP787" s="433">
        <f t="shared" si="419"/>
        <v>0</v>
      </c>
      <c r="BQ787" s="433">
        <f t="shared" si="420"/>
        <v>0</v>
      </c>
    </row>
    <row r="788" spans="1:69" s="291" customFormat="1" x14ac:dyDescent="0.2">
      <c r="A788" s="317">
        <v>41874</v>
      </c>
      <c r="B788" s="318">
        <v>3</v>
      </c>
      <c r="C788" s="320" t="s">
        <v>4396</v>
      </c>
      <c r="D788" s="321">
        <v>0.58750000000000002</v>
      </c>
      <c r="E788" s="321">
        <v>0.84166666666666667</v>
      </c>
      <c r="F788" s="318">
        <v>47</v>
      </c>
      <c r="G788" s="435">
        <v>13</v>
      </c>
      <c r="H788" s="318"/>
      <c r="I788" s="318"/>
      <c r="J788" s="437">
        <f>((E788-D788)*24*60)-7</f>
        <v>359</v>
      </c>
      <c r="K788" s="285"/>
      <c r="L788" s="285"/>
      <c r="M788" s="285"/>
      <c r="N788" s="438">
        <f t="shared" si="394"/>
        <v>0</v>
      </c>
      <c r="O788" s="285"/>
      <c r="P788" s="285"/>
      <c r="Q788" s="285"/>
      <c r="R788" s="439">
        <f t="shared" si="395"/>
        <v>0</v>
      </c>
      <c r="S788" s="285">
        <v>1</v>
      </c>
      <c r="T788" s="285"/>
      <c r="U788" s="285"/>
      <c r="V788" s="440"/>
      <c r="W788" s="439">
        <f t="shared" si="399"/>
        <v>1</v>
      </c>
      <c r="X788" s="285"/>
      <c r="Y788" s="285">
        <v>2</v>
      </c>
      <c r="Z788" s="440"/>
      <c r="AA788" s="439">
        <f t="shared" si="400"/>
        <v>2</v>
      </c>
      <c r="AB788" s="285"/>
      <c r="AC788" s="285">
        <v>5</v>
      </c>
      <c r="AD788" s="285"/>
      <c r="AE788" s="439">
        <f t="shared" si="401"/>
        <v>5</v>
      </c>
      <c r="AF788" s="285">
        <v>4</v>
      </c>
      <c r="AG788" s="285">
        <v>8</v>
      </c>
      <c r="AH788" s="285"/>
      <c r="AI788" s="285"/>
      <c r="AJ788" s="439">
        <f t="shared" si="402"/>
        <v>12</v>
      </c>
      <c r="AK788" s="340"/>
      <c r="AL788" s="340"/>
      <c r="AM788" s="340"/>
      <c r="AN788" s="340"/>
      <c r="AO788" s="340"/>
      <c r="AP788" s="340"/>
      <c r="AQ788" s="340"/>
      <c r="AR788" s="441">
        <f t="shared" si="403"/>
        <v>0</v>
      </c>
      <c r="AS788" s="291" t="s">
        <v>4417</v>
      </c>
      <c r="AT788" s="313"/>
      <c r="AU788" s="289" t="s">
        <v>4411</v>
      </c>
      <c r="AV788" s="313" t="s">
        <v>4422</v>
      </c>
      <c r="AW788" s="289" t="s">
        <v>4423</v>
      </c>
      <c r="AX788" s="443">
        <f t="shared" si="404"/>
        <v>0</v>
      </c>
      <c r="AY788" s="443">
        <f t="shared" si="405"/>
        <v>0</v>
      </c>
      <c r="AZ788" s="443">
        <f t="shared" si="406"/>
        <v>0</v>
      </c>
      <c r="BA788" s="443">
        <f t="shared" si="396"/>
        <v>0</v>
      </c>
      <c r="BB788" s="443">
        <f t="shared" si="397"/>
        <v>0</v>
      </c>
      <c r="BC788" s="443">
        <f t="shared" si="398"/>
        <v>0</v>
      </c>
      <c r="BD788" s="443">
        <f t="shared" si="407"/>
        <v>1</v>
      </c>
      <c r="BE788" s="443">
        <f t="shared" si="408"/>
        <v>0</v>
      </c>
      <c r="BF788" s="443">
        <f t="shared" si="409"/>
        <v>0</v>
      </c>
      <c r="BG788" s="443">
        <f t="shared" si="410"/>
        <v>0</v>
      </c>
      <c r="BH788" s="443">
        <f t="shared" si="411"/>
        <v>0</v>
      </c>
      <c r="BI788" s="443">
        <f t="shared" si="412"/>
        <v>2</v>
      </c>
      <c r="BJ788" s="443">
        <f t="shared" si="413"/>
        <v>0</v>
      </c>
      <c r="BK788" s="443">
        <f t="shared" si="414"/>
        <v>0</v>
      </c>
      <c r="BL788" s="443">
        <f t="shared" si="415"/>
        <v>5</v>
      </c>
      <c r="BM788" s="443">
        <f t="shared" si="416"/>
        <v>0</v>
      </c>
      <c r="BN788" s="443">
        <f t="shared" si="417"/>
        <v>4</v>
      </c>
      <c r="BO788" s="443">
        <f t="shared" si="418"/>
        <v>8</v>
      </c>
      <c r="BP788" s="443">
        <f t="shared" si="419"/>
        <v>0</v>
      </c>
      <c r="BQ788" s="443">
        <f t="shared" si="420"/>
        <v>0</v>
      </c>
    </row>
    <row r="789" spans="1:69" x14ac:dyDescent="0.2">
      <c r="A789" s="102">
        <v>41875</v>
      </c>
      <c r="B789" s="319">
        <v>1</v>
      </c>
      <c r="C789" s="118" t="s">
        <v>4396</v>
      </c>
      <c r="D789" s="111">
        <v>0.3444444444444445</v>
      </c>
      <c r="E789" s="111">
        <v>0.46388888888888885</v>
      </c>
      <c r="F789" s="319">
        <v>65</v>
      </c>
      <c r="G789" s="445">
        <v>11.5</v>
      </c>
      <c r="H789" s="319"/>
      <c r="I789" s="319"/>
      <c r="J789" s="426">
        <f t="shared" si="393"/>
        <v>171.99999999999986</v>
      </c>
      <c r="K789" s="103"/>
      <c r="L789" s="103"/>
      <c r="M789" s="103"/>
      <c r="N789" s="427">
        <f t="shared" si="394"/>
        <v>0</v>
      </c>
      <c r="O789" s="103"/>
      <c r="P789" s="103"/>
      <c r="Q789" s="103"/>
      <c r="R789" s="428">
        <f t="shared" si="395"/>
        <v>0</v>
      </c>
      <c r="S789" s="103"/>
      <c r="T789" s="103"/>
      <c r="U789" s="103"/>
      <c r="V789" s="125"/>
      <c r="W789" s="428">
        <f t="shared" si="399"/>
        <v>0</v>
      </c>
      <c r="X789" s="103"/>
      <c r="Y789" s="103"/>
      <c r="Z789" s="125"/>
      <c r="AA789" s="428">
        <f t="shared" si="400"/>
        <v>0</v>
      </c>
      <c r="AB789" s="103"/>
      <c r="AC789" s="103">
        <v>7</v>
      </c>
      <c r="AD789" s="103"/>
      <c r="AE789" s="428">
        <f t="shared" si="401"/>
        <v>7</v>
      </c>
      <c r="AF789" s="103"/>
      <c r="AG789" s="103"/>
      <c r="AH789" s="103"/>
      <c r="AI789" s="103"/>
      <c r="AJ789" s="428">
        <f t="shared" si="402"/>
        <v>0</v>
      </c>
      <c r="AK789" s="446"/>
      <c r="AL789" s="446"/>
      <c r="AM789" s="446"/>
      <c r="AN789" s="446"/>
      <c r="AO789" s="446"/>
      <c r="AP789" s="446"/>
      <c r="AQ789" s="446"/>
      <c r="AR789" s="431">
        <f t="shared" si="403"/>
        <v>0</v>
      </c>
      <c r="AT789" s="128"/>
      <c r="AU789" s="100" t="s">
        <v>4424</v>
      </c>
      <c r="AV789" s="128" t="s">
        <v>4439</v>
      </c>
      <c r="AW789" s="100" t="s">
        <v>4440</v>
      </c>
      <c r="AX789" s="433">
        <f t="shared" si="404"/>
        <v>0</v>
      </c>
      <c r="AY789" s="433">
        <f t="shared" si="405"/>
        <v>0</v>
      </c>
      <c r="AZ789" s="433">
        <f t="shared" si="406"/>
        <v>0</v>
      </c>
      <c r="BA789" s="433">
        <f t="shared" si="396"/>
        <v>0</v>
      </c>
      <c r="BB789" s="433">
        <f t="shared" si="397"/>
        <v>0</v>
      </c>
      <c r="BC789" s="433">
        <f t="shared" si="398"/>
        <v>0</v>
      </c>
      <c r="BD789" s="433">
        <f t="shared" si="407"/>
        <v>0</v>
      </c>
      <c r="BE789" s="433">
        <f t="shared" si="408"/>
        <v>0</v>
      </c>
      <c r="BF789" s="433">
        <f t="shared" si="409"/>
        <v>0</v>
      </c>
      <c r="BG789" s="433">
        <f t="shared" si="410"/>
        <v>0</v>
      </c>
      <c r="BH789" s="433">
        <f t="shared" si="411"/>
        <v>0</v>
      </c>
      <c r="BI789" s="433">
        <f t="shared" si="412"/>
        <v>0</v>
      </c>
      <c r="BJ789" s="433">
        <f t="shared" si="413"/>
        <v>0</v>
      </c>
      <c r="BK789" s="433">
        <f t="shared" si="414"/>
        <v>0</v>
      </c>
      <c r="BL789" s="433">
        <f t="shared" si="415"/>
        <v>7</v>
      </c>
      <c r="BM789" s="433">
        <f t="shared" si="416"/>
        <v>0</v>
      </c>
      <c r="BN789" s="433">
        <f t="shared" si="417"/>
        <v>0</v>
      </c>
      <c r="BO789" s="433">
        <f t="shared" si="418"/>
        <v>0</v>
      </c>
      <c r="BP789" s="433">
        <f t="shared" si="419"/>
        <v>0</v>
      </c>
      <c r="BQ789" s="433">
        <f t="shared" si="420"/>
        <v>0</v>
      </c>
    </row>
    <row r="790" spans="1:69" x14ac:dyDescent="0.2">
      <c r="A790" s="102">
        <v>41875</v>
      </c>
      <c r="B790" s="319">
        <v>1</v>
      </c>
      <c r="C790" s="118" t="s">
        <v>4412</v>
      </c>
      <c r="D790" s="111">
        <v>0.46388888888888885</v>
      </c>
      <c r="E790" s="111">
        <v>0.70694444444444438</v>
      </c>
      <c r="F790" s="319">
        <v>58</v>
      </c>
      <c r="G790" s="445">
        <v>12</v>
      </c>
      <c r="H790" s="319"/>
      <c r="I790" s="319">
        <v>86.3</v>
      </c>
      <c r="J790" s="426">
        <f t="shared" si="393"/>
        <v>349.99999999999994</v>
      </c>
      <c r="K790" s="103"/>
      <c r="L790" s="103"/>
      <c r="M790" s="103"/>
      <c r="N790" s="427">
        <f t="shared" si="394"/>
        <v>0</v>
      </c>
      <c r="O790" s="103"/>
      <c r="P790" s="103"/>
      <c r="Q790" s="103"/>
      <c r="R790" s="428">
        <f t="shared" si="395"/>
        <v>0</v>
      </c>
      <c r="S790" s="103"/>
      <c r="T790" s="103"/>
      <c r="U790" s="103"/>
      <c r="V790" s="125"/>
      <c r="W790" s="428">
        <f t="shared" si="399"/>
        <v>0</v>
      </c>
      <c r="X790" s="103"/>
      <c r="Y790" s="103"/>
      <c r="Z790" s="125"/>
      <c r="AA790" s="428">
        <f t="shared" si="400"/>
        <v>0</v>
      </c>
      <c r="AB790" s="103"/>
      <c r="AC790" s="103">
        <v>4</v>
      </c>
      <c r="AD790" s="103"/>
      <c r="AE790" s="428">
        <f t="shared" si="401"/>
        <v>4</v>
      </c>
      <c r="AF790" s="103">
        <v>2</v>
      </c>
      <c r="AG790" s="103"/>
      <c r="AH790" s="103"/>
      <c r="AI790" s="103"/>
      <c r="AJ790" s="428">
        <f t="shared" si="402"/>
        <v>2</v>
      </c>
      <c r="AK790" s="446"/>
      <c r="AL790" s="446"/>
      <c r="AM790" s="446"/>
      <c r="AN790" s="446"/>
      <c r="AO790" s="446"/>
      <c r="AP790" s="446"/>
      <c r="AQ790" s="446"/>
      <c r="AR790" s="431">
        <f t="shared" si="403"/>
        <v>0</v>
      </c>
      <c r="AS790" s="10" t="s">
        <v>4425</v>
      </c>
      <c r="AT790" s="128"/>
      <c r="AU790" s="100" t="s">
        <v>4426</v>
      </c>
      <c r="AV790" s="128" t="s">
        <v>4439</v>
      </c>
      <c r="AW790" s="100" t="s">
        <v>4440</v>
      </c>
      <c r="AX790" s="433">
        <f t="shared" si="404"/>
        <v>0</v>
      </c>
      <c r="AY790" s="433">
        <f t="shared" si="405"/>
        <v>0</v>
      </c>
      <c r="AZ790" s="433">
        <f t="shared" si="406"/>
        <v>0</v>
      </c>
      <c r="BA790" s="433">
        <f t="shared" si="396"/>
        <v>0</v>
      </c>
      <c r="BB790" s="433">
        <f t="shared" si="397"/>
        <v>0</v>
      </c>
      <c r="BC790" s="433">
        <f t="shared" si="398"/>
        <v>0</v>
      </c>
      <c r="BD790" s="433">
        <f t="shared" si="407"/>
        <v>0</v>
      </c>
      <c r="BE790" s="433">
        <f t="shared" si="408"/>
        <v>0</v>
      </c>
      <c r="BF790" s="433">
        <f t="shared" si="409"/>
        <v>0</v>
      </c>
      <c r="BG790" s="433">
        <f t="shared" si="410"/>
        <v>0</v>
      </c>
      <c r="BH790" s="433">
        <f t="shared" si="411"/>
        <v>0</v>
      </c>
      <c r="BI790" s="433">
        <f t="shared" si="412"/>
        <v>0</v>
      </c>
      <c r="BJ790" s="433">
        <f t="shared" si="413"/>
        <v>0</v>
      </c>
      <c r="BK790" s="433">
        <f t="shared" si="414"/>
        <v>0</v>
      </c>
      <c r="BL790" s="433">
        <f t="shared" si="415"/>
        <v>4</v>
      </c>
      <c r="BM790" s="433">
        <f t="shared" si="416"/>
        <v>0</v>
      </c>
      <c r="BN790" s="433">
        <f t="shared" si="417"/>
        <v>2</v>
      </c>
      <c r="BO790" s="433">
        <f t="shared" si="418"/>
        <v>0</v>
      </c>
      <c r="BP790" s="433">
        <f t="shared" si="419"/>
        <v>0</v>
      </c>
      <c r="BQ790" s="433">
        <f t="shared" si="420"/>
        <v>0</v>
      </c>
    </row>
    <row r="791" spans="1:69" x14ac:dyDescent="0.2">
      <c r="A791" s="102">
        <v>41875</v>
      </c>
      <c r="B791" s="319">
        <v>1</v>
      </c>
      <c r="C791" s="118" t="s">
        <v>437</v>
      </c>
      <c r="D791" s="111">
        <v>0.70694444444444438</v>
      </c>
      <c r="E791" s="111">
        <v>0.85486111111111107</v>
      </c>
      <c r="F791" s="319">
        <v>64</v>
      </c>
      <c r="G791" s="445">
        <v>11</v>
      </c>
      <c r="H791" s="319"/>
      <c r="I791" s="319"/>
      <c r="J791" s="426">
        <f t="shared" si="393"/>
        <v>213.00000000000006</v>
      </c>
      <c r="K791" s="103"/>
      <c r="L791" s="103"/>
      <c r="M791" s="103"/>
      <c r="N791" s="427">
        <f t="shared" si="394"/>
        <v>0</v>
      </c>
      <c r="O791" s="103"/>
      <c r="P791" s="103"/>
      <c r="Q791" s="103"/>
      <c r="R791" s="428">
        <f t="shared" si="395"/>
        <v>0</v>
      </c>
      <c r="S791" s="103"/>
      <c r="T791" s="103"/>
      <c r="U791" s="103"/>
      <c r="V791" s="125"/>
      <c r="W791" s="428">
        <f t="shared" si="399"/>
        <v>0</v>
      </c>
      <c r="X791" s="103"/>
      <c r="Y791" s="103">
        <v>1</v>
      </c>
      <c r="Z791" s="125"/>
      <c r="AA791" s="428">
        <f t="shared" si="400"/>
        <v>1</v>
      </c>
      <c r="AB791" s="103"/>
      <c r="AC791" s="103">
        <v>2</v>
      </c>
      <c r="AD791" s="103"/>
      <c r="AE791" s="428">
        <f t="shared" si="401"/>
        <v>2</v>
      </c>
      <c r="AF791" s="103"/>
      <c r="AG791" s="103"/>
      <c r="AH791" s="103"/>
      <c r="AI791" s="103"/>
      <c r="AJ791" s="428">
        <f t="shared" si="402"/>
        <v>0</v>
      </c>
      <c r="AK791" s="446">
        <v>1</v>
      </c>
      <c r="AL791" s="446"/>
      <c r="AM791" s="446"/>
      <c r="AN791" s="446"/>
      <c r="AO791" s="446"/>
      <c r="AP791" s="446"/>
      <c r="AQ791" s="446"/>
      <c r="AR791" s="431">
        <f t="shared" si="403"/>
        <v>1</v>
      </c>
      <c r="AT791" s="128"/>
      <c r="AU791" s="100" t="s">
        <v>4427</v>
      </c>
      <c r="AV791" s="128" t="s">
        <v>4439</v>
      </c>
      <c r="AW791" s="100" t="s">
        <v>4440</v>
      </c>
      <c r="AX791" s="433">
        <f t="shared" si="404"/>
        <v>0</v>
      </c>
      <c r="AY791" s="433">
        <f t="shared" si="405"/>
        <v>0</v>
      </c>
      <c r="AZ791" s="433">
        <f t="shared" si="406"/>
        <v>0</v>
      </c>
      <c r="BA791" s="433">
        <f t="shared" si="396"/>
        <v>0</v>
      </c>
      <c r="BB791" s="433">
        <f t="shared" si="397"/>
        <v>0</v>
      </c>
      <c r="BC791" s="433">
        <f t="shared" si="398"/>
        <v>0</v>
      </c>
      <c r="BD791" s="433">
        <f t="shared" si="407"/>
        <v>0</v>
      </c>
      <c r="BE791" s="433">
        <f t="shared" si="408"/>
        <v>0</v>
      </c>
      <c r="BF791" s="433">
        <f t="shared" si="409"/>
        <v>0</v>
      </c>
      <c r="BG791" s="433">
        <f t="shared" si="410"/>
        <v>0</v>
      </c>
      <c r="BH791" s="433">
        <f t="shared" si="411"/>
        <v>0</v>
      </c>
      <c r="BI791" s="433">
        <f t="shared" si="412"/>
        <v>1</v>
      </c>
      <c r="BJ791" s="433">
        <f t="shared" si="413"/>
        <v>0</v>
      </c>
      <c r="BK791" s="433">
        <f t="shared" si="414"/>
        <v>0</v>
      </c>
      <c r="BL791" s="433">
        <f t="shared" si="415"/>
        <v>2</v>
      </c>
      <c r="BM791" s="433">
        <f t="shared" si="416"/>
        <v>0</v>
      </c>
      <c r="BN791" s="433">
        <f t="shared" si="417"/>
        <v>0</v>
      </c>
      <c r="BO791" s="433">
        <f t="shared" si="418"/>
        <v>0</v>
      </c>
      <c r="BP791" s="433">
        <f t="shared" si="419"/>
        <v>0</v>
      </c>
      <c r="BQ791" s="433">
        <f t="shared" si="420"/>
        <v>0</v>
      </c>
    </row>
    <row r="792" spans="1:69" x14ac:dyDescent="0.2">
      <c r="A792" s="102">
        <v>41875</v>
      </c>
      <c r="B792" s="319">
        <v>2</v>
      </c>
      <c r="C792" s="118" t="s">
        <v>4396</v>
      </c>
      <c r="D792" s="111">
        <v>0.33958333333333335</v>
      </c>
      <c r="E792" s="111">
        <v>0.4548611111111111</v>
      </c>
      <c r="F792" s="319">
        <v>38</v>
      </c>
      <c r="G792" s="445">
        <v>12</v>
      </c>
      <c r="H792" s="319"/>
      <c r="I792" s="319"/>
      <c r="J792" s="426">
        <f t="shared" si="393"/>
        <v>165.99999999999997</v>
      </c>
      <c r="K792" s="103"/>
      <c r="L792" s="103"/>
      <c r="M792" s="103"/>
      <c r="N792" s="427">
        <f t="shared" si="394"/>
        <v>0</v>
      </c>
      <c r="O792" s="103"/>
      <c r="P792" s="103"/>
      <c r="Q792" s="103"/>
      <c r="R792" s="428">
        <f t="shared" si="395"/>
        <v>0</v>
      </c>
      <c r="S792" s="103"/>
      <c r="T792" s="103"/>
      <c r="U792" s="103"/>
      <c r="V792" s="125"/>
      <c r="W792" s="428">
        <f t="shared" si="399"/>
        <v>0</v>
      </c>
      <c r="X792" s="103"/>
      <c r="Y792" s="103"/>
      <c r="Z792" s="125"/>
      <c r="AA792" s="428">
        <f t="shared" si="400"/>
        <v>0</v>
      </c>
      <c r="AB792" s="103">
        <v>1</v>
      </c>
      <c r="AC792" s="103"/>
      <c r="AD792" s="103"/>
      <c r="AE792" s="428">
        <f t="shared" si="401"/>
        <v>1</v>
      </c>
      <c r="AF792" s="103"/>
      <c r="AG792" s="103"/>
      <c r="AH792" s="103"/>
      <c r="AI792" s="103"/>
      <c r="AJ792" s="428">
        <f t="shared" si="402"/>
        <v>0</v>
      </c>
      <c r="AK792" s="446"/>
      <c r="AL792" s="446"/>
      <c r="AM792" s="446"/>
      <c r="AN792" s="446"/>
      <c r="AO792" s="446"/>
      <c r="AP792" s="446"/>
      <c r="AQ792" s="446"/>
      <c r="AR792" s="431">
        <f t="shared" si="403"/>
        <v>0</v>
      </c>
      <c r="AT792" s="128"/>
      <c r="AU792" s="100" t="s">
        <v>4424</v>
      </c>
      <c r="AV792" s="128" t="s">
        <v>4439</v>
      </c>
      <c r="AW792" s="100" t="s">
        <v>4440</v>
      </c>
      <c r="AX792" s="433">
        <f t="shared" si="404"/>
        <v>0</v>
      </c>
      <c r="AY792" s="433">
        <f t="shared" si="405"/>
        <v>0</v>
      </c>
      <c r="AZ792" s="433">
        <f t="shared" si="406"/>
        <v>0</v>
      </c>
      <c r="BA792" s="433">
        <f t="shared" si="396"/>
        <v>0</v>
      </c>
      <c r="BB792" s="433">
        <f t="shared" si="397"/>
        <v>0</v>
      </c>
      <c r="BC792" s="433">
        <f t="shared" si="398"/>
        <v>0</v>
      </c>
      <c r="BD792" s="433">
        <f t="shared" si="407"/>
        <v>0</v>
      </c>
      <c r="BE792" s="433">
        <f t="shared" si="408"/>
        <v>0</v>
      </c>
      <c r="BF792" s="433">
        <f t="shared" si="409"/>
        <v>0</v>
      </c>
      <c r="BG792" s="433">
        <f t="shared" si="410"/>
        <v>0</v>
      </c>
      <c r="BH792" s="433">
        <f t="shared" si="411"/>
        <v>0</v>
      </c>
      <c r="BI792" s="433">
        <f t="shared" si="412"/>
        <v>0</v>
      </c>
      <c r="BJ792" s="433">
        <f t="shared" si="413"/>
        <v>0</v>
      </c>
      <c r="BK792" s="433">
        <f t="shared" si="414"/>
        <v>1</v>
      </c>
      <c r="BL792" s="433">
        <f t="shared" si="415"/>
        <v>0</v>
      </c>
      <c r="BM792" s="433">
        <f t="shared" si="416"/>
        <v>0</v>
      </c>
      <c r="BN792" s="433">
        <f t="shared" si="417"/>
        <v>0</v>
      </c>
      <c r="BO792" s="433">
        <f t="shared" si="418"/>
        <v>0</v>
      </c>
      <c r="BP792" s="433">
        <f t="shared" si="419"/>
        <v>0</v>
      </c>
      <c r="BQ792" s="433">
        <f t="shared" si="420"/>
        <v>0</v>
      </c>
    </row>
    <row r="793" spans="1:69" x14ac:dyDescent="0.2">
      <c r="A793" s="102">
        <v>41875</v>
      </c>
      <c r="B793" s="319">
        <v>2</v>
      </c>
      <c r="C793" s="118" t="s">
        <v>4412</v>
      </c>
      <c r="D793" s="111">
        <v>0.4548611111111111</v>
      </c>
      <c r="E793" s="111">
        <v>0.69652777777777775</v>
      </c>
      <c r="F793" s="319">
        <v>38</v>
      </c>
      <c r="G793" s="445">
        <v>12</v>
      </c>
      <c r="H793" s="319"/>
      <c r="I793" s="319"/>
      <c r="J793" s="426">
        <f t="shared" si="393"/>
        <v>347.99999999999994</v>
      </c>
      <c r="K793" s="103"/>
      <c r="L793" s="103"/>
      <c r="M793" s="103"/>
      <c r="N793" s="427">
        <f t="shared" si="394"/>
        <v>0</v>
      </c>
      <c r="O793" s="103"/>
      <c r="P793" s="103"/>
      <c r="Q793" s="103"/>
      <c r="R793" s="428">
        <f t="shared" si="395"/>
        <v>0</v>
      </c>
      <c r="S793" s="103"/>
      <c r="T793" s="103"/>
      <c r="U793" s="103"/>
      <c r="V793" s="125"/>
      <c r="W793" s="428">
        <f t="shared" si="399"/>
        <v>0</v>
      </c>
      <c r="X793" s="103"/>
      <c r="Y793" s="103"/>
      <c r="Z793" s="125"/>
      <c r="AA793" s="428">
        <f t="shared" si="400"/>
        <v>0</v>
      </c>
      <c r="AB793" s="103"/>
      <c r="AC793" s="103">
        <v>9</v>
      </c>
      <c r="AD793" s="103"/>
      <c r="AE793" s="428">
        <f t="shared" si="401"/>
        <v>9</v>
      </c>
      <c r="AF793" s="103">
        <v>1</v>
      </c>
      <c r="AG793" s="103"/>
      <c r="AH793" s="103"/>
      <c r="AI793" s="103"/>
      <c r="AJ793" s="428">
        <f t="shared" si="402"/>
        <v>1</v>
      </c>
      <c r="AK793" s="446"/>
      <c r="AL793" s="446"/>
      <c r="AM793" s="446"/>
      <c r="AN793" s="446"/>
      <c r="AO793" s="446"/>
      <c r="AP793" s="446"/>
      <c r="AQ793" s="446"/>
      <c r="AR793" s="431">
        <f t="shared" si="403"/>
        <v>0</v>
      </c>
      <c r="AT793" s="128"/>
      <c r="AU793" s="100" t="s">
        <v>4426</v>
      </c>
      <c r="AV793" s="128" t="s">
        <v>4439</v>
      </c>
      <c r="AW793" s="100" t="s">
        <v>4440</v>
      </c>
      <c r="AX793" s="433">
        <f t="shared" si="404"/>
        <v>0</v>
      </c>
      <c r="AY793" s="433">
        <f t="shared" si="405"/>
        <v>0</v>
      </c>
      <c r="AZ793" s="433">
        <f t="shared" si="406"/>
        <v>0</v>
      </c>
      <c r="BA793" s="433">
        <f t="shared" si="396"/>
        <v>0</v>
      </c>
      <c r="BB793" s="433">
        <f t="shared" si="397"/>
        <v>0</v>
      </c>
      <c r="BC793" s="433">
        <f t="shared" si="398"/>
        <v>0</v>
      </c>
      <c r="BD793" s="433">
        <f t="shared" si="407"/>
        <v>0</v>
      </c>
      <c r="BE793" s="433">
        <f t="shared" si="408"/>
        <v>0</v>
      </c>
      <c r="BF793" s="433">
        <f t="shared" si="409"/>
        <v>0</v>
      </c>
      <c r="BG793" s="433">
        <f t="shared" si="410"/>
        <v>0</v>
      </c>
      <c r="BH793" s="433">
        <f t="shared" si="411"/>
        <v>0</v>
      </c>
      <c r="BI793" s="433">
        <f t="shared" si="412"/>
        <v>0</v>
      </c>
      <c r="BJ793" s="433">
        <f t="shared" si="413"/>
        <v>0</v>
      </c>
      <c r="BK793" s="433">
        <f t="shared" si="414"/>
        <v>0</v>
      </c>
      <c r="BL793" s="433">
        <f t="shared" si="415"/>
        <v>9</v>
      </c>
      <c r="BM793" s="433">
        <f t="shared" si="416"/>
        <v>0</v>
      </c>
      <c r="BN793" s="433">
        <f t="shared" si="417"/>
        <v>1</v>
      </c>
      <c r="BO793" s="433">
        <f t="shared" si="418"/>
        <v>0</v>
      </c>
      <c r="BP793" s="433">
        <f t="shared" si="419"/>
        <v>0</v>
      </c>
      <c r="BQ793" s="433">
        <f t="shared" si="420"/>
        <v>0</v>
      </c>
    </row>
    <row r="794" spans="1:69" x14ac:dyDescent="0.2">
      <c r="A794" s="102">
        <v>41875</v>
      </c>
      <c r="B794" s="319">
        <v>2</v>
      </c>
      <c r="C794" s="118" t="s">
        <v>437</v>
      </c>
      <c r="D794" s="111">
        <v>0.69652777777777775</v>
      </c>
      <c r="E794" s="111">
        <v>0.84375</v>
      </c>
      <c r="F794" s="319">
        <v>36</v>
      </c>
      <c r="G794" s="445">
        <v>11</v>
      </c>
      <c r="H794" s="319"/>
      <c r="I794" s="319"/>
      <c r="J794" s="426">
        <f t="shared" si="393"/>
        <v>212.00000000000006</v>
      </c>
      <c r="K794" s="103"/>
      <c r="L794" s="103"/>
      <c r="M794" s="103"/>
      <c r="N794" s="427">
        <f t="shared" si="394"/>
        <v>0</v>
      </c>
      <c r="O794" s="103"/>
      <c r="P794" s="103"/>
      <c r="Q794" s="103"/>
      <c r="R794" s="428">
        <f t="shared" si="395"/>
        <v>0</v>
      </c>
      <c r="S794" s="103">
        <v>1</v>
      </c>
      <c r="T794" s="103"/>
      <c r="U794" s="103"/>
      <c r="V794" s="125"/>
      <c r="W794" s="428">
        <f t="shared" si="399"/>
        <v>1</v>
      </c>
      <c r="X794" s="103"/>
      <c r="Y794" s="103"/>
      <c r="Z794" s="125"/>
      <c r="AA794" s="428">
        <f t="shared" si="400"/>
        <v>0</v>
      </c>
      <c r="AB794" s="103"/>
      <c r="AC794" s="103">
        <v>18</v>
      </c>
      <c r="AD794" s="103"/>
      <c r="AE794" s="428">
        <f t="shared" si="401"/>
        <v>18</v>
      </c>
      <c r="AF794" s="103">
        <v>1</v>
      </c>
      <c r="AG794" s="103"/>
      <c r="AH794" s="103"/>
      <c r="AI794" s="103"/>
      <c r="AJ794" s="428">
        <f t="shared" si="402"/>
        <v>1</v>
      </c>
      <c r="AK794" s="446"/>
      <c r="AL794" s="446"/>
      <c r="AM794" s="446"/>
      <c r="AN794" s="446"/>
      <c r="AO794" s="446"/>
      <c r="AP794" s="446"/>
      <c r="AQ794" s="446"/>
      <c r="AR794" s="431">
        <f t="shared" si="403"/>
        <v>0</v>
      </c>
      <c r="AT794" s="128"/>
      <c r="AU794" s="100" t="s">
        <v>4427</v>
      </c>
      <c r="AV794" s="128" t="s">
        <v>4439</v>
      </c>
      <c r="AW794" s="100" t="s">
        <v>4440</v>
      </c>
      <c r="AX794" s="433">
        <f t="shared" si="404"/>
        <v>0</v>
      </c>
      <c r="AY794" s="433">
        <f t="shared" si="405"/>
        <v>0</v>
      </c>
      <c r="AZ794" s="433">
        <f t="shared" si="406"/>
        <v>0</v>
      </c>
      <c r="BA794" s="433">
        <f t="shared" si="396"/>
        <v>0</v>
      </c>
      <c r="BB794" s="433">
        <f t="shared" si="397"/>
        <v>0</v>
      </c>
      <c r="BC794" s="433">
        <f t="shared" si="398"/>
        <v>0</v>
      </c>
      <c r="BD794" s="433">
        <f t="shared" si="407"/>
        <v>1</v>
      </c>
      <c r="BE794" s="433">
        <f t="shared" si="408"/>
        <v>0</v>
      </c>
      <c r="BF794" s="433">
        <f t="shared" si="409"/>
        <v>0</v>
      </c>
      <c r="BG794" s="433">
        <f t="shared" si="410"/>
        <v>0</v>
      </c>
      <c r="BH794" s="433">
        <f t="shared" si="411"/>
        <v>0</v>
      </c>
      <c r="BI794" s="433">
        <f t="shared" si="412"/>
        <v>0</v>
      </c>
      <c r="BJ794" s="433">
        <f t="shared" si="413"/>
        <v>0</v>
      </c>
      <c r="BK794" s="433">
        <f t="shared" si="414"/>
        <v>0</v>
      </c>
      <c r="BL794" s="433">
        <f t="shared" si="415"/>
        <v>18</v>
      </c>
      <c r="BM794" s="433">
        <f t="shared" si="416"/>
        <v>0</v>
      </c>
      <c r="BN794" s="433">
        <f t="shared" si="417"/>
        <v>1</v>
      </c>
      <c r="BO794" s="433">
        <f t="shared" si="418"/>
        <v>0</v>
      </c>
      <c r="BP794" s="433">
        <f t="shared" si="419"/>
        <v>0</v>
      </c>
      <c r="BQ794" s="433">
        <f t="shared" si="420"/>
        <v>0</v>
      </c>
    </row>
    <row r="795" spans="1:69" x14ac:dyDescent="0.2">
      <c r="A795" s="102">
        <v>41875</v>
      </c>
      <c r="B795" s="319">
        <v>3</v>
      </c>
      <c r="C795" s="118" t="s">
        <v>437</v>
      </c>
      <c r="D795" s="111">
        <v>0.34166666666666662</v>
      </c>
      <c r="E795" s="111">
        <v>0.5854166666666667</v>
      </c>
      <c r="F795" s="319">
        <v>48</v>
      </c>
      <c r="G795" s="445">
        <v>10</v>
      </c>
      <c r="H795" s="319"/>
      <c r="I795" s="319"/>
      <c r="J795" s="426">
        <f t="shared" si="393"/>
        <v>351.00000000000011</v>
      </c>
      <c r="K795" s="103"/>
      <c r="L795" s="103">
        <v>1</v>
      </c>
      <c r="M795" s="103"/>
      <c r="N795" s="427">
        <f t="shared" si="394"/>
        <v>1</v>
      </c>
      <c r="O795" s="103"/>
      <c r="P795" s="103"/>
      <c r="Q795" s="103"/>
      <c r="R795" s="428">
        <f t="shared" si="395"/>
        <v>0</v>
      </c>
      <c r="S795" s="103"/>
      <c r="T795" s="103"/>
      <c r="U795" s="103"/>
      <c r="V795" s="125"/>
      <c r="W795" s="428">
        <f t="shared" si="399"/>
        <v>0</v>
      </c>
      <c r="X795" s="103"/>
      <c r="Y795" s="103"/>
      <c r="Z795" s="125"/>
      <c r="AA795" s="428">
        <f t="shared" si="400"/>
        <v>0</v>
      </c>
      <c r="AB795" s="103">
        <v>1</v>
      </c>
      <c r="AC795" s="103">
        <v>4</v>
      </c>
      <c r="AD795" s="103"/>
      <c r="AE795" s="428">
        <f t="shared" si="401"/>
        <v>5</v>
      </c>
      <c r="AF795" s="103">
        <v>4</v>
      </c>
      <c r="AG795" s="103">
        <v>3</v>
      </c>
      <c r="AH795" s="103"/>
      <c r="AI795" s="103"/>
      <c r="AJ795" s="428">
        <f t="shared" si="402"/>
        <v>7</v>
      </c>
      <c r="AK795" s="446"/>
      <c r="AL795" s="446"/>
      <c r="AM795" s="446"/>
      <c r="AN795" s="446"/>
      <c r="AO795" s="446"/>
      <c r="AP795" s="446"/>
      <c r="AQ795" s="446"/>
      <c r="AR795" s="431">
        <f t="shared" si="403"/>
        <v>0</v>
      </c>
      <c r="AT795" s="128"/>
      <c r="AU795" s="100" t="s">
        <v>4427</v>
      </c>
      <c r="AV795" s="128" t="s">
        <v>4439</v>
      </c>
      <c r="AW795" s="100" t="s">
        <v>4440</v>
      </c>
      <c r="AX795" s="433">
        <f t="shared" si="404"/>
        <v>0</v>
      </c>
      <c r="AY795" s="433">
        <f t="shared" si="405"/>
        <v>1</v>
      </c>
      <c r="AZ795" s="433">
        <f t="shared" si="406"/>
        <v>0</v>
      </c>
      <c r="BA795" s="433">
        <f t="shared" si="396"/>
        <v>0</v>
      </c>
      <c r="BB795" s="433">
        <f t="shared" si="397"/>
        <v>0</v>
      </c>
      <c r="BC795" s="433">
        <f t="shared" si="398"/>
        <v>0</v>
      </c>
      <c r="BD795" s="433">
        <f t="shared" si="407"/>
        <v>0</v>
      </c>
      <c r="BE795" s="433">
        <f t="shared" si="408"/>
        <v>0</v>
      </c>
      <c r="BF795" s="433">
        <f t="shared" si="409"/>
        <v>0</v>
      </c>
      <c r="BG795" s="433">
        <f t="shared" si="410"/>
        <v>0</v>
      </c>
      <c r="BH795" s="433">
        <f t="shared" si="411"/>
        <v>0</v>
      </c>
      <c r="BI795" s="433">
        <f t="shared" si="412"/>
        <v>0</v>
      </c>
      <c r="BJ795" s="433">
        <f t="shared" si="413"/>
        <v>0</v>
      </c>
      <c r="BK795" s="433">
        <f t="shared" si="414"/>
        <v>1</v>
      </c>
      <c r="BL795" s="433">
        <f t="shared" si="415"/>
        <v>4</v>
      </c>
      <c r="BM795" s="433">
        <f t="shared" si="416"/>
        <v>0</v>
      </c>
      <c r="BN795" s="433">
        <f t="shared" si="417"/>
        <v>4</v>
      </c>
      <c r="BO795" s="433">
        <f t="shared" si="418"/>
        <v>3</v>
      </c>
      <c r="BP795" s="433">
        <f t="shared" si="419"/>
        <v>0</v>
      </c>
      <c r="BQ795" s="433">
        <f t="shared" si="420"/>
        <v>0</v>
      </c>
    </row>
    <row r="796" spans="1:69" s="291" customFormat="1" x14ac:dyDescent="0.2">
      <c r="A796" s="317">
        <v>41875</v>
      </c>
      <c r="B796" s="318">
        <v>3</v>
      </c>
      <c r="C796" s="320" t="s">
        <v>4396</v>
      </c>
      <c r="D796" s="321">
        <v>0.5854166666666667</v>
      </c>
      <c r="E796" s="321">
        <v>0.84930555555555554</v>
      </c>
      <c r="F796" s="318">
        <v>50</v>
      </c>
      <c r="G796" s="435">
        <v>11</v>
      </c>
      <c r="H796" s="318"/>
      <c r="I796" s="318"/>
      <c r="J796" s="437">
        <f t="shared" si="393"/>
        <v>379.99999999999994</v>
      </c>
      <c r="K796" s="285"/>
      <c r="L796" s="285"/>
      <c r="M796" s="285"/>
      <c r="N796" s="438">
        <f t="shared" si="394"/>
        <v>0</v>
      </c>
      <c r="O796" s="285"/>
      <c r="P796" s="285"/>
      <c r="Q796" s="285"/>
      <c r="R796" s="439">
        <f t="shared" si="395"/>
        <v>0</v>
      </c>
      <c r="S796" s="285">
        <v>1</v>
      </c>
      <c r="T796" s="285"/>
      <c r="U796" s="285"/>
      <c r="V796" s="440"/>
      <c r="W796" s="439">
        <f t="shared" si="399"/>
        <v>1</v>
      </c>
      <c r="X796" s="285"/>
      <c r="Y796" s="285"/>
      <c r="Z796" s="440"/>
      <c r="AA796" s="439">
        <f t="shared" si="400"/>
        <v>0</v>
      </c>
      <c r="AB796" s="285"/>
      <c r="AC796" s="285">
        <v>5</v>
      </c>
      <c r="AD796" s="285"/>
      <c r="AE796" s="439">
        <f t="shared" si="401"/>
        <v>5</v>
      </c>
      <c r="AF796" s="285"/>
      <c r="AG796" s="285">
        <v>7</v>
      </c>
      <c r="AH796" s="285">
        <v>1</v>
      </c>
      <c r="AI796" s="285"/>
      <c r="AJ796" s="439">
        <f t="shared" si="402"/>
        <v>8</v>
      </c>
      <c r="AK796" s="340"/>
      <c r="AL796" s="340"/>
      <c r="AM796" s="340"/>
      <c r="AN796" s="340"/>
      <c r="AO796" s="340"/>
      <c r="AP796" s="340"/>
      <c r="AQ796" s="340"/>
      <c r="AR796" s="441">
        <f t="shared" si="403"/>
        <v>0</v>
      </c>
      <c r="AT796" s="313"/>
      <c r="AU796" s="289" t="s">
        <v>4428</v>
      </c>
      <c r="AV796" s="313" t="s">
        <v>4439</v>
      </c>
      <c r="AW796" s="289" t="s">
        <v>4440</v>
      </c>
      <c r="AX796" s="443">
        <f t="shared" si="404"/>
        <v>0</v>
      </c>
      <c r="AY796" s="443">
        <f t="shared" si="405"/>
        <v>0</v>
      </c>
      <c r="AZ796" s="443">
        <f t="shared" si="406"/>
        <v>0</v>
      </c>
      <c r="BA796" s="443">
        <f t="shared" si="396"/>
        <v>0</v>
      </c>
      <c r="BB796" s="443">
        <f t="shared" si="397"/>
        <v>0</v>
      </c>
      <c r="BC796" s="443">
        <f t="shared" si="398"/>
        <v>0</v>
      </c>
      <c r="BD796" s="443">
        <f t="shared" si="407"/>
        <v>1</v>
      </c>
      <c r="BE796" s="443">
        <f t="shared" si="408"/>
        <v>0</v>
      </c>
      <c r="BF796" s="443">
        <f t="shared" si="409"/>
        <v>0</v>
      </c>
      <c r="BG796" s="443">
        <f t="shared" si="410"/>
        <v>0</v>
      </c>
      <c r="BH796" s="443">
        <f t="shared" si="411"/>
        <v>0</v>
      </c>
      <c r="BI796" s="443">
        <f t="shared" si="412"/>
        <v>0</v>
      </c>
      <c r="BJ796" s="443">
        <f t="shared" si="413"/>
        <v>0</v>
      </c>
      <c r="BK796" s="443">
        <f t="shared" si="414"/>
        <v>0</v>
      </c>
      <c r="BL796" s="443">
        <f t="shared" si="415"/>
        <v>5</v>
      </c>
      <c r="BM796" s="443">
        <f t="shared" si="416"/>
        <v>0</v>
      </c>
      <c r="BN796" s="443">
        <f t="shared" si="417"/>
        <v>0</v>
      </c>
      <c r="BO796" s="443">
        <f t="shared" si="418"/>
        <v>7</v>
      </c>
      <c r="BP796" s="443">
        <f t="shared" si="419"/>
        <v>1</v>
      </c>
      <c r="BQ796" s="443">
        <f t="shared" si="420"/>
        <v>0</v>
      </c>
    </row>
    <row r="797" spans="1:69" x14ac:dyDescent="0.2">
      <c r="A797" s="102">
        <v>41876</v>
      </c>
      <c r="B797" s="319">
        <v>1</v>
      </c>
      <c r="C797" s="118" t="s">
        <v>4441</v>
      </c>
      <c r="D797" s="111">
        <v>0.35000000000000003</v>
      </c>
      <c r="E797" s="111">
        <v>0.5854166666666667</v>
      </c>
      <c r="F797" s="319">
        <v>63</v>
      </c>
      <c r="G797" s="445">
        <v>12</v>
      </c>
      <c r="H797" s="319"/>
      <c r="I797" s="319"/>
      <c r="J797" s="426">
        <f t="shared" si="393"/>
        <v>339</v>
      </c>
      <c r="K797" s="103"/>
      <c r="L797" s="103"/>
      <c r="M797" s="103"/>
      <c r="N797" s="427">
        <f t="shared" si="394"/>
        <v>0</v>
      </c>
      <c r="O797" s="103"/>
      <c r="P797" s="103"/>
      <c r="Q797" s="103"/>
      <c r="R797" s="428">
        <f t="shared" si="395"/>
        <v>0</v>
      </c>
      <c r="S797" s="103"/>
      <c r="T797" s="103"/>
      <c r="U797" s="103"/>
      <c r="V797" s="125"/>
      <c r="W797" s="428">
        <f t="shared" si="399"/>
        <v>0</v>
      </c>
      <c r="X797" s="103"/>
      <c r="Y797" s="103"/>
      <c r="Z797" s="125"/>
      <c r="AA797" s="428">
        <f t="shared" si="400"/>
        <v>0</v>
      </c>
      <c r="AB797" s="103"/>
      <c r="AC797" s="103">
        <v>3</v>
      </c>
      <c r="AD797" s="103"/>
      <c r="AE797" s="428">
        <f t="shared" si="401"/>
        <v>3</v>
      </c>
      <c r="AF797" s="103"/>
      <c r="AG797" s="103"/>
      <c r="AH797" s="103"/>
      <c r="AI797" s="103"/>
      <c r="AJ797" s="428">
        <f t="shared" si="402"/>
        <v>0</v>
      </c>
      <c r="AK797" s="446"/>
      <c r="AL797" s="446"/>
      <c r="AM797" s="446"/>
      <c r="AN797" s="446"/>
      <c r="AO797" s="446"/>
      <c r="AP797" s="446"/>
      <c r="AQ797" s="446"/>
      <c r="AR797" s="431">
        <f t="shared" si="403"/>
        <v>0</v>
      </c>
      <c r="AT797" s="128"/>
      <c r="AU797" s="100" t="s">
        <v>4442</v>
      </c>
      <c r="AV797" s="128" t="s">
        <v>4455</v>
      </c>
      <c r="AW797" s="100" t="s">
        <v>4456</v>
      </c>
      <c r="AX797" s="433">
        <f t="shared" si="404"/>
        <v>0</v>
      </c>
      <c r="AY797" s="433">
        <f t="shared" si="405"/>
        <v>0</v>
      </c>
      <c r="AZ797" s="433">
        <f t="shared" si="406"/>
        <v>0</v>
      </c>
      <c r="BA797" s="433">
        <f t="shared" si="396"/>
        <v>0</v>
      </c>
      <c r="BB797" s="433">
        <f t="shared" si="397"/>
        <v>0</v>
      </c>
      <c r="BC797" s="433">
        <f t="shared" si="398"/>
        <v>0</v>
      </c>
      <c r="BD797" s="433">
        <f t="shared" si="407"/>
        <v>0</v>
      </c>
      <c r="BE797" s="433">
        <f t="shared" si="408"/>
        <v>0</v>
      </c>
      <c r="BF797" s="433">
        <f t="shared" si="409"/>
        <v>0</v>
      </c>
      <c r="BG797" s="433">
        <f t="shared" si="410"/>
        <v>0</v>
      </c>
      <c r="BH797" s="433">
        <f t="shared" si="411"/>
        <v>0</v>
      </c>
      <c r="BI797" s="433">
        <f t="shared" si="412"/>
        <v>0</v>
      </c>
      <c r="BJ797" s="433">
        <f t="shared" si="413"/>
        <v>0</v>
      </c>
      <c r="BK797" s="433">
        <f t="shared" si="414"/>
        <v>0</v>
      </c>
      <c r="BL797" s="433">
        <f t="shared" si="415"/>
        <v>3</v>
      </c>
      <c r="BM797" s="433">
        <f t="shared" si="416"/>
        <v>0</v>
      </c>
      <c r="BN797" s="433">
        <f t="shared" si="417"/>
        <v>0</v>
      </c>
      <c r="BO797" s="433">
        <f t="shared" si="418"/>
        <v>0</v>
      </c>
      <c r="BP797" s="433">
        <f t="shared" si="419"/>
        <v>0</v>
      </c>
      <c r="BQ797" s="433">
        <f t="shared" si="420"/>
        <v>0</v>
      </c>
    </row>
    <row r="798" spans="1:69" x14ac:dyDescent="0.2">
      <c r="A798" s="102">
        <v>41876</v>
      </c>
      <c r="B798" s="319">
        <v>1</v>
      </c>
      <c r="C798" s="118" t="s">
        <v>4268</v>
      </c>
      <c r="D798" s="111">
        <v>0.5854166666666667</v>
      </c>
      <c r="E798" s="111">
        <v>0.85277777777777775</v>
      </c>
      <c r="F798" s="319">
        <v>62</v>
      </c>
      <c r="G798" s="445">
        <v>11</v>
      </c>
      <c r="H798" s="319"/>
      <c r="I798" s="319"/>
      <c r="J798" s="426">
        <f t="shared" si="393"/>
        <v>384.99999999999989</v>
      </c>
      <c r="K798" s="103"/>
      <c r="L798" s="103"/>
      <c r="M798" s="103"/>
      <c r="N798" s="427">
        <f t="shared" si="394"/>
        <v>0</v>
      </c>
      <c r="O798" s="103"/>
      <c r="P798" s="103"/>
      <c r="Q798" s="103"/>
      <c r="R798" s="428">
        <f t="shared" si="395"/>
        <v>0</v>
      </c>
      <c r="S798" s="103"/>
      <c r="T798" s="103"/>
      <c r="U798" s="103"/>
      <c r="V798" s="125"/>
      <c r="W798" s="428">
        <f t="shared" si="399"/>
        <v>0</v>
      </c>
      <c r="X798" s="103"/>
      <c r="Y798" s="103"/>
      <c r="Z798" s="125"/>
      <c r="AA798" s="428">
        <f t="shared" si="400"/>
        <v>0</v>
      </c>
      <c r="AB798" s="103"/>
      <c r="AC798" s="103">
        <v>7</v>
      </c>
      <c r="AD798" s="103"/>
      <c r="AE798" s="428">
        <f t="shared" si="401"/>
        <v>7</v>
      </c>
      <c r="AF798" s="103"/>
      <c r="AG798" s="103">
        <v>6</v>
      </c>
      <c r="AH798" s="103"/>
      <c r="AI798" s="103"/>
      <c r="AJ798" s="428">
        <f t="shared" si="402"/>
        <v>6</v>
      </c>
      <c r="AK798" s="446"/>
      <c r="AL798" s="446"/>
      <c r="AM798" s="446"/>
      <c r="AN798" s="446"/>
      <c r="AO798" s="446"/>
      <c r="AP798" s="446"/>
      <c r="AQ798" s="446"/>
      <c r="AR798" s="431">
        <f t="shared" si="403"/>
        <v>0</v>
      </c>
      <c r="AT798" s="128"/>
      <c r="AU798" s="100" t="s">
        <v>4443</v>
      </c>
      <c r="AV798" s="128" t="s">
        <v>4455</v>
      </c>
      <c r="AW798" s="100" t="s">
        <v>4456</v>
      </c>
      <c r="AX798" s="433">
        <f t="shared" si="404"/>
        <v>0</v>
      </c>
      <c r="AY798" s="433">
        <f t="shared" si="405"/>
        <v>0</v>
      </c>
      <c r="AZ798" s="433">
        <f t="shared" si="406"/>
        <v>0</v>
      </c>
      <c r="BA798" s="433">
        <f t="shared" si="396"/>
        <v>0</v>
      </c>
      <c r="BB798" s="433">
        <f t="shared" si="397"/>
        <v>0</v>
      </c>
      <c r="BC798" s="433">
        <f t="shared" si="398"/>
        <v>0</v>
      </c>
      <c r="BD798" s="433">
        <f t="shared" si="407"/>
        <v>0</v>
      </c>
      <c r="BE798" s="433">
        <f t="shared" si="408"/>
        <v>0</v>
      </c>
      <c r="BF798" s="433">
        <f t="shared" si="409"/>
        <v>0</v>
      </c>
      <c r="BG798" s="433">
        <f t="shared" si="410"/>
        <v>0</v>
      </c>
      <c r="BH798" s="433">
        <f t="shared" si="411"/>
        <v>0</v>
      </c>
      <c r="BI798" s="433">
        <f t="shared" si="412"/>
        <v>0</v>
      </c>
      <c r="BJ798" s="433">
        <f t="shared" si="413"/>
        <v>0</v>
      </c>
      <c r="BK798" s="433">
        <f t="shared" si="414"/>
        <v>0</v>
      </c>
      <c r="BL798" s="433">
        <f t="shared" si="415"/>
        <v>7</v>
      </c>
      <c r="BM798" s="433">
        <f t="shared" si="416"/>
        <v>0</v>
      </c>
      <c r="BN798" s="433">
        <f t="shared" si="417"/>
        <v>0</v>
      </c>
      <c r="BO798" s="433">
        <f t="shared" si="418"/>
        <v>6</v>
      </c>
      <c r="BP798" s="433">
        <f t="shared" si="419"/>
        <v>0</v>
      </c>
      <c r="BQ798" s="433">
        <f t="shared" si="420"/>
        <v>0</v>
      </c>
    </row>
    <row r="799" spans="1:69" x14ac:dyDescent="0.2">
      <c r="A799" s="102">
        <v>41876</v>
      </c>
      <c r="B799" s="319">
        <v>2</v>
      </c>
      <c r="C799" s="118" t="s">
        <v>4447</v>
      </c>
      <c r="D799" s="111">
        <v>0.34375</v>
      </c>
      <c r="E799" s="111">
        <v>0.57986111111111105</v>
      </c>
      <c r="F799" s="319">
        <v>39</v>
      </c>
      <c r="G799" s="445">
        <v>11.5</v>
      </c>
      <c r="H799" s="319"/>
      <c r="I799" s="319"/>
      <c r="J799" s="426">
        <f t="shared" si="393"/>
        <v>339.99999999999989</v>
      </c>
      <c r="K799" s="103"/>
      <c r="L799" s="103"/>
      <c r="M799" s="103"/>
      <c r="N799" s="427">
        <f t="shared" si="394"/>
        <v>0</v>
      </c>
      <c r="O799" s="103"/>
      <c r="P799" s="103"/>
      <c r="Q799" s="103"/>
      <c r="R799" s="428">
        <f t="shared" si="395"/>
        <v>0</v>
      </c>
      <c r="S799" s="103"/>
      <c r="T799" s="103"/>
      <c r="U799" s="103"/>
      <c r="V799" s="125"/>
      <c r="W799" s="428">
        <f t="shared" si="399"/>
        <v>0</v>
      </c>
      <c r="X799" s="103"/>
      <c r="Y799" s="103"/>
      <c r="Z799" s="125"/>
      <c r="AA799" s="428">
        <f t="shared" si="400"/>
        <v>0</v>
      </c>
      <c r="AB799" s="103"/>
      <c r="AC799" s="103">
        <v>20</v>
      </c>
      <c r="AD799" s="103"/>
      <c r="AE799" s="428">
        <f t="shared" si="401"/>
        <v>20</v>
      </c>
      <c r="AF799" s="103">
        <v>2</v>
      </c>
      <c r="AG799" s="103">
        <v>1</v>
      </c>
      <c r="AH799" s="103"/>
      <c r="AI799" s="103"/>
      <c r="AJ799" s="428">
        <f t="shared" si="402"/>
        <v>3</v>
      </c>
      <c r="AK799" s="446"/>
      <c r="AL799" s="446"/>
      <c r="AM799" s="446"/>
      <c r="AN799" s="446"/>
      <c r="AO799" s="446"/>
      <c r="AP799" s="446"/>
      <c r="AQ799" s="446"/>
      <c r="AR799" s="431">
        <f t="shared" si="403"/>
        <v>0</v>
      </c>
      <c r="AT799" s="128"/>
      <c r="AU799" s="100" t="s">
        <v>4444</v>
      </c>
      <c r="AV799" s="128" t="s">
        <v>4455</v>
      </c>
      <c r="AW799" s="100" t="s">
        <v>4456</v>
      </c>
      <c r="AX799" s="433">
        <f t="shared" si="404"/>
        <v>0</v>
      </c>
      <c r="AY799" s="433">
        <f t="shared" si="405"/>
        <v>0</v>
      </c>
      <c r="AZ799" s="433">
        <f t="shared" si="406"/>
        <v>0</v>
      </c>
      <c r="BA799" s="433">
        <f t="shared" si="396"/>
        <v>0</v>
      </c>
      <c r="BB799" s="433">
        <f t="shared" si="397"/>
        <v>0</v>
      </c>
      <c r="BC799" s="433">
        <f t="shared" si="398"/>
        <v>0</v>
      </c>
      <c r="BD799" s="433">
        <f t="shared" si="407"/>
        <v>0</v>
      </c>
      <c r="BE799" s="433">
        <f t="shared" si="408"/>
        <v>0</v>
      </c>
      <c r="BF799" s="433">
        <f t="shared" si="409"/>
        <v>0</v>
      </c>
      <c r="BG799" s="433">
        <f t="shared" si="410"/>
        <v>0</v>
      </c>
      <c r="BH799" s="433">
        <f t="shared" si="411"/>
        <v>0</v>
      </c>
      <c r="BI799" s="433">
        <f t="shared" si="412"/>
        <v>0</v>
      </c>
      <c r="BJ799" s="433">
        <f t="shared" si="413"/>
        <v>0</v>
      </c>
      <c r="BK799" s="433">
        <f t="shared" si="414"/>
        <v>0</v>
      </c>
      <c r="BL799" s="433">
        <f t="shared" si="415"/>
        <v>20</v>
      </c>
      <c r="BM799" s="433">
        <f t="shared" si="416"/>
        <v>0</v>
      </c>
      <c r="BN799" s="433">
        <f t="shared" si="417"/>
        <v>2</v>
      </c>
      <c r="BO799" s="433">
        <f t="shared" si="418"/>
        <v>1</v>
      </c>
      <c r="BP799" s="433">
        <f t="shared" si="419"/>
        <v>0</v>
      </c>
      <c r="BQ799" s="433">
        <f t="shared" si="420"/>
        <v>0</v>
      </c>
    </row>
    <row r="800" spans="1:69" x14ac:dyDescent="0.2">
      <c r="A800" s="102">
        <v>41876</v>
      </c>
      <c r="B800" s="319">
        <v>2</v>
      </c>
      <c r="C800" s="118" t="s">
        <v>4268</v>
      </c>
      <c r="D800" s="111">
        <v>0.57986111111111105</v>
      </c>
      <c r="E800" s="111">
        <v>0.84652777777777777</v>
      </c>
      <c r="F800" s="319">
        <v>42</v>
      </c>
      <c r="G800" s="445">
        <v>11</v>
      </c>
      <c r="H800" s="319"/>
      <c r="I800" s="319"/>
      <c r="J800" s="426">
        <f t="shared" si="393"/>
        <v>384.00000000000006</v>
      </c>
      <c r="K800" s="103"/>
      <c r="L800" s="103"/>
      <c r="M800" s="103"/>
      <c r="N800" s="427">
        <f t="shared" si="394"/>
        <v>0</v>
      </c>
      <c r="O800" s="103"/>
      <c r="P800" s="103"/>
      <c r="Q800" s="103"/>
      <c r="R800" s="428">
        <f t="shared" si="395"/>
        <v>0</v>
      </c>
      <c r="S800" s="103"/>
      <c r="T800" s="103">
        <v>1</v>
      </c>
      <c r="U800" s="103"/>
      <c r="V800" s="125"/>
      <c r="W800" s="428">
        <f t="shared" si="399"/>
        <v>1</v>
      </c>
      <c r="X800" s="103"/>
      <c r="Y800" s="103"/>
      <c r="Z800" s="125"/>
      <c r="AA800" s="428">
        <f t="shared" si="400"/>
        <v>0</v>
      </c>
      <c r="AB800" s="103"/>
      <c r="AC800" s="103">
        <v>13</v>
      </c>
      <c r="AD800" s="103"/>
      <c r="AE800" s="428">
        <f t="shared" si="401"/>
        <v>13</v>
      </c>
      <c r="AF800" s="103">
        <v>1</v>
      </c>
      <c r="AG800" s="103">
        <v>1</v>
      </c>
      <c r="AH800" s="103"/>
      <c r="AI800" s="103"/>
      <c r="AJ800" s="428">
        <f t="shared" si="402"/>
        <v>2</v>
      </c>
      <c r="AK800" s="446"/>
      <c r="AL800" s="446"/>
      <c r="AM800" s="446"/>
      <c r="AN800" s="446"/>
      <c r="AO800" s="446"/>
      <c r="AP800" s="446"/>
      <c r="AQ800" s="446"/>
      <c r="AR800" s="431">
        <f t="shared" si="403"/>
        <v>0</v>
      </c>
      <c r="AT800" s="128"/>
      <c r="AU800" s="100" t="s">
        <v>4443</v>
      </c>
      <c r="AV800" s="128" t="s">
        <v>4455</v>
      </c>
      <c r="AW800" s="100" t="s">
        <v>4456</v>
      </c>
      <c r="AX800" s="433">
        <f t="shared" si="404"/>
        <v>0</v>
      </c>
      <c r="AY800" s="433">
        <f t="shared" si="405"/>
        <v>0</v>
      </c>
      <c r="AZ800" s="433">
        <f t="shared" si="406"/>
        <v>0</v>
      </c>
      <c r="BA800" s="433">
        <f t="shared" si="396"/>
        <v>0</v>
      </c>
      <c r="BB800" s="433">
        <f t="shared" si="397"/>
        <v>0</v>
      </c>
      <c r="BC800" s="433">
        <f t="shared" si="398"/>
        <v>0</v>
      </c>
      <c r="BD800" s="433">
        <f t="shared" si="407"/>
        <v>0</v>
      </c>
      <c r="BE800" s="433">
        <f t="shared" si="408"/>
        <v>1</v>
      </c>
      <c r="BF800" s="433">
        <f t="shared" si="409"/>
        <v>0</v>
      </c>
      <c r="BG800" s="433">
        <f t="shared" si="410"/>
        <v>0</v>
      </c>
      <c r="BH800" s="433">
        <f t="shared" si="411"/>
        <v>0</v>
      </c>
      <c r="BI800" s="433">
        <f t="shared" si="412"/>
        <v>0</v>
      </c>
      <c r="BJ800" s="433">
        <f t="shared" si="413"/>
        <v>0</v>
      </c>
      <c r="BK800" s="433">
        <f t="shared" si="414"/>
        <v>0</v>
      </c>
      <c r="BL800" s="433">
        <f t="shared" si="415"/>
        <v>13</v>
      </c>
      <c r="BM800" s="433">
        <f t="shared" si="416"/>
        <v>0</v>
      </c>
      <c r="BN800" s="433">
        <f t="shared" si="417"/>
        <v>1</v>
      </c>
      <c r="BO800" s="433">
        <f t="shared" si="418"/>
        <v>1</v>
      </c>
      <c r="BP800" s="433">
        <f t="shared" si="419"/>
        <v>0</v>
      </c>
      <c r="BQ800" s="433">
        <f t="shared" si="420"/>
        <v>0</v>
      </c>
    </row>
    <row r="801" spans="1:69" x14ac:dyDescent="0.2">
      <c r="A801" s="102">
        <v>41876</v>
      </c>
      <c r="B801" s="319">
        <v>3</v>
      </c>
      <c r="C801" s="118" t="s">
        <v>4268</v>
      </c>
      <c r="D801" s="111">
        <v>0.34722222222222227</v>
      </c>
      <c r="E801" s="111">
        <v>0.44930555555555557</v>
      </c>
      <c r="F801" s="319">
        <v>48</v>
      </c>
      <c r="G801" s="445">
        <v>10</v>
      </c>
      <c r="H801" s="319"/>
      <c r="I801" s="319"/>
      <c r="J801" s="426">
        <f t="shared" si="393"/>
        <v>146.99999999999994</v>
      </c>
      <c r="K801" s="103"/>
      <c r="L801" s="103"/>
      <c r="M801" s="103"/>
      <c r="N801" s="427">
        <f t="shared" si="394"/>
        <v>0</v>
      </c>
      <c r="O801" s="103"/>
      <c r="P801" s="103"/>
      <c r="Q801" s="103"/>
      <c r="R801" s="428">
        <f t="shared" si="395"/>
        <v>0</v>
      </c>
      <c r="S801" s="103"/>
      <c r="T801" s="103"/>
      <c r="U801" s="103"/>
      <c r="V801" s="125"/>
      <c r="W801" s="428">
        <f t="shared" si="399"/>
        <v>0</v>
      </c>
      <c r="X801" s="103"/>
      <c r="Y801" s="103"/>
      <c r="Z801" s="125"/>
      <c r="AA801" s="428">
        <f t="shared" si="400"/>
        <v>0</v>
      </c>
      <c r="AB801" s="103"/>
      <c r="AC801" s="103">
        <v>3</v>
      </c>
      <c r="AD801" s="103"/>
      <c r="AE801" s="428">
        <f t="shared" si="401"/>
        <v>3</v>
      </c>
      <c r="AF801" s="103">
        <v>1</v>
      </c>
      <c r="AG801" s="103"/>
      <c r="AH801" s="103"/>
      <c r="AI801" s="103"/>
      <c r="AJ801" s="428">
        <f t="shared" si="402"/>
        <v>1</v>
      </c>
      <c r="AK801" s="446"/>
      <c r="AL801" s="446"/>
      <c r="AM801" s="446"/>
      <c r="AN801" s="446"/>
      <c r="AO801" s="446"/>
      <c r="AP801" s="446"/>
      <c r="AQ801" s="446"/>
      <c r="AR801" s="431">
        <f t="shared" si="403"/>
        <v>0</v>
      </c>
      <c r="AT801" s="128"/>
      <c r="AU801" s="100" t="s">
        <v>4443</v>
      </c>
      <c r="AV801" s="128" t="s">
        <v>4455</v>
      </c>
      <c r="AW801" s="100" t="s">
        <v>4456</v>
      </c>
      <c r="AX801" s="433">
        <f t="shared" si="404"/>
        <v>0</v>
      </c>
      <c r="AY801" s="433">
        <f t="shared" si="405"/>
        <v>0</v>
      </c>
      <c r="AZ801" s="433">
        <f t="shared" si="406"/>
        <v>0</v>
      </c>
      <c r="BA801" s="433">
        <f t="shared" si="396"/>
        <v>0</v>
      </c>
      <c r="BB801" s="433">
        <f t="shared" si="397"/>
        <v>0</v>
      </c>
      <c r="BC801" s="433">
        <f t="shared" si="398"/>
        <v>0</v>
      </c>
      <c r="BD801" s="433">
        <f t="shared" si="407"/>
        <v>0</v>
      </c>
      <c r="BE801" s="433">
        <f t="shared" si="408"/>
        <v>0</v>
      </c>
      <c r="BF801" s="433">
        <f t="shared" si="409"/>
        <v>0</v>
      </c>
      <c r="BG801" s="433">
        <f t="shared" si="410"/>
        <v>0</v>
      </c>
      <c r="BH801" s="433">
        <f t="shared" si="411"/>
        <v>0</v>
      </c>
      <c r="BI801" s="433">
        <f t="shared" si="412"/>
        <v>0</v>
      </c>
      <c r="BJ801" s="433">
        <f t="shared" si="413"/>
        <v>0</v>
      </c>
      <c r="BK801" s="433">
        <f t="shared" si="414"/>
        <v>0</v>
      </c>
      <c r="BL801" s="433">
        <f t="shared" si="415"/>
        <v>3</v>
      </c>
      <c r="BM801" s="433">
        <f t="shared" si="416"/>
        <v>0</v>
      </c>
      <c r="BN801" s="433">
        <f t="shared" si="417"/>
        <v>1</v>
      </c>
      <c r="BO801" s="433">
        <f t="shared" si="418"/>
        <v>0</v>
      </c>
      <c r="BP801" s="433">
        <f t="shared" si="419"/>
        <v>0</v>
      </c>
      <c r="BQ801" s="433">
        <f t="shared" si="420"/>
        <v>0</v>
      </c>
    </row>
    <row r="802" spans="1:69" x14ac:dyDescent="0.2">
      <c r="A802" s="102">
        <v>41876</v>
      </c>
      <c r="B802" s="319">
        <v>3</v>
      </c>
      <c r="C802" s="118" t="s">
        <v>4445</v>
      </c>
      <c r="D802" s="111">
        <v>0.44930555555555557</v>
      </c>
      <c r="E802" s="111">
        <v>0.70208333333333339</v>
      </c>
      <c r="F802" s="319">
        <v>48</v>
      </c>
      <c r="G802" s="445">
        <v>12</v>
      </c>
      <c r="H802" s="319"/>
      <c r="I802" s="319"/>
      <c r="J802" s="426">
        <f t="shared" si="393"/>
        <v>364.00000000000011</v>
      </c>
      <c r="K802" s="103"/>
      <c r="L802" s="103"/>
      <c r="M802" s="103"/>
      <c r="N802" s="427">
        <f t="shared" si="394"/>
        <v>0</v>
      </c>
      <c r="O802" s="103"/>
      <c r="P802" s="103"/>
      <c r="Q802" s="103"/>
      <c r="R802" s="428">
        <f t="shared" si="395"/>
        <v>0</v>
      </c>
      <c r="S802" s="103"/>
      <c r="T802" s="103"/>
      <c r="U802" s="103"/>
      <c r="V802" s="125"/>
      <c r="W802" s="428">
        <f t="shared" si="399"/>
        <v>0</v>
      </c>
      <c r="X802" s="103"/>
      <c r="Y802" s="103"/>
      <c r="Z802" s="125"/>
      <c r="AA802" s="428">
        <f t="shared" si="400"/>
        <v>0</v>
      </c>
      <c r="AB802" s="103"/>
      <c r="AC802" s="103">
        <v>2</v>
      </c>
      <c r="AD802" s="103"/>
      <c r="AE802" s="428">
        <f t="shared" si="401"/>
        <v>2</v>
      </c>
      <c r="AF802" s="103">
        <v>3</v>
      </c>
      <c r="AG802" s="103">
        <v>2</v>
      </c>
      <c r="AH802" s="103"/>
      <c r="AI802" s="103"/>
      <c r="AJ802" s="428">
        <f t="shared" si="402"/>
        <v>5</v>
      </c>
      <c r="AK802" s="446"/>
      <c r="AL802" s="446"/>
      <c r="AM802" s="446"/>
      <c r="AN802" s="446"/>
      <c r="AO802" s="446"/>
      <c r="AP802" s="446"/>
      <c r="AQ802" s="446"/>
      <c r="AR802" s="431">
        <f t="shared" si="403"/>
        <v>0</v>
      </c>
      <c r="AT802" s="128"/>
      <c r="AU802" s="100" t="s">
        <v>4446</v>
      </c>
      <c r="AV802" s="128" t="s">
        <v>4455</v>
      </c>
      <c r="AW802" s="100" t="s">
        <v>4456</v>
      </c>
      <c r="AX802" s="433">
        <f t="shared" si="404"/>
        <v>0</v>
      </c>
      <c r="AY802" s="433">
        <f t="shared" si="405"/>
        <v>0</v>
      </c>
      <c r="AZ802" s="433">
        <f t="shared" si="406"/>
        <v>0</v>
      </c>
      <c r="BA802" s="433">
        <f t="shared" si="396"/>
        <v>0</v>
      </c>
      <c r="BB802" s="433">
        <f t="shared" si="397"/>
        <v>0</v>
      </c>
      <c r="BC802" s="433">
        <f t="shared" si="398"/>
        <v>0</v>
      </c>
      <c r="BD802" s="433">
        <f t="shared" si="407"/>
        <v>0</v>
      </c>
      <c r="BE802" s="433">
        <f t="shared" si="408"/>
        <v>0</v>
      </c>
      <c r="BF802" s="433">
        <f t="shared" si="409"/>
        <v>0</v>
      </c>
      <c r="BG802" s="433">
        <f t="shared" si="410"/>
        <v>0</v>
      </c>
      <c r="BH802" s="433">
        <f t="shared" si="411"/>
        <v>0</v>
      </c>
      <c r="BI802" s="433">
        <f t="shared" si="412"/>
        <v>0</v>
      </c>
      <c r="BJ802" s="433">
        <f t="shared" si="413"/>
        <v>0</v>
      </c>
      <c r="BK802" s="433">
        <f t="shared" si="414"/>
        <v>0</v>
      </c>
      <c r="BL802" s="433">
        <f t="shared" si="415"/>
        <v>2</v>
      </c>
      <c r="BM802" s="433">
        <f t="shared" si="416"/>
        <v>0</v>
      </c>
      <c r="BN802" s="433">
        <f t="shared" si="417"/>
        <v>3</v>
      </c>
      <c r="BO802" s="433">
        <f t="shared" si="418"/>
        <v>2</v>
      </c>
      <c r="BP802" s="433">
        <f t="shared" si="419"/>
        <v>0</v>
      </c>
      <c r="BQ802" s="433">
        <f t="shared" si="420"/>
        <v>0</v>
      </c>
    </row>
    <row r="803" spans="1:69" s="291" customFormat="1" x14ac:dyDescent="0.2">
      <c r="A803" s="317">
        <v>41876</v>
      </c>
      <c r="B803" s="318">
        <v>3</v>
      </c>
      <c r="C803" s="320" t="s">
        <v>4447</v>
      </c>
      <c r="D803" s="321">
        <v>0.70208333333333339</v>
      </c>
      <c r="E803" s="321">
        <v>0.84722222222222221</v>
      </c>
      <c r="F803" s="318">
        <v>47</v>
      </c>
      <c r="G803" s="435">
        <v>11</v>
      </c>
      <c r="H803" s="318"/>
      <c r="I803" s="318"/>
      <c r="J803" s="437">
        <f t="shared" si="393"/>
        <v>208.99999999999989</v>
      </c>
      <c r="K803" s="285"/>
      <c r="L803" s="285"/>
      <c r="M803" s="285"/>
      <c r="N803" s="438">
        <f t="shared" si="394"/>
        <v>0</v>
      </c>
      <c r="O803" s="285"/>
      <c r="P803" s="285"/>
      <c r="Q803" s="285"/>
      <c r="R803" s="439">
        <f t="shared" si="395"/>
        <v>0</v>
      </c>
      <c r="S803" s="285">
        <v>1</v>
      </c>
      <c r="T803" s="285"/>
      <c r="U803" s="285"/>
      <c r="V803" s="440"/>
      <c r="W803" s="439">
        <f t="shared" si="399"/>
        <v>1</v>
      </c>
      <c r="X803" s="285"/>
      <c r="Y803" s="285"/>
      <c r="Z803" s="440"/>
      <c r="AA803" s="439">
        <f t="shared" si="400"/>
        <v>0</v>
      </c>
      <c r="AB803" s="285"/>
      <c r="AC803" s="285"/>
      <c r="AD803" s="285"/>
      <c r="AE803" s="439">
        <f t="shared" si="401"/>
        <v>0</v>
      </c>
      <c r="AF803" s="285"/>
      <c r="AG803" s="285">
        <v>3</v>
      </c>
      <c r="AH803" s="285"/>
      <c r="AI803" s="285"/>
      <c r="AJ803" s="439">
        <f t="shared" si="402"/>
        <v>3</v>
      </c>
      <c r="AK803" s="340"/>
      <c r="AL803" s="340"/>
      <c r="AM803" s="340"/>
      <c r="AN803" s="340">
        <v>1</v>
      </c>
      <c r="AO803" s="340"/>
      <c r="AP803" s="340"/>
      <c r="AQ803" s="340"/>
      <c r="AR803" s="441">
        <f t="shared" si="403"/>
        <v>1</v>
      </c>
      <c r="AT803" s="313"/>
      <c r="AU803" s="289" t="s">
        <v>4442</v>
      </c>
      <c r="AV803" s="313" t="s">
        <v>4455</v>
      </c>
      <c r="AW803" s="289" t="s">
        <v>4456</v>
      </c>
      <c r="AX803" s="443">
        <f t="shared" si="404"/>
        <v>0</v>
      </c>
      <c r="AY803" s="443">
        <f t="shared" si="405"/>
        <v>0</v>
      </c>
      <c r="AZ803" s="443">
        <f t="shared" si="406"/>
        <v>0</v>
      </c>
      <c r="BA803" s="443">
        <f t="shared" si="396"/>
        <v>0</v>
      </c>
      <c r="BB803" s="443">
        <f t="shared" si="397"/>
        <v>0</v>
      </c>
      <c r="BC803" s="443">
        <f t="shared" si="398"/>
        <v>0</v>
      </c>
      <c r="BD803" s="443">
        <f t="shared" si="407"/>
        <v>1</v>
      </c>
      <c r="BE803" s="443">
        <f t="shared" si="408"/>
        <v>0</v>
      </c>
      <c r="BF803" s="443">
        <f t="shared" si="409"/>
        <v>0</v>
      </c>
      <c r="BG803" s="443">
        <f t="shared" si="410"/>
        <v>0</v>
      </c>
      <c r="BH803" s="443">
        <f t="shared" si="411"/>
        <v>0</v>
      </c>
      <c r="BI803" s="443">
        <f t="shared" si="412"/>
        <v>0</v>
      </c>
      <c r="BJ803" s="443">
        <f t="shared" si="413"/>
        <v>0</v>
      </c>
      <c r="BK803" s="443">
        <f t="shared" si="414"/>
        <v>0</v>
      </c>
      <c r="BL803" s="443">
        <f t="shared" si="415"/>
        <v>0</v>
      </c>
      <c r="BM803" s="443">
        <f t="shared" si="416"/>
        <v>0</v>
      </c>
      <c r="BN803" s="443">
        <f t="shared" si="417"/>
        <v>0</v>
      </c>
      <c r="BO803" s="443">
        <f t="shared" si="418"/>
        <v>3</v>
      </c>
      <c r="BP803" s="443">
        <f t="shared" si="419"/>
        <v>0</v>
      </c>
      <c r="BQ803" s="443">
        <f t="shared" si="420"/>
        <v>0</v>
      </c>
    </row>
    <row r="804" spans="1:69" x14ac:dyDescent="0.2">
      <c r="A804" s="102">
        <v>41877</v>
      </c>
      <c r="B804" s="319">
        <v>1</v>
      </c>
      <c r="C804" s="118" t="s">
        <v>4447</v>
      </c>
      <c r="D804" s="111">
        <v>0.3430555555555555</v>
      </c>
      <c r="E804" s="111">
        <v>0.59305555555555556</v>
      </c>
      <c r="F804" s="319">
        <v>58</v>
      </c>
      <c r="G804" s="445">
        <v>10</v>
      </c>
      <c r="H804" s="319"/>
      <c r="I804" s="319">
        <v>84.2</v>
      </c>
      <c r="J804" s="426">
        <f t="shared" si="393"/>
        <v>360.00000000000011</v>
      </c>
      <c r="K804" s="103"/>
      <c r="L804" s="103"/>
      <c r="M804" s="103"/>
      <c r="N804" s="427">
        <f t="shared" si="394"/>
        <v>0</v>
      </c>
      <c r="O804" s="103"/>
      <c r="P804" s="103"/>
      <c r="Q804" s="103"/>
      <c r="R804" s="428">
        <f t="shared" si="395"/>
        <v>0</v>
      </c>
      <c r="S804" s="103"/>
      <c r="T804" s="103"/>
      <c r="U804" s="103"/>
      <c r="V804" s="125"/>
      <c r="W804" s="428">
        <f t="shared" si="399"/>
        <v>0</v>
      </c>
      <c r="X804" s="103"/>
      <c r="Y804" s="103"/>
      <c r="Z804" s="125"/>
      <c r="AA804" s="428">
        <f t="shared" si="400"/>
        <v>0</v>
      </c>
      <c r="AB804" s="103"/>
      <c r="AC804" s="103">
        <v>2</v>
      </c>
      <c r="AD804" s="103"/>
      <c r="AE804" s="428">
        <f t="shared" si="401"/>
        <v>2</v>
      </c>
      <c r="AF804" s="103">
        <v>1</v>
      </c>
      <c r="AG804" s="103"/>
      <c r="AH804" s="103"/>
      <c r="AI804" s="103"/>
      <c r="AJ804" s="428">
        <f t="shared" si="402"/>
        <v>1</v>
      </c>
      <c r="AK804" s="446"/>
      <c r="AL804" s="446"/>
      <c r="AM804" s="446"/>
      <c r="AN804" s="446"/>
      <c r="AO804" s="446"/>
      <c r="AP804" s="446"/>
      <c r="AQ804" s="446"/>
      <c r="AR804" s="431">
        <f t="shared" si="403"/>
        <v>0</v>
      </c>
      <c r="AT804" s="128"/>
      <c r="AU804" s="100" t="s">
        <v>4457</v>
      </c>
      <c r="AV804" s="128" t="s">
        <v>4464</v>
      </c>
      <c r="AW804" s="100" t="s">
        <v>4465</v>
      </c>
      <c r="AX804" s="433">
        <f t="shared" si="404"/>
        <v>0</v>
      </c>
      <c r="AY804" s="433">
        <f t="shared" si="405"/>
        <v>0</v>
      </c>
      <c r="AZ804" s="433">
        <f t="shared" si="406"/>
        <v>0</v>
      </c>
      <c r="BA804" s="433">
        <f t="shared" si="396"/>
        <v>0</v>
      </c>
      <c r="BB804" s="433">
        <f t="shared" si="397"/>
        <v>0</v>
      </c>
      <c r="BC804" s="433">
        <f t="shared" si="398"/>
        <v>0</v>
      </c>
      <c r="BD804" s="433">
        <f t="shared" si="407"/>
        <v>0</v>
      </c>
      <c r="BE804" s="433">
        <f t="shared" si="408"/>
        <v>0</v>
      </c>
      <c r="BF804" s="433">
        <f t="shared" si="409"/>
        <v>0</v>
      </c>
      <c r="BG804" s="433">
        <f t="shared" si="410"/>
        <v>0</v>
      </c>
      <c r="BH804" s="433">
        <f t="shared" si="411"/>
        <v>0</v>
      </c>
      <c r="BI804" s="433">
        <f t="shared" si="412"/>
        <v>0</v>
      </c>
      <c r="BJ804" s="433">
        <f t="shared" si="413"/>
        <v>0</v>
      </c>
      <c r="BK804" s="433">
        <f t="shared" si="414"/>
        <v>0</v>
      </c>
      <c r="BL804" s="433">
        <f t="shared" si="415"/>
        <v>2</v>
      </c>
      <c r="BM804" s="433">
        <f t="shared" si="416"/>
        <v>0</v>
      </c>
      <c r="BN804" s="433">
        <f t="shared" si="417"/>
        <v>1</v>
      </c>
      <c r="BO804" s="433">
        <f t="shared" si="418"/>
        <v>0</v>
      </c>
      <c r="BP804" s="433">
        <f t="shared" si="419"/>
        <v>0</v>
      </c>
      <c r="BQ804" s="433">
        <f t="shared" si="420"/>
        <v>0</v>
      </c>
    </row>
    <row r="805" spans="1:69" x14ac:dyDescent="0.2">
      <c r="A805" s="102">
        <v>41877</v>
      </c>
      <c r="B805" s="319">
        <v>1</v>
      </c>
      <c r="C805" s="118" t="s">
        <v>4268</v>
      </c>
      <c r="D805" s="111">
        <v>0.59305555555555556</v>
      </c>
      <c r="E805" s="111">
        <v>0.84305555555555556</v>
      </c>
      <c r="F805" s="319">
        <v>59</v>
      </c>
      <c r="G805" s="445">
        <v>10</v>
      </c>
      <c r="H805" s="319"/>
      <c r="I805" s="319"/>
      <c r="J805" s="426">
        <f t="shared" si="393"/>
        <v>360</v>
      </c>
      <c r="K805" s="103"/>
      <c r="L805" s="103"/>
      <c r="M805" s="103"/>
      <c r="N805" s="427">
        <f t="shared" si="394"/>
        <v>0</v>
      </c>
      <c r="O805" s="103"/>
      <c r="P805" s="103"/>
      <c r="Q805" s="103"/>
      <c r="R805" s="428">
        <f t="shared" si="395"/>
        <v>0</v>
      </c>
      <c r="S805" s="103"/>
      <c r="T805" s="103"/>
      <c r="U805" s="103"/>
      <c r="V805" s="125">
        <v>1</v>
      </c>
      <c r="W805" s="428">
        <f t="shared" si="399"/>
        <v>1</v>
      </c>
      <c r="X805" s="103"/>
      <c r="Y805" s="103"/>
      <c r="Z805" s="125"/>
      <c r="AA805" s="428">
        <f t="shared" si="400"/>
        <v>0</v>
      </c>
      <c r="AB805" s="103"/>
      <c r="AC805" s="103">
        <v>2</v>
      </c>
      <c r="AD805" s="103"/>
      <c r="AE805" s="428">
        <f t="shared" si="401"/>
        <v>2</v>
      </c>
      <c r="AF805" s="103">
        <v>1</v>
      </c>
      <c r="AG805" s="103"/>
      <c r="AH805" s="103"/>
      <c r="AI805" s="103"/>
      <c r="AJ805" s="428">
        <f t="shared" si="402"/>
        <v>1</v>
      </c>
      <c r="AK805" s="446"/>
      <c r="AL805" s="446"/>
      <c r="AM805" s="446"/>
      <c r="AN805" s="446"/>
      <c r="AO805" s="446"/>
      <c r="AP805" s="446"/>
      <c r="AQ805" s="446"/>
      <c r="AR805" s="431">
        <f t="shared" si="403"/>
        <v>0</v>
      </c>
      <c r="AT805" s="128"/>
      <c r="AU805" s="100" t="s">
        <v>4460</v>
      </c>
      <c r="AV805" s="128" t="s">
        <v>4464</v>
      </c>
      <c r="AW805" s="100" t="s">
        <v>4465</v>
      </c>
      <c r="AX805" s="433">
        <f t="shared" si="404"/>
        <v>0</v>
      </c>
      <c r="AY805" s="433">
        <f t="shared" si="405"/>
        <v>0</v>
      </c>
      <c r="AZ805" s="433">
        <f t="shared" si="406"/>
        <v>0</v>
      </c>
      <c r="BA805" s="433">
        <f t="shared" si="396"/>
        <v>0</v>
      </c>
      <c r="BB805" s="433">
        <f t="shared" si="397"/>
        <v>0</v>
      </c>
      <c r="BC805" s="433">
        <f t="shared" si="398"/>
        <v>0</v>
      </c>
      <c r="BD805" s="433">
        <f t="shared" si="407"/>
        <v>0</v>
      </c>
      <c r="BE805" s="433">
        <f t="shared" si="408"/>
        <v>0</v>
      </c>
      <c r="BF805" s="433">
        <f t="shared" si="409"/>
        <v>0</v>
      </c>
      <c r="BG805" s="433">
        <f t="shared" si="410"/>
        <v>1</v>
      </c>
      <c r="BH805" s="433">
        <f t="shared" si="411"/>
        <v>0</v>
      </c>
      <c r="BI805" s="433">
        <f t="shared" si="412"/>
        <v>0</v>
      </c>
      <c r="BJ805" s="433">
        <f t="shared" si="413"/>
        <v>0</v>
      </c>
      <c r="BK805" s="433">
        <f t="shared" si="414"/>
        <v>0</v>
      </c>
      <c r="BL805" s="433">
        <f t="shared" si="415"/>
        <v>2</v>
      </c>
      <c r="BM805" s="433">
        <f t="shared" si="416"/>
        <v>0</v>
      </c>
      <c r="BN805" s="433">
        <f t="shared" si="417"/>
        <v>1</v>
      </c>
      <c r="BO805" s="433">
        <f t="shared" si="418"/>
        <v>0</v>
      </c>
      <c r="BP805" s="433">
        <f t="shared" si="419"/>
        <v>0</v>
      </c>
      <c r="BQ805" s="433">
        <f t="shared" si="420"/>
        <v>0</v>
      </c>
    </row>
    <row r="806" spans="1:69" x14ac:dyDescent="0.2">
      <c r="A806" s="102">
        <v>41877</v>
      </c>
      <c r="B806" s="319">
        <v>2</v>
      </c>
      <c r="C806" s="118" t="s">
        <v>4441</v>
      </c>
      <c r="D806" s="111">
        <v>0.33819444444444446</v>
      </c>
      <c r="E806" s="111">
        <v>0.58611111111111114</v>
      </c>
      <c r="F806" s="319">
        <v>37</v>
      </c>
      <c r="G806" s="445">
        <v>9</v>
      </c>
      <c r="H806" s="319"/>
      <c r="I806" s="319"/>
      <c r="J806" s="426">
        <f t="shared" si="393"/>
        <v>357</v>
      </c>
      <c r="K806" s="103"/>
      <c r="L806" s="103"/>
      <c r="M806" s="103"/>
      <c r="N806" s="427">
        <f t="shared" si="394"/>
        <v>0</v>
      </c>
      <c r="O806" s="103"/>
      <c r="P806" s="103"/>
      <c r="Q806" s="103"/>
      <c r="R806" s="428">
        <f t="shared" si="395"/>
        <v>0</v>
      </c>
      <c r="S806" s="103"/>
      <c r="T806" s="103"/>
      <c r="U806" s="103"/>
      <c r="V806" s="125"/>
      <c r="W806" s="428">
        <f t="shared" si="399"/>
        <v>0</v>
      </c>
      <c r="X806" s="103"/>
      <c r="Y806" s="103">
        <v>1</v>
      </c>
      <c r="Z806" s="125"/>
      <c r="AA806" s="428">
        <f t="shared" si="400"/>
        <v>1</v>
      </c>
      <c r="AB806" s="103">
        <v>1</v>
      </c>
      <c r="AC806" s="103">
        <v>5</v>
      </c>
      <c r="AD806" s="103"/>
      <c r="AE806" s="428">
        <f t="shared" si="401"/>
        <v>6</v>
      </c>
      <c r="AF806" s="103"/>
      <c r="AG806" s="103"/>
      <c r="AH806" s="103"/>
      <c r="AI806" s="103"/>
      <c r="AJ806" s="428">
        <f t="shared" si="402"/>
        <v>0</v>
      </c>
      <c r="AK806" s="446"/>
      <c r="AL806" s="446"/>
      <c r="AM806" s="446"/>
      <c r="AN806" s="446"/>
      <c r="AO806" s="446"/>
      <c r="AP806" s="446"/>
      <c r="AQ806" s="446"/>
      <c r="AR806" s="431">
        <f t="shared" si="403"/>
        <v>0</v>
      </c>
      <c r="AT806" s="128"/>
      <c r="AU806" s="100" t="s">
        <v>4458</v>
      </c>
      <c r="AV806" s="128" t="s">
        <v>4464</v>
      </c>
      <c r="AW806" s="100" t="s">
        <v>4465</v>
      </c>
      <c r="AX806" s="433">
        <f t="shared" si="404"/>
        <v>0</v>
      </c>
      <c r="AY806" s="433">
        <f t="shared" si="405"/>
        <v>0</v>
      </c>
      <c r="AZ806" s="433">
        <f t="shared" si="406"/>
        <v>0</v>
      </c>
      <c r="BA806" s="433">
        <f t="shared" si="396"/>
        <v>0</v>
      </c>
      <c r="BB806" s="433">
        <f t="shared" si="397"/>
        <v>0</v>
      </c>
      <c r="BC806" s="433">
        <f t="shared" si="398"/>
        <v>0</v>
      </c>
      <c r="BD806" s="433">
        <f t="shared" si="407"/>
        <v>0</v>
      </c>
      <c r="BE806" s="433">
        <f t="shared" si="408"/>
        <v>0</v>
      </c>
      <c r="BF806" s="433">
        <f t="shared" si="409"/>
        <v>0</v>
      </c>
      <c r="BG806" s="433">
        <f t="shared" si="410"/>
        <v>0</v>
      </c>
      <c r="BH806" s="433">
        <f t="shared" si="411"/>
        <v>0</v>
      </c>
      <c r="BI806" s="433">
        <f t="shared" si="412"/>
        <v>1</v>
      </c>
      <c r="BJ806" s="433">
        <f t="shared" si="413"/>
        <v>0</v>
      </c>
      <c r="BK806" s="433">
        <f t="shared" si="414"/>
        <v>1</v>
      </c>
      <c r="BL806" s="433">
        <f t="shared" si="415"/>
        <v>5</v>
      </c>
      <c r="BM806" s="433">
        <f t="shared" si="416"/>
        <v>0</v>
      </c>
      <c r="BN806" s="433">
        <f t="shared" si="417"/>
        <v>0</v>
      </c>
      <c r="BO806" s="433">
        <f t="shared" si="418"/>
        <v>0</v>
      </c>
      <c r="BP806" s="433">
        <f t="shared" si="419"/>
        <v>0</v>
      </c>
      <c r="BQ806" s="433">
        <f t="shared" si="420"/>
        <v>0</v>
      </c>
    </row>
    <row r="807" spans="1:69" x14ac:dyDescent="0.2">
      <c r="A807" s="102">
        <v>41877</v>
      </c>
      <c r="B807" s="319">
        <v>2</v>
      </c>
      <c r="C807" s="118" t="s">
        <v>4459</v>
      </c>
      <c r="D807" s="111">
        <v>0.58611111111111114</v>
      </c>
      <c r="E807" s="111">
        <v>0.83819444444444446</v>
      </c>
      <c r="F807" s="319">
        <v>37</v>
      </c>
      <c r="G807" s="445">
        <v>10</v>
      </c>
      <c r="H807" s="319"/>
      <c r="I807" s="319"/>
      <c r="J807" s="426">
        <f t="shared" si="393"/>
        <v>363</v>
      </c>
      <c r="K807" s="103"/>
      <c r="L807" s="103"/>
      <c r="M807" s="103"/>
      <c r="N807" s="427">
        <f t="shared" si="394"/>
        <v>0</v>
      </c>
      <c r="O807" s="103"/>
      <c r="P807" s="103"/>
      <c r="Q807" s="103"/>
      <c r="R807" s="428">
        <f t="shared" si="395"/>
        <v>0</v>
      </c>
      <c r="S807" s="103"/>
      <c r="T807" s="103"/>
      <c r="U807" s="103"/>
      <c r="V807" s="125"/>
      <c r="W807" s="428">
        <f t="shared" si="399"/>
        <v>0</v>
      </c>
      <c r="X807" s="103"/>
      <c r="Y807" s="103"/>
      <c r="Z807" s="125"/>
      <c r="AA807" s="428">
        <f t="shared" si="400"/>
        <v>0</v>
      </c>
      <c r="AB807" s="103"/>
      <c r="AC807" s="103">
        <v>9</v>
      </c>
      <c r="AD807" s="103"/>
      <c r="AE807" s="428">
        <f t="shared" si="401"/>
        <v>9</v>
      </c>
      <c r="AF807" s="103"/>
      <c r="AG807" s="103"/>
      <c r="AH807" s="103"/>
      <c r="AI807" s="103"/>
      <c r="AJ807" s="428">
        <f t="shared" si="402"/>
        <v>0</v>
      </c>
      <c r="AK807" s="446"/>
      <c r="AL807" s="446"/>
      <c r="AM807" s="446"/>
      <c r="AN807" s="446"/>
      <c r="AO807" s="446"/>
      <c r="AP807" s="446"/>
      <c r="AQ807" s="446"/>
      <c r="AR807" s="431">
        <f t="shared" si="403"/>
        <v>0</v>
      </c>
      <c r="AT807" s="128"/>
      <c r="AU807" s="100" t="s">
        <v>4460</v>
      </c>
      <c r="AV807" s="128" t="s">
        <v>4464</v>
      </c>
      <c r="AW807" s="100" t="s">
        <v>4465</v>
      </c>
      <c r="AX807" s="433">
        <f t="shared" si="404"/>
        <v>0</v>
      </c>
      <c r="AY807" s="433">
        <f t="shared" si="405"/>
        <v>0</v>
      </c>
      <c r="AZ807" s="433">
        <f t="shared" si="406"/>
        <v>0</v>
      </c>
      <c r="BA807" s="433">
        <f t="shared" si="396"/>
        <v>0</v>
      </c>
      <c r="BB807" s="433">
        <f t="shared" si="397"/>
        <v>0</v>
      </c>
      <c r="BC807" s="433">
        <f t="shared" si="398"/>
        <v>0</v>
      </c>
      <c r="BD807" s="433">
        <f t="shared" si="407"/>
        <v>0</v>
      </c>
      <c r="BE807" s="433">
        <f t="shared" si="408"/>
        <v>0</v>
      </c>
      <c r="BF807" s="433">
        <f t="shared" si="409"/>
        <v>0</v>
      </c>
      <c r="BG807" s="433">
        <f t="shared" si="410"/>
        <v>0</v>
      </c>
      <c r="BH807" s="433">
        <f t="shared" si="411"/>
        <v>0</v>
      </c>
      <c r="BI807" s="433">
        <f t="shared" si="412"/>
        <v>0</v>
      </c>
      <c r="BJ807" s="433">
        <f t="shared" si="413"/>
        <v>0</v>
      </c>
      <c r="BK807" s="433">
        <f t="shared" si="414"/>
        <v>0</v>
      </c>
      <c r="BL807" s="433">
        <f t="shared" si="415"/>
        <v>9</v>
      </c>
      <c r="BM807" s="433">
        <f t="shared" si="416"/>
        <v>0</v>
      </c>
      <c r="BN807" s="433">
        <f t="shared" si="417"/>
        <v>0</v>
      </c>
      <c r="BO807" s="433">
        <f t="shared" si="418"/>
        <v>0</v>
      </c>
      <c r="BP807" s="433">
        <f t="shared" si="419"/>
        <v>0</v>
      </c>
      <c r="BQ807" s="433">
        <f t="shared" si="420"/>
        <v>0</v>
      </c>
    </row>
    <row r="808" spans="1:69" x14ac:dyDescent="0.2">
      <c r="A808" s="102">
        <v>41877</v>
      </c>
      <c r="B808" s="319">
        <v>3</v>
      </c>
      <c r="C808" s="118" t="s">
        <v>4268</v>
      </c>
      <c r="D808" s="111">
        <v>0.33958333333333335</v>
      </c>
      <c r="E808" s="111">
        <v>0.45347222222222222</v>
      </c>
      <c r="F808" s="319">
        <v>44</v>
      </c>
      <c r="G808" s="445">
        <v>9</v>
      </c>
      <c r="H808" s="319"/>
      <c r="I808" s="319"/>
      <c r="J808" s="426">
        <f t="shared" si="393"/>
        <v>163.99999999999997</v>
      </c>
      <c r="K808" s="103"/>
      <c r="L808" s="103"/>
      <c r="M808" s="103"/>
      <c r="N808" s="427">
        <f t="shared" si="394"/>
        <v>0</v>
      </c>
      <c r="O808" s="103"/>
      <c r="P808" s="103"/>
      <c r="Q808" s="103"/>
      <c r="R808" s="428">
        <f t="shared" si="395"/>
        <v>0</v>
      </c>
      <c r="S808" s="103"/>
      <c r="T808" s="103"/>
      <c r="U808" s="103"/>
      <c r="V808" s="125"/>
      <c r="W808" s="428">
        <f t="shared" si="399"/>
        <v>0</v>
      </c>
      <c r="X808" s="103"/>
      <c r="Y808" s="103"/>
      <c r="Z808" s="125"/>
      <c r="AA808" s="428">
        <f t="shared" si="400"/>
        <v>0</v>
      </c>
      <c r="AB808" s="103"/>
      <c r="AC808" s="103"/>
      <c r="AD808" s="103"/>
      <c r="AE808" s="428">
        <f t="shared" si="401"/>
        <v>0</v>
      </c>
      <c r="AF808" s="103">
        <v>1</v>
      </c>
      <c r="AG808" s="103">
        <v>1</v>
      </c>
      <c r="AH808" s="103"/>
      <c r="AI808" s="103"/>
      <c r="AJ808" s="428">
        <f t="shared" si="402"/>
        <v>2</v>
      </c>
      <c r="AK808" s="446"/>
      <c r="AL808" s="446"/>
      <c r="AM808" s="446"/>
      <c r="AN808" s="446"/>
      <c r="AO808" s="446"/>
      <c r="AP808" s="446"/>
      <c r="AQ808" s="446"/>
      <c r="AR808" s="431">
        <f t="shared" si="403"/>
        <v>0</v>
      </c>
      <c r="AT808" s="128"/>
      <c r="AU808" s="100" t="s">
        <v>4460</v>
      </c>
      <c r="AV808" s="128" t="s">
        <v>4464</v>
      </c>
      <c r="AW808" s="100" t="s">
        <v>4465</v>
      </c>
      <c r="AX808" s="433">
        <f t="shared" si="404"/>
        <v>0</v>
      </c>
      <c r="AY808" s="433">
        <f t="shared" si="405"/>
        <v>0</v>
      </c>
      <c r="AZ808" s="433">
        <f t="shared" si="406"/>
        <v>0</v>
      </c>
      <c r="BA808" s="433">
        <f t="shared" si="396"/>
        <v>0</v>
      </c>
      <c r="BB808" s="433">
        <f t="shared" si="397"/>
        <v>0</v>
      </c>
      <c r="BC808" s="433">
        <f t="shared" si="398"/>
        <v>0</v>
      </c>
      <c r="BD808" s="433">
        <f t="shared" si="407"/>
        <v>0</v>
      </c>
      <c r="BE808" s="433">
        <f t="shared" si="408"/>
        <v>0</v>
      </c>
      <c r="BF808" s="433">
        <f t="shared" si="409"/>
        <v>0</v>
      </c>
      <c r="BG808" s="433">
        <f t="shared" si="410"/>
        <v>0</v>
      </c>
      <c r="BH808" s="433">
        <f t="shared" si="411"/>
        <v>0</v>
      </c>
      <c r="BI808" s="433">
        <f t="shared" si="412"/>
        <v>0</v>
      </c>
      <c r="BJ808" s="433">
        <f t="shared" si="413"/>
        <v>0</v>
      </c>
      <c r="BK808" s="433">
        <f t="shared" si="414"/>
        <v>0</v>
      </c>
      <c r="BL808" s="433">
        <f t="shared" si="415"/>
        <v>0</v>
      </c>
      <c r="BM808" s="433">
        <f t="shared" si="416"/>
        <v>0</v>
      </c>
      <c r="BN808" s="433">
        <f t="shared" si="417"/>
        <v>1</v>
      </c>
      <c r="BO808" s="433">
        <f t="shared" si="418"/>
        <v>1</v>
      </c>
      <c r="BP808" s="433">
        <f t="shared" si="419"/>
        <v>0</v>
      </c>
      <c r="BQ808" s="433">
        <f t="shared" si="420"/>
        <v>0</v>
      </c>
    </row>
    <row r="809" spans="1:69" x14ac:dyDescent="0.2">
      <c r="A809" s="102">
        <v>41877</v>
      </c>
      <c r="B809" s="319">
        <v>3</v>
      </c>
      <c r="C809" s="118" t="s">
        <v>4445</v>
      </c>
      <c r="D809" s="111">
        <v>0.45347222222222222</v>
      </c>
      <c r="E809" s="111">
        <v>0.70347222222222217</v>
      </c>
      <c r="F809" s="319">
        <v>46</v>
      </c>
      <c r="G809" s="445">
        <v>11.5</v>
      </c>
      <c r="H809" s="319"/>
      <c r="I809" s="319"/>
      <c r="J809" s="426">
        <f t="shared" si="393"/>
        <v>359.99999999999989</v>
      </c>
      <c r="K809" s="103"/>
      <c r="L809" s="103"/>
      <c r="M809" s="103"/>
      <c r="N809" s="427">
        <f t="shared" si="394"/>
        <v>0</v>
      </c>
      <c r="O809" s="103"/>
      <c r="P809" s="103"/>
      <c r="Q809" s="103"/>
      <c r="R809" s="428">
        <f t="shared" si="395"/>
        <v>0</v>
      </c>
      <c r="S809" s="103"/>
      <c r="T809" s="103"/>
      <c r="U809" s="103"/>
      <c r="V809" s="125"/>
      <c r="W809" s="428">
        <f t="shared" si="399"/>
        <v>0</v>
      </c>
      <c r="X809" s="103"/>
      <c r="Y809" s="103"/>
      <c r="Z809" s="125"/>
      <c r="AA809" s="428">
        <f t="shared" si="400"/>
        <v>0</v>
      </c>
      <c r="AB809" s="103">
        <v>1</v>
      </c>
      <c r="AC809" s="103">
        <v>1</v>
      </c>
      <c r="AD809" s="103"/>
      <c r="AE809" s="428">
        <f t="shared" si="401"/>
        <v>2</v>
      </c>
      <c r="AF809" s="103">
        <v>3</v>
      </c>
      <c r="AG809" s="103">
        <v>2</v>
      </c>
      <c r="AH809" s="103"/>
      <c r="AI809" s="103"/>
      <c r="AJ809" s="428">
        <f t="shared" si="402"/>
        <v>5</v>
      </c>
      <c r="AK809" s="446"/>
      <c r="AL809" s="446"/>
      <c r="AM809" s="446"/>
      <c r="AN809" s="446"/>
      <c r="AO809" s="446"/>
      <c r="AP809" s="446"/>
      <c r="AQ809" s="446"/>
      <c r="AR809" s="431">
        <f t="shared" si="403"/>
        <v>0</v>
      </c>
      <c r="AT809" s="128"/>
      <c r="AU809" s="100" t="s">
        <v>4461</v>
      </c>
      <c r="AV809" s="128" t="s">
        <v>4464</v>
      </c>
      <c r="AW809" s="100" t="s">
        <v>4465</v>
      </c>
      <c r="AX809" s="433">
        <f t="shared" si="404"/>
        <v>0</v>
      </c>
      <c r="AY809" s="433">
        <f t="shared" si="405"/>
        <v>0</v>
      </c>
      <c r="AZ809" s="433">
        <f t="shared" si="406"/>
        <v>0</v>
      </c>
      <c r="BA809" s="433">
        <f t="shared" si="396"/>
        <v>0</v>
      </c>
      <c r="BB809" s="433">
        <f t="shared" si="397"/>
        <v>0</v>
      </c>
      <c r="BC809" s="433">
        <f t="shared" si="398"/>
        <v>0</v>
      </c>
      <c r="BD809" s="433">
        <f t="shared" si="407"/>
        <v>0</v>
      </c>
      <c r="BE809" s="433">
        <f t="shared" si="408"/>
        <v>0</v>
      </c>
      <c r="BF809" s="433">
        <f t="shared" si="409"/>
        <v>0</v>
      </c>
      <c r="BG809" s="433">
        <f t="shared" si="410"/>
        <v>0</v>
      </c>
      <c r="BH809" s="433">
        <f t="shared" si="411"/>
        <v>0</v>
      </c>
      <c r="BI809" s="433">
        <f t="shared" si="412"/>
        <v>0</v>
      </c>
      <c r="BJ809" s="433">
        <f t="shared" si="413"/>
        <v>0</v>
      </c>
      <c r="BK809" s="433">
        <f t="shared" si="414"/>
        <v>1</v>
      </c>
      <c r="BL809" s="433">
        <f t="shared" si="415"/>
        <v>1</v>
      </c>
      <c r="BM809" s="433">
        <f t="shared" si="416"/>
        <v>0</v>
      </c>
      <c r="BN809" s="433">
        <f t="shared" si="417"/>
        <v>3</v>
      </c>
      <c r="BO809" s="433">
        <f t="shared" si="418"/>
        <v>2</v>
      </c>
      <c r="BP809" s="433">
        <f t="shared" si="419"/>
        <v>0</v>
      </c>
      <c r="BQ809" s="433">
        <f t="shared" si="420"/>
        <v>0</v>
      </c>
    </row>
    <row r="810" spans="1:69" s="291" customFormat="1" x14ac:dyDescent="0.2">
      <c r="A810" s="317">
        <v>41877</v>
      </c>
      <c r="B810" s="318">
        <v>3</v>
      </c>
      <c r="C810" s="320" t="s">
        <v>4447</v>
      </c>
      <c r="D810" s="321">
        <v>0.70347222222222217</v>
      </c>
      <c r="E810" s="321">
        <v>0.83888888888888891</v>
      </c>
      <c r="F810" s="318">
        <v>46</v>
      </c>
      <c r="G810" s="435">
        <v>10</v>
      </c>
      <c r="H810" s="318"/>
      <c r="I810" s="318"/>
      <c r="J810" s="437">
        <f t="shared" si="393"/>
        <v>195.00000000000011</v>
      </c>
      <c r="K810" s="285"/>
      <c r="L810" s="285"/>
      <c r="M810" s="285"/>
      <c r="N810" s="438">
        <f t="shared" si="394"/>
        <v>0</v>
      </c>
      <c r="O810" s="285"/>
      <c r="P810" s="285"/>
      <c r="Q810" s="285"/>
      <c r="R810" s="439">
        <f t="shared" si="395"/>
        <v>0</v>
      </c>
      <c r="S810" s="285"/>
      <c r="T810" s="285"/>
      <c r="U810" s="285"/>
      <c r="V810" s="440"/>
      <c r="W810" s="439">
        <f t="shared" si="399"/>
        <v>0</v>
      </c>
      <c r="X810" s="285"/>
      <c r="Y810" s="285"/>
      <c r="Z810" s="440"/>
      <c r="AA810" s="439">
        <f t="shared" si="400"/>
        <v>0</v>
      </c>
      <c r="AB810" s="285"/>
      <c r="AC810" s="285">
        <v>2</v>
      </c>
      <c r="AD810" s="285"/>
      <c r="AE810" s="439">
        <f t="shared" si="401"/>
        <v>2</v>
      </c>
      <c r="AF810" s="285">
        <v>3</v>
      </c>
      <c r="AG810" s="285"/>
      <c r="AH810" s="285"/>
      <c r="AI810" s="285"/>
      <c r="AJ810" s="439">
        <f t="shared" si="402"/>
        <v>3</v>
      </c>
      <c r="AK810" s="340"/>
      <c r="AL810" s="340"/>
      <c r="AM810" s="340"/>
      <c r="AN810" s="340"/>
      <c r="AO810" s="340"/>
      <c r="AP810" s="340"/>
      <c r="AQ810" s="340"/>
      <c r="AR810" s="441">
        <f t="shared" si="403"/>
        <v>0</v>
      </c>
      <c r="AT810" s="313"/>
      <c r="AU810" s="289" t="s">
        <v>4457</v>
      </c>
      <c r="AV810" s="313" t="s">
        <v>4464</v>
      </c>
      <c r="AW810" s="289" t="s">
        <v>4465</v>
      </c>
      <c r="AX810" s="443">
        <f t="shared" si="404"/>
        <v>0</v>
      </c>
      <c r="AY810" s="443">
        <f t="shared" si="405"/>
        <v>0</v>
      </c>
      <c r="AZ810" s="443">
        <f t="shared" si="406"/>
        <v>0</v>
      </c>
      <c r="BA810" s="443">
        <f t="shared" si="396"/>
        <v>0</v>
      </c>
      <c r="BB810" s="443">
        <f t="shared" si="397"/>
        <v>0</v>
      </c>
      <c r="BC810" s="443">
        <f t="shared" si="398"/>
        <v>0</v>
      </c>
      <c r="BD810" s="443">
        <f t="shared" si="407"/>
        <v>0</v>
      </c>
      <c r="BE810" s="443">
        <f t="shared" si="408"/>
        <v>0</v>
      </c>
      <c r="BF810" s="443">
        <f t="shared" si="409"/>
        <v>0</v>
      </c>
      <c r="BG810" s="443">
        <f t="shared" si="410"/>
        <v>0</v>
      </c>
      <c r="BH810" s="443">
        <f t="shared" si="411"/>
        <v>0</v>
      </c>
      <c r="BI810" s="443">
        <f t="shared" si="412"/>
        <v>0</v>
      </c>
      <c r="BJ810" s="443">
        <f t="shared" si="413"/>
        <v>0</v>
      </c>
      <c r="BK810" s="443">
        <f t="shared" si="414"/>
        <v>0</v>
      </c>
      <c r="BL810" s="443">
        <f t="shared" si="415"/>
        <v>2</v>
      </c>
      <c r="BM810" s="443">
        <f t="shared" si="416"/>
        <v>0</v>
      </c>
      <c r="BN810" s="443">
        <f t="shared" si="417"/>
        <v>3</v>
      </c>
      <c r="BO810" s="443">
        <f t="shared" si="418"/>
        <v>0</v>
      </c>
      <c r="BP810" s="443">
        <f t="shared" si="419"/>
        <v>0</v>
      </c>
      <c r="BQ810" s="443">
        <f t="shared" si="420"/>
        <v>0</v>
      </c>
    </row>
    <row r="811" spans="1:69" x14ac:dyDescent="0.2">
      <c r="A811" s="102">
        <v>41878</v>
      </c>
      <c r="B811" s="319">
        <v>1</v>
      </c>
      <c r="C811" s="118" t="s">
        <v>4480</v>
      </c>
      <c r="D811" s="111">
        <v>0.34513888888888888</v>
      </c>
      <c r="E811" s="111">
        <v>0.44513888888888892</v>
      </c>
      <c r="F811" s="319">
        <v>56</v>
      </c>
      <c r="G811" s="445">
        <v>10</v>
      </c>
      <c r="H811" s="319"/>
      <c r="I811" s="319"/>
      <c r="J811" s="426">
        <f t="shared" si="393"/>
        <v>144.00000000000006</v>
      </c>
      <c r="K811" s="103"/>
      <c r="L811" s="103"/>
      <c r="M811" s="103"/>
      <c r="N811" s="427">
        <f t="shared" si="394"/>
        <v>0</v>
      </c>
      <c r="O811" s="103"/>
      <c r="P811" s="103"/>
      <c r="Q811" s="103"/>
      <c r="R811" s="428">
        <f t="shared" si="395"/>
        <v>0</v>
      </c>
      <c r="S811" s="103"/>
      <c r="T811" s="103"/>
      <c r="U811" s="103"/>
      <c r="V811" s="125"/>
      <c r="W811" s="428">
        <f t="shared" si="399"/>
        <v>0</v>
      </c>
      <c r="X811" s="103"/>
      <c r="Y811" s="103"/>
      <c r="Z811" s="125"/>
      <c r="AA811" s="428">
        <f t="shared" si="400"/>
        <v>0</v>
      </c>
      <c r="AB811" s="103"/>
      <c r="AC811" s="103"/>
      <c r="AD811" s="103"/>
      <c r="AE811" s="428">
        <f t="shared" si="401"/>
        <v>0</v>
      </c>
      <c r="AF811" s="103"/>
      <c r="AG811" s="103"/>
      <c r="AH811" s="103"/>
      <c r="AI811" s="103"/>
      <c r="AJ811" s="428">
        <f t="shared" si="402"/>
        <v>0</v>
      </c>
      <c r="AK811" s="446"/>
      <c r="AL811" s="446"/>
      <c r="AM811" s="446"/>
      <c r="AN811" s="446"/>
      <c r="AO811" s="446"/>
      <c r="AP811" s="446"/>
      <c r="AQ811" s="446"/>
      <c r="AR811" s="431">
        <f t="shared" si="403"/>
        <v>0</v>
      </c>
      <c r="AT811" s="128" t="s">
        <v>4483</v>
      </c>
      <c r="AU811" s="100" t="s">
        <v>4484</v>
      </c>
      <c r="AV811" s="128" t="s">
        <v>4500</v>
      </c>
      <c r="AW811" s="100" t="s">
        <v>4501</v>
      </c>
      <c r="AX811" s="433">
        <f t="shared" si="404"/>
        <v>0</v>
      </c>
      <c r="AY811" s="433">
        <f t="shared" si="405"/>
        <v>0</v>
      </c>
      <c r="AZ811" s="433">
        <f t="shared" si="406"/>
        <v>0</v>
      </c>
      <c r="BA811" s="433">
        <f t="shared" si="396"/>
        <v>0</v>
      </c>
      <c r="BB811" s="433">
        <f t="shared" si="397"/>
        <v>0</v>
      </c>
      <c r="BC811" s="433">
        <f t="shared" si="398"/>
        <v>0</v>
      </c>
      <c r="BD811" s="433">
        <f t="shared" si="407"/>
        <v>0</v>
      </c>
      <c r="BE811" s="433">
        <f t="shared" si="408"/>
        <v>0</v>
      </c>
      <c r="BF811" s="433">
        <f t="shared" si="409"/>
        <v>0</v>
      </c>
      <c r="BG811" s="433">
        <f t="shared" si="410"/>
        <v>0</v>
      </c>
      <c r="BH811" s="433">
        <f t="shared" si="411"/>
        <v>0</v>
      </c>
      <c r="BI811" s="433">
        <f t="shared" si="412"/>
        <v>0</v>
      </c>
      <c r="BJ811" s="433">
        <f t="shared" si="413"/>
        <v>0</v>
      </c>
      <c r="BK811" s="433">
        <f t="shared" si="414"/>
        <v>0</v>
      </c>
      <c r="BL811" s="433">
        <f t="shared" si="415"/>
        <v>0</v>
      </c>
      <c r="BM811" s="433">
        <f t="shared" si="416"/>
        <v>0</v>
      </c>
      <c r="BN811" s="433">
        <f t="shared" si="417"/>
        <v>0</v>
      </c>
      <c r="BO811" s="433">
        <f t="shared" si="418"/>
        <v>0</v>
      </c>
      <c r="BP811" s="433">
        <f t="shared" si="419"/>
        <v>0</v>
      </c>
      <c r="BQ811" s="433">
        <f t="shared" si="420"/>
        <v>0</v>
      </c>
    </row>
    <row r="812" spans="1:69" x14ac:dyDescent="0.2">
      <c r="A812" s="102">
        <v>41878</v>
      </c>
      <c r="B812" s="319">
        <v>1</v>
      </c>
      <c r="C812" s="118" t="s">
        <v>486</v>
      </c>
      <c r="D812" s="111">
        <v>0.44513888888888892</v>
      </c>
      <c r="E812" s="111">
        <v>0.73125000000000007</v>
      </c>
      <c r="F812" s="319">
        <v>52</v>
      </c>
      <c r="G812" s="445">
        <v>10</v>
      </c>
      <c r="H812" s="319"/>
      <c r="I812" s="319"/>
      <c r="J812" s="426">
        <f t="shared" si="393"/>
        <v>412</v>
      </c>
      <c r="K812" s="103"/>
      <c r="L812" s="103"/>
      <c r="M812" s="103"/>
      <c r="N812" s="427">
        <f t="shared" si="394"/>
        <v>0</v>
      </c>
      <c r="O812" s="103"/>
      <c r="P812" s="103"/>
      <c r="Q812" s="103"/>
      <c r="R812" s="428">
        <f t="shared" si="395"/>
        <v>0</v>
      </c>
      <c r="S812" s="103"/>
      <c r="T812" s="103"/>
      <c r="U812" s="103"/>
      <c r="V812" s="125">
        <v>1</v>
      </c>
      <c r="W812" s="428">
        <f t="shared" si="399"/>
        <v>1</v>
      </c>
      <c r="X812" s="103"/>
      <c r="Y812" s="103"/>
      <c r="Z812" s="125"/>
      <c r="AA812" s="428">
        <f t="shared" si="400"/>
        <v>0</v>
      </c>
      <c r="AB812" s="103"/>
      <c r="AC812" s="103">
        <v>3</v>
      </c>
      <c r="AD812" s="103"/>
      <c r="AE812" s="428">
        <f t="shared" si="401"/>
        <v>3</v>
      </c>
      <c r="AF812" s="103">
        <v>1</v>
      </c>
      <c r="AG812" s="103"/>
      <c r="AH812" s="103"/>
      <c r="AI812" s="103"/>
      <c r="AJ812" s="428">
        <f t="shared" si="402"/>
        <v>1</v>
      </c>
      <c r="AK812" s="446"/>
      <c r="AL812" s="446"/>
      <c r="AM812" s="446"/>
      <c r="AN812" s="446"/>
      <c r="AO812" s="446"/>
      <c r="AP812" s="446"/>
      <c r="AQ812" s="446"/>
      <c r="AR812" s="431">
        <f t="shared" si="403"/>
        <v>0</v>
      </c>
      <c r="AT812" s="128"/>
      <c r="AU812" s="100" t="s">
        <v>4485</v>
      </c>
      <c r="AV812" s="128" t="s">
        <v>4500</v>
      </c>
      <c r="AW812" s="100" t="s">
        <v>4501</v>
      </c>
      <c r="AX812" s="433">
        <f t="shared" si="404"/>
        <v>0</v>
      </c>
      <c r="AY812" s="433">
        <f t="shared" si="405"/>
        <v>0</v>
      </c>
      <c r="AZ812" s="433">
        <f t="shared" si="406"/>
        <v>0</v>
      </c>
      <c r="BA812" s="433">
        <f t="shared" si="396"/>
        <v>0</v>
      </c>
      <c r="BB812" s="433">
        <f t="shared" si="397"/>
        <v>0</v>
      </c>
      <c r="BC812" s="433">
        <f t="shared" si="398"/>
        <v>0</v>
      </c>
      <c r="BD812" s="433">
        <f t="shared" si="407"/>
        <v>0</v>
      </c>
      <c r="BE812" s="433">
        <f t="shared" si="408"/>
        <v>0</v>
      </c>
      <c r="BF812" s="433">
        <f t="shared" si="409"/>
        <v>0</v>
      </c>
      <c r="BG812" s="433">
        <f t="shared" si="410"/>
        <v>1</v>
      </c>
      <c r="BH812" s="433">
        <f t="shared" si="411"/>
        <v>0</v>
      </c>
      <c r="BI812" s="433">
        <f t="shared" si="412"/>
        <v>0</v>
      </c>
      <c r="BJ812" s="433">
        <f t="shared" si="413"/>
        <v>0</v>
      </c>
      <c r="BK812" s="433">
        <f t="shared" si="414"/>
        <v>0</v>
      </c>
      <c r="BL812" s="433">
        <f t="shared" si="415"/>
        <v>3</v>
      </c>
      <c r="BM812" s="433">
        <f t="shared" si="416"/>
        <v>0</v>
      </c>
      <c r="BN812" s="433">
        <f t="shared" si="417"/>
        <v>1</v>
      </c>
      <c r="BO812" s="433">
        <f t="shared" si="418"/>
        <v>0</v>
      </c>
      <c r="BP812" s="433">
        <f t="shared" si="419"/>
        <v>0</v>
      </c>
      <c r="BQ812" s="433">
        <f t="shared" si="420"/>
        <v>0</v>
      </c>
    </row>
    <row r="813" spans="1:69" x14ac:dyDescent="0.2">
      <c r="A813" s="102">
        <v>41878</v>
      </c>
      <c r="B813" s="319">
        <v>1</v>
      </c>
      <c r="C813" s="118" t="s">
        <v>4481</v>
      </c>
      <c r="D813" s="111">
        <v>0.73125000000000007</v>
      </c>
      <c r="E813" s="111">
        <v>0.84791666666666676</v>
      </c>
      <c r="F813" s="319">
        <v>51</v>
      </c>
      <c r="G813" s="445">
        <v>9.5</v>
      </c>
      <c r="H813" s="319"/>
      <c r="I813" s="319"/>
      <c r="J813" s="426">
        <f t="shared" si="393"/>
        <v>168.00000000000006</v>
      </c>
      <c r="K813" s="103"/>
      <c r="L813" s="103"/>
      <c r="M813" s="103"/>
      <c r="N813" s="427">
        <f t="shared" si="394"/>
        <v>0</v>
      </c>
      <c r="O813" s="103"/>
      <c r="P813" s="103"/>
      <c r="Q813" s="103"/>
      <c r="R813" s="428">
        <f t="shared" si="395"/>
        <v>0</v>
      </c>
      <c r="S813" s="103"/>
      <c r="T813" s="103"/>
      <c r="U813" s="103"/>
      <c r="V813" s="125"/>
      <c r="W813" s="428">
        <f t="shared" si="399"/>
        <v>0</v>
      </c>
      <c r="X813" s="103"/>
      <c r="Y813" s="103"/>
      <c r="Z813" s="125"/>
      <c r="AA813" s="428">
        <f t="shared" si="400"/>
        <v>0</v>
      </c>
      <c r="AB813" s="103"/>
      <c r="AC813" s="103"/>
      <c r="AD813" s="103"/>
      <c r="AE813" s="428">
        <f t="shared" si="401"/>
        <v>0</v>
      </c>
      <c r="AF813" s="103"/>
      <c r="AG813" s="103"/>
      <c r="AH813" s="103"/>
      <c r="AI813" s="103"/>
      <c r="AJ813" s="428">
        <f t="shared" si="402"/>
        <v>0</v>
      </c>
      <c r="AK813" s="446"/>
      <c r="AL813" s="446"/>
      <c r="AM813" s="446"/>
      <c r="AN813" s="446"/>
      <c r="AO813" s="446"/>
      <c r="AP813" s="446"/>
      <c r="AQ813" s="446"/>
      <c r="AR813" s="431">
        <f t="shared" si="403"/>
        <v>0</v>
      </c>
      <c r="AT813" s="128"/>
      <c r="AU813" s="100" t="s">
        <v>4486</v>
      </c>
      <c r="AV813" s="128" t="s">
        <v>4500</v>
      </c>
      <c r="AW813" s="100" t="s">
        <v>4501</v>
      </c>
      <c r="AX813" s="433">
        <f t="shared" si="404"/>
        <v>0</v>
      </c>
      <c r="AY813" s="433">
        <f t="shared" si="405"/>
        <v>0</v>
      </c>
      <c r="AZ813" s="433">
        <f t="shared" si="406"/>
        <v>0</v>
      </c>
      <c r="BA813" s="433">
        <f t="shared" si="396"/>
        <v>0</v>
      </c>
      <c r="BB813" s="433">
        <f t="shared" si="397"/>
        <v>0</v>
      </c>
      <c r="BC813" s="433">
        <f t="shared" si="398"/>
        <v>0</v>
      </c>
      <c r="BD813" s="433">
        <f t="shared" si="407"/>
        <v>0</v>
      </c>
      <c r="BE813" s="433">
        <f t="shared" si="408"/>
        <v>0</v>
      </c>
      <c r="BF813" s="433">
        <f t="shared" si="409"/>
        <v>0</v>
      </c>
      <c r="BG813" s="433">
        <f t="shared" si="410"/>
        <v>0</v>
      </c>
      <c r="BH813" s="433">
        <f t="shared" si="411"/>
        <v>0</v>
      </c>
      <c r="BI813" s="433">
        <f t="shared" si="412"/>
        <v>0</v>
      </c>
      <c r="BJ813" s="433">
        <f t="shared" si="413"/>
        <v>0</v>
      </c>
      <c r="BK813" s="433">
        <f t="shared" si="414"/>
        <v>0</v>
      </c>
      <c r="BL813" s="433">
        <f t="shared" si="415"/>
        <v>0</v>
      </c>
      <c r="BM813" s="433">
        <f t="shared" si="416"/>
        <v>0</v>
      </c>
      <c r="BN813" s="433">
        <f t="shared" si="417"/>
        <v>0</v>
      </c>
      <c r="BO813" s="433">
        <f t="shared" si="418"/>
        <v>0</v>
      </c>
      <c r="BP813" s="433">
        <f t="shared" si="419"/>
        <v>0</v>
      </c>
      <c r="BQ813" s="433">
        <f t="shared" si="420"/>
        <v>0</v>
      </c>
    </row>
    <row r="814" spans="1:69" x14ac:dyDescent="0.2">
      <c r="A814" s="102">
        <v>41878</v>
      </c>
      <c r="B814" s="319">
        <v>2</v>
      </c>
      <c r="C814" s="118" t="s">
        <v>4480</v>
      </c>
      <c r="D814" s="111">
        <v>0.33958333333333335</v>
      </c>
      <c r="E814" s="111">
        <v>0.44166666666666665</v>
      </c>
      <c r="F814" s="319">
        <v>35</v>
      </c>
      <c r="G814" s="445">
        <v>9.5</v>
      </c>
      <c r="H814" s="319"/>
      <c r="I814" s="319"/>
      <c r="J814" s="426">
        <f t="shared" si="393"/>
        <v>146.99999999999994</v>
      </c>
      <c r="K814" s="103"/>
      <c r="L814" s="103"/>
      <c r="M814" s="103"/>
      <c r="N814" s="427">
        <f t="shared" si="394"/>
        <v>0</v>
      </c>
      <c r="O814" s="103"/>
      <c r="P814" s="103"/>
      <c r="Q814" s="103"/>
      <c r="R814" s="428">
        <f t="shared" si="395"/>
        <v>0</v>
      </c>
      <c r="S814" s="103"/>
      <c r="T814" s="103"/>
      <c r="U814" s="103"/>
      <c r="V814" s="125"/>
      <c r="W814" s="428">
        <f t="shared" si="399"/>
        <v>0</v>
      </c>
      <c r="X814" s="103"/>
      <c r="Y814" s="103"/>
      <c r="Z814" s="125"/>
      <c r="AA814" s="428">
        <f t="shared" si="400"/>
        <v>0</v>
      </c>
      <c r="AB814" s="103"/>
      <c r="AC814" s="103"/>
      <c r="AD814" s="103"/>
      <c r="AE814" s="428">
        <f t="shared" si="401"/>
        <v>0</v>
      </c>
      <c r="AF814" s="103"/>
      <c r="AG814" s="103"/>
      <c r="AH814" s="103"/>
      <c r="AI814" s="103"/>
      <c r="AJ814" s="428">
        <f t="shared" si="402"/>
        <v>0</v>
      </c>
      <c r="AK814" s="446"/>
      <c r="AL814" s="446"/>
      <c r="AM814" s="446"/>
      <c r="AN814" s="446"/>
      <c r="AO814" s="446"/>
      <c r="AP814" s="446"/>
      <c r="AQ814" s="446"/>
      <c r="AR814" s="431">
        <f t="shared" si="403"/>
        <v>0</v>
      </c>
      <c r="AT814" s="128" t="s">
        <v>4307</v>
      </c>
      <c r="AU814" s="100" t="s">
        <v>4484</v>
      </c>
      <c r="AV814" s="128" t="s">
        <v>4500</v>
      </c>
      <c r="AW814" s="100" t="s">
        <v>4501</v>
      </c>
      <c r="AX814" s="433">
        <f t="shared" si="404"/>
        <v>0</v>
      </c>
      <c r="AY814" s="433">
        <f t="shared" si="405"/>
        <v>0</v>
      </c>
      <c r="AZ814" s="433">
        <f t="shared" si="406"/>
        <v>0</v>
      </c>
      <c r="BA814" s="433">
        <f t="shared" si="396"/>
        <v>0</v>
      </c>
      <c r="BB814" s="433">
        <f t="shared" si="397"/>
        <v>0</v>
      </c>
      <c r="BC814" s="433">
        <f t="shared" si="398"/>
        <v>0</v>
      </c>
      <c r="BD814" s="433">
        <f t="shared" si="407"/>
        <v>0</v>
      </c>
      <c r="BE814" s="433">
        <f t="shared" si="408"/>
        <v>0</v>
      </c>
      <c r="BF814" s="433">
        <f t="shared" si="409"/>
        <v>0</v>
      </c>
      <c r="BG814" s="433">
        <f t="shared" si="410"/>
        <v>0</v>
      </c>
      <c r="BH814" s="433">
        <f t="shared" si="411"/>
        <v>0</v>
      </c>
      <c r="BI814" s="433">
        <f t="shared" si="412"/>
        <v>0</v>
      </c>
      <c r="BJ814" s="433">
        <f t="shared" si="413"/>
        <v>0</v>
      </c>
      <c r="BK814" s="433">
        <f t="shared" si="414"/>
        <v>0</v>
      </c>
      <c r="BL814" s="433">
        <f t="shared" si="415"/>
        <v>0</v>
      </c>
      <c r="BM814" s="433">
        <f t="shared" si="416"/>
        <v>0</v>
      </c>
      <c r="BN814" s="433">
        <f t="shared" si="417"/>
        <v>0</v>
      </c>
      <c r="BO814" s="433">
        <f t="shared" si="418"/>
        <v>0</v>
      </c>
      <c r="BP814" s="433">
        <f t="shared" si="419"/>
        <v>0</v>
      </c>
      <c r="BQ814" s="433">
        <f t="shared" si="420"/>
        <v>0</v>
      </c>
    </row>
    <row r="815" spans="1:69" x14ac:dyDescent="0.2">
      <c r="A815" s="102">
        <v>41878</v>
      </c>
      <c r="B815" s="319">
        <v>2</v>
      </c>
      <c r="C815" s="118" t="s">
        <v>608</v>
      </c>
      <c r="D815" s="111">
        <v>0.44166666666666665</v>
      </c>
      <c r="E815" s="111">
        <v>0.71666666666666667</v>
      </c>
      <c r="F815" s="319">
        <v>37</v>
      </c>
      <c r="G815" s="445">
        <v>10</v>
      </c>
      <c r="H815" s="319"/>
      <c r="I815" s="319"/>
      <c r="J815" s="426">
        <f t="shared" si="393"/>
        <v>396.00000000000006</v>
      </c>
      <c r="K815" s="103"/>
      <c r="L815" s="103"/>
      <c r="M815" s="103"/>
      <c r="N815" s="427">
        <f t="shared" si="394"/>
        <v>0</v>
      </c>
      <c r="O815" s="103"/>
      <c r="P815" s="103"/>
      <c r="Q815" s="103"/>
      <c r="R815" s="428">
        <f t="shared" si="395"/>
        <v>0</v>
      </c>
      <c r="S815" s="103"/>
      <c r="T815" s="103"/>
      <c r="U815" s="103"/>
      <c r="V815" s="125"/>
      <c r="W815" s="428">
        <f t="shared" si="399"/>
        <v>0</v>
      </c>
      <c r="X815" s="103"/>
      <c r="Y815" s="103"/>
      <c r="Z815" s="125"/>
      <c r="AA815" s="428">
        <f t="shared" si="400"/>
        <v>0</v>
      </c>
      <c r="AB815" s="103"/>
      <c r="AC815" s="103">
        <v>3</v>
      </c>
      <c r="AD815" s="103"/>
      <c r="AE815" s="428">
        <f t="shared" si="401"/>
        <v>3</v>
      </c>
      <c r="AF815" s="103"/>
      <c r="AG815" s="103"/>
      <c r="AH815" s="103"/>
      <c r="AI815" s="103"/>
      <c r="AJ815" s="428">
        <f t="shared" si="402"/>
        <v>0</v>
      </c>
      <c r="AK815" s="446"/>
      <c r="AL815" s="446"/>
      <c r="AM815" s="446"/>
      <c r="AN815" s="446"/>
      <c r="AO815" s="446"/>
      <c r="AP815" s="446"/>
      <c r="AQ815" s="446"/>
      <c r="AR815" s="431">
        <f t="shared" si="403"/>
        <v>0</v>
      </c>
      <c r="AS815" s="10" t="s">
        <v>4487</v>
      </c>
      <c r="AT815" s="128"/>
      <c r="AU815" s="100" t="s">
        <v>4488</v>
      </c>
      <c r="AV815" s="128" t="s">
        <v>4500</v>
      </c>
      <c r="AW815" s="100" t="s">
        <v>4501</v>
      </c>
      <c r="AX815" s="433">
        <f t="shared" si="404"/>
        <v>0</v>
      </c>
      <c r="AY815" s="433">
        <f t="shared" si="405"/>
        <v>0</v>
      </c>
      <c r="AZ815" s="433">
        <f t="shared" si="406"/>
        <v>0</v>
      </c>
      <c r="BA815" s="433">
        <f t="shared" si="396"/>
        <v>0</v>
      </c>
      <c r="BB815" s="433">
        <f t="shared" si="397"/>
        <v>0</v>
      </c>
      <c r="BC815" s="433">
        <f t="shared" si="398"/>
        <v>0</v>
      </c>
      <c r="BD815" s="433">
        <f t="shared" si="407"/>
        <v>0</v>
      </c>
      <c r="BE815" s="433">
        <f t="shared" si="408"/>
        <v>0</v>
      </c>
      <c r="BF815" s="433">
        <f t="shared" si="409"/>
        <v>0</v>
      </c>
      <c r="BG815" s="433">
        <f t="shared" si="410"/>
        <v>0</v>
      </c>
      <c r="BH815" s="433">
        <f t="shared" si="411"/>
        <v>0</v>
      </c>
      <c r="BI815" s="433">
        <f t="shared" si="412"/>
        <v>0</v>
      </c>
      <c r="BJ815" s="433">
        <f t="shared" si="413"/>
        <v>0</v>
      </c>
      <c r="BK815" s="433">
        <f t="shared" si="414"/>
        <v>0</v>
      </c>
      <c r="BL815" s="433">
        <f t="shared" si="415"/>
        <v>3</v>
      </c>
      <c r="BM815" s="433">
        <f t="shared" si="416"/>
        <v>0</v>
      </c>
      <c r="BN815" s="433">
        <f t="shared" si="417"/>
        <v>0</v>
      </c>
      <c r="BO815" s="433">
        <f t="shared" si="418"/>
        <v>0</v>
      </c>
      <c r="BP815" s="433">
        <f t="shared" si="419"/>
        <v>0</v>
      </c>
      <c r="BQ815" s="433">
        <f t="shared" si="420"/>
        <v>0</v>
      </c>
    </row>
    <row r="816" spans="1:69" x14ac:dyDescent="0.2">
      <c r="A816" s="102">
        <v>41878</v>
      </c>
      <c r="B816" s="319">
        <v>2</v>
      </c>
      <c r="C816" s="118" t="s">
        <v>4482</v>
      </c>
      <c r="D816" s="111">
        <v>0.71666666666666667</v>
      </c>
      <c r="E816" s="111">
        <v>0.84097222222222223</v>
      </c>
      <c r="F816" s="319">
        <v>34</v>
      </c>
      <c r="G816" s="445">
        <v>9.5</v>
      </c>
      <c r="H816" s="319"/>
      <c r="I816" s="319"/>
      <c r="J816" s="426">
        <f t="shared" si="393"/>
        <v>179</v>
      </c>
      <c r="K816" s="103"/>
      <c r="L816" s="103"/>
      <c r="M816" s="103"/>
      <c r="N816" s="427">
        <f t="shared" si="394"/>
        <v>0</v>
      </c>
      <c r="O816" s="103"/>
      <c r="P816" s="103"/>
      <c r="Q816" s="103"/>
      <c r="R816" s="428">
        <f t="shared" si="395"/>
        <v>0</v>
      </c>
      <c r="S816" s="103"/>
      <c r="T816" s="103"/>
      <c r="U816" s="103"/>
      <c r="V816" s="125"/>
      <c r="W816" s="428">
        <f t="shared" si="399"/>
        <v>0</v>
      </c>
      <c r="X816" s="103"/>
      <c r="Y816" s="103"/>
      <c r="Z816" s="125"/>
      <c r="AA816" s="428">
        <f t="shared" si="400"/>
        <v>0</v>
      </c>
      <c r="AB816" s="103"/>
      <c r="AC816" s="103">
        <v>1</v>
      </c>
      <c r="AD816" s="103"/>
      <c r="AE816" s="428">
        <f t="shared" si="401"/>
        <v>1</v>
      </c>
      <c r="AF816" s="103"/>
      <c r="AG816" s="103"/>
      <c r="AH816" s="103"/>
      <c r="AI816" s="103"/>
      <c r="AJ816" s="428">
        <f t="shared" si="402"/>
        <v>0</v>
      </c>
      <c r="AK816" s="446"/>
      <c r="AL816" s="446"/>
      <c r="AM816" s="446"/>
      <c r="AN816" s="446"/>
      <c r="AO816" s="446"/>
      <c r="AP816" s="446"/>
      <c r="AQ816" s="446"/>
      <c r="AR816" s="431">
        <f t="shared" si="403"/>
        <v>0</v>
      </c>
      <c r="AT816" s="128"/>
      <c r="AU816" s="100" t="s">
        <v>4486</v>
      </c>
      <c r="AV816" s="128" t="s">
        <v>4500</v>
      </c>
      <c r="AW816" s="100" t="s">
        <v>4501</v>
      </c>
      <c r="AX816" s="433">
        <f t="shared" si="404"/>
        <v>0</v>
      </c>
      <c r="AY816" s="433">
        <f t="shared" si="405"/>
        <v>0</v>
      </c>
      <c r="AZ816" s="433">
        <f t="shared" si="406"/>
        <v>0</v>
      </c>
      <c r="BA816" s="433">
        <f t="shared" si="396"/>
        <v>0</v>
      </c>
      <c r="BB816" s="433">
        <f t="shared" si="397"/>
        <v>0</v>
      </c>
      <c r="BC816" s="433">
        <f t="shared" si="398"/>
        <v>0</v>
      </c>
      <c r="BD816" s="433">
        <f t="shared" si="407"/>
        <v>0</v>
      </c>
      <c r="BE816" s="433">
        <f t="shared" si="408"/>
        <v>0</v>
      </c>
      <c r="BF816" s="433">
        <f t="shared" si="409"/>
        <v>0</v>
      </c>
      <c r="BG816" s="433">
        <f t="shared" si="410"/>
        <v>0</v>
      </c>
      <c r="BH816" s="433">
        <f t="shared" si="411"/>
        <v>0</v>
      </c>
      <c r="BI816" s="433">
        <f t="shared" si="412"/>
        <v>0</v>
      </c>
      <c r="BJ816" s="433">
        <f t="shared" si="413"/>
        <v>0</v>
      </c>
      <c r="BK816" s="433">
        <f t="shared" si="414"/>
        <v>0</v>
      </c>
      <c r="BL816" s="433">
        <f t="shared" si="415"/>
        <v>1</v>
      </c>
      <c r="BM816" s="433">
        <f t="shared" si="416"/>
        <v>0</v>
      </c>
      <c r="BN816" s="433">
        <f t="shared" si="417"/>
        <v>0</v>
      </c>
      <c r="BO816" s="433">
        <f t="shared" si="418"/>
        <v>0</v>
      </c>
      <c r="BP816" s="433">
        <f t="shared" si="419"/>
        <v>0</v>
      </c>
      <c r="BQ816" s="433">
        <f t="shared" si="420"/>
        <v>0</v>
      </c>
    </row>
    <row r="817" spans="1:69" x14ac:dyDescent="0.2">
      <c r="A817" s="102">
        <v>41878</v>
      </c>
      <c r="B817" s="319">
        <v>3</v>
      </c>
      <c r="C817" s="118" t="s">
        <v>4481</v>
      </c>
      <c r="D817" s="111">
        <v>0.3444444444444445</v>
      </c>
      <c r="E817" s="111">
        <v>0.59236111111111112</v>
      </c>
      <c r="F817" s="319">
        <v>46</v>
      </c>
      <c r="G817" s="445">
        <v>10.5</v>
      </c>
      <c r="H817" s="319"/>
      <c r="I817" s="319"/>
      <c r="J817" s="426">
        <f t="shared" si="393"/>
        <v>356.99999999999994</v>
      </c>
      <c r="K817" s="103"/>
      <c r="L817" s="103"/>
      <c r="M817" s="103"/>
      <c r="N817" s="427">
        <f t="shared" si="394"/>
        <v>0</v>
      </c>
      <c r="O817" s="103"/>
      <c r="P817" s="103"/>
      <c r="Q817" s="103"/>
      <c r="R817" s="428">
        <f t="shared" si="395"/>
        <v>0</v>
      </c>
      <c r="S817" s="103"/>
      <c r="T817" s="103"/>
      <c r="U817" s="103"/>
      <c r="V817" s="125"/>
      <c r="W817" s="428">
        <f t="shared" si="399"/>
        <v>0</v>
      </c>
      <c r="X817" s="103"/>
      <c r="Y817" s="103"/>
      <c r="Z817" s="125"/>
      <c r="AA817" s="428">
        <f t="shared" si="400"/>
        <v>0</v>
      </c>
      <c r="AB817" s="103"/>
      <c r="AC817" s="103"/>
      <c r="AD817" s="103"/>
      <c r="AE817" s="428">
        <f t="shared" si="401"/>
        <v>0</v>
      </c>
      <c r="AF817" s="103">
        <v>1</v>
      </c>
      <c r="AG817" s="103"/>
      <c r="AH817" s="103"/>
      <c r="AI817" s="103"/>
      <c r="AJ817" s="428">
        <f t="shared" si="402"/>
        <v>1</v>
      </c>
      <c r="AK817" s="446"/>
      <c r="AL817" s="446"/>
      <c r="AM817" s="446"/>
      <c r="AN817" s="446"/>
      <c r="AO817" s="446"/>
      <c r="AP817" s="446"/>
      <c r="AQ817" s="446"/>
      <c r="AR817" s="431">
        <f t="shared" si="403"/>
        <v>0</v>
      </c>
      <c r="AT817" s="128"/>
      <c r="AU817" s="100" t="s">
        <v>4489</v>
      </c>
      <c r="AV817" s="128" t="s">
        <v>4500</v>
      </c>
      <c r="AW817" s="100" t="s">
        <v>4501</v>
      </c>
      <c r="AX817" s="433">
        <f t="shared" si="404"/>
        <v>0</v>
      </c>
      <c r="AY817" s="433">
        <f t="shared" si="405"/>
        <v>0</v>
      </c>
      <c r="AZ817" s="433">
        <f t="shared" si="406"/>
        <v>0</v>
      </c>
      <c r="BA817" s="433">
        <f t="shared" si="396"/>
        <v>0</v>
      </c>
      <c r="BB817" s="433">
        <f t="shared" si="397"/>
        <v>0</v>
      </c>
      <c r="BC817" s="433">
        <f t="shared" si="398"/>
        <v>0</v>
      </c>
      <c r="BD817" s="433">
        <f t="shared" si="407"/>
        <v>0</v>
      </c>
      <c r="BE817" s="433">
        <f t="shared" si="408"/>
        <v>0</v>
      </c>
      <c r="BF817" s="433">
        <f t="shared" si="409"/>
        <v>0</v>
      </c>
      <c r="BG817" s="433">
        <f t="shared" si="410"/>
        <v>0</v>
      </c>
      <c r="BH817" s="433">
        <f t="shared" si="411"/>
        <v>0</v>
      </c>
      <c r="BI817" s="433">
        <f t="shared" si="412"/>
        <v>0</v>
      </c>
      <c r="BJ817" s="433">
        <f t="shared" si="413"/>
        <v>0</v>
      </c>
      <c r="BK817" s="433">
        <f t="shared" si="414"/>
        <v>0</v>
      </c>
      <c r="BL817" s="433">
        <f t="shared" si="415"/>
        <v>0</v>
      </c>
      <c r="BM817" s="433">
        <f t="shared" si="416"/>
        <v>0</v>
      </c>
      <c r="BN817" s="433">
        <f t="shared" si="417"/>
        <v>1</v>
      </c>
      <c r="BO817" s="433">
        <f t="shared" si="418"/>
        <v>0</v>
      </c>
      <c r="BP817" s="433">
        <f t="shared" si="419"/>
        <v>0</v>
      </c>
      <c r="BQ817" s="433">
        <f t="shared" si="420"/>
        <v>0</v>
      </c>
    </row>
    <row r="818" spans="1:69" s="291" customFormat="1" x14ac:dyDescent="0.2">
      <c r="A818" s="317">
        <v>41878</v>
      </c>
      <c r="B818" s="318">
        <v>3</v>
      </c>
      <c r="C818" s="320" t="s">
        <v>4480</v>
      </c>
      <c r="D818" s="321">
        <v>0.59236111111111112</v>
      </c>
      <c r="E818" s="321">
        <v>0.84652777777777777</v>
      </c>
      <c r="F818" s="318">
        <v>46</v>
      </c>
      <c r="G818" s="435">
        <v>10</v>
      </c>
      <c r="H818" s="318"/>
      <c r="I818" s="318"/>
      <c r="J818" s="437">
        <f t="shared" si="393"/>
        <v>366</v>
      </c>
      <c r="K818" s="285"/>
      <c r="L818" s="285"/>
      <c r="M818" s="285"/>
      <c r="N818" s="438">
        <f t="shared" si="394"/>
        <v>0</v>
      </c>
      <c r="O818" s="285"/>
      <c r="P818" s="285"/>
      <c r="Q818" s="285"/>
      <c r="R818" s="439">
        <f t="shared" si="395"/>
        <v>0</v>
      </c>
      <c r="S818" s="285"/>
      <c r="T818" s="285"/>
      <c r="U818" s="285"/>
      <c r="V818" s="440"/>
      <c r="W818" s="439">
        <f t="shared" si="399"/>
        <v>0</v>
      </c>
      <c r="X818" s="285"/>
      <c r="Y818" s="285"/>
      <c r="Z818" s="440"/>
      <c r="AA818" s="439">
        <f t="shared" si="400"/>
        <v>0</v>
      </c>
      <c r="AB818" s="285"/>
      <c r="AC818" s="285"/>
      <c r="AD818" s="285"/>
      <c r="AE818" s="439">
        <f t="shared" si="401"/>
        <v>0</v>
      </c>
      <c r="AF818" s="285">
        <v>2</v>
      </c>
      <c r="AG818" s="285"/>
      <c r="AH818" s="285"/>
      <c r="AI818" s="285"/>
      <c r="AJ818" s="439">
        <f t="shared" si="402"/>
        <v>2</v>
      </c>
      <c r="AK818" s="340"/>
      <c r="AL818" s="340"/>
      <c r="AM818" s="340"/>
      <c r="AN818" s="340"/>
      <c r="AO818" s="340"/>
      <c r="AP818" s="340"/>
      <c r="AQ818" s="340"/>
      <c r="AR818" s="441">
        <f t="shared" si="403"/>
        <v>0</v>
      </c>
      <c r="AT818" s="313"/>
      <c r="AU818" s="289" t="s">
        <v>4490</v>
      </c>
      <c r="AV818" s="313" t="s">
        <v>4500</v>
      </c>
      <c r="AW818" s="289" t="s">
        <v>4501</v>
      </c>
      <c r="AX818" s="443">
        <f t="shared" si="404"/>
        <v>0</v>
      </c>
      <c r="AY818" s="443">
        <f t="shared" si="405"/>
        <v>0</v>
      </c>
      <c r="AZ818" s="443">
        <f t="shared" si="406"/>
        <v>0</v>
      </c>
      <c r="BA818" s="443">
        <f t="shared" si="396"/>
        <v>0</v>
      </c>
      <c r="BB818" s="443">
        <f t="shared" si="397"/>
        <v>0</v>
      </c>
      <c r="BC818" s="443">
        <f t="shared" si="398"/>
        <v>0</v>
      </c>
      <c r="BD818" s="443">
        <f t="shared" si="407"/>
        <v>0</v>
      </c>
      <c r="BE818" s="443">
        <f t="shared" si="408"/>
        <v>0</v>
      </c>
      <c r="BF818" s="443">
        <f t="shared" si="409"/>
        <v>0</v>
      </c>
      <c r="BG818" s="443">
        <f t="shared" si="410"/>
        <v>0</v>
      </c>
      <c r="BH818" s="443">
        <f t="shared" si="411"/>
        <v>0</v>
      </c>
      <c r="BI818" s="443">
        <f t="shared" si="412"/>
        <v>0</v>
      </c>
      <c r="BJ818" s="443">
        <f t="shared" si="413"/>
        <v>0</v>
      </c>
      <c r="BK818" s="443">
        <f t="shared" si="414"/>
        <v>0</v>
      </c>
      <c r="BL818" s="443">
        <f t="shared" si="415"/>
        <v>0</v>
      </c>
      <c r="BM818" s="443">
        <f t="shared" si="416"/>
        <v>0</v>
      </c>
      <c r="BN818" s="443">
        <f t="shared" si="417"/>
        <v>2</v>
      </c>
      <c r="BO818" s="443">
        <f t="shared" si="418"/>
        <v>0</v>
      </c>
      <c r="BP818" s="443">
        <f t="shared" si="419"/>
        <v>0</v>
      </c>
      <c r="BQ818" s="443">
        <f t="shared" si="420"/>
        <v>0</v>
      </c>
    </row>
    <row r="819" spans="1:69" x14ac:dyDescent="0.2">
      <c r="A819" s="102">
        <v>41879</v>
      </c>
      <c r="B819" s="319">
        <v>1</v>
      </c>
      <c r="C819" s="118" t="s">
        <v>4480</v>
      </c>
      <c r="D819" s="111">
        <v>0.35069444444444442</v>
      </c>
      <c r="E819" s="111">
        <v>0.43958333333333338</v>
      </c>
      <c r="F819" s="319">
        <v>49</v>
      </c>
      <c r="G819" s="445">
        <v>10</v>
      </c>
      <c r="H819" s="319"/>
      <c r="I819" s="319"/>
      <c r="J819" s="426">
        <f t="shared" si="393"/>
        <v>128.00000000000011</v>
      </c>
      <c r="K819" s="103"/>
      <c r="L819" s="103"/>
      <c r="M819" s="103"/>
      <c r="N819" s="427">
        <f t="shared" si="394"/>
        <v>0</v>
      </c>
      <c r="O819" s="103"/>
      <c r="P819" s="103"/>
      <c r="Q819" s="103"/>
      <c r="R819" s="428">
        <f t="shared" si="395"/>
        <v>0</v>
      </c>
      <c r="S819" s="103"/>
      <c r="T819" s="103"/>
      <c r="U819" s="103"/>
      <c r="V819" s="125"/>
      <c r="W819" s="428">
        <f t="shared" si="399"/>
        <v>0</v>
      </c>
      <c r="X819" s="103"/>
      <c r="Y819" s="103"/>
      <c r="Z819" s="125"/>
      <c r="AA819" s="428">
        <f t="shared" si="400"/>
        <v>0</v>
      </c>
      <c r="AB819" s="103"/>
      <c r="AC819" s="103"/>
      <c r="AD819" s="103"/>
      <c r="AE819" s="428">
        <f t="shared" si="401"/>
        <v>0</v>
      </c>
      <c r="AF819" s="103"/>
      <c r="AG819" s="103"/>
      <c r="AH819" s="103"/>
      <c r="AI819" s="103"/>
      <c r="AJ819" s="428">
        <f t="shared" si="402"/>
        <v>0</v>
      </c>
      <c r="AK819" s="446"/>
      <c r="AL819" s="446"/>
      <c r="AM819" s="446"/>
      <c r="AN819" s="446"/>
      <c r="AO819" s="446"/>
      <c r="AP819" s="446"/>
      <c r="AQ819" s="446"/>
      <c r="AR819" s="431">
        <f t="shared" si="403"/>
        <v>0</v>
      </c>
      <c r="AT819" s="128" t="s">
        <v>4307</v>
      </c>
      <c r="AU819" s="100" t="s">
        <v>4500</v>
      </c>
      <c r="AV819" s="128" t="s">
        <v>4525</v>
      </c>
      <c r="AW819" s="100" t="s">
        <v>4527</v>
      </c>
      <c r="AX819" s="433">
        <f t="shared" si="404"/>
        <v>0</v>
      </c>
      <c r="AY819" s="433">
        <f t="shared" si="405"/>
        <v>0</v>
      </c>
      <c r="AZ819" s="433">
        <f t="shared" si="406"/>
        <v>0</v>
      </c>
      <c r="BA819" s="433">
        <f t="shared" si="396"/>
        <v>0</v>
      </c>
      <c r="BB819" s="433">
        <f t="shared" si="397"/>
        <v>0</v>
      </c>
      <c r="BC819" s="433">
        <f t="shared" si="398"/>
        <v>0</v>
      </c>
      <c r="BD819" s="433">
        <f t="shared" si="407"/>
        <v>0</v>
      </c>
      <c r="BE819" s="433">
        <f t="shared" si="408"/>
        <v>0</v>
      </c>
      <c r="BF819" s="433">
        <f t="shared" si="409"/>
        <v>0</v>
      </c>
      <c r="BG819" s="433">
        <f t="shared" si="410"/>
        <v>0</v>
      </c>
      <c r="BH819" s="433">
        <f t="shared" si="411"/>
        <v>0</v>
      </c>
      <c r="BI819" s="433">
        <f t="shared" si="412"/>
        <v>0</v>
      </c>
      <c r="BJ819" s="433">
        <f t="shared" si="413"/>
        <v>0</v>
      </c>
      <c r="BK819" s="433">
        <f t="shared" si="414"/>
        <v>0</v>
      </c>
      <c r="BL819" s="433">
        <f t="shared" si="415"/>
        <v>0</v>
      </c>
      <c r="BM819" s="433">
        <f t="shared" si="416"/>
        <v>0</v>
      </c>
      <c r="BN819" s="433">
        <f t="shared" si="417"/>
        <v>0</v>
      </c>
      <c r="BO819" s="433">
        <f t="shared" si="418"/>
        <v>0</v>
      </c>
      <c r="BP819" s="433">
        <f t="shared" si="419"/>
        <v>0</v>
      </c>
      <c r="BQ819" s="433">
        <f t="shared" si="420"/>
        <v>0</v>
      </c>
    </row>
    <row r="820" spans="1:69" x14ac:dyDescent="0.2">
      <c r="A820" s="102">
        <v>41879</v>
      </c>
      <c r="B820" s="319">
        <v>1</v>
      </c>
      <c r="C820" s="118" t="s">
        <v>486</v>
      </c>
      <c r="D820" s="111">
        <v>0.43958333333333338</v>
      </c>
      <c r="E820" s="111">
        <v>0.76180555555555562</v>
      </c>
      <c r="F820" s="319">
        <v>52</v>
      </c>
      <c r="G820" s="445">
        <v>9.5</v>
      </c>
      <c r="H820" s="319"/>
      <c r="I820" s="319"/>
      <c r="J820" s="426">
        <f t="shared" si="393"/>
        <v>464.00000000000006</v>
      </c>
      <c r="K820" s="103"/>
      <c r="L820" s="103"/>
      <c r="M820" s="103"/>
      <c r="N820" s="427">
        <f t="shared" si="394"/>
        <v>0</v>
      </c>
      <c r="O820" s="103"/>
      <c r="P820" s="103"/>
      <c r="Q820" s="103"/>
      <c r="R820" s="428">
        <f t="shared" si="395"/>
        <v>0</v>
      </c>
      <c r="S820" s="103"/>
      <c r="T820" s="103"/>
      <c r="U820" s="103"/>
      <c r="V820" s="125"/>
      <c r="W820" s="428">
        <f t="shared" si="399"/>
        <v>0</v>
      </c>
      <c r="X820" s="103"/>
      <c r="Y820" s="103"/>
      <c r="Z820" s="125"/>
      <c r="AA820" s="428">
        <f t="shared" si="400"/>
        <v>0</v>
      </c>
      <c r="AB820" s="103"/>
      <c r="AC820" s="103"/>
      <c r="AD820" s="103"/>
      <c r="AE820" s="428">
        <f t="shared" si="401"/>
        <v>0</v>
      </c>
      <c r="AF820" s="103"/>
      <c r="AG820" s="103"/>
      <c r="AH820" s="103"/>
      <c r="AI820" s="103"/>
      <c r="AJ820" s="428">
        <f t="shared" si="402"/>
        <v>0</v>
      </c>
      <c r="AK820" s="446"/>
      <c r="AL820" s="446"/>
      <c r="AM820" s="446"/>
      <c r="AN820" s="446"/>
      <c r="AO820" s="446"/>
      <c r="AP820" s="446"/>
      <c r="AQ820" s="446"/>
      <c r="AR820" s="431">
        <f t="shared" si="403"/>
        <v>0</v>
      </c>
      <c r="AT820" s="128" t="s">
        <v>4307</v>
      </c>
      <c r="AU820" s="100" t="s">
        <v>4502</v>
      </c>
      <c r="AV820" s="128" t="s">
        <v>4525</v>
      </c>
      <c r="AW820" s="100" t="s">
        <v>4527</v>
      </c>
      <c r="AX820" s="433">
        <f t="shared" si="404"/>
        <v>0</v>
      </c>
      <c r="AY820" s="433">
        <f t="shared" si="405"/>
        <v>0</v>
      </c>
      <c r="AZ820" s="433">
        <f t="shared" si="406"/>
        <v>0</v>
      </c>
      <c r="BA820" s="433">
        <f t="shared" si="396"/>
        <v>0</v>
      </c>
      <c r="BB820" s="433">
        <f t="shared" si="397"/>
        <v>0</v>
      </c>
      <c r="BC820" s="433">
        <f t="shared" si="398"/>
        <v>0</v>
      </c>
      <c r="BD820" s="433">
        <f t="shared" si="407"/>
        <v>0</v>
      </c>
      <c r="BE820" s="433">
        <f t="shared" si="408"/>
        <v>0</v>
      </c>
      <c r="BF820" s="433">
        <f t="shared" si="409"/>
        <v>0</v>
      </c>
      <c r="BG820" s="433">
        <f t="shared" si="410"/>
        <v>0</v>
      </c>
      <c r="BH820" s="433">
        <f t="shared" si="411"/>
        <v>0</v>
      </c>
      <c r="BI820" s="433">
        <f t="shared" si="412"/>
        <v>0</v>
      </c>
      <c r="BJ820" s="433">
        <f t="shared" si="413"/>
        <v>0</v>
      </c>
      <c r="BK820" s="433">
        <f t="shared" si="414"/>
        <v>0</v>
      </c>
      <c r="BL820" s="433">
        <f t="shared" si="415"/>
        <v>0</v>
      </c>
      <c r="BM820" s="433">
        <f t="shared" si="416"/>
        <v>0</v>
      </c>
      <c r="BN820" s="433">
        <f t="shared" si="417"/>
        <v>0</v>
      </c>
      <c r="BO820" s="433">
        <f t="shared" si="418"/>
        <v>0</v>
      </c>
      <c r="BP820" s="433">
        <f t="shared" si="419"/>
        <v>0</v>
      </c>
      <c r="BQ820" s="433">
        <f t="shared" si="420"/>
        <v>0</v>
      </c>
    </row>
    <row r="821" spans="1:69" x14ac:dyDescent="0.2">
      <c r="A821" s="102">
        <v>41879</v>
      </c>
      <c r="B821" s="319">
        <v>1</v>
      </c>
      <c r="C821" s="118" t="s">
        <v>4480</v>
      </c>
      <c r="D821" s="111">
        <v>0.76180555555555562</v>
      </c>
      <c r="E821" s="111">
        <v>0.85486111111111107</v>
      </c>
      <c r="F821" s="319">
        <v>51</v>
      </c>
      <c r="G821" s="445">
        <v>10</v>
      </c>
      <c r="H821" s="319"/>
      <c r="I821" s="319"/>
      <c r="J821" s="426">
        <f t="shared" si="393"/>
        <v>133.99999999999983</v>
      </c>
      <c r="K821" s="103"/>
      <c r="L821" s="103"/>
      <c r="M821" s="103"/>
      <c r="N821" s="427">
        <f t="shared" si="394"/>
        <v>0</v>
      </c>
      <c r="O821" s="103"/>
      <c r="P821" s="103"/>
      <c r="Q821" s="103"/>
      <c r="R821" s="428">
        <f t="shared" si="395"/>
        <v>0</v>
      </c>
      <c r="S821" s="103"/>
      <c r="T821" s="103"/>
      <c r="U821" s="103"/>
      <c r="V821" s="125"/>
      <c r="W821" s="428">
        <f t="shared" si="399"/>
        <v>0</v>
      </c>
      <c r="X821" s="103"/>
      <c r="Y821" s="103"/>
      <c r="Z821" s="125"/>
      <c r="AA821" s="428">
        <f t="shared" si="400"/>
        <v>0</v>
      </c>
      <c r="AB821" s="103"/>
      <c r="AC821" s="103">
        <v>1</v>
      </c>
      <c r="AD821" s="103"/>
      <c r="AE821" s="428">
        <f t="shared" si="401"/>
        <v>1</v>
      </c>
      <c r="AF821" s="103"/>
      <c r="AG821" s="103"/>
      <c r="AH821" s="103"/>
      <c r="AI821" s="103"/>
      <c r="AJ821" s="428">
        <f t="shared" si="402"/>
        <v>0</v>
      </c>
      <c r="AK821" s="446"/>
      <c r="AL821" s="446"/>
      <c r="AM821" s="446"/>
      <c r="AN821" s="446"/>
      <c r="AO821" s="446"/>
      <c r="AP821" s="446"/>
      <c r="AQ821" s="446"/>
      <c r="AR821" s="431">
        <f t="shared" si="403"/>
        <v>0</v>
      </c>
      <c r="AT821" s="128"/>
      <c r="AU821" s="100" t="s">
        <v>4500</v>
      </c>
      <c r="AV821" s="128" t="s">
        <v>4525</v>
      </c>
      <c r="AW821" s="100" t="s">
        <v>4527</v>
      </c>
      <c r="AX821" s="433">
        <f t="shared" si="404"/>
        <v>0</v>
      </c>
      <c r="AY821" s="433">
        <f t="shared" si="405"/>
        <v>0</v>
      </c>
      <c r="AZ821" s="433">
        <f t="shared" si="406"/>
        <v>0</v>
      </c>
      <c r="BA821" s="433">
        <f t="shared" si="396"/>
        <v>0</v>
      </c>
      <c r="BB821" s="433">
        <f t="shared" si="397"/>
        <v>0</v>
      </c>
      <c r="BC821" s="433">
        <f t="shared" si="398"/>
        <v>0</v>
      </c>
      <c r="BD821" s="433">
        <f t="shared" si="407"/>
        <v>0</v>
      </c>
      <c r="BE821" s="433">
        <f t="shared" si="408"/>
        <v>0</v>
      </c>
      <c r="BF821" s="433">
        <f t="shared" si="409"/>
        <v>0</v>
      </c>
      <c r="BG821" s="433">
        <f t="shared" si="410"/>
        <v>0</v>
      </c>
      <c r="BH821" s="433">
        <f t="shared" si="411"/>
        <v>0</v>
      </c>
      <c r="BI821" s="433">
        <f t="shared" si="412"/>
        <v>0</v>
      </c>
      <c r="BJ821" s="433">
        <f t="shared" si="413"/>
        <v>0</v>
      </c>
      <c r="BK821" s="433">
        <f t="shared" si="414"/>
        <v>0</v>
      </c>
      <c r="BL821" s="433">
        <f t="shared" si="415"/>
        <v>1</v>
      </c>
      <c r="BM821" s="433">
        <f t="shared" si="416"/>
        <v>0</v>
      </c>
      <c r="BN821" s="433">
        <f t="shared" si="417"/>
        <v>0</v>
      </c>
      <c r="BO821" s="433">
        <f t="shared" si="418"/>
        <v>0</v>
      </c>
      <c r="BP821" s="433">
        <f t="shared" si="419"/>
        <v>0</v>
      </c>
      <c r="BQ821" s="433">
        <f t="shared" si="420"/>
        <v>0</v>
      </c>
    </row>
    <row r="822" spans="1:69" x14ac:dyDescent="0.2">
      <c r="A822" s="102">
        <v>41879</v>
      </c>
      <c r="B822" s="319">
        <v>2</v>
      </c>
      <c r="C822" s="118" t="s">
        <v>4480</v>
      </c>
      <c r="D822" s="111">
        <v>0.34375</v>
      </c>
      <c r="E822" s="111">
        <v>0.44166666666666665</v>
      </c>
      <c r="F822" s="319">
        <v>33</v>
      </c>
      <c r="G822" s="445">
        <v>10</v>
      </c>
      <c r="H822" s="319"/>
      <c r="I822" s="319"/>
      <c r="J822" s="426">
        <f t="shared" si="393"/>
        <v>140.99999999999997</v>
      </c>
      <c r="K822" s="103"/>
      <c r="L822" s="103"/>
      <c r="M822" s="103"/>
      <c r="N822" s="427">
        <f t="shared" si="394"/>
        <v>0</v>
      </c>
      <c r="O822" s="103"/>
      <c r="P822" s="103"/>
      <c r="Q822" s="103"/>
      <c r="R822" s="428">
        <f t="shared" si="395"/>
        <v>0</v>
      </c>
      <c r="S822" s="103"/>
      <c r="T822" s="103"/>
      <c r="U822" s="103"/>
      <c r="V822" s="125"/>
      <c r="W822" s="428">
        <f t="shared" si="399"/>
        <v>0</v>
      </c>
      <c r="X822" s="103"/>
      <c r="Y822" s="103"/>
      <c r="Z822" s="125"/>
      <c r="AA822" s="428">
        <f t="shared" si="400"/>
        <v>0</v>
      </c>
      <c r="AB822" s="103"/>
      <c r="AC822" s="103"/>
      <c r="AD822" s="103"/>
      <c r="AE822" s="428">
        <f t="shared" si="401"/>
        <v>0</v>
      </c>
      <c r="AF822" s="103"/>
      <c r="AG822" s="103"/>
      <c r="AH822" s="103"/>
      <c r="AI822" s="103"/>
      <c r="AJ822" s="428">
        <f t="shared" si="402"/>
        <v>0</v>
      </c>
      <c r="AK822" s="446"/>
      <c r="AL822" s="446"/>
      <c r="AM822" s="446"/>
      <c r="AN822" s="446"/>
      <c r="AO822" s="446"/>
      <c r="AP822" s="446"/>
      <c r="AQ822" s="446"/>
      <c r="AR822" s="431">
        <f t="shared" si="403"/>
        <v>0</v>
      </c>
      <c r="AT822" s="128" t="s">
        <v>4307</v>
      </c>
      <c r="AU822" s="100" t="s">
        <v>4500</v>
      </c>
      <c r="AV822" s="128" t="s">
        <v>4525</v>
      </c>
      <c r="AW822" s="100" t="s">
        <v>4527</v>
      </c>
      <c r="AX822" s="433">
        <f t="shared" si="404"/>
        <v>0</v>
      </c>
      <c r="AY822" s="433">
        <f t="shared" si="405"/>
        <v>0</v>
      </c>
      <c r="AZ822" s="433">
        <f t="shared" si="406"/>
        <v>0</v>
      </c>
      <c r="BA822" s="433">
        <f t="shared" si="396"/>
        <v>0</v>
      </c>
      <c r="BB822" s="433">
        <f t="shared" si="397"/>
        <v>0</v>
      </c>
      <c r="BC822" s="433">
        <f t="shared" si="398"/>
        <v>0</v>
      </c>
      <c r="BD822" s="433">
        <f t="shared" si="407"/>
        <v>0</v>
      </c>
      <c r="BE822" s="433">
        <f t="shared" si="408"/>
        <v>0</v>
      </c>
      <c r="BF822" s="433">
        <f t="shared" si="409"/>
        <v>0</v>
      </c>
      <c r="BG822" s="433">
        <f t="shared" si="410"/>
        <v>0</v>
      </c>
      <c r="BH822" s="433">
        <f t="shared" si="411"/>
        <v>0</v>
      </c>
      <c r="BI822" s="433">
        <f t="shared" si="412"/>
        <v>0</v>
      </c>
      <c r="BJ822" s="433">
        <f t="shared" si="413"/>
        <v>0</v>
      </c>
      <c r="BK822" s="433">
        <f t="shared" si="414"/>
        <v>0</v>
      </c>
      <c r="BL822" s="433">
        <f t="shared" si="415"/>
        <v>0</v>
      </c>
      <c r="BM822" s="433">
        <f t="shared" si="416"/>
        <v>0</v>
      </c>
      <c r="BN822" s="433">
        <f t="shared" si="417"/>
        <v>0</v>
      </c>
      <c r="BO822" s="433">
        <f t="shared" si="418"/>
        <v>0</v>
      </c>
      <c r="BP822" s="433">
        <f t="shared" si="419"/>
        <v>0</v>
      </c>
      <c r="BQ822" s="433">
        <f t="shared" si="420"/>
        <v>0</v>
      </c>
    </row>
    <row r="823" spans="1:69" x14ac:dyDescent="0.2">
      <c r="A823" s="102">
        <v>41879</v>
      </c>
      <c r="B823" s="319">
        <v>2</v>
      </c>
      <c r="C823" s="118" t="s">
        <v>4498</v>
      </c>
      <c r="D823" s="111">
        <v>0.44166666666666665</v>
      </c>
      <c r="E823" s="111">
        <v>0.75</v>
      </c>
      <c r="F823" s="319">
        <v>33</v>
      </c>
      <c r="G823" s="445">
        <v>10.5</v>
      </c>
      <c r="H823" s="319"/>
      <c r="I823" s="319"/>
      <c r="J823" s="426">
        <f t="shared" si="393"/>
        <v>444</v>
      </c>
      <c r="K823" s="103"/>
      <c r="L823" s="103"/>
      <c r="M823" s="103"/>
      <c r="N823" s="427">
        <f t="shared" si="394"/>
        <v>0</v>
      </c>
      <c r="O823" s="103"/>
      <c r="P823" s="103"/>
      <c r="Q823" s="103"/>
      <c r="R823" s="428">
        <f t="shared" si="395"/>
        <v>0</v>
      </c>
      <c r="S823" s="103"/>
      <c r="T823" s="103"/>
      <c r="U823" s="103"/>
      <c r="V823" s="125"/>
      <c r="W823" s="428">
        <f t="shared" si="399"/>
        <v>0</v>
      </c>
      <c r="X823" s="103"/>
      <c r="Y823" s="103"/>
      <c r="Z823" s="125"/>
      <c r="AA823" s="428">
        <f t="shared" si="400"/>
        <v>0</v>
      </c>
      <c r="AB823" s="103"/>
      <c r="AC823" s="103">
        <v>1</v>
      </c>
      <c r="AD823" s="103"/>
      <c r="AE823" s="428">
        <f t="shared" si="401"/>
        <v>1</v>
      </c>
      <c r="AF823" s="103"/>
      <c r="AG823" s="103"/>
      <c r="AH823" s="103"/>
      <c r="AI823" s="103"/>
      <c r="AJ823" s="428">
        <f t="shared" si="402"/>
        <v>0</v>
      </c>
      <c r="AK823" s="446"/>
      <c r="AL823" s="446"/>
      <c r="AM823" s="446"/>
      <c r="AN823" s="446"/>
      <c r="AO823" s="446"/>
      <c r="AP823" s="446"/>
      <c r="AQ823" s="446"/>
      <c r="AR823" s="431">
        <f t="shared" si="403"/>
        <v>0</v>
      </c>
      <c r="AT823" s="128"/>
      <c r="AU823" s="100" t="s">
        <v>4500</v>
      </c>
      <c r="AV823" s="128" t="s">
        <v>4525</v>
      </c>
      <c r="AW823" s="100" t="s">
        <v>4527</v>
      </c>
      <c r="AX823" s="433">
        <f t="shared" si="404"/>
        <v>0</v>
      </c>
      <c r="AY823" s="433">
        <f t="shared" si="405"/>
        <v>0</v>
      </c>
      <c r="AZ823" s="433">
        <f t="shared" si="406"/>
        <v>0</v>
      </c>
      <c r="BA823" s="433">
        <f t="shared" si="396"/>
        <v>0</v>
      </c>
      <c r="BB823" s="433">
        <f t="shared" si="397"/>
        <v>0</v>
      </c>
      <c r="BC823" s="433">
        <f t="shared" si="398"/>
        <v>0</v>
      </c>
      <c r="BD823" s="433">
        <f t="shared" si="407"/>
        <v>0</v>
      </c>
      <c r="BE823" s="433">
        <f t="shared" si="408"/>
        <v>0</v>
      </c>
      <c r="BF823" s="433">
        <f t="shared" si="409"/>
        <v>0</v>
      </c>
      <c r="BG823" s="433">
        <f t="shared" si="410"/>
        <v>0</v>
      </c>
      <c r="BH823" s="433">
        <f t="shared" si="411"/>
        <v>0</v>
      </c>
      <c r="BI823" s="433">
        <f t="shared" si="412"/>
        <v>0</v>
      </c>
      <c r="BJ823" s="433">
        <f t="shared" si="413"/>
        <v>0</v>
      </c>
      <c r="BK823" s="433">
        <f t="shared" si="414"/>
        <v>0</v>
      </c>
      <c r="BL823" s="433">
        <f t="shared" si="415"/>
        <v>1</v>
      </c>
      <c r="BM823" s="433">
        <f t="shared" si="416"/>
        <v>0</v>
      </c>
      <c r="BN823" s="433">
        <f t="shared" si="417"/>
        <v>0</v>
      </c>
      <c r="BO823" s="433">
        <f t="shared" si="418"/>
        <v>0</v>
      </c>
      <c r="BP823" s="433">
        <f t="shared" si="419"/>
        <v>0</v>
      </c>
      <c r="BQ823" s="433">
        <f t="shared" si="420"/>
        <v>0</v>
      </c>
    </row>
    <row r="824" spans="1:69" x14ac:dyDescent="0.2">
      <c r="A824" s="102">
        <v>41879</v>
      </c>
      <c r="B824" s="319">
        <v>2</v>
      </c>
      <c r="C824" s="118" t="s">
        <v>4480</v>
      </c>
      <c r="D824" s="111">
        <v>0.75</v>
      </c>
      <c r="E824" s="111">
        <v>0.84375</v>
      </c>
      <c r="F824" s="319">
        <v>33</v>
      </c>
      <c r="G824" s="445">
        <v>10</v>
      </c>
      <c r="H824" s="319"/>
      <c r="I824" s="319"/>
      <c r="J824" s="426">
        <f t="shared" si="393"/>
        <v>135</v>
      </c>
      <c r="K824" s="103"/>
      <c r="L824" s="103"/>
      <c r="M824" s="103"/>
      <c r="N824" s="427">
        <f t="shared" si="394"/>
        <v>0</v>
      </c>
      <c r="O824" s="103"/>
      <c r="P824" s="103"/>
      <c r="Q824" s="103"/>
      <c r="R824" s="428">
        <f t="shared" si="395"/>
        <v>0</v>
      </c>
      <c r="S824" s="103"/>
      <c r="T824" s="103"/>
      <c r="U824" s="103"/>
      <c r="V824" s="125"/>
      <c r="W824" s="428">
        <f t="shared" si="399"/>
        <v>0</v>
      </c>
      <c r="X824" s="103"/>
      <c r="Y824" s="103"/>
      <c r="Z824" s="125"/>
      <c r="AA824" s="428">
        <f t="shared" si="400"/>
        <v>0</v>
      </c>
      <c r="AB824" s="103"/>
      <c r="AC824" s="103">
        <v>1</v>
      </c>
      <c r="AD824" s="103"/>
      <c r="AE824" s="428">
        <f t="shared" si="401"/>
        <v>1</v>
      </c>
      <c r="AF824" s="103"/>
      <c r="AG824" s="103"/>
      <c r="AH824" s="103"/>
      <c r="AI824" s="103"/>
      <c r="AJ824" s="428">
        <f t="shared" si="402"/>
        <v>0</v>
      </c>
      <c r="AK824" s="446"/>
      <c r="AL824" s="446"/>
      <c r="AM824" s="446"/>
      <c r="AN824" s="446"/>
      <c r="AO824" s="446"/>
      <c r="AP824" s="446"/>
      <c r="AQ824" s="446"/>
      <c r="AR824" s="431">
        <f t="shared" si="403"/>
        <v>0</v>
      </c>
      <c r="AT824" s="128"/>
      <c r="AU824" s="100" t="s">
        <v>4500</v>
      </c>
      <c r="AV824" s="128" t="s">
        <v>4525</v>
      </c>
      <c r="AW824" s="100" t="s">
        <v>4527</v>
      </c>
      <c r="AX824" s="433">
        <f t="shared" si="404"/>
        <v>0</v>
      </c>
      <c r="AY824" s="433">
        <f t="shared" si="405"/>
        <v>0</v>
      </c>
      <c r="AZ824" s="433">
        <f t="shared" si="406"/>
        <v>0</v>
      </c>
      <c r="BA824" s="433">
        <f t="shared" si="396"/>
        <v>0</v>
      </c>
      <c r="BB824" s="433">
        <f t="shared" si="397"/>
        <v>0</v>
      </c>
      <c r="BC824" s="433">
        <f t="shared" si="398"/>
        <v>0</v>
      </c>
      <c r="BD824" s="433">
        <f t="shared" si="407"/>
        <v>0</v>
      </c>
      <c r="BE824" s="433">
        <f t="shared" si="408"/>
        <v>0</v>
      </c>
      <c r="BF824" s="433">
        <f t="shared" si="409"/>
        <v>0</v>
      </c>
      <c r="BG824" s="433">
        <f t="shared" si="410"/>
        <v>0</v>
      </c>
      <c r="BH824" s="433">
        <f t="shared" si="411"/>
        <v>0</v>
      </c>
      <c r="BI824" s="433">
        <f t="shared" si="412"/>
        <v>0</v>
      </c>
      <c r="BJ824" s="433">
        <f t="shared" si="413"/>
        <v>0</v>
      </c>
      <c r="BK824" s="433">
        <f t="shared" si="414"/>
        <v>0</v>
      </c>
      <c r="BL824" s="433">
        <f t="shared" si="415"/>
        <v>1</v>
      </c>
      <c r="BM824" s="433">
        <f t="shared" si="416"/>
        <v>0</v>
      </c>
      <c r="BN824" s="433">
        <f t="shared" si="417"/>
        <v>0</v>
      </c>
      <c r="BO824" s="433">
        <f t="shared" si="418"/>
        <v>0</v>
      </c>
      <c r="BP824" s="433">
        <f t="shared" si="419"/>
        <v>0</v>
      </c>
      <c r="BQ824" s="433">
        <f t="shared" si="420"/>
        <v>0</v>
      </c>
    </row>
    <row r="825" spans="1:69" x14ac:dyDescent="0.2">
      <c r="A825" s="102">
        <v>41879</v>
      </c>
      <c r="B825" s="319">
        <v>3</v>
      </c>
      <c r="C825" s="118" t="s">
        <v>4481</v>
      </c>
      <c r="D825" s="111">
        <v>0.34375</v>
      </c>
      <c r="E825" s="111">
        <v>0.59513888888888888</v>
      </c>
      <c r="F825" s="319">
        <v>43</v>
      </c>
      <c r="G825" s="445">
        <v>9.5</v>
      </c>
      <c r="H825" s="319"/>
      <c r="I825" s="319"/>
      <c r="J825" s="426">
        <f t="shared" si="393"/>
        <v>362</v>
      </c>
      <c r="K825" s="103"/>
      <c r="L825" s="103"/>
      <c r="M825" s="103"/>
      <c r="N825" s="427">
        <f t="shared" si="394"/>
        <v>0</v>
      </c>
      <c r="O825" s="103"/>
      <c r="P825" s="103"/>
      <c r="Q825" s="103"/>
      <c r="R825" s="428">
        <f t="shared" si="395"/>
        <v>0</v>
      </c>
      <c r="S825" s="103"/>
      <c r="T825" s="103"/>
      <c r="U825" s="103"/>
      <c r="V825" s="125"/>
      <c r="W825" s="428">
        <f t="shared" si="399"/>
        <v>0</v>
      </c>
      <c r="X825" s="103"/>
      <c r="Y825" s="103"/>
      <c r="Z825" s="125"/>
      <c r="AA825" s="428">
        <f t="shared" si="400"/>
        <v>0</v>
      </c>
      <c r="AB825" s="103"/>
      <c r="AC825" s="103"/>
      <c r="AD825" s="103"/>
      <c r="AE825" s="428">
        <f t="shared" si="401"/>
        <v>0</v>
      </c>
      <c r="AF825" s="103">
        <v>1</v>
      </c>
      <c r="AG825" s="103">
        <v>1</v>
      </c>
      <c r="AH825" s="103"/>
      <c r="AI825" s="103"/>
      <c r="AJ825" s="428">
        <f t="shared" si="402"/>
        <v>2</v>
      </c>
      <c r="AK825" s="446"/>
      <c r="AL825" s="446"/>
      <c r="AM825" s="446"/>
      <c r="AN825" s="446"/>
      <c r="AO825" s="446"/>
      <c r="AP825" s="446"/>
      <c r="AQ825" s="446"/>
      <c r="AR825" s="431">
        <f t="shared" si="403"/>
        <v>0</v>
      </c>
      <c r="AT825" s="128"/>
      <c r="AU825" s="100" t="s">
        <v>4503</v>
      </c>
      <c r="AV825" s="128" t="s">
        <v>4525</v>
      </c>
      <c r="AW825" s="100" t="s">
        <v>4527</v>
      </c>
      <c r="AX825" s="433">
        <f t="shared" si="404"/>
        <v>0</v>
      </c>
      <c r="AY825" s="433">
        <f t="shared" si="405"/>
        <v>0</v>
      </c>
      <c r="AZ825" s="433">
        <f t="shared" si="406"/>
        <v>0</v>
      </c>
      <c r="BA825" s="433">
        <f t="shared" si="396"/>
        <v>0</v>
      </c>
      <c r="BB825" s="433">
        <f t="shared" si="397"/>
        <v>0</v>
      </c>
      <c r="BC825" s="433">
        <f t="shared" si="398"/>
        <v>0</v>
      </c>
      <c r="BD825" s="433">
        <f t="shared" si="407"/>
        <v>0</v>
      </c>
      <c r="BE825" s="433">
        <f t="shared" si="408"/>
        <v>0</v>
      </c>
      <c r="BF825" s="433">
        <f t="shared" si="409"/>
        <v>0</v>
      </c>
      <c r="BG825" s="433">
        <f t="shared" si="410"/>
        <v>0</v>
      </c>
      <c r="BH825" s="433">
        <f t="shared" si="411"/>
        <v>0</v>
      </c>
      <c r="BI825" s="433">
        <f t="shared" si="412"/>
        <v>0</v>
      </c>
      <c r="BJ825" s="433">
        <f t="shared" si="413"/>
        <v>0</v>
      </c>
      <c r="BK825" s="433">
        <f t="shared" si="414"/>
        <v>0</v>
      </c>
      <c r="BL825" s="433">
        <f t="shared" si="415"/>
        <v>0</v>
      </c>
      <c r="BM825" s="433">
        <f t="shared" si="416"/>
        <v>0</v>
      </c>
      <c r="BN825" s="433">
        <f t="shared" si="417"/>
        <v>1</v>
      </c>
      <c r="BO825" s="433">
        <f t="shared" si="418"/>
        <v>1</v>
      </c>
      <c r="BP825" s="433">
        <f t="shared" si="419"/>
        <v>0</v>
      </c>
      <c r="BQ825" s="433">
        <f t="shared" si="420"/>
        <v>0</v>
      </c>
    </row>
    <row r="826" spans="1:69" s="291" customFormat="1" x14ac:dyDescent="0.2">
      <c r="A826" s="317">
        <v>41879</v>
      </c>
      <c r="B826" s="318">
        <v>3</v>
      </c>
      <c r="C826" s="320" t="s">
        <v>4499</v>
      </c>
      <c r="D826" s="321">
        <v>0.59583333333333333</v>
      </c>
      <c r="E826" s="321">
        <v>0.84652777777777777</v>
      </c>
      <c r="F826" s="318">
        <v>43</v>
      </c>
      <c r="G826" s="435">
        <v>9.5</v>
      </c>
      <c r="H826" s="318"/>
      <c r="I826" s="318"/>
      <c r="J826" s="437">
        <f t="shared" si="393"/>
        <v>361</v>
      </c>
      <c r="K826" s="285"/>
      <c r="L826" s="285"/>
      <c r="M826" s="285"/>
      <c r="N826" s="438">
        <f t="shared" si="394"/>
        <v>0</v>
      </c>
      <c r="O826" s="285"/>
      <c r="P826" s="285"/>
      <c r="Q826" s="285"/>
      <c r="R826" s="439">
        <f t="shared" si="395"/>
        <v>0</v>
      </c>
      <c r="S826" s="285"/>
      <c r="T826" s="285"/>
      <c r="U826" s="285"/>
      <c r="V826" s="440"/>
      <c r="W826" s="439">
        <f t="shared" si="399"/>
        <v>0</v>
      </c>
      <c r="X826" s="285"/>
      <c r="Y826" s="285"/>
      <c r="Z826" s="440"/>
      <c r="AA826" s="439">
        <f t="shared" si="400"/>
        <v>0</v>
      </c>
      <c r="AB826" s="285"/>
      <c r="AC826" s="285"/>
      <c r="AD826" s="285"/>
      <c r="AE826" s="439">
        <f t="shared" si="401"/>
        <v>0</v>
      </c>
      <c r="AF826" s="285">
        <v>1</v>
      </c>
      <c r="AG826" s="285">
        <v>1</v>
      </c>
      <c r="AH826" s="285"/>
      <c r="AI826" s="285"/>
      <c r="AJ826" s="439">
        <f t="shared" si="402"/>
        <v>2</v>
      </c>
      <c r="AK826" s="340"/>
      <c r="AL826" s="340"/>
      <c r="AM826" s="340"/>
      <c r="AN826" s="340"/>
      <c r="AO826" s="340"/>
      <c r="AP826" s="340"/>
      <c r="AQ826" s="340"/>
      <c r="AR826" s="441">
        <f t="shared" si="403"/>
        <v>0</v>
      </c>
      <c r="AT826" s="313"/>
      <c r="AU826" s="289" t="s">
        <v>4500</v>
      </c>
      <c r="AV826" s="313" t="s">
        <v>4525</v>
      </c>
      <c r="AW826" s="289" t="s">
        <v>4527</v>
      </c>
      <c r="AX826" s="443">
        <f t="shared" si="404"/>
        <v>0</v>
      </c>
      <c r="AY826" s="443">
        <f t="shared" si="405"/>
        <v>0</v>
      </c>
      <c r="AZ826" s="443">
        <f t="shared" si="406"/>
        <v>0</v>
      </c>
      <c r="BA826" s="443">
        <f t="shared" si="396"/>
        <v>0</v>
      </c>
      <c r="BB826" s="443">
        <f t="shared" si="397"/>
        <v>0</v>
      </c>
      <c r="BC826" s="443">
        <f t="shared" si="398"/>
        <v>0</v>
      </c>
      <c r="BD826" s="443">
        <f t="shared" si="407"/>
        <v>0</v>
      </c>
      <c r="BE826" s="443">
        <f t="shared" si="408"/>
        <v>0</v>
      </c>
      <c r="BF826" s="443">
        <f t="shared" si="409"/>
        <v>0</v>
      </c>
      <c r="BG826" s="443">
        <f t="shared" si="410"/>
        <v>0</v>
      </c>
      <c r="BH826" s="443">
        <f t="shared" si="411"/>
        <v>0</v>
      </c>
      <c r="BI826" s="443">
        <f t="shared" si="412"/>
        <v>0</v>
      </c>
      <c r="BJ826" s="443">
        <f t="shared" si="413"/>
        <v>0</v>
      </c>
      <c r="BK826" s="443">
        <f t="shared" si="414"/>
        <v>0</v>
      </c>
      <c r="BL826" s="443">
        <f t="shared" si="415"/>
        <v>0</v>
      </c>
      <c r="BM826" s="443">
        <f t="shared" si="416"/>
        <v>0</v>
      </c>
      <c r="BN826" s="443">
        <f t="shared" si="417"/>
        <v>1</v>
      </c>
      <c r="BO826" s="443">
        <f t="shared" si="418"/>
        <v>1</v>
      </c>
      <c r="BP826" s="443">
        <f t="shared" si="419"/>
        <v>0</v>
      </c>
      <c r="BQ826" s="443">
        <f t="shared" si="420"/>
        <v>0</v>
      </c>
    </row>
    <row r="827" spans="1:69" x14ac:dyDescent="0.2">
      <c r="A827" s="102">
        <v>41880</v>
      </c>
      <c r="B827" s="319">
        <v>1</v>
      </c>
      <c r="C827" s="118" t="s">
        <v>4508</v>
      </c>
      <c r="D827" s="111">
        <v>0.44027777777777777</v>
      </c>
      <c r="E827" s="111">
        <v>0.64166666666666672</v>
      </c>
      <c r="F827" s="319">
        <v>56</v>
      </c>
      <c r="G827" s="445">
        <v>10</v>
      </c>
      <c r="H827" s="319"/>
      <c r="I827" s="319">
        <v>66.099999999999994</v>
      </c>
      <c r="J827" s="426">
        <f t="shared" si="393"/>
        <v>290.00000000000011</v>
      </c>
      <c r="K827" s="103"/>
      <c r="L827" s="103"/>
      <c r="M827" s="103"/>
      <c r="N827" s="427">
        <f t="shared" si="394"/>
        <v>0</v>
      </c>
      <c r="O827" s="103"/>
      <c r="P827" s="103"/>
      <c r="Q827" s="103"/>
      <c r="R827" s="428">
        <f t="shared" si="395"/>
        <v>0</v>
      </c>
      <c r="S827" s="103"/>
      <c r="T827" s="103"/>
      <c r="U827" s="103"/>
      <c r="V827" s="125"/>
      <c r="W827" s="428">
        <f t="shared" si="399"/>
        <v>0</v>
      </c>
      <c r="X827" s="103"/>
      <c r="Y827" s="103"/>
      <c r="Z827" s="125"/>
      <c r="AA827" s="428">
        <f t="shared" si="400"/>
        <v>0</v>
      </c>
      <c r="AB827" s="103"/>
      <c r="AC827" s="103">
        <v>1</v>
      </c>
      <c r="AD827" s="103"/>
      <c r="AE827" s="428">
        <f t="shared" si="401"/>
        <v>1</v>
      </c>
      <c r="AF827" s="103"/>
      <c r="AG827" s="103"/>
      <c r="AH827" s="103"/>
      <c r="AI827" s="103"/>
      <c r="AJ827" s="428">
        <f t="shared" si="402"/>
        <v>0</v>
      </c>
      <c r="AK827" s="446"/>
      <c r="AL827" s="446"/>
      <c r="AM827" s="446"/>
      <c r="AN827" s="446"/>
      <c r="AO827" s="446"/>
      <c r="AP827" s="446"/>
      <c r="AQ827" s="446"/>
      <c r="AR827" s="431">
        <f t="shared" si="403"/>
        <v>0</v>
      </c>
      <c r="AS827" s="10" t="s">
        <v>4506</v>
      </c>
      <c r="AT827" s="128"/>
      <c r="AU827" s="100" t="s">
        <v>4507</v>
      </c>
      <c r="AV827" s="128" t="s">
        <v>4525</v>
      </c>
      <c r="AW827" s="100" t="s">
        <v>4528</v>
      </c>
      <c r="AX827" s="433">
        <f t="shared" si="404"/>
        <v>0</v>
      </c>
      <c r="AY827" s="433">
        <f t="shared" si="405"/>
        <v>0</v>
      </c>
      <c r="AZ827" s="433">
        <f t="shared" si="406"/>
        <v>0</v>
      </c>
      <c r="BA827" s="433">
        <f t="shared" si="396"/>
        <v>0</v>
      </c>
      <c r="BB827" s="433">
        <f t="shared" si="397"/>
        <v>0</v>
      </c>
      <c r="BC827" s="433">
        <f t="shared" si="398"/>
        <v>0</v>
      </c>
      <c r="BD827" s="433">
        <f t="shared" si="407"/>
        <v>0</v>
      </c>
      <c r="BE827" s="433">
        <f t="shared" si="408"/>
        <v>0</v>
      </c>
      <c r="BF827" s="433">
        <f t="shared" si="409"/>
        <v>0</v>
      </c>
      <c r="BG827" s="433">
        <f t="shared" si="410"/>
        <v>0</v>
      </c>
      <c r="BH827" s="433">
        <f t="shared" si="411"/>
        <v>0</v>
      </c>
      <c r="BI827" s="433">
        <f t="shared" si="412"/>
        <v>0</v>
      </c>
      <c r="BJ827" s="433">
        <f t="shared" si="413"/>
        <v>0</v>
      </c>
      <c r="BK827" s="433">
        <f t="shared" si="414"/>
        <v>0</v>
      </c>
      <c r="BL827" s="433">
        <f t="shared" si="415"/>
        <v>1</v>
      </c>
      <c r="BM827" s="433">
        <f t="shared" si="416"/>
        <v>0</v>
      </c>
      <c r="BN827" s="433">
        <f t="shared" si="417"/>
        <v>0</v>
      </c>
      <c r="BO827" s="433">
        <f t="shared" si="418"/>
        <v>0</v>
      </c>
      <c r="BP827" s="433">
        <f t="shared" si="419"/>
        <v>0</v>
      </c>
      <c r="BQ827" s="433">
        <f t="shared" si="420"/>
        <v>0</v>
      </c>
    </row>
    <row r="828" spans="1:69" x14ac:dyDescent="0.2">
      <c r="A828" s="102">
        <v>41880</v>
      </c>
      <c r="B828" s="319">
        <v>1</v>
      </c>
      <c r="C828" s="118" t="s">
        <v>4509</v>
      </c>
      <c r="D828" s="111">
        <v>0.64166666666666672</v>
      </c>
      <c r="E828" s="111">
        <v>0.87777777777777777</v>
      </c>
      <c r="F828" s="319">
        <v>56</v>
      </c>
      <c r="G828" s="445">
        <v>9</v>
      </c>
      <c r="H828" s="319"/>
      <c r="I828" s="319"/>
      <c r="J828" s="426">
        <f t="shared" si="393"/>
        <v>339.99999999999989</v>
      </c>
      <c r="K828" s="103"/>
      <c r="L828" s="103"/>
      <c r="M828" s="103"/>
      <c r="N828" s="427">
        <f t="shared" si="394"/>
        <v>0</v>
      </c>
      <c r="O828" s="103"/>
      <c r="P828" s="103"/>
      <c r="Q828" s="103"/>
      <c r="R828" s="428">
        <f t="shared" si="395"/>
        <v>0</v>
      </c>
      <c r="S828" s="103"/>
      <c r="T828" s="103"/>
      <c r="U828" s="103"/>
      <c r="V828" s="125"/>
      <c r="W828" s="428">
        <f t="shared" si="399"/>
        <v>0</v>
      </c>
      <c r="X828" s="103">
        <v>1</v>
      </c>
      <c r="Y828" s="103"/>
      <c r="Z828" s="125"/>
      <c r="AA828" s="428">
        <f t="shared" si="400"/>
        <v>1</v>
      </c>
      <c r="AB828" s="103"/>
      <c r="AC828" s="103">
        <v>2</v>
      </c>
      <c r="AD828" s="103"/>
      <c r="AE828" s="428">
        <f t="shared" si="401"/>
        <v>2</v>
      </c>
      <c r="AF828" s="103">
        <v>1</v>
      </c>
      <c r="AG828" s="103"/>
      <c r="AH828" s="103"/>
      <c r="AI828" s="103"/>
      <c r="AJ828" s="428">
        <f t="shared" si="402"/>
        <v>1</v>
      </c>
      <c r="AK828" s="446"/>
      <c r="AL828" s="446"/>
      <c r="AM828" s="446"/>
      <c r="AN828" s="446"/>
      <c r="AO828" s="446"/>
      <c r="AP828" s="446"/>
      <c r="AQ828" s="446"/>
      <c r="AR828" s="431">
        <f t="shared" si="403"/>
        <v>0</v>
      </c>
      <c r="AT828" s="128"/>
      <c r="AU828" s="100" t="s">
        <v>4510</v>
      </c>
      <c r="AV828" s="128" t="s">
        <v>4525</v>
      </c>
      <c r="AW828" s="100" t="s">
        <v>4528</v>
      </c>
      <c r="AX828" s="433">
        <f t="shared" si="404"/>
        <v>0</v>
      </c>
      <c r="AY828" s="433">
        <f t="shared" si="405"/>
        <v>0</v>
      </c>
      <c r="AZ828" s="433">
        <f t="shared" si="406"/>
        <v>0</v>
      </c>
      <c r="BA828" s="433">
        <f t="shared" si="396"/>
        <v>0</v>
      </c>
      <c r="BB828" s="433">
        <f t="shared" si="397"/>
        <v>0</v>
      </c>
      <c r="BC828" s="433">
        <f t="shared" si="398"/>
        <v>0</v>
      </c>
      <c r="BD828" s="433">
        <f t="shared" si="407"/>
        <v>0</v>
      </c>
      <c r="BE828" s="433">
        <f t="shared" si="408"/>
        <v>0</v>
      </c>
      <c r="BF828" s="433">
        <f t="shared" si="409"/>
        <v>0</v>
      </c>
      <c r="BG828" s="433">
        <f t="shared" si="410"/>
        <v>0</v>
      </c>
      <c r="BH828" s="433">
        <f t="shared" si="411"/>
        <v>1</v>
      </c>
      <c r="BI828" s="433">
        <f t="shared" si="412"/>
        <v>0</v>
      </c>
      <c r="BJ828" s="433">
        <f t="shared" si="413"/>
        <v>0</v>
      </c>
      <c r="BK828" s="433">
        <f t="shared" si="414"/>
        <v>0</v>
      </c>
      <c r="BL828" s="433">
        <f t="shared" si="415"/>
        <v>2</v>
      </c>
      <c r="BM828" s="433">
        <f t="shared" si="416"/>
        <v>0</v>
      </c>
      <c r="BN828" s="433">
        <f t="shared" si="417"/>
        <v>1</v>
      </c>
      <c r="BO828" s="433">
        <f t="shared" si="418"/>
        <v>0</v>
      </c>
      <c r="BP828" s="433">
        <f t="shared" si="419"/>
        <v>0</v>
      </c>
      <c r="BQ828" s="433">
        <f t="shared" si="420"/>
        <v>0</v>
      </c>
    </row>
    <row r="829" spans="1:69" x14ac:dyDescent="0.2">
      <c r="A829" s="102">
        <v>41880</v>
      </c>
      <c r="B829" s="319">
        <v>2</v>
      </c>
      <c r="C829" s="118" t="s">
        <v>4511</v>
      </c>
      <c r="D829" s="111">
        <v>0.4236111111111111</v>
      </c>
      <c r="E829" s="111">
        <v>0.63472222222222219</v>
      </c>
      <c r="F829" s="319">
        <v>33</v>
      </c>
      <c r="G829" s="445">
        <v>9.5</v>
      </c>
      <c r="H829" s="319"/>
      <c r="I829" s="319"/>
      <c r="J829" s="426">
        <f t="shared" si="393"/>
        <v>304</v>
      </c>
      <c r="K829" s="103"/>
      <c r="L829" s="103"/>
      <c r="M829" s="103"/>
      <c r="N829" s="427">
        <f t="shared" si="394"/>
        <v>0</v>
      </c>
      <c r="O829" s="103"/>
      <c r="P829" s="103"/>
      <c r="Q829" s="103"/>
      <c r="R829" s="428">
        <f t="shared" si="395"/>
        <v>0</v>
      </c>
      <c r="S829" s="103"/>
      <c r="T829" s="103"/>
      <c r="U829" s="103"/>
      <c r="V829" s="125"/>
      <c r="W829" s="428">
        <f t="shared" si="399"/>
        <v>0</v>
      </c>
      <c r="X829" s="103"/>
      <c r="Y829" s="103"/>
      <c r="Z829" s="125"/>
      <c r="AA829" s="428">
        <f t="shared" si="400"/>
        <v>0</v>
      </c>
      <c r="AB829" s="103"/>
      <c r="AC829" s="103"/>
      <c r="AD829" s="103"/>
      <c r="AE829" s="428">
        <f t="shared" si="401"/>
        <v>0</v>
      </c>
      <c r="AF829" s="103"/>
      <c r="AG829" s="103"/>
      <c r="AH829" s="103"/>
      <c r="AI829" s="103"/>
      <c r="AJ829" s="428">
        <f t="shared" si="402"/>
        <v>0</v>
      </c>
      <c r="AK829" s="446"/>
      <c r="AL829" s="446"/>
      <c r="AM829" s="446"/>
      <c r="AN829" s="446"/>
      <c r="AO829" s="446"/>
      <c r="AP829" s="446"/>
      <c r="AQ829" s="446"/>
      <c r="AR829" s="431">
        <f t="shared" si="403"/>
        <v>0</v>
      </c>
      <c r="AS829" s="10" t="s">
        <v>4512</v>
      </c>
      <c r="AT829" s="128"/>
      <c r="AU829" s="100" t="s">
        <v>4507</v>
      </c>
      <c r="AV829" s="128" t="s">
        <v>4525</v>
      </c>
      <c r="AW829" s="100" t="s">
        <v>4528</v>
      </c>
      <c r="AX829" s="433">
        <f t="shared" si="404"/>
        <v>0</v>
      </c>
      <c r="AY829" s="433">
        <f t="shared" si="405"/>
        <v>0</v>
      </c>
      <c r="AZ829" s="433">
        <f t="shared" si="406"/>
        <v>0</v>
      </c>
      <c r="BA829" s="433">
        <f t="shared" si="396"/>
        <v>0</v>
      </c>
      <c r="BB829" s="433">
        <f t="shared" si="397"/>
        <v>0</v>
      </c>
      <c r="BC829" s="433">
        <f t="shared" si="398"/>
        <v>0</v>
      </c>
      <c r="BD829" s="433">
        <f t="shared" si="407"/>
        <v>0</v>
      </c>
      <c r="BE829" s="433">
        <f t="shared" si="408"/>
        <v>0</v>
      </c>
      <c r="BF829" s="433">
        <f t="shared" si="409"/>
        <v>0</v>
      </c>
      <c r="BG829" s="433">
        <f t="shared" si="410"/>
        <v>0</v>
      </c>
      <c r="BH829" s="433">
        <f t="shared" si="411"/>
        <v>0</v>
      </c>
      <c r="BI829" s="433">
        <f t="shared" si="412"/>
        <v>0</v>
      </c>
      <c r="BJ829" s="433">
        <f t="shared" si="413"/>
        <v>0</v>
      </c>
      <c r="BK829" s="433">
        <f t="shared" si="414"/>
        <v>0</v>
      </c>
      <c r="BL829" s="433">
        <f t="shared" si="415"/>
        <v>0</v>
      </c>
      <c r="BM829" s="433">
        <f t="shared" si="416"/>
        <v>0</v>
      </c>
      <c r="BN829" s="433">
        <f t="shared" si="417"/>
        <v>0</v>
      </c>
      <c r="BO829" s="433">
        <f t="shared" si="418"/>
        <v>0</v>
      </c>
      <c r="BP829" s="433">
        <f t="shared" si="419"/>
        <v>0</v>
      </c>
      <c r="BQ829" s="433">
        <f t="shared" si="420"/>
        <v>0</v>
      </c>
    </row>
    <row r="830" spans="1:69" x14ac:dyDescent="0.2">
      <c r="A830" s="102">
        <v>41880</v>
      </c>
      <c r="B830" s="319">
        <v>2</v>
      </c>
      <c r="C830" s="118" t="s">
        <v>4513</v>
      </c>
      <c r="D830" s="111">
        <v>0.63472222222222219</v>
      </c>
      <c r="E830" s="111">
        <v>0.86319444444444438</v>
      </c>
      <c r="F830" s="319">
        <v>32</v>
      </c>
      <c r="G830" s="445">
        <v>9</v>
      </c>
      <c r="H830" s="319"/>
      <c r="I830" s="319"/>
      <c r="J830" s="426">
        <f t="shared" si="393"/>
        <v>328.99999999999994</v>
      </c>
      <c r="K830" s="103"/>
      <c r="L830" s="103"/>
      <c r="M830" s="103"/>
      <c r="N830" s="427">
        <f t="shared" si="394"/>
        <v>0</v>
      </c>
      <c r="O830" s="103"/>
      <c r="P830" s="103"/>
      <c r="Q830" s="103"/>
      <c r="R830" s="428">
        <f t="shared" si="395"/>
        <v>0</v>
      </c>
      <c r="S830" s="103"/>
      <c r="T830" s="103"/>
      <c r="U830" s="103"/>
      <c r="V830" s="125"/>
      <c r="W830" s="428">
        <f t="shared" si="399"/>
        <v>0</v>
      </c>
      <c r="X830" s="103"/>
      <c r="Y830" s="103"/>
      <c r="Z830" s="125"/>
      <c r="AA830" s="428">
        <f t="shared" si="400"/>
        <v>0</v>
      </c>
      <c r="AB830" s="103"/>
      <c r="AC830" s="103">
        <v>4</v>
      </c>
      <c r="AD830" s="103"/>
      <c r="AE830" s="428">
        <f t="shared" si="401"/>
        <v>4</v>
      </c>
      <c r="AF830" s="103"/>
      <c r="AG830" s="103"/>
      <c r="AH830" s="103"/>
      <c r="AI830" s="103"/>
      <c r="AJ830" s="428">
        <f t="shared" si="402"/>
        <v>0</v>
      </c>
      <c r="AK830" s="446"/>
      <c r="AL830" s="446"/>
      <c r="AM830" s="446"/>
      <c r="AN830" s="446"/>
      <c r="AO830" s="446"/>
      <c r="AP830" s="446"/>
      <c r="AQ830" s="446"/>
      <c r="AR830" s="431">
        <f t="shared" si="403"/>
        <v>0</v>
      </c>
      <c r="AT830" s="128"/>
      <c r="AU830" s="100" t="s">
        <v>4514</v>
      </c>
      <c r="AV830" s="128" t="s">
        <v>4525</v>
      </c>
      <c r="AW830" s="100" t="s">
        <v>4528</v>
      </c>
      <c r="AX830" s="433">
        <f t="shared" si="404"/>
        <v>0</v>
      </c>
      <c r="AY830" s="433">
        <f t="shared" si="405"/>
        <v>0</v>
      </c>
      <c r="AZ830" s="433">
        <f t="shared" si="406"/>
        <v>0</v>
      </c>
      <c r="BA830" s="433">
        <f t="shared" si="396"/>
        <v>0</v>
      </c>
      <c r="BB830" s="433">
        <f t="shared" si="397"/>
        <v>0</v>
      </c>
      <c r="BC830" s="433">
        <f t="shared" si="398"/>
        <v>0</v>
      </c>
      <c r="BD830" s="433">
        <f t="shared" si="407"/>
        <v>0</v>
      </c>
      <c r="BE830" s="433">
        <f t="shared" si="408"/>
        <v>0</v>
      </c>
      <c r="BF830" s="433">
        <f t="shared" si="409"/>
        <v>0</v>
      </c>
      <c r="BG830" s="433">
        <f t="shared" si="410"/>
        <v>0</v>
      </c>
      <c r="BH830" s="433">
        <f t="shared" si="411"/>
        <v>0</v>
      </c>
      <c r="BI830" s="433">
        <f t="shared" si="412"/>
        <v>0</v>
      </c>
      <c r="BJ830" s="433">
        <f t="shared" si="413"/>
        <v>0</v>
      </c>
      <c r="BK830" s="433">
        <f t="shared" si="414"/>
        <v>0</v>
      </c>
      <c r="BL830" s="433">
        <f t="shared" si="415"/>
        <v>4</v>
      </c>
      <c r="BM830" s="433">
        <f t="shared" si="416"/>
        <v>0</v>
      </c>
      <c r="BN830" s="433">
        <f t="shared" si="417"/>
        <v>0</v>
      </c>
      <c r="BO830" s="433">
        <f t="shared" si="418"/>
        <v>0</v>
      </c>
      <c r="BP830" s="433">
        <f t="shared" si="419"/>
        <v>0</v>
      </c>
      <c r="BQ830" s="433">
        <f t="shared" si="420"/>
        <v>0</v>
      </c>
    </row>
    <row r="831" spans="1:69" x14ac:dyDescent="0.2">
      <c r="A831" s="102">
        <v>41880</v>
      </c>
      <c r="B831" s="319">
        <v>3</v>
      </c>
      <c r="C831" s="118" t="s">
        <v>4481</v>
      </c>
      <c r="D831" s="111">
        <v>0.33611111111111108</v>
      </c>
      <c r="E831" s="111">
        <v>0.65208333333333335</v>
      </c>
      <c r="F831" s="319">
        <v>39</v>
      </c>
      <c r="G831" s="445">
        <v>9.5</v>
      </c>
      <c r="H831" s="319"/>
      <c r="I831" s="319"/>
      <c r="J831" s="426">
        <f t="shared" si="393"/>
        <v>455.00000000000006</v>
      </c>
      <c r="K831" s="103"/>
      <c r="L831" s="103"/>
      <c r="M831" s="103"/>
      <c r="N831" s="427">
        <f t="shared" si="394"/>
        <v>0</v>
      </c>
      <c r="O831" s="103"/>
      <c r="P831" s="103"/>
      <c r="Q831" s="103"/>
      <c r="R831" s="428">
        <f t="shared" si="395"/>
        <v>0</v>
      </c>
      <c r="S831" s="103"/>
      <c r="T831" s="103"/>
      <c r="U831" s="103"/>
      <c r="V831" s="125"/>
      <c r="W831" s="428">
        <f t="shared" si="399"/>
        <v>0</v>
      </c>
      <c r="X831" s="103"/>
      <c r="Y831" s="103"/>
      <c r="Z831" s="125"/>
      <c r="AA831" s="428">
        <f t="shared" si="400"/>
        <v>0</v>
      </c>
      <c r="AB831" s="103"/>
      <c r="AC831" s="103">
        <v>2</v>
      </c>
      <c r="AD831" s="103"/>
      <c r="AE831" s="428">
        <f t="shared" si="401"/>
        <v>2</v>
      </c>
      <c r="AF831" s="103"/>
      <c r="AG831" s="103"/>
      <c r="AH831" s="103"/>
      <c r="AI831" s="103"/>
      <c r="AJ831" s="428">
        <f t="shared" si="402"/>
        <v>0</v>
      </c>
      <c r="AK831" s="446"/>
      <c r="AL831" s="446"/>
      <c r="AM831" s="446"/>
      <c r="AN831" s="446"/>
      <c r="AO831" s="446"/>
      <c r="AP831" s="446"/>
      <c r="AQ831" s="446"/>
      <c r="AR831" s="431">
        <f t="shared" si="403"/>
        <v>0</v>
      </c>
      <c r="AT831" s="128"/>
      <c r="AU831" s="100" t="s">
        <v>4507</v>
      </c>
      <c r="AV831" s="128" t="s">
        <v>4525</v>
      </c>
      <c r="AW831" s="100" t="s">
        <v>4528</v>
      </c>
      <c r="AX831" s="433">
        <f t="shared" si="404"/>
        <v>0</v>
      </c>
      <c r="AY831" s="433">
        <f t="shared" si="405"/>
        <v>0</v>
      </c>
      <c r="AZ831" s="433">
        <f t="shared" si="406"/>
        <v>0</v>
      </c>
      <c r="BA831" s="433">
        <f t="shared" si="396"/>
        <v>0</v>
      </c>
      <c r="BB831" s="433">
        <f t="shared" si="397"/>
        <v>0</v>
      </c>
      <c r="BC831" s="433">
        <f t="shared" si="398"/>
        <v>0</v>
      </c>
      <c r="BD831" s="433">
        <f t="shared" si="407"/>
        <v>0</v>
      </c>
      <c r="BE831" s="433">
        <f t="shared" si="408"/>
        <v>0</v>
      </c>
      <c r="BF831" s="433">
        <f t="shared" si="409"/>
        <v>0</v>
      </c>
      <c r="BG831" s="433">
        <f t="shared" si="410"/>
        <v>0</v>
      </c>
      <c r="BH831" s="433">
        <f t="shared" si="411"/>
        <v>0</v>
      </c>
      <c r="BI831" s="433">
        <f t="shared" si="412"/>
        <v>0</v>
      </c>
      <c r="BJ831" s="433">
        <f t="shared" si="413"/>
        <v>0</v>
      </c>
      <c r="BK831" s="433">
        <f t="shared" si="414"/>
        <v>0</v>
      </c>
      <c r="BL831" s="433">
        <f t="shared" si="415"/>
        <v>2</v>
      </c>
      <c r="BM831" s="433">
        <f t="shared" si="416"/>
        <v>0</v>
      </c>
      <c r="BN831" s="433">
        <f t="shared" si="417"/>
        <v>0</v>
      </c>
      <c r="BO831" s="433">
        <f t="shared" si="418"/>
        <v>0</v>
      </c>
      <c r="BP831" s="433">
        <f t="shared" si="419"/>
        <v>0</v>
      </c>
      <c r="BQ831" s="433">
        <f t="shared" si="420"/>
        <v>0</v>
      </c>
    </row>
    <row r="832" spans="1:69" x14ac:dyDescent="0.2">
      <c r="A832" s="102">
        <v>41880</v>
      </c>
      <c r="B832" s="319">
        <v>3</v>
      </c>
      <c r="C832" s="118" t="s">
        <v>4515</v>
      </c>
      <c r="D832" s="111">
        <v>0.65208333333333335</v>
      </c>
      <c r="E832" s="111">
        <v>0.82777777777777783</v>
      </c>
      <c r="F832" s="319">
        <v>39</v>
      </c>
      <c r="G832" s="445">
        <v>9</v>
      </c>
      <c r="H832" s="319"/>
      <c r="I832" s="319"/>
      <c r="J832" s="426">
        <f t="shared" si="393"/>
        <v>253.00000000000006</v>
      </c>
      <c r="K832" s="103"/>
      <c r="L832" s="103"/>
      <c r="M832" s="103"/>
      <c r="N832" s="427">
        <f t="shared" si="394"/>
        <v>0</v>
      </c>
      <c r="O832" s="103"/>
      <c r="P832" s="103"/>
      <c r="Q832" s="103"/>
      <c r="R832" s="428">
        <f t="shared" si="395"/>
        <v>0</v>
      </c>
      <c r="S832" s="103"/>
      <c r="T832" s="103"/>
      <c r="U832" s="103"/>
      <c r="V832" s="125">
        <v>1</v>
      </c>
      <c r="W832" s="428">
        <f t="shared" si="399"/>
        <v>1</v>
      </c>
      <c r="X832" s="103"/>
      <c r="Y832" s="103"/>
      <c r="Z832" s="125"/>
      <c r="AA832" s="428">
        <f t="shared" si="400"/>
        <v>0</v>
      </c>
      <c r="AB832" s="103"/>
      <c r="AC832" s="103">
        <v>1</v>
      </c>
      <c r="AD832" s="103"/>
      <c r="AE832" s="428">
        <f t="shared" si="401"/>
        <v>1</v>
      </c>
      <c r="AF832" s="103">
        <v>1</v>
      </c>
      <c r="AG832" s="103"/>
      <c r="AH832" s="103"/>
      <c r="AI832" s="103"/>
      <c r="AJ832" s="428">
        <f t="shared" si="402"/>
        <v>1</v>
      </c>
      <c r="AK832" s="446"/>
      <c r="AL832" s="446"/>
      <c r="AM832" s="446"/>
      <c r="AN832" s="446"/>
      <c r="AO832" s="446"/>
      <c r="AP832" s="446"/>
      <c r="AQ832" s="446"/>
      <c r="AR832" s="431">
        <f t="shared" si="403"/>
        <v>0</v>
      </c>
      <c r="AT832" s="128"/>
      <c r="AU832" s="100" t="s">
        <v>4507</v>
      </c>
      <c r="AV832" s="128" t="s">
        <v>4525</v>
      </c>
      <c r="AW832" s="100" t="s">
        <v>4528</v>
      </c>
      <c r="AX832" s="433">
        <f t="shared" si="404"/>
        <v>0</v>
      </c>
      <c r="AY832" s="433">
        <f t="shared" si="405"/>
        <v>0</v>
      </c>
      <c r="AZ832" s="433">
        <f t="shared" si="406"/>
        <v>0</v>
      </c>
      <c r="BA832" s="433">
        <f t="shared" si="396"/>
        <v>0</v>
      </c>
      <c r="BB832" s="433">
        <f t="shared" si="397"/>
        <v>0</v>
      </c>
      <c r="BC832" s="433">
        <f t="shared" si="398"/>
        <v>0</v>
      </c>
      <c r="BD832" s="433">
        <f t="shared" si="407"/>
        <v>0</v>
      </c>
      <c r="BE832" s="433">
        <f t="shared" si="408"/>
        <v>0</v>
      </c>
      <c r="BF832" s="433">
        <f t="shared" si="409"/>
        <v>0</v>
      </c>
      <c r="BG832" s="433">
        <f t="shared" si="410"/>
        <v>1</v>
      </c>
      <c r="BH832" s="433">
        <f t="shared" si="411"/>
        <v>0</v>
      </c>
      <c r="BI832" s="433">
        <f t="shared" si="412"/>
        <v>0</v>
      </c>
      <c r="BJ832" s="433">
        <f t="shared" si="413"/>
        <v>0</v>
      </c>
      <c r="BK832" s="433">
        <f t="shared" si="414"/>
        <v>0</v>
      </c>
      <c r="BL832" s="433">
        <f t="shared" si="415"/>
        <v>1</v>
      </c>
      <c r="BM832" s="433">
        <f t="shared" si="416"/>
        <v>0</v>
      </c>
      <c r="BN832" s="433">
        <f t="shared" si="417"/>
        <v>1</v>
      </c>
      <c r="BO832" s="433">
        <f t="shared" si="418"/>
        <v>0</v>
      </c>
      <c r="BP832" s="433">
        <f t="shared" si="419"/>
        <v>0</v>
      </c>
      <c r="BQ832" s="433">
        <f t="shared" si="420"/>
        <v>0</v>
      </c>
    </row>
    <row r="833" spans="1:69" s="291" customFormat="1" x14ac:dyDescent="0.2">
      <c r="A833" s="317">
        <v>41880</v>
      </c>
      <c r="B833" s="318">
        <v>3</v>
      </c>
      <c r="C833" s="320" t="s">
        <v>4516</v>
      </c>
      <c r="D833" s="321">
        <v>0.82777777777777783</v>
      </c>
      <c r="E833" s="321">
        <v>0.84375</v>
      </c>
      <c r="F833" s="318">
        <v>38</v>
      </c>
      <c r="G833" s="435">
        <v>9</v>
      </c>
      <c r="H833" s="318"/>
      <c r="I833" s="318"/>
      <c r="J833" s="437">
        <f t="shared" si="393"/>
        <v>22.999999999999918</v>
      </c>
      <c r="K833" s="285"/>
      <c r="L833" s="285"/>
      <c r="M833" s="285"/>
      <c r="N833" s="438">
        <f t="shared" si="394"/>
        <v>0</v>
      </c>
      <c r="O833" s="285"/>
      <c r="P833" s="285"/>
      <c r="Q833" s="285"/>
      <c r="R833" s="439">
        <f t="shared" si="395"/>
        <v>0</v>
      </c>
      <c r="S833" s="285"/>
      <c r="T833" s="285"/>
      <c r="U833" s="285"/>
      <c r="V833" s="440"/>
      <c r="W833" s="439">
        <f t="shared" si="399"/>
        <v>0</v>
      </c>
      <c r="X833" s="285"/>
      <c r="Y833" s="285"/>
      <c r="Z833" s="440"/>
      <c r="AA833" s="439">
        <f t="shared" si="400"/>
        <v>0</v>
      </c>
      <c r="AB833" s="285"/>
      <c r="AC833" s="285"/>
      <c r="AD833" s="285"/>
      <c r="AE833" s="439">
        <f t="shared" si="401"/>
        <v>0</v>
      </c>
      <c r="AF833" s="285">
        <v>2</v>
      </c>
      <c r="AG833" s="285"/>
      <c r="AH833" s="285"/>
      <c r="AI833" s="285"/>
      <c r="AJ833" s="439">
        <f t="shared" si="402"/>
        <v>2</v>
      </c>
      <c r="AK833" s="340">
        <v>1</v>
      </c>
      <c r="AL833" s="340"/>
      <c r="AM833" s="340"/>
      <c r="AN833" s="340"/>
      <c r="AO833" s="340"/>
      <c r="AP833" s="340"/>
      <c r="AQ833" s="340"/>
      <c r="AR833" s="441">
        <f t="shared" si="403"/>
        <v>1</v>
      </c>
      <c r="AS833" s="291" t="s">
        <v>4517</v>
      </c>
      <c r="AT833" s="313"/>
      <c r="AU833" s="289" t="s">
        <v>4510</v>
      </c>
      <c r="AV833" s="313" t="s">
        <v>4525</v>
      </c>
      <c r="AW833" s="289" t="s">
        <v>4528</v>
      </c>
      <c r="AX833" s="443">
        <f t="shared" si="404"/>
        <v>0</v>
      </c>
      <c r="AY833" s="443">
        <f t="shared" si="405"/>
        <v>0</v>
      </c>
      <c r="AZ833" s="443">
        <f t="shared" si="406"/>
        <v>0</v>
      </c>
      <c r="BA833" s="443">
        <f t="shared" si="396"/>
        <v>0</v>
      </c>
      <c r="BB833" s="443">
        <f t="shared" si="397"/>
        <v>0</v>
      </c>
      <c r="BC833" s="443">
        <f t="shared" si="398"/>
        <v>0</v>
      </c>
      <c r="BD833" s="443">
        <f t="shared" si="407"/>
        <v>0</v>
      </c>
      <c r="BE833" s="443">
        <f t="shared" si="408"/>
        <v>0</v>
      </c>
      <c r="BF833" s="443">
        <f t="shared" si="409"/>
        <v>0</v>
      </c>
      <c r="BG833" s="443">
        <f t="shared" si="410"/>
        <v>0</v>
      </c>
      <c r="BH833" s="443">
        <f t="shared" si="411"/>
        <v>0</v>
      </c>
      <c r="BI833" s="443">
        <f t="shared" si="412"/>
        <v>0</v>
      </c>
      <c r="BJ833" s="443">
        <f t="shared" si="413"/>
        <v>0</v>
      </c>
      <c r="BK833" s="443">
        <f t="shared" si="414"/>
        <v>0</v>
      </c>
      <c r="BL833" s="443">
        <f t="shared" si="415"/>
        <v>0</v>
      </c>
      <c r="BM833" s="443">
        <f t="shared" si="416"/>
        <v>0</v>
      </c>
      <c r="BN833" s="443">
        <f t="shared" si="417"/>
        <v>2</v>
      </c>
      <c r="BO833" s="443">
        <f t="shared" si="418"/>
        <v>0</v>
      </c>
      <c r="BP833" s="443">
        <f t="shared" si="419"/>
        <v>0</v>
      </c>
      <c r="BQ833" s="443">
        <f t="shared" si="420"/>
        <v>0</v>
      </c>
    </row>
    <row r="834" spans="1:69" x14ac:dyDescent="0.2">
      <c r="A834" s="102">
        <v>41881</v>
      </c>
      <c r="B834" s="319">
        <v>1</v>
      </c>
      <c r="C834" s="118" t="s">
        <v>4529</v>
      </c>
      <c r="D834" s="111">
        <v>0.43194444444444446</v>
      </c>
      <c r="E834" s="111">
        <v>0.84583333333333333</v>
      </c>
      <c r="F834" s="319">
        <v>54</v>
      </c>
      <c r="G834" s="445">
        <v>8</v>
      </c>
      <c r="H834" s="319"/>
      <c r="I834" s="319"/>
      <c r="J834" s="426">
        <f t="shared" si="393"/>
        <v>596</v>
      </c>
      <c r="K834" s="103"/>
      <c r="L834" s="103"/>
      <c r="M834" s="103"/>
      <c r="N834" s="427">
        <f t="shared" si="394"/>
        <v>0</v>
      </c>
      <c r="O834" s="103"/>
      <c r="P834" s="103"/>
      <c r="Q834" s="103"/>
      <c r="R834" s="428">
        <f t="shared" si="395"/>
        <v>0</v>
      </c>
      <c r="S834" s="103">
        <v>1</v>
      </c>
      <c r="T834" s="103"/>
      <c r="U834" s="103"/>
      <c r="V834" s="125"/>
      <c r="W834" s="428">
        <f t="shared" si="399"/>
        <v>1</v>
      </c>
      <c r="X834" s="103"/>
      <c r="Y834" s="103">
        <v>1</v>
      </c>
      <c r="Z834" s="125"/>
      <c r="AA834" s="428">
        <f t="shared" si="400"/>
        <v>1</v>
      </c>
      <c r="AB834" s="103"/>
      <c r="AC834" s="103">
        <v>4</v>
      </c>
      <c r="AD834" s="103"/>
      <c r="AE834" s="428">
        <f t="shared" si="401"/>
        <v>4</v>
      </c>
      <c r="AF834" s="103">
        <v>2</v>
      </c>
      <c r="AG834" s="103"/>
      <c r="AH834" s="103">
        <v>1</v>
      </c>
      <c r="AI834" s="103"/>
      <c r="AJ834" s="428">
        <f t="shared" si="402"/>
        <v>3</v>
      </c>
      <c r="AK834" s="446"/>
      <c r="AL834" s="446"/>
      <c r="AM834" s="446"/>
      <c r="AN834" s="446"/>
      <c r="AO834" s="446"/>
      <c r="AP834" s="446"/>
      <c r="AQ834" s="446"/>
      <c r="AR834" s="431">
        <f t="shared" si="403"/>
        <v>0</v>
      </c>
      <c r="AT834" s="128"/>
      <c r="AU834" s="100" t="s">
        <v>4530</v>
      </c>
      <c r="AV834" s="128" t="s">
        <v>4537</v>
      </c>
      <c r="AW834" s="100" t="s">
        <v>4538</v>
      </c>
      <c r="AX834" s="433">
        <f t="shared" si="404"/>
        <v>0</v>
      </c>
      <c r="AY834" s="433">
        <f t="shared" si="405"/>
        <v>0</v>
      </c>
      <c r="AZ834" s="433">
        <f t="shared" si="406"/>
        <v>0</v>
      </c>
      <c r="BA834" s="433">
        <f t="shared" si="396"/>
        <v>0</v>
      </c>
      <c r="BB834" s="433">
        <f t="shared" si="397"/>
        <v>0</v>
      </c>
      <c r="BC834" s="433">
        <f t="shared" si="398"/>
        <v>0</v>
      </c>
      <c r="BD834" s="433">
        <f t="shared" si="407"/>
        <v>1</v>
      </c>
      <c r="BE834" s="433">
        <f t="shared" si="408"/>
        <v>0</v>
      </c>
      <c r="BF834" s="433">
        <f t="shared" si="409"/>
        <v>0</v>
      </c>
      <c r="BG834" s="433">
        <f t="shared" si="410"/>
        <v>0</v>
      </c>
      <c r="BH834" s="433">
        <f t="shared" si="411"/>
        <v>0</v>
      </c>
      <c r="BI834" s="433">
        <f t="shared" si="412"/>
        <v>1</v>
      </c>
      <c r="BJ834" s="433">
        <f t="shared" si="413"/>
        <v>0</v>
      </c>
      <c r="BK834" s="433">
        <f t="shared" si="414"/>
        <v>0</v>
      </c>
      <c r="BL834" s="433">
        <f t="shared" si="415"/>
        <v>4</v>
      </c>
      <c r="BM834" s="433">
        <f t="shared" si="416"/>
        <v>0</v>
      </c>
      <c r="BN834" s="433">
        <f t="shared" si="417"/>
        <v>2</v>
      </c>
      <c r="BO834" s="433">
        <f t="shared" si="418"/>
        <v>0</v>
      </c>
      <c r="BP834" s="433">
        <f t="shared" si="419"/>
        <v>1</v>
      </c>
      <c r="BQ834" s="433">
        <f t="shared" si="420"/>
        <v>0</v>
      </c>
    </row>
    <row r="835" spans="1:69" x14ac:dyDescent="0.2">
      <c r="A835" s="102">
        <v>41881</v>
      </c>
      <c r="B835" s="319">
        <v>2</v>
      </c>
      <c r="C835" s="118" t="s">
        <v>4529</v>
      </c>
      <c r="D835" s="111">
        <v>0.4236111111111111</v>
      </c>
      <c r="E835" s="111">
        <v>0.83333333333333337</v>
      </c>
      <c r="F835" s="319">
        <v>34</v>
      </c>
      <c r="G835" s="445">
        <v>8</v>
      </c>
      <c r="H835" s="319"/>
      <c r="I835" s="319"/>
      <c r="J835" s="426">
        <f t="shared" ref="J835:J890" si="421">(E835-D835)*24*60</f>
        <v>590</v>
      </c>
      <c r="K835" s="103"/>
      <c r="L835" s="103"/>
      <c r="M835" s="103"/>
      <c r="N835" s="427">
        <f t="shared" ref="N835:N890" si="422">SUM(K835:M835)</f>
        <v>0</v>
      </c>
      <c r="O835" s="103"/>
      <c r="P835" s="103"/>
      <c r="Q835" s="103"/>
      <c r="R835" s="428">
        <f t="shared" ref="R835:R890" si="423">SUM(O835:Q835)</f>
        <v>0</v>
      </c>
      <c r="S835" s="103"/>
      <c r="T835" s="103"/>
      <c r="U835" s="103"/>
      <c r="V835" s="125"/>
      <c r="W835" s="428">
        <f t="shared" si="399"/>
        <v>0</v>
      </c>
      <c r="X835" s="103"/>
      <c r="Y835" s="103"/>
      <c r="Z835" s="125"/>
      <c r="AA835" s="428">
        <f t="shared" si="400"/>
        <v>0</v>
      </c>
      <c r="AB835" s="103"/>
      <c r="AC835" s="103">
        <v>2</v>
      </c>
      <c r="AD835" s="103"/>
      <c r="AE835" s="428">
        <f t="shared" si="401"/>
        <v>2</v>
      </c>
      <c r="AF835" s="103">
        <v>1</v>
      </c>
      <c r="AG835" s="103"/>
      <c r="AH835" s="103"/>
      <c r="AI835" s="103"/>
      <c r="AJ835" s="428">
        <f t="shared" si="402"/>
        <v>1</v>
      </c>
      <c r="AK835" s="446"/>
      <c r="AL835" s="446"/>
      <c r="AM835" s="446"/>
      <c r="AN835" s="446"/>
      <c r="AO835" s="446"/>
      <c r="AP835" s="446"/>
      <c r="AQ835" s="446"/>
      <c r="AR835" s="431">
        <f t="shared" si="403"/>
        <v>0</v>
      </c>
      <c r="AS835" s="10" t="s">
        <v>4531</v>
      </c>
      <c r="AT835" s="128"/>
      <c r="AU835" s="100" t="s">
        <v>4532</v>
      </c>
      <c r="AV835" s="128" t="s">
        <v>4537</v>
      </c>
      <c r="AW835" s="100" t="s">
        <v>4538</v>
      </c>
      <c r="AX835" s="433">
        <f t="shared" si="404"/>
        <v>0</v>
      </c>
      <c r="AY835" s="433">
        <f t="shared" si="405"/>
        <v>0</v>
      </c>
      <c r="AZ835" s="433">
        <f t="shared" si="406"/>
        <v>0</v>
      </c>
      <c r="BA835" s="433">
        <f t="shared" ref="BA835:BA890" si="424">O835</f>
        <v>0</v>
      </c>
      <c r="BB835" s="433">
        <f t="shared" ref="BB835:BB890" si="425">P835</f>
        <v>0</v>
      </c>
      <c r="BC835" s="433">
        <f t="shared" ref="BC835:BC890" si="426">Q835</f>
        <v>0</v>
      </c>
      <c r="BD835" s="433">
        <f t="shared" si="407"/>
        <v>0</v>
      </c>
      <c r="BE835" s="433">
        <f t="shared" si="408"/>
        <v>0</v>
      </c>
      <c r="BF835" s="433">
        <f t="shared" si="409"/>
        <v>0</v>
      </c>
      <c r="BG835" s="433">
        <f t="shared" si="410"/>
        <v>0</v>
      </c>
      <c r="BH835" s="433">
        <f t="shared" si="411"/>
        <v>0</v>
      </c>
      <c r="BI835" s="433">
        <f t="shared" si="412"/>
        <v>0</v>
      </c>
      <c r="BJ835" s="433">
        <f t="shared" si="413"/>
        <v>0</v>
      </c>
      <c r="BK835" s="433">
        <f t="shared" si="414"/>
        <v>0</v>
      </c>
      <c r="BL835" s="433">
        <f t="shared" si="415"/>
        <v>2</v>
      </c>
      <c r="BM835" s="433">
        <f t="shared" si="416"/>
        <v>0</v>
      </c>
      <c r="BN835" s="433">
        <f t="shared" si="417"/>
        <v>1</v>
      </c>
      <c r="BO835" s="433">
        <f t="shared" si="418"/>
        <v>0</v>
      </c>
      <c r="BP835" s="433">
        <f t="shared" si="419"/>
        <v>0</v>
      </c>
      <c r="BQ835" s="433">
        <f t="shared" si="420"/>
        <v>0</v>
      </c>
    </row>
    <row r="836" spans="1:69" s="291" customFormat="1" x14ac:dyDescent="0.2">
      <c r="A836" s="317">
        <v>41881</v>
      </c>
      <c r="B836" s="318">
        <v>3</v>
      </c>
      <c r="C836" s="320" t="s">
        <v>4533</v>
      </c>
      <c r="D836" s="321">
        <v>0.45</v>
      </c>
      <c r="E836" s="321">
        <v>0.86458333333333337</v>
      </c>
      <c r="F836" s="318">
        <v>39</v>
      </c>
      <c r="G836" s="435">
        <v>8.5</v>
      </c>
      <c r="H836" s="318"/>
      <c r="I836" s="318"/>
      <c r="J836" s="437">
        <f t="shared" si="421"/>
        <v>597.00000000000011</v>
      </c>
      <c r="K836" s="285"/>
      <c r="L836" s="285"/>
      <c r="M836" s="285"/>
      <c r="N836" s="438">
        <f t="shared" si="422"/>
        <v>0</v>
      </c>
      <c r="O836" s="285"/>
      <c r="P836" s="285"/>
      <c r="Q836" s="285"/>
      <c r="R836" s="439">
        <f t="shared" si="423"/>
        <v>0</v>
      </c>
      <c r="S836" s="285"/>
      <c r="T836" s="285"/>
      <c r="U836" s="285"/>
      <c r="V836" s="440"/>
      <c r="W836" s="439">
        <f t="shared" ref="W836:W890" si="427">SUM(S836:V836)</f>
        <v>0</v>
      </c>
      <c r="X836" s="285"/>
      <c r="Y836" s="285"/>
      <c r="Z836" s="440"/>
      <c r="AA836" s="439">
        <f t="shared" ref="AA836:AA890" si="428">SUM(X836:Z836)</f>
        <v>0</v>
      </c>
      <c r="AB836" s="285"/>
      <c r="AC836" s="285">
        <v>2</v>
      </c>
      <c r="AD836" s="285"/>
      <c r="AE836" s="439">
        <f t="shared" ref="AE836:AE890" si="429">SUM(AB836:AD836)</f>
        <v>2</v>
      </c>
      <c r="AF836" s="285">
        <v>1</v>
      </c>
      <c r="AG836" s="285"/>
      <c r="AH836" s="285"/>
      <c r="AI836" s="285"/>
      <c r="AJ836" s="439">
        <f t="shared" ref="AJ836:AJ890" si="430">SUM(AF836:AI836)</f>
        <v>1</v>
      </c>
      <c r="AK836" s="340"/>
      <c r="AL836" s="340"/>
      <c r="AM836" s="340"/>
      <c r="AN836" s="340"/>
      <c r="AO836" s="340"/>
      <c r="AP836" s="340"/>
      <c r="AQ836" s="340"/>
      <c r="AR836" s="441">
        <f t="shared" ref="AR836:AR890" si="431">SUM(AK836:AQ836)</f>
        <v>0</v>
      </c>
      <c r="AS836" s="291" t="s">
        <v>4534</v>
      </c>
      <c r="AT836" s="313"/>
      <c r="AU836" s="289" t="s">
        <v>4532</v>
      </c>
      <c r="AV836" s="313" t="s">
        <v>4537</v>
      </c>
      <c r="AW836" s="289" t="s">
        <v>4538</v>
      </c>
      <c r="AX836" s="443">
        <f t="shared" ref="AX836:AX890" si="432">K836</f>
        <v>0</v>
      </c>
      <c r="AY836" s="443">
        <f t="shared" ref="AY836:AY890" si="433">L836</f>
        <v>0</v>
      </c>
      <c r="AZ836" s="443">
        <f t="shared" ref="AZ836:AZ890" si="434">M836</f>
        <v>0</v>
      </c>
      <c r="BA836" s="443">
        <f t="shared" si="424"/>
        <v>0</v>
      </c>
      <c r="BB836" s="443">
        <f t="shared" si="425"/>
        <v>0</v>
      </c>
      <c r="BC836" s="443">
        <f t="shared" si="426"/>
        <v>0</v>
      </c>
      <c r="BD836" s="443">
        <f t="shared" ref="BD836:BD890" si="435">S836</f>
        <v>0</v>
      </c>
      <c r="BE836" s="443">
        <f t="shared" ref="BE836:BE890" si="436">T836</f>
        <v>0</v>
      </c>
      <c r="BF836" s="443">
        <f t="shared" ref="BF836:BF890" si="437">U836</f>
        <v>0</v>
      </c>
      <c r="BG836" s="443">
        <f t="shared" ref="BG836:BG890" si="438">V836</f>
        <v>0</v>
      </c>
      <c r="BH836" s="443">
        <f t="shared" ref="BH836:BH890" si="439">X836</f>
        <v>0</v>
      </c>
      <c r="BI836" s="443">
        <f t="shared" ref="BI836:BI890" si="440">Y836</f>
        <v>0</v>
      </c>
      <c r="BJ836" s="443">
        <f t="shared" ref="BJ836:BJ890" si="441">Z836</f>
        <v>0</v>
      </c>
      <c r="BK836" s="443">
        <f t="shared" ref="BK836:BK890" si="442">AB836</f>
        <v>0</v>
      </c>
      <c r="BL836" s="443">
        <f t="shared" ref="BL836:BL890" si="443">AC836</f>
        <v>2</v>
      </c>
      <c r="BM836" s="443">
        <f t="shared" ref="BM836:BM890" si="444">AD836</f>
        <v>0</v>
      </c>
      <c r="BN836" s="443">
        <f t="shared" ref="BN836:BN890" si="445">AF836</f>
        <v>1</v>
      </c>
      <c r="BO836" s="443">
        <f t="shared" ref="BO836:BO890" si="446">AG836</f>
        <v>0</v>
      </c>
      <c r="BP836" s="443">
        <f t="shared" ref="BP836:BP890" si="447">AH836</f>
        <v>0</v>
      </c>
      <c r="BQ836" s="443">
        <f t="shared" ref="BQ836:BQ890" si="448">AI836</f>
        <v>0</v>
      </c>
    </row>
    <row r="837" spans="1:69" x14ac:dyDescent="0.2">
      <c r="A837" s="102">
        <v>41882</v>
      </c>
      <c r="B837" s="319">
        <v>1</v>
      </c>
      <c r="C837" s="118" t="s">
        <v>4546</v>
      </c>
      <c r="D837" s="111">
        <v>0.41666666666666669</v>
      </c>
      <c r="E837" s="111">
        <v>0.60902777777777783</v>
      </c>
      <c r="F837" s="319">
        <v>55</v>
      </c>
      <c r="G837" s="445">
        <v>8</v>
      </c>
      <c r="H837" s="319"/>
      <c r="I837" s="319">
        <v>59.6</v>
      </c>
      <c r="J837" s="426">
        <f t="shared" si="421"/>
        <v>277</v>
      </c>
      <c r="K837" s="103"/>
      <c r="L837" s="103"/>
      <c r="M837" s="103"/>
      <c r="N837" s="427">
        <f t="shared" si="422"/>
        <v>0</v>
      </c>
      <c r="O837" s="103"/>
      <c r="P837" s="103"/>
      <c r="Q837" s="103"/>
      <c r="R837" s="428">
        <f t="shared" si="423"/>
        <v>0</v>
      </c>
      <c r="S837" s="103"/>
      <c r="T837" s="103"/>
      <c r="U837" s="103"/>
      <c r="V837" s="125">
        <v>1</v>
      </c>
      <c r="W837" s="428">
        <f t="shared" si="427"/>
        <v>1</v>
      </c>
      <c r="X837" s="103"/>
      <c r="Y837" s="103"/>
      <c r="Z837" s="125"/>
      <c r="AA837" s="428">
        <f t="shared" si="428"/>
        <v>0</v>
      </c>
      <c r="AB837" s="103"/>
      <c r="AC837" s="103"/>
      <c r="AD837" s="103"/>
      <c r="AE837" s="428">
        <f t="shared" si="429"/>
        <v>0</v>
      </c>
      <c r="AF837" s="103"/>
      <c r="AG837" s="103"/>
      <c r="AH837" s="103"/>
      <c r="AI837" s="103"/>
      <c r="AJ837" s="428">
        <f t="shared" si="430"/>
        <v>0</v>
      </c>
      <c r="AK837" s="446"/>
      <c r="AL837" s="446"/>
      <c r="AM837" s="446"/>
      <c r="AN837" s="446"/>
      <c r="AO837" s="446"/>
      <c r="AP837" s="446"/>
      <c r="AQ837" s="446"/>
      <c r="AR837" s="431">
        <f t="shared" si="431"/>
        <v>0</v>
      </c>
      <c r="AT837" s="128"/>
      <c r="AU837" s="100" t="s">
        <v>4537</v>
      </c>
      <c r="AV837" s="128" t="s">
        <v>4549</v>
      </c>
      <c r="AW837" s="100" t="s">
        <v>4552</v>
      </c>
      <c r="AX837" s="433">
        <f t="shared" si="432"/>
        <v>0</v>
      </c>
      <c r="AY837" s="433">
        <f t="shared" si="433"/>
        <v>0</v>
      </c>
      <c r="AZ837" s="433">
        <f t="shared" si="434"/>
        <v>0</v>
      </c>
      <c r="BA837" s="433">
        <f t="shared" si="424"/>
        <v>0</v>
      </c>
      <c r="BB837" s="433">
        <f t="shared" si="425"/>
        <v>0</v>
      </c>
      <c r="BC837" s="433">
        <f t="shared" si="426"/>
        <v>0</v>
      </c>
      <c r="BD837" s="433">
        <f t="shared" si="435"/>
        <v>0</v>
      </c>
      <c r="BE837" s="433">
        <f t="shared" si="436"/>
        <v>0</v>
      </c>
      <c r="BF837" s="433">
        <f t="shared" si="437"/>
        <v>0</v>
      </c>
      <c r="BG837" s="433">
        <f t="shared" si="438"/>
        <v>1</v>
      </c>
      <c r="BH837" s="433">
        <f t="shared" si="439"/>
        <v>0</v>
      </c>
      <c r="BI837" s="433">
        <f t="shared" si="440"/>
        <v>0</v>
      </c>
      <c r="BJ837" s="433">
        <f t="shared" si="441"/>
        <v>0</v>
      </c>
      <c r="BK837" s="433">
        <f t="shared" si="442"/>
        <v>0</v>
      </c>
      <c r="BL837" s="433">
        <f t="shared" si="443"/>
        <v>0</v>
      </c>
      <c r="BM837" s="433">
        <f t="shared" si="444"/>
        <v>0</v>
      </c>
      <c r="BN837" s="433">
        <f t="shared" si="445"/>
        <v>0</v>
      </c>
      <c r="BO837" s="433">
        <f t="shared" si="446"/>
        <v>0</v>
      </c>
      <c r="BP837" s="433">
        <f t="shared" si="447"/>
        <v>0</v>
      </c>
      <c r="BQ837" s="433">
        <f t="shared" si="448"/>
        <v>0</v>
      </c>
    </row>
    <row r="838" spans="1:69" x14ac:dyDescent="0.2">
      <c r="A838" s="102">
        <v>41882</v>
      </c>
      <c r="B838" s="319">
        <v>1</v>
      </c>
      <c r="C838" s="118" t="s">
        <v>4539</v>
      </c>
      <c r="D838" s="111">
        <v>0.60902777777777783</v>
      </c>
      <c r="E838" s="111">
        <v>0.70833333333333337</v>
      </c>
      <c r="F838" s="319">
        <v>56</v>
      </c>
      <c r="G838" s="445">
        <v>9</v>
      </c>
      <c r="H838" s="319"/>
      <c r="I838" s="319"/>
      <c r="J838" s="426">
        <f t="shared" si="421"/>
        <v>142.99999999999997</v>
      </c>
      <c r="K838" s="103"/>
      <c r="L838" s="103"/>
      <c r="M838" s="103"/>
      <c r="N838" s="427">
        <f t="shared" si="422"/>
        <v>0</v>
      </c>
      <c r="O838" s="103"/>
      <c r="P838" s="103"/>
      <c r="Q838" s="103"/>
      <c r="R838" s="428">
        <f t="shared" si="423"/>
        <v>0</v>
      </c>
      <c r="S838" s="103"/>
      <c r="T838" s="103"/>
      <c r="U838" s="103"/>
      <c r="V838" s="125"/>
      <c r="W838" s="428">
        <f t="shared" si="427"/>
        <v>0</v>
      </c>
      <c r="X838" s="103"/>
      <c r="Y838" s="103"/>
      <c r="Z838" s="125"/>
      <c r="AA838" s="428">
        <f t="shared" si="428"/>
        <v>0</v>
      </c>
      <c r="AB838" s="103"/>
      <c r="AC838" s="103">
        <v>4</v>
      </c>
      <c r="AD838" s="103"/>
      <c r="AE838" s="428">
        <f t="shared" si="429"/>
        <v>4</v>
      </c>
      <c r="AF838" s="103"/>
      <c r="AG838" s="103">
        <v>1</v>
      </c>
      <c r="AH838" s="103"/>
      <c r="AI838" s="103">
        <v>1</v>
      </c>
      <c r="AJ838" s="428">
        <f t="shared" si="430"/>
        <v>2</v>
      </c>
      <c r="AK838" s="446"/>
      <c r="AL838" s="446"/>
      <c r="AM838" s="446"/>
      <c r="AN838" s="446"/>
      <c r="AO838" s="446"/>
      <c r="AP838" s="446"/>
      <c r="AQ838" s="446"/>
      <c r="AR838" s="431">
        <f t="shared" si="431"/>
        <v>0</v>
      </c>
      <c r="AT838" s="128"/>
      <c r="AU838" s="100" t="s">
        <v>4540</v>
      </c>
      <c r="AV838" s="128" t="s">
        <v>4549</v>
      </c>
      <c r="AW838" s="100" t="s">
        <v>4552</v>
      </c>
      <c r="AX838" s="433">
        <f t="shared" si="432"/>
        <v>0</v>
      </c>
      <c r="AY838" s="433">
        <f t="shared" si="433"/>
        <v>0</v>
      </c>
      <c r="AZ838" s="433">
        <f t="shared" si="434"/>
        <v>0</v>
      </c>
      <c r="BA838" s="433">
        <f t="shared" si="424"/>
        <v>0</v>
      </c>
      <c r="BB838" s="433">
        <f t="shared" si="425"/>
        <v>0</v>
      </c>
      <c r="BC838" s="433">
        <f t="shared" si="426"/>
        <v>0</v>
      </c>
      <c r="BD838" s="433">
        <f t="shared" si="435"/>
        <v>0</v>
      </c>
      <c r="BE838" s="433">
        <f t="shared" si="436"/>
        <v>0</v>
      </c>
      <c r="BF838" s="433">
        <f t="shared" si="437"/>
        <v>0</v>
      </c>
      <c r="BG838" s="433">
        <f t="shared" si="438"/>
        <v>0</v>
      </c>
      <c r="BH838" s="433">
        <f t="shared" si="439"/>
        <v>0</v>
      </c>
      <c r="BI838" s="433">
        <f t="shared" si="440"/>
        <v>0</v>
      </c>
      <c r="BJ838" s="433">
        <f t="shared" si="441"/>
        <v>0</v>
      </c>
      <c r="BK838" s="433">
        <f t="shared" si="442"/>
        <v>0</v>
      </c>
      <c r="BL838" s="433">
        <f t="shared" si="443"/>
        <v>4</v>
      </c>
      <c r="BM838" s="433">
        <f t="shared" si="444"/>
        <v>0</v>
      </c>
      <c r="BN838" s="433">
        <f t="shared" si="445"/>
        <v>0</v>
      </c>
      <c r="BO838" s="433">
        <f t="shared" si="446"/>
        <v>1</v>
      </c>
      <c r="BP838" s="433">
        <f t="shared" si="447"/>
        <v>0</v>
      </c>
      <c r="BQ838" s="433">
        <f t="shared" si="448"/>
        <v>1</v>
      </c>
    </row>
    <row r="839" spans="1:69" x14ac:dyDescent="0.2">
      <c r="A839" s="102">
        <v>41882</v>
      </c>
      <c r="B839" s="319">
        <v>1</v>
      </c>
      <c r="C839" s="118" t="s">
        <v>4541</v>
      </c>
      <c r="D839" s="111">
        <v>0.70833333333333337</v>
      </c>
      <c r="E839" s="111">
        <v>0.80694444444444446</v>
      </c>
      <c r="F839" s="319">
        <v>58</v>
      </c>
      <c r="G839" s="445">
        <v>9</v>
      </c>
      <c r="H839" s="319"/>
      <c r="I839" s="319"/>
      <c r="J839" s="426">
        <f t="shared" si="421"/>
        <v>141.99999999999997</v>
      </c>
      <c r="K839" s="103"/>
      <c r="L839" s="103"/>
      <c r="M839" s="103"/>
      <c r="N839" s="427">
        <f t="shared" si="422"/>
        <v>0</v>
      </c>
      <c r="O839" s="103"/>
      <c r="P839" s="103"/>
      <c r="Q839" s="103"/>
      <c r="R839" s="428">
        <f t="shared" si="423"/>
        <v>0</v>
      </c>
      <c r="S839" s="103"/>
      <c r="T839" s="103"/>
      <c r="U839" s="103"/>
      <c r="V839" s="125"/>
      <c r="W839" s="428">
        <f t="shared" si="427"/>
        <v>0</v>
      </c>
      <c r="X839" s="103"/>
      <c r="Y839" s="103"/>
      <c r="Z839" s="125"/>
      <c r="AA839" s="428">
        <f t="shared" si="428"/>
        <v>0</v>
      </c>
      <c r="AB839" s="103"/>
      <c r="AC839" s="103">
        <v>1</v>
      </c>
      <c r="AD839" s="103"/>
      <c r="AE839" s="428">
        <f t="shared" si="429"/>
        <v>1</v>
      </c>
      <c r="AF839" s="103"/>
      <c r="AG839" s="103"/>
      <c r="AH839" s="103"/>
      <c r="AI839" s="103"/>
      <c r="AJ839" s="428">
        <f t="shared" si="430"/>
        <v>0</v>
      </c>
      <c r="AK839" s="446">
        <v>1</v>
      </c>
      <c r="AL839" s="446"/>
      <c r="AM839" s="446"/>
      <c r="AN839" s="446"/>
      <c r="AO839" s="446"/>
      <c r="AP839" s="446"/>
      <c r="AQ839" s="446"/>
      <c r="AR839" s="431">
        <f t="shared" si="431"/>
        <v>1</v>
      </c>
      <c r="AT839" s="128"/>
      <c r="AU839" s="100" t="s">
        <v>4537</v>
      </c>
      <c r="AV839" s="128" t="s">
        <v>4549</v>
      </c>
      <c r="AW839" s="100" t="s">
        <v>4552</v>
      </c>
      <c r="AX839" s="433">
        <f t="shared" si="432"/>
        <v>0</v>
      </c>
      <c r="AY839" s="433">
        <f t="shared" si="433"/>
        <v>0</v>
      </c>
      <c r="AZ839" s="433">
        <f t="shared" si="434"/>
        <v>0</v>
      </c>
      <c r="BA839" s="433">
        <f t="shared" si="424"/>
        <v>0</v>
      </c>
      <c r="BB839" s="433">
        <f t="shared" si="425"/>
        <v>0</v>
      </c>
      <c r="BC839" s="433">
        <f t="shared" si="426"/>
        <v>0</v>
      </c>
      <c r="BD839" s="433">
        <f t="shared" si="435"/>
        <v>0</v>
      </c>
      <c r="BE839" s="433">
        <f t="shared" si="436"/>
        <v>0</v>
      </c>
      <c r="BF839" s="433">
        <f t="shared" si="437"/>
        <v>0</v>
      </c>
      <c r="BG839" s="433">
        <f t="shared" si="438"/>
        <v>0</v>
      </c>
      <c r="BH839" s="433">
        <f t="shared" si="439"/>
        <v>0</v>
      </c>
      <c r="BI839" s="433">
        <f t="shared" si="440"/>
        <v>0</v>
      </c>
      <c r="BJ839" s="433">
        <f t="shared" si="441"/>
        <v>0</v>
      </c>
      <c r="BK839" s="433">
        <f t="shared" si="442"/>
        <v>0</v>
      </c>
      <c r="BL839" s="433">
        <f t="shared" si="443"/>
        <v>1</v>
      </c>
      <c r="BM839" s="433">
        <f t="shared" si="444"/>
        <v>0</v>
      </c>
      <c r="BN839" s="433">
        <f t="shared" si="445"/>
        <v>0</v>
      </c>
      <c r="BO839" s="433">
        <f t="shared" si="446"/>
        <v>0</v>
      </c>
      <c r="BP839" s="433">
        <f t="shared" si="447"/>
        <v>0</v>
      </c>
      <c r="BQ839" s="433">
        <f t="shared" si="448"/>
        <v>0</v>
      </c>
    </row>
    <row r="840" spans="1:69" x14ac:dyDescent="0.2">
      <c r="A840" s="102">
        <v>41882</v>
      </c>
      <c r="B840" s="319">
        <v>2</v>
      </c>
      <c r="C840" s="118" t="s">
        <v>4547</v>
      </c>
      <c r="D840" s="111">
        <v>0.40833333333333338</v>
      </c>
      <c r="E840" s="111">
        <v>0.58333333333333337</v>
      </c>
      <c r="F840" s="319">
        <v>32</v>
      </c>
      <c r="G840" s="445">
        <v>7</v>
      </c>
      <c r="H840" s="319"/>
      <c r="I840" s="319"/>
      <c r="J840" s="426">
        <f t="shared" si="421"/>
        <v>251.99999999999994</v>
      </c>
      <c r="K840" s="103"/>
      <c r="L840" s="103"/>
      <c r="M840" s="103"/>
      <c r="N840" s="427">
        <f t="shared" si="422"/>
        <v>0</v>
      </c>
      <c r="O840" s="103"/>
      <c r="P840" s="103"/>
      <c r="Q840" s="103"/>
      <c r="R840" s="428">
        <f t="shared" si="423"/>
        <v>0</v>
      </c>
      <c r="S840" s="103"/>
      <c r="T840" s="103"/>
      <c r="U840" s="103"/>
      <c r="V840" s="125"/>
      <c r="W840" s="428">
        <f t="shared" si="427"/>
        <v>0</v>
      </c>
      <c r="X840" s="103"/>
      <c r="Y840" s="103"/>
      <c r="Z840" s="125"/>
      <c r="AA840" s="428">
        <f t="shared" si="428"/>
        <v>0</v>
      </c>
      <c r="AB840" s="103"/>
      <c r="AC840" s="103">
        <v>1</v>
      </c>
      <c r="AD840" s="103"/>
      <c r="AE840" s="428">
        <f t="shared" si="429"/>
        <v>1</v>
      </c>
      <c r="AF840" s="103"/>
      <c r="AG840" s="103"/>
      <c r="AH840" s="103"/>
      <c r="AI840" s="103"/>
      <c r="AJ840" s="428">
        <f t="shared" si="430"/>
        <v>0</v>
      </c>
      <c r="AK840" s="446"/>
      <c r="AL840" s="446"/>
      <c r="AM840" s="446"/>
      <c r="AN840" s="446"/>
      <c r="AO840" s="446"/>
      <c r="AP840" s="446"/>
      <c r="AQ840" s="446"/>
      <c r="AR840" s="431">
        <f t="shared" si="431"/>
        <v>0</v>
      </c>
      <c r="AT840" s="128"/>
      <c r="AU840" s="100" t="s">
        <v>4537</v>
      </c>
      <c r="AV840" s="128" t="s">
        <v>4549</v>
      </c>
      <c r="AW840" s="100" t="s">
        <v>4552</v>
      </c>
      <c r="AX840" s="433">
        <f t="shared" si="432"/>
        <v>0</v>
      </c>
      <c r="AY840" s="433">
        <f t="shared" si="433"/>
        <v>0</v>
      </c>
      <c r="AZ840" s="433">
        <f t="shared" si="434"/>
        <v>0</v>
      </c>
      <c r="BA840" s="433">
        <f t="shared" si="424"/>
        <v>0</v>
      </c>
      <c r="BB840" s="433">
        <f t="shared" si="425"/>
        <v>0</v>
      </c>
      <c r="BC840" s="433">
        <f t="shared" si="426"/>
        <v>0</v>
      </c>
      <c r="BD840" s="433">
        <f t="shared" si="435"/>
        <v>0</v>
      </c>
      <c r="BE840" s="433">
        <f t="shared" si="436"/>
        <v>0</v>
      </c>
      <c r="BF840" s="433">
        <f t="shared" si="437"/>
        <v>0</v>
      </c>
      <c r="BG840" s="433">
        <f t="shared" si="438"/>
        <v>0</v>
      </c>
      <c r="BH840" s="433">
        <f t="shared" si="439"/>
        <v>0</v>
      </c>
      <c r="BI840" s="433">
        <f t="shared" si="440"/>
        <v>0</v>
      </c>
      <c r="BJ840" s="433">
        <f t="shared" si="441"/>
        <v>0</v>
      </c>
      <c r="BK840" s="433">
        <f t="shared" si="442"/>
        <v>0</v>
      </c>
      <c r="BL840" s="433">
        <f t="shared" si="443"/>
        <v>1</v>
      </c>
      <c r="BM840" s="433">
        <f t="shared" si="444"/>
        <v>0</v>
      </c>
      <c r="BN840" s="433">
        <f t="shared" si="445"/>
        <v>0</v>
      </c>
      <c r="BO840" s="433">
        <f t="shared" si="446"/>
        <v>0</v>
      </c>
      <c r="BP840" s="433">
        <f t="shared" si="447"/>
        <v>0</v>
      </c>
      <c r="BQ840" s="433">
        <f t="shared" si="448"/>
        <v>0</v>
      </c>
    </row>
    <row r="841" spans="1:69" x14ac:dyDescent="0.2">
      <c r="A841" s="102">
        <v>41882</v>
      </c>
      <c r="B841" s="319">
        <v>2</v>
      </c>
      <c r="C841" s="118" t="s">
        <v>4539</v>
      </c>
      <c r="D841" s="111">
        <v>0.58333333333333337</v>
      </c>
      <c r="E841" s="111">
        <v>0.69791666666666663</v>
      </c>
      <c r="F841" s="319">
        <v>35</v>
      </c>
      <c r="G841" s="445">
        <v>8</v>
      </c>
      <c r="H841" s="319"/>
      <c r="I841" s="319"/>
      <c r="J841" s="426">
        <f t="shared" si="421"/>
        <v>164.99999999999989</v>
      </c>
      <c r="K841" s="103"/>
      <c r="L841" s="103"/>
      <c r="M841" s="103"/>
      <c r="N841" s="427">
        <f t="shared" si="422"/>
        <v>0</v>
      </c>
      <c r="O841" s="103"/>
      <c r="P841" s="103"/>
      <c r="Q841" s="103"/>
      <c r="R841" s="428">
        <f t="shared" si="423"/>
        <v>0</v>
      </c>
      <c r="S841" s="103"/>
      <c r="T841" s="103"/>
      <c r="U841" s="103"/>
      <c r="V841" s="125"/>
      <c r="W841" s="428">
        <f t="shared" si="427"/>
        <v>0</v>
      </c>
      <c r="X841" s="103"/>
      <c r="Y841" s="103"/>
      <c r="Z841" s="125"/>
      <c r="AA841" s="428">
        <f t="shared" si="428"/>
        <v>0</v>
      </c>
      <c r="AB841" s="103"/>
      <c r="AC841" s="103">
        <v>4</v>
      </c>
      <c r="AD841" s="103"/>
      <c r="AE841" s="428">
        <f t="shared" si="429"/>
        <v>4</v>
      </c>
      <c r="AF841" s="103"/>
      <c r="AG841" s="103"/>
      <c r="AH841" s="103"/>
      <c r="AI841" s="103"/>
      <c r="AJ841" s="428">
        <f t="shared" si="430"/>
        <v>0</v>
      </c>
      <c r="AK841" s="446"/>
      <c r="AL841" s="446"/>
      <c r="AM841" s="446"/>
      <c r="AN841" s="446"/>
      <c r="AO841" s="446"/>
      <c r="AP841" s="446"/>
      <c r="AQ841" s="446"/>
      <c r="AR841" s="431">
        <f t="shared" si="431"/>
        <v>0</v>
      </c>
      <c r="AT841" s="128"/>
      <c r="AU841" s="100" t="s">
        <v>4537</v>
      </c>
      <c r="AV841" s="128" t="s">
        <v>4549</v>
      </c>
      <c r="AW841" s="100" t="s">
        <v>4552</v>
      </c>
      <c r="AX841" s="433">
        <f t="shared" si="432"/>
        <v>0</v>
      </c>
      <c r="AY841" s="433">
        <f t="shared" si="433"/>
        <v>0</v>
      </c>
      <c r="AZ841" s="433">
        <f t="shared" si="434"/>
        <v>0</v>
      </c>
      <c r="BA841" s="433">
        <f t="shared" si="424"/>
        <v>0</v>
      </c>
      <c r="BB841" s="433">
        <f t="shared" si="425"/>
        <v>0</v>
      </c>
      <c r="BC841" s="433">
        <f t="shared" si="426"/>
        <v>0</v>
      </c>
      <c r="BD841" s="433">
        <f t="shared" si="435"/>
        <v>0</v>
      </c>
      <c r="BE841" s="433">
        <f t="shared" si="436"/>
        <v>0</v>
      </c>
      <c r="BF841" s="433">
        <f t="shared" si="437"/>
        <v>0</v>
      </c>
      <c r="BG841" s="433">
        <f t="shared" si="438"/>
        <v>0</v>
      </c>
      <c r="BH841" s="433">
        <f t="shared" si="439"/>
        <v>0</v>
      </c>
      <c r="BI841" s="433">
        <f t="shared" si="440"/>
        <v>0</v>
      </c>
      <c r="BJ841" s="433">
        <f t="shared" si="441"/>
        <v>0</v>
      </c>
      <c r="BK841" s="433">
        <f t="shared" si="442"/>
        <v>0</v>
      </c>
      <c r="BL841" s="433">
        <f t="shared" si="443"/>
        <v>4</v>
      </c>
      <c r="BM841" s="433">
        <f t="shared" si="444"/>
        <v>0</v>
      </c>
      <c r="BN841" s="433">
        <f t="shared" si="445"/>
        <v>0</v>
      </c>
      <c r="BO841" s="433">
        <f t="shared" si="446"/>
        <v>0</v>
      </c>
      <c r="BP841" s="433">
        <f t="shared" si="447"/>
        <v>0</v>
      </c>
      <c r="BQ841" s="433">
        <f t="shared" si="448"/>
        <v>0</v>
      </c>
    </row>
    <row r="842" spans="1:69" x14ac:dyDescent="0.2">
      <c r="A842" s="102">
        <v>41882</v>
      </c>
      <c r="B842" s="319">
        <v>2</v>
      </c>
      <c r="C842" s="118" t="s">
        <v>4541</v>
      </c>
      <c r="D842" s="111">
        <v>0.69791666666666663</v>
      </c>
      <c r="E842" s="111">
        <v>0.7944444444444444</v>
      </c>
      <c r="F842" s="319">
        <v>36</v>
      </c>
      <c r="G842" s="445">
        <v>9</v>
      </c>
      <c r="H842" s="319"/>
      <c r="I842" s="319"/>
      <c r="J842" s="426">
        <f t="shared" si="421"/>
        <v>139</v>
      </c>
      <c r="K842" s="103"/>
      <c r="L842" s="103"/>
      <c r="M842" s="103"/>
      <c r="N842" s="427">
        <f t="shared" si="422"/>
        <v>0</v>
      </c>
      <c r="O842" s="103"/>
      <c r="P842" s="103"/>
      <c r="Q842" s="103"/>
      <c r="R842" s="428">
        <f t="shared" si="423"/>
        <v>0</v>
      </c>
      <c r="S842" s="103"/>
      <c r="T842" s="103"/>
      <c r="U842" s="103"/>
      <c r="V842" s="125"/>
      <c r="W842" s="428">
        <f t="shared" si="427"/>
        <v>0</v>
      </c>
      <c r="X842" s="103"/>
      <c r="Y842" s="103"/>
      <c r="Z842" s="125"/>
      <c r="AA842" s="428">
        <f t="shared" si="428"/>
        <v>0</v>
      </c>
      <c r="AB842" s="103"/>
      <c r="AC842" s="103">
        <v>2</v>
      </c>
      <c r="AD842" s="103"/>
      <c r="AE842" s="428">
        <f t="shared" si="429"/>
        <v>2</v>
      </c>
      <c r="AF842" s="103"/>
      <c r="AG842" s="103">
        <v>1</v>
      </c>
      <c r="AH842" s="103"/>
      <c r="AI842" s="103"/>
      <c r="AJ842" s="428">
        <f t="shared" si="430"/>
        <v>1</v>
      </c>
      <c r="AK842" s="446"/>
      <c r="AL842" s="446"/>
      <c r="AM842" s="446"/>
      <c r="AN842" s="446"/>
      <c r="AO842" s="446"/>
      <c r="AP842" s="446"/>
      <c r="AQ842" s="446"/>
      <c r="AR842" s="431">
        <f t="shared" si="431"/>
        <v>0</v>
      </c>
      <c r="AT842" s="128"/>
      <c r="AU842" s="100" t="s">
        <v>4537</v>
      </c>
      <c r="AV842" s="128" t="s">
        <v>4549</v>
      </c>
      <c r="AW842" s="100" t="s">
        <v>4552</v>
      </c>
      <c r="AX842" s="433">
        <f t="shared" si="432"/>
        <v>0</v>
      </c>
      <c r="AY842" s="433">
        <f t="shared" si="433"/>
        <v>0</v>
      </c>
      <c r="AZ842" s="433">
        <f t="shared" si="434"/>
        <v>0</v>
      </c>
      <c r="BA842" s="433">
        <f t="shared" si="424"/>
        <v>0</v>
      </c>
      <c r="BB842" s="433">
        <f t="shared" si="425"/>
        <v>0</v>
      </c>
      <c r="BC842" s="433">
        <f t="shared" si="426"/>
        <v>0</v>
      </c>
      <c r="BD842" s="433">
        <f t="shared" si="435"/>
        <v>0</v>
      </c>
      <c r="BE842" s="433">
        <f t="shared" si="436"/>
        <v>0</v>
      </c>
      <c r="BF842" s="433">
        <f t="shared" si="437"/>
        <v>0</v>
      </c>
      <c r="BG842" s="433">
        <f t="shared" si="438"/>
        <v>0</v>
      </c>
      <c r="BH842" s="433">
        <f t="shared" si="439"/>
        <v>0</v>
      </c>
      <c r="BI842" s="433">
        <f t="shared" si="440"/>
        <v>0</v>
      </c>
      <c r="BJ842" s="433">
        <f t="shared" si="441"/>
        <v>0</v>
      </c>
      <c r="BK842" s="433">
        <f t="shared" si="442"/>
        <v>0</v>
      </c>
      <c r="BL842" s="433">
        <f t="shared" si="443"/>
        <v>2</v>
      </c>
      <c r="BM842" s="433">
        <f t="shared" si="444"/>
        <v>0</v>
      </c>
      <c r="BN842" s="433">
        <f t="shared" si="445"/>
        <v>0</v>
      </c>
      <c r="BO842" s="433">
        <f t="shared" si="446"/>
        <v>1</v>
      </c>
      <c r="BP842" s="433">
        <f t="shared" si="447"/>
        <v>0</v>
      </c>
      <c r="BQ842" s="433">
        <f t="shared" si="448"/>
        <v>0</v>
      </c>
    </row>
    <row r="843" spans="1:69" x14ac:dyDescent="0.2">
      <c r="A843" s="102">
        <v>41882</v>
      </c>
      <c r="B843" s="319">
        <v>3</v>
      </c>
      <c r="C843" s="118" t="s">
        <v>4542</v>
      </c>
      <c r="D843" s="111">
        <v>0.41250000000000003</v>
      </c>
      <c r="E843" s="111">
        <v>0.60416666666666663</v>
      </c>
      <c r="F843" s="319">
        <v>40</v>
      </c>
      <c r="G843" s="445">
        <v>7</v>
      </c>
      <c r="H843" s="319"/>
      <c r="I843" s="319"/>
      <c r="J843" s="426">
        <f t="shared" si="421"/>
        <v>275.99999999999989</v>
      </c>
      <c r="K843" s="103"/>
      <c r="L843" s="103"/>
      <c r="M843" s="103"/>
      <c r="N843" s="427">
        <f t="shared" si="422"/>
        <v>0</v>
      </c>
      <c r="O843" s="103"/>
      <c r="P843" s="103"/>
      <c r="Q843" s="103"/>
      <c r="R843" s="428">
        <f t="shared" si="423"/>
        <v>0</v>
      </c>
      <c r="S843" s="103"/>
      <c r="T843" s="103"/>
      <c r="U843" s="103"/>
      <c r="V843" s="125"/>
      <c r="W843" s="428">
        <f t="shared" si="427"/>
        <v>0</v>
      </c>
      <c r="X843" s="103"/>
      <c r="Y843" s="103"/>
      <c r="Z843" s="125"/>
      <c r="AA843" s="428">
        <f t="shared" si="428"/>
        <v>0</v>
      </c>
      <c r="AB843" s="103"/>
      <c r="AC843" s="103"/>
      <c r="AD843" s="103"/>
      <c r="AE843" s="428">
        <f t="shared" si="429"/>
        <v>0</v>
      </c>
      <c r="AF843" s="103"/>
      <c r="AG843" s="103"/>
      <c r="AH843" s="103"/>
      <c r="AI843" s="103"/>
      <c r="AJ843" s="428">
        <f t="shared" si="430"/>
        <v>0</v>
      </c>
      <c r="AK843" s="446"/>
      <c r="AL843" s="446"/>
      <c r="AM843" s="446">
        <v>1</v>
      </c>
      <c r="AN843" s="446"/>
      <c r="AO843" s="446"/>
      <c r="AP843" s="446"/>
      <c r="AQ843" s="446"/>
      <c r="AR843" s="431">
        <f t="shared" si="431"/>
        <v>1</v>
      </c>
      <c r="AT843" s="128"/>
      <c r="AU843" s="100" t="s">
        <v>4537</v>
      </c>
      <c r="AV843" s="128" t="s">
        <v>4549</v>
      </c>
      <c r="AW843" s="100" t="s">
        <v>4552</v>
      </c>
      <c r="AX843" s="433">
        <f t="shared" si="432"/>
        <v>0</v>
      </c>
      <c r="AY843" s="433">
        <f t="shared" si="433"/>
        <v>0</v>
      </c>
      <c r="AZ843" s="433">
        <f t="shared" si="434"/>
        <v>0</v>
      </c>
      <c r="BA843" s="433">
        <f t="shared" si="424"/>
        <v>0</v>
      </c>
      <c r="BB843" s="433">
        <f t="shared" si="425"/>
        <v>0</v>
      </c>
      <c r="BC843" s="433">
        <f t="shared" si="426"/>
        <v>0</v>
      </c>
      <c r="BD843" s="433">
        <f t="shared" si="435"/>
        <v>0</v>
      </c>
      <c r="BE843" s="433">
        <f t="shared" si="436"/>
        <v>0</v>
      </c>
      <c r="BF843" s="433">
        <f t="shared" si="437"/>
        <v>0</v>
      </c>
      <c r="BG843" s="433">
        <f t="shared" si="438"/>
        <v>0</v>
      </c>
      <c r="BH843" s="433">
        <f t="shared" si="439"/>
        <v>0</v>
      </c>
      <c r="BI843" s="433">
        <f t="shared" si="440"/>
        <v>0</v>
      </c>
      <c r="BJ843" s="433">
        <f t="shared" si="441"/>
        <v>0</v>
      </c>
      <c r="BK843" s="433">
        <f t="shared" si="442"/>
        <v>0</v>
      </c>
      <c r="BL843" s="433">
        <f t="shared" si="443"/>
        <v>0</v>
      </c>
      <c r="BM843" s="433">
        <f t="shared" si="444"/>
        <v>0</v>
      </c>
      <c r="BN843" s="433">
        <f t="shared" si="445"/>
        <v>0</v>
      </c>
      <c r="BO843" s="433">
        <f t="shared" si="446"/>
        <v>0</v>
      </c>
      <c r="BP843" s="433">
        <f t="shared" si="447"/>
        <v>0</v>
      </c>
      <c r="BQ843" s="433">
        <f t="shared" si="448"/>
        <v>0</v>
      </c>
    </row>
    <row r="844" spans="1:69" x14ac:dyDescent="0.2">
      <c r="A844" s="102">
        <v>41882</v>
      </c>
      <c r="B844" s="319">
        <v>3</v>
      </c>
      <c r="C844" s="118" t="s">
        <v>4539</v>
      </c>
      <c r="D844" s="111">
        <v>0.60416666666666663</v>
      </c>
      <c r="E844" s="111">
        <v>0.72916666666666663</v>
      </c>
      <c r="F844" s="319">
        <v>42</v>
      </c>
      <c r="G844" s="445">
        <v>8</v>
      </c>
      <c r="H844" s="319"/>
      <c r="I844" s="319"/>
      <c r="J844" s="426">
        <f t="shared" si="421"/>
        <v>180</v>
      </c>
      <c r="K844" s="103"/>
      <c r="L844" s="103"/>
      <c r="M844" s="103"/>
      <c r="N844" s="427">
        <f t="shared" si="422"/>
        <v>0</v>
      </c>
      <c r="O844" s="103"/>
      <c r="P844" s="103"/>
      <c r="Q844" s="103"/>
      <c r="R844" s="428">
        <f t="shared" si="423"/>
        <v>0</v>
      </c>
      <c r="S844" s="103"/>
      <c r="T844" s="103"/>
      <c r="U844" s="103"/>
      <c r="V844" s="125"/>
      <c r="W844" s="428">
        <f t="shared" si="427"/>
        <v>0</v>
      </c>
      <c r="X844" s="103"/>
      <c r="Y844" s="103"/>
      <c r="Z844" s="125"/>
      <c r="AA844" s="428">
        <f t="shared" si="428"/>
        <v>0</v>
      </c>
      <c r="AB844" s="103"/>
      <c r="AC844" s="103">
        <v>1</v>
      </c>
      <c r="AD844" s="103"/>
      <c r="AE844" s="428">
        <f t="shared" si="429"/>
        <v>1</v>
      </c>
      <c r="AF844" s="103">
        <v>2</v>
      </c>
      <c r="AG844" s="103"/>
      <c r="AH844" s="103"/>
      <c r="AI844" s="103"/>
      <c r="AJ844" s="428">
        <f t="shared" si="430"/>
        <v>2</v>
      </c>
      <c r="AK844" s="446"/>
      <c r="AL844" s="446"/>
      <c r="AM844" s="446"/>
      <c r="AN844" s="446"/>
      <c r="AO844" s="446"/>
      <c r="AP844" s="446"/>
      <c r="AQ844" s="446"/>
      <c r="AR844" s="431">
        <f t="shared" si="431"/>
        <v>0</v>
      </c>
      <c r="AT844" s="128" t="s">
        <v>4548</v>
      </c>
      <c r="AU844" s="100" t="s">
        <v>4537</v>
      </c>
      <c r="AV844" s="128" t="s">
        <v>4549</v>
      </c>
      <c r="AW844" s="100" t="s">
        <v>4552</v>
      </c>
      <c r="AX844" s="433">
        <f t="shared" si="432"/>
        <v>0</v>
      </c>
      <c r="AY844" s="433">
        <f t="shared" si="433"/>
        <v>0</v>
      </c>
      <c r="AZ844" s="433">
        <f t="shared" si="434"/>
        <v>0</v>
      </c>
      <c r="BA844" s="433">
        <f t="shared" si="424"/>
        <v>0</v>
      </c>
      <c r="BB844" s="433">
        <f t="shared" si="425"/>
        <v>0</v>
      </c>
      <c r="BC844" s="433">
        <f t="shared" si="426"/>
        <v>0</v>
      </c>
      <c r="BD844" s="433">
        <f t="shared" si="435"/>
        <v>0</v>
      </c>
      <c r="BE844" s="433">
        <f t="shared" si="436"/>
        <v>0</v>
      </c>
      <c r="BF844" s="433">
        <f t="shared" si="437"/>
        <v>0</v>
      </c>
      <c r="BG844" s="433">
        <f t="shared" si="438"/>
        <v>0</v>
      </c>
      <c r="BH844" s="433">
        <f t="shared" si="439"/>
        <v>0</v>
      </c>
      <c r="BI844" s="433">
        <f t="shared" si="440"/>
        <v>0</v>
      </c>
      <c r="BJ844" s="433">
        <f t="shared" si="441"/>
        <v>0</v>
      </c>
      <c r="BK844" s="433">
        <f t="shared" si="442"/>
        <v>0</v>
      </c>
      <c r="BL844" s="433">
        <f t="shared" si="443"/>
        <v>1</v>
      </c>
      <c r="BM844" s="433">
        <f t="shared" si="444"/>
        <v>0</v>
      </c>
      <c r="BN844" s="433">
        <f t="shared" si="445"/>
        <v>2</v>
      </c>
      <c r="BO844" s="433">
        <f t="shared" si="446"/>
        <v>0</v>
      </c>
      <c r="BP844" s="433">
        <f t="shared" si="447"/>
        <v>0</v>
      </c>
      <c r="BQ844" s="433">
        <f t="shared" si="448"/>
        <v>0</v>
      </c>
    </row>
    <row r="845" spans="1:69" s="291" customFormat="1" x14ac:dyDescent="0.2">
      <c r="A845" s="317">
        <v>41882</v>
      </c>
      <c r="B845" s="318">
        <v>3</v>
      </c>
      <c r="C845" s="320" t="s">
        <v>4541</v>
      </c>
      <c r="D845" s="321">
        <v>0.72916666666666663</v>
      </c>
      <c r="E845" s="321">
        <v>0.81944444444444453</v>
      </c>
      <c r="F845" s="318">
        <v>43</v>
      </c>
      <c r="G845" s="435">
        <v>9</v>
      </c>
      <c r="H845" s="318"/>
      <c r="I845" s="318"/>
      <c r="J845" s="437">
        <f t="shared" si="421"/>
        <v>130.00000000000017</v>
      </c>
      <c r="K845" s="285"/>
      <c r="L845" s="285"/>
      <c r="M845" s="285"/>
      <c r="N845" s="438">
        <f t="shared" si="422"/>
        <v>0</v>
      </c>
      <c r="O845" s="285"/>
      <c r="P845" s="285"/>
      <c r="Q845" s="285"/>
      <c r="R845" s="439">
        <f t="shared" si="423"/>
        <v>0</v>
      </c>
      <c r="S845" s="285"/>
      <c r="T845" s="285"/>
      <c r="U845" s="285"/>
      <c r="V845" s="440"/>
      <c r="W845" s="439">
        <f t="shared" si="427"/>
        <v>0</v>
      </c>
      <c r="X845" s="285"/>
      <c r="Y845" s="285"/>
      <c r="Z845" s="440"/>
      <c r="AA845" s="439">
        <f t="shared" si="428"/>
        <v>0</v>
      </c>
      <c r="AB845" s="285"/>
      <c r="AC845" s="285"/>
      <c r="AD845" s="285"/>
      <c r="AE845" s="439">
        <f t="shared" si="429"/>
        <v>0</v>
      </c>
      <c r="AF845" s="285"/>
      <c r="AG845" s="285"/>
      <c r="AH845" s="285"/>
      <c r="AI845" s="285"/>
      <c r="AJ845" s="439">
        <f t="shared" si="430"/>
        <v>0</v>
      </c>
      <c r="AK845" s="340"/>
      <c r="AL845" s="340"/>
      <c r="AM845" s="340"/>
      <c r="AN845" s="340"/>
      <c r="AO845" s="340"/>
      <c r="AP845" s="340"/>
      <c r="AQ845" s="340"/>
      <c r="AR845" s="441">
        <f t="shared" si="431"/>
        <v>0</v>
      </c>
      <c r="AT845" s="313" t="s">
        <v>4483</v>
      </c>
      <c r="AU845" s="289" t="s">
        <v>4537</v>
      </c>
      <c r="AV845" s="313" t="s">
        <v>4549</v>
      </c>
      <c r="AW845" s="289" t="s">
        <v>4552</v>
      </c>
      <c r="AX845" s="443">
        <f t="shared" si="432"/>
        <v>0</v>
      </c>
      <c r="AY845" s="443">
        <f t="shared" si="433"/>
        <v>0</v>
      </c>
      <c r="AZ845" s="443">
        <f t="shared" si="434"/>
        <v>0</v>
      </c>
      <c r="BA845" s="443">
        <f t="shared" si="424"/>
        <v>0</v>
      </c>
      <c r="BB845" s="443">
        <f t="shared" si="425"/>
        <v>0</v>
      </c>
      <c r="BC845" s="443">
        <f t="shared" si="426"/>
        <v>0</v>
      </c>
      <c r="BD845" s="443">
        <f t="shared" si="435"/>
        <v>0</v>
      </c>
      <c r="BE845" s="443">
        <f t="shared" si="436"/>
        <v>0</v>
      </c>
      <c r="BF845" s="443">
        <f t="shared" si="437"/>
        <v>0</v>
      </c>
      <c r="BG845" s="443">
        <f t="shared" si="438"/>
        <v>0</v>
      </c>
      <c r="BH845" s="443">
        <f t="shared" si="439"/>
        <v>0</v>
      </c>
      <c r="BI845" s="443">
        <f t="shared" si="440"/>
        <v>0</v>
      </c>
      <c r="BJ845" s="443">
        <f t="shared" si="441"/>
        <v>0</v>
      </c>
      <c r="BK845" s="443">
        <f t="shared" si="442"/>
        <v>0</v>
      </c>
      <c r="BL845" s="443">
        <f t="shared" si="443"/>
        <v>0</v>
      </c>
      <c r="BM845" s="443">
        <f t="shared" si="444"/>
        <v>0</v>
      </c>
      <c r="BN845" s="443">
        <f t="shared" si="445"/>
        <v>0</v>
      </c>
      <c r="BO845" s="443">
        <f t="shared" si="446"/>
        <v>0</v>
      </c>
      <c r="BP845" s="443">
        <f t="shared" si="447"/>
        <v>0</v>
      </c>
      <c r="BQ845" s="443">
        <f t="shared" si="448"/>
        <v>0</v>
      </c>
    </row>
    <row r="846" spans="1:69" x14ac:dyDescent="0.2">
      <c r="A846" s="102">
        <v>41883</v>
      </c>
      <c r="B846" s="319">
        <v>1</v>
      </c>
      <c r="C846" s="118" t="s">
        <v>4553</v>
      </c>
      <c r="D846" s="111">
        <v>0.42638888888888887</v>
      </c>
      <c r="E846" s="111">
        <v>0.58333333333333337</v>
      </c>
      <c r="F846" s="319">
        <v>67</v>
      </c>
      <c r="G846" s="445">
        <v>7</v>
      </c>
      <c r="H846" s="319"/>
      <c r="I846" s="319"/>
      <c r="J846" s="426">
        <f t="shared" si="421"/>
        <v>226.00000000000009</v>
      </c>
      <c r="K846" s="103"/>
      <c r="L846" s="103"/>
      <c r="M846" s="103"/>
      <c r="N846" s="427">
        <f t="shared" si="422"/>
        <v>0</v>
      </c>
      <c r="O846" s="103"/>
      <c r="P846" s="103"/>
      <c r="Q846" s="103"/>
      <c r="R846" s="428">
        <f t="shared" si="423"/>
        <v>0</v>
      </c>
      <c r="S846" s="103"/>
      <c r="T846" s="103"/>
      <c r="U846" s="103"/>
      <c r="V846" s="125"/>
      <c r="W846" s="428">
        <f t="shared" si="427"/>
        <v>0</v>
      </c>
      <c r="X846" s="103"/>
      <c r="Y846" s="103"/>
      <c r="Z846" s="125"/>
      <c r="AA846" s="428">
        <f t="shared" si="428"/>
        <v>0</v>
      </c>
      <c r="AB846" s="103"/>
      <c r="AC846" s="103">
        <v>1</v>
      </c>
      <c r="AD846" s="103"/>
      <c r="AE846" s="428">
        <f t="shared" si="429"/>
        <v>1</v>
      </c>
      <c r="AF846" s="103">
        <v>1</v>
      </c>
      <c r="AG846" s="103"/>
      <c r="AH846" s="103"/>
      <c r="AI846" s="103"/>
      <c r="AJ846" s="428">
        <f t="shared" si="430"/>
        <v>1</v>
      </c>
      <c r="AK846" s="446"/>
      <c r="AL846" s="446"/>
      <c r="AM846" s="446"/>
      <c r="AN846" s="446"/>
      <c r="AO846" s="446"/>
      <c r="AP846" s="446"/>
      <c r="AQ846" s="446"/>
      <c r="AR846" s="431">
        <f t="shared" si="431"/>
        <v>0</v>
      </c>
      <c r="AS846" s="10" t="s">
        <v>4554</v>
      </c>
      <c r="AT846" s="128"/>
      <c r="AU846" s="100" t="s">
        <v>4549</v>
      </c>
      <c r="AV846" s="128" t="s">
        <v>4563</v>
      </c>
      <c r="AW846" s="100" t="s">
        <v>4564</v>
      </c>
      <c r="AX846" s="433">
        <f t="shared" si="432"/>
        <v>0</v>
      </c>
      <c r="AY846" s="433">
        <f t="shared" si="433"/>
        <v>0</v>
      </c>
      <c r="AZ846" s="433">
        <f t="shared" si="434"/>
        <v>0</v>
      </c>
      <c r="BA846" s="433">
        <f t="shared" si="424"/>
        <v>0</v>
      </c>
      <c r="BB846" s="433">
        <f t="shared" si="425"/>
        <v>0</v>
      </c>
      <c r="BC846" s="433">
        <f t="shared" si="426"/>
        <v>0</v>
      </c>
      <c r="BD846" s="433">
        <f t="shared" si="435"/>
        <v>0</v>
      </c>
      <c r="BE846" s="433">
        <f t="shared" si="436"/>
        <v>0</v>
      </c>
      <c r="BF846" s="433">
        <f t="shared" si="437"/>
        <v>0</v>
      </c>
      <c r="BG846" s="433">
        <f t="shared" si="438"/>
        <v>0</v>
      </c>
      <c r="BH846" s="433">
        <f t="shared" si="439"/>
        <v>0</v>
      </c>
      <c r="BI846" s="433">
        <f t="shared" si="440"/>
        <v>0</v>
      </c>
      <c r="BJ846" s="433">
        <f t="shared" si="441"/>
        <v>0</v>
      </c>
      <c r="BK846" s="433">
        <f t="shared" si="442"/>
        <v>0</v>
      </c>
      <c r="BL846" s="433">
        <f t="shared" si="443"/>
        <v>1</v>
      </c>
      <c r="BM846" s="433">
        <f t="shared" si="444"/>
        <v>0</v>
      </c>
      <c r="BN846" s="433">
        <f t="shared" si="445"/>
        <v>1</v>
      </c>
      <c r="BO846" s="433">
        <f t="shared" si="446"/>
        <v>0</v>
      </c>
      <c r="BP846" s="433">
        <f t="shared" si="447"/>
        <v>0</v>
      </c>
      <c r="BQ846" s="433">
        <f t="shared" si="448"/>
        <v>0</v>
      </c>
    </row>
    <row r="847" spans="1:69" x14ac:dyDescent="0.2">
      <c r="A847" s="102">
        <v>41883</v>
      </c>
      <c r="B847" s="319">
        <v>1</v>
      </c>
      <c r="C847" s="118" t="s">
        <v>4555</v>
      </c>
      <c r="D847" s="111">
        <v>0.58333333333333337</v>
      </c>
      <c r="E847" s="111">
        <v>0.74861111111111101</v>
      </c>
      <c r="F847" s="319">
        <v>52</v>
      </c>
      <c r="G847" s="445">
        <v>8</v>
      </c>
      <c r="H847" s="319"/>
      <c r="I847" s="319"/>
      <c r="J847" s="426">
        <f t="shared" si="421"/>
        <v>237.9999999999998</v>
      </c>
      <c r="K847" s="103"/>
      <c r="L847" s="103"/>
      <c r="M847" s="103"/>
      <c r="N847" s="427">
        <f t="shared" si="422"/>
        <v>0</v>
      </c>
      <c r="O847" s="103"/>
      <c r="P847" s="103"/>
      <c r="Q847" s="103"/>
      <c r="R847" s="428">
        <f t="shared" si="423"/>
        <v>0</v>
      </c>
      <c r="S847" s="103"/>
      <c r="T847" s="103"/>
      <c r="U847" s="103"/>
      <c r="V847" s="125"/>
      <c r="W847" s="428">
        <f t="shared" si="427"/>
        <v>0</v>
      </c>
      <c r="X847" s="103"/>
      <c r="Y847" s="103"/>
      <c r="Z847" s="125"/>
      <c r="AA847" s="428">
        <f t="shared" si="428"/>
        <v>0</v>
      </c>
      <c r="AB847" s="103"/>
      <c r="AC847" s="103"/>
      <c r="AD847" s="103"/>
      <c r="AE847" s="428">
        <f t="shared" si="429"/>
        <v>0</v>
      </c>
      <c r="AF847" s="103"/>
      <c r="AG847" s="103"/>
      <c r="AH847" s="103"/>
      <c r="AI847" s="103"/>
      <c r="AJ847" s="428">
        <f t="shared" si="430"/>
        <v>0</v>
      </c>
      <c r="AK847" s="446"/>
      <c r="AL847" s="446"/>
      <c r="AM847" s="446"/>
      <c r="AN847" s="446"/>
      <c r="AO847" s="446"/>
      <c r="AP847" s="446"/>
      <c r="AQ847" s="446"/>
      <c r="AR847" s="431">
        <f t="shared" si="431"/>
        <v>0</v>
      </c>
      <c r="AS847" s="10" t="s">
        <v>4556</v>
      </c>
      <c r="AT847" s="128" t="s">
        <v>4483</v>
      </c>
      <c r="AU847" s="100" t="s">
        <v>4557</v>
      </c>
      <c r="AV847" s="128" t="s">
        <v>4563</v>
      </c>
      <c r="AW847" s="100" t="s">
        <v>4564</v>
      </c>
      <c r="AX847" s="433">
        <f t="shared" si="432"/>
        <v>0</v>
      </c>
      <c r="AY847" s="433">
        <f t="shared" si="433"/>
        <v>0</v>
      </c>
      <c r="AZ847" s="433">
        <f t="shared" si="434"/>
        <v>0</v>
      </c>
      <c r="BA847" s="433">
        <f t="shared" si="424"/>
        <v>0</v>
      </c>
      <c r="BB847" s="433">
        <f t="shared" si="425"/>
        <v>0</v>
      </c>
      <c r="BC847" s="433">
        <f t="shared" si="426"/>
        <v>0</v>
      </c>
      <c r="BD847" s="433">
        <f t="shared" si="435"/>
        <v>0</v>
      </c>
      <c r="BE847" s="433">
        <f t="shared" si="436"/>
        <v>0</v>
      </c>
      <c r="BF847" s="433">
        <f t="shared" si="437"/>
        <v>0</v>
      </c>
      <c r="BG847" s="433">
        <f t="shared" si="438"/>
        <v>0</v>
      </c>
      <c r="BH847" s="433">
        <f t="shared" si="439"/>
        <v>0</v>
      </c>
      <c r="BI847" s="433">
        <f t="shared" si="440"/>
        <v>0</v>
      </c>
      <c r="BJ847" s="433">
        <f t="shared" si="441"/>
        <v>0</v>
      </c>
      <c r="BK847" s="433">
        <f t="shared" si="442"/>
        <v>0</v>
      </c>
      <c r="BL847" s="433">
        <f t="shared" si="443"/>
        <v>0</v>
      </c>
      <c r="BM847" s="433">
        <f t="shared" si="444"/>
        <v>0</v>
      </c>
      <c r="BN847" s="433">
        <f t="shared" si="445"/>
        <v>0</v>
      </c>
      <c r="BO847" s="433">
        <f t="shared" si="446"/>
        <v>0</v>
      </c>
      <c r="BP847" s="433">
        <f t="shared" si="447"/>
        <v>0</v>
      </c>
      <c r="BQ847" s="433">
        <f t="shared" si="448"/>
        <v>0</v>
      </c>
    </row>
    <row r="848" spans="1:69" x14ac:dyDescent="0.2">
      <c r="A848" s="102">
        <v>41883</v>
      </c>
      <c r="B848" s="319">
        <v>1</v>
      </c>
      <c r="C848" s="118" t="s">
        <v>4541</v>
      </c>
      <c r="D848" s="111">
        <v>0.74861111111111101</v>
      </c>
      <c r="E848" s="111">
        <v>0.83124999999999993</v>
      </c>
      <c r="F848" s="319">
        <v>51</v>
      </c>
      <c r="G848" s="445">
        <v>8</v>
      </c>
      <c r="H848" s="319"/>
      <c r="I848" s="319"/>
      <c r="J848" s="426">
        <f t="shared" si="421"/>
        <v>119.00000000000006</v>
      </c>
      <c r="K848" s="103"/>
      <c r="L848" s="103"/>
      <c r="M848" s="103"/>
      <c r="N848" s="427">
        <f t="shared" si="422"/>
        <v>0</v>
      </c>
      <c r="O848" s="103"/>
      <c r="P848" s="103"/>
      <c r="Q848" s="103"/>
      <c r="R848" s="428">
        <f t="shared" si="423"/>
        <v>0</v>
      </c>
      <c r="S848" s="103"/>
      <c r="T848" s="103"/>
      <c r="U848" s="103"/>
      <c r="V848" s="125"/>
      <c r="W848" s="428">
        <f t="shared" si="427"/>
        <v>0</v>
      </c>
      <c r="X848" s="103"/>
      <c r="Y848" s="103"/>
      <c r="Z848" s="125"/>
      <c r="AA848" s="428">
        <f t="shared" si="428"/>
        <v>0</v>
      </c>
      <c r="AB848" s="103"/>
      <c r="AC848" s="103"/>
      <c r="AD848" s="103"/>
      <c r="AE848" s="428">
        <f t="shared" si="429"/>
        <v>0</v>
      </c>
      <c r="AF848" s="103"/>
      <c r="AG848" s="103"/>
      <c r="AH848" s="103"/>
      <c r="AI848" s="103"/>
      <c r="AJ848" s="428">
        <f t="shared" si="430"/>
        <v>0</v>
      </c>
      <c r="AK848" s="446"/>
      <c r="AL848" s="446"/>
      <c r="AM848" s="446"/>
      <c r="AN848" s="446"/>
      <c r="AO848" s="446"/>
      <c r="AP848" s="446"/>
      <c r="AQ848" s="446"/>
      <c r="AR848" s="431">
        <f t="shared" si="431"/>
        <v>0</v>
      </c>
      <c r="AT848" s="128" t="s">
        <v>4483</v>
      </c>
      <c r="AU848" s="100" t="s">
        <v>4557</v>
      </c>
      <c r="AV848" s="128" t="s">
        <v>4563</v>
      </c>
      <c r="AW848" s="100" t="s">
        <v>4564</v>
      </c>
      <c r="AX848" s="433">
        <f t="shared" si="432"/>
        <v>0</v>
      </c>
      <c r="AY848" s="433">
        <f t="shared" si="433"/>
        <v>0</v>
      </c>
      <c r="AZ848" s="433">
        <f t="shared" si="434"/>
        <v>0</v>
      </c>
      <c r="BA848" s="433">
        <f t="shared" si="424"/>
        <v>0</v>
      </c>
      <c r="BB848" s="433">
        <f t="shared" si="425"/>
        <v>0</v>
      </c>
      <c r="BC848" s="433">
        <f t="shared" si="426"/>
        <v>0</v>
      </c>
      <c r="BD848" s="433">
        <f t="shared" si="435"/>
        <v>0</v>
      </c>
      <c r="BE848" s="433">
        <f t="shared" si="436"/>
        <v>0</v>
      </c>
      <c r="BF848" s="433">
        <f t="shared" si="437"/>
        <v>0</v>
      </c>
      <c r="BG848" s="433">
        <f t="shared" si="438"/>
        <v>0</v>
      </c>
      <c r="BH848" s="433">
        <f t="shared" si="439"/>
        <v>0</v>
      </c>
      <c r="BI848" s="433">
        <f t="shared" si="440"/>
        <v>0</v>
      </c>
      <c r="BJ848" s="433">
        <f t="shared" si="441"/>
        <v>0</v>
      </c>
      <c r="BK848" s="433">
        <f t="shared" si="442"/>
        <v>0</v>
      </c>
      <c r="BL848" s="433">
        <f t="shared" si="443"/>
        <v>0</v>
      </c>
      <c r="BM848" s="433">
        <f t="shared" si="444"/>
        <v>0</v>
      </c>
      <c r="BN848" s="433">
        <f t="shared" si="445"/>
        <v>0</v>
      </c>
      <c r="BO848" s="433">
        <f t="shared" si="446"/>
        <v>0</v>
      </c>
      <c r="BP848" s="433">
        <f t="shared" si="447"/>
        <v>0</v>
      </c>
      <c r="BQ848" s="433">
        <f t="shared" si="448"/>
        <v>0</v>
      </c>
    </row>
    <row r="849" spans="1:69" x14ac:dyDescent="0.2">
      <c r="A849" s="102">
        <v>41883</v>
      </c>
      <c r="B849" s="319">
        <v>2</v>
      </c>
      <c r="C849" s="118" t="s">
        <v>4562</v>
      </c>
      <c r="D849" s="111">
        <v>0.41944444444444445</v>
      </c>
      <c r="E849" s="111">
        <v>0.58611111111111114</v>
      </c>
      <c r="F849" s="319">
        <v>36</v>
      </c>
      <c r="G849" s="445">
        <v>7</v>
      </c>
      <c r="H849" s="319"/>
      <c r="I849" s="319"/>
      <c r="J849" s="426">
        <f t="shared" si="421"/>
        <v>240</v>
      </c>
      <c r="K849" s="103"/>
      <c r="L849" s="103"/>
      <c r="M849" s="103"/>
      <c r="N849" s="427">
        <f t="shared" si="422"/>
        <v>0</v>
      </c>
      <c r="O849" s="103"/>
      <c r="P849" s="103"/>
      <c r="Q849" s="103"/>
      <c r="R849" s="428">
        <f t="shared" si="423"/>
        <v>0</v>
      </c>
      <c r="S849" s="103">
        <v>1</v>
      </c>
      <c r="T849" s="103"/>
      <c r="U849" s="103"/>
      <c r="V849" s="125"/>
      <c r="W849" s="428">
        <f t="shared" si="427"/>
        <v>1</v>
      </c>
      <c r="X849" s="103"/>
      <c r="Y849" s="103"/>
      <c r="Z849" s="125"/>
      <c r="AA849" s="428">
        <f t="shared" si="428"/>
        <v>0</v>
      </c>
      <c r="AB849" s="103"/>
      <c r="AC849" s="103">
        <v>2</v>
      </c>
      <c r="AD849" s="103"/>
      <c r="AE849" s="428">
        <f t="shared" si="429"/>
        <v>2</v>
      </c>
      <c r="AF849" s="103"/>
      <c r="AG849" s="103"/>
      <c r="AH849" s="103"/>
      <c r="AI849" s="103"/>
      <c r="AJ849" s="428">
        <f t="shared" si="430"/>
        <v>0</v>
      </c>
      <c r="AK849" s="446"/>
      <c r="AL849" s="446"/>
      <c r="AM849" s="446"/>
      <c r="AN849" s="446"/>
      <c r="AO849" s="446"/>
      <c r="AP849" s="446"/>
      <c r="AQ849" s="446"/>
      <c r="AR849" s="431">
        <f t="shared" si="431"/>
        <v>0</v>
      </c>
      <c r="AS849" s="10" t="s">
        <v>4558</v>
      </c>
      <c r="AT849" s="128"/>
      <c r="AU849" s="100" t="s">
        <v>4557</v>
      </c>
      <c r="AV849" s="128" t="s">
        <v>4563</v>
      </c>
      <c r="AW849" s="100" t="s">
        <v>4564</v>
      </c>
      <c r="AX849" s="433">
        <f t="shared" si="432"/>
        <v>0</v>
      </c>
      <c r="AY849" s="433">
        <f t="shared" si="433"/>
        <v>0</v>
      </c>
      <c r="AZ849" s="433">
        <f t="shared" si="434"/>
        <v>0</v>
      </c>
      <c r="BA849" s="433">
        <f t="shared" si="424"/>
        <v>0</v>
      </c>
      <c r="BB849" s="433">
        <f t="shared" si="425"/>
        <v>0</v>
      </c>
      <c r="BC849" s="433">
        <f t="shared" si="426"/>
        <v>0</v>
      </c>
      <c r="BD849" s="433">
        <f t="shared" si="435"/>
        <v>1</v>
      </c>
      <c r="BE849" s="433">
        <f t="shared" si="436"/>
        <v>0</v>
      </c>
      <c r="BF849" s="433">
        <f t="shared" si="437"/>
        <v>0</v>
      </c>
      <c r="BG849" s="433">
        <f t="shared" si="438"/>
        <v>0</v>
      </c>
      <c r="BH849" s="433">
        <f t="shared" si="439"/>
        <v>0</v>
      </c>
      <c r="BI849" s="433">
        <f t="shared" si="440"/>
        <v>0</v>
      </c>
      <c r="BJ849" s="433">
        <f t="shared" si="441"/>
        <v>0</v>
      </c>
      <c r="BK849" s="433">
        <f t="shared" si="442"/>
        <v>0</v>
      </c>
      <c r="BL849" s="433">
        <f t="shared" si="443"/>
        <v>2</v>
      </c>
      <c r="BM849" s="433">
        <f t="shared" si="444"/>
        <v>0</v>
      </c>
      <c r="BN849" s="433">
        <f t="shared" si="445"/>
        <v>0</v>
      </c>
      <c r="BO849" s="433">
        <f t="shared" si="446"/>
        <v>0</v>
      </c>
      <c r="BP849" s="433">
        <f t="shared" si="447"/>
        <v>0</v>
      </c>
      <c r="BQ849" s="433">
        <f t="shared" si="448"/>
        <v>0</v>
      </c>
    </row>
    <row r="850" spans="1:69" x14ac:dyDescent="0.2">
      <c r="A850" s="102">
        <v>41883</v>
      </c>
      <c r="B850" s="319">
        <v>2</v>
      </c>
      <c r="C850" s="118" t="s">
        <v>4559</v>
      </c>
      <c r="D850" s="111">
        <v>0.58611111111111114</v>
      </c>
      <c r="E850" s="111">
        <v>0.74097222222222225</v>
      </c>
      <c r="F850" s="319">
        <v>38</v>
      </c>
      <c r="G850" s="445">
        <v>8</v>
      </c>
      <c r="H850" s="319"/>
      <c r="I850" s="319"/>
      <c r="J850" s="426">
        <f t="shared" si="421"/>
        <v>223</v>
      </c>
      <c r="K850" s="103"/>
      <c r="L850" s="103"/>
      <c r="M850" s="103"/>
      <c r="N850" s="427">
        <f t="shared" si="422"/>
        <v>0</v>
      </c>
      <c r="O850" s="103"/>
      <c r="P850" s="103"/>
      <c r="Q850" s="103"/>
      <c r="R850" s="428">
        <f t="shared" si="423"/>
        <v>0</v>
      </c>
      <c r="S850" s="103"/>
      <c r="T850" s="103"/>
      <c r="U850" s="103"/>
      <c r="V850" s="125"/>
      <c r="W850" s="428">
        <f t="shared" si="427"/>
        <v>0</v>
      </c>
      <c r="X850" s="103"/>
      <c r="Y850" s="103"/>
      <c r="Z850" s="125"/>
      <c r="AA850" s="428">
        <f t="shared" si="428"/>
        <v>0</v>
      </c>
      <c r="AB850" s="103"/>
      <c r="AC850" s="103">
        <v>1</v>
      </c>
      <c r="AD850" s="103"/>
      <c r="AE850" s="428">
        <f t="shared" si="429"/>
        <v>1</v>
      </c>
      <c r="AF850" s="103"/>
      <c r="AG850" s="103"/>
      <c r="AH850" s="103"/>
      <c r="AI850" s="103"/>
      <c r="AJ850" s="428">
        <f t="shared" si="430"/>
        <v>0</v>
      </c>
      <c r="AK850" s="446"/>
      <c r="AL850" s="446"/>
      <c r="AM850" s="446"/>
      <c r="AN850" s="446"/>
      <c r="AO850" s="446"/>
      <c r="AP850" s="446"/>
      <c r="AQ850" s="446"/>
      <c r="AR850" s="431">
        <f t="shared" si="431"/>
        <v>0</v>
      </c>
      <c r="AT850" s="128"/>
      <c r="AU850" s="100" t="s">
        <v>4560</v>
      </c>
      <c r="AV850" s="128" t="s">
        <v>4563</v>
      </c>
      <c r="AW850" s="100" t="s">
        <v>4564</v>
      </c>
      <c r="AX850" s="433">
        <f t="shared" si="432"/>
        <v>0</v>
      </c>
      <c r="AY850" s="433">
        <f t="shared" si="433"/>
        <v>0</v>
      </c>
      <c r="AZ850" s="433">
        <f t="shared" si="434"/>
        <v>0</v>
      </c>
      <c r="BA850" s="433">
        <f t="shared" si="424"/>
        <v>0</v>
      </c>
      <c r="BB850" s="433">
        <f t="shared" si="425"/>
        <v>0</v>
      </c>
      <c r="BC850" s="433">
        <f t="shared" si="426"/>
        <v>0</v>
      </c>
      <c r="BD850" s="433">
        <f t="shared" si="435"/>
        <v>0</v>
      </c>
      <c r="BE850" s="433">
        <f t="shared" si="436"/>
        <v>0</v>
      </c>
      <c r="BF850" s="433">
        <f t="shared" si="437"/>
        <v>0</v>
      </c>
      <c r="BG850" s="433">
        <f t="shared" si="438"/>
        <v>0</v>
      </c>
      <c r="BH850" s="433">
        <f t="shared" si="439"/>
        <v>0</v>
      </c>
      <c r="BI850" s="433">
        <f t="shared" si="440"/>
        <v>0</v>
      </c>
      <c r="BJ850" s="433">
        <f t="shared" si="441"/>
        <v>0</v>
      </c>
      <c r="BK850" s="433">
        <f t="shared" si="442"/>
        <v>0</v>
      </c>
      <c r="BL850" s="433">
        <f t="shared" si="443"/>
        <v>1</v>
      </c>
      <c r="BM850" s="433">
        <f t="shared" si="444"/>
        <v>0</v>
      </c>
      <c r="BN850" s="433">
        <f t="shared" si="445"/>
        <v>0</v>
      </c>
      <c r="BO850" s="433">
        <f t="shared" si="446"/>
        <v>0</v>
      </c>
      <c r="BP850" s="433">
        <f t="shared" si="447"/>
        <v>0</v>
      </c>
      <c r="BQ850" s="433">
        <f t="shared" si="448"/>
        <v>0</v>
      </c>
    </row>
    <row r="851" spans="1:69" x14ac:dyDescent="0.2">
      <c r="A851" s="102">
        <v>41883</v>
      </c>
      <c r="B851" s="319">
        <v>2</v>
      </c>
      <c r="C851" s="118" t="s">
        <v>4541</v>
      </c>
      <c r="D851" s="111">
        <v>0.74097222222222225</v>
      </c>
      <c r="E851" s="111">
        <v>0.79583333333333339</v>
      </c>
      <c r="F851" s="319">
        <v>36</v>
      </c>
      <c r="G851" s="445">
        <v>8</v>
      </c>
      <c r="H851" s="319"/>
      <c r="I851" s="319"/>
      <c r="J851" s="426">
        <f t="shared" si="421"/>
        <v>79.000000000000043</v>
      </c>
      <c r="K851" s="103"/>
      <c r="L851" s="103"/>
      <c r="M851" s="103"/>
      <c r="N851" s="427">
        <f t="shared" si="422"/>
        <v>0</v>
      </c>
      <c r="O851" s="103"/>
      <c r="P851" s="103"/>
      <c r="Q851" s="103"/>
      <c r="R851" s="428">
        <f t="shared" si="423"/>
        <v>0</v>
      </c>
      <c r="S851" s="103"/>
      <c r="T851" s="103"/>
      <c r="U851" s="103"/>
      <c r="V851" s="125"/>
      <c r="W851" s="428">
        <f t="shared" si="427"/>
        <v>0</v>
      </c>
      <c r="X851" s="103"/>
      <c r="Y851" s="103"/>
      <c r="Z851" s="125"/>
      <c r="AA851" s="428">
        <f t="shared" si="428"/>
        <v>0</v>
      </c>
      <c r="AB851" s="103"/>
      <c r="AC851" s="103"/>
      <c r="AD851" s="103"/>
      <c r="AE851" s="428">
        <f t="shared" si="429"/>
        <v>0</v>
      </c>
      <c r="AF851" s="103"/>
      <c r="AG851" s="103"/>
      <c r="AH851" s="103"/>
      <c r="AI851" s="103"/>
      <c r="AJ851" s="428">
        <f t="shared" si="430"/>
        <v>0</v>
      </c>
      <c r="AK851" s="446"/>
      <c r="AL851" s="446"/>
      <c r="AM851" s="446"/>
      <c r="AN851" s="446"/>
      <c r="AO851" s="446"/>
      <c r="AP851" s="446"/>
      <c r="AQ851" s="446"/>
      <c r="AR851" s="431">
        <f t="shared" si="431"/>
        <v>0</v>
      </c>
      <c r="AT851" s="128" t="s">
        <v>4483</v>
      </c>
      <c r="AU851" s="100" t="s">
        <v>4557</v>
      </c>
      <c r="AV851" s="128" t="s">
        <v>4563</v>
      </c>
      <c r="AW851" s="100" t="s">
        <v>4564</v>
      </c>
      <c r="AX851" s="433">
        <f t="shared" si="432"/>
        <v>0</v>
      </c>
      <c r="AY851" s="433">
        <f t="shared" si="433"/>
        <v>0</v>
      </c>
      <c r="AZ851" s="433">
        <f t="shared" si="434"/>
        <v>0</v>
      </c>
      <c r="BA851" s="433">
        <f t="shared" si="424"/>
        <v>0</v>
      </c>
      <c r="BB851" s="433">
        <f t="shared" si="425"/>
        <v>0</v>
      </c>
      <c r="BC851" s="433">
        <f t="shared" si="426"/>
        <v>0</v>
      </c>
      <c r="BD851" s="433">
        <f t="shared" si="435"/>
        <v>0</v>
      </c>
      <c r="BE851" s="433">
        <f t="shared" si="436"/>
        <v>0</v>
      </c>
      <c r="BF851" s="433">
        <f t="shared" si="437"/>
        <v>0</v>
      </c>
      <c r="BG851" s="433">
        <f t="shared" si="438"/>
        <v>0</v>
      </c>
      <c r="BH851" s="433">
        <f t="shared" si="439"/>
        <v>0</v>
      </c>
      <c r="BI851" s="433">
        <f t="shared" si="440"/>
        <v>0</v>
      </c>
      <c r="BJ851" s="433">
        <f t="shared" si="441"/>
        <v>0</v>
      </c>
      <c r="BK851" s="433">
        <f t="shared" si="442"/>
        <v>0</v>
      </c>
      <c r="BL851" s="433">
        <f t="shared" si="443"/>
        <v>0</v>
      </c>
      <c r="BM851" s="433">
        <f t="shared" si="444"/>
        <v>0</v>
      </c>
      <c r="BN851" s="433">
        <f t="shared" si="445"/>
        <v>0</v>
      </c>
      <c r="BO851" s="433">
        <f t="shared" si="446"/>
        <v>0</v>
      </c>
      <c r="BP851" s="433">
        <f t="shared" si="447"/>
        <v>0</v>
      </c>
      <c r="BQ851" s="433">
        <f t="shared" si="448"/>
        <v>0</v>
      </c>
    </row>
    <row r="852" spans="1:69" x14ac:dyDescent="0.2">
      <c r="A852" s="102">
        <v>41883</v>
      </c>
      <c r="B852" s="319">
        <v>3</v>
      </c>
      <c r="C852" s="118" t="s">
        <v>4541</v>
      </c>
      <c r="D852" s="111">
        <v>0.42083333333333334</v>
      </c>
      <c r="E852" s="111">
        <v>0.58333333333333337</v>
      </c>
      <c r="F852" s="319">
        <v>45</v>
      </c>
      <c r="G852" s="445">
        <v>7</v>
      </c>
      <c r="H852" s="319"/>
      <c r="I852" s="319"/>
      <c r="J852" s="426">
        <f t="shared" si="421"/>
        <v>234.00000000000006</v>
      </c>
      <c r="K852" s="103"/>
      <c r="L852" s="103"/>
      <c r="M852" s="103"/>
      <c r="N852" s="427">
        <f t="shared" si="422"/>
        <v>0</v>
      </c>
      <c r="O852" s="103"/>
      <c r="P852" s="103"/>
      <c r="Q852" s="103"/>
      <c r="R852" s="428">
        <f t="shared" si="423"/>
        <v>0</v>
      </c>
      <c r="S852" s="103"/>
      <c r="T852" s="103"/>
      <c r="U852" s="103"/>
      <c r="V852" s="125"/>
      <c r="W852" s="428">
        <f t="shared" si="427"/>
        <v>0</v>
      </c>
      <c r="X852" s="103"/>
      <c r="Y852" s="103"/>
      <c r="Z852" s="125"/>
      <c r="AA852" s="428">
        <f t="shared" si="428"/>
        <v>0</v>
      </c>
      <c r="AB852" s="103"/>
      <c r="AC852" s="103"/>
      <c r="AD852" s="103"/>
      <c r="AE852" s="428">
        <f t="shared" si="429"/>
        <v>0</v>
      </c>
      <c r="AF852" s="103"/>
      <c r="AG852" s="103"/>
      <c r="AH852" s="103"/>
      <c r="AI852" s="103"/>
      <c r="AJ852" s="428">
        <f t="shared" si="430"/>
        <v>0</v>
      </c>
      <c r="AK852" s="446"/>
      <c r="AL852" s="446"/>
      <c r="AM852" s="446"/>
      <c r="AN852" s="446"/>
      <c r="AO852" s="446"/>
      <c r="AP852" s="446"/>
      <c r="AQ852" s="446"/>
      <c r="AR852" s="431">
        <f t="shared" si="431"/>
        <v>0</v>
      </c>
      <c r="AT852" s="128" t="s">
        <v>4483</v>
      </c>
      <c r="AU852" s="100" t="s">
        <v>4549</v>
      </c>
      <c r="AV852" s="128" t="s">
        <v>4563</v>
      </c>
      <c r="AW852" s="100" t="s">
        <v>4564</v>
      </c>
      <c r="AX852" s="433">
        <f t="shared" si="432"/>
        <v>0</v>
      </c>
      <c r="AY852" s="433">
        <f t="shared" si="433"/>
        <v>0</v>
      </c>
      <c r="AZ852" s="433">
        <f t="shared" si="434"/>
        <v>0</v>
      </c>
      <c r="BA852" s="433">
        <f t="shared" si="424"/>
        <v>0</v>
      </c>
      <c r="BB852" s="433">
        <f t="shared" si="425"/>
        <v>0</v>
      </c>
      <c r="BC852" s="433">
        <f t="shared" si="426"/>
        <v>0</v>
      </c>
      <c r="BD852" s="433">
        <f t="shared" si="435"/>
        <v>0</v>
      </c>
      <c r="BE852" s="433">
        <f t="shared" si="436"/>
        <v>0</v>
      </c>
      <c r="BF852" s="433">
        <f t="shared" si="437"/>
        <v>0</v>
      </c>
      <c r="BG852" s="433">
        <f t="shared" si="438"/>
        <v>0</v>
      </c>
      <c r="BH852" s="433">
        <f t="shared" si="439"/>
        <v>0</v>
      </c>
      <c r="BI852" s="433">
        <f t="shared" si="440"/>
        <v>0</v>
      </c>
      <c r="BJ852" s="433">
        <f t="shared" si="441"/>
        <v>0</v>
      </c>
      <c r="BK852" s="433">
        <f t="shared" si="442"/>
        <v>0</v>
      </c>
      <c r="BL852" s="433">
        <f t="shared" si="443"/>
        <v>0</v>
      </c>
      <c r="BM852" s="433">
        <f t="shared" si="444"/>
        <v>0</v>
      </c>
      <c r="BN852" s="433">
        <f t="shared" si="445"/>
        <v>0</v>
      </c>
      <c r="BO852" s="433">
        <f t="shared" si="446"/>
        <v>0</v>
      </c>
      <c r="BP852" s="433">
        <f t="shared" si="447"/>
        <v>0</v>
      </c>
      <c r="BQ852" s="433">
        <f t="shared" si="448"/>
        <v>0</v>
      </c>
    </row>
    <row r="853" spans="1:69" x14ac:dyDescent="0.2">
      <c r="A853" s="102">
        <v>41883</v>
      </c>
      <c r="B853" s="319">
        <v>3</v>
      </c>
      <c r="C853" s="118" t="s">
        <v>4539</v>
      </c>
      <c r="D853" s="111">
        <v>0.58333333333333337</v>
      </c>
      <c r="E853" s="111">
        <v>0.75763888888888886</v>
      </c>
      <c r="F853" s="319">
        <v>43</v>
      </c>
      <c r="G853" s="445">
        <v>7</v>
      </c>
      <c r="H853" s="319"/>
      <c r="I853" s="319"/>
      <c r="J853" s="426">
        <f t="shared" si="421"/>
        <v>250.99999999999991</v>
      </c>
      <c r="K853" s="103"/>
      <c r="L853" s="103"/>
      <c r="M853" s="103"/>
      <c r="N853" s="427">
        <f t="shared" si="422"/>
        <v>0</v>
      </c>
      <c r="O853" s="103"/>
      <c r="P853" s="103"/>
      <c r="Q853" s="103"/>
      <c r="R853" s="428">
        <f t="shared" si="423"/>
        <v>0</v>
      </c>
      <c r="S853" s="103"/>
      <c r="T853" s="103"/>
      <c r="U853" s="103"/>
      <c r="V853" s="125"/>
      <c r="W853" s="428">
        <f t="shared" si="427"/>
        <v>0</v>
      </c>
      <c r="X853" s="103"/>
      <c r="Y853" s="103"/>
      <c r="Z853" s="125"/>
      <c r="AA853" s="428">
        <f t="shared" si="428"/>
        <v>0</v>
      </c>
      <c r="AB853" s="103"/>
      <c r="AC853" s="103"/>
      <c r="AD853" s="103"/>
      <c r="AE853" s="428">
        <f t="shared" si="429"/>
        <v>0</v>
      </c>
      <c r="AF853" s="103"/>
      <c r="AG853" s="103"/>
      <c r="AH853" s="103"/>
      <c r="AI853" s="103"/>
      <c r="AJ853" s="428">
        <f t="shared" si="430"/>
        <v>0</v>
      </c>
      <c r="AK853" s="446"/>
      <c r="AL853" s="446"/>
      <c r="AM853" s="446"/>
      <c r="AN853" s="446"/>
      <c r="AO853" s="446"/>
      <c r="AP853" s="446"/>
      <c r="AQ853" s="446"/>
      <c r="AR853" s="431">
        <f t="shared" si="431"/>
        <v>0</v>
      </c>
      <c r="AT853" s="128" t="s">
        <v>4483</v>
      </c>
      <c r="AU853" s="100" t="s">
        <v>4560</v>
      </c>
      <c r="AV853" s="128" t="s">
        <v>4563</v>
      </c>
      <c r="AW853" s="100" t="s">
        <v>4564</v>
      </c>
      <c r="AX853" s="433">
        <f t="shared" si="432"/>
        <v>0</v>
      </c>
      <c r="AY853" s="433">
        <f t="shared" si="433"/>
        <v>0</v>
      </c>
      <c r="AZ853" s="433">
        <f t="shared" si="434"/>
        <v>0</v>
      </c>
      <c r="BA853" s="433">
        <f t="shared" si="424"/>
        <v>0</v>
      </c>
      <c r="BB853" s="433">
        <f t="shared" si="425"/>
        <v>0</v>
      </c>
      <c r="BC853" s="433">
        <f t="shared" si="426"/>
        <v>0</v>
      </c>
      <c r="BD853" s="433">
        <f t="shared" si="435"/>
        <v>0</v>
      </c>
      <c r="BE853" s="433">
        <f t="shared" si="436"/>
        <v>0</v>
      </c>
      <c r="BF853" s="433">
        <f t="shared" si="437"/>
        <v>0</v>
      </c>
      <c r="BG853" s="433">
        <f t="shared" si="438"/>
        <v>0</v>
      </c>
      <c r="BH853" s="433">
        <f t="shared" si="439"/>
        <v>0</v>
      </c>
      <c r="BI853" s="433">
        <f t="shared" si="440"/>
        <v>0</v>
      </c>
      <c r="BJ853" s="433">
        <f t="shared" si="441"/>
        <v>0</v>
      </c>
      <c r="BK853" s="433">
        <f t="shared" si="442"/>
        <v>0</v>
      </c>
      <c r="BL853" s="433">
        <f t="shared" si="443"/>
        <v>0</v>
      </c>
      <c r="BM853" s="433">
        <f t="shared" si="444"/>
        <v>0</v>
      </c>
      <c r="BN853" s="433">
        <f t="shared" si="445"/>
        <v>0</v>
      </c>
      <c r="BO853" s="433">
        <f t="shared" si="446"/>
        <v>0</v>
      </c>
      <c r="BP853" s="433">
        <f t="shared" si="447"/>
        <v>0</v>
      </c>
      <c r="BQ853" s="433">
        <f t="shared" si="448"/>
        <v>0</v>
      </c>
    </row>
    <row r="854" spans="1:69" s="291" customFormat="1" x14ac:dyDescent="0.2">
      <c r="A854" s="317">
        <v>41883</v>
      </c>
      <c r="B854" s="318">
        <v>3</v>
      </c>
      <c r="C854" s="320" t="s">
        <v>4541</v>
      </c>
      <c r="D854" s="321">
        <v>0.75763888888888886</v>
      </c>
      <c r="E854" s="321">
        <v>0.81944444444444453</v>
      </c>
      <c r="F854" s="318">
        <v>44</v>
      </c>
      <c r="G854" s="435">
        <v>7</v>
      </c>
      <c r="H854" s="318"/>
      <c r="I854" s="318"/>
      <c r="J854" s="437">
        <f t="shared" si="421"/>
        <v>89.000000000000171</v>
      </c>
      <c r="K854" s="285"/>
      <c r="L854" s="285"/>
      <c r="M854" s="285"/>
      <c r="N854" s="438">
        <f t="shared" si="422"/>
        <v>0</v>
      </c>
      <c r="O854" s="285"/>
      <c r="P854" s="285"/>
      <c r="Q854" s="285"/>
      <c r="R854" s="439">
        <f t="shared" si="423"/>
        <v>0</v>
      </c>
      <c r="S854" s="285"/>
      <c r="T854" s="285"/>
      <c r="U854" s="285"/>
      <c r="V854" s="440"/>
      <c r="W854" s="439">
        <f t="shared" si="427"/>
        <v>0</v>
      </c>
      <c r="X854" s="285"/>
      <c r="Y854" s="285"/>
      <c r="Z854" s="440"/>
      <c r="AA854" s="439">
        <f t="shared" si="428"/>
        <v>0</v>
      </c>
      <c r="AB854" s="285"/>
      <c r="AC854" s="285"/>
      <c r="AD854" s="285"/>
      <c r="AE854" s="439">
        <f t="shared" si="429"/>
        <v>0</v>
      </c>
      <c r="AF854" s="285">
        <v>1</v>
      </c>
      <c r="AG854" s="285">
        <v>1</v>
      </c>
      <c r="AH854" s="285"/>
      <c r="AI854" s="285"/>
      <c r="AJ854" s="439">
        <f t="shared" si="430"/>
        <v>2</v>
      </c>
      <c r="AK854" s="340"/>
      <c r="AL854" s="340"/>
      <c r="AM854" s="340"/>
      <c r="AN854" s="340"/>
      <c r="AO854" s="340"/>
      <c r="AP854" s="340"/>
      <c r="AQ854" s="340"/>
      <c r="AR854" s="441">
        <f t="shared" si="431"/>
        <v>0</v>
      </c>
      <c r="AT854" s="313"/>
      <c r="AU854" s="289" t="s">
        <v>4557</v>
      </c>
      <c r="AV854" s="313" t="s">
        <v>4563</v>
      </c>
      <c r="AW854" s="289" t="s">
        <v>4564</v>
      </c>
      <c r="AX854" s="443">
        <f t="shared" si="432"/>
        <v>0</v>
      </c>
      <c r="AY854" s="443">
        <f t="shared" si="433"/>
        <v>0</v>
      </c>
      <c r="AZ854" s="443">
        <f t="shared" si="434"/>
        <v>0</v>
      </c>
      <c r="BA854" s="443">
        <f t="shared" si="424"/>
        <v>0</v>
      </c>
      <c r="BB854" s="443">
        <f t="shared" si="425"/>
        <v>0</v>
      </c>
      <c r="BC854" s="443">
        <f t="shared" si="426"/>
        <v>0</v>
      </c>
      <c r="BD854" s="443">
        <f t="shared" si="435"/>
        <v>0</v>
      </c>
      <c r="BE854" s="443">
        <f t="shared" si="436"/>
        <v>0</v>
      </c>
      <c r="BF854" s="443">
        <f t="shared" si="437"/>
        <v>0</v>
      </c>
      <c r="BG854" s="443">
        <f t="shared" si="438"/>
        <v>0</v>
      </c>
      <c r="BH854" s="443">
        <f t="shared" si="439"/>
        <v>0</v>
      </c>
      <c r="BI854" s="443">
        <f t="shared" si="440"/>
        <v>0</v>
      </c>
      <c r="BJ854" s="443">
        <f t="shared" si="441"/>
        <v>0</v>
      </c>
      <c r="BK854" s="443">
        <f t="shared" si="442"/>
        <v>0</v>
      </c>
      <c r="BL854" s="443">
        <f t="shared" si="443"/>
        <v>0</v>
      </c>
      <c r="BM854" s="443">
        <f t="shared" si="444"/>
        <v>0</v>
      </c>
      <c r="BN854" s="443">
        <f t="shared" si="445"/>
        <v>1</v>
      </c>
      <c r="BO854" s="443">
        <f t="shared" si="446"/>
        <v>1</v>
      </c>
      <c r="BP854" s="443">
        <f t="shared" si="447"/>
        <v>0</v>
      </c>
      <c r="BQ854" s="443">
        <f t="shared" si="448"/>
        <v>0</v>
      </c>
    </row>
    <row r="855" spans="1:69" x14ac:dyDescent="0.2">
      <c r="A855" s="102">
        <v>41884</v>
      </c>
      <c r="B855" s="319">
        <v>1</v>
      </c>
      <c r="C855" s="118" t="s">
        <v>4565</v>
      </c>
      <c r="D855" s="111">
        <v>0.42638888888888887</v>
      </c>
      <c r="E855" s="111">
        <v>0.72916666666666663</v>
      </c>
      <c r="F855" s="319">
        <v>59</v>
      </c>
      <c r="G855" s="445">
        <v>7</v>
      </c>
      <c r="H855" s="319"/>
      <c r="I855" s="319">
        <v>29.5</v>
      </c>
      <c r="J855" s="426">
        <f t="shared" si="421"/>
        <v>435.99999999999994</v>
      </c>
      <c r="K855" s="103"/>
      <c r="L855" s="103"/>
      <c r="M855" s="103"/>
      <c r="N855" s="427">
        <f t="shared" si="422"/>
        <v>0</v>
      </c>
      <c r="O855" s="103"/>
      <c r="P855" s="103"/>
      <c r="Q855" s="103"/>
      <c r="R855" s="428">
        <f t="shared" si="423"/>
        <v>0</v>
      </c>
      <c r="S855" s="103"/>
      <c r="T855" s="103"/>
      <c r="U855" s="103"/>
      <c r="V855" s="125"/>
      <c r="W855" s="428">
        <f t="shared" si="427"/>
        <v>0</v>
      </c>
      <c r="X855" s="103"/>
      <c r="Y855" s="103"/>
      <c r="Z855" s="125"/>
      <c r="AA855" s="428">
        <f t="shared" si="428"/>
        <v>0</v>
      </c>
      <c r="AB855" s="103"/>
      <c r="AC855" s="103"/>
      <c r="AD855" s="103"/>
      <c r="AE855" s="428">
        <f t="shared" si="429"/>
        <v>0</v>
      </c>
      <c r="AF855" s="103"/>
      <c r="AG855" s="103"/>
      <c r="AH855" s="103"/>
      <c r="AI855" s="103"/>
      <c r="AJ855" s="428">
        <f t="shared" si="430"/>
        <v>0</v>
      </c>
      <c r="AK855" s="446"/>
      <c r="AL855" s="446"/>
      <c r="AM855" s="446"/>
      <c r="AN855" s="446"/>
      <c r="AO855" s="446"/>
      <c r="AP855" s="446"/>
      <c r="AQ855" s="446"/>
      <c r="AR855" s="431">
        <f t="shared" si="431"/>
        <v>0</v>
      </c>
      <c r="AT855" s="128" t="s">
        <v>4483</v>
      </c>
      <c r="AU855" s="100" t="s">
        <v>4566</v>
      </c>
      <c r="AV855" s="128" t="s">
        <v>4569</v>
      </c>
      <c r="AW855" s="100" t="s">
        <v>4570</v>
      </c>
      <c r="AX855" s="433">
        <f t="shared" si="432"/>
        <v>0</v>
      </c>
      <c r="AY855" s="433">
        <f t="shared" si="433"/>
        <v>0</v>
      </c>
      <c r="AZ855" s="433">
        <f t="shared" si="434"/>
        <v>0</v>
      </c>
      <c r="BA855" s="433">
        <f t="shared" si="424"/>
        <v>0</v>
      </c>
      <c r="BB855" s="433">
        <f t="shared" si="425"/>
        <v>0</v>
      </c>
      <c r="BC855" s="433">
        <f t="shared" si="426"/>
        <v>0</v>
      </c>
      <c r="BD855" s="433">
        <f t="shared" si="435"/>
        <v>0</v>
      </c>
      <c r="BE855" s="433">
        <f t="shared" si="436"/>
        <v>0</v>
      </c>
      <c r="BF855" s="433">
        <f t="shared" si="437"/>
        <v>0</v>
      </c>
      <c r="BG855" s="433">
        <f t="shared" si="438"/>
        <v>0</v>
      </c>
      <c r="BH855" s="433">
        <f t="shared" si="439"/>
        <v>0</v>
      </c>
      <c r="BI855" s="433">
        <f t="shared" si="440"/>
        <v>0</v>
      </c>
      <c r="BJ855" s="433">
        <f t="shared" si="441"/>
        <v>0</v>
      </c>
      <c r="BK855" s="433">
        <f t="shared" si="442"/>
        <v>0</v>
      </c>
      <c r="BL855" s="433">
        <f t="shared" si="443"/>
        <v>0</v>
      </c>
      <c r="BM855" s="433">
        <f t="shared" si="444"/>
        <v>0</v>
      </c>
      <c r="BN855" s="433">
        <f t="shared" si="445"/>
        <v>0</v>
      </c>
      <c r="BO855" s="433">
        <f t="shared" si="446"/>
        <v>0</v>
      </c>
      <c r="BP855" s="433">
        <f t="shared" si="447"/>
        <v>0</v>
      </c>
      <c r="BQ855" s="433">
        <f t="shared" si="448"/>
        <v>0</v>
      </c>
    </row>
    <row r="856" spans="1:69" x14ac:dyDescent="0.2">
      <c r="A856" s="102">
        <v>41884</v>
      </c>
      <c r="B856" s="319">
        <v>1</v>
      </c>
      <c r="C856" s="118" t="s">
        <v>4032</v>
      </c>
      <c r="D856" s="111">
        <v>0.72916666666666663</v>
      </c>
      <c r="E856" s="111">
        <v>0.84722222222222221</v>
      </c>
      <c r="F856" s="319">
        <v>53</v>
      </c>
      <c r="G856" s="445">
        <v>8</v>
      </c>
      <c r="H856" s="319"/>
      <c r="I856" s="319"/>
      <c r="J856" s="426">
        <f t="shared" si="421"/>
        <v>170.00000000000003</v>
      </c>
      <c r="K856" s="103"/>
      <c r="L856" s="103"/>
      <c r="M856" s="103"/>
      <c r="N856" s="427">
        <f t="shared" si="422"/>
        <v>0</v>
      </c>
      <c r="O856" s="103"/>
      <c r="P856" s="103"/>
      <c r="Q856" s="103"/>
      <c r="R856" s="428">
        <f t="shared" si="423"/>
        <v>0</v>
      </c>
      <c r="S856" s="103"/>
      <c r="T856" s="103"/>
      <c r="U856" s="103"/>
      <c r="V856" s="125"/>
      <c r="W856" s="428">
        <f t="shared" si="427"/>
        <v>0</v>
      </c>
      <c r="X856" s="103"/>
      <c r="Y856" s="103"/>
      <c r="Z856" s="125"/>
      <c r="AA856" s="428">
        <f t="shared" si="428"/>
        <v>0</v>
      </c>
      <c r="AB856" s="103"/>
      <c r="AC856" s="103"/>
      <c r="AD856" s="103"/>
      <c r="AE856" s="428">
        <f t="shared" si="429"/>
        <v>0</v>
      </c>
      <c r="AF856" s="103"/>
      <c r="AG856" s="103"/>
      <c r="AH856" s="103"/>
      <c r="AI856" s="103"/>
      <c r="AJ856" s="428">
        <f t="shared" si="430"/>
        <v>0</v>
      </c>
      <c r="AK856" s="446"/>
      <c r="AL856" s="446"/>
      <c r="AM856" s="446"/>
      <c r="AN856" s="446"/>
      <c r="AO856" s="446"/>
      <c r="AP856" s="446"/>
      <c r="AQ856" s="446"/>
      <c r="AR856" s="431">
        <f t="shared" si="431"/>
        <v>0</v>
      </c>
      <c r="AT856" s="128" t="s">
        <v>4483</v>
      </c>
      <c r="AU856" s="100" t="s">
        <v>4566</v>
      </c>
      <c r="AV856" s="128" t="s">
        <v>4569</v>
      </c>
      <c r="AW856" s="100" t="s">
        <v>4570</v>
      </c>
      <c r="AX856" s="433">
        <f t="shared" si="432"/>
        <v>0</v>
      </c>
      <c r="AY856" s="433">
        <f t="shared" si="433"/>
        <v>0</v>
      </c>
      <c r="AZ856" s="433">
        <f t="shared" si="434"/>
        <v>0</v>
      </c>
      <c r="BA856" s="433">
        <f t="shared" si="424"/>
        <v>0</v>
      </c>
      <c r="BB856" s="433">
        <f t="shared" si="425"/>
        <v>0</v>
      </c>
      <c r="BC856" s="433">
        <f t="shared" si="426"/>
        <v>0</v>
      </c>
      <c r="BD856" s="433">
        <f t="shared" si="435"/>
        <v>0</v>
      </c>
      <c r="BE856" s="433">
        <f t="shared" si="436"/>
        <v>0</v>
      </c>
      <c r="BF856" s="433">
        <f t="shared" si="437"/>
        <v>0</v>
      </c>
      <c r="BG856" s="433">
        <f t="shared" si="438"/>
        <v>0</v>
      </c>
      <c r="BH856" s="433">
        <f t="shared" si="439"/>
        <v>0</v>
      </c>
      <c r="BI856" s="433">
        <f t="shared" si="440"/>
        <v>0</v>
      </c>
      <c r="BJ856" s="433">
        <f t="shared" si="441"/>
        <v>0</v>
      </c>
      <c r="BK856" s="433">
        <f t="shared" si="442"/>
        <v>0</v>
      </c>
      <c r="BL856" s="433">
        <f t="shared" si="443"/>
        <v>0</v>
      </c>
      <c r="BM856" s="433">
        <f t="shared" si="444"/>
        <v>0</v>
      </c>
      <c r="BN856" s="433">
        <f t="shared" si="445"/>
        <v>0</v>
      </c>
      <c r="BO856" s="433">
        <f t="shared" si="446"/>
        <v>0</v>
      </c>
      <c r="BP856" s="433">
        <f t="shared" si="447"/>
        <v>0</v>
      </c>
      <c r="BQ856" s="433">
        <f t="shared" si="448"/>
        <v>0</v>
      </c>
    </row>
    <row r="857" spans="1:69" x14ac:dyDescent="0.2">
      <c r="A857" s="102">
        <v>41884</v>
      </c>
      <c r="B857" s="319">
        <v>2</v>
      </c>
      <c r="C857" s="118" t="s">
        <v>4567</v>
      </c>
      <c r="D857" s="111">
        <v>0.41944444444444445</v>
      </c>
      <c r="E857" s="111">
        <v>0.71805555555555556</v>
      </c>
      <c r="F857" s="319">
        <v>38</v>
      </c>
      <c r="G857" s="445">
        <v>7</v>
      </c>
      <c r="H857" s="319"/>
      <c r="I857" s="319"/>
      <c r="J857" s="426">
        <f t="shared" si="421"/>
        <v>429.99999999999994</v>
      </c>
      <c r="K857" s="103"/>
      <c r="L857" s="103"/>
      <c r="M857" s="103"/>
      <c r="N857" s="427">
        <f t="shared" si="422"/>
        <v>0</v>
      </c>
      <c r="O857" s="103"/>
      <c r="P857" s="103"/>
      <c r="Q857" s="103"/>
      <c r="R857" s="428">
        <f t="shared" si="423"/>
        <v>0</v>
      </c>
      <c r="S857" s="103"/>
      <c r="T857" s="103"/>
      <c r="U857" s="103"/>
      <c r="V857" s="125"/>
      <c r="W857" s="428">
        <f t="shared" si="427"/>
        <v>0</v>
      </c>
      <c r="X857" s="103"/>
      <c r="Y857" s="103"/>
      <c r="Z857" s="125"/>
      <c r="AA857" s="428">
        <f t="shared" si="428"/>
        <v>0</v>
      </c>
      <c r="AB857" s="103"/>
      <c r="AC857" s="103">
        <v>2</v>
      </c>
      <c r="AD857" s="103"/>
      <c r="AE857" s="428">
        <f t="shared" si="429"/>
        <v>2</v>
      </c>
      <c r="AF857" s="103"/>
      <c r="AG857" s="103"/>
      <c r="AH857" s="103"/>
      <c r="AI857" s="103"/>
      <c r="AJ857" s="428">
        <f t="shared" si="430"/>
        <v>0</v>
      </c>
      <c r="AK857" s="446"/>
      <c r="AL857" s="446"/>
      <c r="AM857" s="446"/>
      <c r="AN857" s="446"/>
      <c r="AO857" s="446"/>
      <c r="AP857" s="446"/>
      <c r="AQ857" s="446"/>
      <c r="AR857" s="431">
        <f t="shared" si="431"/>
        <v>0</v>
      </c>
      <c r="AT857" s="128"/>
      <c r="AU857" s="100" t="s">
        <v>4566</v>
      </c>
      <c r="AV857" s="128" t="s">
        <v>4569</v>
      </c>
      <c r="AW857" s="100" t="s">
        <v>4570</v>
      </c>
      <c r="AX857" s="433">
        <f t="shared" si="432"/>
        <v>0</v>
      </c>
      <c r="AY857" s="433">
        <f t="shared" si="433"/>
        <v>0</v>
      </c>
      <c r="AZ857" s="433">
        <f t="shared" si="434"/>
        <v>0</v>
      </c>
      <c r="BA857" s="433">
        <f t="shared" si="424"/>
        <v>0</v>
      </c>
      <c r="BB857" s="433">
        <f t="shared" si="425"/>
        <v>0</v>
      </c>
      <c r="BC857" s="433">
        <f t="shared" si="426"/>
        <v>0</v>
      </c>
      <c r="BD857" s="433">
        <f t="shared" si="435"/>
        <v>0</v>
      </c>
      <c r="BE857" s="433">
        <f t="shared" si="436"/>
        <v>0</v>
      </c>
      <c r="BF857" s="433">
        <f t="shared" si="437"/>
        <v>0</v>
      </c>
      <c r="BG857" s="433">
        <f t="shared" si="438"/>
        <v>0</v>
      </c>
      <c r="BH857" s="433">
        <f t="shared" si="439"/>
        <v>0</v>
      </c>
      <c r="BI857" s="433">
        <f t="shared" si="440"/>
        <v>0</v>
      </c>
      <c r="BJ857" s="433">
        <f t="shared" si="441"/>
        <v>0</v>
      </c>
      <c r="BK857" s="433">
        <f t="shared" si="442"/>
        <v>0</v>
      </c>
      <c r="BL857" s="433">
        <f t="shared" si="443"/>
        <v>2</v>
      </c>
      <c r="BM857" s="433">
        <f t="shared" si="444"/>
        <v>0</v>
      </c>
      <c r="BN857" s="433">
        <f t="shared" si="445"/>
        <v>0</v>
      </c>
      <c r="BO857" s="433">
        <f t="shared" si="446"/>
        <v>0</v>
      </c>
      <c r="BP857" s="433">
        <f t="shared" si="447"/>
        <v>0</v>
      </c>
      <c r="BQ857" s="433">
        <f t="shared" si="448"/>
        <v>0</v>
      </c>
    </row>
    <row r="858" spans="1:69" x14ac:dyDescent="0.2">
      <c r="A858" s="102">
        <v>41884</v>
      </c>
      <c r="B858" s="319">
        <v>2</v>
      </c>
      <c r="C858" s="118" t="s">
        <v>4032</v>
      </c>
      <c r="D858" s="111">
        <v>0.71805555555555556</v>
      </c>
      <c r="E858" s="111">
        <v>0.83819444444444446</v>
      </c>
      <c r="F858" s="319">
        <v>35</v>
      </c>
      <c r="G858" s="445">
        <v>8</v>
      </c>
      <c r="H858" s="319"/>
      <c r="I858" s="319"/>
      <c r="J858" s="426">
        <f t="shared" si="421"/>
        <v>173.00000000000003</v>
      </c>
      <c r="K858" s="103"/>
      <c r="L858" s="103"/>
      <c r="M858" s="103"/>
      <c r="N858" s="427">
        <f t="shared" si="422"/>
        <v>0</v>
      </c>
      <c r="O858" s="103"/>
      <c r="P858" s="103"/>
      <c r="Q858" s="103"/>
      <c r="R858" s="428">
        <f t="shared" si="423"/>
        <v>0</v>
      </c>
      <c r="S858" s="103"/>
      <c r="T858" s="103"/>
      <c r="U858" s="103"/>
      <c r="V858" s="125"/>
      <c r="W858" s="428">
        <f t="shared" si="427"/>
        <v>0</v>
      </c>
      <c r="X858" s="103"/>
      <c r="Y858" s="103"/>
      <c r="Z858" s="125"/>
      <c r="AA858" s="428">
        <f t="shared" si="428"/>
        <v>0</v>
      </c>
      <c r="AB858" s="103"/>
      <c r="AC858" s="103">
        <v>1</v>
      </c>
      <c r="AD858" s="103"/>
      <c r="AE858" s="428">
        <f t="shared" si="429"/>
        <v>1</v>
      </c>
      <c r="AF858" s="103"/>
      <c r="AG858" s="103"/>
      <c r="AH858" s="103"/>
      <c r="AI858" s="103"/>
      <c r="AJ858" s="428">
        <f t="shared" si="430"/>
        <v>0</v>
      </c>
      <c r="AK858" s="446"/>
      <c r="AL858" s="446"/>
      <c r="AM858" s="446"/>
      <c r="AN858" s="446"/>
      <c r="AO858" s="446"/>
      <c r="AP858" s="446"/>
      <c r="AQ858" s="446"/>
      <c r="AR858" s="431">
        <f t="shared" si="431"/>
        <v>0</v>
      </c>
      <c r="AT858" s="128"/>
      <c r="AU858" s="100" t="s">
        <v>4566</v>
      </c>
      <c r="AV858" s="128" t="s">
        <v>4569</v>
      </c>
      <c r="AW858" s="100" t="s">
        <v>4570</v>
      </c>
      <c r="AX858" s="433">
        <f t="shared" si="432"/>
        <v>0</v>
      </c>
      <c r="AY858" s="433">
        <f t="shared" si="433"/>
        <v>0</v>
      </c>
      <c r="AZ858" s="433">
        <f t="shared" si="434"/>
        <v>0</v>
      </c>
      <c r="BA858" s="433">
        <f t="shared" si="424"/>
        <v>0</v>
      </c>
      <c r="BB858" s="433">
        <f t="shared" si="425"/>
        <v>0</v>
      </c>
      <c r="BC858" s="433">
        <f t="shared" si="426"/>
        <v>0</v>
      </c>
      <c r="BD858" s="433">
        <f t="shared" si="435"/>
        <v>0</v>
      </c>
      <c r="BE858" s="433">
        <f t="shared" si="436"/>
        <v>0</v>
      </c>
      <c r="BF858" s="433">
        <f t="shared" si="437"/>
        <v>0</v>
      </c>
      <c r="BG858" s="433">
        <f t="shared" si="438"/>
        <v>0</v>
      </c>
      <c r="BH858" s="433">
        <f t="shared" si="439"/>
        <v>0</v>
      </c>
      <c r="BI858" s="433">
        <f t="shared" si="440"/>
        <v>0</v>
      </c>
      <c r="BJ858" s="433">
        <f t="shared" si="441"/>
        <v>0</v>
      </c>
      <c r="BK858" s="433">
        <f t="shared" si="442"/>
        <v>0</v>
      </c>
      <c r="BL858" s="433">
        <f t="shared" si="443"/>
        <v>1</v>
      </c>
      <c r="BM858" s="433">
        <f t="shared" si="444"/>
        <v>0</v>
      </c>
      <c r="BN858" s="433">
        <f t="shared" si="445"/>
        <v>0</v>
      </c>
      <c r="BO858" s="433">
        <f t="shared" si="446"/>
        <v>0</v>
      </c>
      <c r="BP858" s="433">
        <f t="shared" si="447"/>
        <v>0</v>
      </c>
      <c r="BQ858" s="433">
        <f t="shared" si="448"/>
        <v>0</v>
      </c>
    </row>
    <row r="859" spans="1:69" x14ac:dyDescent="0.2">
      <c r="A859" s="102">
        <v>41884</v>
      </c>
      <c r="B859" s="319">
        <v>3</v>
      </c>
      <c r="C859" s="114" t="s">
        <v>4038</v>
      </c>
      <c r="D859" s="111">
        <v>0.42083333333333334</v>
      </c>
      <c r="E859" s="111">
        <v>0.7090277777777777</v>
      </c>
      <c r="F859" s="319">
        <v>46</v>
      </c>
      <c r="G859" s="445">
        <v>8</v>
      </c>
      <c r="H859" s="319"/>
      <c r="I859" s="319"/>
      <c r="J859" s="426">
        <f t="shared" si="421"/>
        <v>414.99999999999989</v>
      </c>
      <c r="K859" s="103"/>
      <c r="L859" s="103"/>
      <c r="M859" s="103"/>
      <c r="N859" s="427">
        <f t="shared" si="422"/>
        <v>0</v>
      </c>
      <c r="O859" s="103"/>
      <c r="P859" s="103"/>
      <c r="Q859" s="103"/>
      <c r="R859" s="428">
        <f t="shared" si="423"/>
        <v>0</v>
      </c>
      <c r="S859" s="103"/>
      <c r="T859" s="103"/>
      <c r="U859" s="103"/>
      <c r="V859" s="480"/>
      <c r="W859" s="428">
        <f t="shared" si="427"/>
        <v>0</v>
      </c>
      <c r="X859" s="103"/>
      <c r="Y859" s="103"/>
      <c r="Z859" s="480"/>
      <c r="AA859" s="428">
        <f t="shared" si="428"/>
        <v>0</v>
      </c>
      <c r="AB859" s="103"/>
      <c r="AC859" s="103">
        <v>1</v>
      </c>
      <c r="AD859" s="103"/>
      <c r="AE859" s="428">
        <f t="shared" si="429"/>
        <v>1</v>
      </c>
      <c r="AF859" s="103"/>
      <c r="AG859" s="103"/>
      <c r="AH859" s="103"/>
      <c r="AI859" s="103"/>
      <c r="AJ859" s="428">
        <f t="shared" si="430"/>
        <v>0</v>
      </c>
      <c r="AK859" s="446"/>
      <c r="AL859" s="446"/>
      <c r="AM859" s="446"/>
      <c r="AN859" s="446"/>
      <c r="AO859" s="446"/>
      <c r="AP859" s="446"/>
      <c r="AQ859" s="446"/>
      <c r="AR859" s="431">
        <f t="shared" si="431"/>
        <v>0</v>
      </c>
      <c r="AS859" s="10" t="s">
        <v>4568</v>
      </c>
      <c r="AT859" s="128"/>
      <c r="AU859" s="100" t="s">
        <v>4566</v>
      </c>
      <c r="AV859" s="128" t="s">
        <v>4569</v>
      </c>
      <c r="AW859" s="100" t="s">
        <v>4570</v>
      </c>
      <c r="AX859" s="433">
        <f t="shared" si="432"/>
        <v>0</v>
      </c>
      <c r="AY859" s="433">
        <f t="shared" si="433"/>
        <v>0</v>
      </c>
      <c r="AZ859" s="433">
        <f t="shared" si="434"/>
        <v>0</v>
      </c>
      <c r="BA859" s="433">
        <f t="shared" si="424"/>
        <v>0</v>
      </c>
      <c r="BB859" s="433">
        <f t="shared" si="425"/>
        <v>0</v>
      </c>
      <c r="BC859" s="433">
        <f t="shared" si="426"/>
        <v>0</v>
      </c>
      <c r="BD859" s="433">
        <f t="shared" si="435"/>
        <v>0</v>
      </c>
      <c r="BE859" s="433">
        <f t="shared" si="436"/>
        <v>0</v>
      </c>
      <c r="BF859" s="433">
        <f t="shared" si="437"/>
        <v>0</v>
      </c>
      <c r="BG859" s="433">
        <f t="shared" si="438"/>
        <v>0</v>
      </c>
      <c r="BH859" s="433">
        <f t="shared" si="439"/>
        <v>0</v>
      </c>
      <c r="BI859" s="433">
        <f t="shared" si="440"/>
        <v>0</v>
      </c>
      <c r="BJ859" s="433">
        <f t="shared" si="441"/>
        <v>0</v>
      </c>
      <c r="BK859" s="433">
        <f t="shared" si="442"/>
        <v>0</v>
      </c>
      <c r="BL859" s="433">
        <f t="shared" si="443"/>
        <v>1</v>
      </c>
      <c r="BM859" s="433">
        <f t="shared" si="444"/>
        <v>0</v>
      </c>
      <c r="BN859" s="433">
        <f t="shared" si="445"/>
        <v>0</v>
      </c>
      <c r="BO859" s="433">
        <f t="shared" si="446"/>
        <v>0</v>
      </c>
      <c r="BP859" s="433">
        <f t="shared" si="447"/>
        <v>0</v>
      </c>
      <c r="BQ859" s="433">
        <f t="shared" si="448"/>
        <v>0</v>
      </c>
    </row>
    <row r="860" spans="1:69" s="291" customFormat="1" x14ac:dyDescent="0.2">
      <c r="A860" s="317">
        <v>41884</v>
      </c>
      <c r="B860" s="318">
        <v>3</v>
      </c>
      <c r="C860" s="320" t="s">
        <v>4032</v>
      </c>
      <c r="D860" s="321">
        <v>0.7090277777777777</v>
      </c>
      <c r="E860" s="321">
        <v>0.82916666666666661</v>
      </c>
      <c r="F860" s="318">
        <v>41</v>
      </c>
      <c r="G860" s="435">
        <v>8</v>
      </c>
      <c r="H860" s="318"/>
      <c r="I860" s="318"/>
      <c r="J860" s="437">
        <f t="shared" si="421"/>
        <v>173.00000000000003</v>
      </c>
      <c r="K860" s="285"/>
      <c r="L860" s="285"/>
      <c r="M860" s="285"/>
      <c r="N860" s="438">
        <f t="shared" si="422"/>
        <v>0</v>
      </c>
      <c r="O860" s="285"/>
      <c r="P860" s="285"/>
      <c r="Q860" s="285"/>
      <c r="R860" s="439">
        <f t="shared" si="423"/>
        <v>0</v>
      </c>
      <c r="S860" s="285"/>
      <c r="T860" s="285"/>
      <c r="U860" s="285"/>
      <c r="V860" s="440"/>
      <c r="W860" s="439">
        <f t="shared" si="427"/>
        <v>0</v>
      </c>
      <c r="X860" s="285"/>
      <c r="Y860" s="285"/>
      <c r="Z860" s="440"/>
      <c r="AA860" s="439">
        <f t="shared" si="428"/>
        <v>0</v>
      </c>
      <c r="AB860" s="285"/>
      <c r="AC860" s="285"/>
      <c r="AD860" s="285"/>
      <c r="AE860" s="439">
        <f t="shared" si="429"/>
        <v>0</v>
      </c>
      <c r="AF860" s="285"/>
      <c r="AG860" s="285"/>
      <c r="AH860" s="285"/>
      <c r="AI860" s="285"/>
      <c r="AJ860" s="439">
        <f t="shared" si="430"/>
        <v>0</v>
      </c>
      <c r="AK860" s="340"/>
      <c r="AL860" s="340"/>
      <c r="AM860" s="340"/>
      <c r="AN860" s="340"/>
      <c r="AO860" s="340"/>
      <c r="AP860" s="340"/>
      <c r="AQ860" s="340"/>
      <c r="AR860" s="441">
        <f t="shared" si="431"/>
        <v>0</v>
      </c>
      <c r="AT860" s="313" t="s">
        <v>4483</v>
      </c>
      <c r="AU860" s="289" t="s">
        <v>4566</v>
      </c>
      <c r="AV860" s="313" t="s">
        <v>4569</v>
      </c>
      <c r="AW860" s="289" t="s">
        <v>4570</v>
      </c>
      <c r="AX860" s="443">
        <f t="shared" si="432"/>
        <v>0</v>
      </c>
      <c r="AY860" s="443">
        <f t="shared" si="433"/>
        <v>0</v>
      </c>
      <c r="AZ860" s="443">
        <f t="shared" si="434"/>
        <v>0</v>
      </c>
      <c r="BA860" s="443">
        <f t="shared" si="424"/>
        <v>0</v>
      </c>
      <c r="BB860" s="443">
        <f t="shared" si="425"/>
        <v>0</v>
      </c>
      <c r="BC860" s="443">
        <f t="shared" si="426"/>
        <v>0</v>
      </c>
      <c r="BD860" s="443">
        <f t="shared" si="435"/>
        <v>0</v>
      </c>
      <c r="BE860" s="443">
        <f t="shared" si="436"/>
        <v>0</v>
      </c>
      <c r="BF860" s="443">
        <f t="shared" si="437"/>
        <v>0</v>
      </c>
      <c r="BG860" s="443">
        <f t="shared" si="438"/>
        <v>0</v>
      </c>
      <c r="BH860" s="443">
        <f t="shared" si="439"/>
        <v>0</v>
      </c>
      <c r="BI860" s="443">
        <f t="shared" si="440"/>
        <v>0</v>
      </c>
      <c r="BJ860" s="443">
        <f t="shared" si="441"/>
        <v>0</v>
      </c>
      <c r="BK860" s="443">
        <f t="shared" si="442"/>
        <v>0</v>
      </c>
      <c r="BL860" s="443">
        <f t="shared" si="443"/>
        <v>0</v>
      </c>
      <c r="BM860" s="443">
        <f t="shared" si="444"/>
        <v>0</v>
      </c>
      <c r="BN860" s="443">
        <f t="shared" si="445"/>
        <v>0</v>
      </c>
      <c r="BO860" s="443">
        <f t="shared" si="446"/>
        <v>0</v>
      </c>
      <c r="BP860" s="443">
        <f t="shared" si="447"/>
        <v>0</v>
      </c>
      <c r="BQ860" s="443">
        <f t="shared" si="448"/>
        <v>0</v>
      </c>
    </row>
    <row r="861" spans="1:69" x14ac:dyDescent="0.2">
      <c r="A861" s="102">
        <v>41885</v>
      </c>
      <c r="B861" s="319">
        <v>1</v>
      </c>
      <c r="C861" s="118" t="s">
        <v>4567</v>
      </c>
      <c r="D861" s="111">
        <v>0.4284722222222222</v>
      </c>
      <c r="E861" s="111">
        <v>0.6020833333333333</v>
      </c>
      <c r="F861" s="319">
        <v>39</v>
      </c>
      <c r="G861" s="445">
        <v>6.5</v>
      </c>
      <c r="H861" s="319"/>
      <c r="I861" s="319"/>
      <c r="J861" s="426">
        <f t="shared" si="421"/>
        <v>249.99999999999997</v>
      </c>
      <c r="K861" s="103"/>
      <c r="L861" s="103"/>
      <c r="M861" s="103"/>
      <c r="N861" s="427">
        <f t="shared" si="422"/>
        <v>0</v>
      </c>
      <c r="O861" s="103"/>
      <c r="P861" s="103"/>
      <c r="Q861" s="103"/>
      <c r="R861" s="428">
        <f t="shared" si="423"/>
        <v>0</v>
      </c>
      <c r="S861" s="103"/>
      <c r="T861" s="103"/>
      <c r="U861" s="103"/>
      <c r="V861" s="480"/>
      <c r="W861" s="428">
        <f t="shared" si="427"/>
        <v>0</v>
      </c>
      <c r="X861" s="103"/>
      <c r="Y861" s="103"/>
      <c r="Z861" s="480"/>
      <c r="AA861" s="428">
        <f t="shared" si="428"/>
        <v>0</v>
      </c>
      <c r="AB861" s="103"/>
      <c r="AC861" s="103"/>
      <c r="AD861" s="103"/>
      <c r="AE861" s="428">
        <f t="shared" si="429"/>
        <v>0</v>
      </c>
      <c r="AF861" s="103"/>
      <c r="AG861" s="103"/>
      <c r="AH861" s="103"/>
      <c r="AI861" s="103"/>
      <c r="AJ861" s="428">
        <f t="shared" si="430"/>
        <v>0</v>
      </c>
      <c r="AK861" s="446"/>
      <c r="AL861" s="446"/>
      <c r="AM861" s="446"/>
      <c r="AN861" s="446"/>
      <c r="AO861" s="446"/>
      <c r="AP861" s="446"/>
      <c r="AQ861" s="446"/>
      <c r="AR861" s="431">
        <f t="shared" si="431"/>
        <v>0</v>
      </c>
      <c r="AS861" s="10" t="s">
        <v>4571</v>
      </c>
      <c r="AT861" s="128" t="s">
        <v>4483</v>
      </c>
      <c r="AU861" s="100" t="s">
        <v>4572</v>
      </c>
      <c r="AV861" s="128" t="s">
        <v>4577</v>
      </c>
      <c r="AW861" s="100" t="s">
        <v>4578</v>
      </c>
      <c r="AX861" s="433">
        <f t="shared" si="432"/>
        <v>0</v>
      </c>
      <c r="AY861" s="433">
        <f t="shared" si="433"/>
        <v>0</v>
      </c>
      <c r="AZ861" s="433">
        <f t="shared" si="434"/>
        <v>0</v>
      </c>
      <c r="BA861" s="433">
        <f t="shared" si="424"/>
        <v>0</v>
      </c>
      <c r="BB861" s="433">
        <f t="shared" si="425"/>
        <v>0</v>
      </c>
      <c r="BC861" s="433">
        <f t="shared" si="426"/>
        <v>0</v>
      </c>
      <c r="BD861" s="433">
        <f t="shared" si="435"/>
        <v>0</v>
      </c>
      <c r="BE861" s="433">
        <f t="shared" si="436"/>
        <v>0</v>
      </c>
      <c r="BF861" s="433">
        <f t="shared" si="437"/>
        <v>0</v>
      </c>
      <c r="BG861" s="433">
        <f t="shared" si="438"/>
        <v>0</v>
      </c>
      <c r="BH861" s="433">
        <f t="shared" si="439"/>
        <v>0</v>
      </c>
      <c r="BI861" s="433">
        <f t="shared" si="440"/>
        <v>0</v>
      </c>
      <c r="BJ861" s="433">
        <f t="shared" si="441"/>
        <v>0</v>
      </c>
      <c r="BK861" s="433">
        <f t="shared" si="442"/>
        <v>0</v>
      </c>
      <c r="BL861" s="433">
        <f t="shared" si="443"/>
        <v>0</v>
      </c>
      <c r="BM861" s="433">
        <f t="shared" si="444"/>
        <v>0</v>
      </c>
      <c r="BN861" s="433">
        <f t="shared" si="445"/>
        <v>0</v>
      </c>
      <c r="BO861" s="433">
        <f t="shared" si="446"/>
        <v>0</v>
      </c>
      <c r="BP861" s="433">
        <f t="shared" si="447"/>
        <v>0</v>
      </c>
      <c r="BQ861" s="433">
        <f t="shared" si="448"/>
        <v>0</v>
      </c>
    </row>
    <row r="862" spans="1:69" x14ac:dyDescent="0.2">
      <c r="A862" s="102">
        <v>41885</v>
      </c>
      <c r="B862" s="319">
        <v>1</v>
      </c>
      <c r="C862" s="114" t="s">
        <v>4481</v>
      </c>
      <c r="D862" s="111">
        <v>0.6020833333333333</v>
      </c>
      <c r="E862" s="111">
        <v>0.85277777777777775</v>
      </c>
      <c r="F862" s="319">
        <v>49</v>
      </c>
      <c r="G862" s="445">
        <v>7</v>
      </c>
      <c r="H862" s="319"/>
      <c r="I862" s="319"/>
      <c r="J862" s="426">
        <f t="shared" si="421"/>
        <v>361</v>
      </c>
      <c r="K862" s="103"/>
      <c r="L862" s="103"/>
      <c r="M862" s="103"/>
      <c r="N862" s="427">
        <f t="shared" si="422"/>
        <v>0</v>
      </c>
      <c r="O862" s="103"/>
      <c r="P862" s="103"/>
      <c r="Q862" s="103"/>
      <c r="R862" s="428">
        <f t="shared" si="423"/>
        <v>0</v>
      </c>
      <c r="S862" s="103"/>
      <c r="T862" s="103"/>
      <c r="U862" s="103"/>
      <c r="V862" s="480"/>
      <c r="W862" s="428">
        <f t="shared" si="427"/>
        <v>0</v>
      </c>
      <c r="X862" s="103"/>
      <c r="Y862" s="103"/>
      <c r="Z862" s="480"/>
      <c r="AA862" s="428">
        <f t="shared" si="428"/>
        <v>0</v>
      </c>
      <c r="AB862" s="103"/>
      <c r="AC862" s="103"/>
      <c r="AD862" s="103"/>
      <c r="AE862" s="428">
        <f t="shared" si="429"/>
        <v>0</v>
      </c>
      <c r="AF862" s="103">
        <v>1</v>
      </c>
      <c r="AG862" s="103"/>
      <c r="AH862" s="103"/>
      <c r="AI862" s="103"/>
      <c r="AJ862" s="428">
        <f t="shared" si="430"/>
        <v>1</v>
      </c>
      <c r="AK862" s="446"/>
      <c r="AL862" s="446"/>
      <c r="AM862" s="446"/>
      <c r="AN862" s="446"/>
      <c r="AO862" s="446"/>
      <c r="AP862" s="446"/>
      <c r="AQ862" s="446"/>
      <c r="AR862" s="431">
        <f t="shared" si="431"/>
        <v>0</v>
      </c>
      <c r="AT862" s="128"/>
      <c r="AU862" s="100" t="s">
        <v>4572</v>
      </c>
      <c r="AV862" s="128" t="s">
        <v>4577</v>
      </c>
      <c r="AW862" s="100" t="s">
        <v>4578</v>
      </c>
      <c r="AX862" s="433">
        <f t="shared" si="432"/>
        <v>0</v>
      </c>
      <c r="AY862" s="433">
        <f t="shared" si="433"/>
        <v>0</v>
      </c>
      <c r="AZ862" s="433">
        <f t="shared" si="434"/>
        <v>0</v>
      </c>
      <c r="BA862" s="433">
        <f t="shared" si="424"/>
        <v>0</v>
      </c>
      <c r="BB862" s="433">
        <f t="shared" si="425"/>
        <v>0</v>
      </c>
      <c r="BC862" s="433">
        <f t="shared" si="426"/>
        <v>0</v>
      </c>
      <c r="BD862" s="433">
        <f t="shared" si="435"/>
        <v>0</v>
      </c>
      <c r="BE862" s="433">
        <f t="shared" si="436"/>
        <v>0</v>
      </c>
      <c r="BF862" s="433">
        <f t="shared" si="437"/>
        <v>0</v>
      </c>
      <c r="BG862" s="433">
        <f t="shared" si="438"/>
        <v>0</v>
      </c>
      <c r="BH862" s="433">
        <f t="shared" si="439"/>
        <v>0</v>
      </c>
      <c r="BI862" s="433">
        <f t="shared" si="440"/>
        <v>0</v>
      </c>
      <c r="BJ862" s="433">
        <f t="shared" si="441"/>
        <v>0</v>
      </c>
      <c r="BK862" s="433">
        <f t="shared" si="442"/>
        <v>0</v>
      </c>
      <c r="BL862" s="433">
        <f t="shared" si="443"/>
        <v>0</v>
      </c>
      <c r="BM862" s="433">
        <f t="shared" si="444"/>
        <v>0</v>
      </c>
      <c r="BN862" s="433">
        <f t="shared" si="445"/>
        <v>1</v>
      </c>
      <c r="BO862" s="433">
        <f t="shared" si="446"/>
        <v>0</v>
      </c>
      <c r="BP862" s="433">
        <f t="shared" si="447"/>
        <v>0</v>
      </c>
      <c r="BQ862" s="433">
        <f t="shared" si="448"/>
        <v>0</v>
      </c>
    </row>
    <row r="863" spans="1:69" x14ac:dyDescent="0.2">
      <c r="A863" s="102">
        <v>41885</v>
      </c>
      <c r="B863" s="319">
        <v>2</v>
      </c>
      <c r="C863" s="118" t="s">
        <v>4567</v>
      </c>
      <c r="D863" s="111">
        <v>0.42222222222222222</v>
      </c>
      <c r="E863" s="111">
        <v>0.59513888888888888</v>
      </c>
      <c r="F863" s="319">
        <v>30</v>
      </c>
      <c r="G863" s="445">
        <v>6</v>
      </c>
      <c r="H863" s="319"/>
      <c r="I863" s="319"/>
      <c r="J863" s="426">
        <f t="shared" si="421"/>
        <v>249.00000000000003</v>
      </c>
      <c r="K863" s="103"/>
      <c r="L863" s="103"/>
      <c r="M863" s="103"/>
      <c r="N863" s="427">
        <f t="shared" si="422"/>
        <v>0</v>
      </c>
      <c r="O863" s="103"/>
      <c r="P863" s="103"/>
      <c r="Q863" s="103"/>
      <c r="R863" s="428">
        <f t="shared" si="423"/>
        <v>0</v>
      </c>
      <c r="S863" s="103"/>
      <c r="T863" s="103"/>
      <c r="U863" s="103"/>
      <c r="V863" s="480"/>
      <c r="W863" s="428">
        <f t="shared" si="427"/>
        <v>0</v>
      </c>
      <c r="X863" s="103"/>
      <c r="Y863" s="103"/>
      <c r="Z863" s="480"/>
      <c r="AA863" s="428">
        <f t="shared" si="428"/>
        <v>0</v>
      </c>
      <c r="AB863" s="103"/>
      <c r="AC863" s="103"/>
      <c r="AD863" s="103"/>
      <c r="AE863" s="428">
        <f t="shared" si="429"/>
        <v>0</v>
      </c>
      <c r="AF863" s="103"/>
      <c r="AG863" s="103"/>
      <c r="AH863" s="103"/>
      <c r="AI863" s="103"/>
      <c r="AJ863" s="428">
        <f t="shared" si="430"/>
        <v>0</v>
      </c>
      <c r="AK863" s="446"/>
      <c r="AL863" s="446"/>
      <c r="AM863" s="446"/>
      <c r="AN863" s="446"/>
      <c r="AO863" s="446"/>
      <c r="AP863" s="446"/>
      <c r="AQ863" s="446"/>
      <c r="AR863" s="431">
        <f t="shared" si="431"/>
        <v>0</v>
      </c>
      <c r="AS863" s="10" t="s">
        <v>4573</v>
      </c>
      <c r="AT863" s="128" t="s">
        <v>4307</v>
      </c>
      <c r="AU863" s="100" t="s">
        <v>4574</v>
      </c>
      <c r="AV863" s="128" t="s">
        <v>4577</v>
      </c>
      <c r="AW863" s="100" t="s">
        <v>4578</v>
      </c>
      <c r="AX863" s="433">
        <f t="shared" si="432"/>
        <v>0</v>
      </c>
      <c r="AY863" s="433">
        <f t="shared" si="433"/>
        <v>0</v>
      </c>
      <c r="AZ863" s="433">
        <f t="shared" si="434"/>
        <v>0</v>
      </c>
      <c r="BA863" s="433">
        <f t="shared" si="424"/>
        <v>0</v>
      </c>
      <c r="BB863" s="433">
        <f t="shared" si="425"/>
        <v>0</v>
      </c>
      <c r="BC863" s="433">
        <f t="shared" si="426"/>
        <v>0</v>
      </c>
      <c r="BD863" s="433">
        <f t="shared" si="435"/>
        <v>0</v>
      </c>
      <c r="BE863" s="433">
        <f t="shared" si="436"/>
        <v>0</v>
      </c>
      <c r="BF863" s="433">
        <f t="shared" si="437"/>
        <v>0</v>
      </c>
      <c r="BG863" s="433">
        <f t="shared" si="438"/>
        <v>0</v>
      </c>
      <c r="BH863" s="433">
        <f t="shared" si="439"/>
        <v>0</v>
      </c>
      <c r="BI863" s="433">
        <f t="shared" si="440"/>
        <v>0</v>
      </c>
      <c r="BJ863" s="433">
        <f t="shared" si="441"/>
        <v>0</v>
      </c>
      <c r="BK863" s="433">
        <f t="shared" si="442"/>
        <v>0</v>
      </c>
      <c r="BL863" s="433">
        <f t="shared" si="443"/>
        <v>0</v>
      </c>
      <c r="BM863" s="433">
        <f t="shared" si="444"/>
        <v>0</v>
      </c>
      <c r="BN863" s="433">
        <f t="shared" si="445"/>
        <v>0</v>
      </c>
      <c r="BO863" s="433">
        <f t="shared" si="446"/>
        <v>0</v>
      </c>
      <c r="BP863" s="433">
        <f t="shared" si="447"/>
        <v>0</v>
      </c>
      <c r="BQ863" s="433">
        <f t="shared" si="448"/>
        <v>0</v>
      </c>
    </row>
    <row r="864" spans="1:69" x14ac:dyDescent="0.2">
      <c r="A864" s="102">
        <v>41885</v>
      </c>
      <c r="B864" s="319">
        <v>2</v>
      </c>
      <c r="C864" s="114" t="s">
        <v>4481</v>
      </c>
      <c r="D864" s="111">
        <v>0.59513888888888888</v>
      </c>
      <c r="E864" s="111">
        <v>0.85833333333333339</v>
      </c>
      <c r="F864" s="319">
        <v>33</v>
      </c>
      <c r="G864" s="445">
        <v>8</v>
      </c>
      <c r="H864" s="319"/>
      <c r="I864" s="319"/>
      <c r="J864" s="426">
        <f t="shared" si="421"/>
        <v>379.00000000000011</v>
      </c>
      <c r="K864" s="103"/>
      <c r="L864" s="103"/>
      <c r="M864" s="103"/>
      <c r="N864" s="427">
        <f t="shared" si="422"/>
        <v>0</v>
      </c>
      <c r="O864" s="103"/>
      <c r="P864" s="103"/>
      <c r="Q864" s="103"/>
      <c r="R864" s="428">
        <f t="shared" si="423"/>
        <v>0</v>
      </c>
      <c r="S864" s="103">
        <v>1</v>
      </c>
      <c r="T864" s="103"/>
      <c r="U864" s="103"/>
      <c r="V864" s="480"/>
      <c r="W864" s="428">
        <f t="shared" si="427"/>
        <v>1</v>
      </c>
      <c r="X864" s="103"/>
      <c r="Y864" s="103"/>
      <c r="Z864" s="480"/>
      <c r="AA864" s="428">
        <f t="shared" si="428"/>
        <v>0</v>
      </c>
      <c r="AB864" s="103"/>
      <c r="AC864" s="103"/>
      <c r="AD864" s="103"/>
      <c r="AE864" s="428">
        <f t="shared" si="429"/>
        <v>0</v>
      </c>
      <c r="AF864" s="103"/>
      <c r="AG864" s="103"/>
      <c r="AH864" s="103"/>
      <c r="AI864" s="103"/>
      <c r="AJ864" s="428">
        <f t="shared" si="430"/>
        <v>0</v>
      </c>
      <c r="AK864" s="446"/>
      <c r="AL864" s="446"/>
      <c r="AM864" s="446"/>
      <c r="AN864" s="446"/>
      <c r="AO864" s="446"/>
      <c r="AP864" s="446"/>
      <c r="AQ864" s="446"/>
      <c r="AR864" s="431">
        <f t="shared" si="431"/>
        <v>0</v>
      </c>
      <c r="AT864" s="128"/>
      <c r="AU864" s="100" t="s">
        <v>4574</v>
      </c>
      <c r="AV864" s="128" t="s">
        <v>4577</v>
      </c>
      <c r="AW864" s="100" t="s">
        <v>4578</v>
      </c>
      <c r="AX864" s="433">
        <f t="shared" si="432"/>
        <v>0</v>
      </c>
      <c r="AY864" s="433">
        <f t="shared" si="433"/>
        <v>0</v>
      </c>
      <c r="AZ864" s="433">
        <f t="shared" si="434"/>
        <v>0</v>
      </c>
      <c r="BA864" s="433">
        <f t="shared" si="424"/>
        <v>0</v>
      </c>
      <c r="BB864" s="433">
        <f t="shared" si="425"/>
        <v>0</v>
      </c>
      <c r="BC864" s="433">
        <f t="shared" si="426"/>
        <v>0</v>
      </c>
      <c r="BD864" s="433">
        <f t="shared" si="435"/>
        <v>1</v>
      </c>
      <c r="BE864" s="433">
        <f t="shared" si="436"/>
        <v>0</v>
      </c>
      <c r="BF864" s="433">
        <f t="shared" si="437"/>
        <v>0</v>
      </c>
      <c r="BG864" s="433">
        <f t="shared" si="438"/>
        <v>0</v>
      </c>
      <c r="BH864" s="433">
        <f t="shared" si="439"/>
        <v>0</v>
      </c>
      <c r="BI864" s="433">
        <f t="shared" si="440"/>
        <v>0</v>
      </c>
      <c r="BJ864" s="433">
        <f t="shared" si="441"/>
        <v>0</v>
      </c>
      <c r="BK864" s="433">
        <f t="shared" si="442"/>
        <v>0</v>
      </c>
      <c r="BL864" s="433">
        <f t="shared" si="443"/>
        <v>0</v>
      </c>
      <c r="BM864" s="433">
        <f t="shared" si="444"/>
        <v>0</v>
      </c>
      <c r="BN864" s="433">
        <f t="shared" si="445"/>
        <v>0</v>
      </c>
      <c r="BO864" s="433">
        <f t="shared" si="446"/>
        <v>0</v>
      </c>
      <c r="BP864" s="433">
        <f t="shared" si="447"/>
        <v>0</v>
      </c>
      <c r="BQ864" s="433">
        <f t="shared" si="448"/>
        <v>0</v>
      </c>
    </row>
    <row r="865" spans="1:69" x14ac:dyDescent="0.2">
      <c r="A865" s="102">
        <v>41885</v>
      </c>
      <c r="B865" s="319">
        <v>3</v>
      </c>
      <c r="C865" s="114" t="s">
        <v>4481</v>
      </c>
      <c r="D865" s="111">
        <v>0.4284722222222222</v>
      </c>
      <c r="E865" s="111">
        <v>0.62291666666666667</v>
      </c>
      <c r="F865" s="319">
        <v>34</v>
      </c>
      <c r="G865" s="445">
        <v>8</v>
      </c>
      <c r="H865" s="319"/>
      <c r="I865" s="319"/>
      <c r="J865" s="426">
        <f t="shared" si="421"/>
        <v>280.00000000000006</v>
      </c>
      <c r="K865" s="103"/>
      <c r="L865" s="103"/>
      <c r="M865" s="103"/>
      <c r="N865" s="427">
        <f t="shared" si="422"/>
        <v>0</v>
      </c>
      <c r="O865" s="103"/>
      <c r="P865" s="103"/>
      <c r="Q865" s="103"/>
      <c r="R865" s="428">
        <f t="shared" si="423"/>
        <v>0</v>
      </c>
      <c r="S865" s="103"/>
      <c r="T865" s="103"/>
      <c r="U865" s="103"/>
      <c r="V865" s="480"/>
      <c r="W865" s="428">
        <f t="shared" si="427"/>
        <v>0</v>
      </c>
      <c r="X865" s="103"/>
      <c r="Y865" s="103"/>
      <c r="Z865" s="480"/>
      <c r="AA865" s="428">
        <f t="shared" si="428"/>
        <v>0</v>
      </c>
      <c r="AB865" s="103"/>
      <c r="AC865" s="103"/>
      <c r="AD865" s="103"/>
      <c r="AE865" s="428">
        <f t="shared" si="429"/>
        <v>0</v>
      </c>
      <c r="AF865" s="103"/>
      <c r="AG865" s="103"/>
      <c r="AH865" s="103"/>
      <c r="AI865" s="103"/>
      <c r="AJ865" s="428">
        <f t="shared" si="430"/>
        <v>0</v>
      </c>
      <c r="AK865" s="446"/>
      <c r="AL865" s="446"/>
      <c r="AM865" s="446"/>
      <c r="AN865" s="446"/>
      <c r="AO865" s="446"/>
      <c r="AP865" s="446"/>
      <c r="AQ865" s="446"/>
      <c r="AR865" s="431">
        <f t="shared" si="431"/>
        <v>0</v>
      </c>
      <c r="AT865" s="128" t="s">
        <v>4307</v>
      </c>
      <c r="AU865" s="100" t="s">
        <v>4572</v>
      </c>
      <c r="AV865" s="128" t="s">
        <v>4577</v>
      </c>
      <c r="AW865" s="100" t="s">
        <v>4578</v>
      </c>
      <c r="AX865" s="433">
        <f t="shared" si="432"/>
        <v>0</v>
      </c>
      <c r="AY865" s="433">
        <f t="shared" si="433"/>
        <v>0</v>
      </c>
      <c r="AZ865" s="433">
        <f t="shared" si="434"/>
        <v>0</v>
      </c>
      <c r="BA865" s="433">
        <f t="shared" si="424"/>
        <v>0</v>
      </c>
      <c r="BB865" s="433">
        <f t="shared" si="425"/>
        <v>0</v>
      </c>
      <c r="BC865" s="433">
        <f t="shared" si="426"/>
        <v>0</v>
      </c>
      <c r="BD865" s="433">
        <f t="shared" si="435"/>
        <v>0</v>
      </c>
      <c r="BE865" s="433">
        <f t="shared" si="436"/>
        <v>0</v>
      </c>
      <c r="BF865" s="433">
        <f t="shared" si="437"/>
        <v>0</v>
      </c>
      <c r="BG865" s="433">
        <f t="shared" si="438"/>
        <v>0</v>
      </c>
      <c r="BH865" s="433">
        <f t="shared" si="439"/>
        <v>0</v>
      </c>
      <c r="BI865" s="433">
        <f t="shared" si="440"/>
        <v>0</v>
      </c>
      <c r="BJ865" s="433">
        <f t="shared" si="441"/>
        <v>0</v>
      </c>
      <c r="BK865" s="433">
        <f t="shared" si="442"/>
        <v>0</v>
      </c>
      <c r="BL865" s="433">
        <f t="shared" si="443"/>
        <v>0</v>
      </c>
      <c r="BM865" s="433">
        <f t="shared" si="444"/>
        <v>0</v>
      </c>
      <c r="BN865" s="433">
        <f t="shared" si="445"/>
        <v>0</v>
      </c>
      <c r="BO865" s="433">
        <f t="shared" si="446"/>
        <v>0</v>
      </c>
      <c r="BP865" s="433">
        <f t="shared" si="447"/>
        <v>0</v>
      </c>
      <c r="BQ865" s="433">
        <f t="shared" si="448"/>
        <v>0</v>
      </c>
    </row>
    <row r="866" spans="1:69" s="291" customFormat="1" x14ac:dyDescent="0.2">
      <c r="A866" s="317">
        <v>41885</v>
      </c>
      <c r="B866" s="318">
        <v>3</v>
      </c>
      <c r="C866" s="320" t="s">
        <v>4481</v>
      </c>
      <c r="D866" s="321">
        <v>0.62291666666666667</v>
      </c>
      <c r="E866" s="321">
        <v>0.86805555555555547</v>
      </c>
      <c r="F866" s="318">
        <v>35</v>
      </c>
      <c r="G866" s="435">
        <v>8</v>
      </c>
      <c r="H866" s="318"/>
      <c r="I866" s="318"/>
      <c r="J866" s="437">
        <f t="shared" si="421"/>
        <v>352.99999999999989</v>
      </c>
      <c r="K866" s="285"/>
      <c r="L866" s="285"/>
      <c r="M866" s="285"/>
      <c r="N866" s="438">
        <f t="shared" si="422"/>
        <v>0</v>
      </c>
      <c r="O866" s="285"/>
      <c r="P866" s="285"/>
      <c r="Q866" s="285"/>
      <c r="R866" s="439">
        <f t="shared" si="423"/>
        <v>0</v>
      </c>
      <c r="S866" s="285"/>
      <c r="T866" s="285"/>
      <c r="U866" s="285"/>
      <c r="V866" s="440"/>
      <c r="W866" s="439">
        <f t="shared" si="427"/>
        <v>0</v>
      </c>
      <c r="X866" s="285"/>
      <c r="Y866" s="285"/>
      <c r="Z866" s="440"/>
      <c r="AA866" s="439">
        <f t="shared" si="428"/>
        <v>0</v>
      </c>
      <c r="AB866" s="285"/>
      <c r="AC866" s="285"/>
      <c r="AD866" s="285"/>
      <c r="AE866" s="439">
        <f t="shared" si="429"/>
        <v>0</v>
      </c>
      <c r="AF866" s="285">
        <v>1</v>
      </c>
      <c r="AG866" s="285"/>
      <c r="AH866" s="285"/>
      <c r="AI866" s="285"/>
      <c r="AJ866" s="439">
        <f t="shared" si="430"/>
        <v>1</v>
      </c>
      <c r="AK866" s="340">
        <v>1</v>
      </c>
      <c r="AL866" s="340"/>
      <c r="AM866" s="340"/>
      <c r="AN866" s="340"/>
      <c r="AO866" s="340"/>
      <c r="AP866" s="340"/>
      <c r="AQ866" s="340"/>
      <c r="AR866" s="441">
        <f t="shared" si="431"/>
        <v>1</v>
      </c>
      <c r="AT866" s="313"/>
      <c r="AU866" s="289" t="s">
        <v>4574</v>
      </c>
      <c r="AV866" s="313" t="s">
        <v>4577</v>
      </c>
      <c r="AW866" s="289" t="s">
        <v>4578</v>
      </c>
      <c r="AX866" s="443">
        <f t="shared" si="432"/>
        <v>0</v>
      </c>
      <c r="AY866" s="443">
        <f t="shared" si="433"/>
        <v>0</v>
      </c>
      <c r="AZ866" s="443">
        <f t="shared" si="434"/>
        <v>0</v>
      </c>
      <c r="BA866" s="443">
        <f t="shared" si="424"/>
        <v>0</v>
      </c>
      <c r="BB866" s="443">
        <f t="shared" si="425"/>
        <v>0</v>
      </c>
      <c r="BC866" s="443">
        <f t="shared" si="426"/>
        <v>0</v>
      </c>
      <c r="BD866" s="443">
        <f t="shared" si="435"/>
        <v>0</v>
      </c>
      <c r="BE866" s="443">
        <f t="shared" si="436"/>
        <v>0</v>
      </c>
      <c r="BF866" s="443">
        <f t="shared" si="437"/>
        <v>0</v>
      </c>
      <c r="BG866" s="443">
        <f t="shared" si="438"/>
        <v>0</v>
      </c>
      <c r="BH866" s="443">
        <f t="shared" si="439"/>
        <v>0</v>
      </c>
      <c r="BI866" s="443">
        <f t="shared" si="440"/>
        <v>0</v>
      </c>
      <c r="BJ866" s="443">
        <f t="shared" si="441"/>
        <v>0</v>
      </c>
      <c r="BK866" s="443">
        <f t="shared" si="442"/>
        <v>0</v>
      </c>
      <c r="BL866" s="443">
        <f t="shared" si="443"/>
        <v>0</v>
      </c>
      <c r="BM866" s="443">
        <f t="shared" si="444"/>
        <v>0</v>
      </c>
      <c r="BN866" s="443">
        <f t="shared" si="445"/>
        <v>1</v>
      </c>
      <c r="BO866" s="443">
        <f t="shared" si="446"/>
        <v>0</v>
      </c>
      <c r="BP866" s="443">
        <f t="shared" si="447"/>
        <v>0</v>
      </c>
      <c r="BQ866" s="443">
        <f t="shared" si="448"/>
        <v>0</v>
      </c>
    </row>
    <row r="867" spans="1:69" x14ac:dyDescent="0.2">
      <c r="A867" s="102">
        <v>41886</v>
      </c>
      <c r="B867" s="319">
        <v>1</v>
      </c>
      <c r="C867" s="118" t="s">
        <v>4567</v>
      </c>
      <c r="D867" s="111">
        <v>0.42777777777777781</v>
      </c>
      <c r="E867" s="111">
        <v>0.52777777777777779</v>
      </c>
      <c r="F867" s="319">
        <v>56</v>
      </c>
      <c r="G867" s="445">
        <v>7</v>
      </c>
      <c r="H867" s="319"/>
      <c r="I867" s="319">
        <v>25.8</v>
      </c>
      <c r="J867" s="426">
        <f t="shared" si="421"/>
        <v>143.99999999999997</v>
      </c>
      <c r="K867" s="103"/>
      <c r="L867" s="103"/>
      <c r="M867" s="103"/>
      <c r="N867" s="427">
        <f t="shared" si="422"/>
        <v>0</v>
      </c>
      <c r="O867" s="103"/>
      <c r="P867" s="103"/>
      <c r="Q867" s="103"/>
      <c r="R867" s="428">
        <f t="shared" si="423"/>
        <v>0</v>
      </c>
      <c r="S867" s="103"/>
      <c r="T867" s="103"/>
      <c r="U867" s="103"/>
      <c r="V867" s="480"/>
      <c r="W867" s="428">
        <f t="shared" si="427"/>
        <v>0</v>
      </c>
      <c r="X867" s="103"/>
      <c r="Y867" s="103"/>
      <c r="Z867" s="480"/>
      <c r="AA867" s="428">
        <f t="shared" si="428"/>
        <v>0</v>
      </c>
      <c r="AB867" s="103"/>
      <c r="AC867" s="103"/>
      <c r="AD867" s="103"/>
      <c r="AE867" s="428">
        <f t="shared" si="429"/>
        <v>0</v>
      </c>
      <c r="AF867" s="103"/>
      <c r="AG867" s="103"/>
      <c r="AH867" s="103"/>
      <c r="AI867" s="103"/>
      <c r="AJ867" s="428">
        <f t="shared" si="430"/>
        <v>0</v>
      </c>
      <c r="AK867" s="446"/>
      <c r="AL867" s="446"/>
      <c r="AM867" s="446"/>
      <c r="AN867" s="446"/>
      <c r="AO867" s="446"/>
      <c r="AP867" s="446"/>
      <c r="AQ867" s="446"/>
      <c r="AR867" s="431">
        <f t="shared" si="431"/>
        <v>0</v>
      </c>
      <c r="AT867" s="128" t="s">
        <v>4307</v>
      </c>
      <c r="AU867" s="100" t="s">
        <v>4579</v>
      </c>
      <c r="AV867" s="128" t="s">
        <v>4584</v>
      </c>
      <c r="AW867" s="100" t="s">
        <v>4586</v>
      </c>
      <c r="AX867" s="433">
        <f t="shared" si="432"/>
        <v>0</v>
      </c>
      <c r="AY867" s="433">
        <f t="shared" si="433"/>
        <v>0</v>
      </c>
      <c r="AZ867" s="433">
        <f t="shared" si="434"/>
        <v>0</v>
      </c>
      <c r="BA867" s="433">
        <f t="shared" si="424"/>
        <v>0</v>
      </c>
      <c r="BB867" s="433">
        <f t="shared" si="425"/>
        <v>0</v>
      </c>
      <c r="BC867" s="433">
        <f t="shared" si="426"/>
        <v>0</v>
      </c>
      <c r="BD867" s="433">
        <f t="shared" si="435"/>
        <v>0</v>
      </c>
      <c r="BE867" s="433">
        <f t="shared" si="436"/>
        <v>0</v>
      </c>
      <c r="BF867" s="433">
        <f t="shared" si="437"/>
        <v>0</v>
      </c>
      <c r="BG867" s="433">
        <f t="shared" si="438"/>
        <v>0</v>
      </c>
      <c r="BH867" s="433">
        <f t="shared" si="439"/>
        <v>0</v>
      </c>
      <c r="BI867" s="433">
        <f t="shared" si="440"/>
        <v>0</v>
      </c>
      <c r="BJ867" s="433">
        <f t="shared" si="441"/>
        <v>0</v>
      </c>
      <c r="BK867" s="433">
        <f t="shared" si="442"/>
        <v>0</v>
      </c>
      <c r="BL867" s="433">
        <f t="shared" si="443"/>
        <v>0</v>
      </c>
      <c r="BM867" s="433">
        <f t="shared" si="444"/>
        <v>0</v>
      </c>
      <c r="BN867" s="433">
        <f t="shared" si="445"/>
        <v>0</v>
      </c>
      <c r="BO867" s="433">
        <f t="shared" si="446"/>
        <v>0</v>
      </c>
      <c r="BP867" s="433">
        <f t="shared" si="447"/>
        <v>0</v>
      </c>
      <c r="BQ867" s="433">
        <f t="shared" si="448"/>
        <v>0</v>
      </c>
    </row>
    <row r="868" spans="1:69" x14ac:dyDescent="0.2">
      <c r="A868" s="102">
        <v>41886</v>
      </c>
      <c r="B868" s="319">
        <v>1</v>
      </c>
      <c r="C868" s="114" t="s">
        <v>4580</v>
      </c>
      <c r="D868" s="111">
        <v>0.52777777777777779</v>
      </c>
      <c r="E868" s="111">
        <v>0.80902777777777779</v>
      </c>
      <c r="F868" s="319">
        <v>55</v>
      </c>
      <c r="G868" s="445">
        <v>8</v>
      </c>
      <c r="H868" s="319"/>
      <c r="I868" s="319"/>
      <c r="J868" s="426">
        <f t="shared" si="421"/>
        <v>405</v>
      </c>
      <c r="K868" s="103"/>
      <c r="L868" s="103"/>
      <c r="M868" s="103"/>
      <c r="N868" s="427">
        <f t="shared" si="422"/>
        <v>0</v>
      </c>
      <c r="O868" s="103"/>
      <c r="P868" s="103"/>
      <c r="Q868" s="103"/>
      <c r="R868" s="428">
        <f t="shared" si="423"/>
        <v>0</v>
      </c>
      <c r="S868" s="103"/>
      <c r="T868" s="103"/>
      <c r="U868" s="103"/>
      <c r="V868" s="480"/>
      <c r="W868" s="428">
        <f t="shared" si="427"/>
        <v>0</v>
      </c>
      <c r="X868" s="103"/>
      <c r="Y868" s="103"/>
      <c r="Z868" s="480"/>
      <c r="AA868" s="428">
        <f t="shared" si="428"/>
        <v>0</v>
      </c>
      <c r="AB868" s="103"/>
      <c r="AC868" s="103"/>
      <c r="AD868" s="103"/>
      <c r="AE868" s="428">
        <f t="shared" si="429"/>
        <v>0</v>
      </c>
      <c r="AF868" s="103"/>
      <c r="AG868" s="103"/>
      <c r="AH868" s="103"/>
      <c r="AI868" s="103"/>
      <c r="AJ868" s="428">
        <f t="shared" si="430"/>
        <v>0</v>
      </c>
      <c r="AK868" s="446"/>
      <c r="AL868" s="446"/>
      <c r="AM868" s="446"/>
      <c r="AN868" s="446"/>
      <c r="AO868" s="446"/>
      <c r="AP868" s="446"/>
      <c r="AQ868" s="446"/>
      <c r="AR868" s="431">
        <f t="shared" si="431"/>
        <v>0</v>
      </c>
      <c r="AT868" s="128" t="s">
        <v>4307</v>
      </c>
      <c r="AU868" s="100" t="s">
        <v>4579</v>
      </c>
      <c r="AV868" s="128" t="s">
        <v>4584</v>
      </c>
      <c r="AW868" s="100" t="s">
        <v>4586</v>
      </c>
      <c r="AX868" s="433">
        <f t="shared" si="432"/>
        <v>0</v>
      </c>
      <c r="AY868" s="433">
        <f t="shared" si="433"/>
        <v>0</v>
      </c>
      <c r="AZ868" s="433">
        <f t="shared" si="434"/>
        <v>0</v>
      </c>
      <c r="BA868" s="433">
        <f t="shared" si="424"/>
        <v>0</v>
      </c>
      <c r="BB868" s="433">
        <f t="shared" si="425"/>
        <v>0</v>
      </c>
      <c r="BC868" s="433">
        <f t="shared" si="426"/>
        <v>0</v>
      </c>
      <c r="BD868" s="433">
        <f t="shared" si="435"/>
        <v>0</v>
      </c>
      <c r="BE868" s="433">
        <f t="shared" si="436"/>
        <v>0</v>
      </c>
      <c r="BF868" s="433">
        <f t="shared" si="437"/>
        <v>0</v>
      </c>
      <c r="BG868" s="433">
        <f t="shared" si="438"/>
        <v>0</v>
      </c>
      <c r="BH868" s="433">
        <f t="shared" si="439"/>
        <v>0</v>
      </c>
      <c r="BI868" s="433">
        <f t="shared" si="440"/>
        <v>0</v>
      </c>
      <c r="BJ868" s="433">
        <f t="shared" si="441"/>
        <v>0</v>
      </c>
      <c r="BK868" s="433">
        <f t="shared" si="442"/>
        <v>0</v>
      </c>
      <c r="BL868" s="433">
        <f t="shared" si="443"/>
        <v>0</v>
      </c>
      <c r="BM868" s="433">
        <f t="shared" si="444"/>
        <v>0</v>
      </c>
      <c r="BN868" s="433">
        <f t="shared" si="445"/>
        <v>0</v>
      </c>
      <c r="BO868" s="433">
        <f t="shared" si="446"/>
        <v>0</v>
      </c>
      <c r="BP868" s="433">
        <f t="shared" si="447"/>
        <v>0</v>
      </c>
      <c r="BQ868" s="433">
        <f t="shared" si="448"/>
        <v>0</v>
      </c>
    </row>
    <row r="869" spans="1:69" x14ac:dyDescent="0.2">
      <c r="A869" s="102">
        <v>41886</v>
      </c>
      <c r="B869" s="319">
        <v>2</v>
      </c>
      <c r="C869" s="118" t="s">
        <v>4567</v>
      </c>
      <c r="D869" s="111">
        <v>0.42083333333333334</v>
      </c>
      <c r="E869" s="111">
        <v>0.52430555555555558</v>
      </c>
      <c r="F869" s="319">
        <v>33</v>
      </c>
      <c r="G869" s="445">
        <v>6</v>
      </c>
      <c r="H869" s="319"/>
      <c r="I869" s="319"/>
      <c r="J869" s="426">
        <f t="shared" si="421"/>
        <v>149.00000000000003</v>
      </c>
      <c r="K869" s="103"/>
      <c r="L869" s="103"/>
      <c r="M869" s="103"/>
      <c r="N869" s="427">
        <f t="shared" si="422"/>
        <v>0</v>
      </c>
      <c r="O869" s="103"/>
      <c r="P869" s="103"/>
      <c r="Q869" s="103"/>
      <c r="R869" s="428">
        <f t="shared" si="423"/>
        <v>0</v>
      </c>
      <c r="S869" s="103"/>
      <c r="T869" s="103"/>
      <c r="U869" s="103"/>
      <c r="V869" s="480"/>
      <c r="W869" s="428">
        <f t="shared" si="427"/>
        <v>0</v>
      </c>
      <c r="X869" s="103"/>
      <c r="Y869" s="103"/>
      <c r="Z869" s="480"/>
      <c r="AA869" s="428">
        <f t="shared" si="428"/>
        <v>0</v>
      </c>
      <c r="AB869" s="103"/>
      <c r="AC869" s="103"/>
      <c r="AD869" s="103"/>
      <c r="AE869" s="428">
        <f t="shared" si="429"/>
        <v>0</v>
      </c>
      <c r="AF869" s="103"/>
      <c r="AG869" s="103"/>
      <c r="AH869" s="103"/>
      <c r="AI869" s="103"/>
      <c r="AJ869" s="428">
        <f t="shared" si="430"/>
        <v>0</v>
      </c>
      <c r="AK869" s="446"/>
      <c r="AL869" s="446"/>
      <c r="AM869" s="446"/>
      <c r="AN869" s="446"/>
      <c r="AO869" s="446"/>
      <c r="AP869" s="446"/>
      <c r="AQ869" s="446"/>
      <c r="AR869" s="431">
        <f t="shared" si="431"/>
        <v>0</v>
      </c>
      <c r="AT869" s="128" t="s">
        <v>4307</v>
      </c>
      <c r="AU869" s="100" t="s">
        <v>4581</v>
      </c>
      <c r="AV869" s="128" t="s">
        <v>4584</v>
      </c>
      <c r="AW869" s="100" t="s">
        <v>4586</v>
      </c>
      <c r="AX869" s="433">
        <f t="shared" si="432"/>
        <v>0</v>
      </c>
      <c r="AY869" s="433">
        <f t="shared" si="433"/>
        <v>0</v>
      </c>
      <c r="AZ869" s="433">
        <f t="shared" si="434"/>
        <v>0</v>
      </c>
      <c r="BA869" s="433">
        <f t="shared" si="424"/>
        <v>0</v>
      </c>
      <c r="BB869" s="433">
        <f t="shared" si="425"/>
        <v>0</v>
      </c>
      <c r="BC869" s="433">
        <f t="shared" si="426"/>
        <v>0</v>
      </c>
      <c r="BD869" s="433">
        <f t="shared" si="435"/>
        <v>0</v>
      </c>
      <c r="BE869" s="433">
        <f t="shared" si="436"/>
        <v>0</v>
      </c>
      <c r="BF869" s="433">
        <f t="shared" si="437"/>
        <v>0</v>
      </c>
      <c r="BG869" s="433">
        <f t="shared" si="438"/>
        <v>0</v>
      </c>
      <c r="BH869" s="433">
        <f t="shared" si="439"/>
        <v>0</v>
      </c>
      <c r="BI869" s="433">
        <f t="shared" si="440"/>
        <v>0</v>
      </c>
      <c r="BJ869" s="433">
        <f t="shared" si="441"/>
        <v>0</v>
      </c>
      <c r="BK869" s="433">
        <f t="shared" si="442"/>
        <v>0</v>
      </c>
      <c r="BL869" s="433">
        <f t="shared" si="443"/>
        <v>0</v>
      </c>
      <c r="BM869" s="433">
        <f t="shared" si="444"/>
        <v>0</v>
      </c>
      <c r="BN869" s="433">
        <f t="shared" si="445"/>
        <v>0</v>
      </c>
      <c r="BO869" s="433">
        <f t="shared" si="446"/>
        <v>0</v>
      </c>
      <c r="BP869" s="433">
        <f t="shared" si="447"/>
        <v>0</v>
      </c>
      <c r="BQ869" s="433">
        <f t="shared" si="448"/>
        <v>0</v>
      </c>
    </row>
    <row r="870" spans="1:69" x14ac:dyDescent="0.2">
      <c r="A870" s="102">
        <v>41886</v>
      </c>
      <c r="B870" s="319">
        <v>2</v>
      </c>
      <c r="C870" s="114" t="s">
        <v>4582</v>
      </c>
      <c r="D870" s="111">
        <v>0.52430555555555558</v>
      </c>
      <c r="E870" s="111">
        <v>0.81597222222222221</v>
      </c>
      <c r="F870" s="319">
        <v>34</v>
      </c>
      <c r="G870" s="445">
        <v>7</v>
      </c>
      <c r="H870" s="319"/>
      <c r="I870" s="319"/>
      <c r="J870" s="426">
        <f t="shared" si="421"/>
        <v>419.99999999999994</v>
      </c>
      <c r="K870" s="103"/>
      <c r="L870" s="103"/>
      <c r="M870" s="103"/>
      <c r="N870" s="427">
        <f t="shared" si="422"/>
        <v>0</v>
      </c>
      <c r="O870" s="103"/>
      <c r="P870" s="103"/>
      <c r="Q870" s="103"/>
      <c r="R870" s="428">
        <f t="shared" si="423"/>
        <v>0</v>
      </c>
      <c r="S870" s="103"/>
      <c r="T870" s="103"/>
      <c r="U870" s="103"/>
      <c r="V870" s="480"/>
      <c r="W870" s="428">
        <f t="shared" si="427"/>
        <v>0</v>
      </c>
      <c r="X870" s="103"/>
      <c r="Y870" s="103"/>
      <c r="Z870" s="480"/>
      <c r="AA870" s="428">
        <f t="shared" si="428"/>
        <v>0</v>
      </c>
      <c r="AB870" s="103"/>
      <c r="AC870" s="103"/>
      <c r="AD870" s="103"/>
      <c r="AE870" s="428">
        <f t="shared" si="429"/>
        <v>0</v>
      </c>
      <c r="AF870" s="103"/>
      <c r="AG870" s="103"/>
      <c r="AH870" s="103"/>
      <c r="AI870" s="103"/>
      <c r="AJ870" s="428">
        <f t="shared" si="430"/>
        <v>0</v>
      </c>
      <c r="AK870" s="446"/>
      <c r="AL870" s="446"/>
      <c r="AM870" s="446"/>
      <c r="AN870" s="446"/>
      <c r="AO870" s="446"/>
      <c r="AP870" s="446"/>
      <c r="AQ870" s="446"/>
      <c r="AR870" s="431">
        <f t="shared" si="431"/>
        <v>0</v>
      </c>
      <c r="AT870" s="128" t="s">
        <v>4307</v>
      </c>
      <c r="AU870" s="100" t="s">
        <v>4581</v>
      </c>
      <c r="AV870" s="128" t="s">
        <v>4584</v>
      </c>
      <c r="AW870" s="100" t="s">
        <v>4586</v>
      </c>
      <c r="AX870" s="433">
        <f t="shared" si="432"/>
        <v>0</v>
      </c>
      <c r="AY870" s="433">
        <f t="shared" si="433"/>
        <v>0</v>
      </c>
      <c r="AZ870" s="433">
        <f t="shared" si="434"/>
        <v>0</v>
      </c>
      <c r="BA870" s="433">
        <f t="shared" si="424"/>
        <v>0</v>
      </c>
      <c r="BB870" s="433">
        <f t="shared" si="425"/>
        <v>0</v>
      </c>
      <c r="BC870" s="433">
        <f t="shared" si="426"/>
        <v>0</v>
      </c>
      <c r="BD870" s="433">
        <f t="shared" si="435"/>
        <v>0</v>
      </c>
      <c r="BE870" s="433">
        <f t="shared" si="436"/>
        <v>0</v>
      </c>
      <c r="BF870" s="433">
        <f t="shared" si="437"/>
        <v>0</v>
      </c>
      <c r="BG870" s="433">
        <f t="shared" si="438"/>
        <v>0</v>
      </c>
      <c r="BH870" s="433">
        <f t="shared" si="439"/>
        <v>0</v>
      </c>
      <c r="BI870" s="433">
        <f t="shared" si="440"/>
        <v>0</v>
      </c>
      <c r="BJ870" s="433">
        <f t="shared" si="441"/>
        <v>0</v>
      </c>
      <c r="BK870" s="433">
        <f t="shared" si="442"/>
        <v>0</v>
      </c>
      <c r="BL870" s="433">
        <f t="shared" si="443"/>
        <v>0</v>
      </c>
      <c r="BM870" s="433">
        <f t="shared" si="444"/>
        <v>0</v>
      </c>
      <c r="BN870" s="433">
        <f t="shared" si="445"/>
        <v>0</v>
      </c>
      <c r="BO870" s="433">
        <f t="shared" si="446"/>
        <v>0</v>
      </c>
      <c r="BP870" s="433">
        <f t="shared" si="447"/>
        <v>0</v>
      </c>
      <c r="BQ870" s="433">
        <f t="shared" si="448"/>
        <v>0</v>
      </c>
    </row>
    <row r="871" spans="1:69" x14ac:dyDescent="0.2">
      <c r="A871" s="102">
        <v>41886</v>
      </c>
      <c r="B871" s="319">
        <v>3</v>
      </c>
      <c r="C871" s="114" t="s">
        <v>4481</v>
      </c>
      <c r="D871" s="111">
        <v>0.42638888888888887</v>
      </c>
      <c r="E871" s="111">
        <v>0.65625</v>
      </c>
      <c r="F871" s="319">
        <v>38</v>
      </c>
      <c r="G871" s="445">
        <v>6.5</v>
      </c>
      <c r="H871" s="319"/>
      <c r="I871" s="319"/>
      <c r="J871" s="426">
        <f t="shared" si="421"/>
        <v>331.00000000000006</v>
      </c>
      <c r="K871" s="103"/>
      <c r="L871" s="103"/>
      <c r="M871" s="103"/>
      <c r="N871" s="427">
        <f t="shared" si="422"/>
        <v>0</v>
      </c>
      <c r="O871" s="103"/>
      <c r="P871" s="103"/>
      <c r="Q871" s="103"/>
      <c r="R871" s="428">
        <f t="shared" si="423"/>
        <v>0</v>
      </c>
      <c r="S871" s="103"/>
      <c r="T871" s="103"/>
      <c r="U871" s="103"/>
      <c r="V871" s="480"/>
      <c r="W871" s="428">
        <f t="shared" si="427"/>
        <v>0</v>
      </c>
      <c r="X871" s="103"/>
      <c r="Y871" s="103"/>
      <c r="Z871" s="480"/>
      <c r="AA871" s="428">
        <f t="shared" si="428"/>
        <v>0</v>
      </c>
      <c r="AB871" s="103"/>
      <c r="AC871" s="103"/>
      <c r="AD871" s="103"/>
      <c r="AE871" s="428">
        <f t="shared" si="429"/>
        <v>0</v>
      </c>
      <c r="AF871" s="103"/>
      <c r="AG871" s="103"/>
      <c r="AH871" s="103"/>
      <c r="AI871" s="103"/>
      <c r="AJ871" s="428">
        <f t="shared" si="430"/>
        <v>0</v>
      </c>
      <c r="AK871" s="446"/>
      <c r="AL871" s="446"/>
      <c r="AM871" s="446"/>
      <c r="AN871" s="446"/>
      <c r="AO871" s="446"/>
      <c r="AP871" s="446"/>
      <c r="AQ871" s="446"/>
      <c r="AR871" s="431">
        <f t="shared" si="431"/>
        <v>0</v>
      </c>
      <c r="AT871" s="128" t="s">
        <v>4307</v>
      </c>
      <c r="AU871" s="100" t="s">
        <v>4581</v>
      </c>
      <c r="AV871" s="128" t="s">
        <v>4584</v>
      </c>
      <c r="AW871" s="100" t="s">
        <v>4586</v>
      </c>
      <c r="AX871" s="433">
        <f t="shared" si="432"/>
        <v>0</v>
      </c>
      <c r="AY871" s="433">
        <f t="shared" si="433"/>
        <v>0</v>
      </c>
      <c r="AZ871" s="433">
        <f t="shared" si="434"/>
        <v>0</v>
      </c>
      <c r="BA871" s="433">
        <f t="shared" si="424"/>
        <v>0</v>
      </c>
      <c r="BB871" s="433">
        <f t="shared" si="425"/>
        <v>0</v>
      </c>
      <c r="BC871" s="433">
        <f t="shared" si="426"/>
        <v>0</v>
      </c>
      <c r="BD871" s="433">
        <f t="shared" si="435"/>
        <v>0</v>
      </c>
      <c r="BE871" s="433">
        <f t="shared" si="436"/>
        <v>0</v>
      </c>
      <c r="BF871" s="433">
        <f t="shared" si="437"/>
        <v>0</v>
      </c>
      <c r="BG871" s="433">
        <f t="shared" si="438"/>
        <v>0</v>
      </c>
      <c r="BH871" s="433">
        <f t="shared" si="439"/>
        <v>0</v>
      </c>
      <c r="BI871" s="433">
        <f t="shared" si="440"/>
        <v>0</v>
      </c>
      <c r="BJ871" s="433">
        <f t="shared" si="441"/>
        <v>0</v>
      </c>
      <c r="BK871" s="433">
        <f t="shared" si="442"/>
        <v>0</v>
      </c>
      <c r="BL871" s="433">
        <f t="shared" si="443"/>
        <v>0</v>
      </c>
      <c r="BM871" s="433">
        <f t="shared" si="444"/>
        <v>0</v>
      </c>
      <c r="BN871" s="433">
        <f t="shared" si="445"/>
        <v>0</v>
      </c>
      <c r="BO871" s="433">
        <f t="shared" si="446"/>
        <v>0</v>
      </c>
      <c r="BP871" s="433">
        <f t="shared" si="447"/>
        <v>0</v>
      </c>
      <c r="BQ871" s="433">
        <f t="shared" si="448"/>
        <v>0</v>
      </c>
    </row>
    <row r="872" spans="1:69" s="291" customFormat="1" x14ac:dyDescent="0.2">
      <c r="A872" s="317">
        <v>41886</v>
      </c>
      <c r="B872" s="318">
        <v>3</v>
      </c>
      <c r="C872" s="320" t="s">
        <v>4583</v>
      </c>
      <c r="D872" s="321">
        <v>0.65625</v>
      </c>
      <c r="E872" s="321">
        <v>0.82777777777777783</v>
      </c>
      <c r="F872" s="318">
        <v>39</v>
      </c>
      <c r="G872" s="435">
        <v>7</v>
      </c>
      <c r="H872" s="318"/>
      <c r="I872" s="318"/>
      <c r="J872" s="437">
        <f t="shared" si="421"/>
        <v>247.00000000000009</v>
      </c>
      <c r="K872" s="285"/>
      <c r="L872" s="285"/>
      <c r="M872" s="285"/>
      <c r="N872" s="438">
        <f t="shared" si="422"/>
        <v>0</v>
      </c>
      <c r="O872" s="285"/>
      <c r="P872" s="285"/>
      <c r="Q872" s="285"/>
      <c r="R872" s="439">
        <f t="shared" si="423"/>
        <v>0</v>
      </c>
      <c r="S872" s="285"/>
      <c r="T872" s="285"/>
      <c r="U872" s="285"/>
      <c r="V872" s="440"/>
      <c r="W872" s="439">
        <f t="shared" si="427"/>
        <v>0</v>
      </c>
      <c r="X872" s="285"/>
      <c r="Y872" s="285"/>
      <c r="Z872" s="440"/>
      <c r="AA872" s="439">
        <f t="shared" si="428"/>
        <v>0</v>
      </c>
      <c r="AB872" s="285"/>
      <c r="AC872" s="285"/>
      <c r="AD872" s="285"/>
      <c r="AE872" s="439">
        <f t="shared" si="429"/>
        <v>0</v>
      </c>
      <c r="AF872" s="285"/>
      <c r="AG872" s="285"/>
      <c r="AH872" s="285"/>
      <c r="AI872" s="285"/>
      <c r="AJ872" s="439">
        <f t="shared" si="430"/>
        <v>0</v>
      </c>
      <c r="AK872" s="340"/>
      <c r="AL872" s="340"/>
      <c r="AM872" s="340"/>
      <c r="AN872" s="340"/>
      <c r="AO872" s="340"/>
      <c r="AP872" s="340"/>
      <c r="AQ872" s="340"/>
      <c r="AR872" s="441">
        <f t="shared" si="431"/>
        <v>0</v>
      </c>
      <c r="AT872" s="313" t="s">
        <v>4307</v>
      </c>
      <c r="AU872" s="289" t="s">
        <v>4581</v>
      </c>
      <c r="AV872" s="313" t="s">
        <v>4584</v>
      </c>
      <c r="AW872" s="382" t="s">
        <v>4586</v>
      </c>
      <c r="AX872" s="443">
        <f t="shared" si="432"/>
        <v>0</v>
      </c>
      <c r="AY872" s="443">
        <f t="shared" si="433"/>
        <v>0</v>
      </c>
      <c r="AZ872" s="443">
        <f t="shared" si="434"/>
        <v>0</v>
      </c>
      <c r="BA872" s="443">
        <f t="shared" si="424"/>
        <v>0</v>
      </c>
      <c r="BB872" s="443">
        <f t="shared" si="425"/>
        <v>0</v>
      </c>
      <c r="BC872" s="443">
        <f t="shared" si="426"/>
        <v>0</v>
      </c>
      <c r="BD872" s="443">
        <f t="shared" si="435"/>
        <v>0</v>
      </c>
      <c r="BE872" s="443">
        <f t="shared" si="436"/>
        <v>0</v>
      </c>
      <c r="BF872" s="443">
        <f t="shared" si="437"/>
        <v>0</v>
      </c>
      <c r="BG872" s="443">
        <f t="shared" si="438"/>
        <v>0</v>
      </c>
      <c r="BH872" s="443">
        <f t="shared" si="439"/>
        <v>0</v>
      </c>
      <c r="BI872" s="443">
        <f t="shared" si="440"/>
        <v>0</v>
      </c>
      <c r="BJ872" s="443">
        <f t="shared" si="441"/>
        <v>0</v>
      </c>
      <c r="BK872" s="443">
        <f t="shared" si="442"/>
        <v>0</v>
      </c>
      <c r="BL872" s="443">
        <f t="shared" si="443"/>
        <v>0</v>
      </c>
      <c r="BM872" s="443">
        <f t="shared" si="444"/>
        <v>0</v>
      </c>
      <c r="BN872" s="443">
        <f t="shared" si="445"/>
        <v>0</v>
      </c>
      <c r="BO872" s="443">
        <f t="shared" si="446"/>
        <v>0</v>
      </c>
      <c r="BP872" s="443">
        <f t="shared" si="447"/>
        <v>0</v>
      </c>
      <c r="BQ872" s="443">
        <f t="shared" si="448"/>
        <v>0</v>
      </c>
    </row>
    <row r="873" spans="1:69" x14ac:dyDescent="0.2">
      <c r="A873" s="102">
        <v>41887</v>
      </c>
      <c r="B873" s="319">
        <v>1</v>
      </c>
      <c r="C873" s="114" t="s">
        <v>4541</v>
      </c>
      <c r="D873" s="111">
        <v>0.43263888888888885</v>
      </c>
      <c r="E873" s="111">
        <v>0.75555555555555554</v>
      </c>
      <c r="F873" s="319">
        <v>64</v>
      </c>
      <c r="G873" s="445">
        <v>7</v>
      </c>
      <c r="H873" s="319"/>
      <c r="I873" s="319"/>
      <c r="J873" s="426">
        <f t="shared" si="421"/>
        <v>465</v>
      </c>
      <c r="K873" s="103"/>
      <c r="L873" s="103"/>
      <c r="M873" s="103"/>
      <c r="N873" s="427">
        <f t="shared" si="422"/>
        <v>0</v>
      </c>
      <c r="O873" s="103"/>
      <c r="P873" s="103"/>
      <c r="Q873" s="103"/>
      <c r="R873" s="428">
        <f t="shared" si="423"/>
        <v>0</v>
      </c>
      <c r="S873" s="103"/>
      <c r="T873" s="103"/>
      <c r="U873" s="103"/>
      <c r="V873" s="480"/>
      <c r="W873" s="428">
        <f t="shared" si="427"/>
        <v>0</v>
      </c>
      <c r="X873" s="103"/>
      <c r="Y873" s="103"/>
      <c r="Z873" s="480"/>
      <c r="AA873" s="428">
        <f t="shared" si="428"/>
        <v>0</v>
      </c>
      <c r="AB873" s="103"/>
      <c r="AC873" s="103"/>
      <c r="AD873" s="103"/>
      <c r="AE873" s="428">
        <f t="shared" si="429"/>
        <v>0</v>
      </c>
      <c r="AF873" s="103"/>
      <c r="AG873" s="103"/>
      <c r="AH873" s="103"/>
      <c r="AI873" s="103"/>
      <c r="AJ873" s="428">
        <f t="shared" si="430"/>
        <v>0</v>
      </c>
      <c r="AK873" s="446"/>
      <c r="AL873" s="446"/>
      <c r="AM873" s="446"/>
      <c r="AN873" s="446"/>
      <c r="AO873" s="446"/>
      <c r="AP873" s="446"/>
      <c r="AQ873" s="446"/>
      <c r="AR873" s="431">
        <f t="shared" si="431"/>
        <v>0</v>
      </c>
      <c r="AT873" s="128" t="s">
        <v>4307</v>
      </c>
      <c r="AU873" s="100" t="s">
        <v>4585</v>
      </c>
      <c r="AV873" s="128" t="s">
        <v>4589</v>
      </c>
      <c r="AW873" s="100" t="s">
        <v>4588</v>
      </c>
      <c r="AX873" s="433">
        <f t="shared" si="432"/>
        <v>0</v>
      </c>
      <c r="AY873" s="433">
        <f t="shared" si="433"/>
        <v>0</v>
      </c>
      <c r="AZ873" s="433">
        <f t="shared" si="434"/>
        <v>0</v>
      </c>
      <c r="BA873" s="433">
        <f t="shared" si="424"/>
        <v>0</v>
      </c>
      <c r="BB873" s="433">
        <f t="shared" si="425"/>
        <v>0</v>
      </c>
      <c r="BC873" s="433">
        <f t="shared" si="426"/>
        <v>0</v>
      </c>
      <c r="BD873" s="433">
        <f t="shared" si="435"/>
        <v>0</v>
      </c>
      <c r="BE873" s="433">
        <f t="shared" si="436"/>
        <v>0</v>
      </c>
      <c r="BF873" s="433">
        <f t="shared" si="437"/>
        <v>0</v>
      </c>
      <c r="BG873" s="433">
        <f t="shared" si="438"/>
        <v>0</v>
      </c>
      <c r="BH873" s="433">
        <f t="shared" si="439"/>
        <v>0</v>
      </c>
      <c r="BI873" s="433">
        <f t="shared" si="440"/>
        <v>0</v>
      </c>
      <c r="BJ873" s="433">
        <f t="shared" si="441"/>
        <v>0</v>
      </c>
      <c r="BK873" s="433">
        <f t="shared" si="442"/>
        <v>0</v>
      </c>
      <c r="BL873" s="433">
        <f t="shared" si="443"/>
        <v>0</v>
      </c>
      <c r="BM873" s="433">
        <f t="shared" si="444"/>
        <v>0</v>
      </c>
      <c r="BN873" s="433">
        <f t="shared" si="445"/>
        <v>0</v>
      </c>
      <c r="BO873" s="433">
        <f t="shared" si="446"/>
        <v>0</v>
      </c>
      <c r="BP873" s="433">
        <f t="shared" si="447"/>
        <v>0</v>
      </c>
      <c r="BQ873" s="433">
        <f t="shared" si="448"/>
        <v>0</v>
      </c>
    </row>
    <row r="874" spans="1:69" x14ac:dyDescent="0.2">
      <c r="A874" s="102">
        <v>41887</v>
      </c>
      <c r="B874" s="319">
        <v>1</v>
      </c>
      <c r="C874" s="114" t="s">
        <v>4032</v>
      </c>
      <c r="D874" s="111">
        <v>0.75555555555555554</v>
      </c>
      <c r="E874" s="111">
        <v>0.84513888888888899</v>
      </c>
      <c r="F874" s="319">
        <v>62</v>
      </c>
      <c r="G874" s="445">
        <v>8</v>
      </c>
      <c r="H874" s="319"/>
      <c r="I874" s="319"/>
      <c r="J874" s="426">
        <f t="shared" si="421"/>
        <v>129.00000000000017</v>
      </c>
      <c r="K874" s="103"/>
      <c r="L874" s="103"/>
      <c r="M874" s="103"/>
      <c r="N874" s="427">
        <f t="shared" si="422"/>
        <v>0</v>
      </c>
      <c r="O874" s="103"/>
      <c r="P874" s="103"/>
      <c r="Q874" s="103"/>
      <c r="R874" s="428">
        <f t="shared" si="423"/>
        <v>0</v>
      </c>
      <c r="S874" s="103"/>
      <c r="T874" s="103"/>
      <c r="U874" s="103"/>
      <c r="V874" s="480"/>
      <c r="W874" s="428">
        <f t="shared" si="427"/>
        <v>0</v>
      </c>
      <c r="X874" s="103"/>
      <c r="Y874" s="103"/>
      <c r="Z874" s="480"/>
      <c r="AA874" s="428">
        <f t="shared" si="428"/>
        <v>0</v>
      </c>
      <c r="AB874" s="103"/>
      <c r="AC874" s="103"/>
      <c r="AD874" s="103"/>
      <c r="AE874" s="428">
        <f t="shared" si="429"/>
        <v>0</v>
      </c>
      <c r="AF874" s="103"/>
      <c r="AG874" s="103"/>
      <c r="AH874" s="103"/>
      <c r="AI874" s="103"/>
      <c r="AJ874" s="428">
        <f t="shared" si="430"/>
        <v>0</v>
      </c>
      <c r="AK874" s="446"/>
      <c r="AL874" s="446"/>
      <c r="AM874" s="446"/>
      <c r="AN874" s="446"/>
      <c r="AO874" s="446"/>
      <c r="AP874" s="446"/>
      <c r="AQ874" s="446"/>
      <c r="AR874" s="431">
        <f t="shared" si="431"/>
        <v>0</v>
      </c>
      <c r="AT874" s="128" t="s">
        <v>4307</v>
      </c>
      <c r="AU874" s="100" t="s">
        <v>4585</v>
      </c>
      <c r="AV874" s="128" t="s">
        <v>4589</v>
      </c>
      <c r="AW874" s="100" t="s">
        <v>4588</v>
      </c>
      <c r="AX874" s="433">
        <f t="shared" si="432"/>
        <v>0</v>
      </c>
      <c r="AY874" s="433">
        <f t="shared" si="433"/>
        <v>0</v>
      </c>
      <c r="AZ874" s="433">
        <f t="shared" si="434"/>
        <v>0</v>
      </c>
      <c r="BA874" s="433">
        <f t="shared" si="424"/>
        <v>0</v>
      </c>
      <c r="BB874" s="433">
        <f t="shared" si="425"/>
        <v>0</v>
      </c>
      <c r="BC874" s="433">
        <f t="shared" si="426"/>
        <v>0</v>
      </c>
      <c r="BD874" s="433">
        <f t="shared" si="435"/>
        <v>0</v>
      </c>
      <c r="BE874" s="433">
        <f t="shared" si="436"/>
        <v>0</v>
      </c>
      <c r="BF874" s="433">
        <f t="shared" si="437"/>
        <v>0</v>
      </c>
      <c r="BG874" s="433">
        <f t="shared" si="438"/>
        <v>0</v>
      </c>
      <c r="BH874" s="433">
        <f t="shared" si="439"/>
        <v>0</v>
      </c>
      <c r="BI874" s="433">
        <f t="shared" si="440"/>
        <v>0</v>
      </c>
      <c r="BJ874" s="433">
        <f t="shared" si="441"/>
        <v>0</v>
      </c>
      <c r="BK874" s="433">
        <f t="shared" si="442"/>
        <v>0</v>
      </c>
      <c r="BL874" s="433">
        <f t="shared" si="443"/>
        <v>0</v>
      </c>
      <c r="BM874" s="433">
        <f t="shared" si="444"/>
        <v>0</v>
      </c>
      <c r="BN874" s="433">
        <f t="shared" si="445"/>
        <v>0</v>
      </c>
      <c r="BO874" s="433">
        <f t="shared" si="446"/>
        <v>0</v>
      </c>
      <c r="BP874" s="433">
        <f t="shared" si="447"/>
        <v>0</v>
      </c>
      <c r="BQ874" s="433">
        <f t="shared" si="448"/>
        <v>0</v>
      </c>
    </row>
    <row r="875" spans="1:69" x14ac:dyDescent="0.2">
      <c r="A875" s="102">
        <v>41887</v>
      </c>
      <c r="B875" s="319">
        <v>2</v>
      </c>
      <c r="C875" s="114" t="s">
        <v>4541</v>
      </c>
      <c r="D875" s="111">
        <v>0.42569444444444443</v>
      </c>
      <c r="E875" s="111">
        <v>0.7284722222222223</v>
      </c>
      <c r="F875" s="319">
        <v>37</v>
      </c>
      <c r="G875" s="445">
        <v>7</v>
      </c>
      <c r="H875" s="319"/>
      <c r="I875" s="319"/>
      <c r="J875" s="426">
        <f t="shared" si="421"/>
        <v>436.00000000000017</v>
      </c>
      <c r="K875" s="103"/>
      <c r="L875" s="103"/>
      <c r="M875" s="103"/>
      <c r="N875" s="427">
        <f t="shared" si="422"/>
        <v>0</v>
      </c>
      <c r="O875" s="103"/>
      <c r="P875" s="103"/>
      <c r="Q875" s="103"/>
      <c r="R875" s="428">
        <f t="shared" si="423"/>
        <v>0</v>
      </c>
      <c r="S875" s="103"/>
      <c r="T875" s="103"/>
      <c r="U875" s="103"/>
      <c r="V875" s="480"/>
      <c r="W875" s="428">
        <f t="shared" si="427"/>
        <v>0</v>
      </c>
      <c r="X875" s="103"/>
      <c r="Y875" s="103"/>
      <c r="Z875" s="480"/>
      <c r="AA875" s="428">
        <f t="shared" si="428"/>
        <v>0</v>
      </c>
      <c r="AB875" s="103"/>
      <c r="AC875" s="103"/>
      <c r="AD875" s="103"/>
      <c r="AE875" s="428">
        <f t="shared" si="429"/>
        <v>0</v>
      </c>
      <c r="AF875" s="103"/>
      <c r="AG875" s="103"/>
      <c r="AH875" s="103"/>
      <c r="AI875" s="103"/>
      <c r="AJ875" s="428">
        <f t="shared" si="430"/>
        <v>0</v>
      </c>
      <c r="AK875" s="446"/>
      <c r="AL875" s="446"/>
      <c r="AM875" s="446"/>
      <c r="AN875" s="446"/>
      <c r="AO875" s="446"/>
      <c r="AP875" s="446"/>
      <c r="AQ875" s="446"/>
      <c r="AR875" s="431">
        <f t="shared" si="431"/>
        <v>0</v>
      </c>
      <c r="AT875" s="128" t="s">
        <v>4307</v>
      </c>
      <c r="AU875" s="100" t="s">
        <v>4585</v>
      </c>
      <c r="AV875" s="128" t="s">
        <v>4589</v>
      </c>
      <c r="AW875" s="100" t="s">
        <v>4588</v>
      </c>
      <c r="AX875" s="433">
        <f t="shared" si="432"/>
        <v>0</v>
      </c>
      <c r="AY875" s="433">
        <f t="shared" si="433"/>
        <v>0</v>
      </c>
      <c r="AZ875" s="433">
        <f t="shared" si="434"/>
        <v>0</v>
      </c>
      <c r="BA875" s="433">
        <f t="shared" si="424"/>
        <v>0</v>
      </c>
      <c r="BB875" s="433">
        <f t="shared" si="425"/>
        <v>0</v>
      </c>
      <c r="BC875" s="433">
        <f t="shared" si="426"/>
        <v>0</v>
      </c>
      <c r="BD875" s="433">
        <f t="shared" si="435"/>
        <v>0</v>
      </c>
      <c r="BE875" s="433">
        <f t="shared" si="436"/>
        <v>0</v>
      </c>
      <c r="BF875" s="433">
        <f t="shared" si="437"/>
        <v>0</v>
      </c>
      <c r="BG875" s="433">
        <f t="shared" si="438"/>
        <v>0</v>
      </c>
      <c r="BH875" s="433">
        <f t="shared" si="439"/>
        <v>0</v>
      </c>
      <c r="BI875" s="433">
        <f t="shared" si="440"/>
        <v>0</v>
      </c>
      <c r="BJ875" s="433">
        <f t="shared" si="441"/>
        <v>0</v>
      </c>
      <c r="BK875" s="433">
        <f t="shared" si="442"/>
        <v>0</v>
      </c>
      <c r="BL875" s="433">
        <f t="shared" si="443"/>
        <v>0</v>
      </c>
      <c r="BM875" s="433">
        <f t="shared" si="444"/>
        <v>0</v>
      </c>
      <c r="BN875" s="433">
        <f t="shared" si="445"/>
        <v>0</v>
      </c>
      <c r="BO875" s="433">
        <f t="shared" si="446"/>
        <v>0</v>
      </c>
      <c r="BP875" s="433">
        <f t="shared" si="447"/>
        <v>0</v>
      </c>
      <c r="BQ875" s="433">
        <f t="shared" si="448"/>
        <v>0</v>
      </c>
    </row>
    <row r="876" spans="1:69" x14ac:dyDescent="0.2">
      <c r="A876" s="102">
        <v>41887</v>
      </c>
      <c r="B876" s="319">
        <v>2</v>
      </c>
      <c r="C876" s="114" t="s">
        <v>4032</v>
      </c>
      <c r="D876" s="111">
        <v>0.7284722222222223</v>
      </c>
      <c r="E876" s="111">
        <v>0.83958333333333324</v>
      </c>
      <c r="F876" s="319">
        <v>37</v>
      </c>
      <c r="G876" s="445">
        <v>8</v>
      </c>
      <c r="H876" s="319"/>
      <c r="I876" s="319"/>
      <c r="J876" s="426">
        <f t="shared" si="421"/>
        <v>159.99999999999974</v>
      </c>
      <c r="K876" s="103"/>
      <c r="L876" s="103"/>
      <c r="M876" s="103"/>
      <c r="N876" s="427">
        <f t="shared" si="422"/>
        <v>0</v>
      </c>
      <c r="O876" s="103"/>
      <c r="P876" s="103"/>
      <c r="Q876" s="103"/>
      <c r="R876" s="428">
        <f t="shared" si="423"/>
        <v>0</v>
      </c>
      <c r="S876" s="103"/>
      <c r="T876" s="103"/>
      <c r="U876" s="103"/>
      <c r="V876" s="480"/>
      <c r="W876" s="428">
        <f t="shared" si="427"/>
        <v>0</v>
      </c>
      <c r="X876" s="103"/>
      <c r="Y876" s="103"/>
      <c r="Z876" s="480"/>
      <c r="AA876" s="428">
        <f t="shared" si="428"/>
        <v>0</v>
      </c>
      <c r="AB876" s="103"/>
      <c r="AC876" s="103"/>
      <c r="AD876" s="103"/>
      <c r="AE876" s="428">
        <f t="shared" si="429"/>
        <v>0</v>
      </c>
      <c r="AF876" s="103"/>
      <c r="AG876" s="103"/>
      <c r="AH876" s="103"/>
      <c r="AI876" s="103"/>
      <c r="AJ876" s="428">
        <f t="shared" si="430"/>
        <v>0</v>
      </c>
      <c r="AK876" s="446"/>
      <c r="AL876" s="446"/>
      <c r="AM876" s="446"/>
      <c r="AN876" s="446"/>
      <c r="AO876" s="446"/>
      <c r="AP876" s="446"/>
      <c r="AQ876" s="446"/>
      <c r="AR876" s="431">
        <f t="shared" si="431"/>
        <v>0</v>
      </c>
      <c r="AT876" s="128" t="s">
        <v>4307</v>
      </c>
      <c r="AU876" s="100" t="s">
        <v>4585</v>
      </c>
      <c r="AV876" s="128" t="s">
        <v>4589</v>
      </c>
      <c r="AW876" s="100" t="s">
        <v>4588</v>
      </c>
      <c r="AX876" s="433">
        <f t="shared" si="432"/>
        <v>0</v>
      </c>
      <c r="AY876" s="433">
        <f t="shared" si="433"/>
        <v>0</v>
      </c>
      <c r="AZ876" s="433">
        <f t="shared" si="434"/>
        <v>0</v>
      </c>
      <c r="BA876" s="433">
        <f t="shared" si="424"/>
        <v>0</v>
      </c>
      <c r="BB876" s="433">
        <f t="shared" si="425"/>
        <v>0</v>
      </c>
      <c r="BC876" s="433">
        <f t="shared" si="426"/>
        <v>0</v>
      </c>
      <c r="BD876" s="433">
        <f t="shared" si="435"/>
        <v>0</v>
      </c>
      <c r="BE876" s="433">
        <f t="shared" si="436"/>
        <v>0</v>
      </c>
      <c r="BF876" s="433">
        <f t="shared" si="437"/>
        <v>0</v>
      </c>
      <c r="BG876" s="433">
        <f t="shared" si="438"/>
        <v>0</v>
      </c>
      <c r="BH876" s="433">
        <f t="shared" si="439"/>
        <v>0</v>
      </c>
      <c r="BI876" s="433">
        <f t="shared" si="440"/>
        <v>0</v>
      </c>
      <c r="BJ876" s="433">
        <f t="shared" si="441"/>
        <v>0</v>
      </c>
      <c r="BK876" s="433">
        <f t="shared" si="442"/>
        <v>0</v>
      </c>
      <c r="BL876" s="433">
        <f t="shared" si="443"/>
        <v>0</v>
      </c>
      <c r="BM876" s="433">
        <f t="shared" si="444"/>
        <v>0</v>
      </c>
      <c r="BN876" s="433">
        <f t="shared" si="445"/>
        <v>0</v>
      </c>
      <c r="BO876" s="433">
        <f t="shared" si="446"/>
        <v>0</v>
      </c>
      <c r="BP876" s="433">
        <f t="shared" si="447"/>
        <v>0</v>
      </c>
      <c r="BQ876" s="433">
        <f t="shared" si="448"/>
        <v>0</v>
      </c>
    </row>
    <row r="877" spans="1:69" x14ac:dyDescent="0.2">
      <c r="A877" s="102">
        <v>41887</v>
      </c>
      <c r="B877" s="319">
        <v>3</v>
      </c>
      <c r="C877" s="114" t="s">
        <v>4482</v>
      </c>
      <c r="D877" s="111">
        <v>0.43333333333333335</v>
      </c>
      <c r="E877" s="111">
        <v>0.7631944444444444</v>
      </c>
      <c r="F877" s="319">
        <v>40</v>
      </c>
      <c r="G877" s="445">
        <v>7.5</v>
      </c>
      <c r="H877" s="319"/>
      <c r="I877" s="319"/>
      <c r="J877" s="426">
        <f t="shared" si="421"/>
        <v>474.99999999999989</v>
      </c>
      <c r="K877" s="103"/>
      <c r="L877" s="103"/>
      <c r="M877" s="103"/>
      <c r="N877" s="427">
        <f t="shared" si="422"/>
        <v>0</v>
      </c>
      <c r="O877" s="103"/>
      <c r="P877" s="103"/>
      <c r="Q877" s="103"/>
      <c r="R877" s="428">
        <f t="shared" si="423"/>
        <v>0</v>
      </c>
      <c r="S877" s="103"/>
      <c r="T877" s="103"/>
      <c r="U877" s="103"/>
      <c r="V877" s="480"/>
      <c r="W877" s="428">
        <f t="shared" si="427"/>
        <v>0</v>
      </c>
      <c r="X877" s="103"/>
      <c r="Y877" s="103"/>
      <c r="Z877" s="480"/>
      <c r="AA877" s="428">
        <f t="shared" si="428"/>
        <v>0</v>
      </c>
      <c r="AB877" s="103"/>
      <c r="AC877" s="103"/>
      <c r="AD877" s="103"/>
      <c r="AE877" s="428">
        <f t="shared" si="429"/>
        <v>0</v>
      </c>
      <c r="AF877" s="103"/>
      <c r="AG877" s="103"/>
      <c r="AH877" s="103"/>
      <c r="AI877" s="103"/>
      <c r="AJ877" s="428">
        <f t="shared" si="430"/>
        <v>0</v>
      </c>
      <c r="AK877" s="446"/>
      <c r="AL877" s="446"/>
      <c r="AM877" s="446"/>
      <c r="AN877" s="446"/>
      <c r="AO877" s="446"/>
      <c r="AP877" s="446"/>
      <c r="AQ877" s="446"/>
      <c r="AR877" s="431">
        <f t="shared" si="431"/>
        <v>0</v>
      </c>
      <c r="AT877" s="128" t="s">
        <v>4307</v>
      </c>
      <c r="AU877" s="100" t="s">
        <v>4585</v>
      </c>
      <c r="AV877" s="128" t="s">
        <v>4589</v>
      </c>
      <c r="AW877" s="100" t="s">
        <v>4588</v>
      </c>
      <c r="AX877" s="433">
        <f t="shared" si="432"/>
        <v>0</v>
      </c>
      <c r="AY877" s="433">
        <f t="shared" si="433"/>
        <v>0</v>
      </c>
      <c r="AZ877" s="433">
        <f t="shared" si="434"/>
        <v>0</v>
      </c>
      <c r="BA877" s="433">
        <f t="shared" si="424"/>
        <v>0</v>
      </c>
      <c r="BB877" s="433">
        <f t="shared" si="425"/>
        <v>0</v>
      </c>
      <c r="BC877" s="433">
        <f t="shared" si="426"/>
        <v>0</v>
      </c>
      <c r="BD877" s="433">
        <f t="shared" si="435"/>
        <v>0</v>
      </c>
      <c r="BE877" s="433">
        <f t="shared" si="436"/>
        <v>0</v>
      </c>
      <c r="BF877" s="433">
        <f t="shared" si="437"/>
        <v>0</v>
      </c>
      <c r="BG877" s="433">
        <f t="shared" si="438"/>
        <v>0</v>
      </c>
      <c r="BH877" s="433">
        <f t="shared" si="439"/>
        <v>0</v>
      </c>
      <c r="BI877" s="433">
        <f t="shared" si="440"/>
        <v>0</v>
      </c>
      <c r="BJ877" s="433">
        <f t="shared" si="441"/>
        <v>0</v>
      </c>
      <c r="BK877" s="433">
        <f t="shared" si="442"/>
        <v>0</v>
      </c>
      <c r="BL877" s="433">
        <f t="shared" si="443"/>
        <v>0</v>
      </c>
      <c r="BM877" s="433">
        <f t="shared" si="444"/>
        <v>0</v>
      </c>
      <c r="BN877" s="433">
        <f t="shared" si="445"/>
        <v>0</v>
      </c>
      <c r="BO877" s="433">
        <f t="shared" si="446"/>
        <v>0</v>
      </c>
      <c r="BP877" s="433">
        <f t="shared" si="447"/>
        <v>0</v>
      </c>
      <c r="BQ877" s="433">
        <f t="shared" si="448"/>
        <v>0</v>
      </c>
    </row>
    <row r="878" spans="1:69" s="291" customFormat="1" x14ac:dyDescent="0.2">
      <c r="A878" s="317">
        <v>41887</v>
      </c>
      <c r="B878" s="318">
        <v>3</v>
      </c>
      <c r="C878" s="320" t="s">
        <v>4032</v>
      </c>
      <c r="D878" s="321">
        <v>0.7631944444444444</v>
      </c>
      <c r="E878" s="321">
        <v>0.85416666666666663</v>
      </c>
      <c r="F878" s="318">
        <v>39</v>
      </c>
      <c r="G878" s="435">
        <v>8</v>
      </c>
      <c r="H878" s="318"/>
      <c r="I878" s="318"/>
      <c r="J878" s="437">
        <f t="shared" si="421"/>
        <v>131</v>
      </c>
      <c r="K878" s="285"/>
      <c r="L878" s="285"/>
      <c r="M878" s="285"/>
      <c r="N878" s="438">
        <f t="shared" si="422"/>
        <v>0</v>
      </c>
      <c r="O878" s="285"/>
      <c r="P878" s="285"/>
      <c r="Q878" s="285"/>
      <c r="R878" s="439">
        <f t="shared" si="423"/>
        <v>0</v>
      </c>
      <c r="S878" s="285"/>
      <c r="T878" s="285"/>
      <c r="U878" s="285"/>
      <c r="V878" s="440"/>
      <c r="W878" s="439">
        <f t="shared" si="427"/>
        <v>0</v>
      </c>
      <c r="X878" s="285"/>
      <c r="Y878" s="285"/>
      <c r="Z878" s="440"/>
      <c r="AA878" s="439">
        <f t="shared" si="428"/>
        <v>0</v>
      </c>
      <c r="AB878" s="285"/>
      <c r="AC878" s="285">
        <v>1</v>
      </c>
      <c r="AD878" s="285"/>
      <c r="AE878" s="439">
        <f t="shared" si="429"/>
        <v>1</v>
      </c>
      <c r="AF878" s="285"/>
      <c r="AG878" s="285"/>
      <c r="AH878" s="285"/>
      <c r="AI878" s="285"/>
      <c r="AJ878" s="439">
        <f t="shared" si="430"/>
        <v>0</v>
      </c>
      <c r="AK878" s="340"/>
      <c r="AL878" s="340"/>
      <c r="AM878" s="340"/>
      <c r="AN878" s="340"/>
      <c r="AO878" s="340"/>
      <c r="AP878" s="340"/>
      <c r="AQ878" s="340"/>
      <c r="AR878" s="441">
        <f t="shared" si="431"/>
        <v>0</v>
      </c>
      <c r="AT878" s="313" t="s">
        <v>4587</v>
      </c>
      <c r="AU878" s="289" t="s">
        <v>4585</v>
      </c>
      <c r="AV878" s="313" t="s">
        <v>4589</v>
      </c>
      <c r="AW878" s="289" t="s">
        <v>4588</v>
      </c>
      <c r="AX878" s="443">
        <f t="shared" si="432"/>
        <v>0</v>
      </c>
      <c r="AY878" s="443">
        <f t="shared" si="433"/>
        <v>0</v>
      </c>
      <c r="AZ878" s="443">
        <f t="shared" si="434"/>
        <v>0</v>
      </c>
      <c r="BA878" s="443">
        <f t="shared" si="424"/>
        <v>0</v>
      </c>
      <c r="BB878" s="443">
        <f t="shared" si="425"/>
        <v>0</v>
      </c>
      <c r="BC878" s="443">
        <f t="shared" si="426"/>
        <v>0</v>
      </c>
      <c r="BD878" s="443">
        <f t="shared" si="435"/>
        <v>0</v>
      </c>
      <c r="BE878" s="443">
        <f t="shared" si="436"/>
        <v>0</v>
      </c>
      <c r="BF878" s="443">
        <f t="shared" si="437"/>
        <v>0</v>
      </c>
      <c r="BG878" s="443">
        <f t="shared" si="438"/>
        <v>0</v>
      </c>
      <c r="BH878" s="443">
        <f t="shared" si="439"/>
        <v>0</v>
      </c>
      <c r="BI878" s="443">
        <f t="shared" si="440"/>
        <v>0</v>
      </c>
      <c r="BJ878" s="443">
        <f t="shared" si="441"/>
        <v>0</v>
      </c>
      <c r="BK878" s="443">
        <f t="shared" si="442"/>
        <v>0</v>
      </c>
      <c r="BL878" s="443">
        <f t="shared" si="443"/>
        <v>1</v>
      </c>
      <c r="BM878" s="443">
        <f t="shared" si="444"/>
        <v>0</v>
      </c>
      <c r="BN878" s="443">
        <f t="shared" si="445"/>
        <v>0</v>
      </c>
      <c r="BO878" s="443">
        <f t="shared" si="446"/>
        <v>0</v>
      </c>
      <c r="BP878" s="443">
        <f t="shared" si="447"/>
        <v>0</v>
      </c>
      <c r="BQ878" s="443">
        <f t="shared" si="448"/>
        <v>0</v>
      </c>
    </row>
    <row r="879" spans="1:69" x14ac:dyDescent="0.2">
      <c r="A879" s="102">
        <v>41888</v>
      </c>
      <c r="B879" s="319">
        <v>1</v>
      </c>
      <c r="C879" s="114" t="s">
        <v>4289</v>
      </c>
      <c r="D879" s="111">
        <v>0.4368055555555555</v>
      </c>
      <c r="E879" s="111">
        <v>0.7006944444444444</v>
      </c>
      <c r="F879" s="319">
        <v>59</v>
      </c>
      <c r="G879" s="445">
        <v>7</v>
      </c>
      <c r="H879" s="319"/>
      <c r="I879" s="319"/>
      <c r="J879" s="426">
        <f t="shared" si="421"/>
        <v>380.00000000000006</v>
      </c>
      <c r="K879" s="103"/>
      <c r="L879" s="103"/>
      <c r="M879" s="103"/>
      <c r="N879" s="427">
        <f t="shared" si="422"/>
        <v>0</v>
      </c>
      <c r="O879" s="103"/>
      <c r="P879" s="103"/>
      <c r="Q879" s="103"/>
      <c r="R879" s="428">
        <f t="shared" si="423"/>
        <v>0</v>
      </c>
      <c r="S879" s="103"/>
      <c r="T879" s="103"/>
      <c r="U879" s="103"/>
      <c r="V879" s="480"/>
      <c r="W879" s="428">
        <f t="shared" si="427"/>
        <v>0</v>
      </c>
      <c r="X879" s="103"/>
      <c r="Y879" s="103"/>
      <c r="Z879" s="480"/>
      <c r="AA879" s="428">
        <f t="shared" si="428"/>
        <v>0</v>
      </c>
      <c r="AB879" s="103"/>
      <c r="AC879" s="103"/>
      <c r="AD879" s="103"/>
      <c r="AE879" s="428">
        <f t="shared" si="429"/>
        <v>0</v>
      </c>
      <c r="AF879" s="103"/>
      <c r="AG879" s="103"/>
      <c r="AH879" s="103"/>
      <c r="AI879" s="103"/>
      <c r="AJ879" s="428">
        <f t="shared" si="430"/>
        <v>0</v>
      </c>
      <c r="AK879" s="446"/>
      <c r="AL879" s="446"/>
      <c r="AM879" s="446"/>
      <c r="AN879" s="446"/>
      <c r="AO879" s="446"/>
      <c r="AP879" s="446"/>
      <c r="AQ879" s="446"/>
      <c r="AR879" s="431">
        <f t="shared" si="431"/>
        <v>0</v>
      </c>
      <c r="AT879" s="128" t="s">
        <v>4307</v>
      </c>
      <c r="AU879" s="100" t="s">
        <v>4590</v>
      </c>
      <c r="AV879" s="128" t="s">
        <v>4592</v>
      </c>
      <c r="AW879" s="100" t="s">
        <v>4591</v>
      </c>
      <c r="AX879" s="433">
        <f t="shared" si="432"/>
        <v>0</v>
      </c>
      <c r="AY879" s="433">
        <f t="shared" si="433"/>
        <v>0</v>
      </c>
      <c r="AZ879" s="433">
        <f t="shared" si="434"/>
        <v>0</v>
      </c>
      <c r="BA879" s="433">
        <f t="shared" si="424"/>
        <v>0</v>
      </c>
      <c r="BB879" s="433">
        <f t="shared" si="425"/>
        <v>0</v>
      </c>
      <c r="BC879" s="433">
        <f t="shared" si="426"/>
        <v>0</v>
      </c>
      <c r="BD879" s="433">
        <f t="shared" si="435"/>
        <v>0</v>
      </c>
      <c r="BE879" s="433">
        <f t="shared" si="436"/>
        <v>0</v>
      </c>
      <c r="BF879" s="433">
        <f t="shared" si="437"/>
        <v>0</v>
      </c>
      <c r="BG879" s="433">
        <f t="shared" si="438"/>
        <v>0</v>
      </c>
      <c r="BH879" s="433">
        <f t="shared" si="439"/>
        <v>0</v>
      </c>
      <c r="BI879" s="433">
        <f t="shared" si="440"/>
        <v>0</v>
      </c>
      <c r="BJ879" s="433">
        <f t="shared" si="441"/>
        <v>0</v>
      </c>
      <c r="BK879" s="433">
        <f t="shared" si="442"/>
        <v>0</v>
      </c>
      <c r="BL879" s="433">
        <f t="shared" si="443"/>
        <v>0</v>
      </c>
      <c r="BM879" s="433">
        <f t="shared" si="444"/>
        <v>0</v>
      </c>
      <c r="BN879" s="433">
        <f t="shared" si="445"/>
        <v>0</v>
      </c>
      <c r="BO879" s="433">
        <f t="shared" si="446"/>
        <v>0</v>
      </c>
      <c r="BP879" s="433">
        <f t="shared" si="447"/>
        <v>0</v>
      </c>
      <c r="BQ879" s="433">
        <f t="shared" si="448"/>
        <v>0</v>
      </c>
    </row>
    <row r="880" spans="1:69" x14ac:dyDescent="0.2">
      <c r="A880" s="102">
        <v>41888</v>
      </c>
      <c r="B880" s="319">
        <v>1</v>
      </c>
      <c r="C880" s="114" t="s">
        <v>4032</v>
      </c>
      <c r="D880" s="111">
        <v>0.7006944444444444</v>
      </c>
      <c r="E880" s="111">
        <v>0.84097222222222223</v>
      </c>
      <c r="F880" s="319">
        <v>58</v>
      </c>
      <c r="G880" s="445">
        <v>9</v>
      </c>
      <c r="H880" s="319"/>
      <c r="I880" s="319"/>
      <c r="J880" s="426">
        <f t="shared" si="421"/>
        <v>202.00000000000009</v>
      </c>
      <c r="K880" s="103"/>
      <c r="L880" s="103"/>
      <c r="M880" s="103"/>
      <c r="N880" s="427">
        <f t="shared" si="422"/>
        <v>0</v>
      </c>
      <c r="O880" s="103"/>
      <c r="P880" s="103"/>
      <c r="Q880" s="103"/>
      <c r="R880" s="428">
        <f t="shared" si="423"/>
        <v>0</v>
      </c>
      <c r="S880" s="103"/>
      <c r="T880" s="103"/>
      <c r="U880" s="103"/>
      <c r="V880" s="480"/>
      <c r="W880" s="428">
        <f t="shared" si="427"/>
        <v>0</v>
      </c>
      <c r="X880" s="103"/>
      <c r="Y880" s="103"/>
      <c r="Z880" s="480"/>
      <c r="AA880" s="428">
        <f t="shared" si="428"/>
        <v>0</v>
      </c>
      <c r="AB880" s="103"/>
      <c r="AC880" s="103"/>
      <c r="AD880" s="103"/>
      <c r="AE880" s="428">
        <f t="shared" si="429"/>
        <v>0</v>
      </c>
      <c r="AF880" s="103"/>
      <c r="AG880" s="103"/>
      <c r="AH880" s="103"/>
      <c r="AI880" s="103"/>
      <c r="AJ880" s="428">
        <f t="shared" si="430"/>
        <v>0</v>
      </c>
      <c r="AK880" s="446"/>
      <c r="AL880" s="446"/>
      <c r="AM880" s="446"/>
      <c r="AN880" s="446"/>
      <c r="AO880" s="446"/>
      <c r="AP880" s="446"/>
      <c r="AQ880" s="446"/>
      <c r="AR880" s="431">
        <f t="shared" si="431"/>
        <v>0</v>
      </c>
      <c r="AT880" s="128" t="s">
        <v>4307</v>
      </c>
      <c r="AU880" s="100" t="s">
        <v>4590</v>
      </c>
      <c r="AV880" s="128" t="s">
        <v>4592</v>
      </c>
      <c r="AW880" s="100" t="s">
        <v>4591</v>
      </c>
      <c r="AX880" s="433">
        <f t="shared" si="432"/>
        <v>0</v>
      </c>
      <c r="AY880" s="433">
        <f t="shared" si="433"/>
        <v>0</v>
      </c>
      <c r="AZ880" s="433">
        <f t="shared" si="434"/>
        <v>0</v>
      </c>
      <c r="BA880" s="433">
        <f t="shared" si="424"/>
        <v>0</v>
      </c>
      <c r="BB880" s="433">
        <f t="shared" si="425"/>
        <v>0</v>
      </c>
      <c r="BC880" s="433">
        <f t="shared" si="426"/>
        <v>0</v>
      </c>
      <c r="BD880" s="433">
        <f t="shared" si="435"/>
        <v>0</v>
      </c>
      <c r="BE880" s="433">
        <f t="shared" si="436"/>
        <v>0</v>
      </c>
      <c r="BF880" s="433">
        <f t="shared" si="437"/>
        <v>0</v>
      </c>
      <c r="BG880" s="433">
        <f t="shared" si="438"/>
        <v>0</v>
      </c>
      <c r="BH880" s="433">
        <f t="shared" si="439"/>
        <v>0</v>
      </c>
      <c r="BI880" s="433">
        <f t="shared" si="440"/>
        <v>0</v>
      </c>
      <c r="BJ880" s="433">
        <f t="shared" si="441"/>
        <v>0</v>
      </c>
      <c r="BK880" s="433">
        <f t="shared" si="442"/>
        <v>0</v>
      </c>
      <c r="BL880" s="433">
        <f t="shared" si="443"/>
        <v>0</v>
      </c>
      <c r="BM880" s="433">
        <f t="shared" si="444"/>
        <v>0</v>
      </c>
      <c r="BN880" s="433">
        <f t="shared" si="445"/>
        <v>0</v>
      </c>
      <c r="BO880" s="433">
        <f t="shared" si="446"/>
        <v>0</v>
      </c>
      <c r="BP880" s="433">
        <f t="shared" si="447"/>
        <v>0</v>
      </c>
      <c r="BQ880" s="433">
        <f t="shared" si="448"/>
        <v>0</v>
      </c>
    </row>
    <row r="881" spans="1:69" x14ac:dyDescent="0.2">
      <c r="A881" s="102">
        <v>41888</v>
      </c>
      <c r="B881" s="319">
        <v>2</v>
      </c>
      <c r="C881" s="114" t="s">
        <v>4289</v>
      </c>
      <c r="D881" s="111">
        <v>0.43055555555555558</v>
      </c>
      <c r="E881" s="111">
        <v>0.69305555555555554</v>
      </c>
      <c r="F881" s="319">
        <v>33</v>
      </c>
      <c r="G881" s="445">
        <v>6</v>
      </c>
      <c r="H881" s="319"/>
      <c r="I881" s="319"/>
      <c r="J881" s="426">
        <f t="shared" si="421"/>
        <v>377.99999999999994</v>
      </c>
      <c r="K881" s="103"/>
      <c r="L881" s="103"/>
      <c r="M881" s="103"/>
      <c r="N881" s="427">
        <f t="shared" si="422"/>
        <v>0</v>
      </c>
      <c r="O881" s="103"/>
      <c r="P881" s="103"/>
      <c r="Q881" s="103"/>
      <c r="R881" s="428">
        <f t="shared" si="423"/>
        <v>0</v>
      </c>
      <c r="S881" s="103"/>
      <c r="T881" s="103"/>
      <c r="U881" s="103"/>
      <c r="V881" s="480"/>
      <c r="W881" s="428">
        <f t="shared" si="427"/>
        <v>0</v>
      </c>
      <c r="X881" s="103"/>
      <c r="Y881" s="103"/>
      <c r="Z881" s="480"/>
      <c r="AA881" s="428">
        <f t="shared" si="428"/>
        <v>0</v>
      </c>
      <c r="AB881" s="103"/>
      <c r="AC881" s="103"/>
      <c r="AD881" s="103"/>
      <c r="AE881" s="428">
        <f t="shared" si="429"/>
        <v>0</v>
      </c>
      <c r="AF881" s="103"/>
      <c r="AG881" s="103"/>
      <c r="AH881" s="103"/>
      <c r="AI881" s="103"/>
      <c r="AJ881" s="428">
        <f t="shared" si="430"/>
        <v>0</v>
      </c>
      <c r="AK881" s="446"/>
      <c r="AL881" s="446"/>
      <c r="AM881" s="446"/>
      <c r="AN881" s="446"/>
      <c r="AO881" s="446"/>
      <c r="AP881" s="446"/>
      <c r="AQ881" s="446"/>
      <c r="AR881" s="431">
        <f t="shared" si="431"/>
        <v>0</v>
      </c>
      <c r="AT881" s="128" t="s">
        <v>4307</v>
      </c>
      <c r="AU881" s="100" t="s">
        <v>4590</v>
      </c>
      <c r="AV881" s="128" t="s">
        <v>4592</v>
      </c>
      <c r="AW881" s="100" t="s">
        <v>4591</v>
      </c>
      <c r="AX881" s="433">
        <f t="shared" si="432"/>
        <v>0</v>
      </c>
      <c r="AY881" s="433">
        <f t="shared" si="433"/>
        <v>0</v>
      </c>
      <c r="AZ881" s="433">
        <f t="shared" si="434"/>
        <v>0</v>
      </c>
      <c r="BA881" s="433">
        <f t="shared" si="424"/>
        <v>0</v>
      </c>
      <c r="BB881" s="433">
        <f t="shared" si="425"/>
        <v>0</v>
      </c>
      <c r="BC881" s="433">
        <f t="shared" si="426"/>
        <v>0</v>
      </c>
      <c r="BD881" s="433">
        <f t="shared" si="435"/>
        <v>0</v>
      </c>
      <c r="BE881" s="433">
        <f t="shared" si="436"/>
        <v>0</v>
      </c>
      <c r="BF881" s="433">
        <f t="shared" si="437"/>
        <v>0</v>
      </c>
      <c r="BG881" s="433">
        <f t="shared" si="438"/>
        <v>0</v>
      </c>
      <c r="BH881" s="433">
        <f t="shared" si="439"/>
        <v>0</v>
      </c>
      <c r="BI881" s="433">
        <f t="shared" si="440"/>
        <v>0</v>
      </c>
      <c r="BJ881" s="433">
        <f t="shared" si="441"/>
        <v>0</v>
      </c>
      <c r="BK881" s="433">
        <f t="shared" si="442"/>
        <v>0</v>
      </c>
      <c r="BL881" s="433">
        <f t="shared" si="443"/>
        <v>0</v>
      </c>
      <c r="BM881" s="433">
        <f t="shared" si="444"/>
        <v>0</v>
      </c>
      <c r="BN881" s="433">
        <f t="shared" si="445"/>
        <v>0</v>
      </c>
      <c r="BO881" s="433">
        <f t="shared" si="446"/>
        <v>0</v>
      </c>
      <c r="BP881" s="433">
        <f t="shared" si="447"/>
        <v>0</v>
      </c>
      <c r="BQ881" s="433">
        <f t="shared" si="448"/>
        <v>0</v>
      </c>
    </row>
    <row r="882" spans="1:69" x14ac:dyDescent="0.2">
      <c r="A882" s="102">
        <v>41888</v>
      </c>
      <c r="B882" s="319">
        <v>2</v>
      </c>
      <c r="C882" s="114" t="s">
        <v>4032</v>
      </c>
      <c r="D882" s="111">
        <v>0.69305555555555554</v>
      </c>
      <c r="E882" s="111">
        <v>0.84861111111111109</v>
      </c>
      <c r="F882" s="319">
        <v>33</v>
      </c>
      <c r="G882" s="445">
        <v>9</v>
      </c>
      <c r="H882" s="319"/>
      <c r="I882" s="319"/>
      <c r="J882" s="426">
        <f t="shared" si="421"/>
        <v>224</v>
      </c>
      <c r="K882" s="103"/>
      <c r="L882" s="103"/>
      <c r="M882" s="103"/>
      <c r="N882" s="427">
        <f t="shared" si="422"/>
        <v>0</v>
      </c>
      <c r="O882" s="103"/>
      <c r="P882" s="103"/>
      <c r="Q882" s="103"/>
      <c r="R882" s="428">
        <f t="shared" si="423"/>
        <v>0</v>
      </c>
      <c r="S882" s="103"/>
      <c r="T882" s="103"/>
      <c r="U882" s="103"/>
      <c r="V882" s="480"/>
      <c r="W882" s="428">
        <f t="shared" si="427"/>
        <v>0</v>
      </c>
      <c r="X882" s="103"/>
      <c r="Y882" s="103"/>
      <c r="Z882" s="480"/>
      <c r="AA882" s="428">
        <f t="shared" si="428"/>
        <v>0</v>
      </c>
      <c r="AB882" s="103"/>
      <c r="AC882" s="103"/>
      <c r="AD882" s="103"/>
      <c r="AE882" s="428">
        <f t="shared" si="429"/>
        <v>0</v>
      </c>
      <c r="AF882" s="103"/>
      <c r="AG882" s="103"/>
      <c r="AH882" s="103"/>
      <c r="AI882" s="103"/>
      <c r="AJ882" s="428">
        <f t="shared" si="430"/>
        <v>0</v>
      </c>
      <c r="AK882" s="446"/>
      <c r="AL882" s="446"/>
      <c r="AM882" s="446"/>
      <c r="AN882" s="446"/>
      <c r="AO882" s="446"/>
      <c r="AP882" s="446"/>
      <c r="AQ882" s="446"/>
      <c r="AR882" s="431">
        <f t="shared" si="431"/>
        <v>0</v>
      </c>
      <c r="AT882" s="128" t="s">
        <v>4307</v>
      </c>
      <c r="AU882" s="100" t="s">
        <v>4590</v>
      </c>
      <c r="AV882" s="128" t="s">
        <v>4592</v>
      </c>
      <c r="AW882" s="100" t="s">
        <v>4591</v>
      </c>
      <c r="AX882" s="433">
        <f t="shared" si="432"/>
        <v>0</v>
      </c>
      <c r="AY882" s="433">
        <f t="shared" si="433"/>
        <v>0</v>
      </c>
      <c r="AZ882" s="433">
        <f t="shared" si="434"/>
        <v>0</v>
      </c>
      <c r="BA882" s="433">
        <f t="shared" si="424"/>
        <v>0</v>
      </c>
      <c r="BB882" s="433">
        <f t="shared" si="425"/>
        <v>0</v>
      </c>
      <c r="BC882" s="433">
        <f t="shared" si="426"/>
        <v>0</v>
      </c>
      <c r="BD882" s="433">
        <f t="shared" si="435"/>
        <v>0</v>
      </c>
      <c r="BE882" s="433">
        <f t="shared" si="436"/>
        <v>0</v>
      </c>
      <c r="BF882" s="433">
        <f t="shared" si="437"/>
        <v>0</v>
      </c>
      <c r="BG882" s="433">
        <f t="shared" si="438"/>
        <v>0</v>
      </c>
      <c r="BH882" s="433">
        <f t="shared" si="439"/>
        <v>0</v>
      </c>
      <c r="BI882" s="433">
        <f t="shared" si="440"/>
        <v>0</v>
      </c>
      <c r="BJ882" s="433">
        <f t="shared" si="441"/>
        <v>0</v>
      </c>
      <c r="BK882" s="433">
        <f t="shared" si="442"/>
        <v>0</v>
      </c>
      <c r="BL882" s="433">
        <f t="shared" si="443"/>
        <v>0</v>
      </c>
      <c r="BM882" s="433">
        <f t="shared" si="444"/>
        <v>0</v>
      </c>
      <c r="BN882" s="433">
        <f t="shared" si="445"/>
        <v>0</v>
      </c>
      <c r="BO882" s="433">
        <f t="shared" si="446"/>
        <v>0</v>
      </c>
      <c r="BP882" s="433">
        <f t="shared" si="447"/>
        <v>0</v>
      </c>
      <c r="BQ882" s="433">
        <f t="shared" si="448"/>
        <v>0</v>
      </c>
    </row>
    <row r="883" spans="1:69" x14ac:dyDescent="0.2">
      <c r="A883" s="102">
        <v>41888</v>
      </c>
      <c r="B883" s="319">
        <v>3</v>
      </c>
      <c r="C883" s="114" t="s">
        <v>4032</v>
      </c>
      <c r="D883" s="111">
        <v>0.42638888888888887</v>
      </c>
      <c r="E883" s="111">
        <v>0.70763888888888893</v>
      </c>
      <c r="F883" s="319">
        <v>39</v>
      </c>
      <c r="G883" s="445">
        <v>6.5</v>
      </c>
      <c r="H883" s="319"/>
      <c r="I883" s="319"/>
      <c r="J883" s="426">
        <f t="shared" si="421"/>
        <v>405.00000000000011</v>
      </c>
      <c r="K883" s="103"/>
      <c r="L883" s="103"/>
      <c r="M883" s="103"/>
      <c r="N883" s="427">
        <f t="shared" si="422"/>
        <v>0</v>
      </c>
      <c r="O883" s="103"/>
      <c r="P883" s="103"/>
      <c r="Q883" s="103"/>
      <c r="R883" s="428">
        <f t="shared" si="423"/>
        <v>0</v>
      </c>
      <c r="S883" s="103"/>
      <c r="T883" s="103"/>
      <c r="U883" s="103"/>
      <c r="V883" s="480"/>
      <c r="W883" s="428">
        <f t="shared" si="427"/>
        <v>0</v>
      </c>
      <c r="X883" s="103"/>
      <c r="Y883" s="103"/>
      <c r="Z883" s="480"/>
      <c r="AA883" s="428">
        <f t="shared" si="428"/>
        <v>0</v>
      </c>
      <c r="AB883" s="103"/>
      <c r="AC883" s="103"/>
      <c r="AD883" s="103"/>
      <c r="AE883" s="428">
        <f t="shared" si="429"/>
        <v>0</v>
      </c>
      <c r="AF883" s="103"/>
      <c r="AG883" s="103"/>
      <c r="AH883" s="103"/>
      <c r="AI883" s="103"/>
      <c r="AJ883" s="428">
        <f t="shared" si="430"/>
        <v>0</v>
      </c>
      <c r="AK883" s="446"/>
      <c r="AL883" s="446"/>
      <c r="AM883" s="446"/>
      <c r="AN883" s="446"/>
      <c r="AO883" s="446"/>
      <c r="AP883" s="446"/>
      <c r="AQ883" s="446"/>
      <c r="AR883" s="431">
        <f t="shared" si="431"/>
        <v>0</v>
      </c>
      <c r="AT883" s="128" t="s">
        <v>4307</v>
      </c>
      <c r="AU883" s="100" t="s">
        <v>4590</v>
      </c>
      <c r="AV883" s="128" t="s">
        <v>4592</v>
      </c>
      <c r="AW883" s="100" t="s">
        <v>4591</v>
      </c>
      <c r="AX883" s="433">
        <f t="shared" si="432"/>
        <v>0</v>
      </c>
      <c r="AY883" s="433">
        <f t="shared" si="433"/>
        <v>0</v>
      </c>
      <c r="AZ883" s="433">
        <f t="shared" si="434"/>
        <v>0</v>
      </c>
      <c r="BA883" s="433">
        <f t="shared" si="424"/>
        <v>0</v>
      </c>
      <c r="BB883" s="433">
        <f t="shared" si="425"/>
        <v>0</v>
      </c>
      <c r="BC883" s="433">
        <f t="shared" si="426"/>
        <v>0</v>
      </c>
      <c r="BD883" s="433">
        <f t="shared" si="435"/>
        <v>0</v>
      </c>
      <c r="BE883" s="433">
        <f t="shared" si="436"/>
        <v>0</v>
      </c>
      <c r="BF883" s="433">
        <f t="shared" si="437"/>
        <v>0</v>
      </c>
      <c r="BG883" s="433">
        <f t="shared" si="438"/>
        <v>0</v>
      </c>
      <c r="BH883" s="433">
        <f t="shared" si="439"/>
        <v>0</v>
      </c>
      <c r="BI883" s="433">
        <f t="shared" si="440"/>
        <v>0</v>
      </c>
      <c r="BJ883" s="433">
        <f t="shared" si="441"/>
        <v>0</v>
      </c>
      <c r="BK883" s="433">
        <f t="shared" si="442"/>
        <v>0</v>
      </c>
      <c r="BL883" s="433">
        <f t="shared" si="443"/>
        <v>0</v>
      </c>
      <c r="BM883" s="433">
        <f t="shared" si="444"/>
        <v>0</v>
      </c>
      <c r="BN883" s="433">
        <f t="shared" si="445"/>
        <v>0</v>
      </c>
      <c r="BO883" s="433">
        <f t="shared" si="446"/>
        <v>0</v>
      </c>
      <c r="BP883" s="433">
        <f t="shared" si="447"/>
        <v>0</v>
      </c>
      <c r="BQ883" s="433">
        <f t="shared" si="448"/>
        <v>0</v>
      </c>
    </row>
    <row r="884" spans="1:69" s="291" customFormat="1" x14ac:dyDescent="0.2">
      <c r="A884" s="317">
        <v>41888</v>
      </c>
      <c r="B884" s="318">
        <v>3</v>
      </c>
      <c r="C884" s="320" t="s">
        <v>4032</v>
      </c>
      <c r="D884" s="321">
        <v>0.70763888888888893</v>
      </c>
      <c r="E884" s="321">
        <v>0.83333333333333337</v>
      </c>
      <c r="F884" s="318">
        <v>40</v>
      </c>
      <c r="G884" s="435">
        <v>9</v>
      </c>
      <c r="H884" s="318"/>
      <c r="I884" s="318"/>
      <c r="J884" s="437">
        <f t="shared" si="421"/>
        <v>181</v>
      </c>
      <c r="K884" s="285"/>
      <c r="L884" s="285"/>
      <c r="M884" s="285"/>
      <c r="N884" s="438">
        <f t="shared" si="422"/>
        <v>0</v>
      </c>
      <c r="O884" s="285"/>
      <c r="P884" s="285"/>
      <c r="Q884" s="285"/>
      <c r="R884" s="439">
        <f t="shared" si="423"/>
        <v>0</v>
      </c>
      <c r="S884" s="285"/>
      <c r="T884" s="285"/>
      <c r="U884" s="285"/>
      <c r="V884" s="440"/>
      <c r="W884" s="439">
        <f t="shared" si="427"/>
        <v>0</v>
      </c>
      <c r="X884" s="285"/>
      <c r="Y884" s="285"/>
      <c r="Z884" s="440"/>
      <c r="AA884" s="439">
        <f t="shared" si="428"/>
        <v>0</v>
      </c>
      <c r="AB884" s="285"/>
      <c r="AC884" s="285"/>
      <c r="AD884" s="285"/>
      <c r="AE884" s="439">
        <f t="shared" si="429"/>
        <v>0</v>
      </c>
      <c r="AF884" s="285"/>
      <c r="AG884" s="285"/>
      <c r="AH884" s="285"/>
      <c r="AI884" s="285"/>
      <c r="AJ884" s="439">
        <f t="shared" si="430"/>
        <v>0</v>
      </c>
      <c r="AK884" s="340"/>
      <c r="AL884" s="340"/>
      <c r="AM884" s="340"/>
      <c r="AN884" s="340"/>
      <c r="AO884" s="340"/>
      <c r="AP884" s="340"/>
      <c r="AQ884" s="340"/>
      <c r="AR884" s="441">
        <f t="shared" si="431"/>
        <v>0</v>
      </c>
      <c r="AT884" s="313" t="s">
        <v>4307</v>
      </c>
      <c r="AU884" s="289" t="s">
        <v>4590</v>
      </c>
      <c r="AV884" s="313" t="s">
        <v>4592</v>
      </c>
      <c r="AW884" s="289" t="s">
        <v>4591</v>
      </c>
      <c r="AX884" s="443">
        <f t="shared" si="432"/>
        <v>0</v>
      </c>
      <c r="AY884" s="443">
        <f t="shared" si="433"/>
        <v>0</v>
      </c>
      <c r="AZ884" s="443">
        <f t="shared" si="434"/>
        <v>0</v>
      </c>
      <c r="BA884" s="443">
        <f t="shared" si="424"/>
        <v>0</v>
      </c>
      <c r="BB884" s="443">
        <f t="shared" si="425"/>
        <v>0</v>
      </c>
      <c r="BC884" s="443">
        <f t="shared" si="426"/>
        <v>0</v>
      </c>
      <c r="BD884" s="443">
        <f t="shared" si="435"/>
        <v>0</v>
      </c>
      <c r="BE884" s="443">
        <f t="shared" si="436"/>
        <v>0</v>
      </c>
      <c r="BF884" s="443">
        <f t="shared" si="437"/>
        <v>0</v>
      </c>
      <c r="BG884" s="443">
        <f t="shared" si="438"/>
        <v>0</v>
      </c>
      <c r="BH884" s="443">
        <f t="shared" si="439"/>
        <v>0</v>
      </c>
      <c r="BI884" s="443">
        <f t="shared" si="440"/>
        <v>0</v>
      </c>
      <c r="BJ884" s="443">
        <f t="shared" si="441"/>
        <v>0</v>
      </c>
      <c r="BK884" s="443">
        <f t="shared" si="442"/>
        <v>0</v>
      </c>
      <c r="BL884" s="443">
        <f t="shared" si="443"/>
        <v>0</v>
      </c>
      <c r="BM884" s="443">
        <f t="shared" si="444"/>
        <v>0</v>
      </c>
      <c r="BN884" s="443">
        <f t="shared" si="445"/>
        <v>0</v>
      </c>
      <c r="BO884" s="443">
        <f t="shared" si="446"/>
        <v>0</v>
      </c>
      <c r="BP884" s="443">
        <f t="shared" si="447"/>
        <v>0</v>
      </c>
      <c r="BQ884" s="443">
        <f t="shared" si="448"/>
        <v>0</v>
      </c>
    </row>
    <row r="885" spans="1:69" x14ac:dyDescent="0.2">
      <c r="A885" s="102">
        <v>41889</v>
      </c>
      <c r="B885" s="319">
        <v>1</v>
      </c>
      <c r="C885" s="114" t="s">
        <v>4032</v>
      </c>
      <c r="D885" s="111">
        <v>0.34097222222222223</v>
      </c>
      <c r="E885" s="111">
        <v>0.51666666666666672</v>
      </c>
      <c r="F885" s="319">
        <v>60</v>
      </c>
      <c r="G885" s="445">
        <v>6.5</v>
      </c>
      <c r="H885" s="319"/>
      <c r="I885" s="319"/>
      <c r="J885" s="426">
        <f t="shared" si="421"/>
        <v>253.00000000000006</v>
      </c>
      <c r="K885" s="103"/>
      <c r="L885" s="103"/>
      <c r="M885" s="103"/>
      <c r="N885" s="427">
        <f t="shared" si="422"/>
        <v>0</v>
      </c>
      <c r="O885" s="103"/>
      <c r="P885" s="103"/>
      <c r="Q885" s="103"/>
      <c r="R885" s="428">
        <f t="shared" si="423"/>
        <v>0</v>
      </c>
      <c r="S885" s="103"/>
      <c r="T885" s="103"/>
      <c r="U885" s="103"/>
      <c r="V885" s="480"/>
      <c r="W885" s="428">
        <f t="shared" si="427"/>
        <v>0</v>
      </c>
      <c r="X885" s="103"/>
      <c r="Y885" s="103"/>
      <c r="Z885" s="480"/>
      <c r="AA885" s="428">
        <f t="shared" si="428"/>
        <v>0</v>
      </c>
      <c r="AB885" s="103"/>
      <c r="AC885" s="103"/>
      <c r="AD885" s="103"/>
      <c r="AE885" s="428">
        <f t="shared" si="429"/>
        <v>0</v>
      </c>
      <c r="AF885" s="103"/>
      <c r="AG885" s="103"/>
      <c r="AH885" s="103"/>
      <c r="AI885" s="103"/>
      <c r="AJ885" s="428">
        <f t="shared" si="430"/>
        <v>0</v>
      </c>
      <c r="AK885" s="446"/>
      <c r="AL885" s="446"/>
      <c r="AM885" s="446"/>
      <c r="AN885" s="446"/>
      <c r="AO885" s="446"/>
      <c r="AP885" s="446"/>
      <c r="AQ885" s="446"/>
      <c r="AR885" s="431">
        <f t="shared" si="431"/>
        <v>0</v>
      </c>
      <c r="AT885" s="128" t="s">
        <v>4307</v>
      </c>
      <c r="AU885" s="100" t="s">
        <v>4593</v>
      </c>
      <c r="AV885" s="128" t="s">
        <v>4592</v>
      </c>
      <c r="AW885" s="100" t="s">
        <v>4595</v>
      </c>
      <c r="AX885" s="433">
        <f t="shared" si="432"/>
        <v>0</v>
      </c>
      <c r="AY885" s="433">
        <f t="shared" si="433"/>
        <v>0</v>
      </c>
      <c r="AZ885" s="433">
        <f t="shared" si="434"/>
        <v>0</v>
      </c>
      <c r="BA885" s="433">
        <f t="shared" si="424"/>
        <v>0</v>
      </c>
      <c r="BB885" s="433">
        <f t="shared" si="425"/>
        <v>0</v>
      </c>
      <c r="BC885" s="433">
        <f t="shared" si="426"/>
        <v>0</v>
      </c>
      <c r="BD885" s="433">
        <f t="shared" si="435"/>
        <v>0</v>
      </c>
      <c r="BE885" s="433">
        <f t="shared" si="436"/>
        <v>0</v>
      </c>
      <c r="BF885" s="433">
        <f t="shared" si="437"/>
        <v>0</v>
      </c>
      <c r="BG885" s="433">
        <f t="shared" si="438"/>
        <v>0</v>
      </c>
      <c r="BH885" s="433">
        <f t="shared" si="439"/>
        <v>0</v>
      </c>
      <c r="BI885" s="433">
        <f t="shared" si="440"/>
        <v>0</v>
      </c>
      <c r="BJ885" s="433">
        <f t="shared" si="441"/>
        <v>0</v>
      </c>
      <c r="BK885" s="433">
        <f t="shared" si="442"/>
        <v>0</v>
      </c>
      <c r="BL885" s="433">
        <f t="shared" si="443"/>
        <v>0</v>
      </c>
      <c r="BM885" s="433">
        <f t="shared" si="444"/>
        <v>0</v>
      </c>
      <c r="BN885" s="433">
        <f t="shared" si="445"/>
        <v>0</v>
      </c>
      <c r="BO885" s="433">
        <f t="shared" si="446"/>
        <v>0</v>
      </c>
      <c r="BP885" s="433">
        <f t="shared" si="447"/>
        <v>0</v>
      </c>
      <c r="BQ885" s="433">
        <f t="shared" si="448"/>
        <v>0</v>
      </c>
    </row>
    <row r="886" spans="1:69" x14ac:dyDescent="0.2">
      <c r="A886" s="102">
        <v>41889</v>
      </c>
      <c r="B886" s="319">
        <v>1</v>
      </c>
      <c r="C886" s="114" t="s">
        <v>4032</v>
      </c>
      <c r="D886" s="111">
        <v>0.51666666666666672</v>
      </c>
      <c r="E886" s="111">
        <v>0.72986111111111107</v>
      </c>
      <c r="F886" s="319">
        <v>60</v>
      </c>
      <c r="G886" s="445">
        <v>8</v>
      </c>
      <c r="H886" s="319"/>
      <c r="I886" s="319">
        <v>21.2</v>
      </c>
      <c r="J886" s="426">
        <f t="shared" si="421"/>
        <v>306.99999999999989</v>
      </c>
      <c r="K886" s="103"/>
      <c r="L886" s="103"/>
      <c r="M886" s="103"/>
      <c r="N886" s="427">
        <f t="shared" si="422"/>
        <v>0</v>
      </c>
      <c r="O886" s="103"/>
      <c r="P886" s="103"/>
      <c r="Q886" s="103"/>
      <c r="R886" s="428">
        <f t="shared" si="423"/>
        <v>0</v>
      </c>
      <c r="S886" s="103"/>
      <c r="T886" s="103"/>
      <c r="U886" s="103"/>
      <c r="V886" s="480"/>
      <c r="W886" s="428">
        <f t="shared" si="427"/>
        <v>0</v>
      </c>
      <c r="X886" s="103"/>
      <c r="Y886" s="103"/>
      <c r="Z886" s="480"/>
      <c r="AA886" s="428">
        <f t="shared" si="428"/>
        <v>0</v>
      </c>
      <c r="AB886" s="103"/>
      <c r="AC886" s="103"/>
      <c r="AD886" s="103"/>
      <c r="AE886" s="428">
        <f t="shared" si="429"/>
        <v>0</v>
      </c>
      <c r="AF886" s="103"/>
      <c r="AG886" s="103"/>
      <c r="AH886" s="103"/>
      <c r="AI886" s="103"/>
      <c r="AJ886" s="428">
        <f t="shared" si="430"/>
        <v>0</v>
      </c>
      <c r="AK886" s="446"/>
      <c r="AL886" s="446"/>
      <c r="AM886" s="446"/>
      <c r="AN886" s="446"/>
      <c r="AO886" s="446"/>
      <c r="AP886" s="446"/>
      <c r="AQ886" s="446"/>
      <c r="AR886" s="431">
        <f t="shared" si="431"/>
        <v>0</v>
      </c>
      <c r="AT886" s="128" t="s">
        <v>4307</v>
      </c>
      <c r="AU886" s="100" t="s">
        <v>4594</v>
      </c>
      <c r="AV886" s="128" t="s">
        <v>4592</v>
      </c>
      <c r="AW886" s="100" t="s">
        <v>4595</v>
      </c>
      <c r="AX886" s="433">
        <f t="shared" si="432"/>
        <v>0</v>
      </c>
      <c r="AY886" s="433">
        <f t="shared" si="433"/>
        <v>0</v>
      </c>
      <c r="AZ886" s="433">
        <f t="shared" si="434"/>
        <v>0</v>
      </c>
      <c r="BA886" s="433">
        <f t="shared" si="424"/>
        <v>0</v>
      </c>
      <c r="BB886" s="433">
        <f t="shared" si="425"/>
        <v>0</v>
      </c>
      <c r="BC886" s="433">
        <f t="shared" si="426"/>
        <v>0</v>
      </c>
      <c r="BD886" s="433">
        <f t="shared" si="435"/>
        <v>0</v>
      </c>
      <c r="BE886" s="433">
        <f t="shared" si="436"/>
        <v>0</v>
      </c>
      <c r="BF886" s="433">
        <f t="shared" si="437"/>
        <v>0</v>
      </c>
      <c r="BG886" s="433">
        <f t="shared" si="438"/>
        <v>0</v>
      </c>
      <c r="BH886" s="433">
        <f t="shared" si="439"/>
        <v>0</v>
      </c>
      <c r="BI886" s="433">
        <f t="shared" si="440"/>
        <v>0</v>
      </c>
      <c r="BJ886" s="433">
        <f t="shared" si="441"/>
        <v>0</v>
      </c>
      <c r="BK886" s="433">
        <f t="shared" si="442"/>
        <v>0</v>
      </c>
      <c r="BL886" s="433">
        <f t="shared" si="443"/>
        <v>0</v>
      </c>
      <c r="BM886" s="433">
        <f t="shared" si="444"/>
        <v>0</v>
      </c>
      <c r="BN886" s="433">
        <f t="shared" si="445"/>
        <v>0</v>
      </c>
      <c r="BO886" s="433">
        <f t="shared" si="446"/>
        <v>0</v>
      </c>
      <c r="BP886" s="433">
        <f t="shared" si="447"/>
        <v>0</v>
      </c>
      <c r="BQ886" s="433">
        <f t="shared" si="448"/>
        <v>0</v>
      </c>
    </row>
    <row r="887" spans="1:69" x14ac:dyDescent="0.2">
      <c r="A887" s="102">
        <v>41889</v>
      </c>
      <c r="B887" s="319">
        <v>2</v>
      </c>
      <c r="C887" s="114" t="s">
        <v>4032</v>
      </c>
      <c r="D887" s="111">
        <v>0.34791666666666665</v>
      </c>
      <c r="E887" s="111">
        <v>0.50972222222222219</v>
      </c>
      <c r="F887" s="319">
        <v>35</v>
      </c>
      <c r="G887" s="445">
        <v>6.5</v>
      </c>
      <c r="H887" s="319"/>
      <c r="I887" s="319"/>
      <c r="J887" s="426">
        <f t="shared" si="421"/>
        <v>232.99999999999997</v>
      </c>
      <c r="K887" s="103"/>
      <c r="L887" s="103"/>
      <c r="M887" s="103"/>
      <c r="N887" s="427">
        <f t="shared" si="422"/>
        <v>0</v>
      </c>
      <c r="O887" s="103"/>
      <c r="P887" s="103"/>
      <c r="Q887" s="103"/>
      <c r="R887" s="428">
        <f t="shared" si="423"/>
        <v>0</v>
      </c>
      <c r="S887" s="103"/>
      <c r="T887" s="103"/>
      <c r="U887" s="103"/>
      <c r="V887" s="480"/>
      <c r="W887" s="428">
        <f t="shared" si="427"/>
        <v>0</v>
      </c>
      <c r="X887" s="103"/>
      <c r="Y887" s="103"/>
      <c r="Z887" s="480"/>
      <c r="AA887" s="428">
        <f t="shared" si="428"/>
        <v>0</v>
      </c>
      <c r="AB887" s="103"/>
      <c r="AC887" s="103"/>
      <c r="AD887" s="103"/>
      <c r="AE887" s="428">
        <f t="shared" si="429"/>
        <v>0</v>
      </c>
      <c r="AF887" s="103"/>
      <c r="AG887" s="103"/>
      <c r="AH887" s="103"/>
      <c r="AI887" s="103"/>
      <c r="AJ887" s="428">
        <f t="shared" si="430"/>
        <v>0</v>
      </c>
      <c r="AK887" s="446"/>
      <c r="AL887" s="446"/>
      <c r="AM887" s="446"/>
      <c r="AN887" s="446"/>
      <c r="AO887" s="446"/>
      <c r="AP887" s="446"/>
      <c r="AQ887" s="446"/>
      <c r="AR887" s="431">
        <f t="shared" si="431"/>
        <v>0</v>
      </c>
      <c r="AT887" s="128" t="s">
        <v>4307</v>
      </c>
      <c r="AU887" s="100" t="s">
        <v>4593</v>
      </c>
      <c r="AV887" s="128" t="s">
        <v>4592</v>
      </c>
      <c r="AW887" s="100" t="s">
        <v>4595</v>
      </c>
      <c r="AX887" s="433">
        <f t="shared" si="432"/>
        <v>0</v>
      </c>
      <c r="AY887" s="433">
        <f t="shared" si="433"/>
        <v>0</v>
      </c>
      <c r="AZ887" s="433">
        <f t="shared" si="434"/>
        <v>0</v>
      </c>
      <c r="BA887" s="433">
        <f t="shared" si="424"/>
        <v>0</v>
      </c>
      <c r="BB887" s="433">
        <f t="shared" si="425"/>
        <v>0</v>
      </c>
      <c r="BC887" s="433">
        <f t="shared" si="426"/>
        <v>0</v>
      </c>
      <c r="BD887" s="433">
        <f t="shared" si="435"/>
        <v>0</v>
      </c>
      <c r="BE887" s="433">
        <f t="shared" si="436"/>
        <v>0</v>
      </c>
      <c r="BF887" s="433">
        <f t="shared" si="437"/>
        <v>0</v>
      </c>
      <c r="BG887" s="433">
        <f t="shared" si="438"/>
        <v>0</v>
      </c>
      <c r="BH887" s="433">
        <f t="shared" si="439"/>
        <v>0</v>
      </c>
      <c r="BI887" s="433">
        <f t="shared" si="440"/>
        <v>0</v>
      </c>
      <c r="BJ887" s="433">
        <f t="shared" si="441"/>
        <v>0</v>
      </c>
      <c r="BK887" s="433">
        <f t="shared" si="442"/>
        <v>0</v>
      </c>
      <c r="BL887" s="433">
        <f t="shared" si="443"/>
        <v>0</v>
      </c>
      <c r="BM887" s="433">
        <f t="shared" si="444"/>
        <v>0</v>
      </c>
      <c r="BN887" s="433">
        <f t="shared" si="445"/>
        <v>0</v>
      </c>
      <c r="BO887" s="433">
        <f t="shared" si="446"/>
        <v>0</v>
      </c>
      <c r="BP887" s="433">
        <f t="shared" si="447"/>
        <v>0</v>
      </c>
      <c r="BQ887" s="433">
        <f t="shared" si="448"/>
        <v>0</v>
      </c>
    </row>
    <row r="888" spans="1:69" x14ac:dyDescent="0.2">
      <c r="A888" s="102">
        <v>41889</v>
      </c>
      <c r="B888" s="319">
        <v>2</v>
      </c>
      <c r="C888" s="114" t="s">
        <v>4032</v>
      </c>
      <c r="D888" s="111">
        <v>0.50972222222222219</v>
      </c>
      <c r="E888" s="111">
        <v>0.72916666666666663</v>
      </c>
      <c r="F888" s="319">
        <v>33</v>
      </c>
      <c r="G888" s="445">
        <v>7</v>
      </c>
      <c r="H888" s="319"/>
      <c r="I888" s="319"/>
      <c r="J888" s="426">
        <f t="shared" si="421"/>
        <v>316</v>
      </c>
      <c r="K888" s="103"/>
      <c r="L888" s="103"/>
      <c r="M888" s="103"/>
      <c r="N888" s="427">
        <f t="shared" si="422"/>
        <v>0</v>
      </c>
      <c r="O888" s="103"/>
      <c r="P888" s="103"/>
      <c r="Q888" s="103"/>
      <c r="R888" s="428">
        <f t="shared" si="423"/>
        <v>0</v>
      </c>
      <c r="S888" s="103"/>
      <c r="T888" s="103"/>
      <c r="U888" s="103"/>
      <c r="V888" s="480"/>
      <c r="W888" s="428">
        <f t="shared" si="427"/>
        <v>0</v>
      </c>
      <c r="X888" s="103"/>
      <c r="Y888" s="103"/>
      <c r="Z888" s="480"/>
      <c r="AA888" s="428">
        <f t="shared" si="428"/>
        <v>0</v>
      </c>
      <c r="AB888" s="103"/>
      <c r="AC888" s="103"/>
      <c r="AD888" s="103"/>
      <c r="AE888" s="428">
        <f t="shared" si="429"/>
        <v>0</v>
      </c>
      <c r="AF888" s="103"/>
      <c r="AG888" s="103"/>
      <c r="AH888" s="103"/>
      <c r="AI888" s="103"/>
      <c r="AJ888" s="428">
        <f t="shared" si="430"/>
        <v>0</v>
      </c>
      <c r="AK888" s="446"/>
      <c r="AL888" s="446"/>
      <c r="AM888" s="446"/>
      <c r="AN888" s="446"/>
      <c r="AO888" s="446"/>
      <c r="AP888" s="446"/>
      <c r="AQ888" s="446"/>
      <c r="AR888" s="431">
        <f t="shared" si="431"/>
        <v>0</v>
      </c>
      <c r="AT888" s="128" t="s">
        <v>4307</v>
      </c>
      <c r="AU888" s="100" t="s">
        <v>4594</v>
      </c>
      <c r="AV888" s="128" t="s">
        <v>4592</v>
      </c>
      <c r="AW888" s="100" t="s">
        <v>4595</v>
      </c>
      <c r="AX888" s="433">
        <f t="shared" si="432"/>
        <v>0</v>
      </c>
      <c r="AY888" s="433">
        <f t="shared" si="433"/>
        <v>0</v>
      </c>
      <c r="AZ888" s="433">
        <f t="shared" si="434"/>
        <v>0</v>
      </c>
      <c r="BA888" s="433">
        <f t="shared" si="424"/>
        <v>0</v>
      </c>
      <c r="BB888" s="433">
        <f t="shared" si="425"/>
        <v>0</v>
      </c>
      <c r="BC888" s="433">
        <f t="shared" si="426"/>
        <v>0</v>
      </c>
      <c r="BD888" s="433">
        <f t="shared" si="435"/>
        <v>0</v>
      </c>
      <c r="BE888" s="433">
        <f t="shared" si="436"/>
        <v>0</v>
      </c>
      <c r="BF888" s="433">
        <f t="shared" si="437"/>
        <v>0</v>
      </c>
      <c r="BG888" s="433">
        <f t="shared" si="438"/>
        <v>0</v>
      </c>
      <c r="BH888" s="433">
        <f t="shared" si="439"/>
        <v>0</v>
      </c>
      <c r="BI888" s="433">
        <f t="shared" si="440"/>
        <v>0</v>
      </c>
      <c r="BJ888" s="433">
        <f t="shared" si="441"/>
        <v>0</v>
      </c>
      <c r="BK888" s="433">
        <f t="shared" si="442"/>
        <v>0</v>
      </c>
      <c r="BL888" s="433">
        <f t="shared" si="443"/>
        <v>0</v>
      </c>
      <c r="BM888" s="433">
        <f t="shared" si="444"/>
        <v>0</v>
      </c>
      <c r="BN888" s="433">
        <f t="shared" si="445"/>
        <v>0</v>
      </c>
      <c r="BO888" s="433">
        <f t="shared" si="446"/>
        <v>0</v>
      </c>
      <c r="BP888" s="433">
        <f t="shared" si="447"/>
        <v>0</v>
      </c>
      <c r="BQ888" s="433">
        <f t="shared" si="448"/>
        <v>0</v>
      </c>
    </row>
    <row r="889" spans="1:69" x14ac:dyDescent="0.2">
      <c r="A889" s="102">
        <v>41889</v>
      </c>
      <c r="B889" s="319">
        <v>3</v>
      </c>
      <c r="C889" s="114" t="s">
        <v>4032</v>
      </c>
      <c r="D889" s="111">
        <v>0.35694444444444445</v>
      </c>
      <c r="E889" s="111">
        <v>0.52708333333333335</v>
      </c>
      <c r="F889" s="319">
        <v>39</v>
      </c>
      <c r="G889" s="445">
        <v>6</v>
      </c>
      <c r="H889" s="319"/>
      <c r="I889" s="319"/>
      <c r="J889" s="426">
        <f t="shared" si="421"/>
        <v>245.00000000000003</v>
      </c>
      <c r="K889" s="103"/>
      <c r="L889" s="103"/>
      <c r="M889" s="103"/>
      <c r="N889" s="427">
        <f t="shared" si="422"/>
        <v>0</v>
      </c>
      <c r="O889" s="103"/>
      <c r="P889" s="103"/>
      <c r="Q889" s="103"/>
      <c r="R889" s="428">
        <f t="shared" si="423"/>
        <v>0</v>
      </c>
      <c r="S889" s="103"/>
      <c r="T889" s="103"/>
      <c r="U889" s="103"/>
      <c r="V889" s="480"/>
      <c r="W889" s="428">
        <f t="shared" si="427"/>
        <v>0</v>
      </c>
      <c r="X889" s="103"/>
      <c r="Y889" s="103"/>
      <c r="Z889" s="480"/>
      <c r="AA889" s="428">
        <f t="shared" si="428"/>
        <v>0</v>
      </c>
      <c r="AB889" s="103"/>
      <c r="AC889" s="103"/>
      <c r="AD889" s="103"/>
      <c r="AE889" s="428">
        <f t="shared" si="429"/>
        <v>0</v>
      </c>
      <c r="AF889" s="103"/>
      <c r="AG889" s="103"/>
      <c r="AH889" s="103"/>
      <c r="AI889" s="103"/>
      <c r="AJ889" s="428">
        <f t="shared" si="430"/>
        <v>0</v>
      </c>
      <c r="AK889" s="446"/>
      <c r="AL889" s="446"/>
      <c r="AM889" s="446"/>
      <c r="AN889" s="446"/>
      <c r="AO889" s="446"/>
      <c r="AP889" s="446"/>
      <c r="AQ889" s="446"/>
      <c r="AR889" s="431">
        <f t="shared" si="431"/>
        <v>0</v>
      </c>
      <c r="AT889" s="128" t="s">
        <v>4307</v>
      </c>
      <c r="AU889" s="100" t="s">
        <v>4593</v>
      </c>
      <c r="AV889" s="128" t="s">
        <v>4592</v>
      </c>
      <c r="AW889" s="100" t="s">
        <v>4595</v>
      </c>
      <c r="AX889" s="433">
        <f t="shared" si="432"/>
        <v>0</v>
      </c>
      <c r="AY889" s="433">
        <f t="shared" si="433"/>
        <v>0</v>
      </c>
      <c r="AZ889" s="433">
        <f t="shared" si="434"/>
        <v>0</v>
      </c>
      <c r="BA889" s="433">
        <f t="shared" si="424"/>
        <v>0</v>
      </c>
      <c r="BB889" s="433">
        <f t="shared" si="425"/>
        <v>0</v>
      </c>
      <c r="BC889" s="433">
        <f t="shared" si="426"/>
        <v>0</v>
      </c>
      <c r="BD889" s="433">
        <f t="shared" si="435"/>
        <v>0</v>
      </c>
      <c r="BE889" s="433">
        <f t="shared" si="436"/>
        <v>0</v>
      </c>
      <c r="BF889" s="433">
        <f t="shared" si="437"/>
        <v>0</v>
      </c>
      <c r="BG889" s="433">
        <f t="shared" si="438"/>
        <v>0</v>
      </c>
      <c r="BH889" s="433">
        <f t="shared" si="439"/>
        <v>0</v>
      </c>
      <c r="BI889" s="433">
        <f t="shared" si="440"/>
        <v>0</v>
      </c>
      <c r="BJ889" s="433">
        <f t="shared" si="441"/>
        <v>0</v>
      </c>
      <c r="BK889" s="433">
        <f t="shared" si="442"/>
        <v>0</v>
      </c>
      <c r="BL889" s="433">
        <f t="shared" si="443"/>
        <v>0</v>
      </c>
      <c r="BM889" s="433">
        <f t="shared" si="444"/>
        <v>0</v>
      </c>
      <c r="BN889" s="433">
        <f t="shared" si="445"/>
        <v>0</v>
      </c>
      <c r="BO889" s="433">
        <f t="shared" si="446"/>
        <v>0</v>
      </c>
      <c r="BP889" s="433">
        <f t="shared" si="447"/>
        <v>0</v>
      </c>
      <c r="BQ889" s="433">
        <f t="shared" si="448"/>
        <v>0</v>
      </c>
    </row>
    <row r="890" spans="1:69" s="291" customFormat="1" x14ac:dyDescent="0.2">
      <c r="A890" s="317">
        <v>41889</v>
      </c>
      <c r="B890" s="318">
        <v>3</v>
      </c>
      <c r="C890" s="320" t="s">
        <v>4032</v>
      </c>
      <c r="D890" s="321">
        <v>0.52708333333333335</v>
      </c>
      <c r="E890" s="321">
        <v>0.73055555555555562</v>
      </c>
      <c r="F890" s="318">
        <v>39</v>
      </c>
      <c r="G890" s="435">
        <v>8</v>
      </c>
      <c r="H890" s="318"/>
      <c r="I890" s="318"/>
      <c r="J890" s="437">
        <f t="shared" si="421"/>
        <v>293.00000000000006</v>
      </c>
      <c r="K890" s="285"/>
      <c r="L890" s="285"/>
      <c r="M890" s="285"/>
      <c r="N890" s="438">
        <f t="shared" si="422"/>
        <v>0</v>
      </c>
      <c r="O890" s="285"/>
      <c r="P890" s="285"/>
      <c r="Q890" s="285"/>
      <c r="R890" s="439">
        <f t="shared" si="423"/>
        <v>0</v>
      </c>
      <c r="S890" s="285"/>
      <c r="T890" s="285"/>
      <c r="U890" s="285"/>
      <c r="V890" s="440"/>
      <c r="W890" s="439">
        <f t="shared" si="427"/>
        <v>0</v>
      </c>
      <c r="X890" s="285"/>
      <c r="Y890" s="285"/>
      <c r="Z890" s="440"/>
      <c r="AA890" s="439">
        <f t="shared" si="428"/>
        <v>0</v>
      </c>
      <c r="AB890" s="285"/>
      <c r="AC890" s="285"/>
      <c r="AD890" s="285"/>
      <c r="AE890" s="439">
        <f t="shared" si="429"/>
        <v>0</v>
      </c>
      <c r="AF890" s="285"/>
      <c r="AG890" s="285"/>
      <c r="AH890" s="285"/>
      <c r="AI890" s="285"/>
      <c r="AJ890" s="439">
        <f t="shared" si="430"/>
        <v>0</v>
      </c>
      <c r="AK890" s="340"/>
      <c r="AL890" s="340"/>
      <c r="AM890" s="340"/>
      <c r="AN890" s="340"/>
      <c r="AO890" s="340"/>
      <c r="AP890" s="340"/>
      <c r="AQ890" s="340"/>
      <c r="AR890" s="441">
        <f t="shared" si="431"/>
        <v>0</v>
      </c>
      <c r="AT890" s="313" t="s">
        <v>4307</v>
      </c>
      <c r="AU890" s="289" t="s">
        <v>4594</v>
      </c>
      <c r="AV890" s="313" t="s">
        <v>4592</v>
      </c>
      <c r="AW890" s="382" t="s">
        <v>4595</v>
      </c>
      <c r="AX890" s="443">
        <f t="shared" si="432"/>
        <v>0</v>
      </c>
      <c r="AY890" s="443">
        <f t="shared" si="433"/>
        <v>0</v>
      </c>
      <c r="AZ890" s="443">
        <f t="shared" si="434"/>
        <v>0</v>
      </c>
      <c r="BA890" s="443">
        <f t="shared" si="424"/>
        <v>0</v>
      </c>
      <c r="BB890" s="443">
        <f t="shared" si="425"/>
        <v>0</v>
      </c>
      <c r="BC890" s="443">
        <f t="shared" si="426"/>
        <v>0</v>
      </c>
      <c r="BD890" s="443">
        <f t="shared" si="435"/>
        <v>0</v>
      </c>
      <c r="BE890" s="443">
        <f t="shared" si="436"/>
        <v>0</v>
      </c>
      <c r="BF890" s="443">
        <f t="shared" si="437"/>
        <v>0</v>
      </c>
      <c r="BG890" s="443">
        <f t="shared" si="438"/>
        <v>0</v>
      </c>
      <c r="BH890" s="443">
        <f t="shared" si="439"/>
        <v>0</v>
      </c>
      <c r="BI890" s="443">
        <f t="shared" si="440"/>
        <v>0</v>
      </c>
      <c r="BJ890" s="443">
        <f t="shared" si="441"/>
        <v>0</v>
      </c>
      <c r="BK890" s="443">
        <f t="shared" si="442"/>
        <v>0</v>
      </c>
      <c r="BL890" s="443">
        <f t="shared" si="443"/>
        <v>0</v>
      </c>
      <c r="BM890" s="443">
        <f t="shared" si="444"/>
        <v>0</v>
      </c>
      <c r="BN890" s="443">
        <f t="shared" si="445"/>
        <v>0</v>
      </c>
      <c r="BO890" s="443">
        <f t="shared" si="446"/>
        <v>0</v>
      </c>
      <c r="BP890" s="443">
        <f t="shared" si="447"/>
        <v>0</v>
      </c>
      <c r="BQ890" s="443">
        <f t="shared" si="448"/>
        <v>0</v>
      </c>
    </row>
  </sheetData>
  <sheetProtection formatCells="0"/>
  <protectedRanges>
    <protectedRange sqref="AK3:AQ890" name="Other"/>
    <protectedRange sqref="X3:Z890" name="PK"/>
    <protectedRange sqref="A3:I332 A370:I810 E828:E890 H811:I827 A828:D890 F828:I890" name="DateLoc"/>
    <protectedRange sqref="K3:Q890" name="CN"/>
    <protectedRange sqref="S3:V810 S831:V890" name="SO"/>
    <protectedRange sqref="AB3:AE810 AE811:AE833 AB834:AE890" name="CM"/>
    <protectedRange sqref="AF3:AI810 AF830:AI890" name="CO"/>
    <protectedRange sqref="AV589:AW589 AT589 AV595:AW595 AT595 AS106 AT3:AW123 AT124:AU144 AU145 AV124:AW262 AT146:AU465 AV264:AW465 AT466:AW588 AT590:AW594 AT596:AW810 AT830:AU832 AW830:AW832 AT833:AW890" name="EndStuff"/>
    <protectedRange sqref="A333:I369" name="DateLoc_1"/>
    <protectedRange sqref="A811:G827" name="DateLoc_2"/>
    <protectedRange sqref="S811:V830" name="SO_1"/>
    <protectedRange sqref="AB811:AD833" name="CM_1"/>
    <protectedRange sqref="AF811:AI829" name="CO_1"/>
    <protectedRange sqref="AT811:AW827 AT828:AU829 AW828:AW829 AV828:AV832" name="EndStuff_1"/>
  </protectedRanges>
  <mergeCells count="7">
    <mergeCell ref="K1:N1"/>
    <mergeCell ref="AK1:AR1"/>
    <mergeCell ref="O1:R1"/>
    <mergeCell ref="AF1:AJ1"/>
    <mergeCell ref="S1:W1"/>
    <mergeCell ref="X1:AA1"/>
    <mergeCell ref="AB1:AE1"/>
  </mergeCells>
  <phoneticPr fontId="5" type="noConversion"/>
  <dataValidations count="8">
    <dataValidation type="time" allowBlank="1" showInputMessage="1" showErrorMessage="1" sqref="D3:D192 D195 D198 D201:D207 D211 D214:D216 D219 D223 D226:D227 D232 D236 D240 D244 D248 D251:D268 D273 D277:D278 D280 D304 D282:D296 D300 D308:D890">
      <formula1>0</formula1>
      <formula2>0.999305555555556</formula2>
    </dataValidation>
    <dataValidation type="decimal" operator="greaterThan" allowBlank="1" showInputMessage="1" showErrorMessage="1" sqref="F3:F890">
      <formula1>0</formula1>
    </dataValidation>
    <dataValidation type="decimal" allowBlank="1" showInputMessage="1" showErrorMessage="1" sqref="G3:H890">
      <formula1>-10</formula1>
      <formula2>50</formula2>
    </dataValidation>
    <dataValidation type="whole" operator="greaterThanOrEqual" allowBlank="1" showInputMessage="1" showErrorMessage="1" sqref="AB3:AD890 K3:M890 AK3:AQ890 O3:Q890 S3:V890 X3:Z890 AF3:AI890">
      <formula1>0</formula1>
    </dataValidation>
    <dataValidation type="decimal" allowBlank="1" showInputMessage="1" showErrorMessage="1" sqref="D279 D193:D194 D196:D197 D199:D200 D208:D210 D212:D213 D217:D218 D220:D222 D224:D225 D228:D231 D233:D235 D237:D239 D241:D243 D245:D247 D249:D250 D269:D272 D274:D276 D281 D305:D307 D297:D299 D301:D303 E3:E890">
      <formula1>0</formula1>
      <formula2>1</formula2>
    </dataValidation>
    <dataValidation type="list" allowBlank="1" showInputMessage="1" showErrorMessage="1" sqref="B1:B1048576">
      <formula1>"1,2,3, BS_1, BS_2, BS_3, BS_4, BS_5, BS_6, BS_7, BS_8, BS_9, BS_10"</formula1>
    </dataValidation>
    <dataValidation type="date" operator="greaterThan" allowBlank="1" showInputMessage="1" showErrorMessage="1" sqref="A1:A1048576">
      <formula1>41791</formula1>
    </dataValidation>
    <dataValidation type="decimal" allowBlank="1" showInputMessage="1" showErrorMessage="1" sqref="I1:I1048576">
      <formula1>-10</formula1>
      <formula2>300</formula2>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sheetPr>
  <dimension ref="A1:BN810"/>
  <sheetViews>
    <sheetView workbookViewId="0"/>
  </sheetViews>
  <sheetFormatPr defaultColWidth="11.42578125" defaultRowHeight="12.75" x14ac:dyDescent="0.2"/>
  <cols>
    <col min="1" max="1" width="17.42578125" customWidth="1"/>
    <col min="2" max="2" width="16.85546875" customWidth="1"/>
    <col min="3" max="5" width="6.42578125" customWidth="1"/>
    <col min="6" max="6" width="10.5703125" customWidth="1"/>
    <col min="7" max="12" width="2" customWidth="1"/>
    <col min="13" max="13" width="17.85546875" customWidth="1"/>
    <col min="14" max="14" width="17.42578125" customWidth="1"/>
    <col min="15" max="17" width="6.42578125" customWidth="1"/>
    <col min="18" max="18" width="10.5703125" customWidth="1"/>
    <col min="19" max="24" width="2" customWidth="1"/>
    <col min="25" max="25" width="13.85546875" customWidth="1"/>
    <col min="26" max="26" width="14.85546875" customWidth="1"/>
    <col min="27" max="29" width="6.42578125" customWidth="1"/>
    <col min="30" max="30" width="10.5703125" customWidth="1"/>
    <col min="31" max="36" width="2" customWidth="1"/>
    <col min="37" max="37" width="13.7109375" customWidth="1"/>
    <col min="38" max="38" width="14.7109375" customWidth="1"/>
    <col min="39" max="41" width="6.42578125" customWidth="1"/>
    <col min="42" max="42" width="10.5703125" customWidth="1"/>
    <col min="43" max="48" width="2" customWidth="1"/>
    <col min="49" max="49" width="14" customWidth="1"/>
    <col min="50" max="50" width="15" customWidth="1"/>
    <col min="51" max="53" width="6.42578125" customWidth="1"/>
    <col min="54" max="54" width="10.5703125" customWidth="1"/>
    <col min="55" max="60" width="2" customWidth="1"/>
    <col min="61" max="61" width="13.85546875" customWidth="1"/>
    <col min="62" max="62" width="14.85546875" customWidth="1"/>
    <col min="63" max="65" width="6.42578125" customWidth="1"/>
    <col min="66" max="67" width="10.5703125" customWidth="1"/>
  </cols>
  <sheetData>
    <row r="1" spans="1:66" x14ac:dyDescent="0.2">
      <c r="A1" s="2" t="s">
        <v>220</v>
      </c>
      <c r="M1" s="2" t="s">
        <v>219</v>
      </c>
      <c r="Y1" s="2" t="s">
        <v>11</v>
      </c>
      <c r="AK1" s="2" t="s">
        <v>61</v>
      </c>
      <c r="AW1" s="2" t="s">
        <v>60</v>
      </c>
      <c r="BI1" s="2" t="s">
        <v>59</v>
      </c>
    </row>
    <row r="2" spans="1:66" x14ac:dyDescent="0.2">
      <c r="A2" s="15" t="s">
        <v>118</v>
      </c>
      <c r="M2" s="2"/>
      <c r="Y2" s="2"/>
      <c r="AK2" s="2"/>
      <c r="AW2" s="2"/>
      <c r="BI2" s="2"/>
    </row>
    <row r="4" spans="1:66" x14ac:dyDescent="0.2">
      <c r="A4" s="229"/>
      <c r="B4" s="255"/>
      <c r="C4" s="228" t="s">
        <v>99</v>
      </c>
      <c r="D4" s="255"/>
      <c r="E4" s="255"/>
      <c r="F4" s="235"/>
      <c r="H4" s="107"/>
      <c r="I4" s="107"/>
      <c r="J4" s="107"/>
      <c r="M4" s="229"/>
      <c r="N4" s="255"/>
      <c r="O4" s="228" t="s">
        <v>99</v>
      </c>
      <c r="P4" s="255"/>
      <c r="Q4" s="255"/>
      <c r="R4" s="235"/>
      <c r="Y4" s="229"/>
      <c r="Z4" s="255"/>
      <c r="AA4" s="228" t="s">
        <v>99</v>
      </c>
      <c r="AB4" s="255"/>
      <c r="AC4" s="255"/>
      <c r="AD4" s="235"/>
      <c r="AK4" s="229"/>
      <c r="AL4" s="255"/>
      <c r="AM4" s="228" t="s">
        <v>99</v>
      </c>
      <c r="AN4" s="255"/>
      <c r="AO4" s="255"/>
      <c r="AP4" s="235"/>
      <c r="AW4" s="229"/>
      <c r="AX4" s="255"/>
      <c r="AY4" s="228" t="s">
        <v>99</v>
      </c>
      <c r="AZ4" s="255"/>
      <c r="BA4" s="255"/>
      <c r="BB4" s="235"/>
      <c r="BI4" s="229"/>
      <c r="BJ4" s="255"/>
      <c r="BK4" s="228" t="s">
        <v>99</v>
      </c>
      <c r="BL4" s="255"/>
      <c r="BM4" s="255"/>
      <c r="BN4" s="235"/>
    </row>
    <row r="5" spans="1:66" x14ac:dyDescent="0.2">
      <c r="A5" s="228" t="s">
        <v>3</v>
      </c>
      <c r="B5" s="228" t="s">
        <v>13</v>
      </c>
      <c r="C5" s="229">
        <v>1</v>
      </c>
      <c r="D5" s="265">
        <v>2</v>
      </c>
      <c r="E5" s="265">
        <v>3</v>
      </c>
      <c r="F5" s="259" t="s">
        <v>12</v>
      </c>
      <c r="H5" s="107"/>
      <c r="I5" s="107"/>
      <c r="J5" s="107"/>
      <c r="M5" s="228" t="s">
        <v>3</v>
      </c>
      <c r="N5" s="228" t="s">
        <v>13</v>
      </c>
      <c r="O5" s="229">
        <v>1</v>
      </c>
      <c r="P5" s="265">
        <v>2</v>
      </c>
      <c r="Q5" s="265">
        <v>3</v>
      </c>
      <c r="R5" s="259" t="s">
        <v>12</v>
      </c>
      <c r="Y5" s="228" t="s">
        <v>3</v>
      </c>
      <c r="Z5" s="228" t="s">
        <v>13</v>
      </c>
      <c r="AA5" s="229">
        <v>1</v>
      </c>
      <c r="AB5" s="265">
        <v>2</v>
      </c>
      <c r="AC5" s="265">
        <v>3</v>
      </c>
      <c r="AD5" s="259" t="s">
        <v>12</v>
      </c>
      <c r="AK5" s="228" t="s">
        <v>3</v>
      </c>
      <c r="AL5" s="228" t="s">
        <v>13</v>
      </c>
      <c r="AM5" s="229">
        <v>1</v>
      </c>
      <c r="AN5" s="265">
        <v>2</v>
      </c>
      <c r="AO5" s="265">
        <v>3</v>
      </c>
      <c r="AP5" s="259" t="s">
        <v>12</v>
      </c>
      <c r="AW5" s="228" t="s">
        <v>3</v>
      </c>
      <c r="AX5" s="228" t="s">
        <v>13</v>
      </c>
      <c r="AY5" s="229">
        <v>1</v>
      </c>
      <c r="AZ5" s="265">
        <v>2</v>
      </c>
      <c r="BA5" s="265">
        <v>3</v>
      </c>
      <c r="BB5" s="259" t="s">
        <v>12</v>
      </c>
      <c r="BI5" s="228" t="s">
        <v>3</v>
      </c>
      <c r="BJ5" s="228" t="s">
        <v>13</v>
      </c>
      <c r="BK5" s="229">
        <v>1</v>
      </c>
      <c r="BL5" s="265">
        <v>2</v>
      </c>
      <c r="BM5" s="265">
        <v>3</v>
      </c>
      <c r="BN5" s="259" t="s">
        <v>12</v>
      </c>
    </row>
    <row r="6" spans="1:66" x14ac:dyDescent="0.2">
      <c r="A6" s="239">
        <v>41796</v>
      </c>
      <c r="B6" s="229" t="s">
        <v>291</v>
      </c>
      <c r="C6" s="240">
        <v>0</v>
      </c>
      <c r="D6" s="266"/>
      <c r="E6" s="266"/>
      <c r="F6" s="258">
        <v>0</v>
      </c>
      <c r="H6" s="14"/>
      <c r="I6" s="14"/>
      <c r="J6" s="14"/>
      <c r="M6" s="239">
        <v>41796</v>
      </c>
      <c r="N6" s="229" t="s">
        <v>275</v>
      </c>
      <c r="O6" s="240">
        <v>0</v>
      </c>
      <c r="P6" s="266"/>
      <c r="Q6" s="266"/>
      <c r="R6" s="258">
        <v>0</v>
      </c>
      <c r="Y6" s="239">
        <v>41796</v>
      </c>
      <c r="Z6" s="229" t="s">
        <v>288</v>
      </c>
      <c r="AA6" s="240">
        <v>0</v>
      </c>
      <c r="AB6" s="266"/>
      <c r="AC6" s="266"/>
      <c r="AD6" s="258">
        <v>0</v>
      </c>
      <c r="AK6" s="239">
        <v>41796</v>
      </c>
      <c r="AL6" s="229" t="s">
        <v>285</v>
      </c>
      <c r="AM6" s="240">
        <v>0</v>
      </c>
      <c r="AN6" s="266"/>
      <c r="AO6" s="266"/>
      <c r="AP6" s="258">
        <v>0</v>
      </c>
      <c r="AW6" s="239">
        <v>41796</v>
      </c>
      <c r="AX6" s="229" t="s">
        <v>282</v>
      </c>
      <c r="AY6" s="240">
        <v>0</v>
      </c>
      <c r="AZ6" s="266"/>
      <c r="BA6" s="266"/>
      <c r="BB6" s="258">
        <v>0</v>
      </c>
      <c r="BI6" s="239">
        <v>41796</v>
      </c>
      <c r="BJ6" s="229" t="s">
        <v>278</v>
      </c>
      <c r="BK6" s="240">
        <v>0</v>
      </c>
      <c r="BL6" s="266"/>
      <c r="BM6" s="266"/>
      <c r="BN6" s="258">
        <v>0</v>
      </c>
    </row>
    <row r="7" spans="1:66" x14ac:dyDescent="0.2">
      <c r="A7" s="1"/>
      <c r="B7" s="241" t="s">
        <v>292</v>
      </c>
      <c r="C7" s="242">
        <v>0</v>
      </c>
      <c r="D7" s="267"/>
      <c r="E7" s="267"/>
      <c r="F7" s="247">
        <v>0</v>
      </c>
      <c r="H7" s="14"/>
      <c r="I7" s="14"/>
      <c r="J7" s="14"/>
      <c r="M7" s="1"/>
      <c r="N7" s="241" t="s">
        <v>276</v>
      </c>
      <c r="O7" s="242">
        <v>0</v>
      </c>
      <c r="P7" s="267"/>
      <c r="Q7" s="267"/>
      <c r="R7" s="247">
        <v>0</v>
      </c>
      <c r="Y7" s="1"/>
      <c r="Z7" s="241" t="s">
        <v>289</v>
      </c>
      <c r="AA7" s="242">
        <v>0</v>
      </c>
      <c r="AB7" s="267"/>
      <c r="AC7" s="267"/>
      <c r="AD7" s="247">
        <v>0</v>
      </c>
      <c r="AK7" s="1"/>
      <c r="AL7" s="241" t="s">
        <v>286</v>
      </c>
      <c r="AM7" s="242">
        <v>0</v>
      </c>
      <c r="AN7" s="267"/>
      <c r="AO7" s="267"/>
      <c r="AP7" s="247">
        <v>0</v>
      </c>
      <c r="AW7" s="1"/>
      <c r="AX7" s="241" t="s">
        <v>283</v>
      </c>
      <c r="AY7" s="242">
        <v>0</v>
      </c>
      <c r="AZ7" s="267"/>
      <c r="BA7" s="267"/>
      <c r="BB7" s="247">
        <v>0</v>
      </c>
      <c r="BI7" s="1"/>
      <c r="BJ7" s="241" t="s">
        <v>279</v>
      </c>
      <c r="BK7" s="242">
        <v>0</v>
      </c>
      <c r="BL7" s="267"/>
      <c r="BM7" s="267"/>
      <c r="BN7" s="247">
        <v>0</v>
      </c>
    </row>
    <row r="8" spans="1:66" x14ac:dyDescent="0.2">
      <c r="A8" s="1"/>
      <c r="B8" s="241" t="s">
        <v>293</v>
      </c>
      <c r="C8" s="242">
        <v>0</v>
      </c>
      <c r="D8" s="267"/>
      <c r="E8" s="267"/>
      <c r="F8" s="247">
        <v>0</v>
      </c>
      <c r="H8" s="14"/>
      <c r="I8" s="14"/>
      <c r="J8" s="14"/>
      <c r="M8" s="1"/>
      <c r="N8" s="241" t="s">
        <v>277</v>
      </c>
      <c r="O8" s="242">
        <v>0</v>
      </c>
      <c r="P8" s="267"/>
      <c r="Q8" s="267"/>
      <c r="R8" s="247">
        <v>0</v>
      </c>
      <c r="Y8" s="1"/>
      <c r="Z8" s="241" t="s">
        <v>290</v>
      </c>
      <c r="AA8" s="242">
        <v>0</v>
      </c>
      <c r="AB8" s="267"/>
      <c r="AC8" s="267"/>
      <c r="AD8" s="247">
        <v>0</v>
      </c>
      <c r="AK8" s="1"/>
      <c r="AL8" s="241" t="s">
        <v>287</v>
      </c>
      <c r="AM8" s="242">
        <v>0</v>
      </c>
      <c r="AN8" s="267"/>
      <c r="AO8" s="267"/>
      <c r="AP8" s="247">
        <v>0</v>
      </c>
      <c r="AW8" s="1"/>
      <c r="AX8" s="241" t="s">
        <v>284</v>
      </c>
      <c r="AY8" s="242">
        <v>0</v>
      </c>
      <c r="AZ8" s="267"/>
      <c r="BA8" s="267"/>
      <c r="BB8" s="247">
        <v>0</v>
      </c>
      <c r="BI8" s="1"/>
      <c r="BJ8" s="241" t="s">
        <v>280</v>
      </c>
      <c r="BK8" s="242">
        <v>0</v>
      </c>
      <c r="BL8" s="267"/>
      <c r="BM8" s="267"/>
      <c r="BN8" s="247">
        <v>0</v>
      </c>
    </row>
    <row r="9" spans="1:66" x14ac:dyDescent="0.2">
      <c r="A9" s="239">
        <v>41797</v>
      </c>
      <c r="B9" s="229" t="s">
        <v>291</v>
      </c>
      <c r="C9" s="240">
        <v>0</v>
      </c>
      <c r="D9" s="266"/>
      <c r="E9" s="266"/>
      <c r="F9" s="258">
        <v>0</v>
      </c>
      <c r="H9" s="14"/>
      <c r="I9" s="14"/>
      <c r="J9" s="14"/>
      <c r="M9" s="239">
        <v>41797</v>
      </c>
      <c r="N9" s="229" t="s">
        <v>275</v>
      </c>
      <c r="O9" s="240">
        <v>0</v>
      </c>
      <c r="P9" s="266"/>
      <c r="Q9" s="266"/>
      <c r="R9" s="258">
        <v>0</v>
      </c>
      <c r="Y9" s="239">
        <v>41797</v>
      </c>
      <c r="Z9" s="229" t="s">
        <v>288</v>
      </c>
      <c r="AA9" s="240">
        <v>0</v>
      </c>
      <c r="AB9" s="266"/>
      <c r="AC9" s="266"/>
      <c r="AD9" s="258">
        <v>0</v>
      </c>
      <c r="AK9" s="239">
        <v>41797</v>
      </c>
      <c r="AL9" s="229" t="s">
        <v>285</v>
      </c>
      <c r="AM9" s="240">
        <v>0</v>
      </c>
      <c r="AN9" s="266"/>
      <c r="AO9" s="266"/>
      <c r="AP9" s="258">
        <v>0</v>
      </c>
      <c r="AW9" s="239">
        <v>41797</v>
      </c>
      <c r="AX9" s="229" t="s">
        <v>282</v>
      </c>
      <c r="AY9" s="240">
        <v>0</v>
      </c>
      <c r="AZ9" s="266"/>
      <c r="BA9" s="266"/>
      <c r="BB9" s="258">
        <v>0</v>
      </c>
      <c r="BI9" s="1"/>
      <c r="BJ9" s="241" t="s">
        <v>281</v>
      </c>
      <c r="BK9" s="242">
        <v>0</v>
      </c>
      <c r="BL9" s="267"/>
      <c r="BM9" s="267"/>
      <c r="BN9" s="247">
        <v>0</v>
      </c>
    </row>
    <row r="10" spans="1:66" x14ac:dyDescent="0.2">
      <c r="A10" s="1"/>
      <c r="B10" s="241" t="s">
        <v>292</v>
      </c>
      <c r="C10" s="242">
        <v>0</v>
      </c>
      <c r="D10" s="267"/>
      <c r="E10" s="267"/>
      <c r="F10" s="247">
        <v>0</v>
      </c>
      <c r="H10" s="14"/>
      <c r="I10" s="14"/>
      <c r="J10" s="14"/>
      <c r="M10" s="1"/>
      <c r="N10" s="241" t="s">
        <v>276</v>
      </c>
      <c r="O10" s="242">
        <v>0</v>
      </c>
      <c r="P10" s="267"/>
      <c r="Q10" s="267"/>
      <c r="R10" s="247">
        <v>0</v>
      </c>
      <c r="Y10" s="1"/>
      <c r="Z10" s="241" t="s">
        <v>289</v>
      </c>
      <c r="AA10" s="242">
        <v>0</v>
      </c>
      <c r="AB10" s="267"/>
      <c r="AC10" s="267"/>
      <c r="AD10" s="247">
        <v>0</v>
      </c>
      <c r="AK10" s="1"/>
      <c r="AL10" s="241" t="s">
        <v>286</v>
      </c>
      <c r="AM10" s="242">
        <v>0</v>
      </c>
      <c r="AN10" s="267"/>
      <c r="AO10" s="267"/>
      <c r="AP10" s="247">
        <v>0</v>
      </c>
      <c r="AW10" s="1"/>
      <c r="AX10" s="241" t="s">
        <v>283</v>
      </c>
      <c r="AY10" s="242">
        <v>0</v>
      </c>
      <c r="AZ10" s="267"/>
      <c r="BA10" s="267"/>
      <c r="BB10" s="247">
        <v>0</v>
      </c>
      <c r="BI10" s="239">
        <v>41797</v>
      </c>
      <c r="BJ10" s="229" t="s">
        <v>278</v>
      </c>
      <c r="BK10" s="240">
        <v>0</v>
      </c>
      <c r="BL10" s="266"/>
      <c r="BM10" s="266"/>
      <c r="BN10" s="258">
        <v>0</v>
      </c>
    </row>
    <row r="11" spans="1:66" x14ac:dyDescent="0.2">
      <c r="A11" s="1"/>
      <c r="B11" s="241" t="s">
        <v>293</v>
      </c>
      <c r="C11" s="242">
        <v>0</v>
      </c>
      <c r="D11" s="267"/>
      <c r="E11" s="267"/>
      <c r="F11" s="247">
        <v>0</v>
      </c>
      <c r="H11" s="14"/>
      <c r="I11" s="14"/>
      <c r="J11" s="14"/>
      <c r="M11" s="1"/>
      <c r="N11" s="241" t="s">
        <v>277</v>
      </c>
      <c r="O11" s="242">
        <v>0</v>
      </c>
      <c r="P11" s="267"/>
      <c r="Q11" s="267"/>
      <c r="R11" s="247">
        <v>0</v>
      </c>
      <c r="Y11" s="1"/>
      <c r="Z11" s="241" t="s">
        <v>290</v>
      </c>
      <c r="AA11" s="242">
        <v>0</v>
      </c>
      <c r="AB11" s="267"/>
      <c r="AC11" s="267"/>
      <c r="AD11" s="247">
        <v>0</v>
      </c>
      <c r="AK11" s="1"/>
      <c r="AL11" s="241" t="s">
        <v>287</v>
      </c>
      <c r="AM11" s="242">
        <v>0</v>
      </c>
      <c r="AN11" s="267"/>
      <c r="AO11" s="267"/>
      <c r="AP11" s="247">
        <v>0</v>
      </c>
      <c r="AW11" s="1"/>
      <c r="AX11" s="241" t="s">
        <v>284</v>
      </c>
      <c r="AY11" s="242">
        <v>0</v>
      </c>
      <c r="AZ11" s="267"/>
      <c r="BA11" s="267"/>
      <c r="BB11" s="247">
        <v>0</v>
      </c>
      <c r="BI11" s="1"/>
      <c r="BJ11" s="241" t="s">
        <v>279</v>
      </c>
      <c r="BK11" s="242">
        <v>0</v>
      </c>
      <c r="BL11" s="267"/>
      <c r="BM11" s="267"/>
      <c r="BN11" s="247">
        <v>0</v>
      </c>
    </row>
    <row r="12" spans="1:66" x14ac:dyDescent="0.2">
      <c r="A12" s="239">
        <v>41798</v>
      </c>
      <c r="B12" s="229" t="s">
        <v>291</v>
      </c>
      <c r="C12" s="240">
        <v>0</v>
      </c>
      <c r="D12" s="266"/>
      <c r="E12" s="266"/>
      <c r="F12" s="258">
        <v>0</v>
      </c>
      <c r="H12" s="14"/>
      <c r="I12" s="14"/>
      <c r="J12" s="14"/>
      <c r="M12" s="239">
        <v>41798</v>
      </c>
      <c r="N12" s="229" t="s">
        <v>275</v>
      </c>
      <c r="O12" s="240">
        <v>0</v>
      </c>
      <c r="P12" s="266"/>
      <c r="Q12" s="266"/>
      <c r="R12" s="258">
        <v>0</v>
      </c>
      <c r="Y12" s="239">
        <v>41798</v>
      </c>
      <c r="Z12" s="229" t="s">
        <v>288</v>
      </c>
      <c r="AA12" s="240">
        <v>0</v>
      </c>
      <c r="AB12" s="266"/>
      <c r="AC12" s="266"/>
      <c r="AD12" s="258">
        <v>0</v>
      </c>
      <c r="AK12" s="239">
        <v>41798</v>
      </c>
      <c r="AL12" s="229" t="s">
        <v>285</v>
      </c>
      <c r="AM12" s="240">
        <v>0</v>
      </c>
      <c r="AN12" s="266"/>
      <c r="AO12" s="266"/>
      <c r="AP12" s="258">
        <v>0</v>
      </c>
      <c r="AW12" s="239">
        <v>41798</v>
      </c>
      <c r="AX12" s="229" t="s">
        <v>282</v>
      </c>
      <c r="AY12" s="240">
        <v>0</v>
      </c>
      <c r="AZ12" s="266"/>
      <c r="BA12" s="266"/>
      <c r="BB12" s="258">
        <v>0</v>
      </c>
      <c r="BI12" s="1"/>
      <c r="BJ12" s="241" t="s">
        <v>280</v>
      </c>
      <c r="BK12" s="242">
        <v>0</v>
      </c>
      <c r="BL12" s="267"/>
      <c r="BM12" s="267"/>
      <c r="BN12" s="247">
        <v>0</v>
      </c>
    </row>
    <row r="13" spans="1:66" x14ac:dyDescent="0.2">
      <c r="A13" s="1"/>
      <c r="B13" s="241" t="s">
        <v>292</v>
      </c>
      <c r="C13" s="242">
        <v>0</v>
      </c>
      <c r="D13" s="267"/>
      <c r="E13" s="267"/>
      <c r="F13" s="247">
        <v>0</v>
      </c>
      <c r="H13" s="14"/>
      <c r="I13" s="14"/>
      <c r="J13" s="14"/>
      <c r="M13" s="1"/>
      <c r="N13" s="241" t="s">
        <v>276</v>
      </c>
      <c r="O13" s="242">
        <v>0</v>
      </c>
      <c r="P13" s="267"/>
      <c r="Q13" s="267"/>
      <c r="R13" s="247">
        <v>0</v>
      </c>
      <c r="Y13" s="1"/>
      <c r="Z13" s="241" t="s">
        <v>289</v>
      </c>
      <c r="AA13" s="242">
        <v>0</v>
      </c>
      <c r="AB13" s="267"/>
      <c r="AC13" s="267"/>
      <c r="AD13" s="247">
        <v>0</v>
      </c>
      <c r="AK13" s="1"/>
      <c r="AL13" s="241" t="s">
        <v>286</v>
      </c>
      <c r="AM13" s="242">
        <v>0</v>
      </c>
      <c r="AN13" s="267"/>
      <c r="AO13" s="267"/>
      <c r="AP13" s="247">
        <v>0</v>
      </c>
      <c r="AW13" s="1"/>
      <c r="AX13" s="241" t="s">
        <v>283</v>
      </c>
      <c r="AY13" s="242">
        <v>0</v>
      </c>
      <c r="AZ13" s="267"/>
      <c r="BA13" s="267"/>
      <c r="BB13" s="247">
        <v>0</v>
      </c>
      <c r="BI13" s="1"/>
      <c r="BJ13" s="241" t="s">
        <v>281</v>
      </c>
      <c r="BK13" s="242">
        <v>0</v>
      </c>
      <c r="BL13" s="267"/>
      <c r="BM13" s="267"/>
      <c r="BN13" s="247">
        <v>0</v>
      </c>
    </row>
    <row r="14" spans="1:66" x14ac:dyDescent="0.2">
      <c r="A14" s="1"/>
      <c r="B14" s="241" t="s">
        <v>293</v>
      </c>
      <c r="C14" s="242">
        <v>0</v>
      </c>
      <c r="D14" s="267"/>
      <c r="E14" s="267"/>
      <c r="F14" s="247">
        <v>0</v>
      </c>
      <c r="H14" s="14"/>
      <c r="I14" s="14"/>
      <c r="J14" s="14"/>
      <c r="M14" s="1"/>
      <c r="N14" s="241" t="s">
        <v>277</v>
      </c>
      <c r="O14" s="242">
        <v>0</v>
      </c>
      <c r="P14" s="267"/>
      <c r="Q14" s="267"/>
      <c r="R14" s="247">
        <v>0</v>
      </c>
      <c r="Y14" s="1"/>
      <c r="Z14" s="241" t="s">
        <v>290</v>
      </c>
      <c r="AA14" s="242">
        <v>0</v>
      </c>
      <c r="AB14" s="267"/>
      <c r="AC14" s="267"/>
      <c r="AD14" s="247">
        <v>0</v>
      </c>
      <c r="AK14" s="1"/>
      <c r="AL14" s="241" t="s">
        <v>287</v>
      </c>
      <c r="AM14" s="242">
        <v>0</v>
      </c>
      <c r="AN14" s="267"/>
      <c r="AO14" s="267"/>
      <c r="AP14" s="247">
        <v>0</v>
      </c>
      <c r="AW14" s="1"/>
      <c r="AX14" s="241" t="s">
        <v>284</v>
      </c>
      <c r="AY14" s="242">
        <v>0</v>
      </c>
      <c r="AZ14" s="267"/>
      <c r="BA14" s="267"/>
      <c r="BB14" s="247">
        <v>0</v>
      </c>
      <c r="BI14" s="239">
        <v>41798</v>
      </c>
      <c r="BJ14" s="229" t="s">
        <v>278</v>
      </c>
      <c r="BK14" s="240">
        <v>0</v>
      </c>
      <c r="BL14" s="266"/>
      <c r="BM14" s="266"/>
      <c r="BN14" s="258">
        <v>0</v>
      </c>
    </row>
    <row r="15" spans="1:66" x14ac:dyDescent="0.2">
      <c r="A15" s="239">
        <v>41799</v>
      </c>
      <c r="B15" s="229" t="s">
        <v>291</v>
      </c>
      <c r="C15" s="240">
        <v>0</v>
      </c>
      <c r="D15" s="266"/>
      <c r="E15" s="266">
        <v>0</v>
      </c>
      <c r="F15" s="258">
        <v>0</v>
      </c>
      <c r="H15" s="14"/>
      <c r="I15" s="14"/>
      <c r="J15" s="14"/>
      <c r="M15" s="239">
        <v>41799</v>
      </c>
      <c r="N15" s="229" t="s">
        <v>275</v>
      </c>
      <c r="O15" s="240">
        <v>0</v>
      </c>
      <c r="P15" s="266"/>
      <c r="Q15" s="266">
        <v>0</v>
      </c>
      <c r="R15" s="258">
        <v>0</v>
      </c>
      <c r="Y15" s="239">
        <v>41799</v>
      </c>
      <c r="Z15" s="229" t="s">
        <v>288</v>
      </c>
      <c r="AA15" s="240">
        <v>0</v>
      </c>
      <c r="AB15" s="266"/>
      <c r="AC15" s="266">
        <v>0</v>
      </c>
      <c r="AD15" s="258">
        <v>0</v>
      </c>
      <c r="AK15" s="239">
        <v>41799</v>
      </c>
      <c r="AL15" s="229" t="s">
        <v>285</v>
      </c>
      <c r="AM15" s="240">
        <v>0</v>
      </c>
      <c r="AN15" s="266"/>
      <c r="AO15" s="266">
        <v>0</v>
      </c>
      <c r="AP15" s="258">
        <v>0</v>
      </c>
      <c r="AW15" s="239">
        <v>41799</v>
      </c>
      <c r="AX15" s="229" t="s">
        <v>282</v>
      </c>
      <c r="AY15" s="240">
        <v>0</v>
      </c>
      <c r="AZ15" s="266"/>
      <c r="BA15" s="266">
        <v>0</v>
      </c>
      <c r="BB15" s="258">
        <v>0</v>
      </c>
      <c r="BI15" s="1"/>
      <c r="BJ15" s="241" t="s">
        <v>279</v>
      </c>
      <c r="BK15" s="242">
        <v>0</v>
      </c>
      <c r="BL15" s="267"/>
      <c r="BM15" s="267"/>
      <c r="BN15" s="247">
        <v>0</v>
      </c>
    </row>
    <row r="16" spans="1:66" x14ac:dyDescent="0.2">
      <c r="A16" s="1"/>
      <c r="B16" s="241" t="s">
        <v>292</v>
      </c>
      <c r="C16" s="242">
        <v>0</v>
      </c>
      <c r="D16" s="267"/>
      <c r="E16" s="267">
        <v>0</v>
      </c>
      <c r="F16" s="247">
        <v>0</v>
      </c>
      <c r="H16" s="14"/>
      <c r="I16" s="14"/>
      <c r="J16" s="14"/>
      <c r="M16" s="1"/>
      <c r="N16" s="241" t="s">
        <v>276</v>
      </c>
      <c r="O16" s="242">
        <v>0</v>
      </c>
      <c r="P16" s="267"/>
      <c r="Q16" s="267">
        <v>0</v>
      </c>
      <c r="R16" s="247">
        <v>0</v>
      </c>
      <c r="Y16" s="1"/>
      <c r="Z16" s="241" t="s">
        <v>289</v>
      </c>
      <c r="AA16" s="242">
        <v>0</v>
      </c>
      <c r="AB16" s="267"/>
      <c r="AC16" s="267">
        <v>0</v>
      </c>
      <c r="AD16" s="247">
        <v>0</v>
      </c>
      <c r="AK16" s="1"/>
      <c r="AL16" s="241" t="s">
        <v>286</v>
      </c>
      <c r="AM16" s="242">
        <v>0</v>
      </c>
      <c r="AN16" s="267"/>
      <c r="AO16" s="267">
        <v>0</v>
      </c>
      <c r="AP16" s="247">
        <v>0</v>
      </c>
      <c r="AW16" s="1"/>
      <c r="AX16" s="241" t="s">
        <v>283</v>
      </c>
      <c r="AY16" s="242">
        <v>0</v>
      </c>
      <c r="AZ16" s="267"/>
      <c r="BA16" s="267">
        <v>0</v>
      </c>
      <c r="BB16" s="247">
        <v>0</v>
      </c>
      <c r="BI16" s="1"/>
      <c r="BJ16" s="241" t="s">
        <v>280</v>
      </c>
      <c r="BK16" s="242">
        <v>0</v>
      </c>
      <c r="BL16" s="267"/>
      <c r="BM16" s="267"/>
      <c r="BN16" s="247">
        <v>0</v>
      </c>
    </row>
    <row r="17" spans="1:66" x14ac:dyDescent="0.2">
      <c r="A17" s="1"/>
      <c r="B17" s="241" t="s">
        <v>293</v>
      </c>
      <c r="C17" s="242">
        <v>0</v>
      </c>
      <c r="D17" s="267"/>
      <c r="E17" s="267">
        <v>0</v>
      </c>
      <c r="F17" s="247">
        <v>0</v>
      </c>
      <c r="H17" s="14"/>
      <c r="I17" s="14"/>
      <c r="J17" s="14"/>
      <c r="M17" s="1"/>
      <c r="N17" s="241" t="s">
        <v>277</v>
      </c>
      <c r="O17" s="242">
        <v>0</v>
      </c>
      <c r="P17" s="267"/>
      <c r="Q17" s="267">
        <v>0</v>
      </c>
      <c r="R17" s="247">
        <v>0</v>
      </c>
      <c r="Y17" s="1"/>
      <c r="Z17" s="241" t="s">
        <v>290</v>
      </c>
      <c r="AA17" s="242">
        <v>0</v>
      </c>
      <c r="AB17" s="267"/>
      <c r="AC17" s="267">
        <v>0</v>
      </c>
      <c r="AD17" s="247">
        <v>0</v>
      </c>
      <c r="AK17" s="1"/>
      <c r="AL17" s="241" t="s">
        <v>287</v>
      </c>
      <c r="AM17" s="242">
        <v>0</v>
      </c>
      <c r="AN17" s="267"/>
      <c r="AO17" s="267">
        <v>0</v>
      </c>
      <c r="AP17" s="247">
        <v>0</v>
      </c>
      <c r="AW17" s="1"/>
      <c r="AX17" s="241" t="s">
        <v>284</v>
      </c>
      <c r="AY17" s="242">
        <v>0</v>
      </c>
      <c r="AZ17" s="267"/>
      <c r="BA17" s="267">
        <v>0</v>
      </c>
      <c r="BB17" s="247">
        <v>0</v>
      </c>
      <c r="BI17" s="1"/>
      <c r="BJ17" s="241" t="s">
        <v>281</v>
      </c>
      <c r="BK17" s="242">
        <v>0</v>
      </c>
      <c r="BL17" s="267"/>
      <c r="BM17" s="267"/>
      <c r="BN17" s="247">
        <v>0</v>
      </c>
    </row>
    <row r="18" spans="1:66" x14ac:dyDescent="0.2">
      <c r="A18" s="239">
        <v>41800</v>
      </c>
      <c r="B18" s="229" t="s">
        <v>291</v>
      </c>
      <c r="C18" s="240">
        <v>0</v>
      </c>
      <c r="D18" s="266"/>
      <c r="E18" s="266">
        <v>0</v>
      </c>
      <c r="F18" s="258">
        <v>0</v>
      </c>
      <c r="H18" s="14"/>
      <c r="I18" s="14"/>
      <c r="J18" s="14"/>
      <c r="M18" s="239">
        <v>41800</v>
      </c>
      <c r="N18" s="229" t="s">
        <v>275</v>
      </c>
      <c r="O18" s="240">
        <v>0</v>
      </c>
      <c r="P18" s="266"/>
      <c r="Q18" s="266">
        <v>0</v>
      </c>
      <c r="R18" s="258">
        <v>0</v>
      </c>
      <c r="Y18" s="239">
        <v>41800</v>
      </c>
      <c r="Z18" s="229" t="s">
        <v>288</v>
      </c>
      <c r="AA18" s="240">
        <v>0</v>
      </c>
      <c r="AB18" s="266"/>
      <c r="AC18" s="266">
        <v>0</v>
      </c>
      <c r="AD18" s="258">
        <v>0</v>
      </c>
      <c r="AK18" s="239">
        <v>41800</v>
      </c>
      <c r="AL18" s="229" t="s">
        <v>285</v>
      </c>
      <c r="AM18" s="240">
        <v>0</v>
      </c>
      <c r="AN18" s="266"/>
      <c r="AO18" s="266">
        <v>0</v>
      </c>
      <c r="AP18" s="258">
        <v>0</v>
      </c>
      <c r="AW18" s="239">
        <v>41800</v>
      </c>
      <c r="AX18" s="229" t="s">
        <v>282</v>
      </c>
      <c r="AY18" s="240">
        <v>0</v>
      </c>
      <c r="AZ18" s="266"/>
      <c r="BA18" s="266">
        <v>0</v>
      </c>
      <c r="BB18" s="258">
        <v>0</v>
      </c>
      <c r="BI18" s="239">
        <v>41799</v>
      </c>
      <c r="BJ18" s="229" t="s">
        <v>278</v>
      </c>
      <c r="BK18" s="240">
        <v>0</v>
      </c>
      <c r="BL18" s="266"/>
      <c r="BM18" s="266">
        <v>0</v>
      </c>
      <c r="BN18" s="258">
        <v>0</v>
      </c>
    </row>
    <row r="19" spans="1:66" x14ac:dyDescent="0.2">
      <c r="A19" s="1"/>
      <c r="B19" s="241" t="s">
        <v>292</v>
      </c>
      <c r="C19" s="242">
        <v>0</v>
      </c>
      <c r="D19" s="267"/>
      <c r="E19" s="267">
        <v>0</v>
      </c>
      <c r="F19" s="247">
        <v>0</v>
      </c>
      <c r="H19" s="14"/>
      <c r="I19" s="14"/>
      <c r="J19" s="14"/>
      <c r="M19" s="1"/>
      <c r="N19" s="241" t="s">
        <v>276</v>
      </c>
      <c r="O19" s="242">
        <v>0</v>
      </c>
      <c r="P19" s="267"/>
      <c r="Q19" s="267">
        <v>0</v>
      </c>
      <c r="R19" s="247">
        <v>0</v>
      </c>
      <c r="Y19" s="1"/>
      <c r="Z19" s="241" t="s">
        <v>289</v>
      </c>
      <c r="AA19" s="242">
        <v>0</v>
      </c>
      <c r="AB19" s="267"/>
      <c r="AC19" s="267">
        <v>0</v>
      </c>
      <c r="AD19" s="247">
        <v>0</v>
      </c>
      <c r="AK19" s="1"/>
      <c r="AL19" s="241" t="s">
        <v>286</v>
      </c>
      <c r="AM19" s="242">
        <v>0</v>
      </c>
      <c r="AN19" s="267"/>
      <c r="AO19" s="267">
        <v>0</v>
      </c>
      <c r="AP19" s="247">
        <v>0</v>
      </c>
      <c r="AW19" s="1"/>
      <c r="AX19" s="241" t="s">
        <v>283</v>
      </c>
      <c r="AY19" s="242">
        <v>0</v>
      </c>
      <c r="AZ19" s="267"/>
      <c r="BA19" s="267">
        <v>0</v>
      </c>
      <c r="BB19" s="247">
        <v>0</v>
      </c>
      <c r="BI19" s="1"/>
      <c r="BJ19" s="241" t="s">
        <v>279</v>
      </c>
      <c r="BK19" s="242">
        <v>0</v>
      </c>
      <c r="BL19" s="267"/>
      <c r="BM19" s="267">
        <v>0</v>
      </c>
      <c r="BN19" s="247">
        <v>0</v>
      </c>
    </row>
    <row r="20" spans="1:66" x14ac:dyDescent="0.2">
      <c r="A20" s="1"/>
      <c r="B20" s="241" t="s">
        <v>293</v>
      </c>
      <c r="C20" s="242">
        <v>0</v>
      </c>
      <c r="D20" s="267"/>
      <c r="E20" s="267">
        <v>0</v>
      </c>
      <c r="F20" s="247">
        <v>0</v>
      </c>
      <c r="H20" s="14"/>
      <c r="I20" s="14"/>
      <c r="J20" s="14"/>
      <c r="M20" s="1"/>
      <c r="N20" s="241" t="s">
        <v>277</v>
      </c>
      <c r="O20" s="242">
        <v>0</v>
      </c>
      <c r="P20" s="267"/>
      <c r="Q20" s="267">
        <v>0</v>
      </c>
      <c r="R20" s="247">
        <v>0</v>
      </c>
      <c r="Y20" s="1"/>
      <c r="Z20" s="241" t="s">
        <v>290</v>
      </c>
      <c r="AA20" s="242">
        <v>0</v>
      </c>
      <c r="AB20" s="267"/>
      <c r="AC20" s="267">
        <v>0</v>
      </c>
      <c r="AD20" s="247">
        <v>0</v>
      </c>
      <c r="AK20" s="1"/>
      <c r="AL20" s="241" t="s">
        <v>287</v>
      </c>
      <c r="AM20" s="242">
        <v>0</v>
      </c>
      <c r="AN20" s="267"/>
      <c r="AO20" s="267">
        <v>0</v>
      </c>
      <c r="AP20" s="247">
        <v>0</v>
      </c>
      <c r="AW20" s="1"/>
      <c r="AX20" s="241" t="s">
        <v>284</v>
      </c>
      <c r="AY20" s="242">
        <v>0</v>
      </c>
      <c r="AZ20" s="267"/>
      <c r="BA20" s="267">
        <v>0</v>
      </c>
      <c r="BB20" s="247">
        <v>0</v>
      </c>
      <c r="BI20" s="1"/>
      <c r="BJ20" s="241" t="s">
        <v>280</v>
      </c>
      <c r="BK20" s="242">
        <v>0</v>
      </c>
      <c r="BL20" s="267"/>
      <c r="BM20" s="267">
        <v>0</v>
      </c>
      <c r="BN20" s="247">
        <v>0</v>
      </c>
    </row>
    <row r="21" spans="1:66" x14ac:dyDescent="0.2">
      <c r="A21" s="239">
        <v>41801</v>
      </c>
      <c r="B21" s="229" t="s">
        <v>291</v>
      </c>
      <c r="C21" s="240">
        <v>0</v>
      </c>
      <c r="D21" s="266"/>
      <c r="E21" s="266">
        <v>2</v>
      </c>
      <c r="F21" s="258">
        <v>2</v>
      </c>
      <c r="H21" s="14"/>
      <c r="I21" s="14"/>
      <c r="J21" s="14"/>
      <c r="M21" s="239">
        <v>41801</v>
      </c>
      <c r="N21" s="229" t="s">
        <v>275</v>
      </c>
      <c r="O21" s="240">
        <v>0</v>
      </c>
      <c r="P21" s="266"/>
      <c r="Q21" s="266">
        <v>0</v>
      </c>
      <c r="R21" s="258">
        <v>0</v>
      </c>
      <c r="Y21" s="239">
        <v>41801</v>
      </c>
      <c r="Z21" s="229" t="s">
        <v>288</v>
      </c>
      <c r="AA21" s="240">
        <v>0</v>
      </c>
      <c r="AB21" s="266"/>
      <c r="AC21" s="266">
        <v>0</v>
      </c>
      <c r="AD21" s="258">
        <v>0</v>
      </c>
      <c r="AK21" s="239">
        <v>41801</v>
      </c>
      <c r="AL21" s="229" t="s">
        <v>285</v>
      </c>
      <c r="AM21" s="240">
        <v>0</v>
      </c>
      <c r="AN21" s="266"/>
      <c r="AO21" s="266">
        <v>0</v>
      </c>
      <c r="AP21" s="258">
        <v>0</v>
      </c>
      <c r="AW21" s="239">
        <v>41801</v>
      </c>
      <c r="AX21" s="229" t="s">
        <v>282</v>
      </c>
      <c r="AY21" s="240">
        <v>0</v>
      </c>
      <c r="AZ21" s="266"/>
      <c r="BA21" s="266">
        <v>0</v>
      </c>
      <c r="BB21" s="258">
        <v>0</v>
      </c>
      <c r="BI21" s="1"/>
      <c r="BJ21" s="241" t="s">
        <v>281</v>
      </c>
      <c r="BK21" s="242">
        <v>0</v>
      </c>
      <c r="BL21" s="267"/>
      <c r="BM21" s="267">
        <v>0</v>
      </c>
      <c r="BN21" s="247">
        <v>0</v>
      </c>
    </row>
    <row r="22" spans="1:66" x14ac:dyDescent="0.2">
      <c r="A22" s="1"/>
      <c r="B22" s="241" t="s">
        <v>292</v>
      </c>
      <c r="C22" s="242">
        <v>0</v>
      </c>
      <c r="D22" s="267"/>
      <c r="E22" s="267">
        <v>0</v>
      </c>
      <c r="F22" s="247">
        <v>0</v>
      </c>
      <c r="H22" s="14"/>
      <c r="I22" s="14"/>
      <c r="J22" s="14"/>
      <c r="M22" s="1"/>
      <c r="N22" s="241" t="s">
        <v>276</v>
      </c>
      <c r="O22" s="242">
        <v>0</v>
      </c>
      <c r="P22" s="267"/>
      <c r="Q22" s="267">
        <v>0</v>
      </c>
      <c r="R22" s="247">
        <v>0</v>
      </c>
      <c r="Y22" s="1"/>
      <c r="Z22" s="241" t="s">
        <v>289</v>
      </c>
      <c r="AA22" s="242">
        <v>0</v>
      </c>
      <c r="AB22" s="267"/>
      <c r="AC22" s="267">
        <v>0</v>
      </c>
      <c r="AD22" s="247">
        <v>0</v>
      </c>
      <c r="AK22" s="1"/>
      <c r="AL22" s="241" t="s">
        <v>286</v>
      </c>
      <c r="AM22" s="242">
        <v>0</v>
      </c>
      <c r="AN22" s="267"/>
      <c r="AO22" s="267">
        <v>0</v>
      </c>
      <c r="AP22" s="247">
        <v>0</v>
      </c>
      <c r="AW22" s="1"/>
      <c r="AX22" s="241" t="s">
        <v>283</v>
      </c>
      <c r="AY22" s="242">
        <v>0</v>
      </c>
      <c r="AZ22" s="267"/>
      <c r="BA22" s="267">
        <v>0</v>
      </c>
      <c r="BB22" s="247">
        <v>0</v>
      </c>
      <c r="BI22" s="239">
        <v>41800</v>
      </c>
      <c r="BJ22" s="229" t="s">
        <v>278</v>
      </c>
      <c r="BK22" s="240">
        <v>0</v>
      </c>
      <c r="BL22" s="266"/>
      <c r="BM22" s="266">
        <v>0</v>
      </c>
      <c r="BN22" s="258">
        <v>0</v>
      </c>
    </row>
    <row r="23" spans="1:66" x14ac:dyDescent="0.2">
      <c r="A23" s="1"/>
      <c r="B23" s="241" t="s">
        <v>293</v>
      </c>
      <c r="C23" s="242">
        <v>0</v>
      </c>
      <c r="D23" s="267"/>
      <c r="E23" s="267">
        <v>0</v>
      </c>
      <c r="F23" s="247">
        <v>0</v>
      </c>
      <c r="H23" s="14"/>
      <c r="I23" s="14"/>
      <c r="J23" s="14"/>
      <c r="M23" s="1"/>
      <c r="N23" s="241" t="s">
        <v>277</v>
      </c>
      <c r="O23" s="242">
        <v>0</v>
      </c>
      <c r="P23" s="267"/>
      <c r="Q23" s="267">
        <v>0</v>
      </c>
      <c r="R23" s="247">
        <v>0</v>
      </c>
      <c r="Y23" s="1"/>
      <c r="Z23" s="241" t="s">
        <v>290</v>
      </c>
      <c r="AA23" s="242">
        <v>0</v>
      </c>
      <c r="AB23" s="267"/>
      <c r="AC23" s="267">
        <v>0</v>
      </c>
      <c r="AD23" s="247">
        <v>0</v>
      </c>
      <c r="AK23" s="1"/>
      <c r="AL23" s="241" t="s">
        <v>287</v>
      </c>
      <c r="AM23" s="242">
        <v>0</v>
      </c>
      <c r="AN23" s="267"/>
      <c r="AO23" s="267">
        <v>0</v>
      </c>
      <c r="AP23" s="247">
        <v>0</v>
      </c>
      <c r="AW23" s="1"/>
      <c r="AX23" s="241" t="s">
        <v>284</v>
      </c>
      <c r="AY23" s="242">
        <v>0</v>
      </c>
      <c r="AZ23" s="267"/>
      <c r="BA23" s="267">
        <v>0</v>
      </c>
      <c r="BB23" s="247">
        <v>0</v>
      </c>
      <c r="BI23" s="1"/>
      <c r="BJ23" s="241" t="s">
        <v>279</v>
      </c>
      <c r="BK23" s="242">
        <v>0</v>
      </c>
      <c r="BL23" s="267"/>
      <c r="BM23" s="267">
        <v>0</v>
      </c>
      <c r="BN23" s="247">
        <v>0</v>
      </c>
    </row>
    <row r="24" spans="1:66" x14ac:dyDescent="0.2">
      <c r="A24" s="239">
        <v>41802</v>
      </c>
      <c r="B24" s="229" t="s">
        <v>291</v>
      </c>
      <c r="C24" s="240">
        <v>0</v>
      </c>
      <c r="D24" s="266">
        <v>2</v>
      </c>
      <c r="E24" s="266">
        <v>0</v>
      </c>
      <c r="F24" s="258">
        <v>2</v>
      </c>
      <c r="H24" s="14"/>
      <c r="I24" s="14"/>
      <c r="J24" s="14"/>
      <c r="M24" s="239">
        <v>41802</v>
      </c>
      <c r="N24" s="229" t="s">
        <v>275</v>
      </c>
      <c r="O24" s="240">
        <v>0</v>
      </c>
      <c r="P24" s="266">
        <v>0</v>
      </c>
      <c r="Q24" s="266">
        <v>0</v>
      </c>
      <c r="R24" s="258">
        <v>0</v>
      </c>
      <c r="Y24" s="239">
        <v>41802</v>
      </c>
      <c r="Z24" s="229" t="s">
        <v>288</v>
      </c>
      <c r="AA24" s="240">
        <v>0</v>
      </c>
      <c r="AB24" s="266">
        <v>0</v>
      </c>
      <c r="AC24" s="266">
        <v>0</v>
      </c>
      <c r="AD24" s="258">
        <v>0</v>
      </c>
      <c r="AK24" s="239">
        <v>41802</v>
      </c>
      <c r="AL24" s="229" t="s">
        <v>285</v>
      </c>
      <c r="AM24" s="240">
        <v>0</v>
      </c>
      <c r="AN24" s="266">
        <v>0</v>
      </c>
      <c r="AO24" s="266">
        <v>0</v>
      </c>
      <c r="AP24" s="258">
        <v>0</v>
      </c>
      <c r="AW24" s="239">
        <v>41802</v>
      </c>
      <c r="AX24" s="229" t="s">
        <v>282</v>
      </c>
      <c r="AY24" s="240">
        <v>0</v>
      </c>
      <c r="AZ24" s="266">
        <v>0</v>
      </c>
      <c r="BA24" s="266">
        <v>0</v>
      </c>
      <c r="BB24" s="258">
        <v>0</v>
      </c>
      <c r="BI24" s="1"/>
      <c r="BJ24" s="241" t="s">
        <v>280</v>
      </c>
      <c r="BK24" s="242">
        <v>0</v>
      </c>
      <c r="BL24" s="267"/>
      <c r="BM24" s="267">
        <v>0</v>
      </c>
      <c r="BN24" s="247">
        <v>0</v>
      </c>
    </row>
    <row r="25" spans="1:66" x14ac:dyDescent="0.2">
      <c r="A25" s="1"/>
      <c r="B25" s="241" t="s">
        <v>292</v>
      </c>
      <c r="C25" s="242">
        <v>0</v>
      </c>
      <c r="D25" s="267">
        <v>0</v>
      </c>
      <c r="E25" s="267">
        <v>0</v>
      </c>
      <c r="F25" s="247">
        <v>0</v>
      </c>
      <c r="H25" s="14"/>
      <c r="I25" s="14"/>
      <c r="J25" s="14"/>
      <c r="M25" s="1"/>
      <c r="N25" s="241" t="s">
        <v>276</v>
      </c>
      <c r="O25" s="242">
        <v>0</v>
      </c>
      <c r="P25" s="267">
        <v>0</v>
      </c>
      <c r="Q25" s="267">
        <v>0</v>
      </c>
      <c r="R25" s="247">
        <v>0</v>
      </c>
      <c r="Y25" s="1"/>
      <c r="Z25" s="241" t="s">
        <v>289</v>
      </c>
      <c r="AA25" s="242">
        <v>0</v>
      </c>
      <c r="AB25" s="267">
        <v>0</v>
      </c>
      <c r="AC25" s="267">
        <v>0</v>
      </c>
      <c r="AD25" s="247">
        <v>0</v>
      </c>
      <c r="AK25" s="1"/>
      <c r="AL25" s="241" t="s">
        <v>286</v>
      </c>
      <c r="AM25" s="242">
        <v>0</v>
      </c>
      <c r="AN25" s="267">
        <v>0</v>
      </c>
      <c r="AO25" s="267">
        <v>0</v>
      </c>
      <c r="AP25" s="247">
        <v>0</v>
      </c>
      <c r="AW25" s="1"/>
      <c r="AX25" s="241" t="s">
        <v>283</v>
      </c>
      <c r="AY25" s="242">
        <v>0</v>
      </c>
      <c r="AZ25" s="267">
        <v>0</v>
      </c>
      <c r="BA25" s="267">
        <v>0</v>
      </c>
      <c r="BB25" s="247">
        <v>0</v>
      </c>
      <c r="BI25" s="1"/>
      <c r="BJ25" s="241" t="s">
        <v>281</v>
      </c>
      <c r="BK25" s="242">
        <v>0</v>
      </c>
      <c r="BL25" s="267"/>
      <c r="BM25" s="267">
        <v>0</v>
      </c>
      <c r="BN25" s="247">
        <v>0</v>
      </c>
    </row>
    <row r="26" spans="1:66" x14ac:dyDescent="0.2">
      <c r="A26" s="1"/>
      <c r="B26" s="241" t="s">
        <v>293</v>
      </c>
      <c r="C26" s="242">
        <v>0</v>
      </c>
      <c r="D26" s="267">
        <v>0</v>
      </c>
      <c r="E26" s="267">
        <v>0</v>
      </c>
      <c r="F26" s="247">
        <v>0</v>
      </c>
      <c r="H26" s="14"/>
      <c r="I26" s="14"/>
      <c r="J26" s="14"/>
      <c r="M26" s="1"/>
      <c r="N26" s="241" t="s">
        <v>277</v>
      </c>
      <c r="O26" s="242">
        <v>0</v>
      </c>
      <c r="P26" s="267">
        <v>0</v>
      </c>
      <c r="Q26" s="267">
        <v>0</v>
      </c>
      <c r="R26" s="247">
        <v>0</v>
      </c>
      <c r="Y26" s="1"/>
      <c r="Z26" s="241" t="s">
        <v>290</v>
      </c>
      <c r="AA26" s="242">
        <v>0</v>
      </c>
      <c r="AB26" s="267">
        <v>0</v>
      </c>
      <c r="AC26" s="267">
        <v>0</v>
      </c>
      <c r="AD26" s="247">
        <v>0</v>
      </c>
      <c r="AK26" s="1"/>
      <c r="AL26" s="241" t="s">
        <v>287</v>
      </c>
      <c r="AM26" s="242">
        <v>0</v>
      </c>
      <c r="AN26" s="267">
        <v>0</v>
      </c>
      <c r="AO26" s="267">
        <v>0</v>
      </c>
      <c r="AP26" s="247">
        <v>0</v>
      </c>
      <c r="AW26" s="1"/>
      <c r="AX26" s="241" t="s">
        <v>284</v>
      </c>
      <c r="AY26" s="242">
        <v>0</v>
      </c>
      <c r="AZ26" s="267">
        <v>0</v>
      </c>
      <c r="BA26" s="267">
        <v>0</v>
      </c>
      <c r="BB26" s="247">
        <v>0</v>
      </c>
      <c r="BI26" s="239">
        <v>41801</v>
      </c>
      <c r="BJ26" s="229" t="s">
        <v>278</v>
      </c>
      <c r="BK26" s="240">
        <v>0</v>
      </c>
      <c r="BL26" s="266"/>
      <c r="BM26" s="266">
        <v>0</v>
      </c>
      <c r="BN26" s="258">
        <v>0</v>
      </c>
    </row>
    <row r="27" spans="1:66" x14ac:dyDescent="0.2">
      <c r="A27" s="239">
        <v>41803</v>
      </c>
      <c r="B27" s="229" t="s">
        <v>291</v>
      </c>
      <c r="C27" s="240">
        <v>1</v>
      </c>
      <c r="D27" s="266">
        <v>3</v>
      </c>
      <c r="E27" s="266">
        <v>1</v>
      </c>
      <c r="F27" s="258">
        <v>5</v>
      </c>
      <c r="H27" s="14"/>
      <c r="I27" s="14"/>
      <c r="J27" s="14"/>
      <c r="M27" s="239">
        <v>41803</v>
      </c>
      <c r="N27" s="229" t="s">
        <v>275</v>
      </c>
      <c r="O27" s="240">
        <v>0</v>
      </c>
      <c r="P27" s="266">
        <v>1</v>
      </c>
      <c r="Q27" s="266">
        <v>0</v>
      </c>
      <c r="R27" s="258">
        <v>1</v>
      </c>
      <c r="Y27" s="239">
        <v>41803</v>
      </c>
      <c r="Z27" s="229" t="s">
        <v>288</v>
      </c>
      <c r="AA27" s="240">
        <v>0</v>
      </c>
      <c r="AB27" s="266">
        <v>0</v>
      </c>
      <c r="AC27" s="266">
        <v>0</v>
      </c>
      <c r="AD27" s="258">
        <v>0</v>
      </c>
      <c r="AK27" s="239">
        <v>41803</v>
      </c>
      <c r="AL27" s="229" t="s">
        <v>285</v>
      </c>
      <c r="AM27" s="240">
        <v>0</v>
      </c>
      <c r="AN27" s="266">
        <v>0</v>
      </c>
      <c r="AO27" s="266">
        <v>0</v>
      </c>
      <c r="AP27" s="258">
        <v>0</v>
      </c>
      <c r="AW27" s="239">
        <v>41803</v>
      </c>
      <c r="AX27" s="229" t="s">
        <v>282</v>
      </c>
      <c r="AY27" s="240">
        <v>0</v>
      </c>
      <c r="AZ27" s="266">
        <v>0</v>
      </c>
      <c r="BA27" s="266">
        <v>0</v>
      </c>
      <c r="BB27" s="258">
        <v>0</v>
      </c>
      <c r="BI27" s="1"/>
      <c r="BJ27" s="241" t="s">
        <v>279</v>
      </c>
      <c r="BK27" s="242">
        <v>0</v>
      </c>
      <c r="BL27" s="267"/>
      <c r="BM27" s="267">
        <v>0</v>
      </c>
      <c r="BN27" s="247">
        <v>0</v>
      </c>
    </row>
    <row r="28" spans="1:66" x14ac:dyDescent="0.2">
      <c r="A28" s="1"/>
      <c r="B28" s="241" t="s">
        <v>292</v>
      </c>
      <c r="C28" s="242">
        <v>0</v>
      </c>
      <c r="D28" s="267">
        <v>0</v>
      </c>
      <c r="E28" s="267">
        <v>0</v>
      </c>
      <c r="F28" s="247">
        <v>0</v>
      </c>
      <c r="H28" s="14"/>
      <c r="I28" s="14"/>
      <c r="J28" s="14"/>
      <c r="M28" s="1"/>
      <c r="N28" s="241" t="s">
        <v>276</v>
      </c>
      <c r="O28" s="242">
        <v>0</v>
      </c>
      <c r="P28" s="267">
        <v>0</v>
      </c>
      <c r="Q28" s="267">
        <v>0</v>
      </c>
      <c r="R28" s="247">
        <v>0</v>
      </c>
      <c r="Y28" s="1"/>
      <c r="Z28" s="241" t="s">
        <v>289</v>
      </c>
      <c r="AA28" s="242">
        <v>0</v>
      </c>
      <c r="AB28" s="267">
        <v>0</v>
      </c>
      <c r="AC28" s="267">
        <v>0</v>
      </c>
      <c r="AD28" s="247">
        <v>0</v>
      </c>
      <c r="AK28" s="1"/>
      <c r="AL28" s="241" t="s">
        <v>286</v>
      </c>
      <c r="AM28" s="242">
        <v>0</v>
      </c>
      <c r="AN28" s="267">
        <v>0</v>
      </c>
      <c r="AO28" s="267">
        <v>0</v>
      </c>
      <c r="AP28" s="247">
        <v>0</v>
      </c>
      <c r="AW28" s="1"/>
      <c r="AX28" s="241" t="s">
        <v>283</v>
      </c>
      <c r="AY28" s="242">
        <v>0</v>
      </c>
      <c r="AZ28" s="267">
        <v>0</v>
      </c>
      <c r="BA28" s="267">
        <v>0</v>
      </c>
      <c r="BB28" s="247">
        <v>0</v>
      </c>
      <c r="BI28" s="1"/>
      <c r="BJ28" s="241" t="s">
        <v>280</v>
      </c>
      <c r="BK28" s="242">
        <v>0</v>
      </c>
      <c r="BL28" s="267"/>
      <c r="BM28" s="267">
        <v>0</v>
      </c>
      <c r="BN28" s="247">
        <v>0</v>
      </c>
    </row>
    <row r="29" spans="1:66" x14ac:dyDescent="0.2">
      <c r="A29" s="1"/>
      <c r="B29" s="241" t="s">
        <v>293</v>
      </c>
      <c r="C29" s="242">
        <v>0</v>
      </c>
      <c r="D29" s="267">
        <v>0</v>
      </c>
      <c r="E29" s="267">
        <v>0</v>
      </c>
      <c r="F29" s="247">
        <v>0</v>
      </c>
      <c r="H29" s="14"/>
      <c r="I29" s="14"/>
      <c r="J29" s="14"/>
      <c r="M29" s="1"/>
      <c r="N29" s="241" t="s">
        <v>277</v>
      </c>
      <c r="O29" s="242">
        <v>0</v>
      </c>
      <c r="P29" s="267">
        <v>0</v>
      </c>
      <c r="Q29" s="267">
        <v>0</v>
      </c>
      <c r="R29" s="247">
        <v>0</v>
      </c>
      <c r="Y29" s="1"/>
      <c r="Z29" s="241" t="s">
        <v>290</v>
      </c>
      <c r="AA29" s="242">
        <v>0</v>
      </c>
      <c r="AB29" s="267">
        <v>0</v>
      </c>
      <c r="AC29" s="267">
        <v>0</v>
      </c>
      <c r="AD29" s="247">
        <v>0</v>
      </c>
      <c r="AK29" s="1"/>
      <c r="AL29" s="241" t="s">
        <v>287</v>
      </c>
      <c r="AM29" s="242">
        <v>0</v>
      </c>
      <c r="AN29" s="267">
        <v>0</v>
      </c>
      <c r="AO29" s="267">
        <v>0</v>
      </c>
      <c r="AP29" s="247">
        <v>0</v>
      </c>
      <c r="AW29" s="1"/>
      <c r="AX29" s="241" t="s">
        <v>284</v>
      </c>
      <c r="AY29" s="242">
        <v>0</v>
      </c>
      <c r="AZ29" s="267">
        <v>0</v>
      </c>
      <c r="BA29" s="267">
        <v>0</v>
      </c>
      <c r="BB29" s="247">
        <v>0</v>
      </c>
      <c r="BI29" s="1"/>
      <c r="BJ29" s="241" t="s">
        <v>281</v>
      </c>
      <c r="BK29" s="242">
        <v>0</v>
      </c>
      <c r="BL29" s="267"/>
      <c r="BM29" s="267">
        <v>0</v>
      </c>
      <c r="BN29" s="247">
        <v>0</v>
      </c>
    </row>
    <row r="30" spans="1:66" x14ac:dyDescent="0.2">
      <c r="A30" s="239">
        <v>41804</v>
      </c>
      <c r="B30" s="229" t="s">
        <v>291</v>
      </c>
      <c r="C30" s="240">
        <v>1</v>
      </c>
      <c r="D30" s="266">
        <v>6</v>
      </c>
      <c r="E30" s="266">
        <v>3</v>
      </c>
      <c r="F30" s="258">
        <v>10</v>
      </c>
      <c r="H30" s="14"/>
      <c r="I30" s="14"/>
      <c r="J30" s="14"/>
      <c r="M30" s="239">
        <v>41804</v>
      </c>
      <c r="N30" s="229" t="s">
        <v>275</v>
      </c>
      <c r="O30" s="240">
        <v>0</v>
      </c>
      <c r="P30" s="266">
        <v>0</v>
      </c>
      <c r="Q30" s="266">
        <v>0</v>
      </c>
      <c r="R30" s="258">
        <v>0</v>
      </c>
      <c r="Y30" s="239">
        <v>41804</v>
      </c>
      <c r="Z30" s="229" t="s">
        <v>288</v>
      </c>
      <c r="AA30" s="240">
        <v>0</v>
      </c>
      <c r="AB30" s="266">
        <v>0</v>
      </c>
      <c r="AC30" s="266">
        <v>0</v>
      </c>
      <c r="AD30" s="258">
        <v>0</v>
      </c>
      <c r="AK30" s="239">
        <v>41804</v>
      </c>
      <c r="AL30" s="229" t="s">
        <v>285</v>
      </c>
      <c r="AM30" s="240">
        <v>0</v>
      </c>
      <c r="AN30" s="266">
        <v>0</v>
      </c>
      <c r="AO30" s="266">
        <v>0</v>
      </c>
      <c r="AP30" s="258">
        <v>0</v>
      </c>
      <c r="AW30" s="239">
        <v>41804</v>
      </c>
      <c r="AX30" s="229" t="s">
        <v>282</v>
      </c>
      <c r="AY30" s="240">
        <v>0</v>
      </c>
      <c r="AZ30" s="266">
        <v>0</v>
      </c>
      <c r="BA30" s="266">
        <v>0</v>
      </c>
      <c r="BB30" s="258">
        <v>0</v>
      </c>
      <c r="BI30" s="239">
        <v>41802</v>
      </c>
      <c r="BJ30" s="229" t="s">
        <v>278</v>
      </c>
      <c r="BK30" s="240">
        <v>0</v>
      </c>
      <c r="BL30" s="266">
        <v>0</v>
      </c>
      <c r="BM30" s="266">
        <v>0</v>
      </c>
      <c r="BN30" s="258">
        <v>0</v>
      </c>
    </row>
    <row r="31" spans="1:66" x14ac:dyDescent="0.2">
      <c r="A31" s="1"/>
      <c r="B31" s="241" t="s">
        <v>292</v>
      </c>
      <c r="C31" s="242">
        <v>1</v>
      </c>
      <c r="D31" s="267">
        <v>0</v>
      </c>
      <c r="E31" s="267">
        <v>0</v>
      </c>
      <c r="F31" s="247">
        <v>1</v>
      </c>
      <c r="H31" s="14"/>
      <c r="I31" s="14"/>
      <c r="J31" s="14"/>
      <c r="M31" s="1"/>
      <c r="N31" s="241" t="s">
        <v>276</v>
      </c>
      <c r="O31" s="242">
        <v>0</v>
      </c>
      <c r="P31" s="267">
        <v>0</v>
      </c>
      <c r="Q31" s="267">
        <v>0</v>
      </c>
      <c r="R31" s="247">
        <v>0</v>
      </c>
      <c r="Y31" s="1"/>
      <c r="Z31" s="241" t="s">
        <v>289</v>
      </c>
      <c r="AA31" s="242">
        <v>0</v>
      </c>
      <c r="AB31" s="267">
        <v>0</v>
      </c>
      <c r="AC31" s="267">
        <v>0</v>
      </c>
      <c r="AD31" s="247">
        <v>0</v>
      </c>
      <c r="AK31" s="1"/>
      <c r="AL31" s="241" t="s">
        <v>286</v>
      </c>
      <c r="AM31" s="242">
        <v>0</v>
      </c>
      <c r="AN31" s="267">
        <v>0</v>
      </c>
      <c r="AO31" s="267">
        <v>0</v>
      </c>
      <c r="AP31" s="247">
        <v>0</v>
      </c>
      <c r="AW31" s="1"/>
      <c r="AX31" s="241" t="s">
        <v>283</v>
      </c>
      <c r="AY31" s="242">
        <v>0</v>
      </c>
      <c r="AZ31" s="267">
        <v>0</v>
      </c>
      <c r="BA31" s="267">
        <v>0</v>
      </c>
      <c r="BB31" s="247">
        <v>0</v>
      </c>
      <c r="BI31" s="1"/>
      <c r="BJ31" s="241" t="s">
        <v>279</v>
      </c>
      <c r="BK31" s="242">
        <v>0</v>
      </c>
      <c r="BL31" s="267">
        <v>0</v>
      </c>
      <c r="BM31" s="267">
        <v>0</v>
      </c>
      <c r="BN31" s="247">
        <v>0</v>
      </c>
    </row>
    <row r="32" spans="1:66" x14ac:dyDescent="0.2">
      <c r="A32" s="1"/>
      <c r="B32" s="241" t="s">
        <v>293</v>
      </c>
      <c r="C32" s="242">
        <v>0</v>
      </c>
      <c r="D32" s="267">
        <v>0</v>
      </c>
      <c r="E32" s="267">
        <v>0</v>
      </c>
      <c r="F32" s="247">
        <v>0</v>
      </c>
      <c r="H32" s="14"/>
      <c r="I32" s="14"/>
      <c r="J32" s="14"/>
      <c r="M32" s="1"/>
      <c r="N32" s="241" t="s">
        <v>277</v>
      </c>
      <c r="O32" s="242">
        <v>0</v>
      </c>
      <c r="P32" s="267">
        <v>0</v>
      </c>
      <c r="Q32" s="267">
        <v>0</v>
      </c>
      <c r="R32" s="247">
        <v>0</v>
      </c>
      <c r="Y32" s="1"/>
      <c r="Z32" s="241" t="s">
        <v>290</v>
      </c>
      <c r="AA32" s="242">
        <v>0</v>
      </c>
      <c r="AB32" s="267">
        <v>0</v>
      </c>
      <c r="AC32" s="267">
        <v>0</v>
      </c>
      <c r="AD32" s="247">
        <v>0</v>
      </c>
      <c r="AK32" s="1"/>
      <c r="AL32" s="241" t="s">
        <v>287</v>
      </c>
      <c r="AM32" s="242">
        <v>0</v>
      </c>
      <c r="AN32" s="267">
        <v>0</v>
      </c>
      <c r="AO32" s="267">
        <v>0</v>
      </c>
      <c r="AP32" s="247">
        <v>0</v>
      </c>
      <c r="AW32" s="1"/>
      <c r="AX32" s="241" t="s">
        <v>284</v>
      </c>
      <c r="AY32" s="242">
        <v>0</v>
      </c>
      <c r="AZ32" s="267">
        <v>0</v>
      </c>
      <c r="BA32" s="267">
        <v>0</v>
      </c>
      <c r="BB32" s="247">
        <v>0</v>
      </c>
      <c r="BI32" s="1"/>
      <c r="BJ32" s="241" t="s">
        <v>280</v>
      </c>
      <c r="BK32" s="242">
        <v>0</v>
      </c>
      <c r="BL32" s="267">
        <v>0</v>
      </c>
      <c r="BM32" s="267">
        <v>0</v>
      </c>
      <c r="BN32" s="247">
        <v>0</v>
      </c>
    </row>
    <row r="33" spans="1:66" x14ac:dyDescent="0.2">
      <c r="A33" s="239">
        <v>41805</v>
      </c>
      <c r="B33" s="229" t="s">
        <v>291</v>
      </c>
      <c r="C33" s="240">
        <v>1</v>
      </c>
      <c r="D33" s="266">
        <v>2</v>
      </c>
      <c r="E33" s="266">
        <v>0</v>
      </c>
      <c r="F33" s="258">
        <v>3</v>
      </c>
      <c r="H33" s="14"/>
      <c r="I33" s="14"/>
      <c r="J33" s="14"/>
      <c r="M33" s="239">
        <v>41805</v>
      </c>
      <c r="N33" s="229" t="s">
        <v>275</v>
      </c>
      <c r="O33" s="240">
        <v>0</v>
      </c>
      <c r="P33" s="266">
        <v>0</v>
      </c>
      <c r="Q33" s="266">
        <v>0</v>
      </c>
      <c r="R33" s="258">
        <v>0</v>
      </c>
      <c r="Y33" s="239">
        <v>41805</v>
      </c>
      <c r="Z33" s="229" t="s">
        <v>288</v>
      </c>
      <c r="AA33" s="240">
        <v>0</v>
      </c>
      <c r="AB33" s="266">
        <v>0</v>
      </c>
      <c r="AC33" s="266">
        <v>0</v>
      </c>
      <c r="AD33" s="258">
        <v>0</v>
      </c>
      <c r="AK33" s="239">
        <v>41805</v>
      </c>
      <c r="AL33" s="229" t="s">
        <v>285</v>
      </c>
      <c r="AM33" s="240">
        <v>0</v>
      </c>
      <c r="AN33" s="266">
        <v>0</v>
      </c>
      <c r="AO33" s="266">
        <v>0</v>
      </c>
      <c r="AP33" s="258">
        <v>0</v>
      </c>
      <c r="AW33" s="239">
        <v>41805</v>
      </c>
      <c r="AX33" s="229" t="s">
        <v>282</v>
      </c>
      <c r="AY33" s="240">
        <v>0</v>
      </c>
      <c r="AZ33" s="266">
        <v>0</v>
      </c>
      <c r="BA33" s="266">
        <v>0</v>
      </c>
      <c r="BB33" s="258">
        <v>0</v>
      </c>
      <c r="BI33" s="1"/>
      <c r="BJ33" s="241" t="s">
        <v>281</v>
      </c>
      <c r="BK33" s="242">
        <v>0</v>
      </c>
      <c r="BL33" s="267">
        <v>0</v>
      </c>
      <c r="BM33" s="267">
        <v>0</v>
      </c>
      <c r="BN33" s="247">
        <v>0</v>
      </c>
    </row>
    <row r="34" spans="1:66" x14ac:dyDescent="0.2">
      <c r="A34" s="1"/>
      <c r="B34" s="241" t="s">
        <v>292</v>
      </c>
      <c r="C34" s="242">
        <v>0</v>
      </c>
      <c r="D34" s="267">
        <v>0</v>
      </c>
      <c r="E34" s="267">
        <v>0</v>
      </c>
      <c r="F34" s="247">
        <v>0</v>
      </c>
      <c r="H34" s="14"/>
      <c r="I34" s="14"/>
      <c r="J34" s="14"/>
      <c r="M34" s="1"/>
      <c r="N34" s="241" t="s">
        <v>276</v>
      </c>
      <c r="O34" s="242">
        <v>0</v>
      </c>
      <c r="P34" s="267">
        <v>0</v>
      </c>
      <c r="Q34" s="267">
        <v>0</v>
      </c>
      <c r="R34" s="247">
        <v>0</v>
      </c>
      <c r="Y34" s="1"/>
      <c r="Z34" s="241" t="s">
        <v>289</v>
      </c>
      <c r="AA34" s="242">
        <v>0</v>
      </c>
      <c r="AB34" s="267">
        <v>0</v>
      </c>
      <c r="AC34" s="267">
        <v>0</v>
      </c>
      <c r="AD34" s="247">
        <v>0</v>
      </c>
      <c r="AK34" s="1"/>
      <c r="AL34" s="241" t="s">
        <v>286</v>
      </c>
      <c r="AM34" s="242">
        <v>0</v>
      </c>
      <c r="AN34" s="267">
        <v>0</v>
      </c>
      <c r="AO34" s="267">
        <v>0</v>
      </c>
      <c r="AP34" s="247">
        <v>0</v>
      </c>
      <c r="AW34" s="1"/>
      <c r="AX34" s="241" t="s">
        <v>283</v>
      </c>
      <c r="AY34" s="242">
        <v>0</v>
      </c>
      <c r="AZ34" s="267">
        <v>0</v>
      </c>
      <c r="BA34" s="267">
        <v>0</v>
      </c>
      <c r="BB34" s="247">
        <v>0</v>
      </c>
      <c r="BI34" s="239">
        <v>41803</v>
      </c>
      <c r="BJ34" s="229" t="s">
        <v>278</v>
      </c>
      <c r="BK34" s="240">
        <v>0</v>
      </c>
      <c r="BL34" s="266">
        <v>0</v>
      </c>
      <c r="BM34" s="266">
        <v>0</v>
      </c>
      <c r="BN34" s="258">
        <v>0</v>
      </c>
    </row>
    <row r="35" spans="1:66" x14ac:dyDescent="0.2">
      <c r="A35" s="1"/>
      <c r="B35" s="241" t="s">
        <v>293</v>
      </c>
      <c r="C35" s="242">
        <v>0</v>
      </c>
      <c r="D35" s="267">
        <v>0</v>
      </c>
      <c r="E35" s="267">
        <v>0</v>
      </c>
      <c r="F35" s="247">
        <v>0</v>
      </c>
      <c r="H35" s="14"/>
      <c r="I35" s="14"/>
      <c r="J35" s="14"/>
      <c r="M35" s="1"/>
      <c r="N35" s="241" t="s">
        <v>277</v>
      </c>
      <c r="O35" s="242">
        <v>0</v>
      </c>
      <c r="P35" s="267">
        <v>0</v>
      </c>
      <c r="Q35" s="267">
        <v>0</v>
      </c>
      <c r="R35" s="247">
        <v>0</v>
      </c>
      <c r="Y35" s="1"/>
      <c r="Z35" s="241" t="s">
        <v>290</v>
      </c>
      <c r="AA35" s="242">
        <v>0</v>
      </c>
      <c r="AB35" s="267">
        <v>0</v>
      </c>
      <c r="AC35" s="267">
        <v>0</v>
      </c>
      <c r="AD35" s="247">
        <v>0</v>
      </c>
      <c r="AK35" s="1"/>
      <c r="AL35" s="241" t="s">
        <v>287</v>
      </c>
      <c r="AM35" s="242">
        <v>0</v>
      </c>
      <c r="AN35" s="267">
        <v>0</v>
      </c>
      <c r="AO35" s="267">
        <v>0</v>
      </c>
      <c r="AP35" s="247">
        <v>0</v>
      </c>
      <c r="AW35" s="1"/>
      <c r="AX35" s="241" t="s">
        <v>284</v>
      </c>
      <c r="AY35" s="242">
        <v>0</v>
      </c>
      <c r="AZ35" s="267">
        <v>0</v>
      </c>
      <c r="BA35" s="267">
        <v>0</v>
      </c>
      <c r="BB35" s="247">
        <v>0</v>
      </c>
      <c r="BI35" s="1"/>
      <c r="BJ35" s="241" t="s">
        <v>279</v>
      </c>
      <c r="BK35" s="242">
        <v>0</v>
      </c>
      <c r="BL35" s="267">
        <v>0</v>
      </c>
      <c r="BM35" s="267">
        <v>0</v>
      </c>
      <c r="BN35" s="247">
        <v>0</v>
      </c>
    </row>
    <row r="36" spans="1:66" x14ac:dyDescent="0.2">
      <c r="A36" s="239">
        <v>41806</v>
      </c>
      <c r="B36" s="229" t="s">
        <v>291</v>
      </c>
      <c r="C36" s="240">
        <v>3</v>
      </c>
      <c r="D36" s="266">
        <v>1</v>
      </c>
      <c r="E36" s="266">
        <v>0</v>
      </c>
      <c r="F36" s="258">
        <v>4</v>
      </c>
      <c r="H36" s="14"/>
      <c r="I36" s="14"/>
      <c r="J36" s="14"/>
      <c r="M36" s="239">
        <v>41806</v>
      </c>
      <c r="N36" s="229" t="s">
        <v>275</v>
      </c>
      <c r="O36" s="240">
        <v>0</v>
      </c>
      <c r="P36" s="266">
        <v>0</v>
      </c>
      <c r="Q36" s="266">
        <v>0</v>
      </c>
      <c r="R36" s="258">
        <v>0</v>
      </c>
      <c r="Y36" s="239">
        <v>41806</v>
      </c>
      <c r="Z36" s="229" t="s">
        <v>288</v>
      </c>
      <c r="AA36" s="240">
        <v>0</v>
      </c>
      <c r="AB36" s="266">
        <v>0</v>
      </c>
      <c r="AC36" s="266">
        <v>0</v>
      </c>
      <c r="AD36" s="258">
        <v>0</v>
      </c>
      <c r="AK36" s="239">
        <v>41806</v>
      </c>
      <c r="AL36" s="229" t="s">
        <v>285</v>
      </c>
      <c r="AM36" s="240">
        <v>0</v>
      </c>
      <c r="AN36" s="266">
        <v>0</v>
      </c>
      <c r="AO36" s="266">
        <v>0</v>
      </c>
      <c r="AP36" s="258">
        <v>0</v>
      </c>
      <c r="AW36" s="239">
        <v>41806</v>
      </c>
      <c r="AX36" s="229" t="s">
        <v>282</v>
      </c>
      <c r="AY36" s="240">
        <v>0</v>
      </c>
      <c r="AZ36" s="266">
        <v>0</v>
      </c>
      <c r="BA36" s="266">
        <v>0</v>
      </c>
      <c r="BB36" s="258">
        <v>0</v>
      </c>
      <c r="BI36" s="1"/>
      <c r="BJ36" s="241" t="s">
        <v>280</v>
      </c>
      <c r="BK36" s="242">
        <v>0</v>
      </c>
      <c r="BL36" s="267">
        <v>0</v>
      </c>
      <c r="BM36" s="267">
        <v>0</v>
      </c>
      <c r="BN36" s="247">
        <v>0</v>
      </c>
    </row>
    <row r="37" spans="1:66" x14ac:dyDescent="0.2">
      <c r="A37" s="1"/>
      <c r="B37" s="241" t="s">
        <v>292</v>
      </c>
      <c r="C37" s="242">
        <v>1</v>
      </c>
      <c r="D37" s="267">
        <v>0</v>
      </c>
      <c r="E37" s="267">
        <v>0</v>
      </c>
      <c r="F37" s="247">
        <v>1</v>
      </c>
      <c r="H37" s="14"/>
      <c r="I37" s="14"/>
      <c r="J37" s="14"/>
      <c r="M37" s="1"/>
      <c r="N37" s="241" t="s">
        <v>276</v>
      </c>
      <c r="O37" s="242">
        <v>0</v>
      </c>
      <c r="P37" s="267">
        <v>0</v>
      </c>
      <c r="Q37" s="267">
        <v>0</v>
      </c>
      <c r="R37" s="247">
        <v>0</v>
      </c>
      <c r="Y37" s="1"/>
      <c r="Z37" s="241" t="s">
        <v>289</v>
      </c>
      <c r="AA37" s="242">
        <v>0</v>
      </c>
      <c r="AB37" s="267">
        <v>0</v>
      </c>
      <c r="AC37" s="267">
        <v>0</v>
      </c>
      <c r="AD37" s="247">
        <v>0</v>
      </c>
      <c r="AK37" s="1"/>
      <c r="AL37" s="241" t="s">
        <v>286</v>
      </c>
      <c r="AM37" s="242">
        <v>0</v>
      </c>
      <c r="AN37" s="267">
        <v>0</v>
      </c>
      <c r="AO37" s="267">
        <v>0</v>
      </c>
      <c r="AP37" s="247">
        <v>0</v>
      </c>
      <c r="AW37" s="1"/>
      <c r="AX37" s="241" t="s">
        <v>283</v>
      </c>
      <c r="AY37" s="242">
        <v>0</v>
      </c>
      <c r="AZ37" s="267">
        <v>0</v>
      </c>
      <c r="BA37" s="267">
        <v>0</v>
      </c>
      <c r="BB37" s="247">
        <v>0</v>
      </c>
      <c r="BI37" s="1"/>
      <c r="BJ37" s="241" t="s">
        <v>281</v>
      </c>
      <c r="BK37" s="242">
        <v>0</v>
      </c>
      <c r="BL37" s="267">
        <v>0</v>
      </c>
      <c r="BM37" s="267">
        <v>0</v>
      </c>
      <c r="BN37" s="247">
        <v>0</v>
      </c>
    </row>
    <row r="38" spans="1:66" x14ac:dyDescent="0.2">
      <c r="A38" s="1"/>
      <c r="B38" s="241" t="s">
        <v>293</v>
      </c>
      <c r="C38" s="242">
        <v>0</v>
      </c>
      <c r="D38" s="267">
        <v>0</v>
      </c>
      <c r="E38" s="267">
        <v>0</v>
      </c>
      <c r="F38" s="247">
        <v>0</v>
      </c>
      <c r="H38" s="14"/>
      <c r="I38" s="14"/>
      <c r="J38" s="14"/>
      <c r="M38" s="1"/>
      <c r="N38" s="241" t="s">
        <v>277</v>
      </c>
      <c r="O38" s="242">
        <v>0</v>
      </c>
      <c r="P38" s="267">
        <v>0</v>
      </c>
      <c r="Q38" s="267">
        <v>0</v>
      </c>
      <c r="R38" s="247">
        <v>0</v>
      </c>
      <c r="Y38" s="1"/>
      <c r="Z38" s="241" t="s">
        <v>290</v>
      </c>
      <c r="AA38" s="242">
        <v>0</v>
      </c>
      <c r="AB38" s="267">
        <v>0</v>
      </c>
      <c r="AC38" s="267">
        <v>0</v>
      </c>
      <c r="AD38" s="247">
        <v>0</v>
      </c>
      <c r="AK38" s="1"/>
      <c r="AL38" s="241" t="s">
        <v>287</v>
      </c>
      <c r="AM38" s="242">
        <v>0</v>
      </c>
      <c r="AN38" s="267">
        <v>0</v>
      </c>
      <c r="AO38" s="267">
        <v>0</v>
      </c>
      <c r="AP38" s="247">
        <v>0</v>
      </c>
      <c r="AW38" s="1"/>
      <c r="AX38" s="241" t="s">
        <v>284</v>
      </c>
      <c r="AY38" s="242">
        <v>0</v>
      </c>
      <c r="AZ38" s="267">
        <v>0</v>
      </c>
      <c r="BA38" s="267">
        <v>0</v>
      </c>
      <c r="BB38" s="247">
        <v>0</v>
      </c>
      <c r="BI38" s="239">
        <v>41804</v>
      </c>
      <c r="BJ38" s="229" t="s">
        <v>278</v>
      </c>
      <c r="BK38" s="240">
        <v>0</v>
      </c>
      <c r="BL38" s="266">
        <v>0</v>
      </c>
      <c r="BM38" s="266">
        <v>0</v>
      </c>
      <c r="BN38" s="258">
        <v>0</v>
      </c>
    </row>
    <row r="39" spans="1:66" x14ac:dyDescent="0.2">
      <c r="A39" s="239">
        <v>41807</v>
      </c>
      <c r="B39" s="229" t="s">
        <v>291</v>
      </c>
      <c r="C39" s="240">
        <v>16</v>
      </c>
      <c r="D39" s="266">
        <v>1</v>
      </c>
      <c r="E39" s="266">
        <v>1</v>
      </c>
      <c r="F39" s="258">
        <v>18</v>
      </c>
      <c r="H39" s="14"/>
      <c r="I39" s="14"/>
      <c r="J39" s="14"/>
      <c r="M39" s="239">
        <v>41807</v>
      </c>
      <c r="N39" s="229" t="s">
        <v>275</v>
      </c>
      <c r="O39" s="240">
        <v>0</v>
      </c>
      <c r="P39" s="266">
        <v>0</v>
      </c>
      <c r="Q39" s="266">
        <v>0</v>
      </c>
      <c r="R39" s="258">
        <v>0</v>
      </c>
      <c r="Y39" s="239">
        <v>41807</v>
      </c>
      <c r="Z39" s="229" t="s">
        <v>288</v>
      </c>
      <c r="AA39" s="240">
        <v>0</v>
      </c>
      <c r="AB39" s="266">
        <v>0</v>
      </c>
      <c r="AC39" s="266">
        <v>0</v>
      </c>
      <c r="AD39" s="258">
        <v>0</v>
      </c>
      <c r="AK39" s="239">
        <v>41807</v>
      </c>
      <c r="AL39" s="229" t="s">
        <v>285</v>
      </c>
      <c r="AM39" s="240">
        <v>0</v>
      </c>
      <c r="AN39" s="266">
        <v>0</v>
      </c>
      <c r="AO39" s="266">
        <v>0</v>
      </c>
      <c r="AP39" s="258">
        <v>0</v>
      </c>
      <c r="AW39" s="239">
        <v>41807</v>
      </c>
      <c r="AX39" s="229" t="s">
        <v>282</v>
      </c>
      <c r="AY39" s="240">
        <v>0</v>
      </c>
      <c r="AZ39" s="266">
        <v>0</v>
      </c>
      <c r="BA39" s="266">
        <v>0</v>
      </c>
      <c r="BB39" s="258">
        <v>0</v>
      </c>
      <c r="BI39" s="1"/>
      <c r="BJ39" s="241" t="s">
        <v>279</v>
      </c>
      <c r="BK39" s="242">
        <v>0</v>
      </c>
      <c r="BL39" s="267">
        <v>0</v>
      </c>
      <c r="BM39" s="267">
        <v>0</v>
      </c>
      <c r="BN39" s="247">
        <v>0</v>
      </c>
    </row>
    <row r="40" spans="1:66" x14ac:dyDescent="0.2">
      <c r="A40" s="1"/>
      <c r="B40" s="241" t="s">
        <v>292</v>
      </c>
      <c r="C40" s="242">
        <v>0</v>
      </c>
      <c r="D40" s="267">
        <v>0</v>
      </c>
      <c r="E40" s="267">
        <v>0</v>
      </c>
      <c r="F40" s="247">
        <v>0</v>
      </c>
      <c r="H40" s="14"/>
      <c r="I40" s="14"/>
      <c r="J40" s="14"/>
      <c r="M40" s="1"/>
      <c r="N40" s="241" t="s">
        <v>276</v>
      </c>
      <c r="O40" s="242">
        <v>0</v>
      </c>
      <c r="P40" s="267">
        <v>0</v>
      </c>
      <c r="Q40" s="267">
        <v>0</v>
      </c>
      <c r="R40" s="247">
        <v>0</v>
      </c>
      <c r="Y40" s="1"/>
      <c r="Z40" s="241" t="s">
        <v>289</v>
      </c>
      <c r="AA40" s="242">
        <v>0</v>
      </c>
      <c r="AB40" s="267">
        <v>0</v>
      </c>
      <c r="AC40" s="267">
        <v>0</v>
      </c>
      <c r="AD40" s="247">
        <v>0</v>
      </c>
      <c r="AK40" s="1"/>
      <c r="AL40" s="241" t="s">
        <v>286</v>
      </c>
      <c r="AM40" s="242">
        <v>0</v>
      </c>
      <c r="AN40" s="267">
        <v>0</v>
      </c>
      <c r="AO40" s="267">
        <v>0</v>
      </c>
      <c r="AP40" s="247">
        <v>0</v>
      </c>
      <c r="AW40" s="1"/>
      <c r="AX40" s="241" t="s">
        <v>283</v>
      </c>
      <c r="AY40" s="242">
        <v>0</v>
      </c>
      <c r="AZ40" s="267">
        <v>0</v>
      </c>
      <c r="BA40" s="267">
        <v>0</v>
      </c>
      <c r="BB40" s="247">
        <v>0</v>
      </c>
      <c r="BI40" s="1"/>
      <c r="BJ40" s="241" t="s">
        <v>280</v>
      </c>
      <c r="BK40" s="242">
        <v>0</v>
      </c>
      <c r="BL40" s="267">
        <v>0</v>
      </c>
      <c r="BM40" s="267">
        <v>0</v>
      </c>
      <c r="BN40" s="247">
        <v>0</v>
      </c>
    </row>
    <row r="41" spans="1:66" x14ac:dyDescent="0.2">
      <c r="A41" s="1"/>
      <c r="B41" s="241" t="s">
        <v>293</v>
      </c>
      <c r="C41" s="242">
        <v>0</v>
      </c>
      <c r="D41" s="267">
        <v>0</v>
      </c>
      <c r="E41" s="267">
        <v>0</v>
      </c>
      <c r="F41" s="247">
        <v>0</v>
      </c>
      <c r="H41" s="14"/>
      <c r="I41" s="14"/>
      <c r="J41" s="14"/>
      <c r="M41" s="1"/>
      <c r="N41" s="241" t="s">
        <v>277</v>
      </c>
      <c r="O41" s="242">
        <v>0</v>
      </c>
      <c r="P41" s="267">
        <v>0</v>
      </c>
      <c r="Q41" s="267">
        <v>0</v>
      </c>
      <c r="R41" s="247">
        <v>0</v>
      </c>
      <c r="Y41" s="1"/>
      <c r="Z41" s="241" t="s">
        <v>290</v>
      </c>
      <c r="AA41" s="242">
        <v>0</v>
      </c>
      <c r="AB41" s="267">
        <v>0</v>
      </c>
      <c r="AC41" s="267">
        <v>0</v>
      </c>
      <c r="AD41" s="247">
        <v>0</v>
      </c>
      <c r="AK41" s="1"/>
      <c r="AL41" s="241" t="s">
        <v>287</v>
      </c>
      <c r="AM41" s="242">
        <v>0</v>
      </c>
      <c r="AN41" s="267">
        <v>0</v>
      </c>
      <c r="AO41" s="267">
        <v>0</v>
      </c>
      <c r="AP41" s="247">
        <v>0</v>
      </c>
      <c r="AW41" s="1"/>
      <c r="AX41" s="241" t="s">
        <v>284</v>
      </c>
      <c r="AY41" s="242">
        <v>0</v>
      </c>
      <c r="AZ41" s="267">
        <v>0</v>
      </c>
      <c r="BA41" s="267">
        <v>0</v>
      </c>
      <c r="BB41" s="247">
        <v>0</v>
      </c>
      <c r="BI41" s="1"/>
      <c r="BJ41" s="241" t="s">
        <v>281</v>
      </c>
      <c r="BK41" s="242">
        <v>0</v>
      </c>
      <c r="BL41" s="267">
        <v>0</v>
      </c>
      <c r="BM41" s="267">
        <v>0</v>
      </c>
      <c r="BN41" s="247">
        <v>0</v>
      </c>
    </row>
    <row r="42" spans="1:66" x14ac:dyDescent="0.2">
      <c r="A42" s="239">
        <v>41808</v>
      </c>
      <c r="B42" s="229" t="s">
        <v>291</v>
      </c>
      <c r="C42" s="240">
        <v>13</v>
      </c>
      <c r="D42" s="266">
        <v>3</v>
      </c>
      <c r="E42" s="266">
        <v>2</v>
      </c>
      <c r="F42" s="258">
        <v>18</v>
      </c>
      <c r="H42" s="14"/>
      <c r="I42" s="14"/>
      <c r="J42" s="14"/>
      <c r="M42" s="239">
        <v>41808</v>
      </c>
      <c r="N42" s="229" t="s">
        <v>275</v>
      </c>
      <c r="O42" s="240">
        <v>0</v>
      </c>
      <c r="P42" s="266">
        <v>0</v>
      </c>
      <c r="Q42" s="266">
        <v>0</v>
      </c>
      <c r="R42" s="258">
        <v>0</v>
      </c>
      <c r="Y42" s="239">
        <v>41808</v>
      </c>
      <c r="Z42" s="229" t="s">
        <v>288</v>
      </c>
      <c r="AA42" s="240">
        <v>0</v>
      </c>
      <c r="AB42" s="266">
        <v>0</v>
      </c>
      <c r="AC42" s="266">
        <v>0</v>
      </c>
      <c r="AD42" s="258">
        <v>0</v>
      </c>
      <c r="AK42" s="239">
        <v>41808</v>
      </c>
      <c r="AL42" s="229" t="s">
        <v>285</v>
      </c>
      <c r="AM42" s="240">
        <v>0</v>
      </c>
      <c r="AN42" s="266">
        <v>0</v>
      </c>
      <c r="AO42" s="266">
        <v>0</v>
      </c>
      <c r="AP42" s="258">
        <v>0</v>
      </c>
      <c r="AW42" s="239">
        <v>41808</v>
      </c>
      <c r="AX42" s="229" t="s">
        <v>282</v>
      </c>
      <c r="AY42" s="240">
        <v>0</v>
      </c>
      <c r="AZ42" s="266">
        <v>0</v>
      </c>
      <c r="BA42" s="266">
        <v>0</v>
      </c>
      <c r="BB42" s="258">
        <v>0</v>
      </c>
      <c r="BI42" s="239">
        <v>41805</v>
      </c>
      <c r="BJ42" s="229" t="s">
        <v>278</v>
      </c>
      <c r="BK42" s="240">
        <v>0</v>
      </c>
      <c r="BL42" s="266">
        <v>0</v>
      </c>
      <c r="BM42" s="266">
        <v>0</v>
      </c>
      <c r="BN42" s="258">
        <v>0</v>
      </c>
    </row>
    <row r="43" spans="1:66" x14ac:dyDescent="0.2">
      <c r="A43" s="1"/>
      <c r="B43" s="241" t="s">
        <v>292</v>
      </c>
      <c r="C43" s="242">
        <v>0</v>
      </c>
      <c r="D43" s="267">
        <v>0</v>
      </c>
      <c r="E43" s="267">
        <v>0</v>
      </c>
      <c r="F43" s="247">
        <v>0</v>
      </c>
      <c r="H43" s="14"/>
      <c r="I43" s="14"/>
      <c r="J43" s="14"/>
      <c r="M43" s="1"/>
      <c r="N43" s="241" t="s">
        <v>276</v>
      </c>
      <c r="O43" s="242">
        <v>2</v>
      </c>
      <c r="P43" s="267">
        <v>1</v>
      </c>
      <c r="Q43" s="267">
        <v>2</v>
      </c>
      <c r="R43" s="247">
        <v>5</v>
      </c>
      <c r="Y43" s="1"/>
      <c r="Z43" s="241" t="s">
        <v>289</v>
      </c>
      <c r="AA43" s="242">
        <v>0</v>
      </c>
      <c r="AB43" s="267">
        <v>0</v>
      </c>
      <c r="AC43" s="267">
        <v>0</v>
      </c>
      <c r="AD43" s="247">
        <v>0</v>
      </c>
      <c r="AK43" s="1"/>
      <c r="AL43" s="241" t="s">
        <v>286</v>
      </c>
      <c r="AM43" s="242">
        <v>0</v>
      </c>
      <c r="AN43" s="267">
        <v>0</v>
      </c>
      <c r="AO43" s="267">
        <v>0</v>
      </c>
      <c r="AP43" s="247">
        <v>0</v>
      </c>
      <c r="AW43" s="1"/>
      <c r="AX43" s="241" t="s">
        <v>283</v>
      </c>
      <c r="AY43" s="242">
        <v>0</v>
      </c>
      <c r="AZ43" s="267">
        <v>0</v>
      </c>
      <c r="BA43" s="267">
        <v>0</v>
      </c>
      <c r="BB43" s="247">
        <v>0</v>
      </c>
      <c r="BI43" s="1"/>
      <c r="BJ43" s="241" t="s">
        <v>279</v>
      </c>
      <c r="BK43" s="242">
        <v>0</v>
      </c>
      <c r="BL43" s="267">
        <v>0</v>
      </c>
      <c r="BM43" s="267">
        <v>0</v>
      </c>
      <c r="BN43" s="247">
        <v>0</v>
      </c>
    </row>
    <row r="44" spans="1:66" x14ac:dyDescent="0.2">
      <c r="A44" s="1"/>
      <c r="B44" s="241" t="s">
        <v>293</v>
      </c>
      <c r="C44" s="242">
        <v>0</v>
      </c>
      <c r="D44" s="267">
        <v>0</v>
      </c>
      <c r="E44" s="267">
        <v>0</v>
      </c>
      <c r="F44" s="247">
        <v>0</v>
      </c>
      <c r="H44" s="14"/>
      <c r="I44" s="14"/>
      <c r="J44" s="14"/>
      <c r="M44" s="1"/>
      <c r="N44" s="241" t="s">
        <v>277</v>
      </c>
      <c r="O44" s="242">
        <v>0</v>
      </c>
      <c r="P44" s="267">
        <v>0</v>
      </c>
      <c r="Q44" s="267">
        <v>0</v>
      </c>
      <c r="R44" s="247">
        <v>0</v>
      </c>
      <c r="Y44" s="1"/>
      <c r="Z44" s="241" t="s">
        <v>290</v>
      </c>
      <c r="AA44" s="242">
        <v>0</v>
      </c>
      <c r="AB44" s="267">
        <v>0</v>
      </c>
      <c r="AC44" s="267">
        <v>0</v>
      </c>
      <c r="AD44" s="247">
        <v>0</v>
      </c>
      <c r="AK44" s="1"/>
      <c r="AL44" s="241" t="s">
        <v>287</v>
      </c>
      <c r="AM44" s="242">
        <v>0</v>
      </c>
      <c r="AN44" s="267">
        <v>0</v>
      </c>
      <c r="AO44" s="267">
        <v>0</v>
      </c>
      <c r="AP44" s="247">
        <v>0</v>
      </c>
      <c r="AW44" s="1"/>
      <c r="AX44" s="241" t="s">
        <v>284</v>
      </c>
      <c r="AY44" s="242">
        <v>0</v>
      </c>
      <c r="AZ44" s="267">
        <v>0</v>
      </c>
      <c r="BA44" s="267">
        <v>0</v>
      </c>
      <c r="BB44" s="247">
        <v>0</v>
      </c>
      <c r="BI44" s="1"/>
      <c r="BJ44" s="241" t="s">
        <v>280</v>
      </c>
      <c r="BK44" s="242">
        <v>0</v>
      </c>
      <c r="BL44" s="267">
        <v>0</v>
      </c>
      <c r="BM44" s="267">
        <v>0</v>
      </c>
      <c r="BN44" s="247">
        <v>0</v>
      </c>
    </row>
    <row r="45" spans="1:66" x14ac:dyDescent="0.2">
      <c r="A45" s="239">
        <v>41809</v>
      </c>
      <c r="B45" s="229" t="s">
        <v>291</v>
      </c>
      <c r="C45" s="240">
        <v>1</v>
      </c>
      <c r="D45" s="266">
        <v>0</v>
      </c>
      <c r="E45" s="266">
        <v>7</v>
      </c>
      <c r="F45" s="258">
        <v>8</v>
      </c>
      <c r="H45" s="14"/>
      <c r="I45" s="14"/>
      <c r="J45" s="14"/>
      <c r="M45" s="239">
        <v>41809</v>
      </c>
      <c r="N45" s="229" t="s">
        <v>275</v>
      </c>
      <c r="O45" s="240">
        <v>0</v>
      </c>
      <c r="P45" s="266">
        <v>0</v>
      </c>
      <c r="Q45" s="266">
        <v>0</v>
      </c>
      <c r="R45" s="258">
        <v>0</v>
      </c>
      <c r="Y45" s="239">
        <v>41809</v>
      </c>
      <c r="Z45" s="229" t="s">
        <v>288</v>
      </c>
      <c r="AA45" s="240">
        <v>0</v>
      </c>
      <c r="AB45" s="266">
        <v>0</v>
      </c>
      <c r="AC45" s="266">
        <v>0</v>
      </c>
      <c r="AD45" s="258">
        <v>0</v>
      </c>
      <c r="AK45" s="239">
        <v>41809</v>
      </c>
      <c r="AL45" s="229" t="s">
        <v>285</v>
      </c>
      <c r="AM45" s="240">
        <v>0</v>
      </c>
      <c r="AN45" s="266">
        <v>0</v>
      </c>
      <c r="AO45" s="266">
        <v>0</v>
      </c>
      <c r="AP45" s="258">
        <v>0</v>
      </c>
      <c r="AW45" s="239">
        <v>41809</v>
      </c>
      <c r="AX45" s="229" t="s">
        <v>282</v>
      </c>
      <c r="AY45" s="240">
        <v>0</v>
      </c>
      <c r="AZ45" s="266">
        <v>0</v>
      </c>
      <c r="BA45" s="266">
        <v>0</v>
      </c>
      <c r="BB45" s="258">
        <v>0</v>
      </c>
      <c r="BI45" s="1"/>
      <c r="BJ45" s="241" t="s">
        <v>281</v>
      </c>
      <c r="BK45" s="242">
        <v>0</v>
      </c>
      <c r="BL45" s="267">
        <v>0</v>
      </c>
      <c r="BM45" s="267">
        <v>0</v>
      </c>
      <c r="BN45" s="247">
        <v>0</v>
      </c>
    </row>
    <row r="46" spans="1:66" x14ac:dyDescent="0.2">
      <c r="A46" s="1"/>
      <c r="B46" s="241" t="s">
        <v>292</v>
      </c>
      <c r="C46" s="242">
        <v>0</v>
      </c>
      <c r="D46" s="267">
        <v>0</v>
      </c>
      <c r="E46" s="267">
        <v>0</v>
      </c>
      <c r="F46" s="247">
        <v>0</v>
      </c>
      <c r="H46" s="14"/>
      <c r="I46" s="14"/>
      <c r="J46" s="14"/>
      <c r="M46" s="1"/>
      <c r="N46" s="241" t="s">
        <v>276</v>
      </c>
      <c r="O46" s="242">
        <v>0</v>
      </c>
      <c r="P46" s="267">
        <v>0</v>
      </c>
      <c r="Q46" s="267">
        <v>7</v>
      </c>
      <c r="R46" s="247">
        <v>7</v>
      </c>
      <c r="Y46" s="1"/>
      <c r="Z46" s="241" t="s">
        <v>289</v>
      </c>
      <c r="AA46" s="242">
        <v>0</v>
      </c>
      <c r="AB46" s="267">
        <v>0</v>
      </c>
      <c r="AC46" s="267">
        <v>0</v>
      </c>
      <c r="AD46" s="247">
        <v>0</v>
      </c>
      <c r="AK46" s="1"/>
      <c r="AL46" s="241" t="s">
        <v>286</v>
      </c>
      <c r="AM46" s="242">
        <v>0</v>
      </c>
      <c r="AN46" s="267">
        <v>0</v>
      </c>
      <c r="AO46" s="267">
        <v>0</v>
      </c>
      <c r="AP46" s="247">
        <v>0</v>
      </c>
      <c r="AW46" s="1"/>
      <c r="AX46" s="241" t="s">
        <v>283</v>
      </c>
      <c r="AY46" s="242">
        <v>0</v>
      </c>
      <c r="AZ46" s="267">
        <v>0</v>
      </c>
      <c r="BA46" s="267">
        <v>0</v>
      </c>
      <c r="BB46" s="247">
        <v>0</v>
      </c>
      <c r="BI46" s="239">
        <v>41806</v>
      </c>
      <c r="BJ46" s="229" t="s">
        <v>278</v>
      </c>
      <c r="BK46" s="240">
        <v>0</v>
      </c>
      <c r="BL46" s="266">
        <v>0</v>
      </c>
      <c r="BM46" s="266">
        <v>0</v>
      </c>
      <c r="BN46" s="258">
        <v>0</v>
      </c>
    </row>
    <row r="47" spans="1:66" x14ac:dyDescent="0.2">
      <c r="A47" s="1"/>
      <c r="B47" s="241" t="s">
        <v>293</v>
      </c>
      <c r="C47" s="242">
        <v>0</v>
      </c>
      <c r="D47" s="267">
        <v>0</v>
      </c>
      <c r="E47" s="267">
        <v>0</v>
      </c>
      <c r="F47" s="247">
        <v>0</v>
      </c>
      <c r="H47" s="14"/>
      <c r="I47" s="14"/>
      <c r="J47" s="14"/>
      <c r="M47" s="1"/>
      <c r="N47" s="241" t="s">
        <v>277</v>
      </c>
      <c r="O47" s="242">
        <v>0</v>
      </c>
      <c r="P47" s="267">
        <v>0</v>
      </c>
      <c r="Q47" s="267">
        <v>0</v>
      </c>
      <c r="R47" s="247">
        <v>0</v>
      </c>
      <c r="Y47" s="1"/>
      <c r="Z47" s="241" t="s">
        <v>290</v>
      </c>
      <c r="AA47" s="242">
        <v>0</v>
      </c>
      <c r="AB47" s="267">
        <v>0</v>
      </c>
      <c r="AC47" s="267">
        <v>0</v>
      </c>
      <c r="AD47" s="247">
        <v>0</v>
      </c>
      <c r="AK47" s="1"/>
      <c r="AL47" s="241" t="s">
        <v>287</v>
      </c>
      <c r="AM47" s="242">
        <v>0</v>
      </c>
      <c r="AN47" s="267">
        <v>0</v>
      </c>
      <c r="AO47" s="267">
        <v>0</v>
      </c>
      <c r="AP47" s="247">
        <v>0</v>
      </c>
      <c r="AW47" s="1"/>
      <c r="AX47" s="241" t="s">
        <v>284</v>
      </c>
      <c r="AY47" s="242">
        <v>0</v>
      </c>
      <c r="AZ47" s="267">
        <v>0</v>
      </c>
      <c r="BA47" s="267">
        <v>0</v>
      </c>
      <c r="BB47" s="247">
        <v>0</v>
      </c>
      <c r="BI47" s="1"/>
      <c r="BJ47" s="241" t="s">
        <v>279</v>
      </c>
      <c r="BK47" s="242">
        <v>0</v>
      </c>
      <c r="BL47" s="267">
        <v>0</v>
      </c>
      <c r="BM47" s="267">
        <v>0</v>
      </c>
      <c r="BN47" s="247">
        <v>0</v>
      </c>
    </row>
    <row r="48" spans="1:66" x14ac:dyDescent="0.2">
      <c r="A48" s="239">
        <v>41810</v>
      </c>
      <c r="B48" s="229" t="s">
        <v>291</v>
      </c>
      <c r="C48" s="240">
        <v>7</v>
      </c>
      <c r="D48" s="266">
        <v>2</v>
      </c>
      <c r="E48" s="266">
        <v>7</v>
      </c>
      <c r="F48" s="258">
        <v>16</v>
      </c>
      <c r="H48" s="14"/>
      <c r="I48" s="14"/>
      <c r="J48" s="14"/>
      <c r="M48" s="239">
        <v>41810</v>
      </c>
      <c r="N48" s="229" t="s">
        <v>275</v>
      </c>
      <c r="O48" s="240">
        <v>1</v>
      </c>
      <c r="P48" s="266">
        <v>0</v>
      </c>
      <c r="Q48" s="266">
        <v>0</v>
      </c>
      <c r="R48" s="258">
        <v>1</v>
      </c>
      <c r="Y48" s="239">
        <v>41810</v>
      </c>
      <c r="Z48" s="229" t="s">
        <v>288</v>
      </c>
      <c r="AA48" s="240">
        <v>0</v>
      </c>
      <c r="AB48" s="266">
        <v>0</v>
      </c>
      <c r="AC48" s="266">
        <v>0</v>
      </c>
      <c r="AD48" s="258">
        <v>0</v>
      </c>
      <c r="AK48" s="239">
        <v>41810</v>
      </c>
      <c r="AL48" s="229" t="s">
        <v>285</v>
      </c>
      <c r="AM48" s="240">
        <v>0</v>
      </c>
      <c r="AN48" s="266">
        <v>0</v>
      </c>
      <c r="AO48" s="266">
        <v>0</v>
      </c>
      <c r="AP48" s="258">
        <v>0</v>
      </c>
      <c r="AW48" s="239">
        <v>41810</v>
      </c>
      <c r="AX48" s="229" t="s">
        <v>282</v>
      </c>
      <c r="AY48" s="240">
        <v>0</v>
      </c>
      <c r="AZ48" s="266">
        <v>0</v>
      </c>
      <c r="BA48" s="266">
        <v>0</v>
      </c>
      <c r="BB48" s="258">
        <v>0</v>
      </c>
      <c r="BI48" s="1"/>
      <c r="BJ48" s="241" t="s">
        <v>280</v>
      </c>
      <c r="BK48" s="242">
        <v>0</v>
      </c>
      <c r="BL48" s="267">
        <v>0</v>
      </c>
      <c r="BM48" s="267">
        <v>0</v>
      </c>
      <c r="BN48" s="247">
        <v>0</v>
      </c>
    </row>
    <row r="49" spans="1:66" x14ac:dyDescent="0.2">
      <c r="A49" s="1"/>
      <c r="B49" s="241" t="s">
        <v>292</v>
      </c>
      <c r="C49" s="242">
        <v>1</v>
      </c>
      <c r="D49" s="267">
        <v>0</v>
      </c>
      <c r="E49" s="267">
        <v>0</v>
      </c>
      <c r="F49" s="247">
        <v>1</v>
      </c>
      <c r="H49" s="14"/>
      <c r="I49" s="14"/>
      <c r="J49" s="14"/>
      <c r="M49" s="1"/>
      <c r="N49" s="241" t="s">
        <v>276</v>
      </c>
      <c r="O49" s="242">
        <v>2</v>
      </c>
      <c r="P49" s="267">
        <v>0</v>
      </c>
      <c r="Q49" s="267">
        <v>3</v>
      </c>
      <c r="R49" s="247">
        <v>5</v>
      </c>
      <c r="Y49" s="1"/>
      <c r="Z49" s="241" t="s">
        <v>289</v>
      </c>
      <c r="AA49" s="242">
        <v>0</v>
      </c>
      <c r="AB49" s="267">
        <v>0</v>
      </c>
      <c r="AC49" s="267">
        <v>0</v>
      </c>
      <c r="AD49" s="247">
        <v>0</v>
      </c>
      <c r="AK49" s="1"/>
      <c r="AL49" s="241" t="s">
        <v>286</v>
      </c>
      <c r="AM49" s="242">
        <v>0</v>
      </c>
      <c r="AN49" s="267">
        <v>0</v>
      </c>
      <c r="AO49" s="267">
        <v>0</v>
      </c>
      <c r="AP49" s="247">
        <v>0</v>
      </c>
      <c r="AW49" s="1"/>
      <c r="AX49" s="241" t="s">
        <v>283</v>
      </c>
      <c r="AY49" s="242">
        <v>0</v>
      </c>
      <c r="AZ49" s="267">
        <v>0</v>
      </c>
      <c r="BA49" s="267">
        <v>0</v>
      </c>
      <c r="BB49" s="247">
        <v>0</v>
      </c>
      <c r="BI49" s="1"/>
      <c r="BJ49" s="241" t="s">
        <v>281</v>
      </c>
      <c r="BK49" s="242">
        <v>0</v>
      </c>
      <c r="BL49" s="267">
        <v>0</v>
      </c>
      <c r="BM49" s="267">
        <v>0</v>
      </c>
      <c r="BN49" s="247">
        <v>0</v>
      </c>
    </row>
    <row r="50" spans="1:66" x14ac:dyDescent="0.2">
      <c r="A50" s="1"/>
      <c r="B50" s="241" t="s">
        <v>293</v>
      </c>
      <c r="C50" s="242">
        <v>0</v>
      </c>
      <c r="D50" s="267">
        <v>0</v>
      </c>
      <c r="E50" s="267">
        <v>0</v>
      </c>
      <c r="F50" s="247">
        <v>0</v>
      </c>
      <c r="H50" s="14"/>
      <c r="I50" s="14"/>
      <c r="J50" s="14"/>
      <c r="M50" s="1"/>
      <c r="N50" s="241" t="s">
        <v>277</v>
      </c>
      <c r="O50" s="242">
        <v>0</v>
      </c>
      <c r="P50" s="267">
        <v>0</v>
      </c>
      <c r="Q50" s="267">
        <v>0</v>
      </c>
      <c r="R50" s="247">
        <v>0</v>
      </c>
      <c r="Y50" s="1"/>
      <c r="Z50" s="241" t="s">
        <v>290</v>
      </c>
      <c r="AA50" s="242">
        <v>0</v>
      </c>
      <c r="AB50" s="267">
        <v>0</v>
      </c>
      <c r="AC50" s="267">
        <v>0</v>
      </c>
      <c r="AD50" s="247">
        <v>0</v>
      </c>
      <c r="AK50" s="1"/>
      <c r="AL50" s="241" t="s">
        <v>287</v>
      </c>
      <c r="AM50" s="242">
        <v>0</v>
      </c>
      <c r="AN50" s="267">
        <v>0</v>
      </c>
      <c r="AO50" s="267">
        <v>0</v>
      </c>
      <c r="AP50" s="247">
        <v>0</v>
      </c>
      <c r="AW50" s="1"/>
      <c r="AX50" s="241" t="s">
        <v>284</v>
      </c>
      <c r="AY50" s="242">
        <v>0</v>
      </c>
      <c r="AZ50" s="267">
        <v>0</v>
      </c>
      <c r="BA50" s="267">
        <v>0</v>
      </c>
      <c r="BB50" s="247">
        <v>0</v>
      </c>
      <c r="BI50" s="239">
        <v>41807</v>
      </c>
      <c r="BJ50" s="229" t="s">
        <v>278</v>
      </c>
      <c r="BK50" s="240">
        <v>0</v>
      </c>
      <c r="BL50" s="266">
        <v>0</v>
      </c>
      <c r="BM50" s="266">
        <v>0</v>
      </c>
      <c r="BN50" s="258">
        <v>0</v>
      </c>
    </row>
    <row r="51" spans="1:66" x14ac:dyDescent="0.2">
      <c r="A51" s="239">
        <v>41811</v>
      </c>
      <c r="B51" s="229" t="s">
        <v>291</v>
      </c>
      <c r="C51" s="240">
        <v>8</v>
      </c>
      <c r="D51" s="266">
        <v>0</v>
      </c>
      <c r="E51" s="266">
        <v>13</v>
      </c>
      <c r="F51" s="258">
        <v>21</v>
      </c>
      <c r="H51" s="14"/>
      <c r="I51" s="14"/>
      <c r="J51" s="14"/>
      <c r="M51" s="239">
        <v>41811</v>
      </c>
      <c r="N51" s="229" t="s">
        <v>275</v>
      </c>
      <c r="O51" s="240">
        <v>2</v>
      </c>
      <c r="P51" s="266">
        <v>0</v>
      </c>
      <c r="Q51" s="266">
        <v>0</v>
      </c>
      <c r="R51" s="258">
        <v>2</v>
      </c>
      <c r="Y51" s="239">
        <v>41811</v>
      </c>
      <c r="Z51" s="229" t="s">
        <v>288</v>
      </c>
      <c r="AA51" s="240">
        <v>0</v>
      </c>
      <c r="AB51" s="266">
        <v>0</v>
      </c>
      <c r="AC51" s="266">
        <v>0</v>
      </c>
      <c r="AD51" s="258">
        <v>0</v>
      </c>
      <c r="AK51" s="239">
        <v>41811</v>
      </c>
      <c r="AL51" s="229" t="s">
        <v>285</v>
      </c>
      <c r="AM51" s="240">
        <v>0</v>
      </c>
      <c r="AN51" s="266">
        <v>0</v>
      </c>
      <c r="AO51" s="266">
        <v>0</v>
      </c>
      <c r="AP51" s="258">
        <v>0</v>
      </c>
      <c r="AW51" s="239">
        <v>41811</v>
      </c>
      <c r="AX51" s="229" t="s">
        <v>282</v>
      </c>
      <c r="AY51" s="240">
        <v>0</v>
      </c>
      <c r="AZ51" s="266">
        <v>0</v>
      </c>
      <c r="BA51" s="266">
        <v>0</v>
      </c>
      <c r="BB51" s="258">
        <v>0</v>
      </c>
      <c r="BI51" s="1"/>
      <c r="BJ51" s="241" t="s">
        <v>279</v>
      </c>
      <c r="BK51" s="242">
        <v>0</v>
      </c>
      <c r="BL51" s="267">
        <v>0</v>
      </c>
      <c r="BM51" s="267">
        <v>0</v>
      </c>
      <c r="BN51" s="247">
        <v>0</v>
      </c>
    </row>
    <row r="52" spans="1:66" x14ac:dyDescent="0.2">
      <c r="A52" s="1"/>
      <c r="B52" s="241" t="s">
        <v>292</v>
      </c>
      <c r="C52" s="242">
        <v>1</v>
      </c>
      <c r="D52" s="267">
        <v>0</v>
      </c>
      <c r="E52" s="267">
        <v>1</v>
      </c>
      <c r="F52" s="247">
        <v>2</v>
      </c>
      <c r="H52" s="14"/>
      <c r="I52" s="14"/>
      <c r="J52" s="14"/>
      <c r="M52" s="1"/>
      <c r="N52" s="241" t="s">
        <v>276</v>
      </c>
      <c r="O52" s="242">
        <v>9</v>
      </c>
      <c r="P52" s="267">
        <v>0</v>
      </c>
      <c r="Q52" s="267">
        <v>6</v>
      </c>
      <c r="R52" s="247">
        <v>15</v>
      </c>
      <c r="Y52" s="1"/>
      <c r="Z52" s="241" t="s">
        <v>289</v>
      </c>
      <c r="AA52" s="242">
        <v>0</v>
      </c>
      <c r="AB52" s="267">
        <v>0</v>
      </c>
      <c r="AC52" s="267">
        <v>0</v>
      </c>
      <c r="AD52" s="247">
        <v>0</v>
      </c>
      <c r="AK52" s="1"/>
      <c r="AL52" s="241" t="s">
        <v>286</v>
      </c>
      <c r="AM52" s="242">
        <v>0</v>
      </c>
      <c r="AN52" s="267">
        <v>0</v>
      </c>
      <c r="AO52" s="267">
        <v>0</v>
      </c>
      <c r="AP52" s="247">
        <v>0</v>
      </c>
      <c r="AW52" s="1"/>
      <c r="AX52" s="241" t="s">
        <v>283</v>
      </c>
      <c r="AY52" s="242">
        <v>0</v>
      </c>
      <c r="AZ52" s="267">
        <v>0</v>
      </c>
      <c r="BA52" s="267">
        <v>0</v>
      </c>
      <c r="BB52" s="247">
        <v>0</v>
      </c>
      <c r="BI52" s="1"/>
      <c r="BJ52" s="241" t="s">
        <v>280</v>
      </c>
      <c r="BK52" s="242">
        <v>0</v>
      </c>
      <c r="BL52" s="267">
        <v>0</v>
      </c>
      <c r="BM52" s="267">
        <v>0</v>
      </c>
      <c r="BN52" s="247">
        <v>0</v>
      </c>
    </row>
    <row r="53" spans="1:66" x14ac:dyDescent="0.2">
      <c r="A53" s="1"/>
      <c r="B53" s="241" t="s">
        <v>293</v>
      </c>
      <c r="C53" s="242">
        <v>0</v>
      </c>
      <c r="D53" s="267">
        <v>0</v>
      </c>
      <c r="E53" s="267">
        <v>0</v>
      </c>
      <c r="F53" s="247">
        <v>0</v>
      </c>
      <c r="H53" s="14"/>
      <c r="I53" s="14"/>
      <c r="J53" s="14"/>
      <c r="M53" s="1"/>
      <c r="N53" s="241" t="s">
        <v>277</v>
      </c>
      <c r="O53" s="242">
        <v>0</v>
      </c>
      <c r="P53" s="267">
        <v>0</v>
      </c>
      <c r="Q53" s="267">
        <v>0</v>
      </c>
      <c r="R53" s="247">
        <v>0</v>
      </c>
      <c r="Y53" s="1"/>
      <c r="Z53" s="241" t="s">
        <v>290</v>
      </c>
      <c r="AA53" s="242">
        <v>0</v>
      </c>
      <c r="AB53" s="267">
        <v>0</v>
      </c>
      <c r="AC53" s="267">
        <v>0</v>
      </c>
      <c r="AD53" s="247">
        <v>0</v>
      </c>
      <c r="AK53" s="1"/>
      <c r="AL53" s="241" t="s">
        <v>287</v>
      </c>
      <c r="AM53" s="242">
        <v>0</v>
      </c>
      <c r="AN53" s="267">
        <v>0</v>
      </c>
      <c r="AO53" s="267">
        <v>0</v>
      </c>
      <c r="AP53" s="247">
        <v>0</v>
      </c>
      <c r="AW53" s="1"/>
      <c r="AX53" s="241" t="s">
        <v>284</v>
      </c>
      <c r="AY53" s="242">
        <v>0</v>
      </c>
      <c r="AZ53" s="267">
        <v>0</v>
      </c>
      <c r="BA53" s="267">
        <v>0</v>
      </c>
      <c r="BB53" s="247">
        <v>0</v>
      </c>
      <c r="BI53" s="1"/>
      <c r="BJ53" s="241" t="s">
        <v>281</v>
      </c>
      <c r="BK53" s="242">
        <v>0</v>
      </c>
      <c r="BL53" s="267">
        <v>0</v>
      </c>
      <c r="BM53" s="267">
        <v>0</v>
      </c>
      <c r="BN53" s="247">
        <v>0</v>
      </c>
    </row>
    <row r="54" spans="1:66" x14ac:dyDescent="0.2">
      <c r="A54" s="239">
        <v>41812</v>
      </c>
      <c r="B54" s="229" t="s">
        <v>291</v>
      </c>
      <c r="C54" s="240">
        <v>3</v>
      </c>
      <c r="D54" s="266">
        <v>1</v>
      </c>
      <c r="E54" s="266">
        <v>11</v>
      </c>
      <c r="F54" s="258">
        <v>15</v>
      </c>
      <c r="H54" s="14"/>
      <c r="I54" s="14"/>
      <c r="J54" s="14"/>
      <c r="M54" s="239">
        <v>41812</v>
      </c>
      <c r="N54" s="229" t="s">
        <v>275</v>
      </c>
      <c r="O54" s="240">
        <v>0</v>
      </c>
      <c r="P54" s="266">
        <v>0</v>
      </c>
      <c r="Q54" s="266">
        <v>1</v>
      </c>
      <c r="R54" s="258">
        <v>1</v>
      </c>
      <c r="Y54" s="239">
        <v>41812</v>
      </c>
      <c r="Z54" s="229" t="s">
        <v>288</v>
      </c>
      <c r="AA54" s="240">
        <v>0</v>
      </c>
      <c r="AB54" s="266">
        <v>0</v>
      </c>
      <c r="AC54" s="266">
        <v>0</v>
      </c>
      <c r="AD54" s="258">
        <v>0</v>
      </c>
      <c r="AK54" s="239">
        <v>41812</v>
      </c>
      <c r="AL54" s="229" t="s">
        <v>285</v>
      </c>
      <c r="AM54" s="240">
        <v>0</v>
      </c>
      <c r="AN54" s="266">
        <v>0</v>
      </c>
      <c r="AO54" s="266">
        <v>0</v>
      </c>
      <c r="AP54" s="258">
        <v>0</v>
      </c>
      <c r="AW54" s="239">
        <v>41812</v>
      </c>
      <c r="AX54" s="229" t="s">
        <v>282</v>
      </c>
      <c r="AY54" s="240">
        <v>0</v>
      </c>
      <c r="AZ54" s="266">
        <v>0</v>
      </c>
      <c r="BA54" s="266">
        <v>0</v>
      </c>
      <c r="BB54" s="258">
        <v>0</v>
      </c>
      <c r="BI54" s="239">
        <v>41808</v>
      </c>
      <c r="BJ54" s="229" t="s">
        <v>278</v>
      </c>
      <c r="BK54" s="240">
        <v>0</v>
      </c>
      <c r="BL54" s="266">
        <v>0</v>
      </c>
      <c r="BM54" s="266">
        <v>0</v>
      </c>
      <c r="BN54" s="258">
        <v>0</v>
      </c>
    </row>
    <row r="55" spans="1:66" x14ac:dyDescent="0.2">
      <c r="A55" s="1"/>
      <c r="B55" s="241" t="s">
        <v>292</v>
      </c>
      <c r="C55" s="242">
        <v>0</v>
      </c>
      <c r="D55" s="267">
        <v>0</v>
      </c>
      <c r="E55" s="267">
        <v>1</v>
      </c>
      <c r="F55" s="247">
        <v>1</v>
      </c>
      <c r="H55" s="14"/>
      <c r="I55" s="14"/>
      <c r="J55" s="14"/>
      <c r="M55" s="1"/>
      <c r="N55" s="241" t="s">
        <v>276</v>
      </c>
      <c r="O55" s="242">
        <v>1</v>
      </c>
      <c r="P55" s="267">
        <v>0</v>
      </c>
      <c r="Q55" s="267">
        <v>6</v>
      </c>
      <c r="R55" s="247">
        <v>7</v>
      </c>
      <c r="Y55" s="1"/>
      <c r="Z55" s="241" t="s">
        <v>289</v>
      </c>
      <c r="AA55" s="242">
        <v>0</v>
      </c>
      <c r="AB55" s="267">
        <v>0</v>
      </c>
      <c r="AC55" s="267">
        <v>0</v>
      </c>
      <c r="AD55" s="247">
        <v>0</v>
      </c>
      <c r="AK55" s="1"/>
      <c r="AL55" s="241" t="s">
        <v>286</v>
      </c>
      <c r="AM55" s="242">
        <v>0</v>
      </c>
      <c r="AN55" s="267">
        <v>0</v>
      </c>
      <c r="AO55" s="267">
        <v>0</v>
      </c>
      <c r="AP55" s="247">
        <v>0</v>
      </c>
      <c r="AW55" s="1"/>
      <c r="AX55" s="241" t="s">
        <v>283</v>
      </c>
      <c r="AY55" s="242">
        <v>0</v>
      </c>
      <c r="AZ55" s="267">
        <v>0</v>
      </c>
      <c r="BA55" s="267">
        <v>0</v>
      </c>
      <c r="BB55" s="247">
        <v>0</v>
      </c>
      <c r="BI55" s="1"/>
      <c r="BJ55" s="241" t="s">
        <v>279</v>
      </c>
      <c r="BK55" s="242">
        <v>0</v>
      </c>
      <c r="BL55" s="267">
        <v>0</v>
      </c>
      <c r="BM55" s="267">
        <v>0</v>
      </c>
      <c r="BN55" s="247">
        <v>0</v>
      </c>
    </row>
    <row r="56" spans="1:66" x14ac:dyDescent="0.2">
      <c r="A56" s="1"/>
      <c r="B56" s="241" t="s">
        <v>293</v>
      </c>
      <c r="C56" s="242">
        <v>0</v>
      </c>
      <c r="D56" s="267">
        <v>0</v>
      </c>
      <c r="E56" s="267">
        <v>0</v>
      </c>
      <c r="F56" s="247">
        <v>0</v>
      </c>
      <c r="H56" s="14"/>
      <c r="I56" s="14"/>
      <c r="J56" s="14"/>
      <c r="M56" s="1"/>
      <c r="N56" s="241" t="s">
        <v>277</v>
      </c>
      <c r="O56" s="242">
        <v>0</v>
      </c>
      <c r="P56" s="267">
        <v>0</v>
      </c>
      <c r="Q56" s="267">
        <v>0</v>
      </c>
      <c r="R56" s="247">
        <v>0</v>
      </c>
      <c r="Y56" s="1"/>
      <c r="Z56" s="241" t="s">
        <v>290</v>
      </c>
      <c r="AA56" s="242">
        <v>0</v>
      </c>
      <c r="AB56" s="267">
        <v>0</v>
      </c>
      <c r="AC56" s="267">
        <v>0</v>
      </c>
      <c r="AD56" s="247">
        <v>0</v>
      </c>
      <c r="AK56" s="1"/>
      <c r="AL56" s="241" t="s">
        <v>287</v>
      </c>
      <c r="AM56" s="242">
        <v>0</v>
      </c>
      <c r="AN56" s="267">
        <v>0</v>
      </c>
      <c r="AO56" s="267">
        <v>0</v>
      </c>
      <c r="AP56" s="247">
        <v>0</v>
      </c>
      <c r="AW56" s="1"/>
      <c r="AX56" s="241" t="s">
        <v>284</v>
      </c>
      <c r="AY56" s="242">
        <v>0</v>
      </c>
      <c r="AZ56" s="267">
        <v>0</v>
      </c>
      <c r="BA56" s="267">
        <v>0</v>
      </c>
      <c r="BB56" s="247">
        <v>0</v>
      </c>
      <c r="BI56" s="1"/>
      <c r="BJ56" s="241" t="s">
        <v>280</v>
      </c>
      <c r="BK56" s="242">
        <v>0</v>
      </c>
      <c r="BL56" s="267">
        <v>0</v>
      </c>
      <c r="BM56" s="267">
        <v>0</v>
      </c>
      <c r="BN56" s="247">
        <v>0</v>
      </c>
    </row>
    <row r="57" spans="1:66" x14ac:dyDescent="0.2">
      <c r="A57" s="239">
        <v>41813</v>
      </c>
      <c r="B57" s="229" t="s">
        <v>291</v>
      </c>
      <c r="C57" s="240">
        <v>5</v>
      </c>
      <c r="D57" s="266">
        <v>5</v>
      </c>
      <c r="E57" s="266">
        <v>3</v>
      </c>
      <c r="F57" s="258">
        <v>13</v>
      </c>
      <c r="H57" s="14"/>
      <c r="I57" s="14"/>
      <c r="J57" s="14"/>
      <c r="M57" s="239">
        <v>41813</v>
      </c>
      <c r="N57" s="229" t="s">
        <v>275</v>
      </c>
      <c r="O57" s="240">
        <v>0</v>
      </c>
      <c r="P57" s="266">
        <v>0</v>
      </c>
      <c r="Q57" s="266">
        <v>0</v>
      </c>
      <c r="R57" s="258">
        <v>0</v>
      </c>
      <c r="Y57" s="239">
        <v>41813</v>
      </c>
      <c r="Z57" s="229" t="s">
        <v>288</v>
      </c>
      <c r="AA57" s="240">
        <v>0</v>
      </c>
      <c r="AB57" s="266">
        <v>0</v>
      </c>
      <c r="AC57" s="266">
        <v>0</v>
      </c>
      <c r="AD57" s="258">
        <v>0</v>
      </c>
      <c r="AK57" s="239">
        <v>41813</v>
      </c>
      <c r="AL57" s="229" t="s">
        <v>285</v>
      </c>
      <c r="AM57" s="240">
        <v>0</v>
      </c>
      <c r="AN57" s="266">
        <v>0</v>
      </c>
      <c r="AO57" s="266">
        <v>0</v>
      </c>
      <c r="AP57" s="258">
        <v>0</v>
      </c>
      <c r="AW57" s="239">
        <v>41813</v>
      </c>
      <c r="AX57" s="229" t="s">
        <v>282</v>
      </c>
      <c r="AY57" s="240">
        <v>0</v>
      </c>
      <c r="AZ57" s="266">
        <v>0</v>
      </c>
      <c r="BA57" s="266">
        <v>0</v>
      </c>
      <c r="BB57" s="258">
        <v>0</v>
      </c>
      <c r="BI57" s="1"/>
      <c r="BJ57" s="241" t="s">
        <v>281</v>
      </c>
      <c r="BK57" s="242">
        <v>0</v>
      </c>
      <c r="BL57" s="267">
        <v>0</v>
      </c>
      <c r="BM57" s="267">
        <v>0</v>
      </c>
      <c r="BN57" s="247">
        <v>0</v>
      </c>
    </row>
    <row r="58" spans="1:66" x14ac:dyDescent="0.2">
      <c r="A58" s="1"/>
      <c r="B58" s="241" t="s">
        <v>292</v>
      </c>
      <c r="C58" s="242">
        <v>1</v>
      </c>
      <c r="D58" s="267">
        <v>1</v>
      </c>
      <c r="E58" s="267">
        <v>0</v>
      </c>
      <c r="F58" s="247">
        <v>2</v>
      </c>
      <c r="H58" s="14"/>
      <c r="I58" s="14"/>
      <c r="J58" s="14"/>
      <c r="M58" s="1"/>
      <c r="N58" s="241" t="s">
        <v>276</v>
      </c>
      <c r="O58" s="242">
        <v>2</v>
      </c>
      <c r="P58" s="267">
        <v>0</v>
      </c>
      <c r="Q58" s="267">
        <v>0</v>
      </c>
      <c r="R58" s="247">
        <v>2</v>
      </c>
      <c r="Y58" s="1"/>
      <c r="Z58" s="241" t="s">
        <v>289</v>
      </c>
      <c r="AA58" s="242">
        <v>0</v>
      </c>
      <c r="AB58" s="267">
        <v>0</v>
      </c>
      <c r="AC58" s="267">
        <v>0</v>
      </c>
      <c r="AD58" s="247">
        <v>0</v>
      </c>
      <c r="AK58" s="1"/>
      <c r="AL58" s="241" t="s">
        <v>286</v>
      </c>
      <c r="AM58" s="242">
        <v>0</v>
      </c>
      <c r="AN58" s="267">
        <v>0</v>
      </c>
      <c r="AO58" s="267">
        <v>0</v>
      </c>
      <c r="AP58" s="247">
        <v>0</v>
      </c>
      <c r="AW58" s="1"/>
      <c r="AX58" s="241" t="s">
        <v>283</v>
      </c>
      <c r="AY58" s="242">
        <v>0</v>
      </c>
      <c r="AZ58" s="267">
        <v>0</v>
      </c>
      <c r="BA58" s="267">
        <v>0</v>
      </c>
      <c r="BB58" s="247">
        <v>0</v>
      </c>
      <c r="BI58" s="239">
        <v>41809</v>
      </c>
      <c r="BJ58" s="229" t="s">
        <v>278</v>
      </c>
      <c r="BK58" s="240">
        <v>0</v>
      </c>
      <c r="BL58" s="266">
        <v>0</v>
      </c>
      <c r="BM58" s="266">
        <v>0</v>
      </c>
      <c r="BN58" s="258">
        <v>0</v>
      </c>
    </row>
    <row r="59" spans="1:66" x14ac:dyDescent="0.2">
      <c r="A59" s="1"/>
      <c r="B59" s="241" t="s">
        <v>293</v>
      </c>
      <c r="C59" s="242">
        <v>0</v>
      </c>
      <c r="D59" s="267">
        <v>0</v>
      </c>
      <c r="E59" s="267">
        <v>0</v>
      </c>
      <c r="F59" s="247">
        <v>0</v>
      </c>
      <c r="H59" s="14"/>
      <c r="I59" s="14"/>
      <c r="J59" s="14"/>
      <c r="M59" s="1"/>
      <c r="N59" s="241" t="s">
        <v>277</v>
      </c>
      <c r="O59" s="242">
        <v>0</v>
      </c>
      <c r="P59" s="267">
        <v>0</v>
      </c>
      <c r="Q59" s="267">
        <v>0</v>
      </c>
      <c r="R59" s="247">
        <v>0</v>
      </c>
      <c r="Y59" s="1"/>
      <c r="Z59" s="241" t="s">
        <v>290</v>
      </c>
      <c r="AA59" s="242">
        <v>0</v>
      </c>
      <c r="AB59" s="267">
        <v>0</v>
      </c>
      <c r="AC59" s="267">
        <v>0</v>
      </c>
      <c r="AD59" s="247">
        <v>0</v>
      </c>
      <c r="AK59" s="1"/>
      <c r="AL59" s="241" t="s">
        <v>287</v>
      </c>
      <c r="AM59" s="242">
        <v>0</v>
      </c>
      <c r="AN59" s="267">
        <v>0</v>
      </c>
      <c r="AO59" s="267">
        <v>0</v>
      </c>
      <c r="AP59" s="247">
        <v>0</v>
      </c>
      <c r="AW59" s="1"/>
      <c r="AX59" s="241" t="s">
        <v>284</v>
      </c>
      <c r="AY59" s="242">
        <v>0</v>
      </c>
      <c r="AZ59" s="267">
        <v>0</v>
      </c>
      <c r="BA59" s="267">
        <v>0</v>
      </c>
      <c r="BB59" s="247">
        <v>0</v>
      </c>
      <c r="BI59" s="1"/>
      <c r="BJ59" s="241" t="s">
        <v>279</v>
      </c>
      <c r="BK59" s="242">
        <v>0</v>
      </c>
      <c r="BL59" s="267">
        <v>0</v>
      </c>
      <c r="BM59" s="267">
        <v>0</v>
      </c>
      <c r="BN59" s="247">
        <v>0</v>
      </c>
    </row>
    <row r="60" spans="1:66" x14ac:dyDescent="0.2">
      <c r="A60" s="239">
        <v>41814</v>
      </c>
      <c r="B60" s="229" t="s">
        <v>291</v>
      </c>
      <c r="C60" s="240">
        <v>10</v>
      </c>
      <c r="D60" s="266">
        <v>4</v>
      </c>
      <c r="E60" s="266">
        <v>6</v>
      </c>
      <c r="F60" s="258">
        <v>20</v>
      </c>
      <c r="H60" s="14"/>
      <c r="I60" s="14"/>
      <c r="J60" s="14"/>
      <c r="M60" s="239">
        <v>41814</v>
      </c>
      <c r="N60" s="229" t="s">
        <v>275</v>
      </c>
      <c r="O60" s="240">
        <v>0</v>
      </c>
      <c r="P60" s="266">
        <v>0</v>
      </c>
      <c r="Q60" s="266">
        <v>0</v>
      </c>
      <c r="R60" s="258">
        <v>0</v>
      </c>
      <c r="Y60" s="239">
        <v>41814</v>
      </c>
      <c r="Z60" s="229" t="s">
        <v>288</v>
      </c>
      <c r="AA60" s="240">
        <v>0</v>
      </c>
      <c r="AB60" s="266">
        <v>0</v>
      </c>
      <c r="AC60" s="266">
        <v>0</v>
      </c>
      <c r="AD60" s="258">
        <v>0</v>
      </c>
      <c r="AK60" s="239">
        <v>41814</v>
      </c>
      <c r="AL60" s="229" t="s">
        <v>285</v>
      </c>
      <c r="AM60" s="240">
        <v>0</v>
      </c>
      <c r="AN60" s="266">
        <v>0</v>
      </c>
      <c r="AO60" s="266">
        <v>0</v>
      </c>
      <c r="AP60" s="258">
        <v>0</v>
      </c>
      <c r="AW60" s="239">
        <v>41814</v>
      </c>
      <c r="AX60" s="229" t="s">
        <v>282</v>
      </c>
      <c r="AY60" s="240">
        <v>0</v>
      </c>
      <c r="AZ60" s="266">
        <v>0</v>
      </c>
      <c r="BA60" s="266">
        <v>0</v>
      </c>
      <c r="BB60" s="258">
        <v>0</v>
      </c>
      <c r="BI60" s="1"/>
      <c r="BJ60" s="241" t="s">
        <v>280</v>
      </c>
      <c r="BK60" s="242">
        <v>0</v>
      </c>
      <c r="BL60" s="267">
        <v>0</v>
      </c>
      <c r="BM60" s="267">
        <v>0</v>
      </c>
      <c r="BN60" s="247">
        <v>0</v>
      </c>
    </row>
    <row r="61" spans="1:66" x14ac:dyDescent="0.2">
      <c r="A61" s="1"/>
      <c r="B61" s="241" t="s">
        <v>292</v>
      </c>
      <c r="C61" s="242">
        <v>1</v>
      </c>
      <c r="D61" s="267">
        <v>0</v>
      </c>
      <c r="E61" s="267">
        <v>1</v>
      </c>
      <c r="F61" s="247">
        <v>2</v>
      </c>
      <c r="H61" s="14"/>
      <c r="I61" s="14"/>
      <c r="J61" s="14"/>
      <c r="M61" s="1"/>
      <c r="N61" s="241" t="s">
        <v>276</v>
      </c>
      <c r="O61" s="242">
        <v>0</v>
      </c>
      <c r="P61" s="267">
        <v>0</v>
      </c>
      <c r="Q61" s="267">
        <v>1</v>
      </c>
      <c r="R61" s="247">
        <v>1</v>
      </c>
      <c r="Y61" s="1"/>
      <c r="Z61" s="241" t="s">
        <v>289</v>
      </c>
      <c r="AA61" s="242">
        <v>0</v>
      </c>
      <c r="AB61" s="267">
        <v>0</v>
      </c>
      <c r="AC61" s="267">
        <v>0</v>
      </c>
      <c r="AD61" s="247">
        <v>0</v>
      </c>
      <c r="AK61" s="1"/>
      <c r="AL61" s="241" t="s">
        <v>286</v>
      </c>
      <c r="AM61" s="242">
        <v>0</v>
      </c>
      <c r="AN61" s="267">
        <v>0</v>
      </c>
      <c r="AO61" s="267">
        <v>0</v>
      </c>
      <c r="AP61" s="247">
        <v>0</v>
      </c>
      <c r="AW61" s="1"/>
      <c r="AX61" s="241" t="s">
        <v>283</v>
      </c>
      <c r="AY61" s="242">
        <v>0</v>
      </c>
      <c r="AZ61" s="267">
        <v>0</v>
      </c>
      <c r="BA61" s="267">
        <v>0</v>
      </c>
      <c r="BB61" s="247">
        <v>0</v>
      </c>
      <c r="BI61" s="1"/>
      <c r="BJ61" s="241" t="s">
        <v>281</v>
      </c>
      <c r="BK61" s="242">
        <v>0</v>
      </c>
      <c r="BL61" s="267">
        <v>0</v>
      </c>
      <c r="BM61" s="267">
        <v>0</v>
      </c>
      <c r="BN61" s="247">
        <v>0</v>
      </c>
    </row>
    <row r="62" spans="1:66" x14ac:dyDescent="0.2">
      <c r="A62" s="1"/>
      <c r="B62" s="241" t="s">
        <v>293</v>
      </c>
      <c r="C62" s="242">
        <v>0</v>
      </c>
      <c r="D62" s="267">
        <v>0</v>
      </c>
      <c r="E62" s="267">
        <v>0</v>
      </c>
      <c r="F62" s="247">
        <v>0</v>
      </c>
      <c r="H62" s="14"/>
      <c r="I62" s="14"/>
      <c r="J62" s="14"/>
      <c r="M62" s="1"/>
      <c r="N62" s="241" t="s">
        <v>277</v>
      </c>
      <c r="O62" s="242">
        <v>0</v>
      </c>
      <c r="P62" s="267">
        <v>0</v>
      </c>
      <c r="Q62" s="267">
        <v>0</v>
      </c>
      <c r="R62" s="247">
        <v>0</v>
      </c>
      <c r="Y62" s="1"/>
      <c r="Z62" s="241" t="s">
        <v>290</v>
      </c>
      <c r="AA62" s="242">
        <v>0</v>
      </c>
      <c r="AB62" s="267">
        <v>0</v>
      </c>
      <c r="AC62" s="267">
        <v>0</v>
      </c>
      <c r="AD62" s="247">
        <v>0</v>
      </c>
      <c r="AK62" s="1"/>
      <c r="AL62" s="241" t="s">
        <v>287</v>
      </c>
      <c r="AM62" s="242">
        <v>0</v>
      </c>
      <c r="AN62" s="267">
        <v>0</v>
      </c>
      <c r="AO62" s="267">
        <v>0</v>
      </c>
      <c r="AP62" s="247">
        <v>0</v>
      </c>
      <c r="AW62" s="1"/>
      <c r="AX62" s="241" t="s">
        <v>284</v>
      </c>
      <c r="AY62" s="242">
        <v>0</v>
      </c>
      <c r="AZ62" s="267">
        <v>0</v>
      </c>
      <c r="BA62" s="267">
        <v>0</v>
      </c>
      <c r="BB62" s="247">
        <v>0</v>
      </c>
      <c r="BI62" s="239">
        <v>41810</v>
      </c>
      <c r="BJ62" s="229" t="s">
        <v>278</v>
      </c>
      <c r="BK62" s="240">
        <v>0</v>
      </c>
      <c r="BL62" s="266">
        <v>0</v>
      </c>
      <c r="BM62" s="266">
        <v>0</v>
      </c>
      <c r="BN62" s="258">
        <v>0</v>
      </c>
    </row>
    <row r="63" spans="1:66" x14ac:dyDescent="0.2">
      <c r="A63" s="239">
        <v>41815</v>
      </c>
      <c r="B63" s="229" t="s">
        <v>291</v>
      </c>
      <c r="C63" s="240">
        <v>7</v>
      </c>
      <c r="D63" s="266">
        <v>3</v>
      </c>
      <c r="E63" s="266">
        <v>8</v>
      </c>
      <c r="F63" s="258">
        <v>18</v>
      </c>
      <c r="H63" s="14"/>
      <c r="I63" s="14"/>
      <c r="J63" s="14"/>
      <c r="M63" s="239">
        <v>41815</v>
      </c>
      <c r="N63" s="229" t="s">
        <v>275</v>
      </c>
      <c r="O63" s="240">
        <v>0</v>
      </c>
      <c r="P63" s="266">
        <v>0</v>
      </c>
      <c r="Q63" s="266">
        <v>0</v>
      </c>
      <c r="R63" s="258">
        <v>0</v>
      </c>
      <c r="Y63" s="239">
        <v>41815</v>
      </c>
      <c r="Z63" s="229" t="s">
        <v>288</v>
      </c>
      <c r="AA63" s="240">
        <v>0</v>
      </c>
      <c r="AB63" s="266">
        <v>0</v>
      </c>
      <c r="AC63" s="266">
        <v>0</v>
      </c>
      <c r="AD63" s="258">
        <v>0</v>
      </c>
      <c r="AK63" s="239">
        <v>41815</v>
      </c>
      <c r="AL63" s="229" t="s">
        <v>285</v>
      </c>
      <c r="AM63" s="240">
        <v>0</v>
      </c>
      <c r="AN63" s="266">
        <v>0</v>
      </c>
      <c r="AO63" s="266">
        <v>0</v>
      </c>
      <c r="AP63" s="258">
        <v>0</v>
      </c>
      <c r="AW63" s="239">
        <v>41815</v>
      </c>
      <c r="AX63" s="229" t="s">
        <v>282</v>
      </c>
      <c r="AY63" s="240">
        <v>0</v>
      </c>
      <c r="AZ63" s="266">
        <v>0</v>
      </c>
      <c r="BA63" s="266">
        <v>0</v>
      </c>
      <c r="BB63" s="258">
        <v>0</v>
      </c>
      <c r="BI63" s="1"/>
      <c r="BJ63" s="241" t="s">
        <v>279</v>
      </c>
      <c r="BK63" s="242">
        <v>0</v>
      </c>
      <c r="BL63" s="267">
        <v>0</v>
      </c>
      <c r="BM63" s="267">
        <v>0</v>
      </c>
      <c r="BN63" s="247">
        <v>0</v>
      </c>
    </row>
    <row r="64" spans="1:66" x14ac:dyDescent="0.2">
      <c r="A64" s="1"/>
      <c r="B64" s="241" t="s">
        <v>292</v>
      </c>
      <c r="C64" s="242">
        <v>1</v>
      </c>
      <c r="D64" s="267">
        <v>0</v>
      </c>
      <c r="E64" s="267">
        <v>0</v>
      </c>
      <c r="F64" s="247">
        <v>1</v>
      </c>
      <c r="H64" s="14"/>
      <c r="I64" s="14"/>
      <c r="J64" s="14"/>
      <c r="M64" s="1"/>
      <c r="N64" s="241" t="s">
        <v>276</v>
      </c>
      <c r="O64" s="242">
        <v>0</v>
      </c>
      <c r="P64" s="267">
        <v>0</v>
      </c>
      <c r="Q64" s="267">
        <v>1</v>
      </c>
      <c r="R64" s="247">
        <v>1</v>
      </c>
      <c r="Y64" s="1"/>
      <c r="Z64" s="241" t="s">
        <v>289</v>
      </c>
      <c r="AA64" s="242">
        <v>0</v>
      </c>
      <c r="AB64" s="267">
        <v>0</v>
      </c>
      <c r="AC64" s="267">
        <v>0</v>
      </c>
      <c r="AD64" s="247">
        <v>0</v>
      </c>
      <c r="AK64" s="1"/>
      <c r="AL64" s="241" t="s">
        <v>286</v>
      </c>
      <c r="AM64" s="242">
        <v>0</v>
      </c>
      <c r="AN64" s="267">
        <v>0</v>
      </c>
      <c r="AO64" s="267">
        <v>0</v>
      </c>
      <c r="AP64" s="247">
        <v>0</v>
      </c>
      <c r="AW64" s="1"/>
      <c r="AX64" s="241" t="s">
        <v>283</v>
      </c>
      <c r="AY64" s="242">
        <v>0</v>
      </c>
      <c r="AZ64" s="267">
        <v>0</v>
      </c>
      <c r="BA64" s="267">
        <v>0</v>
      </c>
      <c r="BB64" s="247">
        <v>0</v>
      </c>
      <c r="BI64" s="1"/>
      <c r="BJ64" s="241" t="s">
        <v>280</v>
      </c>
      <c r="BK64" s="242">
        <v>0</v>
      </c>
      <c r="BL64" s="267">
        <v>0</v>
      </c>
      <c r="BM64" s="267">
        <v>0</v>
      </c>
      <c r="BN64" s="247">
        <v>0</v>
      </c>
    </row>
    <row r="65" spans="1:66" x14ac:dyDescent="0.2">
      <c r="A65" s="1"/>
      <c r="B65" s="241" t="s">
        <v>293</v>
      </c>
      <c r="C65" s="242">
        <v>0</v>
      </c>
      <c r="D65" s="267">
        <v>0</v>
      </c>
      <c r="E65" s="267">
        <v>0</v>
      </c>
      <c r="F65" s="247">
        <v>0</v>
      </c>
      <c r="H65" s="14"/>
      <c r="I65" s="14"/>
      <c r="J65" s="14"/>
      <c r="M65" s="1"/>
      <c r="N65" s="241" t="s">
        <v>277</v>
      </c>
      <c r="O65" s="242">
        <v>0</v>
      </c>
      <c r="P65" s="267">
        <v>0</v>
      </c>
      <c r="Q65" s="267">
        <v>0</v>
      </c>
      <c r="R65" s="247">
        <v>0</v>
      </c>
      <c r="Y65" s="1"/>
      <c r="Z65" s="241" t="s">
        <v>290</v>
      </c>
      <c r="AA65" s="242">
        <v>0</v>
      </c>
      <c r="AB65" s="267">
        <v>0</v>
      </c>
      <c r="AC65" s="267">
        <v>0</v>
      </c>
      <c r="AD65" s="247">
        <v>0</v>
      </c>
      <c r="AK65" s="1"/>
      <c r="AL65" s="241" t="s">
        <v>287</v>
      </c>
      <c r="AM65" s="242">
        <v>0</v>
      </c>
      <c r="AN65" s="267">
        <v>0</v>
      </c>
      <c r="AO65" s="267">
        <v>0</v>
      </c>
      <c r="AP65" s="247">
        <v>0</v>
      </c>
      <c r="AW65" s="1"/>
      <c r="AX65" s="241" t="s">
        <v>284</v>
      </c>
      <c r="AY65" s="242">
        <v>0</v>
      </c>
      <c r="AZ65" s="267">
        <v>0</v>
      </c>
      <c r="BA65" s="267">
        <v>0</v>
      </c>
      <c r="BB65" s="247">
        <v>0</v>
      </c>
      <c r="BI65" s="1"/>
      <c r="BJ65" s="241" t="s">
        <v>281</v>
      </c>
      <c r="BK65" s="242">
        <v>0</v>
      </c>
      <c r="BL65" s="267">
        <v>0</v>
      </c>
      <c r="BM65" s="267">
        <v>0</v>
      </c>
      <c r="BN65" s="247">
        <v>0</v>
      </c>
    </row>
    <row r="66" spans="1:66" x14ac:dyDescent="0.2">
      <c r="A66" s="239">
        <v>41816</v>
      </c>
      <c r="B66" s="229" t="s">
        <v>291</v>
      </c>
      <c r="C66" s="240">
        <v>0</v>
      </c>
      <c r="D66" s="266">
        <v>0</v>
      </c>
      <c r="E66" s="266">
        <v>0</v>
      </c>
      <c r="F66" s="258">
        <v>0</v>
      </c>
      <c r="H66" s="14"/>
      <c r="I66" s="14"/>
      <c r="J66" s="14"/>
      <c r="M66" s="239">
        <v>41816</v>
      </c>
      <c r="N66" s="229" t="s">
        <v>275</v>
      </c>
      <c r="O66" s="240">
        <v>0</v>
      </c>
      <c r="P66" s="266">
        <v>0</v>
      </c>
      <c r="Q66" s="266">
        <v>0</v>
      </c>
      <c r="R66" s="258">
        <v>0</v>
      </c>
      <c r="Y66" s="239">
        <v>41816</v>
      </c>
      <c r="Z66" s="229" t="s">
        <v>288</v>
      </c>
      <c r="AA66" s="240">
        <v>0</v>
      </c>
      <c r="AB66" s="266">
        <v>0</v>
      </c>
      <c r="AC66" s="266">
        <v>0</v>
      </c>
      <c r="AD66" s="258">
        <v>0</v>
      </c>
      <c r="AK66" s="239">
        <v>41816</v>
      </c>
      <c r="AL66" s="229" t="s">
        <v>285</v>
      </c>
      <c r="AM66" s="240">
        <v>0</v>
      </c>
      <c r="AN66" s="266">
        <v>0</v>
      </c>
      <c r="AO66" s="266">
        <v>0</v>
      </c>
      <c r="AP66" s="258">
        <v>0</v>
      </c>
      <c r="AW66" s="239">
        <v>41816</v>
      </c>
      <c r="AX66" s="229" t="s">
        <v>282</v>
      </c>
      <c r="AY66" s="240">
        <v>0</v>
      </c>
      <c r="AZ66" s="266">
        <v>0</v>
      </c>
      <c r="BA66" s="266">
        <v>0</v>
      </c>
      <c r="BB66" s="258">
        <v>0</v>
      </c>
      <c r="BI66" s="239">
        <v>41811</v>
      </c>
      <c r="BJ66" s="229" t="s">
        <v>278</v>
      </c>
      <c r="BK66" s="240">
        <v>0</v>
      </c>
      <c r="BL66" s="266">
        <v>0</v>
      </c>
      <c r="BM66" s="266">
        <v>0</v>
      </c>
      <c r="BN66" s="258">
        <v>0</v>
      </c>
    </row>
    <row r="67" spans="1:66" x14ac:dyDescent="0.2">
      <c r="A67" s="1"/>
      <c r="B67" s="241" t="s">
        <v>292</v>
      </c>
      <c r="C67" s="242">
        <v>0</v>
      </c>
      <c r="D67" s="267">
        <v>0</v>
      </c>
      <c r="E67" s="267">
        <v>0</v>
      </c>
      <c r="F67" s="247">
        <v>0</v>
      </c>
      <c r="H67" s="14"/>
      <c r="I67" s="14"/>
      <c r="J67" s="14"/>
      <c r="M67" s="1"/>
      <c r="N67" s="241" t="s">
        <v>276</v>
      </c>
      <c r="O67" s="242">
        <v>0</v>
      </c>
      <c r="P67" s="267">
        <v>0</v>
      </c>
      <c r="Q67" s="267">
        <v>0</v>
      </c>
      <c r="R67" s="247">
        <v>0</v>
      </c>
      <c r="Y67" s="1"/>
      <c r="Z67" s="241" t="s">
        <v>289</v>
      </c>
      <c r="AA67" s="242">
        <v>0</v>
      </c>
      <c r="AB67" s="267">
        <v>0</v>
      </c>
      <c r="AC67" s="267">
        <v>0</v>
      </c>
      <c r="AD67" s="247">
        <v>0</v>
      </c>
      <c r="AK67" s="1"/>
      <c r="AL67" s="241" t="s">
        <v>286</v>
      </c>
      <c r="AM67" s="242">
        <v>0</v>
      </c>
      <c r="AN67" s="267">
        <v>0</v>
      </c>
      <c r="AO67" s="267">
        <v>0</v>
      </c>
      <c r="AP67" s="247">
        <v>0</v>
      </c>
      <c r="AW67" s="1"/>
      <c r="AX67" s="241" t="s">
        <v>283</v>
      </c>
      <c r="AY67" s="242">
        <v>0</v>
      </c>
      <c r="AZ67" s="267">
        <v>0</v>
      </c>
      <c r="BA67" s="267">
        <v>0</v>
      </c>
      <c r="BB67" s="247">
        <v>0</v>
      </c>
      <c r="BI67" s="1"/>
      <c r="BJ67" s="241" t="s">
        <v>279</v>
      </c>
      <c r="BK67" s="242">
        <v>0</v>
      </c>
      <c r="BL67" s="267">
        <v>0</v>
      </c>
      <c r="BM67" s="267">
        <v>0</v>
      </c>
      <c r="BN67" s="247">
        <v>0</v>
      </c>
    </row>
    <row r="68" spans="1:66" x14ac:dyDescent="0.2">
      <c r="A68" s="1"/>
      <c r="B68" s="241" t="s">
        <v>293</v>
      </c>
      <c r="C68" s="242">
        <v>0</v>
      </c>
      <c r="D68" s="267">
        <v>0</v>
      </c>
      <c r="E68" s="267">
        <v>0</v>
      </c>
      <c r="F68" s="247">
        <v>0</v>
      </c>
      <c r="H68" s="14"/>
      <c r="I68" s="14"/>
      <c r="J68" s="14"/>
      <c r="M68" s="1"/>
      <c r="N68" s="241" t="s">
        <v>277</v>
      </c>
      <c r="O68" s="242">
        <v>0</v>
      </c>
      <c r="P68" s="267">
        <v>0</v>
      </c>
      <c r="Q68" s="267">
        <v>0</v>
      </c>
      <c r="R68" s="247">
        <v>0</v>
      </c>
      <c r="Y68" s="1"/>
      <c r="Z68" s="241" t="s">
        <v>290</v>
      </c>
      <c r="AA68" s="242">
        <v>0</v>
      </c>
      <c r="AB68" s="267">
        <v>0</v>
      </c>
      <c r="AC68" s="267">
        <v>0</v>
      </c>
      <c r="AD68" s="247">
        <v>0</v>
      </c>
      <c r="AK68" s="1"/>
      <c r="AL68" s="241" t="s">
        <v>287</v>
      </c>
      <c r="AM68" s="242">
        <v>0</v>
      </c>
      <c r="AN68" s="267">
        <v>0</v>
      </c>
      <c r="AO68" s="267">
        <v>0</v>
      </c>
      <c r="AP68" s="247">
        <v>0</v>
      </c>
      <c r="AW68" s="1"/>
      <c r="AX68" s="241" t="s">
        <v>284</v>
      </c>
      <c r="AY68" s="242">
        <v>0</v>
      </c>
      <c r="AZ68" s="267">
        <v>0</v>
      </c>
      <c r="BA68" s="267">
        <v>0</v>
      </c>
      <c r="BB68" s="247">
        <v>0</v>
      </c>
      <c r="BI68" s="1"/>
      <c r="BJ68" s="241" t="s">
        <v>280</v>
      </c>
      <c r="BK68" s="242">
        <v>0</v>
      </c>
      <c r="BL68" s="267">
        <v>0</v>
      </c>
      <c r="BM68" s="267">
        <v>0</v>
      </c>
      <c r="BN68" s="247">
        <v>0</v>
      </c>
    </row>
    <row r="69" spans="1:66" x14ac:dyDescent="0.2">
      <c r="A69" s="239">
        <v>41817</v>
      </c>
      <c r="B69" s="229" t="s">
        <v>291</v>
      </c>
      <c r="C69" s="240">
        <v>0</v>
      </c>
      <c r="D69" s="266">
        <v>0</v>
      </c>
      <c r="E69" s="266">
        <v>0</v>
      </c>
      <c r="F69" s="258">
        <v>0</v>
      </c>
      <c r="H69" s="14"/>
      <c r="I69" s="14"/>
      <c r="J69" s="14"/>
      <c r="M69" s="239">
        <v>41817</v>
      </c>
      <c r="N69" s="229" t="s">
        <v>275</v>
      </c>
      <c r="O69" s="240">
        <v>0</v>
      </c>
      <c r="P69" s="266">
        <v>0</v>
      </c>
      <c r="Q69" s="266">
        <v>0</v>
      </c>
      <c r="R69" s="258">
        <v>0</v>
      </c>
      <c r="Y69" s="239">
        <v>41817</v>
      </c>
      <c r="Z69" s="229" t="s">
        <v>288</v>
      </c>
      <c r="AA69" s="240">
        <v>0</v>
      </c>
      <c r="AB69" s="266">
        <v>0</v>
      </c>
      <c r="AC69" s="266">
        <v>0</v>
      </c>
      <c r="AD69" s="258">
        <v>0</v>
      </c>
      <c r="AK69" s="239">
        <v>41817</v>
      </c>
      <c r="AL69" s="229" t="s">
        <v>285</v>
      </c>
      <c r="AM69" s="240">
        <v>0</v>
      </c>
      <c r="AN69" s="266">
        <v>0</v>
      </c>
      <c r="AO69" s="266">
        <v>0</v>
      </c>
      <c r="AP69" s="258">
        <v>0</v>
      </c>
      <c r="AW69" s="239">
        <v>41817</v>
      </c>
      <c r="AX69" s="229" t="s">
        <v>282</v>
      </c>
      <c r="AY69" s="240">
        <v>0</v>
      </c>
      <c r="AZ69" s="266">
        <v>0</v>
      </c>
      <c r="BA69" s="266">
        <v>0</v>
      </c>
      <c r="BB69" s="258">
        <v>0</v>
      </c>
      <c r="BI69" s="1"/>
      <c r="BJ69" s="241" t="s">
        <v>281</v>
      </c>
      <c r="BK69" s="242">
        <v>0</v>
      </c>
      <c r="BL69" s="267">
        <v>0</v>
      </c>
      <c r="BM69" s="267">
        <v>0</v>
      </c>
      <c r="BN69" s="247">
        <v>0</v>
      </c>
    </row>
    <row r="70" spans="1:66" x14ac:dyDescent="0.2">
      <c r="A70" s="1"/>
      <c r="B70" s="241" t="s">
        <v>292</v>
      </c>
      <c r="C70" s="242">
        <v>0</v>
      </c>
      <c r="D70" s="267">
        <v>0</v>
      </c>
      <c r="E70" s="267">
        <v>0</v>
      </c>
      <c r="F70" s="247">
        <v>0</v>
      </c>
      <c r="H70" s="14"/>
      <c r="I70" s="14"/>
      <c r="J70" s="14"/>
      <c r="M70" s="1"/>
      <c r="N70" s="241" t="s">
        <v>276</v>
      </c>
      <c r="O70" s="242">
        <v>0</v>
      </c>
      <c r="P70" s="267">
        <v>0</v>
      </c>
      <c r="Q70" s="267">
        <v>0</v>
      </c>
      <c r="R70" s="247">
        <v>0</v>
      </c>
      <c r="Y70" s="1"/>
      <c r="Z70" s="241" t="s">
        <v>289</v>
      </c>
      <c r="AA70" s="242">
        <v>0</v>
      </c>
      <c r="AB70" s="267">
        <v>0</v>
      </c>
      <c r="AC70" s="267">
        <v>0</v>
      </c>
      <c r="AD70" s="247">
        <v>0</v>
      </c>
      <c r="AK70" s="1"/>
      <c r="AL70" s="241" t="s">
        <v>286</v>
      </c>
      <c r="AM70" s="242">
        <v>0</v>
      </c>
      <c r="AN70" s="267">
        <v>0</v>
      </c>
      <c r="AO70" s="267">
        <v>0</v>
      </c>
      <c r="AP70" s="247">
        <v>0</v>
      </c>
      <c r="AW70" s="1"/>
      <c r="AX70" s="241" t="s">
        <v>283</v>
      </c>
      <c r="AY70" s="242">
        <v>0</v>
      </c>
      <c r="AZ70" s="267">
        <v>0</v>
      </c>
      <c r="BA70" s="267">
        <v>0</v>
      </c>
      <c r="BB70" s="247">
        <v>0</v>
      </c>
      <c r="BI70" s="239">
        <v>41812</v>
      </c>
      <c r="BJ70" s="229" t="s">
        <v>278</v>
      </c>
      <c r="BK70" s="240">
        <v>0</v>
      </c>
      <c r="BL70" s="266">
        <v>0</v>
      </c>
      <c r="BM70" s="266">
        <v>0</v>
      </c>
      <c r="BN70" s="258">
        <v>0</v>
      </c>
    </row>
    <row r="71" spans="1:66" x14ac:dyDescent="0.2">
      <c r="A71" s="1"/>
      <c r="B71" s="241" t="s">
        <v>293</v>
      </c>
      <c r="C71" s="242">
        <v>0</v>
      </c>
      <c r="D71" s="267">
        <v>0</v>
      </c>
      <c r="E71" s="267">
        <v>0</v>
      </c>
      <c r="F71" s="247">
        <v>0</v>
      </c>
      <c r="H71" s="14"/>
      <c r="I71" s="14"/>
      <c r="J71" s="14"/>
      <c r="M71" s="1"/>
      <c r="N71" s="241" t="s">
        <v>277</v>
      </c>
      <c r="O71" s="242">
        <v>0</v>
      </c>
      <c r="P71" s="267">
        <v>0</v>
      </c>
      <c r="Q71" s="267">
        <v>0</v>
      </c>
      <c r="R71" s="247">
        <v>0</v>
      </c>
      <c r="Y71" s="1"/>
      <c r="Z71" s="241" t="s">
        <v>290</v>
      </c>
      <c r="AA71" s="242">
        <v>0</v>
      </c>
      <c r="AB71" s="267">
        <v>0</v>
      </c>
      <c r="AC71" s="267">
        <v>0</v>
      </c>
      <c r="AD71" s="247">
        <v>0</v>
      </c>
      <c r="AK71" s="1"/>
      <c r="AL71" s="241" t="s">
        <v>287</v>
      </c>
      <c r="AM71" s="242">
        <v>0</v>
      </c>
      <c r="AN71" s="267">
        <v>0</v>
      </c>
      <c r="AO71" s="267">
        <v>0</v>
      </c>
      <c r="AP71" s="247">
        <v>0</v>
      </c>
      <c r="AW71" s="1"/>
      <c r="AX71" s="241" t="s">
        <v>284</v>
      </c>
      <c r="AY71" s="242">
        <v>0</v>
      </c>
      <c r="AZ71" s="267">
        <v>0</v>
      </c>
      <c r="BA71" s="267">
        <v>0</v>
      </c>
      <c r="BB71" s="247">
        <v>0</v>
      </c>
      <c r="BI71" s="1"/>
      <c r="BJ71" s="241" t="s">
        <v>279</v>
      </c>
      <c r="BK71" s="242">
        <v>0</v>
      </c>
      <c r="BL71" s="267">
        <v>0</v>
      </c>
      <c r="BM71" s="267">
        <v>0</v>
      </c>
      <c r="BN71" s="247">
        <v>0</v>
      </c>
    </row>
    <row r="72" spans="1:66" x14ac:dyDescent="0.2">
      <c r="A72" s="239">
        <v>41818</v>
      </c>
      <c r="B72" s="229" t="s">
        <v>291</v>
      </c>
      <c r="C72" s="240">
        <v>7</v>
      </c>
      <c r="D72" s="266">
        <v>0</v>
      </c>
      <c r="E72" s="266">
        <v>0</v>
      </c>
      <c r="F72" s="258">
        <v>7</v>
      </c>
      <c r="H72" s="14"/>
      <c r="I72" s="14"/>
      <c r="J72" s="14"/>
      <c r="M72" s="239">
        <v>41818</v>
      </c>
      <c r="N72" s="229" t="s">
        <v>275</v>
      </c>
      <c r="O72" s="240">
        <v>0</v>
      </c>
      <c r="P72" s="266">
        <v>0</v>
      </c>
      <c r="Q72" s="266">
        <v>0</v>
      </c>
      <c r="R72" s="258">
        <v>0</v>
      </c>
      <c r="Y72" s="239">
        <v>41818</v>
      </c>
      <c r="Z72" s="229" t="s">
        <v>288</v>
      </c>
      <c r="AA72" s="240">
        <v>0</v>
      </c>
      <c r="AB72" s="266">
        <v>0</v>
      </c>
      <c r="AC72" s="266">
        <v>0</v>
      </c>
      <c r="AD72" s="258">
        <v>0</v>
      </c>
      <c r="AK72" s="239">
        <v>41818</v>
      </c>
      <c r="AL72" s="229" t="s">
        <v>285</v>
      </c>
      <c r="AM72" s="240">
        <v>0</v>
      </c>
      <c r="AN72" s="266">
        <v>0</v>
      </c>
      <c r="AO72" s="266">
        <v>0</v>
      </c>
      <c r="AP72" s="258">
        <v>0</v>
      </c>
      <c r="AW72" s="239">
        <v>41818</v>
      </c>
      <c r="AX72" s="229" t="s">
        <v>282</v>
      </c>
      <c r="AY72" s="240">
        <v>0</v>
      </c>
      <c r="AZ72" s="266">
        <v>0</v>
      </c>
      <c r="BA72" s="266">
        <v>0</v>
      </c>
      <c r="BB72" s="258">
        <v>0</v>
      </c>
      <c r="BI72" s="1"/>
      <c r="BJ72" s="241" t="s">
        <v>280</v>
      </c>
      <c r="BK72" s="242">
        <v>0</v>
      </c>
      <c r="BL72" s="267">
        <v>0</v>
      </c>
      <c r="BM72" s="267">
        <v>0</v>
      </c>
      <c r="BN72" s="247">
        <v>0</v>
      </c>
    </row>
    <row r="73" spans="1:66" x14ac:dyDescent="0.2">
      <c r="A73" s="1"/>
      <c r="B73" s="241" t="s">
        <v>292</v>
      </c>
      <c r="C73" s="242">
        <v>1</v>
      </c>
      <c r="D73" s="267">
        <v>0</v>
      </c>
      <c r="E73" s="267">
        <v>0</v>
      </c>
      <c r="F73" s="247">
        <v>1</v>
      </c>
      <c r="H73" s="14"/>
      <c r="I73" s="14"/>
      <c r="J73" s="14"/>
      <c r="M73" s="1"/>
      <c r="N73" s="241" t="s">
        <v>276</v>
      </c>
      <c r="O73" s="242">
        <v>5</v>
      </c>
      <c r="P73" s="267">
        <v>0</v>
      </c>
      <c r="Q73" s="267">
        <v>0</v>
      </c>
      <c r="R73" s="247">
        <v>5</v>
      </c>
      <c r="Y73" s="1"/>
      <c r="Z73" s="241" t="s">
        <v>289</v>
      </c>
      <c r="AA73" s="242">
        <v>0</v>
      </c>
      <c r="AB73" s="267">
        <v>0</v>
      </c>
      <c r="AC73" s="267">
        <v>0</v>
      </c>
      <c r="AD73" s="247">
        <v>0</v>
      </c>
      <c r="AK73" s="1"/>
      <c r="AL73" s="241" t="s">
        <v>286</v>
      </c>
      <c r="AM73" s="242">
        <v>0</v>
      </c>
      <c r="AN73" s="267">
        <v>0</v>
      </c>
      <c r="AO73" s="267">
        <v>0</v>
      </c>
      <c r="AP73" s="247">
        <v>0</v>
      </c>
      <c r="AW73" s="1"/>
      <c r="AX73" s="241" t="s">
        <v>283</v>
      </c>
      <c r="AY73" s="242">
        <v>0</v>
      </c>
      <c r="AZ73" s="267">
        <v>0</v>
      </c>
      <c r="BA73" s="267">
        <v>0</v>
      </c>
      <c r="BB73" s="247">
        <v>0</v>
      </c>
      <c r="BI73" s="1"/>
      <c r="BJ73" s="241" t="s">
        <v>281</v>
      </c>
      <c r="BK73" s="242">
        <v>0</v>
      </c>
      <c r="BL73" s="267">
        <v>0</v>
      </c>
      <c r="BM73" s="267">
        <v>0</v>
      </c>
      <c r="BN73" s="247">
        <v>0</v>
      </c>
    </row>
    <row r="74" spans="1:66" x14ac:dyDescent="0.2">
      <c r="A74" s="1"/>
      <c r="B74" s="241" t="s">
        <v>293</v>
      </c>
      <c r="C74" s="242">
        <v>0</v>
      </c>
      <c r="D74" s="267">
        <v>0</v>
      </c>
      <c r="E74" s="267">
        <v>0</v>
      </c>
      <c r="F74" s="247">
        <v>0</v>
      </c>
      <c r="H74" s="14"/>
      <c r="I74" s="14"/>
      <c r="J74" s="14"/>
      <c r="M74" s="1"/>
      <c r="N74" s="241" t="s">
        <v>277</v>
      </c>
      <c r="O74" s="242">
        <v>0</v>
      </c>
      <c r="P74" s="267">
        <v>0</v>
      </c>
      <c r="Q74" s="267">
        <v>0</v>
      </c>
      <c r="R74" s="247">
        <v>0</v>
      </c>
      <c r="Y74" s="1"/>
      <c r="Z74" s="241" t="s">
        <v>290</v>
      </c>
      <c r="AA74" s="242">
        <v>0</v>
      </c>
      <c r="AB74" s="267">
        <v>0</v>
      </c>
      <c r="AC74" s="267">
        <v>0</v>
      </c>
      <c r="AD74" s="247">
        <v>0</v>
      </c>
      <c r="AK74" s="1"/>
      <c r="AL74" s="241" t="s">
        <v>287</v>
      </c>
      <c r="AM74" s="242">
        <v>0</v>
      </c>
      <c r="AN74" s="267">
        <v>0</v>
      </c>
      <c r="AO74" s="267">
        <v>0</v>
      </c>
      <c r="AP74" s="247">
        <v>0</v>
      </c>
      <c r="AW74" s="1"/>
      <c r="AX74" s="241" t="s">
        <v>284</v>
      </c>
      <c r="AY74" s="242">
        <v>0</v>
      </c>
      <c r="AZ74" s="267">
        <v>0</v>
      </c>
      <c r="BA74" s="267">
        <v>0</v>
      </c>
      <c r="BB74" s="247">
        <v>0</v>
      </c>
      <c r="BI74" s="239">
        <v>41813</v>
      </c>
      <c r="BJ74" s="229" t="s">
        <v>278</v>
      </c>
      <c r="BK74" s="240">
        <v>0</v>
      </c>
      <c r="BL74" s="266">
        <v>0</v>
      </c>
      <c r="BM74" s="266">
        <v>0</v>
      </c>
      <c r="BN74" s="258">
        <v>0</v>
      </c>
    </row>
    <row r="75" spans="1:66" x14ac:dyDescent="0.2">
      <c r="A75" s="239">
        <v>41819</v>
      </c>
      <c r="B75" s="229" t="s">
        <v>291</v>
      </c>
      <c r="C75" s="240">
        <v>23</v>
      </c>
      <c r="D75" s="266">
        <v>0</v>
      </c>
      <c r="E75" s="266">
        <v>3</v>
      </c>
      <c r="F75" s="258">
        <v>26</v>
      </c>
      <c r="H75" s="14"/>
      <c r="I75" s="14"/>
      <c r="J75" s="14"/>
      <c r="M75" s="239">
        <v>41819</v>
      </c>
      <c r="N75" s="229" t="s">
        <v>275</v>
      </c>
      <c r="O75" s="240">
        <v>2</v>
      </c>
      <c r="P75" s="266">
        <v>0</v>
      </c>
      <c r="Q75" s="266">
        <v>0</v>
      </c>
      <c r="R75" s="258">
        <v>2</v>
      </c>
      <c r="Y75" s="239">
        <v>41819</v>
      </c>
      <c r="Z75" s="229" t="s">
        <v>288</v>
      </c>
      <c r="AA75" s="240">
        <v>0</v>
      </c>
      <c r="AB75" s="266">
        <v>0</v>
      </c>
      <c r="AC75" s="266">
        <v>0</v>
      </c>
      <c r="AD75" s="258">
        <v>0</v>
      </c>
      <c r="AK75" s="239">
        <v>41819</v>
      </c>
      <c r="AL75" s="229" t="s">
        <v>285</v>
      </c>
      <c r="AM75" s="240">
        <v>0</v>
      </c>
      <c r="AN75" s="266">
        <v>0</v>
      </c>
      <c r="AO75" s="266">
        <v>0</v>
      </c>
      <c r="AP75" s="258">
        <v>0</v>
      </c>
      <c r="AW75" s="239">
        <v>41819</v>
      </c>
      <c r="AX75" s="229" t="s">
        <v>282</v>
      </c>
      <c r="AY75" s="240">
        <v>0</v>
      </c>
      <c r="AZ75" s="266">
        <v>0</v>
      </c>
      <c r="BA75" s="266">
        <v>0</v>
      </c>
      <c r="BB75" s="258">
        <v>0</v>
      </c>
      <c r="BI75" s="1"/>
      <c r="BJ75" s="241" t="s">
        <v>279</v>
      </c>
      <c r="BK75" s="242">
        <v>0</v>
      </c>
      <c r="BL75" s="267">
        <v>0</v>
      </c>
      <c r="BM75" s="267">
        <v>0</v>
      </c>
      <c r="BN75" s="247">
        <v>0</v>
      </c>
    </row>
    <row r="76" spans="1:66" x14ac:dyDescent="0.2">
      <c r="A76" s="1"/>
      <c r="B76" s="241" t="s">
        <v>292</v>
      </c>
      <c r="C76" s="242">
        <v>0</v>
      </c>
      <c r="D76" s="267">
        <v>0</v>
      </c>
      <c r="E76" s="267">
        <v>0</v>
      </c>
      <c r="F76" s="247">
        <v>0</v>
      </c>
      <c r="H76" s="14"/>
      <c r="I76" s="14"/>
      <c r="J76" s="14"/>
      <c r="M76" s="1"/>
      <c r="N76" s="241" t="s">
        <v>276</v>
      </c>
      <c r="O76" s="242">
        <v>5</v>
      </c>
      <c r="P76" s="267">
        <v>0</v>
      </c>
      <c r="Q76" s="267">
        <v>1</v>
      </c>
      <c r="R76" s="247">
        <v>6</v>
      </c>
      <c r="Y76" s="1"/>
      <c r="Z76" s="241" t="s">
        <v>289</v>
      </c>
      <c r="AA76" s="242">
        <v>1</v>
      </c>
      <c r="AB76" s="267">
        <v>0</v>
      </c>
      <c r="AC76" s="267">
        <v>0</v>
      </c>
      <c r="AD76" s="247">
        <v>1</v>
      </c>
      <c r="AK76" s="1"/>
      <c r="AL76" s="241" t="s">
        <v>286</v>
      </c>
      <c r="AM76" s="242">
        <v>0</v>
      </c>
      <c r="AN76" s="267">
        <v>0</v>
      </c>
      <c r="AO76" s="267">
        <v>0</v>
      </c>
      <c r="AP76" s="247">
        <v>0</v>
      </c>
      <c r="AW76" s="1"/>
      <c r="AX76" s="241" t="s">
        <v>283</v>
      </c>
      <c r="AY76" s="242">
        <v>0</v>
      </c>
      <c r="AZ76" s="267">
        <v>0</v>
      </c>
      <c r="BA76" s="267">
        <v>0</v>
      </c>
      <c r="BB76" s="247">
        <v>0</v>
      </c>
      <c r="BI76" s="1"/>
      <c r="BJ76" s="241" t="s">
        <v>280</v>
      </c>
      <c r="BK76" s="242">
        <v>0</v>
      </c>
      <c r="BL76" s="267">
        <v>0</v>
      </c>
      <c r="BM76" s="267">
        <v>0</v>
      </c>
      <c r="BN76" s="247">
        <v>0</v>
      </c>
    </row>
    <row r="77" spans="1:66" x14ac:dyDescent="0.2">
      <c r="A77" s="1"/>
      <c r="B77" s="241" t="s">
        <v>293</v>
      </c>
      <c r="C77" s="242">
        <v>2</v>
      </c>
      <c r="D77" s="267">
        <v>0</v>
      </c>
      <c r="E77" s="267">
        <v>0</v>
      </c>
      <c r="F77" s="247">
        <v>2</v>
      </c>
      <c r="H77" s="14"/>
      <c r="I77" s="14"/>
      <c r="J77" s="14"/>
      <c r="M77" s="1"/>
      <c r="N77" s="241" t="s">
        <v>277</v>
      </c>
      <c r="O77" s="242">
        <v>0</v>
      </c>
      <c r="P77" s="267">
        <v>0</v>
      </c>
      <c r="Q77" s="267">
        <v>0</v>
      </c>
      <c r="R77" s="247">
        <v>0</v>
      </c>
      <c r="Y77" s="1"/>
      <c r="Z77" s="241" t="s">
        <v>290</v>
      </c>
      <c r="AA77" s="242">
        <v>0</v>
      </c>
      <c r="AB77" s="267">
        <v>0</v>
      </c>
      <c r="AC77" s="267">
        <v>0</v>
      </c>
      <c r="AD77" s="247">
        <v>0</v>
      </c>
      <c r="AK77" s="1"/>
      <c r="AL77" s="241" t="s">
        <v>287</v>
      </c>
      <c r="AM77" s="242">
        <v>0</v>
      </c>
      <c r="AN77" s="267">
        <v>0</v>
      </c>
      <c r="AO77" s="267">
        <v>0</v>
      </c>
      <c r="AP77" s="247">
        <v>0</v>
      </c>
      <c r="AW77" s="1"/>
      <c r="AX77" s="241" t="s">
        <v>284</v>
      </c>
      <c r="AY77" s="242">
        <v>0</v>
      </c>
      <c r="AZ77" s="267">
        <v>0</v>
      </c>
      <c r="BA77" s="267">
        <v>0</v>
      </c>
      <c r="BB77" s="247">
        <v>0</v>
      </c>
      <c r="BI77" s="1"/>
      <c r="BJ77" s="241" t="s">
        <v>281</v>
      </c>
      <c r="BK77" s="242">
        <v>0</v>
      </c>
      <c r="BL77" s="267">
        <v>0</v>
      </c>
      <c r="BM77" s="267">
        <v>0</v>
      </c>
      <c r="BN77" s="247">
        <v>0</v>
      </c>
    </row>
    <row r="78" spans="1:66" x14ac:dyDescent="0.2">
      <c r="A78" s="239">
        <v>41820</v>
      </c>
      <c r="B78" s="229" t="s">
        <v>291</v>
      </c>
      <c r="C78" s="240">
        <v>35</v>
      </c>
      <c r="D78" s="266">
        <v>0</v>
      </c>
      <c r="E78" s="266">
        <v>10</v>
      </c>
      <c r="F78" s="258">
        <v>45</v>
      </c>
      <c r="H78" s="14"/>
      <c r="I78" s="14"/>
      <c r="J78" s="14"/>
      <c r="M78" s="239">
        <v>41820</v>
      </c>
      <c r="N78" s="229" t="s">
        <v>275</v>
      </c>
      <c r="O78" s="240">
        <v>2</v>
      </c>
      <c r="P78" s="266">
        <v>0</v>
      </c>
      <c r="Q78" s="266">
        <v>1</v>
      </c>
      <c r="R78" s="258">
        <v>3</v>
      </c>
      <c r="Y78" s="239">
        <v>41820</v>
      </c>
      <c r="Z78" s="229" t="s">
        <v>288</v>
      </c>
      <c r="AA78" s="240">
        <v>1</v>
      </c>
      <c r="AB78" s="266">
        <v>0</v>
      </c>
      <c r="AC78" s="266">
        <v>0</v>
      </c>
      <c r="AD78" s="258">
        <v>1</v>
      </c>
      <c r="AK78" s="239">
        <v>41820</v>
      </c>
      <c r="AL78" s="229" t="s">
        <v>285</v>
      </c>
      <c r="AM78" s="240">
        <v>0</v>
      </c>
      <c r="AN78" s="266">
        <v>0</v>
      </c>
      <c r="AO78" s="266">
        <v>0</v>
      </c>
      <c r="AP78" s="258">
        <v>0</v>
      </c>
      <c r="AW78" s="239">
        <v>41820</v>
      </c>
      <c r="AX78" s="229" t="s">
        <v>282</v>
      </c>
      <c r="AY78" s="240">
        <v>0</v>
      </c>
      <c r="AZ78" s="266">
        <v>0</v>
      </c>
      <c r="BA78" s="266">
        <v>0</v>
      </c>
      <c r="BB78" s="258">
        <v>0</v>
      </c>
      <c r="BI78" s="239">
        <v>41814</v>
      </c>
      <c r="BJ78" s="229" t="s">
        <v>278</v>
      </c>
      <c r="BK78" s="240">
        <v>0</v>
      </c>
      <c r="BL78" s="266">
        <v>0</v>
      </c>
      <c r="BM78" s="266">
        <v>0</v>
      </c>
      <c r="BN78" s="258">
        <v>0</v>
      </c>
    </row>
    <row r="79" spans="1:66" x14ac:dyDescent="0.2">
      <c r="A79" s="1"/>
      <c r="B79" s="241" t="s">
        <v>292</v>
      </c>
      <c r="C79" s="242">
        <v>3</v>
      </c>
      <c r="D79" s="267">
        <v>0</v>
      </c>
      <c r="E79" s="267">
        <v>1</v>
      </c>
      <c r="F79" s="247">
        <v>4</v>
      </c>
      <c r="H79" s="14"/>
      <c r="I79" s="14"/>
      <c r="J79" s="14"/>
      <c r="M79" s="1"/>
      <c r="N79" s="241" t="s">
        <v>276</v>
      </c>
      <c r="O79" s="242">
        <v>3</v>
      </c>
      <c r="P79" s="267">
        <v>0</v>
      </c>
      <c r="Q79" s="267">
        <v>4</v>
      </c>
      <c r="R79" s="247">
        <v>7</v>
      </c>
      <c r="Y79" s="1"/>
      <c r="Z79" s="241" t="s">
        <v>289</v>
      </c>
      <c r="AA79" s="242">
        <v>0</v>
      </c>
      <c r="AB79" s="267">
        <v>0</v>
      </c>
      <c r="AC79" s="267">
        <v>0</v>
      </c>
      <c r="AD79" s="247">
        <v>0</v>
      </c>
      <c r="AK79" s="1"/>
      <c r="AL79" s="241" t="s">
        <v>286</v>
      </c>
      <c r="AM79" s="242">
        <v>0</v>
      </c>
      <c r="AN79" s="267">
        <v>0</v>
      </c>
      <c r="AO79" s="267">
        <v>0</v>
      </c>
      <c r="AP79" s="247">
        <v>0</v>
      </c>
      <c r="AW79" s="1"/>
      <c r="AX79" s="241" t="s">
        <v>283</v>
      </c>
      <c r="AY79" s="242">
        <v>0</v>
      </c>
      <c r="AZ79" s="267">
        <v>0</v>
      </c>
      <c r="BA79" s="267">
        <v>0</v>
      </c>
      <c r="BB79" s="247">
        <v>0</v>
      </c>
      <c r="BI79" s="1"/>
      <c r="BJ79" s="241" t="s">
        <v>279</v>
      </c>
      <c r="BK79" s="242">
        <v>0</v>
      </c>
      <c r="BL79" s="267">
        <v>0</v>
      </c>
      <c r="BM79" s="267">
        <v>0</v>
      </c>
      <c r="BN79" s="247">
        <v>0</v>
      </c>
    </row>
    <row r="80" spans="1:66" x14ac:dyDescent="0.2">
      <c r="A80" s="1"/>
      <c r="B80" s="241" t="s">
        <v>293</v>
      </c>
      <c r="C80" s="242">
        <v>0</v>
      </c>
      <c r="D80" s="267">
        <v>0</v>
      </c>
      <c r="E80" s="267">
        <v>0</v>
      </c>
      <c r="F80" s="247">
        <v>0</v>
      </c>
      <c r="H80" s="14"/>
      <c r="I80" s="14"/>
      <c r="J80" s="14"/>
      <c r="M80" s="1"/>
      <c r="N80" s="241" t="s">
        <v>277</v>
      </c>
      <c r="O80" s="242">
        <v>0</v>
      </c>
      <c r="P80" s="267">
        <v>0</v>
      </c>
      <c r="Q80" s="267">
        <v>0</v>
      </c>
      <c r="R80" s="247">
        <v>0</v>
      </c>
      <c r="Y80" s="1"/>
      <c r="Z80" s="241" t="s">
        <v>290</v>
      </c>
      <c r="AA80" s="242">
        <v>0</v>
      </c>
      <c r="AB80" s="267">
        <v>0</v>
      </c>
      <c r="AC80" s="267">
        <v>0</v>
      </c>
      <c r="AD80" s="247">
        <v>0</v>
      </c>
      <c r="AK80" s="1"/>
      <c r="AL80" s="241" t="s">
        <v>287</v>
      </c>
      <c r="AM80" s="242">
        <v>0</v>
      </c>
      <c r="AN80" s="267">
        <v>0</v>
      </c>
      <c r="AO80" s="267">
        <v>0</v>
      </c>
      <c r="AP80" s="247">
        <v>0</v>
      </c>
      <c r="AW80" s="1"/>
      <c r="AX80" s="241" t="s">
        <v>284</v>
      </c>
      <c r="AY80" s="242">
        <v>0</v>
      </c>
      <c r="AZ80" s="267">
        <v>0</v>
      </c>
      <c r="BA80" s="267">
        <v>0</v>
      </c>
      <c r="BB80" s="247">
        <v>0</v>
      </c>
      <c r="BI80" s="1"/>
      <c r="BJ80" s="241" t="s">
        <v>280</v>
      </c>
      <c r="BK80" s="242">
        <v>0</v>
      </c>
      <c r="BL80" s="267">
        <v>0</v>
      </c>
      <c r="BM80" s="267">
        <v>0</v>
      </c>
      <c r="BN80" s="247">
        <v>0</v>
      </c>
    </row>
    <row r="81" spans="1:66" x14ac:dyDescent="0.2">
      <c r="A81" s="239">
        <v>41821</v>
      </c>
      <c r="B81" s="229" t="s">
        <v>291</v>
      </c>
      <c r="C81" s="240">
        <v>26</v>
      </c>
      <c r="D81" s="266">
        <v>1</v>
      </c>
      <c r="E81" s="266">
        <v>24</v>
      </c>
      <c r="F81" s="258">
        <v>51</v>
      </c>
      <c r="H81" s="14"/>
      <c r="I81" s="14"/>
      <c r="J81" s="14"/>
      <c r="M81" s="239">
        <v>41821</v>
      </c>
      <c r="N81" s="229" t="s">
        <v>275</v>
      </c>
      <c r="O81" s="240">
        <v>1</v>
      </c>
      <c r="P81" s="266">
        <v>0</v>
      </c>
      <c r="Q81" s="266">
        <v>2</v>
      </c>
      <c r="R81" s="258">
        <v>3</v>
      </c>
      <c r="Y81" s="239">
        <v>41821</v>
      </c>
      <c r="Z81" s="229" t="s">
        <v>288</v>
      </c>
      <c r="AA81" s="240">
        <v>0</v>
      </c>
      <c r="AB81" s="266">
        <v>0</v>
      </c>
      <c r="AC81" s="266">
        <v>0</v>
      </c>
      <c r="AD81" s="258">
        <v>0</v>
      </c>
      <c r="AK81" s="239">
        <v>41821</v>
      </c>
      <c r="AL81" s="229" t="s">
        <v>285</v>
      </c>
      <c r="AM81" s="240">
        <v>0</v>
      </c>
      <c r="AN81" s="266">
        <v>0</v>
      </c>
      <c r="AO81" s="266">
        <v>0</v>
      </c>
      <c r="AP81" s="258">
        <v>0</v>
      </c>
      <c r="AW81" s="239">
        <v>41821</v>
      </c>
      <c r="AX81" s="229" t="s">
        <v>282</v>
      </c>
      <c r="AY81" s="240">
        <v>0</v>
      </c>
      <c r="AZ81" s="266">
        <v>0</v>
      </c>
      <c r="BA81" s="266">
        <v>0</v>
      </c>
      <c r="BB81" s="258">
        <v>0</v>
      </c>
      <c r="BI81" s="1"/>
      <c r="BJ81" s="241" t="s">
        <v>281</v>
      </c>
      <c r="BK81" s="242">
        <v>0</v>
      </c>
      <c r="BL81" s="267">
        <v>0</v>
      </c>
      <c r="BM81" s="267">
        <v>0</v>
      </c>
      <c r="BN81" s="247">
        <v>0</v>
      </c>
    </row>
    <row r="82" spans="1:66" x14ac:dyDescent="0.2">
      <c r="A82" s="1"/>
      <c r="B82" s="241" t="s">
        <v>292</v>
      </c>
      <c r="C82" s="242">
        <v>2</v>
      </c>
      <c r="D82" s="267">
        <v>0</v>
      </c>
      <c r="E82" s="267">
        <v>3</v>
      </c>
      <c r="F82" s="247">
        <v>5</v>
      </c>
      <c r="H82" s="14"/>
      <c r="I82" s="14"/>
      <c r="J82" s="14"/>
      <c r="M82" s="1"/>
      <c r="N82" s="241" t="s">
        <v>276</v>
      </c>
      <c r="O82" s="242">
        <v>1</v>
      </c>
      <c r="P82" s="267">
        <v>1</v>
      </c>
      <c r="Q82" s="267">
        <v>7</v>
      </c>
      <c r="R82" s="247">
        <v>9</v>
      </c>
      <c r="Y82" s="1"/>
      <c r="Z82" s="241" t="s">
        <v>289</v>
      </c>
      <c r="AA82" s="242">
        <v>0</v>
      </c>
      <c r="AB82" s="267">
        <v>0</v>
      </c>
      <c r="AC82" s="267">
        <v>0</v>
      </c>
      <c r="AD82" s="247">
        <v>0</v>
      </c>
      <c r="AK82" s="1"/>
      <c r="AL82" s="241" t="s">
        <v>286</v>
      </c>
      <c r="AM82" s="242">
        <v>0</v>
      </c>
      <c r="AN82" s="267">
        <v>0</v>
      </c>
      <c r="AO82" s="267">
        <v>0</v>
      </c>
      <c r="AP82" s="247">
        <v>0</v>
      </c>
      <c r="AW82" s="1"/>
      <c r="AX82" s="241" t="s">
        <v>283</v>
      </c>
      <c r="AY82" s="242">
        <v>0</v>
      </c>
      <c r="AZ82" s="267">
        <v>0</v>
      </c>
      <c r="BA82" s="267">
        <v>0</v>
      </c>
      <c r="BB82" s="247">
        <v>0</v>
      </c>
      <c r="BI82" s="239">
        <v>41815</v>
      </c>
      <c r="BJ82" s="229" t="s">
        <v>278</v>
      </c>
      <c r="BK82" s="240">
        <v>0</v>
      </c>
      <c r="BL82" s="266">
        <v>0</v>
      </c>
      <c r="BM82" s="266">
        <v>0</v>
      </c>
      <c r="BN82" s="258">
        <v>0</v>
      </c>
    </row>
    <row r="83" spans="1:66" x14ac:dyDescent="0.2">
      <c r="A83" s="1"/>
      <c r="B83" s="241" t="s">
        <v>293</v>
      </c>
      <c r="C83" s="242">
        <v>2</v>
      </c>
      <c r="D83" s="267">
        <v>0</v>
      </c>
      <c r="E83" s="267">
        <v>0</v>
      </c>
      <c r="F83" s="247">
        <v>2</v>
      </c>
      <c r="H83" s="14"/>
      <c r="I83" s="14"/>
      <c r="J83" s="14"/>
      <c r="M83" s="1"/>
      <c r="N83" s="241" t="s">
        <v>277</v>
      </c>
      <c r="O83" s="242">
        <v>0</v>
      </c>
      <c r="P83" s="267">
        <v>0</v>
      </c>
      <c r="Q83" s="267">
        <v>0</v>
      </c>
      <c r="R83" s="247">
        <v>0</v>
      </c>
      <c r="Y83" s="1"/>
      <c r="Z83" s="241" t="s">
        <v>290</v>
      </c>
      <c r="AA83" s="242">
        <v>0</v>
      </c>
      <c r="AB83" s="267">
        <v>0</v>
      </c>
      <c r="AC83" s="267">
        <v>0</v>
      </c>
      <c r="AD83" s="247">
        <v>0</v>
      </c>
      <c r="AK83" s="1"/>
      <c r="AL83" s="241" t="s">
        <v>287</v>
      </c>
      <c r="AM83" s="242">
        <v>0</v>
      </c>
      <c r="AN83" s="267">
        <v>0</v>
      </c>
      <c r="AO83" s="267">
        <v>0</v>
      </c>
      <c r="AP83" s="247">
        <v>0</v>
      </c>
      <c r="AW83" s="1"/>
      <c r="AX83" s="241" t="s">
        <v>284</v>
      </c>
      <c r="AY83" s="242">
        <v>0</v>
      </c>
      <c r="AZ83" s="267">
        <v>0</v>
      </c>
      <c r="BA83" s="267">
        <v>0</v>
      </c>
      <c r="BB83" s="247">
        <v>0</v>
      </c>
      <c r="BI83" s="1"/>
      <c r="BJ83" s="241" t="s">
        <v>279</v>
      </c>
      <c r="BK83" s="242">
        <v>0</v>
      </c>
      <c r="BL83" s="267">
        <v>0</v>
      </c>
      <c r="BM83" s="267">
        <v>0</v>
      </c>
      <c r="BN83" s="247">
        <v>0</v>
      </c>
    </row>
    <row r="84" spans="1:66" x14ac:dyDescent="0.2">
      <c r="A84" s="239">
        <v>41822</v>
      </c>
      <c r="B84" s="229" t="s">
        <v>291</v>
      </c>
      <c r="C84" s="240">
        <v>4</v>
      </c>
      <c r="D84" s="266">
        <v>3</v>
      </c>
      <c r="E84" s="266">
        <v>16</v>
      </c>
      <c r="F84" s="258">
        <v>23</v>
      </c>
      <c r="H84" s="14"/>
      <c r="I84" s="14"/>
      <c r="J84" s="14"/>
      <c r="M84" s="239">
        <v>41822</v>
      </c>
      <c r="N84" s="229" t="s">
        <v>275</v>
      </c>
      <c r="O84" s="240">
        <v>2</v>
      </c>
      <c r="P84" s="266">
        <v>0</v>
      </c>
      <c r="Q84" s="266">
        <v>1</v>
      </c>
      <c r="R84" s="258">
        <v>3</v>
      </c>
      <c r="Y84" s="239">
        <v>41822</v>
      </c>
      <c r="Z84" s="229" t="s">
        <v>288</v>
      </c>
      <c r="AA84" s="240">
        <v>0</v>
      </c>
      <c r="AB84" s="266">
        <v>0</v>
      </c>
      <c r="AC84" s="266">
        <v>0</v>
      </c>
      <c r="AD84" s="258">
        <v>0</v>
      </c>
      <c r="AK84" s="239">
        <v>41822</v>
      </c>
      <c r="AL84" s="229" t="s">
        <v>285</v>
      </c>
      <c r="AM84" s="240">
        <v>0</v>
      </c>
      <c r="AN84" s="266">
        <v>0</v>
      </c>
      <c r="AO84" s="266">
        <v>0</v>
      </c>
      <c r="AP84" s="258">
        <v>0</v>
      </c>
      <c r="AW84" s="239">
        <v>41822</v>
      </c>
      <c r="AX84" s="229" t="s">
        <v>282</v>
      </c>
      <c r="AY84" s="240">
        <v>0</v>
      </c>
      <c r="AZ84" s="266">
        <v>0</v>
      </c>
      <c r="BA84" s="266">
        <v>0</v>
      </c>
      <c r="BB84" s="258">
        <v>0</v>
      </c>
      <c r="BI84" s="1"/>
      <c r="BJ84" s="241" t="s">
        <v>280</v>
      </c>
      <c r="BK84" s="242">
        <v>0</v>
      </c>
      <c r="BL84" s="267">
        <v>0</v>
      </c>
      <c r="BM84" s="267">
        <v>0</v>
      </c>
      <c r="BN84" s="247">
        <v>0</v>
      </c>
    </row>
    <row r="85" spans="1:66" x14ac:dyDescent="0.2">
      <c r="A85" s="1"/>
      <c r="B85" s="241" t="s">
        <v>292</v>
      </c>
      <c r="C85" s="242">
        <v>0</v>
      </c>
      <c r="D85" s="267">
        <v>0</v>
      </c>
      <c r="E85" s="267">
        <v>0</v>
      </c>
      <c r="F85" s="247">
        <v>0</v>
      </c>
      <c r="H85" s="14"/>
      <c r="I85" s="14"/>
      <c r="J85" s="14"/>
      <c r="M85" s="1"/>
      <c r="N85" s="241" t="s">
        <v>276</v>
      </c>
      <c r="O85" s="242">
        <v>7</v>
      </c>
      <c r="P85" s="267">
        <v>2</v>
      </c>
      <c r="Q85" s="267">
        <v>4</v>
      </c>
      <c r="R85" s="247">
        <v>13</v>
      </c>
      <c r="Y85" s="1"/>
      <c r="Z85" s="241" t="s">
        <v>289</v>
      </c>
      <c r="AA85" s="242">
        <v>0</v>
      </c>
      <c r="AB85" s="267">
        <v>0</v>
      </c>
      <c r="AC85" s="267">
        <v>0</v>
      </c>
      <c r="AD85" s="247">
        <v>0</v>
      </c>
      <c r="AK85" s="1"/>
      <c r="AL85" s="241" t="s">
        <v>286</v>
      </c>
      <c r="AM85" s="242">
        <v>0</v>
      </c>
      <c r="AN85" s="267">
        <v>0</v>
      </c>
      <c r="AO85" s="267">
        <v>0</v>
      </c>
      <c r="AP85" s="247">
        <v>0</v>
      </c>
      <c r="AW85" s="1"/>
      <c r="AX85" s="241" t="s">
        <v>283</v>
      </c>
      <c r="AY85" s="242">
        <v>0</v>
      </c>
      <c r="AZ85" s="267">
        <v>0</v>
      </c>
      <c r="BA85" s="267">
        <v>0</v>
      </c>
      <c r="BB85" s="247">
        <v>0</v>
      </c>
      <c r="BI85" s="1"/>
      <c r="BJ85" s="241" t="s">
        <v>281</v>
      </c>
      <c r="BK85" s="242">
        <v>0</v>
      </c>
      <c r="BL85" s="267">
        <v>0</v>
      </c>
      <c r="BM85" s="267">
        <v>0</v>
      </c>
      <c r="BN85" s="247">
        <v>0</v>
      </c>
    </row>
    <row r="86" spans="1:66" x14ac:dyDescent="0.2">
      <c r="A86" s="1"/>
      <c r="B86" s="241" t="s">
        <v>293</v>
      </c>
      <c r="C86" s="242">
        <v>0</v>
      </c>
      <c r="D86" s="267">
        <v>0</v>
      </c>
      <c r="E86" s="267">
        <v>4</v>
      </c>
      <c r="F86" s="247">
        <v>4</v>
      </c>
      <c r="H86" s="14"/>
      <c r="I86" s="14"/>
      <c r="J86" s="14"/>
      <c r="M86" s="1"/>
      <c r="N86" s="241" t="s">
        <v>277</v>
      </c>
      <c r="O86" s="242">
        <v>0</v>
      </c>
      <c r="P86" s="267">
        <v>0</v>
      </c>
      <c r="Q86" s="267">
        <v>0</v>
      </c>
      <c r="R86" s="247">
        <v>0</v>
      </c>
      <c r="Y86" s="1"/>
      <c r="Z86" s="241" t="s">
        <v>290</v>
      </c>
      <c r="AA86" s="242">
        <v>0</v>
      </c>
      <c r="AB86" s="267">
        <v>0</v>
      </c>
      <c r="AC86" s="267">
        <v>0</v>
      </c>
      <c r="AD86" s="247">
        <v>0</v>
      </c>
      <c r="AK86" s="1"/>
      <c r="AL86" s="241" t="s">
        <v>287</v>
      </c>
      <c r="AM86" s="242">
        <v>0</v>
      </c>
      <c r="AN86" s="267">
        <v>0</v>
      </c>
      <c r="AO86" s="267">
        <v>0</v>
      </c>
      <c r="AP86" s="247">
        <v>0</v>
      </c>
      <c r="AW86" s="1"/>
      <c r="AX86" s="241" t="s">
        <v>284</v>
      </c>
      <c r="AY86" s="242">
        <v>0</v>
      </c>
      <c r="AZ86" s="267">
        <v>0</v>
      </c>
      <c r="BA86" s="267">
        <v>0</v>
      </c>
      <c r="BB86" s="247">
        <v>0</v>
      </c>
      <c r="BI86" s="239">
        <v>41816</v>
      </c>
      <c r="BJ86" s="229" t="s">
        <v>278</v>
      </c>
      <c r="BK86" s="240">
        <v>0</v>
      </c>
      <c r="BL86" s="266">
        <v>0</v>
      </c>
      <c r="BM86" s="266">
        <v>0</v>
      </c>
      <c r="BN86" s="258">
        <v>0</v>
      </c>
    </row>
    <row r="87" spans="1:66" x14ac:dyDescent="0.2">
      <c r="A87" s="239">
        <v>41823</v>
      </c>
      <c r="B87" s="229" t="s">
        <v>291</v>
      </c>
      <c r="C87" s="240">
        <v>3</v>
      </c>
      <c r="D87" s="266">
        <v>2</v>
      </c>
      <c r="E87" s="266">
        <v>9</v>
      </c>
      <c r="F87" s="258">
        <v>14</v>
      </c>
      <c r="H87" s="14"/>
      <c r="I87" s="14"/>
      <c r="J87" s="14"/>
      <c r="M87" s="239">
        <v>41823</v>
      </c>
      <c r="N87" s="229" t="s">
        <v>275</v>
      </c>
      <c r="O87" s="240">
        <v>0</v>
      </c>
      <c r="P87" s="266">
        <v>0</v>
      </c>
      <c r="Q87" s="266">
        <v>0</v>
      </c>
      <c r="R87" s="258">
        <v>0</v>
      </c>
      <c r="Y87" s="239">
        <v>41823</v>
      </c>
      <c r="Z87" s="229" t="s">
        <v>288</v>
      </c>
      <c r="AA87" s="240">
        <v>1</v>
      </c>
      <c r="AB87" s="266">
        <v>0</v>
      </c>
      <c r="AC87" s="266">
        <v>0</v>
      </c>
      <c r="AD87" s="258">
        <v>1</v>
      </c>
      <c r="AK87" s="239">
        <v>41823</v>
      </c>
      <c r="AL87" s="229" t="s">
        <v>285</v>
      </c>
      <c r="AM87" s="240">
        <v>0</v>
      </c>
      <c r="AN87" s="266">
        <v>0</v>
      </c>
      <c r="AO87" s="266">
        <v>0</v>
      </c>
      <c r="AP87" s="258">
        <v>0</v>
      </c>
      <c r="AW87" s="239">
        <v>41823</v>
      </c>
      <c r="AX87" s="229" t="s">
        <v>282</v>
      </c>
      <c r="AY87" s="240">
        <v>0</v>
      </c>
      <c r="AZ87" s="266">
        <v>0</v>
      </c>
      <c r="BA87" s="266">
        <v>0</v>
      </c>
      <c r="BB87" s="258">
        <v>0</v>
      </c>
      <c r="BI87" s="1"/>
      <c r="BJ87" s="241" t="s">
        <v>279</v>
      </c>
      <c r="BK87" s="242">
        <v>0</v>
      </c>
      <c r="BL87" s="267">
        <v>0</v>
      </c>
      <c r="BM87" s="267">
        <v>0</v>
      </c>
      <c r="BN87" s="247">
        <v>0</v>
      </c>
    </row>
    <row r="88" spans="1:66" x14ac:dyDescent="0.2">
      <c r="A88" s="1"/>
      <c r="B88" s="241" t="s">
        <v>292</v>
      </c>
      <c r="C88" s="242">
        <v>0</v>
      </c>
      <c r="D88" s="267">
        <v>0</v>
      </c>
      <c r="E88" s="267">
        <v>1</v>
      </c>
      <c r="F88" s="247">
        <v>1</v>
      </c>
      <c r="H88" s="14"/>
      <c r="I88" s="14"/>
      <c r="J88" s="14"/>
      <c r="M88" s="1"/>
      <c r="N88" s="241" t="s">
        <v>276</v>
      </c>
      <c r="O88" s="242">
        <v>4</v>
      </c>
      <c r="P88" s="267">
        <v>2</v>
      </c>
      <c r="Q88" s="267">
        <v>1</v>
      </c>
      <c r="R88" s="247">
        <v>7</v>
      </c>
      <c r="Y88" s="1"/>
      <c r="Z88" s="241" t="s">
        <v>289</v>
      </c>
      <c r="AA88" s="242">
        <v>0</v>
      </c>
      <c r="AB88" s="267">
        <v>0</v>
      </c>
      <c r="AC88" s="267">
        <v>0</v>
      </c>
      <c r="AD88" s="247">
        <v>0</v>
      </c>
      <c r="AK88" s="1"/>
      <c r="AL88" s="241" t="s">
        <v>286</v>
      </c>
      <c r="AM88" s="242">
        <v>0</v>
      </c>
      <c r="AN88" s="267">
        <v>0</v>
      </c>
      <c r="AO88" s="267">
        <v>0</v>
      </c>
      <c r="AP88" s="247">
        <v>0</v>
      </c>
      <c r="AW88" s="1"/>
      <c r="AX88" s="241" t="s">
        <v>283</v>
      </c>
      <c r="AY88" s="242">
        <v>0</v>
      </c>
      <c r="AZ88" s="267">
        <v>0</v>
      </c>
      <c r="BA88" s="267">
        <v>0</v>
      </c>
      <c r="BB88" s="247">
        <v>0</v>
      </c>
      <c r="BI88" s="1"/>
      <c r="BJ88" s="241" t="s">
        <v>280</v>
      </c>
      <c r="BK88" s="242">
        <v>0</v>
      </c>
      <c r="BL88" s="267">
        <v>0</v>
      </c>
      <c r="BM88" s="267">
        <v>0</v>
      </c>
      <c r="BN88" s="247">
        <v>0</v>
      </c>
    </row>
    <row r="89" spans="1:66" x14ac:dyDescent="0.2">
      <c r="A89" s="1"/>
      <c r="B89" s="241" t="s">
        <v>293</v>
      </c>
      <c r="C89" s="242">
        <v>0</v>
      </c>
      <c r="D89" s="267">
        <v>0</v>
      </c>
      <c r="E89" s="267">
        <v>0</v>
      </c>
      <c r="F89" s="247">
        <v>0</v>
      </c>
      <c r="H89" s="14"/>
      <c r="I89" s="14"/>
      <c r="J89" s="14"/>
      <c r="M89" s="1"/>
      <c r="N89" s="241" t="s">
        <v>277</v>
      </c>
      <c r="O89" s="242">
        <v>0</v>
      </c>
      <c r="P89" s="267">
        <v>0</v>
      </c>
      <c r="Q89" s="267">
        <v>0</v>
      </c>
      <c r="R89" s="247">
        <v>0</v>
      </c>
      <c r="Y89" s="1"/>
      <c r="Z89" s="241" t="s">
        <v>290</v>
      </c>
      <c r="AA89" s="242">
        <v>0</v>
      </c>
      <c r="AB89" s="267">
        <v>0</v>
      </c>
      <c r="AC89" s="267">
        <v>0</v>
      </c>
      <c r="AD89" s="247">
        <v>0</v>
      </c>
      <c r="AK89" s="1"/>
      <c r="AL89" s="241" t="s">
        <v>287</v>
      </c>
      <c r="AM89" s="242">
        <v>0</v>
      </c>
      <c r="AN89" s="267">
        <v>0</v>
      </c>
      <c r="AO89" s="267">
        <v>0</v>
      </c>
      <c r="AP89" s="247">
        <v>0</v>
      </c>
      <c r="AW89" s="1"/>
      <c r="AX89" s="241" t="s">
        <v>284</v>
      </c>
      <c r="AY89" s="242">
        <v>0</v>
      </c>
      <c r="AZ89" s="267">
        <v>0</v>
      </c>
      <c r="BA89" s="267">
        <v>0</v>
      </c>
      <c r="BB89" s="247">
        <v>0</v>
      </c>
      <c r="BI89" s="1"/>
      <c r="BJ89" s="241" t="s">
        <v>281</v>
      </c>
      <c r="BK89" s="242">
        <v>0</v>
      </c>
      <c r="BL89" s="267">
        <v>0</v>
      </c>
      <c r="BM89" s="267">
        <v>0</v>
      </c>
      <c r="BN89" s="247">
        <v>0</v>
      </c>
    </row>
    <row r="90" spans="1:66" x14ac:dyDescent="0.2">
      <c r="A90" s="239">
        <v>41824</v>
      </c>
      <c r="B90" s="229" t="s">
        <v>291</v>
      </c>
      <c r="C90" s="240">
        <v>10</v>
      </c>
      <c r="D90" s="266">
        <v>1</v>
      </c>
      <c r="E90" s="266">
        <v>17</v>
      </c>
      <c r="F90" s="258">
        <v>28</v>
      </c>
      <c r="H90" s="14"/>
      <c r="I90" s="14"/>
      <c r="J90" s="14"/>
      <c r="M90" s="239">
        <v>41824</v>
      </c>
      <c r="N90" s="229" t="s">
        <v>275</v>
      </c>
      <c r="O90" s="240">
        <v>2</v>
      </c>
      <c r="P90" s="266">
        <v>0</v>
      </c>
      <c r="Q90" s="266">
        <v>0</v>
      </c>
      <c r="R90" s="258">
        <v>2</v>
      </c>
      <c r="Y90" s="239">
        <v>41824</v>
      </c>
      <c r="Z90" s="229" t="s">
        <v>288</v>
      </c>
      <c r="AA90" s="240">
        <v>0</v>
      </c>
      <c r="AB90" s="266">
        <v>0</v>
      </c>
      <c r="AC90" s="266">
        <v>0</v>
      </c>
      <c r="AD90" s="258">
        <v>0</v>
      </c>
      <c r="AK90" s="239">
        <v>41824</v>
      </c>
      <c r="AL90" s="229" t="s">
        <v>285</v>
      </c>
      <c r="AM90" s="240">
        <v>0</v>
      </c>
      <c r="AN90" s="266">
        <v>0</v>
      </c>
      <c r="AO90" s="266">
        <v>0</v>
      </c>
      <c r="AP90" s="258">
        <v>0</v>
      </c>
      <c r="AW90" s="239">
        <v>41824</v>
      </c>
      <c r="AX90" s="229" t="s">
        <v>282</v>
      </c>
      <c r="AY90" s="240">
        <v>0</v>
      </c>
      <c r="AZ90" s="266">
        <v>0</v>
      </c>
      <c r="BA90" s="266">
        <v>0</v>
      </c>
      <c r="BB90" s="258">
        <v>0</v>
      </c>
      <c r="BI90" s="239">
        <v>41817</v>
      </c>
      <c r="BJ90" s="229" t="s">
        <v>278</v>
      </c>
      <c r="BK90" s="240">
        <v>0</v>
      </c>
      <c r="BL90" s="266">
        <v>0</v>
      </c>
      <c r="BM90" s="266">
        <v>0</v>
      </c>
      <c r="BN90" s="258">
        <v>0</v>
      </c>
    </row>
    <row r="91" spans="1:66" x14ac:dyDescent="0.2">
      <c r="A91" s="1"/>
      <c r="B91" s="241" t="s">
        <v>292</v>
      </c>
      <c r="C91" s="242">
        <v>0</v>
      </c>
      <c r="D91" s="267">
        <v>0</v>
      </c>
      <c r="E91" s="267">
        <v>1</v>
      </c>
      <c r="F91" s="247">
        <v>1</v>
      </c>
      <c r="H91" s="14"/>
      <c r="I91" s="14"/>
      <c r="J91" s="14"/>
      <c r="M91" s="1"/>
      <c r="N91" s="241" t="s">
        <v>276</v>
      </c>
      <c r="O91" s="242">
        <v>1</v>
      </c>
      <c r="P91" s="267">
        <v>0</v>
      </c>
      <c r="Q91" s="267">
        <v>5</v>
      </c>
      <c r="R91" s="247">
        <v>6</v>
      </c>
      <c r="Y91" s="1"/>
      <c r="Z91" s="241" t="s">
        <v>289</v>
      </c>
      <c r="AA91" s="242">
        <v>0</v>
      </c>
      <c r="AB91" s="267">
        <v>0</v>
      </c>
      <c r="AC91" s="267">
        <v>0</v>
      </c>
      <c r="AD91" s="247">
        <v>0</v>
      </c>
      <c r="AK91" s="1"/>
      <c r="AL91" s="241" t="s">
        <v>286</v>
      </c>
      <c r="AM91" s="242">
        <v>0</v>
      </c>
      <c r="AN91" s="267">
        <v>0</v>
      </c>
      <c r="AO91" s="267">
        <v>0</v>
      </c>
      <c r="AP91" s="247">
        <v>0</v>
      </c>
      <c r="AW91" s="1"/>
      <c r="AX91" s="241" t="s">
        <v>283</v>
      </c>
      <c r="AY91" s="242">
        <v>0</v>
      </c>
      <c r="AZ91" s="267">
        <v>0</v>
      </c>
      <c r="BA91" s="267">
        <v>0</v>
      </c>
      <c r="BB91" s="247">
        <v>0</v>
      </c>
      <c r="BI91" s="1"/>
      <c r="BJ91" s="241" t="s">
        <v>279</v>
      </c>
      <c r="BK91" s="242">
        <v>0</v>
      </c>
      <c r="BL91" s="267">
        <v>0</v>
      </c>
      <c r="BM91" s="267">
        <v>0</v>
      </c>
      <c r="BN91" s="247">
        <v>0</v>
      </c>
    </row>
    <row r="92" spans="1:66" x14ac:dyDescent="0.2">
      <c r="A92" s="1"/>
      <c r="B92" s="241" t="s">
        <v>293</v>
      </c>
      <c r="C92" s="242">
        <v>0</v>
      </c>
      <c r="D92" s="267">
        <v>0</v>
      </c>
      <c r="E92" s="267">
        <v>1</v>
      </c>
      <c r="F92" s="247">
        <v>1</v>
      </c>
      <c r="H92" s="14"/>
      <c r="I92" s="14"/>
      <c r="J92" s="14"/>
      <c r="M92" s="1"/>
      <c r="N92" s="241" t="s">
        <v>277</v>
      </c>
      <c r="O92" s="242">
        <v>0</v>
      </c>
      <c r="P92" s="267">
        <v>0</v>
      </c>
      <c r="Q92" s="267">
        <v>0</v>
      </c>
      <c r="R92" s="247">
        <v>0</v>
      </c>
      <c r="Y92" s="1"/>
      <c r="Z92" s="241" t="s">
        <v>290</v>
      </c>
      <c r="AA92" s="242">
        <v>0</v>
      </c>
      <c r="AB92" s="267">
        <v>0</v>
      </c>
      <c r="AC92" s="267">
        <v>0</v>
      </c>
      <c r="AD92" s="247">
        <v>0</v>
      </c>
      <c r="AK92" s="1"/>
      <c r="AL92" s="241" t="s">
        <v>287</v>
      </c>
      <c r="AM92" s="242">
        <v>0</v>
      </c>
      <c r="AN92" s="267">
        <v>0</v>
      </c>
      <c r="AO92" s="267">
        <v>0</v>
      </c>
      <c r="AP92" s="247">
        <v>0</v>
      </c>
      <c r="AW92" s="1"/>
      <c r="AX92" s="241" t="s">
        <v>284</v>
      </c>
      <c r="AY92" s="242">
        <v>0</v>
      </c>
      <c r="AZ92" s="267">
        <v>0</v>
      </c>
      <c r="BA92" s="267">
        <v>0</v>
      </c>
      <c r="BB92" s="247">
        <v>0</v>
      </c>
      <c r="BI92" s="1"/>
      <c r="BJ92" s="241" t="s">
        <v>280</v>
      </c>
      <c r="BK92" s="242">
        <v>0</v>
      </c>
      <c r="BL92" s="267">
        <v>0</v>
      </c>
      <c r="BM92" s="267">
        <v>0</v>
      </c>
      <c r="BN92" s="247">
        <v>0</v>
      </c>
    </row>
    <row r="93" spans="1:66" x14ac:dyDescent="0.2">
      <c r="A93" s="239">
        <v>41825</v>
      </c>
      <c r="B93" s="229" t="s">
        <v>291</v>
      </c>
      <c r="C93" s="240">
        <v>9</v>
      </c>
      <c r="D93" s="266">
        <v>11</v>
      </c>
      <c r="E93" s="266">
        <v>16</v>
      </c>
      <c r="F93" s="258">
        <v>36</v>
      </c>
      <c r="H93" s="14"/>
      <c r="I93" s="14"/>
      <c r="J93" s="14"/>
      <c r="M93" s="239">
        <v>41825</v>
      </c>
      <c r="N93" s="229" t="s">
        <v>275</v>
      </c>
      <c r="O93" s="240">
        <v>2</v>
      </c>
      <c r="P93" s="266">
        <v>1</v>
      </c>
      <c r="Q93" s="266">
        <v>0</v>
      </c>
      <c r="R93" s="258">
        <v>3</v>
      </c>
      <c r="Y93" s="239">
        <v>41825</v>
      </c>
      <c r="Z93" s="229" t="s">
        <v>288</v>
      </c>
      <c r="AA93" s="240">
        <v>0</v>
      </c>
      <c r="AB93" s="266">
        <v>0</v>
      </c>
      <c r="AC93" s="266">
        <v>0</v>
      </c>
      <c r="AD93" s="258">
        <v>0</v>
      </c>
      <c r="AK93" s="239">
        <v>41825</v>
      </c>
      <c r="AL93" s="229" t="s">
        <v>285</v>
      </c>
      <c r="AM93" s="240">
        <v>0</v>
      </c>
      <c r="AN93" s="266">
        <v>0</v>
      </c>
      <c r="AO93" s="266">
        <v>0</v>
      </c>
      <c r="AP93" s="258">
        <v>0</v>
      </c>
      <c r="AW93" s="239">
        <v>41825</v>
      </c>
      <c r="AX93" s="229" t="s">
        <v>282</v>
      </c>
      <c r="AY93" s="240">
        <v>1</v>
      </c>
      <c r="AZ93" s="266">
        <v>0</v>
      </c>
      <c r="BA93" s="266">
        <v>0</v>
      </c>
      <c r="BB93" s="258">
        <v>1</v>
      </c>
      <c r="BI93" s="1"/>
      <c r="BJ93" s="241" t="s">
        <v>281</v>
      </c>
      <c r="BK93" s="242">
        <v>0</v>
      </c>
      <c r="BL93" s="267">
        <v>0</v>
      </c>
      <c r="BM93" s="267">
        <v>0</v>
      </c>
      <c r="BN93" s="247">
        <v>0</v>
      </c>
    </row>
    <row r="94" spans="1:66" x14ac:dyDescent="0.2">
      <c r="A94" s="1"/>
      <c r="B94" s="241" t="s">
        <v>292</v>
      </c>
      <c r="C94" s="242">
        <v>1</v>
      </c>
      <c r="D94" s="267">
        <v>0</v>
      </c>
      <c r="E94" s="267">
        <v>1</v>
      </c>
      <c r="F94" s="247">
        <v>2</v>
      </c>
      <c r="H94" s="14"/>
      <c r="I94" s="14"/>
      <c r="J94" s="14"/>
      <c r="M94" s="1"/>
      <c r="N94" s="241" t="s">
        <v>276</v>
      </c>
      <c r="O94" s="242">
        <v>3</v>
      </c>
      <c r="P94" s="267">
        <v>2</v>
      </c>
      <c r="Q94" s="267">
        <v>3</v>
      </c>
      <c r="R94" s="247">
        <v>8</v>
      </c>
      <c r="Y94" s="1"/>
      <c r="Z94" s="241" t="s">
        <v>289</v>
      </c>
      <c r="AA94" s="242">
        <v>0</v>
      </c>
      <c r="AB94" s="267">
        <v>0</v>
      </c>
      <c r="AC94" s="267">
        <v>0</v>
      </c>
      <c r="AD94" s="247">
        <v>0</v>
      </c>
      <c r="AK94" s="1"/>
      <c r="AL94" s="241" t="s">
        <v>286</v>
      </c>
      <c r="AM94" s="242">
        <v>0</v>
      </c>
      <c r="AN94" s="267">
        <v>0</v>
      </c>
      <c r="AO94" s="267">
        <v>0</v>
      </c>
      <c r="AP94" s="247">
        <v>0</v>
      </c>
      <c r="AW94" s="1"/>
      <c r="AX94" s="241" t="s">
        <v>283</v>
      </c>
      <c r="AY94" s="242">
        <v>0</v>
      </c>
      <c r="AZ94" s="267">
        <v>0</v>
      </c>
      <c r="BA94" s="267">
        <v>0</v>
      </c>
      <c r="BB94" s="247">
        <v>0</v>
      </c>
      <c r="BI94" s="239">
        <v>41818</v>
      </c>
      <c r="BJ94" s="229" t="s">
        <v>278</v>
      </c>
      <c r="BK94" s="240">
        <v>0</v>
      </c>
      <c r="BL94" s="266">
        <v>0</v>
      </c>
      <c r="BM94" s="266">
        <v>0</v>
      </c>
      <c r="BN94" s="258">
        <v>0</v>
      </c>
    </row>
    <row r="95" spans="1:66" x14ac:dyDescent="0.2">
      <c r="A95" s="1"/>
      <c r="B95" s="241" t="s">
        <v>293</v>
      </c>
      <c r="C95" s="242">
        <v>1</v>
      </c>
      <c r="D95" s="267">
        <v>0</v>
      </c>
      <c r="E95" s="267">
        <v>1</v>
      </c>
      <c r="F95" s="247">
        <v>2</v>
      </c>
      <c r="H95" s="14"/>
      <c r="I95" s="14"/>
      <c r="J95" s="14"/>
      <c r="M95" s="1"/>
      <c r="N95" s="241" t="s">
        <v>277</v>
      </c>
      <c r="O95" s="242">
        <v>0</v>
      </c>
      <c r="P95" s="267">
        <v>0</v>
      </c>
      <c r="Q95" s="267">
        <v>0</v>
      </c>
      <c r="R95" s="247">
        <v>0</v>
      </c>
      <c r="Y95" s="1"/>
      <c r="Z95" s="241" t="s">
        <v>290</v>
      </c>
      <c r="AA95" s="242">
        <v>0</v>
      </c>
      <c r="AB95" s="267">
        <v>0</v>
      </c>
      <c r="AC95" s="267">
        <v>0</v>
      </c>
      <c r="AD95" s="247">
        <v>0</v>
      </c>
      <c r="AK95" s="1"/>
      <c r="AL95" s="241" t="s">
        <v>287</v>
      </c>
      <c r="AM95" s="242">
        <v>0</v>
      </c>
      <c r="AN95" s="267">
        <v>0</v>
      </c>
      <c r="AO95" s="267">
        <v>0</v>
      </c>
      <c r="AP95" s="247">
        <v>0</v>
      </c>
      <c r="AW95" s="1"/>
      <c r="AX95" s="241" t="s">
        <v>284</v>
      </c>
      <c r="AY95" s="242">
        <v>0</v>
      </c>
      <c r="AZ95" s="267">
        <v>0</v>
      </c>
      <c r="BA95" s="267">
        <v>0</v>
      </c>
      <c r="BB95" s="247">
        <v>0</v>
      </c>
      <c r="BI95" s="1"/>
      <c r="BJ95" s="241" t="s">
        <v>279</v>
      </c>
      <c r="BK95" s="242">
        <v>0</v>
      </c>
      <c r="BL95" s="267">
        <v>0</v>
      </c>
      <c r="BM95" s="267">
        <v>0</v>
      </c>
      <c r="BN95" s="247">
        <v>0</v>
      </c>
    </row>
    <row r="96" spans="1:66" x14ac:dyDescent="0.2">
      <c r="A96" s="239">
        <v>41826</v>
      </c>
      <c r="B96" s="229" t="s">
        <v>291</v>
      </c>
      <c r="C96" s="240">
        <v>14</v>
      </c>
      <c r="D96" s="266">
        <v>5</v>
      </c>
      <c r="E96" s="266">
        <v>12</v>
      </c>
      <c r="F96" s="258">
        <v>31</v>
      </c>
      <c r="H96" s="14"/>
      <c r="I96" s="14"/>
      <c r="J96" s="14"/>
      <c r="M96" s="239">
        <v>41826</v>
      </c>
      <c r="N96" s="229" t="s">
        <v>275</v>
      </c>
      <c r="O96" s="240">
        <v>0</v>
      </c>
      <c r="P96" s="266">
        <v>0</v>
      </c>
      <c r="Q96" s="266">
        <v>2</v>
      </c>
      <c r="R96" s="258">
        <v>2</v>
      </c>
      <c r="Y96" s="239">
        <v>41826</v>
      </c>
      <c r="Z96" s="229" t="s">
        <v>288</v>
      </c>
      <c r="AA96" s="240">
        <v>1</v>
      </c>
      <c r="AB96" s="266">
        <v>1</v>
      </c>
      <c r="AC96" s="266">
        <v>0</v>
      </c>
      <c r="AD96" s="258">
        <v>2</v>
      </c>
      <c r="AK96" s="239">
        <v>41826</v>
      </c>
      <c r="AL96" s="229" t="s">
        <v>285</v>
      </c>
      <c r="AM96" s="240">
        <v>0</v>
      </c>
      <c r="AN96" s="266">
        <v>0</v>
      </c>
      <c r="AO96" s="266">
        <v>0</v>
      </c>
      <c r="AP96" s="258">
        <v>0</v>
      </c>
      <c r="AW96" s="239">
        <v>41826</v>
      </c>
      <c r="AX96" s="229" t="s">
        <v>282</v>
      </c>
      <c r="AY96" s="240">
        <v>0</v>
      </c>
      <c r="AZ96" s="266">
        <v>0</v>
      </c>
      <c r="BA96" s="266">
        <v>0</v>
      </c>
      <c r="BB96" s="258">
        <v>0</v>
      </c>
      <c r="BI96" s="1"/>
      <c r="BJ96" s="241" t="s">
        <v>280</v>
      </c>
      <c r="BK96" s="242">
        <v>0</v>
      </c>
      <c r="BL96" s="267">
        <v>0</v>
      </c>
      <c r="BM96" s="267">
        <v>0</v>
      </c>
      <c r="BN96" s="247">
        <v>0</v>
      </c>
    </row>
    <row r="97" spans="1:66" x14ac:dyDescent="0.2">
      <c r="A97" s="1"/>
      <c r="B97" s="241" t="s">
        <v>292</v>
      </c>
      <c r="C97" s="242">
        <v>0</v>
      </c>
      <c r="D97" s="267">
        <v>0</v>
      </c>
      <c r="E97" s="267">
        <v>1</v>
      </c>
      <c r="F97" s="247">
        <v>1</v>
      </c>
      <c r="H97" s="14"/>
      <c r="I97" s="14"/>
      <c r="J97" s="14"/>
      <c r="M97" s="1"/>
      <c r="N97" s="241" t="s">
        <v>276</v>
      </c>
      <c r="O97" s="242">
        <v>8</v>
      </c>
      <c r="P97" s="267">
        <v>0</v>
      </c>
      <c r="Q97" s="267">
        <v>7</v>
      </c>
      <c r="R97" s="247">
        <v>15</v>
      </c>
      <c r="Y97" s="1"/>
      <c r="Z97" s="241" t="s">
        <v>289</v>
      </c>
      <c r="AA97" s="242">
        <v>0</v>
      </c>
      <c r="AB97" s="267">
        <v>0</v>
      </c>
      <c r="AC97" s="267">
        <v>0</v>
      </c>
      <c r="AD97" s="247">
        <v>0</v>
      </c>
      <c r="AK97" s="1"/>
      <c r="AL97" s="241" t="s">
        <v>286</v>
      </c>
      <c r="AM97" s="242">
        <v>0</v>
      </c>
      <c r="AN97" s="267">
        <v>0</v>
      </c>
      <c r="AO97" s="267">
        <v>0</v>
      </c>
      <c r="AP97" s="247">
        <v>0</v>
      </c>
      <c r="AW97" s="1"/>
      <c r="AX97" s="241" t="s">
        <v>283</v>
      </c>
      <c r="AY97" s="242">
        <v>0</v>
      </c>
      <c r="AZ97" s="267">
        <v>0</v>
      </c>
      <c r="BA97" s="267">
        <v>0</v>
      </c>
      <c r="BB97" s="247">
        <v>0</v>
      </c>
      <c r="BI97" s="1"/>
      <c r="BJ97" s="241" t="s">
        <v>281</v>
      </c>
      <c r="BK97" s="242">
        <v>0</v>
      </c>
      <c r="BL97" s="267">
        <v>0</v>
      </c>
      <c r="BM97" s="267">
        <v>0</v>
      </c>
      <c r="BN97" s="247">
        <v>0</v>
      </c>
    </row>
    <row r="98" spans="1:66" x14ac:dyDescent="0.2">
      <c r="A98" s="1"/>
      <c r="B98" s="241" t="s">
        <v>293</v>
      </c>
      <c r="C98" s="242">
        <v>0</v>
      </c>
      <c r="D98" s="267">
        <v>0</v>
      </c>
      <c r="E98" s="267">
        <v>1</v>
      </c>
      <c r="F98" s="247">
        <v>1</v>
      </c>
      <c r="H98" s="14"/>
      <c r="I98" s="14"/>
      <c r="J98" s="14"/>
      <c r="M98" s="1"/>
      <c r="N98" s="241" t="s">
        <v>277</v>
      </c>
      <c r="O98" s="242">
        <v>0</v>
      </c>
      <c r="P98" s="267">
        <v>0</v>
      </c>
      <c r="Q98" s="267">
        <v>0</v>
      </c>
      <c r="R98" s="247">
        <v>0</v>
      </c>
      <c r="Y98" s="1"/>
      <c r="Z98" s="241" t="s">
        <v>290</v>
      </c>
      <c r="AA98" s="242">
        <v>0</v>
      </c>
      <c r="AB98" s="267">
        <v>0</v>
      </c>
      <c r="AC98" s="267">
        <v>0</v>
      </c>
      <c r="AD98" s="247">
        <v>0</v>
      </c>
      <c r="AK98" s="1"/>
      <c r="AL98" s="241" t="s">
        <v>287</v>
      </c>
      <c r="AM98" s="242">
        <v>0</v>
      </c>
      <c r="AN98" s="267">
        <v>0</v>
      </c>
      <c r="AO98" s="267">
        <v>0</v>
      </c>
      <c r="AP98" s="247">
        <v>0</v>
      </c>
      <c r="AW98" s="1"/>
      <c r="AX98" s="241" t="s">
        <v>284</v>
      </c>
      <c r="AY98" s="242">
        <v>0</v>
      </c>
      <c r="AZ98" s="267">
        <v>0</v>
      </c>
      <c r="BA98" s="267">
        <v>0</v>
      </c>
      <c r="BB98" s="247">
        <v>0</v>
      </c>
      <c r="BI98" s="239">
        <v>41819</v>
      </c>
      <c r="BJ98" s="229" t="s">
        <v>278</v>
      </c>
      <c r="BK98" s="240">
        <v>0</v>
      </c>
      <c r="BL98" s="266">
        <v>0</v>
      </c>
      <c r="BM98" s="266">
        <v>0</v>
      </c>
      <c r="BN98" s="258">
        <v>0</v>
      </c>
    </row>
    <row r="99" spans="1:66" x14ac:dyDescent="0.2">
      <c r="A99" s="239">
        <v>41827</v>
      </c>
      <c r="B99" s="229" t="s">
        <v>291</v>
      </c>
      <c r="C99" s="240">
        <v>7</v>
      </c>
      <c r="D99" s="266">
        <v>5</v>
      </c>
      <c r="E99" s="266">
        <v>13</v>
      </c>
      <c r="F99" s="258">
        <v>25</v>
      </c>
      <c r="H99" s="14"/>
      <c r="I99" s="14"/>
      <c r="J99" s="14"/>
      <c r="M99" s="239">
        <v>41827</v>
      </c>
      <c r="N99" s="229" t="s">
        <v>275</v>
      </c>
      <c r="O99" s="240">
        <v>0</v>
      </c>
      <c r="P99" s="266">
        <v>0</v>
      </c>
      <c r="Q99" s="266">
        <v>0</v>
      </c>
      <c r="R99" s="258">
        <v>0</v>
      </c>
      <c r="Y99" s="239">
        <v>41827</v>
      </c>
      <c r="Z99" s="229" t="s">
        <v>288</v>
      </c>
      <c r="AA99" s="240">
        <v>0</v>
      </c>
      <c r="AB99" s="266">
        <v>1</v>
      </c>
      <c r="AC99" s="266">
        <v>0</v>
      </c>
      <c r="AD99" s="258">
        <v>1</v>
      </c>
      <c r="AK99" s="239">
        <v>41827</v>
      </c>
      <c r="AL99" s="229" t="s">
        <v>285</v>
      </c>
      <c r="AM99" s="240">
        <v>0</v>
      </c>
      <c r="AN99" s="266">
        <v>0</v>
      </c>
      <c r="AO99" s="266">
        <v>0</v>
      </c>
      <c r="AP99" s="258">
        <v>0</v>
      </c>
      <c r="AW99" s="239">
        <v>41827</v>
      </c>
      <c r="AX99" s="229" t="s">
        <v>282</v>
      </c>
      <c r="AY99" s="240">
        <v>0</v>
      </c>
      <c r="AZ99" s="266">
        <v>0</v>
      </c>
      <c r="BA99" s="266">
        <v>0</v>
      </c>
      <c r="BB99" s="258">
        <v>0</v>
      </c>
      <c r="BI99" s="1"/>
      <c r="BJ99" s="241" t="s">
        <v>279</v>
      </c>
      <c r="BK99" s="242">
        <v>0</v>
      </c>
      <c r="BL99" s="267">
        <v>0</v>
      </c>
      <c r="BM99" s="267">
        <v>0</v>
      </c>
      <c r="BN99" s="247">
        <v>0</v>
      </c>
    </row>
    <row r="100" spans="1:66" x14ac:dyDescent="0.2">
      <c r="A100" s="1"/>
      <c r="B100" s="241" t="s">
        <v>292</v>
      </c>
      <c r="C100" s="242">
        <v>0</v>
      </c>
      <c r="D100" s="267">
        <v>0</v>
      </c>
      <c r="E100" s="267">
        <v>1</v>
      </c>
      <c r="F100" s="247">
        <v>1</v>
      </c>
      <c r="H100" s="14"/>
      <c r="I100" s="14"/>
      <c r="J100" s="14"/>
      <c r="M100" s="1"/>
      <c r="N100" s="241" t="s">
        <v>276</v>
      </c>
      <c r="O100" s="242">
        <v>0</v>
      </c>
      <c r="P100" s="267">
        <v>0</v>
      </c>
      <c r="Q100" s="267">
        <v>5</v>
      </c>
      <c r="R100" s="247">
        <v>5</v>
      </c>
      <c r="Y100" s="1"/>
      <c r="Z100" s="241" t="s">
        <v>289</v>
      </c>
      <c r="AA100" s="242">
        <v>0</v>
      </c>
      <c r="AB100" s="267">
        <v>0</v>
      </c>
      <c r="AC100" s="267">
        <v>0</v>
      </c>
      <c r="AD100" s="247">
        <v>0</v>
      </c>
      <c r="AK100" s="1"/>
      <c r="AL100" s="241" t="s">
        <v>286</v>
      </c>
      <c r="AM100" s="242">
        <v>0</v>
      </c>
      <c r="AN100" s="267">
        <v>0</v>
      </c>
      <c r="AO100" s="267">
        <v>0</v>
      </c>
      <c r="AP100" s="247">
        <v>0</v>
      </c>
      <c r="AW100" s="1"/>
      <c r="AX100" s="241" t="s">
        <v>283</v>
      </c>
      <c r="AY100" s="242">
        <v>0</v>
      </c>
      <c r="AZ100" s="267">
        <v>0</v>
      </c>
      <c r="BA100" s="267">
        <v>0</v>
      </c>
      <c r="BB100" s="247">
        <v>0</v>
      </c>
      <c r="BI100" s="1"/>
      <c r="BJ100" s="241" t="s">
        <v>280</v>
      </c>
      <c r="BK100" s="242">
        <v>0</v>
      </c>
      <c r="BL100" s="267">
        <v>0</v>
      </c>
      <c r="BM100" s="267">
        <v>0</v>
      </c>
      <c r="BN100" s="247">
        <v>0</v>
      </c>
    </row>
    <row r="101" spans="1:66" x14ac:dyDescent="0.2">
      <c r="A101" s="1"/>
      <c r="B101" s="241" t="s">
        <v>293</v>
      </c>
      <c r="C101" s="242">
        <v>0</v>
      </c>
      <c r="D101" s="267">
        <v>0</v>
      </c>
      <c r="E101" s="267">
        <v>2</v>
      </c>
      <c r="F101" s="247">
        <v>2</v>
      </c>
      <c r="H101" s="14"/>
      <c r="I101" s="14"/>
      <c r="J101" s="14"/>
      <c r="M101" s="1"/>
      <c r="N101" s="241" t="s">
        <v>277</v>
      </c>
      <c r="O101" s="242">
        <v>0</v>
      </c>
      <c r="P101" s="267">
        <v>0</v>
      </c>
      <c r="Q101" s="267">
        <v>0</v>
      </c>
      <c r="R101" s="247">
        <v>0</v>
      </c>
      <c r="Y101" s="1"/>
      <c r="Z101" s="241" t="s">
        <v>290</v>
      </c>
      <c r="AA101" s="242">
        <v>0</v>
      </c>
      <c r="AB101" s="267">
        <v>0</v>
      </c>
      <c r="AC101" s="267">
        <v>0</v>
      </c>
      <c r="AD101" s="247">
        <v>0</v>
      </c>
      <c r="AK101" s="1"/>
      <c r="AL101" s="241" t="s">
        <v>287</v>
      </c>
      <c r="AM101" s="242">
        <v>0</v>
      </c>
      <c r="AN101" s="267">
        <v>0</v>
      </c>
      <c r="AO101" s="267">
        <v>0</v>
      </c>
      <c r="AP101" s="247">
        <v>0</v>
      </c>
      <c r="AW101" s="1"/>
      <c r="AX101" s="241" t="s">
        <v>284</v>
      </c>
      <c r="AY101" s="242">
        <v>0</v>
      </c>
      <c r="AZ101" s="267">
        <v>0</v>
      </c>
      <c r="BA101" s="267">
        <v>0</v>
      </c>
      <c r="BB101" s="247">
        <v>0</v>
      </c>
      <c r="BI101" s="1"/>
      <c r="BJ101" s="241" t="s">
        <v>281</v>
      </c>
      <c r="BK101" s="242">
        <v>0</v>
      </c>
      <c r="BL101" s="267">
        <v>0</v>
      </c>
      <c r="BM101" s="267">
        <v>0</v>
      </c>
      <c r="BN101" s="247">
        <v>0</v>
      </c>
    </row>
    <row r="102" spans="1:66" x14ac:dyDescent="0.2">
      <c r="A102" s="239">
        <v>41828</v>
      </c>
      <c r="B102" s="229" t="s">
        <v>291</v>
      </c>
      <c r="C102" s="240">
        <v>2</v>
      </c>
      <c r="D102" s="266">
        <v>3</v>
      </c>
      <c r="E102" s="266">
        <v>5</v>
      </c>
      <c r="F102" s="258">
        <v>10</v>
      </c>
      <c r="H102" s="14"/>
      <c r="I102" s="14"/>
      <c r="J102" s="14"/>
      <c r="M102" s="239">
        <v>41828</v>
      </c>
      <c r="N102" s="229" t="s">
        <v>275</v>
      </c>
      <c r="O102" s="240">
        <v>0</v>
      </c>
      <c r="P102" s="266">
        <v>0</v>
      </c>
      <c r="Q102" s="266">
        <v>0</v>
      </c>
      <c r="R102" s="258">
        <v>0</v>
      </c>
      <c r="Y102" s="239">
        <v>41828</v>
      </c>
      <c r="Z102" s="229" t="s">
        <v>288</v>
      </c>
      <c r="AA102" s="240">
        <v>0</v>
      </c>
      <c r="AB102" s="266">
        <v>0</v>
      </c>
      <c r="AC102" s="266">
        <v>0</v>
      </c>
      <c r="AD102" s="258">
        <v>0</v>
      </c>
      <c r="AK102" s="239">
        <v>41828</v>
      </c>
      <c r="AL102" s="229" t="s">
        <v>285</v>
      </c>
      <c r="AM102" s="240">
        <v>0</v>
      </c>
      <c r="AN102" s="266">
        <v>0</v>
      </c>
      <c r="AO102" s="266">
        <v>0</v>
      </c>
      <c r="AP102" s="258">
        <v>0</v>
      </c>
      <c r="AW102" s="239">
        <v>41828</v>
      </c>
      <c r="AX102" s="229" t="s">
        <v>282</v>
      </c>
      <c r="AY102" s="240">
        <v>0</v>
      </c>
      <c r="AZ102" s="266">
        <v>0</v>
      </c>
      <c r="BA102" s="266">
        <v>0</v>
      </c>
      <c r="BB102" s="258">
        <v>0</v>
      </c>
      <c r="BI102" s="239">
        <v>41820</v>
      </c>
      <c r="BJ102" s="229" t="s">
        <v>278</v>
      </c>
      <c r="BK102" s="240">
        <v>0</v>
      </c>
      <c r="BL102" s="266">
        <v>0</v>
      </c>
      <c r="BM102" s="266">
        <v>0</v>
      </c>
      <c r="BN102" s="258">
        <v>0</v>
      </c>
    </row>
    <row r="103" spans="1:66" x14ac:dyDescent="0.2">
      <c r="A103" s="1"/>
      <c r="B103" s="241" t="s">
        <v>292</v>
      </c>
      <c r="C103" s="242">
        <v>0</v>
      </c>
      <c r="D103" s="267">
        <v>0</v>
      </c>
      <c r="E103" s="267">
        <v>0</v>
      </c>
      <c r="F103" s="247">
        <v>0</v>
      </c>
      <c r="H103" s="14"/>
      <c r="I103" s="14"/>
      <c r="J103" s="14"/>
      <c r="M103" s="1"/>
      <c r="N103" s="241" t="s">
        <v>276</v>
      </c>
      <c r="O103" s="242">
        <v>0</v>
      </c>
      <c r="P103" s="267">
        <v>0</v>
      </c>
      <c r="Q103" s="267">
        <v>0</v>
      </c>
      <c r="R103" s="247">
        <v>0</v>
      </c>
      <c r="Y103" s="1"/>
      <c r="Z103" s="241" t="s">
        <v>289</v>
      </c>
      <c r="AA103" s="242">
        <v>0</v>
      </c>
      <c r="AB103" s="267">
        <v>0</v>
      </c>
      <c r="AC103" s="267">
        <v>0</v>
      </c>
      <c r="AD103" s="247">
        <v>0</v>
      </c>
      <c r="AK103" s="1"/>
      <c r="AL103" s="241" t="s">
        <v>286</v>
      </c>
      <c r="AM103" s="242">
        <v>0</v>
      </c>
      <c r="AN103" s="267">
        <v>0</v>
      </c>
      <c r="AO103" s="267">
        <v>0</v>
      </c>
      <c r="AP103" s="247">
        <v>0</v>
      </c>
      <c r="AW103" s="1"/>
      <c r="AX103" s="241" t="s">
        <v>283</v>
      </c>
      <c r="AY103" s="242">
        <v>0</v>
      </c>
      <c r="AZ103" s="267">
        <v>0</v>
      </c>
      <c r="BA103" s="267">
        <v>0</v>
      </c>
      <c r="BB103" s="247">
        <v>0</v>
      </c>
      <c r="BI103" s="1"/>
      <c r="BJ103" s="241" t="s">
        <v>279</v>
      </c>
      <c r="BK103" s="242">
        <v>0</v>
      </c>
      <c r="BL103" s="267">
        <v>0</v>
      </c>
      <c r="BM103" s="267">
        <v>0</v>
      </c>
      <c r="BN103" s="247">
        <v>0</v>
      </c>
    </row>
    <row r="104" spans="1:66" x14ac:dyDescent="0.2">
      <c r="A104" s="1"/>
      <c r="B104" s="241" t="s">
        <v>293</v>
      </c>
      <c r="C104" s="242">
        <v>0</v>
      </c>
      <c r="D104" s="267">
        <v>0</v>
      </c>
      <c r="E104" s="267">
        <v>0</v>
      </c>
      <c r="F104" s="247">
        <v>0</v>
      </c>
      <c r="H104" s="14"/>
      <c r="I104" s="14"/>
      <c r="J104" s="14"/>
      <c r="M104" s="1"/>
      <c r="N104" s="241" t="s">
        <v>277</v>
      </c>
      <c r="O104" s="242">
        <v>0</v>
      </c>
      <c r="P104" s="267">
        <v>0</v>
      </c>
      <c r="Q104" s="267">
        <v>0</v>
      </c>
      <c r="R104" s="247">
        <v>0</v>
      </c>
      <c r="Y104" s="1"/>
      <c r="Z104" s="241" t="s">
        <v>290</v>
      </c>
      <c r="AA104" s="242">
        <v>0</v>
      </c>
      <c r="AB104" s="267">
        <v>0</v>
      </c>
      <c r="AC104" s="267">
        <v>0</v>
      </c>
      <c r="AD104" s="247">
        <v>0</v>
      </c>
      <c r="AK104" s="1"/>
      <c r="AL104" s="241" t="s">
        <v>287</v>
      </c>
      <c r="AM104" s="242">
        <v>0</v>
      </c>
      <c r="AN104" s="267">
        <v>0</v>
      </c>
      <c r="AO104" s="267">
        <v>0</v>
      </c>
      <c r="AP104" s="247">
        <v>0</v>
      </c>
      <c r="AW104" s="1"/>
      <c r="AX104" s="241" t="s">
        <v>284</v>
      </c>
      <c r="AY104" s="242">
        <v>0</v>
      </c>
      <c r="AZ104" s="267">
        <v>0</v>
      </c>
      <c r="BA104" s="267">
        <v>0</v>
      </c>
      <c r="BB104" s="247">
        <v>0</v>
      </c>
      <c r="BI104" s="1"/>
      <c r="BJ104" s="241" t="s">
        <v>280</v>
      </c>
      <c r="BK104" s="242">
        <v>0</v>
      </c>
      <c r="BL104" s="267">
        <v>0</v>
      </c>
      <c r="BM104" s="267">
        <v>0</v>
      </c>
      <c r="BN104" s="247">
        <v>0</v>
      </c>
    </row>
    <row r="105" spans="1:66" x14ac:dyDescent="0.2">
      <c r="A105" s="239">
        <v>41829</v>
      </c>
      <c r="B105" s="229" t="s">
        <v>291</v>
      </c>
      <c r="C105" s="240">
        <v>9</v>
      </c>
      <c r="D105" s="266">
        <v>2</v>
      </c>
      <c r="E105" s="266">
        <v>8</v>
      </c>
      <c r="F105" s="258">
        <v>19</v>
      </c>
      <c r="H105" s="14"/>
      <c r="I105" s="14"/>
      <c r="J105" s="14"/>
      <c r="M105" s="239">
        <v>41829</v>
      </c>
      <c r="N105" s="229" t="s">
        <v>275</v>
      </c>
      <c r="O105" s="240">
        <v>0</v>
      </c>
      <c r="P105" s="266">
        <v>0</v>
      </c>
      <c r="Q105" s="266">
        <v>0</v>
      </c>
      <c r="R105" s="258">
        <v>0</v>
      </c>
      <c r="Y105" s="239">
        <v>41829</v>
      </c>
      <c r="Z105" s="229" t="s">
        <v>288</v>
      </c>
      <c r="AA105" s="240">
        <v>0</v>
      </c>
      <c r="AB105" s="266">
        <v>0</v>
      </c>
      <c r="AC105" s="266">
        <v>0</v>
      </c>
      <c r="AD105" s="258">
        <v>0</v>
      </c>
      <c r="AK105" s="239">
        <v>41829</v>
      </c>
      <c r="AL105" s="229" t="s">
        <v>285</v>
      </c>
      <c r="AM105" s="240">
        <v>0</v>
      </c>
      <c r="AN105" s="266">
        <v>0</v>
      </c>
      <c r="AO105" s="266">
        <v>0</v>
      </c>
      <c r="AP105" s="258">
        <v>0</v>
      </c>
      <c r="AW105" s="239">
        <v>41829</v>
      </c>
      <c r="AX105" s="229" t="s">
        <v>282</v>
      </c>
      <c r="AY105" s="240">
        <v>0</v>
      </c>
      <c r="AZ105" s="266">
        <v>0</v>
      </c>
      <c r="BA105" s="266">
        <v>0</v>
      </c>
      <c r="BB105" s="258">
        <v>0</v>
      </c>
      <c r="BI105" s="1"/>
      <c r="BJ105" s="241" t="s">
        <v>281</v>
      </c>
      <c r="BK105" s="242">
        <v>0</v>
      </c>
      <c r="BL105" s="267">
        <v>0</v>
      </c>
      <c r="BM105" s="267">
        <v>0</v>
      </c>
      <c r="BN105" s="247">
        <v>0</v>
      </c>
    </row>
    <row r="106" spans="1:66" x14ac:dyDescent="0.2">
      <c r="A106" s="1"/>
      <c r="B106" s="241" t="s">
        <v>292</v>
      </c>
      <c r="C106" s="242">
        <v>0</v>
      </c>
      <c r="D106" s="267">
        <v>0</v>
      </c>
      <c r="E106" s="267">
        <v>3</v>
      </c>
      <c r="F106" s="247">
        <v>3</v>
      </c>
      <c r="H106" s="14"/>
      <c r="I106" s="14"/>
      <c r="J106" s="14"/>
      <c r="M106" s="1"/>
      <c r="N106" s="241" t="s">
        <v>276</v>
      </c>
      <c r="O106" s="242">
        <v>1</v>
      </c>
      <c r="P106" s="267">
        <v>1</v>
      </c>
      <c r="Q106" s="267">
        <v>0</v>
      </c>
      <c r="R106" s="247">
        <v>2</v>
      </c>
      <c r="Y106" s="1"/>
      <c r="Z106" s="241" t="s">
        <v>289</v>
      </c>
      <c r="AA106" s="242">
        <v>0</v>
      </c>
      <c r="AB106" s="267">
        <v>0</v>
      </c>
      <c r="AC106" s="267">
        <v>0</v>
      </c>
      <c r="AD106" s="247">
        <v>0</v>
      </c>
      <c r="AK106" s="1"/>
      <c r="AL106" s="241" t="s">
        <v>286</v>
      </c>
      <c r="AM106" s="242">
        <v>0</v>
      </c>
      <c r="AN106" s="267">
        <v>0</v>
      </c>
      <c r="AO106" s="267">
        <v>0</v>
      </c>
      <c r="AP106" s="247">
        <v>0</v>
      </c>
      <c r="AW106" s="1"/>
      <c r="AX106" s="241" t="s">
        <v>283</v>
      </c>
      <c r="AY106" s="242">
        <v>0</v>
      </c>
      <c r="AZ106" s="267">
        <v>0</v>
      </c>
      <c r="BA106" s="267">
        <v>0</v>
      </c>
      <c r="BB106" s="247">
        <v>0</v>
      </c>
      <c r="BI106" s="239">
        <v>41821</v>
      </c>
      <c r="BJ106" s="229" t="s">
        <v>278</v>
      </c>
      <c r="BK106" s="240">
        <v>0</v>
      </c>
      <c r="BL106" s="266">
        <v>0</v>
      </c>
      <c r="BM106" s="266">
        <v>0</v>
      </c>
      <c r="BN106" s="258">
        <v>0</v>
      </c>
    </row>
    <row r="107" spans="1:66" x14ac:dyDescent="0.2">
      <c r="A107" s="1"/>
      <c r="B107" s="241" t="s">
        <v>293</v>
      </c>
      <c r="C107" s="242">
        <v>1</v>
      </c>
      <c r="D107" s="267">
        <v>0</v>
      </c>
      <c r="E107" s="267">
        <v>1</v>
      </c>
      <c r="F107" s="247">
        <v>2</v>
      </c>
      <c r="H107" s="14"/>
      <c r="I107" s="14"/>
      <c r="J107" s="14"/>
      <c r="M107" s="1"/>
      <c r="N107" s="241" t="s">
        <v>277</v>
      </c>
      <c r="O107" s="242">
        <v>0</v>
      </c>
      <c r="P107" s="267">
        <v>0</v>
      </c>
      <c r="Q107" s="267">
        <v>0</v>
      </c>
      <c r="R107" s="247">
        <v>0</v>
      </c>
      <c r="Y107" s="1"/>
      <c r="Z107" s="241" t="s">
        <v>290</v>
      </c>
      <c r="AA107" s="242">
        <v>0</v>
      </c>
      <c r="AB107" s="267">
        <v>0</v>
      </c>
      <c r="AC107" s="267">
        <v>0</v>
      </c>
      <c r="AD107" s="247">
        <v>0</v>
      </c>
      <c r="AK107" s="1"/>
      <c r="AL107" s="241" t="s">
        <v>287</v>
      </c>
      <c r="AM107" s="242">
        <v>0</v>
      </c>
      <c r="AN107" s="267">
        <v>0</v>
      </c>
      <c r="AO107" s="267">
        <v>0</v>
      </c>
      <c r="AP107" s="247">
        <v>0</v>
      </c>
      <c r="AW107" s="1"/>
      <c r="AX107" s="241" t="s">
        <v>284</v>
      </c>
      <c r="AY107" s="242">
        <v>0</v>
      </c>
      <c r="AZ107" s="267">
        <v>0</v>
      </c>
      <c r="BA107" s="267">
        <v>0</v>
      </c>
      <c r="BB107" s="247">
        <v>0</v>
      </c>
      <c r="BI107" s="1"/>
      <c r="BJ107" s="241" t="s">
        <v>279</v>
      </c>
      <c r="BK107" s="242">
        <v>0</v>
      </c>
      <c r="BL107" s="267">
        <v>0</v>
      </c>
      <c r="BM107" s="267">
        <v>0</v>
      </c>
      <c r="BN107" s="247">
        <v>0</v>
      </c>
    </row>
    <row r="108" spans="1:66" x14ac:dyDescent="0.2">
      <c r="A108" s="239">
        <v>41830</v>
      </c>
      <c r="B108" s="229" t="s">
        <v>291</v>
      </c>
      <c r="C108" s="240">
        <v>4</v>
      </c>
      <c r="D108" s="266">
        <v>2</v>
      </c>
      <c r="E108" s="266">
        <v>8</v>
      </c>
      <c r="F108" s="258">
        <v>14</v>
      </c>
      <c r="H108" s="14"/>
      <c r="I108" s="14"/>
      <c r="J108" s="14"/>
      <c r="M108" s="239">
        <v>41830</v>
      </c>
      <c r="N108" s="229" t="s">
        <v>275</v>
      </c>
      <c r="O108" s="240">
        <v>0</v>
      </c>
      <c r="P108" s="266">
        <v>0</v>
      </c>
      <c r="Q108" s="266">
        <v>0</v>
      </c>
      <c r="R108" s="258">
        <v>0</v>
      </c>
      <c r="Y108" s="239">
        <v>41830</v>
      </c>
      <c r="Z108" s="229" t="s">
        <v>288</v>
      </c>
      <c r="AA108" s="240">
        <v>0</v>
      </c>
      <c r="AB108" s="266">
        <v>1</v>
      </c>
      <c r="AC108" s="266">
        <v>0</v>
      </c>
      <c r="AD108" s="258">
        <v>1</v>
      </c>
      <c r="AK108" s="239">
        <v>41830</v>
      </c>
      <c r="AL108" s="229" t="s">
        <v>285</v>
      </c>
      <c r="AM108" s="240">
        <v>0</v>
      </c>
      <c r="AN108" s="266">
        <v>0</v>
      </c>
      <c r="AO108" s="266">
        <v>0</v>
      </c>
      <c r="AP108" s="258">
        <v>0</v>
      </c>
      <c r="AW108" s="239">
        <v>41830</v>
      </c>
      <c r="AX108" s="229" t="s">
        <v>282</v>
      </c>
      <c r="AY108" s="240">
        <v>0</v>
      </c>
      <c r="AZ108" s="266">
        <v>0</v>
      </c>
      <c r="BA108" s="266">
        <v>0</v>
      </c>
      <c r="BB108" s="258">
        <v>0</v>
      </c>
      <c r="BI108" s="1"/>
      <c r="BJ108" s="241" t="s">
        <v>280</v>
      </c>
      <c r="BK108" s="242">
        <v>0</v>
      </c>
      <c r="BL108" s="267">
        <v>0</v>
      </c>
      <c r="BM108" s="267">
        <v>0</v>
      </c>
      <c r="BN108" s="247">
        <v>0</v>
      </c>
    </row>
    <row r="109" spans="1:66" x14ac:dyDescent="0.2">
      <c r="A109" s="1"/>
      <c r="B109" s="241" t="s">
        <v>292</v>
      </c>
      <c r="C109" s="242">
        <v>0</v>
      </c>
      <c r="D109" s="267">
        <v>0</v>
      </c>
      <c r="E109" s="267">
        <v>3</v>
      </c>
      <c r="F109" s="247">
        <v>3</v>
      </c>
      <c r="H109" s="14"/>
      <c r="I109" s="14"/>
      <c r="J109" s="14"/>
      <c r="M109" s="1"/>
      <c r="N109" s="241" t="s">
        <v>276</v>
      </c>
      <c r="O109" s="242">
        <v>1</v>
      </c>
      <c r="P109" s="267">
        <v>1</v>
      </c>
      <c r="Q109" s="267">
        <v>2</v>
      </c>
      <c r="R109" s="247">
        <v>4</v>
      </c>
      <c r="Y109" s="1"/>
      <c r="Z109" s="241" t="s">
        <v>289</v>
      </c>
      <c r="AA109" s="242">
        <v>0</v>
      </c>
      <c r="AB109" s="267">
        <v>0</v>
      </c>
      <c r="AC109" s="267">
        <v>0</v>
      </c>
      <c r="AD109" s="247">
        <v>0</v>
      </c>
      <c r="AK109" s="1"/>
      <c r="AL109" s="241" t="s">
        <v>286</v>
      </c>
      <c r="AM109" s="242">
        <v>0</v>
      </c>
      <c r="AN109" s="267">
        <v>0</v>
      </c>
      <c r="AO109" s="267">
        <v>0</v>
      </c>
      <c r="AP109" s="247">
        <v>0</v>
      </c>
      <c r="AW109" s="1"/>
      <c r="AX109" s="241" t="s">
        <v>283</v>
      </c>
      <c r="AY109" s="242">
        <v>0</v>
      </c>
      <c r="AZ109" s="267">
        <v>0</v>
      </c>
      <c r="BA109" s="267">
        <v>0</v>
      </c>
      <c r="BB109" s="247">
        <v>0</v>
      </c>
      <c r="BI109" s="1"/>
      <c r="BJ109" s="241" t="s">
        <v>281</v>
      </c>
      <c r="BK109" s="242">
        <v>0</v>
      </c>
      <c r="BL109" s="267">
        <v>0</v>
      </c>
      <c r="BM109" s="267">
        <v>0</v>
      </c>
      <c r="BN109" s="247">
        <v>0</v>
      </c>
    </row>
    <row r="110" spans="1:66" x14ac:dyDescent="0.2">
      <c r="A110" s="1"/>
      <c r="B110" s="241" t="s">
        <v>293</v>
      </c>
      <c r="C110" s="242">
        <v>0</v>
      </c>
      <c r="D110" s="267">
        <v>0</v>
      </c>
      <c r="E110" s="267">
        <v>1</v>
      </c>
      <c r="F110" s="247">
        <v>1</v>
      </c>
      <c r="H110" s="14"/>
      <c r="I110" s="14"/>
      <c r="J110" s="14"/>
      <c r="M110" s="1"/>
      <c r="N110" s="241" t="s">
        <v>277</v>
      </c>
      <c r="O110" s="242">
        <v>0</v>
      </c>
      <c r="P110" s="267">
        <v>0</v>
      </c>
      <c r="Q110" s="267">
        <v>0</v>
      </c>
      <c r="R110" s="247">
        <v>0</v>
      </c>
      <c r="Y110" s="1"/>
      <c r="Z110" s="241" t="s">
        <v>290</v>
      </c>
      <c r="AA110" s="242">
        <v>0</v>
      </c>
      <c r="AB110" s="267">
        <v>0</v>
      </c>
      <c r="AC110" s="267">
        <v>0</v>
      </c>
      <c r="AD110" s="247">
        <v>0</v>
      </c>
      <c r="AK110" s="1"/>
      <c r="AL110" s="241" t="s">
        <v>287</v>
      </c>
      <c r="AM110" s="242">
        <v>0</v>
      </c>
      <c r="AN110" s="267">
        <v>0</v>
      </c>
      <c r="AO110" s="267">
        <v>0</v>
      </c>
      <c r="AP110" s="247">
        <v>0</v>
      </c>
      <c r="AW110" s="1"/>
      <c r="AX110" s="241" t="s">
        <v>284</v>
      </c>
      <c r="AY110" s="242">
        <v>0</v>
      </c>
      <c r="AZ110" s="267">
        <v>0</v>
      </c>
      <c r="BA110" s="267">
        <v>0</v>
      </c>
      <c r="BB110" s="247">
        <v>0</v>
      </c>
      <c r="BI110" s="239">
        <v>41822</v>
      </c>
      <c r="BJ110" s="229" t="s">
        <v>278</v>
      </c>
      <c r="BK110" s="240">
        <v>0</v>
      </c>
      <c r="BL110" s="266">
        <v>0</v>
      </c>
      <c r="BM110" s="266">
        <v>0</v>
      </c>
      <c r="BN110" s="258">
        <v>0</v>
      </c>
    </row>
    <row r="111" spans="1:66" x14ac:dyDescent="0.2">
      <c r="A111" s="239">
        <v>41831</v>
      </c>
      <c r="B111" s="229" t="s">
        <v>291</v>
      </c>
      <c r="C111" s="240">
        <v>0</v>
      </c>
      <c r="D111" s="266">
        <v>3</v>
      </c>
      <c r="E111" s="266">
        <v>10</v>
      </c>
      <c r="F111" s="258">
        <v>13</v>
      </c>
      <c r="H111" s="14"/>
      <c r="I111" s="14"/>
      <c r="J111" s="14"/>
      <c r="M111" s="239">
        <v>41831</v>
      </c>
      <c r="N111" s="229" t="s">
        <v>275</v>
      </c>
      <c r="O111" s="240">
        <v>1</v>
      </c>
      <c r="P111" s="266">
        <v>0</v>
      </c>
      <c r="Q111" s="266">
        <v>0</v>
      </c>
      <c r="R111" s="258">
        <v>1</v>
      </c>
      <c r="Y111" s="239">
        <v>41831</v>
      </c>
      <c r="Z111" s="229" t="s">
        <v>288</v>
      </c>
      <c r="AA111" s="240">
        <v>0</v>
      </c>
      <c r="AB111" s="266">
        <v>1</v>
      </c>
      <c r="AC111" s="266">
        <v>0</v>
      </c>
      <c r="AD111" s="258">
        <v>1</v>
      </c>
      <c r="AK111" s="239">
        <v>41831</v>
      </c>
      <c r="AL111" s="229" t="s">
        <v>285</v>
      </c>
      <c r="AM111" s="240">
        <v>0</v>
      </c>
      <c r="AN111" s="266">
        <v>0</v>
      </c>
      <c r="AO111" s="266">
        <v>0</v>
      </c>
      <c r="AP111" s="258">
        <v>0</v>
      </c>
      <c r="AW111" s="239">
        <v>41831</v>
      </c>
      <c r="AX111" s="229" t="s">
        <v>282</v>
      </c>
      <c r="AY111" s="240">
        <v>0</v>
      </c>
      <c r="AZ111" s="266">
        <v>0</v>
      </c>
      <c r="BA111" s="266">
        <v>0</v>
      </c>
      <c r="BB111" s="258">
        <v>0</v>
      </c>
      <c r="BI111" s="1"/>
      <c r="BJ111" s="241" t="s">
        <v>279</v>
      </c>
      <c r="BK111" s="242">
        <v>0</v>
      </c>
      <c r="BL111" s="267">
        <v>0</v>
      </c>
      <c r="BM111" s="267">
        <v>0</v>
      </c>
      <c r="BN111" s="247">
        <v>0</v>
      </c>
    </row>
    <row r="112" spans="1:66" x14ac:dyDescent="0.2">
      <c r="A112" s="1"/>
      <c r="B112" s="241" t="s">
        <v>292</v>
      </c>
      <c r="C112" s="242">
        <v>0</v>
      </c>
      <c r="D112" s="267">
        <v>0</v>
      </c>
      <c r="E112" s="267">
        <v>0</v>
      </c>
      <c r="F112" s="247">
        <v>0</v>
      </c>
      <c r="H112" s="14"/>
      <c r="I112" s="14"/>
      <c r="J112" s="14"/>
      <c r="M112" s="1"/>
      <c r="N112" s="241" t="s">
        <v>276</v>
      </c>
      <c r="O112" s="242">
        <v>0</v>
      </c>
      <c r="P112" s="267">
        <v>0</v>
      </c>
      <c r="Q112" s="267">
        <v>1</v>
      </c>
      <c r="R112" s="247">
        <v>1</v>
      </c>
      <c r="Y112" s="1"/>
      <c r="Z112" s="241" t="s">
        <v>289</v>
      </c>
      <c r="AA112" s="242">
        <v>0</v>
      </c>
      <c r="AB112" s="267">
        <v>0</v>
      </c>
      <c r="AC112" s="267">
        <v>0</v>
      </c>
      <c r="AD112" s="247">
        <v>0</v>
      </c>
      <c r="AK112" s="1"/>
      <c r="AL112" s="241" t="s">
        <v>286</v>
      </c>
      <c r="AM112" s="242">
        <v>0</v>
      </c>
      <c r="AN112" s="267">
        <v>0</v>
      </c>
      <c r="AO112" s="267">
        <v>0</v>
      </c>
      <c r="AP112" s="247">
        <v>0</v>
      </c>
      <c r="AW112" s="1"/>
      <c r="AX112" s="241" t="s">
        <v>283</v>
      </c>
      <c r="AY112" s="242">
        <v>0</v>
      </c>
      <c r="AZ112" s="267">
        <v>0</v>
      </c>
      <c r="BA112" s="267">
        <v>0</v>
      </c>
      <c r="BB112" s="247">
        <v>0</v>
      </c>
      <c r="BI112" s="1"/>
      <c r="BJ112" s="241" t="s">
        <v>280</v>
      </c>
      <c r="BK112" s="242">
        <v>0</v>
      </c>
      <c r="BL112" s="267">
        <v>0</v>
      </c>
      <c r="BM112" s="267">
        <v>0</v>
      </c>
      <c r="BN112" s="247">
        <v>0</v>
      </c>
    </row>
    <row r="113" spans="1:66" x14ac:dyDescent="0.2">
      <c r="A113" s="1"/>
      <c r="B113" s="241" t="s">
        <v>293</v>
      </c>
      <c r="C113" s="242">
        <v>0</v>
      </c>
      <c r="D113" s="267">
        <v>0</v>
      </c>
      <c r="E113" s="267">
        <v>2</v>
      </c>
      <c r="F113" s="247">
        <v>2</v>
      </c>
      <c r="H113" s="14"/>
      <c r="I113" s="14"/>
      <c r="J113" s="14"/>
      <c r="M113" s="1"/>
      <c r="N113" s="241" t="s">
        <v>277</v>
      </c>
      <c r="O113" s="242">
        <v>0</v>
      </c>
      <c r="P113" s="267">
        <v>0</v>
      </c>
      <c r="Q113" s="267">
        <v>0</v>
      </c>
      <c r="R113" s="247">
        <v>0</v>
      </c>
      <c r="Y113" s="1"/>
      <c r="Z113" s="241" t="s">
        <v>290</v>
      </c>
      <c r="AA113" s="242">
        <v>0</v>
      </c>
      <c r="AB113" s="267">
        <v>0</v>
      </c>
      <c r="AC113" s="267">
        <v>0</v>
      </c>
      <c r="AD113" s="247">
        <v>0</v>
      </c>
      <c r="AK113" s="1"/>
      <c r="AL113" s="241" t="s">
        <v>287</v>
      </c>
      <c r="AM113" s="242">
        <v>0</v>
      </c>
      <c r="AN113" s="267">
        <v>0</v>
      </c>
      <c r="AO113" s="267">
        <v>0</v>
      </c>
      <c r="AP113" s="247">
        <v>0</v>
      </c>
      <c r="AW113" s="1"/>
      <c r="AX113" s="241" t="s">
        <v>284</v>
      </c>
      <c r="AY113" s="242">
        <v>0</v>
      </c>
      <c r="AZ113" s="267">
        <v>0</v>
      </c>
      <c r="BA113" s="267">
        <v>0</v>
      </c>
      <c r="BB113" s="247">
        <v>0</v>
      </c>
      <c r="BI113" s="1"/>
      <c r="BJ113" s="241" t="s">
        <v>281</v>
      </c>
      <c r="BK113" s="242">
        <v>0</v>
      </c>
      <c r="BL113" s="267">
        <v>0</v>
      </c>
      <c r="BM113" s="267">
        <v>0</v>
      </c>
      <c r="BN113" s="247">
        <v>0</v>
      </c>
    </row>
    <row r="114" spans="1:66" x14ac:dyDescent="0.2">
      <c r="A114" s="239">
        <v>41832</v>
      </c>
      <c r="B114" s="229" t="s">
        <v>291</v>
      </c>
      <c r="C114" s="240">
        <v>1</v>
      </c>
      <c r="D114" s="266">
        <v>0</v>
      </c>
      <c r="E114" s="266">
        <v>6</v>
      </c>
      <c r="F114" s="258">
        <v>7</v>
      </c>
      <c r="H114" s="14"/>
      <c r="I114" s="14"/>
      <c r="J114" s="14"/>
      <c r="M114" s="239">
        <v>41832</v>
      </c>
      <c r="N114" s="229" t="s">
        <v>275</v>
      </c>
      <c r="O114" s="240">
        <v>0</v>
      </c>
      <c r="P114" s="266">
        <v>0</v>
      </c>
      <c r="Q114" s="266">
        <v>0</v>
      </c>
      <c r="R114" s="258">
        <v>0</v>
      </c>
      <c r="Y114" s="239">
        <v>41832</v>
      </c>
      <c r="Z114" s="229" t="s">
        <v>288</v>
      </c>
      <c r="AA114" s="240">
        <v>1</v>
      </c>
      <c r="AB114" s="266">
        <v>0</v>
      </c>
      <c r="AC114" s="266">
        <v>0</v>
      </c>
      <c r="AD114" s="258">
        <v>1</v>
      </c>
      <c r="AK114" s="239">
        <v>41832</v>
      </c>
      <c r="AL114" s="229" t="s">
        <v>285</v>
      </c>
      <c r="AM114" s="240">
        <v>0</v>
      </c>
      <c r="AN114" s="266">
        <v>0</v>
      </c>
      <c r="AO114" s="266">
        <v>0</v>
      </c>
      <c r="AP114" s="258">
        <v>0</v>
      </c>
      <c r="AW114" s="239">
        <v>41832</v>
      </c>
      <c r="AX114" s="229" t="s">
        <v>282</v>
      </c>
      <c r="AY114" s="240">
        <v>0</v>
      </c>
      <c r="AZ114" s="266">
        <v>0</v>
      </c>
      <c r="BA114" s="266">
        <v>1</v>
      </c>
      <c r="BB114" s="258">
        <v>1</v>
      </c>
      <c r="BI114" s="239">
        <v>41823</v>
      </c>
      <c r="BJ114" s="229" t="s">
        <v>278</v>
      </c>
      <c r="BK114" s="240">
        <v>0</v>
      </c>
      <c r="BL114" s="266">
        <v>0</v>
      </c>
      <c r="BM114" s="266">
        <v>0</v>
      </c>
      <c r="BN114" s="258">
        <v>0</v>
      </c>
    </row>
    <row r="115" spans="1:66" x14ac:dyDescent="0.2">
      <c r="A115" s="1"/>
      <c r="B115" s="241" t="s">
        <v>292</v>
      </c>
      <c r="C115" s="242">
        <v>0</v>
      </c>
      <c r="D115" s="267">
        <v>0</v>
      </c>
      <c r="E115" s="267">
        <v>0</v>
      </c>
      <c r="F115" s="247">
        <v>0</v>
      </c>
      <c r="H115" s="14"/>
      <c r="I115" s="14"/>
      <c r="J115" s="14"/>
      <c r="M115" s="1"/>
      <c r="N115" s="241" t="s">
        <v>276</v>
      </c>
      <c r="O115" s="242">
        <v>1</v>
      </c>
      <c r="P115" s="267">
        <v>2</v>
      </c>
      <c r="Q115" s="267">
        <v>2</v>
      </c>
      <c r="R115" s="247">
        <v>5</v>
      </c>
      <c r="Y115" s="1"/>
      <c r="Z115" s="241" t="s">
        <v>289</v>
      </c>
      <c r="AA115" s="242">
        <v>0</v>
      </c>
      <c r="AB115" s="267">
        <v>0</v>
      </c>
      <c r="AC115" s="267">
        <v>0</v>
      </c>
      <c r="AD115" s="247">
        <v>0</v>
      </c>
      <c r="AK115" s="1"/>
      <c r="AL115" s="241" t="s">
        <v>286</v>
      </c>
      <c r="AM115" s="242">
        <v>0</v>
      </c>
      <c r="AN115" s="267">
        <v>0</v>
      </c>
      <c r="AO115" s="267">
        <v>0</v>
      </c>
      <c r="AP115" s="247">
        <v>0</v>
      </c>
      <c r="AW115" s="1"/>
      <c r="AX115" s="241" t="s">
        <v>283</v>
      </c>
      <c r="AY115" s="242">
        <v>0</v>
      </c>
      <c r="AZ115" s="267">
        <v>0</v>
      </c>
      <c r="BA115" s="267">
        <v>0</v>
      </c>
      <c r="BB115" s="247">
        <v>0</v>
      </c>
      <c r="BI115" s="1"/>
      <c r="BJ115" s="241" t="s">
        <v>279</v>
      </c>
      <c r="BK115" s="242">
        <v>0</v>
      </c>
      <c r="BL115" s="267">
        <v>0</v>
      </c>
      <c r="BM115" s="267">
        <v>0</v>
      </c>
      <c r="BN115" s="247">
        <v>0</v>
      </c>
    </row>
    <row r="116" spans="1:66" x14ac:dyDescent="0.2">
      <c r="A116" s="1"/>
      <c r="B116" s="241" t="s">
        <v>293</v>
      </c>
      <c r="C116" s="242">
        <v>0</v>
      </c>
      <c r="D116" s="267">
        <v>0</v>
      </c>
      <c r="E116" s="267">
        <v>0</v>
      </c>
      <c r="F116" s="247">
        <v>0</v>
      </c>
      <c r="H116" s="14"/>
      <c r="I116" s="14"/>
      <c r="J116" s="14"/>
      <c r="M116" s="1"/>
      <c r="N116" s="241" t="s">
        <v>277</v>
      </c>
      <c r="O116" s="242">
        <v>0</v>
      </c>
      <c r="P116" s="267">
        <v>0</v>
      </c>
      <c r="Q116" s="267">
        <v>0</v>
      </c>
      <c r="R116" s="247">
        <v>0</v>
      </c>
      <c r="Y116" s="1"/>
      <c r="Z116" s="241" t="s">
        <v>290</v>
      </c>
      <c r="AA116" s="242">
        <v>0</v>
      </c>
      <c r="AB116" s="267">
        <v>0</v>
      </c>
      <c r="AC116" s="267">
        <v>0</v>
      </c>
      <c r="AD116" s="247">
        <v>0</v>
      </c>
      <c r="AK116" s="1"/>
      <c r="AL116" s="241" t="s">
        <v>287</v>
      </c>
      <c r="AM116" s="242">
        <v>0</v>
      </c>
      <c r="AN116" s="267">
        <v>0</v>
      </c>
      <c r="AO116" s="267">
        <v>0</v>
      </c>
      <c r="AP116" s="247">
        <v>0</v>
      </c>
      <c r="AW116" s="1"/>
      <c r="AX116" s="241" t="s">
        <v>284</v>
      </c>
      <c r="AY116" s="242">
        <v>0</v>
      </c>
      <c r="AZ116" s="267">
        <v>0</v>
      </c>
      <c r="BA116" s="267">
        <v>0</v>
      </c>
      <c r="BB116" s="247">
        <v>0</v>
      </c>
      <c r="BI116" s="1"/>
      <c r="BJ116" s="241" t="s">
        <v>280</v>
      </c>
      <c r="BK116" s="242">
        <v>0</v>
      </c>
      <c r="BL116" s="267">
        <v>0</v>
      </c>
      <c r="BM116" s="267">
        <v>0</v>
      </c>
      <c r="BN116" s="247">
        <v>0</v>
      </c>
    </row>
    <row r="117" spans="1:66" x14ac:dyDescent="0.2">
      <c r="A117" s="239">
        <v>41833</v>
      </c>
      <c r="B117" s="229" t="s">
        <v>291</v>
      </c>
      <c r="C117" s="240">
        <v>1</v>
      </c>
      <c r="D117" s="266">
        <v>2</v>
      </c>
      <c r="E117" s="266">
        <v>8</v>
      </c>
      <c r="F117" s="258">
        <v>11</v>
      </c>
      <c r="H117" s="14"/>
      <c r="I117" s="14"/>
      <c r="J117" s="14"/>
      <c r="M117" s="239">
        <v>41833</v>
      </c>
      <c r="N117" s="229" t="s">
        <v>275</v>
      </c>
      <c r="O117" s="240">
        <v>0</v>
      </c>
      <c r="P117" s="266">
        <v>0</v>
      </c>
      <c r="Q117" s="266">
        <v>0</v>
      </c>
      <c r="R117" s="258">
        <v>0</v>
      </c>
      <c r="Y117" s="239">
        <v>41833</v>
      </c>
      <c r="Z117" s="229" t="s">
        <v>288</v>
      </c>
      <c r="AA117" s="240">
        <v>0</v>
      </c>
      <c r="AB117" s="266">
        <v>0</v>
      </c>
      <c r="AC117" s="266">
        <v>0</v>
      </c>
      <c r="AD117" s="258">
        <v>0</v>
      </c>
      <c r="AK117" s="239">
        <v>41833</v>
      </c>
      <c r="AL117" s="229" t="s">
        <v>285</v>
      </c>
      <c r="AM117" s="240">
        <v>0</v>
      </c>
      <c r="AN117" s="266">
        <v>0</v>
      </c>
      <c r="AO117" s="266">
        <v>0</v>
      </c>
      <c r="AP117" s="258">
        <v>0</v>
      </c>
      <c r="AW117" s="239">
        <v>41833</v>
      </c>
      <c r="AX117" s="229" t="s">
        <v>282</v>
      </c>
      <c r="AY117" s="240">
        <v>0</v>
      </c>
      <c r="AZ117" s="266">
        <v>0</v>
      </c>
      <c r="BA117" s="266">
        <v>0</v>
      </c>
      <c r="BB117" s="258">
        <v>0</v>
      </c>
      <c r="BI117" s="1"/>
      <c r="BJ117" s="241" t="s">
        <v>281</v>
      </c>
      <c r="BK117" s="242">
        <v>0</v>
      </c>
      <c r="BL117" s="267">
        <v>0</v>
      </c>
      <c r="BM117" s="267">
        <v>0</v>
      </c>
      <c r="BN117" s="247">
        <v>0</v>
      </c>
    </row>
    <row r="118" spans="1:66" x14ac:dyDescent="0.2">
      <c r="A118" s="1"/>
      <c r="B118" s="241" t="s">
        <v>292</v>
      </c>
      <c r="C118" s="242">
        <v>0</v>
      </c>
      <c r="D118" s="267">
        <v>0</v>
      </c>
      <c r="E118" s="267">
        <v>0</v>
      </c>
      <c r="F118" s="247">
        <v>0</v>
      </c>
      <c r="H118" s="14"/>
      <c r="I118" s="14"/>
      <c r="J118" s="14"/>
      <c r="M118" s="1"/>
      <c r="N118" s="241" t="s">
        <v>276</v>
      </c>
      <c r="O118" s="242">
        <v>1</v>
      </c>
      <c r="P118" s="267">
        <v>1</v>
      </c>
      <c r="Q118" s="267">
        <v>1</v>
      </c>
      <c r="R118" s="247">
        <v>3</v>
      </c>
      <c r="Y118" s="1"/>
      <c r="Z118" s="241" t="s">
        <v>289</v>
      </c>
      <c r="AA118" s="242">
        <v>0</v>
      </c>
      <c r="AB118" s="267">
        <v>0</v>
      </c>
      <c r="AC118" s="267">
        <v>0</v>
      </c>
      <c r="AD118" s="247">
        <v>0</v>
      </c>
      <c r="AK118" s="1"/>
      <c r="AL118" s="241" t="s">
        <v>286</v>
      </c>
      <c r="AM118" s="242">
        <v>0</v>
      </c>
      <c r="AN118" s="267">
        <v>0</v>
      </c>
      <c r="AO118" s="267">
        <v>0</v>
      </c>
      <c r="AP118" s="247">
        <v>0</v>
      </c>
      <c r="AW118" s="1"/>
      <c r="AX118" s="241" t="s">
        <v>283</v>
      </c>
      <c r="AY118" s="242">
        <v>0</v>
      </c>
      <c r="AZ118" s="267">
        <v>0</v>
      </c>
      <c r="BA118" s="267">
        <v>0</v>
      </c>
      <c r="BB118" s="247">
        <v>0</v>
      </c>
      <c r="BI118" s="239">
        <v>41824</v>
      </c>
      <c r="BJ118" s="229" t="s">
        <v>278</v>
      </c>
      <c r="BK118" s="240">
        <v>0</v>
      </c>
      <c r="BL118" s="266">
        <v>0</v>
      </c>
      <c r="BM118" s="266">
        <v>0</v>
      </c>
      <c r="BN118" s="258">
        <v>0</v>
      </c>
    </row>
    <row r="119" spans="1:66" x14ac:dyDescent="0.2">
      <c r="A119" s="1"/>
      <c r="B119" s="241" t="s">
        <v>293</v>
      </c>
      <c r="C119" s="242">
        <v>0</v>
      </c>
      <c r="D119" s="267">
        <v>1</v>
      </c>
      <c r="E119" s="267">
        <v>0</v>
      </c>
      <c r="F119" s="247">
        <v>1</v>
      </c>
      <c r="H119" s="14"/>
      <c r="I119" s="14"/>
      <c r="J119" s="14"/>
      <c r="M119" s="1"/>
      <c r="N119" s="241" t="s">
        <v>277</v>
      </c>
      <c r="O119" s="242">
        <v>0</v>
      </c>
      <c r="P119" s="267">
        <v>0</v>
      </c>
      <c r="Q119" s="267">
        <v>0</v>
      </c>
      <c r="R119" s="247">
        <v>0</v>
      </c>
      <c r="Y119" s="1"/>
      <c r="Z119" s="241" t="s">
        <v>290</v>
      </c>
      <c r="AA119" s="242">
        <v>0</v>
      </c>
      <c r="AB119" s="267">
        <v>0</v>
      </c>
      <c r="AC119" s="267">
        <v>0</v>
      </c>
      <c r="AD119" s="247">
        <v>0</v>
      </c>
      <c r="AK119" s="1"/>
      <c r="AL119" s="241" t="s">
        <v>287</v>
      </c>
      <c r="AM119" s="242">
        <v>0</v>
      </c>
      <c r="AN119" s="267">
        <v>0</v>
      </c>
      <c r="AO119" s="267">
        <v>0</v>
      </c>
      <c r="AP119" s="247">
        <v>0</v>
      </c>
      <c r="AW119" s="1"/>
      <c r="AX119" s="241" t="s">
        <v>284</v>
      </c>
      <c r="AY119" s="242">
        <v>0</v>
      </c>
      <c r="AZ119" s="267">
        <v>0</v>
      </c>
      <c r="BA119" s="267">
        <v>0</v>
      </c>
      <c r="BB119" s="247">
        <v>0</v>
      </c>
      <c r="BI119" s="1"/>
      <c r="BJ119" s="241" t="s">
        <v>279</v>
      </c>
      <c r="BK119" s="242">
        <v>0</v>
      </c>
      <c r="BL119" s="267">
        <v>0</v>
      </c>
      <c r="BM119" s="267">
        <v>0</v>
      </c>
      <c r="BN119" s="247">
        <v>0</v>
      </c>
    </row>
    <row r="120" spans="1:66" x14ac:dyDescent="0.2">
      <c r="A120" s="239">
        <v>41834</v>
      </c>
      <c r="B120" s="229" t="s">
        <v>291</v>
      </c>
      <c r="C120" s="240">
        <v>1</v>
      </c>
      <c r="D120" s="266">
        <v>2</v>
      </c>
      <c r="E120" s="266">
        <v>2</v>
      </c>
      <c r="F120" s="258">
        <v>5</v>
      </c>
      <c r="H120" s="14"/>
      <c r="I120" s="14"/>
      <c r="J120" s="14"/>
      <c r="M120" s="239">
        <v>41834</v>
      </c>
      <c r="N120" s="229" t="s">
        <v>275</v>
      </c>
      <c r="O120" s="240">
        <v>0</v>
      </c>
      <c r="P120" s="266">
        <v>0</v>
      </c>
      <c r="Q120" s="266">
        <v>0</v>
      </c>
      <c r="R120" s="258">
        <v>0</v>
      </c>
      <c r="Y120" s="239">
        <v>41834</v>
      </c>
      <c r="Z120" s="229" t="s">
        <v>288</v>
      </c>
      <c r="AA120" s="240">
        <v>0</v>
      </c>
      <c r="AB120" s="266">
        <v>1</v>
      </c>
      <c r="AC120" s="266">
        <v>0</v>
      </c>
      <c r="AD120" s="258">
        <v>1</v>
      </c>
      <c r="AK120" s="239">
        <v>41834</v>
      </c>
      <c r="AL120" s="229" t="s">
        <v>285</v>
      </c>
      <c r="AM120" s="240">
        <v>0</v>
      </c>
      <c r="AN120" s="266">
        <v>0</v>
      </c>
      <c r="AO120" s="266">
        <v>0</v>
      </c>
      <c r="AP120" s="258">
        <v>0</v>
      </c>
      <c r="AW120" s="239">
        <v>41834</v>
      </c>
      <c r="AX120" s="229" t="s">
        <v>282</v>
      </c>
      <c r="AY120" s="240">
        <v>0</v>
      </c>
      <c r="AZ120" s="266">
        <v>0</v>
      </c>
      <c r="BA120" s="266">
        <v>1</v>
      </c>
      <c r="BB120" s="258">
        <v>1</v>
      </c>
      <c r="BI120" s="1"/>
      <c r="BJ120" s="241" t="s">
        <v>280</v>
      </c>
      <c r="BK120" s="242">
        <v>0</v>
      </c>
      <c r="BL120" s="267">
        <v>0</v>
      </c>
      <c r="BM120" s="267">
        <v>0</v>
      </c>
      <c r="BN120" s="247">
        <v>0</v>
      </c>
    </row>
    <row r="121" spans="1:66" x14ac:dyDescent="0.2">
      <c r="A121" s="1"/>
      <c r="B121" s="241" t="s">
        <v>292</v>
      </c>
      <c r="C121" s="242">
        <v>1</v>
      </c>
      <c r="D121" s="267">
        <v>0</v>
      </c>
      <c r="E121" s="267">
        <v>1</v>
      </c>
      <c r="F121" s="247">
        <v>2</v>
      </c>
      <c r="H121" s="14"/>
      <c r="I121" s="14"/>
      <c r="J121" s="14"/>
      <c r="M121" s="1"/>
      <c r="N121" s="241" t="s">
        <v>276</v>
      </c>
      <c r="O121" s="242">
        <v>2</v>
      </c>
      <c r="P121" s="267">
        <v>0</v>
      </c>
      <c r="Q121" s="267">
        <v>0</v>
      </c>
      <c r="R121" s="247">
        <v>2</v>
      </c>
      <c r="Y121" s="1"/>
      <c r="Z121" s="241" t="s">
        <v>289</v>
      </c>
      <c r="AA121" s="242">
        <v>0</v>
      </c>
      <c r="AB121" s="267">
        <v>0</v>
      </c>
      <c r="AC121" s="267">
        <v>0</v>
      </c>
      <c r="AD121" s="247">
        <v>0</v>
      </c>
      <c r="AK121" s="1"/>
      <c r="AL121" s="241" t="s">
        <v>286</v>
      </c>
      <c r="AM121" s="242">
        <v>0</v>
      </c>
      <c r="AN121" s="267">
        <v>0</v>
      </c>
      <c r="AO121" s="267">
        <v>0</v>
      </c>
      <c r="AP121" s="247">
        <v>0</v>
      </c>
      <c r="AW121" s="1"/>
      <c r="AX121" s="241" t="s">
        <v>283</v>
      </c>
      <c r="AY121" s="242">
        <v>0</v>
      </c>
      <c r="AZ121" s="267">
        <v>0</v>
      </c>
      <c r="BA121" s="267">
        <v>0</v>
      </c>
      <c r="BB121" s="247">
        <v>0</v>
      </c>
      <c r="BI121" s="1"/>
      <c r="BJ121" s="241" t="s">
        <v>281</v>
      </c>
      <c r="BK121" s="242">
        <v>0</v>
      </c>
      <c r="BL121" s="267">
        <v>0</v>
      </c>
      <c r="BM121" s="267">
        <v>0</v>
      </c>
      <c r="BN121" s="247">
        <v>0</v>
      </c>
    </row>
    <row r="122" spans="1:66" x14ac:dyDescent="0.2">
      <c r="A122" s="1"/>
      <c r="B122" s="241" t="s">
        <v>293</v>
      </c>
      <c r="C122" s="242">
        <v>0</v>
      </c>
      <c r="D122" s="267">
        <v>0</v>
      </c>
      <c r="E122" s="267">
        <v>2</v>
      </c>
      <c r="F122" s="247">
        <v>2</v>
      </c>
      <c r="H122" s="14"/>
      <c r="I122" s="14"/>
      <c r="J122" s="14"/>
      <c r="M122" s="1"/>
      <c r="N122" s="241" t="s">
        <v>277</v>
      </c>
      <c r="O122" s="242">
        <v>0</v>
      </c>
      <c r="P122" s="267">
        <v>0</v>
      </c>
      <c r="Q122" s="267">
        <v>0</v>
      </c>
      <c r="R122" s="247">
        <v>0</v>
      </c>
      <c r="Y122" s="1"/>
      <c r="Z122" s="241" t="s">
        <v>290</v>
      </c>
      <c r="AA122" s="242">
        <v>0</v>
      </c>
      <c r="AB122" s="267">
        <v>0</v>
      </c>
      <c r="AC122" s="267">
        <v>0</v>
      </c>
      <c r="AD122" s="247">
        <v>0</v>
      </c>
      <c r="AK122" s="1"/>
      <c r="AL122" s="241" t="s">
        <v>287</v>
      </c>
      <c r="AM122" s="242">
        <v>0</v>
      </c>
      <c r="AN122" s="267">
        <v>0</v>
      </c>
      <c r="AO122" s="267">
        <v>0</v>
      </c>
      <c r="AP122" s="247">
        <v>0</v>
      </c>
      <c r="AW122" s="1"/>
      <c r="AX122" s="241" t="s">
        <v>284</v>
      </c>
      <c r="AY122" s="242">
        <v>0</v>
      </c>
      <c r="AZ122" s="267">
        <v>0</v>
      </c>
      <c r="BA122" s="267">
        <v>0</v>
      </c>
      <c r="BB122" s="247">
        <v>0</v>
      </c>
      <c r="BI122" s="239">
        <v>41825</v>
      </c>
      <c r="BJ122" s="229" t="s">
        <v>278</v>
      </c>
      <c r="BK122" s="240">
        <v>0</v>
      </c>
      <c r="BL122" s="266">
        <v>0</v>
      </c>
      <c r="BM122" s="266">
        <v>0</v>
      </c>
      <c r="BN122" s="258">
        <v>0</v>
      </c>
    </row>
    <row r="123" spans="1:66" x14ac:dyDescent="0.2">
      <c r="A123" s="239">
        <v>41835</v>
      </c>
      <c r="B123" s="229" t="s">
        <v>291</v>
      </c>
      <c r="C123" s="240">
        <v>2</v>
      </c>
      <c r="D123" s="266">
        <v>0</v>
      </c>
      <c r="E123" s="266">
        <v>7</v>
      </c>
      <c r="F123" s="258">
        <v>9</v>
      </c>
      <c r="H123" s="14"/>
      <c r="I123" s="14"/>
      <c r="J123" s="14"/>
      <c r="M123" s="239">
        <v>41835</v>
      </c>
      <c r="N123" s="229" t="s">
        <v>275</v>
      </c>
      <c r="O123" s="240">
        <v>0</v>
      </c>
      <c r="P123" s="266">
        <v>0</v>
      </c>
      <c r="Q123" s="266">
        <v>1</v>
      </c>
      <c r="R123" s="258">
        <v>1</v>
      </c>
      <c r="Y123" s="239">
        <v>41835</v>
      </c>
      <c r="Z123" s="229" t="s">
        <v>288</v>
      </c>
      <c r="AA123" s="240">
        <v>0</v>
      </c>
      <c r="AB123" s="266">
        <v>5</v>
      </c>
      <c r="AC123" s="266">
        <v>1</v>
      </c>
      <c r="AD123" s="258">
        <v>6</v>
      </c>
      <c r="AK123" s="239">
        <v>41835</v>
      </c>
      <c r="AL123" s="229" t="s">
        <v>285</v>
      </c>
      <c r="AM123" s="240">
        <v>0</v>
      </c>
      <c r="AN123" s="266">
        <v>0</v>
      </c>
      <c r="AO123" s="266">
        <v>0</v>
      </c>
      <c r="AP123" s="258">
        <v>0</v>
      </c>
      <c r="AW123" s="239">
        <v>41835</v>
      </c>
      <c r="AX123" s="229" t="s">
        <v>282</v>
      </c>
      <c r="AY123" s="240">
        <v>0</v>
      </c>
      <c r="AZ123" s="266">
        <v>0</v>
      </c>
      <c r="BA123" s="266">
        <v>1</v>
      </c>
      <c r="BB123" s="258">
        <v>1</v>
      </c>
      <c r="BI123" s="1"/>
      <c r="BJ123" s="241" t="s">
        <v>279</v>
      </c>
      <c r="BK123" s="242">
        <v>0</v>
      </c>
      <c r="BL123" s="267">
        <v>0</v>
      </c>
      <c r="BM123" s="267">
        <v>0</v>
      </c>
      <c r="BN123" s="247">
        <v>0</v>
      </c>
    </row>
    <row r="124" spans="1:66" x14ac:dyDescent="0.2">
      <c r="A124" s="1"/>
      <c r="B124" s="241" t="s">
        <v>292</v>
      </c>
      <c r="C124" s="242">
        <v>0</v>
      </c>
      <c r="D124" s="267">
        <v>1</v>
      </c>
      <c r="E124" s="267">
        <v>1</v>
      </c>
      <c r="F124" s="247">
        <v>2</v>
      </c>
      <c r="H124" s="14"/>
      <c r="I124" s="14"/>
      <c r="J124" s="14"/>
      <c r="M124" s="1"/>
      <c r="N124" s="241" t="s">
        <v>276</v>
      </c>
      <c r="O124" s="242">
        <v>0</v>
      </c>
      <c r="P124" s="267">
        <v>0</v>
      </c>
      <c r="Q124" s="267">
        <v>2</v>
      </c>
      <c r="R124" s="247">
        <v>2</v>
      </c>
      <c r="Y124" s="1"/>
      <c r="Z124" s="241" t="s">
        <v>289</v>
      </c>
      <c r="AA124" s="242">
        <v>0</v>
      </c>
      <c r="AB124" s="267">
        <v>0</v>
      </c>
      <c r="AC124" s="267">
        <v>0</v>
      </c>
      <c r="AD124" s="247">
        <v>0</v>
      </c>
      <c r="AK124" s="1"/>
      <c r="AL124" s="241" t="s">
        <v>286</v>
      </c>
      <c r="AM124" s="242">
        <v>0</v>
      </c>
      <c r="AN124" s="267">
        <v>0</v>
      </c>
      <c r="AO124" s="267">
        <v>0</v>
      </c>
      <c r="AP124" s="247">
        <v>0</v>
      </c>
      <c r="AW124" s="1"/>
      <c r="AX124" s="241" t="s">
        <v>283</v>
      </c>
      <c r="AY124" s="242">
        <v>0</v>
      </c>
      <c r="AZ124" s="267">
        <v>0</v>
      </c>
      <c r="BA124" s="267">
        <v>0</v>
      </c>
      <c r="BB124" s="247">
        <v>0</v>
      </c>
      <c r="BI124" s="1"/>
      <c r="BJ124" s="241" t="s">
        <v>280</v>
      </c>
      <c r="BK124" s="242">
        <v>0</v>
      </c>
      <c r="BL124" s="267">
        <v>0</v>
      </c>
      <c r="BM124" s="267">
        <v>0</v>
      </c>
      <c r="BN124" s="247">
        <v>0</v>
      </c>
    </row>
    <row r="125" spans="1:66" x14ac:dyDescent="0.2">
      <c r="A125" s="1"/>
      <c r="B125" s="241" t="s">
        <v>293</v>
      </c>
      <c r="C125" s="242">
        <v>0</v>
      </c>
      <c r="D125" s="267">
        <v>0</v>
      </c>
      <c r="E125" s="267">
        <v>0</v>
      </c>
      <c r="F125" s="247">
        <v>0</v>
      </c>
      <c r="H125" s="14"/>
      <c r="I125" s="14"/>
      <c r="J125" s="14"/>
      <c r="M125" s="1"/>
      <c r="N125" s="241" t="s">
        <v>277</v>
      </c>
      <c r="O125" s="242">
        <v>0</v>
      </c>
      <c r="P125" s="267">
        <v>0</v>
      </c>
      <c r="Q125" s="267">
        <v>0</v>
      </c>
      <c r="R125" s="247">
        <v>0</v>
      </c>
      <c r="Y125" s="1"/>
      <c r="Z125" s="241" t="s">
        <v>290</v>
      </c>
      <c r="AA125" s="242">
        <v>1</v>
      </c>
      <c r="AB125" s="267">
        <v>0</v>
      </c>
      <c r="AC125" s="267">
        <v>0</v>
      </c>
      <c r="AD125" s="247">
        <v>1</v>
      </c>
      <c r="AK125" s="1"/>
      <c r="AL125" s="241" t="s">
        <v>287</v>
      </c>
      <c r="AM125" s="242">
        <v>0</v>
      </c>
      <c r="AN125" s="267">
        <v>0</v>
      </c>
      <c r="AO125" s="267">
        <v>0</v>
      </c>
      <c r="AP125" s="247">
        <v>0</v>
      </c>
      <c r="AW125" s="1"/>
      <c r="AX125" s="241" t="s">
        <v>284</v>
      </c>
      <c r="AY125" s="242">
        <v>0</v>
      </c>
      <c r="AZ125" s="267">
        <v>0</v>
      </c>
      <c r="BA125" s="267">
        <v>0</v>
      </c>
      <c r="BB125" s="247">
        <v>0</v>
      </c>
      <c r="BI125" s="1"/>
      <c r="BJ125" s="241" t="s">
        <v>281</v>
      </c>
      <c r="BK125" s="242">
        <v>0</v>
      </c>
      <c r="BL125" s="267">
        <v>0</v>
      </c>
      <c r="BM125" s="267">
        <v>0</v>
      </c>
      <c r="BN125" s="247">
        <v>0</v>
      </c>
    </row>
    <row r="126" spans="1:66" x14ac:dyDescent="0.2">
      <c r="A126" s="239">
        <v>41836</v>
      </c>
      <c r="B126" s="229" t="s">
        <v>291</v>
      </c>
      <c r="C126" s="240">
        <v>2</v>
      </c>
      <c r="D126" s="266">
        <v>0</v>
      </c>
      <c r="E126" s="266">
        <v>3</v>
      </c>
      <c r="F126" s="258">
        <v>5</v>
      </c>
      <c r="H126" s="14"/>
      <c r="I126" s="14"/>
      <c r="J126" s="14"/>
      <c r="M126" s="239">
        <v>41836</v>
      </c>
      <c r="N126" s="229" t="s">
        <v>275</v>
      </c>
      <c r="O126" s="240">
        <v>1</v>
      </c>
      <c r="P126" s="266">
        <v>0</v>
      </c>
      <c r="Q126" s="266">
        <v>0</v>
      </c>
      <c r="R126" s="258">
        <v>1</v>
      </c>
      <c r="Y126" s="239">
        <v>41836</v>
      </c>
      <c r="Z126" s="229" t="s">
        <v>288</v>
      </c>
      <c r="AA126" s="240">
        <v>0</v>
      </c>
      <c r="AB126" s="266">
        <v>1</v>
      </c>
      <c r="AC126" s="266">
        <v>0</v>
      </c>
      <c r="AD126" s="258">
        <v>1</v>
      </c>
      <c r="AK126" s="239">
        <v>41836</v>
      </c>
      <c r="AL126" s="229" t="s">
        <v>285</v>
      </c>
      <c r="AM126" s="240">
        <v>0</v>
      </c>
      <c r="AN126" s="266">
        <v>0</v>
      </c>
      <c r="AO126" s="266">
        <v>0</v>
      </c>
      <c r="AP126" s="258">
        <v>0</v>
      </c>
      <c r="AW126" s="239">
        <v>41836</v>
      </c>
      <c r="AX126" s="229" t="s">
        <v>282</v>
      </c>
      <c r="AY126" s="240">
        <v>0</v>
      </c>
      <c r="AZ126" s="266">
        <v>1</v>
      </c>
      <c r="BA126" s="266">
        <v>0</v>
      </c>
      <c r="BB126" s="258">
        <v>1</v>
      </c>
      <c r="BI126" s="239">
        <v>41826</v>
      </c>
      <c r="BJ126" s="229" t="s">
        <v>278</v>
      </c>
      <c r="BK126" s="240">
        <v>0</v>
      </c>
      <c r="BL126" s="266">
        <v>0</v>
      </c>
      <c r="BM126" s="266">
        <v>0</v>
      </c>
      <c r="BN126" s="258">
        <v>0</v>
      </c>
    </row>
    <row r="127" spans="1:66" x14ac:dyDescent="0.2">
      <c r="A127" s="1"/>
      <c r="B127" s="241" t="s">
        <v>292</v>
      </c>
      <c r="C127" s="242">
        <v>0</v>
      </c>
      <c r="D127" s="267">
        <v>0</v>
      </c>
      <c r="E127" s="267">
        <v>0</v>
      </c>
      <c r="F127" s="247">
        <v>0</v>
      </c>
      <c r="H127" s="14"/>
      <c r="I127" s="14"/>
      <c r="J127" s="14"/>
      <c r="M127" s="1"/>
      <c r="N127" s="241" t="s">
        <v>276</v>
      </c>
      <c r="O127" s="242">
        <v>0</v>
      </c>
      <c r="P127" s="267">
        <v>1</v>
      </c>
      <c r="Q127" s="267">
        <v>1</v>
      </c>
      <c r="R127" s="247">
        <v>2</v>
      </c>
      <c r="Y127" s="1"/>
      <c r="Z127" s="241" t="s">
        <v>289</v>
      </c>
      <c r="AA127" s="242">
        <v>0</v>
      </c>
      <c r="AB127" s="267">
        <v>0</v>
      </c>
      <c r="AC127" s="267">
        <v>0</v>
      </c>
      <c r="AD127" s="247">
        <v>0</v>
      </c>
      <c r="AK127" s="1"/>
      <c r="AL127" s="241" t="s">
        <v>286</v>
      </c>
      <c r="AM127" s="242">
        <v>0</v>
      </c>
      <c r="AN127" s="267">
        <v>0</v>
      </c>
      <c r="AO127" s="267">
        <v>0</v>
      </c>
      <c r="AP127" s="247">
        <v>0</v>
      </c>
      <c r="AW127" s="1"/>
      <c r="AX127" s="241" t="s">
        <v>283</v>
      </c>
      <c r="AY127" s="242">
        <v>0</v>
      </c>
      <c r="AZ127" s="267">
        <v>0</v>
      </c>
      <c r="BA127" s="267">
        <v>0</v>
      </c>
      <c r="BB127" s="247">
        <v>0</v>
      </c>
      <c r="BI127" s="1"/>
      <c r="BJ127" s="241" t="s">
        <v>279</v>
      </c>
      <c r="BK127" s="242">
        <v>0</v>
      </c>
      <c r="BL127" s="267">
        <v>0</v>
      </c>
      <c r="BM127" s="267">
        <v>0</v>
      </c>
      <c r="BN127" s="247">
        <v>0</v>
      </c>
    </row>
    <row r="128" spans="1:66" x14ac:dyDescent="0.2">
      <c r="A128" s="1"/>
      <c r="B128" s="241" t="s">
        <v>293</v>
      </c>
      <c r="C128" s="242">
        <v>0</v>
      </c>
      <c r="D128" s="267">
        <v>0</v>
      </c>
      <c r="E128" s="267">
        <v>2</v>
      </c>
      <c r="F128" s="247">
        <v>2</v>
      </c>
      <c r="H128" s="14"/>
      <c r="I128" s="14"/>
      <c r="J128" s="14"/>
      <c r="M128" s="1"/>
      <c r="N128" s="241" t="s">
        <v>277</v>
      </c>
      <c r="O128" s="242">
        <v>0</v>
      </c>
      <c r="P128" s="267">
        <v>0</v>
      </c>
      <c r="Q128" s="267">
        <v>0</v>
      </c>
      <c r="R128" s="247">
        <v>0</v>
      </c>
      <c r="Y128" s="1"/>
      <c r="Z128" s="241" t="s">
        <v>290</v>
      </c>
      <c r="AA128" s="242">
        <v>0</v>
      </c>
      <c r="AB128" s="267">
        <v>0</v>
      </c>
      <c r="AC128" s="267">
        <v>1</v>
      </c>
      <c r="AD128" s="247">
        <v>1</v>
      </c>
      <c r="AK128" s="1"/>
      <c r="AL128" s="241" t="s">
        <v>287</v>
      </c>
      <c r="AM128" s="242">
        <v>0</v>
      </c>
      <c r="AN128" s="267">
        <v>0</v>
      </c>
      <c r="AO128" s="267">
        <v>0</v>
      </c>
      <c r="AP128" s="247">
        <v>0</v>
      </c>
      <c r="AW128" s="1"/>
      <c r="AX128" s="241" t="s">
        <v>284</v>
      </c>
      <c r="AY128" s="242">
        <v>0</v>
      </c>
      <c r="AZ128" s="267">
        <v>0</v>
      </c>
      <c r="BA128" s="267">
        <v>0</v>
      </c>
      <c r="BB128" s="247">
        <v>0</v>
      </c>
      <c r="BI128" s="1"/>
      <c r="BJ128" s="241" t="s">
        <v>280</v>
      </c>
      <c r="BK128" s="242">
        <v>0</v>
      </c>
      <c r="BL128" s="267">
        <v>0</v>
      </c>
      <c r="BM128" s="267">
        <v>0</v>
      </c>
      <c r="BN128" s="247">
        <v>0</v>
      </c>
    </row>
    <row r="129" spans="1:66" x14ac:dyDescent="0.2">
      <c r="A129" s="239">
        <v>41837</v>
      </c>
      <c r="B129" s="229" t="s">
        <v>291</v>
      </c>
      <c r="C129" s="240">
        <v>2</v>
      </c>
      <c r="D129" s="266">
        <v>0</v>
      </c>
      <c r="E129" s="266">
        <v>4</v>
      </c>
      <c r="F129" s="258">
        <v>6</v>
      </c>
      <c r="H129" s="14"/>
      <c r="I129" s="14"/>
      <c r="J129" s="14"/>
      <c r="M129" s="239">
        <v>41837</v>
      </c>
      <c r="N129" s="229" t="s">
        <v>275</v>
      </c>
      <c r="O129" s="240">
        <v>0</v>
      </c>
      <c r="P129" s="266">
        <v>0</v>
      </c>
      <c r="Q129" s="266">
        <v>0</v>
      </c>
      <c r="R129" s="258">
        <v>0</v>
      </c>
      <c r="Y129" s="239">
        <v>41837</v>
      </c>
      <c r="Z129" s="229" t="s">
        <v>288</v>
      </c>
      <c r="AA129" s="240">
        <v>2</v>
      </c>
      <c r="AB129" s="266">
        <v>1</v>
      </c>
      <c r="AC129" s="266">
        <v>0</v>
      </c>
      <c r="AD129" s="258">
        <v>3</v>
      </c>
      <c r="AK129" s="239">
        <v>41837</v>
      </c>
      <c r="AL129" s="229" t="s">
        <v>285</v>
      </c>
      <c r="AM129" s="240">
        <v>0</v>
      </c>
      <c r="AN129" s="266">
        <v>0</v>
      </c>
      <c r="AO129" s="266">
        <v>1</v>
      </c>
      <c r="AP129" s="258">
        <v>1</v>
      </c>
      <c r="AW129" s="239">
        <v>41837</v>
      </c>
      <c r="AX129" s="229" t="s">
        <v>282</v>
      </c>
      <c r="AY129" s="240">
        <v>0</v>
      </c>
      <c r="AZ129" s="266">
        <v>1</v>
      </c>
      <c r="BA129" s="266">
        <v>1</v>
      </c>
      <c r="BB129" s="258">
        <v>2</v>
      </c>
      <c r="BI129" s="1"/>
      <c r="BJ129" s="241" t="s">
        <v>281</v>
      </c>
      <c r="BK129" s="242">
        <v>0</v>
      </c>
      <c r="BL129" s="267">
        <v>0</v>
      </c>
      <c r="BM129" s="267">
        <v>0</v>
      </c>
      <c r="BN129" s="247">
        <v>0</v>
      </c>
    </row>
    <row r="130" spans="1:66" x14ac:dyDescent="0.2">
      <c r="A130" s="1"/>
      <c r="B130" s="241" t="s">
        <v>292</v>
      </c>
      <c r="C130" s="242">
        <v>0</v>
      </c>
      <c r="D130" s="267">
        <v>0</v>
      </c>
      <c r="E130" s="267">
        <v>0</v>
      </c>
      <c r="F130" s="247">
        <v>0</v>
      </c>
      <c r="H130" s="14"/>
      <c r="I130" s="14"/>
      <c r="J130" s="14"/>
      <c r="M130" s="1"/>
      <c r="N130" s="241" t="s">
        <v>276</v>
      </c>
      <c r="O130" s="242">
        <v>1</v>
      </c>
      <c r="P130" s="267">
        <v>2</v>
      </c>
      <c r="Q130" s="267">
        <v>4</v>
      </c>
      <c r="R130" s="247">
        <v>7</v>
      </c>
      <c r="Y130" s="1"/>
      <c r="Z130" s="241" t="s">
        <v>289</v>
      </c>
      <c r="AA130" s="242">
        <v>0</v>
      </c>
      <c r="AB130" s="267">
        <v>0</v>
      </c>
      <c r="AC130" s="267">
        <v>0</v>
      </c>
      <c r="AD130" s="247">
        <v>0</v>
      </c>
      <c r="AK130" s="1"/>
      <c r="AL130" s="241" t="s">
        <v>286</v>
      </c>
      <c r="AM130" s="242">
        <v>0</v>
      </c>
      <c r="AN130" s="267">
        <v>0</v>
      </c>
      <c r="AO130" s="267">
        <v>0</v>
      </c>
      <c r="AP130" s="247">
        <v>0</v>
      </c>
      <c r="AW130" s="1"/>
      <c r="AX130" s="241" t="s">
        <v>283</v>
      </c>
      <c r="AY130" s="242">
        <v>0</v>
      </c>
      <c r="AZ130" s="267">
        <v>0</v>
      </c>
      <c r="BA130" s="267">
        <v>1</v>
      </c>
      <c r="BB130" s="247">
        <v>1</v>
      </c>
      <c r="BI130" s="239">
        <v>41827</v>
      </c>
      <c r="BJ130" s="229" t="s">
        <v>278</v>
      </c>
      <c r="BK130" s="240">
        <v>0</v>
      </c>
      <c r="BL130" s="266">
        <v>0</v>
      </c>
      <c r="BM130" s="266">
        <v>0</v>
      </c>
      <c r="BN130" s="258">
        <v>0</v>
      </c>
    </row>
    <row r="131" spans="1:66" x14ac:dyDescent="0.2">
      <c r="A131" s="1"/>
      <c r="B131" s="241" t="s">
        <v>293</v>
      </c>
      <c r="C131" s="242">
        <v>1</v>
      </c>
      <c r="D131" s="267">
        <v>0</v>
      </c>
      <c r="E131" s="267">
        <v>0</v>
      </c>
      <c r="F131" s="247">
        <v>1</v>
      </c>
      <c r="H131" s="14"/>
      <c r="I131" s="14"/>
      <c r="J131" s="14"/>
      <c r="M131" s="1"/>
      <c r="N131" s="241" t="s">
        <v>277</v>
      </c>
      <c r="O131" s="242">
        <v>0</v>
      </c>
      <c r="P131" s="267">
        <v>0</v>
      </c>
      <c r="Q131" s="267">
        <v>1</v>
      </c>
      <c r="R131" s="247">
        <v>1</v>
      </c>
      <c r="Y131" s="1"/>
      <c r="Z131" s="241" t="s">
        <v>290</v>
      </c>
      <c r="AA131" s="242">
        <v>0</v>
      </c>
      <c r="AB131" s="267">
        <v>0</v>
      </c>
      <c r="AC131" s="267">
        <v>0</v>
      </c>
      <c r="AD131" s="247">
        <v>0</v>
      </c>
      <c r="AK131" s="1"/>
      <c r="AL131" s="241" t="s">
        <v>287</v>
      </c>
      <c r="AM131" s="242">
        <v>0</v>
      </c>
      <c r="AN131" s="267">
        <v>0</v>
      </c>
      <c r="AO131" s="267">
        <v>0</v>
      </c>
      <c r="AP131" s="247">
        <v>0</v>
      </c>
      <c r="AW131" s="1"/>
      <c r="AX131" s="241" t="s">
        <v>284</v>
      </c>
      <c r="AY131" s="242">
        <v>0</v>
      </c>
      <c r="AZ131" s="267">
        <v>0</v>
      </c>
      <c r="BA131" s="267">
        <v>0</v>
      </c>
      <c r="BB131" s="247">
        <v>0</v>
      </c>
      <c r="BI131" s="1"/>
      <c r="BJ131" s="241" t="s">
        <v>279</v>
      </c>
      <c r="BK131" s="242">
        <v>0</v>
      </c>
      <c r="BL131" s="267">
        <v>0</v>
      </c>
      <c r="BM131" s="267">
        <v>0</v>
      </c>
      <c r="BN131" s="247">
        <v>0</v>
      </c>
    </row>
    <row r="132" spans="1:66" x14ac:dyDescent="0.2">
      <c r="A132" s="239">
        <v>41838</v>
      </c>
      <c r="B132" s="229" t="s">
        <v>291</v>
      </c>
      <c r="C132" s="240">
        <v>1</v>
      </c>
      <c r="D132" s="266">
        <v>0</v>
      </c>
      <c r="E132" s="266">
        <v>7</v>
      </c>
      <c r="F132" s="258">
        <v>8</v>
      </c>
      <c r="H132" s="14"/>
      <c r="I132" s="14"/>
      <c r="J132" s="14"/>
      <c r="M132" s="239">
        <v>41838</v>
      </c>
      <c r="N132" s="229" t="s">
        <v>275</v>
      </c>
      <c r="O132" s="240">
        <v>0</v>
      </c>
      <c r="P132" s="266">
        <v>0</v>
      </c>
      <c r="Q132" s="266">
        <v>1</v>
      </c>
      <c r="R132" s="258">
        <v>1</v>
      </c>
      <c r="Y132" s="239">
        <v>41838</v>
      </c>
      <c r="Z132" s="229" t="s">
        <v>288</v>
      </c>
      <c r="AA132" s="240">
        <v>0</v>
      </c>
      <c r="AB132" s="266">
        <v>3</v>
      </c>
      <c r="AC132" s="266">
        <v>1</v>
      </c>
      <c r="AD132" s="258">
        <v>4</v>
      </c>
      <c r="AK132" s="239">
        <v>41838</v>
      </c>
      <c r="AL132" s="229" t="s">
        <v>285</v>
      </c>
      <c r="AM132" s="240">
        <v>0</v>
      </c>
      <c r="AN132" s="266">
        <v>0</v>
      </c>
      <c r="AO132" s="266">
        <v>1</v>
      </c>
      <c r="AP132" s="258">
        <v>1</v>
      </c>
      <c r="AW132" s="239">
        <v>41838</v>
      </c>
      <c r="AX132" s="229" t="s">
        <v>282</v>
      </c>
      <c r="AY132" s="240">
        <v>0</v>
      </c>
      <c r="AZ132" s="266">
        <v>0</v>
      </c>
      <c r="BA132" s="266">
        <v>0</v>
      </c>
      <c r="BB132" s="258">
        <v>0</v>
      </c>
      <c r="BI132" s="1"/>
      <c r="BJ132" s="241" t="s">
        <v>280</v>
      </c>
      <c r="BK132" s="242">
        <v>0</v>
      </c>
      <c r="BL132" s="267">
        <v>0</v>
      </c>
      <c r="BM132" s="267">
        <v>0</v>
      </c>
      <c r="BN132" s="247">
        <v>0</v>
      </c>
    </row>
    <row r="133" spans="1:66" x14ac:dyDescent="0.2">
      <c r="A133" s="1"/>
      <c r="B133" s="241" t="s">
        <v>292</v>
      </c>
      <c r="C133" s="242">
        <v>0</v>
      </c>
      <c r="D133" s="267">
        <v>0</v>
      </c>
      <c r="E133" s="267">
        <v>0</v>
      </c>
      <c r="F133" s="247">
        <v>0</v>
      </c>
      <c r="H133" s="14"/>
      <c r="I133" s="14"/>
      <c r="J133" s="14"/>
      <c r="M133" s="1"/>
      <c r="N133" s="241" t="s">
        <v>276</v>
      </c>
      <c r="O133" s="242">
        <v>0</v>
      </c>
      <c r="P133" s="267">
        <v>0</v>
      </c>
      <c r="Q133" s="267">
        <v>4</v>
      </c>
      <c r="R133" s="247">
        <v>4</v>
      </c>
      <c r="Y133" s="1"/>
      <c r="Z133" s="241" t="s">
        <v>289</v>
      </c>
      <c r="AA133" s="242">
        <v>0</v>
      </c>
      <c r="AB133" s="267">
        <v>0</v>
      </c>
      <c r="AC133" s="267">
        <v>0</v>
      </c>
      <c r="AD133" s="247">
        <v>0</v>
      </c>
      <c r="AK133" s="1"/>
      <c r="AL133" s="241" t="s">
        <v>286</v>
      </c>
      <c r="AM133" s="242">
        <v>0</v>
      </c>
      <c r="AN133" s="267">
        <v>0</v>
      </c>
      <c r="AO133" s="267">
        <v>0</v>
      </c>
      <c r="AP133" s="247">
        <v>0</v>
      </c>
      <c r="AW133" s="1"/>
      <c r="AX133" s="241" t="s">
        <v>283</v>
      </c>
      <c r="AY133" s="242">
        <v>0</v>
      </c>
      <c r="AZ133" s="267">
        <v>0</v>
      </c>
      <c r="BA133" s="267">
        <v>0</v>
      </c>
      <c r="BB133" s="247">
        <v>0</v>
      </c>
      <c r="BI133" s="1"/>
      <c r="BJ133" s="241" t="s">
        <v>281</v>
      </c>
      <c r="BK133" s="242">
        <v>0</v>
      </c>
      <c r="BL133" s="267">
        <v>0</v>
      </c>
      <c r="BM133" s="267">
        <v>0</v>
      </c>
      <c r="BN133" s="247">
        <v>0</v>
      </c>
    </row>
    <row r="134" spans="1:66" x14ac:dyDescent="0.2">
      <c r="A134" s="1"/>
      <c r="B134" s="241" t="s">
        <v>293</v>
      </c>
      <c r="C134" s="242">
        <v>0</v>
      </c>
      <c r="D134" s="267">
        <v>0</v>
      </c>
      <c r="E134" s="267">
        <v>1</v>
      </c>
      <c r="F134" s="247">
        <v>1</v>
      </c>
      <c r="H134" s="14"/>
      <c r="I134" s="14"/>
      <c r="J134" s="14"/>
      <c r="M134" s="1"/>
      <c r="N134" s="241" t="s">
        <v>277</v>
      </c>
      <c r="O134" s="242">
        <v>0</v>
      </c>
      <c r="P134" s="267">
        <v>0</v>
      </c>
      <c r="Q134" s="267">
        <v>0</v>
      </c>
      <c r="R134" s="247">
        <v>0</v>
      </c>
      <c r="Y134" s="1"/>
      <c r="Z134" s="241" t="s">
        <v>290</v>
      </c>
      <c r="AA134" s="242">
        <v>0</v>
      </c>
      <c r="AB134" s="267">
        <v>0</v>
      </c>
      <c r="AC134" s="267">
        <v>0</v>
      </c>
      <c r="AD134" s="247">
        <v>0</v>
      </c>
      <c r="AK134" s="1"/>
      <c r="AL134" s="241" t="s">
        <v>287</v>
      </c>
      <c r="AM134" s="242">
        <v>0</v>
      </c>
      <c r="AN134" s="267">
        <v>0</v>
      </c>
      <c r="AO134" s="267">
        <v>1</v>
      </c>
      <c r="AP134" s="247">
        <v>1</v>
      </c>
      <c r="AW134" s="1"/>
      <c r="AX134" s="241" t="s">
        <v>284</v>
      </c>
      <c r="AY134" s="242">
        <v>0</v>
      </c>
      <c r="AZ134" s="267">
        <v>0</v>
      </c>
      <c r="BA134" s="267">
        <v>0</v>
      </c>
      <c r="BB134" s="247">
        <v>0</v>
      </c>
      <c r="BI134" s="239">
        <v>41828</v>
      </c>
      <c r="BJ134" s="229" t="s">
        <v>278</v>
      </c>
      <c r="BK134" s="240">
        <v>0</v>
      </c>
      <c r="BL134" s="266">
        <v>0</v>
      </c>
      <c r="BM134" s="266">
        <v>0</v>
      </c>
      <c r="BN134" s="258">
        <v>0</v>
      </c>
    </row>
    <row r="135" spans="1:66" x14ac:dyDescent="0.2">
      <c r="A135" s="239">
        <v>41839</v>
      </c>
      <c r="B135" s="229" t="s">
        <v>291</v>
      </c>
      <c r="C135" s="240">
        <v>1</v>
      </c>
      <c r="D135" s="266">
        <v>0</v>
      </c>
      <c r="E135" s="266">
        <v>3</v>
      </c>
      <c r="F135" s="258">
        <v>4</v>
      </c>
      <c r="H135" s="14"/>
      <c r="I135" s="14"/>
      <c r="J135" s="14"/>
      <c r="M135" s="239">
        <v>41839</v>
      </c>
      <c r="N135" s="229" t="s">
        <v>275</v>
      </c>
      <c r="O135" s="240">
        <v>0</v>
      </c>
      <c r="P135" s="266">
        <v>0</v>
      </c>
      <c r="Q135" s="266">
        <v>1</v>
      </c>
      <c r="R135" s="258">
        <v>1</v>
      </c>
      <c r="Y135" s="239">
        <v>41839</v>
      </c>
      <c r="Z135" s="229" t="s">
        <v>288</v>
      </c>
      <c r="AA135" s="240">
        <v>1</v>
      </c>
      <c r="AB135" s="266">
        <v>0</v>
      </c>
      <c r="AC135" s="266">
        <v>3</v>
      </c>
      <c r="AD135" s="258">
        <v>4</v>
      </c>
      <c r="AK135" s="239">
        <v>41839</v>
      </c>
      <c r="AL135" s="229" t="s">
        <v>285</v>
      </c>
      <c r="AM135" s="240">
        <v>0</v>
      </c>
      <c r="AN135" s="266">
        <v>0</v>
      </c>
      <c r="AO135" s="266">
        <v>1</v>
      </c>
      <c r="AP135" s="258">
        <v>1</v>
      </c>
      <c r="AW135" s="239">
        <v>41839</v>
      </c>
      <c r="AX135" s="229" t="s">
        <v>282</v>
      </c>
      <c r="AY135" s="240">
        <v>1</v>
      </c>
      <c r="AZ135" s="266">
        <v>0</v>
      </c>
      <c r="BA135" s="266">
        <v>0</v>
      </c>
      <c r="BB135" s="258">
        <v>1</v>
      </c>
      <c r="BI135" s="1"/>
      <c r="BJ135" s="241" t="s">
        <v>279</v>
      </c>
      <c r="BK135" s="242">
        <v>0</v>
      </c>
      <c r="BL135" s="267">
        <v>0</v>
      </c>
      <c r="BM135" s="267">
        <v>0</v>
      </c>
      <c r="BN135" s="247">
        <v>0</v>
      </c>
    </row>
    <row r="136" spans="1:66" x14ac:dyDescent="0.2">
      <c r="A136" s="1"/>
      <c r="B136" s="241" t="s">
        <v>292</v>
      </c>
      <c r="C136" s="242">
        <v>0</v>
      </c>
      <c r="D136" s="267">
        <v>0</v>
      </c>
      <c r="E136" s="267">
        <v>0</v>
      </c>
      <c r="F136" s="247">
        <v>0</v>
      </c>
      <c r="H136" s="14"/>
      <c r="I136" s="14"/>
      <c r="J136" s="14"/>
      <c r="M136" s="1"/>
      <c r="N136" s="241" t="s">
        <v>276</v>
      </c>
      <c r="O136" s="242">
        <v>0</v>
      </c>
      <c r="P136" s="267">
        <v>0</v>
      </c>
      <c r="Q136" s="267">
        <v>0</v>
      </c>
      <c r="R136" s="247">
        <v>0</v>
      </c>
      <c r="Y136" s="1"/>
      <c r="Z136" s="241" t="s">
        <v>289</v>
      </c>
      <c r="AA136" s="242">
        <v>0</v>
      </c>
      <c r="AB136" s="267">
        <v>0</v>
      </c>
      <c r="AC136" s="267">
        <v>0</v>
      </c>
      <c r="AD136" s="247">
        <v>0</v>
      </c>
      <c r="AK136" s="1"/>
      <c r="AL136" s="241" t="s">
        <v>286</v>
      </c>
      <c r="AM136" s="242">
        <v>0</v>
      </c>
      <c r="AN136" s="267">
        <v>0</v>
      </c>
      <c r="AO136" s="267">
        <v>0</v>
      </c>
      <c r="AP136" s="247">
        <v>0</v>
      </c>
      <c r="AW136" s="1"/>
      <c r="AX136" s="241" t="s">
        <v>283</v>
      </c>
      <c r="AY136" s="242">
        <v>0</v>
      </c>
      <c r="AZ136" s="267">
        <v>1</v>
      </c>
      <c r="BA136" s="267">
        <v>2</v>
      </c>
      <c r="BB136" s="247">
        <v>3</v>
      </c>
      <c r="BI136" s="1"/>
      <c r="BJ136" s="241" t="s">
        <v>280</v>
      </c>
      <c r="BK136" s="242">
        <v>0</v>
      </c>
      <c r="BL136" s="267">
        <v>0</v>
      </c>
      <c r="BM136" s="267">
        <v>0</v>
      </c>
      <c r="BN136" s="247">
        <v>0</v>
      </c>
    </row>
    <row r="137" spans="1:66" x14ac:dyDescent="0.2">
      <c r="A137" s="1"/>
      <c r="B137" s="241" t="s">
        <v>293</v>
      </c>
      <c r="C137" s="242">
        <v>0</v>
      </c>
      <c r="D137" s="267">
        <v>0</v>
      </c>
      <c r="E137" s="267">
        <v>2</v>
      </c>
      <c r="F137" s="247">
        <v>2</v>
      </c>
      <c r="H137" s="14"/>
      <c r="I137" s="14"/>
      <c r="J137" s="14"/>
      <c r="M137" s="1"/>
      <c r="N137" s="241" t="s">
        <v>277</v>
      </c>
      <c r="O137" s="242">
        <v>0</v>
      </c>
      <c r="P137" s="267">
        <v>0</v>
      </c>
      <c r="Q137" s="267">
        <v>1</v>
      </c>
      <c r="R137" s="247">
        <v>1</v>
      </c>
      <c r="Y137" s="1"/>
      <c r="Z137" s="241" t="s">
        <v>290</v>
      </c>
      <c r="AA137" s="242">
        <v>0</v>
      </c>
      <c r="AB137" s="267">
        <v>0</v>
      </c>
      <c r="AC137" s="267">
        <v>0</v>
      </c>
      <c r="AD137" s="247">
        <v>0</v>
      </c>
      <c r="AK137" s="1"/>
      <c r="AL137" s="241" t="s">
        <v>287</v>
      </c>
      <c r="AM137" s="242">
        <v>0</v>
      </c>
      <c r="AN137" s="267">
        <v>0</v>
      </c>
      <c r="AO137" s="267">
        <v>0</v>
      </c>
      <c r="AP137" s="247">
        <v>0</v>
      </c>
      <c r="AW137" s="1"/>
      <c r="AX137" s="241" t="s">
        <v>284</v>
      </c>
      <c r="AY137" s="242">
        <v>0</v>
      </c>
      <c r="AZ137" s="267">
        <v>0</v>
      </c>
      <c r="BA137" s="267">
        <v>0</v>
      </c>
      <c r="BB137" s="247">
        <v>0</v>
      </c>
      <c r="BI137" s="1"/>
      <c r="BJ137" s="241" t="s">
        <v>281</v>
      </c>
      <c r="BK137" s="242">
        <v>0</v>
      </c>
      <c r="BL137" s="267">
        <v>0</v>
      </c>
      <c r="BM137" s="267">
        <v>0</v>
      </c>
      <c r="BN137" s="247">
        <v>0</v>
      </c>
    </row>
    <row r="138" spans="1:66" x14ac:dyDescent="0.2">
      <c r="A138" s="239">
        <v>41840</v>
      </c>
      <c r="B138" s="229" t="s">
        <v>291</v>
      </c>
      <c r="C138" s="240">
        <v>1</v>
      </c>
      <c r="D138" s="266">
        <v>0</v>
      </c>
      <c r="E138" s="266">
        <v>5</v>
      </c>
      <c r="F138" s="258">
        <v>6</v>
      </c>
      <c r="H138" s="14"/>
      <c r="I138" s="14"/>
      <c r="J138" s="14"/>
      <c r="M138" s="239">
        <v>41840</v>
      </c>
      <c r="N138" s="229" t="s">
        <v>275</v>
      </c>
      <c r="O138" s="240">
        <v>0</v>
      </c>
      <c r="P138" s="266">
        <v>0</v>
      </c>
      <c r="Q138" s="266">
        <v>0</v>
      </c>
      <c r="R138" s="258">
        <v>0</v>
      </c>
      <c r="Y138" s="239">
        <v>41840</v>
      </c>
      <c r="Z138" s="229" t="s">
        <v>288</v>
      </c>
      <c r="AA138" s="240">
        <v>0</v>
      </c>
      <c r="AB138" s="266">
        <v>2</v>
      </c>
      <c r="AC138" s="266">
        <v>0</v>
      </c>
      <c r="AD138" s="258">
        <v>2</v>
      </c>
      <c r="AK138" s="239">
        <v>41840</v>
      </c>
      <c r="AL138" s="229" t="s">
        <v>285</v>
      </c>
      <c r="AM138" s="240">
        <v>0</v>
      </c>
      <c r="AN138" s="266">
        <v>0</v>
      </c>
      <c r="AO138" s="266">
        <v>1</v>
      </c>
      <c r="AP138" s="258">
        <v>1</v>
      </c>
      <c r="AW138" s="239">
        <v>41840</v>
      </c>
      <c r="AX138" s="229" t="s">
        <v>282</v>
      </c>
      <c r="AY138" s="240">
        <v>0</v>
      </c>
      <c r="AZ138" s="266">
        <v>1</v>
      </c>
      <c r="BA138" s="266">
        <v>1</v>
      </c>
      <c r="BB138" s="258">
        <v>2</v>
      </c>
      <c r="BI138" s="239">
        <v>41829</v>
      </c>
      <c r="BJ138" s="229" t="s">
        <v>278</v>
      </c>
      <c r="BK138" s="240">
        <v>0</v>
      </c>
      <c r="BL138" s="266">
        <v>0</v>
      </c>
      <c r="BM138" s="266">
        <v>0</v>
      </c>
      <c r="BN138" s="258">
        <v>0</v>
      </c>
    </row>
    <row r="139" spans="1:66" x14ac:dyDescent="0.2">
      <c r="A139" s="1"/>
      <c r="B139" s="241" t="s">
        <v>292</v>
      </c>
      <c r="C139" s="242">
        <v>0</v>
      </c>
      <c r="D139" s="267">
        <v>0</v>
      </c>
      <c r="E139" s="267">
        <v>0</v>
      </c>
      <c r="F139" s="247">
        <v>0</v>
      </c>
      <c r="H139" s="14"/>
      <c r="I139" s="14"/>
      <c r="J139" s="14"/>
      <c r="M139" s="1"/>
      <c r="N139" s="241" t="s">
        <v>276</v>
      </c>
      <c r="O139" s="242">
        <v>0</v>
      </c>
      <c r="P139" s="267">
        <v>0</v>
      </c>
      <c r="Q139" s="267">
        <v>1</v>
      </c>
      <c r="R139" s="247">
        <v>1</v>
      </c>
      <c r="Y139" s="1"/>
      <c r="Z139" s="241" t="s">
        <v>289</v>
      </c>
      <c r="AA139" s="242">
        <v>0</v>
      </c>
      <c r="AB139" s="267">
        <v>0</v>
      </c>
      <c r="AC139" s="267">
        <v>1</v>
      </c>
      <c r="AD139" s="247">
        <v>1</v>
      </c>
      <c r="AK139" s="1"/>
      <c r="AL139" s="241" t="s">
        <v>286</v>
      </c>
      <c r="AM139" s="242">
        <v>1</v>
      </c>
      <c r="AN139" s="267">
        <v>0</v>
      </c>
      <c r="AO139" s="267">
        <v>7</v>
      </c>
      <c r="AP139" s="247">
        <v>8</v>
      </c>
      <c r="AW139" s="1"/>
      <c r="AX139" s="241" t="s">
        <v>283</v>
      </c>
      <c r="AY139" s="242">
        <v>1</v>
      </c>
      <c r="AZ139" s="267">
        <v>0</v>
      </c>
      <c r="BA139" s="267">
        <v>0</v>
      </c>
      <c r="BB139" s="247">
        <v>1</v>
      </c>
      <c r="BI139" s="1"/>
      <c r="BJ139" s="241" t="s">
        <v>279</v>
      </c>
      <c r="BK139" s="242">
        <v>0</v>
      </c>
      <c r="BL139" s="267">
        <v>0</v>
      </c>
      <c r="BM139" s="267">
        <v>0</v>
      </c>
      <c r="BN139" s="247">
        <v>0</v>
      </c>
    </row>
    <row r="140" spans="1:66" x14ac:dyDescent="0.2">
      <c r="A140" s="1"/>
      <c r="B140" s="241" t="s">
        <v>293</v>
      </c>
      <c r="C140" s="242">
        <v>0</v>
      </c>
      <c r="D140" s="267">
        <v>0</v>
      </c>
      <c r="E140" s="267">
        <v>0</v>
      </c>
      <c r="F140" s="247">
        <v>0</v>
      </c>
      <c r="H140" s="14"/>
      <c r="I140" s="14"/>
      <c r="J140" s="14"/>
      <c r="M140" s="1"/>
      <c r="N140" s="241" t="s">
        <v>277</v>
      </c>
      <c r="O140" s="242">
        <v>0</v>
      </c>
      <c r="P140" s="267">
        <v>0</v>
      </c>
      <c r="Q140" s="267">
        <v>0</v>
      </c>
      <c r="R140" s="247">
        <v>0</v>
      </c>
      <c r="Y140" s="1"/>
      <c r="Z140" s="241" t="s">
        <v>290</v>
      </c>
      <c r="AA140" s="242">
        <v>0</v>
      </c>
      <c r="AB140" s="267">
        <v>0</v>
      </c>
      <c r="AC140" s="267">
        <v>0</v>
      </c>
      <c r="AD140" s="247">
        <v>0</v>
      </c>
      <c r="AK140" s="1"/>
      <c r="AL140" s="241" t="s">
        <v>287</v>
      </c>
      <c r="AM140" s="242">
        <v>0</v>
      </c>
      <c r="AN140" s="267">
        <v>0</v>
      </c>
      <c r="AO140" s="267">
        <v>1</v>
      </c>
      <c r="AP140" s="247">
        <v>1</v>
      </c>
      <c r="AW140" s="1"/>
      <c r="AX140" s="241" t="s">
        <v>284</v>
      </c>
      <c r="AY140" s="242">
        <v>0</v>
      </c>
      <c r="AZ140" s="267">
        <v>0</v>
      </c>
      <c r="BA140" s="267">
        <v>0</v>
      </c>
      <c r="BB140" s="247">
        <v>0</v>
      </c>
      <c r="BI140" s="1"/>
      <c r="BJ140" s="241" t="s">
        <v>280</v>
      </c>
      <c r="BK140" s="242">
        <v>0</v>
      </c>
      <c r="BL140" s="267">
        <v>0</v>
      </c>
      <c r="BM140" s="267">
        <v>0</v>
      </c>
      <c r="BN140" s="247">
        <v>0</v>
      </c>
    </row>
    <row r="141" spans="1:66" x14ac:dyDescent="0.2">
      <c r="A141" s="239">
        <v>41841</v>
      </c>
      <c r="B141" s="229" t="s">
        <v>291</v>
      </c>
      <c r="C141" s="240">
        <v>0</v>
      </c>
      <c r="D141" s="266">
        <v>0</v>
      </c>
      <c r="E141" s="266">
        <v>4</v>
      </c>
      <c r="F141" s="258">
        <v>4</v>
      </c>
      <c r="H141" s="14"/>
      <c r="I141" s="14"/>
      <c r="J141" s="14"/>
      <c r="M141" s="239">
        <v>41841</v>
      </c>
      <c r="N141" s="229" t="s">
        <v>275</v>
      </c>
      <c r="O141" s="240">
        <v>1</v>
      </c>
      <c r="P141" s="266">
        <v>0</v>
      </c>
      <c r="Q141" s="266">
        <v>0</v>
      </c>
      <c r="R141" s="258">
        <v>1</v>
      </c>
      <c r="Y141" s="239">
        <v>41841</v>
      </c>
      <c r="Z141" s="229" t="s">
        <v>288</v>
      </c>
      <c r="AA141" s="240">
        <v>0</v>
      </c>
      <c r="AB141" s="266">
        <v>0</v>
      </c>
      <c r="AC141" s="266">
        <v>0</v>
      </c>
      <c r="AD141" s="258">
        <v>0</v>
      </c>
      <c r="AK141" s="239">
        <v>41841</v>
      </c>
      <c r="AL141" s="229" t="s">
        <v>285</v>
      </c>
      <c r="AM141" s="240">
        <v>1</v>
      </c>
      <c r="AN141" s="266">
        <v>0</v>
      </c>
      <c r="AO141" s="266">
        <v>1</v>
      </c>
      <c r="AP141" s="258">
        <v>2</v>
      </c>
      <c r="AW141" s="239">
        <v>41841</v>
      </c>
      <c r="AX141" s="229" t="s">
        <v>282</v>
      </c>
      <c r="AY141" s="240">
        <v>0</v>
      </c>
      <c r="AZ141" s="266">
        <v>1</v>
      </c>
      <c r="BA141" s="266">
        <v>0</v>
      </c>
      <c r="BB141" s="258">
        <v>1</v>
      </c>
      <c r="BI141" s="1"/>
      <c r="BJ141" s="241" t="s">
        <v>281</v>
      </c>
      <c r="BK141" s="242">
        <v>0</v>
      </c>
      <c r="BL141" s="267">
        <v>0</v>
      </c>
      <c r="BM141" s="267">
        <v>0</v>
      </c>
      <c r="BN141" s="247">
        <v>0</v>
      </c>
    </row>
    <row r="142" spans="1:66" x14ac:dyDescent="0.2">
      <c r="A142" s="1"/>
      <c r="B142" s="241" t="s">
        <v>292</v>
      </c>
      <c r="C142" s="242">
        <v>0</v>
      </c>
      <c r="D142" s="267">
        <v>0</v>
      </c>
      <c r="E142" s="267">
        <v>0</v>
      </c>
      <c r="F142" s="247">
        <v>0</v>
      </c>
      <c r="H142" s="14"/>
      <c r="I142" s="14"/>
      <c r="J142" s="14"/>
      <c r="M142" s="1"/>
      <c r="N142" s="241" t="s">
        <v>276</v>
      </c>
      <c r="O142" s="242">
        <v>1</v>
      </c>
      <c r="P142" s="267">
        <v>0</v>
      </c>
      <c r="Q142" s="267">
        <v>2</v>
      </c>
      <c r="R142" s="247">
        <v>3</v>
      </c>
      <c r="Y142" s="1"/>
      <c r="Z142" s="241" t="s">
        <v>289</v>
      </c>
      <c r="AA142" s="242">
        <v>0</v>
      </c>
      <c r="AB142" s="267">
        <v>0</v>
      </c>
      <c r="AC142" s="267">
        <v>0</v>
      </c>
      <c r="AD142" s="247">
        <v>0</v>
      </c>
      <c r="AK142" s="1"/>
      <c r="AL142" s="241" t="s">
        <v>286</v>
      </c>
      <c r="AM142" s="242">
        <v>2</v>
      </c>
      <c r="AN142" s="267">
        <v>0</v>
      </c>
      <c r="AO142" s="267">
        <v>2</v>
      </c>
      <c r="AP142" s="247">
        <v>4</v>
      </c>
      <c r="AW142" s="1"/>
      <c r="AX142" s="241" t="s">
        <v>283</v>
      </c>
      <c r="AY142" s="242">
        <v>0</v>
      </c>
      <c r="AZ142" s="267">
        <v>0</v>
      </c>
      <c r="BA142" s="267">
        <v>0</v>
      </c>
      <c r="BB142" s="247">
        <v>0</v>
      </c>
      <c r="BI142" s="239">
        <v>41830</v>
      </c>
      <c r="BJ142" s="229" t="s">
        <v>278</v>
      </c>
      <c r="BK142" s="240">
        <v>0</v>
      </c>
      <c r="BL142" s="266">
        <v>0</v>
      </c>
      <c r="BM142" s="266">
        <v>0</v>
      </c>
      <c r="BN142" s="258">
        <v>0</v>
      </c>
    </row>
    <row r="143" spans="1:66" x14ac:dyDescent="0.2">
      <c r="A143" s="1"/>
      <c r="B143" s="241" t="s">
        <v>293</v>
      </c>
      <c r="C143" s="242">
        <v>0</v>
      </c>
      <c r="D143" s="267">
        <v>0</v>
      </c>
      <c r="E143" s="267">
        <v>0</v>
      </c>
      <c r="F143" s="247">
        <v>0</v>
      </c>
      <c r="H143" s="14"/>
      <c r="I143" s="14"/>
      <c r="J143" s="14"/>
      <c r="M143" s="1"/>
      <c r="N143" s="241" t="s">
        <v>277</v>
      </c>
      <c r="O143" s="242">
        <v>0</v>
      </c>
      <c r="P143" s="267">
        <v>0</v>
      </c>
      <c r="Q143" s="267">
        <v>0</v>
      </c>
      <c r="R143" s="247">
        <v>0</v>
      </c>
      <c r="Y143" s="1"/>
      <c r="Z143" s="241" t="s">
        <v>290</v>
      </c>
      <c r="AA143" s="242">
        <v>0</v>
      </c>
      <c r="AB143" s="267">
        <v>0</v>
      </c>
      <c r="AC143" s="267">
        <v>0</v>
      </c>
      <c r="AD143" s="247">
        <v>0</v>
      </c>
      <c r="AK143" s="1"/>
      <c r="AL143" s="241" t="s">
        <v>287</v>
      </c>
      <c r="AM143" s="242">
        <v>0</v>
      </c>
      <c r="AN143" s="267">
        <v>0</v>
      </c>
      <c r="AO143" s="267">
        <v>0</v>
      </c>
      <c r="AP143" s="247">
        <v>0</v>
      </c>
      <c r="AW143" s="1"/>
      <c r="AX143" s="241" t="s">
        <v>284</v>
      </c>
      <c r="AY143" s="242">
        <v>0</v>
      </c>
      <c r="AZ143" s="267">
        <v>0</v>
      </c>
      <c r="BA143" s="267">
        <v>0</v>
      </c>
      <c r="BB143" s="247">
        <v>0</v>
      </c>
      <c r="BI143" s="1"/>
      <c r="BJ143" s="241" t="s">
        <v>279</v>
      </c>
      <c r="BK143" s="242">
        <v>0</v>
      </c>
      <c r="BL143" s="267">
        <v>0</v>
      </c>
      <c r="BM143" s="267">
        <v>0</v>
      </c>
      <c r="BN143" s="247">
        <v>0</v>
      </c>
    </row>
    <row r="144" spans="1:66" x14ac:dyDescent="0.2">
      <c r="A144" s="239">
        <v>41842</v>
      </c>
      <c r="B144" s="229" t="s">
        <v>291</v>
      </c>
      <c r="C144" s="240">
        <v>0</v>
      </c>
      <c r="D144" s="266">
        <v>0</v>
      </c>
      <c r="E144" s="266">
        <v>0</v>
      </c>
      <c r="F144" s="258">
        <v>0</v>
      </c>
      <c r="H144" s="14"/>
      <c r="I144" s="14"/>
      <c r="J144" s="14"/>
      <c r="M144" s="239">
        <v>41842</v>
      </c>
      <c r="N144" s="229" t="s">
        <v>275</v>
      </c>
      <c r="O144" s="240">
        <v>0</v>
      </c>
      <c r="P144" s="266">
        <v>0</v>
      </c>
      <c r="Q144" s="266">
        <v>0</v>
      </c>
      <c r="R144" s="258">
        <v>0</v>
      </c>
      <c r="Y144" s="239">
        <v>41842</v>
      </c>
      <c r="Z144" s="229" t="s">
        <v>288</v>
      </c>
      <c r="AA144" s="240">
        <v>0</v>
      </c>
      <c r="AB144" s="266">
        <v>8</v>
      </c>
      <c r="AC144" s="266">
        <v>0</v>
      </c>
      <c r="AD144" s="258">
        <v>8</v>
      </c>
      <c r="AK144" s="239">
        <v>41842</v>
      </c>
      <c r="AL144" s="229" t="s">
        <v>285</v>
      </c>
      <c r="AM144" s="240">
        <v>1</v>
      </c>
      <c r="AN144" s="266">
        <v>0</v>
      </c>
      <c r="AO144" s="266">
        <v>2</v>
      </c>
      <c r="AP144" s="258">
        <v>3</v>
      </c>
      <c r="AW144" s="239">
        <v>41842</v>
      </c>
      <c r="AX144" s="229" t="s">
        <v>282</v>
      </c>
      <c r="AY144" s="240">
        <v>0</v>
      </c>
      <c r="AZ144" s="266">
        <v>2</v>
      </c>
      <c r="BA144" s="266">
        <v>0</v>
      </c>
      <c r="BB144" s="258">
        <v>2</v>
      </c>
      <c r="BI144" s="1"/>
      <c r="BJ144" s="241" t="s">
        <v>280</v>
      </c>
      <c r="BK144" s="242">
        <v>0</v>
      </c>
      <c r="BL144" s="267">
        <v>0</v>
      </c>
      <c r="BM144" s="267">
        <v>0</v>
      </c>
      <c r="BN144" s="247">
        <v>0</v>
      </c>
    </row>
    <row r="145" spans="1:66" x14ac:dyDescent="0.2">
      <c r="A145" s="1"/>
      <c r="B145" s="241" t="s">
        <v>292</v>
      </c>
      <c r="C145" s="242">
        <v>0</v>
      </c>
      <c r="D145" s="267">
        <v>0</v>
      </c>
      <c r="E145" s="267">
        <v>1</v>
      </c>
      <c r="F145" s="247">
        <v>1</v>
      </c>
      <c r="H145" s="14"/>
      <c r="I145" s="14"/>
      <c r="J145" s="14"/>
      <c r="M145" s="1"/>
      <c r="N145" s="241" t="s">
        <v>276</v>
      </c>
      <c r="O145" s="242">
        <v>1</v>
      </c>
      <c r="P145" s="267">
        <v>0</v>
      </c>
      <c r="Q145" s="267">
        <v>0</v>
      </c>
      <c r="R145" s="247">
        <v>1</v>
      </c>
      <c r="Y145" s="1"/>
      <c r="Z145" s="241" t="s">
        <v>289</v>
      </c>
      <c r="AA145" s="242">
        <v>0</v>
      </c>
      <c r="AB145" s="267">
        <v>0</v>
      </c>
      <c r="AC145" s="267">
        <v>0</v>
      </c>
      <c r="AD145" s="247">
        <v>0</v>
      </c>
      <c r="AK145" s="1"/>
      <c r="AL145" s="241" t="s">
        <v>286</v>
      </c>
      <c r="AM145" s="242">
        <v>9</v>
      </c>
      <c r="AN145" s="267">
        <v>4</v>
      </c>
      <c r="AO145" s="267">
        <v>8</v>
      </c>
      <c r="AP145" s="247">
        <v>21</v>
      </c>
      <c r="AW145" s="1"/>
      <c r="AX145" s="241" t="s">
        <v>283</v>
      </c>
      <c r="AY145" s="242">
        <v>2</v>
      </c>
      <c r="AZ145" s="267">
        <v>0</v>
      </c>
      <c r="BA145" s="267">
        <v>2</v>
      </c>
      <c r="BB145" s="247">
        <v>4</v>
      </c>
      <c r="BI145" s="1"/>
      <c r="BJ145" s="241" t="s">
        <v>281</v>
      </c>
      <c r="BK145" s="242">
        <v>0</v>
      </c>
      <c r="BL145" s="267">
        <v>0</v>
      </c>
      <c r="BM145" s="267">
        <v>0</v>
      </c>
      <c r="BN145" s="247">
        <v>0</v>
      </c>
    </row>
    <row r="146" spans="1:66" x14ac:dyDescent="0.2">
      <c r="A146" s="1"/>
      <c r="B146" s="241" t="s">
        <v>293</v>
      </c>
      <c r="C146" s="242">
        <v>0</v>
      </c>
      <c r="D146" s="267">
        <v>0</v>
      </c>
      <c r="E146" s="267">
        <v>0</v>
      </c>
      <c r="F146" s="247">
        <v>0</v>
      </c>
      <c r="H146" s="14"/>
      <c r="I146" s="14"/>
      <c r="J146" s="14"/>
      <c r="M146" s="1"/>
      <c r="N146" s="241" t="s">
        <v>277</v>
      </c>
      <c r="O146" s="242">
        <v>0</v>
      </c>
      <c r="P146" s="267">
        <v>0</v>
      </c>
      <c r="Q146" s="267">
        <v>0</v>
      </c>
      <c r="R146" s="247">
        <v>0</v>
      </c>
      <c r="Y146" s="1"/>
      <c r="Z146" s="241" t="s">
        <v>290</v>
      </c>
      <c r="AA146" s="242">
        <v>0</v>
      </c>
      <c r="AB146" s="267">
        <v>0</v>
      </c>
      <c r="AC146" s="267">
        <v>0</v>
      </c>
      <c r="AD146" s="247">
        <v>0</v>
      </c>
      <c r="AK146" s="1"/>
      <c r="AL146" s="241" t="s">
        <v>287</v>
      </c>
      <c r="AM146" s="242">
        <v>1</v>
      </c>
      <c r="AN146" s="267">
        <v>0</v>
      </c>
      <c r="AO146" s="267">
        <v>0</v>
      </c>
      <c r="AP146" s="247">
        <v>1</v>
      </c>
      <c r="AW146" s="1"/>
      <c r="AX146" s="241" t="s">
        <v>284</v>
      </c>
      <c r="AY146" s="242">
        <v>1</v>
      </c>
      <c r="AZ146" s="267">
        <v>0</v>
      </c>
      <c r="BA146" s="267">
        <v>1</v>
      </c>
      <c r="BB146" s="247">
        <v>2</v>
      </c>
      <c r="BI146" s="239">
        <v>41831</v>
      </c>
      <c r="BJ146" s="229" t="s">
        <v>278</v>
      </c>
      <c r="BK146" s="240">
        <v>0</v>
      </c>
      <c r="BL146" s="266">
        <v>0</v>
      </c>
      <c r="BM146" s="266">
        <v>0</v>
      </c>
      <c r="BN146" s="258">
        <v>0</v>
      </c>
    </row>
    <row r="147" spans="1:66" x14ac:dyDescent="0.2">
      <c r="A147" s="239">
        <v>41843</v>
      </c>
      <c r="B147" s="229" t="s">
        <v>291</v>
      </c>
      <c r="C147" s="240">
        <v>2</v>
      </c>
      <c r="D147" s="266">
        <v>0</v>
      </c>
      <c r="E147" s="266">
        <v>1</v>
      </c>
      <c r="F147" s="258">
        <v>3</v>
      </c>
      <c r="H147" s="14"/>
      <c r="I147" s="14"/>
      <c r="J147" s="14"/>
      <c r="M147" s="239">
        <v>41843</v>
      </c>
      <c r="N147" s="229" t="s">
        <v>275</v>
      </c>
      <c r="O147" s="240">
        <v>0</v>
      </c>
      <c r="P147" s="266">
        <v>0</v>
      </c>
      <c r="Q147" s="266">
        <v>0</v>
      </c>
      <c r="R147" s="258">
        <v>0</v>
      </c>
      <c r="Y147" s="239">
        <v>41843</v>
      </c>
      <c r="Z147" s="229" t="s">
        <v>288</v>
      </c>
      <c r="AA147" s="240">
        <v>3</v>
      </c>
      <c r="AB147" s="266">
        <v>2</v>
      </c>
      <c r="AC147" s="266">
        <v>6</v>
      </c>
      <c r="AD147" s="258">
        <v>11</v>
      </c>
      <c r="AK147" s="239">
        <v>41843</v>
      </c>
      <c r="AL147" s="229" t="s">
        <v>285</v>
      </c>
      <c r="AM147" s="240">
        <v>2</v>
      </c>
      <c r="AN147" s="266">
        <v>1</v>
      </c>
      <c r="AO147" s="266">
        <v>2</v>
      </c>
      <c r="AP147" s="258">
        <v>5</v>
      </c>
      <c r="AW147" s="239">
        <v>41843</v>
      </c>
      <c r="AX147" s="229" t="s">
        <v>282</v>
      </c>
      <c r="AY147" s="240">
        <v>2</v>
      </c>
      <c r="AZ147" s="266">
        <v>1</v>
      </c>
      <c r="BA147" s="266">
        <v>2</v>
      </c>
      <c r="BB147" s="258">
        <v>5</v>
      </c>
      <c r="BI147" s="1"/>
      <c r="BJ147" s="241" t="s">
        <v>279</v>
      </c>
      <c r="BK147" s="242">
        <v>0</v>
      </c>
      <c r="BL147" s="267">
        <v>0</v>
      </c>
      <c r="BM147" s="267">
        <v>0</v>
      </c>
      <c r="BN147" s="247">
        <v>0</v>
      </c>
    </row>
    <row r="148" spans="1:66" x14ac:dyDescent="0.2">
      <c r="A148" s="1"/>
      <c r="B148" s="241" t="s">
        <v>292</v>
      </c>
      <c r="C148" s="242">
        <v>0</v>
      </c>
      <c r="D148" s="267">
        <v>0</v>
      </c>
      <c r="E148" s="267">
        <v>0</v>
      </c>
      <c r="F148" s="247">
        <v>0</v>
      </c>
      <c r="H148" s="14"/>
      <c r="I148" s="14"/>
      <c r="J148" s="14"/>
      <c r="M148" s="1"/>
      <c r="N148" s="241" t="s">
        <v>276</v>
      </c>
      <c r="O148" s="242">
        <v>0</v>
      </c>
      <c r="P148" s="267">
        <v>0</v>
      </c>
      <c r="Q148" s="267">
        <v>0</v>
      </c>
      <c r="R148" s="247">
        <v>0</v>
      </c>
      <c r="Y148" s="1"/>
      <c r="Z148" s="241" t="s">
        <v>289</v>
      </c>
      <c r="AA148" s="242">
        <v>0</v>
      </c>
      <c r="AB148" s="267">
        <v>0</v>
      </c>
      <c r="AC148" s="267">
        <v>0</v>
      </c>
      <c r="AD148" s="247">
        <v>0</v>
      </c>
      <c r="AK148" s="1"/>
      <c r="AL148" s="241" t="s">
        <v>286</v>
      </c>
      <c r="AM148" s="242">
        <v>14</v>
      </c>
      <c r="AN148" s="267">
        <v>2</v>
      </c>
      <c r="AO148" s="267">
        <v>23</v>
      </c>
      <c r="AP148" s="247">
        <v>39</v>
      </c>
      <c r="AW148" s="1"/>
      <c r="AX148" s="241" t="s">
        <v>283</v>
      </c>
      <c r="AY148" s="242">
        <v>0</v>
      </c>
      <c r="AZ148" s="267">
        <v>0</v>
      </c>
      <c r="BA148" s="267">
        <v>3</v>
      </c>
      <c r="BB148" s="247">
        <v>3</v>
      </c>
      <c r="BI148" s="1"/>
      <c r="BJ148" s="241" t="s">
        <v>280</v>
      </c>
      <c r="BK148" s="242">
        <v>0</v>
      </c>
      <c r="BL148" s="267">
        <v>0</v>
      </c>
      <c r="BM148" s="267">
        <v>0</v>
      </c>
      <c r="BN148" s="247">
        <v>0</v>
      </c>
    </row>
    <row r="149" spans="1:66" x14ac:dyDescent="0.2">
      <c r="A149" s="1"/>
      <c r="B149" s="241" t="s">
        <v>293</v>
      </c>
      <c r="C149" s="242">
        <v>0</v>
      </c>
      <c r="D149" s="267">
        <v>0</v>
      </c>
      <c r="E149" s="267">
        <v>0</v>
      </c>
      <c r="F149" s="247">
        <v>0</v>
      </c>
      <c r="H149" s="14"/>
      <c r="I149" s="14"/>
      <c r="J149" s="14"/>
      <c r="M149" s="1"/>
      <c r="N149" s="241" t="s">
        <v>277</v>
      </c>
      <c r="O149" s="242">
        <v>0</v>
      </c>
      <c r="P149" s="267">
        <v>0</v>
      </c>
      <c r="Q149" s="267">
        <v>0</v>
      </c>
      <c r="R149" s="247">
        <v>0</v>
      </c>
      <c r="Y149" s="1"/>
      <c r="Z149" s="241" t="s">
        <v>290</v>
      </c>
      <c r="AA149" s="242">
        <v>0</v>
      </c>
      <c r="AB149" s="267">
        <v>0</v>
      </c>
      <c r="AC149" s="267">
        <v>0</v>
      </c>
      <c r="AD149" s="247">
        <v>0</v>
      </c>
      <c r="AK149" s="1"/>
      <c r="AL149" s="241" t="s">
        <v>287</v>
      </c>
      <c r="AM149" s="242">
        <v>0</v>
      </c>
      <c r="AN149" s="267">
        <v>0</v>
      </c>
      <c r="AO149" s="267">
        <v>0</v>
      </c>
      <c r="AP149" s="247">
        <v>0</v>
      </c>
      <c r="AW149" s="1"/>
      <c r="AX149" s="241" t="s">
        <v>284</v>
      </c>
      <c r="AY149" s="242">
        <v>0</v>
      </c>
      <c r="AZ149" s="267">
        <v>0</v>
      </c>
      <c r="BA149" s="267">
        <v>0</v>
      </c>
      <c r="BB149" s="247">
        <v>0</v>
      </c>
      <c r="BI149" s="1"/>
      <c r="BJ149" s="241" t="s">
        <v>281</v>
      </c>
      <c r="BK149" s="242">
        <v>0</v>
      </c>
      <c r="BL149" s="267">
        <v>0</v>
      </c>
      <c r="BM149" s="267">
        <v>0</v>
      </c>
      <c r="BN149" s="247">
        <v>0</v>
      </c>
    </row>
    <row r="150" spans="1:66" x14ac:dyDescent="0.2">
      <c r="A150" s="239">
        <v>41844</v>
      </c>
      <c r="B150" s="229" t="s">
        <v>291</v>
      </c>
      <c r="C150" s="240">
        <v>1</v>
      </c>
      <c r="D150" s="266">
        <v>0</v>
      </c>
      <c r="E150" s="266">
        <v>0</v>
      </c>
      <c r="F150" s="258">
        <v>1</v>
      </c>
      <c r="H150" s="14"/>
      <c r="I150" s="14"/>
      <c r="J150" s="14"/>
      <c r="M150" s="239">
        <v>41844</v>
      </c>
      <c r="N150" s="229" t="s">
        <v>275</v>
      </c>
      <c r="O150" s="240">
        <v>0</v>
      </c>
      <c r="P150" s="266">
        <v>0</v>
      </c>
      <c r="Q150" s="266">
        <v>2</v>
      </c>
      <c r="R150" s="258">
        <v>2</v>
      </c>
      <c r="Y150" s="239">
        <v>41844</v>
      </c>
      <c r="Z150" s="229" t="s">
        <v>288</v>
      </c>
      <c r="AA150" s="240">
        <v>2</v>
      </c>
      <c r="AB150" s="266">
        <v>1</v>
      </c>
      <c r="AC150" s="266">
        <v>2</v>
      </c>
      <c r="AD150" s="258">
        <v>5</v>
      </c>
      <c r="AK150" s="239">
        <v>41844</v>
      </c>
      <c r="AL150" s="229" t="s">
        <v>285</v>
      </c>
      <c r="AM150" s="240">
        <v>3</v>
      </c>
      <c r="AN150" s="266">
        <v>0</v>
      </c>
      <c r="AO150" s="266">
        <v>2</v>
      </c>
      <c r="AP150" s="258">
        <v>5</v>
      </c>
      <c r="AW150" s="239">
        <v>41844</v>
      </c>
      <c r="AX150" s="229" t="s">
        <v>282</v>
      </c>
      <c r="AY150" s="240">
        <v>1</v>
      </c>
      <c r="AZ150" s="266">
        <v>1</v>
      </c>
      <c r="BA150" s="266">
        <v>4</v>
      </c>
      <c r="BB150" s="258">
        <v>6</v>
      </c>
      <c r="BI150" s="239">
        <v>41832</v>
      </c>
      <c r="BJ150" s="229" t="s">
        <v>278</v>
      </c>
      <c r="BK150" s="240">
        <v>0</v>
      </c>
      <c r="BL150" s="266">
        <v>0</v>
      </c>
      <c r="BM150" s="266">
        <v>0</v>
      </c>
      <c r="BN150" s="258">
        <v>0</v>
      </c>
    </row>
    <row r="151" spans="1:66" x14ac:dyDescent="0.2">
      <c r="A151" s="1"/>
      <c r="B151" s="241" t="s">
        <v>292</v>
      </c>
      <c r="C151" s="242">
        <v>0</v>
      </c>
      <c r="D151" s="267">
        <v>0</v>
      </c>
      <c r="E151" s="267">
        <v>0</v>
      </c>
      <c r="F151" s="247">
        <v>0</v>
      </c>
      <c r="H151" s="14"/>
      <c r="I151" s="14"/>
      <c r="J151" s="14"/>
      <c r="M151" s="1"/>
      <c r="N151" s="241" t="s">
        <v>276</v>
      </c>
      <c r="O151" s="242">
        <v>0</v>
      </c>
      <c r="P151" s="267">
        <v>0</v>
      </c>
      <c r="Q151" s="267">
        <v>0</v>
      </c>
      <c r="R151" s="247">
        <v>0</v>
      </c>
      <c r="Y151" s="1"/>
      <c r="Z151" s="241" t="s">
        <v>289</v>
      </c>
      <c r="AA151" s="242">
        <v>0</v>
      </c>
      <c r="AB151" s="267">
        <v>0</v>
      </c>
      <c r="AC151" s="267">
        <v>0</v>
      </c>
      <c r="AD151" s="247">
        <v>0</v>
      </c>
      <c r="AK151" s="1"/>
      <c r="AL151" s="241" t="s">
        <v>286</v>
      </c>
      <c r="AM151" s="242">
        <v>65</v>
      </c>
      <c r="AN151" s="267">
        <v>0</v>
      </c>
      <c r="AO151" s="267">
        <v>83</v>
      </c>
      <c r="AP151" s="247">
        <v>148</v>
      </c>
      <c r="AW151" s="1"/>
      <c r="AX151" s="241" t="s">
        <v>283</v>
      </c>
      <c r="AY151" s="242">
        <v>2</v>
      </c>
      <c r="AZ151" s="267">
        <v>2</v>
      </c>
      <c r="BA151" s="267">
        <v>5</v>
      </c>
      <c r="BB151" s="247">
        <v>9</v>
      </c>
      <c r="BI151" s="1"/>
      <c r="BJ151" s="241" t="s">
        <v>279</v>
      </c>
      <c r="BK151" s="242">
        <v>0</v>
      </c>
      <c r="BL151" s="267">
        <v>0</v>
      </c>
      <c r="BM151" s="267">
        <v>0</v>
      </c>
      <c r="BN151" s="247">
        <v>0</v>
      </c>
    </row>
    <row r="152" spans="1:66" x14ac:dyDescent="0.2">
      <c r="A152" s="1"/>
      <c r="B152" s="241" t="s">
        <v>293</v>
      </c>
      <c r="C152" s="242">
        <v>0</v>
      </c>
      <c r="D152" s="267">
        <v>0</v>
      </c>
      <c r="E152" s="267">
        <v>0</v>
      </c>
      <c r="F152" s="247">
        <v>0</v>
      </c>
      <c r="H152" s="14"/>
      <c r="I152" s="14"/>
      <c r="J152" s="14"/>
      <c r="M152" s="1"/>
      <c r="N152" s="241" t="s">
        <v>277</v>
      </c>
      <c r="O152" s="242">
        <v>0</v>
      </c>
      <c r="P152" s="267">
        <v>0</v>
      </c>
      <c r="Q152" s="267">
        <v>0</v>
      </c>
      <c r="R152" s="247">
        <v>0</v>
      </c>
      <c r="Y152" s="1"/>
      <c r="Z152" s="241" t="s">
        <v>290</v>
      </c>
      <c r="AA152" s="242">
        <v>0</v>
      </c>
      <c r="AB152" s="267">
        <v>0</v>
      </c>
      <c r="AC152" s="267">
        <v>0</v>
      </c>
      <c r="AD152" s="247">
        <v>0</v>
      </c>
      <c r="AK152" s="1"/>
      <c r="AL152" s="241" t="s">
        <v>287</v>
      </c>
      <c r="AM152" s="242">
        <v>0</v>
      </c>
      <c r="AN152" s="267">
        <v>0</v>
      </c>
      <c r="AO152" s="267">
        <v>1</v>
      </c>
      <c r="AP152" s="247">
        <v>1</v>
      </c>
      <c r="AW152" s="1"/>
      <c r="AX152" s="241" t="s">
        <v>284</v>
      </c>
      <c r="AY152" s="242">
        <v>0</v>
      </c>
      <c r="AZ152" s="267">
        <v>0</v>
      </c>
      <c r="BA152" s="267">
        <v>0</v>
      </c>
      <c r="BB152" s="247">
        <v>0</v>
      </c>
      <c r="BI152" s="1"/>
      <c r="BJ152" s="241" t="s">
        <v>280</v>
      </c>
      <c r="BK152" s="242">
        <v>0</v>
      </c>
      <c r="BL152" s="267">
        <v>0</v>
      </c>
      <c r="BM152" s="267">
        <v>0</v>
      </c>
      <c r="BN152" s="247">
        <v>0</v>
      </c>
    </row>
    <row r="153" spans="1:66" x14ac:dyDescent="0.2">
      <c r="A153" s="239">
        <v>41845</v>
      </c>
      <c r="B153" s="229" t="s">
        <v>291</v>
      </c>
      <c r="C153" s="240">
        <v>1</v>
      </c>
      <c r="D153" s="266">
        <v>0</v>
      </c>
      <c r="E153" s="266">
        <v>1</v>
      </c>
      <c r="F153" s="258">
        <v>2</v>
      </c>
      <c r="H153" s="14"/>
      <c r="I153" s="14"/>
      <c r="J153" s="14"/>
      <c r="M153" s="239">
        <v>41845</v>
      </c>
      <c r="N153" s="229" t="s">
        <v>275</v>
      </c>
      <c r="O153" s="240">
        <v>0</v>
      </c>
      <c r="P153" s="266">
        <v>0</v>
      </c>
      <c r="Q153" s="266">
        <v>0</v>
      </c>
      <c r="R153" s="258">
        <v>0</v>
      </c>
      <c r="Y153" s="239">
        <v>41845</v>
      </c>
      <c r="Z153" s="229" t="s">
        <v>288</v>
      </c>
      <c r="AA153" s="240">
        <v>1</v>
      </c>
      <c r="AB153" s="266">
        <v>1</v>
      </c>
      <c r="AC153" s="266">
        <v>0</v>
      </c>
      <c r="AD153" s="258">
        <v>2</v>
      </c>
      <c r="AK153" s="239">
        <v>41845</v>
      </c>
      <c r="AL153" s="229" t="s">
        <v>285</v>
      </c>
      <c r="AM153" s="240">
        <v>2</v>
      </c>
      <c r="AN153" s="266">
        <v>0</v>
      </c>
      <c r="AO153" s="266">
        <v>3</v>
      </c>
      <c r="AP153" s="258">
        <v>5</v>
      </c>
      <c r="AW153" s="239">
        <v>41845</v>
      </c>
      <c r="AX153" s="229" t="s">
        <v>282</v>
      </c>
      <c r="AY153" s="240">
        <v>0</v>
      </c>
      <c r="AZ153" s="266">
        <v>5</v>
      </c>
      <c r="BA153" s="266">
        <v>2</v>
      </c>
      <c r="BB153" s="258">
        <v>7</v>
      </c>
      <c r="BI153" s="1"/>
      <c r="BJ153" s="241" t="s">
        <v>281</v>
      </c>
      <c r="BK153" s="242">
        <v>0</v>
      </c>
      <c r="BL153" s="267">
        <v>0</v>
      </c>
      <c r="BM153" s="267">
        <v>0</v>
      </c>
      <c r="BN153" s="247">
        <v>0</v>
      </c>
    </row>
    <row r="154" spans="1:66" x14ac:dyDescent="0.2">
      <c r="A154" s="1"/>
      <c r="B154" s="241" t="s">
        <v>292</v>
      </c>
      <c r="C154" s="242">
        <v>0</v>
      </c>
      <c r="D154" s="267">
        <v>0</v>
      </c>
      <c r="E154" s="267">
        <v>0</v>
      </c>
      <c r="F154" s="247">
        <v>0</v>
      </c>
      <c r="H154" s="14"/>
      <c r="I154" s="14"/>
      <c r="J154" s="14"/>
      <c r="M154" s="1"/>
      <c r="N154" s="241" t="s">
        <v>276</v>
      </c>
      <c r="O154" s="242">
        <v>0</v>
      </c>
      <c r="P154" s="267">
        <v>0</v>
      </c>
      <c r="Q154" s="267">
        <v>0</v>
      </c>
      <c r="R154" s="247">
        <v>0</v>
      </c>
      <c r="Y154" s="1"/>
      <c r="Z154" s="241" t="s">
        <v>289</v>
      </c>
      <c r="AA154" s="242">
        <v>0</v>
      </c>
      <c r="AB154" s="267">
        <v>0</v>
      </c>
      <c r="AC154" s="267">
        <v>0</v>
      </c>
      <c r="AD154" s="247">
        <v>0</v>
      </c>
      <c r="AK154" s="1"/>
      <c r="AL154" s="241" t="s">
        <v>286</v>
      </c>
      <c r="AM154" s="242">
        <v>133</v>
      </c>
      <c r="AN154" s="267">
        <v>2</v>
      </c>
      <c r="AO154" s="267">
        <v>242</v>
      </c>
      <c r="AP154" s="247">
        <v>377</v>
      </c>
      <c r="AW154" s="1"/>
      <c r="AX154" s="241" t="s">
        <v>283</v>
      </c>
      <c r="AY154" s="242">
        <v>1</v>
      </c>
      <c r="AZ154" s="267">
        <v>0</v>
      </c>
      <c r="BA154" s="267">
        <v>1</v>
      </c>
      <c r="BB154" s="247">
        <v>2</v>
      </c>
      <c r="BI154" s="239">
        <v>41833</v>
      </c>
      <c r="BJ154" s="229" t="s">
        <v>278</v>
      </c>
      <c r="BK154" s="240">
        <v>0</v>
      </c>
      <c r="BL154" s="266">
        <v>0</v>
      </c>
      <c r="BM154" s="266">
        <v>0</v>
      </c>
      <c r="BN154" s="258">
        <v>0</v>
      </c>
    </row>
    <row r="155" spans="1:66" x14ac:dyDescent="0.2">
      <c r="A155" s="1"/>
      <c r="B155" s="241" t="s">
        <v>293</v>
      </c>
      <c r="C155" s="242">
        <v>0</v>
      </c>
      <c r="D155" s="267">
        <v>0</v>
      </c>
      <c r="E155" s="267">
        <v>0</v>
      </c>
      <c r="F155" s="247">
        <v>0</v>
      </c>
      <c r="H155" s="14"/>
      <c r="I155" s="14"/>
      <c r="J155" s="14"/>
      <c r="M155" s="1"/>
      <c r="N155" s="241" t="s">
        <v>277</v>
      </c>
      <c r="O155" s="242">
        <v>0</v>
      </c>
      <c r="P155" s="267">
        <v>0</v>
      </c>
      <c r="Q155" s="267">
        <v>0</v>
      </c>
      <c r="R155" s="247">
        <v>0</v>
      </c>
      <c r="Y155" s="1"/>
      <c r="Z155" s="241" t="s">
        <v>290</v>
      </c>
      <c r="AA155" s="242">
        <v>0</v>
      </c>
      <c r="AB155" s="267">
        <v>0</v>
      </c>
      <c r="AC155" s="267">
        <v>0</v>
      </c>
      <c r="AD155" s="247">
        <v>0</v>
      </c>
      <c r="AK155" s="1"/>
      <c r="AL155" s="241" t="s">
        <v>287</v>
      </c>
      <c r="AM155" s="242">
        <v>0</v>
      </c>
      <c r="AN155" s="267">
        <v>0</v>
      </c>
      <c r="AO155" s="267">
        <v>0</v>
      </c>
      <c r="AP155" s="247">
        <v>0</v>
      </c>
      <c r="AW155" s="1"/>
      <c r="AX155" s="241" t="s">
        <v>284</v>
      </c>
      <c r="AY155" s="242">
        <v>0</v>
      </c>
      <c r="AZ155" s="267">
        <v>0</v>
      </c>
      <c r="BA155" s="267">
        <v>0</v>
      </c>
      <c r="BB155" s="247">
        <v>0</v>
      </c>
      <c r="BI155" s="1"/>
      <c r="BJ155" s="241" t="s">
        <v>279</v>
      </c>
      <c r="BK155" s="242">
        <v>0</v>
      </c>
      <c r="BL155" s="267">
        <v>0</v>
      </c>
      <c r="BM155" s="267">
        <v>0</v>
      </c>
      <c r="BN155" s="247">
        <v>0</v>
      </c>
    </row>
    <row r="156" spans="1:66" x14ac:dyDescent="0.2">
      <c r="A156" s="239">
        <v>41846</v>
      </c>
      <c r="B156" s="229" t="s">
        <v>291</v>
      </c>
      <c r="C156" s="240">
        <v>0</v>
      </c>
      <c r="D156" s="266">
        <v>0</v>
      </c>
      <c r="E156" s="266">
        <v>0</v>
      </c>
      <c r="F156" s="258">
        <v>0</v>
      </c>
      <c r="H156" s="14"/>
      <c r="I156" s="14"/>
      <c r="J156" s="14"/>
      <c r="M156" s="239">
        <v>41846</v>
      </c>
      <c r="N156" s="229" t="s">
        <v>275</v>
      </c>
      <c r="O156" s="240">
        <v>0</v>
      </c>
      <c r="P156" s="266">
        <v>0</v>
      </c>
      <c r="Q156" s="266">
        <v>0</v>
      </c>
      <c r="R156" s="258">
        <v>0</v>
      </c>
      <c r="Y156" s="239">
        <v>41846</v>
      </c>
      <c r="Z156" s="229" t="s">
        <v>288</v>
      </c>
      <c r="AA156" s="240">
        <v>0</v>
      </c>
      <c r="AB156" s="266">
        <v>2</v>
      </c>
      <c r="AC156" s="266">
        <v>2</v>
      </c>
      <c r="AD156" s="258">
        <v>4</v>
      </c>
      <c r="AK156" s="239">
        <v>41846</v>
      </c>
      <c r="AL156" s="229" t="s">
        <v>285</v>
      </c>
      <c r="AM156" s="240">
        <v>5</v>
      </c>
      <c r="AN156" s="266">
        <v>2</v>
      </c>
      <c r="AO156" s="266">
        <v>8</v>
      </c>
      <c r="AP156" s="258">
        <v>15</v>
      </c>
      <c r="AW156" s="239">
        <v>41846</v>
      </c>
      <c r="AX156" s="229" t="s">
        <v>282</v>
      </c>
      <c r="AY156" s="240">
        <v>3</v>
      </c>
      <c r="AZ156" s="266">
        <v>1</v>
      </c>
      <c r="BA156" s="266">
        <v>2</v>
      </c>
      <c r="BB156" s="258">
        <v>6</v>
      </c>
      <c r="BI156" s="1"/>
      <c r="BJ156" s="241" t="s">
        <v>280</v>
      </c>
      <c r="BK156" s="242">
        <v>0</v>
      </c>
      <c r="BL156" s="267">
        <v>0</v>
      </c>
      <c r="BM156" s="267">
        <v>0</v>
      </c>
      <c r="BN156" s="247">
        <v>0</v>
      </c>
    </row>
    <row r="157" spans="1:66" x14ac:dyDescent="0.2">
      <c r="A157" s="1"/>
      <c r="B157" s="241" t="s">
        <v>292</v>
      </c>
      <c r="C157" s="242">
        <v>0</v>
      </c>
      <c r="D157" s="267">
        <v>0</v>
      </c>
      <c r="E157" s="267">
        <v>0</v>
      </c>
      <c r="F157" s="247">
        <v>0</v>
      </c>
      <c r="H157" s="14"/>
      <c r="I157" s="14"/>
      <c r="J157" s="14"/>
      <c r="M157" s="1"/>
      <c r="N157" s="241" t="s">
        <v>276</v>
      </c>
      <c r="O157" s="242">
        <v>0</v>
      </c>
      <c r="P157" s="267">
        <v>0</v>
      </c>
      <c r="Q157" s="267">
        <v>0</v>
      </c>
      <c r="R157" s="247">
        <v>0</v>
      </c>
      <c r="Y157" s="1"/>
      <c r="Z157" s="241" t="s">
        <v>289</v>
      </c>
      <c r="AA157" s="242">
        <v>0</v>
      </c>
      <c r="AB157" s="267">
        <v>0</v>
      </c>
      <c r="AC157" s="267">
        <v>0</v>
      </c>
      <c r="AD157" s="247">
        <v>0</v>
      </c>
      <c r="AK157" s="1"/>
      <c r="AL157" s="241" t="s">
        <v>286</v>
      </c>
      <c r="AM157" s="242">
        <v>40</v>
      </c>
      <c r="AN157" s="267">
        <v>2</v>
      </c>
      <c r="AO157" s="267">
        <v>234</v>
      </c>
      <c r="AP157" s="247">
        <v>276</v>
      </c>
      <c r="AW157" s="1"/>
      <c r="AX157" s="241" t="s">
        <v>283</v>
      </c>
      <c r="AY157" s="242">
        <v>0</v>
      </c>
      <c r="AZ157" s="267">
        <v>1</v>
      </c>
      <c r="BA157" s="267">
        <v>0</v>
      </c>
      <c r="BB157" s="247">
        <v>1</v>
      </c>
      <c r="BI157" s="1"/>
      <c r="BJ157" s="241" t="s">
        <v>281</v>
      </c>
      <c r="BK157" s="242">
        <v>0</v>
      </c>
      <c r="BL157" s="267">
        <v>0</v>
      </c>
      <c r="BM157" s="267">
        <v>0</v>
      </c>
      <c r="BN157" s="247">
        <v>0</v>
      </c>
    </row>
    <row r="158" spans="1:66" x14ac:dyDescent="0.2">
      <c r="A158" s="1"/>
      <c r="B158" s="241" t="s">
        <v>293</v>
      </c>
      <c r="C158" s="242">
        <v>0</v>
      </c>
      <c r="D158" s="267">
        <v>0</v>
      </c>
      <c r="E158" s="267">
        <v>1</v>
      </c>
      <c r="F158" s="247">
        <v>1</v>
      </c>
      <c r="H158" s="14"/>
      <c r="I158" s="14"/>
      <c r="J158" s="14"/>
      <c r="M158" s="1"/>
      <c r="N158" s="241" t="s">
        <v>277</v>
      </c>
      <c r="O158" s="242">
        <v>0</v>
      </c>
      <c r="P158" s="267">
        <v>0</v>
      </c>
      <c r="Q158" s="267">
        <v>0</v>
      </c>
      <c r="R158" s="247">
        <v>0</v>
      </c>
      <c r="Y158" s="1"/>
      <c r="Z158" s="241" t="s">
        <v>290</v>
      </c>
      <c r="AA158" s="242">
        <v>0</v>
      </c>
      <c r="AB158" s="267">
        <v>0</v>
      </c>
      <c r="AC158" s="267">
        <v>0</v>
      </c>
      <c r="AD158" s="247">
        <v>0</v>
      </c>
      <c r="AK158" s="1"/>
      <c r="AL158" s="241" t="s">
        <v>287</v>
      </c>
      <c r="AM158" s="242">
        <v>0</v>
      </c>
      <c r="AN158" s="267">
        <v>0</v>
      </c>
      <c r="AO158" s="267">
        <v>0</v>
      </c>
      <c r="AP158" s="247">
        <v>0</v>
      </c>
      <c r="AW158" s="1"/>
      <c r="AX158" s="241" t="s">
        <v>284</v>
      </c>
      <c r="AY158" s="242">
        <v>0</v>
      </c>
      <c r="AZ158" s="267">
        <v>0</v>
      </c>
      <c r="BA158" s="267">
        <v>0</v>
      </c>
      <c r="BB158" s="247">
        <v>0</v>
      </c>
      <c r="BI158" s="239">
        <v>41834</v>
      </c>
      <c r="BJ158" s="229" t="s">
        <v>278</v>
      </c>
      <c r="BK158" s="240">
        <v>0</v>
      </c>
      <c r="BL158" s="266">
        <v>0</v>
      </c>
      <c r="BM158" s="266">
        <v>0</v>
      </c>
      <c r="BN158" s="258">
        <v>0</v>
      </c>
    </row>
    <row r="159" spans="1:66" x14ac:dyDescent="0.2">
      <c r="A159" s="239">
        <v>41847</v>
      </c>
      <c r="B159" s="229" t="s">
        <v>291</v>
      </c>
      <c r="C159" s="240">
        <v>0</v>
      </c>
      <c r="D159" s="266">
        <v>0</v>
      </c>
      <c r="E159" s="266">
        <v>0</v>
      </c>
      <c r="F159" s="258">
        <v>0</v>
      </c>
      <c r="H159" s="14"/>
      <c r="I159" s="14"/>
      <c r="J159" s="14"/>
      <c r="M159" s="239">
        <v>41847</v>
      </c>
      <c r="N159" s="229" t="s">
        <v>275</v>
      </c>
      <c r="O159" s="240">
        <v>1</v>
      </c>
      <c r="P159" s="266">
        <v>0</v>
      </c>
      <c r="Q159" s="266">
        <v>0</v>
      </c>
      <c r="R159" s="258">
        <v>1</v>
      </c>
      <c r="Y159" s="239">
        <v>41847</v>
      </c>
      <c r="Z159" s="229" t="s">
        <v>288</v>
      </c>
      <c r="AA159" s="240">
        <v>0</v>
      </c>
      <c r="AB159" s="266">
        <v>6</v>
      </c>
      <c r="AC159" s="266">
        <v>3</v>
      </c>
      <c r="AD159" s="258">
        <v>9</v>
      </c>
      <c r="AK159" s="239">
        <v>41847</v>
      </c>
      <c r="AL159" s="229" t="s">
        <v>285</v>
      </c>
      <c r="AM159" s="240">
        <v>3</v>
      </c>
      <c r="AN159" s="266">
        <v>2</v>
      </c>
      <c r="AO159" s="266">
        <v>5</v>
      </c>
      <c r="AP159" s="258">
        <v>10</v>
      </c>
      <c r="AW159" s="239">
        <v>41847</v>
      </c>
      <c r="AX159" s="229" t="s">
        <v>282</v>
      </c>
      <c r="AY159" s="240">
        <v>1</v>
      </c>
      <c r="AZ159" s="266">
        <v>2</v>
      </c>
      <c r="BA159" s="266">
        <v>0</v>
      </c>
      <c r="BB159" s="258">
        <v>3</v>
      </c>
      <c r="BI159" s="1"/>
      <c r="BJ159" s="241" t="s">
        <v>279</v>
      </c>
      <c r="BK159" s="242">
        <v>0</v>
      </c>
      <c r="BL159" s="267">
        <v>0</v>
      </c>
      <c r="BM159" s="267">
        <v>0</v>
      </c>
      <c r="BN159" s="247">
        <v>0</v>
      </c>
    </row>
    <row r="160" spans="1:66" x14ac:dyDescent="0.2">
      <c r="A160" s="1"/>
      <c r="B160" s="241" t="s">
        <v>292</v>
      </c>
      <c r="C160" s="242">
        <v>0</v>
      </c>
      <c r="D160" s="267">
        <v>0</v>
      </c>
      <c r="E160" s="267">
        <v>0</v>
      </c>
      <c r="F160" s="247">
        <v>0</v>
      </c>
      <c r="H160" s="14"/>
      <c r="I160" s="14"/>
      <c r="J160" s="14"/>
      <c r="M160" s="1"/>
      <c r="N160" s="241" t="s">
        <v>276</v>
      </c>
      <c r="O160" s="242">
        <v>0</v>
      </c>
      <c r="P160" s="267">
        <v>0</v>
      </c>
      <c r="Q160" s="267">
        <v>0</v>
      </c>
      <c r="R160" s="247">
        <v>0</v>
      </c>
      <c r="Y160" s="1"/>
      <c r="Z160" s="241" t="s">
        <v>289</v>
      </c>
      <c r="AA160" s="242">
        <v>0</v>
      </c>
      <c r="AB160" s="267">
        <v>0</v>
      </c>
      <c r="AC160" s="267">
        <v>0</v>
      </c>
      <c r="AD160" s="247">
        <v>0</v>
      </c>
      <c r="AK160" s="1"/>
      <c r="AL160" s="241" t="s">
        <v>286</v>
      </c>
      <c r="AM160" s="242">
        <v>98</v>
      </c>
      <c r="AN160" s="267">
        <v>0</v>
      </c>
      <c r="AO160" s="267">
        <v>141</v>
      </c>
      <c r="AP160" s="247">
        <v>239</v>
      </c>
      <c r="AW160" s="1"/>
      <c r="AX160" s="241" t="s">
        <v>283</v>
      </c>
      <c r="AY160" s="242">
        <v>2</v>
      </c>
      <c r="AZ160" s="267">
        <v>1</v>
      </c>
      <c r="BA160" s="267">
        <v>3</v>
      </c>
      <c r="BB160" s="247">
        <v>6</v>
      </c>
      <c r="BI160" s="1"/>
      <c r="BJ160" s="241" t="s">
        <v>280</v>
      </c>
      <c r="BK160" s="242">
        <v>0</v>
      </c>
      <c r="BL160" s="267">
        <v>0</v>
      </c>
      <c r="BM160" s="267">
        <v>0</v>
      </c>
      <c r="BN160" s="247">
        <v>0</v>
      </c>
    </row>
    <row r="161" spans="1:66" x14ac:dyDescent="0.2">
      <c r="A161" s="1"/>
      <c r="B161" s="241" t="s">
        <v>293</v>
      </c>
      <c r="C161" s="242">
        <v>0</v>
      </c>
      <c r="D161" s="267">
        <v>0</v>
      </c>
      <c r="E161" s="267">
        <v>0</v>
      </c>
      <c r="F161" s="247">
        <v>0</v>
      </c>
      <c r="H161" s="14"/>
      <c r="I161" s="14"/>
      <c r="J161" s="14"/>
      <c r="M161" s="1"/>
      <c r="N161" s="241" t="s">
        <v>277</v>
      </c>
      <c r="O161" s="242">
        <v>0</v>
      </c>
      <c r="P161" s="267">
        <v>0</v>
      </c>
      <c r="Q161" s="267">
        <v>0</v>
      </c>
      <c r="R161" s="247">
        <v>0</v>
      </c>
      <c r="Y161" s="1"/>
      <c r="Z161" s="241" t="s">
        <v>290</v>
      </c>
      <c r="AA161" s="242">
        <v>0</v>
      </c>
      <c r="AB161" s="267">
        <v>0</v>
      </c>
      <c r="AC161" s="267">
        <v>0</v>
      </c>
      <c r="AD161" s="247">
        <v>0</v>
      </c>
      <c r="AK161" s="1"/>
      <c r="AL161" s="241" t="s">
        <v>287</v>
      </c>
      <c r="AM161" s="242">
        <v>0</v>
      </c>
      <c r="AN161" s="267">
        <v>0</v>
      </c>
      <c r="AO161" s="267">
        <v>0</v>
      </c>
      <c r="AP161" s="247">
        <v>0</v>
      </c>
      <c r="AW161" s="1"/>
      <c r="AX161" s="241" t="s">
        <v>284</v>
      </c>
      <c r="AY161" s="242">
        <v>0</v>
      </c>
      <c r="AZ161" s="267">
        <v>0</v>
      </c>
      <c r="BA161" s="267">
        <v>0</v>
      </c>
      <c r="BB161" s="247">
        <v>0</v>
      </c>
      <c r="BI161" s="1"/>
      <c r="BJ161" s="241" t="s">
        <v>281</v>
      </c>
      <c r="BK161" s="242">
        <v>0</v>
      </c>
      <c r="BL161" s="267">
        <v>0</v>
      </c>
      <c r="BM161" s="267">
        <v>0</v>
      </c>
      <c r="BN161" s="247">
        <v>0</v>
      </c>
    </row>
    <row r="162" spans="1:66" x14ac:dyDescent="0.2">
      <c r="A162" s="239">
        <v>41848</v>
      </c>
      <c r="B162" s="229" t="s">
        <v>291</v>
      </c>
      <c r="C162" s="240">
        <v>1</v>
      </c>
      <c r="D162" s="266">
        <v>0</v>
      </c>
      <c r="E162" s="266">
        <v>0</v>
      </c>
      <c r="F162" s="258">
        <v>1</v>
      </c>
      <c r="H162" s="14"/>
      <c r="I162" s="14"/>
      <c r="J162" s="14"/>
      <c r="M162" s="239">
        <v>41848</v>
      </c>
      <c r="N162" s="229" t="s">
        <v>275</v>
      </c>
      <c r="O162" s="240">
        <v>0</v>
      </c>
      <c r="P162" s="266">
        <v>0</v>
      </c>
      <c r="Q162" s="266">
        <v>1</v>
      </c>
      <c r="R162" s="258">
        <v>1</v>
      </c>
      <c r="Y162" s="239">
        <v>41848</v>
      </c>
      <c r="Z162" s="229" t="s">
        <v>288</v>
      </c>
      <c r="AA162" s="240">
        <v>3</v>
      </c>
      <c r="AB162" s="266">
        <v>5</v>
      </c>
      <c r="AC162" s="266">
        <v>5</v>
      </c>
      <c r="AD162" s="258">
        <v>13</v>
      </c>
      <c r="AK162" s="239">
        <v>41848</v>
      </c>
      <c r="AL162" s="229" t="s">
        <v>285</v>
      </c>
      <c r="AM162" s="240">
        <v>3</v>
      </c>
      <c r="AN162" s="266">
        <v>2</v>
      </c>
      <c r="AO162" s="266">
        <v>3</v>
      </c>
      <c r="AP162" s="258">
        <v>8</v>
      </c>
      <c r="AW162" s="239">
        <v>41848</v>
      </c>
      <c r="AX162" s="229" t="s">
        <v>282</v>
      </c>
      <c r="AY162" s="240">
        <v>2</v>
      </c>
      <c r="AZ162" s="266">
        <v>1</v>
      </c>
      <c r="BA162" s="266">
        <v>0</v>
      </c>
      <c r="BB162" s="258">
        <v>3</v>
      </c>
      <c r="BI162" s="239">
        <v>41835</v>
      </c>
      <c r="BJ162" s="229" t="s">
        <v>278</v>
      </c>
      <c r="BK162" s="240">
        <v>0</v>
      </c>
      <c r="BL162" s="266">
        <v>0</v>
      </c>
      <c r="BM162" s="266">
        <v>0</v>
      </c>
      <c r="BN162" s="258">
        <v>0</v>
      </c>
    </row>
    <row r="163" spans="1:66" x14ac:dyDescent="0.2">
      <c r="A163" s="1"/>
      <c r="B163" s="241" t="s">
        <v>292</v>
      </c>
      <c r="C163" s="242">
        <v>0</v>
      </c>
      <c r="D163" s="267">
        <v>0</v>
      </c>
      <c r="E163" s="267">
        <v>0</v>
      </c>
      <c r="F163" s="247">
        <v>0</v>
      </c>
      <c r="H163" s="14"/>
      <c r="I163" s="14"/>
      <c r="J163" s="14"/>
      <c r="M163" s="1"/>
      <c r="N163" s="241" t="s">
        <v>276</v>
      </c>
      <c r="O163" s="242">
        <v>0</v>
      </c>
      <c r="P163" s="267">
        <v>0</v>
      </c>
      <c r="Q163" s="267">
        <v>0</v>
      </c>
      <c r="R163" s="247">
        <v>0</v>
      </c>
      <c r="Y163" s="1"/>
      <c r="Z163" s="241" t="s">
        <v>289</v>
      </c>
      <c r="AA163" s="242">
        <v>0</v>
      </c>
      <c r="AB163" s="267">
        <v>0</v>
      </c>
      <c r="AC163" s="267">
        <v>0</v>
      </c>
      <c r="AD163" s="247">
        <v>0</v>
      </c>
      <c r="AK163" s="1"/>
      <c r="AL163" s="241" t="s">
        <v>286</v>
      </c>
      <c r="AM163" s="242">
        <v>224</v>
      </c>
      <c r="AN163" s="267">
        <v>2</v>
      </c>
      <c r="AO163" s="267">
        <v>255</v>
      </c>
      <c r="AP163" s="247">
        <v>481</v>
      </c>
      <c r="AW163" s="1"/>
      <c r="AX163" s="241" t="s">
        <v>283</v>
      </c>
      <c r="AY163" s="242">
        <v>2</v>
      </c>
      <c r="AZ163" s="267">
        <v>3</v>
      </c>
      <c r="BA163" s="267">
        <v>0</v>
      </c>
      <c r="BB163" s="247">
        <v>5</v>
      </c>
      <c r="BI163" s="1"/>
      <c r="BJ163" s="241" t="s">
        <v>279</v>
      </c>
      <c r="BK163" s="242">
        <v>0</v>
      </c>
      <c r="BL163" s="267">
        <v>0</v>
      </c>
      <c r="BM163" s="267">
        <v>0</v>
      </c>
      <c r="BN163" s="247">
        <v>0</v>
      </c>
    </row>
    <row r="164" spans="1:66" x14ac:dyDescent="0.2">
      <c r="A164" s="1"/>
      <c r="B164" s="241" t="s">
        <v>293</v>
      </c>
      <c r="C164" s="242">
        <v>0</v>
      </c>
      <c r="D164" s="267">
        <v>0</v>
      </c>
      <c r="E164" s="267">
        <v>0</v>
      </c>
      <c r="F164" s="247">
        <v>0</v>
      </c>
      <c r="H164" s="14"/>
      <c r="I164" s="14"/>
      <c r="J164" s="14"/>
      <c r="M164" s="1"/>
      <c r="N164" s="241" t="s">
        <v>277</v>
      </c>
      <c r="O164" s="242">
        <v>0</v>
      </c>
      <c r="P164" s="267">
        <v>0</v>
      </c>
      <c r="Q164" s="267">
        <v>0</v>
      </c>
      <c r="R164" s="247">
        <v>0</v>
      </c>
      <c r="Y164" s="1"/>
      <c r="Z164" s="241" t="s">
        <v>290</v>
      </c>
      <c r="AA164" s="242">
        <v>0</v>
      </c>
      <c r="AB164" s="267">
        <v>0</v>
      </c>
      <c r="AC164" s="267">
        <v>0</v>
      </c>
      <c r="AD164" s="247">
        <v>0</v>
      </c>
      <c r="AK164" s="1"/>
      <c r="AL164" s="241" t="s">
        <v>287</v>
      </c>
      <c r="AM164" s="242">
        <v>0</v>
      </c>
      <c r="AN164" s="267">
        <v>0</v>
      </c>
      <c r="AO164" s="267">
        <v>0</v>
      </c>
      <c r="AP164" s="247">
        <v>0</v>
      </c>
      <c r="AW164" s="1"/>
      <c r="AX164" s="241" t="s">
        <v>284</v>
      </c>
      <c r="AY164" s="242">
        <v>0</v>
      </c>
      <c r="AZ164" s="267">
        <v>0</v>
      </c>
      <c r="BA164" s="267">
        <v>0</v>
      </c>
      <c r="BB164" s="247">
        <v>0</v>
      </c>
      <c r="BI164" s="1"/>
      <c r="BJ164" s="241" t="s">
        <v>280</v>
      </c>
      <c r="BK164" s="242">
        <v>0</v>
      </c>
      <c r="BL164" s="267">
        <v>0</v>
      </c>
      <c r="BM164" s="267">
        <v>0</v>
      </c>
      <c r="BN164" s="247">
        <v>0</v>
      </c>
    </row>
    <row r="165" spans="1:66" x14ac:dyDescent="0.2">
      <c r="A165" s="239">
        <v>41849</v>
      </c>
      <c r="B165" s="229" t="s">
        <v>291</v>
      </c>
      <c r="C165" s="240">
        <v>0</v>
      </c>
      <c r="D165" s="266">
        <v>0</v>
      </c>
      <c r="E165" s="266">
        <v>0</v>
      </c>
      <c r="F165" s="258">
        <v>0</v>
      </c>
      <c r="H165" s="14"/>
      <c r="I165" s="14"/>
      <c r="J165" s="14"/>
      <c r="M165" s="239">
        <v>41849</v>
      </c>
      <c r="N165" s="229" t="s">
        <v>275</v>
      </c>
      <c r="O165" s="240">
        <v>0</v>
      </c>
      <c r="P165" s="266">
        <v>0</v>
      </c>
      <c r="Q165" s="266">
        <v>0</v>
      </c>
      <c r="R165" s="258">
        <v>0</v>
      </c>
      <c r="Y165" s="239">
        <v>41849</v>
      </c>
      <c r="Z165" s="229" t="s">
        <v>288</v>
      </c>
      <c r="AA165" s="240">
        <v>2</v>
      </c>
      <c r="AB165" s="266">
        <v>4</v>
      </c>
      <c r="AC165" s="266">
        <v>2</v>
      </c>
      <c r="AD165" s="258">
        <v>8</v>
      </c>
      <c r="AK165" s="239">
        <v>41849</v>
      </c>
      <c r="AL165" s="229" t="s">
        <v>285</v>
      </c>
      <c r="AM165" s="240">
        <v>1</v>
      </c>
      <c r="AN165" s="266">
        <v>1</v>
      </c>
      <c r="AO165" s="266">
        <v>3</v>
      </c>
      <c r="AP165" s="258">
        <v>5</v>
      </c>
      <c r="AW165" s="239">
        <v>41849</v>
      </c>
      <c r="AX165" s="229" t="s">
        <v>282</v>
      </c>
      <c r="AY165" s="240">
        <v>0</v>
      </c>
      <c r="AZ165" s="266">
        <v>1</v>
      </c>
      <c r="BA165" s="266">
        <v>2</v>
      </c>
      <c r="BB165" s="258">
        <v>3</v>
      </c>
      <c r="BI165" s="1"/>
      <c r="BJ165" s="241" t="s">
        <v>281</v>
      </c>
      <c r="BK165" s="242">
        <v>0</v>
      </c>
      <c r="BL165" s="267">
        <v>0</v>
      </c>
      <c r="BM165" s="267">
        <v>0</v>
      </c>
      <c r="BN165" s="247">
        <v>0</v>
      </c>
    </row>
    <row r="166" spans="1:66" x14ac:dyDescent="0.2">
      <c r="A166" s="1"/>
      <c r="B166" s="241" t="s">
        <v>292</v>
      </c>
      <c r="C166" s="242">
        <v>0</v>
      </c>
      <c r="D166" s="267">
        <v>0</v>
      </c>
      <c r="E166" s="267">
        <v>0</v>
      </c>
      <c r="F166" s="247">
        <v>0</v>
      </c>
      <c r="H166" s="14"/>
      <c r="I166" s="14"/>
      <c r="J166" s="14"/>
      <c r="M166" s="1"/>
      <c r="N166" s="241" t="s">
        <v>276</v>
      </c>
      <c r="O166" s="242">
        <v>0</v>
      </c>
      <c r="P166" s="267">
        <v>0</v>
      </c>
      <c r="Q166" s="267">
        <v>0</v>
      </c>
      <c r="R166" s="247">
        <v>0</v>
      </c>
      <c r="Y166" s="1"/>
      <c r="Z166" s="241" t="s">
        <v>289</v>
      </c>
      <c r="AA166" s="242">
        <v>0</v>
      </c>
      <c r="AB166" s="267">
        <v>0</v>
      </c>
      <c r="AC166" s="267">
        <v>0</v>
      </c>
      <c r="AD166" s="247">
        <v>0</v>
      </c>
      <c r="AK166" s="1"/>
      <c r="AL166" s="241" t="s">
        <v>286</v>
      </c>
      <c r="AM166" s="242">
        <v>348</v>
      </c>
      <c r="AN166" s="267">
        <v>4</v>
      </c>
      <c r="AO166" s="267">
        <v>622</v>
      </c>
      <c r="AP166" s="247">
        <v>974</v>
      </c>
      <c r="AW166" s="1"/>
      <c r="AX166" s="241" t="s">
        <v>283</v>
      </c>
      <c r="AY166" s="242">
        <v>10</v>
      </c>
      <c r="AZ166" s="267">
        <v>3</v>
      </c>
      <c r="BA166" s="267">
        <v>8</v>
      </c>
      <c r="BB166" s="247">
        <v>21</v>
      </c>
      <c r="BI166" s="239">
        <v>41836</v>
      </c>
      <c r="BJ166" s="229" t="s">
        <v>278</v>
      </c>
      <c r="BK166" s="240">
        <v>0</v>
      </c>
      <c r="BL166" s="266">
        <v>0</v>
      </c>
      <c r="BM166" s="266">
        <v>0</v>
      </c>
      <c r="BN166" s="258">
        <v>0</v>
      </c>
    </row>
    <row r="167" spans="1:66" x14ac:dyDescent="0.2">
      <c r="A167" s="1"/>
      <c r="B167" s="241" t="s">
        <v>293</v>
      </c>
      <c r="C167" s="242">
        <v>0</v>
      </c>
      <c r="D167" s="267">
        <v>0</v>
      </c>
      <c r="E167" s="267">
        <v>0</v>
      </c>
      <c r="F167" s="247">
        <v>0</v>
      </c>
      <c r="H167" s="14"/>
      <c r="I167" s="14"/>
      <c r="J167" s="14"/>
      <c r="M167" s="1"/>
      <c r="N167" s="241" t="s">
        <v>277</v>
      </c>
      <c r="O167" s="242">
        <v>0</v>
      </c>
      <c r="P167" s="267">
        <v>0</v>
      </c>
      <c r="Q167" s="267">
        <v>0</v>
      </c>
      <c r="R167" s="247">
        <v>0</v>
      </c>
      <c r="Y167" s="1"/>
      <c r="Z167" s="241" t="s">
        <v>290</v>
      </c>
      <c r="AA167" s="242">
        <v>0</v>
      </c>
      <c r="AB167" s="267">
        <v>0</v>
      </c>
      <c r="AC167" s="267">
        <v>0</v>
      </c>
      <c r="AD167" s="247">
        <v>0</v>
      </c>
      <c r="AK167" s="1"/>
      <c r="AL167" s="241" t="s">
        <v>287</v>
      </c>
      <c r="AM167" s="242">
        <v>0</v>
      </c>
      <c r="AN167" s="267">
        <v>0</v>
      </c>
      <c r="AO167" s="267">
        <v>0</v>
      </c>
      <c r="AP167" s="247">
        <v>0</v>
      </c>
      <c r="AW167" s="1"/>
      <c r="AX167" s="241" t="s">
        <v>284</v>
      </c>
      <c r="AY167" s="242">
        <v>0</v>
      </c>
      <c r="AZ167" s="267">
        <v>0</v>
      </c>
      <c r="BA167" s="267">
        <v>0</v>
      </c>
      <c r="BB167" s="247">
        <v>0</v>
      </c>
      <c r="BI167" s="1"/>
      <c r="BJ167" s="241" t="s">
        <v>279</v>
      </c>
      <c r="BK167" s="242">
        <v>0</v>
      </c>
      <c r="BL167" s="267">
        <v>0</v>
      </c>
      <c r="BM167" s="267">
        <v>0</v>
      </c>
      <c r="BN167" s="247">
        <v>0</v>
      </c>
    </row>
    <row r="168" spans="1:66" x14ac:dyDescent="0.2">
      <c r="A168" s="239">
        <v>41850</v>
      </c>
      <c r="B168" s="229" t="s">
        <v>291</v>
      </c>
      <c r="C168" s="240">
        <v>0</v>
      </c>
      <c r="D168" s="266">
        <v>0</v>
      </c>
      <c r="E168" s="266">
        <v>0</v>
      </c>
      <c r="F168" s="258">
        <v>0</v>
      </c>
      <c r="H168" s="14"/>
      <c r="I168" s="14"/>
      <c r="J168" s="14"/>
      <c r="M168" s="239">
        <v>41850</v>
      </c>
      <c r="N168" s="229" t="s">
        <v>275</v>
      </c>
      <c r="O168" s="240">
        <v>0</v>
      </c>
      <c r="P168" s="266">
        <v>0</v>
      </c>
      <c r="Q168" s="266">
        <v>0</v>
      </c>
      <c r="R168" s="258">
        <v>0</v>
      </c>
      <c r="Y168" s="239">
        <v>41850</v>
      </c>
      <c r="Z168" s="229" t="s">
        <v>288</v>
      </c>
      <c r="AA168" s="240">
        <v>1</v>
      </c>
      <c r="AB168" s="266">
        <v>3</v>
      </c>
      <c r="AC168" s="266">
        <v>1</v>
      </c>
      <c r="AD168" s="258">
        <v>5</v>
      </c>
      <c r="AK168" s="239">
        <v>41850</v>
      </c>
      <c r="AL168" s="229" t="s">
        <v>285</v>
      </c>
      <c r="AM168" s="240">
        <v>3</v>
      </c>
      <c r="AN168" s="266">
        <v>2</v>
      </c>
      <c r="AO168" s="266">
        <v>6</v>
      </c>
      <c r="AP168" s="258">
        <v>11</v>
      </c>
      <c r="AW168" s="239">
        <v>41850</v>
      </c>
      <c r="AX168" s="229" t="s">
        <v>282</v>
      </c>
      <c r="AY168" s="240">
        <v>3</v>
      </c>
      <c r="AZ168" s="266">
        <v>0</v>
      </c>
      <c r="BA168" s="266">
        <v>1</v>
      </c>
      <c r="BB168" s="258">
        <v>4</v>
      </c>
      <c r="BI168" s="1"/>
      <c r="BJ168" s="241" t="s">
        <v>280</v>
      </c>
      <c r="BK168" s="242">
        <v>0</v>
      </c>
      <c r="BL168" s="267">
        <v>0</v>
      </c>
      <c r="BM168" s="267">
        <v>0</v>
      </c>
      <c r="BN168" s="247">
        <v>0</v>
      </c>
    </row>
    <row r="169" spans="1:66" x14ac:dyDescent="0.2">
      <c r="A169" s="1"/>
      <c r="B169" s="241" t="s">
        <v>292</v>
      </c>
      <c r="C169" s="242">
        <v>0</v>
      </c>
      <c r="D169" s="267">
        <v>0</v>
      </c>
      <c r="E169" s="267">
        <v>0</v>
      </c>
      <c r="F169" s="247">
        <v>0</v>
      </c>
      <c r="H169" s="14"/>
      <c r="I169" s="14"/>
      <c r="J169" s="14"/>
      <c r="M169" s="1"/>
      <c r="N169" s="241" t="s">
        <v>276</v>
      </c>
      <c r="O169" s="242">
        <v>0</v>
      </c>
      <c r="P169" s="267">
        <v>0</v>
      </c>
      <c r="Q169" s="267">
        <v>0</v>
      </c>
      <c r="R169" s="247">
        <v>0</v>
      </c>
      <c r="Y169" s="1"/>
      <c r="Z169" s="241" t="s">
        <v>289</v>
      </c>
      <c r="AA169" s="242">
        <v>0</v>
      </c>
      <c r="AB169" s="267">
        <v>0</v>
      </c>
      <c r="AC169" s="267">
        <v>0</v>
      </c>
      <c r="AD169" s="247">
        <v>0</v>
      </c>
      <c r="AK169" s="1"/>
      <c r="AL169" s="241" t="s">
        <v>286</v>
      </c>
      <c r="AM169" s="242">
        <v>117</v>
      </c>
      <c r="AN169" s="267">
        <v>0</v>
      </c>
      <c r="AO169" s="267">
        <v>364</v>
      </c>
      <c r="AP169" s="247">
        <v>481</v>
      </c>
      <c r="AW169" s="1"/>
      <c r="AX169" s="241" t="s">
        <v>283</v>
      </c>
      <c r="AY169" s="242">
        <v>1</v>
      </c>
      <c r="AZ169" s="267">
        <v>2</v>
      </c>
      <c r="BA169" s="267">
        <v>4</v>
      </c>
      <c r="BB169" s="247">
        <v>7</v>
      </c>
      <c r="BI169" s="1"/>
      <c r="BJ169" s="241" t="s">
        <v>281</v>
      </c>
      <c r="BK169" s="242">
        <v>0</v>
      </c>
      <c r="BL169" s="267">
        <v>0</v>
      </c>
      <c r="BM169" s="267">
        <v>0</v>
      </c>
      <c r="BN169" s="247">
        <v>0</v>
      </c>
    </row>
    <row r="170" spans="1:66" x14ac:dyDescent="0.2">
      <c r="A170" s="1"/>
      <c r="B170" s="241" t="s">
        <v>293</v>
      </c>
      <c r="C170" s="242">
        <v>0</v>
      </c>
      <c r="D170" s="267">
        <v>0</v>
      </c>
      <c r="E170" s="267">
        <v>0</v>
      </c>
      <c r="F170" s="247">
        <v>0</v>
      </c>
      <c r="H170" s="14"/>
      <c r="I170" s="14"/>
      <c r="J170" s="14"/>
      <c r="M170" s="1"/>
      <c r="N170" s="241" t="s">
        <v>277</v>
      </c>
      <c r="O170" s="242">
        <v>0</v>
      </c>
      <c r="P170" s="267">
        <v>0</v>
      </c>
      <c r="Q170" s="267">
        <v>0</v>
      </c>
      <c r="R170" s="247">
        <v>0</v>
      </c>
      <c r="Y170" s="1"/>
      <c r="Z170" s="241" t="s">
        <v>290</v>
      </c>
      <c r="AA170" s="242">
        <v>0</v>
      </c>
      <c r="AB170" s="267">
        <v>0</v>
      </c>
      <c r="AC170" s="267">
        <v>0</v>
      </c>
      <c r="AD170" s="247">
        <v>0</v>
      </c>
      <c r="AK170" s="1"/>
      <c r="AL170" s="241" t="s">
        <v>287</v>
      </c>
      <c r="AM170" s="242">
        <v>0</v>
      </c>
      <c r="AN170" s="267">
        <v>0</v>
      </c>
      <c r="AO170" s="267">
        <v>0</v>
      </c>
      <c r="AP170" s="247">
        <v>0</v>
      </c>
      <c r="AW170" s="1"/>
      <c r="AX170" s="241" t="s">
        <v>284</v>
      </c>
      <c r="AY170" s="242">
        <v>0</v>
      </c>
      <c r="AZ170" s="267">
        <v>0</v>
      </c>
      <c r="BA170" s="267">
        <v>0</v>
      </c>
      <c r="BB170" s="247">
        <v>0</v>
      </c>
      <c r="BI170" s="239">
        <v>41837</v>
      </c>
      <c r="BJ170" s="229" t="s">
        <v>278</v>
      </c>
      <c r="BK170" s="240">
        <v>0</v>
      </c>
      <c r="BL170" s="266">
        <v>0</v>
      </c>
      <c r="BM170" s="266">
        <v>0</v>
      </c>
      <c r="BN170" s="258">
        <v>0</v>
      </c>
    </row>
    <row r="171" spans="1:66" x14ac:dyDescent="0.2">
      <c r="A171" s="239">
        <v>41851</v>
      </c>
      <c r="B171" s="229" t="s">
        <v>291</v>
      </c>
      <c r="C171" s="240">
        <v>1</v>
      </c>
      <c r="D171" s="266">
        <v>0</v>
      </c>
      <c r="E171" s="266">
        <v>2</v>
      </c>
      <c r="F171" s="258">
        <v>3</v>
      </c>
      <c r="H171" s="14"/>
      <c r="I171" s="14"/>
      <c r="J171" s="14"/>
      <c r="M171" s="239">
        <v>41851</v>
      </c>
      <c r="N171" s="229" t="s">
        <v>275</v>
      </c>
      <c r="O171" s="240">
        <v>0</v>
      </c>
      <c r="P171" s="266">
        <v>0</v>
      </c>
      <c r="Q171" s="266">
        <v>0</v>
      </c>
      <c r="R171" s="258">
        <v>0</v>
      </c>
      <c r="Y171" s="239">
        <v>41851</v>
      </c>
      <c r="Z171" s="229" t="s">
        <v>288</v>
      </c>
      <c r="AA171" s="240">
        <v>0</v>
      </c>
      <c r="AB171" s="266">
        <v>4</v>
      </c>
      <c r="AC171" s="266">
        <v>2</v>
      </c>
      <c r="AD171" s="258">
        <v>6</v>
      </c>
      <c r="AK171" s="239">
        <v>41851</v>
      </c>
      <c r="AL171" s="229" t="s">
        <v>285</v>
      </c>
      <c r="AM171" s="240">
        <v>3</v>
      </c>
      <c r="AN171" s="266">
        <v>0</v>
      </c>
      <c r="AO171" s="266">
        <v>3</v>
      </c>
      <c r="AP171" s="258">
        <v>6</v>
      </c>
      <c r="AW171" s="239">
        <v>41851</v>
      </c>
      <c r="AX171" s="229" t="s">
        <v>282</v>
      </c>
      <c r="AY171" s="240">
        <v>2</v>
      </c>
      <c r="AZ171" s="266">
        <v>0</v>
      </c>
      <c r="BA171" s="266">
        <v>1</v>
      </c>
      <c r="BB171" s="258">
        <v>3</v>
      </c>
      <c r="BI171" s="1"/>
      <c r="BJ171" s="241" t="s">
        <v>279</v>
      </c>
      <c r="BK171" s="242">
        <v>0</v>
      </c>
      <c r="BL171" s="267">
        <v>0</v>
      </c>
      <c r="BM171" s="267">
        <v>0</v>
      </c>
      <c r="BN171" s="247">
        <v>0</v>
      </c>
    </row>
    <row r="172" spans="1:66" x14ac:dyDescent="0.2">
      <c r="A172" s="1"/>
      <c r="B172" s="241" t="s">
        <v>292</v>
      </c>
      <c r="C172" s="242">
        <v>0</v>
      </c>
      <c r="D172" s="267">
        <v>0</v>
      </c>
      <c r="E172" s="267">
        <v>0</v>
      </c>
      <c r="F172" s="247">
        <v>0</v>
      </c>
      <c r="H172" s="14"/>
      <c r="I172" s="14"/>
      <c r="J172" s="14"/>
      <c r="M172" s="1"/>
      <c r="N172" s="241" t="s">
        <v>276</v>
      </c>
      <c r="O172" s="242">
        <v>0</v>
      </c>
      <c r="P172" s="267">
        <v>0</v>
      </c>
      <c r="Q172" s="267">
        <v>0</v>
      </c>
      <c r="R172" s="247">
        <v>0</v>
      </c>
      <c r="Y172" s="1"/>
      <c r="Z172" s="241" t="s">
        <v>289</v>
      </c>
      <c r="AA172" s="242">
        <v>0</v>
      </c>
      <c r="AB172" s="267">
        <v>0</v>
      </c>
      <c r="AC172" s="267">
        <v>1</v>
      </c>
      <c r="AD172" s="247">
        <v>1</v>
      </c>
      <c r="AK172" s="1"/>
      <c r="AL172" s="241" t="s">
        <v>286</v>
      </c>
      <c r="AM172" s="242">
        <v>244</v>
      </c>
      <c r="AN172" s="267">
        <v>4</v>
      </c>
      <c r="AO172" s="267">
        <v>395</v>
      </c>
      <c r="AP172" s="247">
        <v>643</v>
      </c>
      <c r="AW172" s="1"/>
      <c r="AX172" s="241" t="s">
        <v>283</v>
      </c>
      <c r="AY172" s="242">
        <v>9</v>
      </c>
      <c r="AZ172" s="267">
        <v>4</v>
      </c>
      <c r="BA172" s="267">
        <v>12</v>
      </c>
      <c r="BB172" s="247">
        <v>25</v>
      </c>
      <c r="BI172" s="1"/>
      <c r="BJ172" s="241" t="s">
        <v>280</v>
      </c>
      <c r="BK172" s="242">
        <v>0</v>
      </c>
      <c r="BL172" s="267">
        <v>0</v>
      </c>
      <c r="BM172" s="267">
        <v>0</v>
      </c>
      <c r="BN172" s="247">
        <v>0</v>
      </c>
    </row>
    <row r="173" spans="1:66" x14ac:dyDescent="0.2">
      <c r="A173" s="1"/>
      <c r="B173" s="241" t="s">
        <v>293</v>
      </c>
      <c r="C173" s="242">
        <v>0</v>
      </c>
      <c r="D173" s="267">
        <v>0</v>
      </c>
      <c r="E173" s="267">
        <v>0</v>
      </c>
      <c r="F173" s="247">
        <v>0</v>
      </c>
      <c r="H173" s="14"/>
      <c r="I173" s="14"/>
      <c r="J173" s="14"/>
      <c r="M173" s="1"/>
      <c r="N173" s="241" t="s">
        <v>277</v>
      </c>
      <c r="O173" s="242">
        <v>0</v>
      </c>
      <c r="P173" s="267">
        <v>0</v>
      </c>
      <c r="Q173" s="267">
        <v>0</v>
      </c>
      <c r="R173" s="247">
        <v>0</v>
      </c>
      <c r="Y173" s="1"/>
      <c r="Z173" s="241" t="s">
        <v>290</v>
      </c>
      <c r="AA173" s="242">
        <v>0</v>
      </c>
      <c r="AB173" s="267">
        <v>0</v>
      </c>
      <c r="AC173" s="267">
        <v>0</v>
      </c>
      <c r="AD173" s="247">
        <v>0</v>
      </c>
      <c r="AK173" s="1"/>
      <c r="AL173" s="241" t="s">
        <v>287</v>
      </c>
      <c r="AM173" s="242">
        <v>0</v>
      </c>
      <c r="AN173" s="267">
        <v>0</v>
      </c>
      <c r="AO173" s="267">
        <v>0</v>
      </c>
      <c r="AP173" s="247">
        <v>0</v>
      </c>
      <c r="AW173" s="1"/>
      <c r="AX173" s="241" t="s">
        <v>284</v>
      </c>
      <c r="AY173" s="242">
        <v>0</v>
      </c>
      <c r="AZ173" s="267">
        <v>0</v>
      </c>
      <c r="BA173" s="267">
        <v>0</v>
      </c>
      <c r="BB173" s="247">
        <v>0</v>
      </c>
      <c r="BI173" s="1"/>
      <c r="BJ173" s="241" t="s">
        <v>281</v>
      </c>
      <c r="BK173" s="242">
        <v>0</v>
      </c>
      <c r="BL173" s="267">
        <v>0</v>
      </c>
      <c r="BM173" s="267">
        <v>0</v>
      </c>
      <c r="BN173" s="247">
        <v>0</v>
      </c>
    </row>
    <row r="174" spans="1:66" x14ac:dyDescent="0.2">
      <c r="A174" s="239">
        <v>41852</v>
      </c>
      <c r="B174" s="229" t="s">
        <v>291</v>
      </c>
      <c r="C174" s="240">
        <v>0</v>
      </c>
      <c r="D174" s="266">
        <v>0</v>
      </c>
      <c r="E174" s="266">
        <v>0</v>
      </c>
      <c r="F174" s="258">
        <v>0</v>
      </c>
      <c r="H174" s="14"/>
      <c r="I174" s="14"/>
      <c r="J174" s="14"/>
      <c r="M174" s="239">
        <v>41852</v>
      </c>
      <c r="N174" s="229" t="s">
        <v>275</v>
      </c>
      <c r="O174" s="240">
        <v>0</v>
      </c>
      <c r="P174" s="266">
        <v>0</v>
      </c>
      <c r="Q174" s="266">
        <v>0</v>
      </c>
      <c r="R174" s="258">
        <v>0</v>
      </c>
      <c r="Y174" s="239">
        <v>41852</v>
      </c>
      <c r="Z174" s="229" t="s">
        <v>288</v>
      </c>
      <c r="AA174" s="240">
        <v>2</v>
      </c>
      <c r="AB174" s="266">
        <v>1</v>
      </c>
      <c r="AC174" s="266">
        <v>3</v>
      </c>
      <c r="AD174" s="258">
        <v>6</v>
      </c>
      <c r="AK174" s="239">
        <v>41852</v>
      </c>
      <c r="AL174" s="229" t="s">
        <v>285</v>
      </c>
      <c r="AM174" s="240">
        <v>5</v>
      </c>
      <c r="AN174" s="266">
        <v>1</v>
      </c>
      <c r="AO174" s="266">
        <v>6</v>
      </c>
      <c r="AP174" s="258">
        <v>12</v>
      </c>
      <c r="AW174" s="239">
        <v>41852</v>
      </c>
      <c r="AX174" s="229" t="s">
        <v>282</v>
      </c>
      <c r="AY174" s="240">
        <v>1</v>
      </c>
      <c r="AZ174" s="266">
        <v>1</v>
      </c>
      <c r="BA174" s="266">
        <v>4</v>
      </c>
      <c r="BB174" s="258">
        <v>6</v>
      </c>
      <c r="BI174" s="239">
        <v>41838</v>
      </c>
      <c r="BJ174" s="229" t="s">
        <v>278</v>
      </c>
      <c r="BK174" s="240">
        <v>0</v>
      </c>
      <c r="BL174" s="266">
        <v>0</v>
      </c>
      <c r="BM174" s="266">
        <v>0</v>
      </c>
      <c r="BN174" s="258">
        <v>0</v>
      </c>
    </row>
    <row r="175" spans="1:66" x14ac:dyDescent="0.2">
      <c r="A175" s="1"/>
      <c r="B175" s="241" t="s">
        <v>292</v>
      </c>
      <c r="C175" s="242">
        <v>0</v>
      </c>
      <c r="D175" s="267">
        <v>0</v>
      </c>
      <c r="E175" s="267">
        <v>1</v>
      </c>
      <c r="F175" s="247">
        <v>1</v>
      </c>
      <c r="H175" s="14"/>
      <c r="I175" s="14"/>
      <c r="J175" s="14"/>
      <c r="M175" s="1"/>
      <c r="N175" s="241" t="s">
        <v>276</v>
      </c>
      <c r="O175" s="242">
        <v>0</v>
      </c>
      <c r="P175" s="267">
        <v>0</v>
      </c>
      <c r="Q175" s="267">
        <v>0</v>
      </c>
      <c r="R175" s="247">
        <v>0</v>
      </c>
      <c r="Y175" s="1"/>
      <c r="Z175" s="241" t="s">
        <v>289</v>
      </c>
      <c r="AA175" s="242">
        <v>0</v>
      </c>
      <c r="AB175" s="267">
        <v>0</v>
      </c>
      <c r="AC175" s="267">
        <v>1</v>
      </c>
      <c r="AD175" s="247">
        <v>1</v>
      </c>
      <c r="AK175" s="1"/>
      <c r="AL175" s="241" t="s">
        <v>286</v>
      </c>
      <c r="AM175" s="242">
        <v>212</v>
      </c>
      <c r="AN175" s="267">
        <v>4</v>
      </c>
      <c r="AO175" s="267">
        <v>275</v>
      </c>
      <c r="AP175" s="247">
        <v>491</v>
      </c>
      <c r="AW175" s="1"/>
      <c r="AX175" s="241" t="s">
        <v>283</v>
      </c>
      <c r="AY175" s="242">
        <v>21</v>
      </c>
      <c r="AZ175" s="267">
        <v>9</v>
      </c>
      <c r="BA175" s="267">
        <v>24</v>
      </c>
      <c r="BB175" s="247">
        <v>54</v>
      </c>
      <c r="BI175" s="1"/>
      <c r="BJ175" s="241" t="s">
        <v>279</v>
      </c>
      <c r="BK175" s="242">
        <v>0</v>
      </c>
      <c r="BL175" s="267">
        <v>0</v>
      </c>
      <c r="BM175" s="267">
        <v>0</v>
      </c>
      <c r="BN175" s="247">
        <v>0</v>
      </c>
    </row>
    <row r="176" spans="1:66" x14ac:dyDescent="0.2">
      <c r="A176" s="1"/>
      <c r="B176" s="241" t="s">
        <v>293</v>
      </c>
      <c r="C176" s="242">
        <v>0</v>
      </c>
      <c r="D176" s="267">
        <v>0</v>
      </c>
      <c r="E176" s="267">
        <v>0</v>
      </c>
      <c r="F176" s="247">
        <v>0</v>
      </c>
      <c r="H176" s="14"/>
      <c r="I176" s="14"/>
      <c r="J176" s="14"/>
      <c r="M176" s="1"/>
      <c r="N176" s="241" t="s">
        <v>277</v>
      </c>
      <c r="O176" s="242">
        <v>0</v>
      </c>
      <c r="P176" s="267">
        <v>0</v>
      </c>
      <c r="Q176" s="267">
        <v>0</v>
      </c>
      <c r="R176" s="247">
        <v>0</v>
      </c>
      <c r="Y176" s="1"/>
      <c r="Z176" s="241" t="s">
        <v>290</v>
      </c>
      <c r="AA176" s="242">
        <v>0</v>
      </c>
      <c r="AB176" s="267">
        <v>0</v>
      </c>
      <c r="AC176" s="267">
        <v>0</v>
      </c>
      <c r="AD176" s="247">
        <v>0</v>
      </c>
      <c r="AK176" s="1"/>
      <c r="AL176" s="241" t="s">
        <v>287</v>
      </c>
      <c r="AM176" s="242">
        <v>0</v>
      </c>
      <c r="AN176" s="267">
        <v>0</v>
      </c>
      <c r="AO176" s="267">
        <v>0</v>
      </c>
      <c r="AP176" s="247">
        <v>0</v>
      </c>
      <c r="AW176" s="1"/>
      <c r="AX176" s="241" t="s">
        <v>284</v>
      </c>
      <c r="AY176" s="242">
        <v>0</v>
      </c>
      <c r="AZ176" s="267">
        <v>0</v>
      </c>
      <c r="BA176" s="267">
        <v>0</v>
      </c>
      <c r="BB176" s="247">
        <v>0</v>
      </c>
      <c r="BI176" s="1"/>
      <c r="BJ176" s="241" t="s">
        <v>280</v>
      </c>
      <c r="BK176" s="242">
        <v>0</v>
      </c>
      <c r="BL176" s="267">
        <v>0</v>
      </c>
      <c r="BM176" s="267">
        <v>0</v>
      </c>
      <c r="BN176" s="247">
        <v>0</v>
      </c>
    </row>
    <row r="177" spans="1:66" x14ac:dyDescent="0.2">
      <c r="A177" s="239">
        <v>41853</v>
      </c>
      <c r="B177" s="229" t="s">
        <v>291</v>
      </c>
      <c r="C177" s="240">
        <v>0</v>
      </c>
      <c r="D177" s="266">
        <v>0</v>
      </c>
      <c r="E177" s="266">
        <v>0</v>
      </c>
      <c r="F177" s="258">
        <v>0</v>
      </c>
      <c r="H177" s="14"/>
      <c r="I177" s="14"/>
      <c r="J177" s="14"/>
      <c r="M177" s="239">
        <v>41853</v>
      </c>
      <c r="N177" s="229" t="s">
        <v>275</v>
      </c>
      <c r="O177" s="240">
        <v>0</v>
      </c>
      <c r="P177" s="266">
        <v>0</v>
      </c>
      <c r="Q177" s="266">
        <v>0</v>
      </c>
      <c r="R177" s="258">
        <v>0</v>
      </c>
      <c r="Y177" s="239">
        <v>41853</v>
      </c>
      <c r="Z177" s="229" t="s">
        <v>288</v>
      </c>
      <c r="AA177" s="240">
        <v>0</v>
      </c>
      <c r="AB177" s="266">
        <v>1</v>
      </c>
      <c r="AC177" s="266">
        <v>0</v>
      </c>
      <c r="AD177" s="258">
        <v>1</v>
      </c>
      <c r="AK177" s="239">
        <v>41853</v>
      </c>
      <c r="AL177" s="229" t="s">
        <v>285</v>
      </c>
      <c r="AM177" s="240">
        <v>4</v>
      </c>
      <c r="AN177" s="266">
        <v>2</v>
      </c>
      <c r="AO177" s="266">
        <v>6</v>
      </c>
      <c r="AP177" s="258">
        <v>12</v>
      </c>
      <c r="AW177" s="239">
        <v>41853</v>
      </c>
      <c r="AX177" s="229" t="s">
        <v>282</v>
      </c>
      <c r="AY177" s="240">
        <v>3</v>
      </c>
      <c r="AZ177" s="266">
        <v>0</v>
      </c>
      <c r="BA177" s="266">
        <v>3</v>
      </c>
      <c r="BB177" s="258">
        <v>6</v>
      </c>
      <c r="BI177" s="1"/>
      <c r="BJ177" s="241" t="s">
        <v>281</v>
      </c>
      <c r="BK177" s="242">
        <v>0</v>
      </c>
      <c r="BL177" s="267">
        <v>0</v>
      </c>
      <c r="BM177" s="267">
        <v>0</v>
      </c>
      <c r="BN177" s="247">
        <v>0</v>
      </c>
    </row>
    <row r="178" spans="1:66" x14ac:dyDescent="0.2">
      <c r="A178" s="1"/>
      <c r="B178" s="241" t="s">
        <v>292</v>
      </c>
      <c r="C178" s="242">
        <v>0</v>
      </c>
      <c r="D178" s="267">
        <v>0</v>
      </c>
      <c r="E178" s="267">
        <v>0</v>
      </c>
      <c r="F178" s="247">
        <v>0</v>
      </c>
      <c r="H178" s="14"/>
      <c r="I178" s="14"/>
      <c r="J178" s="14"/>
      <c r="M178" s="1"/>
      <c r="N178" s="241" t="s">
        <v>276</v>
      </c>
      <c r="O178" s="242">
        <v>0</v>
      </c>
      <c r="P178" s="267">
        <v>0</v>
      </c>
      <c r="Q178" s="267">
        <v>0</v>
      </c>
      <c r="R178" s="247">
        <v>0</v>
      </c>
      <c r="Y178" s="1"/>
      <c r="Z178" s="241" t="s">
        <v>289</v>
      </c>
      <c r="AA178" s="242">
        <v>0</v>
      </c>
      <c r="AB178" s="267">
        <v>0</v>
      </c>
      <c r="AC178" s="267">
        <v>0</v>
      </c>
      <c r="AD178" s="247">
        <v>0</v>
      </c>
      <c r="AK178" s="1"/>
      <c r="AL178" s="241" t="s">
        <v>286</v>
      </c>
      <c r="AM178" s="242">
        <v>235</v>
      </c>
      <c r="AN178" s="267">
        <v>0</v>
      </c>
      <c r="AO178" s="267">
        <v>203</v>
      </c>
      <c r="AP178" s="247">
        <v>438</v>
      </c>
      <c r="AW178" s="1"/>
      <c r="AX178" s="241" t="s">
        <v>283</v>
      </c>
      <c r="AY178" s="242">
        <v>22</v>
      </c>
      <c r="AZ178" s="267">
        <v>3</v>
      </c>
      <c r="BA178" s="267">
        <v>15</v>
      </c>
      <c r="BB178" s="247">
        <v>40</v>
      </c>
      <c r="BI178" s="239">
        <v>41839</v>
      </c>
      <c r="BJ178" s="229" t="s">
        <v>278</v>
      </c>
      <c r="BK178" s="240">
        <v>0</v>
      </c>
      <c r="BL178" s="266">
        <v>0</v>
      </c>
      <c r="BM178" s="266">
        <v>0</v>
      </c>
      <c r="BN178" s="258">
        <v>0</v>
      </c>
    </row>
    <row r="179" spans="1:66" x14ac:dyDescent="0.2">
      <c r="A179" s="1"/>
      <c r="B179" s="241" t="s">
        <v>293</v>
      </c>
      <c r="C179" s="242">
        <v>0</v>
      </c>
      <c r="D179" s="267">
        <v>0</v>
      </c>
      <c r="E179" s="267">
        <v>0</v>
      </c>
      <c r="F179" s="247">
        <v>0</v>
      </c>
      <c r="H179" s="14"/>
      <c r="I179" s="14"/>
      <c r="J179" s="14"/>
      <c r="M179" s="1"/>
      <c r="N179" s="241" t="s">
        <v>277</v>
      </c>
      <c r="O179" s="242">
        <v>0</v>
      </c>
      <c r="P179" s="267">
        <v>0</v>
      </c>
      <c r="Q179" s="267">
        <v>0</v>
      </c>
      <c r="R179" s="247">
        <v>0</v>
      </c>
      <c r="Y179" s="1"/>
      <c r="Z179" s="241" t="s">
        <v>290</v>
      </c>
      <c r="AA179" s="242">
        <v>0</v>
      </c>
      <c r="AB179" s="267">
        <v>0</v>
      </c>
      <c r="AC179" s="267">
        <v>0</v>
      </c>
      <c r="AD179" s="247">
        <v>0</v>
      </c>
      <c r="AK179" s="1"/>
      <c r="AL179" s="241" t="s">
        <v>287</v>
      </c>
      <c r="AM179" s="242">
        <v>0</v>
      </c>
      <c r="AN179" s="267">
        <v>0</v>
      </c>
      <c r="AO179" s="267">
        <v>0</v>
      </c>
      <c r="AP179" s="247">
        <v>0</v>
      </c>
      <c r="AW179" s="1"/>
      <c r="AX179" s="241" t="s">
        <v>284</v>
      </c>
      <c r="AY179" s="242">
        <v>0</v>
      </c>
      <c r="AZ179" s="267">
        <v>0</v>
      </c>
      <c r="BA179" s="267">
        <v>0</v>
      </c>
      <c r="BB179" s="247">
        <v>0</v>
      </c>
      <c r="BI179" s="1"/>
      <c r="BJ179" s="241" t="s">
        <v>279</v>
      </c>
      <c r="BK179" s="242">
        <v>0</v>
      </c>
      <c r="BL179" s="267">
        <v>0</v>
      </c>
      <c r="BM179" s="267">
        <v>0</v>
      </c>
      <c r="BN179" s="247">
        <v>0</v>
      </c>
    </row>
    <row r="180" spans="1:66" x14ac:dyDescent="0.2">
      <c r="A180" s="239">
        <v>41854</v>
      </c>
      <c r="B180" s="229" t="s">
        <v>291</v>
      </c>
      <c r="C180" s="240">
        <v>0</v>
      </c>
      <c r="D180" s="266">
        <v>0</v>
      </c>
      <c r="E180" s="266">
        <v>0</v>
      </c>
      <c r="F180" s="258">
        <v>0</v>
      </c>
      <c r="H180" s="14"/>
      <c r="I180" s="14"/>
      <c r="J180" s="14"/>
      <c r="M180" s="239">
        <v>41854</v>
      </c>
      <c r="N180" s="229" t="s">
        <v>275</v>
      </c>
      <c r="O180" s="240">
        <v>0</v>
      </c>
      <c r="P180" s="266">
        <v>0</v>
      </c>
      <c r="Q180" s="266">
        <v>0</v>
      </c>
      <c r="R180" s="258">
        <v>0</v>
      </c>
      <c r="Y180" s="239">
        <v>41854</v>
      </c>
      <c r="Z180" s="229" t="s">
        <v>288</v>
      </c>
      <c r="AA180" s="240">
        <v>1</v>
      </c>
      <c r="AB180" s="266">
        <v>1</v>
      </c>
      <c r="AC180" s="266">
        <v>0</v>
      </c>
      <c r="AD180" s="258">
        <v>2</v>
      </c>
      <c r="AK180" s="239">
        <v>41854</v>
      </c>
      <c r="AL180" s="229" t="s">
        <v>285</v>
      </c>
      <c r="AM180" s="240">
        <v>5</v>
      </c>
      <c r="AN180" s="266">
        <v>1</v>
      </c>
      <c r="AO180" s="266">
        <v>6</v>
      </c>
      <c r="AP180" s="258">
        <v>12</v>
      </c>
      <c r="AW180" s="239">
        <v>41854</v>
      </c>
      <c r="AX180" s="229" t="s">
        <v>282</v>
      </c>
      <c r="AY180" s="240">
        <v>5</v>
      </c>
      <c r="AZ180" s="266">
        <v>1</v>
      </c>
      <c r="BA180" s="266">
        <v>6</v>
      </c>
      <c r="BB180" s="258">
        <v>12</v>
      </c>
      <c r="BI180" s="1"/>
      <c r="BJ180" s="241" t="s">
        <v>280</v>
      </c>
      <c r="BK180" s="242">
        <v>0</v>
      </c>
      <c r="BL180" s="267">
        <v>0</v>
      </c>
      <c r="BM180" s="267">
        <v>0</v>
      </c>
      <c r="BN180" s="247">
        <v>0</v>
      </c>
    </row>
    <row r="181" spans="1:66" x14ac:dyDescent="0.2">
      <c r="A181" s="1"/>
      <c r="B181" s="241" t="s">
        <v>292</v>
      </c>
      <c r="C181" s="242">
        <v>0</v>
      </c>
      <c r="D181" s="267">
        <v>0</v>
      </c>
      <c r="E181" s="267">
        <v>0</v>
      </c>
      <c r="F181" s="247">
        <v>0</v>
      </c>
      <c r="H181" s="14"/>
      <c r="I181" s="14"/>
      <c r="J181" s="14"/>
      <c r="M181" s="1"/>
      <c r="N181" s="241" t="s">
        <v>276</v>
      </c>
      <c r="O181" s="242">
        <v>0</v>
      </c>
      <c r="P181" s="267">
        <v>0</v>
      </c>
      <c r="Q181" s="267">
        <v>0</v>
      </c>
      <c r="R181" s="247">
        <v>0</v>
      </c>
      <c r="Y181" s="1"/>
      <c r="Z181" s="241" t="s">
        <v>289</v>
      </c>
      <c r="AA181" s="242">
        <v>0</v>
      </c>
      <c r="AB181" s="267">
        <v>0</v>
      </c>
      <c r="AC181" s="267">
        <v>0</v>
      </c>
      <c r="AD181" s="247">
        <v>0</v>
      </c>
      <c r="AK181" s="1"/>
      <c r="AL181" s="241" t="s">
        <v>286</v>
      </c>
      <c r="AM181" s="242">
        <v>219</v>
      </c>
      <c r="AN181" s="267">
        <v>0</v>
      </c>
      <c r="AO181" s="267">
        <v>198</v>
      </c>
      <c r="AP181" s="247">
        <v>417</v>
      </c>
      <c r="AW181" s="1"/>
      <c r="AX181" s="241" t="s">
        <v>283</v>
      </c>
      <c r="AY181" s="242">
        <v>8</v>
      </c>
      <c r="AZ181" s="267">
        <v>1</v>
      </c>
      <c r="BA181" s="267">
        <v>2</v>
      </c>
      <c r="BB181" s="247">
        <v>11</v>
      </c>
      <c r="BI181" s="1"/>
      <c r="BJ181" s="241" t="s">
        <v>281</v>
      </c>
      <c r="BK181" s="242">
        <v>0</v>
      </c>
      <c r="BL181" s="267">
        <v>0</v>
      </c>
      <c r="BM181" s="267">
        <v>0</v>
      </c>
      <c r="BN181" s="247">
        <v>0</v>
      </c>
    </row>
    <row r="182" spans="1:66" x14ac:dyDescent="0.2">
      <c r="A182" s="1"/>
      <c r="B182" s="241" t="s">
        <v>293</v>
      </c>
      <c r="C182" s="242">
        <v>0</v>
      </c>
      <c r="D182" s="267">
        <v>0</v>
      </c>
      <c r="E182" s="267">
        <v>0</v>
      </c>
      <c r="F182" s="247">
        <v>0</v>
      </c>
      <c r="H182" s="14"/>
      <c r="I182" s="14"/>
      <c r="J182" s="14"/>
      <c r="M182" s="1"/>
      <c r="N182" s="241" t="s">
        <v>277</v>
      </c>
      <c r="O182" s="242">
        <v>0</v>
      </c>
      <c r="P182" s="267">
        <v>0</v>
      </c>
      <c r="Q182" s="267">
        <v>0</v>
      </c>
      <c r="R182" s="247">
        <v>0</v>
      </c>
      <c r="Y182" s="1"/>
      <c r="Z182" s="241" t="s">
        <v>290</v>
      </c>
      <c r="AA182" s="242">
        <v>0</v>
      </c>
      <c r="AB182" s="267">
        <v>0</v>
      </c>
      <c r="AC182" s="267">
        <v>0</v>
      </c>
      <c r="AD182" s="247">
        <v>0</v>
      </c>
      <c r="AK182" s="1"/>
      <c r="AL182" s="241" t="s">
        <v>287</v>
      </c>
      <c r="AM182" s="242">
        <v>0</v>
      </c>
      <c r="AN182" s="267">
        <v>0</v>
      </c>
      <c r="AO182" s="267">
        <v>0</v>
      </c>
      <c r="AP182" s="247">
        <v>0</v>
      </c>
      <c r="AW182" s="1"/>
      <c r="AX182" s="241" t="s">
        <v>284</v>
      </c>
      <c r="AY182" s="242">
        <v>0</v>
      </c>
      <c r="AZ182" s="267">
        <v>0</v>
      </c>
      <c r="BA182" s="267">
        <v>0</v>
      </c>
      <c r="BB182" s="247">
        <v>0</v>
      </c>
      <c r="BI182" s="239">
        <v>41840</v>
      </c>
      <c r="BJ182" s="229" t="s">
        <v>278</v>
      </c>
      <c r="BK182" s="240">
        <v>0</v>
      </c>
      <c r="BL182" s="266">
        <v>0</v>
      </c>
      <c r="BM182" s="266">
        <v>0</v>
      </c>
      <c r="BN182" s="258">
        <v>0</v>
      </c>
    </row>
    <row r="183" spans="1:66" x14ac:dyDescent="0.2">
      <c r="A183" s="239">
        <v>41855</v>
      </c>
      <c r="B183" s="229" t="s">
        <v>291</v>
      </c>
      <c r="C183" s="240">
        <v>0</v>
      </c>
      <c r="D183" s="266">
        <v>0</v>
      </c>
      <c r="E183" s="266">
        <v>0</v>
      </c>
      <c r="F183" s="258">
        <v>0</v>
      </c>
      <c r="H183" s="14"/>
      <c r="I183" s="14"/>
      <c r="J183" s="14"/>
      <c r="M183" s="239">
        <v>41855</v>
      </c>
      <c r="N183" s="229" t="s">
        <v>275</v>
      </c>
      <c r="O183" s="240">
        <v>0</v>
      </c>
      <c r="P183" s="266">
        <v>0</v>
      </c>
      <c r="Q183" s="266">
        <v>0</v>
      </c>
      <c r="R183" s="258">
        <v>0</v>
      </c>
      <c r="Y183" s="239">
        <v>41855</v>
      </c>
      <c r="Z183" s="229" t="s">
        <v>288</v>
      </c>
      <c r="AA183" s="240">
        <v>0</v>
      </c>
      <c r="AB183" s="266">
        <v>2</v>
      </c>
      <c r="AC183" s="266">
        <v>1</v>
      </c>
      <c r="AD183" s="258">
        <v>3</v>
      </c>
      <c r="AK183" s="239">
        <v>41855</v>
      </c>
      <c r="AL183" s="229" t="s">
        <v>285</v>
      </c>
      <c r="AM183" s="240">
        <v>2</v>
      </c>
      <c r="AN183" s="266">
        <v>2</v>
      </c>
      <c r="AO183" s="266">
        <v>4</v>
      </c>
      <c r="AP183" s="258">
        <v>8</v>
      </c>
      <c r="AW183" s="239">
        <v>41855</v>
      </c>
      <c r="AX183" s="229" t="s">
        <v>282</v>
      </c>
      <c r="AY183" s="240">
        <v>5</v>
      </c>
      <c r="AZ183" s="266">
        <v>1</v>
      </c>
      <c r="BA183" s="266">
        <v>6</v>
      </c>
      <c r="BB183" s="258">
        <v>12</v>
      </c>
      <c r="BI183" s="1"/>
      <c r="BJ183" s="241" t="s">
        <v>279</v>
      </c>
      <c r="BK183" s="242">
        <v>0</v>
      </c>
      <c r="BL183" s="267">
        <v>0</v>
      </c>
      <c r="BM183" s="267">
        <v>0</v>
      </c>
      <c r="BN183" s="247">
        <v>0</v>
      </c>
    </row>
    <row r="184" spans="1:66" x14ac:dyDescent="0.2">
      <c r="A184" s="1"/>
      <c r="B184" s="241" t="s">
        <v>292</v>
      </c>
      <c r="C184" s="242">
        <v>0</v>
      </c>
      <c r="D184" s="267">
        <v>0</v>
      </c>
      <c r="E184" s="267">
        <v>0</v>
      </c>
      <c r="F184" s="247">
        <v>0</v>
      </c>
      <c r="H184" s="14"/>
      <c r="I184" s="14"/>
      <c r="J184" s="14"/>
      <c r="M184" s="1"/>
      <c r="N184" s="241" t="s">
        <v>276</v>
      </c>
      <c r="O184" s="242">
        <v>1</v>
      </c>
      <c r="P184" s="267">
        <v>0</v>
      </c>
      <c r="Q184" s="267">
        <v>1</v>
      </c>
      <c r="R184" s="247">
        <v>2</v>
      </c>
      <c r="Y184" s="1"/>
      <c r="Z184" s="241" t="s">
        <v>289</v>
      </c>
      <c r="AA184" s="242">
        <v>1</v>
      </c>
      <c r="AB184" s="267">
        <v>0</v>
      </c>
      <c r="AC184" s="267">
        <v>0</v>
      </c>
      <c r="AD184" s="247">
        <v>1</v>
      </c>
      <c r="AK184" s="1"/>
      <c r="AL184" s="241" t="s">
        <v>286</v>
      </c>
      <c r="AM184" s="242">
        <v>219</v>
      </c>
      <c r="AN184" s="267">
        <v>5</v>
      </c>
      <c r="AO184" s="267">
        <v>183</v>
      </c>
      <c r="AP184" s="247">
        <v>407</v>
      </c>
      <c r="AW184" s="1"/>
      <c r="AX184" s="241" t="s">
        <v>283</v>
      </c>
      <c r="AY184" s="242">
        <v>13</v>
      </c>
      <c r="AZ184" s="267">
        <v>7</v>
      </c>
      <c r="BA184" s="267">
        <v>13</v>
      </c>
      <c r="BB184" s="247">
        <v>33</v>
      </c>
      <c r="BI184" s="1"/>
      <c r="BJ184" s="241" t="s">
        <v>280</v>
      </c>
      <c r="BK184" s="242">
        <v>0</v>
      </c>
      <c r="BL184" s="267">
        <v>0</v>
      </c>
      <c r="BM184" s="267">
        <v>0</v>
      </c>
      <c r="BN184" s="247">
        <v>0</v>
      </c>
    </row>
    <row r="185" spans="1:66" x14ac:dyDescent="0.2">
      <c r="A185" s="1"/>
      <c r="B185" s="241" t="s">
        <v>293</v>
      </c>
      <c r="C185" s="242">
        <v>0</v>
      </c>
      <c r="D185" s="267">
        <v>0</v>
      </c>
      <c r="E185" s="267">
        <v>0</v>
      </c>
      <c r="F185" s="247">
        <v>0</v>
      </c>
      <c r="H185" s="14"/>
      <c r="I185" s="14"/>
      <c r="J185" s="14"/>
      <c r="M185" s="1"/>
      <c r="N185" s="241" t="s">
        <v>277</v>
      </c>
      <c r="O185" s="242">
        <v>0</v>
      </c>
      <c r="P185" s="267">
        <v>0</v>
      </c>
      <c r="Q185" s="267">
        <v>0</v>
      </c>
      <c r="R185" s="247">
        <v>0</v>
      </c>
      <c r="Y185" s="1"/>
      <c r="Z185" s="241" t="s">
        <v>290</v>
      </c>
      <c r="AA185" s="242">
        <v>0</v>
      </c>
      <c r="AB185" s="267">
        <v>0</v>
      </c>
      <c r="AC185" s="267">
        <v>0</v>
      </c>
      <c r="AD185" s="247">
        <v>0</v>
      </c>
      <c r="AK185" s="1"/>
      <c r="AL185" s="241" t="s">
        <v>287</v>
      </c>
      <c r="AM185" s="242">
        <v>0</v>
      </c>
      <c r="AN185" s="267">
        <v>0</v>
      </c>
      <c r="AO185" s="267">
        <v>0</v>
      </c>
      <c r="AP185" s="247">
        <v>0</v>
      </c>
      <c r="AW185" s="1"/>
      <c r="AX185" s="241" t="s">
        <v>284</v>
      </c>
      <c r="AY185" s="242">
        <v>0</v>
      </c>
      <c r="AZ185" s="267">
        <v>0</v>
      </c>
      <c r="BA185" s="267">
        <v>1</v>
      </c>
      <c r="BB185" s="247">
        <v>1</v>
      </c>
      <c r="BI185" s="1"/>
      <c r="BJ185" s="241" t="s">
        <v>281</v>
      </c>
      <c r="BK185" s="242">
        <v>0</v>
      </c>
      <c r="BL185" s="267">
        <v>0</v>
      </c>
      <c r="BM185" s="267">
        <v>0</v>
      </c>
      <c r="BN185" s="247">
        <v>0</v>
      </c>
    </row>
    <row r="186" spans="1:66" x14ac:dyDescent="0.2">
      <c r="A186" s="239">
        <v>41856</v>
      </c>
      <c r="B186" s="229" t="s">
        <v>291</v>
      </c>
      <c r="C186" s="240">
        <v>0</v>
      </c>
      <c r="D186" s="266">
        <v>0</v>
      </c>
      <c r="E186" s="266">
        <v>0</v>
      </c>
      <c r="F186" s="258">
        <v>0</v>
      </c>
      <c r="H186" s="14"/>
      <c r="I186" s="14"/>
      <c r="J186" s="14"/>
      <c r="M186" s="239">
        <v>41856</v>
      </c>
      <c r="N186" s="229" t="s">
        <v>275</v>
      </c>
      <c r="O186" s="240">
        <v>0</v>
      </c>
      <c r="P186" s="266">
        <v>0</v>
      </c>
      <c r="Q186" s="266">
        <v>0</v>
      </c>
      <c r="R186" s="258">
        <v>0</v>
      </c>
      <c r="Y186" s="239">
        <v>41856</v>
      </c>
      <c r="Z186" s="229" t="s">
        <v>288</v>
      </c>
      <c r="AA186" s="240">
        <v>3</v>
      </c>
      <c r="AB186" s="266">
        <v>2</v>
      </c>
      <c r="AC186" s="266">
        <v>3</v>
      </c>
      <c r="AD186" s="258">
        <v>8</v>
      </c>
      <c r="AK186" s="239">
        <v>41856</v>
      </c>
      <c r="AL186" s="229" t="s">
        <v>285</v>
      </c>
      <c r="AM186" s="240">
        <v>4</v>
      </c>
      <c r="AN186" s="266">
        <v>1</v>
      </c>
      <c r="AO186" s="266">
        <v>5</v>
      </c>
      <c r="AP186" s="258">
        <v>10</v>
      </c>
      <c r="AW186" s="239">
        <v>41856</v>
      </c>
      <c r="AX186" s="229" t="s">
        <v>282</v>
      </c>
      <c r="AY186" s="240">
        <v>2</v>
      </c>
      <c r="AZ186" s="266">
        <v>4</v>
      </c>
      <c r="BA186" s="266">
        <v>6</v>
      </c>
      <c r="BB186" s="258">
        <v>12</v>
      </c>
      <c r="BI186" s="239">
        <v>41841</v>
      </c>
      <c r="BJ186" s="229" t="s">
        <v>278</v>
      </c>
      <c r="BK186" s="240">
        <v>0</v>
      </c>
      <c r="BL186" s="266">
        <v>0</v>
      </c>
      <c r="BM186" s="266">
        <v>0</v>
      </c>
      <c r="BN186" s="258">
        <v>0</v>
      </c>
    </row>
    <row r="187" spans="1:66" x14ac:dyDescent="0.2">
      <c r="A187" s="1"/>
      <c r="B187" s="241" t="s">
        <v>292</v>
      </c>
      <c r="C187" s="242">
        <v>0</v>
      </c>
      <c r="D187" s="267">
        <v>0</v>
      </c>
      <c r="E187" s="267">
        <v>3</v>
      </c>
      <c r="F187" s="247">
        <v>3</v>
      </c>
      <c r="H187" s="14"/>
      <c r="I187" s="14"/>
      <c r="J187" s="14"/>
      <c r="M187" s="1"/>
      <c r="N187" s="241" t="s">
        <v>276</v>
      </c>
      <c r="O187" s="242">
        <v>0</v>
      </c>
      <c r="P187" s="267">
        <v>0</v>
      </c>
      <c r="Q187" s="267">
        <v>0</v>
      </c>
      <c r="R187" s="247">
        <v>0</v>
      </c>
      <c r="Y187" s="1"/>
      <c r="Z187" s="241" t="s">
        <v>289</v>
      </c>
      <c r="AA187" s="242">
        <v>0</v>
      </c>
      <c r="AB187" s="267">
        <v>0</v>
      </c>
      <c r="AC187" s="267">
        <v>0</v>
      </c>
      <c r="AD187" s="247">
        <v>0</v>
      </c>
      <c r="AK187" s="1"/>
      <c r="AL187" s="241" t="s">
        <v>286</v>
      </c>
      <c r="AM187" s="242">
        <v>158</v>
      </c>
      <c r="AN187" s="267">
        <v>0</v>
      </c>
      <c r="AO187" s="267">
        <v>171</v>
      </c>
      <c r="AP187" s="247">
        <v>329</v>
      </c>
      <c r="AW187" s="1"/>
      <c r="AX187" s="241" t="s">
        <v>283</v>
      </c>
      <c r="AY187" s="242">
        <v>7</v>
      </c>
      <c r="AZ187" s="267">
        <v>3</v>
      </c>
      <c r="BA187" s="267">
        <v>6</v>
      </c>
      <c r="BB187" s="247">
        <v>16</v>
      </c>
      <c r="BI187" s="1"/>
      <c r="BJ187" s="241" t="s">
        <v>279</v>
      </c>
      <c r="BK187" s="242">
        <v>0</v>
      </c>
      <c r="BL187" s="267">
        <v>0</v>
      </c>
      <c r="BM187" s="267">
        <v>0</v>
      </c>
      <c r="BN187" s="247">
        <v>0</v>
      </c>
    </row>
    <row r="188" spans="1:66" x14ac:dyDescent="0.2">
      <c r="A188" s="1"/>
      <c r="B188" s="241" t="s">
        <v>293</v>
      </c>
      <c r="C188" s="242">
        <v>0</v>
      </c>
      <c r="D188" s="267">
        <v>0</v>
      </c>
      <c r="E188" s="267">
        <v>0</v>
      </c>
      <c r="F188" s="247">
        <v>0</v>
      </c>
      <c r="H188" s="14"/>
      <c r="I188" s="14"/>
      <c r="J188" s="14"/>
      <c r="M188" s="1"/>
      <c r="N188" s="241" t="s">
        <v>277</v>
      </c>
      <c r="O188" s="242">
        <v>0</v>
      </c>
      <c r="P188" s="267">
        <v>0</v>
      </c>
      <c r="Q188" s="267">
        <v>0</v>
      </c>
      <c r="R188" s="247">
        <v>0</v>
      </c>
      <c r="Y188" s="1"/>
      <c r="Z188" s="241" t="s">
        <v>290</v>
      </c>
      <c r="AA188" s="242">
        <v>0</v>
      </c>
      <c r="AB188" s="267">
        <v>0</v>
      </c>
      <c r="AC188" s="267">
        <v>0</v>
      </c>
      <c r="AD188" s="247">
        <v>0</v>
      </c>
      <c r="AK188" s="1"/>
      <c r="AL188" s="241" t="s">
        <v>287</v>
      </c>
      <c r="AM188" s="242">
        <v>0</v>
      </c>
      <c r="AN188" s="267">
        <v>0</v>
      </c>
      <c r="AO188" s="267">
        <v>1</v>
      </c>
      <c r="AP188" s="247">
        <v>1</v>
      </c>
      <c r="AW188" s="1"/>
      <c r="AX188" s="241" t="s">
        <v>284</v>
      </c>
      <c r="AY188" s="242">
        <v>0</v>
      </c>
      <c r="AZ188" s="267">
        <v>0</v>
      </c>
      <c r="BA188" s="267">
        <v>1</v>
      </c>
      <c r="BB188" s="247">
        <v>1</v>
      </c>
      <c r="BI188" s="1"/>
      <c r="BJ188" s="241" t="s">
        <v>280</v>
      </c>
      <c r="BK188" s="242">
        <v>0</v>
      </c>
      <c r="BL188" s="267">
        <v>0</v>
      </c>
      <c r="BM188" s="267">
        <v>0</v>
      </c>
      <c r="BN188" s="247">
        <v>0</v>
      </c>
    </row>
    <row r="189" spans="1:66" x14ac:dyDescent="0.2">
      <c r="A189" s="239">
        <v>41857</v>
      </c>
      <c r="B189" s="229" t="s">
        <v>291</v>
      </c>
      <c r="C189" s="240">
        <v>0</v>
      </c>
      <c r="D189" s="266">
        <v>0</v>
      </c>
      <c r="E189" s="266">
        <v>0</v>
      </c>
      <c r="F189" s="258">
        <v>0</v>
      </c>
      <c r="H189" s="14"/>
      <c r="I189" s="14"/>
      <c r="J189" s="14"/>
      <c r="M189" s="239">
        <v>41857</v>
      </c>
      <c r="N189" s="229" t="s">
        <v>275</v>
      </c>
      <c r="O189" s="240">
        <v>0</v>
      </c>
      <c r="P189" s="266">
        <v>0</v>
      </c>
      <c r="Q189" s="266">
        <v>0</v>
      </c>
      <c r="R189" s="258">
        <v>0</v>
      </c>
      <c r="Y189" s="239">
        <v>41857</v>
      </c>
      <c r="Z189" s="229" t="s">
        <v>288</v>
      </c>
      <c r="AA189" s="240">
        <v>1</v>
      </c>
      <c r="AB189" s="266">
        <v>4</v>
      </c>
      <c r="AC189" s="266">
        <v>0</v>
      </c>
      <c r="AD189" s="258">
        <v>5</v>
      </c>
      <c r="AK189" s="239">
        <v>41857</v>
      </c>
      <c r="AL189" s="229" t="s">
        <v>285</v>
      </c>
      <c r="AM189" s="240">
        <v>3</v>
      </c>
      <c r="AN189" s="266">
        <v>1</v>
      </c>
      <c r="AO189" s="266">
        <v>4</v>
      </c>
      <c r="AP189" s="258">
        <v>8</v>
      </c>
      <c r="AW189" s="239">
        <v>41857</v>
      </c>
      <c r="AX189" s="229" t="s">
        <v>282</v>
      </c>
      <c r="AY189" s="240">
        <v>4</v>
      </c>
      <c r="AZ189" s="266">
        <v>2</v>
      </c>
      <c r="BA189" s="266">
        <v>6</v>
      </c>
      <c r="BB189" s="258">
        <v>12</v>
      </c>
      <c r="BI189" s="1"/>
      <c r="BJ189" s="241" t="s">
        <v>281</v>
      </c>
      <c r="BK189" s="242">
        <v>0</v>
      </c>
      <c r="BL189" s="267">
        <v>0</v>
      </c>
      <c r="BM189" s="267">
        <v>0</v>
      </c>
      <c r="BN189" s="247">
        <v>0</v>
      </c>
    </row>
    <row r="190" spans="1:66" x14ac:dyDescent="0.2">
      <c r="A190" s="1"/>
      <c r="B190" s="241" t="s">
        <v>292</v>
      </c>
      <c r="C190" s="242">
        <v>0</v>
      </c>
      <c r="D190" s="267">
        <v>0</v>
      </c>
      <c r="E190" s="267">
        <v>1</v>
      </c>
      <c r="F190" s="247">
        <v>1</v>
      </c>
      <c r="H190" s="14"/>
      <c r="I190" s="14"/>
      <c r="J190" s="14"/>
      <c r="M190" s="1"/>
      <c r="N190" s="241" t="s">
        <v>276</v>
      </c>
      <c r="O190" s="242">
        <v>0</v>
      </c>
      <c r="P190" s="267">
        <v>0</v>
      </c>
      <c r="Q190" s="267">
        <v>1</v>
      </c>
      <c r="R190" s="247">
        <v>1</v>
      </c>
      <c r="Y190" s="1"/>
      <c r="Z190" s="241" t="s">
        <v>289</v>
      </c>
      <c r="AA190" s="242">
        <v>0</v>
      </c>
      <c r="AB190" s="267">
        <v>0</v>
      </c>
      <c r="AC190" s="267">
        <v>0</v>
      </c>
      <c r="AD190" s="247">
        <v>0</v>
      </c>
      <c r="AK190" s="1"/>
      <c r="AL190" s="241" t="s">
        <v>286</v>
      </c>
      <c r="AM190" s="242">
        <v>83</v>
      </c>
      <c r="AN190" s="267">
        <v>1</v>
      </c>
      <c r="AO190" s="267">
        <v>165</v>
      </c>
      <c r="AP190" s="247">
        <v>249</v>
      </c>
      <c r="AW190" s="1"/>
      <c r="AX190" s="241" t="s">
        <v>283</v>
      </c>
      <c r="AY190" s="242">
        <v>2</v>
      </c>
      <c r="AZ190" s="267">
        <v>1</v>
      </c>
      <c r="BA190" s="267">
        <v>3</v>
      </c>
      <c r="BB190" s="247">
        <v>6</v>
      </c>
      <c r="BI190" s="239">
        <v>41842</v>
      </c>
      <c r="BJ190" s="229" t="s">
        <v>278</v>
      </c>
      <c r="BK190" s="240">
        <v>1</v>
      </c>
      <c r="BL190" s="266">
        <v>0</v>
      </c>
      <c r="BM190" s="266">
        <v>0</v>
      </c>
      <c r="BN190" s="258">
        <v>1</v>
      </c>
    </row>
    <row r="191" spans="1:66" x14ac:dyDescent="0.2">
      <c r="A191" s="1"/>
      <c r="B191" s="241" t="s">
        <v>293</v>
      </c>
      <c r="C191" s="242">
        <v>0</v>
      </c>
      <c r="D191" s="267">
        <v>0</v>
      </c>
      <c r="E191" s="267">
        <v>0</v>
      </c>
      <c r="F191" s="247">
        <v>0</v>
      </c>
      <c r="H191" s="14"/>
      <c r="I191" s="14"/>
      <c r="J191" s="14"/>
      <c r="M191" s="1"/>
      <c r="N191" s="241" t="s">
        <v>277</v>
      </c>
      <c r="O191" s="242">
        <v>0</v>
      </c>
      <c r="P191" s="267">
        <v>0</v>
      </c>
      <c r="Q191" s="267">
        <v>0</v>
      </c>
      <c r="R191" s="247">
        <v>0</v>
      </c>
      <c r="Y191" s="1"/>
      <c r="Z191" s="241" t="s">
        <v>290</v>
      </c>
      <c r="AA191" s="242">
        <v>0</v>
      </c>
      <c r="AB191" s="267">
        <v>0</v>
      </c>
      <c r="AC191" s="267">
        <v>0</v>
      </c>
      <c r="AD191" s="247">
        <v>0</v>
      </c>
      <c r="AK191" s="1"/>
      <c r="AL191" s="241" t="s">
        <v>287</v>
      </c>
      <c r="AM191" s="242">
        <v>0</v>
      </c>
      <c r="AN191" s="267">
        <v>0</v>
      </c>
      <c r="AO191" s="267">
        <v>1</v>
      </c>
      <c r="AP191" s="247">
        <v>1</v>
      </c>
      <c r="AW191" s="1"/>
      <c r="AX191" s="241" t="s">
        <v>284</v>
      </c>
      <c r="AY191" s="242">
        <v>0</v>
      </c>
      <c r="AZ191" s="267">
        <v>0</v>
      </c>
      <c r="BA191" s="267">
        <v>0</v>
      </c>
      <c r="BB191" s="247">
        <v>0</v>
      </c>
      <c r="BI191" s="1"/>
      <c r="BJ191" s="241" t="s">
        <v>279</v>
      </c>
      <c r="BK191" s="242">
        <v>0</v>
      </c>
      <c r="BL191" s="267">
        <v>0</v>
      </c>
      <c r="BM191" s="267">
        <v>0</v>
      </c>
      <c r="BN191" s="247">
        <v>0</v>
      </c>
    </row>
    <row r="192" spans="1:66" x14ac:dyDescent="0.2">
      <c r="A192" s="239">
        <v>41858</v>
      </c>
      <c r="B192" s="229" t="s">
        <v>291</v>
      </c>
      <c r="C192" s="240">
        <v>0</v>
      </c>
      <c r="D192" s="266">
        <v>0</v>
      </c>
      <c r="E192" s="266">
        <v>0</v>
      </c>
      <c r="F192" s="258">
        <v>0</v>
      </c>
      <c r="H192" s="14"/>
      <c r="I192" s="14"/>
      <c r="J192" s="14"/>
      <c r="M192" s="239">
        <v>41858</v>
      </c>
      <c r="N192" s="229" t="s">
        <v>275</v>
      </c>
      <c r="O192" s="240">
        <v>0</v>
      </c>
      <c r="P192" s="266">
        <v>0</v>
      </c>
      <c r="Q192" s="266">
        <v>0</v>
      </c>
      <c r="R192" s="258">
        <v>0</v>
      </c>
      <c r="Y192" s="239">
        <v>41858</v>
      </c>
      <c r="Z192" s="229" t="s">
        <v>288</v>
      </c>
      <c r="AA192" s="240">
        <v>3</v>
      </c>
      <c r="AB192" s="266">
        <v>8</v>
      </c>
      <c r="AC192" s="266">
        <v>1</v>
      </c>
      <c r="AD192" s="258">
        <v>12</v>
      </c>
      <c r="AK192" s="239">
        <v>41858</v>
      </c>
      <c r="AL192" s="229" t="s">
        <v>285</v>
      </c>
      <c r="AM192" s="240">
        <v>3</v>
      </c>
      <c r="AN192" s="266">
        <v>1</v>
      </c>
      <c r="AO192" s="266">
        <v>4</v>
      </c>
      <c r="AP192" s="258">
        <v>8</v>
      </c>
      <c r="AW192" s="239">
        <v>41858</v>
      </c>
      <c r="AX192" s="229" t="s">
        <v>282</v>
      </c>
      <c r="AY192" s="240">
        <v>2</v>
      </c>
      <c r="AZ192" s="266">
        <v>4</v>
      </c>
      <c r="BA192" s="266">
        <v>6</v>
      </c>
      <c r="BB192" s="258">
        <v>12</v>
      </c>
      <c r="BI192" s="1"/>
      <c r="BJ192" s="241" t="s">
        <v>280</v>
      </c>
      <c r="BK192" s="242">
        <v>0</v>
      </c>
      <c r="BL192" s="267">
        <v>0</v>
      </c>
      <c r="BM192" s="267">
        <v>0</v>
      </c>
      <c r="BN192" s="247">
        <v>0</v>
      </c>
    </row>
    <row r="193" spans="1:66" x14ac:dyDescent="0.2">
      <c r="A193" s="1"/>
      <c r="B193" s="241" t="s">
        <v>292</v>
      </c>
      <c r="C193" s="242">
        <v>2</v>
      </c>
      <c r="D193" s="267">
        <v>0</v>
      </c>
      <c r="E193" s="267">
        <v>1</v>
      </c>
      <c r="F193" s="247">
        <v>3</v>
      </c>
      <c r="H193" s="14"/>
      <c r="I193" s="14"/>
      <c r="J193" s="14"/>
      <c r="M193" s="1"/>
      <c r="N193" s="241" t="s">
        <v>276</v>
      </c>
      <c r="O193" s="242">
        <v>0</v>
      </c>
      <c r="P193" s="267">
        <v>0</v>
      </c>
      <c r="Q193" s="267">
        <v>0</v>
      </c>
      <c r="R193" s="247">
        <v>0</v>
      </c>
      <c r="Y193" s="1"/>
      <c r="Z193" s="241" t="s">
        <v>289</v>
      </c>
      <c r="AA193" s="242">
        <v>0</v>
      </c>
      <c r="AB193" s="267">
        <v>0</v>
      </c>
      <c r="AC193" s="267">
        <v>0</v>
      </c>
      <c r="AD193" s="247">
        <v>0</v>
      </c>
      <c r="AK193" s="1"/>
      <c r="AL193" s="241" t="s">
        <v>286</v>
      </c>
      <c r="AM193" s="242">
        <v>159</v>
      </c>
      <c r="AN193" s="267">
        <v>2</v>
      </c>
      <c r="AO193" s="267">
        <v>175</v>
      </c>
      <c r="AP193" s="247">
        <v>336</v>
      </c>
      <c r="AW193" s="1"/>
      <c r="AX193" s="241" t="s">
        <v>283</v>
      </c>
      <c r="AY193" s="242">
        <v>16</v>
      </c>
      <c r="AZ193" s="267">
        <v>15</v>
      </c>
      <c r="BA193" s="267">
        <v>14</v>
      </c>
      <c r="BB193" s="247">
        <v>45</v>
      </c>
      <c r="BI193" s="1"/>
      <c r="BJ193" s="241" t="s">
        <v>281</v>
      </c>
      <c r="BK193" s="242">
        <v>0</v>
      </c>
      <c r="BL193" s="267">
        <v>0</v>
      </c>
      <c r="BM193" s="267">
        <v>0</v>
      </c>
      <c r="BN193" s="247">
        <v>0</v>
      </c>
    </row>
    <row r="194" spans="1:66" x14ac:dyDescent="0.2">
      <c r="A194" s="1"/>
      <c r="B194" s="241" t="s">
        <v>293</v>
      </c>
      <c r="C194" s="242">
        <v>0</v>
      </c>
      <c r="D194" s="267">
        <v>0</v>
      </c>
      <c r="E194" s="267">
        <v>0</v>
      </c>
      <c r="F194" s="247">
        <v>0</v>
      </c>
      <c r="H194" s="14"/>
      <c r="I194" s="14"/>
      <c r="J194" s="14"/>
      <c r="M194" s="1"/>
      <c r="N194" s="241" t="s">
        <v>277</v>
      </c>
      <c r="O194" s="242">
        <v>0</v>
      </c>
      <c r="P194" s="267">
        <v>0</v>
      </c>
      <c r="Q194" s="267">
        <v>0</v>
      </c>
      <c r="R194" s="247">
        <v>0</v>
      </c>
      <c r="Y194" s="1"/>
      <c r="Z194" s="241" t="s">
        <v>290</v>
      </c>
      <c r="AA194" s="242">
        <v>0</v>
      </c>
      <c r="AB194" s="267">
        <v>0</v>
      </c>
      <c r="AC194" s="267">
        <v>0</v>
      </c>
      <c r="AD194" s="247">
        <v>0</v>
      </c>
      <c r="AK194" s="1"/>
      <c r="AL194" s="241" t="s">
        <v>287</v>
      </c>
      <c r="AM194" s="242">
        <v>1</v>
      </c>
      <c r="AN194" s="267">
        <v>0</v>
      </c>
      <c r="AO194" s="267">
        <v>1</v>
      </c>
      <c r="AP194" s="247">
        <v>2</v>
      </c>
      <c r="AW194" s="1"/>
      <c r="AX194" s="241" t="s">
        <v>284</v>
      </c>
      <c r="AY194" s="242">
        <v>0</v>
      </c>
      <c r="AZ194" s="267">
        <v>0</v>
      </c>
      <c r="BA194" s="267">
        <v>0</v>
      </c>
      <c r="BB194" s="247">
        <v>0</v>
      </c>
      <c r="BI194" s="239">
        <v>41843</v>
      </c>
      <c r="BJ194" s="229" t="s">
        <v>278</v>
      </c>
      <c r="BK194" s="240">
        <v>0</v>
      </c>
      <c r="BL194" s="266">
        <v>0</v>
      </c>
      <c r="BM194" s="266">
        <v>0</v>
      </c>
      <c r="BN194" s="258">
        <v>0</v>
      </c>
    </row>
    <row r="195" spans="1:66" x14ac:dyDescent="0.2">
      <c r="A195" s="239">
        <v>41859</v>
      </c>
      <c r="B195" s="229" t="s">
        <v>291</v>
      </c>
      <c r="C195" s="240">
        <v>0</v>
      </c>
      <c r="D195" s="266">
        <v>0</v>
      </c>
      <c r="E195" s="266">
        <v>0</v>
      </c>
      <c r="F195" s="258">
        <v>0</v>
      </c>
      <c r="H195" s="14"/>
      <c r="I195" s="14"/>
      <c r="J195" s="14"/>
      <c r="M195" s="239">
        <v>41859</v>
      </c>
      <c r="N195" s="229" t="s">
        <v>275</v>
      </c>
      <c r="O195" s="240">
        <v>0</v>
      </c>
      <c r="P195" s="266">
        <v>0</v>
      </c>
      <c r="Q195" s="266">
        <v>0</v>
      </c>
      <c r="R195" s="258">
        <v>0</v>
      </c>
      <c r="Y195" s="239">
        <v>41859</v>
      </c>
      <c r="Z195" s="229" t="s">
        <v>288</v>
      </c>
      <c r="AA195" s="240">
        <v>4</v>
      </c>
      <c r="AB195" s="266">
        <v>0</v>
      </c>
      <c r="AC195" s="266">
        <v>1</v>
      </c>
      <c r="AD195" s="258">
        <v>5</v>
      </c>
      <c r="AK195" s="239">
        <v>41859</v>
      </c>
      <c r="AL195" s="229" t="s">
        <v>285</v>
      </c>
      <c r="AM195" s="240">
        <v>4</v>
      </c>
      <c r="AN195" s="266">
        <v>1</v>
      </c>
      <c r="AO195" s="266">
        <v>4</v>
      </c>
      <c r="AP195" s="258">
        <v>9</v>
      </c>
      <c r="AW195" s="239">
        <v>41859</v>
      </c>
      <c r="AX195" s="229" t="s">
        <v>282</v>
      </c>
      <c r="AY195" s="240">
        <v>1</v>
      </c>
      <c r="AZ195" s="266">
        <v>5</v>
      </c>
      <c r="BA195" s="266">
        <v>6</v>
      </c>
      <c r="BB195" s="258">
        <v>12</v>
      </c>
      <c r="BI195" s="1"/>
      <c r="BJ195" s="241" t="s">
        <v>279</v>
      </c>
      <c r="BK195" s="242">
        <v>0</v>
      </c>
      <c r="BL195" s="267">
        <v>0</v>
      </c>
      <c r="BM195" s="267">
        <v>0</v>
      </c>
      <c r="BN195" s="247">
        <v>0</v>
      </c>
    </row>
    <row r="196" spans="1:66" x14ac:dyDescent="0.2">
      <c r="A196" s="1"/>
      <c r="B196" s="241" t="s">
        <v>292</v>
      </c>
      <c r="C196" s="242">
        <v>0</v>
      </c>
      <c r="D196" s="267">
        <v>0</v>
      </c>
      <c r="E196" s="267">
        <v>1</v>
      </c>
      <c r="F196" s="247">
        <v>1</v>
      </c>
      <c r="H196" s="14"/>
      <c r="I196" s="14"/>
      <c r="J196" s="14"/>
      <c r="M196" s="1"/>
      <c r="N196" s="241" t="s">
        <v>276</v>
      </c>
      <c r="O196" s="242">
        <v>1</v>
      </c>
      <c r="P196" s="267">
        <v>0</v>
      </c>
      <c r="Q196" s="267">
        <v>0</v>
      </c>
      <c r="R196" s="247">
        <v>1</v>
      </c>
      <c r="Y196" s="1"/>
      <c r="Z196" s="241" t="s">
        <v>289</v>
      </c>
      <c r="AA196" s="242">
        <v>0</v>
      </c>
      <c r="AB196" s="267">
        <v>0</v>
      </c>
      <c r="AC196" s="267">
        <v>0</v>
      </c>
      <c r="AD196" s="247">
        <v>0</v>
      </c>
      <c r="AK196" s="1"/>
      <c r="AL196" s="241" t="s">
        <v>286</v>
      </c>
      <c r="AM196" s="242">
        <v>74</v>
      </c>
      <c r="AN196" s="267">
        <v>1</v>
      </c>
      <c r="AO196" s="267">
        <v>153</v>
      </c>
      <c r="AP196" s="247">
        <v>228</v>
      </c>
      <c r="AW196" s="1"/>
      <c r="AX196" s="241" t="s">
        <v>283</v>
      </c>
      <c r="AY196" s="242">
        <v>8</v>
      </c>
      <c r="AZ196" s="267">
        <v>8</v>
      </c>
      <c r="BA196" s="267">
        <v>12</v>
      </c>
      <c r="BB196" s="247">
        <v>28</v>
      </c>
      <c r="BI196" s="1"/>
      <c r="BJ196" s="241" t="s">
        <v>280</v>
      </c>
      <c r="BK196" s="242">
        <v>0</v>
      </c>
      <c r="BL196" s="267">
        <v>0</v>
      </c>
      <c r="BM196" s="267">
        <v>0</v>
      </c>
      <c r="BN196" s="247">
        <v>0</v>
      </c>
    </row>
    <row r="197" spans="1:66" x14ac:dyDescent="0.2">
      <c r="A197" s="1"/>
      <c r="B197" s="241" t="s">
        <v>293</v>
      </c>
      <c r="C197" s="242">
        <v>0</v>
      </c>
      <c r="D197" s="267">
        <v>0</v>
      </c>
      <c r="E197" s="267">
        <v>0</v>
      </c>
      <c r="F197" s="247">
        <v>0</v>
      </c>
      <c r="H197" s="14"/>
      <c r="I197" s="14"/>
      <c r="J197" s="14"/>
      <c r="M197" s="1"/>
      <c r="N197" s="241" t="s">
        <v>277</v>
      </c>
      <c r="O197" s="242">
        <v>0</v>
      </c>
      <c r="P197" s="267">
        <v>0</v>
      </c>
      <c r="Q197" s="267">
        <v>0</v>
      </c>
      <c r="R197" s="247">
        <v>0</v>
      </c>
      <c r="Y197" s="1"/>
      <c r="Z197" s="241" t="s">
        <v>290</v>
      </c>
      <c r="AA197" s="242">
        <v>0</v>
      </c>
      <c r="AB197" s="267">
        <v>0</v>
      </c>
      <c r="AC197" s="267">
        <v>0</v>
      </c>
      <c r="AD197" s="247">
        <v>0</v>
      </c>
      <c r="AK197" s="1"/>
      <c r="AL197" s="241" t="s">
        <v>287</v>
      </c>
      <c r="AM197" s="242">
        <v>0</v>
      </c>
      <c r="AN197" s="267">
        <v>0</v>
      </c>
      <c r="AO197" s="267">
        <v>0</v>
      </c>
      <c r="AP197" s="247">
        <v>0</v>
      </c>
      <c r="AW197" s="1"/>
      <c r="AX197" s="241" t="s">
        <v>284</v>
      </c>
      <c r="AY197" s="242">
        <v>0</v>
      </c>
      <c r="AZ197" s="267">
        <v>1</v>
      </c>
      <c r="BA197" s="267">
        <v>0</v>
      </c>
      <c r="BB197" s="247">
        <v>1</v>
      </c>
      <c r="BI197" s="1"/>
      <c r="BJ197" s="241" t="s">
        <v>281</v>
      </c>
      <c r="BK197" s="242">
        <v>0</v>
      </c>
      <c r="BL197" s="267">
        <v>0</v>
      </c>
      <c r="BM197" s="267">
        <v>0</v>
      </c>
      <c r="BN197" s="247">
        <v>0</v>
      </c>
    </row>
    <row r="198" spans="1:66" x14ac:dyDescent="0.2">
      <c r="A198" s="239">
        <v>41860</v>
      </c>
      <c r="B198" s="229" t="s">
        <v>291</v>
      </c>
      <c r="C198" s="240">
        <v>0</v>
      </c>
      <c r="D198" s="266">
        <v>0</v>
      </c>
      <c r="E198" s="266">
        <v>0</v>
      </c>
      <c r="F198" s="258">
        <v>0</v>
      </c>
      <c r="H198" s="14"/>
      <c r="I198" s="14"/>
      <c r="J198" s="14"/>
      <c r="M198" s="239">
        <v>41860</v>
      </c>
      <c r="N198" s="229" t="s">
        <v>275</v>
      </c>
      <c r="O198" s="240">
        <v>0</v>
      </c>
      <c r="P198" s="266">
        <v>0</v>
      </c>
      <c r="Q198" s="266">
        <v>0</v>
      </c>
      <c r="R198" s="258">
        <v>0</v>
      </c>
      <c r="Y198" s="239">
        <v>41860</v>
      </c>
      <c r="Z198" s="229" t="s">
        <v>288</v>
      </c>
      <c r="AA198" s="240">
        <v>0</v>
      </c>
      <c r="AB198" s="266">
        <v>0</v>
      </c>
      <c r="AC198" s="266">
        <v>0</v>
      </c>
      <c r="AD198" s="258">
        <v>0</v>
      </c>
      <c r="AK198" s="239">
        <v>41860</v>
      </c>
      <c r="AL198" s="229" t="s">
        <v>285</v>
      </c>
      <c r="AM198" s="240">
        <v>4</v>
      </c>
      <c r="AN198" s="266">
        <v>0</v>
      </c>
      <c r="AO198" s="266">
        <v>4</v>
      </c>
      <c r="AP198" s="258">
        <v>8</v>
      </c>
      <c r="AW198" s="239">
        <v>41860</v>
      </c>
      <c r="AX198" s="229" t="s">
        <v>282</v>
      </c>
      <c r="AY198" s="240">
        <v>2</v>
      </c>
      <c r="AZ198" s="266">
        <v>1</v>
      </c>
      <c r="BA198" s="266">
        <v>2</v>
      </c>
      <c r="BB198" s="258">
        <v>5</v>
      </c>
      <c r="BI198" s="239">
        <v>41844</v>
      </c>
      <c r="BJ198" s="229" t="s">
        <v>278</v>
      </c>
      <c r="BK198" s="240">
        <v>0</v>
      </c>
      <c r="BL198" s="266">
        <v>0</v>
      </c>
      <c r="BM198" s="266">
        <v>0</v>
      </c>
      <c r="BN198" s="258">
        <v>0</v>
      </c>
    </row>
    <row r="199" spans="1:66" x14ac:dyDescent="0.2">
      <c r="A199" s="1"/>
      <c r="B199" s="241" t="s">
        <v>292</v>
      </c>
      <c r="C199" s="242">
        <v>0</v>
      </c>
      <c r="D199" s="267">
        <v>0</v>
      </c>
      <c r="E199" s="267">
        <v>1</v>
      </c>
      <c r="F199" s="247">
        <v>1</v>
      </c>
      <c r="H199" s="14"/>
      <c r="I199" s="14"/>
      <c r="J199" s="14"/>
      <c r="M199" s="1"/>
      <c r="N199" s="241" t="s">
        <v>276</v>
      </c>
      <c r="O199" s="242">
        <v>0</v>
      </c>
      <c r="P199" s="267">
        <v>0</v>
      </c>
      <c r="Q199" s="267">
        <v>0</v>
      </c>
      <c r="R199" s="247">
        <v>0</v>
      </c>
      <c r="Y199" s="1"/>
      <c r="Z199" s="241" t="s">
        <v>289</v>
      </c>
      <c r="AA199" s="242">
        <v>1</v>
      </c>
      <c r="AB199" s="267">
        <v>0</v>
      </c>
      <c r="AC199" s="267">
        <v>0</v>
      </c>
      <c r="AD199" s="247">
        <v>1</v>
      </c>
      <c r="AK199" s="1"/>
      <c r="AL199" s="241" t="s">
        <v>286</v>
      </c>
      <c r="AM199" s="242">
        <v>49</v>
      </c>
      <c r="AN199" s="267">
        <v>0</v>
      </c>
      <c r="AO199" s="267">
        <v>103</v>
      </c>
      <c r="AP199" s="247">
        <v>152</v>
      </c>
      <c r="AW199" s="1"/>
      <c r="AX199" s="241" t="s">
        <v>283</v>
      </c>
      <c r="AY199" s="242">
        <v>10</v>
      </c>
      <c r="AZ199" s="267">
        <v>7</v>
      </c>
      <c r="BA199" s="267">
        <v>24</v>
      </c>
      <c r="BB199" s="247">
        <v>41</v>
      </c>
      <c r="BI199" s="1"/>
      <c r="BJ199" s="241" t="s">
        <v>279</v>
      </c>
      <c r="BK199" s="242">
        <v>0</v>
      </c>
      <c r="BL199" s="267">
        <v>0</v>
      </c>
      <c r="BM199" s="267">
        <v>0</v>
      </c>
      <c r="BN199" s="247">
        <v>0</v>
      </c>
    </row>
    <row r="200" spans="1:66" x14ac:dyDescent="0.2">
      <c r="A200" s="1"/>
      <c r="B200" s="241" t="s">
        <v>293</v>
      </c>
      <c r="C200" s="242">
        <v>0</v>
      </c>
      <c r="D200" s="267">
        <v>0</v>
      </c>
      <c r="E200" s="267">
        <v>0</v>
      </c>
      <c r="F200" s="247">
        <v>0</v>
      </c>
      <c r="H200" s="14"/>
      <c r="I200" s="14"/>
      <c r="J200" s="14"/>
      <c r="M200" s="1"/>
      <c r="N200" s="241" t="s">
        <v>277</v>
      </c>
      <c r="O200" s="242">
        <v>0</v>
      </c>
      <c r="P200" s="267">
        <v>0</v>
      </c>
      <c r="Q200" s="267">
        <v>0</v>
      </c>
      <c r="R200" s="247">
        <v>0</v>
      </c>
      <c r="Y200" s="1"/>
      <c r="Z200" s="241" t="s">
        <v>290</v>
      </c>
      <c r="AA200" s="242">
        <v>0</v>
      </c>
      <c r="AB200" s="267">
        <v>0</v>
      </c>
      <c r="AC200" s="267">
        <v>0</v>
      </c>
      <c r="AD200" s="247">
        <v>0</v>
      </c>
      <c r="AK200" s="1"/>
      <c r="AL200" s="241" t="s">
        <v>287</v>
      </c>
      <c r="AM200" s="242">
        <v>0</v>
      </c>
      <c r="AN200" s="267">
        <v>0</v>
      </c>
      <c r="AO200" s="267">
        <v>0</v>
      </c>
      <c r="AP200" s="247">
        <v>0</v>
      </c>
      <c r="AW200" s="1"/>
      <c r="AX200" s="241" t="s">
        <v>284</v>
      </c>
      <c r="AY200" s="242">
        <v>0</v>
      </c>
      <c r="AZ200" s="267">
        <v>0</v>
      </c>
      <c r="BA200" s="267">
        <v>0</v>
      </c>
      <c r="BB200" s="247">
        <v>0</v>
      </c>
      <c r="BI200" s="1"/>
      <c r="BJ200" s="241" t="s">
        <v>280</v>
      </c>
      <c r="BK200" s="242">
        <v>0</v>
      </c>
      <c r="BL200" s="267">
        <v>0</v>
      </c>
      <c r="BM200" s="267">
        <v>0</v>
      </c>
      <c r="BN200" s="247">
        <v>0</v>
      </c>
    </row>
    <row r="201" spans="1:66" x14ac:dyDescent="0.2">
      <c r="A201" s="239">
        <v>41861</v>
      </c>
      <c r="B201" s="229" t="s">
        <v>291</v>
      </c>
      <c r="C201" s="240">
        <v>0</v>
      </c>
      <c r="D201" s="266">
        <v>0</v>
      </c>
      <c r="E201" s="266">
        <v>0</v>
      </c>
      <c r="F201" s="258">
        <v>0</v>
      </c>
      <c r="H201" s="14"/>
      <c r="I201" s="14"/>
      <c r="J201" s="14"/>
      <c r="M201" s="239">
        <v>41861</v>
      </c>
      <c r="N201" s="229" t="s">
        <v>275</v>
      </c>
      <c r="O201" s="240">
        <v>0</v>
      </c>
      <c r="P201" s="266">
        <v>0</v>
      </c>
      <c r="Q201" s="266">
        <v>0</v>
      </c>
      <c r="R201" s="258">
        <v>0</v>
      </c>
      <c r="Y201" s="239">
        <v>41861</v>
      </c>
      <c r="Z201" s="229" t="s">
        <v>288</v>
      </c>
      <c r="AA201" s="240">
        <v>0</v>
      </c>
      <c r="AB201" s="266">
        <v>3</v>
      </c>
      <c r="AC201" s="266">
        <v>3</v>
      </c>
      <c r="AD201" s="258">
        <v>6</v>
      </c>
      <c r="AK201" s="239">
        <v>41861</v>
      </c>
      <c r="AL201" s="229" t="s">
        <v>285</v>
      </c>
      <c r="AM201" s="240">
        <v>0</v>
      </c>
      <c r="AN201" s="266">
        <v>3</v>
      </c>
      <c r="AO201" s="266">
        <v>2</v>
      </c>
      <c r="AP201" s="258">
        <v>5</v>
      </c>
      <c r="AW201" s="239">
        <v>41861</v>
      </c>
      <c r="AX201" s="229" t="s">
        <v>282</v>
      </c>
      <c r="AY201" s="240">
        <v>2</v>
      </c>
      <c r="AZ201" s="266">
        <v>1</v>
      </c>
      <c r="BA201" s="266">
        <v>2</v>
      </c>
      <c r="BB201" s="258">
        <v>5</v>
      </c>
      <c r="BI201" s="1"/>
      <c r="BJ201" s="241" t="s">
        <v>281</v>
      </c>
      <c r="BK201" s="242">
        <v>0</v>
      </c>
      <c r="BL201" s="267">
        <v>0</v>
      </c>
      <c r="BM201" s="267">
        <v>0</v>
      </c>
      <c r="BN201" s="247">
        <v>0</v>
      </c>
    </row>
    <row r="202" spans="1:66" x14ac:dyDescent="0.2">
      <c r="A202" s="1"/>
      <c r="B202" s="241" t="s">
        <v>292</v>
      </c>
      <c r="C202" s="242">
        <v>1</v>
      </c>
      <c r="D202" s="267">
        <v>0</v>
      </c>
      <c r="E202" s="267">
        <v>0</v>
      </c>
      <c r="F202" s="247">
        <v>1</v>
      </c>
      <c r="H202" s="14"/>
      <c r="I202" s="14"/>
      <c r="J202" s="14"/>
      <c r="M202" s="1"/>
      <c r="N202" s="241" t="s">
        <v>276</v>
      </c>
      <c r="O202" s="242">
        <v>0</v>
      </c>
      <c r="P202" s="267">
        <v>0</v>
      </c>
      <c r="Q202" s="267">
        <v>0</v>
      </c>
      <c r="R202" s="247">
        <v>0</v>
      </c>
      <c r="Y202" s="1"/>
      <c r="Z202" s="241" t="s">
        <v>289</v>
      </c>
      <c r="AA202" s="242">
        <v>0</v>
      </c>
      <c r="AB202" s="267">
        <v>0</v>
      </c>
      <c r="AC202" s="267">
        <v>0</v>
      </c>
      <c r="AD202" s="247">
        <v>0</v>
      </c>
      <c r="AK202" s="1"/>
      <c r="AL202" s="241" t="s">
        <v>286</v>
      </c>
      <c r="AM202" s="242">
        <v>69</v>
      </c>
      <c r="AN202" s="267">
        <v>1</v>
      </c>
      <c r="AO202" s="267">
        <v>82</v>
      </c>
      <c r="AP202" s="247">
        <v>152</v>
      </c>
      <c r="AW202" s="1"/>
      <c r="AX202" s="241" t="s">
        <v>283</v>
      </c>
      <c r="AY202" s="242">
        <v>35</v>
      </c>
      <c r="AZ202" s="267">
        <v>4</v>
      </c>
      <c r="BA202" s="267">
        <v>43</v>
      </c>
      <c r="BB202" s="247">
        <v>82</v>
      </c>
      <c r="BI202" s="239">
        <v>41845</v>
      </c>
      <c r="BJ202" s="229" t="s">
        <v>278</v>
      </c>
      <c r="BK202" s="240">
        <v>0</v>
      </c>
      <c r="BL202" s="266">
        <v>0</v>
      </c>
      <c r="BM202" s="266">
        <v>0</v>
      </c>
      <c r="BN202" s="258">
        <v>0</v>
      </c>
    </row>
    <row r="203" spans="1:66" x14ac:dyDescent="0.2">
      <c r="A203" s="1"/>
      <c r="B203" s="241" t="s">
        <v>293</v>
      </c>
      <c r="C203" s="242">
        <v>0</v>
      </c>
      <c r="D203" s="267">
        <v>0</v>
      </c>
      <c r="E203" s="267">
        <v>0</v>
      </c>
      <c r="F203" s="247">
        <v>0</v>
      </c>
      <c r="H203" s="14"/>
      <c r="I203" s="14"/>
      <c r="J203" s="14"/>
      <c r="M203" s="1"/>
      <c r="N203" s="241" t="s">
        <v>277</v>
      </c>
      <c r="O203" s="242">
        <v>0</v>
      </c>
      <c r="P203" s="267">
        <v>0</v>
      </c>
      <c r="Q203" s="267">
        <v>0</v>
      </c>
      <c r="R203" s="247">
        <v>0</v>
      </c>
      <c r="Y203" s="1"/>
      <c r="Z203" s="241" t="s">
        <v>290</v>
      </c>
      <c r="AA203" s="242">
        <v>0</v>
      </c>
      <c r="AB203" s="267">
        <v>0</v>
      </c>
      <c r="AC203" s="267">
        <v>0</v>
      </c>
      <c r="AD203" s="247">
        <v>0</v>
      </c>
      <c r="AK203" s="1"/>
      <c r="AL203" s="241" t="s">
        <v>287</v>
      </c>
      <c r="AM203" s="242">
        <v>0</v>
      </c>
      <c r="AN203" s="267">
        <v>0</v>
      </c>
      <c r="AO203" s="267">
        <v>0</v>
      </c>
      <c r="AP203" s="247">
        <v>0</v>
      </c>
      <c r="AW203" s="1"/>
      <c r="AX203" s="241" t="s">
        <v>284</v>
      </c>
      <c r="AY203" s="242">
        <v>0</v>
      </c>
      <c r="AZ203" s="267">
        <v>1</v>
      </c>
      <c r="BA203" s="267">
        <v>0</v>
      </c>
      <c r="BB203" s="247">
        <v>1</v>
      </c>
      <c r="BI203" s="1"/>
      <c r="BJ203" s="241" t="s">
        <v>279</v>
      </c>
      <c r="BK203" s="242">
        <v>0</v>
      </c>
      <c r="BL203" s="267">
        <v>0</v>
      </c>
      <c r="BM203" s="267">
        <v>0</v>
      </c>
      <c r="BN203" s="247">
        <v>0</v>
      </c>
    </row>
    <row r="204" spans="1:66" x14ac:dyDescent="0.2">
      <c r="A204" s="239">
        <v>41862</v>
      </c>
      <c r="B204" s="229" t="s">
        <v>291</v>
      </c>
      <c r="C204" s="240">
        <v>0</v>
      </c>
      <c r="D204" s="266">
        <v>0</v>
      </c>
      <c r="E204" s="266">
        <v>0</v>
      </c>
      <c r="F204" s="258">
        <v>0</v>
      </c>
      <c r="H204" s="14"/>
      <c r="I204" s="14"/>
      <c r="J204" s="14"/>
      <c r="M204" s="239">
        <v>41862</v>
      </c>
      <c r="N204" s="229" t="s">
        <v>275</v>
      </c>
      <c r="O204" s="240">
        <v>0</v>
      </c>
      <c r="P204" s="266">
        <v>0</v>
      </c>
      <c r="Q204" s="266">
        <v>0</v>
      </c>
      <c r="R204" s="258">
        <v>0</v>
      </c>
      <c r="Y204" s="239">
        <v>41862</v>
      </c>
      <c r="Z204" s="229" t="s">
        <v>288</v>
      </c>
      <c r="AA204" s="240">
        <v>3</v>
      </c>
      <c r="AB204" s="266">
        <v>0</v>
      </c>
      <c r="AC204" s="266">
        <v>6</v>
      </c>
      <c r="AD204" s="258">
        <v>9</v>
      </c>
      <c r="AK204" s="239">
        <v>41862</v>
      </c>
      <c r="AL204" s="229" t="s">
        <v>285</v>
      </c>
      <c r="AM204" s="240">
        <v>1</v>
      </c>
      <c r="AN204" s="266">
        <v>2</v>
      </c>
      <c r="AO204" s="266">
        <v>2</v>
      </c>
      <c r="AP204" s="258">
        <v>5</v>
      </c>
      <c r="AW204" s="239">
        <v>41862</v>
      </c>
      <c r="AX204" s="229" t="s">
        <v>282</v>
      </c>
      <c r="AY204" s="240">
        <v>1</v>
      </c>
      <c r="AZ204" s="266">
        <v>2</v>
      </c>
      <c r="BA204" s="266">
        <v>2</v>
      </c>
      <c r="BB204" s="258">
        <v>5</v>
      </c>
      <c r="BI204" s="1"/>
      <c r="BJ204" s="241" t="s">
        <v>280</v>
      </c>
      <c r="BK204" s="242">
        <v>0</v>
      </c>
      <c r="BL204" s="267">
        <v>0</v>
      </c>
      <c r="BM204" s="267">
        <v>0</v>
      </c>
      <c r="BN204" s="247">
        <v>0</v>
      </c>
    </row>
    <row r="205" spans="1:66" x14ac:dyDescent="0.2">
      <c r="A205" s="1"/>
      <c r="B205" s="241" t="s">
        <v>292</v>
      </c>
      <c r="C205" s="242">
        <v>0</v>
      </c>
      <c r="D205" s="267">
        <v>0</v>
      </c>
      <c r="E205" s="267">
        <v>0</v>
      </c>
      <c r="F205" s="247">
        <v>0</v>
      </c>
      <c r="H205" s="14"/>
      <c r="I205" s="14"/>
      <c r="J205" s="14"/>
      <c r="M205" s="1"/>
      <c r="N205" s="241" t="s">
        <v>276</v>
      </c>
      <c r="O205" s="242">
        <v>0</v>
      </c>
      <c r="P205" s="267">
        <v>0</v>
      </c>
      <c r="Q205" s="267">
        <v>0</v>
      </c>
      <c r="R205" s="247">
        <v>0</v>
      </c>
      <c r="Y205" s="1"/>
      <c r="Z205" s="241" t="s">
        <v>289</v>
      </c>
      <c r="AA205" s="242">
        <v>0</v>
      </c>
      <c r="AB205" s="267">
        <v>0</v>
      </c>
      <c r="AC205" s="267">
        <v>0</v>
      </c>
      <c r="AD205" s="247">
        <v>0</v>
      </c>
      <c r="AK205" s="1"/>
      <c r="AL205" s="241" t="s">
        <v>286</v>
      </c>
      <c r="AM205" s="242">
        <v>24</v>
      </c>
      <c r="AN205" s="267">
        <v>0</v>
      </c>
      <c r="AO205" s="267">
        <v>61</v>
      </c>
      <c r="AP205" s="247">
        <v>85</v>
      </c>
      <c r="AW205" s="1"/>
      <c r="AX205" s="241" t="s">
        <v>283</v>
      </c>
      <c r="AY205" s="242">
        <v>39</v>
      </c>
      <c r="AZ205" s="267">
        <v>11</v>
      </c>
      <c r="BA205" s="267">
        <v>34</v>
      </c>
      <c r="BB205" s="247">
        <v>84</v>
      </c>
      <c r="BI205" s="1"/>
      <c r="BJ205" s="241" t="s">
        <v>281</v>
      </c>
      <c r="BK205" s="242">
        <v>0</v>
      </c>
      <c r="BL205" s="267">
        <v>0</v>
      </c>
      <c r="BM205" s="267">
        <v>0</v>
      </c>
      <c r="BN205" s="247">
        <v>0</v>
      </c>
    </row>
    <row r="206" spans="1:66" x14ac:dyDescent="0.2">
      <c r="A206" s="1"/>
      <c r="B206" s="241" t="s">
        <v>293</v>
      </c>
      <c r="C206" s="242">
        <v>0</v>
      </c>
      <c r="D206" s="267">
        <v>0</v>
      </c>
      <c r="E206" s="267">
        <v>0</v>
      </c>
      <c r="F206" s="247">
        <v>0</v>
      </c>
      <c r="H206" s="14"/>
      <c r="I206" s="14"/>
      <c r="J206" s="14"/>
      <c r="M206" s="1"/>
      <c r="N206" s="241" t="s">
        <v>277</v>
      </c>
      <c r="O206" s="242">
        <v>0</v>
      </c>
      <c r="P206" s="267">
        <v>0</v>
      </c>
      <c r="Q206" s="267">
        <v>0</v>
      </c>
      <c r="R206" s="247">
        <v>0</v>
      </c>
      <c r="Y206" s="1"/>
      <c r="Z206" s="241" t="s">
        <v>290</v>
      </c>
      <c r="AA206" s="242">
        <v>0</v>
      </c>
      <c r="AB206" s="267">
        <v>0</v>
      </c>
      <c r="AC206" s="267">
        <v>0</v>
      </c>
      <c r="AD206" s="247">
        <v>0</v>
      </c>
      <c r="AK206" s="1"/>
      <c r="AL206" s="241" t="s">
        <v>287</v>
      </c>
      <c r="AM206" s="242">
        <v>0</v>
      </c>
      <c r="AN206" s="267">
        <v>0</v>
      </c>
      <c r="AO206" s="267">
        <v>0</v>
      </c>
      <c r="AP206" s="247">
        <v>0</v>
      </c>
      <c r="AW206" s="1"/>
      <c r="AX206" s="241" t="s">
        <v>284</v>
      </c>
      <c r="AY206" s="242">
        <v>0</v>
      </c>
      <c r="AZ206" s="267">
        <v>0</v>
      </c>
      <c r="BA206" s="267">
        <v>0</v>
      </c>
      <c r="BB206" s="247">
        <v>0</v>
      </c>
      <c r="BI206" s="239">
        <v>41846</v>
      </c>
      <c r="BJ206" s="229" t="s">
        <v>278</v>
      </c>
      <c r="BK206" s="240">
        <v>0</v>
      </c>
      <c r="BL206" s="266">
        <v>0</v>
      </c>
      <c r="BM206" s="266">
        <v>0</v>
      </c>
      <c r="BN206" s="258">
        <v>0</v>
      </c>
    </row>
    <row r="207" spans="1:66" x14ac:dyDescent="0.2">
      <c r="A207" s="239">
        <v>41863</v>
      </c>
      <c r="B207" s="229" t="s">
        <v>291</v>
      </c>
      <c r="C207" s="240">
        <v>0</v>
      </c>
      <c r="D207" s="266">
        <v>0</v>
      </c>
      <c r="E207" s="266">
        <v>0</v>
      </c>
      <c r="F207" s="258">
        <v>0</v>
      </c>
      <c r="H207" s="14"/>
      <c r="I207" s="14"/>
      <c r="J207" s="14"/>
      <c r="M207" s="239">
        <v>41863</v>
      </c>
      <c r="N207" s="229" t="s">
        <v>275</v>
      </c>
      <c r="O207" s="240">
        <v>0</v>
      </c>
      <c r="P207" s="266">
        <v>0</v>
      </c>
      <c r="Q207" s="266">
        <v>0</v>
      </c>
      <c r="R207" s="258">
        <v>0</v>
      </c>
      <c r="Y207" s="239">
        <v>41863</v>
      </c>
      <c r="Z207" s="229" t="s">
        <v>288</v>
      </c>
      <c r="AA207" s="240">
        <v>1</v>
      </c>
      <c r="AB207" s="266">
        <v>5</v>
      </c>
      <c r="AC207" s="266">
        <v>3</v>
      </c>
      <c r="AD207" s="258">
        <v>9</v>
      </c>
      <c r="AK207" s="239">
        <v>41863</v>
      </c>
      <c r="AL207" s="229" t="s">
        <v>285</v>
      </c>
      <c r="AM207" s="240">
        <v>3</v>
      </c>
      <c r="AN207" s="266">
        <v>0</v>
      </c>
      <c r="AO207" s="266">
        <v>2</v>
      </c>
      <c r="AP207" s="258">
        <v>5</v>
      </c>
      <c r="AW207" s="239">
        <v>41863</v>
      </c>
      <c r="AX207" s="229" t="s">
        <v>282</v>
      </c>
      <c r="AY207" s="240">
        <v>1</v>
      </c>
      <c r="AZ207" s="266">
        <v>2</v>
      </c>
      <c r="BA207" s="266">
        <v>2</v>
      </c>
      <c r="BB207" s="258">
        <v>5</v>
      </c>
      <c r="BI207" s="1"/>
      <c r="BJ207" s="241" t="s">
        <v>279</v>
      </c>
      <c r="BK207" s="242">
        <v>0</v>
      </c>
      <c r="BL207" s="267">
        <v>0</v>
      </c>
      <c r="BM207" s="267">
        <v>0</v>
      </c>
      <c r="BN207" s="247">
        <v>0</v>
      </c>
    </row>
    <row r="208" spans="1:66" x14ac:dyDescent="0.2">
      <c r="A208" s="1"/>
      <c r="B208" s="241" t="s">
        <v>292</v>
      </c>
      <c r="C208" s="242">
        <v>0</v>
      </c>
      <c r="D208" s="267">
        <v>0</v>
      </c>
      <c r="E208" s="267">
        <v>0</v>
      </c>
      <c r="F208" s="247">
        <v>0</v>
      </c>
      <c r="H208" s="14"/>
      <c r="I208" s="14"/>
      <c r="J208" s="14"/>
      <c r="M208" s="1"/>
      <c r="N208" s="241" t="s">
        <v>276</v>
      </c>
      <c r="O208" s="242">
        <v>0</v>
      </c>
      <c r="P208" s="267">
        <v>0</v>
      </c>
      <c r="Q208" s="267">
        <v>0</v>
      </c>
      <c r="R208" s="247">
        <v>0</v>
      </c>
      <c r="Y208" s="1"/>
      <c r="Z208" s="241" t="s">
        <v>289</v>
      </c>
      <c r="AA208" s="242">
        <v>0</v>
      </c>
      <c r="AB208" s="267">
        <v>1</v>
      </c>
      <c r="AC208" s="267">
        <v>0</v>
      </c>
      <c r="AD208" s="247">
        <v>1</v>
      </c>
      <c r="AK208" s="1"/>
      <c r="AL208" s="241" t="s">
        <v>286</v>
      </c>
      <c r="AM208" s="242">
        <v>13</v>
      </c>
      <c r="AN208" s="267">
        <v>0</v>
      </c>
      <c r="AO208" s="267">
        <v>30</v>
      </c>
      <c r="AP208" s="247">
        <v>43</v>
      </c>
      <c r="AW208" s="1"/>
      <c r="AX208" s="241" t="s">
        <v>283</v>
      </c>
      <c r="AY208" s="242">
        <v>19</v>
      </c>
      <c r="AZ208" s="267">
        <v>24</v>
      </c>
      <c r="BA208" s="267">
        <v>16</v>
      </c>
      <c r="BB208" s="247">
        <v>59</v>
      </c>
      <c r="BI208" s="1"/>
      <c r="BJ208" s="241" t="s">
        <v>280</v>
      </c>
      <c r="BK208" s="242">
        <v>0</v>
      </c>
      <c r="BL208" s="267">
        <v>0</v>
      </c>
      <c r="BM208" s="267">
        <v>0</v>
      </c>
      <c r="BN208" s="247">
        <v>0</v>
      </c>
    </row>
    <row r="209" spans="1:66" x14ac:dyDescent="0.2">
      <c r="A209" s="1"/>
      <c r="B209" s="241" t="s">
        <v>293</v>
      </c>
      <c r="C209" s="242">
        <v>0</v>
      </c>
      <c r="D209" s="267">
        <v>0</v>
      </c>
      <c r="E209" s="267">
        <v>0</v>
      </c>
      <c r="F209" s="247">
        <v>0</v>
      </c>
      <c r="H209" s="14"/>
      <c r="I209" s="14"/>
      <c r="J209" s="14"/>
      <c r="M209" s="1"/>
      <c r="N209" s="241" t="s">
        <v>277</v>
      </c>
      <c r="O209" s="242">
        <v>0</v>
      </c>
      <c r="P209" s="267">
        <v>0</v>
      </c>
      <c r="Q209" s="267">
        <v>0</v>
      </c>
      <c r="R209" s="247">
        <v>0</v>
      </c>
      <c r="Y209" s="1"/>
      <c r="Z209" s="241" t="s">
        <v>290</v>
      </c>
      <c r="AA209" s="242">
        <v>0</v>
      </c>
      <c r="AB209" s="267">
        <v>0</v>
      </c>
      <c r="AC209" s="267">
        <v>0</v>
      </c>
      <c r="AD209" s="247">
        <v>0</v>
      </c>
      <c r="AK209" s="1"/>
      <c r="AL209" s="241" t="s">
        <v>287</v>
      </c>
      <c r="AM209" s="242">
        <v>0</v>
      </c>
      <c r="AN209" s="267">
        <v>0</v>
      </c>
      <c r="AO209" s="267">
        <v>0</v>
      </c>
      <c r="AP209" s="247">
        <v>0</v>
      </c>
      <c r="AW209" s="1"/>
      <c r="AX209" s="241" t="s">
        <v>284</v>
      </c>
      <c r="AY209" s="242">
        <v>0</v>
      </c>
      <c r="AZ209" s="267">
        <v>0</v>
      </c>
      <c r="BA209" s="267">
        <v>0</v>
      </c>
      <c r="BB209" s="247">
        <v>0</v>
      </c>
      <c r="BI209" s="1"/>
      <c r="BJ209" s="241" t="s">
        <v>281</v>
      </c>
      <c r="BK209" s="242">
        <v>0</v>
      </c>
      <c r="BL209" s="267">
        <v>0</v>
      </c>
      <c r="BM209" s="267">
        <v>0</v>
      </c>
      <c r="BN209" s="247">
        <v>0</v>
      </c>
    </row>
    <row r="210" spans="1:66" x14ac:dyDescent="0.2">
      <c r="A210" s="239">
        <v>41864</v>
      </c>
      <c r="B210" s="229" t="s">
        <v>291</v>
      </c>
      <c r="C210" s="240">
        <v>0</v>
      </c>
      <c r="D210" s="266">
        <v>0</v>
      </c>
      <c r="E210" s="266">
        <v>0</v>
      </c>
      <c r="F210" s="258">
        <v>0</v>
      </c>
      <c r="H210" s="14"/>
      <c r="I210" s="14"/>
      <c r="J210" s="14"/>
      <c r="M210" s="239">
        <v>41864</v>
      </c>
      <c r="N210" s="229" t="s">
        <v>275</v>
      </c>
      <c r="O210" s="240">
        <v>0</v>
      </c>
      <c r="P210" s="266">
        <v>0</v>
      </c>
      <c r="Q210" s="266">
        <v>0</v>
      </c>
      <c r="R210" s="258">
        <v>0</v>
      </c>
      <c r="Y210" s="239">
        <v>41864</v>
      </c>
      <c r="Z210" s="229" t="s">
        <v>288</v>
      </c>
      <c r="AA210" s="240">
        <v>2</v>
      </c>
      <c r="AB210" s="266">
        <v>0</v>
      </c>
      <c r="AC210" s="266">
        <v>0</v>
      </c>
      <c r="AD210" s="258">
        <v>2</v>
      </c>
      <c r="AK210" s="239">
        <v>41864</v>
      </c>
      <c r="AL210" s="229" t="s">
        <v>285</v>
      </c>
      <c r="AM210" s="240">
        <v>2</v>
      </c>
      <c r="AN210" s="266">
        <v>2</v>
      </c>
      <c r="AO210" s="266">
        <v>1</v>
      </c>
      <c r="AP210" s="258">
        <v>5</v>
      </c>
      <c r="AW210" s="239">
        <v>41864</v>
      </c>
      <c r="AX210" s="229" t="s">
        <v>282</v>
      </c>
      <c r="AY210" s="240">
        <v>1</v>
      </c>
      <c r="AZ210" s="266">
        <v>3</v>
      </c>
      <c r="BA210" s="266">
        <v>1</v>
      </c>
      <c r="BB210" s="258">
        <v>5</v>
      </c>
      <c r="BI210" s="239">
        <v>41847</v>
      </c>
      <c r="BJ210" s="229" t="s">
        <v>278</v>
      </c>
      <c r="BK210" s="240">
        <v>0</v>
      </c>
      <c r="BL210" s="266">
        <v>1</v>
      </c>
      <c r="BM210" s="266">
        <v>0</v>
      </c>
      <c r="BN210" s="258">
        <v>1</v>
      </c>
    </row>
    <row r="211" spans="1:66" x14ac:dyDescent="0.2">
      <c r="A211" s="1"/>
      <c r="B211" s="241" t="s">
        <v>292</v>
      </c>
      <c r="C211" s="242">
        <v>0</v>
      </c>
      <c r="D211" s="267">
        <v>0</v>
      </c>
      <c r="E211" s="267">
        <v>1</v>
      </c>
      <c r="F211" s="247">
        <v>1</v>
      </c>
      <c r="H211" s="14"/>
      <c r="I211" s="14"/>
      <c r="J211" s="14"/>
      <c r="M211" s="1"/>
      <c r="N211" s="241" t="s">
        <v>276</v>
      </c>
      <c r="O211" s="242">
        <v>0</v>
      </c>
      <c r="P211" s="267">
        <v>0</v>
      </c>
      <c r="Q211" s="267">
        <v>0</v>
      </c>
      <c r="R211" s="247">
        <v>0</v>
      </c>
      <c r="Y211" s="1"/>
      <c r="Z211" s="241" t="s">
        <v>289</v>
      </c>
      <c r="AA211" s="242">
        <v>0</v>
      </c>
      <c r="AB211" s="267">
        <v>1</v>
      </c>
      <c r="AC211" s="267">
        <v>1</v>
      </c>
      <c r="AD211" s="247">
        <v>2</v>
      </c>
      <c r="AK211" s="1"/>
      <c r="AL211" s="241" t="s">
        <v>286</v>
      </c>
      <c r="AM211" s="242">
        <v>25</v>
      </c>
      <c r="AN211" s="267">
        <v>1</v>
      </c>
      <c r="AO211" s="267">
        <v>28</v>
      </c>
      <c r="AP211" s="247">
        <v>54</v>
      </c>
      <c r="AW211" s="1"/>
      <c r="AX211" s="241" t="s">
        <v>283</v>
      </c>
      <c r="AY211" s="242">
        <v>29</v>
      </c>
      <c r="AZ211" s="267">
        <v>19</v>
      </c>
      <c r="BA211" s="267">
        <v>11</v>
      </c>
      <c r="BB211" s="247">
        <v>59</v>
      </c>
      <c r="BI211" s="1"/>
      <c r="BJ211" s="241" t="s">
        <v>279</v>
      </c>
      <c r="BK211" s="242">
        <v>0</v>
      </c>
      <c r="BL211" s="267">
        <v>0</v>
      </c>
      <c r="BM211" s="267">
        <v>0</v>
      </c>
      <c r="BN211" s="247">
        <v>0</v>
      </c>
    </row>
    <row r="212" spans="1:66" x14ac:dyDescent="0.2">
      <c r="A212" s="1"/>
      <c r="B212" s="241" t="s">
        <v>293</v>
      </c>
      <c r="C212" s="242">
        <v>0</v>
      </c>
      <c r="D212" s="267">
        <v>0</v>
      </c>
      <c r="E212" s="267">
        <v>0</v>
      </c>
      <c r="F212" s="247">
        <v>0</v>
      </c>
      <c r="H212" s="14"/>
      <c r="I212" s="14"/>
      <c r="J212" s="14"/>
      <c r="M212" s="1"/>
      <c r="N212" s="241" t="s">
        <v>277</v>
      </c>
      <c r="O212" s="242">
        <v>0</v>
      </c>
      <c r="P212" s="267">
        <v>0</v>
      </c>
      <c r="Q212" s="267">
        <v>0</v>
      </c>
      <c r="R212" s="247">
        <v>0</v>
      </c>
      <c r="Y212" s="1"/>
      <c r="Z212" s="241" t="s">
        <v>290</v>
      </c>
      <c r="AA212" s="242">
        <v>0</v>
      </c>
      <c r="AB212" s="267">
        <v>0</v>
      </c>
      <c r="AC212" s="267">
        <v>0</v>
      </c>
      <c r="AD212" s="247">
        <v>0</v>
      </c>
      <c r="AK212" s="1"/>
      <c r="AL212" s="241" t="s">
        <v>287</v>
      </c>
      <c r="AM212" s="242">
        <v>0</v>
      </c>
      <c r="AN212" s="267">
        <v>0</v>
      </c>
      <c r="AO212" s="267">
        <v>0</v>
      </c>
      <c r="AP212" s="247">
        <v>0</v>
      </c>
      <c r="AW212" s="1"/>
      <c r="AX212" s="241" t="s">
        <v>284</v>
      </c>
      <c r="AY212" s="242">
        <v>0</v>
      </c>
      <c r="AZ212" s="267">
        <v>0</v>
      </c>
      <c r="BA212" s="267">
        <v>0</v>
      </c>
      <c r="BB212" s="247">
        <v>0</v>
      </c>
      <c r="BI212" s="1"/>
      <c r="BJ212" s="241" t="s">
        <v>280</v>
      </c>
      <c r="BK212" s="242">
        <v>0</v>
      </c>
      <c r="BL212" s="267">
        <v>0</v>
      </c>
      <c r="BM212" s="267">
        <v>0</v>
      </c>
      <c r="BN212" s="247">
        <v>0</v>
      </c>
    </row>
    <row r="213" spans="1:66" x14ac:dyDescent="0.2">
      <c r="A213" s="239">
        <v>41865</v>
      </c>
      <c r="B213" s="229" t="s">
        <v>291</v>
      </c>
      <c r="C213" s="240">
        <v>0</v>
      </c>
      <c r="D213" s="266">
        <v>0</v>
      </c>
      <c r="E213" s="266">
        <v>0</v>
      </c>
      <c r="F213" s="258">
        <v>0</v>
      </c>
      <c r="H213" s="14"/>
      <c r="I213" s="14"/>
      <c r="J213" s="14"/>
      <c r="M213" s="239">
        <v>41865</v>
      </c>
      <c r="N213" s="229" t="s">
        <v>275</v>
      </c>
      <c r="O213" s="240">
        <v>0</v>
      </c>
      <c r="P213" s="266">
        <v>0</v>
      </c>
      <c r="Q213" s="266">
        <v>0</v>
      </c>
      <c r="R213" s="258">
        <v>0</v>
      </c>
      <c r="Y213" s="239">
        <v>41865</v>
      </c>
      <c r="Z213" s="229" t="s">
        <v>288</v>
      </c>
      <c r="AA213" s="240">
        <v>2</v>
      </c>
      <c r="AB213" s="266">
        <v>0</v>
      </c>
      <c r="AC213" s="266">
        <v>0</v>
      </c>
      <c r="AD213" s="258">
        <v>2</v>
      </c>
      <c r="AK213" s="239">
        <v>41865</v>
      </c>
      <c r="AL213" s="229" t="s">
        <v>285</v>
      </c>
      <c r="AM213" s="240">
        <v>1</v>
      </c>
      <c r="AN213" s="266">
        <v>0</v>
      </c>
      <c r="AO213" s="266">
        <v>1</v>
      </c>
      <c r="AP213" s="258">
        <v>2</v>
      </c>
      <c r="AW213" s="239">
        <v>41865</v>
      </c>
      <c r="AX213" s="229" t="s">
        <v>282</v>
      </c>
      <c r="AY213" s="240">
        <v>1</v>
      </c>
      <c r="AZ213" s="266">
        <v>2</v>
      </c>
      <c r="BA213" s="266">
        <v>3</v>
      </c>
      <c r="BB213" s="258">
        <v>6</v>
      </c>
      <c r="BI213" s="1"/>
      <c r="BJ213" s="241" t="s">
        <v>281</v>
      </c>
      <c r="BK213" s="242">
        <v>0</v>
      </c>
      <c r="BL213" s="267">
        <v>0</v>
      </c>
      <c r="BM213" s="267">
        <v>0</v>
      </c>
      <c r="BN213" s="247">
        <v>0</v>
      </c>
    </row>
    <row r="214" spans="1:66" x14ac:dyDescent="0.2">
      <c r="A214" s="1"/>
      <c r="B214" s="241" t="s">
        <v>292</v>
      </c>
      <c r="C214" s="242">
        <v>0</v>
      </c>
      <c r="D214" s="267">
        <v>0</v>
      </c>
      <c r="E214" s="267">
        <v>0</v>
      </c>
      <c r="F214" s="247">
        <v>0</v>
      </c>
      <c r="H214" s="14"/>
      <c r="I214" s="14"/>
      <c r="J214" s="14"/>
      <c r="M214" s="1"/>
      <c r="N214" s="241" t="s">
        <v>276</v>
      </c>
      <c r="O214" s="242">
        <v>1</v>
      </c>
      <c r="P214" s="267">
        <v>0</v>
      </c>
      <c r="Q214" s="267">
        <v>0</v>
      </c>
      <c r="R214" s="247">
        <v>1</v>
      </c>
      <c r="Y214" s="1"/>
      <c r="Z214" s="241" t="s">
        <v>289</v>
      </c>
      <c r="AA214" s="242">
        <v>0</v>
      </c>
      <c r="AB214" s="267">
        <v>0</v>
      </c>
      <c r="AC214" s="267">
        <v>0</v>
      </c>
      <c r="AD214" s="247">
        <v>0</v>
      </c>
      <c r="AK214" s="1"/>
      <c r="AL214" s="241" t="s">
        <v>286</v>
      </c>
      <c r="AM214" s="242">
        <v>30</v>
      </c>
      <c r="AN214" s="267">
        <v>1</v>
      </c>
      <c r="AO214" s="267">
        <v>22</v>
      </c>
      <c r="AP214" s="247">
        <v>53</v>
      </c>
      <c r="AW214" s="1"/>
      <c r="AX214" s="241" t="s">
        <v>283</v>
      </c>
      <c r="AY214" s="242">
        <v>23</v>
      </c>
      <c r="AZ214" s="267">
        <v>9</v>
      </c>
      <c r="BA214" s="267">
        <v>6</v>
      </c>
      <c r="BB214" s="247">
        <v>38</v>
      </c>
      <c r="BI214" s="239">
        <v>41848</v>
      </c>
      <c r="BJ214" s="229" t="s">
        <v>278</v>
      </c>
      <c r="BK214" s="240">
        <v>0</v>
      </c>
      <c r="BL214" s="266">
        <v>0</v>
      </c>
      <c r="BM214" s="266">
        <v>0</v>
      </c>
      <c r="BN214" s="258">
        <v>0</v>
      </c>
    </row>
    <row r="215" spans="1:66" x14ac:dyDescent="0.2">
      <c r="A215" s="1"/>
      <c r="B215" s="241" t="s">
        <v>293</v>
      </c>
      <c r="C215" s="242">
        <v>0</v>
      </c>
      <c r="D215" s="267">
        <v>0</v>
      </c>
      <c r="E215" s="267">
        <v>0</v>
      </c>
      <c r="F215" s="247">
        <v>0</v>
      </c>
      <c r="H215" s="14"/>
      <c r="I215" s="14"/>
      <c r="J215" s="14"/>
      <c r="M215" s="1"/>
      <c r="N215" s="241" t="s">
        <v>277</v>
      </c>
      <c r="O215" s="242">
        <v>0</v>
      </c>
      <c r="P215" s="267">
        <v>0</v>
      </c>
      <c r="Q215" s="267">
        <v>0</v>
      </c>
      <c r="R215" s="247">
        <v>0</v>
      </c>
      <c r="Y215" s="1"/>
      <c r="Z215" s="241" t="s">
        <v>290</v>
      </c>
      <c r="AA215" s="242">
        <v>1</v>
      </c>
      <c r="AB215" s="267">
        <v>0</v>
      </c>
      <c r="AC215" s="267">
        <v>0</v>
      </c>
      <c r="AD215" s="247">
        <v>1</v>
      </c>
      <c r="AK215" s="1"/>
      <c r="AL215" s="241" t="s">
        <v>287</v>
      </c>
      <c r="AM215" s="242">
        <v>1</v>
      </c>
      <c r="AN215" s="267">
        <v>0</v>
      </c>
      <c r="AO215" s="267">
        <v>0</v>
      </c>
      <c r="AP215" s="247">
        <v>1</v>
      </c>
      <c r="AW215" s="1"/>
      <c r="AX215" s="241" t="s">
        <v>284</v>
      </c>
      <c r="AY215" s="242">
        <v>0</v>
      </c>
      <c r="AZ215" s="267">
        <v>0</v>
      </c>
      <c r="BA215" s="267">
        <v>0</v>
      </c>
      <c r="BB215" s="247">
        <v>0</v>
      </c>
      <c r="BI215" s="1"/>
      <c r="BJ215" s="241" t="s">
        <v>279</v>
      </c>
      <c r="BK215" s="242">
        <v>0</v>
      </c>
      <c r="BL215" s="267">
        <v>0</v>
      </c>
      <c r="BM215" s="267">
        <v>0</v>
      </c>
      <c r="BN215" s="247">
        <v>0</v>
      </c>
    </row>
    <row r="216" spans="1:66" x14ac:dyDescent="0.2">
      <c r="A216" s="239">
        <v>41866</v>
      </c>
      <c r="B216" s="229" t="s">
        <v>291</v>
      </c>
      <c r="C216" s="240">
        <v>0</v>
      </c>
      <c r="D216" s="266">
        <v>0</v>
      </c>
      <c r="E216" s="266">
        <v>0</v>
      </c>
      <c r="F216" s="258">
        <v>0</v>
      </c>
      <c r="H216" s="14"/>
      <c r="I216" s="14"/>
      <c r="J216" s="14"/>
      <c r="M216" s="239">
        <v>41866</v>
      </c>
      <c r="N216" s="229" t="s">
        <v>275</v>
      </c>
      <c r="O216" s="240">
        <v>0</v>
      </c>
      <c r="P216" s="266">
        <v>0</v>
      </c>
      <c r="Q216" s="266">
        <v>0</v>
      </c>
      <c r="R216" s="258">
        <v>0</v>
      </c>
      <c r="Y216" s="239">
        <v>41866</v>
      </c>
      <c r="Z216" s="229" t="s">
        <v>288</v>
      </c>
      <c r="AA216" s="240">
        <v>4</v>
      </c>
      <c r="AB216" s="266">
        <v>0</v>
      </c>
      <c r="AC216" s="266">
        <v>0</v>
      </c>
      <c r="AD216" s="258">
        <v>4</v>
      </c>
      <c r="AK216" s="239">
        <v>41866</v>
      </c>
      <c r="AL216" s="229" t="s">
        <v>285</v>
      </c>
      <c r="AM216" s="240">
        <v>1</v>
      </c>
      <c r="AN216" s="266">
        <v>0</v>
      </c>
      <c r="AO216" s="266">
        <v>1</v>
      </c>
      <c r="AP216" s="258">
        <v>2</v>
      </c>
      <c r="AW216" s="239">
        <v>41866</v>
      </c>
      <c r="AX216" s="229" t="s">
        <v>282</v>
      </c>
      <c r="AY216" s="240">
        <v>3</v>
      </c>
      <c r="AZ216" s="266">
        <v>0</v>
      </c>
      <c r="BA216" s="266">
        <v>2</v>
      </c>
      <c r="BB216" s="258">
        <v>5</v>
      </c>
      <c r="BI216" s="1"/>
      <c r="BJ216" s="241" t="s">
        <v>280</v>
      </c>
      <c r="BK216" s="242">
        <v>0</v>
      </c>
      <c r="BL216" s="267">
        <v>0</v>
      </c>
      <c r="BM216" s="267">
        <v>0</v>
      </c>
      <c r="BN216" s="247">
        <v>0</v>
      </c>
    </row>
    <row r="217" spans="1:66" x14ac:dyDescent="0.2">
      <c r="A217" s="1"/>
      <c r="B217" s="241" t="s">
        <v>292</v>
      </c>
      <c r="C217" s="242">
        <v>0</v>
      </c>
      <c r="D217" s="267">
        <v>1</v>
      </c>
      <c r="E217" s="267">
        <v>0</v>
      </c>
      <c r="F217" s="247">
        <v>1</v>
      </c>
      <c r="H217" s="14"/>
      <c r="I217" s="14"/>
      <c r="J217" s="14"/>
      <c r="M217" s="1"/>
      <c r="N217" s="241" t="s">
        <v>276</v>
      </c>
      <c r="O217" s="242">
        <v>0</v>
      </c>
      <c r="P217" s="267">
        <v>0</v>
      </c>
      <c r="Q217" s="267">
        <v>0</v>
      </c>
      <c r="R217" s="247">
        <v>0</v>
      </c>
      <c r="Y217" s="1"/>
      <c r="Z217" s="241" t="s">
        <v>289</v>
      </c>
      <c r="AA217" s="242">
        <v>0</v>
      </c>
      <c r="AB217" s="267">
        <v>0</v>
      </c>
      <c r="AC217" s="267">
        <v>0</v>
      </c>
      <c r="AD217" s="247">
        <v>0</v>
      </c>
      <c r="AK217" s="1"/>
      <c r="AL217" s="241" t="s">
        <v>286</v>
      </c>
      <c r="AM217" s="242">
        <v>16</v>
      </c>
      <c r="AN217" s="267">
        <v>3</v>
      </c>
      <c r="AO217" s="267">
        <v>6</v>
      </c>
      <c r="AP217" s="247">
        <v>25</v>
      </c>
      <c r="AW217" s="1"/>
      <c r="AX217" s="241" t="s">
        <v>283</v>
      </c>
      <c r="AY217" s="242">
        <v>28</v>
      </c>
      <c r="AZ217" s="267">
        <v>12</v>
      </c>
      <c r="BA217" s="267">
        <v>5</v>
      </c>
      <c r="BB217" s="247">
        <v>45</v>
      </c>
      <c r="BI217" s="1"/>
      <c r="BJ217" s="241" t="s">
        <v>281</v>
      </c>
      <c r="BK217" s="242">
        <v>0</v>
      </c>
      <c r="BL217" s="267">
        <v>0</v>
      </c>
      <c r="BM217" s="267">
        <v>0</v>
      </c>
      <c r="BN217" s="247">
        <v>0</v>
      </c>
    </row>
    <row r="218" spans="1:66" x14ac:dyDescent="0.2">
      <c r="A218" s="1"/>
      <c r="B218" s="241" t="s">
        <v>293</v>
      </c>
      <c r="C218" s="242">
        <v>0</v>
      </c>
      <c r="D218" s="267">
        <v>0</v>
      </c>
      <c r="E218" s="267">
        <v>0</v>
      </c>
      <c r="F218" s="247">
        <v>0</v>
      </c>
      <c r="H218" s="14"/>
      <c r="I218" s="14"/>
      <c r="J218" s="14"/>
      <c r="M218" s="1"/>
      <c r="N218" s="241" t="s">
        <v>277</v>
      </c>
      <c r="O218" s="242">
        <v>0</v>
      </c>
      <c r="P218" s="267">
        <v>0</v>
      </c>
      <c r="Q218" s="267">
        <v>0</v>
      </c>
      <c r="R218" s="247">
        <v>0</v>
      </c>
      <c r="Y218" s="1"/>
      <c r="Z218" s="241" t="s">
        <v>290</v>
      </c>
      <c r="AA218" s="242">
        <v>0</v>
      </c>
      <c r="AB218" s="267">
        <v>0</v>
      </c>
      <c r="AC218" s="267">
        <v>0</v>
      </c>
      <c r="AD218" s="247">
        <v>0</v>
      </c>
      <c r="AK218" s="1"/>
      <c r="AL218" s="241" t="s">
        <v>287</v>
      </c>
      <c r="AM218" s="242">
        <v>1</v>
      </c>
      <c r="AN218" s="267">
        <v>0</v>
      </c>
      <c r="AO218" s="267">
        <v>0</v>
      </c>
      <c r="AP218" s="247">
        <v>1</v>
      </c>
      <c r="AW218" s="1"/>
      <c r="AX218" s="241" t="s">
        <v>284</v>
      </c>
      <c r="AY218" s="242">
        <v>0</v>
      </c>
      <c r="AZ218" s="267">
        <v>0</v>
      </c>
      <c r="BA218" s="267">
        <v>0</v>
      </c>
      <c r="BB218" s="247">
        <v>0</v>
      </c>
      <c r="BI218" s="239">
        <v>41849</v>
      </c>
      <c r="BJ218" s="229" t="s">
        <v>278</v>
      </c>
      <c r="BK218" s="240">
        <v>1</v>
      </c>
      <c r="BL218" s="266">
        <v>0</v>
      </c>
      <c r="BM218" s="266">
        <v>3</v>
      </c>
      <c r="BN218" s="258">
        <v>4</v>
      </c>
    </row>
    <row r="219" spans="1:66" x14ac:dyDescent="0.2">
      <c r="A219" s="239">
        <v>41867</v>
      </c>
      <c r="B219" s="229" t="s">
        <v>291</v>
      </c>
      <c r="C219" s="240">
        <v>0</v>
      </c>
      <c r="D219" s="266">
        <v>0</v>
      </c>
      <c r="E219" s="266">
        <v>0</v>
      </c>
      <c r="F219" s="258">
        <v>0</v>
      </c>
      <c r="H219" s="14"/>
      <c r="I219" s="14"/>
      <c r="J219" s="14"/>
      <c r="M219" s="239">
        <v>41867</v>
      </c>
      <c r="N219" s="229" t="s">
        <v>275</v>
      </c>
      <c r="O219" s="240">
        <v>0</v>
      </c>
      <c r="P219" s="266">
        <v>0</v>
      </c>
      <c r="Q219" s="266">
        <v>0</v>
      </c>
      <c r="R219" s="258">
        <v>0</v>
      </c>
      <c r="Y219" s="239">
        <v>41867</v>
      </c>
      <c r="Z219" s="229" t="s">
        <v>288</v>
      </c>
      <c r="AA219" s="240">
        <v>2</v>
      </c>
      <c r="AB219" s="266">
        <v>1</v>
      </c>
      <c r="AC219" s="266">
        <v>1</v>
      </c>
      <c r="AD219" s="258">
        <v>4</v>
      </c>
      <c r="AK219" s="239">
        <v>41867</v>
      </c>
      <c r="AL219" s="229" t="s">
        <v>285</v>
      </c>
      <c r="AM219" s="240">
        <v>1</v>
      </c>
      <c r="AN219" s="266">
        <v>0</v>
      </c>
      <c r="AO219" s="266">
        <v>1</v>
      </c>
      <c r="AP219" s="258">
        <v>2</v>
      </c>
      <c r="AW219" s="239">
        <v>41867</v>
      </c>
      <c r="AX219" s="229" t="s">
        <v>282</v>
      </c>
      <c r="AY219" s="240">
        <v>1</v>
      </c>
      <c r="AZ219" s="266">
        <v>1</v>
      </c>
      <c r="BA219" s="266">
        <v>1</v>
      </c>
      <c r="BB219" s="258">
        <v>3</v>
      </c>
      <c r="BI219" s="1"/>
      <c r="BJ219" s="241" t="s">
        <v>279</v>
      </c>
      <c r="BK219" s="242">
        <v>0</v>
      </c>
      <c r="BL219" s="267">
        <v>0</v>
      </c>
      <c r="BM219" s="267">
        <v>0</v>
      </c>
      <c r="BN219" s="247">
        <v>0</v>
      </c>
    </row>
    <row r="220" spans="1:66" x14ac:dyDescent="0.2">
      <c r="A220" s="1"/>
      <c r="B220" s="241" t="s">
        <v>292</v>
      </c>
      <c r="C220" s="242">
        <v>0</v>
      </c>
      <c r="D220" s="267">
        <v>0</v>
      </c>
      <c r="E220" s="267">
        <v>0</v>
      </c>
      <c r="F220" s="247">
        <v>0</v>
      </c>
      <c r="H220" s="14"/>
      <c r="I220" s="14"/>
      <c r="J220" s="14"/>
      <c r="M220" s="1"/>
      <c r="N220" s="241" t="s">
        <v>276</v>
      </c>
      <c r="O220" s="242">
        <v>0</v>
      </c>
      <c r="P220" s="267">
        <v>0</v>
      </c>
      <c r="Q220" s="267">
        <v>1</v>
      </c>
      <c r="R220" s="247">
        <v>1</v>
      </c>
      <c r="Y220" s="1"/>
      <c r="Z220" s="241" t="s">
        <v>289</v>
      </c>
      <c r="AA220" s="242">
        <v>0</v>
      </c>
      <c r="AB220" s="267">
        <v>0</v>
      </c>
      <c r="AC220" s="267">
        <v>0</v>
      </c>
      <c r="AD220" s="247">
        <v>0</v>
      </c>
      <c r="AK220" s="1"/>
      <c r="AL220" s="241" t="s">
        <v>286</v>
      </c>
      <c r="AM220" s="242">
        <v>12</v>
      </c>
      <c r="AN220" s="267">
        <v>1</v>
      </c>
      <c r="AO220" s="267">
        <v>16</v>
      </c>
      <c r="AP220" s="247">
        <v>29</v>
      </c>
      <c r="AW220" s="1"/>
      <c r="AX220" s="241" t="s">
        <v>283</v>
      </c>
      <c r="AY220" s="242">
        <v>15</v>
      </c>
      <c r="AZ220" s="267">
        <v>7</v>
      </c>
      <c r="BA220" s="267">
        <v>8</v>
      </c>
      <c r="BB220" s="247">
        <v>30</v>
      </c>
      <c r="BI220" s="1"/>
      <c r="BJ220" s="241" t="s">
        <v>280</v>
      </c>
      <c r="BK220" s="242">
        <v>0</v>
      </c>
      <c r="BL220" s="267">
        <v>0</v>
      </c>
      <c r="BM220" s="267">
        <v>0</v>
      </c>
      <c r="BN220" s="247">
        <v>0</v>
      </c>
    </row>
    <row r="221" spans="1:66" x14ac:dyDescent="0.2">
      <c r="A221" s="1"/>
      <c r="B221" s="241" t="s">
        <v>293</v>
      </c>
      <c r="C221" s="242">
        <v>0</v>
      </c>
      <c r="D221" s="267">
        <v>0</v>
      </c>
      <c r="E221" s="267">
        <v>0</v>
      </c>
      <c r="F221" s="247">
        <v>0</v>
      </c>
      <c r="H221" s="14"/>
      <c r="I221" s="14"/>
      <c r="J221" s="14"/>
      <c r="M221" s="1"/>
      <c r="N221" s="241" t="s">
        <v>277</v>
      </c>
      <c r="O221" s="242">
        <v>0</v>
      </c>
      <c r="P221" s="267">
        <v>0</v>
      </c>
      <c r="Q221" s="267">
        <v>0</v>
      </c>
      <c r="R221" s="247">
        <v>0</v>
      </c>
      <c r="Y221" s="1"/>
      <c r="Z221" s="241" t="s">
        <v>290</v>
      </c>
      <c r="AA221" s="242">
        <v>0</v>
      </c>
      <c r="AB221" s="267">
        <v>0</v>
      </c>
      <c r="AC221" s="267">
        <v>0</v>
      </c>
      <c r="AD221" s="247">
        <v>0</v>
      </c>
      <c r="AK221" s="1"/>
      <c r="AL221" s="241" t="s">
        <v>287</v>
      </c>
      <c r="AM221" s="242">
        <v>0</v>
      </c>
      <c r="AN221" s="267">
        <v>0</v>
      </c>
      <c r="AO221" s="267">
        <v>0</v>
      </c>
      <c r="AP221" s="247">
        <v>0</v>
      </c>
      <c r="AW221" s="1"/>
      <c r="AX221" s="241" t="s">
        <v>284</v>
      </c>
      <c r="AY221" s="242">
        <v>0</v>
      </c>
      <c r="AZ221" s="267">
        <v>0</v>
      </c>
      <c r="BA221" s="267">
        <v>0</v>
      </c>
      <c r="BB221" s="247">
        <v>0</v>
      </c>
      <c r="BI221" s="1"/>
      <c r="BJ221" s="241" t="s">
        <v>281</v>
      </c>
      <c r="BK221" s="242">
        <v>0</v>
      </c>
      <c r="BL221" s="267">
        <v>0</v>
      </c>
      <c r="BM221" s="267">
        <v>0</v>
      </c>
      <c r="BN221" s="247">
        <v>0</v>
      </c>
    </row>
    <row r="222" spans="1:66" x14ac:dyDescent="0.2">
      <c r="A222" s="239">
        <v>41868</v>
      </c>
      <c r="B222" s="229" t="s">
        <v>291</v>
      </c>
      <c r="C222" s="240">
        <v>0</v>
      </c>
      <c r="D222" s="266">
        <v>0</v>
      </c>
      <c r="E222" s="266">
        <v>0</v>
      </c>
      <c r="F222" s="258">
        <v>0</v>
      </c>
      <c r="H222" s="14"/>
      <c r="I222" s="14"/>
      <c r="J222" s="14"/>
      <c r="M222" s="239">
        <v>41868</v>
      </c>
      <c r="N222" s="229" t="s">
        <v>275</v>
      </c>
      <c r="O222" s="240">
        <v>0</v>
      </c>
      <c r="P222" s="266">
        <v>0</v>
      </c>
      <c r="Q222" s="266">
        <v>0</v>
      </c>
      <c r="R222" s="258">
        <v>0</v>
      </c>
      <c r="Y222" s="239">
        <v>41868</v>
      </c>
      <c r="Z222" s="229" t="s">
        <v>288</v>
      </c>
      <c r="AA222" s="240">
        <v>1</v>
      </c>
      <c r="AB222" s="266">
        <v>0</v>
      </c>
      <c r="AC222" s="266">
        <v>1</v>
      </c>
      <c r="AD222" s="258">
        <v>2</v>
      </c>
      <c r="AK222" s="239">
        <v>41868</v>
      </c>
      <c r="AL222" s="229" t="s">
        <v>285</v>
      </c>
      <c r="AM222" s="240">
        <v>1</v>
      </c>
      <c r="AN222" s="266">
        <v>0</v>
      </c>
      <c r="AO222" s="266">
        <v>1</v>
      </c>
      <c r="AP222" s="258">
        <v>2</v>
      </c>
      <c r="AW222" s="239">
        <v>41868</v>
      </c>
      <c r="AX222" s="229" t="s">
        <v>282</v>
      </c>
      <c r="AY222" s="240">
        <v>2</v>
      </c>
      <c r="AZ222" s="266">
        <v>1</v>
      </c>
      <c r="BA222" s="266">
        <v>1</v>
      </c>
      <c r="BB222" s="258">
        <v>4</v>
      </c>
      <c r="BI222" s="239">
        <v>41850</v>
      </c>
      <c r="BJ222" s="229" t="s">
        <v>278</v>
      </c>
      <c r="BK222" s="240">
        <v>0</v>
      </c>
      <c r="BL222" s="266">
        <v>0</v>
      </c>
      <c r="BM222" s="266">
        <v>2</v>
      </c>
      <c r="BN222" s="258">
        <v>2</v>
      </c>
    </row>
    <row r="223" spans="1:66" x14ac:dyDescent="0.2">
      <c r="A223" s="1"/>
      <c r="B223" s="241" t="s">
        <v>292</v>
      </c>
      <c r="C223" s="242">
        <v>0</v>
      </c>
      <c r="D223" s="267">
        <v>0</v>
      </c>
      <c r="E223" s="267">
        <v>0</v>
      </c>
      <c r="F223" s="247">
        <v>0</v>
      </c>
      <c r="H223" s="14"/>
      <c r="I223" s="14"/>
      <c r="J223" s="14"/>
      <c r="M223" s="1"/>
      <c r="N223" s="241" t="s">
        <v>276</v>
      </c>
      <c r="O223" s="242">
        <v>0</v>
      </c>
      <c r="P223" s="267">
        <v>0</v>
      </c>
      <c r="Q223" s="267">
        <v>0</v>
      </c>
      <c r="R223" s="247">
        <v>0</v>
      </c>
      <c r="Y223" s="1"/>
      <c r="Z223" s="241" t="s">
        <v>289</v>
      </c>
      <c r="AA223" s="242">
        <v>0</v>
      </c>
      <c r="AB223" s="267">
        <v>0</v>
      </c>
      <c r="AC223" s="267">
        <v>0</v>
      </c>
      <c r="AD223" s="247">
        <v>0</v>
      </c>
      <c r="AK223" s="1"/>
      <c r="AL223" s="241" t="s">
        <v>286</v>
      </c>
      <c r="AM223" s="242">
        <v>3</v>
      </c>
      <c r="AN223" s="267">
        <v>1</v>
      </c>
      <c r="AO223" s="267">
        <v>5</v>
      </c>
      <c r="AP223" s="247">
        <v>9</v>
      </c>
      <c r="AW223" s="1"/>
      <c r="AX223" s="241" t="s">
        <v>283</v>
      </c>
      <c r="AY223" s="242">
        <v>7</v>
      </c>
      <c r="AZ223" s="267">
        <v>7</v>
      </c>
      <c r="BA223" s="267">
        <v>4</v>
      </c>
      <c r="BB223" s="247">
        <v>18</v>
      </c>
      <c r="BI223" s="1"/>
      <c r="BJ223" s="241" t="s">
        <v>279</v>
      </c>
      <c r="BK223" s="242">
        <v>0</v>
      </c>
      <c r="BL223" s="267">
        <v>0</v>
      </c>
      <c r="BM223" s="267">
        <v>0</v>
      </c>
      <c r="BN223" s="247">
        <v>0</v>
      </c>
    </row>
    <row r="224" spans="1:66" x14ac:dyDescent="0.2">
      <c r="A224" s="1"/>
      <c r="B224" s="241" t="s">
        <v>293</v>
      </c>
      <c r="C224" s="242">
        <v>0</v>
      </c>
      <c r="D224" s="267">
        <v>0</v>
      </c>
      <c r="E224" s="267">
        <v>0</v>
      </c>
      <c r="F224" s="247">
        <v>0</v>
      </c>
      <c r="H224" s="14"/>
      <c r="I224" s="14"/>
      <c r="J224" s="14"/>
      <c r="M224" s="1"/>
      <c r="N224" s="241" t="s">
        <v>277</v>
      </c>
      <c r="O224" s="242">
        <v>0</v>
      </c>
      <c r="P224" s="267">
        <v>0</v>
      </c>
      <c r="Q224" s="267">
        <v>0</v>
      </c>
      <c r="R224" s="247">
        <v>0</v>
      </c>
      <c r="Y224" s="1"/>
      <c r="Z224" s="241" t="s">
        <v>290</v>
      </c>
      <c r="AA224" s="242">
        <v>0</v>
      </c>
      <c r="AB224" s="267">
        <v>0</v>
      </c>
      <c r="AC224" s="267">
        <v>0</v>
      </c>
      <c r="AD224" s="247">
        <v>0</v>
      </c>
      <c r="AK224" s="1"/>
      <c r="AL224" s="241" t="s">
        <v>287</v>
      </c>
      <c r="AM224" s="242">
        <v>0</v>
      </c>
      <c r="AN224" s="267">
        <v>0</v>
      </c>
      <c r="AO224" s="267">
        <v>0</v>
      </c>
      <c r="AP224" s="247">
        <v>0</v>
      </c>
      <c r="AW224" s="1"/>
      <c r="AX224" s="241" t="s">
        <v>284</v>
      </c>
      <c r="AY224" s="242">
        <v>0</v>
      </c>
      <c r="AZ224" s="267">
        <v>0</v>
      </c>
      <c r="BA224" s="267">
        <v>0</v>
      </c>
      <c r="BB224" s="247">
        <v>0</v>
      </c>
      <c r="BI224" s="1"/>
      <c r="BJ224" s="241" t="s">
        <v>280</v>
      </c>
      <c r="BK224" s="242">
        <v>0</v>
      </c>
      <c r="BL224" s="267">
        <v>0</v>
      </c>
      <c r="BM224" s="267">
        <v>0</v>
      </c>
      <c r="BN224" s="247">
        <v>0</v>
      </c>
    </row>
    <row r="225" spans="1:66" x14ac:dyDescent="0.2">
      <c r="A225" s="239">
        <v>41869</v>
      </c>
      <c r="B225" s="229" t="s">
        <v>291</v>
      </c>
      <c r="C225" s="240">
        <v>0</v>
      </c>
      <c r="D225" s="266">
        <v>0</v>
      </c>
      <c r="E225" s="266">
        <v>0</v>
      </c>
      <c r="F225" s="258">
        <v>0</v>
      </c>
      <c r="H225" s="14"/>
      <c r="I225" s="14"/>
      <c r="J225" s="14"/>
      <c r="M225" s="239">
        <v>41869</v>
      </c>
      <c r="N225" s="229" t="s">
        <v>275</v>
      </c>
      <c r="O225" s="240">
        <v>0</v>
      </c>
      <c r="P225" s="266">
        <v>0</v>
      </c>
      <c r="Q225" s="266">
        <v>0</v>
      </c>
      <c r="R225" s="258">
        <v>0</v>
      </c>
      <c r="Y225" s="239">
        <v>41869</v>
      </c>
      <c r="Z225" s="229" t="s">
        <v>288</v>
      </c>
      <c r="AA225" s="240">
        <v>1</v>
      </c>
      <c r="AB225" s="266">
        <v>0</v>
      </c>
      <c r="AC225" s="266">
        <v>0</v>
      </c>
      <c r="AD225" s="258">
        <v>1</v>
      </c>
      <c r="AK225" s="239">
        <v>41869</v>
      </c>
      <c r="AL225" s="229" t="s">
        <v>285</v>
      </c>
      <c r="AM225" s="240">
        <v>0</v>
      </c>
      <c r="AN225" s="266">
        <v>0</v>
      </c>
      <c r="AO225" s="266">
        <v>5</v>
      </c>
      <c r="AP225" s="258">
        <v>5</v>
      </c>
      <c r="AW225" s="239">
        <v>41869</v>
      </c>
      <c r="AX225" s="229" t="s">
        <v>282</v>
      </c>
      <c r="AY225" s="240">
        <v>1</v>
      </c>
      <c r="AZ225" s="266">
        <v>1</v>
      </c>
      <c r="BA225" s="266">
        <v>2</v>
      </c>
      <c r="BB225" s="258">
        <v>4</v>
      </c>
      <c r="BI225" s="1"/>
      <c r="BJ225" s="241" t="s">
        <v>281</v>
      </c>
      <c r="BK225" s="242">
        <v>0</v>
      </c>
      <c r="BL225" s="267">
        <v>0</v>
      </c>
      <c r="BM225" s="267">
        <v>0</v>
      </c>
      <c r="BN225" s="247">
        <v>0</v>
      </c>
    </row>
    <row r="226" spans="1:66" x14ac:dyDescent="0.2">
      <c r="A226" s="1"/>
      <c r="B226" s="241" t="s">
        <v>292</v>
      </c>
      <c r="C226" s="242">
        <v>0</v>
      </c>
      <c r="D226" s="267">
        <v>0</v>
      </c>
      <c r="E226" s="267">
        <v>0</v>
      </c>
      <c r="F226" s="247">
        <v>0</v>
      </c>
      <c r="H226" s="14"/>
      <c r="I226" s="14"/>
      <c r="J226" s="14"/>
      <c r="M226" s="1"/>
      <c r="N226" s="241" t="s">
        <v>276</v>
      </c>
      <c r="O226" s="242">
        <v>1</v>
      </c>
      <c r="P226" s="267">
        <v>0</v>
      </c>
      <c r="Q226" s="267">
        <v>0</v>
      </c>
      <c r="R226" s="247">
        <v>1</v>
      </c>
      <c r="Y226" s="1"/>
      <c r="Z226" s="241" t="s">
        <v>289</v>
      </c>
      <c r="AA226" s="242">
        <v>0</v>
      </c>
      <c r="AB226" s="267">
        <v>0</v>
      </c>
      <c r="AC226" s="267">
        <v>0</v>
      </c>
      <c r="AD226" s="247">
        <v>0</v>
      </c>
      <c r="AK226" s="1"/>
      <c r="AL226" s="241" t="s">
        <v>286</v>
      </c>
      <c r="AM226" s="242">
        <v>9</v>
      </c>
      <c r="AN226" s="267">
        <v>1</v>
      </c>
      <c r="AO226" s="267">
        <v>7</v>
      </c>
      <c r="AP226" s="247">
        <v>17</v>
      </c>
      <c r="AW226" s="1"/>
      <c r="AX226" s="241" t="s">
        <v>283</v>
      </c>
      <c r="AY226" s="242">
        <v>10</v>
      </c>
      <c r="AZ226" s="267">
        <v>4</v>
      </c>
      <c r="BA226" s="267">
        <v>4</v>
      </c>
      <c r="BB226" s="247">
        <v>18</v>
      </c>
      <c r="BI226" s="239">
        <v>41851</v>
      </c>
      <c r="BJ226" s="229" t="s">
        <v>278</v>
      </c>
      <c r="BK226" s="240">
        <v>2</v>
      </c>
      <c r="BL226" s="266">
        <v>0</v>
      </c>
      <c r="BM226" s="266">
        <v>0</v>
      </c>
      <c r="BN226" s="258">
        <v>2</v>
      </c>
    </row>
    <row r="227" spans="1:66" x14ac:dyDescent="0.2">
      <c r="A227" s="1"/>
      <c r="B227" s="241" t="s">
        <v>293</v>
      </c>
      <c r="C227" s="242">
        <v>1</v>
      </c>
      <c r="D227" s="267">
        <v>0</v>
      </c>
      <c r="E227" s="267">
        <v>0</v>
      </c>
      <c r="F227" s="247">
        <v>1</v>
      </c>
      <c r="H227" s="14"/>
      <c r="I227" s="14"/>
      <c r="J227" s="14"/>
      <c r="M227" s="1"/>
      <c r="N227" s="241" t="s">
        <v>277</v>
      </c>
      <c r="O227" s="242">
        <v>0</v>
      </c>
      <c r="P227" s="267">
        <v>0</v>
      </c>
      <c r="Q227" s="267">
        <v>0</v>
      </c>
      <c r="R227" s="247">
        <v>0</v>
      </c>
      <c r="Y227" s="1"/>
      <c r="Z227" s="241" t="s">
        <v>290</v>
      </c>
      <c r="AA227" s="242">
        <v>0</v>
      </c>
      <c r="AB227" s="267">
        <v>0</v>
      </c>
      <c r="AC227" s="267">
        <v>0</v>
      </c>
      <c r="AD227" s="247">
        <v>0</v>
      </c>
      <c r="AK227" s="1"/>
      <c r="AL227" s="241" t="s">
        <v>287</v>
      </c>
      <c r="AM227" s="242">
        <v>0</v>
      </c>
      <c r="AN227" s="267">
        <v>0</v>
      </c>
      <c r="AO227" s="267">
        <v>0</v>
      </c>
      <c r="AP227" s="247">
        <v>0</v>
      </c>
      <c r="AW227" s="1"/>
      <c r="AX227" s="241" t="s">
        <v>284</v>
      </c>
      <c r="AY227" s="242">
        <v>0</v>
      </c>
      <c r="AZ227" s="267">
        <v>0</v>
      </c>
      <c r="BA227" s="267">
        <v>1</v>
      </c>
      <c r="BB227" s="247">
        <v>1</v>
      </c>
      <c r="BI227" s="1"/>
      <c r="BJ227" s="241" t="s">
        <v>279</v>
      </c>
      <c r="BK227" s="242">
        <v>0</v>
      </c>
      <c r="BL227" s="267">
        <v>0</v>
      </c>
      <c r="BM227" s="267">
        <v>0</v>
      </c>
      <c r="BN227" s="247">
        <v>0</v>
      </c>
    </row>
    <row r="228" spans="1:66" x14ac:dyDescent="0.2">
      <c r="A228" s="239">
        <v>41870</v>
      </c>
      <c r="B228" s="229" t="s">
        <v>291</v>
      </c>
      <c r="C228" s="240">
        <v>0</v>
      </c>
      <c r="D228" s="266">
        <v>0</v>
      </c>
      <c r="E228" s="266">
        <v>0</v>
      </c>
      <c r="F228" s="258">
        <v>0</v>
      </c>
      <c r="H228" s="14"/>
      <c r="I228" s="14"/>
      <c r="J228" s="14"/>
      <c r="M228" s="239">
        <v>41870</v>
      </c>
      <c r="N228" s="229" t="s">
        <v>275</v>
      </c>
      <c r="O228" s="240">
        <v>0</v>
      </c>
      <c r="P228" s="266">
        <v>0</v>
      </c>
      <c r="Q228" s="266">
        <v>0</v>
      </c>
      <c r="R228" s="258">
        <v>0</v>
      </c>
      <c r="Y228" s="239">
        <v>41870</v>
      </c>
      <c r="Z228" s="229" t="s">
        <v>288</v>
      </c>
      <c r="AA228" s="240">
        <v>1</v>
      </c>
      <c r="AB228" s="266">
        <v>1</v>
      </c>
      <c r="AC228" s="266">
        <v>0</v>
      </c>
      <c r="AD228" s="258">
        <v>2</v>
      </c>
      <c r="AK228" s="239">
        <v>41870</v>
      </c>
      <c r="AL228" s="229" t="s">
        <v>285</v>
      </c>
      <c r="AM228" s="240">
        <v>0</v>
      </c>
      <c r="AN228" s="266">
        <v>0</v>
      </c>
      <c r="AO228" s="266">
        <v>0</v>
      </c>
      <c r="AP228" s="258">
        <v>0</v>
      </c>
      <c r="AW228" s="239">
        <v>41870</v>
      </c>
      <c r="AX228" s="229" t="s">
        <v>282</v>
      </c>
      <c r="AY228" s="240">
        <v>2</v>
      </c>
      <c r="AZ228" s="266">
        <v>0</v>
      </c>
      <c r="BA228" s="266">
        <v>1</v>
      </c>
      <c r="BB228" s="258">
        <v>3</v>
      </c>
      <c r="BI228" s="1"/>
      <c r="BJ228" s="241" t="s">
        <v>280</v>
      </c>
      <c r="BK228" s="242">
        <v>0</v>
      </c>
      <c r="BL228" s="267">
        <v>0</v>
      </c>
      <c r="BM228" s="267">
        <v>0</v>
      </c>
      <c r="BN228" s="247">
        <v>0</v>
      </c>
    </row>
    <row r="229" spans="1:66" x14ac:dyDescent="0.2">
      <c r="A229" s="1"/>
      <c r="B229" s="241" t="s">
        <v>292</v>
      </c>
      <c r="C229" s="242">
        <v>0</v>
      </c>
      <c r="D229" s="267">
        <v>0</v>
      </c>
      <c r="E229" s="267">
        <v>0</v>
      </c>
      <c r="F229" s="247">
        <v>0</v>
      </c>
      <c r="H229" s="14"/>
      <c r="I229" s="14"/>
      <c r="J229" s="14"/>
      <c r="M229" s="1"/>
      <c r="N229" s="241" t="s">
        <v>276</v>
      </c>
      <c r="O229" s="242">
        <v>1</v>
      </c>
      <c r="P229" s="267">
        <v>0</v>
      </c>
      <c r="Q229" s="267">
        <v>1</v>
      </c>
      <c r="R229" s="247">
        <v>2</v>
      </c>
      <c r="Y229" s="1"/>
      <c r="Z229" s="241" t="s">
        <v>289</v>
      </c>
      <c r="AA229" s="242">
        <v>0</v>
      </c>
      <c r="AB229" s="267">
        <v>0</v>
      </c>
      <c r="AC229" s="267">
        <v>0</v>
      </c>
      <c r="AD229" s="247">
        <v>0</v>
      </c>
      <c r="AK229" s="1"/>
      <c r="AL229" s="241" t="s">
        <v>286</v>
      </c>
      <c r="AM229" s="242">
        <v>11</v>
      </c>
      <c r="AN229" s="267">
        <v>0</v>
      </c>
      <c r="AO229" s="267">
        <v>8</v>
      </c>
      <c r="AP229" s="247">
        <v>19</v>
      </c>
      <c r="AW229" s="1"/>
      <c r="AX229" s="241" t="s">
        <v>283</v>
      </c>
      <c r="AY229" s="242">
        <v>28</v>
      </c>
      <c r="AZ229" s="267">
        <v>16</v>
      </c>
      <c r="BA229" s="267">
        <v>13</v>
      </c>
      <c r="BB229" s="247">
        <v>57</v>
      </c>
      <c r="BI229" s="1"/>
      <c r="BJ229" s="241" t="s">
        <v>281</v>
      </c>
      <c r="BK229" s="242">
        <v>0</v>
      </c>
      <c r="BL229" s="267">
        <v>0</v>
      </c>
      <c r="BM229" s="267">
        <v>0</v>
      </c>
      <c r="BN229" s="247">
        <v>0</v>
      </c>
    </row>
    <row r="230" spans="1:66" x14ac:dyDescent="0.2">
      <c r="A230" s="1"/>
      <c r="B230" s="241" t="s">
        <v>293</v>
      </c>
      <c r="C230" s="242">
        <v>0</v>
      </c>
      <c r="D230" s="267">
        <v>0</v>
      </c>
      <c r="E230" s="267">
        <v>0</v>
      </c>
      <c r="F230" s="247">
        <v>0</v>
      </c>
      <c r="H230" s="14"/>
      <c r="I230" s="14"/>
      <c r="J230" s="14"/>
      <c r="M230" s="1"/>
      <c r="N230" s="241" t="s">
        <v>277</v>
      </c>
      <c r="O230" s="242">
        <v>0</v>
      </c>
      <c r="P230" s="267">
        <v>0</v>
      </c>
      <c r="Q230" s="267">
        <v>0</v>
      </c>
      <c r="R230" s="247">
        <v>0</v>
      </c>
      <c r="Y230" s="1"/>
      <c r="Z230" s="241" t="s">
        <v>290</v>
      </c>
      <c r="AA230" s="242">
        <v>0</v>
      </c>
      <c r="AB230" s="267">
        <v>0</v>
      </c>
      <c r="AC230" s="267">
        <v>0</v>
      </c>
      <c r="AD230" s="247">
        <v>0</v>
      </c>
      <c r="AK230" s="1"/>
      <c r="AL230" s="241" t="s">
        <v>287</v>
      </c>
      <c r="AM230" s="242">
        <v>0</v>
      </c>
      <c r="AN230" s="267">
        <v>0</v>
      </c>
      <c r="AO230" s="267">
        <v>0</v>
      </c>
      <c r="AP230" s="247">
        <v>0</v>
      </c>
      <c r="AW230" s="1"/>
      <c r="AX230" s="241" t="s">
        <v>284</v>
      </c>
      <c r="AY230" s="242">
        <v>1</v>
      </c>
      <c r="AZ230" s="267">
        <v>0</v>
      </c>
      <c r="BA230" s="267">
        <v>0</v>
      </c>
      <c r="BB230" s="247">
        <v>1</v>
      </c>
      <c r="BI230" s="239">
        <v>41852</v>
      </c>
      <c r="BJ230" s="229" t="s">
        <v>278</v>
      </c>
      <c r="BK230" s="240">
        <v>0</v>
      </c>
      <c r="BL230" s="266">
        <v>0</v>
      </c>
      <c r="BM230" s="266">
        <v>2</v>
      </c>
      <c r="BN230" s="258">
        <v>2</v>
      </c>
    </row>
    <row r="231" spans="1:66" x14ac:dyDescent="0.2">
      <c r="A231" s="239">
        <v>41871</v>
      </c>
      <c r="B231" s="229" t="s">
        <v>291</v>
      </c>
      <c r="C231" s="240">
        <v>0</v>
      </c>
      <c r="D231" s="266">
        <v>0</v>
      </c>
      <c r="E231" s="266">
        <v>0</v>
      </c>
      <c r="F231" s="258">
        <v>0</v>
      </c>
      <c r="H231" s="14"/>
      <c r="I231" s="14"/>
      <c r="J231" s="14"/>
      <c r="M231" s="239">
        <v>41871</v>
      </c>
      <c r="N231" s="229" t="s">
        <v>275</v>
      </c>
      <c r="O231" s="240">
        <v>0</v>
      </c>
      <c r="P231" s="266">
        <v>0</v>
      </c>
      <c r="Q231" s="266">
        <v>0</v>
      </c>
      <c r="R231" s="258">
        <v>0</v>
      </c>
      <c r="Y231" s="239">
        <v>41871</v>
      </c>
      <c r="Z231" s="229" t="s">
        <v>288</v>
      </c>
      <c r="AA231" s="240">
        <v>2</v>
      </c>
      <c r="AB231" s="266">
        <v>2</v>
      </c>
      <c r="AC231" s="266">
        <v>0</v>
      </c>
      <c r="AD231" s="258">
        <v>4</v>
      </c>
      <c r="AK231" s="239">
        <v>41871</v>
      </c>
      <c r="AL231" s="229" t="s">
        <v>285</v>
      </c>
      <c r="AM231" s="240">
        <v>0</v>
      </c>
      <c r="AN231" s="266">
        <v>0</v>
      </c>
      <c r="AO231" s="266">
        <v>0</v>
      </c>
      <c r="AP231" s="258">
        <v>0</v>
      </c>
      <c r="AW231" s="239">
        <v>41871</v>
      </c>
      <c r="AX231" s="229" t="s">
        <v>282</v>
      </c>
      <c r="AY231" s="240">
        <v>2</v>
      </c>
      <c r="AZ231" s="266">
        <v>0</v>
      </c>
      <c r="BA231" s="266">
        <v>1</v>
      </c>
      <c r="BB231" s="258">
        <v>3</v>
      </c>
      <c r="BI231" s="1"/>
      <c r="BJ231" s="241" t="s">
        <v>279</v>
      </c>
      <c r="BK231" s="242">
        <v>0</v>
      </c>
      <c r="BL231" s="267">
        <v>0</v>
      </c>
      <c r="BM231" s="267">
        <v>1</v>
      </c>
      <c r="BN231" s="247">
        <v>1</v>
      </c>
    </row>
    <row r="232" spans="1:66" x14ac:dyDescent="0.2">
      <c r="A232" s="1"/>
      <c r="B232" s="241" t="s">
        <v>292</v>
      </c>
      <c r="C232" s="242">
        <v>0</v>
      </c>
      <c r="D232" s="267">
        <v>0</v>
      </c>
      <c r="E232" s="267">
        <v>0</v>
      </c>
      <c r="F232" s="247">
        <v>0</v>
      </c>
      <c r="H232" s="14"/>
      <c r="I232" s="14"/>
      <c r="J232" s="14"/>
      <c r="M232" s="1"/>
      <c r="N232" s="241" t="s">
        <v>276</v>
      </c>
      <c r="O232" s="242">
        <v>0</v>
      </c>
      <c r="P232" s="267">
        <v>0</v>
      </c>
      <c r="Q232" s="267">
        <v>0</v>
      </c>
      <c r="R232" s="247">
        <v>0</v>
      </c>
      <c r="Y232" s="1"/>
      <c r="Z232" s="241" t="s">
        <v>289</v>
      </c>
      <c r="AA232" s="242">
        <v>0</v>
      </c>
      <c r="AB232" s="267">
        <v>0</v>
      </c>
      <c r="AC232" s="267">
        <v>0</v>
      </c>
      <c r="AD232" s="247">
        <v>0</v>
      </c>
      <c r="AK232" s="1"/>
      <c r="AL232" s="241" t="s">
        <v>286</v>
      </c>
      <c r="AM232" s="242">
        <v>5</v>
      </c>
      <c r="AN232" s="267">
        <v>2</v>
      </c>
      <c r="AO232" s="267">
        <v>3</v>
      </c>
      <c r="AP232" s="247">
        <v>10</v>
      </c>
      <c r="AW232" s="1"/>
      <c r="AX232" s="241" t="s">
        <v>283</v>
      </c>
      <c r="AY232" s="242">
        <v>26</v>
      </c>
      <c r="AZ232" s="267">
        <v>39</v>
      </c>
      <c r="BA232" s="267">
        <v>6</v>
      </c>
      <c r="BB232" s="247">
        <v>71</v>
      </c>
      <c r="BI232" s="1"/>
      <c r="BJ232" s="241" t="s">
        <v>280</v>
      </c>
      <c r="BK232" s="242">
        <v>0</v>
      </c>
      <c r="BL232" s="267">
        <v>0</v>
      </c>
      <c r="BM232" s="267">
        <v>0</v>
      </c>
      <c r="BN232" s="247">
        <v>0</v>
      </c>
    </row>
    <row r="233" spans="1:66" x14ac:dyDescent="0.2">
      <c r="A233" s="1"/>
      <c r="B233" s="241" t="s">
        <v>293</v>
      </c>
      <c r="C233" s="242">
        <v>0</v>
      </c>
      <c r="D233" s="267">
        <v>0</v>
      </c>
      <c r="E233" s="267">
        <v>0</v>
      </c>
      <c r="F233" s="247">
        <v>0</v>
      </c>
      <c r="H233" s="14"/>
      <c r="I233" s="14"/>
      <c r="J233" s="14"/>
      <c r="M233" s="1"/>
      <c r="N233" s="241" t="s">
        <v>277</v>
      </c>
      <c r="O233" s="242">
        <v>0</v>
      </c>
      <c r="P233" s="267">
        <v>0</v>
      </c>
      <c r="Q233" s="267">
        <v>0</v>
      </c>
      <c r="R233" s="247">
        <v>0</v>
      </c>
      <c r="Y233" s="1"/>
      <c r="Z233" s="241" t="s">
        <v>290</v>
      </c>
      <c r="AA233" s="242">
        <v>0</v>
      </c>
      <c r="AB233" s="267">
        <v>0</v>
      </c>
      <c r="AC233" s="267">
        <v>0</v>
      </c>
      <c r="AD233" s="247">
        <v>0</v>
      </c>
      <c r="AK233" s="1"/>
      <c r="AL233" s="241" t="s">
        <v>287</v>
      </c>
      <c r="AM233" s="242">
        <v>0</v>
      </c>
      <c r="AN233" s="267">
        <v>0</v>
      </c>
      <c r="AO233" s="267">
        <v>0</v>
      </c>
      <c r="AP233" s="247">
        <v>0</v>
      </c>
      <c r="AW233" s="1"/>
      <c r="AX233" s="241" t="s">
        <v>284</v>
      </c>
      <c r="AY233" s="242">
        <v>0</v>
      </c>
      <c r="AZ233" s="267">
        <v>0</v>
      </c>
      <c r="BA233" s="267">
        <v>0</v>
      </c>
      <c r="BB233" s="247">
        <v>0</v>
      </c>
      <c r="BI233" s="1"/>
      <c r="BJ233" s="241" t="s">
        <v>281</v>
      </c>
      <c r="BK233" s="242">
        <v>0</v>
      </c>
      <c r="BL233" s="267">
        <v>0</v>
      </c>
      <c r="BM233" s="267">
        <v>0</v>
      </c>
      <c r="BN233" s="247">
        <v>0</v>
      </c>
    </row>
    <row r="234" spans="1:66" x14ac:dyDescent="0.2">
      <c r="A234" s="239">
        <v>41872</v>
      </c>
      <c r="B234" s="229" t="s">
        <v>291</v>
      </c>
      <c r="C234" s="240">
        <v>0</v>
      </c>
      <c r="D234" s="266">
        <v>0</v>
      </c>
      <c r="E234" s="266">
        <v>0</v>
      </c>
      <c r="F234" s="258">
        <v>0</v>
      </c>
      <c r="H234" s="14"/>
      <c r="I234" s="14"/>
      <c r="J234" s="14"/>
      <c r="M234" s="239">
        <v>41872</v>
      </c>
      <c r="N234" s="229" t="s">
        <v>275</v>
      </c>
      <c r="O234" s="240">
        <v>0</v>
      </c>
      <c r="P234" s="266">
        <v>0</v>
      </c>
      <c r="Q234" s="266">
        <v>0</v>
      </c>
      <c r="R234" s="258">
        <v>0</v>
      </c>
      <c r="Y234" s="239">
        <v>41872</v>
      </c>
      <c r="Z234" s="229" t="s">
        <v>288</v>
      </c>
      <c r="AA234" s="240">
        <v>0</v>
      </c>
      <c r="AB234" s="266">
        <v>1</v>
      </c>
      <c r="AC234" s="266">
        <v>1</v>
      </c>
      <c r="AD234" s="258">
        <v>2</v>
      </c>
      <c r="AK234" s="239">
        <v>41872</v>
      </c>
      <c r="AL234" s="229" t="s">
        <v>285</v>
      </c>
      <c r="AM234" s="240">
        <v>0</v>
      </c>
      <c r="AN234" s="266">
        <v>0</v>
      </c>
      <c r="AO234" s="266">
        <v>0</v>
      </c>
      <c r="AP234" s="258">
        <v>0</v>
      </c>
      <c r="AW234" s="239">
        <v>41872</v>
      </c>
      <c r="AX234" s="229" t="s">
        <v>282</v>
      </c>
      <c r="AY234" s="240">
        <v>0</v>
      </c>
      <c r="AZ234" s="266">
        <v>1</v>
      </c>
      <c r="BA234" s="266">
        <v>1</v>
      </c>
      <c r="BB234" s="258">
        <v>2</v>
      </c>
      <c r="BI234" s="239">
        <v>41853</v>
      </c>
      <c r="BJ234" s="229" t="s">
        <v>278</v>
      </c>
      <c r="BK234" s="240">
        <v>0</v>
      </c>
      <c r="BL234" s="266">
        <v>1</v>
      </c>
      <c r="BM234" s="266">
        <v>2</v>
      </c>
      <c r="BN234" s="258">
        <v>3</v>
      </c>
    </row>
    <row r="235" spans="1:66" x14ac:dyDescent="0.2">
      <c r="A235" s="1"/>
      <c r="B235" s="241" t="s">
        <v>292</v>
      </c>
      <c r="C235" s="242">
        <v>0</v>
      </c>
      <c r="D235" s="267">
        <v>0</v>
      </c>
      <c r="E235" s="267">
        <v>0</v>
      </c>
      <c r="F235" s="247">
        <v>0</v>
      </c>
      <c r="H235" s="14"/>
      <c r="I235" s="14"/>
      <c r="J235" s="14"/>
      <c r="M235" s="1"/>
      <c r="N235" s="241" t="s">
        <v>276</v>
      </c>
      <c r="O235" s="242">
        <v>0</v>
      </c>
      <c r="P235" s="267">
        <v>0</v>
      </c>
      <c r="Q235" s="267">
        <v>0</v>
      </c>
      <c r="R235" s="247">
        <v>0</v>
      </c>
      <c r="Y235" s="1"/>
      <c r="Z235" s="241" t="s">
        <v>289</v>
      </c>
      <c r="AA235" s="242">
        <v>0</v>
      </c>
      <c r="AB235" s="267">
        <v>0</v>
      </c>
      <c r="AC235" s="267">
        <v>0</v>
      </c>
      <c r="AD235" s="247">
        <v>0</v>
      </c>
      <c r="AK235" s="1"/>
      <c r="AL235" s="241" t="s">
        <v>286</v>
      </c>
      <c r="AM235" s="242">
        <v>5</v>
      </c>
      <c r="AN235" s="267">
        <v>0</v>
      </c>
      <c r="AO235" s="267">
        <v>3</v>
      </c>
      <c r="AP235" s="247">
        <v>8</v>
      </c>
      <c r="AW235" s="1"/>
      <c r="AX235" s="241" t="s">
        <v>283</v>
      </c>
      <c r="AY235" s="242">
        <v>37</v>
      </c>
      <c r="AZ235" s="267">
        <v>21</v>
      </c>
      <c r="BA235" s="267">
        <v>21</v>
      </c>
      <c r="BB235" s="247">
        <v>79</v>
      </c>
      <c r="BI235" s="1"/>
      <c r="BJ235" s="241" t="s">
        <v>279</v>
      </c>
      <c r="BK235" s="242">
        <v>0</v>
      </c>
      <c r="BL235" s="267">
        <v>0</v>
      </c>
      <c r="BM235" s="267">
        <v>0</v>
      </c>
      <c r="BN235" s="247">
        <v>0</v>
      </c>
    </row>
    <row r="236" spans="1:66" x14ac:dyDescent="0.2">
      <c r="A236" s="1"/>
      <c r="B236" s="241" t="s">
        <v>293</v>
      </c>
      <c r="C236" s="242">
        <v>0</v>
      </c>
      <c r="D236" s="267">
        <v>0</v>
      </c>
      <c r="E236" s="267">
        <v>0</v>
      </c>
      <c r="F236" s="247">
        <v>0</v>
      </c>
      <c r="H236" s="14"/>
      <c r="I236" s="14"/>
      <c r="J236" s="14"/>
      <c r="M236" s="1"/>
      <c r="N236" s="241" t="s">
        <v>277</v>
      </c>
      <c r="O236" s="242">
        <v>0</v>
      </c>
      <c r="P236" s="267">
        <v>0</v>
      </c>
      <c r="Q236" s="267">
        <v>0</v>
      </c>
      <c r="R236" s="247">
        <v>0</v>
      </c>
      <c r="Y236" s="1"/>
      <c r="Z236" s="241" t="s">
        <v>290</v>
      </c>
      <c r="AA236" s="242">
        <v>0</v>
      </c>
      <c r="AB236" s="267">
        <v>0</v>
      </c>
      <c r="AC236" s="267">
        <v>0</v>
      </c>
      <c r="AD236" s="247">
        <v>0</v>
      </c>
      <c r="AK236" s="1"/>
      <c r="AL236" s="241" t="s">
        <v>287</v>
      </c>
      <c r="AM236" s="242">
        <v>0</v>
      </c>
      <c r="AN236" s="267">
        <v>0</v>
      </c>
      <c r="AO236" s="267">
        <v>0</v>
      </c>
      <c r="AP236" s="247">
        <v>0</v>
      </c>
      <c r="AW236" s="1"/>
      <c r="AX236" s="241" t="s">
        <v>284</v>
      </c>
      <c r="AY236" s="242">
        <v>0</v>
      </c>
      <c r="AZ236" s="267">
        <v>0</v>
      </c>
      <c r="BA236" s="267">
        <v>0</v>
      </c>
      <c r="BB236" s="247">
        <v>0</v>
      </c>
      <c r="BI236" s="1"/>
      <c r="BJ236" s="241" t="s">
        <v>280</v>
      </c>
      <c r="BK236" s="242">
        <v>0</v>
      </c>
      <c r="BL236" s="267">
        <v>0</v>
      </c>
      <c r="BM236" s="267">
        <v>0</v>
      </c>
      <c r="BN236" s="247">
        <v>0</v>
      </c>
    </row>
    <row r="237" spans="1:66" x14ac:dyDescent="0.2">
      <c r="A237" s="239">
        <v>41873</v>
      </c>
      <c r="B237" s="229" t="s">
        <v>291</v>
      </c>
      <c r="C237" s="240">
        <v>0</v>
      </c>
      <c r="D237" s="266">
        <v>0</v>
      </c>
      <c r="E237" s="266">
        <v>0</v>
      </c>
      <c r="F237" s="258">
        <v>0</v>
      </c>
      <c r="H237" s="14"/>
      <c r="I237" s="14"/>
      <c r="J237" s="14"/>
      <c r="M237" s="239">
        <v>41873</v>
      </c>
      <c r="N237" s="229" t="s">
        <v>275</v>
      </c>
      <c r="O237" s="240">
        <v>0</v>
      </c>
      <c r="P237" s="266">
        <v>0</v>
      </c>
      <c r="Q237" s="266">
        <v>0</v>
      </c>
      <c r="R237" s="258">
        <v>0</v>
      </c>
      <c r="Y237" s="239">
        <v>41873</v>
      </c>
      <c r="Z237" s="229" t="s">
        <v>288</v>
      </c>
      <c r="AA237" s="240">
        <v>1</v>
      </c>
      <c r="AB237" s="266">
        <v>1</v>
      </c>
      <c r="AC237" s="266">
        <v>2</v>
      </c>
      <c r="AD237" s="258">
        <v>4</v>
      </c>
      <c r="AK237" s="239">
        <v>41873</v>
      </c>
      <c r="AL237" s="229" t="s">
        <v>285</v>
      </c>
      <c r="AM237" s="240">
        <v>0</v>
      </c>
      <c r="AN237" s="266">
        <v>0</v>
      </c>
      <c r="AO237" s="266">
        <v>0</v>
      </c>
      <c r="AP237" s="258">
        <v>0</v>
      </c>
      <c r="AW237" s="239">
        <v>41873</v>
      </c>
      <c r="AX237" s="229" t="s">
        <v>282</v>
      </c>
      <c r="AY237" s="240">
        <v>1</v>
      </c>
      <c r="AZ237" s="266">
        <v>0</v>
      </c>
      <c r="BA237" s="266">
        <v>1</v>
      </c>
      <c r="BB237" s="258">
        <v>2</v>
      </c>
      <c r="BI237" s="1"/>
      <c r="BJ237" s="241" t="s">
        <v>281</v>
      </c>
      <c r="BK237" s="242">
        <v>0</v>
      </c>
      <c r="BL237" s="267">
        <v>0</v>
      </c>
      <c r="BM237" s="267">
        <v>0</v>
      </c>
      <c r="BN237" s="247">
        <v>0</v>
      </c>
    </row>
    <row r="238" spans="1:66" x14ac:dyDescent="0.2">
      <c r="A238" s="1"/>
      <c r="B238" s="241" t="s">
        <v>292</v>
      </c>
      <c r="C238" s="242">
        <v>0</v>
      </c>
      <c r="D238" s="267">
        <v>0</v>
      </c>
      <c r="E238" s="267">
        <v>0</v>
      </c>
      <c r="F238" s="247">
        <v>0</v>
      </c>
      <c r="H238" s="14"/>
      <c r="I238" s="14"/>
      <c r="J238" s="14"/>
      <c r="M238" s="1"/>
      <c r="N238" s="241" t="s">
        <v>276</v>
      </c>
      <c r="O238" s="242">
        <v>0</v>
      </c>
      <c r="P238" s="267">
        <v>0</v>
      </c>
      <c r="Q238" s="267">
        <v>0</v>
      </c>
      <c r="R238" s="247">
        <v>0</v>
      </c>
      <c r="Y238" s="1"/>
      <c r="Z238" s="241" t="s">
        <v>289</v>
      </c>
      <c r="AA238" s="242">
        <v>0</v>
      </c>
      <c r="AB238" s="267">
        <v>0</v>
      </c>
      <c r="AC238" s="267">
        <v>0</v>
      </c>
      <c r="AD238" s="247">
        <v>0</v>
      </c>
      <c r="AK238" s="1"/>
      <c r="AL238" s="241" t="s">
        <v>286</v>
      </c>
      <c r="AM238" s="242">
        <v>6</v>
      </c>
      <c r="AN238" s="267">
        <v>1</v>
      </c>
      <c r="AO238" s="267">
        <v>5</v>
      </c>
      <c r="AP238" s="247">
        <v>12</v>
      </c>
      <c r="AW238" s="1"/>
      <c r="AX238" s="241" t="s">
        <v>283</v>
      </c>
      <c r="AY238" s="242">
        <v>21</v>
      </c>
      <c r="AZ238" s="267">
        <v>13</v>
      </c>
      <c r="BA238" s="267">
        <v>18</v>
      </c>
      <c r="BB238" s="247">
        <v>52</v>
      </c>
      <c r="BI238" s="239">
        <v>41854</v>
      </c>
      <c r="BJ238" s="229" t="s">
        <v>278</v>
      </c>
      <c r="BK238" s="240">
        <v>1</v>
      </c>
      <c r="BL238" s="266">
        <v>0</v>
      </c>
      <c r="BM238" s="266">
        <v>0</v>
      </c>
      <c r="BN238" s="258">
        <v>1</v>
      </c>
    </row>
    <row r="239" spans="1:66" x14ac:dyDescent="0.2">
      <c r="A239" s="1"/>
      <c r="B239" s="241" t="s">
        <v>293</v>
      </c>
      <c r="C239" s="242">
        <v>0</v>
      </c>
      <c r="D239" s="267">
        <v>0</v>
      </c>
      <c r="E239" s="267">
        <v>0</v>
      </c>
      <c r="F239" s="247">
        <v>0</v>
      </c>
      <c r="H239" s="14"/>
      <c r="I239" s="14"/>
      <c r="J239" s="14"/>
      <c r="M239" s="1"/>
      <c r="N239" s="241" t="s">
        <v>277</v>
      </c>
      <c r="O239" s="242">
        <v>0</v>
      </c>
      <c r="P239" s="267">
        <v>0</v>
      </c>
      <c r="Q239" s="267">
        <v>0</v>
      </c>
      <c r="R239" s="247">
        <v>0</v>
      </c>
      <c r="Y239" s="1"/>
      <c r="Z239" s="241" t="s">
        <v>290</v>
      </c>
      <c r="AA239" s="242">
        <v>0</v>
      </c>
      <c r="AB239" s="267">
        <v>0</v>
      </c>
      <c r="AC239" s="267">
        <v>0</v>
      </c>
      <c r="AD239" s="247">
        <v>0</v>
      </c>
      <c r="AK239" s="1"/>
      <c r="AL239" s="241" t="s">
        <v>287</v>
      </c>
      <c r="AM239" s="242">
        <v>0</v>
      </c>
      <c r="AN239" s="267">
        <v>0</v>
      </c>
      <c r="AO239" s="267">
        <v>0</v>
      </c>
      <c r="AP239" s="247">
        <v>0</v>
      </c>
      <c r="AW239" s="1"/>
      <c r="AX239" s="241" t="s">
        <v>284</v>
      </c>
      <c r="AY239" s="242">
        <v>0</v>
      </c>
      <c r="AZ239" s="267">
        <v>0</v>
      </c>
      <c r="BA239" s="267">
        <v>0</v>
      </c>
      <c r="BB239" s="247">
        <v>0</v>
      </c>
      <c r="BI239" s="1"/>
      <c r="BJ239" s="241" t="s">
        <v>279</v>
      </c>
      <c r="BK239" s="242">
        <v>0</v>
      </c>
      <c r="BL239" s="267">
        <v>0</v>
      </c>
      <c r="BM239" s="267">
        <v>0</v>
      </c>
      <c r="BN239" s="247">
        <v>0</v>
      </c>
    </row>
    <row r="240" spans="1:66" x14ac:dyDescent="0.2">
      <c r="A240" s="239">
        <v>41874</v>
      </c>
      <c r="B240" s="229" t="s">
        <v>291</v>
      </c>
      <c r="C240" s="240">
        <v>0</v>
      </c>
      <c r="D240" s="266">
        <v>0</v>
      </c>
      <c r="E240" s="266">
        <v>0</v>
      </c>
      <c r="F240" s="258">
        <v>0</v>
      </c>
      <c r="H240" s="14"/>
      <c r="I240" s="14"/>
      <c r="J240" s="14"/>
      <c r="M240" s="239">
        <v>41874</v>
      </c>
      <c r="N240" s="229" t="s">
        <v>275</v>
      </c>
      <c r="O240" s="240">
        <v>0</v>
      </c>
      <c r="P240" s="266">
        <v>0</v>
      </c>
      <c r="Q240" s="266">
        <v>0</v>
      </c>
      <c r="R240" s="258">
        <v>0</v>
      </c>
      <c r="Y240" s="239">
        <v>41874</v>
      </c>
      <c r="Z240" s="229" t="s">
        <v>288</v>
      </c>
      <c r="AA240" s="240">
        <v>0</v>
      </c>
      <c r="AB240" s="266">
        <v>0</v>
      </c>
      <c r="AC240" s="266">
        <v>1</v>
      </c>
      <c r="AD240" s="258">
        <v>1</v>
      </c>
      <c r="AK240" s="239">
        <v>41874</v>
      </c>
      <c r="AL240" s="229" t="s">
        <v>285</v>
      </c>
      <c r="AM240" s="240">
        <v>0</v>
      </c>
      <c r="AN240" s="266">
        <v>0</v>
      </c>
      <c r="AO240" s="266">
        <v>0</v>
      </c>
      <c r="AP240" s="258">
        <v>0</v>
      </c>
      <c r="AW240" s="239">
        <v>41874</v>
      </c>
      <c r="AX240" s="229" t="s">
        <v>282</v>
      </c>
      <c r="AY240" s="240">
        <v>1</v>
      </c>
      <c r="AZ240" s="266">
        <v>0</v>
      </c>
      <c r="BA240" s="266">
        <v>1</v>
      </c>
      <c r="BB240" s="258">
        <v>2</v>
      </c>
      <c r="BI240" s="1"/>
      <c r="BJ240" s="241" t="s">
        <v>280</v>
      </c>
      <c r="BK240" s="242">
        <v>0</v>
      </c>
      <c r="BL240" s="267">
        <v>0</v>
      </c>
      <c r="BM240" s="267">
        <v>0</v>
      </c>
      <c r="BN240" s="247">
        <v>0</v>
      </c>
    </row>
    <row r="241" spans="1:66" x14ac:dyDescent="0.2">
      <c r="A241" s="1"/>
      <c r="B241" s="241" t="s">
        <v>292</v>
      </c>
      <c r="C241" s="242">
        <v>0</v>
      </c>
      <c r="D241" s="267">
        <v>0</v>
      </c>
      <c r="E241" s="267">
        <v>0</v>
      </c>
      <c r="F241" s="247">
        <v>0</v>
      </c>
      <c r="H241" s="14"/>
      <c r="I241" s="14"/>
      <c r="J241" s="14"/>
      <c r="M241" s="1"/>
      <c r="N241" s="241" t="s">
        <v>276</v>
      </c>
      <c r="O241" s="242">
        <v>0</v>
      </c>
      <c r="P241" s="267">
        <v>0</v>
      </c>
      <c r="Q241" s="267">
        <v>0</v>
      </c>
      <c r="R241" s="247">
        <v>0</v>
      </c>
      <c r="Y241" s="1"/>
      <c r="Z241" s="241" t="s">
        <v>289</v>
      </c>
      <c r="AA241" s="242">
        <v>0</v>
      </c>
      <c r="AB241" s="267">
        <v>0</v>
      </c>
      <c r="AC241" s="267">
        <v>0</v>
      </c>
      <c r="AD241" s="247">
        <v>0</v>
      </c>
      <c r="AK241" s="1"/>
      <c r="AL241" s="241" t="s">
        <v>286</v>
      </c>
      <c r="AM241" s="242">
        <v>1</v>
      </c>
      <c r="AN241" s="267">
        <v>0</v>
      </c>
      <c r="AO241" s="267">
        <v>4</v>
      </c>
      <c r="AP241" s="247">
        <v>5</v>
      </c>
      <c r="AW241" s="1"/>
      <c r="AX241" s="241" t="s">
        <v>283</v>
      </c>
      <c r="AY241" s="242">
        <v>21</v>
      </c>
      <c r="AZ241" s="267">
        <v>6</v>
      </c>
      <c r="BA241" s="267">
        <v>12</v>
      </c>
      <c r="BB241" s="247">
        <v>39</v>
      </c>
      <c r="BI241" s="1"/>
      <c r="BJ241" s="241" t="s">
        <v>281</v>
      </c>
      <c r="BK241" s="242">
        <v>0</v>
      </c>
      <c r="BL241" s="267">
        <v>0</v>
      </c>
      <c r="BM241" s="267">
        <v>0</v>
      </c>
      <c r="BN241" s="247">
        <v>0</v>
      </c>
    </row>
    <row r="242" spans="1:66" x14ac:dyDescent="0.2">
      <c r="A242" s="1"/>
      <c r="B242" s="241" t="s">
        <v>293</v>
      </c>
      <c r="C242" s="242">
        <v>0</v>
      </c>
      <c r="D242" s="267">
        <v>0</v>
      </c>
      <c r="E242" s="267">
        <v>0</v>
      </c>
      <c r="F242" s="247">
        <v>0</v>
      </c>
      <c r="H242" s="14"/>
      <c r="I242" s="14"/>
      <c r="J242" s="14"/>
      <c r="M242" s="1"/>
      <c r="N242" s="241" t="s">
        <v>277</v>
      </c>
      <c r="O242" s="242">
        <v>0</v>
      </c>
      <c r="P242" s="267">
        <v>0</v>
      </c>
      <c r="Q242" s="267">
        <v>0</v>
      </c>
      <c r="R242" s="247">
        <v>0</v>
      </c>
      <c r="Y242" s="1"/>
      <c r="Z242" s="241" t="s">
        <v>290</v>
      </c>
      <c r="AA242" s="242">
        <v>0</v>
      </c>
      <c r="AB242" s="267">
        <v>0</v>
      </c>
      <c r="AC242" s="267">
        <v>0</v>
      </c>
      <c r="AD242" s="247">
        <v>0</v>
      </c>
      <c r="AK242" s="1"/>
      <c r="AL242" s="241" t="s">
        <v>287</v>
      </c>
      <c r="AM242" s="242">
        <v>0</v>
      </c>
      <c r="AN242" s="267">
        <v>0</v>
      </c>
      <c r="AO242" s="267">
        <v>0</v>
      </c>
      <c r="AP242" s="247">
        <v>0</v>
      </c>
      <c r="AW242" s="1"/>
      <c r="AX242" s="241" t="s">
        <v>284</v>
      </c>
      <c r="AY242" s="242">
        <v>0</v>
      </c>
      <c r="AZ242" s="267">
        <v>0</v>
      </c>
      <c r="BA242" s="267">
        <v>0</v>
      </c>
      <c r="BB242" s="247">
        <v>0</v>
      </c>
      <c r="BI242" s="239">
        <v>41855</v>
      </c>
      <c r="BJ242" s="229" t="s">
        <v>278</v>
      </c>
      <c r="BK242" s="240">
        <v>2</v>
      </c>
      <c r="BL242" s="266">
        <v>0</v>
      </c>
      <c r="BM242" s="266">
        <v>2</v>
      </c>
      <c r="BN242" s="258">
        <v>4</v>
      </c>
    </row>
    <row r="243" spans="1:66" x14ac:dyDescent="0.2">
      <c r="A243" s="239">
        <v>41875</v>
      </c>
      <c r="B243" s="229" t="s">
        <v>291</v>
      </c>
      <c r="C243" s="240">
        <v>0</v>
      </c>
      <c r="D243" s="266">
        <v>0</v>
      </c>
      <c r="E243" s="266">
        <v>0</v>
      </c>
      <c r="F243" s="258">
        <v>0</v>
      </c>
      <c r="H243" s="14"/>
      <c r="I243" s="14"/>
      <c r="J243" s="14"/>
      <c r="M243" s="239">
        <v>41875</v>
      </c>
      <c r="N243" s="229" t="s">
        <v>275</v>
      </c>
      <c r="O243" s="240">
        <v>0</v>
      </c>
      <c r="P243" s="266">
        <v>0</v>
      </c>
      <c r="Q243" s="266">
        <v>0</v>
      </c>
      <c r="R243" s="258">
        <v>0</v>
      </c>
      <c r="Y243" s="239">
        <v>41875</v>
      </c>
      <c r="Z243" s="229" t="s">
        <v>288</v>
      </c>
      <c r="AA243" s="240">
        <v>0</v>
      </c>
      <c r="AB243" s="266">
        <v>1</v>
      </c>
      <c r="AC243" s="266">
        <v>1</v>
      </c>
      <c r="AD243" s="258">
        <v>2</v>
      </c>
      <c r="AK243" s="239">
        <v>41875</v>
      </c>
      <c r="AL243" s="229" t="s">
        <v>285</v>
      </c>
      <c r="AM243" s="240">
        <v>0</v>
      </c>
      <c r="AN243" s="266">
        <v>0</v>
      </c>
      <c r="AO243" s="266">
        <v>0</v>
      </c>
      <c r="AP243" s="258">
        <v>0</v>
      </c>
      <c r="AW243" s="239">
        <v>41875</v>
      </c>
      <c r="AX243" s="229" t="s">
        <v>282</v>
      </c>
      <c r="AY243" s="240">
        <v>0</v>
      </c>
      <c r="AZ243" s="266">
        <v>1</v>
      </c>
      <c r="BA243" s="266">
        <v>1</v>
      </c>
      <c r="BB243" s="258">
        <v>2</v>
      </c>
      <c r="BI243" s="1"/>
      <c r="BJ243" s="241" t="s">
        <v>279</v>
      </c>
      <c r="BK243" s="242">
        <v>0</v>
      </c>
      <c r="BL243" s="267">
        <v>0</v>
      </c>
      <c r="BM243" s="267">
        <v>0</v>
      </c>
      <c r="BN243" s="247">
        <v>0</v>
      </c>
    </row>
    <row r="244" spans="1:66" x14ac:dyDescent="0.2">
      <c r="A244" s="1"/>
      <c r="B244" s="241" t="s">
        <v>292</v>
      </c>
      <c r="C244" s="242">
        <v>0</v>
      </c>
      <c r="D244" s="267">
        <v>0</v>
      </c>
      <c r="E244" s="267">
        <v>1</v>
      </c>
      <c r="F244" s="247">
        <v>1</v>
      </c>
      <c r="H244" s="14"/>
      <c r="I244" s="14"/>
      <c r="J244" s="14"/>
      <c r="M244" s="1"/>
      <c r="N244" s="241" t="s">
        <v>276</v>
      </c>
      <c r="O244" s="242">
        <v>0</v>
      </c>
      <c r="P244" s="267">
        <v>0</v>
      </c>
      <c r="Q244" s="267">
        <v>0</v>
      </c>
      <c r="R244" s="247">
        <v>0</v>
      </c>
      <c r="Y244" s="1"/>
      <c r="Z244" s="241" t="s">
        <v>289</v>
      </c>
      <c r="AA244" s="242">
        <v>0</v>
      </c>
      <c r="AB244" s="267">
        <v>0</v>
      </c>
      <c r="AC244" s="267">
        <v>0</v>
      </c>
      <c r="AD244" s="247">
        <v>0</v>
      </c>
      <c r="AK244" s="1"/>
      <c r="AL244" s="241" t="s">
        <v>286</v>
      </c>
      <c r="AM244" s="242">
        <v>1</v>
      </c>
      <c r="AN244" s="267">
        <v>0</v>
      </c>
      <c r="AO244" s="267">
        <v>0</v>
      </c>
      <c r="AP244" s="247">
        <v>1</v>
      </c>
      <c r="AW244" s="1"/>
      <c r="AX244" s="241" t="s">
        <v>283</v>
      </c>
      <c r="AY244" s="242">
        <v>13</v>
      </c>
      <c r="AZ244" s="267">
        <v>27</v>
      </c>
      <c r="BA244" s="267">
        <v>9</v>
      </c>
      <c r="BB244" s="247">
        <v>49</v>
      </c>
      <c r="BI244" s="1"/>
      <c r="BJ244" s="241" t="s">
        <v>280</v>
      </c>
      <c r="BK244" s="242">
        <v>0</v>
      </c>
      <c r="BL244" s="267">
        <v>0</v>
      </c>
      <c r="BM244" s="267">
        <v>0</v>
      </c>
      <c r="BN244" s="247">
        <v>0</v>
      </c>
    </row>
    <row r="245" spans="1:66" x14ac:dyDescent="0.2">
      <c r="A245" s="1"/>
      <c r="B245" s="241" t="s">
        <v>293</v>
      </c>
      <c r="C245" s="242">
        <v>0</v>
      </c>
      <c r="D245" s="267">
        <v>0</v>
      </c>
      <c r="E245" s="267">
        <v>0</v>
      </c>
      <c r="F245" s="247">
        <v>0</v>
      </c>
      <c r="H245" s="14"/>
      <c r="I245" s="14"/>
      <c r="J245" s="14"/>
      <c r="M245" s="1"/>
      <c r="N245" s="241" t="s">
        <v>277</v>
      </c>
      <c r="O245" s="242">
        <v>0</v>
      </c>
      <c r="P245" s="267">
        <v>0</v>
      </c>
      <c r="Q245" s="267">
        <v>0</v>
      </c>
      <c r="R245" s="247">
        <v>0</v>
      </c>
      <c r="Y245" s="1"/>
      <c r="Z245" s="241" t="s">
        <v>290</v>
      </c>
      <c r="AA245" s="242">
        <v>0</v>
      </c>
      <c r="AB245" s="267">
        <v>0</v>
      </c>
      <c r="AC245" s="267">
        <v>0</v>
      </c>
      <c r="AD245" s="247">
        <v>0</v>
      </c>
      <c r="AK245" s="1"/>
      <c r="AL245" s="241" t="s">
        <v>287</v>
      </c>
      <c r="AM245" s="242">
        <v>0</v>
      </c>
      <c r="AN245" s="267">
        <v>0</v>
      </c>
      <c r="AO245" s="267">
        <v>0</v>
      </c>
      <c r="AP245" s="247">
        <v>0</v>
      </c>
      <c r="AW245" s="1"/>
      <c r="AX245" s="241" t="s">
        <v>284</v>
      </c>
      <c r="AY245" s="242">
        <v>0</v>
      </c>
      <c r="AZ245" s="267">
        <v>0</v>
      </c>
      <c r="BA245" s="267">
        <v>0</v>
      </c>
      <c r="BB245" s="247">
        <v>0</v>
      </c>
      <c r="BI245" s="1"/>
      <c r="BJ245" s="241" t="s">
        <v>281</v>
      </c>
      <c r="BK245" s="242">
        <v>0</v>
      </c>
      <c r="BL245" s="267">
        <v>0</v>
      </c>
      <c r="BM245" s="267">
        <v>0</v>
      </c>
      <c r="BN245" s="247">
        <v>0</v>
      </c>
    </row>
    <row r="246" spans="1:66" x14ac:dyDescent="0.2">
      <c r="A246" s="239">
        <v>41876</v>
      </c>
      <c r="B246" s="229" t="s">
        <v>291</v>
      </c>
      <c r="C246" s="240">
        <v>0</v>
      </c>
      <c r="D246" s="266">
        <v>0</v>
      </c>
      <c r="E246" s="266">
        <v>0</v>
      </c>
      <c r="F246" s="258">
        <v>0</v>
      </c>
      <c r="H246" s="14"/>
      <c r="I246" s="14"/>
      <c r="J246" s="14"/>
      <c r="M246" s="239">
        <v>41876</v>
      </c>
      <c r="N246" s="229" t="s">
        <v>275</v>
      </c>
      <c r="O246" s="240">
        <v>0</v>
      </c>
      <c r="P246" s="266">
        <v>0</v>
      </c>
      <c r="Q246" s="266">
        <v>0</v>
      </c>
      <c r="R246" s="258">
        <v>0</v>
      </c>
      <c r="Y246" s="239">
        <v>41876</v>
      </c>
      <c r="Z246" s="229" t="s">
        <v>288</v>
      </c>
      <c r="AA246" s="240">
        <v>0</v>
      </c>
      <c r="AB246" s="266">
        <v>0</v>
      </c>
      <c r="AC246" s="266">
        <v>1</v>
      </c>
      <c r="AD246" s="258">
        <v>1</v>
      </c>
      <c r="AK246" s="239">
        <v>41876</v>
      </c>
      <c r="AL246" s="229" t="s">
        <v>285</v>
      </c>
      <c r="AM246" s="240">
        <v>0</v>
      </c>
      <c r="AN246" s="266">
        <v>0</v>
      </c>
      <c r="AO246" s="266">
        <v>0</v>
      </c>
      <c r="AP246" s="258">
        <v>0</v>
      </c>
      <c r="AW246" s="239">
        <v>41876</v>
      </c>
      <c r="AX246" s="229" t="s">
        <v>282</v>
      </c>
      <c r="AY246" s="240">
        <v>0</v>
      </c>
      <c r="AZ246" s="266">
        <v>0</v>
      </c>
      <c r="BA246" s="266">
        <v>0</v>
      </c>
      <c r="BB246" s="258">
        <v>0</v>
      </c>
      <c r="BI246" s="239">
        <v>41856</v>
      </c>
      <c r="BJ246" s="229" t="s">
        <v>278</v>
      </c>
      <c r="BK246" s="240">
        <v>1</v>
      </c>
      <c r="BL246" s="266">
        <v>0</v>
      </c>
      <c r="BM246" s="266">
        <v>2</v>
      </c>
      <c r="BN246" s="258">
        <v>3</v>
      </c>
    </row>
    <row r="247" spans="1:66" x14ac:dyDescent="0.2">
      <c r="A247" s="1"/>
      <c r="B247" s="241" t="s">
        <v>292</v>
      </c>
      <c r="C247" s="242">
        <v>0</v>
      </c>
      <c r="D247" s="267">
        <v>0</v>
      </c>
      <c r="E247" s="267">
        <v>0</v>
      </c>
      <c r="F247" s="247">
        <v>0</v>
      </c>
      <c r="H247" s="14"/>
      <c r="I247" s="14"/>
      <c r="J247" s="14"/>
      <c r="M247" s="1"/>
      <c r="N247" s="241" t="s">
        <v>276</v>
      </c>
      <c r="O247" s="242">
        <v>0</v>
      </c>
      <c r="P247" s="267">
        <v>0</v>
      </c>
      <c r="Q247" s="267">
        <v>0</v>
      </c>
      <c r="R247" s="247">
        <v>0</v>
      </c>
      <c r="Y247" s="1"/>
      <c r="Z247" s="241" t="s">
        <v>289</v>
      </c>
      <c r="AA247" s="242">
        <v>0</v>
      </c>
      <c r="AB247" s="267">
        <v>1</v>
      </c>
      <c r="AC247" s="267">
        <v>0</v>
      </c>
      <c r="AD247" s="247">
        <v>1</v>
      </c>
      <c r="AK247" s="1"/>
      <c r="AL247" s="241" t="s">
        <v>286</v>
      </c>
      <c r="AM247" s="242">
        <v>0</v>
      </c>
      <c r="AN247" s="267">
        <v>0</v>
      </c>
      <c r="AO247" s="267">
        <v>0</v>
      </c>
      <c r="AP247" s="247">
        <v>0</v>
      </c>
      <c r="AW247" s="1"/>
      <c r="AX247" s="241" t="s">
        <v>283</v>
      </c>
      <c r="AY247" s="242">
        <v>10</v>
      </c>
      <c r="AZ247" s="267">
        <v>33</v>
      </c>
      <c r="BA247" s="267">
        <v>5</v>
      </c>
      <c r="BB247" s="247">
        <v>48</v>
      </c>
      <c r="BI247" s="1"/>
      <c r="BJ247" s="241" t="s">
        <v>279</v>
      </c>
      <c r="BK247" s="242">
        <v>0</v>
      </c>
      <c r="BL247" s="267">
        <v>0</v>
      </c>
      <c r="BM247" s="267">
        <v>1</v>
      </c>
      <c r="BN247" s="247">
        <v>1</v>
      </c>
    </row>
    <row r="248" spans="1:66" x14ac:dyDescent="0.2">
      <c r="A248" s="1"/>
      <c r="B248" s="241" t="s">
        <v>293</v>
      </c>
      <c r="C248" s="242">
        <v>0</v>
      </c>
      <c r="D248" s="267">
        <v>0</v>
      </c>
      <c r="E248" s="267">
        <v>0</v>
      </c>
      <c r="F248" s="247">
        <v>0</v>
      </c>
      <c r="H248" s="14"/>
      <c r="I248" s="14"/>
      <c r="J248" s="14"/>
      <c r="M248" s="1"/>
      <c r="N248" s="241" t="s">
        <v>277</v>
      </c>
      <c r="O248" s="242">
        <v>0</v>
      </c>
      <c r="P248" s="267">
        <v>0</v>
      </c>
      <c r="Q248" s="267">
        <v>0</v>
      </c>
      <c r="R248" s="247">
        <v>0</v>
      </c>
      <c r="Y248" s="1"/>
      <c r="Z248" s="241" t="s">
        <v>290</v>
      </c>
      <c r="AA248" s="242">
        <v>0</v>
      </c>
      <c r="AB248" s="267">
        <v>0</v>
      </c>
      <c r="AC248" s="267">
        <v>0</v>
      </c>
      <c r="AD248" s="247">
        <v>0</v>
      </c>
      <c r="AK248" s="1"/>
      <c r="AL248" s="241" t="s">
        <v>287</v>
      </c>
      <c r="AM248" s="242">
        <v>0</v>
      </c>
      <c r="AN248" s="267">
        <v>0</v>
      </c>
      <c r="AO248" s="267">
        <v>0</v>
      </c>
      <c r="AP248" s="247">
        <v>0</v>
      </c>
      <c r="AW248" s="1"/>
      <c r="AX248" s="241" t="s">
        <v>284</v>
      </c>
      <c r="AY248" s="242">
        <v>0</v>
      </c>
      <c r="AZ248" s="267">
        <v>0</v>
      </c>
      <c r="BA248" s="267">
        <v>0</v>
      </c>
      <c r="BB248" s="247">
        <v>0</v>
      </c>
      <c r="BI248" s="1"/>
      <c r="BJ248" s="241" t="s">
        <v>280</v>
      </c>
      <c r="BK248" s="242">
        <v>0</v>
      </c>
      <c r="BL248" s="267">
        <v>0</v>
      </c>
      <c r="BM248" s="267">
        <v>0</v>
      </c>
      <c r="BN248" s="247">
        <v>0</v>
      </c>
    </row>
    <row r="249" spans="1:66" x14ac:dyDescent="0.2">
      <c r="A249" s="239">
        <v>41877</v>
      </c>
      <c r="B249" s="229" t="s">
        <v>291</v>
      </c>
      <c r="C249" s="240">
        <v>0</v>
      </c>
      <c r="D249" s="266">
        <v>0</v>
      </c>
      <c r="E249" s="266">
        <v>0</v>
      </c>
      <c r="F249" s="258">
        <v>0</v>
      </c>
      <c r="H249" s="14"/>
      <c r="I249" s="14"/>
      <c r="J249" s="14"/>
      <c r="M249" s="239">
        <v>41877</v>
      </c>
      <c r="N249" s="229" t="s">
        <v>275</v>
      </c>
      <c r="O249" s="240">
        <v>0</v>
      </c>
      <c r="P249" s="266">
        <v>0</v>
      </c>
      <c r="Q249" s="266">
        <v>0</v>
      </c>
      <c r="R249" s="258">
        <v>0</v>
      </c>
      <c r="Y249" s="239">
        <v>41877</v>
      </c>
      <c r="Z249" s="229" t="s">
        <v>288</v>
      </c>
      <c r="AA249" s="240">
        <v>0</v>
      </c>
      <c r="AB249" s="266">
        <v>0</v>
      </c>
      <c r="AC249" s="266">
        <v>0</v>
      </c>
      <c r="AD249" s="258">
        <v>0</v>
      </c>
      <c r="AK249" s="239">
        <v>41877</v>
      </c>
      <c r="AL249" s="229" t="s">
        <v>285</v>
      </c>
      <c r="AM249" s="240">
        <v>0</v>
      </c>
      <c r="AN249" s="266">
        <v>0</v>
      </c>
      <c r="AO249" s="266">
        <v>0</v>
      </c>
      <c r="AP249" s="258">
        <v>0</v>
      </c>
      <c r="AW249" s="239">
        <v>41877</v>
      </c>
      <c r="AX249" s="229" t="s">
        <v>282</v>
      </c>
      <c r="AY249" s="240">
        <v>0</v>
      </c>
      <c r="AZ249" s="266">
        <v>1</v>
      </c>
      <c r="BA249" s="266">
        <v>1</v>
      </c>
      <c r="BB249" s="258">
        <v>2</v>
      </c>
      <c r="BI249" s="1"/>
      <c r="BJ249" s="241" t="s">
        <v>281</v>
      </c>
      <c r="BK249" s="242">
        <v>0</v>
      </c>
      <c r="BL249" s="267">
        <v>0</v>
      </c>
      <c r="BM249" s="267">
        <v>0</v>
      </c>
      <c r="BN249" s="247">
        <v>0</v>
      </c>
    </row>
    <row r="250" spans="1:66" x14ac:dyDescent="0.2">
      <c r="A250" s="1"/>
      <c r="B250" s="241" t="s">
        <v>292</v>
      </c>
      <c r="C250" s="242">
        <v>0</v>
      </c>
      <c r="D250" s="267">
        <v>0</v>
      </c>
      <c r="E250" s="267">
        <v>0</v>
      </c>
      <c r="F250" s="247">
        <v>0</v>
      </c>
      <c r="H250" s="14"/>
      <c r="I250" s="14"/>
      <c r="J250" s="14"/>
      <c r="M250" s="1"/>
      <c r="N250" s="241" t="s">
        <v>276</v>
      </c>
      <c r="O250" s="242">
        <v>0</v>
      </c>
      <c r="P250" s="267">
        <v>0</v>
      </c>
      <c r="Q250" s="267">
        <v>0</v>
      </c>
      <c r="R250" s="247">
        <v>0</v>
      </c>
      <c r="Y250" s="1"/>
      <c r="Z250" s="241" t="s">
        <v>289</v>
      </c>
      <c r="AA250" s="242">
        <v>0</v>
      </c>
      <c r="AB250" s="267">
        <v>0</v>
      </c>
      <c r="AC250" s="267">
        <v>0</v>
      </c>
      <c r="AD250" s="247">
        <v>0</v>
      </c>
      <c r="AK250" s="1"/>
      <c r="AL250" s="241" t="s">
        <v>286</v>
      </c>
      <c r="AM250" s="242">
        <v>0</v>
      </c>
      <c r="AN250" s="267">
        <v>1</v>
      </c>
      <c r="AO250" s="267">
        <v>0</v>
      </c>
      <c r="AP250" s="247">
        <v>1</v>
      </c>
      <c r="AW250" s="1"/>
      <c r="AX250" s="241" t="s">
        <v>283</v>
      </c>
      <c r="AY250" s="242">
        <v>4</v>
      </c>
      <c r="AZ250" s="267">
        <v>14</v>
      </c>
      <c r="BA250" s="267">
        <v>3</v>
      </c>
      <c r="BB250" s="247">
        <v>21</v>
      </c>
      <c r="BI250" s="239">
        <v>41857</v>
      </c>
      <c r="BJ250" s="229" t="s">
        <v>278</v>
      </c>
      <c r="BK250" s="240">
        <v>0</v>
      </c>
      <c r="BL250" s="266">
        <v>1</v>
      </c>
      <c r="BM250" s="266">
        <v>3</v>
      </c>
      <c r="BN250" s="258">
        <v>4</v>
      </c>
    </row>
    <row r="251" spans="1:66" x14ac:dyDescent="0.2">
      <c r="A251" s="1"/>
      <c r="B251" s="241" t="s">
        <v>293</v>
      </c>
      <c r="C251" s="242">
        <v>0</v>
      </c>
      <c r="D251" s="267">
        <v>0</v>
      </c>
      <c r="E251" s="267">
        <v>0</v>
      </c>
      <c r="F251" s="247">
        <v>0</v>
      </c>
      <c r="H251" s="14"/>
      <c r="I251" s="14"/>
      <c r="J251" s="14"/>
      <c r="M251" s="1"/>
      <c r="N251" s="241" t="s">
        <v>277</v>
      </c>
      <c r="O251" s="242">
        <v>0</v>
      </c>
      <c r="P251" s="267">
        <v>0</v>
      </c>
      <c r="Q251" s="267">
        <v>0</v>
      </c>
      <c r="R251" s="247">
        <v>0</v>
      </c>
      <c r="Y251" s="1"/>
      <c r="Z251" s="241" t="s">
        <v>290</v>
      </c>
      <c r="AA251" s="242">
        <v>0</v>
      </c>
      <c r="AB251" s="267">
        <v>0</v>
      </c>
      <c r="AC251" s="267">
        <v>0</v>
      </c>
      <c r="AD251" s="247">
        <v>0</v>
      </c>
      <c r="AK251" s="1"/>
      <c r="AL251" s="241" t="s">
        <v>287</v>
      </c>
      <c r="AM251" s="242">
        <v>0</v>
      </c>
      <c r="AN251" s="267">
        <v>0</v>
      </c>
      <c r="AO251" s="267">
        <v>0</v>
      </c>
      <c r="AP251" s="247">
        <v>0</v>
      </c>
      <c r="AW251" s="1"/>
      <c r="AX251" s="241" t="s">
        <v>284</v>
      </c>
      <c r="AY251" s="242">
        <v>0</v>
      </c>
      <c r="AZ251" s="267">
        <v>0</v>
      </c>
      <c r="BA251" s="267">
        <v>0</v>
      </c>
      <c r="BB251" s="247">
        <v>0</v>
      </c>
      <c r="BI251" s="1"/>
      <c r="BJ251" s="241" t="s">
        <v>279</v>
      </c>
      <c r="BK251" s="242">
        <v>0</v>
      </c>
      <c r="BL251" s="267">
        <v>0</v>
      </c>
      <c r="BM251" s="267">
        <v>0</v>
      </c>
      <c r="BN251" s="247">
        <v>0</v>
      </c>
    </row>
    <row r="252" spans="1:66" x14ac:dyDescent="0.2">
      <c r="A252" s="239">
        <v>41878</v>
      </c>
      <c r="B252" s="229" t="s">
        <v>291</v>
      </c>
      <c r="C252" s="240">
        <v>0</v>
      </c>
      <c r="D252" s="266">
        <v>0</v>
      </c>
      <c r="E252" s="266">
        <v>0</v>
      </c>
      <c r="F252" s="258">
        <v>0</v>
      </c>
      <c r="H252" s="14"/>
      <c r="I252" s="14"/>
      <c r="J252" s="14"/>
      <c r="M252" s="239">
        <v>41878</v>
      </c>
      <c r="N252" s="229" t="s">
        <v>275</v>
      </c>
      <c r="O252" s="240">
        <v>0</v>
      </c>
      <c r="P252" s="266">
        <v>0</v>
      </c>
      <c r="Q252" s="266">
        <v>0</v>
      </c>
      <c r="R252" s="258">
        <v>0</v>
      </c>
      <c r="Y252" s="239">
        <v>41878</v>
      </c>
      <c r="Z252" s="229" t="s">
        <v>288</v>
      </c>
      <c r="AA252" s="240">
        <v>0</v>
      </c>
      <c r="AB252" s="266">
        <v>0</v>
      </c>
      <c r="AC252" s="266">
        <v>0</v>
      </c>
      <c r="AD252" s="258">
        <v>0</v>
      </c>
      <c r="AK252" s="239">
        <v>41878</v>
      </c>
      <c r="AL252" s="229" t="s">
        <v>285</v>
      </c>
      <c r="AM252" s="240">
        <v>0</v>
      </c>
      <c r="AN252" s="266">
        <v>0</v>
      </c>
      <c r="AO252" s="266">
        <v>0</v>
      </c>
      <c r="AP252" s="258">
        <v>0</v>
      </c>
      <c r="AW252" s="239">
        <v>41878</v>
      </c>
      <c r="AX252" s="229" t="s">
        <v>282</v>
      </c>
      <c r="AY252" s="240">
        <v>0</v>
      </c>
      <c r="AZ252" s="266">
        <v>0</v>
      </c>
      <c r="BA252" s="266">
        <v>0</v>
      </c>
      <c r="BB252" s="258">
        <v>0</v>
      </c>
      <c r="BI252" s="1"/>
      <c r="BJ252" s="241" t="s">
        <v>280</v>
      </c>
      <c r="BK252" s="242">
        <v>1</v>
      </c>
      <c r="BL252" s="267">
        <v>0</v>
      </c>
      <c r="BM252" s="267">
        <v>0</v>
      </c>
      <c r="BN252" s="247">
        <v>1</v>
      </c>
    </row>
    <row r="253" spans="1:66" x14ac:dyDescent="0.2">
      <c r="A253" s="1"/>
      <c r="B253" s="241" t="s">
        <v>292</v>
      </c>
      <c r="C253" s="242">
        <v>0</v>
      </c>
      <c r="D253" s="267">
        <v>0</v>
      </c>
      <c r="E253" s="267">
        <v>0</v>
      </c>
      <c r="F253" s="247">
        <v>0</v>
      </c>
      <c r="H253" s="14"/>
      <c r="I253" s="14"/>
      <c r="J253" s="14"/>
      <c r="M253" s="1"/>
      <c r="N253" s="241" t="s">
        <v>276</v>
      </c>
      <c r="O253" s="242">
        <v>0</v>
      </c>
      <c r="P253" s="267">
        <v>0</v>
      </c>
      <c r="Q253" s="267">
        <v>0</v>
      </c>
      <c r="R253" s="247">
        <v>0</v>
      </c>
      <c r="Y253" s="1"/>
      <c r="Z253" s="241" t="s">
        <v>289</v>
      </c>
      <c r="AA253" s="242">
        <v>0</v>
      </c>
      <c r="AB253" s="267">
        <v>0</v>
      </c>
      <c r="AC253" s="267">
        <v>0</v>
      </c>
      <c r="AD253" s="247">
        <v>0</v>
      </c>
      <c r="AK253" s="1"/>
      <c r="AL253" s="241" t="s">
        <v>286</v>
      </c>
      <c r="AM253" s="242">
        <v>0</v>
      </c>
      <c r="AN253" s="267">
        <v>0</v>
      </c>
      <c r="AO253" s="267">
        <v>0</v>
      </c>
      <c r="AP253" s="247">
        <v>0</v>
      </c>
      <c r="AW253" s="1"/>
      <c r="AX253" s="241" t="s">
        <v>283</v>
      </c>
      <c r="AY253" s="242">
        <v>3</v>
      </c>
      <c r="AZ253" s="267">
        <v>4</v>
      </c>
      <c r="BA253" s="267">
        <v>0</v>
      </c>
      <c r="BB253" s="247">
        <v>7</v>
      </c>
      <c r="BI253" s="1"/>
      <c r="BJ253" s="241" t="s">
        <v>281</v>
      </c>
      <c r="BK253" s="242">
        <v>0</v>
      </c>
      <c r="BL253" s="267">
        <v>0</v>
      </c>
      <c r="BM253" s="267">
        <v>0</v>
      </c>
      <c r="BN253" s="247">
        <v>0</v>
      </c>
    </row>
    <row r="254" spans="1:66" x14ac:dyDescent="0.2">
      <c r="A254" s="1"/>
      <c r="B254" s="241" t="s">
        <v>293</v>
      </c>
      <c r="C254" s="242">
        <v>0</v>
      </c>
      <c r="D254" s="267">
        <v>0</v>
      </c>
      <c r="E254" s="267">
        <v>0</v>
      </c>
      <c r="F254" s="247">
        <v>0</v>
      </c>
      <c r="H254" s="14"/>
      <c r="I254" s="14"/>
      <c r="J254" s="14"/>
      <c r="M254" s="1"/>
      <c r="N254" s="241" t="s">
        <v>277</v>
      </c>
      <c r="O254" s="242">
        <v>0</v>
      </c>
      <c r="P254" s="267">
        <v>0</v>
      </c>
      <c r="Q254" s="267">
        <v>0</v>
      </c>
      <c r="R254" s="247">
        <v>0</v>
      </c>
      <c r="Y254" s="1"/>
      <c r="Z254" s="241" t="s">
        <v>290</v>
      </c>
      <c r="AA254" s="242">
        <v>0</v>
      </c>
      <c r="AB254" s="267">
        <v>0</v>
      </c>
      <c r="AC254" s="267">
        <v>0</v>
      </c>
      <c r="AD254" s="247">
        <v>0</v>
      </c>
      <c r="AK254" s="1"/>
      <c r="AL254" s="241" t="s">
        <v>287</v>
      </c>
      <c r="AM254" s="242">
        <v>0</v>
      </c>
      <c r="AN254" s="267">
        <v>0</v>
      </c>
      <c r="AO254" s="267">
        <v>0</v>
      </c>
      <c r="AP254" s="247">
        <v>0</v>
      </c>
      <c r="AW254" s="1"/>
      <c r="AX254" s="241" t="s">
        <v>284</v>
      </c>
      <c r="AY254" s="242">
        <v>0</v>
      </c>
      <c r="AZ254" s="267">
        <v>0</v>
      </c>
      <c r="BA254" s="267">
        <v>0</v>
      </c>
      <c r="BB254" s="247">
        <v>0</v>
      </c>
      <c r="BI254" s="239">
        <v>41858</v>
      </c>
      <c r="BJ254" s="229" t="s">
        <v>278</v>
      </c>
      <c r="BK254" s="240">
        <v>5</v>
      </c>
      <c r="BL254" s="266">
        <v>0</v>
      </c>
      <c r="BM254" s="266">
        <v>5</v>
      </c>
      <c r="BN254" s="258">
        <v>10</v>
      </c>
    </row>
    <row r="255" spans="1:66" x14ac:dyDescent="0.2">
      <c r="A255" s="239">
        <v>41879</v>
      </c>
      <c r="B255" s="229" t="s">
        <v>291</v>
      </c>
      <c r="C255" s="240">
        <v>0</v>
      </c>
      <c r="D255" s="266">
        <v>0</v>
      </c>
      <c r="E255" s="266">
        <v>0</v>
      </c>
      <c r="F255" s="258">
        <v>0</v>
      </c>
      <c r="H255" s="14"/>
      <c r="I255" s="14"/>
      <c r="J255" s="14"/>
      <c r="M255" s="239">
        <v>41879</v>
      </c>
      <c r="N255" s="229" t="s">
        <v>275</v>
      </c>
      <c r="O255" s="240">
        <v>0</v>
      </c>
      <c r="P255" s="266">
        <v>0</v>
      </c>
      <c r="Q255" s="266">
        <v>0</v>
      </c>
      <c r="R255" s="258">
        <v>0</v>
      </c>
      <c r="Y255" s="239">
        <v>41879</v>
      </c>
      <c r="Z255" s="229" t="s">
        <v>288</v>
      </c>
      <c r="AA255" s="240">
        <v>0</v>
      </c>
      <c r="AB255" s="266">
        <v>0</v>
      </c>
      <c r="AC255" s="266">
        <v>0</v>
      </c>
      <c r="AD255" s="258">
        <v>0</v>
      </c>
      <c r="AK255" s="239">
        <v>41879</v>
      </c>
      <c r="AL255" s="229" t="s">
        <v>285</v>
      </c>
      <c r="AM255" s="240">
        <v>0</v>
      </c>
      <c r="AN255" s="266">
        <v>0</v>
      </c>
      <c r="AO255" s="266">
        <v>0</v>
      </c>
      <c r="AP255" s="258">
        <v>0</v>
      </c>
      <c r="AW255" s="239">
        <v>41879</v>
      </c>
      <c r="AX255" s="229" t="s">
        <v>282</v>
      </c>
      <c r="AY255" s="240">
        <v>0</v>
      </c>
      <c r="AZ255" s="266">
        <v>0</v>
      </c>
      <c r="BA255" s="266">
        <v>0</v>
      </c>
      <c r="BB255" s="258">
        <v>0</v>
      </c>
      <c r="BI255" s="1"/>
      <c r="BJ255" s="241" t="s">
        <v>279</v>
      </c>
      <c r="BK255" s="242">
        <v>0</v>
      </c>
      <c r="BL255" s="267">
        <v>0</v>
      </c>
      <c r="BM255" s="267">
        <v>0</v>
      </c>
      <c r="BN255" s="247">
        <v>0</v>
      </c>
    </row>
    <row r="256" spans="1:66" x14ac:dyDescent="0.2">
      <c r="A256" s="1"/>
      <c r="B256" s="241" t="s">
        <v>292</v>
      </c>
      <c r="C256" s="242">
        <v>0</v>
      </c>
      <c r="D256" s="267">
        <v>0</v>
      </c>
      <c r="E256" s="267">
        <v>0</v>
      </c>
      <c r="F256" s="247">
        <v>0</v>
      </c>
      <c r="H256" s="14"/>
      <c r="I256" s="14"/>
      <c r="J256" s="14"/>
      <c r="M256" s="1"/>
      <c r="N256" s="241" t="s">
        <v>276</v>
      </c>
      <c r="O256" s="242">
        <v>0</v>
      </c>
      <c r="P256" s="267">
        <v>0</v>
      </c>
      <c r="Q256" s="267">
        <v>0</v>
      </c>
      <c r="R256" s="247">
        <v>0</v>
      </c>
      <c r="Y256" s="1"/>
      <c r="Z256" s="241" t="s">
        <v>289</v>
      </c>
      <c r="AA256" s="242">
        <v>0</v>
      </c>
      <c r="AB256" s="267">
        <v>0</v>
      </c>
      <c r="AC256" s="267">
        <v>0</v>
      </c>
      <c r="AD256" s="247">
        <v>0</v>
      </c>
      <c r="AK256" s="1"/>
      <c r="AL256" s="241" t="s">
        <v>286</v>
      </c>
      <c r="AM256" s="242">
        <v>0</v>
      </c>
      <c r="AN256" s="267">
        <v>0</v>
      </c>
      <c r="AO256" s="267">
        <v>0</v>
      </c>
      <c r="AP256" s="247">
        <v>0</v>
      </c>
      <c r="AW256" s="1"/>
      <c r="AX256" s="241" t="s">
        <v>283</v>
      </c>
      <c r="AY256" s="242">
        <v>1</v>
      </c>
      <c r="AZ256" s="267">
        <v>2</v>
      </c>
      <c r="BA256" s="267">
        <v>0</v>
      </c>
      <c r="BB256" s="247">
        <v>3</v>
      </c>
      <c r="BI256" s="1"/>
      <c r="BJ256" s="241" t="s">
        <v>280</v>
      </c>
      <c r="BK256" s="242">
        <v>0</v>
      </c>
      <c r="BL256" s="267">
        <v>0</v>
      </c>
      <c r="BM256" s="267">
        <v>1</v>
      </c>
      <c r="BN256" s="247">
        <v>1</v>
      </c>
    </row>
    <row r="257" spans="1:66" x14ac:dyDescent="0.2">
      <c r="A257" s="1"/>
      <c r="B257" s="241" t="s">
        <v>293</v>
      </c>
      <c r="C257" s="242">
        <v>0</v>
      </c>
      <c r="D257" s="267">
        <v>0</v>
      </c>
      <c r="E257" s="267">
        <v>0</v>
      </c>
      <c r="F257" s="247">
        <v>0</v>
      </c>
      <c r="H257" s="14"/>
      <c r="I257" s="14"/>
      <c r="J257" s="14"/>
      <c r="M257" s="1"/>
      <c r="N257" s="241" t="s">
        <v>277</v>
      </c>
      <c r="O257" s="242">
        <v>0</v>
      </c>
      <c r="P257" s="267">
        <v>0</v>
      </c>
      <c r="Q257" s="267">
        <v>0</v>
      </c>
      <c r="R257" s="247">
        <v>0</v>
      </c>
      <c r="Y257" s="1"/>
      <c r="Z257" s="241" t="s">
        <v>290</v>
      </c>
      <c r="AA257" s="242">
        <v>0</v>
      </c>
      <c r="AB257" s="267">
        <v>0</v>
      </c>
      <c r="AC257" s="267">
        <v>0</v>
      </c>
      <c r="AD257" s="247">
        <v>0</v>
      </c>
      <c r="AK257" s="1"/>
      <c r="AL257" s="241" t="s">
        <v>287</v>
      </c>
      <c r="AM257" s="242">
        <v>0</v>
      </c>
      <c r="AN257" s="267">
        <v>0</v>
      </c>
      <c r="AO257" s="267">
        <v>0</v>
      </c>
      <c r="AP257" s="247">
        <v>0</v>
      </c>
      <c r="AW257" s="1"/>
      <c r="AX257" s="241" t="s">
        <v>284</v>
      </c>
      <c r="AY257" s="242">
        <v>0</v>
      </c>
      <c r="AZ257" s="267">
        <v>0</v>
      </c>
      <c r="BA257" s="267">
        <v>0</v>
      </c>
      <c r="BB257" s="247">
        <v>0</v>
      </c>
      <c r="BI257" s="1"/>
      <c r="BJ257" s="241" t="s">
        <v>281</v>
      </c>
      <c r="BK257" s="242">
        <v>0</v>
      </c>
      <c r="BL257" s="267">
        <v>0</v>
      </c>
      <c r="BM257" s="267">
        <v>0</v>
      </c>
      <c r="BN257" s="247">
        <v>0</v>
      </c>
    </row>
    <row r="258" spans="1:66" x14ac:dyDescent="0.2">
      <c r="A258" s="239">
        <v>41880</v>
      </c>
      <c r="B258" s="229" t="s">
        <v>291</v>
      </c>
      <c r="C258" s="240">
        <v>0</v>
      </c>
      <c r="D258" s="266">
        <v>0</v>
      </c>
      <c r="E258" s="266">
        <v>0</v>
      </c>
      <c r="F258" s="258">
        <v>0</v>
      </c>
      <c r="H258" s="14"/>
      <c r="I258" s="14"/>
      <c r="J258" s="14"/>
      <c r="M258" s="239">
        <v>41880</v>
      </c>
      <c r="N258" s="229" t="s">
        <v>275</v>
      </c>
      <c r="O258" s="240">
        <v>0</v>
      </c>
      <c r="P258" s="266">
        <v>0</v>
      </c>
      <c r="Q258" s="266">
        <v>0</v>
      </c>
      <c r="R258" s="258">
        <v>0</v>
      </c>
      <c r="Y258" s="239">
        <v>41880</v>
      </c>
      <c r="Z258" s="229" t="s">
        <v>288</v>
      </c>
      <c r="AA258" s="240">
        <v>0</v>
      </c>
      <c r="AB258" s="266">
        <v>0</v>
      </c>
      <c r="AC258" s="266">
        <v>0</v>
      </c>
      <c r="AD258" s="258">
        <v>0</v>
      </c>
      <c r="AK258" s="239">
        <v>41880</v>
      </c>
      <c r="AL258" s="229" t="s">
        <v>285</v>
      </c>
      <c r="AM258" s="240">
        <v>1</v>
      </c>
      <c r="AN258" s="266">
        <v>0</v>
      </c>
      <c r="AO258" s="266">
        <v>0</v>
      </c>
      <c r="AP258" s="258">
        <v>1</v>
      </c>
      <c r="AW258" s="239">
        <v>41880</v>
      </c>
      <c r="AX258" s="229" t="s">
        <v>282</v>
      </c>
      <c r="AY258" s="240">
        <v>0</v>
      </c>
      <c r="AZ258" s="266">
        <v>0</v>
      </c>
      <c r="BA258" s="266">
        <v>0</v>
      </c>
      <c r="BB258" s="258">
        <v>0</v>
      </c>
      <c r="BI258" s="239">
        <v>41859</v>
      </c>
      <c r="BJ258" s="229" t="s">
        <v>278</v>
      </c>
      <c r="BK258" s="240">
        <v>1</v>
      </c>
      <c r="BL258" s="266">
        <v>0</v>
      </c>
      <c r="BM258" s="266">
        <v>1</v>
      </c>
      <c r="BN258" s="258">
        <v>2</v>
      </c>
    </row>
    <row r="259" spans="1:66" x14ac:dyDescent="0.2">
      <c r="A259" s="1"/>
      <c r="B259" s="241" t="s">
        <v>292</v>
      </c>
      <c r="C259" s="242">
        <v>0</v>
      </c>
      <c r="D259" s="267">
        <v>0</v>
      </c>
      <c r="E259" s="267">
        <v>0</v>
      </c>
      <c r="F259" s="247">
        <v>0</v>
      </c>
      <c r="H259" s="14"/>
      <c r="I259" s="14"/>
      <c r="J259" s="14"/>
      <c r="M259" s="1"/>
      <c r="N259" s="241" t="s">
        <v>276</v>
      </c>
      <c r="O259" s="242">
        <v>0</v>
      </c>
      <c r="P259" s="267">
        <v>0</v>
      </c>
      <c r="Q259" s="267">
        <v>0</v>
      </c>
      <c r="R259" s="247">
        <v>0</v>
      </c>
      <c r="Y259" s="1"/>
      <c r="Z259" s="241" t="s">
        <v>289</v>
      </c>
      <c r="AA259" s="242">
        <v>0</v>
      </c>
      <c r="AB259" s="267">
        <v>0</v>
      </c>
      <c r="AC259" s="267">
        <v>0</v>
      </c>
      <c r="AD259" s="247">
        <v>0</v>
      </c>
      <c r="AK259" s="1"/>
      <c r="AL259" s="241" t="s">
        <v>286</v>
      </c>
      <c r="AM259" s="242">
        <v>0</v>
      </c>
      <c r="AN259" s="267">
        <v>0</v>
      </c>
      <c r="AO259" s="267">
        <v>0</v>
      </c>
      <c r="AP259" s="247">
        <v>0</v>
      </c>
      <c r="AW259" s="1"/>
      <c r="AX259" s="241" t="s">
        <v>283</v>
      </c>
      <c r="AY259" s="242">
        <v>3</v>
      </c>
      <c r="AZ259" s="267">
        <v>4</v>
      </c>
      <c r="BA259" s="267">
        <v>3</v>
      </c>
      <c r="BB259" s="247">
        <v>10</v>
      </c>
      <c r="BI259" s="1"/>
      <c r="BJ259" s="241" t="s">
        <v>279</v>
      </c>
      <c r="BK259" s="242">
        <v>1</v>
      </c>
      <c r="BL259" s="267">
        <v>0</v>
      </c>
      <c r="BM259" s="267">
        <v>0</v>
      </c>
      <c r="BN259" s="247">
        <v>1</v>
      </c>
    </row>
    <row r="260" spans="1:66" x14ac:dyDescent="0.2">
      <c r="A260" s="1"/>
      <c r="B260" s="241" t="s">
        <v>293</v>
      </c>
      <c r="C260" s="242">
        <v>0</v>
      </c>
      <c r="D260" s="267">
        <v>0</v>
      </c>
      <c r="E260" s="267">
        <v>0</v>
      </c>
      <c r="F260" s="247">
        <v>0</v>
      </c>
      <c r="H260" s="14"/>
      <c r="I260" s="14"/>
      <c r="J260" s="14"/>
      <c r="M260" s="1"/>
      <c r="N260" s="241" t="s">
        <v>277</v>
      </c>
      <c r="O260" s="242">
        <v>0</v>
      </c>
      <c r="P260" s="267">
        <v>0</v>
      </c>
      <c r="Q260" s="267">
        <v>0</v>
      </c>
      <c r="R260" s="247">
        <v>0</v>
      </c>
      <c r="Y260" s="1"/>
      <c r="Z260" s="241" t="s">
        <v>290</v>
      </c>
      <c r="AA260" s="242">
        <v>0</v>
      </c>
      <c r="AB260" s="267">
        <v>0</v>
      </c>
      <c r="AC260" s="267">
        <v>0</v>
      </c>
      <c r="AD260" s="247">
        <v>0</v>
      </c>
      <c r="AK260" s="1"/>
      <c r="AL260" s="241" t="s">
        <v>287</v>
      </c>
      <c r="AM260" s="242">
        <v>0</v>
      </c>
      <c r="AN260" s="267">
        <v>0</v>
      </c>
      <c r="AO260" s="267">
        <v>0</v>
      </c>
      <c r="AP260" s="247">
        <v>0</v>
      </c>
      <c r="AW260" s="1"/>
      <c r="AX260" s="241" t="s">
        <v>284</v>
      </c>
      <c r="AY260" s="242">
        <v>0</v>
      </c>
      <c r="AZ260" s="267">
        <v>0</v>
      </c>
      <c r="BA260" s="267">
        <v>0</v>
      </c>
      <c r="BB260" s="247">
        <v>0</v>
      </c>
      <c r="BI260" s="1"/>
      <c r="BJ260" s="241" t="s">
        <v>280</v>
      </c>
      <c r="BK260" s="242">
        <v>0</v>
      </c>
      <c r="BL260" s="267">
        <v>0</v>
      </c>
      <c r="BM260" s="267">
        <v>1</v>
      </c>
      <c r="BN260" s="247">
        <v>1</v>
      </c>
    </row>
    <row r="261" spans="1:66" x14ac:dyDescent="0.2">
      <c r="A261" s="239">
        <v>41881</v>
      </c>
      <c r="B261" s="229" t="s">
        <v>291</v>
      </c>
      <c r="C261" s="240">
        <v>0</v>
      </c>
      <c r="D261" s="266">
        <v>0</v>
      </c>
      <c r="E261" s="266">
        <v>0</v>
      </c>
      <c r="F261" s="258">
        <v>0</v>
      </c>
      <c r="H261" s="14"/>
      <c r="I261" s="14"/>
      <c r="J261" s="14"/>
      <c r="M261" s="239">
        <v>41881</v>
      </c>
      <c r="N261" s="229" t="s">
        <v>275</v>
      </c>
      <c r="O261" s="240">
        <v>0</v>
      </c>
      <c r="P261" s="266">
        <v>0</v>
      </c>
      <c r="Q261" s="266">
        <v>0</v>
      </c>
      <c r="R261" s="258">
        <v>0</v>
      </c>
      <c r="Y261" s="239">
        <v>41881</v>
      </c>
      <c r="Z261" s="229" t="s">
        <v>288</v>
      </c>
      <c r="AA261" s="240">
        <v>1</v>
      </c>
      <c r="AB261" s="266">
        <v>0</v>
      </c>
      <c r="AC261" s="266">
        <v>0</v>
      </c>
      <c r="AD261" s="258">
        <v>1</v>
      </c>
      <c r="AK261" s="239">
        <v>41881</v>
      </c>
      <c r="AL261" s="229" t="s">
        <v>285</v>
      </c>
      <c r="AM261" s="240">
        <v>0</v>
      </c>
      <c r="AN261" s="266">
        <v>0</v>
      </c>
      <c r="AO261" s="266">
        <v>0</v>
      </c>
      <c r="AP261" s="258">
        <v>0</v>
      </c>
      <c r="AW261" s="239">
        <v>41881</v>
      </c>
      <c r="AX261" s="229" t="s">
        <v>282</v>
      </c>
      <c r="AY261" s="240">
        <v>0</v>
      </c>
      <c r="AZ261" s="266">
        <v>0</v>
      </c>
      <c r="BA261" s="266">
        <v>0</v>
      </c>
      <c r="BB261" s="258">
        <v>0</v>
      </c>
      <c r="BI261" s="1"/>
      <c r="BJ261" s="241" t="s">
        <v>281</v>
      </c>
      <c r="BK261" s="242">
        <v>0</v>
      </c>
      <c r="BL261" s="267">
        <v>0</v>
      </c>
      <c r="BM261" s="267">
        <v>0</v>
      </c>
      <c r="BN261" s="247">
        <v>0</v>
      </c>
    </row>
    <row r="262" spans="1:66" x14ac:dyDescent="0.2">
      <c r="A262" s="1"/>
      <c r="B262" s="241" t="s">
        <v>292</v>
      </c>
      <c r="C262" s="242">
        <v>0</v>
      </c>
      <c r="D262" s="267">
        <v>0</v>
      </c>
      <c r="E262" s="267">
        <v>0</v>
      </c>
      <c r="F262" s="247">
        <v>0</v>
      </c>
      <c r="H262" s="14"/>
      <c r="I262" s="14"/>
      <c r="J262" s="14"/>
      <c r="M262" s="1"/>
      <c r="N262" s="241" t="s">
        <v>276</v>
      </c>
      <c r="O262" s="242">
        <v>0</v>
      </c>
      <c r="P262" s="267">
        <v>0</v>
      </c>
      <c r="Q262" s="267">
        <v>0</v>
      </c>
      <c r="R262" s="247">
        <v>0</v>
      </c>
      <c r="Y262" s="1"/>
      <c r="Z262" s="241" t="s">
        <v>289</v>
      </c>
      <c r="AA262" s="242">
        <v>0</v>
      </c>
      <c r="AB262" s="267">
        <v>0</v>
      </c>
      <c r="AC262" s="267">
        <v>0</v>
      </c>
      <c r="AD262" s="247">
        <v>0</v>
      </c>
      <c r="AK262" s="1"/>
      <c r="AL262" s="241" t="s">
        <v>286</v>
      </c>
      <c r="AM262" s="242">
        <v>1</v>
      </c>
      <c r="AN262" s="267">
        <v>0</v>
      </c>
      <c r="AO262" s="267">
        <v>0</v>
      </c>
      <c r="AP262" s="247">
        <v>1</v>
      </c>
      <c r="AW262" s="1"/>
      <c r="AX262" s="241" t="s">
        <v>283</v>
      </c>
      <c r="AY262" s="242">
        <v>4</v>
      </c>
      <c r="AZ262" s="267">
        <v>2</v>
      </c>
      <c r="BA262" s="267">
        <v>2</v>
      </c>
      <c r="BB262" s="247">
        <v>8</v>
      </c>
      <c r="BI262" s="239">
        <v>41860</v>
      </c>
      <c r="BJ262" s="229" t="s">
        <v>278</v>
      </c>
      <c r="BK262" s="240">
        <v>1</v>
      </c>
      <c r="BL262" s="266">
        <v>0</v>
      </c>
      <c r="BM262" s="266">
        <v>3</v>
      </c>
      <c r="BN262" s="258">
        <v>4</v>
      </c>
    </row>
    <row r="263" spans="1:66" x14ac:dyDescent="0.2">
      <c r="A263" s="1"/>
      <c r="B263" s="241" t="s">
        <v>293</v>
      </c>
      <c r="C263" s="242">
        <v>0</v>
      </c>
      <c r="D263" s="267">
        <v>0</v>
      </c>
      <c r="E263" s="267">
        <v>0</v>
      </c>
      <c r="F263" s="247">
        <v>0</v>
      </c>
      <c r="H263" s="14"/>
      <c r="I263" s="14"/>
      <c r="J263" s="14"/>
      <c r="M263" s="1"/>
      <c r="N263" s="241" t="s">
        <v>277</v>
      </c>
      <c r="O263" s="242">
        <v>0</v>
      </c>
      <c r="P263" s="267">
        <v>0</v>
      </c>
      <c r="Q263" s="267">
        <v>0</v>
      </c>
      <c r="R263" s="247">
        <v>0</v>
      </c>
      <c r="Y263" s="1"/>
      <c r="Z263" s="241" t="s">
        <v>290</v>
      </c>
      <c r="AA263" s="242">
        <v>0</v>
      </c>
      <c r="AB263" s="267">
        <v>0</v>
      </c>
      <c r="AC263" s="267">
        <v>0</v>
      </c>
      <c r="AD263" s="247">
        <v>0</v>
      </c>
      <c r="AK263" s="1"/>
      <c r="AL263" s="241" t="s">
        <v>287</v>
      </c>
      <c r="AM263" s="242">
        <v>0</v>
      </c>
      <c r="AN263" s="267">
        <v>0</v>
      </c>
      <c r="AO263" s="267">
        <v>0</v>
      </c>
      <c r="AP263" s="247">
        <v>0</v>
      </c>
      <c r="AW263" s="1"/>
      <c r="AX263" s="241" t="s">
        <v>284</v>
      </c>
      <c r="AY263" s="242">
        <v>0</v>
      </c>
      <c r="AZ263" s="267">
        <v>0</v>
      </c>
      <c r="BA263" s="267">
        <v>0</v>
      </c>
      <c r="BB263" s="247">
        <v>0</v>
      </c>
      <c r="BI263" s="1"/>
      <c r="BJ263" s="241" t="s">
        <v>279</v>
      </c>
      <c r="BK263" s="242">
        <v>0</v>
      </c>
      <c r="BL263" s="267">
        <v>0</v>
      </c>
      <c r="BM263" s="267">
        <v>2</v>
      </c>
      <c r="BN263" s="247">
        <v>2</v>
      </c>
    </row>
    <row r="264" spans="1:66" x14ac:dyDescent="0.2">
      <c r="A264" s="239">
        <v>41882</v>
      </c>
      <c r="B264" s="229" t="s">
        <v>291</v>
      </c>
      <c r="C264" s="240">
        <v>0</v>
      </c>
      <c r="D264" s="266">
        <v>0</v>
      </c>
      <c r="E264" s="266">
        <v>0</v>
      </c>
      <c r="F264" s="258">
        <v>0</v>
      </c>
      <c r="H264" s="14"/>
      <c r="I264" s="14"/>
      <c r="J264" s="14"/>
      <c r="M264" s="239">
        <v>41882</v>
      </c>
      <c r="N264" s="229" t="s">
        <v>275</v>
      </c>
      <c r="O264" s="240">
        <v>0</v>
      </c>
      <c r="P264" s="266">
        <v>0</v>
      </c>
      <c r="Q264" s="266">
        <v>0</v>
      </c>
      <c r="R264" s="258">
        <v>0</v>
      </c>
      <c r="Y264" s="239">
        <v>41882</v>
      </c>
      <c r="Z264" s="229" t="s">
        <v>288</v>
      </c>
      <c r="AA264" s="240">
        <v>0</v>
      </c>
      <c r="AB264" s="266">
        <v>0</v>
      </c>
      <c r="AC264" s="266">
        <v>0</v>
      </c>
      <c r="AD264" s="258">
        <v>0</v>
      </c>
      <c r="AK264" s="239">
        <v>41882</v>
      </c>
      <c r="AL264" s="229" t="s">
        <v>285</v>
      </c>
      <c r="AM264" s="240">
        <v>0</v>
      </c>
      <c r="AN264" s="266">
        <v>0</v>
      </c>
      <c r="AO264" s="266">
        <v>0</v>
      </c>
      <c r="AP264" s="258">
        <v>0</v>
      </c>
      <c r="AW264" s="239">
        <v>41882</v>
      </c>
      <c r="AX264" s="229" t="s">
        <v>282</v>
      </c>
      <c r="AY264" s="240">
        <v>0</v>
      </c>
      <c r="AZ264" s="266">
        <v>0</v>
      </c>
      <c r="BA264" s="266">
        <v>0</v>
      </c>
      <c r="BB264" s="258">
        <v>0</v>
      </c>
      <c r="BI264" s="1"/>
      <c r="BJ264" s="241" t="s">
        <v>280</v>
      </c>
      <c r="BK264" s="242">
        <v>0</v>
      </c>
      <c r="BL264" s="267">
        <v>0</v>
      </c>
      <c r="BM264" s="267">
        <v>0</v>
      </c>
      <c r="BN264" s="247">
        <v>0</v>
      </c>
    </row>
    <row r="265" spans="1:66" x14ac:dyDescent="0.2">
      <c r="A265" s="1"/>
      <c r="B265" s="241" t="s">
        <v>292</v>
      </c>
      <c r="C265" s="242">
        <v>0</v>
      </c>
      <c r="D265" s="267">
        <v>0</v>
      </c>
      <c r="E265" s="267">
        <v>0</v>
      </c>
      <c r="F265" s="247">
        <v>0</v>
      </c>
      <c r="H265" s="14"/>
      <c r="I265" s="14"/>
      <c r="J265" s="14"/>
      <c r="M265" s="1"/>
      <c r="N265" s="241" t="s">
        <v>276</v>
      </c>
      <c r="O265" s="242">
        <v>0</v>
      </c>
      <c r="P265" s="267">
        <v>0</v>
      </c>
      <c r="Q265" s="267">
        <v>0</v>
      </c>
      <c r="R265" s="247">
        <v>0</v>
      </c>
      <c r="Y265" s="1"/>
      <c r="Z265" s="241" t="s">
        <v>289</v>
      </c>
      <c r="AA265" s="242">
        <v>0</v>
      </c>
      <c r="AB265" s="267">
        <v>0</v>
      </c>
      <c r="AC265" s="267">
        <v>0</v>
      </c>
      <c r="AD265" s="247">
        <v>0</v>
      </c>
      <c r="AK265" s="1"/>
      <c r="AL265" s="241" t="s">
        <v>286</v>
      </c>
      <c r="AM265" s="242">
        <v>0</v>
      </c>
      <c r="AN265" s="267">
        <v>0</v>
      </c>
      <c r="AO265" s="267">
        <v>0</v>
      </c>
      <c r="AP265" s="247">
        <v>0</v>
      </c>
      <c r="AW265" s="1"/>
      <c r="AX265" s="241" t="s">
        <v>283</v>
      </c>
      <c r="AY265" s="242">
        <v>5</v>
      </c>
      <c r="AZ265" s="267">
        <v>7</v>
      </c>
      <c r="BA265" s="267">
        <v>1</v>
      </c>
      <c r="BB265" s="247">
        <v>13</v>
      </c>
      <c r="BI265" s="1"/>
      <c r="BJ265" s="241" t="s">
        <v>281</v>
      </c>
      <c r="BK265" s="242">
        <v>0</v>
      </c>
      <c r="BL265" s="267">
        <v>0</v>
      </c>
      <c r="BM265" s="267">
        <v>0</v>
      </c>
      <c r="BN265" s="247">
        <v>0</v>
      </c>
    </row>
    <row r="266" spans="1:66" x14ac:dyDescent="0.2">
      <c r="A266" s="1"/>
      <c r="B266" s="241" t="s">
        <v>293</v>
      </c>
      <c r="C266" s="242">
        <v>0</v>
      </c>
      <c r="D266" s="267">
        <v>0</v>
      </c>
      <c r="E266" s="267">
        <v>0</v>
      </c>
      <c r="F266" s="247">
        <v>0</v>
      </c>
      <c r="H266" s="14"/>
      <c r="I266" s="14"/>
      <c r="J266" s="14"/>
      <c r="M266" s="1"/>
      <c r="N266" s="241" t="s">
        <v>277</v>
      </c>
      <c r="O266" s="242">
        <v>0</v>
      </c>
      <c r="P266" s="267">
        <v>0</v>
      </c>
      <c r="Q266" s="267">
        <v>0</v>
      </c>
      <c r="R266" s="247">
        <v>0</v>
      </c>
      <c r="Y266" s="1"/>
      <c r="Z266" s="241" t="s">
        <v>290</v>
      </c>
      <c r="AA266" s="242">
        <v>0</v>
      </c>
      <c r="AB266" s="267">
        <v>0</v>
      </c>
      <c r="AC266" s="267">
        <v>0</v>
      </c>
      <c r="AD266" s="247">
        <v>0</v>
      </c>
      <c r="AK266" s="1"/>
      <c r="AL266" s="241" t="s">
        <v>287</v>
      </c>
      <c r="AM266" s="242">
        <v>0</v>
      </c>
      <c r="AN266" s="267">
        <v>0</v>
      </c>
      <c r="AO266" s="267">
        <v>0</v>
      </c>
      <c r="AP266" s="247">
        <v>0</v>
      </c>
      <c r="AW266" s="1"/>
      <c r="AX266" s="241" t="s">
        <v>284</v>
      </c>
      <c r="AY266" s="242">
        <v>0</v>
      </c>
      <c r="AZ266" s="267">
        <v>0</v>
      </c>
      <c r="BA266" s="267">
        <v>0</v>
      </c>
      <c r="BB266" s="247">
        <v>0</v>
      </c>
      <c r="BI266" s="239">
        <v>41861</v>
      </c>
      <c r="BJ266" s="229" t="s">
        <v>278</v>
      </c>
      <c r="BK266" s="240">
        <v>2</v>
      </c>
      <c r="BL266" s="266">
        <v>0</v>
      </c>
      <c r="BM266" s="266">
        <v>11</v>
      </c>
      <c r="BN266" s="258">
        <v>13</v>
      </c>
    </row>
    <row r="267" spans="1:66" x14ac:dyDescent="0.2">
      <c r="A267" s="239">
        <v>41883</v>
      </c>
      <c r="B267" s="229" t="s">
        <v>291</v>
      </c>
      <c r="C267" s="240">
        <v>0</v>
      </c>
      <c r="D267" s="266">
        <v>0</v>
      </c>
      <c r="E267" s="266">
        <v>0</v>
      </c>
      <c r="F267" s="258">
        <v>0</v>
      </c>
      <c r="H267" s="14"/>
      <c r="I267" s="14"/>
      <c r="J267" s="14"/>
      <c r="M267" s="239">
        <v>41883</v>
      </c>
      <c r="N267" s="229" t="s">
        <v>275</v>
      </c>
      <c r="O267" s="240">
        <v>0</v>
      </c>
      <c r="P267" s="266">
        <v>0</v>
      </c>
      <c r="Q267" s="266">
        <v>0</v>
      </c>
      <c r="R267" s="258">
        <v>0</v>
      </c>
      <c r="Y267" s="239">
        <v>41883</v>
      </c>
      <c r="Z267" s="229" t="s">
        <v>288</v>
      </c>
      <c r="AA267" s="240">
        <v>0</v>
      </c>
      <c r="AB267" s="266">
        <v>1</v>
      </c>
      <c r="AC267" s="266">
        <v>0</v>
      </c>
      <c r="AD267" s="258">
        <v>1</v>
      </c>
      <c r="AK267" s="239">
        <v>41883</v>
      </c>
      <c r="AL267" s="229" t="s">
        <v>285</v>
      </c>
      <c r="AM267" s="240">
        <v>0</v>
      </c>
      <c r="AN267" s="266">
        <v>0</v>
      </c>
      <c r="AO267" s="266">
        <v>0</v>
      </c>
      <c r="AP267" s="258">
        <v>0</v>
      </c>
      <c r="AW267" s="239">
        <v>41883</v>
      </c>
      <c r="AX267" s="229" t="s">
        <v>282</v>
      </c>
      <c r="AY267" s="240">
        <v>0</v>
      </c>
      <c r="AZ267" s="266">
        <v>0</v>
      </c>
      <c r="BA267" s="266">
        <v>0</v>
      </c>
      <c r="BB267" s="258">
        <v>0</v>
      </c>
      <c r="BI267" s="1"/>
      <c r="BJ267" s="241" t="s">
        <v>279</v>
      </c>
      <c r="BK267" s="242">
        <v>1</v>
      </c>
      <c r="BL267" s="267">
        <v>0</v>
      </c>
      <c r="BM267" s="267">
        <v>0</v>
      </c>
      <c r="BN267" s="247">
        <v>1</v>
      </c>
    </row>
    <row r="268" spans="1:66" x14ac:dyDescent="0.2">
      <c r="A268" s="1"/>
      <c r="B268" s="241" t="s">
        <v>292</v>
      </c>
      <c r="C268" s="242">
        <v>0</v>
      </c>
      <c r="D268" s="267">
        <v>0</v>
      </c>
      <c r="E268" s="267">
        <v>0</v>
      </c>
      <c r="F268" s="247">
        <v>0</v>
      </c>
      <c r="H268" s="14"/>
      <c r="I268" s="14"/>
      <c r="J268" s="14"/>
      <c r="M268" s="1"/>
      <c r="N268" s="241" t="s">
        <v>276</v>
      </c>
      <c r="O268" s="242">
        <v>0</v>
      </c>
      <c r="P268" s="267">
        <v>0</v>
      </c>
      <c r="Q268" s="267">
        <v>0</v>
      </c>
      <c r="R268" s="247">
        <v>0</v>
      </c>
      <c r="Y268" s="1"/>
      <c r="Z268" s="241" t="s">
        <v>289</v>
      </c>
      <c r="AA268" s="242">
        <v>0</v>
      </c>
      <c r="AB268" s="267">
        <v>0</v>
      </c>
      <c r="AC268" s="267">
        <v>0</v>
      </c>
      <c r="AD268" s="247">
        <v>0</v>
      </c>
      <c r="AK268" s="1"/>
      <c r="AL268" s="241" t="s">
        <v>286</v>
      </c>
      <c r="AM268" s="242">
        <v>0</v>
      </c>
      <c r="AN268" s="267">
        <v>0</v>
      </c>
      <c r="AO268" s="267">
        <v>0</v>
      </c>
      <c r="AP268" s="247">
        <v>0</v>
      </c>
      <c r="AW268" s="1"/>
      <c r="AX268" s="241" t="s">
        <v>283</v>
      </c>
      <c r="AY268" s="242">
        <v>1</v>
      </c>
      <c r="AZ268" s="267">
        <v>3</v>
      </c>
      <c r="BA268" s="267">
        <v>0</v>
      </c>
      <c r="BB268" s="247">
        <v>4</v>
      </c>
      <c r="BI268" s="1"/>
      <c r="BJ268" s="241" t="s">
        <v>280</v>
      </c>
      <c r="BK268" s="242">
        <v>0</v>
      </c>
      <c r="BL268" s="267">
        <v>0</v>
      </c>
      <c r="BM268" s="267">
        <v>0</v>
      </c>
      <c r="BN268" s="247">
        <v>0</v>
      </c>
    </row>
    <row r="269" spans="1:66" x14ac:dyDescent="0.2">
      <c r="A269" s="1"/>
      <c r="B269" s="241" t="s">
        <v>293</v>
      </c>
      <c r="C269" s="242">
        <v>0</v>
      </c>
      <c r="D269" s="267">
        <v>0</v>
      </c>
      <c r="E269" s="267">
        <v>0</v>
      </c>
      <c r="F269" s="247">
        <v>0</v>
      </c>
      <c r="H269" s="14"/>
      <c r="I269" s="14"/>
      <c r="J269" s="14"/>
      <c r="M269" s="1"/>
      <c r="N269" s="241" t="s">
        <v>277</v>
      </c>
      <c r="O269" s="242">
        <v>0</v>
      </c>
      <c r="P269" s="267">
        <v>0</v>
      </c>
      <c r="Q269" s="267">
        <v>0</v>
      </c>
      <c r="R269" s="247">
        <v>0</v>
      </c>
      <c r="Y269" s="1"/>
      <c r="Z269" s="241" t="s">
        <v>290</v>
      </c>
      <c r="AA269" s="242">
        <v>0</v>
      </c>
      <c r="AB269" s="267">
        <v>0</v>
      </c>
      <c r="AC269" s="267">
        <v>0</v>
      </c>
      <c r="AD269" s="247">
        <v>0</v>
      </c>
      <c r="AK269" s="1"/>
      <c r="AL269" s="241" t="s">
        <v>287</v>
      </c>
      <c r="AM269" s="242">
        <v>0</v>
      </c>
      <c r="AN269" s="267">
        <v>0</v>
      </c>
      <c r="AO269" s="267">
        <v>0</v>
      </c>
      <c r="AP269" s="247">
        <v>0</v>
      </c>
      <c r="AW269" s="1"/>
      <c r="AX269" s="241" t="s">
        <v>284</v>
      </c>
      <c r="AY269" s="242">
        <v>0</v>
      </c>
      <c r="AZ269" s="267">
        <v>0</v>
      </c>
      <c r="BA269" s="267">
        <v>0</v>
      </c>
      <c r="BB269" s="247">
        <v>0</v>
      </c>
      <c r="BI269" s="1"/>
      <c r="BJ269" s="241" t="s">
        <v>281</v>
      </c>
      <c r="BK269" s="242">
        <v>0</v>
      </c>
      <c r="BL269" s="267">
        <v>0</v>
      </c>
      <c r="BM269" s="267">
        <v>0</v>
      </c>
      <c r="BN269" s="247">
        <v>0</v>
      </c>
    </row>
    <row r="270" spans="1:66" x14ac:dyDescent="0.2">
      <c r="A270" s="239">
        <v>41884</v>
      </c>
      <c r="B270" s="229" t="s">
        <v>291</v>
      </c>
      <c r="C270" s="240">
        <v>0</v>
      </c>
      <c r="D270" s="266">
        <v>0</v>
      </c>
      <c r="E270" s="266">
        <v>0</v>
      </c>
      <c r="F270" s="258">
        <v>0</v>
      </c>
      <c r="H270" s="14"/>
      <c r="I270" s="14"/>
      <c r="J270" s="14"/>
      <c r="M270" s="239">
        <v>41884</v>
      </c>
      <c r="N270" s="229" t="s">
        <v>275</v>
      </c>
      <c r="O270" s="240">
        <v>0</v>
      </c>
      <c r="P270" s="266">
        <v>0</v>
      </c>
      <c r="Q270" s="266">
        <v>0</v>
      </c>
      <c r="R270" s="258">
        <v>0</v>
      </c>
      <c r="Y270" s="239">
        <v>41884</v>
      </c>
      <c r="Z270" s="229" t="s">
        <v>288</v>
      </c>
      <c r="AA270" s="240">
        <v>0</v>
      </c>
      <c r="AB270" s="266">
        <v>0</v>
      </c>
      <c r="AC270" s="266">
        <v>0</v>
      </c>
      <c r="AD270" s="258">
        <v>0</v>
      </c>
      <c r="AK270" s="239">
        <v>41884</v>
      </c>
      <c r="AL270" s="229" t="s">
        <v>285</v>
      </c>
      <c r="AM270" s="240">
        <v>0</v>
      </c>
      <c r="AN270" s="266">
        <v>0</v>
      </c>
      <c r="AO270" s="266">
        <v>0</v>
      </c>
      <c r="AP270" s="258">
        <v>0</v>
      </c>
      <c r="AW270" s="239">
        <v>41884</v>
      </c>
      <c r="AX270" s="229" t="s">
        <v>282</v>
      </c>
      <c r="AY270" s="240">
        <v>0</v>
      </c>
      <c r="AZ270" s="266">
        <v>0</v>
      </c>
      <c r="BA270" s="266">
        <v>0</v>
      </c>
      <c r="BB270" s="258">
        <v>0</v>
      </c>
      <c r="BI270" s="239">
        <v>41862</v>
      </c>
      <c r="BJ270" s="229" t="s">
        <v>278</v>
      </c>
      <c r="BK270" s="240">
        <v>0</v>
      </c>
      <c r="BL270" s="266">
        <v>0</v>
      </c>
      <c r="BM270" s="266">
        <v>7</v>
      </c>
      <c r="BN270" s="258">
        <v>7</v>
      </c>
    </row>
    <row r="271" spans="1:66" x14ac:dyDescent="0.2">
      <c r="A271" s="1"/>
      <c r="B271" s="241" t="s">
        <v>292</v>
      </c>
      <c r="C271" s="242">
        <v>0</v>
      </c>
      <c r="D271" s="267">
        <v>0</v>
      </c>
      <c r="E271" s="267">
        <v>0</v>
      </c>
      <c r="F271" s="247">
        <v>0</v>
      </c>
      <c r="H271" s="14"/>
      <c r="I271" s="14"/>
      <c r="J271" s="14"/>
      <c r="M271" s="1"/>
      <c r="N271" s="241" t="s">
        <v>276</v>
      </c>
      <c r="O271" s="242">
        <v>0</v>
      </c>
      <c r="P271" s="267">
        <v>0</v>
      </c>
      <c r="Q271" s="267">
        <v>0</v>
      </c>
      <c r="R271" s="247">
        <v>0</v>
      </c>
      <c r="Y271" s="1"/>
      <c r="Z271" s="241" t="s">
        <v>289</v>
      </c>
      <c r="AA271" s="242">
        <v>0</v>
      </c>
      <c r="AB271" s="267">
        <v>0</v>
      </c>
      <c r="AC271" s="267">
        <v>0</v>
      </c>
      <c r="AD271" s="247">
        <v>0</v>
      </c>
      <c r="AK271" s="1"/>
      <c r="AL271" s="241" t="s">
        <v>286</v>
      </c>
      <c r="AM271" s="242">
        <v>0</v>
      </c>
      <c r="AN271" s="267">
        <v>0</v>
      </c>
      <c r="AO271" s="267">
        <v>0</v>
      </c>
      <c r="AP271" s="247">
        <v>0</v>
      </c>
      <c r="AW271" s="1"/>
      <c r="AX271" s="241" t="s">
        <v>283</v>
      </c>
      <c r="AY271" s="242">
        <v>0</v>
      </c>
      <c r="AZ271" s="267">
        <v>3</v>
      </c>
      <c r="BA271" s="267">
        <v>1</v>
      </c>
      <c r="BB271" s="247">
        <v>4</v>
      </c>
      <c r="BI271" s="1"/>
      <c r="BJ271" s="241" t="s">
        <v>279</v>
      </c>
      <c r="BK271" s="242">
        <v>2</v>
      </c>
      <c r="BL271" s="267">
        <v>0</v>
      </c>
      <c r="BM271" s="267">
        <v>4</v>
      </c>
      <c r="BN271" s="247">
        <v>6</v>
      </c>
    </row>
    <row r="272" spans="1:66" x14ac:dyDescent="0.2">
      <c r="A272" s="1"/>
      <c r="B272" s="241" t="s">
        <v>293</v>
      </c>
      <c r="C272" s="242">
        <v>0</v>
      </c>
      <c r="D272" s="267">
        <v>0</v>
      </c>
      <c r="E272" s="267">
        <v>0</v>
      </c>
      <c r="F272" s="247">
        <v>0</v>
      </c>
      <c r="H272" s="14"/>
      <c r="I272" s="14"/>
      <c r="J272" s="14"/>
      <c r="M272" s="1"/>
      <c r="N272" s="241" t="s">
        <v>277</v>
      </c>
      <c r="O272" s="242">
        <v>0</v>
      </c>
      <c r="P272" s="267">
        <v>0</v>
      </c>
      <c r="Q272" s="267">
        <v>0</v>
      </c>
      <c r="R272" s="247">
        <v>0</v>
      </c>
      <c r="Y272" s="1"/>
      <c r="Z272" s="241" t="s">
        <v>290</v>
      </c>
      <c r="AA272" s="242">
        <v>0</v>
      </c>
      <c r="AB272" s="267">
        <v>0</v>
      </c>
      <c r="AC272" s="267">
        <v>0</v>
      </c>
      <c r="AD272" s="247">
        <v>0</v>
      </c>
      <c r="AK272" s="1"/>
      <c r="AL272" s="241" t="s">
        <v>287</v>
      </c>
      <c r="AM272" s="242">
        <v>0</v>
      </c>
      <c r="AN272" s="267">
        <v>0</v>
      </c>
      <c r="AO272" s="267">
        <v>0</v>
      </c>
      <c r="AP272" s="247">
        <v>0</v>
      </c>
      <c r="AW272" s="1"/>
      <c r="AX272" s="241" t="s">
        <v>284</v>
      </c>
      <c r="AY272" s="242">
        <v>0</v>
      </c>
      <c r="AZ272" s="267">
        <v>0</v>
      </c>
      <c r="BA272" s="267">
        <v>0</v>
      </c>
      <c r="BB272" s="247">
        <v>0</v>
      </c>
      <c r="BI272" s="1"/>
      <c r="BJ272" s="241" t="s">
        <v>280</v>
      </c>
      <c r="BK272" s="242">
        <v>0</v>
      </c>
      <c r="BL272" s="267">
        <v>0</v>
      </c>
      <c r="BM272" s="267">
        <v>0</v>
      </c>
      <c r="BN272" s="247">
        <v>0</v>
      </c>
    </row>
    <row r="273" spans="1:66" x14ac:dyDescent="0.2">
      <c r="A273" s="239">
        <v>41885</v>
      </c>
      <c r="B273" s="229" t="s">
        <v>291</v>
      </c>
      <c r="C273" s="240">
        <v>0</v>
      </c>
      <c r="D273" s="266">
        <v>0</v>
      </c>
      <c r="E273" s="266">
        <v>0</v>
      </c>
      <c r="F273" s="258">
        <v>0</v>
      </c>
      <c r="H273" s="14"/>
      <c r="I273" s="14"/>
      <c r="J273" s="14"/>
      <c r="M273" s="239">
        <v>41885</v>
      </c>
      <c r="N273" s="229" t="s">
        <v>275</v>
      </c>
      <c r="O273" s="240">
        <v>0</v>
      </c>
      <c r="P273" s="266">
        <v>0</v>
      </c>
      <c r="Q273" s="266">
        <v>0</v>
      </c>
      <c r="R273" s="258">
        <v>0</v>
      </c>
      <c r="Y273" s="239">
        <v>41885</v>
      </c>
      <c r="Z273" s="229" t="s">
        <v>288</v>
      </c>
      <c r="AA273" s="240">
        <v>0</v>
      </c>
      <c r="AB273" s="266">
        <v>1</v>
      </c>
      <c r="AC273" s="266">
        <v>0</v>
      </c>
      <c r="AD273" s="258">
        <v>1</v>
      </c>
      <c r="AK273" s="239">
        <v>41885</v>
      </c>
      <c r="AL273" s="229" t="s">
        <v>285</v>
      </c>
      <c r="AM273" s="240">
        <v>0</v>
      </c>
      <c r="AN273" s="266">
        <v>0</v>
      </c>
      <c r="AO273" s="266">
        <v>0</v>
      </c>
      <c r="AP273" s="258">
        <v>0</v>
      </c>
      <c r="AW273" s="239">
        <v>41885</v>
      </c>
      <c r="AX273" s="229" t="s">
        <v>282</v>
      </c>
      <c r="AY273" s="240">
        <v>0</v>
      </c>
      <c r="AZ273" s="266">
        <v>0</v>
      </c>
      <c r="BA273" s="266">
        <v>0</v>
      </c>
      <c r="BB273" s="258">
        <v>0</v>
      </c>
      <c r="BI273" s="1"/>
      <c r="BJ273" s="241" t="s">
        <v>281</v>
      </c>
      <c r="BK273" s="242">
        <v>0</v>
      </c>
      <c r="BL273" s="267">
        <v>0</v>
      </c>
      <c r="BM273" s="267">
        <v>0</v>
      </c>
      <c r="BN273" s="247">
        <v>0</v>
      </c>
    </row>
    <row r="274" spans="1:66" x14ac:dyDescent="0.2">
      <c r="A274" s="1"/>
      <c r="B274" s="241" t="s">
        <v>292</v>
      </c>
      <c r="C274" s="242">
        <v>0</v>
      </c>
      <c r="D274" s="267">
        <v>0</v>
      </c>
      <c r="E274" s="267">
        <v>0</v>
      </c>
      <c r="F274" s="247">
        <v>0</v>
      </c>
      <c r="H274" s="14"/>
      <c r="I274" s="14"/>
      <c r="J274" s="14"/>
      <c r="M274" s="1"/>
      <c r="N274" s="241" t="s">
        <v>276</v>
      </c>
      <c r="O274" s="242">
        <v>0</v>
      </c>
      <c r="P274" s="267">
        <v>0</v>
      </c>
      <c r="Q274" s="267">
        <v>0</v>
      </c>
      <c r="R274" s="247">
        <v>0</v>
      </c>
      <c r="Y274" s="1"/>
      <c r="Z274" s="241" t="s">
        <v>289</v>
      </c>
      <c r="AA274" s="242">
        <v>0</v>
      </c>
      <c r="AB274" s="267">
        <v>0</v>
      </c>
      <c r="AC274" s="267">
        <v>0</v>
      </c>
      <c r="AD274" s="247">
        <v>0</v>
      </c>
      <c r="AK274" s="1"/>
      <c r="AL274" s="241" t="s">
        <v>286</v>
      </c>
      <c r="AM274" s="242">
        <v>0</v>
      </c>
      <c r="AN274" s="267">
        <v>0</v>
      </c>
      <c r="AO274" s="267">
        <v>0</v>
      </c>
      <c r="AP274" s="247">
        <v>0</v>
      </c>
      <c r="AW274" s="1"/>
      <c r="AX274" s="241" t="s">
        <v>283</v>
      </c>
      <c r="AY274" s="242">
        <v>0</v>
      </c>
      <c r="AZ274" s="267">
        <v>0</v>
      </c>
      <c r="BA274" s="267">
        <v>0</v>
      </c>
      <c r="BB274" s="247">
        <v>0</v>
      </c>
      <c r="BI274" s="239">
        <v>41863</v>
      </c>
      <c r="BJ274" s="229" t="s">
        <v>278</v>
      </c>
      <c r="BK274" s="240">
        <v>2</v>
      </c>
      <c r="BL274" s="266">
        <v>0</v>
      </c>
      <c r="BM274" s="266">
        <v>4</v>
      </c>
      <c r="BN274" s="258">
        <v>6</v>
      </c>
    </row>
    <row r="275" spans="1:66" x14ac:dyDescent="0.2">
      <c r="A275" s="1"/>
      <c r="B275" s="241" t="s">
        <v>293</v>
      </c>
      <c r="C275" s="242">
        <v>0</v>
      </c>
      <c r="D275" s="267">
        <v>0</v>
      </c>
      <c r="E275" s="267">
        <v>0</v>
      </c>
      <c r="F275" s="247">
        <v>0</v>
      </c>
      <c r="H275" s="14"/>
      <c r="I275" s="14"/>
      <c r="J275" s="14"/>
      <c r="M275" s="1"/>
      <c r="N275" s="241" t="s">
        <v>277</v>
      </c>
      <c r="O275" s="242">
        <v>0</v>
      </c>
      <c r="P275" s="267">
        <v>0</v>
      </c>
      <c r="Q275" s="267">
        <v>0</v>
      </c>
      <c r="R275" s="247">
        <v>0</v>
      </c>
      <c r="Y275" s="1"/>
      <c r="Z275" s="241" t="s">
        <v>290</v>
      </c>
      <c r="AA275" s="242">
        <v>0</v>
      </c>
      <c r="AB275" s="267">
        <v>0</v>
      </c>
      <c r="AC275" s="267">
        <v>0</v>
      </c>
      <c r="AD275" s="247">
        <v>0</v>
      </c>
      <c r="AK275" s="1"/>
      <c r="AL275" s="241" t="s">
        <v>287</v>
      </c>
      <c r="AM275" s="242">
        <v>0</v>
      </c>
      <c r="AN275" s="267">
        <v>0</v>
      </c>
      <c r="AO275" s="267">
        <v>0</v>
      </c>
      <c r="AP275" s="247">
        <v>0</v>
      </c>
      <c r="AW275" s="1"/>
      <c r="AX275" s="241" t="s">
        <v>284</v>
      </c>
      <c r="AY275" s="242">
        <v>0</v>
      </c>
      <c r="AZ275" s="267">
        <v>0</v>
      </c>
      <c r="BA275" s="267">
        <v>0</v>
      </c>
      <c r="BB275" s="247">
        <v>0</v>
      </c>
      <c r="BI275" s="1"/>
      <c r="BJ275" s="241" t="s">
        <v>279</v>
      </c>
      <c r="BK275" s="242">
        <v>0</v>
      </c>
      <c r="BL275" s="267">
        <v>0</v>
      </c>
      <c r="BM275" s="267">
        <v>0</v>
      </c>
      <c r="BN275" s="247">
        <v>0</v>
      </c>
    </row>
    <row r="276" spans="1:66" x14ac:dyDescent="0.2">
      <c r="A276" s="239">
        <v>41886</v>
      </c>
      <c r="B276" s="229" t="s">
        <v>291</v>
      </c>
      <c r="C276" s="240">
        <v>0</v>
      </c>
      <c r="D276" s="266">
        <v>0</v>
      </c>
      <c r="E276" s="266">
        <v>0</v>
      </c>
      <c r="F276" s="258">
        <v>0</v>
      </c>
      <c r="H276" s="14"/>
      <c r="I276" s="14"/>
      <c r="J276" s="14"/>
      <c r="M276" s="239">
        <v>41886</v>
      </c>
      <c r="N276" s="229" t="s">
        <v>275</v>
      </c>
      <c r="O276" s="240">
        <v>0</v>
      </c>
      <c r="P276" s="266">
        <v>0</v>
      </c>
      <c r="Q276" s="266">
        <v>0</v>
      </c>
      <c r="R276" s="258">
        <v>0</v>
      </c>
      <c r="Y276" s="239">
        <v>41886</v>
      </c>
      <c r="Z276" s="229" t="s">
        <v>288</v>
      </c>
      <c r="AA276" s="240">
        <v>0</v>
      </c>
      <c r="AB276" s="266">
        <v>0</v>
      </c>
      <c r="AC276" s="266">
        <v>0</v>
      </c>
      <c r="AD276" s="258">
        <v>0</v>
      </c>
      <c r="AK276" s="239">
        <v>41886</v>
      </c>
      <c r="AL276" s="229" t="s">
        <v>285</v>
      </c>
      <c r="AM276" s="240">
        <v>0</v>
      </c>
      <c r="AN276" s="266">
        <v>0</v>
      </c>
      <c r="AO276" s="266">
        <v>0</v>
      </c>
      <c r="AP276" s="258">
        <v>0</v>
      </c>
      <c r="AW276" s="239">
        <v>41886</v>
      </c>
      <c r="AX276" s="229" t="s">
        <v>282</v>
      </c>
      <c r="AY276" s="240">
        <v>0</v>
      </c>
      <c r="AZ276" s="266">
        <v>0</v>
      </c>
      <c r="BA276" s="266">
        <v>0</v>
      </c>
      <c r="BB276" s="258">
        <v>0</v>
      </c>
      <c r="BI276" s="1"/>
      <c r="BJ276" s="241" t="s">
        <v>280</v>
      </c>
      <c r="BK276" s="242">
        <v>0</v>
      </c>
      <c r="BL276" s="267">
        <v>0</v>
      </c>
      <c r="BM276" s="267">
        <v>0</v>
      </c>
      <c r="BN276" s="247">
        <v>0</v>
      </c>
    </row>
    <row r="277" spans="1:66" x14ac:dyDescent="0.2">
      <c r="A277" s="1"/>
      <c r="B277" s="241" t="s">
        <v>292</v>
      </c>
      <c r="C277" s="242">
        <v>0</v>
      </c>
      <c r="D277" s="267">
        <v>0</v>
      </c>
      <c r="E277" s="267">
        <v>0</v>
      </c>
      <c r="F277" s="247">
        <v>0</v>
      </c>
      <c r="H277" s="14"/>
      <c r="I277" s="14"/>
      <c r="J277" s="14"/>
      <c r="M277" s="1"/>
      <c r="N277" s="241" t="s">
        <v>276</v>
      </c>
      <c r="O277" s="242">
        <v>0</v>
      </c>
      <c r="P277" s="267">
        <v>0</v>
      </c>
      <c r="Q277" s="267">
        <v>0</v>
      </c>
      <c r="R277" s="247">
        <v>0</v>
      </c>
      <c r="Y277" s="1"/>
      <c r="Z277" s="241" t="s">
        <v>289</v>
      </c>
      <c r="AA277" s="242">
        <v>0</v>
      </c>
      <c r="AB277" s="267">
        <v>0</v>
      </c>
      <c r="AC277" s="267">
        <v>0</v>
      </c>
      <c r="AD277" s="247">
        <v>0</v>
      </c>
      <c r="AK277" s="1"/>
      <c r="AL277" s="241" t="s">
        <v>286</v>
      </c>
      <c r="AM277" s="242">
        <v>0</v>
      </c>
      <c r="AN277" s="267">
        <v>0</v>
      </c>
      <c r="AO277" s="267">
        <v>0</v>
      </c>
      <c r="AP277" s="247">
        <v>0</v>
      </c>
      <c r="AW277" s="1"/>
      <c r="AX277" s="241" t="s">
        <v>283</v>
      </c>
      <c r="AY277" s="242">
        <v>0</v>
      </c>
      <c r="AZ277" s="267">
        <v>0</v>
      </c>
      <c r="BA277" s="267">
        <v>0</v>
      </c>
      <c r="BB277" s="247">
        <v>0</v>
      </c>
      <c r="BI277" s="1"/>
      <c r="BJ277" s="241" t="s">
        <v>281</v>
      </c>
      <c r="BK277" s="242">
        <v>0</v>
      </c>
      <c r="BL277" s="267">
        <v>0</v>
      </c>
      <c r="BM277" s="267">
        <v>0</v>
      </c>
      <c r="BN277" s="247">
        <v>0</v>
      </c>
    </row>
    <row r="278" spans="1:66" x14ac:dyDescent="0.2">
      <c r="A278" s="1"/>
      <c r="B278" s="241" t="s">
        <v>293</v>
      </c>
      <c r="C278" s="242">
        <v>0</v>
      </c>
      <c r="D278" s="267">
        <v>0</v>
      </c>
      <c r="E278" s="267">
        <v>0</v>
      </c>
      <c r="F278" s="247">
        <v>0</v>
      </c>
      <c r="H278" s="14"/>
      <c r="I278" s="14"/>
      <c r="J278" s="14"/>
      <c r="M278" s="1"/>
      <c r="N278" s="241" t="s">
        <v>277</v>
      </c>
      <c r="O278" s="242">
        <v>0</v>
      </c>
      <c r="P278" s="267">
        <v>0</v>
      </c>
      <c r="Q278" s="267">
        <v>0</v>
      </c>
      <c r="R278" s="247">
        <v>0</v>
      </c>
      <c r="Y278" s="1"/>
      <c r="Z278" s="241" t="s">
        <v>290</v>
      </c>
      <c r="AA278" s="242">
        <v>0</v>
      </c>
      <c r="AB278" s="267">
        <v>0</v>
      </c>
      <c r="AC278" s="267">
        <v>0</v>
      </c>
      <c r="AD278" s="247">
        <v>0</v>
      </c>
      <c r="AK278" s="1"/>
      <c r="AL278" s="241" t="s">
        <v>287</v>
      </c>
      <c r="AM278" s="242">
        <v>0</v>
      </c>
      <c r="AN278" s="267">
        <v>0</v>
      </c>
      <c r="AO278" s="267">
        <v>0</v>
      </c>
      <c r="AP278" s="247">
        <v>0</v>
      </c>
      <c r="AW278" s="1"/>
      <c r="AX278" s="241" t="s">
        <v>284</v>
      </c>
      <c r="AY278" s="242">
        <v>0</v>
      </c>
      <c r="AZ278" s="267">
        <v>0</v>
      </c>
      <c r="BA278" s="267">
        <v>0</v>
      </c>
      <c r="BB278" s="247">
        <v>0</v>
      </c>
      <c r="BI278" s="239">
        <v>41864</v>
      </c>
      <c r="BJ278" s="229" t="s">
        <v>278</v>
      </c>
      <c r="BK278" s="240">
        <v>5</v>
      </c>
      <c r="BL278" s="266">
        <v>0</v>
      </c>
      <c r="BM278" s="266">
        <v>3</v>
      </c>
      <c r="BN278" s="258">
        <v>8</v>
      </c>
    </row>
    <row r="279" spans="1:66" x14ac:dyDescent="0.2">
      <c r="A279" s="239">
        <v>41887</v>
      </c>
      <c r="B279" s="229" t="s">
        <v>291</v>
      </c>
      <c r="C279" s="240">
        <v>0</v>
      </c>
      <c r="D279" s="266">
        <v>0</v>
      </c>
      <c r="E279" s="266">
        <v>0</v>
      </c>
      <c r="F279" s="258">
        <v>0</v>
      </c>
      <c r="H279" s="14"/>
      <c r="I279" s="14"/>
      <c r="J279" s="14"/>
      <c r="M279" s="239">
        <v>41887</v>
      </c>
      <c r="N279" s="229" t="s">
        <v>275</v>
      </c>
      <c r="O279" s="240">
        <v>0</v>
      </c>
      <c r="P279" s="266">
        <v>0</v>
      </c>
      <c r="Q279" s="266">
        <v>0</v>
      </c>
      <c r="R279" s="258">
        <v>0</v>
      </c>
      <c r="Y279" s="239">
        <v>41887</v>
      </c>
      <c r="Z279" s="229" t="s">
        <v>288</v>
      </c>
      <c r="AA279" s="240">
        <v>0</v>
      </c>
      <c r="AB279" s="266">
        <v>0</v>
      </c>
      <c r="AC279" s="266">
        <v>0</v>
      </c>
      <c r="AD279" s="258">
        <v>0</v>
      </c>
      <c r="AK279" s="239">
        <v>41887</v>
      </c>
      <c r="AL279" s="229" t="s">
        <v>285</v>
      </c>
      <c r="AM279" s="240">
        <v>0</v>
      </c>
      <c r="AN279" s="266">
        <v>0</v>
      </c>
      <c r="AO279" s="266">
        <v>0</v>
      </c>
      <c r="AP279" s="258">
        <v>0</v>
      </c>
      <c r="AW279" s="239">
        <v>41887</v>
      </c>
      <c r="AX279" s="229" t="s">
        <v>282</v>
      </c>
      <c r="AY279" s="240">
        <v>0</v>
      </c>
      <c r="AZ279" s="266">
        <v>0</v>
      </c>
      <c r="BA279" s="266">
        <v>0</v>
      </c>
      <c r="BB279" s="258">
        <v>0</v>
      </c>
      <c r="BI279" s="1"/>
      <c r="BJ279" s="241" t="s">
        <v>279</v>
      </c>
      <c r="BK279" s="242">
        <v>0</v>
      </c>
      <c r="BL279" s="267">
        <v>0</v>
      </c>
      <c r="BM279" s="267">
        <v>1</v>
      </c>
      <c r="BN279" s="247">
        <v>1</v>
      </c>
    </row>
    <row r="280" spans="1:66" x14ac:dyDescent="0.2">
      <c r="A280" s="1"/>
      <c r="B280" s="241" t="s">
        <v>292</v>
      </c>
      <c r="C280" s="242">
        <v>0</v>
      </c>
      <c r="D280" s="267">
        <v>0</v>
      </c>
      <c r="E280" s="267">
        <v>0</v>
      </c>
      <c r="F280" s="247">
        <v>0</v>
      </c>
      <c r="H280" s="14"/>
      <c r="I280" s="14"/>
      <c r="J280" s="14"/>
      <c r="M280" s="1"/>
      <c r="N280" s="241" t="s">
        <v>276</v>
      </c>
      <c r="O280" s="242">
        <v>0</v>
      </c>
      <c r="P280" s="267">
        <v>0</v>
      </c>
      <c r="Q280" s="267">
        <v>0</v>
      </c>
      <c r="R280" s="247">
        <v>0</v>
      </c>
      <c r="Y280" s="1"/>
      <c r="Z280" s="241" t="s">
        <v>289</v>
      </c>
      <c r="AA280" s="242">
        <v>0</v>
      </c>
      <c r="AB280" s="267">
        <v>0</v>
      </c>
      <c r="AC280" s="267">
        <v>0</v>
      </c>
      <c r="AD280" s="247">
        <v>0</v>
      </c>
      <c r="AK280" s="1"/>
      <c r="AL280" s="241" t="s">
        <v>286</v>
      </c>
      <c r="AM280" s="242">
        <v>0</v>
      </c>
      <c r="AN280" s="267">
        <v>0</v>
      </c>
      <c r="AO280" s="267">
        <v>0</v>
      </c>
      <c r="AP280" s="247">
        <v>0</v>
      </c>
      <c r="AW280" s="1"/>
      <c r="AX280" s="241" t="s">
        <v>283</v>
      </c>
      <c r="AY280" s="242">
        <v>0</v>
      </c>
      <c r="AZ280" s="267">
        <v>0</v>
      </c>
      <c r="BA280" s="267">
        <v>1</v>
      </c>
      <c r="BB280" s="247">
        <v>1</v>
      </c>
      <c r="BI280" s="1"/>
      <c r="BJ280" s="241" t="s">
        <v>280</v>
      </c>
      <c r="BK280" s="242">
        <v>0</v>
      </c>
      <c r="BL280" s="267">
        <v>0</v>
      </c>
      <c r="BM280" s="267">
        <v>0</v>
      </c>
      <c r="BN280" s="247">
        <v>0</v>
      </c>
    </row>
    <row r="281" spans="1:66" x14ac:dyDescent="0.2">
      <c r="A281" s="1"/>
      <c r="B281" s="241" t="s">
        <v>293</v>
      </c>
      <c r="C281" s="242">
        <v>0</v>
      </c>
      <c r="D281" s="267">
        <v>0</v>
      </c>
      <c r="E281" s="267">
        <v>0</v>
      </c>
      <c r="F281" s="247">
        <v>0</v>
      </c>
      <c r="H281" s="14"/>
      <c r="I281" s="14"/>
      <c r="J281" s="14"/>
      <c r="M281" s="1"/>
      <c r="N281" s="241" t="s">
        <v>277</v>
      </c>
      <c r="O281" s="242">
        <v>0</v>
      </c>
      <c r="P281" s="267">
        <v>0</v>
      </c>
      <c r="Q281" s="267">
        <v>0</v>
      </c>
      <c r="R281" s="247">
        <v>0</v>
      </c>
      <c r="Y281" s="1"/>
      <c r="Z281" s="241" t="s">
        <v>290</v>
      </c>
      <c r="AA281" s="242">
        <v>0</v>
      </c>
      <c r="AB281" s="267">
        <v>0</v>
      </c>
      <c r="AC281" s="267">
        <v>0</v>
      </c>
      <c r="AD281" s="247">
        <v>0</v>
      </c>
      <c r="AK281" s="1"/>
      <c r="AL281" s="241" t="s">
        <v>287</v>
      </c>
      <c r="AM281" s="242">
        <v>0</v>
      </c>
      <c r="AN281" s="267">
        <v>0</v>
      </c>
      <c r="AO281" s="267">
        <v>0</v>
      </c>
      <c r="AP281" s="247">
        <v>0</v>
      </c>
      <c r="AW281" s="1"/>
      <c r="AX281" s="241" t="s">
        <v>284</v>
      </c>
      <c r="AY281" s="242">
        <v>0</v>
      </c>
      <c r="AZ281" s="267">
        <v>0</v>
      </c>
      <c r="BA281" s="267">
        <v>0</v>
      </c>
      <c r="BB281" s="247">
        <v>0</v>
      </c>
      <c r="BI281" s="1"/>
      <c r="BJ281" s="241" t="s">
        <v>281</v>
      </c>
      <c r="BK281" s="242">
        <v>0</v>
      </c>
      <c r="BL281" s="267">
        <v>0</v>
      </c>
      <c r="BM281" s="267">
        <v>0</v>
      </c>
      <c r="BN281" s="247">
        <v>0</v>
      </c>
    </row>
    <row r="282" spans="1:66" x14ac:dyDescent="0.2">
      <c r="A282" s="239">
        <v>41888</v>
      </c>
      <c r="B282" s="229" t="s">
        <v>291</v>
      </c>
      <c r="C282" s="240">
        <v>0</v>
      </c>
      <c r="D282" s="266">
        <v>0</v>
      </c>
      <c r="E282" s="266">
        <v>0</v>
      </c>
      <c r="F282" s="258">
        <v>0</v>
      </c>
      <c r="H282" s="14"/>
      <c r="I282" s="14"/>
      <c r="J282" s="14"/>
      <c r="M282" s="239">
        <v>41888</v>
      </c>
      <c r="N282" s="229" t="s">
        <v>275</v>
      </c>
      <c r="O282" s="240">
        <v>0</v>
      </c>
      <c r="P282" s="266">
        <v>0</v>
      </c>
      <c r="Q282" s="266">
        <v>0</v>
      </c>
      <c r="R282" s="258">
        <v>0</v>
      </c>
      <c r="Y282" s="239">
        <v>41888</v>
      </c>
      <c r="Z282" s="229" t="s">
        <v>288</v>
      </c>
      <c r="AA282" s="240">
        <v>0</v>
      </c>
      <c r="AB282" s="266">
        <v>0</v>
      </c>
      <c r="AC282" s="266">
        <v>0</v>
      </c>
      <c r="AD282" s="258">
        <v>0</v>
      </c>
      <c r="AK282" s="239">
        <v>41888</v>
      </c>
      <c r="AL282" s="229" t="s">
        <v>285</v>
      </c>
      <c r="AM282" s="240">
        <v>0</v>
      </c>
      <c r="AN282" s="266">
        <v>0</v>
      </c>
      <c r="AO282" s="266">
        <v>0</v>
      </c>
      <c r="AP282" s="258">
        <v>0</v>
      </c>
      <c r="AW282" s="239">
        <v>41888</v>
      </c>
      <c r="AX282" s="229" t="s">
        <v>282</v>
      </c>
      <c r="AY282" s="240">
        <v>0</v>
      </c>
      <c r="AZ282" s="266">
        <v>0</v>
      </c>
      <c r="BA282" s="266">
        <v>0</v>
      </c>
      <c r="BB282" s="258">
        <v>0</v>
      </c>
      <c r="BI282" s="239">
        <v>41865</v>
      </c>
      <c r="BJ282" s="229" t="s">
        <v>278</v>
      </c>
      <c r="BK282" s="240">
        <v>6</v>
      </c>
      <c r="BL282" s="266">
        <v>1</v>
      </c>
      <c r="BM282" s="266">
        <v>4</v>
      </c>
      <c r="BN282" s="258">
        <v>11</v>
      </c>
    </row>
    <row r="283" spans="1:66" x14ac:dyDescent="0.2">
      <c r="A283" s="1"/>
      <c r="B283" s="241" t="s">
        <v>292</v>
      </c>
      <c r="C283" s="242">
        <v>0</v>
      </c>
      <c r="D283" s="267">
        <v>0</v>
      </c>
      <c r="E283" s="267">
        <v>0</v>
      </c>
      <c r="F283" s="247">
        <v>0</v>
      </c>
      <c r="H283" s="14"/>
      <c r="I283" s="14"/>
      <c r="J283" s="14"/>
      <c r="M283" s="1"/>
      <c r="N283" s="241" t="s">
        <v>276</v>
      </c>
      <c r="O283" s="242">
        <v>0</v>
      </c>
      <c r="P283" s="267">
        <v>0</v>
      </c>
      <c r="Q283" s="267">
        <v>0</v>
      </c>
      <c r="R283" s="247">
        <v>0</v>
      </c>
      <c r="Y283" s="1"/>
      <c r="Z283" s="241" t="s">
        <v>289</v>
      </c>
      <c r="AA283" s="242">
        <v>0</v>
      </c>
      <c r="AB283" s="267">
        <v>0</v>
      </c>
      <c r="AC283" s="267">
        <v>0</v>
      </c>
      <c r="AD283" s="247">
        <v>0</v>
      </c>
      <c r="AK283" s="1"/>
      <c r="AL283" s="241" t="s">
        <v>286</v>
      </c>
      <c r="AM283" s="242">
        <v>0</v>
      </c>
      <c r="AN283" s="267">
        <v>0</v>
      </c>
      <c r="AO283" s="267">
        <v>0</v>
      </c>
      <c r="AP283" s="247">
        <v>0</v>
      </c>
      <c r="AW283" s="1"/>
      <c r="AX283" s="241" t="s">
        <v>283</v>
      </c>
      <c r="AY283" s="242">
        <v>0</v>
      </c>
      <c r="AZ283" s="267">
        <v>0</v>
      </c>
      <c r="BA283" s="267">
        <v>0</v>
      </c>
      <c r="BB283" s="247">
        <v>0</v>
      </c>
      <c r="BI283" s="1"/>
      <c r="BJ283" s="241" t="s">
        <v>279</v>
      </c>
      <c r="BK283" s="242">
        <v>3</v>
      </c>
      <c r="BL283" s="267">
        <v>0</v>
      </c>
      <c r="BM283" s="267">
        <v>1</v>
      </c>
      <c r="BN283" s="247">
        <v>4</v>
      </c>
    </row>
    <row r="284" spans="1:66" x14ac:dyDescent="0.2">
      <c r="A284" s="1"/>
      <c r="B284" s="241" t="s">
        <v>293</v>
      </c>
      <c r="C284" s="242">
        <v>0</v>
      </c>
      <c r="D284" s="267">
        <v>0</v>
      </c>
      <c r="E284" s="267">
        <v>0</v>
      </c>
      <c r="F284" s="247">
        <v>0</v>
      </c>
      <c r="H284" s="14"/>
      <c r="I284" s="14"/>
      <c r="J284" s="14"/>
      <c r="M284" s="1"/>
      <c r="N284" s="241" t="s">
        <v>277</v>
      </c>
      <c r="O284" s="242">
        <v>0</v>
      </c>
      <c r="P284" s="267">
        <v>0</v>
      </c>
      <c r="Q284" s="267">
        <v>0</v>
      </c>
      <c r="R284" s="247">
        <v>0</v>
      </c>
      <c r="Y284" s="1"/>
      <c r="Z284" s="241" t="s">
        <v>290</v>
      </c>
      <c r="AA284" s="242">
        <v>0</v>
      </c>
      <c r="AB284" s="267">
        <v>0</v>
      </c>
      <c r="AC284" s="267">
        <v>0</v>
      </c>
      <c r="AD284" s="247">
        <v>0</v>
      </c>
      <c r="AK284" s="1"/>
      <c r="AL284" s="241" t="s">
        <v>287</v>
      </c>
      <c r="AM284" s="242">
        <v>0</v>
      </c>
      <c r="AN284" s="267">
        <v>0</v>
      </c>
      <c r="AO284" s="267">
        <v>0</v>
      </c>
      <c r="AP284" s="247">
        <v>0</v>
      </c>
      <c r="AW284" s="1"/>
      <c r="AX284" s="241" t="s">
        <v>284</v>
      </c>
      <c r="AY284" s="242">
        <v>0</v>
      </c>
      <c r="AZ284" s="267">
        <v>0</v>
      </c>
      <c r="BA284" s="267">
        <v>0</v>
      </c>
      <c r="BB284" s="247">
        <v>0</v>
      </c>
      <c r="BI284" s="1"/>
      <c r="BJ284" s="241" t="s">
        <v>280</v>
      </c>
      <c r="BK284" s="242">
        <v>0</v>
      </c>
      <c r="BL284" s="267">
        <v>0</v>
      </c>
      <c r="BM284" s="267">
        <v>0</v>
      </c>
      <c r="BN284" s="247">
        <v>0</v>
      </c>
    </row>
    <row r="285" spans="1:66" x14ac:dyDescent="0.2">
      <c r="A285" s="239">
        <v>41889</v>
      </c>
      <c r="B285" s="229" t="s">
        <v>291</v>
      </c>
      <c r="C285" s="240">
        <v>0</v>
      </c>
      <c r="D285" s="266">
        <v>0</v>
      </c>
      <c r="E285" s="266">
        <v>0</v>
      </c>
      <c r="F285" s="258">
        <v>0</v>
      </c>
      <c r="H285" s="14"/>
      <c r="I285" s="14"/>
      <c r="J285" s="14"/>
      <c r="M285" s="239">
        <v>41889</v>
      </c>
      <c r="N285" s="229" t="s">
        <v>275</v>
      </c>
      <c r="O285" s="240">
        <v>0</v>
      </c>
      <c r="P285" s="266">
        <v>0</v>
      </c>
      <c r="Q285" s="266">
        <v>0</v>
      </c>
      <c r="R285" s="258">
        <v>0</v>
      </c>
      <c r="Y285" s="239">
        <v>41889</v>
      </c>
      <c r="Z285" s="229" t="s">
        <v>288</v>
      </c>
      <c r="AA285" s="240">
        <v>0</v>
      </c>
      <c r="AB285" s="266">
        <v>0</v>
      </c>
      <c r="AC285" s="266">
        <v>0</v>
      </c>
      <c r="AD285" s="258">
        <v>0</v>
      </c>
      <c r="AK285" s="239">
        <v>41889</v>
      </c>
      <c r="AL285" s="229" t="s">
        <v>285</v>
      </c>
      <c r="AM285" s="240">
        <v>0</v>
      </c>
      <c r="AN285" s="266">
        <v>0</v>
      </c>
      <c r="AO285" s="266">
        <v>0</v>
      </c>
      <c r="AP285" s="258">
        <v>0</v>
      </c>
      <c r="AW285" s="239">
        <v>41889</v>
      </c>
      <c r="AX285" s="229" t="s">
        <v>282</v>
      </c>
      <c r="AY285" s="240">
        <v>0</v>
      </c>
      <c r="AZ285" s="266">
        <v>0</v>
      </c>
      <c r="BA285" s="266">
        <v>0</v>
      </c>
      <c r="BB285" s="258">
        <v>0</v>
      </c>
      <c r="BI285" s="1"/>
      <c r="BJ285" s="241" t="s">
        <v>281</v>
      </c>
      <c r="BK285" s="242">
        <v>0</v>
      </c>
      <c r="BL285" s="267">
        <v>0</v>
      </c>
      <c r="BM285" s="267">
        <v>0</v>
      </c>
      <c r="BN285" s="247">
        <v>0</v>
      </c>
    </row>
    <row r="286" spans="1:66" x14ac:dyDescent="0.2">
      <c r="A286" s="1"/>
      <c r="B286" s="241" t="s">
        <v>292</v>
      </c>
      <c r="C286" s="242">
        <v>0</v>
      </c>
      <c r="D286" s="267">
        <v>0</v>
      </c>
      <c r="E286" s="267">
        <v>0</v>
      </c>
      <c r="F286" s="247">
        <v>0</v>
      </c>
      <c r="H286" s="14"/>
      <c r="I286" s="14"/>
      <c r="J286" s="14"/>
      <c r="M286" s="1"/>
      <c r="N286" s="241" t="s">
        <v>276</v>
      </c>
      <c r="O286" s="242">
        <v>0</v>
      </c>
      <c r="P286" s="267">
        <v>0</v>
      </c>
      <c r="Q286" s="267">
        <v>0</v>
      </c>
      <c r="R286" s="247">
        <v>0</v>
      </c>
      <c r="Y286" s="1"/>
      <c r="Z286" s="241" t="s">
        <v>289</v>
      </c>
      <c r="AA286" s="242">
        <v>0</v>
      </c>
      <c r="AB286" s="267">
        <v>0</v>
      </c>
      <c r="AC286" s="267">
        <v>0</v>
      </c>
      <c r="AD286" s="247">
        <v>0</v>
      </c>
      <c r="AK286" s="1"/>
      <c r="AL286" s="241" t="s">
        <v>286</v>
      </c>
      <c r="AM286" s="242">
        <v>0</v>
      </c>
      <c r="AN286" s="267">
        <v>0</v>
      </c>
      <c r="AO286" s="267">
        <v>0</v>
      </c>
      <c r="AP286" s="247">
        <v>0</v>
      </c>
      <c r="AW286" s="1"/>
      <c r="AX286" s="241" t="s">
        <v>283</v>
      </c>
      <c r="AY286" s="242">
        <v>0</v>
      </c>
      <c r="AZ286" s="267">
        <v>0</v>
      </c>
      <c r="BA286" s="267">
        <v>0</v>
      </c>
      <c r="BB286" s="247">
        <v>0</v>
      </c>
      <c r="BI286" s="239">
        <v>41866</v>
      </c>
      <c r="BJ286" s="229" t="s">
        <v>278</v>
      </c>
      <c r="BK286" s="240">
        <v>2</v>
      </c>
      <c r="BL286" s="266">
        <v>2</v>
      </c>
      <c r="BM286" s="266">
        <v>4</v>
      </c>
      <c r="BN286" s="258">
        <v>8</v>
      </c>
    </row>
    <row r="287" spans="1:66" x14ac:dyDescent="0.2">
      <c r="A287" s="1"/>
      <c r="B287" s="241" t="s">
        <v>293</v>
      </c>
      <c r="C287" s="242">
        <v>0</v>
      </c>
      <c r="D287" s="267">
        <v>0</v>
      </c>
      <c r="E287" s="267">
        <v>0</v>
      </c>
      <c r="F287" s="247">
        <v>0</v>
      </c>
      <c r="H287" s="14"/>
      <c r="I287" s="14"/>
      <c r="J287" s="14"/>
      <c r="M287" s="1"/>
      <c r="N287" s="241" t="s">
        <v>277</v>
      </c>
      <c r="O287" s="242">
        <v>0</v>
      </c>
      <c r="P287" s="267">
        <v>0</v>
      </c>
      <c r="Q287" s="267">
        <v>0</v>
      </c>
      <c r="R287" s="247">
        <v>0</v>
      </c>
      <c r="Y287" s="1"/>
      <c r="Z287" s="241" t="s">
        <v>290</v>
      </c>
      <c r="AA287" s="242">
        <v>0</v>
      </c>
      <c r="AB287" s="267">
        <v>0</v>
      </c>
      <c r="AC287" s="267">
        <v>0</v>
      </c>
      <c r="AD287" s="247">
        <v>0</v>
      </c>
      <c r="AK287" s="1"/>
      <c r="AL287" s="241" t="s">
        <v>287</v>
      </c>
      <c r="AM287" s="242">
        <v>0</v>
      </c>
      <c r="AN287" s="267">
        <v>0</v>
      </c>
      <c r="AO287" s="267">
        <v>0</v>
      </c>
      <c r="AP287" s="247">
        <v>0</v>
      </c>
      <c r="AW287" s="1"/>
      <c r="AX287" s="241" t="s">
        <v>284</v>
      </c>
      <c r="AY287" s="242">
        <v>0</v>
      </c>
      <c r="AZ287" s="267">
        <v>0</v>
      </c>
      <c r="BA287" s="267">
        <v>0</v>
      </c>
      <c r="BB287" s="247">
        <v>0</v>
      </c>
      <c r="BI287" s="1"/>
      <c r="BJ287" s="241" t="s">
        <v>279</v>
      </c>
      <c r="BK287" s="242">
        <v>0</v>
      </c>
      <c r="BL287" s="267">
        <v>2</v>
      </c>
      <c r="BM287" s="267">
        <v>1</v>
      </c>
      <c r="BN287" s="247">
        <v>3</v>
      </c>
    </row>
    <row r="288" spans="1:66" x14ac:dyDescent="0.2">
      <c r="A288" s="229" t="s">
        <v>218</v>
      </c>
      <c r="B288" s="255"/>
      <c r="C288" s="240">
        <v>247</v>
      </c>
      <c r="D288" s="266">
        <v>75</v>
      </c>
      <c r="E288" s="266">
        <v>268</v>
      </c>
      <c r="F288" s="258">
        <v>590</v>
      </c>
      <c r="H288" s="14"/>
      <c r="I288" s="14"/>
      <c r="J288" s="14"/>
      <c r="M288" s="229" t="s">
        <v>221</v>
      </c>
      <c r="N288" s="255"/>
      <c r="O288" s="240">
        <v>18</v>
      </c>
      <c r="P288" s="266">
        <v>2</v>
      </c>
      <c r="Q288" s="266">
        <v>13</v>
      </c>
      <c r="R288" s="258">
        <v>33</v>
      </c>
      <c r="Y288" s="229" t="s">
        <v>46</v>
      </c>
      <c r="Z288" s="255"/>
      <c r="AA288" s="240">
        <v>54</v>
      </c>
      <c r="AB288" s="266">
        <v>89</v>
      </c>
      <c r="AC288" s="266">
        <v>57</v>
      </c>
      <c r="AD288" s="258">
        <v>200</v>
      </c>
      <c r="AK288" s="229" t="s">
        <v>49</v>
      </c>
      <c r="AL288" s="255"/>
      <c r="AM288" s="240">
        <v>72</v>
      </c>
      <c r="AN288" s="266">
        <v>27</v>
      </c>
      <c r="AO288" s="266">
        <v>101</v>
      </c>
      <c r="AP288" s="258">
        <v>200</v>
      </c>
      <c r="AW288" s="229" t="s">
        <v>52</v>
      </c>
      <c r="AX288" s="255"/>
      <c r="AY288" s="240">
        <v>60</v>
      </c>
      <c r="AZ288" s="266">
        <v>53</v>
      </c>
      <c r="BA288" s="266">
        <v>87</v>
      </c>
      <c r="BB288" s="258">
        <v>200</v>
      </c>
      <c r="BI288" s="1"/>
      <c r="BJ288" s="241" t="s">
        <v>280</v>
      </c>
      <c r="BK288" s="242">
        <v>0</v>
      </c>
      <c r="BL288" s="267">
        <v>0</v>
      </c>
      <c r="BM288" s="267">
        <v>0</v>
      </c>
      <c r="BN288" s="247">
        <v>0</v>
      </c>
    </row>
    <row r="289" spans="1:66" x14ac:dyDescent="0.2">
      <c r="A289" s="229" t="s">
        <v>210</v>
      </c>
      <c r="B289" s="255"/>
      <c r="C289" s="240">
        <v>18</v>
      </c>
      <c r="D289" s="266">
        <v>3</v>
      </c>
      <c r="E289" s="266">
        <v>31</v>
      </c>
      <c r="F289" s="258">
        <v>52</v>
      </c>
      <c r="H289" s="14"/>
      <c r="I289" s="14"/>
      <c r="J289" s="14"/>
      <c r="M289" s="229" t="s">
        <v>222</v>
      </c>
      <c r="N289" s="255"/>
      <c r="O289" s="240">
        <v>67</v>
      </c>
      <c r="P289" s="266">
        <v>16</v>
      </c>
      <c r="Q289" s="266">
        <v>87</v>
      </c>
      <c r="R289" s="258">
        <v>170</v>
      </c>
      <c r="Y289" s="229" t="s">
        <v>47</v>
      </c>
      <c r="Z289" s="255"/>
      <c r="AA289" s="240">
        <v>3</v>
      </c>
      <c r="AB289" s="266">
        <v>3</v>
      </c>
      <c r="AC289" s="266">
        <v>4</v>
      </c>
      <c r="AD289" s="258">
        <v>10</v>
      </c>
      <c r="AK289" s="229" t="s">
        <v>50</v>
      </c>
      <c r="AL289" s="255"/>
      <c r="AM289" s="240">
        <v>2934</v>
      </c>
      <c r="AN289" s="266">
        <v>46</v>
      </c>
      <c r="AO289" s="266">
        <v>4282</v>
      </c>
      <c r="AP289" s="258">
        <v>7262</v>
      </c>
      <c r="AW289" s="229" t="s">
        <v>53</v>
      </c>
      <c r="AX289" s="255"/>
      <c r="AY289" s="240">
        <v>519</v>
      </c>
      <c r="AZ289" s="266">
        <v>362</v>
      </c>
      <c r="BA289" s="266">
        <v>380</v>
      </c>
      <c r="BB289" s="258">
        <v>1261</v>
      </c>
      <c r="BI289" s="1"/>
      <c r="BJ289" s="241" t="s">
        <v>281</v>
      </c>
      <c r="BK289" s="242">
        <v>0</v>
      </c>
      <c r="BL289" s="267">
        <v>0</v>
      </c>
      <c r="BM289" s="267">
        <v>0</v>
      </c>
      <c r="BN289" s="247">
        <v>0</v>
      </c>
    </row>
    <row r="290" spans="1:66" x14ac:dyDescent="0.2">
      <c r="A290" s="243" t="s">
        <v>211</v>
      </c>
      <c r="B290" s="244"/>
      <c r="C290" s="245">
        <v>8</v>
      </c>
      <c r="D290" s="268">
        <v>1</v>
      </c>
      <c r="E290" s="268">
        <v>21</v>
      </c>
      <c r="F290" s="234">
        <v>30</v>
      </c>
      <c r="H290" s="14"/>
      <c r="I290" s="14"/>
      <c r="J290" s="14"/>
      <c r="M290" s="243" t="s">
        <v>223</v>
      </c>
      <c r="N290" s="244"/>
      <c r="O290" s="245">
        <v>0</v>
      </c>
      <c r="P290" s="268">
        <v>0</v>
      </c>
      <c r="Q290" s="268">
        <v>2</v>
      </c>
      <c r="R290" s="234">
        <v>2</v>
      </c>
      <c r="Y290" s="243" t="s">
        <v>48</v>
      </c>
      <c r="Z290" s="244"/>
      <c r="AA290" s="245">
        <v>2</v>
      </c>
      <c r="AB290" s="268">
        <v>0</v>
      </c>
      <c r="AC290" s="268">
        <v>1</v>
      </c>
      <c r="AD290" s="234">
        <v>3</v>
      </c>
      <c r="AK290" s="243" t="s">
        <v>51</v>
      </c>
      <c r="AL290" s="244"/>
      <c r="AM290" s="245">
        <v>4</v>
      </c>
      <c r="AN290" s="268">
        <v>0</v>
      </c>
      <c r="AO290" s="268">
        <v>6</v>
      </c>
      <c r="AP290" s="234">
        <v>10</v>
      </c>
      <c r="AW290" s="243" t="s">
        <v>54</v>
      </c>
      <c r="AX290" s="244"/>
      <c r="AY290" s="245">
        <v>2</v>
      </c>
      <c r="AZ290" s="268">
        <v>2</v>
      </c>
      <c r="BA290" s="268">
        <v>4</v>
      </c>
      <c r="BB290" s="234">
        <v>8</v>
      </c>
      <c r="BI290" s="239">
        <v>41867</v>
      </c>
      <c r="BJ290" s="229" t="s">
        <v>278</v>
      </c>
      <c r="BK290" s="240">
        <v>1</v>
      </c>
      <c r="BL290" s="266">
        <v>0</v>
      </c>
      <c r="BM290" s="266">
        <v>6</v>
      </c>
      <c r="BN290" s="258">
        <v>7</v>
      </c>
    </row>
    <row r="291" spans="1:66" x14ac:dyDescent="0.2">
      <c r="H291" s="14"/>
      <c r="I291" s="14"/>
      <c r="J291" s="14"/>
      <c r="BI291" s="1"/>
      <c r="BJ291" s="241" t="s">
        <v>279</v>
      </c>
      <c r="BK291" s="242">
        <v>0</v>
      </c>
      <c r="BL291" s="267">
        <v>0</v>
      </c>
      <c r="BM291" s="267">
        <v>0</v>
      </c>
      <c r="BN291" s="247">
        <v>0</v>
      </c>
    </row>
    <row r="292" spans="1:66" x14ac:dyDescent="0.2">
      <c r="H292" s="14"/>
      <c r="I292" s="14"/>
      <c r="J292" s="14"/>
      <c r="BI292" s="1"/>
      <c r="BJ292" s="241" t="s">
        <v>280</v>
      </c>
      <c r="BK292" s="242">
        <v>0</v>
      </c>
      <c r="BL292" s="267">
        <v>0</v>
      </c>
      <c r="BM292" s="267">
        <v>0</v>
      </c>
      <c r="BN292" s="247">
        <v>0</v>
      </c>
    </row>
    <row r="293" spans="1:66" x14ac:dyDescent="0.2">
      <c r="H293" s="14"/>
      <c r="I293" s="14"/>
      <c r="J293" s="14"/>
      <c r="BI293" s="1"/>
      <c r="BJ293" s="241" t="s">
        <v>281</v>
      </c>
      <c r="BK293" s="242">
        <v>0</v>
      </c>
      <c r="BL293" s="267">
        <v>0</v>
      </c>
      <c r="BM293" s="267">
        <v>0</v>
      </c>
      <c r="BN293" s="247">
        <v>0</v>
      </c>
    </row>
    <row r="294" spans="1:66" x14ac:dyDescent="0.2">
      <c r="H294" s="14"/>
      <c r="I294" s="14"/>
      <c r="J294" s="14"/>
      <c r="BI294" s="239">
        <v>41868</v>
      </c>
      <c r="BJ294" s="229" t="s">
        <v>278</v>
      </c>
      <c r="BK294" s="240">
        <v>4</v>
      </c>
      <c r="BL294" s="266">
        <v>0</v>
      </c>
      <c r="BM294" s="266">
        <v>4</v>
      </c>
      <c r="BN294" s="258">
        <v>8</v>
      </c>
    </row>
    <row r="295" spans="1:66" x14ac:dyDescent="0.2">
      <c r="H295" s="14"/>
      <c r="I295" s="14"/>
      <c r="J295" s="14"/>
      <c r="BI295" s="1"/>
      <c r="BJ295" s="241" t="s">
        <v>279</v>
      </c>
      <c r="BK295" s="242">
        <v>1</v>
      </c>
      <c r="BL295" s="267">
        <v>1</v>
      </c>
      <c r="BM295" s="267">
        <v>0</v>
      </c>
      <c r="BN295" s="247">
        <v>2</v>
      </c>
    </row>
    <row r="296" spans="1:66" x14ac:dyDescent="0.2">
      <c r="H296" s="14"/>
      <c r="I296" s="14"/>
      <c r="J296" s="14"/>
      <c r="BI296" s="1"/>
      <c r="BJ296" s="241" t="s">
        <v>280</v>
      </c>
      <c r="BK296" s="242">
        <v>0</v>
      </c>
      <c r="BL296" s="267">
        <v>0</v>
      </c>
      <c r="BM296" s="267">
        <v>0</v>
      </c>
      <c r="BN296" s="247">
        <v>0</v>
      </c>
    </row>
    <row r="297" spans="1:66" x14ac:dyDescent="0.2">
      <c r="H297" s="14"/>
      <c r="I297" s="14"/>
      <c r="J297" s="14"/>
      <c r="BI297" s="1"/>
      <c r="BJ297" s="241" t="s">
        <v>281</v>
      </c>
      <c r="BK297" s="242">
        <v>0</v>
      </c>
      <c r="BL297" s="267">
        <v>0</v>
      </c>
      <c r="BM297" s="267">
        <v>0</v>
      </c>
      <c r="BN297" s="247">
        <v>0</v>
      </c>
    </row>
    <row r="298" spans="1:66" x14ac:dyDescent="0.2">
      <c r="H298" s="14"/>
      <c r="I298" s="14"/>
      <c r="J298" s="14"/>
      <c r="BI298" s="239">
        <v>41869</v>
      </c>
      <c r="BJ298" s="229" t="s">
        <v>278</v>
      </c>
      <c r="BK298" s="240">
        <v>6</v>
      </c>
      <c r="BL298" s="266">
        <v>2</v>
      </c>
      <c r="BM298" s="266">
        <v>2</v>
      </c>
      <c r="BN298" s="258">
        <v>10</v>
      </c>
    </row>
    <row r="299" spans="1:66" x14ac:dyDescent="0.2">
      <c r="H299" s="14"/>
      <c r="I299" s="14"/>
      <c r="J299" s="14"/>
      <c r="BI299" s="1"/>
      <c r="BJ299" s="241" t="s">
        <v>279</v>
      </c>
      <c r="BK299" s="242">
        <v>2</v>
      </c>
      <c r="BL299" s="267">
        <v>0</v>
      </c>
      <c r="BM299" s="267">
        <v>1</v>
      </c>
      <c r="BN299" s="247">
        <v>3</v>
      </c>
    </row>
    <row r="300" spans="1:66" x14ac:dyDescent="0.2">
      <c r="H300" s="14"/>
      <c r="I300" s="14"/>
      <c r="J300" s="14"/>
      <c r="BI300" s="1"/>
      <c r="BJ300" s="241" t="s">
        <v>280</v>
      </c>
      <c r="BK300" s="242">
        <v>0</v>
      </c>
      <c r="BL300" s="267">
        <v>0</v>
      </c>
      <c r="BM300" s="267">
        <v>0</v>
      </c>
      <c r="BN300" s="247">
        <v>0</v>
      </c>
    </row>
    <row r="301" spans="1:66" x14ac:dyDescent="0.2">
      <c r="H301" s="14"/>
      <c r="I301" s="14"/>
      <c r="J301" s="14"/>
      <c r="BI301" s="1"/>
      <c r="BJ301" s="241" t="s">
        <v>281</v>
      </c>
      <c r="BK301" s="242">
        <v>0</v>
      </c>
      <c r="BL301" s="267">
        <v>0</v>
      </c>
      <c r="BM301" s="267">
        <v>0</v>
      </c>
      <c r="BN301" s="247">
        <v>0</v>
      </c>
    </row>
    <row r="302" spans="1:66" x14ac:dyDescent="0.2">
      <c r="H302" s="14"/>
      <c r="I302" s="14"/>
      <c r="J302" s="14"/>
      <c r="BI302" s="239">
        <v>41870</v>
      </c>
      <c r="BJ302" s="229" t="s">
        <v>278</v>
      </c>
      <c r="BK302" s="240">
        <v>5</v>
      </c>
      <c r="BL302" s="266">
        <v>0</v>
      </c>
      <c r="BM302" s="266">
        <v>5</v>
      </c>
      <c r="BN302" s="258">
        <v>10</v>
      </c>
    </row>
    <row r="303" spans="1:66" x14ac:dyDescent="0.2">
      <c r="H303" s="14"/>
      <c r="I303" s="14"/>
      <c r="J303" s="14"/>
      <c r="BI303" s="1"/>
      <c r="BJ303" s="241" t="s">
        <v>279</v>
      </c>
      <c r="BK303" s="242">
        <v>2</v>
      </c>
      <c r="BL303" s="267">
        <v>0</v>
      </c>
      <c r="BM303" s="267">
        <v>3</v>
      </c>
      <c r="BN303" s="247">
        <v>5</v>
      </c>
    </row>
    <row r="304" spans="1:66" x14ac:dyDescent="0.2">
      <c r="H304" s="14"/>
      <c r="I304" s="14"/>
      <c r="J304" s="14"/>
      <c r="BI304" s="1"/>
      <c r="BJ304" s="241" t="s">
        <v>280</v>
      </c>
      <c r="BK304" s="242">
        <v>0</v>
      </c>
      <c r="BL304" s="267">
        <v>0</v>
      </c>
      <c r="BM304" s="267">
        <v>0</v>
      </c>
      <c r="BN304" s="247">
        <v>0</v>
      </c>
    </row>
    <row r="305" spans="7:66" x14ac:dyDescent="0.2">
      <c r="H305" s="14"/>
      <c r="I305" s="14"/>
      <c r="J305" s="14"/>
      <c r="BI305" s="1"/>
      <c r="BJ305" s="241" t="s">
        <v>281</v>
      </c>
      <c r="BK305" s="242">
        <v>0</v>
      </c>
      <c r="BL305" s="267">
        <v>0</v>
      </c>
      <c r="BM305" s="267">
        <v>0</v>
      </c>
      <c r="BN305" s="247">
        <v>0</v>
      </c>
    </row>
    <row r="306" spans="7:66" x14ac:dyDescent="0.2">
      <c r="H306" s="14"/>
      <c r="I306" s="14"/>
      <c r="J306" s="14"/>
      <c r="BI306" s="239">
        <v>41871</v>
      </c>
      <c r="BJ306" s="229" t="s">
        <v>278</v>
      </c>
      <c r="BK306" s="240">
        <v>4</v>
      </c>
      <c r="BL306" s="266">
        <v>0</v>
      </c>
      <c r="BM306" s="266">
        <v>6</v>
      </c>
      <c r="BN306" s="258">
        <v>10</v>
      </c>
    </row>
    <row r="307" spans="7:66" x14ac:dyDescent="0.2">
      <c r="H307" s="14"/>
      <c r="I307" s="14"/>
      <c r="J307" s="14"/>
      <c r="BI307" s="1"/>
      <c r="BJ307" s="241" t="s">
        <v>279</v>
      </c>
      <c r="BK307" s="242">
        <v>6</v>
      </c>
      <c r="BL307" s="267">
        <v>2</v>
      </c>
      <c r="BM307" s="267">
        <v>6</v>
      </c>
      <c r="BN307" s="247">
        <v>14</v>
      </c>
    </row>
    <row r="308" spans="7:66" x14ac:dyDescent="0.2">
      <c r="H308" s="14"/>
      <c r="I308" s="14"/>
      <c r="J308" s="14"/>
      <c r="BI308" s="1"/>
      <c r="BJ308" s="241" t="s">
        <v>280</v>
      </c>
      <c r="BK308" s="242">
        <v>0</v>
      </c>
      <c r="BL308" s="267">
        <v>0</v>
      </c>
      <c r="BM308" s="267">
        <v>0</v>
      </c>
      <c r="BN308" s="247">
        <v>0</v>
      </c>
    </row>
    <row r="309" spans="7:66" x14ac:dyDescent="0.2">
      <c r="H309" s="14"/>
      <c r="I309" s="14"/>
      <c r="J309" s="14"/>
      <c r="BI309" s="1"/>
      <c r="BJ309" s="241" t="s">
        <v>281</v>
      </c>
      <c r="BK309" s="242">
        <v>0</v>
      </c>
      <c r="BL309" s="267">
        <v>0</v>
      </c>
      <c r="BM309" s="267">
        <v>0</v>
      </c>
      <c r="BN309" s="247">
        <v>0</v>
      </c>
    </row>
    <row r="310" spans="7:66" x14ac:dyDescent="0.2">
      <c r="H310" s="14"/>
      <c r="I310" s="14"/>
      <c r="J310" s="14"/>
      <c r="BI310" s="239">
        <v>41872</v>
      </c>
      <c r="BJ310" s="229" t="s">
        <v>278</v>
      </c>
      <c r="BK310" s="240">
        <v>5</v>
      </c>
      <c r="BL310" s="266">
        <v>0</v>
      </c>
      <c r="BM310" s="266">
        <v>4</v>
      </c>
      <c r="BN310" s="258">
        <v>9</v>
      </c>
    </row>
    <row r="311" spans="7:66" x14ac:dyDescent="0.2">
      <c r="H311" s="14"/>
      <c r="I311" s="14"/>
      <c r="J311" s="14"/>
      <c r="BI311" s="1"/>
      <c r="BJ311" s="241" t="s">
        <v>279</v>
      </c>
      <c r="BK311" s="242">
        <v>2</v>
      </c>
      <c r="BL311" s="267">
        <v>0</v>
      </c>
      <c r="BM311" s="267">
        <v>9</v>
      </c>
      <c r="BN311" s="247">
        <v>11</v>
      </c>
    </row>
    <row r="312" spans="7:66" x14ac:dyDescent="0.2">
      <c r="H312" s="14"/>
      <c r="I312" s="14"/>
      <c r="J312" s="14"/>
      <c r="BI312" s="1"/>
      <c r="BJ312" s="241" t="s">
        <v>280</v>
      </c>
      <c r="BK312" s="242">
        <v>0</v>
      </c>
      <c r="BL312" s="267">
        <v>0</v>
      </c>
      <c r="BM312" s="267">
        <v>0</v>
      </c>
      <c r="BN312" s="247">
        <v>0</v>
      </c>
    </row>
    <row r="313" spans="7:66" x14ac:dyDescent="0.2">
      <c r="H313" s="14"/>
      <c r="I313" s="14"/>
      <c r="J313" s="14"/>
      <c r="BI313" s="1"/>
      <c r="BJ313" s="241" t="s">
        <v>281</v>
      </c>
      <c r="BK313" s="242">
        <v>0</v>
      </c>
      <c r="BL313" s="267">
        <v>0</v>
      </c>
      <c r="BM313" s="267">
        <v>0</v>
      </c>
      <c r="BN313" s="247">
        <v>0</v>
      </c>
    </row>
    <row r="314" spans="7:66" x14ac:dyDescent="0.2">
      <c r="H314" s="14"/>
      <c r="I314" s="14"/>
      <c r="J314" s="14"/>
      <c r="BI314" s="239">
        <v>41873</v>
      </c>
      <c r="BJ314" s="229" t="s">
        <v>278</v>
      </c>
      <c r="BK314" s="240">
        <v>4</v>
      </c>
      <c r="BL314" s="266">
        <v>0</v>
      </c>
      <c r="BM314" s="266">
        <v>5</v>
      </c>
      <c r="BN314" s="258">
        <v>9</v>
      </c>
    </row>
    <row r="315" spans="7:66" x14ac:dyDescent="0.2">
      <c r="G315" s="14"/>
      <c r="H315" s="14"/>
      <c r="I315" s="14"/>
      <c r="J315" s="14"/>
      <c r="BI315" s="1"/>
      <c r="BJ315" s="241" t="s">
        <v>279</v>
      </c>
      <c r="BK315" s="242">
        <v>9</v>
      </c>
      <c r="BL315" s="267">
        <v>3</v>
      </c>
      <c r="BM315" s="267">
        <v>9</v>
      </c>
      <c r="BN315" s="247">
        <v>21</v>
      </c>
    </row>
    <row r="316" spans="7:66" x14ac:dyDescent="0.2">
      <c r="G316" s="14"/>
      <c r="H316" s="14"/>
      <c r="I316" s="14"/>
      <c r="J316" s="14"/>
      <c r="BI316" s="1"/>
      <c r="BJ316" s="241" t="s">
        <v>280</v>
      </c>
      <c r="BK316" s="242">
        <v>0</v>
      </c>
      <c r="BL316" s="267">
        <v>0</v>
      </c>
      <c r="BM316" s="267">
        <v>0</v>
      </c>
      <c r="BN316" s="247">
        <v>0</v>
      </c>
    </row>
    <row r="317" spans="7:66" x14ac:dyDescent="0.2">
      <c r="G317" s="14"/>
      <c r="H317" s="14"/>
      <c r="I317" s="14"/>
      <c r="J317" s="14"/>
      <c r="BI317" s="1"/>
      <c r="BJ317" s="241" t="s">
        <v>281</v>
      </c>
      <c r="BK317" s="242">
        <v>0</v>
      </c>
      <c r="BL317" s="267">
        <v>0</v>
      </c>
      <c r="BM317" s="267">
        <v>0</v>
      </c>
      <c r="BN317" s="247">
        <v>0</v>
      </c>
    </row>
    <row r="318" spans="7:66" x14ac:dyDescent="0.2">
      <c r="G318" s="14"/>
      <c r="H318" s="14"/>
      <c r="I318" s="14"/>
      <c r="J318" s="14"/>
      <c r="BI318" s="239">
        <v>41874</v>
      </c>
      <c r="BJ318" s="229" t="s">
        <v>278</v>
      </c>
      <c r="BK318" s="240">
        <v>2</v>
      </c>
      <c r="BL318" s="266">
        <v>0</v>
      </c>
      <c r="BM318" s="266">
        <v>7</v>
      </c>
      <c r="BN318" s="258">
        <v>9</v>
      </c>
    </row>
    <row r="319" spans="7:66" x14ac:dyDescent="0.2">
      <c r="G319" s="14"/>
      <c r="H319" s="14"/>
      <c r="I319" s="14"/>
      <c r="J319" s="14"/>
      <c r="BI319" s="1"/>
      <c r="BJ319" s="241" t="s">
        <v>279</v>
      </c>
      <c r="BK319" s="242">
        <v>0</v>
      </c>
      <c r="BL319" s="267">
        <v>0</v>
      </c>
      <c r="BM319" s="267">
        <v>10</v>
      </c>
      <c r="BN319" s="247">
        <v>10</v>
      </c>
    </row>
    <row r="320" spans="7:66" x14ac:dyDescent="0.2">
      <c r="G320" s="14"/>
      <c r="H320" s="14"/>
      <c r="I320" s="14"/>
      <c r="J320" s="14"/>
      <c r="BI320" s="1"/>
      <c r="BJ320" s="241" t="s">
        <v>280</v>
      </c>
      <c r="BK320" s="242">
        <v>0</v>
      </c>
      <c r="BL320" s="267">
        <v>0</v>
      </c>
      <c r="BM320" s="267">
        <v>0</v>
      </c>
      <c r="BN320" s="247">
        <v>0</v>
      </c>
    </row>
    <row r="321" spans="7:66" x14ac:dyDescent="0.2">
      <c r="G321" s="14"/>
      <c r="H321" s="14"/>
      <c r="I321" s="14"/>
      <c r="J321" s="14"/>
      <c r="BI321" s="1"/>
      <c r="BJ321" s="241" t="s">
        <v>281</v>
      </c>
      <c r="BK321" s="242">
        <v>0</v>
      </c>
      <c r="BL321" s="267">
        <v>0</v>
      </c>
      <c r="BM321" s="267">
        <v>0</v>
      </c>
      <c r="BN321" s="247">
        <v>0</v>
      </c>
    </row>
    <row r="322" spans="7:66" x14ac:dyDescent="0.2">
      <c r="G322" s="14"/>
      <c r="H322" s="14"/>
      <c r="I322" s="14"/>
      <c r="J322" s="14"/>
      <c r="BI322" s="239">
        <v>41875</v>
      </c>
      <c r="BJ322" s="229" t="s">
        <v>278</v>
      </c>
      <c r="BK322" s="240">
        <v>2</v>
      </c>
      <c r="BL322" s="266">
        <v>2</v>
      </c>
      <c r="BM322" s="266">
        <v>4</v>
      </c>
      <c r="BN322" s="258">
        <v>8</v>
      </c>
    </row>
    <row r="323" spans="7:66" x14ac:dyDescent="0.2">
      <c r="G323" s="14"/>
      <c r="H323" s="14"/>
      <c r="I323" s="14"/>
      <c r="J323" s="14"/>
      <c r="BI323" s="1"/>
      <c r="BJ323" s="241" t="s">
        <v>279</v>
      </c>
      <c r="BK323" s="242">
        <v>0</v>
      </c>
      <c r="BL323" s="267">
        <v>0</v>
      </c>
      <c r="BM323" s="267">
        <v>10</v>
      </c>
      <c r="BN323" s="247">
        <v>10</v>
      </c>
    </row>
    <row r="324" spans="7:66" x14ac:dyDescent="0.2">
      <c r="G324" s="14"/>
      <c r="H324" s="14"/>
      <c r="I324" s="14"/>
      <c r="J324" s="14"/>
      <c r="BI324" s="1"/>
      <c r="BJ324" s="241" t="s">
        <v>280</v>
      </c>
      <c r="BK324" s="242">
        <v>0</v>
      </c>
      <c r="BL324" s="267">
        <v>0</v>
      </c>
      <c r="BM324" s="267">
        <v>1</v>
      </c>
      <c r="BN324" s="247">
        <v>1</v>
      </c>
    </row>
    <row r="325" spans="7:66" x14ac:dyDescent="0.2">
      <c r="G325" s="14"/>
      <c r="H325" s="14"/>
      <c r="I325" s="14"/>
      <c r="J325" s="14"/>
      <c r="BI325" s="1"/>
      <c r="BJ325" s="241" t="s">
        <v>281</v>
      </c>
      <c r="BK325" s="242">
        <v>0</v>
      </c>
      <c r="BL325" s="267">
        <v>0</v>
      </c>
      <c r="BM325" s="267">
        <v>0</v>
      </c>
      <c r="BN325" s="247">
        <v>0</v>
      </c>
    </row>
    <row r="326" spans="7:66" x14ac:dyDescent="0.2">
      <c r="G326" s="14"/>
      <c r="H326" s="14"/>
      <c r="I326" s="14"/>
      <c r="J326" s="14"/>
      <c r="BI326" s="239">
        <v>41876</v>
      </c>
      <c r="BJ326" s="229" t="s">
        <v>278</v>
      </c>
      <c r="BK326" s="240">
        <v>0</v>
      </c>
      <c r="BL326" s="266">
        <v>3</v>
      </c>
      <c r="BM326" s="266">
        <v>4</v>
      </c>
      <c r="BN326" s="258">
        <v>7</v>
      </c>
    </row>
    <row r="327" spans="7:66" x14ac:dyDescent="0.2">
      <c r="G327" s="14"/>
      <c r="H327" s="14"/>
      <c r="I327" s="14"/>
      <c r="J327" s="14"/>
      <c r="BI327" s="1"/>
      <c r="BJ327" s="241" t="s">
        <v>279</v>
      </c>
      <c r="BK327" s="242">
        <v>6</v>
      </c>
      <c r="BL327" s="267">
        <v>2</v>
      </c>
      <c r="BM327" s="267">
        <v>5</v>
      </c>
      <c r="BN327" s="247">
        <v>13</v>
      </c>
    </row>
    <row r="328" spans="7:66" x14ac:dyDescent="0.2">
      <c r="G328" s="14"/>
      <c r="H328" s="14"/>
      <c r="I328" s="14"/>
      <c r="J328" s="14"/>
      <c r="BI328" s="1"/>
      <c r="BJ328" s="241" t="s">
        <v>280</v>
      </c>
      <c r="BK328" s="242">
        <v>0</v>
      </c>
      <c r="BL328" s="267">
        <v>0</v>
      </c>
      <c r="BM328" s="267">
        <v>0</v>
      </c>
      <c r="BN328" s="247">
        <v>0</v>
      </c>
    </row>
    <row r="329" spans="7:66" x14ac:dyDescent="0.2">
      <c r="G329" s="14"/>
      <c r="H329" s="14"/>
      <c r="I329" s="14"/>
      <c r="J329" s="14"/>
      <c r="BI329" s="1"/>
      <c r="BJ329" s="241" t="s">
        <v>281</v>
      </c>
      <c r="BK329" s="242">
        <v>0</v>
      </c>
      <c r="BL329" s="267">
        <v>0</v>
      </c>
      <c r="BM329" s="267">
        <v>0</v>
      </c>
      <c r="BN329" s="247">
        <v>0</v>
      </c>
    </row>
    <row r="330" spans="7:66" x14ac:dyDescent="0.2">
      <c r="G330" s="14"/>
      <c r="H330" s="14"/>
      <c r="I330" s="14"/>
      <c r="J330" s="14"/>
      <c r="BI330" s="239">
        <v>41877</v>
      </c>
      <c r="BJ330" s="229" t="s">
        <v>278</v>
      </c>
      <c r="BK330" s="240">
        <v>2</v>
      </c>
      <c r="BL330" s="266">
        <v>0</v>
      </c>
      <c r="BM330" s="266">
        <v>7</v>
      </c>
      <c r="BN330" s="258">
        <v>9</v>
      </c>
    </row>
    <row r="331" spans="7:66" x14ac:dyDescent="0.2">
      <c r="G331" s="14"/>
      <c r="H331" s="14"/>
      <c r="I331" s="14"/>
      <c r="J331" s="14"/>
      <c r="BI331" s="1"/>
      <c r="BJ331" s="241" t="s">
        <v>279</v>
      </c>
      <c r="BK331" s="242">
        <v>0</v>
      </c>
      <c r="BL331" s="267">
        <v>0</v>
      </c>
      <c r="BM331" s="267">
        <v>3</v>
      </c>
      <c r="BN331" s="247">
        <v>3</v>
      </c>
    </row>
    <row r="332" spans="7:66" x14ac:dyDescent="0.2">
      <c r="G332" s="14"/>
      <c r="H332" s="14"/>
      <c r="I332" s="14"/>
      <c r="J332" s="14"/>
      <c r="BI332" s="1"/>
      <c r="BJ332" s="241" t="s">
        <v>280</v>
      </c>
      <c r="BK332" s="242">
        <v>0</v>
      </c>
      <c r="BL332" s="267">
        <v>0</v>
      </c>
      <c r="BM332" s="267">
        <v>0</v>
      </c>
      <c r="BN332" s="247">
        <v>0</v>
      </c>
    </row>
    <row r="333" spans="7:66" x14ac:dyDescent="0.2">
      <c r="G333" s="14"/>
      <c r="H333" s="14"/>
      <c r="I333" s="14"/>
      <c r="J333" s="14"/>
      <c r="BI333" s="1"/>
      <c r="BJ333" s="241" t="s">
        <v>281</v>
      </c>
      <c r="BK333" s="242">
        <v>0</v>
      </c>
      <c r="BL333" s="267">
        <v>0</v>
      </c>
      <c r="BM333" s="267">
        <v>0</v>
      </c>
      <c r="BN333" s="247">
        <v>0</v>
      </c>
    </row>
    <row r="334" spans="7:66" x14ac:dyDescent="0.2">
      <c r="G334" s="14"/>
      <c r="H334" s="14"/>
      <c r="I334" s="14"/>
      <c r="J334" s="14"/>
      <c r="BI334" s="239">
        <v>41878</v>
      </c>
      <c r="BJ334" s="229" t="s">
        <v>278</v>
      </c>
      <c r="BK334" s="240">
        <v>1</v>
      </c>
      <c r="BL334" s="266">
        <v>0</v>
      </c>
      <c r="BM334" s="266">
        <v>3</v>
      </c>
      <c r="BN334" s="258">
        <v>4</v>
      </c>
    </row>
    <row r="335" spans="7:66" x14ac:dyDescent="0.2">
      <c r="G335" s="14"/>
      <c r="H335" s="14"/>
      <c r="I335" s="14"/>
      <c r="J335" s="14"/>
      <c r="BI335" s="1"/>
      <c r="BJ335" s="241" t="s">
        <v>279</v>
      </c>
      <c r="BK335" s="242">
        <v>0</v>
      </c>
      <c r="BL335" s="267">
        <v>0</v>
      </c>
      <c r="BM335" s="267">
        <v>0</v>
      </c>
      <c r="BN335" s="247">
        <v>0</v>
      </c>
    </row>
    <row r="336" spans="7:66" x14ac:dyDescent="0.2">
      <c r="G336" s="14"/>
      <c r="H336" s="14"/>
      <c r="I336" s="14"/>
      <c r="J336" s="14"/>
      <c r="BI336" s="1"/>
      <c r="BJ336" s="241" t="s">
        <v>280</v>
      </c>
      <c r="BK336" s="242">
        <v>0</v>
      </c>
      <c r="BL336" s="267">
        <v>0</v>
      </c>
      <c r="BM336" s="267">
        <v>0</v>
      </c>
      <c r="BN336" s="247">
        <v>0</v>
      </c>
    </row>
    <row r="337" spans="7:66" x14ac:dyDescent="0.2">
      <c r="G337" s="14"/>
      <c r="H337" s="14"/>
      <c r="I337" s="14"/>
      <c r="J337" s="14"/>
      <c r="BI337" s="1"/>
      <c r="BJ337" s="241" t="s">
        <v>281</v>
      </c>
      <c r="BK337" s="242">
        <v>0</v>
      </c>
      <c r="BL337" s="267">
        <v>0</v>
      </c>
      <c r="BM337" s="267">
        <v>0</v>
      </c>
      <c r="BN337" s="247">
        <v>0</v>
      </c>
    </row>
    <row r="338" spans="7:66" x14ac:dyDescent="0.2">
      <c r="G338" s="14"/>
      <c r="H338" s="14"/>
      <c r="I338" s="14"/>
      <c r="J338" s="14"/>
      <c r="BI338" s="239">
        <v>41879</v>
      </c>
      <c r="BJ338" s="229" t="s">
        <v>278</v>
      </c>
      <c r="BK338" s="240">
        <v>0</v>
      </c>
      <c r="BL338" s="266">
        <v>0</v>
      </c>
      <c r="BM338" s="266">
        <v>2</v>
      </c>
      <c r="BN338" s="258">
        <v>2</v>
      </c>
    </row>
    <row r="339" spans="7:66" x14ac:dyDescent="0.2">
      <c r="G339" s="14"/>
      <c r="H339" s="14"/>
      <c r="I339" s="14"/>
      <c r="J339" s="14"/>
      <c r="BI339" s="1"/>
      <c r="BJ339" s="241" t="s">
        <v>279</v>
      </c>
      <c r="BK339" s="242">
        <v>0</v>
      </c>
      <c r="BL339" s="267">
        <v>0</v>
      </c>
      <c r="BM339" s="267">
        <v>2</v>
      </c>
      <c r="BN339" s="247">
        <v>2</v>
      </c>
    </row>
    <row r="340" spans="7:66" x14ac:dyDescent="0.2">
      <c r="G340" s="14"/>
      <c r="H340" s="14"/>
      <c r="I340" s="14"/>
      <c r="J340" s="14"/>
      <c r="BI340" s="1"/>
      <c r="BJ340" s="241" t="s">
        <v>280</v>
      </c>
      <c r="BK340" s="242">
        <v>0</v>
      </c>
      <c r="BL340" s="267">
        <v>0</v>
      </c>
      <c r="BM340" s="267">
        <v>0</v>
      </c>
      <c r="BN340" s="247">
        <v>0</v>
      </c>
    </row>
    <row r="341" spans="7:66" x14ac:dyDescent="0.2">
      <c r="G341" s="14"/>
      <c r="H341" s="14"/>
      <c r="I341" s="14"/>
      <c r="J341" s="14"/>
      <c r="BI341" s="1"/>
      <c r="BJ341" s="241" t="s">
        <v>281</v>
      </c>
      <c r="BK341" s="242">
        <v>0</v>
      </c>
      <c r="BL341" s="267">
        <v>0</v>
      </c>
      <c r="BM341" s="267">
        <v>0</v>
      </c>
      <c r="BN341" s="247">
        <v>0</v>
      </c>
    </row>
    <row r="342" spans="7:66" x14ac:dyDescent="0.2">
      <c r="G342" s="14"/>
      <c r="H342" s="14"/>
      <c r="I342" s="14"/>
      <c r="J342" s="14"/>
      <c r="BI342" s="239">
        <v>41880</v>
      </c>
      <c r="BJ342" s="229" t="s">
        <v>278</v>
      </c>
      <c r="BK342" s="240">
        <v>1</v>
      </c>
      <c r="BL342" s="266">
        <v>0</v>
      </c>
      <c r="BM342" s="266">
        <v>3</v>
      </c>
      <c r="BN342" s="258">
        <v>4</v>
      </c>
    </row>
    <row r="343" spans="7:66" x14ac:dyDescent="0.2">
      <c r="G343" s="14"/>
      <c r="H343" s="14"/>
      <c r="I343" s="14"/>
      <c r="J343" s="14"/>
      <c r="BI343" s="1"/>
      <c r="BJ343" s="241" t="s">
        <v>279</v>
      </c>
      <c r="BK343" s="242">
        <v>0</v>
      </c>
      <c r="BL343" s="267">
        <v>0</v>
      </c>
      <c r="BM343" s="267">
        <v>0</v>
      </c>
      <c r="BN343" s="247">
        <v>0</v>
      </c>
    </row>
    <row r="344" spans="7:66" x14ac:dyDescent="0.2">
      <c r="G344" s="14"/>
      <c r="H344" s="14"/>
      <c r="I344" s="14"/>
      <c r="J344" s="14"/>
      <c r="BI344" s="1"/>
      <c r="BJ344" s="241" t="s">
        <v>280</v>
      </c>
      <c r="BK344" s="242">
        <v>0</v>
      </c>
      <c r="BL344" s="267">
        <v>0</v>
      </c>
      <c r="BM344" s="267">
        <v>0</v>
      </c>
      <c r="BN344" s="247">
        <v>0</v>
      </c>
    </row>
    <row r="345" spans="7:66" x14ac:dyDescent="0.2">
      <c r="G345" s="14"/>
      <c r="H345" s="14"/>
      <c r="I345" s="14"/>
      <c r="J345" s="14"/>
      <c r="BI345" s="1"/>
      <c r="BJ345" s="241" t="s">
        <v>281</v>
      </c>
      <c r="BK345" s="242">
        <v>0</v>
      </c>
      <c r="BL345" s="267">
        <v>0</v>
      </c>
      <c r="BM345" s="267">
        <v>0</v>
      </c>
      <c r="BN345" s="247">
        <v>0</v>
      </c>
    </row>
    <row r="346" spans="7:66" x14ac:dyDescent="0.2">
      <c r="G346" s="14"/>
      <c r="H346" s="14"/>
      <c r="I346" s="14"/>
      <c r="J346" s="14"/>
      <c r="BI346" s="239">
        <v>41881</v>
      </c>
      <c r="BJ346" s="229" t="s">
        <v>278</v>
      </c>
      <c r="BK346" s="240">
        <v>2</v>
      </c>
      <c r="BL346" s="266">
        <v>1</v>
      </c>
      <c r="BM346" s="266">
        <v>1</v>
      </c>
      <c r="BN346" s="258">
        <v>4</v>
      </c>
    </row>
    <row r="347" spans="7:66" x14ac:dyDescent="0.2">
      <c r="G347" s="14"/>
      <c r="H347" s="14"/>
      <c r="I347" s="14"/>
      <c r="J347" s="14"/>
      <c r="BI347" s="1"/>
      <c r="BJ347" s="241" t="s">
        <v>279</v>
      </c>
      <c r="BK347" s="242">
        <v>0</v>
      </c>
      <c r="BL347" s="267">
        <v>0</v>
      </c>
      <c r="BM347" s="267">
        <v>0</v>
      </c>
      <c r="BN347" s="247">
        <v>0</v>
      </c>
    </row>
    <row r="348" spans="7:66" x14ac:dyDescent="0.2">
      <c r="G348" s="14"/>
      <c r="H348" s="14"/>
      <c r="I348" s="14"/>
      <c r="J348" s="14"/>
      <c r="BI348" s="1"/>
      <c r="BJ348" s="241" t="s">
        <v>280</v>
      </c>
      <c r="BK348" s="242">
        <v>1</v>
      </c>
      <c r="BL348" s="267">
        <v>0</v>
      </c>
      <c r="BM348" s="267">
        <v>0</v>
      </c>
      <c r="BN348" s="247">
        <v>1</v>
      </c>
    </row>
    <row r="349" spans="7:66" x14ac:dyDescent="0.2">
      <c r="G349" s="14"/>
      <c r="H349" s="14"/>
      <c r="I349" s="14"/>
      <c r="J349" s="14"/>
      <c r="BI349" s="1"/>
      <c r="BJ349" s="241" t="s">
        <v>281</v>
      </c>
      <c r="BK349" s="242">
        <v>0</v>
      </c>
      <c r="BL349" s="267">
        <v>0</v>
      </c>
      <c r="BM349" s="267">
        <v>0</v>
      </c>
      <c r="BN349" s="247">
        <v>0</v>
      </c>
    </row>
    <row r="350" spans="7:66" x14ac:dyDescent="0.2">
      <c r="G350" s="14"/>
      <c r="H350" s="14"/>
      <c r="I350" s="14"/>
      <c r="J350" s="14"/>
      <c r="BI350" s="239">
        <v>41882</v>
      </c>
      <c r="BJ350" s="229" t="s">
        <v>278</v>
      </c>
      <c r="BK350" s="240">
        <v>0</v>
      </c>
      <c r="BL350" s="266">
        <v>0</v>
      </c>
      <c r="BM350" s="266">
        <v>2</v>
      </c>
      <c r="BN350" s="258">
        <v>2</v>
      </c>
    </row>
    <row r="351" spans="7:66" x14ac:dyDescent="0.2">
      <c r="G351" s="14"/>
      <c r="H351" s="14"/>
      <c r="I351" s="14"/>
      <c r="J351" s="14"/>
      <c r="BI351" s="1"/>
      <c r="BJ351" s="241" t="s">
        <v>279</v>
      </c>
      <c r="BK351" s="242">
        <v>1</v>
      </c>
      <c r="BL351" s="267">
        <v>1</v>
      </c>
      <c r="BM351" s="267">
        <v>0</v>
      </c>
      <c r="BN351" s="247">
        <v>2</v>
      </c>
    </row>
    <row r="352" spans="7:66" x14ac:dyDescent="0.2">
      <c r="G352" s="14"/>
      <c r="H352" s="14"/>
      <c r="I352" s="14"/>
      <c r="J352" s="14"/>
      <c r="BI352" s="1"/>
      <c r="BJ352" s="241" t="s">
        <v>280</v>
      </c>
      <c r="BK352" s="242">
        <v>0</v>
      </c>
      <c r="BL352" s="267">
        <v>0</v>
      </c>
      <c r="BM352" s="267">
        <v>0</v>
      </c>
      <c r="BN352" s="247">
        <v>0</v>
      </c>
    </row>
    <row r="353" spans="7:66" x14ac:dyDescent="0.2">
      <c r="G353" s="14"/>
      <c r="H353" s="14"/>
      <c r="I353" s="14"/>
      <c r="J353" s="14"/>
      <c r="BI353" s="1"/>
      <c r="BJ353" s="241" t="s">
        <v>281</v>
      </c>
      <c r="BK353" s="242">
        <v>1</v>
      </c>
      <c r="BL353" s="267">
        <v>0</v>
      </c>
      <c r="BM353" s="267">
        <v>0</v>
      </c>
      <c r="BN353" s="247">
        <v>1</v>
      </c>
    </row>
    <row r="354" spans="7:66" x14ac:dyDescent="0.2">
      <c r="G354" s="14"/>
      <c r="H354" s="14"/>
      <c r="I354" s="14"/>
      <c r="J354" s="14"/>
      <c r="BI354" s="239">
        <v>41883</v>
      </c>
      <c r="BJ354" s="229" t="s">
        <v>278</v>
      </c>
      <c r="BK354" s="240">
        <v>1</v>
      </c>
      <c r="BL354" s="266">
        <v>0</v>
      </c>
      <c r="BM354" s="266">
        <v>1</v>
      </c>
      <c r="BN354" s="258">
        <v>2</v>
      </c>
    </row>
    <row r="355" spans="7:66" x14ac:dyDescent="0.2">
      <c r="G355" s="14"/>
      <c r="H355" s="14"/>
      <c r="I355" s="14"/>
      <c r="J355" s="14"/>
      <c r="BI355" s="1"/>
      <c r="BJ355" s="241" t="s">
        <v>279</v>
      </c>
      <c r="BK355" s="242">
        <v>0</v>
      </c>
      <c r="BL355" s="267">
        <v>0</v>
      </c>
      <c r="BM355" s="267">
        <v>1</v>
      </c>
      <c r="BN355" s="247">
        <v>1</v>
      </c>
    </row>
    <row r="356" spans="7:66" x14ac:dyDescent="0.2">
      <c r="G356" s="14"/>
      <c r="H356" s="14"/>
      <c r="I356" s="14"/>
      <c r="J356" s="14"/>
      <c r="BI356" s="1"/>
      <c r="BJ356" s="241" t="s">
        <v>280</v>
      </c>
      <c r="BK356" s="242">
        <v>0</v>
      </c>
      <c r="BL356" s="267">
        <v>0</v>
      </c>
      <c r="BM356" s="267">
        <v>0</v>
      </c>
      <c r="BN356" s="247">
        <v>0</v>
      </c>
    </row>
    <row r="357" spans="7:66" x14ac:dyDescent="0.2">
      <c r="G357" s="14"/>
      <c r="H357" s="14"/>
      <c r="I357" s="14"/>
      <c r="J357" s="14"/>
      <c r="BI357" s="1"/>
      <c r="BJ357" s="241" t="s">
        <v>281</v>
      </c>
      <c r="BK357" s="242">
        <v>0</v>
      </c>
      <c r="BL357" s="267">
        <v>0</v>
      </c>
      <c r="BM357" s="267">
        <v>0</v>
      </c>
      <c r="BN357" s="247">
        <v>0</v>
      </c>
    </row>
    <row r="358" spans="7:66" x14ac:dyDescent="0.2">
      <c r="G358" s="14"/>
      <c r="H358" s="14"/>
      <c r="I358" s="14"/>
      <c r="J358" s="14"/>
      <c r="BI358" s="239">
        <v>41884</v>
      </c>
      <c r="BJ358" s="229" t="s">
        <v>278</v>
      </c>
      <c r="BK358" s="240">
        <v>0</v>
      </c>
      <c r="BL358" s="266">
        <v>0</v>
      </c>
      <c r="BM358" s="266">
        <v>0</v>
      </c>
      <c r="BN358" s="258">
        <v>0</v>
      </c>
    </row>
    <row r="359" spans="7:66" x14ac:dyDescent="0.2">
      <c r="G359" s="14"/>
      <c r="H359" s="14"/>
      <c r="I359" s="14"/>
      <c r="J359" s="14"/>
      <c r="BI359" s="1"/>
      <c r="BJ359" s="241" t="s">
        <v>279</v>
      </c>
      <c r="BK359" s="242">
        <v>0</v>
      </c>
      <c r="BL359" s="267">
        <v>0</v>
      </c>
      <c r="BM359" s="267">
        <v>0</v>
      </c>
      <c r="BN359" s="247">
        <v>0</v>
      </c>
    </row>
    <row r="360" spans="7:66" x14ac:dyDescent="0.2">
      <c r="G360" s="14"/>
      <c r="H360" s="14"/>
      <c r="I360" s="14"/>
      <c r="J360" s="14"/>
      <c r="BI360" s="1"/>
      <c r="BJ360" s="241" t="s">
        <v>280</v>
      </c>
      <c r="BK360" s="242">
        <v>0</v>
      </c>
      <c r="BL360" s="267">
        <v>0</v>
      </c>
      <c r="BM360" s="267">
        <v>0</v>
      </c>
      <c r="BN360" s="247">
        <v>0</v>
      </c>
    </row>
    <row r="361" spans="7:66" x14ac:dyDescent="0.2">
      <c r="G361" s="14"/>
      <c r="H361" s="14"/>
      <c r="I361" s="14"/>
      <c r="J361" s="14"/>
      <c r="BI361" s="1"/>
      <c r="BJ361" s="241" t="s">
        <v>281</v>
      </c>
      <c r="BK361" s="242">
        <v>0</v>
      </c>
      <c r="BL361" s="267">
        <v>0</v>
      </c>
      <c r="BM361" s="267">
        <v>0</v>
      </c>
      <c r="BN361" s="247">
        <v>0</v>
      </c>
    </row>
    <row r="362" spans="7:66" x14ac:dyDescent="0.2">
      <c r="G362" s="14"/>
      <c r="H362" s="14"/>
      <c r="I362" s="14"/>
      <c r="J362" s="14"/>
      <c r="BI362" s="239">
        <v>41885</v>
      </c>
      <c r="BJ362" s="229" t="s">
        <v>278</v>
      </c>
      <c r="BK362" s="240">
        <v>1</v>
      </c>
      <c r="BL362" s="266">
        <v>0</v>
      </c>
      <c r="BM362" s="266">
        <v>1</v>
      </c>
      <c r="BN362" s="258">
        <v>2</v>
      </c>
    </row>
    <row r="363" spans="7:66" x14ac:dyDescent="0.2">
      <c r="G363" s="14"/>
      <c r="H363" s="14"/>
      <c r="I363" s="14"/>
      <c r="J363" s="14"/>
      <c r="BI363" s="1"/>
      <c r="BJ363" s="241" t="s">
        <v>279</v>
      </c>
      <c r="BK363" s="242">
        <v>0</v>
      </c>
      <c r="BL363" s="267">
        <v>0</v>
      </c>
      <c r="BM363" s="267">
        <v>0</v>
      </c>
      <c r="BN363" s="247">
        <v>0</v>
      </c>
    </row>
    <row r="364" spans="7:66" x14ac:dyDescent="0.2">
      <c r="G364" s="14"/>
      <c r="H364" s="14"/>
      <c r="I364" s="14"/>
      <c r="J364" s="14"/>
      <c r="BI364" s="1"/>
      <c r="BJ364" s="241" t="s">
        <v>280</v>
      </c>
      <c r="BK364" s="242">
        <v>0</v>
      </c>
      <c r="BL364" s="267">
        <v>0</v>
      </c>
      <c r="BM364" s="267">
        <v>0</v>
      </c>
      <c r="BN364" s="247">
        <v>0</v>
      </c>
    </row>
    <row r="365" spans="7:66" x14ac:dyDescent="0.2">
      <c r="G365" s="14"/>
      <c r="H365" s="14"/>
      <c r="I365" s="14"/>
      <c r="J365" s="14"/>
      <c r="BI365" s="1"/>
      <c r="BJ365" s="241" t="s">
        <v>281</v>
      </c>
      <c r="BK365" s="242">
        <v>0</v>
      </c>
      <c r="BL365" s="267">
        <v>0</v>
      </c>
      <c r="BM365" s="267">
        <v>0</v>
      </c>
      <c r="BN365" s="247">
        <v>0</v>
      </c>
    </row>
    <row r="366" spans="7:66" x14ac:dyDescent="0.2">
      <c r="G366" s="14"/>
      <c r="H366" s="14"/>
      <c r="I366" s="14"/>
      <c r="J366" s="14"/>
      <c r="BI366" s="239">
        <v>41886</v>
      </c>
      <c r="BJ366" s="229" t="s">
        <v>278</v>
      </c>
      <c r="BK366" s="240">
        <v>0</v>
      </c>
      <c r="BL366" s="266">
        <v>0</v>
      </c>
      <c r="BM366" s="266">
        <v>0</v>
      </c>
      <c r="BN366" s="258">
        <v>0</v>
      </c>
    </row>
    <row r="367" spans="7:66" x14ac:dyDescent="0.2">
      <c r="G367" s="14"/>
      <c r="H367" s="14"/>
      <c r="I367" s="14"/>
      <c r="J367" s="14"/>
      <c r="BI367" s="1"/>
      <c r="BJ367" s="241" t="s">
        <v>279</v>
      </c>
      <c r="BK367" s="242">
        <v>0</v>
      </c>
      <c r="BL367" s="267">
        <v>0</v>
      </c>
      <c r="BM367" s="267">
        <v>0</v>
      </c>
      <c r="BN367" s="247">
        <v>0</v>
      </c>
    </row>
    <row r="368" spans="7:66" x14ac:dyDescent="0.2">
      <c r="G368" s="14"/>
      <c r="H368" s="14"/>
      <c r="I368" s="14"/>
      <c r="J368" s="14"/>
      <c r="BI368" s="1"/>
      <c r="BJ368" s="241" t="s">
        <v>280</v>
      </c>
      <c r="BK368" s="242">
        <v>0</v>
      </c>
      <c r="BL368" s="267">
        <v>0</v>
      </c>
      <c r="BM368" s="267">
        <v>0</v>
      </c>
      <c r="BN368" s="247">
        <v>0</v>
      </c>
    </row>
    <row r="369" spans="7:66" x14ac:dyDescent="0.2">
      <c r="G369" s="14"/>
      <c r="H369" s="14"/>
      <c r="I369" s="14"/>
      <c r="J369" s="14"/>
      <c r="BI369" s="1"/>
      <c r="BJ369" s="241" t="s">
        <v>281</v>
      </c>
      <c r="BK369" s="242">
        <v>0</v>
      </c>
      <c r="BL369" s="267">
        <v>0</v>
      </c>
      <c r="BM369" s="267">
        <v>0</v>
      </c>
      <c r="BN369" s="247">
        <v>0</v>
      </c>
    </row>
    <row r="370" spans="7:66" x14ac:dyDescent="0.2">
      <c r="G370" s="14"/>
      <c r="H370" s="14"/>
      <c r="I370" s="14"/>
      <c r="J370" s="14"/>
      <c r="BI370" s="239">
        <v>41887</v>
      </c>
      <c r="BJ370" s="229" t="s">
        <v>278</v>
      </c>
      <c r="BK370" s="240">
        <v>0</v>
      </c>
      <c r="BL370" s="266">
        <v>0</v>
      </c>
      <c r="BM370" s="266">
        <v>0</v>
      </c>
      <c r="BN370" s="258">
        <v>0</v>
      </c>
    </row>
    <row r="371" spans="7:66" x14ac:dyDescent="0.2">
      <c r="G371" s="14"/>
      <c r="H371" s="14"/>
      <c r="I371" s="14"/>
      <c r="J371" s="14"/>
      <c r="BI371" s="1"/>
      <c r="BJ371" s="241" t="s">
        <v>279</v>
      </c>
      <c r="BK371" s="242">
        <v>0</v>
      </c>
      <c r="BL371" s="267">
        <v>0</v>
      </c>
      <c r="BM371" s="267">
        <v>0</v>
      </c>
      <c r="BN371" s="247">
        <v>0</v>
      </c>
    </row>
    <row r="372" spans="7:66" x14ac:dyDescent="0.2">
      <c r="G372" s="14"/>
      <c r="H372" s="14"/>
      <c r="I372" s="14"/>
      <c r="J372" s="14"/>
      <c r="BI372" s="1"/>
      <c r="BJ372" s="241" t="s">
        <v>280</v>
      </c>
      <c r="BK372" s="242">
        <v>0</v>
      </c>
      <c r="BL372" s="267">
        <v>0</v>
      </c>
      <c r="BM372" s="267">
        <v>0</v>
      </c>
      <c r="BN372" s="247">
        <v>0</v>
      </c>
    </row>
    <row r="373" spans="7:66" x14ac:dyDescent="0.2">
      <c r="G373" s="14"/>
      <c r="H373" s="14"/>
      <c r="I373" s="14"/>
      <c r="J373" s="14"/>
      <c r="BI373" s="1"/>
      <c r="BJ373" s="241" t="s">
        <v>281</v>
      </c>
      <c r="BK373" s="242">
        <v>0</v>
      </c>
      <c r="BL373" s="267">
        <v>0</v>
      </c>
      <c r="BM373" s="267">
        <v>0</v>
      </c>
      <c r="BN373" s="247">
        <v>0</v>
      </c>
    </row>
    <row r="374" spans="7:66" x14ac:dyDescent="0.2">
      <c r="G374" s="14"/>
      <c r="H374" s="14"/>
      <c r="I374" s="14"/>
      <c r="J374" s="14"/>
      <c r="BI374" s="239">
        <v>41888</v>
      </c>
      <c r="BJ374" s="229" t="s">
        <v>278</v>
      </c>
      <c r="BK374" s="240">
        <v>0</v>
      </c>
      <c r="BL374" s="266">
        <v>0</v>
      </c>
      <c r="BM374" s="266">
        <v>0</v>
      </c>
      <c r="BN374" s="258">
        <v>0</v>
      </c>
    </row>
    <row r="375" spans="7:66" x14ac:dyDescent="0.2">
      <c r="G375" s="14"/>
      <c r="H375" s="14"/>
      <c r="I375" s="14"/>
      <c r="J375" s="14"/>
      <c r="BI375" s="1"/>
      <c r="BJ375" s="241" t="s">
        <v>279</v>
      </c>
      <c r="BK375" s="242">
        <v>0</v>
      </c>
      <c r="BL375" s="267">
        <v>0</v>
      </c>
      <c r="BM375" s="267">
        <v>0</v>
      </c>
      <c r="BN375" s="247">
        <v>0</v>
      </c>
    </row>
    <row r="376" spans="7:66" x14ac:dyDescent="0.2">
      <c r="G376" s="14"/>
      <c r="H376" s="14"/>
      <c r="I376" s="14"/>
      <c r="J376" s="14"/>
      <c r="BI376" s="1"/>
      <c r="BJ376" s="241" t="s">
        <v>280</v>
      </c>
      <c r="BK376" s="242">
        <v>0</v>
      </c>
      <c r="BL376" s="267">
        <v>0</v>
      </c>
      <c r="BM376" s="267">
        <v>0</v>
      </c>
      <c r="BN376" s="247">
        <v>0</v>
      </c>
    </row>
    <row r="377" spans="7:66" x14ac:dyDescent="0.2">
      <c r="G377" s="14"/>
      <c r="H377" s="14"/>
      <c r="I377" s="14"/>
      <c r="J377" s="14"/>
      <c r="BI377" s="1"/>
      <c r="BJ377" s="241" t="s">
        <v>281</v>
      </c>
      <c r="BK377" s="242">
        <v>0</v>
      </c>
      <c r="BL377" s="267">
        <v>0</v>
      </c>
      <c r="BM377" s="267">
        <v>0</v>
      </c>
      <c r="BN377" s="247">
        <v>0</v>
      </c>
    </row>
    <row r="378" spans="7:66" x14ac:dyDescent="0.2">
      <c r="G378" s="14"/>
      <c r="H378" s="14"/>
      <c r="I378" s="14"/>
      <c r="J378" s="14"/>
      <c r="BI378" s="239">
        <v>41889</v>
      </c>
      <c r="BJ378" s="229" t="s">
        <v>278</v>
      </c>
      <c r="BK378" s="240">
        <v>0</v>
      </c>
      <c r="BL378" s="266">
        <v>0</v>
      </c>
      <c r="BM378" s="266">
        <v>0</v>
      </c>
      <c r="BN378" s="258">
        <v>0</v>
      </c>
    </row>
    <row r="379" spans="7:66" x14ac:dyDescent="0.2">
      <c r="G379" s="14"/>
      <c r="H379" s="14"/>
      <c r="I379" s="14"/>
      <c r="J379" s="14"/>
      <c r="BI379" s="1"/>
      <c r="BJ379" s="241" t="s">
        <v>279</v>
      </c>
      <c r="BK379" s="242">
        <v>0</v>
      </c>
      <c r="BL379" s="267">
        <v>0</v>
      </c>
      <c r="BM379" s="267">
        <v>0</v>
      </c>
      <c r="BN379" s="247">
        <v>0</v>
      </c>
    </row>
    <row r="380" spans="7:66" x14ac:dyDescent="0.2">
      <c r="G380" s="14"/>
      <c r="H380" s="14"/>
      <c r="I380" s="14"/>
      <c r="J380" s="14"/>
      <c r="BI380" s="1"/>
      <c r="BJ380" s="241" t="s">
        <v>280</v>
      </c>
      <c r="BK380" s="242">
        <v>0</v>
      </c>
      <c r="BL380" s="267">
        <v>0</v>
      </c>
      <c r="BM380" s="267">
        <v>0</v>
      </c>
      <c r="BN380" s="247">
        <v>0</v>
      </c>
    </row>
    <row r="381" spans="7:66" x14ac:dyDescent="0.2">
      <c r="G381" s="14"/>
      <c r="H381" s="14"/>
      <c r="I381" s="14"/>
      <c r="J381" s="14"/>
      <c r="BI381" s="1"/>
      <c r="BJ381" s="241" t="s">
        <v>281</v>
      </c>
      <c r="BK381" s="242">
        <v>0</v>
      </c>
      <c r="BL381" s="267">
        <v>0</v>
      </c>
      <c r="BM381" s="267">
        <v>0</v>
      </c>
      <c r="BN381" s="247">
        <v>0</v>
      </c>
    </row>
    <row r="382" spans="7:66" x14ac:dyDescent="0.2">
      <c r="G382" s="14"/>
      <c r="H382" s="14"/>
      <c r="I382" s="14"/>
      <c r="J382" s="14"/>
      <c r="BI382" s="229" t="s">
        <v>55</v>
      </c>
      <c r="BJ382" s="255"/>
      <c r="BK382" s="240">
        <v>73</v>
      </c>
      <c r="BL382" s="266">
        <v>14</v>
      </c>
      <c r="BM382" s="266">
        <v>125</v>
      </c>
      <c r="BN382" s="258">
        <v>212</v>
      </c>
    </row>
    <row r="383" spans="7:66" x14ac:dyDescent="0.2">
      <c r="G383" s="14"/>
      <c r="H383" s="14"/>
      <c r="I383" s="14"/>
      <c r="J383" s="14"/>
      <c r="BI383" s="229" t="s">
        <v>56</v>
      </c>
      <c r="BJ383" s="255"/>
      <c r="BK383" s="240">
        <v>36</v>
      </c>
      <c r="BL383" s="266">
        <v>11</v>
      </c>
      <c r="BM383" s="266">
        <v>70</v>
      </c>
      <c r="BN383" s="258">
        <v>117</v>
      </c>
    </row>
    <row r="384" spans="7:66" x14ac:dyDescent="0.2">
      <c r="G384" s="14"/>
      <c r="H384" s="14"/>
      <c r="I384" s="14"/>
      <c r="J384" s="14"/>
      <c r="BI384" s="229" t="s">
        <v>58</v>
      </c>
      <c r="BJ384" s="255"/>
      <c r="BK384" s="240">
        <v>2</v>
      </c>
      <c r="BL384" s="266">
        <v>0</v>
      </c>
      <c r="BM384" s="266">
        <v>3</v>
      </c>
      <c r="BN384" s="258">
        <v>5</v>
      </c>
    </row>
    <row r="385" spans="7:66" x14ac:dyDescent="0.2">
      <c r="G385" s="14"/>
      <c r="H385" s="14"/>
      <c r="I385" s="14"/>
      <c r="J385" s="14"/>
      <c r="BI385" s="243" t="s">
        <v>57</v>
      </c>
      <c r="BJ385" s="244"/>
      <c r="BK385" s="245">
        <v>1</v>
      </c>
      <c r="BL385" s="268">
        <v>0</v>
      </c>
      <c r="BM385" s="268">
        <v>0</v>
      </c>
      <c r="BN385" s="234">
        <v>1</v>
      </c>
    </row>
    <row r="386" spans="7:66" x14ac:dyDescent="0.2">
      <c r="G386" s="14"/>
      <c r="H386" s="14"/>
      <c r="I386" s="14"/>
      <c r="J386" s="14"/>
    </row>
    <row r="387" spans="7:66" x14ac:dyDescent="0.2">
      <c r="G387" s="14"/>
      <c r="H387" s="14"/>
      <c r="I387" s="14"/>
      <c r="J387" s="14"/>
    </row>
    <row r="388" spans="7:66" x14ac:dyDescent="0.2">
      <c r="G388" s="14"/>
      <c r="H388" s="14"/>
      <c r="I388" s="14"/>
      <c r="J388" s="14"/>
    </row>
    <row r="389" spans="7:66" x14ac:dyDescent="0.2">
      <c r="G389" s="14"/>
      <c r="H389" s="14"/>
      <c r="I389" s="14"/>
      <c r="J389" s="14"/>
    </row>
    <row r="390" spans="7:66" x14ac:dyDescent="0.2">
      <c r="G390" s="14"/>
      <c r="H390" s="14"/>
      <c r="I390" s="14"/>
      <c r="J390" s="14"/>
    </row>
    <row r="391" spans="7:66" x14ac:dyDescent="0.2">
      <c r="G391" s="14"/>
      <c r="H391" s="14"/>
      <c r="I391" s="14"/>
      <c r="J391" s="14"/>
    </row>
    <row r="392" spans="7:66" x14ac:dyDescent="0.2">
      <c r="G392" s="14"/>
      <c r="H392" s="14"/>
      <c r="I392" s="14"/>
      <c r="J392" s="14"/>
    </row>
    <row r="393" spans="7:66" x14ac:dyDescent="0.2">
      <c r="G393" s="14"/>
      <c r="H393" s="14"/>
      <c r="I393" s="14"/>
      <c r="J393" s="14"/>
    </row>
    <row r="394" spans="7:66" x14ac:dyDescent="0.2">
      <c r="G394" s="14"/>
      <c r="H394" s="14"/>
      <c r="I394" s="14"/>
      <c r="J394" s="14"/>
    </row>
    <row r="395" spans="7:66" x14ac:dyDescent="0.2">
      <c r="G395" s="14"/>
      <c r="H395" s="14"/>
      <c r="I395" s="14"/>
      <c r="J395" s="14"/>
    </row>
    <row r="396" spans="7:66" x14ac:dyDescent="0.2">
      <c r="G396" s="14"/>
      <c r="H396" s="14"/>
      <c r="I396" s="14"/>
      <c r="J396" s="14"/>
    </row>
    <row r="397" spans="7:66" x14ac:dyDescent="0.2">
      <c r="G397" s="14"/>
      <c r="H397" s="14"/>
      <c r="I397" s="14"/>
      <c r="J397" s="14"/>
    </row>
    <row r="398" spans="7:66" x14ac:dyDescent="0.2">
      <c r="G398" s="14"/>
      <c r="H398" s="14"/>
      <c r="I398" s="14"/>
      <c r="J398" s="14"/>
    </row>
    <row r="399" spans="7:66" x14ac:dyDescent="0.2">
      <c r="G399" s="14"/>
      <c r="H399" s="14"/>
      <c r="I399" s="14"/>
      <c r="J399" s="14"/>
    </row>
    <row r="400" spans="7:66" x14ac:dyDescent="0.2">
      <c r="G400" s="14"/>
      <c r="H400" s="14"/>
      <c r="I400" s="14"/>
      <c r="J400" s="14"/>
    </row>
    <row r="401" spans="7:10" x14ac:dyDescent="0.2">
      <c r="G401" s="14"/>
      <c r="H401" s="14"/>
      <c r="I401" s="14"/>
      <c r="J401" s="14"/>
    </row>
    <row r="402" spans="7:10" x14ac:dyDescent="0.2">
      <c r="G402" s="14"/>
      <c r="H402" s="14"/>
      <c r="I402" s="14"/>
      <c r="J402" s="14"/>
    </row>
    <row r="403" spans="7:10" x14ac:dyDescent="0.2">
      <c r="G403" s="14"/>
      <c r="H403" s="14"/>
      <c r="I403" s="14"/>
      <c r="J403" s="14"/>
    </row>
    <row r="404" spans="7:10" x14ac:dyDescent="0.2">
      <c r="G404" s="14"/>
      <c r="H404" s="14"/>
      <c r="I404" s="14"/>
      <c r="J404" s="14"/>
    </row>
    <row r="405" spans="7:10" x14ac:dyDescent="0.2">
      <c r="G405" s="14"/>
      <c r="H405" s="14"/>
      <c r="I405" s="14"/>
      <c r="J405" s="14"/>
    </row>
    <row r="406" spans="7:10" x14ac:dyDescent="0.2">
      <c r="G406" s="14"/>
      <c r="H406" s="14"/>
      <c r="I406" s="14"/>
      <c r="J406" s="14"/>
    </row>
    <row r="407" spans="7:10" x14ac:dyDescent="0.2">
      <c r="G407" s="14"/>
      <c r="H407" s="14"/>
      <c r="I407" s="14"/>
      <c r="J407" s="14"/>
    </row>
    <row r="408" spans="7:10" x14ac:dyDescent="0.2">
      <c r="G408" s="14"/>
      <c r="H408" s="14"/>
      <c r="I408" s="14"/>
      <c r="J408" s="14"/>
    </row>
    <row r="409" spans="7:10" x14ac:dyDescent="0.2">
      <c r="G409" s="14"/>
      <c r="H409" s="14"/>
      <c r="I409" s="14"/>
      <c r="J409" s="14"/>
    </row>
    <row r="410" spans="7:10" x14ac:dyDescent="0.2">
      <c r="G410" s="14"/>
      <c r="H410" s="14"/>
      <c r="I410" s="14"/>
      <c r="J410" s="14"/>
    </row>
    <row r="411" spans="7:10" x14ac:dyDescent="0.2">
      <c r="G411" s="14"/>
      <c r="H411" s="14"/>
      <c r="I411" s="14"/>
      <c r="J411" s="14"/>
    </row>
    <row r="412" spans="7:10" x14ac:dyDescent="0.2">
      <c r="G412" s="14"/>
      <c r="H412" s="14"/>
      <c r="I412" s="14"/>
      <c r="J412" s="14"/>
    </row>
    <row r="413" spans="7:10" x14ac:dyDescent="0.2">
      <c r="G413" s="14"/>
      <c r="H413" s="14"/>
      <c r="I413" s="14"/>
      <c r="J413" s="14"/>
    </row>
    <row r="414" spans="7:10" x14ac:dyDescent="0.2">
      <c r="G414" s="14"/>
      <c r="H414" s="14"/>
      <c r="I414" s="14"/>
      <c r="J414" s="14"/>
    </row>
    <row r="415" spans="7:10" x14ac:dyDescent="0.2">
      <c r="G415" s="14"/>
      <c r="H415" s="14"/>
      <c r="I415" s="14"/>
      <c r="J415" s="14"/>
    </row>
    <row r="416" spans="7:10" x14ac:dyDescent="0.2">
      <c r="G416" s="14"/>
      <c r="H416" s="14"/>
      <c r="I416" s="14"/>
      <c r="J416" s="14"/>
    </row>
    <row r="417" spans="7:10" x14ac:dyDescent="0.2">
      <c r="G417" s="14"/>
      <c r="H417" s="14"/>
      <c r="I417" s="14"/>
      <c r="J417" s="14"/>
    </row>
    <row r="418" spans="7:10" x14ac:dyDescent="0.2">
      <c r="G418" s="14"/>
      <c r="H418" s="14"/>
      <c r="I418" s="14"/>
      <c r="J418" s="14"/>
    </row>
    <row r="419" spans="7:10" x14ac:dyDescent="0.2">
      <c r="G419" s="14"/>
      <c r="H419" s="14"/>
      <c r="I419" s="14"/>
      <c r="J419" s="14"/>
    </row>
    <row r="420" spans="7:10" x14ac:dyDescent="0.2">
      <c r="G420" s="14"/>
      <c r="H420" s="14"/>
      <c r="I420" s="14"/>
      <c r="J420" s="14"/>
    </row>
    <row r="421" spans="7:10" x14ac:dyDescent="0.2">
      <c r="G421" s="14"/>
      <c r="H421" s="14"/>
      <c r="I421" s="14"/>
      <c r="J421" s="14"/>
    </row>
    <row r="422" spans="7:10" x14ac:dyDescent="0.2">
      <c r="G422" s="14"/>
      <c r="H422" s="14"/>
      <c r="I422" s="14"/>
      <c r="J422" s="14"/>
    </row>
    <row r="423" spans="7:10" x14ac:dyDescent="0.2">
      <c r="G423" s="14"/>
      <c r="H423" s="14"/>
      <c r="I423" s="14"/>
      <c r="J423" s="14"/>
    </row>
    <row r="424" spans="7:10" x14ac:dyDescent="0.2">
      <c r="G424" s="14"/>
      <c r="H424" s="14"/>
      <c r="I424" s="14"/>
      <c r="J424" s="14"/>
    </row>
    <row r="425" spans="7:10" x14ac:dyDescent="0.2">
      <c r="G425" s="14"/>
      <c r="H425" s="14"/>
      <c r="I425" s="14"/>
      <c r="J425" s="14"/>
    </row>
    <row r="426" spans="7:10" x14ac:dyDescent="0.2">
      <c r="G426" s="14"/>
      <c r="H426" s="14"/>
      <c r="I426" s="14"/>
      <c r="J426" s="14"/>
    </row>
    <row r="427" spans="7:10" x14ac:dyDescent="0.2">
      <c r="G427" s="14"/>
      <c r="H427" s="14"/>
      <c r="I427" s="14"/>
      <c r="J427" s="14"/>
    </row>
    <row r="428" spans="7:10" x14ac:dyDescent="0.2">
      <c r="G428" s="14"/>
      <c r="H428" s="14"/>
      <c r="I428" s="14"/>
      <c r="J428" s="14"/>
    </row>
    <row r="429" spans="7:10" x14ac:dyDescent="0.2">
      <c r="G429" s="14"/>
      <c r="H429" s="14"/>
      <c r="I429" s="14"/>
      <c r="J429" s="14"/>
    </row>
    <row r="430" spans="7:10" x14ac:dyDescent="0.2">
      <c r="G430" s="14"/>
      <c r="H430" s="14"/>
      <c r="I430" s="14"/>
      <c r="J430" s="14"/>
    </row>
    <row r="431" spans="7:10" x14ac:dyDescent="0.2">
      <c r="G431" s="14"/>
      <c r="H431" s="14"/>
      <c r="I431" s="14"/>
      <c r="J431" s="14"/>
    </row>
    <row r="432" spans="7:10" x14ac:dyDescent="0.2">
      <c r="G432" s="14"/>
      <c r="H432" s="14"/>
      <c r="I432" s="14"/>
      <c r="J432" s="14"/>
    </row>
    <row r="433" spans="7:10" x14ac:dyDescent="0.2">
      <c r="G433" s="14"/>
      <c r="H433" s="14"/>
      <c r="I433" s="14"/>
      <c r="J433" s="14"/>
    </row>
    <row r="434" spans="7:10" x14ac:dyDescent="0.2">
      <c r="G434" s="14"/>
      <c r="H434" s="14"/>
      <c r="I434" s="14"/>
      <c r="J434" s="14"/>
    </row>
    <row r="435" spans="7:10" x14ac:dyDescent="0.2">
      <c r="G435" s="14"/>
      <c r="H435" s="14"/>
      <c r="I435" s="14"/>
      <c r="J435" s="14"/>
    </row>
    <row r="436" spans="7:10" x14ac:dyDescent="0.2">
      <c r="G436" s="14"/>
      <c r="H436" s="14"/>
      <c r="I436" s="14"/>
      <c r="J436" s="14"/>
    </row>
    <row r="437" spans="7:10" x14ac:dyDescent="0.2">
      <c r="G437" s="14"/>
      <c r="H437" s="14"/>
      <c r="I437" s="14"/>
      <c r="J437" s="14"/>
    </row>
    <row r="438" spans="7:10" x14ac:dyDescent="0.2">
      <c r="G438" s="14"/>
      <c r="H438" s="14"/>
      <c r="I438" s="14"/>
      <c r="J438" s="14"/>
    </row>
    <row r="439" spans="7:10" x14ac:dyDescent="0.2">
      <c r="G439" s="14"/>
      <c r="H439" s="14"/>
      <c r="I439" s="14"/>
      <c r="J439" s="14"/>
    </row>
    <row r="440" spans="7:10" x14ac:dyDescent="0.2">
      <c r="G440" s="14"/>
      <c r="H440" s="14"/>
      <c r="I440" s="14"/>
      <c r="J440" s="14"/>
    </row>
    <row r="441" spans="7:10" x14ac:dyDescent="0.2">
      <c r="G441" s="14"/>
      <c r="H441" s="14"/>
      <c r="I441" s="14"/>
      <c r="J441" s="14"/>
    </row>
    <row r="442" spans="7:10" x14ac:dyDescent="0.2">
      <c r="G442" s="14"/>
      <c r="H442" s="14"/>
      <c r="I442" s="14"/>
      <c r="J442" s="14"/>
    </row>
    <row r="443" spans="7:10" x14ac:dyDescent="0.2">
      <c r="G443" s="14"/>
      <c r="H443" s="14"/>
      <c r="I443" s="14"/>
      <c r="J443" s="14"/>
    </row>
    <row r="444" spans="7:10" x14ac:dyDescent="0.2">
      <c r="G444" s="14"/>
      <c r="H444" s="14"/>
      <c r="I444" s="14"/>
      <c r="J444" s="14"/>
    </row>
    <row r="445" spans="7:10" x14ac:dyDescent="0.2">
      <c r="G445" s="14"/>
      <c r="H445" s="14"/>
      <c r="I445" s="14"/>
      <c r="J445" s="14"/>
    </row>
    <row r="446" spans="7:10" x14ac:dyDescent="0.2">
      <c r="G446" s="14"/>
      <c r="H446" s="14"/>
      <c r="I446" s="14"/>
      <c r="J446" s="14"/>
    </row>
    <row r="447" spans="7:10" x14ac:dyDescent="0.2">
      <c r="G447" s="14"/>
      <c r="H447" s="14"/>
      <c r="I447" s="14"/>
      <c r="J447" s="14"/>
    </row>
    <row r="448" spans="7:10" x14ac:dyDescent="0.2">
      <c r="G448" s="14"/>
      <c r="H448" s="14"/>
      <c r="I448" s="14"/>
      <c r="J448" s="14"/>
    </row>
    <row r="449" spans="7:10" x14ac:dyDescent="0.2">
      <c r="G449" s="14"/>
      <c r="H449" s="14"/>
      <c r="I449" s="14"/>
      <c r="J449" s="14"/>
    </row>
    <row r="450" spans="7:10" x14ac:dyDescent="0.2">
      <c r="G450" s="14"/>
      <c r="H450" s="14"/>
      <c r="I450" s="14"/>
      <c r="J450" s="14"/>
    </row>
    <row r="451" spans="7:10" x14ac:dyDescent="0.2">
      <c r="G451" s="14"/>
      <c r="H451" s="14"/>
      <c r="I451" s="14"/>
      <c r="J451" s="14"/>
    </row>
    <row r="452" spans="7:10" x14ac:dyDescent="0.2">
      <c r="G452" s="14"/>
      <c r="H452" s="14"/>
      <c r="I452" s="14"/>
      <c r="J452" s="14"/>
    </row>
    <row r="453" spans="7:10" x14ac:dyDescent="0.2">
      <c r="G453" s="14"/>
      <c r="H453" s="14"/>
      <c r="I453" s="14"/>
      <c r="J453" s="14"/>
    </row>
    <row r="454" spans="7:10" x14ac:dyDescent="0.2">
      <c r="G454" s="14"/>
      <c r="H454" s="14"/>
      <c r="I454" s="14"/>
      <c r="J454" s="14"/>
    </row>
    <row r="455" spans="7:10" x14ac:dyDescent="0.2">
      <c r="G455" s="14"/>
      <c r="H455" s="14"/>
      <c r="I455" s="14"/>
      <c r="J455" s="14"/>
    </row>
    <row r="456" spans="7:10" x14ac:dyDescent="0.2">
      <c r="G456" s="14"/>
      <c r="H456" s="14"/>
      <c r="I456" s="14"/>
      <c r="J456" s="14"/>
    </row>
    <row r="457" spans="7:10" x14ac:dyDescent="0.2">
      <c r="G457" s="14"/>
      <c r="H457" s="14"/>
      <c r="I457" s="14"/>
      <c r="J457" s="14"/>
    </row>
    <row r="458" spans="7:10" x14ac:dyDescent="0.2">
      <c r="G458" s="14"/>
      <c r="H458" s="14"/>
      <c r="I458" s="14"/>
      <c r="J458" s="14"/>
    </row>
    <row r="459" spans="7:10" x14ac:dyDescent="0.2">
      <c r="G459" s="14"/>
      <c r="H459" s="14"/>
      <c r="I459" s="14"/>
      <c r="J459" s="14"/>
    </row>
    <row r="460" spans="7:10" x14ac:dyDescent="0.2">
      <c r="G460" s="14"/>
      <c r="H460" s="14"/>
      <c r="I460" s="14"/>
      <c r="J460" s="14"/>
    </row>
    <row r="461" spans="7:10" x14ac:dyDescent="0.2">
      <c r="G461" s="14"/>
      <c r="H461" s="14"/>
      <c r="I461" s="14"/>
      <c r="J461" s="14"/>
    </row>
    <row r="462" spans="7:10" x14ac:dyDescent="0.2">
      <c r="G462" s="14"/>
      <c r="H462" s="14"/>
      <c r="I462" s="14"/>
      <c r="J462" s="14"/>
    </row>
    <row r="463" spans="7:10" x14ac:dyDescent="0.2">
      <c r="G463" s="14"/>
      <c r="H463" s="14"/>
      <c r="I463" s="14"/>
      <c r="J463" s="14"/>
    </row>
    <row r="464" spans="7:10" x14ac:dyDescent="0.2">
      <c r="G464" s="14"/>
      <c r="H464" s="14"/>
      <c r="I464" s="14"/>
      <c r="J464" s="14"/>
    </row>
    <row r="465" spans="7:10" x14ac:dyDescent="0.2">
      <c r="G465" s="14"/>
      <c r="H465" s="14"/>
      <c r="I465" s="14"/>
      <c r="J465" s="14"/>
    </row>
    <row r="466" spans="7:10" x14ac:dyDescent="0.2">
      <c r="G466" s="14"/>
      <c r="H466" s="14"/>
      <c r="I466" s="14"/>
      <c r="J466" s="14"/>
    </row>
    <row r="467" spans="7:10" x14ac:dyDescent="0.2">
      <c r="G467" s="14"/>
      <c r="H467" s="14"/>
      <c r="I467" s="14"/>
      <c r="J467" s="14"/>
    </row>
    <row r="468" spans="7:10" x14ac:dyDescent="0.2">
      <c r="G468" s="14"/>
      <c r="H468" s="14"/>
      <c r="I468" s="14"/>
      <c r="J468" s="14"/>
    </row>
    <row r="469" spans="7:10" x14ac:dyDescent="0.2">
      <c r="G469" s="14"/>
      <c r="H469" s="14"/>
      <c r="I469" s="14"/>
      <c r="J469" s="14"/>
    </row>
    <row r="470" spans="7:10" x14ac:dyDescent="0.2">
      <c r="G470" s="14"/>
      <c r="H470" s="14"/>
      <c r="I470" s="14"/>
      <c r="J470" s="14"/>
    </row>
    <row r="471" spans="7:10" x14ac:dyDescent="0.2">
      <c r="G471" s="14"/>
      <c r="H471" s="14"/>
      <c r="I471" s="14"/>
      <c r="J471" s="14"/>
    </row>
    <row r="472" spans="7:10" x14ac:dyDescent="0.2">
      <c r="G472" s="14"/>
      <c r="H472" s="14"/>
      <c r="I472" s="14"/>
      <c r="J472" s="14"/>
    </row>
    <row r="473" spans="7:10" x14ac:dyDescent="0.2">
      <c r="G473" s="14"/>
      <c r="H473" s="14"/>
      <c r="I473" s="14"/>
      <c r="J473" s="14"/>
    </row>
    <row r="474" spans="7:10" x14ac:dyDescent="0.2">
      <c r="G474" s="14"/>
      <c r="H474" s="14"/>
      <c r="I474" s="14"/>
      <c r="J474" s="14"/>
    </row>
    <row r="475" spans="7:10" x14ac:dyDescent="0.2">
      <c r="G475" s="14"/>
      <c r="H475" s="14"/>
      <c r="I475" s="14"/>
      <c r="J475" s="14"/>
    </row>
    <row r="476" spans="7:10" x14ac:dyDescent="0.2">
      <c r="G476" s="14"/>
      <c r="H476" s="14"/>
      <c r="I476" s="14"/>
      <c r="J476" s="14"/>
    </row>
    <row r="477" spans="7:10" x14ac:dyDescent="0.2">
      <c r="G477" s="14"/>
      <c r="H477" s="14"/>
      <c r="I477" s="14"/>
      <c r="J477" s="14"/>
    </row>
    <row r="478" spans="7:10" x14ac:dyDescent="0.2">
      <c r="G478" s="14"/>
      <c r="H478" s="14"/>
      <c r="I478" s="14"/>
      <c r="J478" s="14"/>
    </row>
    <row r="479" spans="7:10" x14ac:dyDescent="0.2">
      <c r="G479" s="14"/>
      <c r="H479" s="14"/>
      <c r="I479" s="14"/>
      <c r="J479" s="14"/>
    </row>
    <row r="480" spans="7:10" x14ac:dyDescent="0.2">
      <c r="G480" s="14"/>
      <c r="H480" s="14"/>
      <c r="I480" s="14"/>
      <c r="J480" s="14"/>
    </row>
    <row r="481" spans="7:10" x14ac:dyDescent="0.2">
      <c r="G481" s="14"/>
      <c r="H481" s="14"/>
      <c r="I481" s="14"/>
      <c r="J481" s="14"/>
    </row>
    <row r="482" spans="7:10" x14ac:dyDescent="0.2">
      <c r="G482" s="14"/>
      <c r="H482" s="14"/>
      <c r="I482" s="14"/>
      <c r="J482" s="14"/>
    </row>
    <row r="483" spans="7:10" x14ac:dyDescent="0.2">
      <c r="G483" s="14"/>
      <c r="H483" s="14"/>
      <c r="I483" s="14"/>
      <c r="J483" s="14"/>
    </row>
    <row r="484" spans="7:10" x14ac:dyDescent="0.2">
      <c r="G484" s="14"/>
      <c r="H484" s="14"/>
      <c r="I484" s="14"/>
      <c r="J484" s="14"/>
    </row>
    <row r="485" spans="7:10" x14ac:dyDescent="0.2">
      <c r="G485" s="14"/>
      <c r="H485" s="14"/>
      <c r="I485" s="14"/>
      <c r="J485" s="14"/>
    </row>
    <row r="486" spans="7:10" x14ac:dyDescent="0.2">
      <c r="G486" s="14"/>
      <c r="H486" s="14"/>
      <c r="I486" s="14"/>
      <c r="J486" s="14"/>
    </row>
    <row r="487" spans="7:10" x14ac:dyDescent="0.2">
      <c r="G487" s="14"/>
      <c r="H487" s="14"/>
      <c r="I487" s="14"/>
      <c r="J487" s="14"/>
    </row>
    <row r="488" spans="7:10" x14ac:dyDescent="0.2">
      <c r="G488" s="14"/>
      <c r="H488" s="14"/>
      <c r="I488" s="14"/>
      <c r="J488" s="14"/>
    </row>
    <row r="489" spans="7:10" x14ac:dyDescent="0.2">
      <c r="G489" s="14"/>
      <c r="H489" s="14"/>
      <c r="I489" s="14"/>
      <c r="J489" s="14"/>
    </row>
    <row r="490" spans="7:10" x14ac:dyDescent="0.2">
      <c r="G490" s="14"/>
      <c r="H490" s="14"/>
      <c r="I490" s="14"/>
      <c r="J490" s="14"/>
    </row>
    <row r="491" spans="7:10" x14ac:dyDescent="0.2">
      <c r="G491" s="14"/>
      <c r="H491" s="14"/>
      <c r="I491" s="14"/>
      <c r="J491" s="14"/>
    </row>
    <row r="492" spans="7:10" x14ac:dyDescent="0.2">
      <c r="G492" s="14"/>
      <c r="H492" s="14"/>
      <c r="I492" s="14"/>
      <c r="J492" s="14"/>
    </row>
    <row r="493" spans="7:10" x14ac:dyDescent="0.2">
      <c r="G493" s="14"/>
      <c r="H493" s="14"/>
      <c r="I493" s="14"/>
      <c r="J493" s="14"/>
    </row>
    <row r="494" spans="7:10" x14ac:dyDescent="0.2">
      <c r="G494" s="14"/>
      <c r="H494" s="14"/>
      <c r="I494" s="14"/>
      <c r="J494" s="14"/>
    </row>
    <row r="495" spans="7:10" x14ac:dyDescent="0.2">
      <c r="G495" s="14"/>
      <c r="H495" s="14"/>
      <c r="I495" s="14"/>
      <c r="J495" s="14"/>
    </row>
    <row r="496" spans="7:10" x14ac:dyDescent="0.2">
      <c r="G496" s="14"/>
      <c r="H496" s="14"/>
      <c r="I496" s="14"/>
      <c r="J496" s="14"/>
    </row>
    <row r="497" spans="7:10" x14ac:dyDescent="0.2">
      <c r="G497" s="14"/>
      <c r="H497" s="14"/>
      <c r="I497" s="14"/>
      <c r="J497" s="14"/>
    </row>
    <row r="498" spans="7:10" x14ac:dyDescent="0.2">
      <c r="G498" s="14"/>
      <c r="H498" s="14"/>
      <c r="I498" s="14"/>
      <c r="J498" s="14"/>
    </row>
    <row r="499" spans="7:10" x14ac:dyDescent="0.2">
      <c r="G499" s="14"/>
      <c r="H499" s="14"/>
      <c r="I499" s="14"/>
      <c r="J499" s="14"/>
    </row>
    <row r="500" spans="7:10" x14ac:dyDescent="0.2">
      <c r="G500" s="14"/>
      <c r="H500" s="14"/>
      <c r="I500" s="14"/>
      <c r="J500" s="14"/>
    </row>
    <row r="501" spans="7:10" x14ac:dyDescent="0.2">
      <c r="G501" s="14"/>
      <c r="H501" s="14"/>
      <c r="I501" s="14"/>
      <c r="J501" s="14"/>
    </row>
    <row r="502" spans="7:10" x14ac:dyDescent="0.2">
      <c r="G502" s="14"/>
      <c r="H502" s="14"/>
      <c r="I502" s="14"/>
      <c r="J502" s="14"/>
    </row>
    <row r="503" spans="7:10" x14ac:dyDescent="0.2">
      <c r="G503" s="14"/>
      <c r="H503" s="14"/>
      <c r="I503" s="14"/>
      <c r="J503" s="14"/>
    </row>
    <row r="504" spans="7:10" x14ac:dyDescent="0.2">
      <c r="G504" s="14"/>
      <c r="H504" s="14"/>
      <c r="I504" s="14"/>
      <c r="J504" s="14"/>
    </row>
    <row r="505" spans="7:10" x14ac:dyDescent="0.2">
      <c r="G505" s="14"/>
      <c r="H505" s="14"/>
      <c r="I505" s="14"/>
      <c r="J505" s="14"/>
    </row>
    <row r="506" spans="7:10" x14ac:dyDescent="0.2">
      <c r="G506" s="14"/>
      <c r="H506" s="14"/>
      <c r="I506" s="14"/>
      <c r="J506" s="14"/>
    </row>
    <row r="507" spans="7:10" x14ac:dyDescent="0.2">
      <c r="G507" s="14"/>
      <c r="H507" s="14"/>
      <c r="I507" s="14"/>
      <c r="J507" s="14"/>
    </row>
    <row r="508" spans="7:10" x14ac:dyDescent="0.2">
      <c r="G508" s="14"/>
      <c r="H508" s="14"/>
      <c r="I508" s="14"/>
      <c r="J508" s="14"/>
    </row>
    <row r="509" spans="7:10" x14ac:dyDescent="0.2">
      <c r="G509" s="14"/>
      <c r="H509" s="14"/>
      <c r="I509" s="14"/>
      <c r="J509" s="14"/>
    </row>
    <row r="510" spans="7:10" x14ac:dyDescent="0.2">
      <c r="G510" s="14"/>
      <c r="H510" s="14"/>
      <c r="I510" s="14"/>
      <c r="J510" s="14"/>
    </row>
    <row r="511" spans="7:10" x14ac:dyDescent="0.2">
      <c r="G511" s="14"/>
      <c r="H511" s="14"/>
      <c r="I511" s="14"/>
      <c r="J511" s="14"/>
    </row>
    <row r="512" spans="7:10" x14ac:dyDescent="0.2">
      <c r="G512" s="14"/>
      <c r="H512" s="14"/>
      <c r="I512" s="14"/>
      <c r="J512" s="14"/>
    </row>
    <row r="513" spans="7:10" x14ac:dyDescent="0.2">
      <c r="G513" s="14"/>
      <c r="H513" s="14"/>
      <c r="I513" s="14"/>
      <c r="J513" s="14"/>
    </row>
    <row r="514" spans="7:10" x14ac:dyDescent="0.2">
      <c r="G514" s="14"/>
      <c r="H514" s="14"/>
      <c r="I514" s="14"/>
      <c r="J514" s="14"/>
    </row>
    <row r="515" spans="7:10" x14ac:dyDescent="0.2">
      <c r="G515" s="14"/>
      <c r="H515" s="14"/>
      <c r="I515" s="14"/>
      <c r="J515" s="14"/>
    </row>
    <row r="516" spans="7:10" x14ac:dyDescent="0.2">
      <c r="G516" s="14"/>
      <c r="H516" s="14"/>
      <c r="I516" s="14"/>
      <c r="J516" s="14"/>
    </row>
    <row r="517" spans="7:10" x14ac:dyDescent="0.2">
      <c r="G517" s="14"/>
      <c r="H517" s="14"/>
      <c r="I517" s="14"/>
      <c r="J517" s="14"/>
    </row>
    <row r="518" spans="7:10" x14ac:dyDescent="0.2">
      <c r="G518" s="14"/>
      <c r="H518" s="14"/>
      <c r="I518" s="14"/>
      <c r="J518" s="14"/>
    </row>
    <row r="519" spans="7:10" x14ac:dyDescent="0.2">
      <c r="G519" s="14"/>
      <c r="H519" s="14"/>
      <c r="I519" s="14"/>
      <c r="J519" s="14"/>
    </row>
    <row r="520" spans="7:10" x14ac:dyDescent="0.2">
      <c r="G520" s="14"/>
      <c r="H520" s="14"/>
      <c r="I520" s="14"/>
      <c r="J520" s="14"/>
    </row>
    <row r="521" spans="7:10" x14ac:dyDescent="0.2">
      <c r="G521" s="14"/>
      <c r="H521" s="14"/>
      <c r="I521" s="14"/>
      <c r="J521" s="14"/>
    </row>
    <row r="522" spans="7:10" x14ac:dyDescent="0.2">
      <c r="G522" s="14"/>
      <c r="H522" s="14"/>
      <c r="I522" s="14"/>
      <c r="J522" s="14"/>
    </row>
    <row r="523" spans="7:10" x14ac:dyDescent="0.2">
      <c r="G523" s="14"/>
      <c r="H523" s="14"/>
      <c r="I523" s="14"/>
      <c r="J523" s="14"/>
    </row>
    <row r="524" spans="7:10" x14ac:dyDescent="0.2">
      <c r="G524" s="14"/>
      <c r="H524" s="14"/>
      <c r="I524" s="14"/>
      <c r="J524" s="14"/>
    </row>
    <row r="525" spans="7:10" x14ac:dyDescent="0.2">
      <c r="G525" s="14"/>
      <c r="H525" s="14"/>
      <c r="I525" s="14"/>
      <c r="J525" s="14"/>
    </row>
    <row r="526" spans="7:10" x14ac:dyDescent="0.2">
      <c r="G526" s="14"/>
      <c r="H526" s="14"/>
      <c r="I526" s="14"/>
      <c r="J526" s="14"/>
    </row>
    <row r="527" spans="7:10" x14ac:dyDescent="0.2">
      <c r="G527" s="14"/>
      <c r="H527" s="14"/>
      <c r="I527" s="14"/>
      <c r="J527" s="14"/>
    </row>
    <row r="528" spans="7:10" x14ac:dyDescent="0.2">
      <c r="G528" s="14"/>
      <c r="H528" s="14"/>
      <c r="I528" s="14"/>
      <c r="J528" s="14"/>
    </row>
    <row r="529" spans="7:10" x14ac:dyDescent="0.2">
      <c r="G529" s="14"/>
      <c r="H529" s="14"/>
      <c r="I529" s="14"/>
      <c r="J529" s="14"/>
    </row>
    <row r="530" spans="7:10" x14ac:dyDescent="0.2">
      <c r="G530" s="14"/>
      <c r="H530" s="14"/>
      <c r="I530" s="14"/>
      <c r="J530" s="14"/>
    </row>
    <row r="531" spans="7:10" x14ac:dyDescent="0.2">
      <c r="G531" s="14"/>
      <c r="H531" s="14"/>
      <c r="I531" s="14"/>
      <c r="J531" s="14"/>
    </row>
    <row r="532" spans="7:10" x14ac:dyDescent="0.2">
      <c r="G532" s="14"/>
      <c r="H532" s="14"/>
      <c r="I532" s="14"/>
      <c r="J532" s="14"/>
    </row>
    <row r="533" spans="7:10" x14ac:dyDescent="0.2">
      <c r="G533" s="14"/>
      <c r="H533" s="14"/>
      <c r="I533" s="14"/>
      <c r="J533" s="14"/>
    </row>
    <row r="534" spans="7:10" x14ac:dyDescent="0.2">
      <c r="G534" s="14"/>
      <c r="H534" s="14"/>
      <c r="I534" s="14"/>
      <c r="J534" s="14"/>
    </row>
    <row r="535" spans="7:10" x14ac:dyDescent="0.2">
      <c r="G535" s="14"/>
      <c r="H535" s="14"/>
      <c r="I535" s="14"/>
      <c r="J535" s="14"/>
    </row>
    <row r="536" spans="7:10" x14ac:dyDescent="0.2">
      <c r="G536" s="14"/>
      <c r="H536" s="14"/>
      <c r="I536" s="14"/>
      <c r="J536" s="14"/>
    </row>
    <row r="537" spans="7:10" x14ac:dyDescent="0.2">
      <c r="G537" s="14"/>
      <c r="H537" s="14"/>
      <c r="I537" s="14"/>
      <c r="J537" s="14"/>
    </row>
    <row r="538" spans="7:10" x14ac:dyDescent="0.2">
      <c r="G538" s="14"/>
      <c r="H538" s="14"/>
      <c r="I538" s="14"/>
      <c r="J538" s="14"/>
    </row>
    <row r="539" spans="7:10" x14ac:dyDescent="0.2">
      <c r="G539" s="14"/>
      <c r="H539" s="14"/>
      <c r="I539" s="14"/>
      <c r="J539" s="14"/>
    </row>
    <row r="540" spans="7:10" x14ac:dyDescent="0.2">
      <c r="G540" s="14"/>
      <c r="H540" s="14"/>
      <c r="I540" s="14"/>
      <c r="J540" s="14"/>
    </row>
    <row r="541" spans="7:10" x14ac:dyDescent="0.2">
      <c r="G541" s="14"/>
      <c r="H541" s="14"/>
      <c r="I541" s="14"/>
      <c r="J541" s="14"/>
    </row>
    <row r="542" spans="7:10" x14ac:dyDescent="0.2">
      <c r="G542" s="14"/>
      <c r="H542" s="14"/>
      <c r="I542" s="14"/>
      <c r="J542" s="14"/>
    </row>
    <row r="543" spans="7:10" x14ac:dyDescent="0.2">
      <c r="G543" s="14"/>
      <c r="H543" s="14"/>
      <c r="I543" s="14"/>
      <c r="J543" s="14"/>
    </row>
    <row r="544" spans="7:10" x14ac:dyDescent="0.2">
      <c r="G544" s="14"/>
      <c r="H544" s="14"/>
      <c r="I544" s="14"/>
      <c r="J544" s="14"/>
    </row>
    <row r="545" spans="7:10" x14ac:dyDescent="0.2">
      <c r="G545" s="14"/>
      <c r="H545" s="14"/>
      <c r="I545" s="14"/>
      <c r="J545" s="14"/>
    </row>
    <row r="546" spans="7:10" x14ac:dyDescent="0.2">
      <c r="G546" s="14"/>
      <c r="H546" s="14"/>
      <c r="I546" s="14"/>
      <c r="J546" s="14"/>
    </row>
    <row r="547" spans="7:10" x14ac:dyDescent="0.2">
      <c r="G547" s="14"/>
      <c r="H547" s="14"/>
      <c r="I547" s="14"/>
      <c r="J547" s="14"/>
    </row>
    <row r="548" spans="7:10" x14ac:dyDescent="0.2">
      <c r="G548" s="14"/>
      <c r="H548" s="14"/>
      <c r="I548" s="14"/>
      <c r="J548" s="14"/>
    </row>
    <row r="549" spans="7:10" x14ac:dyDescent="0.2">
      <c r="G549" s="14"/>
      <c r="H549" s="14"/>
      <c r="I549" s="14"/>
      <c r="J549" s="14"/>
    </row>
    <row r="550" spans="7:10" x14ac:dyDescent="0.2">
      <c r="G550" s="14"/>
      <c r="H550" s="14"/>
      <c r="I550" s="14"/>
      <c r="J550" s="14"/>
    </row>
    <row r="551" spans="7:10" x14ac:dyDescent="0.2">
      <c r="G551" s="14"/>
      <c r="H551" s="14"/>
      <c r="I551" s="14"/>
      <c r="J551" s="14"/>
    </row>
    <row r="552" spans="7:10" x14ac:dyDescent="0.2">
      <c r="G552" s="14"/>
      <c r="H552" s="14"/>
      <c r="I552" s="14"/>
      <c r="J552" s="14"/>
    </row>
    <row r="553" spans="7:10" x14ac:dyDescent="0.2">
      <c r="G553" s="14"/>
      <c r="H553" s="14"/>
      <c r="I553" s="14"/>
      <c r="J553" s="14"/>
    </row>
    <row r="554" spans="7:10" x14ac:dyDescent="0.2">
      <c r="G554" s="14"/>
      <c r="H554" s="14"/>
      <c r="I554" s="14"/>
      <c r="J554" s="14"/>
    </row>
    <row r="555" spans="7:10" x14ac:dyDescent="0.2">
      <c r="G555" s="14"/>
      <c r="H555" s="14"/>
      <c r="I555" s="14"/>
      <c r="J555" s="14"/>
    </row>
    <row r="556" spans="7:10" x14ac:dyDescent="0.2">
      <c r="G556" s="14"/>
      <c r="H556" s="14"/>
      <c r="I556" s="14"/>
      <c r="J556" s="14"/>
    </row>
    <row r="557" spans="7:10" x14ac:dyDescent="0.2">
      <c r="G557" s="14"/>
      <c r="H557" s="14"/>
      <c r="I557" s="14"/>
      <c r="J557" s="14"/>
    </row>
    <row r="558" spans="7:10" x14ac:dyDescent="0.2">
      <c r="G558" s="14"/>
      <c r="H558" s="14"/>
      <c r="I558" s="14"/>
      <c r="J558" s="14"/>
    </row>
    <row r="559" spans="7:10" x14ac:dyDescent="0.2">
      <c r="G559" s="14"/>
      <c r="H559" s="14"/>
      <c r="I559" s="14"/>
      <c r="J559" s="14"/>
    </row>
    <row r="560" spans="7:10" x14ac:dyDescent="0.2">
      <c r="G560" s="14"/>
      <c r="H560" s="14"/>
      <c r="I560" s="14"/>
      <c r="J560" s="14"/>
    </row>
    <row r="561" spans="7:10" x14ac:dyDescent="0.2">
      <c r="G561" s="14"/>
      <c r="H561" s="14"/>
      <c r="I561" s="14"/>
      <c r="J561" s="14"/>
    </row>
    <row r="562" spans="7:10" x14ac:dyDescent="0.2">
      <c r="G562" s="14"/>
      <c r="H562" s="14"/>
      <c r="I562" s="14"/>
      <c r="J562" s="14"/>
    </row>
    <row r="563" spans="7:10" x14ac:dyDescent="0.2">
      <c r="G563" s="14"/>
      <c r="H563" s="14"/>
      <c r="I563" s="14"/>
      <c r="J563" s="14"/>
    </row>
    <row r="564" spans="7:10" x14ac:dyDescent="0.2">
      <c r="G564" s="14"/>
      <c r="H564" s="14"/>
      <c r="I564" s="14"/>
      <c r="J564" s="14"/>
    </row>
    <row r="565" spans="7:10" x14ac:dyDescent="0.2">
      <c r="G565" s="14"/>
      <c r="H565" s="14"/>
      <c r="I565" s="14"/>
      <c r="J565" s="14"/>
    </row>
    <row r="566" spans="7:10" x14ac:dyDescent="0.2">
      <c r="G566" s="14"/>
      <c r="H566" s="14"/>
      <c r="I566" s="14"/>
      <c r="J566" s="14"/>
    </row>
    <row r="567" spans="7:10" x14ac:dyDescent="0.2">
      <c r="G567" s="14"/>
      <c r="H567" s="14"/>
      <c r="I567" s="14"/>
      <c r="J567" s="14"/>
    </row>
    <row r="568" spans="7:10" x14ac:dyDescent="0.2">
      <c r="G568" s="14"/>
      <c r="H568" s="14"/>
      <c r="I568" s="14"/>
      <c r="J568" s="14"/>
    </row>
    <row r="569" spans="7:10" x14ac:dyDescent="0.2">
      <c r="G569" s="14"/>
      <c r="H569" s="14"/>
      <c r="I569" s="14"/>
      <c r="J569" s="14"/>
    </row>
    <row r="570" spans="7:10" x14ac:dyDescent="0.2">
      <c r="G570" s="14"/>
      <c r="H570" s="14"/>
      <c r="I570" s="14"/>
      <c r="J570" s="14"/>
    </row>
    <row r="571" spans="7:10" x14ac:dyDescent="0.2">
      <c r="G571" s="14"/>
      <c r="H571" s="14"/>
      <c r="I571" s="14"/>
      <c r="J571" s="14"/>
    </row>
    <row r="572" spans="7:10" x14ac:dyDescent="0.2">
      <c r="G572" s="14"/>
      <c r="H572" s="14"/>
      <c r="I572" s="14"/>
      <c r="J572" s="14"/>
    </row>
    <row r="573" spans="7:10" x14ac:dyDescent="0.2">
      <c r="G573" s="14"/>
      <c r="H573" s="14"/>
      <c r="I573" s="14"/>
      <c r="J573" s="14"/>
    </row>
    <row r="574" spans="7:10" x14ac:dyDescent="0.2">
      <c r="G574" s="14"/>
      <c r="H574" s="14"/>
      <c r="I574" s="14"/>
      <c r="J574" s="14"/>
    </row>
    <row r="575" spans="7:10" x14ac:dyDescent="0.2">
      <c r="G575" s="14"/>
      <c r="H575" s="14"/>
      <c r="I575" s="14"/>
      <c r="J575" s="14"/>
    </row>
    <row r="576" spans="7:10" x14ac:dyDescent="0.2">
      <c r="G576" s="14"/>
      <c r="H576" s="14"/>
      <c r="I576" s="14"/>
      <c r="J576" s="14"/>
    </row>
    <row r="577" spans="7:10" x14ac:dyDescent="0.2">
      <c r="G577" s="14"/>
      <c r="H577" s="14"/>
      <c r="I577" s="14"/>
      <c r="J577" s="14"/>
    </row>
    <row r="578" spans="7:10" x14ac:dyDescent="0.2">
      <c r="G578" s="14"/>
      <c r="H578" s="14"/>
      <c r="I578" s="14"/>
      <c r="J578" s="14"/>
    </row>
    <row r="579" spans="7:10" x14ac:dyDescent="0.2">
      <c r="G579" s="14"/>
      <c r="H579" s="14"/>
      <c r="I579" s="14"/>
      <c r="J579" s="14"/>
    </row>
    <row r="580" spans="7:10" x14ac:dyDescent="0.2">
      <c r="G580" s="14"/>
      <c r="H580" s="14"/>
      <c r="I580" s="14"/>
      <c r="J580" s="14"/>
    </row>
    <row r="581" spans="7:10" x14ac:dyDescent="0.2">
      <c r="G581" s="14"/>
      <c r="H581" s="14"/>
      <c r="I581" s="14"/>
      <c r="J581" s="14"/>
    </row>
    <row r="582" spans="7:10" x14ac:dyDescent="0.2">
      <c r="G582" s="14"/>
      <c r="H582" s="14"/>
      <c r="I582" s="14"/>
      <c r="J582" s="14"/>
    </row>
    <row r="583" spans="7:10" x14ac:dyDescent="0.2">
      <c r="G583" s="14"/>
      <c r="H583" s="14"/>
      <c r="I583" s="14"/>
      <c r="J583" s="14"/>
    </row>
    <row r="584" spans="7:10" x14ac:dyDescent="0.2">
      <c r="G584" s="14"/>
      <c r="H584" s="14"/>
      <c r="I584" s="14"/>
      <c r="J584" s="14"/>
    </row>
    <row r="585" spans="7:10" x14ac:dyDescent="0.2">
      <c r="G585" s="14"/>
      <c r="H585" s="14"/>
      <c r="I585" s="14"/>
      <c r="J585" s="14"/>
    </row>
    <row r="586" spans="7:10" x14ac:dyDescent="0.2">
      <c r="G586" s="14"/>
      <c r="H586" s="14"/>
      <c r="I586" s="14"/>
      <c r="J586" s="14"/>
    </row>
    <row r="587" spans="7:10" x14ac:dyDescent="0.2">
      <c r="G587" s="14"/>
      <c r="H587" s="14"/>
      <c r="I587" s="14"/>
      <c r="J587" s="14"/>
    </row>
    <row r="588" spans="7:10" x14ac:dyDescent="0.2">
      <c r="G588" s="14"/>
      <c r="H588" s="14"/>
      <c r="I588" s="14"/>
      <c r="J588" s="14"/>
    </row>
    <row r="589" spans="7:10" x14ac:dyDescent="0.2">
      <c r="G589" s="14"/>
      <c r="H589" s="14"/>
      <c r="I589" s="14"/>
      <c r="J589" s="14"/>
    </row>
    <row r="590" spans="7:10" x14ac:dyDescent="0.2">
      <c r="G590" s="14"/>
      <c r="H590" s="14"/>
      <c r="I590" s="14"/>
      <c r="J590" s="14"/>
    </row>
    <row r="591" spans="7:10" x14ac:dyDescent="0.2">
      <c r="G591" s="14"/>
      <c r="H591" s="14"/>
      <c r="I591" s="14"/>
      <c r="J591" s="14"/>
    </row>
    <row r="592" spans="7:10" x14ac:dyDescent="0.2">
      <c r="G592" s="14"/>
      <c r="H592" s="14"/>
      <c r="I592" s="14"/>
      <c r="J592" s="14"/>
    </row>
    <row r="593" spans="7:10" x14ac:dyDescent="0.2">
      <c r="G593" s="14"/>
      <c r="H593" s="14"/>
      <c r="I593" s="14"/>
      <c r="J593" s="14"/>
    </row>
    <row r="594" spans="7:10" x14ac:dyDescent="0.2">
      <c r="G594" s="14"/>
      <c r="H594" s="14"/>
      <c r="I594" s="14"/>
      <c r="J594" s="14"/>
    </row>
    <row r="595" spans="7:10" x14ac:dyDescent="0.2">
      <c r="G595" s="14"/>
      <c r="H595" s="14"/>
      <c r="I595" s="14"/>
      <c r="J595" s="14"/>
    </row>
    <row r="596" spans="7:10" x14ac:dyDescent="0.2">
      <c r="G596" s="14"/>
      <c r="H596" s="14"/>
      <c r="I596" s="14"/>
      <c r="J596" s="14"/>
    </row>
    <row r="597" spans="7:10" x14ac:dyDescent="0.2">
      <c r="G597" s="14"/>
      <c r="H597" s="14"/>
      <c r="I597" s="14"/>
      <c r="J597" s="14"/>
    </row>
    <row r="598" spans="7:10" x14ac:dyDescent="0.2">
      <c r="G598" s="14"/>
      <c r="H598" s="14"/>
      <c r="I598" s="14"/>
      <c r="J598" s="14"/>
    </row>
    <row r="599" spans="7:10" x14ac:dyDescent="0.2">
      <c r="G599" s="14"/>
      <c r="H599" s="14"/>
      <c r="I599" s="14"/>
      <c r="J599" s="14"/>
    </row>
    <row r="600" spans="7:10" x14ac:dyDescent="0.2">
      <c r="G600" s="14"/>
      <c r="H600" s="14"/>
      <c r="I600" s="14"/>
      <c r="J600" s="14"/>
    </row>
    <row r="601" spans="7:10" x14ac:dyDescent="0.2">
      <c r="G601" s="14"/>
      <c r="H601" s="14"/>
      <c r="I601" s="14"/>
      <c r="J601" s="14"/>
    </row>
    <row r="602" spans="7:10" x14ac:dyDescent="0.2">
      <c r="G602" s="14"/>
      <c r="H602" s="14"/>
      <c r="I602" s="14"/>
      <c r="J602" s="14"/>
    </row>
    <row r="603" spans="7:10" x14ac:dyDescent="0.2">
      <c r="G603" s="14"/>
      <c r="H603" s="14"/>
      <c r="I603" s="14"/>
      <c r="J603" s="14"/>
    </row>
    <row r="604" spans="7:10" x14ac:dyDescent="0.2">
      <c r="G604" s="14"/>
      <c r="H604" s="14"/>
      <c r="I604" s="14"/>
      <c r="J604" s="14"/>
    </row>
    <row r="605" spans="7:10" x14ac:dyDescent="0.2">
      <c r="G605" s="14"/>
      <c r="H605" s="14"/>
      <c r="I605" s="14"/>
      <c r="J605" s="14"/>
    </row>
    <row r="606" spans="7:10" x14ac:dyDescent="0.2">
      <c r="G606" s="14"/>
      <c r="H606" s="14"/>
      <c r="I606" s="14"/>
      <c r="J606" s="14"/>
    </row>
    <row r="607" spans="7:10" x14ac:dyDescent="0.2">
      <c r="G607" s="14"/>
      <c r="H607" s="14"/>
      <c r="I607" s="14"/>
      <c r="J607" s="14"/>
    </row>
    <row r="608" spans="7:10" x14ac:dyDescent="0.2">
      <c r="G608" s="14"/>
      <c r="H608" s="14"/>
      <c r="I608" s="14"/>
      <c r="J608" s="14"/>
    </row>
    <row r="609" spans="7:10" x14ac:dyDescent="0.2">
      <c r="G609" s="14"/>
      <c r="H609" s="14"/>
      <c r="I609" s="14"/>
      <c r="J609" s="14"/>
    </row>
    <row r="610" spans="7:10" x14ac:dyDescent="0.2">
      <c r="G610" s="14"/>
      <c r="H610" s="14"/>
      <c r="I610" s="14"/>
      <c r="J610" s="14"/>
    </row>
    <row r="611" spans="7:10" x14ac:dyDescent="0.2">
      <c r="G611" s="14"/>
      <c r="H611" s="14"/>
      <c r="I611" s="14"/>
      <c r="J611" s="14"/>
    </row>
    <row r="612" spans="7:10" x14ac:dyDescent="0.2">
      <c r="G612" s="14"/>
      <c r="H612" s="14"/>
      <c r="I612" s="14"/>
      <c r="J612" s="14"/>
    </row>
    <row r="613" spans="7:10" x14ac:dyDescent="0.2">
      <c r="G613" s="14"/>
      <c r="H613" s="14"/>
      <c r="I613" s="14"/>
      <c r="J613" s="14"/>
    </row>
    <row r="614" spans="7:10" x14ac:dyDescent="0.2">
      <c r="G614" s="14"/>
      <c r="H614" s="14"/>
      <c r="I614" s="14"/>
      <c r="J614" s="14"/>
    </row>
    <row r="615" spans="7:10" x14ac:dyDescent="0.2">
      <c r="G615" s="14"/>
      <c r="H615" s="14"/>
      <c r="I615" s="14"/>
      <c r="J615" s="14"/>
    </row>
    <row r="616" spans="7:10" x14ac:dyDescent="0.2">
      <c r="G616" s="14"/>
      <c r="H616" s="14"/>
      <c r="I616" s="14"/>
      <c r="J616" s="14"/>
    </row>
    <row r="617" spans="7:10" x14ac:dyDescent="0.2">
      <c r="G617" s="14"/>
      <c r="H617" s="14"/>
      <c r="I617" s="14"/>
      <c r="J617" s="14"/>
    </row>
    <row r="618" spans="7:10" x14ac:dyDescent="0.2">
      <c r="G618" s="14"/>
      <c r="H618" s="14"/>
      <c r="I618" s="14"/>
      <c r="J618" s="14"/>
    </row>
    <row r="619" spans="7:10" x14ac:dyDescent="0.2">
      <c r="G619" s="14"/>
      <c r="H619" s="14"/>
      <c r="I619" s="14"/>
      <c r="J619" s="14"/>
    </row>
    <row r="620" spans="7:10" x14ac:dyDescent="0.2">
      <c r="G620" s="14"/>
      <c r="H620" s="14"/>
      <c r="I620" s="14"/>
      <c r="J620" s="14"/>
    </row>
    <row r="621" spans="7:10" x14ac:dyDescent="0.2">
      <c r="G621" s="14"/>
      <c r="H621" s="14"/>
      <c r="I621" s="14"/>
      <c r="J621" s="14"/>
    </row>
    <row r="622" spans="7:10" x14ac:dyDescent="0.2">
      <c r="G622" s="14"/>
      <c r="H622" s="14"/>
      <c r="I622" s="14"/>
      <c r="J622" s="14"/>
    </row>
    <row r="623" spans="7:10" x14ac:dyDescent="0.2">
      <c r="G623" s="14"/>
      <c r="H623" s="14"/>
      <c r="I623" s="14"/>
      <c r="J623" s="14"/>
    </row>
    <row r="624" spans="7:10" x14ac:dyDescent="0.2">
      <c r="G624" s="14"/>
      <c r="H624" s="14"/>
      <c r="I624" s="14"/>
      <c r="J624" s="14"/>
    </row>
    <row r="625" spans="7:10" x14ac:dyDescent="0.2">
      <c r="G625" s="14"/>
      <c r="H625" s="14"/>
      <c r="I625" s="14"/>
      <c r="J625" s="14"/>
    </row>
    <row r="626" spans="7:10" x14ac:dyDescent="0.2">
      <c r="G626" s="14"/>
      <c r="H626" s="14"/>
      <c r="I626" s="14"/>
      <c r="J626" s="14"/>
    </row>
    <row r="627" spans="7:10" x14ac:dyDescent="0.2">
      <c r="G627" s="14"/>
      <c r="H627" s="14"/>
      <c r="I627" s="14"/>
      <c r="J627" s="14"/>
    </row>
    <row r="628" spans="7:10" x14ac:dyDescent="0.2">
      <c r="G628" s="14"/>
      <c r="H628" s="14"/>
      <c r="I628" s="14"/>
      <c r="J628" s="14"/>
    </row>
    <row r="629" spans="7:10" x14ac:dyDescent="0.2">
      <c r="G629" s="14"/>
      <c r="H629" s="14"/>
      <c r="I629" s="14"/>
      <c r="J629" s="14"/>
    </row>
    <row r="630" spans="7:10" x14ac:dyDescent="0.2">
      <c r="G630" s="14"/>
      <c r="H630" s="14"/>
      <c r="I630" s="14"/>
      <c r="J630" s="14"/>
    </row>
    <row r="631" spans="7:10" x14ac:dyDescent="0.2">
      <c r="G631" s="14"/>
      <c r="H631" s="14"/>
      <c r="I631" s="14"/>
      <c r="J631" s="14"/>
    </row>
    <row r="632" spans="7:10" x14ac:dyDescent="0.2">
      <c r="G632" s="14"/>
      <c r="H632" s="14"/>
      <c r="I632" s="14"/>
      <c r="J632" s="14"/>
    </row>
    <row r="633" spans="7:10" x14ac:dyDescent="0.2">
      <c r="G633" s="14"/>
      <c r="H633" s="14"/>
      <c r="I633" s="14"/>
      <c r="J633" s="14"/>
    </row>
    <row r="634" spans="7:10" x14ac:dyDescent="0.2">
      <c r="G634" s="14"/>
      <c r="H634" s="14"/>
      <c r="I634" s="14"/>
      <c r="J634" s="14"/>
    </row>
    <row r="635" spans="7:10" x14ac:dyDescent="0.2">
      <c r="G635" s="14"/>
      <c r="H635" s="14"/>
      <c r="I635" s="14"/>
      <c r="J635" s="14"/>
    </row>
    <row r="636" spans="7:10" x14ac:dyDescent="0.2">
      <c r="G636" s="14"/>
      <c r="H636" s="14"/>
      <c r="I636" s="14"/>
      <c r="J636" s="14"/>
    </row>
    <row r="637" spans="7:10" x14ac:dyDescent="0.2">
      <c r="G637" s="14"/>
      <c r="H637" s="14"/>
      <c r="I637" s="14"/>
      <c r="J637" s="14"/>
    </row>
    <row r="638" spans="7:10" x14ac:dyDescent="0.2">
      <c r="G638" s="14"/>
      <c r="H638" s="14"/>
      <c r="I638" s="14"/>
      <c r="J638" s="14"/>
    </row>
    <row r="639" spans="7:10" x14ac:dyDescent="0.2">
      <c r="G639" s="14"/>
      <c r="H639" s="14"/>
      <c r="I639" s="14"/>
      <c r="J639" s="14"/>
    </row>
    <row r="640" spans="7:10" x14ac:dyDescent="0.2">
      <c r="G640" s="14"/>
      <c r="H640" s="14"/>
      <c r="I640" s="14"/>
      <c r="J640" s="14"/>
    </row>
    <row r="641" spans="7:10" x14ac:dyDescent="0.2">
      <c r="G641" s="14"/>
      <c r="H641" s="14"/>
      <c r="I641" s="14"/>
      <c r="J641" s="14"/>
    </row>
    <row r="642" spans="7:10" x14ac:dyDescent="0.2">
      <c r="G642" s="14"/>
      <c r="H642" s="14"/>
      <c r="I642" s="14"/>
      <c r="J642" s="14"/>
    </row>
    <row r="643" spans="7:10" x14ac:dyDescent="0.2">
      <c r="G643" s="14"/>
      <c r="H643" s="14"/>
      <c r="I643" s="14"/>
      <c r="J643" s="14"/>
    </row>
    <row r="644" spans="7:10" x14ac:dyDescent="0.2">
      <c r="G644" s="14"/>
      <c r="H644" s="14"/>
      <c r="I644" s="14"/>
      <c r="J644" s="14"/>
    </row>
    <row r="645" spans="7:10" x14ac:dyDescent="0.2">
      <c r="G645" s="14"/>
      <c r="H645" s="14"/>
      <c r="I645" s="14"/>
      <c r="J645" s="14"/>
    </row>
    <row r="646" spans="7:10" x14ac:dyDescent="0.2">
      <c r="G646" s="14"/>
      <c r="H646" s="14"/>
      <c r="I646" s="14"/>
      <c r="J646" s="14"/>
    </row>
    <row r="647" spans="7:10" x14ac:dyDescent="0.2">
      <c r="G647" s="14"/>
      <c r="H647" s="14"/>
      <c r="I647" s="14"/>
      <c r="J647" s="14"/>
    </row>
    <row r="648" spans="7:10" x14ac:dyDescent="0.2">
      <c r="G648" s="14"/>
      <c r="H648" s="14"/>
      <c r="I648" s="14"/>
      <c r="J648" s="14"/>
    </row>
    <row r="649" spans="7:10" x14ac:dyDescent="0.2">
      <c r="G649" s="14"/>
      <c r="H649" s="14"/>
      <c r="I649" s="14"/>
      <c r="J649" s="14"/>
    </row>
    <row r="650" spans="7:10" x14ac:dyDescent="0.2">
      <c r="G650" s="14"/>
      <c r="H650" s="14"/>
      <c r="I650" s="14"/>
      <c r="J650" s="14"/>
    </row>
    <row r="651" spans="7:10" x14ac:dyDescent="0.2">
      <c r="G651" s="14"/>
      <c r="H651" s="14"/>
      <c r="I651" s="14"/>
      <c r="J651" s="14"/>
    </row>
    <row r="652" spans="7:10" x14ac:dyDescent="0.2">
      <c r="G652" s="14"/>
      <c r="H652" s="14"/>
      <c r="I652" s="14"/>
      <c r="J652" s="14"/>
    </row>
    <row r="653" spans="7:10" x14ac:dyDescent="0.2">
      <c r="G653" s="14"/>
      <c r="H653" s="14"/>
      <c r="I653" s="14"/>
      <c r="J653" s="14"/>
    </row>
    <row r="654" spans="7:10" x14ac:dyDescent="0.2">
      <c r="G654" s="14"/>
      <c r="H654" s="14"/>
      <c r="I654" s="14"/>
      <c r="J654" s="14"/>
    </row>
    <row r="655" spans="7:10" x14ac:dyDescent="0.2">
      <c r="G655" s="14"/>
      <c r="H655" s="14"/>
      <c r="I655" s="14"/>
      <c r="J655" s="14"/>
    </row>
    <row r="656" spans="7:10" x14ac:dyDescent="0.2">
      <c r="G656" s="14"/>
      <c r="H656" s="14"/>
      <c r="I656" s="14"/>
      <c r="J656" s="14"/>
    </row>
    <row r="657" spans="7:10" x14ac:dyDescent="0.2">
      <c r="G657" s="14"/>
      <c r="H657" s="14"/>
      <c r="I657" s="14"/>
      <c r="J657" s="14"/>
    </row>
    <row r="658" spans="7:10" x14ac:dyDescent="0.2">
      <c r="G658" s="14"/>
      <c r="H658" s="14"/>
      <c r="I658" s="14"/>
      <c r="J658" s="14"/>
    </row>
    <row r="659" spans="7:10" x14ac:dyDescent="0.2">
      <c r="G659" s="14"/>
      <c r="H659" s="14"/>
      <c r="I659" s="14"/>
      <c r="J659" s="14"/>
    </row>
    <row r="660" spans="7:10" x14ac:dyDescent="0.2">
      <c r="G660" s="14"/>
      <c r="H660" s="14"/>
      <c r="I660" s="14"/>
      <c r="J660" s="14"/>
    </row>
    <row r="661" spans="7:10" x14ac:dyDescent="0.2">
      <c r="G661" s="14"/>
      <c r="H661" s="14"/>
      <c r="I661" s="14"/>
      <c r="J661" s="14"/>
    </row>
    <row r="662" spans="7:10" x14ac:dyDescent="0.2">
      <c r="G662" s="14"/>
      <c r="H662" s="14"/>
      <c r="I662" s="14"/>
      <c r="J662" s="14"/>
    </row>
    <row r="663" spans="7:10" x14ac:dyDescent="0.2">
      <c r="G663" s="14"/>
      <c r="H663" s="14"/>
      <c r="I663" s="14"/>
      <c r="J663" s="14"/>
    </row>
    <row r="664" spans="7:10" x14ac:dyDescent="0.2">
      <c r="G664" s="14"/>
      <c r="H664" s="14"/>
      <c r="I664" s="14"/>
      <c r="J664" s="14"/>
    </row>
    <row r="665" spans="7:10" x14ac:dyDescent="0.2">
      <c r="G665" s="14"/>
      <c r="H665" s="14"/>
      <c r="I665" s="14"/>
      <c r="J665" s="14"/>
    </row>
    <row r="666" spans="7:10" x14ac:dyDescent="0.2">
      <c r="G666" s="14"/>
      <c r="H666" s="14"/>
      <c r="I666" s="14"/>
      <c r="J666" s="14"/>
    </row>
    <row r="667" spans="7:10" x14ac:dyDescent="0.2">
      <c r="G667" s="14"/>
      <c r="H667" s="14"/>
      <c r="I667" s="14"/>
      <c r="J667" s="14"/>
    </row>
    <row r="668" spans="7:10" x14ac:dyDescent="0.2">
      <c r="G668" s="14"/>
      <c r="H668" s="14"/>
      <c r="I668" s="14"/>
      <c r="J668" s="14"/>
    </row>
    <row r="669" spans="7:10" x14ac:dyDescent="0.2">
      <c r="G669" s="14"/>
      <c r="H669" s="14"/>
      <c r="I669" s="14"/>
      <c r="J669" s="14"/>
    </row>
    <row r="670" spans="7:10" x14ac:dyDescent="0.2">
      <c r="G670" s="14"/>
      <c r="H670" s="14"/>
      <c r="I670" s="14"/>
      <c r="J670" s="14"/>
    </row>
    <row r="671" spans="7:10" x14ac:dyDescent="0.2">
      <c r="G671" s="14"/>
      <c r="H671" s="14"/>
      <c r="I671" s="14"/>
      <c r="J671" s="14"/>
    </row>
    <row r="672" spans="7:10" x14ac:dyDescent="0.2">
      <c r="G672" s="14"/>
      <c r="H672" s="14"/>
      <c r="I672" s="14"/>
      <c r="J672" s="14"/>
    </row>
    <row r="673" spans="7:10" x14ac:dyDescent="0.2">
      <c r="G673" s="14"/>
      <c r="H673" s="14"/>
      <c r="I673" s="14"/>
      <c r="J673" s="14"/>
    </row>
    <row r="674" spans="7:10" x14ac:dyDescent="0.2">
      <c r="G674" s="14"/>
      <c r="H674" s="14"/>
      <c r="I674" s="14"/>
      <c r="J674" s="14"/>
    </row>
    <row r="675" spans="7:10" x14ac:dyDescent="0.2">
      <c r="G675" s="14"/>
      <c r="H675" s="14"/>
      <c r="I675" s="14"/>
      <c r="J675" s="14"/>
    </row>
    <row r="676" spans="7:10" x14ac:dyDescent="0.2">
      <c r="G676" s="14"/>
      <c r="H676" s="14"/>
      <c r="I676" s="14"/>
      <c r="J676" s="14"/>
    </row>
    <row r="677" spans="7:10" x14ac:dyDescent="0.2">
      <c r="G677" s="14"/>
      <c r="H677" s="14"/>
      <c r="I677" s="14"/>
      <c r="J677" s="14"/>
    </row>
    <row r="678" spans="7:10" x14ac:dyDescent="0.2">
      <c r="G678" s="14"/>
      <c r="H678" s="14"/>
      <c r="I678" s="14"/>
      <c r="J678" s="14"/>
    </row>
    <row r="679" spans="7:10" x14ac:dyDescent="0.2">
      <c r="G679" s="14"/>
      <c r="H679" s="14"/>
      <c r="I679" s="14"/>
      <c r="J679" s="14"/>
    </row>
    <row r="680" spans="7:10" x14ac:dyDescent="0.2">
      <c r="G680" s="14"/>
      <c r="H680" s="14"/>
      <c r="I680" s="14"/>
      <c r="J680" s="14"/>
    </row>
    <row r="681" spans="7:10" x14ac:dyDescent="0.2">
      <c r="G681" s="14"/>
      <c r="H681" s="14"/>
      <c r="I681" s="14"/>
      <c r="J681" s="14"/>
    </row>
    <row r="682" spans="7:10" x14ac:dyDescent="0.2">
      <c r="G682" s="14"/>
      <c r="H682" s="14"/>
      <c r="I682" s="14"/>
      <c r="J682" s="14"/>
    </row>
    <row r="683" spans="7:10" x14ac:dyDescent="0.2">
      <c r="G683" s="14"/>
      <c r="H683" s="14"/>
      <c r="I683" s="14"/>
      <c r="J683" s="14"/>
    </row>
    <row r="684" spans="7:10" x14ac:dyDescent="0.2">
      <c r="G684" s="14"/>
      <c r="H684" s="14"/>
      <c r="I684" s="14"/>
      <c r="J684" s="14"/>
    </row>
    <row r="685" spans="7:10" x14ac:dyDescent="0.2">
      <c r="G685" s="14"/>
      <c r="H685" s="14"/>
      <c r="I685" s="14"/>
      <c r="J685" s="14"/>
    </row>
    <row r="686" spans="7:10" x14ac:dyDescent="0.2">
      <c r="G686" s="14"/>
      <c r="H686" s="14"/>
      <c r="I686" s="14"/>
      <c r="J686" s="14"/>
    </row>
    <row r="687" spans="7:10" x14ac:dyDescent="0.2">
      <c r="G687" s="14"/>
      <c r="H687" s="14"/>
      <c r="I687" s="14"/>
      <c r="J687" s="14"/>
    </row>
    <row r="688" spans="7:10" x14ac:dyDescent="0.2">
      <c r="G688" s="14"/>
      <c r="H688" s="14"/>
      <c r="I688" s="14"/>
      <c r="J688" s="14"/>
    </row>
    <row r="689" spans="7:10" x14ac:dyDescent="0.2">
      <c r="G689" s="14"/>
      <c r="H689" s="14"/>
      <c r="I689" s="14"/>
      <c r="J689" s="14"/>
    </row>
    <row r="690" spans="7:10" x14ac:dyDescent="0.2">
      <c r="G690" s="14"/>
      <c r="H690" s="14"/>
      <c r="I690" s="14"/>
      <c r="J690" s="14"/>
    </row>
    <row r="691" spans="7:10" x14ac:dyDescent="0.2">
      <c r="G691" s="14"/>
      <c r="H691" s="14"/>
      <c r="I691" s="14"/>
      <c r="J691" s="14"/>
    </row>
    <row r="692" spans="7:10" x14ac:dyDescent="0.2">
      <c r="G692" s="14"/>
      <c r="H692" s="14"/>
      <c r="I692" s="14"/>
      <c r="J692" s="14"/>
    </row>
    <row r="693" spans="7:10" x14ac:dyDescent="0.2">
      <c r="G693" s="14"/>
      <c r="H693" s="14"/>
      <c r="I693" s="14"/>
      <c r="J693" s="14"/>
    </row>
    <row r="694" spans="7:10" x14ac:dyDescent="0.2">
      <c r="G694" s="14"/>
      <c r="H694" s="14"/>
      <c r="I694" s="14"/>
      <c r="J694" s="14"/>
    </row>
    <row r="695" spans="7:10" x14ac:dyDescent="0.2">
      <c r="G695" s="14"/>
      <c r="H695" s="14"/>
      <c r="I695" s="14"/>
      <c r="J695" s="14"/>
    </row>
    <row r="696" spans="7:10" x14ac:dyDescent="0.2">
      <c r="G696" s="14"/>
      <c r="H696" s="14"/>
      <c r="I696" s="14"/>
      <c r="J696" s="14"/>
    </row>
    <row r="697" spans="7:10" x14ac:dyDescent="0.2">
      <c r="G697" s="14"/>
      <c r="H697" s="14"/>
      <c r="I697" s="14"/>
      <c r="J697" s="14"/>
    </row>
    <row r="698" spans="7:10" x14ac:dyDescent="0.2">
      <c r="G698" s="14"/>
      <c r="H698" s="14"/>
      <c r="I698" s="14"/>
      <c r="J698" s="14"/>
    </row>
    <row r="699" spans="7:10" x14ac:dyDescent="0.2">
      <c r="G699" s="14"/>
      <c r="H699" s="14"/>
      <c r="I699" s="14"/>
      <c r="J699" s="14"/>
    </row>
    <row r="700" spans="7:10" x14ac:dyDescent="0.2">
      <c r="G700" s="14"/>
      <c r="H700" s="14"/>
      <c r="I700" s="14"/>
      <c r="J700" s="14"/>
    </row>
    <row r="701" spans="7:10" x14ac:dyDescent="0.2">
      <c r="G701" s="14"/>
      <c r="H701" s="14"/>
      <c r="I701" s="14"/>
      <c r="J701" s="14"/>
    </row>
    <row r="702" spans="7:10" x14ac:dyDescent="0.2">
      <c r="G702" s="14"/>
      <c r="H702" s="14"/>
      <c r="I702" s="14"/>
      <c r="J702" s="14"/>
    </row>
    <row r="703" spans="7:10" x14ac:dyDescent="0.2">
      <c r="G703" s="14"/>
      <c r="H703" s="14"/>
      <c r="I703" s="14"/>
      <c r="J703" s="14"/>
    </row>
    <row r="704" spans="7:10" x14ac:dyDescent="0.2">
      <c r="G704" s="14"/>
      <c r="H704" s="14"/>
      <c r="I704" s="14"/>
      <c r="J704" s="14"/>
    </row>
    <row r="705" spans="7:10" x14ac:dyDescent="0.2">
      <c r="G705" s="14"/>
      <c r="H705" s="14"/>
      <c r="I705" s="14"/>
      <c r="J705" s="14"/>
    </row>
    <row r="706" spans="7:10" x14ac:dyDescent="0.2">
      <c r="G706" s="14"/>
      <c r="H706" s="14"/>
      <c r="I706" s="14"/>
      <c r="J706" s="14"/>
    </row>
    <row r="707" spans="7:10" x14ac:dyDescent="0.2">
      <c r="G707" s="14"/>
      <c r="H707" s="14"/>
      <c r="I707" s="14"/>
      <c r="J707" s="14"/>
    </row>
    <row r="708" spans="7:10" x14ac:dyDescent="0.2">
      <c r="G708" s="14"/>
      <c r="H708" s="14"/>
      <c r="I708" s="14"/>
      <c r="J708" s="14"/>
    </row>
    <row r="709" spans="7:10" x14ac:dyDescent="0.2">
      <c r="G709" s="14"/>
      <c r="H709" s="14"/>
      <c r="I709" s="14"/>
      <c r="J709" s="14"/>
    </row>
    <row r="710" spans="7:10" x14ac:dyDescent="0.2">
      <c r="G710" s="14"/>
      <c r="H710" s="14"/>
      <c r="I710" s="14"/>
      <c r="J710" s="14"/>
    </row>
    <row r="711" spans="7:10" x14ac:dyDescent="0.2">
      <c r="G711" s="14"/>
      <c r="H711" s="14"/>
      <c r="I711" s="14"/>
      <c r="J711" s="14"/>
    </row>
    <row r="712" spans="7:10" x14ac:dyDescent="0.2">
      <c r="G712" s="14"/>
      <c r="H712" s="14"/>
      <c r="I712" s="14"/>
      <c r="J712" s="14"/>
    </row>
    <row r="713" spans="7:10" x14ac:dyDescent="0.2">
      <c r="G713" s="14"/>
      <c r="H713" s="14"/>
      <c r="I713" s="14"/>
      <c r="J713" s="14"/>
    </row>
    <row r="714" spans="7:10" x14ac:dyDescent="0.2">
      <c r="G714" s="14"/>
      <c r="H714" s="14"/>
      <c r="I714" s="14"/>
      <c r="J714" s="14"/>
    </row>
    <row r="715" spans="7:10" x14ac:dyDescent="0.2">
      <c r="G715" s="14"/>
      <c r="H715" s="14"/>
      <c r="I715" s="14"/>
      <c r="J715" s="14"/>
    </row>
    <row r="716" spans="7:10" x14ac:dyDescent="0.2">
      <c r="G716" s="14"/>
      <c r="H716" s="14"/>
      <c r="I716" s="14"/>
      <c r="J716" s="14"/>
    </row>
    <row r="717" spans="7:10" x14ac:dyDescent="0.2">
      <c r="G717" s="14"/>
      <c r="H717" s="14"/>
      <c r="I717" s="14"/>
      <c r="J717" s="14"/>
    </row>
    <row r="718" spans="7:10" x14ac:dyDescent="0.2">
      <c r="G718" s="14"/>
      <c r="H718" s="14"/>
      <c r="I718" s="14"/>
      <c r="J718" s="14"/>
    </row>
    <row r="719" spans="7:10" x14ac:dyDescent="0.2">
      <c r="G719" s="14"/>
      <c r="H719" s="14"/>
      <c r="I719" s="14"/>
      <c r="J719" s="14"/>
    </row>
    <row r="720" spans="7:10" x14ac:dyDescent="0.2">
      <c r="G720" s="14"/>
      <c r="H720" s="14"/>
      <c r="I720" s="14"/>
      <c r="J720" s="14"/>
    </row>
    <row r="721" spans="7:10" x14ac:dyDescent="0.2">
      <c r="G721" s="14"/>
      <c r="H721" s="14"/>
      <c r="I721" s="14"/>
      <c r="J721" s="14"/>
    </row>
    <row r="722" spans="7:10" x14ac:dyDescent="0.2">
      <c r="G722" s="14"/>
      <c r="H722" s="14"/>
      <c r="I722" s="14"/>
      <c r="J722" s="14"/>
    </row>
    <row r="723" spans="7:10" x14ac:dyDescent="0.2">
      <c r="G723" s="14"/>
      <c r="H723" s="14"/>
      <c r="I723" s="14"/>
      <c r="J723" s="14"/>
    </row>
    <row r="724" spans="7:10" x14ac:dyDescent="0.2">
      <c r="G724" s="14"/>
      <c r="H724" s="14"/>
      <c r="I724" s="14"/>
      <c r="J724" s="14"/>
    </row>
    <row r="725" spans="7:10" x14ac:dyDescent="0.2">
      <c r="G725" s="14"/>
      <c r="H725" s="14"/>
      <c r="I725" s="14"/>
      <c r="J725" s="14"/>
    </row>
    <row r="726" spans="7:10" x14ac:dyDescent="0.2">
      <c r="G726" s="14"/>
      <c r="H726" s="14"/>
      <c r="I726" s="14"/>
      <c r="J726" s="14"/>
    </row>
    <row r="727" spans="7:10" x14ac:dyDescent="0.2">
      <c r="G727" s="14"/>
      <c r="H727" s="14"/>
      <c r="I727" s="14"/>
      <c r="J727" s="14"/>
    </row>
    <row r="728" spans="7:10" x14ac:dyDescent="0.2">
      <c r="G728" s="14"/>
      <c r="H728" s="14"/>
      <c r="I728" s="14"/>
      <c r="J728" s="14"/>
    </row>
    <row r="729" spans="7:10" x14ac:dyDescent="0.2">
      <c r="G729" s="14"/>
      <c r="H729" s="14"/>
      <c r="I729" s="14"/>
      <c r="J729" s="14"/>
    </row>
    <row r="730" spans="7:10" x14ac:dyDescent="0.2">
      <c r="G730" s="14"/>
      <c r="H730" s="14"/>
      <c r="I730" s="14"/>
      <c r="J730" s="14"/>
    </row>
    <row r="731" spans="7:10" x14ac:dyDescent="0.2">
      <c r="G731" s="14"/>
      <c r="H731" s="14"/>
      <c r="I731" s="14"/>
      <c r="J731" s="14"/>
    </row>
    <row r="732" spans="7:10" x14ac:dyDescent="0.2">
      <c r="G732" s="14"/>
      <c r="H732" s="14"/>
      <c r="I732" s="14"/>
      <c r="J732" s="14"/>
    </row>
    <row r="733" spans="7:10" x14ac:dyDescent="0.2">
      <c r="G733" s="14"/>
      <c r="H733" s="14"/>
      <c r="I733" s="14"/>
      <c r="J733" s="14"/>
    </row>
    <row r="734" spans="7:10" x14ac:dyDescent="0.2">
      <c r="G734" s="14"/>
      <c r="H734" s="14"/>
      <c r="I734" s="14"/>
      <c r="J734" s="14"/>
    </row>
    <row r="735" spans="7:10" x14ac:dyDescent="0.2">
      <c r="G735" s="14"/>
      <c r="H735" s="14"/>
      <c r="I735" s="14"/>
      <c r="J735" s="14"/>
    </row>
    <row r="736" spans="7:10" x14ac:dyDescent="0.2">
      <c r="G736" s="14"/>
      <c r="H736" s="14"/>
      <c r="I736" s="14"/>
      <c r="J736" s="14"/>
    </row>
    <row r="737" spans="7:10" x14ac:dyDescent="0.2">
      <c r="G737" s="14"/>
      <c r="H737" s="14"/>
      <c r="I737" s="14"/>
      <c r="J737" s="14"/>
    </row>
    <row r="738" spans="7:10" x14ac:dyDescent="0.2">
      <c r="G738" s="14"/>
      <c r="H738" s="14"/>
      <c r="I738" s="14"/>
      <c r="J738" s="14"/>
    </row>
    <row r="739" spans="7:10" x14ac:dyDescent="0.2">
      <c r="G739" s="14"/>
      <c r="H739" s="14"/>
      <c r="I739" s="14"/>
      <c r="J739" s="14"/>
    </row>
    <row r="740" spans="7:10" x14ac:dyDescent="0.2">
      <c r="G740" s="14"/>
      <c r="H740" s="14"/>
      <c r="I740" s="14"/>
      <c r="J740" s="14"/>
    </row>
    <row r="741" spans="7:10" x14ac:dyDescent="0.2">
      <c r="G741" s="14"/>
      <c r="H741" s="14"/>
      <c r="I741" s="14"/>
      <c r="J741" s="14"/>
    </row>
    <row r="742" spans="7:10" x14ac:dyDescent="0.2">
      <c r="G742" s="14"/>
      <c r="H742" s="14"/>
      <c r="I742" s="14"/>
      <c r="J742" s="14"/>
    </row>
    <row r="743" spans="7:10" x14ac:dyDescent="0.2">
      <c r="G743" s="14"/>
      <c r="H743" s="14"/>
      <c r="I743" s="14"/>
      <c r="J743" s="14"/>
    </row>
    <row r="744" spans="7:10" x14ac:dyDescent="0.2">
      <c r="G744" s="14"/>
      <c r="H744" s="14"/>
      <c r="I744" s="14"/>
      <c r="J744" s="14"/>
    </row>
    <row r="745" spans="7:10" x14ac:dyDescent="0.2">
      <c r="G745" s="14"/>
      <c r="H745" s="14"/>
      <c r="I745" s="14"/>
      <c r="J745" s="14"/>
    </row>
    <row r="746" spans="7:10" x14ac:dyDescent="0.2">
      <c r="G746" s="14"/>
      <c r="H746" s="14"/>
      <c r="I746" s="14"/>
      <c r="J746" s="14"/>
    </row>
    <row r="747" spans="7:10" x14ac:dyDescent="0.2">
      <c r="G747" s="14"/>
      <c r="H747" s="14"/>
      <c r="I747" s="14"/>
      <c r="J747" s="14"/>
    </row>
    <row r="748" spans="7:10" x14ac:dyDescent="0.2">
      <c r="G748" s="14"/>
      <c r="H748" s="14"/>
      <c r="I748" s="14"/>
      <c r="J748" s="14"/>
    </row>
    <row r="749" spans="7:10" x14ac:dyDescent="0.2">
      <c r="G749" s="14"/>
      <c r="H749" s="14"/>
      <c r="I749" s="14"/>
      <c r="J749" s="14"/>
    </row>
    <row r="750" spans="7:10" x14ac:dyDescent="0.2">
      <c r="G750" s="14"/>
      <c r="H750" s="14"/>
      <c r="I750" s="14"/>
      <c r="J750" s="14"/>
    </row>
    <row r="751" spans="7:10" x14ac:dyDescent="0.2">
      <c r="G751" s="14"/>
      <c r="H751" s="14"/>
      <c r="I751" s="14"/>
      <c r="J751" s="14"/>
    </row>
    <row r="752" spans="7:10" x14ac:dyDescent="0.2">
      <c r="G752" s="14"/>
      <c r="H752" s="14"/>
      <c r="I752" s="14"/>
      <c r="J752" s="14"/>
    </row>
    <row r="753" spans="7:10" x14ac:dyDescent="0.2">
      <c r="G753" s="14"/>
      <c r="H753" s="14"/>
      <c r="I753" s="14"/>
      <c r="J753" s="14"/>
    </row>
    <row r="754" spans="7:10" x14ac:dyDescent="0.2">
      <c r="G754" s="14"/>
      <c r="H754" s="14"/>
      <c r="I754" s="14"/>
      <c r="J754" s="14"/>
    </row>
    <row r="755" spans="7:10" x14ac:dyDescent="0.2">
      <c r="G755" s="14"/>
      <c r="H755" s="14"/>
      <c r="I755" s="14"/>
      <c r="J755" s="14"/>
    </row>
    <row r="756" spans="7:10" x14ac:dyDescent="0.2">
      <c r="G756" s="14"/>
      <c r="H756" s="14"/>
      <c r="I756" s="14"/>
      <c r="J756" s="14"/>
    </row>
    <row r="757" spans="7:10" x14ac:dyDescent="0.2">
      <c r="G757" s="14"/>
      <c r="H757" s="14"/>
      <c r="I757" s="14"/>
      <c r="J757" s="14"/>
    </row>
    <row r="758" spans="7:10" x14ac:dyDescent="0.2">
      <c r="G758" s="14"/>
      <c r="H758" s="14"/>
      <c r="I758" s="14"/>
      <c r="J758" s="14"/>
    </row>
    <row r="759" spans="7:10" x14ac:dyDescent="0.2">
      <c r="G759" s="14"/>
      <c r="H759" s="14"/>
      <c r="I759" s="14"/>
      <c r="J759" s="14"/>
    </row>
    <row r="760" spans="7:10" x14ac:dyDescent="0.2">
      <c r="G760" s="14"/>
      <c r="H760" s="14"/>
      <c r="I760" s="14"/>
      <c r="J760" s="14"/>
    </row>
    <row r="761" spans="7:10" x14ac:dyDescent="0.2">
      <c r="G761" s="14"/>
      <c r="H761" s="14"/>
      <c r="I761" s="14"/>
      <c r="J761" s="14"/>
    </row>
    <row r="762" spans="7:10" x14ac:dyDescent="0.2">
      <c r="G762" s="14"/>
      <c r="H762" s="14"/>
      <c r="I762" s="14"/>
      <c r="J762" s="14"/>
    </row>
    <row r="763" spans="7:10" x14ac:dyDescent="0.2">
      <c r="G763" s="14"/>
      <c r="H763" s="14"/>
      <c r="I763" s="14"/>
      <c r="J763" s="14"/>
    </row>
    <row r="764" spans="7:10" x14ac:dyDescent="0.2">
      <c r="G764" s="14"/>
      <c r="H764" s="14"/>
      <c r="I764" s="14"/>
      <c r="J764" s="14"/>
    </row>
    <row r="765" spans="7:10" x14ac:dyDescent="0.2">
      <c r="G765" s="14"/>
      <c r="H765" s="14"/>
      <c r="I765" s="14"/>
      <c r="J765" s="14"/>
    </row>
    <row r="766" spans="7:10" x14ac:dyDescent="0.2">
      <c r="G766" s="14"/>
      <c r="H766" s="14"/>
      <c r="I766" s="14"/>
      <c r="J766" s="14"/>
    </row>
    <row r="767" spans="7:10" x14ac:dyDescent="0.2">
      <c r="G767" s="14"/>
      <c r="H767" s="14"/>
      <c r="I767" s="14"/>
      <c r="J767" s="14"/>
    </row>
    <row r="768" spans="7:10" x14ac:dyDescent="0.2">
      <c r="G768" s="14"/>
      <c r="H768" s="14"/>
      <c r="I768" s="14"/>
      <c r="J768" s="14"/>
    </row>
    <row r="769" spans="7:10" x14ac:dyDescent="0.2">
      <c r="G769" s="14"/>
      <c r="H769" s="14"/>
      <c r="I769" s="14"/>
      <c r="J769" s="14"/>
    </row>
    <row r="770" spans="7:10" x14ac:dyDescent="0.2">
      <c r="G770" s="14"/>
      <c r="H770" s="14"/>
      <c r="I770" s="14"/>
      <c r="J770" s="14"/>
    </row>
    <row r="771" spans="7:10" x14ac:dyDescent="0.2">
      <c r="G771" s="14"/>
      <c r="H771" s="14"/>
      <c r="I771" s="14"/>
      <c r="J771" s="14"/>
    </row>
    <row r="772" spans="7:10" x14ac:dyDescent="0.2">
      <c r="G772" s="14"/>
      <c r="H772" s="14"/>
      <c r="I772" s="14"/>
      <c r="J772" s="14"/>
    </row>
    <row r="773" spans="7:10" x14ac:dyDescent="0.2">
      <c r="G773" s="14"/>
      <c r="H773" s="14"/>
      <c r="I773" s="14"/>
      <c r="J773" s="14"/>
    </row>
    <row r="774" spans="7:10" x14ac:dyDescent="0.2">
      <c r="G774" s="14"/>
      <c r="H774" s="14"/>
      <c r="I774" s="14"/>
      <c r="J774" s="14"/>
    </row>
    <row r="775" spans="7:10" x14ac:dyDescent="0.2">
      <c r="G775" s="14"/>
      <c r="H775" s="14"/>
      <c r="I775" s="14"/>
      <c r="J775" s="14"/>
    </row>
    <row r="776" spans="7:10" x14ac:dyDescent="0.2">
      <c r="G776" s="14"/>
      <c r="H776" s="14"/>
      <c r="I776" s="14"/>
      <c r="J776" s="14"/>
    </row>
    <row r="777" spans="7:10" x14ac:dyDescent="0.2">
      <c r="G777" s="14"/>
      <c r="H777" s="14"/>
      <c r="I777" s="14"/>
      <c r="J777" s="14"/>
    </row>
    <row r="778" spans="7:10" x14ac:dyDescent="0.2">
      <c r="G778" s="14"/>
      <c r="H778" s="14"/>
      <c r="I778" s="14"/>
      <c r="J778" s="14"/>
    </row>
    <row r="779" spans="7:10" x14ac:dyDescent="0.2">
      <c r="G779" s="14"/>
      <c r="H779" s="14"/>
      <c r="I779" s="14"/>
      <c r="J779" s="14"/>
    </row>
    <row r="780" spans="7:10" x14ac:dyDescent="0.2">
      <c r="G780" s="14"/>
      <c r="H780" s="14"/>
      <c r="I780" s="14"/>
      <c r="J780" s="14"/>
    </row>
    <row r="781" spans="7:10" x14ac:dyDescent="0.2">
      <c r="G781" s="14"/>
      <c r="H781" s="14"/>
      <c r="I781" s="14"/>
      <c r="J781" s="14"/>
    </row>
    <row r="782" spans="7:10" x14ac:dyDescent="0.2">
      <c r="G782" s="14"/>
      <c r="H782" s="14"/>
      <c r="I782" s="14"/>
      <c r="J782" s="14"/>
    </row>
    <row r="783" spans="7:10" x14ac:dyDescent="0.2">
      <c r="G783" s="14"/>
      <c r="H783" s="14"/>
      <c r="I783" s="14"/>
    </row>
    <row r="784" spans="7:10" x14ac:dyDescent="0.2">
      <c r="G784" s="14"/>
      <c r="H784" s="14"/>
      <c r="I784" s="14"/>
    </row>
    <row r="785" spans="7:9" x14ac:dyDescent="0.2">
      <c r="G785" s="14"/>
      <c r="H785" s="14"/>
      <c r="I785" s="14"/>
    </row>
    <row r="786" spans="7:9" x14ac:dyDescent="0.2">
      <c r="G786" s="14"/>
      <c r="H786" s="14"/>
      <c r="I786" s="14"/>
    </row>
    <row r="787" spans="7:9" x14ac:dyDescent="0.2">
      <c r="G787" s="14"/>
      <c r="H787" s="14"/>
      <c r="I787" s="14"/>
    </row>
    <row r="788" spans="7:9" x14ac:dyDescent="0.2">
      <c r="G788" s="14"/>
      <c r="H788" s="14"/>
      <c r="I788" s="14"/>
    </row>
    <row r="789" spans="7:9" x14ac:dyDescent="0.2">
      <c r="G789" s="14"/>
      <c r="H789" s="14"/>
      <c r="I789" s="14"/>
    </row>
    <row r="790" spans="7:9" x14ac:dyDescent="0.2">
      <c r="G790" s="14"/>
      <c r="H790" s="14"/>
      <c r="I790" s="14"/>
    </row>
    <row r="791" spans="7:9" x14ac:dyDescent="0.2">
      <c r="G791" s="14"/>
      <c r="H791" s="14"/>
      <c r="I791" s="14"/>
    </row>
    <row r="792" spans="7:9" x14ac:dyDescent="0.2">
      <c r="G792" s="14"/>
      <c r="H792" s="14"/>
      <c r="I792" s="14"/>
    </row>
    <row r="793" spans="7:9" x14ac:dyDescent="0.2">
      <c r="G793" s="14"/>
      <c r="H793" s="14"/>
      <c r="I793" s="14"/>
    </row>
    <row r="794" spans="7:9" x14ac:dyDescent="0.2">
      <c r="G794" s="14"/>
      <c r="H794" s="14"/>
      <c r="I794" s="14"/>
    </row>
    <row r="795" spans="7:9" x14ac:dyDescent="0.2">
      <c r="G795" s="14"/>
      <c r="H795" s="14"/>
      <c r="I795" s="14"/>
    </row>
    <row r="796" spans="7:9" x14ac:dyDescent="0.2">
      <c r="G796" s="14"/>
      <c r="H796" s="14"/>
      <c r="I796" s="14"/>
    </row>
    <row r="797" spans="7:9" x14ac:dyDescent="0.2">
      <c r="G797" s="14"/>
      <c r="H797" s="14"/>
      <c r="I797" s="14"/>
    </row>
    <row r="798" spans="7:9" x14ac:dyDescent="0.2">
      <c r="G798" s="14"/>
      <c r="H798" s="14"/>
      <c r="I798" s="14"/>
    </row>
    <row r="799" spans="7:9" x14ac:dyDescent="0.2">
      <c r="G799" s="14"/>
      <c r="H799" s="14"/>
      <c r="I799" s="14"/>
    </row>
    <row r="800" spans="7:9" x14ac:dyDescent="0.2">
      <c r="G800" s="14"/>
      <c r="H800" s="14"/>
      <c r="I800" s="14"/>
    </row>
    <row r="801" spans="7:9" x14ac:dyDescent="0.2">
      <c r="G801" s="14"/>
      <c r="H801" s="14"/>
      <c r="I801" s="14"/>
    </row>
    <row r="802" spans="7:9" x14ac:dyDescent="0.2">
      <c r="G802" s="14"/>
      <c r="H802" s="14"/>
      <c r="I802" s="14"/>
    </row>
    <row r="803" spans="7:9" x14ac:dyDescent="0.2">
      <c r="G803" s="14"/>
      <c r="H803" s="14"/>
      <c r="I803" s="14"/>
    </row>
    <row r="804" spans="7:9" x14ac:dyDescent="0.2">
      <c r="G804" s="14"/>
      <c r="H804" s="14"/>
      <c r="I804" s="14"/>
    </row>
    <row r="805" spans="7:9" x14ac:dyDescent="0.2">
      <c r="G805" s="14"/>
      <c r="H805" s="14"/>
      <c r="I805" s="14"/>
    </row>
    <row r="806" spans="7:9" x14ac:dyDescent="0.2">
      <c r="G806" s="14"/>
      <c r="H806" s="14"/>
      <c r="I806" s="14"/>
    </row>
    <row r="807" spans="7:9" x14ac:dyDescent="0.2">
      <c r="G807" s="14"/>
      <c r="H807" s="14"/>
      <c r="I807" s="14"/>
    </row>
    <row r="808" spans="7:9" x14ac:dyDescent="0.2">
      <c r="G808" s="14"/>
      <c r="H808" s="14"/>
      <c r="I808" s="14"/>
    </row>
    <row r="809" spans="7:9" x14ac:dyDescent="0.2">
      <c r="G809" s="14"/>
      <c r="H809" s="14"/>
      <c r="I809" s="14"/>
    </row>
    <row r="810" spans="7:9" x14ac:dyDescent="0.2">
      <c r="G810" s="14"/>
      <c r="H810" s="14"/>
      <c r="I810" s="14"/>
    </row>
  </sheetData>
  <phoneticPr fontId="5" type="noConversion"/>
  <pageMargins left="0.75" right="0.75" top="1" bottom="1" header="0.5" footer="0.5"/>
  <pageSetup orientation="portrait" r:id="rId7"/>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499984740745262"/>
  </sheetPr>
  <dimension ref="A1:R124"/>
  <sheetViews>
    <sheetView zoomScaleNormal="100" workbookViewId="0"/>
  </sheetViews>
  <sheetFormatPr defaultColWidth="8.85546875" defaultRowHeight="12.75" x14ac:dyDescent="0.2"/>
  <cols>
    <col min="1" max="1" width="15.28515625" style="3" customWidth="1"/>
    <col min="2" max="10" width="11.42578125" customWidth="1"/>
    <col min="11" max="11" width="10.5703125" customWidth="1"/>
    <col min="12" max="12" width="11.140625" customWidth="1"/>
    <col min="13" max="18" width="13.140625" customWidth="1"/>
  </cols>
  <sheetData>
    <row r="1" spans="1:18" x14ac:dyDescent="0.2">
      <c r="A1" s="31" t="s">
        <v>116</v>
      </c>
    </row>
    <row r="2" spans="1:18" x14ac:dyDescent="0.2">
      <c r="A2" s="30" t="s">
        <v>117</v>
      </c>
    </row>
    <row r="4" spans="1:18" x14ac:dyDescent="0.2">
      <c r="A4" s="230" t="s">
        <v>149</v>
      </c>
      <c r="B4" s="228" t="s">
        <v>141</v>
      </c>
      <c r="C4" s="260" t="s">
        <v>160</v>
      </c>
      <c r="D4" s="255"/>
      <c r="E4" s="255"/>
      <c r="F4" s="255"/>
      <c r="G4" s="255"/>
      <c r="H4" s="255"/>
      <c r="I4" s="255"/>
      <c r="J4" s="255"/>
      <c r="K4" s="311"/>
    </row>
    <row r="5" spans="1:18" x14ac:dyDescent="0.2">
      <c r="A5" s="98"/>
      <c r="B5" s="229" t="s">
        <v>2</v>
      </c>
      <c r="C5" s="229" t="s">
        <v>177</v>
      </c>
      <c r="D5" s="255"/>
      <c r="E5" s="229" t="s">
        <v>8</v>
      </c>
      <c r="F5" s="255"/>
      <c r="G5" s="229" t="s">
        <v>71</v>
      </c>
      <c r="H5" s="229" t="s">
        <v>70</v>
      </c>
      <c r="I5" s="229" t="s">
        <v>72</v>
      </c>
      <c r="J5" s="255"/>
      <c r="K5" s="231" t="s">
        <v>12</v>
      </c>
    </row>
    <row r="6" spans="1:18" x14ac:dyDescent="0.2">
      <c r="A6" s="228" t="s">
        <v>3</v>
      </c>
      <c r="B6" s="229" t="s">
        <v>306</v>
      </c>
      <c r="C6" s="229" t="s">
        <v>306</v>
      </c>
      <c r="D6" s="265" t="s">
        <v>0</v>
      </c>
      <c r="E6" s="229" t="s">
        <v>306</v>
      </c>
      <c r="F6" s="265" t="s">
        <v>0</v>
      </c>
      <c r="G6" s="229" t="s">
        <v>306</v>
      </c>
      <c r="H6" s="229" t="s">
        <v>306</v>
      </c>
      <c r="I6" s="229" t="s">
        <v>306</v>
      </c>
      <c r="J6" s="265" t="s">
        <v>0</v>
      </c>
      <c r="K6" s="97"/>
    </row>
    <row r="7" spans="1:18" x14ac:dyDescent="0.2">
      <c r="A7" s="239">
        <v>41801</v>
      </c>
      <c r="B7" s="240">
        <v>2</v>
      </c>
      <c r="C7" s="240"/>
      <c r="D7" s="266"/>
      <c r="E7" s="240"/>
      <c r="F7" s="266"/>
      <c r="G7" s="240"/>
      <c r="H7" s="240"/>
      <c r="I7" s="240"/>
      <c r="J7" s="266"/>
      <c r="K7" s="292">
        <v>2</v>
      </c>
    </row>
    <row r="8" spans="1:18" ht="13.5" thickBot="1" x14ac:dyDescent="0.25">
      <c r="A8" s="261">
        <v>41802</v>
      </c>
      <c r="B8" s="242">
        <v>2</v>
      </c>
      <c r="C8" s="242"/>
      <c r="D8" s="267"/>
      <c r="E8" s="242"/>
      <c r="F8" s="267"/>
      <c r="G8" s="242"/>
      <c r="H8" s="242"/>
      <c r="I8" s="242"/>
      <c r="J8" s="267"/>
      <c r="K8" s="293">
        <v>2</v>
      </c>
      <c r="L8" s="95" t="s">
        <v>172</v>
      </c>
      <c r="M8" s="96"/>
      <c r="N8" s="96"/>
      <c r="O8" s="96"/>
      <c r="P8" s="96"/>
      <c r="Q8" s="96"/>
      <c r="R8" s="96"/>
    </row>
    <row r="9" spans="1:18" x14ac:dyDescent="0.2">
      <c r="A9" s="261">
        <v>41803</v>
      </c>
      <c r="B9" s="242">
        <v>5</v>
      </c>
      <c r="C9" s="242"/>
      <c r="D9" s="267">
        <v>1</v>
      </c>
      <c r="E9" s="242"/>
      <c r="F9" s="267"/>
      <c r="G9" s="242"/>
      <c r="H9" s="242"/>
      <c r="I9" s="242"/>
      <c r="J9" s="267"/>
      <c r="K9" s="293">
        <v>6</v>
      </c>
      <c r="M9" s="12" t="s">
        <v>2</v>
      </c>
      <c r="N9" s="12" t="s">
        <v>173</v>
      </c>
      <c r="O9" s="12" t="s">
        <v>8</v>
      </c>
      <c r="P9" s="12" t="s">
        <v>70</v>
      </c>
      <c r="Q9" s="12" t="s">
        <v>71</v>
      </c>
      <c r="R9" s="12" t="s">
        <v>72</v>
      </c>
    </row>
    <row r="10" spans="1:18" x14ac:dyDescent="0.2">
      <c r="A10" s="261">
        <v>41804</v>
      </c>
      <c r="B10" s="242">
        <v>10</v>
      </c>
      <c r="C10" s="242"/>
      <c r="D10" s="267"/>
      <c r="E10" s="242"/>
      <c r="F10" s="267"/>
      <c r="G10" s="242"/>
      <c r="H10" s="242"/>
      <c r="I10" s="242"/>
      <c r="J10" s="267"/>
      <c r="K10" s="293">
        <v>10</v>
      </c>
      <c r="L10" s="15" t="s">
        <v>170</v>
      </c>
      <c r="M10">
        <f>GETPIVOTDATA("Sum of CNlgrad",SalmonPivot!$A$4)</f>
        <v>590</v>
      </c>
      <c r="N10">
        <f>GETPIVOTDATA("Sum of CNsmradio",SalmonPivot!$M$4)</f>
        <v>33</v>
      </c>
      <c r="O10">
        <f>GETPIVOTDATA("Sum of SOrad",SalmonPivot!$Y$4)</f>
        <v>200</v>
      </c>
      <c r="P10">
        <f>GETPIVOTDATA("Sum of PKrad",SalmonPivot!$AK$4)</f>
        <v>200</v>
      </c>
      <c r="Q10">
        <f>GETPIVOTDATA("Sum of CMrad",SalmonPivot!$AW$4)</f>
        <v>200</v>
      </c>
      <c r="R10">
        <f>GETPIVOTDATA("Sum of COrad",SalmonPivot!$BI$4)</f>
        <v>212</v>
      </c>
    </row>
    <row r="11" spans="1:18" x14ac:dyDescent="0.2">
      <c r="A11" s="261">
        <v>41805</v>
      </c>
      <c r="B11" s="242">
        <v>3</v>
      </c>
      <c r="C11" s="242"/>
      <c r="D11" s="267"/>
      <c r="E11" s="242"/>
      <c r="F11" s="267"/>
      <c r="G11" s="242"/>
      <c r="H11" s="242"/>
      <c r="I11" s="242"/>
      <c r="J11" s="267"/>
      <c r="K11" s="293">
        <v>3</v>
      </c>
      <c r="L11" s="93" t="s">
        <v>171</v>
      </c>
      <c r="M11" s="94">
        <f>IFERROR(GETPIVOTDATA("Channel",$A$4,"Species",M9,"Life Stage","Adult"),0)</f>
        <v>590</v>
      </c>
      <c r="N11" s="94">
        <f>IFERROR(GETPIVOTDATA("Channel",$A$4,"Species","CNj","Life Stage","Jack"),0)</f>
        <v>33</v>
      </c>
      <c r="O11" s="94">
        <f>IFERROR(GETPIVOTDATA("Channel",$A$4,"Species",O9,"Life Stage","Adult"),0)</f>
        <v>200</v>
      </c>
      <c r="P11" s="94">
        <f>IFERROR(GETPIVOTDATA("Channel",$A$4,"Species",P9,"Life Stage","Adult"),0)</f>
        <v>200</v>
      </c>
      <c r="Q11" s="94">
        <f>IFERROR(GETPIVOTDATA("Channel",$A$4,"Species",Q9,"Life Stage","Adult"),0)</f>
        <v>200</v>
      </c>
      <c r="R11" s="94">
        <f>IFERROR(GETPIVOTDATA("Channel",$A$4,"Species",R9,"Life Stage","Adult"),0)</f>
        <v>212</v>
      </c>
    </row>
    <row r="12" spans="1:18" x14ac:dyDescent="0.2">
      <c r="A12" s="261">
        <v>41806</v>
      </c>
      <c r="B12" s="242">
        <v>4</v>
      </c>
      <c r="C12" s="242"/>
      <c r="D12" s="267"/>
      <c r="E12" s="242"/>
      <c r="F12" s="267"/>
      <c r="G12" s="242"/>
      <c r="H12" s="242"/>
      <c r="I12" s="242"/>
      <c r="J12" s="267"/>
      <c r="K12" s="293">
        <v>4</v>
      </c>
      <c r="M12" s="29" t="str">
        <f t="shared" ref="M12:R12" si="0">IF(M10=M11,"ok","CHECK DATA")</f>
        <v>ok</v>
      </c>
      <c r="N12" s="29" t="str">
        <f t="shared" si="0"/>
        <v>ok</v>
      </c>
      <c r="O12" s="29" t="str">
        <f t="shared" si="0"/>
        <v>ok</v>
      </c>
      <c r="P12" s="29" t="str">
        <f t="shared" si="0"/>
        <v>ok</v>
      </c>
      <c r="Q12" s="29" t="str">
        <f t="shared" si="0"/>
        <v>ok</v>
      </c>
      <c r="R12" s="29" t="str">
        <f t="shared" si="0"/>
        <v>ok</v>
      </c>
    </row>
    <row r="13" spans="1:18" x14ac:dyDescent="0.2">
      <c r="A13" s="261">
        <v>41807</v>
      </c>
      <c r="B13" s="242">
        <v>18</v>
      </c>
      <c r="C13" s="242"/>
      <c r="D13" s="267"/>
      <c r="E13" s="242"/>
      <c r="F13" s="267"/>
      <c r="G13" s="242"/>
      <c r="H13" s="242"/>
      <c r="I13" s="242"/>
      <c r="J13" s="267"/>
      <c r="K13" s="293">
        <v>18</v>
      </c>
    </row>
    <row r="14" spans="1:18" x14ac:dyDescent="0.2">
      <c r="A14" s="261">
        <v>41808</v>
      </c>
      <c r="B14" s="242">
        <v>18</v>
      </c>
      <c r="C14" s="242"/>
      <c r="D14" s="267"/>
      <c r="E14" s="242"/>
      <c r="F14" s="267"/>
      <c r="G14" s="242"/>
      <c r="H14" s="242"/>
      <c r="I14" s="242"/>
      <c r="J14" s="267"/>
      <c r="K14" s="293">
        <v>18</v>
      </c>
    </row>
    <row r="15" spans="1:18" x14ac:dyDescent="0.2">
      <c r="A15" s="261">
        <v>41809</v>
      </c>
      <c r="B15" s="242">
        <v>8</v>
      </c>
      <c r="C15" s="242"/>
      <c r="D15" s="267"/>
      <c r="E15" s="242"/>
      <c r="F15" s="267"/>
      <c r="G15" s="242"/>
      <c r="H15" s="242"/>
      <c r="I15" s="242"/>
      <c r="J15" s="267"/>
      <c r="K15" s="293">
        <v>8</v>
      </c>
    </row>
    <row r="16" spans="1:18" x14ac:dyDescent="0.2">
      <c r="A16" s="261">
        <v>41810</v>
      </c>
      <c r="B16" s="242">
        <v>16</v>
      </c>
      <c r="C16" s="242"/>
      <c r="D16" s="267">
        <v>1</v>
      </c>
      <c r="E16" s="242"/>
      <c r="F16" s="267"/>
      <c r="G16" s="242"/>
      <c r="H16" s="242"/>
      <c r="I16" s="242"/>
      <c r="J16" s="267"/>
      <c r="K16" s="293">
        <v>17</v>
      </c>
    </row>
    <row r="17" spans="1:11" x14ac:dyDescent="0.2">
      <c r="A17" s="261">
        <v>41811</v>
      </c>
      <c r="B17" s="242">
        <v>21</v>
      </c>
      <c r="C17" s="242"/>
      <c r="D17" s="267">
        <v>2</v>
      </c>
      <c r="E17" s="242"/>
      <c r="F17" s="267"/>
      <c r="G17" s="242"/>
      <c r="H17" s="242"/>
      <c r="I17" s="242"/>
      <c r="J17" s="267"/>
      <c r="K17" s="293">
        <v>23</v>
      </c>
    </row>
    <row r="18" spans="1:11" x14ac:dyDescent="0.2">
      <c r="A18" s="261">
        <v>41812</v>
      </c>
      <c r="B18" s="242">
        <v>15</v>
      </c>
      <c r="C18" s="242"/>
      <c r="D18" s="267">
        <v>1</v>
      </c>
      <c r="E18" s="242"/>
      <c r="F18" s="267"/>
      <c r="G18" s="242"/>
      <c r="H18" s="242"/>
      <c r="I18" s="242"/>
      <c r="J18" s="267"/>
      <c r="K18" s="293">
        <v>16</v>
      </c>
    </row>
    <row r="19" spans="1:11" x14ac:dyDescent="0.2">
      <c r="A19" s="261">
        <v>41813</v>
      </c>
      <c r="B19" s="242">
        <v>13</v>
      </c>
      <c r="C19" s="242"/>
      <c r="D19" s="267"/>
      <c r="E19" s="242"/>
      <c r="F19" s="267"/>
      <c r="G19" s="242"/>
      <c r="H19" s="242"/>
      <c r="I19" s="242"/>
      <c r="J19" s="267"/>
      <c r="K19" s="293">
        <v>13</v>
      </c>
    </row>
    <row r="20" spans="1:11" x14ac:dyDescent="0.2">
      <c r="A20" s="261">
        <v>41814</v>
      </c>
      <c r="B20" s="242">
        <v>20</v>
      </c>
      <c r="C20" s="242"/>
      <c r="D20" s="267"/>
      <c r="E20" s="242"/>
      <c r="F20" s="267"/>
      <c r="G20" s="242"/>
      <c r="H20" s="242"/>
      <c r="I20" s="242"/>
      <c r="J20" s="267"/>
      <c r="K20" s="293">
        <v>20</v>
      </c>
    </row>
    <row r="21" spans="1:11" x14ac:dyDescent="0.2">
      <c r="A21" s="261">
        <v>41815</v>
      </c>
      <c r="B21" s="242">
        <v>18</v>
      </c>
      <c r="C21" s="242"/>
      <c r="D21" s="267"/>
      <c r="E21" s="242"/>
      <c r="F21" s="267"/>
      <c r="G21" s="242"/>
      <c r="H21" s="242"/>
      <c r="I21" s="242"/>
      <c r="J21" s="267"/>
      <c r="K21" s="293">
        <v>18</v>
      </c>
    </row>
    <row r="22" spans="1:11" x14ac:dyDescent="0.2">
      <c r="A22" s="261">
        <v>41818</v>
      </c>
      <c r="B22" s="242">
        <v>7</v>
      </c>
      <c r="C22" s="242"/>
      <c r="D22" s="267"/>
      <c r="E22" s="242"/>
      <c r="F22" s="267"/>
      <c r="G22" s="242"/>
      <c r="H22" s="242"/>
      <c r="I22" s="242"/>
      <c r="J22" s="267"/>
      <c r="K22" s="293">
        <v>7</v>
      </c>
    </row>
    <row r="23" spans="1:11" x14ac:dyDescent="0.2">
      <c r="A23" s="261">
        <v>41819</v>
      </c>
      <c r="B23" s="242">
        <v>26</v>
      </c>
      <c r="C23" s="242"/>
      <c r="D23" s="267">
        <v>2</v>
      </c>
      <c r="E23" s="242"/>
      <c r="F23" s="267"/>
      <c r="G23" s="242"/>
      <c r="H23" s="242"/>
      <c r="I23" s="242"/>
      <c r="J23" s="267"/>
      <c r="K23" s="293">
        <v>28</v>
      </c>
    </row>
    <row r="24" spans="1:11" x14ac:dyDescent="0.2">
      <c r="A24" s="261">
        <v>41820</v>
      </c>
      <c r="B24" s="242">
        <v>45</v>
      </c>
      <c r="C24" s="242"/>
      <c r="D24" s="267">
        <v>3</v>
      </c>
      <c r="E24" s="242">
        <v>1</v>
      </c>
      <c r="F24" s="267"/>
      <c r="G24" s="242"/>
      <c r="H24" s="242"/>
      <c r="I24" s="242"/>
      <c r="J24" s="267"/>
      <c r="K24" s="293">
        <v>49</v>
      </c>
    </row>
    <row r="25" spans="1:11" x14ac:dyDescent="0.2">
      <c r="A25" s="261">
        <v>41821</v>
      </c>
      <c r="B25" s="242">
        <v>51</v>
      </c>
      <c r="C25" s="242"/>
      <c r="D25" s="267">
        <v>3</v>
      </c>
      <c r="E25" s="242"/>
      <c r="F25" s="267"/>
      <c r="G25" s="242"/>
      <c r="H25" s="242"/>
      <c r="I25" s="242"/>
      <c r="J25" s="267"/>
      <c r="K25" s="293">
        <v>54</v>
      </c>
    </row>
    <row r="26" spans="1:11" x14ac:dyDescent="0.2">
      <c r="A26" s="261">
        <v>41822</v>
      </c>
      <c r="B26" s="242">
        <v>23</v>
      </c>
      <c r="C26" s="242"/>
      <c r="D26" s="267">
        <v>3</v>
      </c>
      <c r="E26" s="242"/>
      <c r="F26" s="267"/>
      <c r="G26" s="242"/>
      <c r="H26" s="242"/>
      <c r="I26" s="242"/>
      <c r="J26" s="267"/>
      <c r="K26" s="293">
        <v>26</v>
      </c>
    </row>
    <row r="27" spans="1:11" x14ac:dyDescent="0.2">
      <c r="A27" s="261">
        <v>41823</v>
      </c>
      <c r="B27" s="242">
        <v>14</v>
      </c>
      <c r="C27" s="242"/>
      <c r="D27" s="267"/>
      <c r="E27" s="242">
        <v>1</v>
      </c>
      <c r="F27" s="267"/>
      <c r="G27" s="242"/>
      <c r="H27" s="242"/>
      <c r="I27" s="242"/>
      <c r="J27" s="267"/>
      <c r="K27" s="293">
        <v>15</v>
      </c>
    </row>
    <row r="28" spans="1:11" x14ac:dyDescent="0.2">
      <c r="A28" s="261">
        <v>41824</v>
      </c>
      <c r="B28" s="242">
        <v>28</v>
      </c>
      <c r="C28" s="242"/>
      <c r="D28" s="267">
        <v>2</v>
      </c>
      <c r="E28" s="242"/>
      <c r="F28" s="267"/>
      <c r="G28" s="242"/>
      <c r="H28" s="242"/>
      <c r="I28" s="242"/>
      <c r="J28" s="267"/>
      <c r="K28" s="293">
        <v>30</v>
      </c>
    </row>
    <row r="29" spans="1:11" x14ac:dyDescent="0.2">
      <c r="A29" s="261">
        <v>41825</v>
      </c>
      <c r="B29" s="242">
        <v>36</v>
      </c>
      <c r="C29" s="242"/>
      <c r="D29" s="267">
        <v>3</v>
      </c>
      <c r="E29" s="242"/>
      <c r="F29" s="267"/>
      <c r="G29" s="242">
        <v>1</v>
      </c>
      <c r="H29" s="242"/>
      <c r="I29" s="242"/>
      <c r="J29" s="267"/>
      <c r="K29" s="293">
        <v>40</v>
      </c>
    </row>
    <row r="30" spans="1:11" x14ac:dyDescent="0.2">
      <c r="A30" s="261">
        <v>41826</v>
      </c>
      <c r="B30" s="242">
        <v>31</v>
      </c>
      <c r="C30" s="242"/>
      <c r="D30" s="267">
        <v>2</v>
      </c>
      <c r="E30" s="242">
        <v>2</v>
      </c>
      <c r="F30" s="267"/>
      <c r="G30" s="242"/>
      <c r="H30" s="242"/>
      <c r="I30" s="242"/>
      <c r="J30" s="267"/>
      <c r="K30" s="293">
        <v>35</v>
      </c>
    </row>
    <row r="31" spans="1:11" x14ac:dyDescent="0.2">
      <c r="A31" s="261">
        <v>41827</v>
      </c>
      <c r="B31" s="242">
        <v>25</v>
      </c>
      <c r="C31" s="242"/>
      <c r="D31" s="267"/>
      <c r="E31" s="242">
        <v>1</v>
      </c>
      <c r="F31" s="267"/>
      <c r="G31" s="242"/>
      <c r="H31" s="242"/>
      <c r="I31" s="242"/>
      <c r="J31" s="267"/>
      <c r="K31" s="293">
        <v>26</v>
      </c>
    </row>
    <row r="32" spans="1:11" x14ac:dyDescent="0.2">
      <c r="A32" s="261">
        <v>41828</v>
      </c>
      <c r="B32" s="242">
        <v>10</v>
      </c>
      <c r="C32" s="242"/>
      <c r="D32" s="267"/>
      <c r="E32" s="242"/>
      <c r="F32" s="267"/>
      <c r="G32" s="242"/>
      <c r="H32" s="242"/>
      <c r="I32" s="242"/>
      <c r="J32" s="267"/>
      <c r="K32" s="293">
        <v>10</v>
      </c>
    </row>
    <row r="33" spans="1:11" x14ac:dyDescent="0.2">
      <c r="A33" s="261">
        <v>41829</v>
      </c>
      <c r="B33" s="242">
        <v>19</v>
      </c>
      <c r="C33" s="242"/>
      <c r="D33" s="267"/>
      <c r="E33" s="242"/>
      <c r="F33" s="267"/>
      <c r="G33" s="242"/>
      <c r="H33" s="242"/>
      <c r="I33" s="242"/>
      <c r="J33" s="267"/>
      <c r="K33" s="293">
        <v>19</v>
      </c>
    </row>
    <row r="34" spans="1:11" x14ac:dyDescent="0.2">
      <c r="A34" s="261">
        <v>41830</v>
      </c>
      <c r="B34" s="242">
        <v>14</v>
      </c>
      <c r="C34" s="242"/>
      <c r="D34" s="267"/>
      <c r="E34" s="242">
        <v>1</v>
      </c>
      <c r="F34" s="267"/>
      <c r="G34" s="242"/>
      <c r="H34" s="242"/>
      <c r="I34" s="242"/>
      <c r="J34" s="267"/>
      <c r="K34" s="293">
        <v>15</v>
      </c>
    </row>
    <row r="35" spans="1:11" x14ac:dyDescent="0.2">
      <c r="A35" s="261">
        <v>41831</v>
      </c>
      <c r="B35" s="242">
        <v>13</v>
      </c>
      <c r="C35" s="242"/>
      <c r="D35" s="267">
        <v>1</v>
      </c>
      <c r="E35" s="242">
        <v>1</v>
      </c>
      <c r="F35" s="267"/>
      <c r="G35" s="242"/>
      <c r="H35" s="242"/>
      <c r="I35" s="242"/>
      <c r="J35" s="267"/>
      <c r="K35" s="293">
        <v>15</v>
      </c>
    </row>
    <row r="36" spans="1:11" x14ac:dyDescent="0.2">
      <c r="A36" s="261">
        <v>41832</v>
      </c>
      <c r="B36" s="242">
        <v>7</v>
      </c>
      <c r="C36" s="242"/>
      <c r="D36" s="267"/>
      <c r="E36" s="242">
        <v>1</v>
      </c>
      <c r="F36" s="267"/>
      <c r="G36" s="242">
        <v>1</v>
      </c>
      <c r="H36" s="242"/>
      <c r="I36" s="242"/>
      <c r="J36" s="267"/>
      <c r="K36" s="293">
        <v>9</v>
      </c>
    </row>
    <row r="37" spans="1:11" x14ac:dyDescent="0.2">
      <c r="A37" s="261">
        <v>41833</v>
      </c>
      <c r="B37" s="242">
        <v>11</v>
      </c>
      <c r="C37" s="242"/>
      <c r="D37" s="267"/>
      <c r="E37" s="242"/>
      <c r="F37" s="267"/>
      <c r="G37" s="242"/>
      <c r="H37" s="242"/>
      <c r="I37" s="242"/>
      <c r="J37" s="267"/>
      <c r="K37" s="293">
        <v>11</v>
      </c>
    </row>
    <row r="38" spans="1:11" x14ac:dyDescent="0.2">
      <c r="A38" s="261">
        <v>41834</v>
      </c>
      <c r="B38" s="242">
        <v>5</v>
      </c>
      <c r="C38" s="242"/>
      <c r="D38" s="267"/>
      <c r="E38" s="242">
        <v>1</v>
      </c>
      <c r="F38" s="267"/>
      <c r="G38" s="242">
        <v>1</v>
      </c>
      <c r="H38" s="242"/>
      <c r="I38" s="242"/>
      <c r="J38" s="267"/>
      <c r="K38" s="293">
        <v>7</v>
      </c>
    </row>
    <row r="39" spans="1:11" x14ac:dyDescent="0.2">
      <c r="A39" s="261">
        <v>41835</v>
      </c>
      <c r="B39" s="242">
        <v>9</v>
      </c>
      <c r="C39" s="242"/>
      <c r="D39" s="267">
        <v>1</v>
      </c>
      <c r="E39" s="242">
        <v>6</v>
      </c>
      <c r="F39" s="267"/>
      <c r="G39" s="242">
        <v>1</v>
      </c>
      <c r="H39" s="242"/>
      <c r="I39" s="242"/>
      <c r="J39" s="267"/>
      <c r="K39" s="293">
        <v>17</v>
      </c>
    </row>
    <row r="40" spans="1:11" x14ac:dyDescent="0.2">
      <c r="A40" s="261">
        <v>41836</v>
      </c>
      <c r="B40" s="242">
        <v>5</v>
      </c>
      <c r="C40" s="242"/>
      <c r="D40" s="267">
        <v>1</v>
      </c>
      <c r="E40" s="242">
        <v>1</v>
      </c>
      <c r="F40" s="267"/>
      <c r="G40" s="242">
        <v>1</v>
      </c>
      <c r="H40" s="242"/>
      <c r="I40" s="242"/>
      <c r="J40" s="267"/>
      <c r="K40" s="293">
        <v>8</v>
      </c>
    </row>
    <row r="41" spans="1:11" x14ac:dyDescent="0.2">
      <c r="A41" s="261">
        <v>41837</v>
      </c>
      <c r="B41" s="242">
        <v>6</v>
      </c>
      <c r="C41" s="242"/>
      <c r="D41" s="267"/>
      <c r="E41" s="242">
        <v>3</v>
      </c>
      <c r="F41" s="267"/>
      <c r="G41" s="242">
        <v>2</v>
      </c>
      <c r="H41" s="242">
        <v>1</v>
      </c>
      <c r="I41" s="242"/>
      <c r="J41" s="267"/>
      <c r="K41" s="293">
        <v>12</v>
      </c>
    </row>
    <row r="42" spans="1:11" x14ac:dyDescent="0.2">
      <c r="A42" s="261">
        <v>41838</v>
      </c>
      <c r="B42" s="242">
        <v>8</v>
      </c>
      <c r="C42" s="242"/>
      <c r="D42" s="267">
        <v>1</v>
      </c>
      <c r="E42" s="242">
        <v>4</v>
      </c>
      <c r="F42" s="267"/>
      <c r="G42" s="242"/>
      <c r="H42" s="242">
        <v>1</v>
      </c>
      <c r="I42" s="242"/>
      <c r="J42" s="267"/>
      <c r="K42" s="293">
        <v>14</v>
      </c>
    </row>
    <row r="43" spans="1:11" x14ac:dyDescent="0.2">
      <c r="A43" s="261">
        <v>41839</v>
      </c>
      <c r="B43" s="242">
        <v>4</v>
      </c>
      <c r="C43" s="242"/>
      <c r="D43" s="267">
        <v>1</v>
      </c>
      <c r="E43" s="242">
        <v>4</v>
      </c>
      <c r="F43" s="267"/>
      <c r="G43" s="242">
        <v>1</v>
      </c>
      <c r="H43" s="242">
        <v>1</v>
      </c>
      <c r="I43" s="242"/>
      <c r="J43" s="267"/>
      <c r="K43" s="293">
        <v>11</v>
      </c>
    </row>
    <row r="44" spans="1:11" x14ac:dyDescent="0.2">
      <c r="A44" s="261">
        <v>41840</v>
      </c>
      <c r="B44" s="242">
        <v>6</v>
      </c>
      <c r="C44" s="242"/>
      <c r="D44" s="267"/>
      <c r="E44" s="242">
        <v>2</v>
      </c>
      <c r="F44" s="267"/>
      <c r="G44" s="242">
        <v>2</v>
      </c>
      <c r="H44" s="242">
        <v>1</v>
      </c>
      <c r="I44" s="242"/>
      <c r="J44" s="267"/>
      <c r="K44" s="293">
        <v>11</v>
      </c>
    </row>
    <row r="45" spans="1:11" x14ac:dyDescent="0.2">
      <c r="A45" s="261">
        <v>41841</v>
      </c>
      <c r="B45" s="242">
        <v>4</v>
      </c>
      <c r="C45" s="242"/>
      <c r="D45" s="267">
        <v>1</v>
      </c>
      <c r="E45" s="242"/>
      <c r="F45" s="267"/>
      <c r="G45" s="242">
        <v>1</v>
      </c>
      <c r="H45" s="242">
        <v>2</v>
      </c>
      <c r="I45" s="242"/>
      <c r="J45" s="267"/>
      <c r="K45" s="293">
        <v>8</v>
      </c>
    </row>
    <row r="46" spans="1:11" x14ac:dyDescent="0.2">
      <c r="A46" s="261">
        <v>41842</v>
      </c>
      <c r="B46" s="242"/>
      <c r="C46" s="242"/>
      <c r="D46" s="267"/>
      <c r="E46" s="242">
        <v>8</v>
      </c>
      <c r="F46" s="267"/>
      <c r="G46" s="242">
        <v>2</v>
      </c>
      <c r="H46" s="242">
        <v>3</v>
      </c>
      <c r="I46" s="242">
        <v>1</v>
      </c>
      <c r="J46" s="267"/>
      <c r="K46" s="293">
        <v>14</v>
      </c>
    </row>
    <row r="47" spans="1:11" x14ac:dyDescent="0.2">
      <c r="A47" s="261">
        <v>41843</v>
      </c>
      <c r="B47" s="242">
        <v>3</v>
      </c>
      <c r="C47" s="242"/>
      <c r="D47" s="267"/>
      <c r="E47" s="242">
        <v>11</v>
      </c>
      <c r="F47" s="267"/>
      <c r="G47" s="242">
        <v>5</v>
      </c>
      <c r="H47" s="242">
        <v>5</v>
      </c>
      <c r="I47" s="242"/>
      <c r="J47" s="267"/>
      <c r="K47" s="293">
        <v>24</v>
      </c>
    </row>
    <row r="48" spans="1:11" x14ac:dyDescent="0.2">
      <c r="A48" s="261">
        <v>41844</v>
      </c>
      <c r="B48" s="242">
        <v>1</v>
      </c>
      <c r="C48" s="242"/>
      <c r="D48" s="267">
        <v>2</v>
      </c>
      <c r="E48" s="242">
        <v>5</v>
      </c>
      <c r="F48" s="267"/>
      <c r="G48" s="242">
        <v>6</v>
      </c>
      <c r="H48" s="242">
        <v>5</v>
      </c>
      <c r="I48" s="242"/>
      <c r="J48" s="267"/>
      <c r="K48" s="293">
        <v>19</v>
      </c>
    </row>
    <row r="49" spans="1:11" x14ac:dyDescent="0.2">
      <c r="A49" s="261">
        <v>41845</v>
      </c>
      <c r="B49" s="242">
        <v>2</v>
      </c>
      <c r="C49" s="242"/>
      <c r="D49" s="267"/>
      <c r="E49" s="242">
        <v>2</v>
      </c>
      <c r="F49" s="267"/>
      <c r="G49" s="242">
        <v>7</v>
      </c>
      <c r="H49" s="242">
        <v>5</v>
      </c>
      <c r="I49" s="242"/>
      <c r="J49" s="267"/>
      <c r="K49" s="293">
        <v>16</v>
      </c>
    </row>
    <row r="50" spans="1:11" x14ac:dyDescent="0.2">
      <c r="A50" s="261">
        <v>41846</v>
      </c>
      <c r="B50" s="242"/>
      <c r="C50" s="242"/>
      <c r="D50" s="267"/>
      <c r="E50" s="242">
        <v>4</v>
      </c>
      <c r="F50" s="267"/>
      <c r="G50" s="242">
        <v>6</v>
      </c>
      <c r="H50" s="242">
        <v>15</v>
      </c>
      <c r="I50" s="242"/>
      <c r="J50" s="267"/>
      <c r="K50" s="293">
        <v>25</v>
      </c>
    </row>
    <row r="51" spans="1:11" x14ac:dyDescent="0.2">
      <c r="A51" s="261">
        <v>41847</v>
      </c>
      <c r="B51" s="242"/>
      <c r="C51" s="242"/>
      <c r="D51" s="267">
        <v>1</v>
      </c>
      <c r="E51" s="242">
        <v>9</v>
      </c>
      <c r="F51" s="267"/>
      <c r="G51" s="242">
        <v>3</v>
      </c>
      <c r="H51" s="242">
        <v>10</v>
      </c>
      <c r="I51" s="242">
        <v>1</v>
      </c>
      <c r="J51" s="267"/>
      <c r="K51" s="293">
        <v>24</v>
      </c>
    </row>
    <row r="52" spans="1:11" x14ac:dyDescent="0.2">
      <c r="A52" s="261">
        <v>41848</v>
      </c>
      <c r="B52" s="242">
        <v>1</v>
      </c>
      <c r="C52" s="242"/>
      <c r="D52" s="267">
        <v>1</v>
      </c>
      <c r="E52" s="242">
        <v>13</v>
      </c>
      <c r="F52" s="267"/>
      <c r="G52" s="242">
        <v>3</v>
      </c>
      <c r="H52" s="242">
        <v>8</v>
      </c>
      <c r="I52" s="242"/>
      <c r="J52" s="267"/>
      <c r="K52" s="293">
        <v>26</v>
      </c>
    </row>
    <row r="53" spans="1:11" x14ac:dyDescent="0.2">
      <c r="A53" s="261">
        <v>41849</v>
      </c>
      <c r="B53" s="242"/>
      <c r="C53" s="242"/>
      <c r="D53" s="267"/>
      <c r="E53" s="242">
        <v>8</v>
      </c>
      <c r="F53" s="267"/>
      <c r="G53" s="242">
        <v>3</v>
      </c>
      <c r="H53" s="242">
        <v>5</v>
      </c>
      <c r="I53" s="242">
        <v>4</v>
      </c>
      <c r="J53" s="267"/>
      <c r="K53" s="293">
        <v>20</v>
      </c>
    </row>
    <row r="54" spans="1:11" x14ac:dyDescent="0.2">
      <c r="A54" s="261">
        <v>41850</v>
      </c>
      <c r="B54" s="242"/>
      <c r="C54" s="242"/>
      <c r="D54" s="267"/>
      <c r="E54" s="242">
        <v>5</v>
      </c>
      <c r="F54" s="267"/>
      <c r="G54" s="242">
        <v>4</v>
      </c>
      <c r="H54" s="242">
        <v>11</v>
      </c>
      <c r="I54" s="242">
        <v>2</v>
      </c>
      <c r="J54" s="267"/>
      <c r="K54" s="293">
        <v>22</v>
      </c>
    </row>
    <row r="55" spans="1:11" x14ac:dyDescent="0.2">
      <c r="A55" s="261">
        <v>41851</v>
      </c>
      <c r="B55" s="242">
        <v>3</v>
      </c>
      <c r="C55" s="242"/>
      <c r="D55" s="267"/>
      <c r="E55" s="242">
        <v>6</v>
      </c>
      <c r="F55" s="267"/>
      <c r="G55" s="242">
        <v>3</v>
      </c>
      <c r="H55" s="242">
        <v>6</v>
      </c>
      <c r="I55" s="242">
        <v>2</v>
      </c>
      <c r="J55" s="267"/>
      <c r="K55" s="293">
        <v>20</v>
      </c>
    </row>
    <row r="56" spans="1:11" x14ac:dyDescent="0.2">
      <c r="A56" s="261">
        <v>41852</v>
      </c>
      <c r="B56" s="242"/>
      <c r="C56" s="242"/>
      <c r="D56" s="267"/>
      <c r="E56" s="242">
        <v>6</v>
      </c>
      <c r="F56" s="267"/>
      <c r="G56" s="242">
        <v>6</v>
      </c>
      <c r="H56" s="242">
        <v>12</v>
      </c>
      <c r="I56" s="242">
        <v>2</v>
      </c>
      <c r="J56" s="267"/>
      <c r="K56" s="293">
        <v>26</v>
      </c>
    </row>
    <row r="57" spans="1:11" x14ac:dyDescent="0.2">
      <c r="A57" s="261">
        <v>41853</v>
      </c>
      <c r="B57" s="242"/>
      <c r="C57" s="242"/>
      <c r="D57" s="267"/>
      <c r="E57" s="242">
        <v>1</v>
      </c>
      <c r="F57" s="267"/>
      <c r="G57" s="242">
        <v>6</v>
      </c>
      <c r="H57" s="242">
        <v>12</v>
      </c>
      <c r="I57" s="242">
        <v>3</v>
      </c>
      <c r="J57" s="267"/>
      <c r="K57" s="293">
        <v>22</v>
      </c>
    </row>
    <row r="58" spans="1:11" x14ac:dyDescent="0.2">
      <c r="A58" s="261">
        <v>41854</v>
      </c>
      <c r="B58" s="242"/>
      <c r="C58" s="242"/>
      <c r="D58" s="267"/>
      <c r="E58" s="242">
        <v>2</v>
      </c>
      <c r="F58" s="267"/>
      <c r="G58" s="242">
        <v>12</v>
      </c>
      <c r="H58" s="242">
        <v>12</v>
      </c>
      <c r="I58" s="242">
        <v>1</v>
      </c>
      <c r="J58" s="267"/>
      <c r="K58" s="293">
        <v>27</v>
      </c>
    </row>
    <row r="59" spans="1:11" x14ac:dyDescent="0.2">
      <c r="A59" s="261">
        <v>41855</v>
      </c>
      <c r="B59" s="242"/>
      <c r="C59" s="242"/>
      <c r="D59" s="267"/>
      <c r="E59" s="242">
        <v>3</v>
      </c>
      <c r="F59" s="267"/>
      <c r="G59" s="242">
        <v>12</v>
      </c>
      <c r="H59" s="242">
        <v>8</v>
      </c>
      <c r="I59" s="242">
        <v>4</v>
      </c>
      <c r="J59" s="267"/>
      <c r="K59" s="293">
        <v>27</v>
      </c>
    </row>
    <row r="60" spans="1:11" x14ac:dyDescent="0.2">
      <c r="A60" s="261">
        <v>41856</v>
      </c>
      <c r="B60" s="242"/>
      <c r="C60" s="242"/>
      <c r="D60" s="267"/>
      <c r="E60" s="242">
        <v>8</v>
      </c>
      <c r="F60" s="267"/>
      <c r="G60" s="242">
        <v>12</v>
      </c>
      <c r="H60" s="242">
        <v>10</v>
      </c>
      <c r="I60" s="242">
        <v>3</v>
      </c>
      <c r="J60" s="267"/>
      <c r="K60" s="293">
        <v>33</v>
      </c>
    </row>
    <row r="61" spans="1:11" x14ac:dyDescent="0.2">
      <c r="A61" s="261">
        <v>41857</v>
      </c>
      <c r="B61" s="242"/>
      <c r="C61" s="242"/>
      <c r="D61" s="267"/>
      <c r="E61" s="242">
        <v>5</v>
      </c>
      <c r="F61" s="267"/>
      <c r="G61" s="242">
        <v>12</v>
      </c>
      <c r="H61" s="242">
        <v>8</v>
      </c>
      <c r="I61" s="242">
        <v>4</v>
      </c>
      <c r="J61" s="267"/>
      <c r="K61" s="293">
        <v>29</v>
      </c>
    </row>
    <row r="62" spans="1:11" x14ac:dyDescent="0.2">
      <c r="A62" s="261">
        <v>41858</v>
      </c>
      <c r="B62" s="242"/>
      <c r="C62" s="242"/>
      <c r="D62" s="267"/>
      <c r="E62" s="242">
        <v>12</v>
      </c>
      <c r="F62" s="267"/>
      <c r="G62" s="242">
        <v>12</v>
      </c>
      <c r="H62" s="242">
        <v>8</v>
      </c>
      <c r="I62" s="242">
        <v>10</v>
      </c>
      <c r="J62" s="267"/>
      <c r="K62" s="293">
        <v>42</v>
      </c>
    </row>
    <row r="63" spans="1:11" x14ac:dyDescent="0.2">
      <c r="A63" s="261">
        <v>41859</v>
      </c>
      <c r="B63" s="242"/>
      <c r="C63" s="242"/>
      <c r="D63" s="267"/>
      <c r="E63" s="242">
        <v>5</v>
      </c>
      <c r="F63" s="267"/>
      <c r="G63" s="242">
        <v>12</v>
      </c>
      <c r="H63" s="242">
        <v>9</v>
      </c>
      <c r="I63" s="242">
        <v>2</v>
      </c>
      <c r="J63" s="267"/>
      <c r="K63" s="293">
        <v>28</v>
      </c>
    </row>
    <row r="64" spans="1:11" x14ac:dyDescent="0.2">
      <c r="A64" s="261">
        <v>41860</v>
      </c>
      <c r="B64" s="242"/>
      <c r="C64" s="242"/>
      <c r="D64" s="267"/>
      <c r="E64" s="242"/>
      <c r="F64" s="267"/>
      <c r="G64" s="242">
        <v>5</v>
      </c>
      <c r="H64" s="242">
        <v>8</v>
      </c>
      <c r="I64" s="242">
        <v>4</v>
      </c>
      <c r="J64" s="267"/>
      <c r="K64" s="293">
        <v>17</v>
      </c>
    </row>
    <row r="65" spans="1:11" x14ac:dyDescent="0.2">
      <c r="A65" s="261">
        <v>41861</v>
      </c>
      <c r="B65" s="242"/>
      <c r="C65" s="242"/>
      <c r="D65" s="267"/>
      <c r="E65" s="242">
        <v>6</v>
      </c>
      <c r="F65" s="267"/>
      <c r="G65" s="242">
        <v>5</v>
      </c>
      <c r="H65" s="242">
        <v>5</v>
      </c>
      <c r="I65" s="242">
        <v>13</v>
      </c>
      <c r="J65" s="267"/>
      <c r="K65" s="293">
        <v>29</v>
      </c>
    </row>
    <row r="66" spans="1:11" x14ac:dyDescent="0.2">
      <c r="A66" s="261">
        <v>41862</v>
      </c>
      <c r="B66" s="242"/>
      <c r="C66" s="242"/>
      <c r="D66" s="267"/>
      <c r="E66" s="242">
        <v>9</v>
      </c>
      <c r="F66" s="267"/>
      <c r="G66" s="242">
        <v>5</v>
      </c>
      <c r="H66" s="242">
        <v>5</v>
      </c>
      <c r="I66" s="242">
        <v>7</v>
      </c>
      <c r="J66" s="267"/>
      <c r="K66" s="293">
        <v>26</v>
      </c>
    </row>
    <row r="67" spans="1:11" x14ac:dyDescent="0.2">
      <c r="A67" s="261">
        <v>41863</v>
      </c>
      <c r="B67" s="242"/>
      <c r="C67" s="242"/>
      <c r="D67" s="267"/>
      <c r="E67" s="242">
        <v>9</v>
      </c>
      <c r="F67" s="267"/>
      <c r="G67" s="242">
        <v>5</v>
      </c>
      <c r="H67" s="242">
        <v>5</v>
      </c>
      <c r="I67" s="242">
        <v>6</v>
      </c>
      <c r="J67" s="267"/>
      <c r="K67" s="293">
        <v>25</v>
      </c>
    </row>
    <row r="68" spans="1:11" x14ac:dyDescent="0.2">
      <c r="A68" s="261">
        <v>41864</v>
      </c>
      <c r="B68" s="242"/>
      <c r="C68" s="242"/>
      <c r="D68" s="267"/>
      <c r="E68" s="242">
        <v>2</v>
      </c>
      <c r="F68" s="267"/>
      <c r="G68" s="242">
        <v>5</v>
      </c>
      <c r="H68" s="242">
        <v>5</v>
      </c>
      <c r="I68" s="242">
        <v>8</v>
      </c>
      <c r="J68" s="267"/>
      <c r="K68" s="293">
        <v>20</v>
      </c>
    </row>
    <row r="69" spans="1:11" x14ac:dyDescent="0.2">
      <c r="A69" s="261">
        <v>41865</v>
      </c>
      <c r="B69" s="242"/>
      <c r="C69" s="242"/>
      <c r="D69" s="267"/>
      <c r="E69" s="242">
        <v>2</v>
      </c>
      <c r="F69" s="267"/>
      <c r="G69" s="242">
        <v>6</v>
      </c>
      <c r="H69" s="242">
        <v>2</v>
      </c>
      <c r="I69" s="242">
        <v>11</v>
      </c>
      <c r="J69" s="267"/>
      <c r="K69" s="293">
        <v>21</v>
      </c>
    </row>
    <row r="70" spans="1:11" x14ac:dyDescent="0.2">
      <c r="A70" s="261">
        <v>41866</v>
      </c>
      <c r="B70" s="242"/>
      <c r="C70" s="242"/>
      <c r="D70" s="267"/>
      <c r="E70" s="242">
        <v>4</v>
      </c>
      <c r="F70" s="267"/>
      <c r="G70" s="242">
        <v>5</v>
      </c>
      <c r="H70" s="242">
        <v>2</v>
      </c>
      <c r="I70" s="242">
        <v>8</v>
      </c>
      <c r="J70" s="267"/>
      <c r="K70" s="293">
        <v>19</v>
      </c>
    </row>
    <row r="71" spans="1:11" x14ac:dyDescent="0.2">
      <c r="A71" s="261">
        <v>41867</v>
      </c>
      <c r="B71" s="242"/>
      <c r="C71" s="242"/>
      <c r="D71" s="267"/>
      <c r="E71" s="242">
        <v>4</v>
      </c>
      <c r="F71" s="267"/>
      <c r="G71" s="242">
        <v>3</v>
      </c>
      <c r="H71" s="242">
        <v>2</v>
      </c>
      <c r="I71" s="242">
        <v>7</v>
      </c>
      <c r="J71" s="267"/>
      <c r="K71" s="293">
        <v>16</v>
      </c>
    </row>
    <row r="72" spans="1:11" x14ac:dyDescent="0.2">
      <c r="A72" s="261">
        <v>41868</v>
      </c>
      <c r="B72" s="242"/>
      <c r="C72" s="242"/>
      <c r="D72" s="267"/>
      <c r="E72" s="242">
        <v>2</v>
      </c>
      <c r="F72" s="267"/>
      <c r="G72" s="242">
        <v>4</v>
      </c>
      <c r="H72" s="242">
        <v>2</v>
      </c>
      <c r="I72" s="242">
        <v>8</v>
      </c>
      <c r="J72" s="267"/>
      <c r="K72" s="293">
        <v>16</v>
      </c>
    </row>
    <row r="73" spans="1:11" x14ac:dyDescent="0.2">
      <c r="A73" s="261">
        <v>41869</v>
      </c>
      <c r="B73" s="242"/>
      <c r="C73" s="242"/>
      <c r="D73" s="267"/>
      <c r="E73" s="242">
        <v>1</v>
      </c>
      <c r="F73" s="267"/>
      <c r="G73" s="242">
        <v>4</v>
      </c>
      <c r="H73" s="242">
        <v>5</v>
      </c>
      <c r="I73" s="242">
        <v>10</v>
      </c>
      <c r="J73" s="267"/>
      <c r="K73" s="293">
        <v>20</v>
      </c>
    </row>
    <row r="74" spans="1:11" x14ac:dyDescent="0.2">
      <c r="A74" s="261">
        <v>41870</v>
      </c>
      <c r="B74" s="242"/>
      <c r="C74" s="242"/>
      <c r="D74" s="267"/>
      <c r="E74" s="242">
        <v>2</v>
      </c>
      <c r="F74" s="267"/>
      <c r="G74" s="242">
        <v>3</v>
      </c>
      <c r="H74" s="242"/>
      <c r="I74" s="242">
        <v>10</v>
      </c>
      <c r="J74" s="267"/>
      <c r="K74" s="293">
        <v>15</v>
      </c>
    </row>
    <row r="75" spans="1:11" x14ac:dyDescent="0.2">
      <c r="A75" s="261">
        <v>41871</v>
      </c>
      <c r="B75" s="242"/>
      <c r="C75" s="242"/>
      <c r="D75" s="267"/>
      <c r="E75" s="242">
        <v>4</v>
      </c>
      <c r="F75" s="267"/>
      <c r="G75" s="242">
        <v>3</v>
      </c>
      <c r="H75" s="242"/>
      <c r="I75" s="242">
        <v>10</v>
      </c>
      <c r="J75" s="267"/>
      <c r="K75" s="293">
        <v>17</v>
      </c>
    </row>
    <row r="76" spans="1:11" x14ac:dyDescent="0.2">
      <c r="A76" s="261">
        <v>41872</v>
      </c>
      <c r="B76" s="242"/>
      <c r="C76" s="242"/>
      <c r="D76" s="267"/>
      <c r="E76" s="242">
        <v>2</v>
      </c>
      <c r="F76" s="267"/>
      <c r="G76" s="242">
        <v>2</v>
      </c>
      <c r="H76" s="242"/>
      <c r="I76" s="242">
        <v>9</v>
      </c>
      <c r="J76" s="267"/>
      <c r="K76" s="293">
        <v>13</v>
      </c>
    </row>
    <row r="77" spans="1:11" x14ac:dyDescent="0.2">
      <c r="A77" s="261">
        <v>41873</v>
      </c>
      <c r="B77" s="242"/>
      <c r="C77" s="242"/>
      <c r="D77" s="267"/>
      <c r="E77" s="242">
        <v>4</v>
      </c>
      <c r="F77" s="267"/>
      <c r="G77" s="242">
        <v>2</v>
      </c>
      <c r="H77" s="242"/>
      <c r="I77" s="242">
        <v>9</v>
      </c>
      <c r="J77" s="267"/>
      <c r="K77" s="293">
        <v>15</v>
      </c>
    </row>
    <row r="78" spans="1:11" x14ac:dyDescent="0.2">
      <c r="A78" s="261">
        <v>41874</v>
      </c>
      <c r="B78" s="242"/>
      <c r="C78" s="242"/>
      <c r="D78" s="267"/>
      <c r="E78" s="242">
        <v>1</v>
      </c>
      <c r="F78" s="267"/>
      <c r="G78" s="242">
        <v>2</v>
      </c>
      <c r="H78" s="242"/>
      <c r="I78" s="242">
        <v>9</v>
      </c>
      <c r="J78" s="267"/>
      <c r="K78" s="293">
        <v>12</v>
      </c>
    </row>
    <row r="79" spans="1:11" x14ac:dyDescent="0.2">
      <c r="A79" s="261">
        <v>41875</v>
      </c>
      <c r="B79" s="242"/>
      <c r="C79" s="242"/>
      <c r="D79" s="267"/>
      <c r="E79" s="242">
        <v>2</v>
      </c>
      <c r="F79" s="267"/>
      <c r="G79" s="242">
        <v>2</v>
      </c>
      <c r="H79" s="242"/>
      <c r="I79" s="242">
        <v>8</v>
      </c>
      <c r="J79" s="267"/>
      <c r="K79" s="293">
        <v>12</v>
      </c>
    </row>
    <row r="80" spans="1:11" x14ac:dyDescent="0.2">
      <c r="A80" s="261">
        <v>41876</v>
      </c>
      <c r="B80" s="242"/>
      <c r="C80" s="242"/>
      <c r="D80" s="267"/>
      <c r="E80" s="242">
        <v>1</v>
      </c>
      <c r="F80" s="267"/>
      <c r="G80" s="242"/>
      <c r="H80" s="242"/>
      <c r="I80" s="242">
        <v>7</v>
      </c>
      <c r="J80" s="267"/>
      <c r="K80" s="293">
        <v>8</v>
      </c>
    </row>
    <row r="81" spans="1:11" x14ac:dyDescent="0.2">
      <c r="A81" s="261">
        <v>41877</v>
      </c>
      <c r="B81" s="242"/>
      <c r="C81" s="242"/>
      <c r="D81" s="267"/>
      <c r="E81" s="242"/>
      <c r="F81" s="267"/>
      <c r="G81" s="242">
        <v>2</v>
      </c>
      <c r="H81" s="242"/>
      <c r="I81" s="242">
        <v>9</v>
      </c>
      <c r="J81" s="267"/>
      <c r="K81" s="293">
        <v>11</v>
      </c>
    </row>
    <row r="82" spans="1:11" x14ac:dyDescent="0.2">
      <c r="A82" s="261">
        <v>41878</v>
      </c>
      <c r="B82" s="242"/>
      <c r="C82" s="242"/>
      <c r="D82" s="267"/>
      <c r="E82" s="242"/>
      <c r="F82" s="267"/>
      <c r="G82" s="242"/>
      <c r="H82" s="242"/>
      <c r="I82" s="242">
        <v>4</v>
      </c>
      <c r="J82" s="267"/>
      <c r="K82" s="293">
        <v>4</v>
      </c>
    </row>
    <row r="83" spans="1:11" x14ac:dyDescent="0.2">
      <c r="A83" s="261">
        <v>41879</v>
      </c>
      <c r="B83" s="242"/>
      <c r="C83" s="242"/>
      <c r="D83" s="267"/>
      <c r="E83" s="242"/>
      <c r="F83" s="267"/>
      <c r="G83" s="242"/>
      <c r="H83" s="242"/>
      <c r="I83" s="242">
        <v>2</v>
      </c>
      <c r="J83" s="267"/>
      <c r="K83" s="293">
        <v>2</v>
      </c>
    </row>
    <row r="84" spans="1:11" x14ac:dyDescent="0.2">
      <c r="A84" s="261">
        <v>41880</v>
      </c>
      <c r="B84" s="242"/>
      <c r="C84" s="242"/>
      <c r="D84" s="267"/>
      <c r="E84" s="242"/>
      <c r="F84" s="267"/>
      <c r="G84" s="242"/>
      <c r="H84" s="242">
        <v>1</v>
      </c>
      <c r="I84" s="242">
        <v>4</v>
      </c>
      <c r="J84" s="267"/>
      <c r="K84" s="293">
        <v>5</v>
      </c>
    </row>
    <row r="85" spans="1:11" x14ac:dyDescent="0.2">
      <c r="A85" s="261">
        <v>41881</v>
      </c>
      <c r="B85" s="242"/>
      <c r="C85" s="242"/>
      <c r="D85" s="267"/>
      <c r="E85" s="242">
        <v>1</v>
      </c>
      <c r="F85" s="267"/>
      <c r="G85" s="242"/>
      <c r="H85" s="242"/>
      <c r="I85" s="242">
        <v>4</v>
      </c>
      <c r="J85" s="267"/>
      <c r="K85" s="293">
        <v>5</v>
      </c>
    </row>
    <row r="86" spans="1:11" x14ac:dyDescent="0.2">
      <c r="A86" s="261">
        <v>41882</v>
      </c>
      <c r="B86" s="242"/>
      <c r="C86" s="242"/>
      <c r="D86" s="267"/>
      <c r="E86" s="242"/>
      <c r="F86" s="267"/>
      <c r="G86" s="242"/>
      <c r="H86" s="242"/>
      <c r="I86" s="242">
        <v>2</v>
      </c>
      <c r="J86" s="267"/>
      <c r="K86" s="293">
        <v>2</v>
      </c>
    </row>
    <row r="87" spans="1:11" x14ac:dyDescent="0.2">
      <c r="A87" s="261">
        <v>41883</v>
      </c>
      <c r="B87" s="242"/>
      <c r="C87" s="242"/>
      <c r="D87" s="267"/>
      <c r="E87" s="242">
        <v>1</v>
      </c>
      <c r="F87" s="267"/>
      <c r="G87" s="242"/>
      <c r="H87" s="242"/>
      <c r="I87" s="242">
        <v>2</v>
      </c>
      <c r="J87" s="267"/>
      <c r="K87" s="293">
        <v>3</v>
      </c>
    </row>
    <row r="88" spans="1:11" x14ac:dyDescent="0.2">
      <c r="A88" s="261">
        <v>41884</v>
      </c>
      <c r="B88" s="242"/>
      <c r="C88" s="242"/>
      <c r="D88" s="267"/>
      <c r="E88" s="242"/>
      <c r="F88" s="267"/>
      <c r="G88" s="242"/>
      <c r="H88" s="242"/>
      <c r="I88" s="242"/>
      <c r="J88" s="267"/>
      <c r="K88" s="293"/>
    </row>
    <row r="89" spans="1:11" x14ac:dyDescent="0.2">
      <c r="A89" s="261">
        <v>41885</v>
      </c>
      <c r="B89" s="242"/>
      <c r="C89" s="242"/>
      <c r="D89" s="267"/>
      <c r="E89" s="242">
        <v>1</v>
      </c>
      <c r="F89" s="267"/>
      <c r="G89" s="242"/>
      <c r="H89" s="242"/>
      <c r="I89" s="242">
        <v>2</v>
      </c>
      <c r="J89" s="267"/>
      <c r="K89" s="293">
        <v>3</v>
      </c>
    </row>
    <row r="90" spans="1:11" x14ac:dyDescent="0.2">
      <c r="A90" s="261">
        <v>41887</v>
      </c>
      <c r="B90" s="242"/>
      <c r="C90" s="242"/>
      <c r="D90" s="267"/>
      <c r="E90" s="242"/>
      <c r="F90" s="267"/>
      <c r="G90" s="242"/>
      <c r="H90" s="242"/>
      <c r="I90" s="242"/>
      <c r="J90" s="267"/>
      <c r="K90" s="293"/>
    </row>
    <row r="91" spans="1:11" x14ac:dyDescent="0.2">
      <c r="A91" s="250" t="s">
        <v>12</v>
      </c>
      <c r="B91" s="245">
        <v>590</v>
      </c>
      <c r="C91" s="245"/>
      <c r="D91" s="268">
        <v>33</v>
      </c>
      <c r="E91" s="245">
        <v>200</v>
      </c>
      <c r="F91" s="268"/>
      <c r="G91" s="245">
        <v>200</v>
      </c>
      <c r="H91" s="245">
        <v>200</v>
      </c>
      <c r="I91" s="245">
        <v>212</v>
      </c>
      <c r="J91" s="268"/>
      <c r="K91" s="246">
        <v>1435</v>
      </c>
    </row>
    <row r="92" spans="1:11" x14ac:dyDescent="0.2">
      <c r="A92"/>
    </row>
    <row r="93" spans="1:11" x14ac:dyDescent="0.2">
      <c r="A93"/>
    </row>
    <row r="94" spans="1:11" x14ac:dyDescent="0.2">
      <c r="A94"/>
    </row>
    <row r="95" spans="1:11" x14ac:dyDescent="0.2">
      <c r="A95"/>
    </row>
    <row r="96" spans="1: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6" x14ac:dyDescent="0.2">
      <c r="A113"/>
    </row>
    <row r="114" spans="1:16" x14ac:dyDescent="0.2">
      <c r="A114"/>
    </row>
    <row r="115" spans="1:16" x14ac:dyDescent="0.2">
      <c r="A115"/>
    </row>
    <row r="116" spans="1:16" x14ac:dyDescent="0.2">
      <c r="A116"/>
    </row>
    <row r="117" spans="1:16" x14ac:dyDescent="0.2">
      <c r="A117"/>
    </row>
    <row r="118" spans="1:16" x14ac:dyDescent="0.2">
      <c r="A118"/>
    </row>
    <row r="119" spans="1:16" x14ac:dyDescent="0.2">
      <c r="A119"/>
    </row>
    <row r="120" spans="1:16" x14ac:dyDescent="0.2">
      <c r="A120"/>
    </row>
    <row r="121" spans="1:16" x14ac:dyDescent="0.2">
      <c r="A121"/>
    </row>
    <row r="122" spans="1:16" x14ac:dyDescent="0.2">
      <c r="A122"/>
    </row>
    <row r="123" spans="1:16" x14ac:dyDescent="0.2">
      <c r="A123"/>
      <c r="P123" s="14"/>
    </row>
    <row r="124" spans="1:16" x14ac:dyDescent="0.2">
      <c r="A124"/>
    </row>
  </sheetData>
  <phoneticPr fontId="5" type="noConversion"/>
  <conditionalFormatting sqref="M12:R12">
    <cfRule type="cellIs" dxfId="18" priority="3" operator="equal">
      <formula>"CHECK DATA"</formula>
    </cfRule>
  </conditionalFormatting>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1:AP155"/>
  <sheetViews>
    <sheetView workbookViewId="0">
      <selection activeCell="A13" sqref="A13"/>
    </sheetView>
  </sheetViews>
  <sheetFormatPr defaultColWidth="11.42578125" defaultRowHeight="12.75" x14ac:dyDescent="0.2"/>
  <cols>
    <col min="1" max="2" width="15.28515625" customWidth="1"/>
    <col min="3" max="3" width="5" style="29" bestFit="1" customWidth="1"/>
    <col min="4" max="8" width="2" style="29" customWidth="1"/>
    <col min="9" max="9" width="2" customWidth="1"/>
    <col min="10" max="10" width="30.5703125" bestFit="1" customWidth="1"/>
    <col min="11" max="12" width="10.5703125" bestFit="1" customWidth="1"/>
    <col min="13" max="13" width="9.7109375" bestFit="1" customWidth="1"/>
    <col min="14" max="14" width="10.140625" bestFit="1" customWidth="1"/>
    <col min="15" max="15" width="9.7109375" bestFit="1" customWidth="1"/>
    <col min="16" max="17" width="10" bestFit="1" customWidth="1"/>
    <col min="18" max="18" width="16.140625" bestFit="1" customWidth="1"/>
    <col min="19" max="20" width="15.28515625" bestFit="1" customWidth="1"/>
    <col min="21" max="21" width="14.42578125" bestFit="1" customWidth="1"/>
    <col min="22" max="22" width="14.85546875" bestFit="1" customWidth="1"/>
    <col min="23" max="23" width="14.42578125" bestFit="1" customWidth="1"/>
    <col min="24" max="25" width="14.7109375" bestFit="1" customWidth="1"/>
    <col min="26" max="26" width="20.85546875" bestFit="1" customWidth="1"/>
    <col min="27" max="28" width="2" bestFit="1" customWidth="1"/>
    <col min="29" max="29" width="10" bestFit="1" customWidth="1"/>
    <col min="30" max="31" width="2" bestFit="1" customWidth="1"/>
    <col min="32" max="32" width="16.140625" customWidth="1"/>
    <col min="33" max="34" width="3" bestFit="1" customWidth="1"/>
    <col min="35" max="36" width="15.28515625" customWidth="1"/>
    <col min="37" max="37" width="14.42578125" customWidth="1"/>
    <col min="38" max="38" width="14.85546875" customWidth="1"/>
    <col min="39" max="39" width="14.42578125" customWidth="1"/>
    <col min="40" max="40" width="14.7109375" customWidth="1"/>
    <col min="41" max="41" width="14.7109375" bestFit="1" customWidth="1"/>
    <col min="42" max="42" width="20.85546875" customWidth="1"/>
    <col min="43" max="43" width="14.42578125" bestFit="1" customWidth="1"/>
    <col min="44" max="45" width="14.7109375" bestFit="1" customWidth="1"/>
  </cols>
  <sheetData>
    <row r="1" spans="1:42" s="2" customFormat="1" x14ac:dyDescent="0.2">
      <c r="A1" s="2" t="s">
        <v>89</v>
      </c>
      <c r="C1" s="28"/>
      <c r="D1" s="28"/>
      <c r="E1" s="28"/>
      <c r="F1" s="28"/>
      <c r="G1" s="28"/>
      <c r="H1" s="28"/>
      <c r="J1" s="2" t="s">
        <v>224</v>
      </c>
    </row>
    <row r="2" spans="1:42" s="2" customFormat="1" x14ac:dyDescent="0.2">
      <c r="A2" s="15" t="s">
        <v>113</v>
      </c>
      <c r="C2" s="28"/>
      <c r="D2" s="28"/>
      <c r="E2" s="28"/>
      <c r="F2" s="28"/>
      <c r="G2" s="28"/>
      <c r="H2" s="28"/>
      <c r="J2" s="15" t="s">
        <v>118</v>
      </c>
    </row>
    <row r="3" spans="1:42" x14ac:dyDescent="0.2">
      <c r="A3" s="15"/>
      <c r="B3" s="15"/>
      <c r="C3" s="12"/>
      <c r="D3" s="12"/>
      <c r="E3" s="12"/>
      <c r="F3" s="12"/>
      <c r="G3" s="12"/>
      <c r="H3" s="12"/>
    </row>
    <row r="4" spans="1:42" x14ac:dyDescent="0.2">
      <c r="A4" s="3"/>
      <c r="C4"/>
      <c r="D4"/>
      <c r="E4"/>
      <c r="F4"/>
      <c r="G4"/>
      <c r="H4"/>
    </row>
    <row r="5" spans="1:42" x14ac:dyDescent="0.2">
      <c r="A5" s="228" t="s">
        <v>141</v>
      </c>
      <c r="B5" s="228" t="s">
        <v>13</v>
      </c>
      <c r="C5" s="231" t="s">
        <v>7</v>
      </c>
      <c r="D5"/>
      <c r="E5"/>
      <c r="F5"/>
      <c r="G5"/>
      <c r="H5"/>
      <c r="J5" s="229"/>
      <c r="K5" s="228" t="s">
        <v>13</v>
      </c>
      <c r="L5" s="260" t="s">
        <v>99</v>
      </c>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35"/>
    </row>
    <row r="6" spans="1:42" x14ac:dyDescent="0.2">
      <c r="A6" s="229" t="s">
        <v>97</v>
      </c>
      <c r="B6" s="229" t="s">
        <v>311</v>
      </c>
      <c r="C6" s="233">
        <v>17</v>
      </c>
      <c r="D6"/>
      <c r="E6"/>
      <c r="F6"/>
      <c r="G6"/>
      <c r="H6"/>
      <c r="J6" s="1"/>
      <c r="K6" s="229" t="s">
        <v>294</v>
      </c>
      <c r="L6" s="255"/>
      <c r="M6" s="255"/>
      <c r="N6" s="229" t="s">
        <v>295</v>
      </c>
      <c r="O6" s="255"/>
      <c r="P6" s="255"/>
      <c r="Q6" s="229" t="s">
        <v>296</v>
      </c>
      <c r="R6" s="255"/>
      <c r="S6" s="255"/>
      <c r="T6" s="229" t="s">
        <v>297</v>
      </c>
      <c r="U6" s="255"/>
      <c r="V6" s="255"/>
      <c r="W6" s="229" t="s">
        <v>298</v>
      </c>
      <c r="X6" s="255"/>
      <c r="Y6" s="255"/>
      <c r="Z6" s="229" t="s">
        <v>299</v>
      </c>
      <c r="AA6" s="255"/>
      <c r="AB6" s="255"/>
      <c r="AC6" s="229" t="s">
        <v>300</v>
      </c>
      <c r="AD6" s="255"/>
      <c r="AE6" s="255"/>
      <c r="AF6" s="229" t="s">
        <v>301</v>
      </c>
      <c r="AG6" s="255"/>
      <c r="AH6" s="255"/>
      <c r="AI6" s="229" t="s">
        <v>231</v>
      </c>
      <c r="AJ6" s="229" t="s">
        <v>232</v>
      </c>
      <c r="AK6" s="229" t="s">
        <v>233</v>
      </c>
      <c r="AL6" s="229" t="s">
        <v>234</v>
      </c>
      <c r="AM6" s="229" t="s">
        <v>235</v>
      </c>
      <c r="AN6" s="229" t="s">
        <v>236</v>
      </c>
      <c r="AO6" s="229" t="s">
        <v>237</v>
      </c>
      <c r="AP6" s="259" t="s">
        <v>242</v>
      </c>
    </row>
    <row r="7" spans="1:42" x14ac:dyDescent="0.2">
      <c r="A7" s="1"/>
      <c r="B7" s="241" t="s">
        <v>312</v>
      </c>
      <c r="C7" s="257"/>
      <c r="D7"/>
      <c r="E7"/>
      <c r="F7"/>
      <c r="G7"/>
      <c r="H7"/>
      <c r="J7" s="228" t="s">
        <v>3</v>
      </c>
      <c r="K7" s="229">
        <v>1</v>
      </c>
      <c r="L7" s="265">
        <v>2</v>
      </c>
      <c r="M7" s="265">
        <v>3</v>
      </c>
      <c r="N7" s="229">
        <v>1</v>
      </c>
      <c r="O7" s="265">
        <v>2</v>
      </c>
      <c r="P7" s="265">
        <v>3</v>
      </c>
      <c r="Q7" s="229">
        <v>1</v>
      </c>
      <c r="R7" s="265">
        <v>2</v>
      </c>
      <c r="S7" s="265">
        <v>3</v>
      </c>
      <c r="T7" s="229">
        <v>1</v>
      </c>
      <c r="U7" s="265">
        <v>2</v>
      </c>
      <c r="V7" s="265">
        <v>3</v>
      </c>
      <c r="W7" s="229">
        <v>1</v>
      </c>
      <c r="X7" s="265">
        <v>2</v>
      </c>
      <c r="Y7" s="265">
        <v>3</v>
      </c>
      <c r="Z7" s="229">
        <v>1</v>
      </c>
      <c r="AA7" s="265">
        <v>2</v>
      </c>
      <c r="AB7" s="265">
        <v>3</v>
      </c>
      <c r="AC7" s="229">
        <v>1</v>
      </c>
      <c r="AD7" s="265">
        <v>2</v>
      </c>
      <c r="AE7" s="265">
        <v>3</v>
      </c>
      <c r="AF7" s="229">
        <v>1</v>
      </c>
      <c r="AG7" s="265">
        <v>2</v>
      </c>
      <c r="AH7" s="265">
        <v>3</v>
      </c>
      <c r="AI7" s="1"/>
      <c r="AJ7" s="1"/>
      <c r="AK7" s="1"/>
      <c r="AL7" s="1"/>
      <c r="AM7" s="1"/>
      <c r="AN7" s="1"/>
      <c r="AO7" s="1"/>
      <c r="AP7" s="149"/>
    </row>
    <row r="8" spans="1:42" x14ac:dyDescent="0.2">
      <c r="A8" s="1"/>
      <c r="B8" s="241" t="s">
        <v>313</v>
      </c>
      <c r="C8" s="257"/>
      <c r="D8"/>
      <c r="E8"/>
      <c r="F8"/>
      <c r="G8"/>
      <c r="H8"/>
      <c r="J8" s="239">
        <v>41796</v>
      </c>
      <c r="K8" s="240"/>
      <c r="L8" s="266"/>
      <c r="M8" s="266"/>
      <c r="N8" s="240"/>
      <c r="O8" s="266"/>
      <c r="P8" s="266"/>
      <c r="Q8" s="240"/>
      <c r="R8" s="266"/>
      <c r="S8" s="266"/>
      <c r="T8" s="240"/>
      <c r="U8" s="266"/>
      <c r="V8" s="266"/>
      <c r="W8" s="240"/>
      <c r="X8" s="266"/>
      <c r="Y8" s="266"/>
      <c r="Z8" s="240"/>
      <c r="AA8" s="266"/>
      <c r="AB8" s="266"/>
      <c r="AC8" s="240"/>
      <c r="AD8" s="266"/>
      <c r="AE8" s="266"/>
      <c r="AF8" s="240">
        <v>0</v>
      </c>
      <c r="AG8" s="266"/>
      <c r="AH8" s="266"/>
      <c r="AI8" s="240"/>
      <c r="AJ8" s="240"/>
      <c r="AK8" s="240"/>
      <c r="AL8" s="240"/>
      <c r="AM8" s="240"/>
      <c r="AN8" s="240"/>
      <c r="AO8" s="240"/>
      <c r="AP8" s="258">
        <v>0</v>
      </c>
    </row>
    <row r="9" spans="1:42" x14ac:dyDescent="0.2">
      <c r="A9" s="1"/>
      <c r="B9" s="241" t="s">
        <v>314</v>
      </c>
      <c r="C9" s="257">
        <v>16</v>
      </c>
      <c r="D9"/>
      <c r="E9"/>
      <c r="F9"/>
      <c r="G9"/>
      <c r="H9"/>
      <c r="J9" s="261">
        <v>41797</v>
      </c>
      <c r="K9" s="242"/>
      <c r="L9" s="267"/>
      <c r="M9" s="267"/>
      <c r="N9" s="242"/>
      <c r="O9" s="267"/>
      <c r="P9" s="267"/>
      <c r="Q9" s="242">
        <v>2</v>
      </c>
      <c r="R9" s="267"/>
      <c r="S9" s="267"/>
      <c r="T9" s="242"/>
      <c r="U9" s="267"/>
      <c r="V9" s="267"/>
      <c r="W9" s="242"/>
      <c r="X9" s="267"/>
      <c r="Y9" s="267"/>
      <c r="Z9" s="242"/>
      <c r="AA9" s="267"/>
      <c r="AB9" s="267"/>
      <c r="AC9" s="242"/>
      <c r="AD9" s="267"/>
      <c r="AE9" s="267"/>
      <c r="AF9" s="242">
        <v>2</v>
      </c>
      <c r="AG9" s="267"/>
      <c r="AH9" s="267"/>
      <c r="AI9" s="242"/>
      <c r="AJ9" s="242"/>
      <c r="AK9" s="242">
        <v>2</v>
      </c>
      <c r="AL9" s="242"/>
      <c r="AM9" s="242"/>
      <c r="AN9" s="242"/>
      <c r="AO9" s="242"/>
      <c r="AP9" s="247">
        <v>2</v>
      </c>
    </row>
    <row r="10" spans="1:42" x14ac:dyDescent="0.2">
      <c r="A10" s="1"/>
      <c r="B10" s="241" t="s">
        <v>315</v>
      </c>
      <c r="C10" s="257">
        <v>13</v>
      </c>
      <c r="D10"/>
      <c r="E10"/>
      <c r="F10"/>
      <c r="G10"/>
      <c r="H10"/>
      <c r="J10" s="261">
        <v>41798</v>
      </c>
      <c r="K10" s="242"/>
      <c r="L10" s="267"/>
      <c r="M10" s="267"/>
      <c r="N10" s="242"/>
      <c r="O10" s="267"/>
      <c r="P10" s="267"/>
      <c r="Q10" s="242"/>
      <c r="R10" s="267"/>
      <c r="S10" s="267"/>
      <c r="T10" s="242"/>
      <c r="U10" s="267"/>
      <c r="V10" s="267"/>
      <c r="W10" s="242"/>
      <c r="X10" s="267"/>
      <c r="Y10" s="267"/>
      <c r="Z10" s="242"/>
      <c r="AA10" s="267"/>
      <c r="AB10" s="267"/>
      <c r="AC10" s="242"/>
      <c r="AD10" s="267"/>
      <c r="AE10" s="267"/>
      <c r="AF10" s="242">
        <v>0</v>
      </c>
      <c r="AG10" s="267"/>
      <c r="AH10" s="267"/>
      <c r="AI10" s="242"/>
      <c r="AJ10" s="242"/>
      <c r="AK10" s="242"/>
      <c r="AL10" s="242"/>
      <c r="AM10" s="242"/>
      <c r="AN10" s="242"/>
      <c r="AO10" s="242"/>
      <c r="AP10" s="247">
        <v>0</v>
      </c>
    </row>
    <row r="11" spans="1:42" x14ac:dyDescent="0.2">
      <c r="A11" s="1"/>
      <c r="B11" s="241" t="s">
        <v>316</v>
      </c>
      <c r="C11" s="257">
        <v>36</v>
      </c>
      <c r="D11"/>
      <c r="E11"/>
      <c r="F11"/>
      <c r="G11"/>
      <c r="H11"/>
      <c r="J11" s="261">
        <v>41799</v>
      </c>
      <c r="K11" s="242"/>
      <c r="L11" s="267"/>
      <c r="M11" s="267"/>
      <c r="N11" s="242"/>
      <c r="O11" s="267"/>
      <c r="P11" s="267"/>
      <c r="Q11" s="242"/>
      <c r="R11" s="267"/>
      <c r="S11" s="267"/>
      <c r="T11" s="242"/>
      <c r="U11" s="267"/>
      <c r="V11" s="267"/>
      <c r="W11" s="242"/>
      <c r="X11" s="267"/>
      <c r="Y11" s="267"/>
      <c r="Z11" s="242"/>
      <c r="AA11" s="267"/>
      <c r="AB11" s="267"/>
      <c r="AC11" s="242"/>
      <c r="AD11" s="267"/>
      <c r="AE11" s="267"/>
      <c r="AF11" s="242">
        <v>0</v>
      </c>
      <c r="AG11" s="267"/>
      <c r="AH11" s="267">
        <v>0</v>
      </c>
      <c r="AI11" s="242"/>
      <c r="AJ11" s="242"/>
      <c r="AK11" s="242"/>
      <c r="AL11" s="242"/>
      <c r="AM11" s="242"/>
      <c r="AN11" s="242"/>
      <c r="AO11" s="242"/>
      <c r="AP11" s="247">
        <v>0</v>
      </c>
    </row>
    <row r="12" spans="1:42" x14ac:dyDescent="0.2">
      <c r="A12" s="1"/>
      <c r="B12" s="241" t="s">
        <v>317</v>
      </c>
      <c r="C12" s="257">
        <v>20.9375</v>
      </c>
      <c r="D12"/>
      <c r="E12"/>
      <c r="F12"/>
      <c r="G12"/>
      <c r="H12"/>
      <c r="J12" s="261">
        <v>41800</v>
      </c>
      <c r="K12" s="242"/>
      <c r="L12" s="267"/>
      <c r="M12" s="267"/>
      <c r="N12" s="242"/>
      <c r="O12" s="267"/>
      <c r="P12" s="267"/>
      <c r="Q12" s="242"/>
      <c r="R12" s="267"/>
      <c r="S12" s="267"/>
      <c r="T12" s="242"/>
      <c r="U12" s="267"/>
      <c r="V12" s="267"/>
      <c r="W12" s="242"/>
      <c r="X12" s="267"/>
      <c r="Y12" s="267"/>
      <c r="Z12" s="242"/>
      <c r="AA12" s="267"/>
      <c r="AB12" s="267"/>
      <c r="AC12" s="242"/>
      <c r="AD12" s="267"/>
      <c r="AE12" s="267"/>
      <c r="AF12" s="242">
        <v>0</v>
      </c>
      <c r="AG12" s="267"/>
      <c r="AH12" s="267">
        <v>0</v>
      </c>
      <c r="AI12" s="242"/>
      <c r="AJ12" s="242"/>
      <c r="AK12" s="242"/>
      <c r="AL12" s="242"/>
      <c r="AM12" s="242"/>
      <c r="AN12" s="242"/>
      <c r="AO12" s="242"/>
      <c r="AP12" s="247">
        <v>0</v>
      </c>
    </row>
    <row r="13" spans="1:42" x14ac:dyDescent="0.2">
      <c r="A13" s="1"/>
      <c r="B13" s="241" t="s">
        <v>318</v>
      </c>
      <c r="C13" s="257"/>
      <c r="D13"/>
      <c r="E13"/>
      <c r="F13"/>
      <c r="G13"/>
      <c r="H13"/>
      <c r="J13" s="261">
        <v>41801</v>
      </c>
      <c r="K13" s="242"/>
      <c r="L13" s="267"/>
      <c r="M13" s="267"/>
      <c r="N13" s="242"/>
      <c r="O13" s="267"/>
      <c r="P13" s="267">
        <v>1</v>
      </c>
      <c r="Q13" s="242"/>
      <c r="R13" s="267"/>
      <c r="S13" s="267">
        <v>2</v>
      </c>
      <c r="T13" s="242"/>
      <c r="U13" s="267"/>
      <c r="V13" s="267"/>
      <c r="W13" s="242"/>
      <c r="X13" s="267"/>
      <c r="Y13" s="267"/>
      <c r="Z13" s="242"/>
      <c r="AA13" s="267"/>
      <c r="AB13" s="267"/>
      <c r="AC13" s="242"/>
      <c r="AD13" s="267"/>
      <c r="AE13" s="267"/>
      <c r="AF13" s="242">
        <v>0</v>
      </c>
      <c r="AG13" s="267"/>
      <c r="AH13" s="267">
        <v>3</v>
      </c>
      <c r="AI13" s="242"/>
      <c r="AJ13" s="242">
        <v>1</v>
      </c>
      <c r="AK13" s="242">
        <v>2</v>
      </c>
      <c r="AL13" s="242"/>
      <c r="AM13" s="242"/>
      <c r="AN13" s="242"/>
      <c r="AO13" s="242"/>
      <c r="AP13" s="247">
        <v>3</v>
      </c>
    </row>
    <row r="14" spans="1:42" x14ac:dyDescent="0.2">
      <c r="A14" s="1"/>
      <c r="B14" s="241" t="s">
        <v>319</v>
      </c>
      <c r="C14" s="257"/>
      <c r="D14"/>
      <c r="E14"/>
      <c r="F14"/>
      <c r="G14"/>
      <c r="H14"/>
      <c r="J14" s="261">
        <v>41802</v>
      </c>
      <c r="K14" s="242"/>
      <c r="L14" s="267"/>
      <c r="M14" s="267">
        <v>1</v>
      </c>
      <c r="N14" s="242"/>
      <c r="O14" s="267"/>
      <c r="P14" s="267"/>
      <c r="Q14" s="242"/>
      <c r="R14" s="267"/>
      <c r="S14" s="267"/>
      <c r="T14" s="242"/>
      <c r="U14" s="267"/>
      <c r="V14" s="267"/>
      <c r="W14" s="242"/>
      <c r="X14" s="267"/>
      <c r="Y14" s="267"/>
      <c r="Z14" s="242"/>
      <c r="AA14" s="267"/>
      <c r="AB14" s="267"/>
      <c r="AC14" s="242"/>
      <c r="AD14" s="267"/>
      <c r="AE14" s="267"/>
      <c r="AF14" s="242">
        <v>0</v>
      </c>
      <c r="AG14" s="267">
        <v>0</v>
      </c>
      <c r="AH14" s="267">
        <v>1</v>
      </c>
      <c r="AI14" s="242">
        <v>1</v>
      </c>
      <c r="AJ14" s="242"/>
      <c r="AK14" s="242"/>
      <c r="AL14" s="242"/>
      <c r="AM14" s="242"/>
      <c r="AN14" s="242"/>
      <c r="AO14" s="242"/>
      <c r="AP14" s="247">
        <v>1</v>
      </c>
    </row>
    <row r="15" spans="1:42" x14ac:dyDescent="0.2">
      <c r="A15" s="1"/>
      <c r="B15" s="241" t="s">
        <v>320</v>
      </c>
      <c r="C15" s="257"/>
      <c r="D15"/>
      <c r="E15"/>
      <c r="F15"/>
      <c r="G15"/>
      <c r="H15"/>
      <c r="J15" s="261">
        <v>41803</v>
      </c>
      <c r="K15" s="242"/>
      <c r="L15" s="267"/>
      <c r="M15" s="267"/>
      <c r="N15" s="242"/>
      <c r="O15" s="267"/>
      <c r="P15" s="267"/>
      <c r="Q15" s="242"/>
      <c r="R15" s="267"/>
      <c r="S15" s="267">
        <v>1</v>
      </c>
      <c r="T15" s="242"/>
      <c r="U15" s="267"/>
      <c r="V15" s="267"/>
      <c r="W15" s="242"/>
      <c r="X15" s="267"/>
      <c r="Y15" s="267"/>
      <c r="Z15" s="242"/>
      <c r="AA15" s="267"/>
      <c r="AB15" s="267"/>
      <c r="AC15" s="242"/>
      <c r="AD15" s="267"/>
      <c r="AE15" s="267"/>
      <c r="AF15" s="242">
        <v>0</v>
      </c>
      <c r="AG15" s="267">
        <v>0</v>
      </c>
      <c r="AH15" s="267">
        <v>1</v>
      </c>
      <c r="AI15" s="242"/>
      <c r="AJ15" s="242"/>
      <c r="AK15" s="242">
        <v>1</v>
      </c>
      <c r="AL15" s="242"/>
      <c r="AM15" s="242"/>
      <c r="AN15" s="242"/>
      <c r="AO15" s="242"/>
      <c r="AP15" s="247">
        <v>1</v>
      </c>
    </row>
    <row r="16" spans="1:42" x14ac:dyDescent="0.2">
      <c r="A16" s="229" t="s">
        <v>195</v>
      </c>
      <c r="B16" s="229" t="s">
        <v>311</v>
      </c>
      <c r="C16" s="233">
        <v>2</v>
      </c>
      <c r="D16"/>
      <c r="E16"/>
      <c r="F16"/>
      <c r="G16"/>
      <c r="H16"/>
      <c r="J16" s="261">
        <v>41804</v>
      </c>
      <c r="K16" s="242"/>
      <c r="L16" s="267"/>
      <c r="M16" s="267"/>
      <c r="N16" s="242"/>
      <c r="O16" s="267"/>
      <c r="P16" s="267"/>
      <c r="Q16" s="242">
        <v>1</v>
      </c>
      <c r="R16" s="267"/>
      <c r="S16" s="267"/>
      <c r="T16" s="242"/>
      <c r="U16" s="267"/>
      <c r="V16" s="267"/>
      <c r="W16" s="242">
        <v>1</v>
      </c>
      <c r="X16" s="267"/>
      <c r="Y16" s="267"/>
      <c r="Z16" s="242"/>
      <c r="AA16" s="267"/>
      <c r="AB16" s="267"/>
      <c r="AC16" s="242"/>
      <c r="AD16" s="267"/>
      <c r="AE16" s="267"/>
      <c r="AF16" s="242">
        <v>2</v>
      </c>
      <c r="AG16" s="267">
        <v>0</v>
      </c>
      <c r="AH16" s="267">
        <v>0</v>
      </c>
      <c r="AI16" s="242"/>
      <c r="AJ16" s="242"/>
      <c r="AK16" s="242">
        <v>1</v>
      </c>
      <c r="AL16" s="242"/>
      <c r="AM16" s="242">
        <v>1</v>
      </c>
      <c r="AN16" s="242"/>
      <c r="AO16" s="242"/>
      <c r="AP16" s="247">
        <v>2</v>
      </c>
    </row>
    <row r="17" spans="1:42" x14ac:dyDescent="0.2">
      <c r="A17" s="1"/>
      <c r="B17" s="241" t="s">
        <v>312</v>
      </c>
      <c r="C17" s="257"/>
      <c r="D17"/>
      <c r="E17"/>
      <c r="F17"/>
      <c r="G17"/>
      <c r="H17"/>
      <c r="J17" s="261">
        <v>41805</v>
      </c>
      <c r="K17" s="242"/>
      <c r="L17" s="267"/>
      <c r="M17" s="267"/>
      <c r="N17" s="242"/>
      <c r="O17" s="267"/>
      <c r="P17" s="267"/>
      <c r="Q17" s="242">
        <v>1</v>
      </c>
      <c r="R17" s="267"/>
      <c r="S17" s="267"/>
      <c r="T17" s="242"/>
      <c r="U17" s="267"/>
      <c r="V17" s="267"/>
      <c r="W17" s="242"/>
      <c r="X17" s="267"/>
      <c r="Y17" s="267"/>
      <c r="Z17" s="242"/>
      <c r="AA17" s="267"/>
      <c r="AB17" s="267"/>
      <c r="AC17" s="242"/>
      <c r="AD17" s="267"/>
      <c r="AE17" s="267"/>
      <c r="AF17" s="242">
        <v>1</v>
      </c>
      <c r="AG17" s="267">
        <v>0</v>
      </c>
      <c r="AH17" s="267">
        <v>0</v>
      </c>
      <c r="AI17" s="242"/>
      <c r="AJ17" s="242"/>
      <c r="AK17" s="242">
        <v>1</v>
      </c>
      <c r="AL17" s="242"/>
      <c r="AM17" s="242"/>
      <c r="AN17" s="242"/>
      <c r="AO17" s="242"/>
      <c r="AP17" s="247">
        <v>1</v>
      </c>
    </row>
    <row r="18" spans="1:42" x14ac:dyDescent="0.2">
      <c r="A18" s="1"/>
      <c r="B18" s="241" t="s">
        <v>313</v>
      </c>
      <c r="C18" s="257"/>
      <c r="D18"/>
      <c r="E18"/>
      <c r="F18"/>
      <c r="G18"/>
      <c r="H18"/>
      <c r="J18" s="261">
        <v>41806</v>
      </c>
      <c r="K18" s="242"/>
      <c r="L18" s="267"/>
      <c r="M18" s="267"/>
      <c r="N18" s="242"/>
      <c r="O18" s="267"/>
      <c r="P18" s="267"/>
      <c r="Q18" s="242"/>
      <c r="R18" s="267"/>
      <c r="S18" s="267"/>
      <c r="T18" s="242"/>
      <c r="U18" s="267"/>
      <c r="V18" s="267"/>
      <c r="W18" s="242"/>
      <c r="X18" s="267"/>
      <c r="Y18" s="267"/>
      <c r="Z18" s="242"/>
      <c r="AA18" s="267"/>
      <c r="AB18" s="267"/>
      <c r="AC18" s="242"/>
      <c r="AD18" s="267"/>
      <c r="AE18" s="267"/>
      <c r="AF18" s="242">
        <v>0</v>
      </c>
      <c r="AG18" s="267">
        <v>0</v>
      </c>
      <c r="AH18" s="267">
        <v>0</v>
      </c>
      <c r="AI18" s="242"/>
      <c r="AJ18" s="242"/>
      <c r="AK18" s="242"/>
      <c r="AL18" s="242"/>
      <c r="AM18" s="242"/>
      <c r="AN18" s="242"/>
      <c r="AO18" s="242"/>
      <c r="AP18" s="247">
        <v>0</v>
      </c>
    </row>
    <row r="19" spans="1:42" x14ac:dyDescent="0.2">
      <c r="A19" s="1"/>
      <c r="B19" s="241" t="s">
        <v>314</v>
      </c>
      <c r="C19" s="257">
        <v>2</v>
      </c>
      <c r="D19"/>
      <c r="E19"/>
      <c r="F19"/>
      <c r="G19"/>
      <c r="H19"/>
      <c r="J19" s="261">
        <v>41807</v>
      </c>
      <c r="K19" s="242"/>
      <c r="L19" s="267"/>
      <c r="M19" s="267"/>
      <c r="N19" s="242"/>
      <c r="O19" s="267"/>
      <c r="P19" s="267"/>
      <c r="Q19" s="242"/>
      <c r="R19" s="267"/>
      <c r="S19" s="267"/>
      <c r="T19" s="242"/>
      <c r="U19" s="267"/>
      <c r="V19" s="267"/>
      <c r="W19" s="242"/>
      <c r="X19" s="267"/>
      <c r="Y19" s="267"/>
      <c r="Z19" s="242"/>
      <c r="AA19" s="267"/>
      <c r="AB19" s="267"/>
      <c r="AC19" s="242"/>
      <c r="AD19" s="267"/>
      <c r="AE19" s="267"/>
      <c r="AF19" s="242">
        <v>0</v>
      </c>
      <c r="AG19" s="267">
        <v>0</v>
      </c>
      <c r="AH19" s="267">
        <v>0</v>
      </c>
      <c r="AI19" s="242"/>
      <c r="AJ19" s="242"/>
      <c r="AK19" s="242"/>
      <c r="AL19" s="242"/>
      <c r="AM19" s="242"/>
      <c r="AN19" s="242"/>
      <c r="AO19" s="242"/>
      <c r="AP19" s="247">
        <v>0</v>
      </c>
    </row>
    <row r="20" spans="1:42" x14ac:dyDescent="0.2">
      <c r="A20" s="1"/>
      <c r="B20" s="241" t="s">
        <v>315</v>
      </c>
      <c r="C20" s="257">
        <v>15</v>
      </c>
      <c r="D20"/>
      <c r="E20"/>
      <c r="F20"/>
      <c r="G20"/>
      <c r="H20"/>
      <c r="J20" s="261">
        <v>41808</v>
      </c>
      <c r="K20" s="242"/>
      <c r="L20" s="267"/>
      <c r="M20" s="267"/>
      <c r="N20" s="242"/>
      <c r="O20" s="267"/>
      <c r="P20" s="267"/>
      <c r="Q20" s="242"/>
      <c r="R20" s="267"/>
      <c r="S20" s="267">
        <v>1</v>
      </c>
      <c r="T20" s="242"/>
      <c r="U20" s="267"/>
      <c r="V20" s="267"/>
      <c r="W20" s="242"/>
      <c r="X20" s="267"/>
      <c r="Y20" s="267"/>
      <c r="Z20" s="242"/>
      <c r="AA20" s="267"/>
      <c r="AB20" s="267"/>
      <c r="AC20" s="242"/>
      <c r="AD20" s="267"/>
      <c r="AE20" s="267"/>
      <c r="AF20" s="242">
        <v>0</v>
      </c>
      <c r="AG20" s="267">
        <v>0</v>
      </c>
      <c r="AH20" s="267">
        <v>1</v>
      </c>
      <c r="AI20" s="242"/>
      <c r="AJ20" s="242"/>
      <c r="AK20" s="242">
        <v>1</v>
      </c>
      <c r="AL20" s="242"/>
      <c r="AM20" s="242"/>
      <c r="AN20" s="242"/>
      <c r="AO20" s="242"/>
      <c r="AP20" s="247">
        <v>1</v>
      </c>
    </row>
    <row r="21" spans="1:42" x14ac:dyDescent="0.2">
      <c r="A21" s="1"/>
      <c r="B21" s="241" t="s">
        <v>316</v>
      </c>
      <c r="C21" s="257">
        <v>15</v>
      </c>
      <c r="D21"/>
      <c r="E21"/>
      <c r="F21"/>
      <c r="G21"/>
      <c r="H21"/>
      <c r="J21" s="261">
        <v>41809</v>
      </c>
      <c r="K21" s="242"/>
      <c r="L21" s="267"/>
      <c r="M21" s="267"/>
      <c r="N21" s="242"/>
      <c r="O21" s="267"/>
      <c r="P21" s="267"/>
      <c r="Q21" s="242"/>
      <c r="R21" s="267">
        <v>1</v>
      </c>
      <c r="S21" s="267"/>
      <c r="T21" s="242"/>
      <c r="U21" s="267"/>
      <c r="V21" s="267"/>
      <c r="W21" s="242"/>
      <c r="X21" s="267"/>
      <c r="Y21" s="267"/>
      <c r="Z21" s="242"/>
      <c r="AA21" s="267"/>
      <c r="AB21" s="267">
        <v>2</v>
      </c>
      <c r="AC21" s="242"/>
      <c r="AD21" s="267"/>
      <c r="AE21" s="267"/>
      <c r="AF21" s="242">
        <v>0</v>
      </c>
      <c r="AG21" s="267">
        <v>1</v>
      </c>
      <c r="AH21" s="267">
        <v>2</v>
      </c>
      <c r="AI21" s="242"/>
      <c r="AJ21" s="242"/>
      <c r="AK21" s="242">
        <v>1</v>
      </c>
      <c r="AL21" s="242"/>
      <c r="AM21" s="242"/>
      <c r="AN21" s="242">
        <v>2</v>
      </c>
      <c r="AO21" s="242"/>
      <c r="AP21" s="247">
        <v>3</v>
      </c>
    </row>
    <row r="22" spans="1:42" x14ac:dyDescent="0.2">
      <c r="A22" s="1"/>
      <c r="B22" s="241" t="s">
        <v>317</v>
      </c>
      <c r="C22" s="257">
        <v>15</v>
      </c>
      <c r="D22"/>
      <c r="E22"/>
      <c r="F22"/>
      <c r="G22"/>
      <c r="H22"/>
      <c r="J22" s="261">
        <v>41810</v>
      </c>
      <c r="K22" s="242"/>
      <c r="L22" s="267"/>
      <c r="M22" s="267">
        <v>1</v>
      </c>
      <c r="N22" s="242"/>
      <c r="O22" s="267"/>
      <c r="P22" s="267">
        <v>1</v>
      </c>
      <c r="Q22" s="242"/>
      <c r="R22" s="267"/>
      <c r="S22" s="267"/>
      <c r="T22" s="242"/>
      <c r="U22" s="267"/>
      <c r="V22" s="267"/>
      <c r="W22" s="242"/>
      <c r="X22" s="267"/>
      <c r="Y22" s="267"/>
      <c r="Z22" s="242"/>
      <c r="AA22" s="267"/>
      <c r="AB22" s="267"/>
      <c r="AC22" s="242"/>
      <c r="AD22" s="267"/>
      <c r="AE22" s="267"/>
      <c r="AF22" s="242">
        <v>0</v>
      </c>
      <c r="AG22" s="267">
        <v>0</v>
      </c>
      <c r="AH22" s="267">
        <v>2</v>
      </c>
      <c r="AI22" s="242">
        <v>1</v>
      </c>
      <c r="AJ22" s="242">
        <v>1</v>
      </c>
      <c r="AK22" s="242"/>
      <c r="AL22" s="242"/>
      <c r="AM22" s="242"/>
      <c r="AN22" s="242"/>
      <c r="AO22" s="242"/>
      <c r="AP22" s="247">
        <v>2</v>
      </c>
    </row>
    <row r="23" spans="1:42" x14ac:dyDescent="0.2">
      <c r="A23" s="1"/>
      <c r="B23" s="241" t="s">
        <v>318</v>
      </c>
      <c r="C23" s="257"/>
      <c r="D23"/>
      <c r="E23"/>
      <c r="F23"/>
      <c r="G23"/>
      <c r="H23"/>
      <c r="J23" s="261">
        <v>41811</v>
      </c>
      <c r="K23" s="242"/>
      <c r="L23" s="267"/>
      <c r="M23" s="267">
        <v>3</v>
      </c>
      <c r="N23" s="242"/>
      <c r="O23" s="267"/>
      <c r="P23" s="267"/>
      <c r="Q23" s="242"/>
      <c r="R23" s="267"/>
      <c r="S23" s="267"/>
      <c r="T23" s="242"/>
      <c r="U23" s="267"/>
      <c r="V23" s="267"/>
      <c r="W23" s="242"/>
      <c r="X23" s="267"/>
      <c r="Y23" s="267"/>
      <c r="Z23" s="242">
        <v>1</v>
      </c>
      <c r="AA23" s="267"/>
      <c r="AB23" s="267"/>
      <c r="AC23" s="242"/>
      <c r="AD23" s="267"/>
      <c r="AE23" s="267"/>
      <c r="AF23" s="242">
        <v>1</v>
      </c>
      <c r="AG23" s="267">
        <v>0</v>
      </c>
      <c r="AH23" s="267">
        <v>3</v>
      </c>
      <c r="AI23" s="242">
        <v>3</v>
      </c>
      <c r="AJ23" s="242"/>
      <c r="AK23" s="242"/>
      <c r="AL23" s="242"/>
      <c r="AM23" s="242"/>
      <c r="AN23" s="242">
        <v>1</v>
      </c>
      <c r="AO23" s="242"/>
      <c r="AP23" s="247">
        <v>4</v>
      </c>
    </row>
    <row r="24" spans="1:42" x14ac:dyDescent="0.2">
      <c r="A24" s="1"/>
      <c r="B24" s="241" t="s">
        <v>319</v>
      </c>
      <c r="C24" s="257"/>
      <c r="D24"/>
      <c r="E24"/>
      <c r="F24"/>
      <c r="G24"/>
      <c r="H24"/>
      <c r="J24" s="261">
        <v>41812</v>
      </c>
      <c r="K24" s="242"/>
      <c r="L24" s="267"/>
      <c r="M24" s="267">
        <v>1</v>
      </c>
      <c r="N24" s="242"/>
      <c r="O24" s="267"/>
      <c r="P24" s="267"/>
      <c r="Q24" s="242"/>
      <c r="R24" s="267"/>
      <c r="S24" s="267">
        <v>1</v>
      </c>
      <c r="T24" s="242"/>
      <c r="U24" s="267"/>
      <c r="V24" s="267"/>
      <c r="W24" s="242"/>
      <c r="X24" s="267"/>
      <c r="Y24" s="267"/>
      <c r="Z24" s="242"/>
      <c r="AA24" s="267"/>
      <c r="AB24" s="267">
        <v>1</v>
      </c>
      <c r="AC24" s="242"/>
      <c r="AD24" s="267"/>
      <c r="AE24" s="267"/>
      <c r="AF24" s="242">
        <v>0</v>
      </c>
      <c r="AG24" s="267">
        <v>0</v>
      </c>
      <c r="AH24" s="267">
        <v>3</v>
      </c>
      <c r="AI24" s="242">
        <v>1</v>
      </c>
      <c r="AJ24" s="242"/>
      <c r="AK24" s="242">
        <v>1</v>
      </c>
      <c r="AL24" s="242"/>
      <c r="AM24" s="242"/>
      <c r="AN24" s="242">
        <v>1</v>
      </c>
      <c r="AO24" s="242"/>
      <c r="AP24" s="247">
        <v>3</v>
      </c>
    </row>
    <row r="25" spans="1:42" x14ac:dyDescent="0.2">
      <c r="A25" s="1"/>
      <c r="B25" s="241" t="s">
        <v>320</v>
      </c>
      <c r="C25" s="257"/>
      <c r="D25"/>
      <c r="E25"/>
      <c r="F25"/>
      <c r="G25"/>
      <c r="H25"/>
      <c r="J25" s="261">
        <v>41813</v>
      </c>
      <c r="K25" s="242"/>
      <c r="L25" s="267"/>
      <c r="M25" s="267">
        <v>1</v>
      </c>
      <c r="N25" s="242"/>
      <c r="O25" s="267"/>
      <c r="P25" s="267"/>
      <c r="Q25" s="242"/>
      <c r="R25" s="267"/>
      <c r="S25" s="267">
        <v>1</v>
      </c>
      <c r="T25" s="242"/>
      <c r="U25" s="267"/>
      <c r="V25" s="267"/>
      <c r="W25" s="242"/>
      <c r="X25" s="267"/>
      <c r="Y25" s="267"/>
      <c r="Z25" s="242"/>
      <c r="AA25" s="267"/>
      <c r="AB25" s="267"/>
      <c r="AC25" s="242"/>
      <c r="AD25" s="267"/>
      <c r="AE25" s="267"/>
      <c r="AF25" s="242">
        <v>0</v>
      </c>
      <c r="AG25" s="267">
        <v>0</v>
      </c>
      <c r="AH25" s="267">
        <v>2</v>
      </c>
      <c r="AI25" s="242">
        <v>1</v>
      </c>
      <c r="AJ25" s="242"/>
      <c r="AK25" s="242">
        <v>1</v>
      </c>
      <c r="AL25" s="242"/>
      <c r="AM25" s="242"/>
      <c r="AN25" s="242"/>
      <c r="AO25" s="242"/>
      <c r="AP25" s="247">
        <v>2</v>
      </c>
    </row>
    <row r="26" spans="1:42" x14ac:dyDescent="0.2">
      <c r="A26" s="229" t="s">
        <v>71</v>
      </c>
      <c r="B26" s="229" t="s">
        <v>311</v>
      </c>
      <c r="C26" s="233">
        <v>1103</v>
      </c>
      <c r="D26"/>
      <c r="E26"/>
      <c r="F26"/>
      <c r="G26"/>
      <c r="H26"/>
      <c r="J26" s="261">
        <v>41814</v>
      </c>
      <c r="K26" s="242"/>
      <c r="L26" s="267"/>
      <c r="M26" s="267"/>
      <c r="N26" s="242"/>
      <c r="O26" s="267"/>
      <c r="P26" s="267"/>
      <c r="Q26" s="242"/>
      <c r="R26" s="267"/>
      <c r="S26" s="267"/>
      <c r="T26" s="242"/>
      <c r="U26" s="267"/>
      <c r="V26" s="267"/>
      <c r="W26" s="242"/>
      <c r="X26" s="267"/>
      <c r="Y26" s="267"/>
      <c r="Z26" s="242"/>
      <c r="AA26" s="267"/>
      <c r="AB26" s="267"/>
      <c r="AC26" s="242"/>
      <c r="AD26" s="267"/>
      <c r="AE26" s="267"/>
      <c r="AF26" s="242">
        <v>0</v>
      </c>
      <c r="AG26" s="267">
        <v>0</v>
      </c>
      <c r="AH26" s="267">
        <v>0</v>
      </c>
      <c r="AI26" s="242"/>
      <c r="AJ26" s="242"/>
      <c r="AK26" s="242"/>
      <c r="AL26" s="242"/>
      <c r="AM26" s="242"/>
      <c r="AN26" s="242"/>
      <c r="AO26" s="242"/>
      <c r="AP26" s="247">
        <v>0</v>
      </c>
    </row>
    <row r="27" spans="1:42" x14ac:dyDescent="0.2">
      <c r="A27" s="1"/>
      <c r="B27" s="241" t="s">
        <v>312</v>
      </c>
      <c r="C27" s="257">
        <v>194</v>
      </c>
      <c r="D27"/>
      <c r="E27"/>
      <c r="F27"/>
      <c r="G27"/>
      <c r="H27"/>
      <c r="J27" s="261">
        <v>41815</v>
      </c>
      <c r="K27" s="242">
        <v>1</v>
      </c>
      <c r="L27" s="267"/>
      <c r="M27" s="267"/>
      <c r="N27" s="242"/>
      <c r="O27" s="267"/>
      <c r="P27" s="267"/>
      <c r="Q27" s="242"/>
      <c r="R27" s="267"/>
      <c r="S27" s="267">
        <v>1</v>
      </c>
      <c r="T27" s="242"/>
      <c r="U27" s="267"/>
      <c r="V27" s="267"/>
      <c r="W27" s="242"/>
      <c r="X27" s="267"/>
      <c r="Y27" s="267"/>
      <c r="Z27" s="242"/>
      <c r="AA27" s="267"/>
      <c r="AB27" s="267"/>
      <c r="AC27" s="242"/>
      <c r="AD27" s="267"/>
      <c r="AE27" s="267"/>
      <c r="AF27" s="242">
        <v>1</v>
      </c>
      <c r="AG27" s="267">
        <v>0</v>
      </c>
      <c r="AH27" s="267">
        <v>1</v>
      </c>
      <c r="AI27" s="242">
        <v>1</v>
      </c>
      <c r="AJ27" s="242"/>
      <c r="AK27" s="242">
        <v>1</v>
      </c>
      <c r="AL27" s="242"/>
      <c r="AM27" s="242"/>
      <c r="AN27" s="242"/>
      <c r="AO27" s="242"/>
      <c r="AP27" s="247">
        <v>2</v>
      </c>
    </row>
    <row r="28" spans="1:42" x14ac:dyDescent="0.2">
      <c r="A28" s="1"/>
      <c r="B28" s="241" t="s">
        <v>313</v>
      </c>
      <c r="C28" s="257">
        <v>1102</v>
      </c>
      <c r="D28"/>
      <c r="E28"/>
      <c r="F28"/>
      <c r="G28"/>
      <c r="H28"/>
      <c r="J28" s="261">
        <v>41816</v>
      </c>
      <c r="K28" s="242"/>
      <c r="L28" s="267"/>
      <c r="M28" s="267"/>
      <c r="N28" s="242"/>
      <c r="O28" s="267"/>
      <c r="P28" s="267"/>
      <c r="Q28" s="242"/>
      <c r="R28" s="267"/>
      <c r="S28" s="267"/>
      <c r="T28" s="242"/>
      <c r="U28" s="267"/>
      <c r="V28" s="267"/>
      <c r="W28" s="242"/>
      <c r="X28" s="267"/>
      <c r="Y28" s="267"/>
      <c r="Z28" s="242"/>
      <c r="AA28" s="267"/>
      <c r="AB28" s="267"/>
      <c r="AC28" s="242"/>
      <c r="AD28" s="267"/>
      <c r="AE28" s="267"/>
      <c r="AF28" s="242">
        <v>0</v>
      </c>
      <c r="AG28" s="267">
        <v>0</v>
      </c>
      <c r="AH28" s="267">
        <v>0</v>
      </c>
      <c r="AI28" s="242"/>
      <c r="AJ28" s="242"/>
      <c r="AK28" s="242"/>
      <c r="AL28" s="242"/>
      <c r="AM28" s="242"/>
      <c r="AN28" s="242"/>
      <c r="AO28" s="242"/>
      <c r="AP28" s="247">
        <v>0</v>
      </c>
    </row>
    <row r="29" spans="1:42" x14ac:dyDescent="0.2">
      <c r="A29" s="1"/>
      <c r="B29" s="241" t="s">
        <v>314</v>
      </c>
      <c r="C29" s="257"/>
      <c r="D29"/>
      <c r="E29"/>
      <c r="F29"/>
      <c r="G29"/>
      <c r="H29"/>
      <c r="J29" s="261">
        <v>41817</v>
      </c>
      <c r="K29" s="242"/>
      <c r="L29" s="267"/>
      <c r="M29" s="267"/>
      <c r="N29" s="242"/>
      <c r="O29" s="267"/>
      <c r="P29" s="267"/>
      <c r="Q29" s="242"/>
      <c r="R29" s="267"/>
      <c r="S29" s="267"/>
      <c r="T29" s="242"/>
      <c r="U29" s="267"/>
      <c r="V29" s="267"/>
      <c r="W29" s="242"/>
      <c r="X29" s="267"/>
      <c r="Y29" s="267"/>
      <c r="Z29" s="242"/>
      <c r="AA29" s="267"/>
      <c r="AB29" s="267"/>
      <c r="AC29" s="242"/>
      <c r="AD29" s="267"/>
      <c r="AE29" s="267"/>
      <c r="AF29" s="242">
        <v>0</v>
      </c>
      <c r="AG29" s="267">
        <v>0</v>
      </c>
      <c r="AH29" s="267">
        <v>0</v>
      </c>
      <c r="AI29" s="242"/>
      <c r="AJ29" s="242"/>
      <c r="AK29" s="242"/>
      <c r="AL29" s="242"/>
      <c r="AM29" s="242"/>
      <c r="AN29" s="242"/>
      <c r="AO29" s="242"/>
      <c r="AP29" s="247">
        <v>0</v>
      </c>
    </row>
    <row r="30" spans="1:42" x14ac:dyDescent="0.2">
      <c r="A30" s="1"/>
      <c r="B30" s="241" t="s">
        <v>315</v>
      </c>
      <c r="C30" s="257"/>
      <c r="D30"/>
      <c r="E30"/>
      <c r="F30"/>
      <c r="G30"/>
      <c r="H30"/>
      <c r="J30" s="261">
        <v>41818</v>
      </c>
      <c r="K30" s="242"/>
      <c r="L30" s="267"/>
      <c r="M30" s="267"/>
      <c r="N30" s="242"/>
      <c r="O30" s="267"/>
      <c r="P30" s="267"/>
      <c r="Q30" s="242">
        <v>1</v>
      </c>
      <c r="R30" s="267">
        <v>1</v>
      </c>
      <c r="S30" s="267"/>
      <c r="T30" s="242"/>
      <c r="U30" s="267"/>
      <c r="V30" s="267"/>
      <c r="W30" s="242"/>
      <c r="X30" s="267"/>
      <c r="Y30" s="267"/>
      <c r="Z30" s="242"/>
      <c r="AA30" s="267"/>
      <c r="AB30" s="267"/>
      <c r="AC30" s="242"/>
      <c r="AD30" s="267"/>
      <c r="AE30" s="267"/>
      <c r="AF30" s="242">
        <v>1</v>
      </c>
      <c r="AG30" s="267">
        <v>1</v>
      </c>
      <c r="AH30" s="267">
        <v>0</v>
      </c>
      <c r="AI30" s="242"/>
      <c r="AJ30" s="242"/>
      <c r="AK30" s="242">
        <v>2</v>
      </c>
      <c r="AL30" s="242"/>
      <c r="AM30" s="242"/>
      <c r="AN30" s="242"/>
      <c r="AO30" s="242"/>
      <c r="AP30" s="247">
        <v>2</v>
      </c>
    </row>
    <row r="31" spans="1:42" x14ac:dyDescent="0.2">
      <c r="A31" s="1"/>
      <c r="B31" s="241" t="s">
        <v>316</v>
      </c>
      <c r="C31" s="257"/>
      <c r="D31"/>
      <c r="E31"/>
      <c r="F31"/>
      <c r="G31"/>
      <c r="H31"/>
      <c r="J31" s="261">
        <v>41819</v>
      </c>
      <c r="K31" s="242"/>
      <c r="L31" s="267"/>
      <c r="M31" s="267"/>
      <c r="N31" s="242"/>
      <c r="O31" s="267"/>
      <c r="P31" s="267"/>
      <c r="Q31" s="242"/>
      <c r="R31" s="267"/>
      <c r="S31" s="267"/>
      <c r="T31" s="242"/>
      <c r="U31" s="267"/>
      <c r="V31" s="267"/>
      <c r="W31" s="242"/>
      <c r="X31" s="267"/>
      <c r="Y31" s="267"/>
      <c r="Z31" s="242"/>
      <c r="AA31" s="267"/>
      <c r="AB31" s="267"/>
      <c r="AC31" s="242"/>
      <c r="AD31" s="267"/>
      <c r="AE31" s="267"/>
      <c r="AF31" s="242">
        <v>0</v>
      </c>
      <c r="AG31" s="267">
        <v>0</v>
      </c>
      <c r="AH31" s="267">
        <v>0</v>
      </c>
      <c r="AI31" s="242"/>
      <c r="AJ31" s="242"/>
      <c r="AK31" s="242"/>
      <c r="AL31" s="242"/>
      <c r="AM31" s="242"/>
      <c r="AN31" s="242"/>
      <c r="AO31" s="242"/>
      <c r="AP31" s="247">
        <v>0</v>
      </c>
    </row>
    <row r="32" spans="1:42" x14ac:dyDescent="0.2">
      <c r="A32" s="1"/>
      <c r="B32" s="241" t="s">
        <v>317</v>
      </c>
      <c r="C32" s="257"/>
      <c r="D32"/>
      <c r="E32"/>
      <c r="F32"/>
      <c r="G32"/>
      <c r="H32"/>
      <c r="J32" s="261">
        <v>41820</v>
      </c>
      <c r="K32" s="242"/>
      <c r="L32" s="267"/>
      <c r="M32" s="267"/>
      <c r="N32" s="242"/>
      <c r="O32" s="267"/>
      <c r="P32" s="267"/>
      <c r="Q32" s="242">
        <v>1</v>
      </c>
      <c r="R32" s="267"/>
      <c r="S32" s="267"/>
      <c r="T32" s="242"/>
      <c r="U32" s="267"/>
      <c r="V32" s="267"/>
      <c r="W32" s="242"/>
      <c r="X32" s="267"/>
      <c r="Y32" s="267"/>
      <c r="Z32" s="242">
        <v>1</v>
      </c>
      <c r="AA32" s="267"/>
      <c r="AB32" s="267"/>
      <c r="AC32" s="242"/>
      <c r="AD32" s="267"/>
      <c r="AE32" s="267"/>
      <c r="AF32" s="242">
        <v>2</v>
      </c>
      <c r="AG32" s="267">
        <v>0</v>
      </c>
      <c r="AH32" s="267">
        <v>0</v>
      </c>
      <c r="AI32" s="242"/>
      <c r="AJ32" s="242"/>
      <c r="AK32" s="242">
        <v>1</v>
      </c>
      <c r="AL32" s="242"/>
      <c r="AM32" s="242"/>
      <c r="AN32" s="242">
        <v>1</v>
      </c>
      <c r="AO32" s="242"/>
      <c r="AP32" s="247">
        <v>2</v>
      </c>
    </row>
    <row r="33" spans="1:42" x14ac:dyDescent="0.2">
      <c r="A33" s="1"/>
      <c r="B33" s="241" t="s">
        <v>318</v>
      </c>
      <c r="C33" s="257">
        <v>45</v>
      </c>
      <c r="D33"/>
      <c r="E33"/>
      <c r="F33"/>
      <c r="G33"/>
      <c r="H33"/>
      <c r="J33" s="261">
        <v>41821</v>
      </c>
      <c r="K33" s="242"/>
      <c r="L33" s="267"/>
      <c r="M33" s="267">
        <v>1</v>
      </c>
      <c r="N33" s="242"/>
      <c r="O33" s="267"/>
      <c r="P33" s="267">
        <v>3</v>
      </c>
      <c r="Q33" s="242">
        <v>1</v>
      </c>
      <c r="R33" s="267"/>
      <c r="S33" s="267">
        <v>1</v>
      </c>
      <c r="T33" s="242"/>
      <c r="U33" s="267"/>
      <c r="V33" s="267"/>
      <c r="W33" s="242">
        <v>2</v>
      </c>
      <c r="X33" s="267"/>
      <c r="Y33" s="267"/>
      <c r="Z33" s="242"/>
      <c r="AA33" s="267"/>
      <c r="AB33" s="267"/>
      <c r="AC33" s="242"/>
      <c r="AD33" s="267"/>
      <c r="AE33" s="267"/>
      <c r="AF33" s="242">
        <v>3</v>
      </c>
      <c r="AG33" s="267">
        <v>0</v>
      </c>
      <c r="AH33" s="267">
        <v>5</v>
      </c>
      <c r="AI33" s="242">
        <v>1</v>
      </c>
      <c r="AJ33" s="242">
        <v>3</v>
      </c>
      <c r="AK33" s="242">
        <v>2</v>
      </c>
      <c r="AL33" s="242"/>
      <c r="AM33" s="242">
        <v>2</v>
      </c>
      <c r="AN33" s="242"/>
      <c r="AO33" s="242"/>
      <c r="AP33" s="247">
        <v>8</v>
      </c>
    </row>
    <row r="34" spans="1:42" x14ac:dyDescent="0.2">
      <c r="A34" s="1"/>
      <c r="B34" s="241" t="s">
        <v>319</v>
      </c>
      <c r="C34" s="257">
        <v>69</v>
      </c>
      <c r="D34"/>
      <c r="E34"/>
      <c r="F34"/>
      <c r="G34"/>
      <c r="H34"/>
      <c r="J34" s="261">
        <v>41822</v>
      </c>
      <c r="K34" s="242"/>
      <c r="L34" s="267">
        <v>1</v>
      </c>
      <c r="M34" s="267">
        <v>1</v>
      </c>
      <c r="N34" s="242"/>
      <c r="O34" s="267"/>
      <c r="P34" s="267"/>
      <c r="Q34" s="242">
        <v>1</v>
      </c>
      <c r="R34" s="267">
        <v>1</v>
      </c>
      <c r="S34" s="267">
        <v>1</v>
      </c>
      <c r="T34" s="242">
        <v>1</v>
      </c>
      <c r="U34" s="267"/>
      <c r="V34" s="267"/>
      <c r="W34" s="242"/>
      <c r="X34" s="267"/>
      <c r="Y34" s="267"/>
      <c r="Z34" s="242"/>
      <c r="AA34" s="267"/>
      <c r="AB34" s="267">
        <v>1</v>
      </c>
      <c r="AC34" s="242"/>
      <c r="AD34" s="267"/>
      <c r="AE34" s="267"/>
      <c r="AF34" s="242">
        <v>2</v>
      </c>
      <c r="AG34" s="267">
        <v>2</v>
      </c>
      <c r="AH34" s="267">
        <v>3</v>
      </c>
      <c r="AI34" s="242">
        <v>2</v>
      </c>
      <c r="AJ34" s="242"/>
      <c r="AK34" s="242">
        <v>3</v>
      </c>
      <c r="AL34" s="242">
        <v>1</v>
      </c>
      <c r="AM34" s="242"/>
      <c r="AN34" s="242">
        <v>1</v>
      </c>
      <c r="AO34" s="242"/>
      <c r="AP34" s="247">
        <v>7</v>
      </c>
    </row>
    <row r="35" spans="1:42" x14ac:dyDescent="0.2">
      <c r="A35" s="1"/>
      <c r="B35" s="241" t="s">
        <v>320</v>
      </c>
      <c r="C35" s="257">
        <v>57.91016333938294</v>
      </c>
      <c r="D35"/>
      <c r="E35"/>
      <c r="F35"/>
      <c r="G35"/>
      <c r="H35"/>
      <c r="J35" s="261">
        <v>41823</v>
      </c>
      <c r="K35" s="242">
        <v>1</v>
      </c>
      <c r="L35" s="267"/>
      <c r="M35" s="267"/>
      <c r="N35" s="242"/>
      <c r="O35" s="267"/>
      <c r="P35" s="267"/>
      <c r="Q35" s="242"/>
      <c r="R35" s="267"/>
      <c r="S35" s="267"/>
      <c r="T35" s="242"/>
      <c r="U35" s="267">
        <v>1</v>
      </c>
      <c r="V35" s="267"/>
      <c r="W35" s="242"/>
      <c r="X35" s="267"/>
      <c r="Y35" s="267"/>
      <c r="Z35" s="242"/>
      <c r="AA35" s="267"/>
      <c r="AB35" s="267"/>
      <c r="AC35" s="242"/>
      <c r="AD35" s="267"/>
      <c r="AE35" s="267"/>
      <c r="AF35" s="242">
        <v>1</v>
      </c>
      <c r="AG35" s="267">
        <v>1</v>
      </c>
      <c r="AH35" s="267">
        <v>0</v>
      </c>
      <c r="AI35" s="242">
        <v>1</v>
      </c>
      <c r="AJ35" s="242"/>
      <c r="AK35" s="242"/>
      <c r="AL35" s="242">
        <v>1</v>
      </c>
      <c r="AM35" s="242"/>
      <c r="AN35" s="242"/>
      <c r="AO35" s="242"/>
      <c r="AP35" s="247">
        <v>2</v>
      </c>
    </row>
    <row r="36" spans="1:42" x14ac:dyDescent="0.2">
      <c r="A36" s="229" t="s">
        <v>2</v>
      </c>
      <c r="B36" s="229" t="s">
        <v>311</v>
      </c>
      <c r="C36" s="233">
        <v>635</v>
      </c>
      <c r="D36"/>
      <c r="E36"/>
      <c r="F36"/>
      <c r="G36"/>
      <c r="H36"/>
      <c r="J36" s="261">
        <v>41824</v>
      </c>
      <c r="K36" s="242"/>
      <c r="L36" s="267"/>
      <c r="M36" s="267">
        <v>3</v>
      </c>
      <c r="N36" s="242"/>
      <c r="O36" s="267"/>
      <c r="P36" s="267"/>
      <c r="Q36" s="242"/>
      <c r="R36" s="267">
        <v>1</v>
      </c>
      <c r="S36" s="267">
        <v>1</v>
      </c>
      <c r="T36" s="242"/>
      <c r="U36" s="267"/>
      <c r="V36" s="267"/>
      <c r="W36" s="242"/>
      <c r="X36" s="267"/>
      <c r="Y36" s="267"/>
      <c r="Z36" s="242"/>
      <c r="AA36" s="267"/>
      <c r="AB36" s="267">
        <v>1</v>
      </c>
      <c r="AC36" s="242"/>
      <c r="AD36" s="267"/>
      <c r="AE36" s="267"/>
      <c r="AF36" s="242">
        <v>0</v>
      </c>
      <c r="AG36" s="267">
        <v>1</v>
      </c>
      <c r="AH36" s="267">
        <v>5</v>
      </c>
      <c r="AI36" s="242">
        <v>3</v>
      </c>
      <c r="AJ36" s="242"/>
      <c r="AK36" s="242">
        <v>2</v>
      </c>
      <c r="AL36" s="242"/>
      <c r="AM36" s="242"/>
      <c r="AN36" s="242">
        <v>1</v>
      </c>
      <c r="AO36" s="242"/>
      <c r="AP36" s="247">
        <v>6</v>
      </c>
    </row>
    <row r="37" spans="1:42" x14ac:dyDescent="0.2">
      <c r="A37" s="1"/>
      <c r="B37" s="241" t="s">
        <v>312</v>
      </c>
      <c r="C37" s="257">
        <v>589</v>
      </c>
      <c r="D37"/>
      <c r="E37"/>
      <c r="F37"/>
      <c r="G37"/>
      <c r="H37"/>
      <c r="J37" s="261">
        <v>41825</v>
      </c>
      <c r="K37" s="242">
        <v>3</v>
      </c>
      <c r="L37" s="267">
        <v>1</v>
      </c>
      <c r="M37" s="267">
        <v>5</v>
      </c>
      <c r="N37" s="242"/>
      <c r="O37" s="267"/>
      <c r="P37" s="267"/>
      <c r="Q37" s="242"/>
      <c r="R37" s="267"/>
      <c r="S37" s="267"/>
      <c r="T37" s="242">
        <v>1</v>
      </c>
      <c r="U37" s="267"/>
      <c r="V37" s="267"/>
      <c r="W37" s="242"/>
      <c r="X37" s="267">
        <v>1</v>
      </c>
      <c r="Y37" s="267"/>
      <c r="Z37" s="242"/>
      <c r="AA37" s="267"/>
      <c r="AB37" s="267">
        <v>1</v>
      </c>
      <c r="AC37" s="242"/>
      <c r="AD37" s="267"/>
      <c r="AE37" s="267"/>
      <c r="AF37" s="242">
        <v>4</v>
      </c>
      <c r="AG37" s="267">
        <v>2</v>
      </c>
      <c r="AH37" s="267">
        <v>6</v>
      </c>
      <c r="AI37" s="242">
        <v>9</v>
      </c>
      <c r="AJ37" s="242"/>
      <c r="AK37" s="242"/>
      <c r="AL37" s="242">
        <v>1</v>
      </c>
      <c r="AM37" s="242">
        <v>1</v>
      </c>
      <c r="AN37" s="242">
        <v>1</v>
      </c>
      <c r="AO37" s="242"/>
      <c r="AP37" s="247">
        <v>12</v>
      </c>
    </row>
    <row r="38" spans="1:42" x14ac:dyDescent="0.2">
      <c r="A38" s="1"/>
      <c r="B38" s="241" t="s">
        <v>313</v>
      </c>
      <c r="C38" s="257">
        <v>624</v>
      </c>
      <c r="D38"/>
      <c r="E38"/>
      <c r="F38"/>
      <c r="G38"/>
      <c r="H38"/>
      <c r="J38" s="261">
        <v>41826</v>
      </c>
      <c r="K38" s="242"/>
      <c r="L38" s="267"/>
      <c r="M38" s="267">
        <v>6</v>
      </c>
      <c r="N38" s="242"/>
      <c r="O38" s="267"/>
      <c r="P38" s="267"/>
      <c r="Q38" s="242">
        <v>2</v>
      </c>
      <c r="R38" s="267"/>
      <c r="S38" s="267">
        <v>2</v>
      </c>
      <c r="T38" s="242"/>
      <c r="U38" s="267"/>
      <c r="V38" s="267"/>
      <c r="W38" s="242">
        <v>1</v>
      </c>
      <c r="X38" s="267"/>
      <c r="Y38" s="267"/>
      <c r="Z38" s="242"/>
      <c r="AA38" s="267"/>
      <c r="AB38" s="267"/>
      <c r="AC38" s="242"/>
      <c r="AD38" s="267"/>
      <c r="AE38" s="267"/>
      <c r="AF38" s="242">
        <v>3</v>
      </c>
      <c r="AG38" s="267">
        <v>0</v>
      </c>
      <c r="AH38" s="267">
        <v>8</v>
      </c>
      <c r="AI38" s="242">
        <v>6</v>
      </c>
      <c r="AJ38" s="242"/>
      <c r="AK38" s="242">
        <v>4</v>
      </c>
      <c r="AL38" s="242"/>
      <c r="AM38" s="242">
        <v>1</v>
      </c>
      <c r="AN38" s="242"/>
      <c r="AO38" s="242"/>
      <c r="AP38" s="247">
        <v>11</v>
      </c>
    </row>
    <row r="39" spans="1:42" x14ac:dyDescent="0.2">
      <c r="A39" s="1"/>
      <c r="B39" s="241" t="s">
        <v>314</v>
      </c>
      <c r="C39" s="257"/>
      <c r="D39"/>
      <c r="E39"/>
      <c r="F39"/>
      <c r="G39"/>
      <c r="H39"/>
      <c r="J39" s="261">
        <v>41827</v>
      </c>
      <c r="K39" s="242"/>
      <c r="L39" s="267"/>
      <c r="M39" s="267"/>
      <c r="N39" s="242"/>
      <c r="O39" s="267"/>
      <c r="P39" s="267"/>
      <c r="Q39" s="242"/>
      <c r="R39" s="267"/>
      <c r="S39" s="267"/>
      <c r="T39" s="242"/>
      <c r="U39" s="267"/>
      <c r="V39" s="267"/>
      <c r="W39" s="242">
        <v>2</v>
      </c>
      <c r="X39" s="267">
        <v>1</v>
      </c>
      <c r="Y39" s="267"/>
      <c r="Z39" s="242"/>
      <c r="AA39" s="267"/>
      <c r="AB39" s="267"/>
      <c r="AC39" s="242"/>
      <c r="AD39" s="267"/>
      <c r="AE39" s="267"/>
      <c r="AF39" s="242">
        <v>2</v>
      </c>
      <c r="AG39" s="267">
        <v>1</v>
      </c>
      <c r="AH39" s="267">
        <v>0</v>
      </c>
      <c r="AI39" s="242"/>
      <c r="AJ39" s="242"/>
      <c r="AK39" s="242"/>
      <c r="AL39" s="242"/>
      <c r="AM39" s="242">
        <v>3</v>
      </c>
      <c r="AN39" s="242"/>
      <c r="AO39" s="242"/>
      <c r="AP39" s="247">
        <v>3</v>
      </c>
    </row>
    <row r="40" spans="1:42" x14ac:dyDescent="0.2">
      <c r="A40" s="1"/>
      <c r="B40" s="241" t="s">
        <v>315</v>
      </c>
      <c r="C40" s="257"/>
      <c r="D40"/>
      <c r="E40"/>
      <c r="F40"/>
      <c r="G40"/>
      <c r="H40"/>
      <c r="J40" s="261">
        <v>41828</v>
      </c>
      <c r="K40" s="242"/>
      <c r="L40" s="267">
        <v>1</v>
      </c>
      <c r="M40" s="267"/>
      <c r="N40" s="242"/>
      <c r="O40" s="267"/>
      <c r="P40" s="267"/>
      <c r="Q40" s="242"/>
      <c r="R40" s="267"/>
      <c r="S40" s="267">
        <v>1</v>
      </c>
      <c r="T40" s="242"/>
      <c r="U40" s="267"/>
      <c r="V40" s="267"/>
      <c r="W40" s="242"/>
      <c r="X40" s="267"/>
      <c r="Y40" s="267"/>
      <c r="Z40" s="242"/>
      <c r="AA40" s="267"/>
      <c r="AB40" s="267"/>
      <c r="AC40" s="242"/>
      <c r="AD40" s="267"/>
      <c r="AE40" s="267"/>
      <c r="AF40" s="242">
        <v>0</v>
      </c>
      <c r="AG40" s="267">
        <v>1</v>
      </c>
      <c r="AH40" s="267">
        <v>1</v>
      </c>
      <c r="AI40" s="242">
        <v>1</v>
      </c>
      <c r="AJ40" s="242"/>
      <c r="AK40" s="242">
        <v>1</v>
      </c>
      <c r="AL40" s="242"/>
      <c r="AM40" s="242"/>
      <c r="AN40" s="242"/>
      <c r="AO40" s="242"/>
      <c r="AP40" s="247">
        <v>2</v>
      </c>
    </row>
    <row r="41" spans="1:42" x14ac:dyDescent="0.2">
      <c r="A41" s="1"/>
      <c r="B41" s="241" t="s">
        <v>316</v>
      </c>
      <c r="C41" s="257"/>
      <c r="D41"/>
      <c r="E41"/>
      <c r="F41"/>
      <c r="G41"/>
      <c r="H41"/>
      <c r="J41" s="261">
        <v>41829</v>
      </c>
      <c r="K41" s="242"/>
      <c r="L41" s="267"/>
      <c r="M41" s="267">
        <v>2</v>
      </c>
      <c r="N41" s="242">
        <v>1</v>
      </c>
      <c r="O41" s="267"/>
      <c r="P41" s="267"/>
      <c r="Q41" s="242"/>
      <c r="R41" s="267"/>
      <c r="S41" s="267">
        <v>1</v>
      </c>
      <c r="T41" s="242"/>
      <c r="U41" s="267"/>
      <c r="V41" s="267"/>
      <c r="W41" s="242"/>
      <c r="X41" s="267"/>
      <c r="Y41" s="267">
        <v>1</v>
      </c>
      <c r="Z41" s="242"/>
      <c r="AA41" s="267"/>
      <c r="AB41" s="267"/>
      <c r="AC41" s="242"/>
      <c r="AD41" s="267"/>
      <c r="AE41" s="267"/>
      <c r="AF41" s="242">
        <v>1</v>
      </c>
      <c r="AG41" s="267">
        <v>0</v>
      </c>
      <c r="AH41" s="267">
        <v>4</v>
      </c>
      <c r="AI41" s="242">
        <v>2</v>
      </c>
      <c r="AJ41" s="242">
        <v>1</v>
      </c>
      <c r="AK41" s="242">
        <v>1</v>
      </c>
      <c r="AL41" s="242"/>
      <c r="AM41" s="242">
        <v>1</v>
      </c>
      <c r="AN41" s="242"/>
      <c r="AO41" s="242"/>
      <c r="AP41" s="247">
        <v>5</v>
      </c>
    </row>
    <row r="42" spans="1:42" x14ac:dyDescent="0.2">
      <c r="A42" s="1"/>
      <c r="B42" s="241" t="s">
        <v>317</v>
      </c>
      <c r="C42" s="257"/>
      <c r="D42"/>
      <c r="E42"/>
      <c r="F42"/>
      <c r="G42"/>
      <c r="H42"/>
      <c r="J42" s="261">
        <v>41830</v>
      </c>
      <c r="K42" s="242">
        <v>1</v>
      </c>
      <c r="L42" s="267"/>
      <c r="M42" s="267"/>
      <c r="N42" s="242"/>
      <c r="O42" s="267"/>
      <c r="P42" s="267"/>
      <c r="Q42" s="242"/>
      <c r="R42" s="267"/>
      <c r="S42" s="267"/>
      <c r="T42" s="242"/>
      <c r="U42" s="267"/>
      <c r="V42" s="267">
        <v>3</v>
      </c>
      <c r="W42" s="242"/>
      <c r="X42" s="267"/>
      <c r="Y42" s="267"/>
      <c r="Z42" s="242"/>
      <c r="AA42" s="267"/>
      <c r="AB42" s="267"/>
      <c r="AC42" s="242"/>
      <c r="AD42" s="267"/>
      <c r="AE42" s="267"/>
      <c r="AF42" s="242">
        <v>1</v>
      </c>
      <c r="AG42" s="267">
        <v>0</v>
      </c>
      <c r="AH42" s="267">
        <v>3</v>
      </c>
      <c r="AI42" s="242">
        <v>1</v>
      </c>
      <c r="AJ42" s="242"/>
      <c r="AK42" s="242"/>
      <c r="AL42" s="242">
        <v>3</v>
      </c>
      <c r="AM42" s="242"/>
      <c r="AN42" s="242"/>
      <c r="AO42" s="242"/>
      <c r="AP42" s="247">
        <v>4</v>
      </c>
    </row>
    <row r="43" spans="1:42" x14ac:dyDescent="0.2">
      <c r="A43" s="1"/>
      <c r="B43" s="241" t="s">
        <v>318</v>
      </c>
      <c r="C43" s="257">
        <v>50</v>
      </c>
      <c r="D43"/>
      <c r="E43"/>
      <c r="F43"/>
      <c r="G43"/>
      <c r="H43"/>
      <c r="J43" s="261">
        <v>41831</v>
      </c>
      <c r="K43" s="242"/>
      <c r="L43" s="267"/>
      <c r="M43" s="267"/>
      <c r="N43" s="242"/>
      <c r="O43" s="267"/>
      <c r="P43" s="267"/>
      <c r="Q43" s="242"/>
      <c r="R43" s="267"/>
      <c r="S43" s="267"/>
      <c r="T43" s="242"/>
      <c r="U43" s="267"/>
      <c r="V43" s="267">
        <v>1</v>
      </c>
      <c r="W43" s="242"/>
      <c r="X43" s="267"/>
      <c r="Y43" s="267"/>
      <c r="Z43" s="242"/>
      <c r="AA43" s="267"/>
      <c r="AB43" s="267"/>
      <c r="AC43" s="242"/>
      <c r="AD43" s="267"/>
      <c r="AE43" s="267">
        <v>1</v>
      </c>
      <c r="AF43" s="242">
        <v>0</v>
      </c>
      <c r="AG43" s="267">
        <v>0</v>
      </c>
      <c r="AH43" s="267">
        <v>2</v>
      </c>
      <c r="AI43" s="242"/>
      <c r="AJ43" s="242"/>
      <c r="AK43" s="242"/>
      <c r="AL43" s="242">
        <v>1</v>
      </c>
      <c r="AM43" s="242"/>
      <c r="AN43" s="242"/>
      <c r="AO43" s="242">
        <v>1</v>
      </c>
      <c r="AP43" s="247">
        <v>2</v>
      </c>
    </row>
    <row r="44" spans="1:42" x14ac:dyDescent="0.2">
      <c r="A44" s="1"/>
      <c r="B44" s="241" t="s">
        <v>319</v>
      </c>
      <c r="C44" s="257">
        <v>108</v>
      </c>
      <c r="D44"/>
      <c r="E44"/>
      <c r="F44"/>
      <c r="G44"/>
      <c r="H44"/>
      <c r="J44" s="261">
        <v>41832</v>
      </c>
      <c r="K44" s="242"/>
      <c r="L44" s="267"/>
      <c r="M44" s="267"/>
      <c r="N44" s="242"/>
      <c r="O44" s="267"/>
      <c r="P44" s="267"/>
      <c r="Q44" s="242"/>
      <c r="R44" s="267"/>
      <c r="S44" s="267"/>
      <c r="T44" s="242"/>
      <c r="U44" s="267"/>
      <c r="V44" s="267">
        <v>1</v>
      </c>
      <c r="W44" s="242"/>
      <c r="X44" s="267"/>
      <c r="Y44" s="267"/>
      <c r="Z44" s="242"/>
      <c r="AA44" s="267"/>
      <c r="AB44" s="267"/>
      <c r="AC44" s="242"/>
      <c r="AD44" s="267"/>
      <c r="AE44" s="267"/>
      <c r="AF44" s="242">
        <v>0</v>
      </c>
      <c r="AG44" s="267">
        <v>0</v>
      </c>
      <c r="AH44" s="267">
        <v>1</v>
      </c>
      <c r="AI44" s="242"/>
      <c r="AJ44" s="242"/>
      <c r="AK44" s="242"/>
      <c r="AL44" s="242">
        <v>1</v>
      </c>
      <c r="AM44" s="242"/>
      <c r="AN44" s="242"/>
      <c r="AO44" s="242"/>
      <c r="AP44" s="247">
        <v>1</v>
      </c>
    </row>
    <row r="45" spans="1:42" x14ac:dyDescent="0.2">
      <c r="A45" s="1"/>
      <c r="B45" s="241" t="s">
        <v>320</v>
      </c>
      <c r="C45" s="257">
        <v>71.611378205128204</v>
      </c>
      <c r="D45"/>
      <c r="E45"/>
      <c r="F45"/>
      <c r="G45"/>
      <c r="H45"/>
      <c r="J45" s="261">
        <v>41833</v>
      </c>
      <c r="K45" s="242"/>
      <c r="L45" s="267"/>
      <c r="M45" s="267"/>
      <c r="N45" s="242"/>
      <c r="O45" s="267"/>
      <c r="P45" s="267"/>
      <c r="Q45" s="242"/>
      <c r="R45" s="267"/>
      <c r="S45" s="267"/>
      <c r="T45" s="242"/>
      <c r="U45" s="267"/>
      <c r="V45" s="267">
        <v>1</v>
      </c>
      <c r="W45" s="242"/>
      <c r="X45" s="267"/>
      <c r="Y45" s="267">
        <v>1</v>
      </c>
      <c r="Z45" s="242"/>
      <c r="AA45" s="267"/>
      <c r="AB45" s="267"/>
      <c r="AC45" s="242"/>
      <c r="AD45" s="267"/>
      <c r="AE45" s="267"/>
      <c r="AF45" s="242">
        <v>0</v>
      </c>
      <c r="AG45" s="267">
        <v>0</v>
      </c>
      <c r="AH45" s="267">
        <v>2</v>
      </c>
      <c r="AI45" s="242"/>
      <c r="AJ45" s="242"/>
      <c r="AK45" s="242"/>
      <c r="AL45" s="242">
        <v>1</v>
      </c>
      <c r="AM45" s="242">
        <v>1</v>
      </c>
      <c r="AN45" s="242"/>
      <c r="AO45" s="242"/>
      <c r="AP45" s="247">
        <v>2</v>
      </c>
    </row>
    <row r="46" spans="1:42" x14ac:dyDescent="0.2">
      <c r="A46" s="229" t="s">
        <v>177</v>
      </c>
      <c r="B46" s="229" t="s">
        <v>311</v>
      </c>
      <c r="C46" s="233">
        <v>205</v>
      </c>
      <c r="D46"/>
      <c r="E46"/>
      <c r="F46"/>
      <c r="G46"/>
      <c r="H46"/>
      <c r="J46" s="261">
        <v>41834</v>
      </c>
      <c r="K46" s="242"/>
      <c r="L46" s="267"/>
      <c r="M46" s="267">
        <v>1</v>
      </c>
      <c r="N46" s="242"/>
      <c r="O46" s="267"/>
      <c r="P46" s="267"/>
      <c r="Q46" s="242">
        <v>1</v>
      </c>
      <c r="R46" s="267"/>
      <c r="S46" s="267">
        <v>1</v>
      </c>
      <c r="T46" s="242"/>
      <c r="U46" s="267"/>
      <c r="V46" s="267"/>
      <c r="W46" s="242"/>
      <c r="X46" s="267"/>
      <c r="Y46" s="267"/>
      <c r="Z46" s="242"/>
      <c r="AA46" s="267"/>
      <c r="AB46" s="267"/>
      <c r="AC46" s="242"/>
      <c r="AD46" s="267"/>
      <c r="AE46" s="267">
        <v>1</v>
      </c>
      <c r="AF46" s="242">
        <v>1</v>
      </c>
      <c r="AG46" s="267">
        <v>0</v>
      </c>
      <c r="AH46" s="267">
        <v>3</v>
      </c>
      <c r="AI46" s="242">
        <v>1</v>
      </c>
      <c r="AJ46" s="242"/>
      <c r="AK46" s="242">
        <v>2</v>
      </c>
      <c r="AL46" s="242"/>
      <c r="AM46" s="242"/>
      <c r="AN46" s="242"/>
      <c r="AO46" s="242">
        <v>1</v>
      </c>
      <c r="AP46" s="247">
        <v>4</v>
      </c>
    </row>
    <row r="47" spans="1:42" x14ac:dyDescent="0.2">
      <c r="A47" s="1"/>
      <c r="B47" s="241" t="s">
        <v>312</v>
      </c>
      <c r="C47" s="257">
        <v>31</v>
      </c>
      <c r="D47"/>
      <c r="E47"/>
      <c r="F47"/>
      <c r="G47"/>
      <c r="H47"/>
      <c r="J47" s="261">
        <v>41835</v>
      </c>
      <c r="K47" s="242"/>
      <c r="L47" s="267"/>
      <c r="M47" s="267"/>
      <c r="N47" s="242"/>
      <c r="O47" s="267"/>
      <c r="P47" s="267">
        <v>1</v>
      </c>
      <c r="Q47" s="242"/>
      <c r="R47" s="267"/>
      <c r="S47" s="267"/>
      <c r="T47" s="242"/>
      <c r="U47" s="267"/>
      <c r="V47" s="267">
        <v>2</v>
      </c>
      <c r="W47" s="242"/>
      <c r="X47" s="267"/>
      <c r="Y47" s="267"/>
      <c r="Z47" s="242"/>
      <c r="AA47" s="267"/>
      <c r="AB47" s="267"/>
      <c r="AC47" s="242"/>
      <c r="AD47" s="267"/>
      <c r="AE47" s="267"/>
      <c r="AF47" s="242">
        <v>0</v>
      </c>
      <c r="AG47" s="267">
        <v>0</v>
      </c>
      <c r="AH47" s="267">
        <v>3</v>
      </c>
      <c r="AI47" s="242"/>
      <c r="AJ47" s="242">
        <v>1</v>
      </c>
      <c r="AK47" s="242"/>
      <c r="AL47" s="242">
        <v>2</v>
      </c>
      <c r="AM47" s="242"/>
      <c r="AN47" s="242"/>
      <c r="AO47" s="242"/>
      <c r="AP47" s="247">
        <v>3</v>
      </c>
    </row>
    <row r="48" spans="1:42" x14ac:dyDescent="0.2">
      <c r="A48" s="1"/>
      <c r="B48" s="241" t="s">
        <v>313</v>
      </c>
      <c r="C48" s="257">
        <v>199</v>
      </c>
      <c r="D48"/>
      <c r="E48"/>
      <c r="F48"/>
      <c r="G48"/>
      <c r="H48"/>
      <c r="J48" s="261">
        <v>41836</v>
      </c>
      <c r="K48" s="242"/>
      <c r="L48" s="267"/>
      <c r="M48" s="267"/>
      <c r="N48" s="242"/>
      <c r="O48" s="267"/>
      <c r="P48" s="267"/>
      <c r="Q48" s="242">
        <v>1</v>
      </c>
      <c r="R48" s="267"/>
      <c r="S48" s="267">
        <v>1</v>
      </c>
      <c r="T48" s="242"/>
      <c r="U48" s="267"/>
      <c r="V48" s="267"/>
      <c r="W48" s="242"/>
      <c r="X48" s="267">
        <v>1</v>
      </c>
      <c r="Y48" s="267"/>
      <c r="Z48" s="242"/>
      <c r="AA48" s="267"/>
      <c r="AB48" s="267"/>
      <c r="AC48" s="242"/>
      <c r="AD48" s="267"/>
      <c r="AE48" s="267"/>
      <c r="AF48" s="242">
        <v>1</v>
      </c>
      <c r="AG48" s="267">
        <v>1</v>
      </c>
      <c r="AH48" s="267">
        <v>1</v>
      </c>
      <c r="AI48" s="242"/>
      <c r="AJ48" s="242"/>
      <c r="AK48" s="242">
        <v>2</v>
      </c>
      <c r="AL48" s="242"/>
      <c r="AM48" s="242">
        <v>1</v>
      </c>
      <c r="AN48" s="242"/>
      <c r="AO48" s="242"/>
      <c r="AP48" s="247">
        <v>3</v>
      </c>
    </row>
    <row r="49" spans="1:42" x14ac:dyDescent="0.2">
      <c r="A49" s="1"/>
      <c r="B49" s="241" t="s">
        <v>314</v>
      </c>
      <c r="C49" s="257">
        <v>4</v>
      </c>
      <c r="D49"/>
      <c r="E49"/>
      <c r="F49"/>
      <c r="G49"/>
      <c r="H49"/>
      <c r="J49" s="261">
        <v>41837</v>
      </c>
      <c r="K49" s="242"/>
      <c r="L49" s="267">
        <v>1</v>
      </c>
      <c r="M49" s="267">
        <v>4</v>
      </c>
      <c r="N49" s="242"/>
      <c r="O49" s="267"/>
      <c r="P49" s="267"/>
      <c r="Q49" s="242"/>
      <c r="R49" s="267"/>
      <c r="S49" s="267">
        <v>3</v>
      </c>
      <c r="T49" s="242"/>
      <c r="U49" s="267"/>
      <c r="V49" s="267">
        <v>2</v>
      </c>
      <c r="W49" s="242">
        <v>1</v>
      </c>
      <c r="X49" s="267"/>
      <c r="Y49" s="267"/>
      <c r="Z49" s="242"/>
      <c r="AA49" s="267"/>
      <c r="AB49" s="267"/>
      <c r="AC49" s="242"/>
      <c r="AD49" s="267"/>
      <c r="AE49" s="267"/>
      <c r="AF49" s="242">
        <v>1</v>
      </c>
      <c r="AG49" s="267">
        <v>1</v>
      </c>
      <c r="AH49" s="267">
        <v>9</v>
      </c>
      <c r="AI49" s="242">
        <v>5</v>
      </c>
      <c r="AJ49" s="242"/>
      <c r="AK49" s="242">
        <v>3</v>
      </c>
      <c r="AL49" s="242">
        <v>2</v>
      </c>
      <c r="AM49" s="242">
        <v>1</v>
      </c>
      <c r="AN49" s="242"/>
      <c r="AO49" s="242"/>
      <c r="AP49" s="247">
        <v>11</v>
      </c>
    </row>
    <row r="50" spans="1:42" x14ac:dyDescent="0.2">
      <c r="A50" s="1"/>
      <c r="B50" s="241" t="s">
        <v>315</v>
      </c>
      <c r="C50" s="257">
        <v>31</v>
      </c>
      <c r="D50"/>
      <c r="E50"/>
      <c r="F50"/>
      <c r="G50"/>
      <c r="H50"/>
      <c r="J50" s="261">
        <v>41838</v>
      </c>
      <c r="K50" s="242"/>
      <c r="L50" s="267"/>
      <c r="M50" s="267">
        <v>6</v>
      </c>
      <c r="N50" s="242"/>
      <c r="O50" s="267">
        <v>1</v>
      </c>
      <c r="P50" s="267">
        <v>1</v>
      </c>
      <c r="Q50" s="242"/>
      <c r="R50" s="267"/>
      <c r="S50" s="267">
        <v>3</v>
      </c>
      <c r="T50" s="242"/>
      <c r="U50" s="267"/>
      <c r="V50" s="267">
        <v>1</v>
      </c>
      <c r="W50" s="242"/>
      <c r="X50" s="267"/>
      <c r="Y50" s="267"/>
      <c r="Z50" s="242"/>
      <c r="AA50" s="267"/>
      <c r="AB50" s="267"/>
      <c r="AC50" s="242"/>
      <c r="AD50" s="267"/>
      <c r="AE50" s="267"/>
      <c r="AF50" s="242">
        <v>0</v>
      </c>
      <c r="AG50" s="267">
        <v>1</v>
      </c>
      <c r="AH50" s="267">
        <v>11</v>
      </c>
      <c r="AI50" s="242">
        <v>6</v>
      </c>
      <c r="AJ50" s="242">
        <v>2</v>
      </c>
      <c r="AK50" s="242">
        <v>3</v>
      </c>
      <c r="AL50" s="242">
        <v>1</v>
      </c>
      <c r="AM50" s="242"/>
      <c r="AN50" s="242"/>
      <c r="AO50" s="242"/>
      <c r="AP50" s="247">
        <v>12</v>
      </c>
    </row>
    <row r="51" spans="1:42" x14ac:dyDescent="0.2">
      <c r="A51" s="1"/>
      <c r="B51" s="241" t="s">
        <v>316</v>
      </c>
      <c r="C51" s="257">
        <v>40</v>
      </c>
      <c r="D51"/>
      <c r="E51"/>
      <c r="F51"/>
      <c r="G51"/>
      <c r="H51"/>
      <c r="J51" s="261">
        <v>41839</v>
      </c>
      <c r="K51" s="242"/>
      <c r="L51" s="267"/>
      <c r="M51" s="267">
        <v>3</v>
      </c>
      <c r="N51" s="242"/>
      <c r="O51" s="267"/>
      <c r="P51" s="267"/>
      <c r="Q51" s="242"/>
      <c r="R51" s="267"/>
      <c r="S51" s="267">
        <v>1</v>
      </c>
      <c r="T51" s="242"/>
      <c r="U51" s="267"/>
      <c r="V51" s="267"/>
      <c r="W51" s="242"/>
      <c r="X51" s="267"/>
      <c r="Y51" s="267"/>
      <c r="Z51" s="242"/>
      <c r="AA51" s="267"/>
      <c r="AB51" s="267"/>
      <c r="AC51" s="242"/>
      <c r="AD51" s="267"/>
      <c r="AE51" s="267"/>
      <c r="AF51" s="242">
        <v>0</v>
      </c>
      <c r="AG51" s="267">
        <v>0</v>
      </c>
      <c r="AH51" s="267">
        <v>4</v>
      </c>
      <c r="AI51" s="242">
        <v>3</v>
      </c>
      <c r="AJ51" s="242"/>
      <c r="AK51" s="242">
        <v>1</v>
      </c>
      <c r="AL51" s="242"/>
      <c r="AM51" s="242"/>
      <c r="AN51" s="242"/>
      <c r="AO51" s="242"/>
      <c r="AP51" s="247">
        <v>4</v>
      </c>
    </row>
    <row r="52" spans="1:42" x14ac:dyDescent="0.2">
      <c r="A52" s="1"/>
      <c r="B52" s="241" t="s">
        <v>317</v>
      </c>
      <c r="C52" s="257">
        <v>35.5</v>
      </c>
      <c r="D52"/>
      <c r="E52"/>
      <c r="F52"/>
      <c r="G52"/>
      <c r="H52"/>
      <c r="J52" s="261">
        <v>41840</v>
      </c>
      <c r="K52" s="242"/>
      <c r="L52" s="267"/>
      <c r="M52" s="267"/>
      <c r="N52" s="242"/>
      <c r="O52" s="267"/>
      <c r="P52" s="267"/>
      <c r="Q52" s="242"/>
      <c r="R52" s="267"/>
      <c r="S52" s="267"/>
      <c r="T52" s="242"/>
      <c r="U52" s="267"/>
      <c r="V52" s="267"/>
      <c r="W52" s="242"/>
      <c r="X52" s="267"/>
      <c r="Y52" s="267"/>
      <c r="Z52" s="242"/>
      <c r="AA52" s="267"/>
      <c r="AB52" s="267"/>
      <c r="AC52" s="242"/>
      <c r="AD52" s="267"/>
      <c r="AE52" s="267"/>
      <c r="AF52" s="242">
        <v>0</v>
      </c>
      <c r="AG52" s="267">
        <v>0</v>
      </c>
      <c r="AH52" s="267">
        <v>0</v>
      </c>
      <c r="AI52" s="242"/>
      <c r="AJ52" s="242"/>
      <c r="AK52" s="242"/>
      <c r="AL52" s="242"/>
      <c r="AM52" s="242"/>
      <c r="AN52" s="242"/>
      <c r="AO52" s="242"/>
      <c r="AP52" s="247">
        <v>0</v>
      </c>
    </row>
    <row r="53" spans="1:42" x14ac:dyDescent="0.2">
      <c r="A53" s="1"/>
      <c r="B53" s="241" t="s">
        <v>318</v>
      </c>
      <c r="C53" s="257">
        <v>27</v>
      </c>
      <c r="D53"/>
      <c r="E53"/>
      <c r="F53"/>
      <c r="G53"/>
      <c r="H53"/>
      <c r="J53" s="261">
        <v>41841</v>
      </c>
      <c r="K53" s="242"/>
      <c r="L53" s="267"/>
      <c r="M53" s="267"/>
      <c r="N53" s="242"/>
      <c r="O53" s="267"/>
      <c r="P53" s="267"/>
      <c r="Q53" s="242"/>
      <c r="R53" s="267"/>
      <c r="S53" s="267">
        <v>1</v>
      </c>
      <c r="T53" s="242"/>
      <c r="U53" s="267"/>
      <c r="V53" s="267"/>
      <c r="W53" s="242"/>
      <c r="X53" s="267"/>
      <c r="Y53" s="267"/>
      <c r="Z53" s="242"/>
      <c r="AA53" s="267"/>
      <c r="AB53" s="267"/>
      <c r="AC53" s="242"/>
      <c r="AD53" s="267"/>
      <c r="AE53" s="267"/>
      <c r="AF53" s="242">
        <v>0</v>
      </c>
      <c r="AG53" s="267">
        <v>0</v>
      </c>
      <c r="AH53" s="267">
        <v>1</v>
      </c>
      <c r="AI53" s="242"/>
      <c r="AJ53" s="242"/>
      <c r="AK53" s="242">
        <v>1</v>
      </c>
      <c r="AL53" s="242"/>
      <c r="AM53" s="242"/>
      <c r="AN53" s="242"/>
      <c r="AO53" s="242"/>
      <c r="AP53" s="247">
        <v>1</v>
      </c>
    </row>
    <row r="54" spans="1:42" x14ac:dyDescent="0.2">
      <c r="A54" s="1"/>
      <c r="B54" s="241" t="s">
        <v>319</v>
      </c>
      <c r="C54" s="257">
        <v>49</v>
      </c>
      <c r="D54"/>
      <c r="E54"/>
      <c r="F54"/>
      <c r="G54"/>
      <c r="H54"/>
      <c r="J54" s="261">
        <v>41842</v>
      </c>
      <c r="K54" s="242"/>
      <c r="L54" s="267"/>
      <c r="M54" s="267">
        <v>1</v>
      </c>
      <c r="N54" s="242"/>
      <c r="O54" s="267"/>
      <c r="P54" s="267"/>
      <c r="Q54" s="242"/>
      <c r="R54" s="267"/>
      <c r="S54" s="267">
        <v>1</v>
      </c>
      <c r="T54" s="242"/>
      <c r="U54" s="267"/>
      <c r="V54" s="267"/>
      <c r="W54" s="242">
        <v>1</v>
      </c>
      <c r="X54" s="267"/>
      <c r="Y54" s="267"/>
      <c r="Z54" s="242"/>
      <c r="AA54" s="267"/>
      <c r="AB54" s="267"/>
      <c r="AC54" s="242"/>
      <c r="AD54" s="267"/>
      <c r="AE54" s="267"/>
      <c r="AF54" s="242">
        <v>1</v>
      </c>
      <c r="AG54" s="267">
        <v>0</v>
      </c>
      <c r="AH54" s="267">
        <v>2</v>
      </c>
      <c r="AI54" s="242">
        <v>1</v>
      </c>
      <c r="AJ54" s="242"/>
      <c r="AK54" s="242">
        <v>1</v>
      </c>
      <c r="AL54" s="242"/>
      <c r="AM54" s="242">
        <v>1</v>
      </c>
      <c r="AN54" s="242"/>
      <c r="AO54" s="242"/>
      <c r="AP54" s="247">
        <v>3</v>
      </c>
    </row>
    <row r="55" spans="1:42" x14ac:dyDescent="0.2">
      <c r="A55" s="1"/>
      <c r="B55" s="241" t="s">
        <v>320</v>
      </c>
      <c r="C55" s="257">
        <v>35.884422110552762</v>
      </c>
      <c r="D55"/>
      <c r="E55"/>
      <c r="F55"/>
      <c r="G55"/>
      <c r="H55"/>
      <c r="J55" s="261">
        <v>41843</v>
      </c>
      <c r="K55" s="242"/>
      <c r="L55" s="267"/>
      <c r="M55" s="267">
        <v>3</v>
      </c>
      <c r="N55" s="242"/>
      <c r="O55" s="267"/>
      <c r="P55" s="267"/>
      <c r="Q55" s="242"/>
      <c r="R55" s="267"/>
      <c r="S55" s="267">
        <v>1</v>
      </c>
      <c r="T55" s="242"/>
      <c r="U55" s="267"/>
      <c r="V55" s="267"/>
      <c r="W55" s="242"/>
      <c r="X55" s="267"/>
      <c r="Y55" s="267"/>
      <c r="Z55" s="242"/>
      <c r="AA55" s="267"/>
      <c r="AB55" s="267"/>
      <c r="AC55" s="242"/>
      <c r="AD55" s="267"/>
      <c r="AE55" s="267"/>
      <c r="AF55" s="242">
        <v>0</v>
      </c>
      <c r="AG55" s="267">
        <v>0</v>
      </c>
      <c r="AH55" s="267">
        <v>4</v>
      </c>
      <c r="AI55" s="242">
        <v>3</v>
      </c>
      <c r="AJ55" s="242"/>
      <c r="AK55" s="242">
        <v>1</v>
      </c>
      <c r="AL55" s="242"/>
      <c r="AM55" s="242"/>
      <c r="AN55" s="242"/>
      <c r="AO55" s="242"/>
      <c r="AP55" s="247">
        <v>4</v>
      </c>
    </row>
    <row r="56" spans="1:42" x14ac:dyDescent="0.2">
      <c r="A56" s="229" t="s">
        <v>72</v>
      </c>
      <c r="B56" s="229" t="s">
        <v>311</v>
      </c>
      <c r="C56" s="233">
        <v>324</v>
      </c>
      <c r="D56"/>
      <c r="E56"/>
      <c r="F56"/>
      <c r="G56"/>
      <c r="H56"/>
      <c r="J56" s="261">
        <v>41844</v>
      </c>
      <c r="K56" s="242"/>
      <c r="L56" s="267"/>
      <c r="M56" s="267"/>
      <c r="N56" s="242"/>
      <c r="O56" s="267"/>
      <c r="P56" s="267"/>
      <c r="Q56" s="242"/>
      <c r="R56" s="267"/>
      <c r="S56" s="267">
        <v>2</v>
      </c>
      <c r="T56" s="242"/>
      <c r="U56" s="267"/>
      <c r="V56" s="267"/>
      <c r="W56" s="242"/>
      <c r="X56" s="267"/>
      <c r="Y56" s="267"/>
      <c r="Z56" s="242"/>
      <c r="AA56" s="267"/>
      <c r="AB56" s="267"/>
      <c r="AC56" s="242"/>
      <c r="AD56" s="267"/>
      <c r="AE56" s="267"/>
      <c r="AF56" s="242">
        <v>0</v>
      </c>
      <c r="AG56" s="267">
        <v>0</v>
      </c>
      <c r="AH56" s="267">
        <v>2</v>
      </c>
      <c r="AI56" s="242"/>
      <c r="AJ56" s="242"/>
      <c r="AK56" s="242">
        <v>2</v>
      </c>
      <c r="AL56" s="242"/>
      <c r="AM56" s="242"/>
      <c r="AN56" s="242"/>
      <c r="AO56" s="242"/>
      <c r="AP56" s="247">
        <v>2</v>
      </c>
    </row>
    <row r="57" spans="1:42" x14ac:dyDescent="0.2">
      <c r="A57" s="1"/>
      <c r="B57" s="241" t="s">
        <v>312</v>
      </c>
      <c r="C57" s="257">
        <v>199</v>
      </c>
      <c r="D57"/>
      <c r="E57"/>
      <c r="F57"/>
      <c r="G57"/>
      <c r="H57"/>
      <c r="J57" s="261">
        <v>41845</v>
      </c>
      <c r="K57" s="242"/>
      <c r="L57" s="267"/>
      <c r="M57" s="267"/>
      <c r="N57" s="242"/>
      <c r="O57" s="267"/>
      <c r="P57" s="267"/>
      <c r="Q57" s="242"/>
      <c r="R57" s="267"/>
      <c r="S57" s="267"/>
      <c r="T57" s="242"/>
      <c r="U57" s="267"/>
      <c r="V57" s="267"/>
      <c r="W57" s="242"/>
      <c r="X57" s="267"/>
      <c r="Y57" s="267"/>
      <c r="Z57" s="242"/>
      <c r="AA57" s="267"/>
      <c r="AB57" s="267"/>
      <c r="AC57" s="242"/>
      <c r="AD57" s="267"/>
      <c r="AE57" s="267"/>
      <c r="AF57" s="242">
        <v>0</v>
      </c>
      <c r="AG57" s="267">
        <v>0</v>
      </c>
      <c r="AH57" s="267">
        <v>0</v>
      </c>
      <c r="AI57" s="242"/>
      <c r="AJ57" s="242"/>
      <c r="AK57" s="242"/>
      <c r="AL57" s="242"/>
      <c r="AM57" s="242"/>
      <c r="AN57" s="242"/>
      <c r="AO57" s="242"/>
      <c r="AP57" s="247">
        <v>0</v>
      </c>
    </row>
    <row r="58" spans="1:42" x14ac:dyDescent="0.2">
      <c r="A58" s="1"/>
      <c r="B58" s="241" t="s">
        <v>313</v>
      </c>
      <c r="C58" s="257">
        <v>324</v>
      </c>
      <c r="D58"/>
      <c r="E58"/>
      <c r="F58"/>
      <c r="G58"/>
      <c r="H58"/>
      <c r="J58" s="261">
        <v>41846</v>
      </c>
      <c r="K58" s="242"/>
      <c r="L58" s="267">
        <v>2</v>
      </c>
      <c r="M58" s="267">
        <v>1</v>
      </c>
      <c r="N58" s="242"/>
      <c r="O58" s="267"/>
      <c r="P58" s="267"/>
      <c r="Q58" s="242"/>
      <c r="R58" s="267"/>
      <c r="S58" s="267"/>
      <c r="T58" s="242"/>
      <c r="U58" s="267"/>
      <c r="V58" s="267"/>
      <c r="W58" s="242"/>
      <c r="X58" s="267"/>
      <c r="Y58" s="267"/>
      <c r="Z58" s="242"/>
      <c r="AA58" s="267"/>
      <c r="AB58" s="267"/>
      <c r="AC58" s="242"/>
      <c r="AD58" s="267"/>
      <c r="AE58" s="267"/>
      <c r="AF58" s="242">
        <v>0</v>
      </c>
      <c r="AG58" s="267">
        <v>2</v>
      </c>
      <c r="AH58" s="267">
        <v>1</v>
      </c>
      <c r="AI58" s="242">
        <v>3</v>
      </c>
      <c r="AJ58" s="242"/>
      <c r="AK58" s="242"/>
      <c r="AL58" s="242"/>
      <c r="AM58" s="242"/>
      <c r="AN58" s="242"/>
      <c r="AO58" s="242"/>
      <c r="AP58" s="247">
        <v>3</v>
      </c>
    </row>
    <row r="59" spans="1:42" x14ac:dyDescent="0.2">
      <c r="A59" s="1"/>
      <c r="B59" s="241" t="s">
        <v>314</v>
      </c>
      <c r="C59" s="257"/>
      <c r="D59"/>
      <c r="E59"/>
      <c r="F59"/>
      <c r="G59"/>
      <c r="H59"/>
      <c r="J59" s="261">
        <v>41847</v>
      </c>
      <c r="K59" s="242"/>
      <c r="L59" s="267"/>
      <c r="M59" s="267"/>
      <c r="N59" s="242"/>
      <c r="O59" s="267"/>
      <c r="P59" s="267"/>
      <c r="Q59" s="242"/>
      <c r="R59" s="267"/>
      <c r="S59" s="267"/>
      <c r="T59" s="242"/>
      <c r="U59" s="267"/>
      <c r="V59" s="267"/>
      <c r="W59" s="242"/>
      <c r="X59" s="267"/>
      <c r="Y59" s="267"/>
      <c r="Z59" s="242"/>
      <c r="AA59" s="267"/>
      <c r="AB59" s="267"/>
      <c r="AC59" s="242"/>
      <c r="AD59" s="267"/>
      <c r="AE59" s="267"/>
      <c r="AF59" s="242">
        <v>0</v>
      </c>
      <c r="AG59" s="267">
        <v>0</v>
      </c>
      <c r="AH59" s="267">
        <v>0</v>
      </c>
      <c r="AI59" s="242"/>
      <c r="AJ59" s="242"/>
      <c r="AK59" s="242"/>
      <c r="AL59" s="242"/>
      <c r="AM59" s="242"/>
      <c r="AN59" s="242"/>
      <c r="AO59" s="242"/>
      <c r="AP59" s="247">
        <v>0</v>
      </c>
    </row>
    <row r="60" spans="1:42" x14ac:dyDescent="0.2">
      <c r="A60" s="1"/>
      <c r="B60" s="241" t="s">
        <v>315</v>
      </c>
      <c r="C60" s="257"/>
      <c r="D60"/>
      <c r="E60"/>
      <c r="F60"/>
      <c r="G60"/>
      <c r="H60"/>
      <c r="J60" s="261">
        <v>41848</v>
      </c>
      <c r="K60" s="242"/>
      <c r="L60" s="267"/>
      <c r="M60" s="267">
        <v>1</v>
      </c>
      <c r="N60" s="242"/>
      <c r="O60" s="267"/>
      <c r="P60" s="267">
        <v>1</v>
      </c>
      <c r="Q60" s="242"/>
      <c r="R60" s="267"/>
      <c r="S60" s="267"/>
      <c r="T60" s="242"/>
      <c r="U60" s="267"/>
      <c r="V60" s="267"/>
      <c r="W60" s="242"/>
      <c r="X60" s="267"/>
      <c r="Y60" s="267"/>
      <c r="Z60" s="242"/>
      <c r="AA60" s="267"/>
      <c r="AB60" s="267"/>
      <c r="AC60" s="242"/>
      <c r="AD60" s="267"/>
      <c r="AE60" s="267"/>
      <c r="AF60" s="242">
        <v>0</v>
      </c>
      <c r="AG60" s="267">
        <v>0</v>
      </c>
      <c r="AH60" s="267">
        <v>2</v>
      </c>
      <c r="AI60" s="242">
        <v>1</v>
      </c>
      <c r="AJ60" s="242">
        <v>1</v>
      </c>
      <c r="AK60" s="242"/>
      <c r="AL60" s="242"/>
      <c r="AM60" s="242"/>
      <c r="AN60" s="242"/>
      <c r="AO60" s="242"/>
      <c r="AP60" s="247">
        <v>2</v>
      </c>
    </row>
    <row r="61" spans="1:42" x14ac:dyDescent="0.2">
      <c r="A61" s="1"/>
      <c r="B61" s="241" t="s">
        <v>316</v>
      </c>
      <c r="C61" s="257"/>
      <c r="D61"/>
      <c r="E61"/>
      <c r="F61"/>
      <c r="G61"/>
      <c r="H61"/>
      <c r="J61" s="261">
        <v>41849</v>
      </c>
      <c r="K61" s="242"/>
      <c r="L61" s="267"/>
      <c r="M61" s="267"/>
      <c r="N61" s="242"/>
      <c r="O61" s="267"/>
      <c r="P61" s="267"/>
      <c r="Q61" s="242"/>
      <c r="R61" s="267">
        <v>1</v>
      </c>
      <c r="S61" s="267"/>
      <c r="T61" s="242"/>
      <c r="U61" s="267"/>
      <c r="V61" s="267"/>
      <c r="W61" s="242"/>
      <c r="X61" s="267"/>
      <c r="Y61" s="267"/>
      <c r="Z61" s="242"/>
      <c r="AA61" s="267"/>
      <c r="AB61" s="267"/>
      <c r="AC61" s="242"/>
      <c r="AD61" s="267"/>
      <c r="AE61" s="267"/>
      <c r="AF61" s="242">
        <v>0</v>
      </c>
      <c r="AG61" s="267">
        <v>1</v>
      </c>
      <c r="AH61" s="267">
        <v>0</v>
      </c>
      <c r="AI61" s="242"/>
      <c r="AJ61" s="242"/>
      <c r="AK61" s="242">
        <v>1</v>
      </c>
      <c r="AL61" s="242"/>
      <c r="AM61" s="242"/>
      <c r="AN61" s="242"/>
      <c r="AO61" s="242"/>
      <c r="AP61" s="247">
        <v>1</v>
      </c>
    </row>
    <row r="62" spans="1:42" x14ac:dyDescent="0.2">
      <c r="A62" s="1"/>
      <c r="B62" s="241" t="s">
        <v>317</v>
      </c>
      <c r="C62" s="257"/>
      <c r="D62"/>
      <c r="E62"/>
      <c r="F62"/>
      <c r="G62"/>
      <c r="H62"/>
      <c r="J62" s="261">
        <v>41850</v>
      </c>
      <c r="K62" s="242"/>
      <c r="L62" s="267"/>
      <c r="M62" s="267"/>
      <c r="N62" s="242"/>
      <c r="O62" s="267"/>
      <c r="P62" s="267"/>
      <c r="Q62" s="242"/>
      <c r="R62" s="267"/>
      <c r="S62" s="267"/>
      <c r="T62" s="242"/>
      <c r="U62" s="267"/>
      <c r="V62" s="267"/>
      <c r="W62" s="242"/>
      <c r="X62" s="267"/>
      <c r="Y62" s="267"/>
      <c r="Z62" s="242"/>
      <c r="AA62" s="267"/>
      <c r="AB62" s="267"/>
      <c r="AC62" s="242"/>
      <c r="AD62" s="267"/>
      <c r="AE62" s="267"/>
      <c r="AF62" s="242">
        <v>0</v>
      </c>
      <c r="AG62" s="267">
        <v>0</v>
      </c>
      <c r="AH62" s="267">
        <v>0</v>
      </c>
      <c r="AI62" s="242"/>
      <c r="AJ62" s="242"/>
      <c r="AK62" s="242"/>
      <c r="AL62" s="242"/>
      <c r="AM62" s="242"/>
      <c r="AN62" s="242"/>
      <c r="AO62" s="242"/>
      <c r="AP62" s="247">
        <v>0</v>
      </c>
    </row>
    <row r="63" spans="1:42" x14ac:dyDescent="0.2">
      <c r="A63" s="1"/>
      <c r="B63" s="241" t="s">
        <v>318</v>
      </c>
      <c r="C63" s="257">
        <v>33</v>
      </c>
      <c r="D63"/>
      <c r="E63"/>
      <c r="F63"/>
      <c r="G63"/>
      <c r="H63"/>
      <c r="J63" s="261">
        <v>41851</v>
      </c>
      <c r="K63" s="242"/>
      <c r="L63" s="267"/>
      <c r="M63" s="267"/>
      <c r="N63" s="242"/>
      <c r="O63" s="267"/>
      <c r="P63" s="267"/>
      <c r="Q63" s="242"/>
      <c r="R63" s="267"/>
      <c r="S63" s="267"/>
      <c r="T63" s="242"/>
      <c r="U63" s="267"/>
      <c r="V63" s="267"/>
      <c r="W63" s="242"/>
      <c r="X63" s="267"/>
      <c r="Y63" s="267"/>
      <c r="Z63" s="242"/>
      <c r="AA63" s="267"/>
      <c r="AB63" s="267"/>
      <c r="AC63" s="242"/>
      <c r="AD63" s="267"/>
      <c r="AE63" s="267"/>
      <c r="AF63" s="242">
        <v>0</v>
      </c>
      <c r="AG63" s="267">
        <v>0</v>
      </c>
      <c r="AH63" s="267">
        <v>0</v>
      </c>
      <c r="AI63" s="242"/>
      <c r="AJ63" s="242"/>
      <c r="AK63" s="242"/>
      <c r="AL63" s="242"/>
      <c r="AM63" s="242"/>
      <c r="AN63" s="242"/>
      <c r="AO63" s="242"/>
      <c r="AP63" s="247">
        <v>0</v>
      </c>
    </row>
    <row r="64" spans="1:42" x14ac:dyDescent="0.2">
      <c r="A64" s="1"/>
      <c r="B64" s="241" t="s">
        <v>319</v>
      </c>
      <c r="C64" s="257">
        <v>65</v>
      </c>
      <c r="D64"/>
      <c r="E64"/>
      <c r="F64"/>
      <c r="G64"/>
      <c r="H64"/>
      <c r="J64" s="261">
        <v>41852</v>
      </c>
      <c r="K64" s="242"/>
      <c r="L64" s="267"/>
      <c r="M64" s="267"/>
      <c r="N64" s="242"/>
      <c r="O64" s="267"/>
      <c r="P64" s="267">
        <v>1</v>
      </c>
      <c r="Q64" s="242">
        <v>1</v>
      </c>
      <c r="R64" s="267"/>
      <c r="S64" s="267">
        <v>3</v>
      </c>
      <c r="T64" s="242"/>
      <c r="U64" s="267"/>
      <c r="V64" s="267"/>
      <c r="W64" s="242"/>
      <c r="X64" s="267"/>
      <c r="Y64" s="267"/>
      <c r="Z64" s="242"/>
      <c r="AA64" s="267"/>
      <c r="AB64" s="267"/>
      <c r="AC64" s="242"/>
      <c r="AD64" s="267"/>
      <c r="AE64" s="267"/>
      <c r="AF64" s="242">
        <v>1</v>
      </c>
      <c r="AG64" s="267">
        <v>0</v>
      </c>
      <c r="AH64" s="267">
        <v>4</v>
      </c>
      <c r="AI64" s="242"/>
      <c r="AJ64" s="242">
        <v>1</v>
      </c>
      <c r="AK64" s="242">
        <v>4</v>
      </c>
      <c r="AL64" s="242"/>
      <c r="AM64" s="242"/>
      <c r="AN64" s="242"/>
      <c r="AO64" s="242"/>
      <c r="AP64" s="247">
        <v>5</v>
      </c>
    </row>
    <row r="65" spans="1:42" x14ac:dyDescent="0.2">
      <c r="A65" s="1"/>
      <c r="B65" s="241" t="s">
        <v>320</v>
      </c>
      <c r="C65" s="257">
        <v>53.969135802469133</v>
      </c>
      <c r="D65"/>
      <c r="E65"/>
      <c r="F65"/>
      <c r="G65"/>
      <c r="H65"/>
      <c r="J65" s="261">
        <v>41853</v>
      </c>
      <c r="K65" s="242"/>
      <c r="L65" s="267"/>
      <c r="M65" s="267"/>
      <c r="N65" s="242"/>
      <c r="O65" s="267"/>
      <c r="P65" s="267"/>
      <c r="Q65" s="242"/>
      <c r="R65" s="267"/>
      <c r="S65" s="267">
        <v>1</v>
      </c>
      <c r="T65" s="242"/>
      <c r="U65" s="267"/>
      <c r="V65" s="267"/>
      <c r="W65" s="242"/>
      <c r="X65" s="267"/>
      <c r="Y65" s="267"/>
      <c r="Z65" s="242"/>
      <c r="AA65" s="267"/>
      <c r="AB65" s="267"/>
      <c r="AC65" s="242"/>
      <c r="AD65" s="267"/>
      <c r="AE65" s="267"/>
      <c r="AF65" s="242">
        <v>0</v>
      </c>
      <c r="AG65" s="267">
        <v>0</v>
      </c>
      <c r="AH65" s="267">
        <v>1</v>
      </c>
      <c r="AI65" s="242"/>
      <c r="AJ65" s="242"/>
      <c r="AK65" s="242">
        <v>1</v>
      </c>
      <c r="AL65" s="242"/>
      <c r="AM65" s="242"/>
      <c r="AN65" s="242"/>
      <c r="AO65" s="242"/>
      <c r="AP65" s="247">
        <v>1</v>
      </c>
    </row>
    <row r="66" spans="1:42" x14ac:dyDescent="0.2">
      <c r="A66" s="229" t="s">
        <v>87</v>
      </c>
      <c r="B66" s="229" t="s">
        <v>311</v>
      </c>
      <c r="C66" s="233">
        <v>7</v>
      </c>
      <c r="D66"/>
      <c r="E66"/>
      <c r="F66"/>
      <c r="G66"/>
      <c r="H66"/>
      <c r="J66" s="261">
        <v>41854</v>
      </c>
      <c r="K66" s="242"/>
      <c r="L66" s="267"/>
      <c r="M66" s="267">
        <v>2</v>
      </c>
      <c r="N66" s="242"/>
      <c r="O66" s="267"/>
      <c r="P66" s="267"/>
      <c r="Q66" s="242"/>
      <c r="R66" s="267"/>
      <c r="S66" s="267">
        <v>1</v>
      </c>
      <c r="T66" s="242"/>
      <c r="U66" s="267"/>
      <c r="V66" s="267"/>
      <c r="W66" s="242"/>
      <c r="X66" s="267"/>
      <c r="Y66" s="267"/>
      <c r="Z66" s="242"/>
      <c r="AA66" s="267"/>
      <c r="AB66" s="267"/>
      <c r="AC66" s="242"/>
      <c r="AD66" s="267"/>
      <c r="AE66" s="267"/>
      <c r="AF66" s="242">
        <v>0</v>
      </c>
      <c r="AG66" s="267">
        <v>0</v>
      </c>
      <c r="AH66" s="267">
        <v>3</v>
      </c>
      <c r="AI66" s="242">
        <v>2</v>
      </c>
      <c r="AJ66" s="242"/>
      <c r="AK66" s="242">
        <v>1</v>
      </c>
      <c r="AL66" s="242"/>
      <c r="AM66" s="242"/>
      <c r="AN66" s="242"/>
      <c r="AO66" s="242"/>
      <c r="AP66" s="247">
        <v>3</v>
      </c>
    </row>
    <row r="67" spans="1:42" x14ac:dyDescent="0.2">
      <c r="A67" s="1"/>
      <c r="B67" s="241" t="s">
        <v>312</v>
      </c>
      <c r="C67" s="257">
        <v>6</v>
      </c>
      <c r="D67"/>
      <c r="E67"/>
      <c r="F67"/>
      <c r="G67"/>
      <c r="H67"/>
      <c r="J67" s="261">
        <v>41855</v>
      </c>
      <c r="K67" s="242"/>
      <c r="L67" s="267"/>
      <c r="M67" s="267"/>
      <c r="N67" s="242"/>
      <c r="O67" s="267"/>
      <c r="P67" s="267"/>
      <c r="Q67" s="242"/>
      <c r="R67" s="267"/>
      <c r="S67" s="267">
        <v>1</v>
      </c>
      <c r="T67" s="242"/>
      <c r="U67" s="267"/>
      <c r="V67" s="267"/>
      <c r="W67" s="242"/>
      <c r="X67" s="267"/>
      <c r="Y67" s="267"/>
      <c r="Z67" s="242"/>
      <c r="AA67" s="267"/>
      <c r="AB67" s="267"/>
      <c r="AC67" s="242"/>
      <c r="AD67" s="267"/>
      <c r="AE67" s="267"/>
      <c r="AF67" s="242">
        <v>0</v>
      </c>
      <c r="AG67" s="267">
        <v>0</v>
      </c>
      <c r="AH67" s="267">
        <v>1</v>
      </c>
      <c r="AI67" s="242"/>
      <c r="AJ67" s="242"/>
      <c r="AK67" s="242">
        <v>1</v>
      </c>
      <c r="AL67" s="242"/>
      <c r="AM67" s="242"/>
      <c r="AN67" s="242"/>
      <c r="AO67" s="242"/>
      <c r="AP67" s="247">
        <v>1</v>
      </c>
    </row>
    <row r="68" spans="1:42" x14ac:dyDescent="0.2">
      <c r="A68" s="1"/>
      <c r="B68" s="241" t="s">
        <v>313</v>
      </c>
      <c r="C68" s="257">
        <v>1</v>
      </c>
      <c r="D68"/>
      <c r="E68"/>
      <c r="F68"/>
      <c r="G68"/>
      <c r="H68"/>
      <c r="J68" s="261">
        <v>41856</v>
      </c>
      <c r="K68" s="242"/>
      <c r="L68" s="267"/>
      <c r="M68" s="267"/>
      <c r="N68" s="242"/>
      <c r="O68" s="267"/>
      <c r="P68" s="267"/>
      <c r="Q68" s="242"/>
      <c r="R68" s="267"/>
      <c r="S68" s="267">
        <v>1</v>
      </c>
      <c r="T68" s="242"/>
      <c r="U68" s="267"/>
      <c r="V68" s="267"/>
      <c r="W68" s="242"/>
      <c r="X68" s="267"/>
      <c r="Y68" s="267"/>
      <c r="Z68" s="242"/>
      <c r="AA68" s="267"/>
      <c r="AB68" s="267"/>
      <c r="AC68" s="242"/>
      <c r="AD68" s="267"/>
      <c r="AE68" s="267"/>
      <c r="AF68" s="242">
        <v>0</v>
      </c>
      <c r="AG68" s="267">
        <v>0</v>
      </c>
      <c r="AH68" s="267">
        <v>1</v>
      </c>
      <c r="AI68" s="242"/>
      <c r="AJ68" s="242"/>
      <c r="AK68" s="242">
        <v>1</v>
      </c>
      <c r="AL68" s="242"/>
      <c r="AM68" s="242"/>
      <c r="AN68" s="242"/>
      <c r="AO68" s="242"/>
      <c r="AP68" s="247">
        <v>1</v>
      </c>
    </row>
    <row r="69" spans="1:42" x14ac:dyDescent="0.2">
      <c r="A69" s="1"/>
      <c r="B69" s="241" t="s">
        <v>314</v>
      </c>
      <c r="C69" s="257">
        <v>5</v>
      </c>
      <c r="D69"/>
      <c r="E69"/>
      <c r="F69"/>
      <c r="G69"/>
      <c r="H69"/>
      <c r="J69" s="261">
        <v>41857</v>
      </c>
      <c r="K69" s="242"/>
      <c r="L69" s="267"/>
      <c r="M69" s="267"/>
      <c r="N69" s="242">
        <v>1</v>
      </c>
      <c r="O69" s="267"/>
      <c r="P69" s="267"/>
      <c r="Q69" s="242"/>
      <c r="R69" s="267"/>
      <c r="S69" s="267">
        <v>1</v>
      </c>
      <c r="T69" s="242"/>
      <c r="U69" s="267"/>
      <c r="V69" s="267"/>
      <c r="W69" s="242"/>
      <c r="X69" s="267"/>
      <c r="Y69" s="267"/>
      <c r="Z69" s="242"/>
      <c r="AA69" s="267"/>
      <c r="AB69" s="267"/>
      <c r="AC69" s="242"/>
      <c r="AD69" s="267"/>
      <c r="AE69" s="267"/>
      <c r="AF69" s="242">
        <v>1</v>
      </c>
      <c r="AG69" s="267">
        <v>0</v>
      </c>
      <c r="AH69" s="267">
        <v>1</v>
      </c>
      <c r="AI69" s="242"/>
      <c r="AJ69" s="242">
        <v>1</v>
      </c>
      <c r="AK69" s="242">
        <v>1</v>
      </c>
      <c r="AL69" s="242"/>
      <c r="AM69" s="242"/>
      <c r="AN69" s="242"/>
      <c r="AO69" s="242"/>
      <c r="AP69" s="247">
        <v>2</v>
      </c>
    </row>
    <row r="70" spans="1:42" x14ac:dyDescent="0.2">
      <c r="A70" s="1"/>
      <c r="B70" s="241" t="s">
        <v>315</v>
      </c>
      <c r="C70" s="257">
        <v>20</v>
      </c>
      <c r="D70"/>
      <c r="E70"/>
      <c r="F70"/>
      <c r="G70"/>
      <c r="H70"/>
      <c r="J70" s="261">
        <v>41858</v>
      </c>
      <c r="K70" s="242"/>
      <c r="L70" s="267"/>
      <c r="M70" s="267"/>
      <c r="N70" s="242"/>
      <c r="O70" s="267"/>
      <c r="P70" s="267"/>
      <c r="Q70" s="242"/>
      <c r="R70" s="267"/>
      <c r="S70" s="267"/>
      <c r="T70" s="242"/>
      <c r="U70" s="267"/>
      <c r="V70" s="267"/>
      <c r="W70" s="242"/>
      <c r="X70" s="267"/>
      <c r="Y70" s="267"/>
      <c r="Z70" s="242"/>
      <c r="AA70" s="267"/>
      <c r="AB70" s="267"/>
      <c r="AC70" s="242"/>
      <c r="AD70" s="267"/>
      <c r="AE70" s="267"/>
      <c r="AF70" s="242">
        <v>0</v>
      </c>
      <c r="AG70" s="267">
        <v>0</v>
      </c>
      <c r="AH70" s="267">
        <v>0</v>
      </c>
      <c r="AI70" s="242"/>
      <c r="AJ70" s="242"/>
      <c r="AK70" s="242"/>
      <c r="AL70" s="242"/>
      <c r="AM70" s="242"/>
      <c r="AN70" s="242"/>
      <c r="AO70" s="242"/>
      <c r="AP70" s="247">
        <v>0</v>
      </c>
    </row>
    <row r="71" spans="1:42" x14ac:dyDescent="0.2">
      <c r="A71" s="1"/>
      <c r="B71" s="241" t="s">
        <v>316</v>
      </c>
      <c r="C71" s="257">
        <v>43</v>
      </c>
      <c r="D71"/>
      <c r="E71"/>
      <c r="F71"/>
      <c r="G71"/>
      <c r="H71"/>
      <c r="J71" s="261">
        <v>41859</v>
      </c>
      <c r="K71" s="242"/>
      <c r="L71" s="267"/>
      <c r="M71" s="267"/>
      <c r="N71" s="242"/>
      <c r="O71" s="267"/>
      <c r="P71" s="267"/>
      <c r="Q71" s="242"/>
      <c r="R71" s="267"/>
      <c r="S71" s="267"/>
      <c r="T71" s="242"/>
      <c r="U71" s="267"/>
      <c r="V71" s="267"/>
      <c r="W71" s="242"/>
      <c r="X71" s="267"/>
      <c r="Y71" s="267"/>
      <c r="Z71" s="242"/>
      <c r="AA71" s="267"/>
      <c r="AB71" s="267"/>
      <c r="AC71" s="242"/>
      <c r="AD71" s="267"/>
      <c r="AE71" s="267"/>
      <c r="AF71" s="242">
        <v>0</v>
      </c>
      <c r="AG71" s="267">
        <v>0</v>
      </c>
      <c r="AH71" s="267">
        <v>0</v>
      </c>
      <c r="AI71" s="242"/>
      <c r="AJ71" s="242"/>
      <c r="AK71" s="242"/>
      <c r="AL71" s="242"/>
      <c r="AM71" s="242"/>
      <c r="AN71" s="242"/>
      <c r="AO71" s="242"/>
      <c r="AP71" s="247">
        <v>0</v>
      </c>
    </row>
    <row r="72" spans="1:42" x14ac:dyDescent="0.2">
      <c r="A72" s="1"/>
      <c r="B72" s="241" t="s">
        <v>317</v>
      </c>
      <c r="C72" s="257">
        <v>32.4</v>
      </c>
      <c r="D72"/>
      <c r="E72"/>
      <c r="F72"/>
      <c r="G72"/>
      <c r="H72"/>
      <c r="J72" s="261">
        <v>41860</v>
      </c>
      <c r="K72" s="242"/>
      <c r="L72" s="267"/>
      <c r="M72" s="267"/>
      <c r="N72" s="242"/>
      <c r="O72" s="267"/>
      <c r="P72" s="267"/>
      <c r="Q72" s="242"/>
      <c r="R72" s="267">
        <v>1</v>
      </c>
      <c r="S72" s="267">
        <v>1</v>
      </c>
      <c r="T72" s="242"/>
      <c r="U72" s="267"/>
      <c r="V72" s="267"/>
      <c r="W72" s="242"/>
      <c r="X72" s="267"/>
      <c r="Y72" s="267"/>
      <c r="Z72" s="242"/>
      <c r="AA72" s="267"/>
      <c r="AB72" s="267"/>
      <c r="AC72" s="242"/>
      <c r="AD72" s="267"/>
      <c r="AE72" s="267"/>
      <c r="AF72" s="242">
        <v>0</v>
      </c>
      <c r="AG72" s="267">
        <v>1</v>
      </c>
      <c r="AH72" s="267">
        <v>1</v>
      </c>
      <c r="AI72" s="242"/>
      <c r="AJ72" s="242"/>
      <c r="AK72" s="242">
        <v>2</v>
      </c>
      <c r="AL72" s="242"/>
      <c r="AM72" s="242"/>
      <c r="AN72" s="242"/>
      <c r="AO72" s="242"/>
      <c r="AP72" s="247">
        <v>2</v>
      </c>
    </row>
    <row r="73" spans="1:42" x14ac:dyDescent="0.2">
      <c r="A73" s="1"/>
      <c r="B73" s="241" t="s">
        <v>318</v>
      </c>
      <c r="C73" s="257">
        <v>26</v>
      </c>
      <c r="D73"/>
      <c r="E73"/>
      <c r="F73"/>
      <c r="G73"/>
      <c r="J73" s="261">
        <v>41861</v>
      </c>
      <c r="K73" s="242"/>
      <c r="L73" s="267"/>
      <c r="M73" s="267">
        <v>1</v>
      </c>
      <c r="N73" s="242"/>
      <c r="O73" s="267"/>
      <c r="P73" s="267"/>
      <c r="Q73" s="242"/>
      <c r="R73" s="267"/>
      <c r="S73" s="267">
        <v>1</v>
      </c>
      <c r="T73" s="242"/>
      <c r="U73" s="267"/>
      <c r="V73" s="267"/>
      <c r="W73" s="242"/>
      <c r="X73" s="267"/>
      <c r="Y73" s="267"/>
      <c r="Z73" s="242"/>
      <c r="AA73" s="267"/>
      <c r="AB73" s="267"/>
      <c r="AC73" s="242"/>
      <c r="AD73" s="267"/>
      <c r="AE73" s="267"/>
      <c r="AF73" s="242">
        <v>0</v>
      </c>
      <c r="AG73" s="267">
        <v>0</v>
      </c>
      <c r="AH73" s="267">
        <v>2</v>
      </c>
      <c r="AI73" s="242">
        <v>1</v>
      </c>
      <c r="AJ73" s="242"/>
      <c r="AK73" s="242">
        <v>1</v>
      </c>
      <c r="AL73" s="242"/>
      <c r="AM73" s="242"/>
      <c r="AN73" s="242"/>
      <c r="AO73" s="242"/>
      <c r="AP73" s="247">
        <v>2</v>
      </c>
    </row>
    <row r="74" spans="1:42" x14ac:dyDescent="0.2">
      <c r="A74" s="1"/>
      <c r="B74" s="241" t="s">
        <v>319</v>
      </c>
      <c r="C74" s="257">
        <v>26</v>
      </c>
      <c r="D74"/>
      <c r="E74"/>
      <c r="F74"/>
      <c r="G74"/>
      <c r="J74" s="261">
        <v>41862</v>
      </c>
      <c r="K74" s="242"/>
      <c r="L74" s="267"/>
      <c r="M74" s="267"/>
      <c r="N74" s="242"/>
      <c r="O74" s="267"/>
      <c r="P74" s="267"/>
      <c r="Q74" s="242"/>
      <c r="R74" s="267"/>
      <c r="S74" s="267">
        <v>1</v>
      </c>
      <c r="T74" s="242"/>
      <c r="U74" s="267"/>
      <c r="V74" s="267"/>
      <c r="W74" s="242"/>
      <c r="X74" s="267"/>
      <c r="Y74" s="267"/>
      <c r="Z74" s="242"/>
      <c r="AA74" s="267"/>
      <c r="AB74" s="267"/>
      <c r="AC74" s="242"/>
      <c r="AD74" s="267"/>
      <c r="AE74" s="267"/>
      <c r="AF74" s="242">
        <v>0</v>
      </c>
      <c r="AG74" s="267">
        <v>0</v>
      </c>
      <c r="AH74" s="267">
        <v>1</v>
      </c>
      <c r="AI74" s="242"/>
      <c r="AJ74" s="242"/>
      <c r="AK74" s="242">
        <v>1</v>
      </c>
      <c r="AL74" s="242"/>
      <c r="AM74" s="242"/>
      <c r="AN74" s="242"/>
      <c r="AO74" s="242"/>
      <c r="AP74" s="247">
        <v>1</v>
      </c>
    </row>
    <row r="75" spans="1:42" x14ac:dyDescent="0.2">
      <c r="A75" s="1"/>
      <c r="B75" s="241" t="s">
        <v>320</v>
      </c>
      <c r="C75" s="257">
        <v>26</v>
      </c>
      <c r="D75"/>
      <c r="E75"/>
      <c r="F75"/>
      <c r="G75"/>
      <c r="J75" s="261">
        <v>41863</v>
      </c>
      <c r="K75" s="242"/>
      <c r="L75" s="267"/>
      <c r="M75" s="267"/>
      <c r="N75" s="242"/>
      <c r="O75" s="267"/>
      <c r="P75" s="267"/>
      <c r="Q75" s="242"/>
      <c r="R75" s="267"/>
      <c r="S75" s="267">
        <v>1</v>
      </c>
      <c r="T75" s="242"/>
      <c r="U75" s="267"/>
      <c r="V75" s="267"/>
      <c r="W75" s="242"/>
      <c r="X75" s="267"/>
      <c r="Y75" s="267"/>
      <c r="Z75" s="242"/>
      <c r="AA75" s="267"/>
      <c r="AB75" s="267"/>
      <c r="AC75" s="242"/>
      <c r="AD75" s="267"/>
      <c r="AE75" s="267"/>
      <c r="AF75" s="242">
        <v>0</v>
      </c>
      <c r="AG75" s="267">
        <v>0</v>
      </c>
      <c r="AH75" s="267">
        <v>1</v>
      </c>
      <c r="AI75" s="242"/>
      <c r="AJ75" s="242"/>
      <c r="AK75" s="242">
        <v>1</v>
      </c>
      <c r="AL75" s="242"/>
      <c r="AM75" s="242"/>
      <c r="AN75" s="242"/>
      <c r="AO75" s="242"/>
      <c r="AP75" s="247">
        <v>1</v>
      </c>
    </row>
    <row r="76" spans="1:42" x14ac:dyDescent="0.2">
      <c r="A76" s="229" t="s">
        <v>90</v>
      </c>
      <c r="B76" s="229" t="s">
        <v>311</v>
      </c>
      <c r="C76" s="233">
        <v>11</v>
      </c>
      <c r="D76"/>
      <c r="E76"/>
      <c r="F76"/>
      <c r="G76"/>
      <c r="J76" s="261">
        <v>41864</v>
      </c>
      <c r="K76" s="242"/>
      <c r="L76" s="267"/>
      <c r="M76" s="267"/>
      <c r="N76" s="242"/>
      <c r="O76" s="267"/>
      <c r="P76" s="267"/>
      <c r="Q76" s="242"/>
      <c r="R76" s="267"/>
      <c r="S76" s="267"/>
      <c r="T76" s="242"/>
      <c r="U76" s="267"/>
      <c r="V76" s="267"/>
      <c r="W76" s="242"/>
      <c r="X76" s="267"/>
      <c r="Y76" s="267"/>
      <c r="Z76" s="242"/>
      <c r="AA76" s="267"/>
      <c r="AB76" s="267"/>
      <c r="AC76" s="242"/>
      <c r="AD76" s="267"/>
      <c r="AE76" s="267"/>
      <c r="AF76" s="242">
        <v>0</v>
      </c>
      <c r="AG76" s="267">
        <v>0</v>
      </c>
      <c r="AH76" s="267">
        <v>0</v>
      </c>
      <c r="AI76" s="242"/>
      <c r="AJ76" s="242"/>
      <c r="AK76" s="242"/>
      <c r="AL76" s="242"/>
      <c r="AM76" s="242"/>
      <c r="AN76" s="242"/>
      <c r="AO76" s="242"/>
      <c r="AP76" s="247">
        <v>0</v>
      </c>
    </row>
    <row r="77" spans="1:42" x14ac:dyDescent="0.2">
      <c r="A77" s="1"/>
      <c r="B77" s="241" t="s">
        <v>312</v>
      </c>
      <c r="C77" s="257">
        <v>9</v>
      </c>
      <c r="D77"/>
      <c r="E77"/>
      <c r="F77"/>
      <c r="G77"/>
      <c r="J77" s="261">
        <v>41865</v>
      </c>
      <c r="K77" s="242"/>
      <c r="L77" s="267"/>
      <c r="M77" s="267"/>
      <c r="N77" s="242"/>
      <c r="O77" s="267"/>
      <c r="P77" s="267"/>
      <c r="Q77" s="242"/>
      <c r="R77" s="267"/>
      <c r="S77" s="267"/>
      <c r="T77" s="242"/>
      <c r="U77" s="267"/>
      <c r="V77" s="267"/>
      <c r="W77" s="242"/>
      <c r="X77" s="267"/>
      <c r="Y77" s="267"/>
      <c r="Z77" s="242"/>
      <c r="AA77" s="267"/>
      <c r="AB77" s="267"/>
      <c r="AC77" s="242"/>
      <c r="AD77" s="267"/>
      <c r="AE77" s="267"/>
      <c r="AF77" s="242">
        <v>0</v>
      </c>
      <c r="AG77" s="267">
        <v>0</v>
      </c>
      <c r="AH77" s="267">
        <v>0</v>
      </c>
      <c r="AI77" s="242"/>
      <c r="AJ77" s="242"/>
      <c r="AK77" s="242"/>
      <c r="AL77" s="242"/>
      <c r="AM77" s="242"/>
      <c r="AN77" s="242"/>
      <c r="AO77" s="242"/>
      <c r="AP77" s="247">
        <v>0</v>
      </c>
    </row>
    <row r="78" spans="1:42" x14ac:dyDescent="0.2">
      <c r="A78" s="1"/>
      <c r="B78" s="241" t="s">
        <v>313</v>
      </c>
      <c r="C78" s="257"/>
      <c r="D78"/>
      <c r="E78"/>
      <c r="F78"/>
      <c r="G78"/>
      <c r="J78" s="261">
        <v>41866</v>
      </c>
      <c r="K78" s="242"/>
      <c r="L78" s="267"/>
      <c r="M78" s="267"/>
      <c r="N78" s="242"/>
      <c r="O78" s="267"/>
      <c r="P78" s="267"/>
      <c r="Q78" s="242"/>
      <c r="R78" s="267"/>
      <c r="S78" s="267">
        <v>1</v>
      </c>
      <c r="T78" s="242">
        <v>1</v>
      </c>
      <c r="U78" s="267"/>
      <c r="V78" s="267"/>
      <c r="W78" s="242"/>
      <c r="X78" s="267"/>
      <c r="Y78" s="267"/>
      <c r="Z78" s="242"/>
      <c r="AA78" s="267"/>
      <c r="AB78" s="267"/>
      <c r="AC78" s="242"/>
      <c r="AD78" s="267"/>
      <c r="AE78" s="267"/>
      <c r="AF78" s="242">
        <v>1</v>
      </c>
      <c r="AG78" s="267">
        <v>0</v>
      </c>
      <c r="AH78" s="267">
        <v>1</v>
      </c>
      <c r="AI78" s="242"/>
      <c r="AJ78" s="242"/>
      <c r="AK78" s="242">
        <v>1</v>
      </c>
      <c r="AL78" s="242">
        <v>1</v>
      </c>
      <c r="AM78" s="242"/>
      <c r="AN78" s="242"/>
      <c r="AO78" s="242"/>
      <c r="AP78" s="247">
        <v>2</v>
      </c>
    </row>
    <row r="79" spans="1:42" x14ac:dyDescent="0.2">
      <c r="A79" s="1"/>
      <c r="B79" s="241" t="s">
        <v>314</v>
      </c>
      <c r="C79" s="257">
        <v>11</v>
      </c>
      <c r="J79" s="261">
        <v>41867</v>
      </c>
      <c r="K79" s="242"/>
      <c r="L79" s="267"/>
      <c r="M79" s="267"/>
      <c r="N79" s="242"/>
      <c r="O79" s="267"/>
      <c r="P79" s="267"/>
      <c r="Q79" s="242"/>
      <c r="R79" s="267"/>
      <c r="S79" s="267"/>
      <c r="T79" s="242"/>
      <c r="U79" s="267"/>
      <c r="V79" s="267"/>
      <c r="W79" s="242"/>
      <c r="X79" s="267"/>
      <c r="Y79" s="267"/>
      <c r="Z79" s="242"/>
      <c r="AA79" s="267"/>
      <c r="AB79" s="267"/>
      <c r="AC79" s="242"/>
      <c r="AD79" s="267"/>
      <c r="AE79" s="267"/>
      <c r="AF79" s="242">
        <v>0</v>
      </c>
      <c r="AG79" s="267">
        <v>0</v>
      </c>
      <c r="AH79" s="267">
        <v>0</v>
      </c>
      <c r="AI79" s="242"/>
      <c r="AJ79" s="242"/>
      <c r="AK79" s="242"/>
      <c r="AL79" s="242"/>
      <c r="AM79" s="242"/>
      <c r="AN79" s="242"/>
      <c r="AO79" s="242"/>
      <c r="AP79" s="247">
        <v>0</v>
      </c>
    </row>
    <row r="80" spans="1:42" x14ac:dyDescent="0.2">
      <c r="A80" s="1"/>
      <c r="B80" s="241" t="s">
        <v>315</v>
      </c>
      <c r="C80" s="257">
        <v>18</v>
      </c>
      <c r="J80" s="261">
        <v>41868</v>
      </c>
      <c r="K80" s="242"/>
      <c r="L80" s="267"/>
      <c r="M80" s="267"/>
      <c r="N80" s="242"/>
      <c r="O80" s="267"/>
      <c r="P80" s="267"/>
      <c r="Q80" s="242"/>
      <c r="R80" s="267"/>
      <c r="S80" s="267"/>
      <c r="T80" s="242"/>
      <c r="U80" s="267"/>
      <c r="V80" s="267"/>
      <c r="W80" s="242"/>
      <c r="X80" s="267"/>
      <c r="Y80" s="267"/>
      <c r="Z80" s="242"/>
      <c r="AA80" s="267"/>
      <c r="AB80" s="267"/>
      <c r="AC80" s="242"/>
      <c r="AD80" s="267"/>
      <c r="AE80" s="267"/>
      <c r="AF80" s="242">
        <v>0</v>
      </c>
      <c r="AG80" s="267">
        <v>0</v>
      </c>
      <c r="AH80" s="267">
        <v>0</v>
      </c>
      <c r="AI80" s="242"/>
      <c r="AJ80" s="242"/>
      <c r="AK80" s="242"/>
      <c r="AL80" s="242"/>
      <c r="AM80" s="242"/>
      <c r="AN80" s="242"/>
      <c r="AO80" s="242"/>
      <c r="AP80" s="247">
        <v>0</v>
      </c>
    </row>
    <row r="81" spans="1:42" x14ac:dyDescent="0.2">
      <c r="A81" s="1"/>
      <c r="B81" s="241" t="s">
        <v>316</v>
      </c>
      <c r="C81" s="257">
        <v>41</v>
      </c>
      <c r="J81" s="261">
        <v>41869</v>
      </c>
      <c r="K81" s="242"/>
      <c r="L81" s="267"/>
      <c r="M81" s="267"/>
      <c r="N81" s="242"/>
      <c r="O81" s="267"/>
      <c r="P81" s="267">
        <v>1</v>
      </c>
      <c r="Q81" s="242"/>
      <c r="R81" s="267"/>
      <c r="S81" s="267"/>
      <c r="T81" s="242"/>
      <c r="U81" s="267"/>
      <c r="V81" s="267"/>
      <c r="W81" s="242"/>
      <c r="X81" s="267"/>
      <c r="Y81" s="267"/>
      <c r="Z81" s="242"/>
      <c r="AA81" s="267"/>
      <c r="AB81" s="267"/>
      <c r="AC81" s="242"/>
      <c r="AD81" s="267"/>
      <c r="AE81" s="267"/>
      <c r="AF81" s="242">
        <v>0</v>
      </c>
      <c r="AG81" s="267">
        <v>0</v>
      </c>
      <c r="AH81" s="267">
        <v>1</v>
      </c>
      <c r="AI81" s="242"/>
      <c r="AJ81" s="242">
        <v>1</v>
      </c>
      <c r="AK81" s="242"/>
      <c r="AL81" s="242"/>
      <c r="AM81" s="242"/>
      <c r="AN81" s="242"/>
      <c r="AO81" s="242"/>
      <c r="AP81" s="247">
        <v>1</v>
      </c>
    </row>
    <row r="82" spans="1:42" x14ac:dyDescent="0.2">
      <c r="A82" s="1"/>
      <c r="B82" s="241" t="s">
        <v>317</v>
      </c>
      <c r="C82" s="257">
        <v>31</v>
      </c>
      <c r="J82" s="261">
        <v>41870</v>
      </c>
      <c r="K82" s="242"/>
      <c r="L82" s="267"/>
      <c r="M82" s="267"/>
      <c r="N82" s="242"/>
      <c r="O82" s="267"/>
      <c r="P82" s="267"/>
      <c r="Q82" s="242">
        <v>1</v>
      </c>
      <c r="R82" s="267"/>
      <c r="S82" s="267"/>
      <c r="T82" s="242"/>
      <c r="U82" s="267"/>
      <c r="V82" s="267"/>
      <c r="W82" s="242"/>
      <c r="X82" s="267"/>
      <c r="Y82" s="267"/>
      <c r="Z82" s="242"/>
      <c r="AA82" s="267"/>
      <c r="AB82" s="267"/>
      <c r="AC82" s="242"/>
      <c r="AD82" s="267"/>
      <c r="AE82" s="267"/>
      <c r="AF82" s="242">
        <v>1</v>
      </c>
      <c r="AG82" s="267">
        <v>0</v>
      </c>
      <c r="AH82" s="267">
        <v>0</v>
      </c>
      <c r="AI82" s="242"/>
      <c r="AJ82" s="242"/>
      <c r="AK82" s="242">
        <v>1</v>
      </c>
      <c r="AL82" s="242"/>
      <c r="AM82" s="242"/>
      <c r="AN82" s="242"/>
      <c r="AO82" s="242"/>
      <c r="AP82" s="247">
        <v>1</v>
      </c>
    </row>
    <row r="83" spans="1:42" x14ac:dyDescent="0.2">
      <c r="A83" s="1"/>
      <c r="B83" s="241" t="s">
        <v>318</v>
      </c>
      <c r="C83" s="257"/>
      <c r="J83" s="261">
        <v>41871</v>
      </c>
      <c r="K83" s="242"/>
      <c r="L83" s="267"/>
      <c r="M83" s="267">
        <v>1</v>
      </c>
      <c r="N83" s="242"/>
      <c r="O83" s="267"/>
      <c r="P83" s="267"/>
      <c r="Q83" s="242"/>
      <c r="R83" s="267"/>
      <c r="S83" s="267">
        <v>1</v>
      </c>
      <c r="T83" s="242"/>
      <c r="U83" s="267"/>
      <c r="V83" s="267"/>
      <c r="W83" s="242"/>
      <c r="X83" s="267"/>
      <c r="Y83" s="267"/>
      <c r="Z83" s="242"/>
      <c r="AA83" s="267"/>
      <c r="AB83" s="267"/>
      <c r="AC83" s="242"/>
      <c r="AD83" s="267"/>
      <c r="AE83" s="267"/>
      <c r="AF83" s="242">
        <v>0</v>
      </c>
      <c r="AG83" s="267">
        <v>0</v>
      </c>
      <c r="AH83" s="267">
        <v>2</v>
      </c>
      <c r="AI83" s="242">
        <v>1</v>
      </c>
      <c r="AJ83" s="242"/>
      <c r="AK83" s="242">
        <v>1</v>
      </c>
      <c r="AL83" s="242"/>
      <c r="AM83" s="242"/>
      <c r="AN83" s="242"/>
      <c r="AO83" s="242"/>
      <c r="AP83" s="247">
        <v>2</v>
      </c>
    </row>
    <row r="84" spans="1:42" x14ac:dyDescent="0.2">
      <c r="A84" s="1"/>
      <c r="B84" s="241" t="s">
        <v>319</v>
      </c>
      <c r="C84" s="257"/>
      <c r="J84" s="261">
        <v>41872</v>
      </c>
      <c r="K84" s="242"/>
      <c r="L84" s="267"/>
      <c r="M84" s="267"/>
      <c r="N84" s="242"/>
      <c r="O84" s="267"/>
      <c r="P84" s="267"/>
      <c r="Q84" s="242"/>
      <c r="R84" s="267"/>
      <c r="S84" s="267"/>
      <c r="T84" s="242"/>
      <c r="U84" s="267"/>
      <c r="V84" s="267">
        <v>1</v>
      </c>
      <c r="W84" s="242"/>
      <c r="X84" s="267"/>
      <c r="Y84" s="267"/>
      <c r="Z84" s="242"/>
      <c r="AA84" s="267"/>
      <c r="AB84" s="267"/>
      <c r="AC84" s="242"/>
      <c r="AD84" s="267"/>
      <c r="AE84" s="267"/>
      <c r="AF84" s="242">
        <v>0</v>
      </c>
      <c r="AG84" s="267">
        <v>0</v>
      </c>
      <c r="AH84" s="267">
        <v>1</v>
      </c>
      <c r="AI84" s="242"/>
      <c r="AJ84" s="242"/>
      <c r="AK84" s="242"/>
      <c r="AL84" s="242">
        <v>1</v>
      </c>
      <c r="AM84" s="242"/>
      <c r="AN84" s="242"/>
      <c r="AO84" s="242"/>
      <c r="AP84" s="247">
        <v>1</v>
      </c>
    </row>
    <row r="85" spans="1:42" x14ac:dyDescent="0.2">
      <c r="A85" s="1"/>
      <c r="B85" s="241" t="s">
        <v>320</v>
      </c>
      <c r="C85" s="257"/>
      <c r="J85" s="261">
        <v>41873</v>
      </c>
      <c r="K85" s="242">
        <v>1</v>
      </c>
      <c r="L85" s="267"/>
      <c r="M85" s="267">
        <v>1</v>
      </c>
      <c r="N85" s="242"/>
      <c r="O85" s="267"/>
      <c r="P85" s="267"/>
      <c r="Q85" s="242"/>
      <c r="R85" s="267"/>
      <c r="S85" s="267">
        <v>3</v>
      </c>
      <c r="T85" s="242"/>
      <c r="U85" s="267"/>
      <c r="V85" s="267"/>
      <c r="W85" s="242"/>
      <c r="X85" s="267"/>
      <c r="Y85" s="267"/>
      <c r="Z85" s="242"/>
      <c r="AA85" s="267"/>
      <c r="AB85" s="267"/>
      <c r="AC85" s="242"/>
      <c r="AD85" s="267"/>
      <c r="AE85" s="267"/>
      <c r="AF85" s="242">
        <v>1</v>
      </c>
      <c r="AG85" s="267">
        <v>0</v>
      </c>
      <c r="AH85" s="267">
        <v>4</v>
      </c>
      <c r="AI85" s="242">
        <v>2</v>
      </c>
      <c r="AJ85" s="242"/>
      <c r="AK85" s="242">
        <v>3</v>
      </c>
      <c r="AL85" s="242"/>
      <c r="AM85" s="242"/>
      <c r="AN85" s="242"/>
      <c r="AO85" s="242"/>
      <c r="AP85" s="247">
        <v>5</v>
      </c>
    </row>
    <row r="86" spans="1:42" x14ac:dyDescent="0.2">
      <c r="A86" s="229" t="s">
        <v>91</v>
      </c>
      <c r="B86" s="229" t="s">
        <v>311</v>
      </c>
      <c r="C86" s="233">
        <v>13</v>
      </c>
      <c r="J86" s="261">
        <v>41874</v>
      </c>
      <c r="K86" s="242"/>
      <c r="L86" s="267"/>
      <c r="M86" s="267"/>
      <c r="N86" s="242"/>
      <c r="O86" s="267"/>
      <c r="P86" s="267"/>
      <c r="Q86" s="242"/>
      <c r="R86" s="267"/>
      <c r="S86" s="267">
        <v>2</v>
      </c>
      <c r="T86" s="242"/>
      <c r="U86" s="267"/>
      <c r="V86" s="267"/>
      <c r="W86" s="242"/>
      <c r="X86" s="267"/>
      <c r="Y86" s="267"/>
      <c r="Z86" s="242"/>
      <c r="AA86" s="267"/>
      <c r="AB86" s="267"/>
      <c r="AC86" s="242"/>
      <c r="AD86" s="267"/>
      <c r="AE86" s="267"/>
      <c r="AF86" s="242">
        <v>0</v>
      </c>
      <c r="AG86" s="267">
        <v>0</v>
      </c>
      <c r="AH86" s="267">
        <v>2</v>
      </c>
      <c r="AI86" s="242"/>
      <c r="AJ86" s="242"/>
      <c r="AK86" s="242">
        <v>2</v>
      </c>
      <c r="AL86" s="242"/>
      <c r="AM86" s="242"/>
      <c r="AN86" s="242"/>
      <c r="AO86" s="242"/>
      <c r="AP86" s="247">
        <v>2</v>
      </c>
    </row>
    <row r="87" spans="1:42" x14ac:dyDescent="0.2">
      <c r="A87" s="1"/>
      <c r="B87" s="241" t="s">
        <v>312</v>
      </c>
      <c r="C87" s="257"/>
      <c r="J87" s="261">
        <v>41875</v>
      </c>
      <c r="K87" s="242">
        <v>1</v>
      </c>
      <c r="L87" s="267"/>
      <c r="M87" s="267"/>
      <c r="N87" s="242"/>
      <c r="O87" s="267"/>
      <c r="P87" s="267"/>
      <c r="Q87" s="242"/>
      <c r="R87" s="267"/>
      <c r="S87" s="267"/>
      <c r="T87" s="242"/>
      <c r="U87" s="267"/>
      <c r="V87" s="267"/>
      <c r="W87" s="242"/>
      <c r="X87" s="267"/>
      <c r="Y87" s="267"/>
      <c r="Z87" s="242"/>
      <c r="AA87" s="267"/>
      <c r="AB87" s="267"/>
      <c r="AC87" s="242"/>
      <c r="AD87" s="267"/>
      <c r="AE87" s="267"/>
      <c r="AF87" s="242">
        <v>1</v>
      </c>
      <c r="AG87" s="267">
        <v>0</v>
      </c>
      <c r="AH87" s="267">
        <v>0</v>
      </c>
      <c r="AI87" s="242">
        <v>1</v>
      </c>
      <c r="AJ87" s="242"/>
      <c r="AK87" s="242"/>
      <c r="AL87" s="242"/>
      <c r="AM87" s="242"/>
      <c r="AN87" s="242"/>
      <c r="AO87" s="242"/>
      <c r="AP87" s="247">
        <v>1</v>
      </c>
    </row>
    <row r="88" spans="1:42" x14ac:dyDescent="0.2">
      <c r="A88" s="1"/>
      <c r="B88" s="241" t="s">
        <v>313</v>
      </c>
      <c r="C88" s="257"/>
      <c r="J88" s="261">
        <v>41876</v>
      </c>
      <c r="K88" s="242"/>
      <c r="L88" s="267"/>
      <c r="M88" s="267"/>
      <c r="N88" s="242"/>
      <c r="O88" s="267"/>
      <c r="P88" s="267"/>
      <c r="Q88" s="242"/>
      <c r="R88" s="267"/>
      <c r="S88" s="267"/>
      <c r="T88" s="242"/>
      <c r="U88" s="267"/>
      <c r="V88" s="267">
        <v>1</v>
      </c>
      <c r="W88" s="242"/>
      <c r="X88" s="267"/>
      <c r="Y88" s="267"/>
      <c r="Z88" s="242"/>
      <c r="AA88" s="267"/>
      <c r="AB88" s="267"/>
      <c r="AC88" s="242"/>
      <c r="AD88" s="267"/>
      <c r="AE88" s="267"/>
      <c r="AF88" s="242">
        <v>0</v>
      </c>
      <c r="AG88" s="267">
        <v>0</v>
      </c>
      <c r="AH88" s="267">
        <v>1</v>
      </c>
      <c r="AI88" s="242"/>
      <c r="AJ88" s="242"/>
      <c r="AK88" s="242"/>
      <c r="AL88" s="242">
        <v>1</v>
      </c>
      <c r="AM88" s="242"/>
      <c r="AN88" s="242"/>
      <c r="AO88" s="242"/>
      <c r="AP88" s="247">
        <v>1</v>
      </c>
    </row>
    <row r="89" spans="1:42" x14ac:dyDescent="0.2">
      <c r="A89" s="1"/>
      <c r="B89" s="241" t="s">
        <v>314</v>
      </c>
      <c r="C89" s="257">
        <v>13</v>
      </c>
      <c r="J89" s="261">
        <v>41877</v>
      </c>
      <c r="K89" s="242"/>
      <c r="L89" s="267"/>
      <c r="M89" s="267"/>
      <c r="N89" s="242"/>
      <c r="O89" s="267"/>
      <c r="P89" s="267"/>
      <c r="Q89" s="242"/>
      <c r="R89" s="267"/>
      <c r="S89" s="267"/>
      <c r="T89" s="242"/>
      <c r="U89" s="267"/>
      <c r="V89" s="267"/>
      <c r="W89" s="242"/>
      <c r="X89" s="267"/>
      <c r="Y89" s="267"/>
      <c r="Z89" s="242"/>
      <c r="AA89" s="267"/>
      <c r="AB89" s="267"/>
      <c r="AC89" s="242"/>
      <c r="AD89" s="267"/>
      <c r="AE89" s="267"/>
      <c r="AF89" s="242">
        <v>0</v>
      </c>
      <c r="AG89" s="267">
        <v>0</v>
      </c>
      <c r="AH89" s="267">
        <v>0</v>
      </c>
      <c r="AI89" s="242"/>
      <c r="AJ89" s="242"/>
      <c r="AK89" s="242"/>
      <c r="AL89" s="242"/>
      <c r="AM89" s="242"/>
      <c r="AN89" s="242"/>
      <c r="AO89" s="242"/>
      <c r="AP89" s="247">
        <v>0</v>
      </c>
    </row>
    <row r="90" spans="1:42" x14ac:dyDescent="0.2">
      <c r="A90" s="1"/>
      <c r="B90" s="241" t="s">
        <v>315</v>
      </c>
      <c r="C90" s="257">
        <v>14</v>
      </c>
      <c r="J90" s="261">
        <v>41878</v>
      </c>
      <c r="K90" s="242"/>
      <c r="L90" s="267"/>
      <c r="M90" s="267"/>
      <c r="N90" s="242"/>
      <c r="O90" s="267"/>
      <c r="P90" s="267"/>
      <c r="Q90" s="242"/>
      <c r="R90" s="267"/>
      <c r="S90" s="267"/>
      <c r="T90" s="242"/>
      <c r="U90" s="267"/>
      <c r="V90" s="267"/>
      <c r="W90" s="242"/>
      <c r="X90" s="267"/>
      <c r="Y90" s="267"/>
      <c r="Z90" s="242"/>
      <c r="AA90" s="267"/>
      <c r="AB90" s="267"/>
      <c r="AC90" s="242"/>
      <c r="AD90" s="267"/>
      <c r="AE90" s="267"/>
      <c r="AF90" s="242">
        <v>0</v>
      </c>
      <c r="AG90" s="267">
        <v>0</v>
      </c>
      <c r="AH90" s="267">
        <v>0</v>
      </c>
      <c r="AI90" s="242"/>
      <c r="AJ90" s="242"/>
      <c r="AK90" s="242"/>
      <c r="AL90" s="242"/>
      <c r="AM90" s="242"/>
      <c r="AN90" s="242"/>
      <c r="AO90" s="242"/>
      <c r="AP90" s="247">
        <v>0</v>
      </c>
    </row>
    <row r="91" spans="1:42" x14ac:dyDescent="0.2">
      <c r="A91" s="1"/>
      <c r="B91" s="241" t="s">
        <v>316</v>
      </c>
      <c r="C91" s="257">
        <v>38</v>
      </c>
      <c r="J91" s="261">
        <v>41879</v>
      </c>
      <c r="K91" s="242"/>
      <c r="L91" s="267"/>
      <c r="M91" s="267"/>
      <c r="N91" s="242"/>
      <c r="O91" s="267"/>
      <c r="P91" s="267"/>
      <c r="Q91" s="242"/>
      <c r="R91" s="267"/>
      <c r="S91" s="267"/>
      <c r="T91" s="242"/>
      <c r="U91" s="267"/>
      <c r="V91" s="267"/>
      <c r="W91" s="242"/>
      <c r="X91" s="267"/>
      <c r="Y91" s="267"/>
      <c r="Z91" s="242"/>
      <c r="AA91" s="267"/>
      <c r="AB91" s="267"/>
      <c r="AC91" s="242"/>
      <c r="AD91" s="267"/>
      <c r="AE91" s="267"/>
      <c r="AF91" s="242">
        <v>0</v>
      </c>
      <c r="AG91" s="267">
        <v>0</v>
      </c>
      <c r="AH91" s="267">
        <v>0</v>
      </c>
      <c r="AI91" s="242"/>
      <c r="AJ91" s="242"/>
      <c r="AK91" s="242"/>
      <c r="AL91" s="242"/>
      <c r="AM91" s="242"/>
      <c r="AN91" s="242"/>
      <c r="AO91" s="242"/>
      <c r="AP91" s="247">
        <v>0</v>
      </c>
    </row>
    <row r="92" spans="1:42" x14ac:dyDescent="0.2">
      <c r="A92" s="1"/>
      <c r="B92" s="241" t="s">
        <v>317</v>
      </c>
      <c r="C92" s="257">
        <v>29.846153846153847</v>
      </c>
      <c r="J92" s="261">
        <v>41880</v>
      </c>
      <c r="K92" s="242"/>
      <c r="L92" s="267"/>
      <c r="M92" s="267">
        <v>1</v>
      </c>
      <c r="N92" s="242"/>
      <c r="O92" s="267"/>
      <c r="P92" s="267"/>
      <c r="Q92" s="242"/>
      <c r="R92" s="267"/>
      <c r="S92" s="267"/>
      <c r="T92" s="242"/>
      <c r="U92" s="267"/>
      <c r="V92" s="267"/>
      <c r="W92" s="242"/>
      <c r="X92" s="267"/>
      <c r="Y92" s="267"/>
      <c r="Z92" s="242"/>
      <c r="AA92" s="267"/>
      <c r="AB92" s="267"/>
      <c r="AC92" s="242"/>
      <c r="AD92" s="267"/>
      <c r="AE92" s="267"/>
      <c r="AF92" s="242">
        <v>0</v>
      </c>
      <c r="AG92" s="267">
        <v>0</v>
      </c>
      <c r="AH92" s="267">
        <v>1</v>
      </c>
      <c r="AI92" s="242">
        <v>1</v>
      </c>
      <c r="AJ92" s="242"/>
      <c r="AK92" s="242"/>
      <c r="AL92" s="242"/>
      <c r="AM92" s="242"/>
      <c r="AN92" s="242"/>
      <c r="AO92" s="242"/>
      <c r="AP92" s="247">
        <v>1</v>
      </c>
    </row>
    <row r="93" spans="1:42" x14ac:dyDescent="0.2">
      <c r="A93" s="1"/>
      <c r="B93" s="241" t="s">
        <v>318</v>
      </c>
      <c r="C93" s="257"/>
      <c r="J93" s="261">
        <v>41881</v>
      </c>
      <c r="K93" s="242"/>
      <c r="L93" s="267"/>
      <c r="M93" s="267"/>
      <c r="N93" s="242"/>
      <c r="O93" s="267"/>
      <c r="P93" s="267"/>
      <c r="Q93" s="242"/>
      <c r="R93" s="267"/>
      <c r="S93" s="267"/>
      <c r="T93" s="242"/>
      <c r="U93" s="267"/>
      <c r="V93" s="267"/>
      <c r="W93" s="242"/>
      <c r="X93" s="267"/>
      <c r="Y93" s="267"/>
      <c r="Z93" s="242"/>
      <c r="AA93" s="267"/>
      <c r="AB93" s="267"/>
      <c r="AC93" s="242"/>
      <c r="AD93" s="267"/>
      <c r="AE93" s="267"/>
      <c r="AF93" s="242">
        <v>0</v>
      </c>
      <c r="AG93" s="267">
        <v>0</v>
      </c>
      <c r="AH93" s="267">
        <v>0</v>
      </c>
      <c r="AI93" s="242"/>
      <c r="AJ93" s="242"/>
      <c r="AK93" s="242"/>
      <c r="AL93" s="242"/>
      <c r="AM93" s="242"/>
      <c r="AN93" s="242"/>
      <c r="AO93" s="242"/>
      <c r="AP93" s="247">
        <v>0</v>
      </c>
    </row>
    <row r="94" spans="1:42" x14ac:dyDescent="0.2">
      <c r="A94" s="1"/>
      <c r="B94" s="241" t="s">
        <v>319</v>
      </c>
      <c r="C94" s="257"/>
      <c r="J94" s="261">
        <v>41882</v>
      </c>
      <c r="K94" s="242">
        <v>1</v>
      </c>
      <c r="L94" s="267"/>
      <c r="M94" s="267"/>
      <c r="N94" s="242"/>
      <c r="O94" s="267"/>
      <c r="P94" s="267"/>
      <c r="Q94" s="242"/>
      <c r="R94" s="267"/>
      <c r="S94" s="267">
        <v>1</v>
      </c>
      <c r="T94" s="242"/>
      <c r="U94" s="267"/>
      <c r="V94" s="267"/>
      <c r="W94" s="242"/>
      <c r="X94" s="267"/>
      <c r="Y94" s="267"/>
      <c r="Z94" s="242"/>
      <c r="AA94" s="267"/>
      <c r="AB94" s="267"/>
      <c r="AC94" s="242"/>
      <c r="AD94" s="267"/>
      <c r="AE94" s="267"/>
      <c r="AF94" s="242">
        <v>1</v>
      </c>
      <c r="AG94" s="267">
        <v>0</v>
      </c>
      <c r="AH94" s="267">
        <v>1</v>
      </c>
      <c r="AI94" s="242">
        <v>1</v>
      </c>
      <c r="AJ94" s="242"/>
      <c r="AK94" s="242">
        <v>1</v>
      </c>
      <c r="AL94" s="242"/>
      <c r="AM94" s="242"/>
      <c r="AN94" s="242"/>
      <c r="AO94" s="242"/>
      <c r="AP94" s="247">
        <v>2</v>
      </c>
    </row>
    <row r="95" spans="1:42" x14ac:dyDescent="0.2">
      <c r="A95" s="1"/>
      <c r="B95" s="241" t="s">
        <v>320</v>
      </c>
      <c r="C95" s="257"/>
      <c r="J95" s="261">
        <v>41883</v>
      </c>
      <c r="K95" s="242"/>
      <c r="L95" s="267"/>
      <c r="M95" s="267"/>
      <c r="N95" s="242"/>
      <c r="O95" s="267"/>
      <c r="P95" s="267"/>
      <c r="Q95" s="242"/>
      <c r="R95" s="267"/>
      <c r="S95" s="267"/>
      <c r="T95" s="242"/>
      <c r="U95" s="267"/>
      <c r="V95" s="267"/>
      <c r="W95" s="242"/>
      <c r="X95" s="267"/>
      <c r="Y95" s="267"/>
      <c r="Z95" s="242"/>
      <c r="AA95" s="267"/>
      <c r="AB95" s="267"/>
      <c r="AC95" s="242"/>
      <c r="AD95" s="267"/>
      <c r="AE95" s="267"/>
      <c r="AF95" s="242">
        <v>0</v>
      </c>
      <c r="AG95" s="267">
        <v>0</v>
      </c>
      <c r="AH95" s="267">
        <v>0</v>
      </c>
      <c r="AI95" s="242"/>
      <c r="AJ95" s="242"/>
      <c r="AK95" s="242"/>
      <c r="AL95" s="242"/>
      <c r="AM95" s="242"/>
      <c r="AN95" s="242"/>
      <c r="AO95" s="242"/>
      <c r="AP95" s="247">
        <v>0</v>
      </c>
    </row>
    <row r="96" spans="1:42" x14ac:dyDescent="0.2">
      <c r="A96" s="229" t="s">
        <v>70</v>
      </c>
      <c r="B96" s="229" t="s">
        <v>311</v>
      </c>
      <c r="C96" s="233">
        <v>958</v>
      </c>
      <c r="J96" s="261">
        <v>41884</v>
      </c>
      <c r="K96" s="242"/>
      <c r="L96" s="267"/>
      <c r="M96" s="267"/>
      <c r="N96" s="242"/>
      <c r="O96" s="267"/>
      <c r="P96" s="267"/>
      <c r="Q96" s="242"/>
      <c r="R96" s="267"/>
      <c r="S96" s="267"/>
      <c r="T96" s="242"/>
      <c r="U96" s="267"/>
      <c r="V96" s="267"/>
      <c r="W96" s="242"/>
      <c r="X96" s="267"/>
      <c r="Y96" s="267"/>
      <c r="Z96" s="242"/>
      <c r="AA96" s="267"/>
      <c r="AB96" s="267"/>
      <c r="AC96" s="242"/>
      <c r="AD96" s="267"/>
      <c r="AE96" s="267"/>
      <c r="AF96" s="242">
        <v>0</v>
      </c>
      <c r="AG96" s="267">
        <v>0</v>
      </c>
      <c r="AH96" s="267">
        <v>0</v>
      </c>
      <c r="AI96" s="242"/>
      <c r="AJ96" s="242"/>
      <c r="AK96" s="242"/>
      <c r="AL96" s="242"/>
      <c r="AM96" s="242"/>
      <c r="AN96" s="242"/>
      <c r="AO96" s="242"/>
      <c r="AP96" s="247">
        <v>0</v>
      </c>
    </row>
    <row r="97" spans="1:42" x14ac:dyDescent="0.2">
      <c r="A97" s="1"/>
      <c r="B97" s="241" t="s">
        <v>312</v>
      </c>
      <c r="C97" s="257">
        <v>200</v>
      </c>
      <c r="J97" s="261">
        <v>41885</v>
      </c>
      <c r="K97" s="242"/>
      <c r="L97" s="267"/>
      <c r="M97" s="267">
        <v>1</v>
      </c>
      <c r="N97" s="242"/>
      <c r="O97" s="267"/>
      <c r="P97" s="267"/>
      <c r="Q97" s="242"/>
      <c r="R97" s="267"/>
      <c r="S97" s="267"/>
      <c r="T97" s="242"/>
      <c r="U97" s="267"/>
      <c r="V97" s="267"/>
      <c r="W97" s="242"/>
      <c r="X97" s="267"/>
      <c r="Y97" s="267"/>
      <c r="Z97" s="242"/>
      <c r="AA97" s="267"/>
      <c r="AB97" s="267"/>
      <c r="AC97" s="242"/>
      <c r="AD97" s="267"/>
      <c r="AE97" s="267"/>
      <c r="AF97" s="242">
        <v>0</v>
      </c>
      <c r="AG97" s="267">
        <v>0</v>
      </c>
      <c r="AH97" s="267">
        <v>1</v>
      </c>
      <c r="AI97" s="242">
        <v>1</v>
      </c>
      <c r="AJ97" s="242"/>
      <c r="AK97" s="242"/>
      <c r="AL97" s="242"/>
      <c r="AM97" s="242"/>
      <c r="AN97" s="242"/>
      <c r="AO97" s="242"/>
      <c r="AP97" s="247">
        <v>1</v>
      </c>
    </row>
    <row r="98" spans="1:42" x14ac:dyDescent="0.2">
      <c r="A98" s="1"/>
      <c r="B98" s="241" t="s">
        <v>313</v>
      </c>
      <c r="C98" s="257">
        <v>954</v>
      </c>
      <c r="J98" s="261">
        <v>41886</v>
      </c>
      <c r="K98" s="242"/>
      <c r="L98" s="267"/>
      <c r="M98" s="267"/>
      <c r="N98" s="242"/>
      <c r="O98" s="267"/>
      <c r="P98" s="267"/>
      <c r="Q98" s="242"/>
      <c r="R98" s="267"/>
      <c r="S98" s="267"/>
      <c r="T98" s="242"/>
      <c r="U98" s="267"/>
      <c r="V98" s="267"/>
      <c r="W98" s="242"/>
      <c r="X98" s="267"/>
      <c r="Y98" s="267"/>
      <c r="Z98" s="242"/>
      <c r="AA98" s="267"/>
      <c r="AB98" s="267"/>
      <c r="AC98" s="242"/>
      <c r="AD98" s="267"/>
      <c r="AE98" s="267"/>
      <c r="AF98" s="242">
        <v>0</v>
      </c>
      <c r="AG98" s="267">
        <v>0</v>
      </c>
      <c r="AH98" s="267">
        <v>0</v>
      </c>
      <c r="AI98" s="242"/>
      <c r="AJ98" s="242"/>
      <c r="AK98" s="242"/>
      <c r="AL98" s="242"/>
      <c r="AM98" s="242"/>
      <c r="AN98" s="242"/>
      <c r="AO98" s="242"/>
      <c r="AP98" s="247">
        <v>0</v>
      </c>
    </row>
    <row r="99" spans="1:42" x14ac:dyDescent="0.2">
      <c r="A99" s="1"/>
      <c r="B99" s="241" t="s">
        <v>314</v>
      </c>
      <c r="C99" s="257"/>
      <c r="J99" s="261">
        <v>41887</v>
      </c>
      <c r="K99" s="242"/>
      <c r="L99" s="267"/>
      <c r="M99" s="267"/>
      <c r="N99" s="242"/>
      <c r="O99" s="267"/>
      <c r="P99" s="267"/>
      <c r="Q99" s="242"/>
      <c r="R99" s="267"/>
      <c r="S99" s="267"/>
      <c r="T99" s="242"/>
      <c r="U99" s="267"/>
      <c r="V99" s="267"/>
      <c r="W99" s="242"/>
      <c r="X99" s="267"/>
      <c r="Y99" s="267"/>
      <c r="Z99" s="242"/>
      <c r="AA99" s="267"/>
      <c r="AB99" s="267"/>
      <c r="AC99" s="242"/>
      <c r="AD99" s="267"/>
      <c r="AE99" s="267"/>
      <c r="AF99" s="242">
        <v>0</v>
      </c>
      <c r="AG99" s="267">
        <v>0</v>
      </c>
      <c r="AH99" s="267">
        <v>0</v>
      </c>
      <c r="AI99" s="242"/>
      <c r="AJ99" s="242"/>
      <c r="AK99" s="242"/>
      <c r="AL99" s="242"/>
      <c r="AM99" s="242"/>
      <c r="AN99" s="242"/>
      <c r="AO99" s="242"/>
      <c r="AP99" s="247">
        <v>0</v>
      </c>
    </row>
    <row r="100" spans="1:42" x14ac:dyDescent="0.2">
      <c r="A100" s="1"/>
      <c r="B100" s="241" t="s">
        <v>315</v>
      </c>
      <c r="C100" s="257"/>
      <c r="J100" s="261">
        <v>41888</v>
      </c>
      <c r="K100" s="242"/>
      <c r="L100" s="267"/>
      <c r="M100" s="267"/>
      <c r="N100" s="242"/>
      <c r="O100" s="267"/>
      <c r="P100" s="267"/>
      <c r="Q100" s="242"/>
      <c r="R100" s="267"/>
      <c r="S100" s="267"/>
      <c r="T100" s="242"/>
      <c r="U100" s="267"/>
      <c r="V100" s="267"/>
      <c r="W100" s="242"/>
      <c r="X100" s="267"/>
      <c r="Y100" s="267"/>
      <c r="Z100" s="242"/>
      <c r="AA100" s="267"/>
      <c r="AB100" s="267"/>
      <c r="AC100" s="242"/>
      <c r="AD100" s="267"/>
      <c r="AE100" s="267"/>
      <c r="AF100" s="242">
        <v>0</v>
      </c>
      <c r="AG100" s="267">
        <v>0</v>
      </c>
      <c r="AH100" s="267">
        <v>0</v>
      </c>
      <c r="AI100" s="242"/>
      <c r="AJ100" s="242"/>
      <c r="AK100" s="242"/>
      <c r="AL100" s="242"/>
      <c r="AM100" s="242"/>
      <c r="AN100" s="242"/>
      <c r="AO100" s="242"/>
      <c r="AP100" s="247">
        <v>0</v>
      </c>
    </row>
    <row r="101" spans="1:42" x14ac:dyDescent="0.2">
      <c r="A101" s="1"/>
      <c r="B101" s="241" t="s">
        <v>316</v>
      </c>
      <c r="C101" s="257"/>
      <c r="J101" s="261">
        <v>41889</v>
      </c>
      <c r="K101" s="242"/>
      <c r="L101" s="267"/>
      <c r="M101" s="267"/>
      <c r="N101" s="242"/>
      <c r="O101" s="267"/>
      <c r="P101" s="267"/>
      <c r="Q101" s="242"/>
      <c r="R101" s="267"/>
      <c r="S101" s="267"/>
      <c r="T101" s="242"/>
      <c r="U101" s="267"/>
      <c r="V101" s="267"/>
      <c r="W101" s="242"/>
      <c r="X101" s="267"/>
      <c r="Y101" s="267"/>
      <c r="Z101" s="242"/>
      <c r="AA101" s="267"/>
      <c r="AB101" s="267"/>
      <c r="AC101" s="242"/>
      <c r="AD101" s="267"/>
      <c r="AE101" s="267"/>
      <c r="AF101" s="242">
        <v>0</v>
      </c>
      <c r="AG101" s="267">
        <v>0</v>
      </c>
      <c r="AH101" s="267">
        <v>0</v>
      </c>
      <c r="AI101" s="242"/>
      <c r="AJ101" s="242"/>
      <c r="AK101" s="242"/>
      <c r="AL101" s="242"/>
      <c r="AM101" s="242"/>
      <c r="AN101" s="242"/>
      <c r="AO101" s="242"/>
      <c r="AP101" s="247">
        <v>0</v>
      </c>
    </row>
    <row r="102" spans="1:42" x14ac:dyDescent="0.2">
      <c r="A102" s="1"/>
      <c r="B102" s="241" t="s">
        <v>317</v>
      </c>
      <c r="C102" s="257"/>
      <c r="J102" s="243" t="s">
        <v>12</v>
      </c>
      <c r="K102" s="245">
        <v>9</v>
      </c>
      <c r="L102" s="268">
        <v>6</v>
      </c>
      <c r="M102" s="268">
        <v>52</v>
      </c>
      <c r="N102" s="245">
        <v>2</v>
      </c>
      <c r="O102" s="268">
        <v>1</v>
      </c>
      <c r="P102" s="268">
        <v>10</v>
      </c>
      <c r="Q102" s="245">
        <v>14</v>
      </c>
      <c r="R102" s="268">
        <v>6</v>
      </c>
      <c r="S102" s="268">
        <v>48</v>
      </c>
      <c r="T102" s="245">
        <v>3</v>
      </c>
      <c r="U102" s="268">
        <v>1</v>
      </c>
      <c r="V102" s="268">
        <v>13</v>
      </c>
      <c r="W102" s="245">
        <v>8</v>
      </c>
      <c r="X102" s="268">
        <v>3</v>
      </c>
      <c r="Y102" s="268">
        <v>2</v>
      </c>
      <c r="Z102" s="245">
        <v>2</v>
      </c>
      <c r="AA102" s="268"/>
      <c r="AB102" s="268">
        <v>6</v>
      </c>
      <c r="AC102" s="245"/>
      <c r="AD102" s="268"/>
      <c r="AE102" s="268">
        <v>2</v>
      </c>
      <c r="AF102" s="245">
        <v>38</v>
      </c>
      <c r="AG102" s="268">
        <v>17</v>
      </c>
      <c r="AH102" s="268">
        <v>133</v>
      </c>
      <c r="AI102" s="245">
        <v>67</v>
      </c>
      <c r="AJ102" s="245">
        <v>13</v>
      </c>
      <c r="AK102" s="245">
        <v>68</v>
      </c>
      <c r="AL102" s="245">
        <v>17</v>
      </c>
      <c r="AM102" s="245">
        <v>13</v>
      </c>
      <c r="AN102" s="245">
        <v>8</v>
      </c>
      <c r="AO102" s="245">
        <v>2</v>
      </c>
      <c r="AP102" s="234">
        <v>188</v>
      </c>
    </row>
    <row r="103" spans="1:42" x14ac:dyDescent="0.2">
      <c r="A103" s="1"/>
      <c r="B103" s="241" t="s">
        <v>318</v>
      </c>
      <c r="C103" s="257">
        <v>32</v>
      </c>
    </row>
    <row r="104" spans="1:42" x14ac:dyDescent="0.2">
      <c r="A104" s="1"/>
      <c r="B104" s="241" t="s">
        <v>319</v>
      </c>
      <c r="C104" s="257">
        <v>67</v>
      </c>
    </row>
    <row r="105" spans="1:42" x14ac:dyDescent="0.2">
      <c r="A105" s="1"/>
      <c r="B105" s="241" t="s">
        <v>320</v>
      </c>
      <c r="C105" s="257">
        <v>45.752620545073377</v>
      </c>
    </row>
    <row r="106" spans="1:42" x14ac:dyDescent="0.2">
      <c r="A106" s="229" t="s">
        <v>75</v>
      </c>
      <c r="B106" s="229" t="s">
        <v>311</v>
      </c>
      <c r="C106" s="233">
        <v>66</v>
      </c>
    </row>
    <row r="107" spans="1:42" x14ac:dyDescent="0.2">
      <c r="A107" s="1"/>
      <c r="B107" s="241" t="s">
        <v>312</v>
      </c>
      <c r="C107" s="257"/>
    </row>
    <row r="108" spans="1:42" x14ac:dyDescent="0.2">
      <c r="A108" s="1"/>
      <c r="B108" s="241" t="s">
        <v>313</v>
      </c>
      <c r="C108" s="257"/>
    </row>
    <row r="109" spans="1:42" x14ac:dyDescent="0.2">
      <c r="A109" s="1"/>
      <c r="B109" s="241" t="s">
        <v>314</v>
      </c>
      <c r="C109" s="257">
        <v>63</v>
      </c>
    </row>
    <row r="110" spans="1:42" x14ac:dyDescent="0.2">
      <c r="A110" s="1"/>
      <c r="B110" s="241" t="s">
        <v>315</v>
      </c>
      <c r="C110" s="257">
        <v>16</v>
      </c>
    </row>
    <row r="111" spans="1:42" x14ac:dyDescent="0.2">
      <c r="A111" s="1"/>
      <c r="B111" s="241" t="s">
        <v>316</v>
      </c>
      <c r="C111" s="257">
        <v>53</v>
      </c>
    </row>
    <row r="112" spans="1:42" x14ac:dyDescent="0.2">
      <c r="A112" s="1"/>
      <c r="B112" s="241" t="s">
        <v>317</v>
      </c>
      <c r="C112" s="257">
        <v>27.253968253968253</v>
      </c>
    </row>
    <row r="113" spans="1:3" x14ac:dyDescent="0.2">
      <c r="A113" s="1"/>
      <c r="B113" s="241" t="s">
        <v>318</v>
      </c>
      <c r="C113" s="257"/>
    </row>
    <row r="114" spans="1:3" x14ac:dyDescent="0.2">
      <c r="A114" s="1"/>
      <c r="B114" s="241" t="s">
        <v>319</v>
      </c>
      <c r="C114" s="257"/>
    </row>
    <row r="115" spans="1:3" x14ac:dyDescent="0.2">
      <c r="A115" s="1"/>
      <c r="B115" s="241" t="s">
        <v>320</v>
      </c>
      <c r="C115" s="257"/>
    </row>
    <row r="116" spans="1:3" x14ac:dyDescent="0.2">
      <c r="A116" s="229" t="s">
        <v>88</v>
      </c>
      <c r="B116" s="229" t="s">
        <v>311</v>
      </c>
      <c r="C116" s="233">
        <v>68</v>
      </c>
    </row>
    <row r="117" spans="1:3" x14ac:dyDescent="0.2">
      <c r="A117" s="1"/>
      <c r="B117" s="241" t="s">
        <v>312</v>
      </c>
      <c r="C117" s="257">
        <v>1</v>
      </c>
    </row>
    <row r="118" spans="1:3" x14ac:dyDescent="0.2">
      <c r="A118" s="1"/>
      <c r="B118" s="241" t="s">
        <v>313</v>
      </c>
      <c r="C118" s="257">
        <v>1</v>
      </c>
    </row>
    <row r="119" spans="1:3" x14ac:dyDescent="0.2">
      <c r="A119" s="1"/>
      <c r="B119" s="241" t="s">
        <v>314</v>
      </c>
      <c r="C119" s="257">
        <v>65</v>
      </c>
    </row>
    <row r="120" spans="1:3" x14ac:dyDescent="0.2">
      <c r="A120" s="1"/>
      <c r="B120" s="241" t="s">
        <v>315</v>
      </c>
      <c r="C120" s="257">
        <v>13</v>
      </c>
    </row>
    <row r="121" spans="1:3" x14ac:dyDescent="0.2">
      <c r="A121" s="1"/>
      <c r="B121" s="241" t="s">
        <v>316</v>
      </c>
      <c r="C121" s="257">
        <v>37</v>
      </c>
    </row>
    <row r="122" spans="1:3" x14ac:dyDescent="0.2">
      <c r="A122" s="1"/>
      <c r="B122" s="241" t="s">
        <v>317</v>
      </c>
      <c r="C122" s="257">
        <v>26.176923076923078</v>
      </c>
    </row>
    <row r="123" spans="1:3" x14ac:dyDescent="0.2">
      <c r="A123" s="1"/>
      <c r="B123" s="241" t="s">
        <v>318</v>
      </c>
      <c r="C123" s="257">
        <v>23</v>
      </c>
    </row>
    <row r="124" spans="1:3" x14ac:dyDescent="0.2">
      <c r="A124" s="1"/>
      <c r="B124" s="241" t="s">
        <v>319</v>
      </c>
      <c r="C124" s="257">
        <v>23</v>
      </c>
    </row>
    <row r="125" spans="1:3" x14ac:dyDescent="0.2">
      <c r="A125" s="1"/>
      <c r="B125" s="241" t="s">
        <v>320</v>
      </c>
      <c r="C125" s="257">
        <v>23</v>
      </c>
    </row>
    <row r="126" spans="1:3" x14ac:dyDescent="0.2">
      <c r="A126" s="229" t="s">
        <v>8</v>
      </c>
      <c r="B126" s="229" t="s">
        <v>311</v>
      </c>
      <c r="C126" s="233">
        <v>218</v>
      </c>
    </row>
    <row r="127" spans="1:3" x14ac:dyDescent="0.2">
      <c r="A127" s="1"/>
      <c r="B127" s="241" t="s">
        <v>312</v>
      </c>
      <c r="C127" s="257">
        <v>198</v>
      </c>
    </row>
    <row r="128" spans="1:3" x14ac:dyDescent="0.2">
      <c r="A128" s="1"/>
      <c r="B128" s="241" t="s">
        <v>313</v>
      </c>
      <c r="C128" s="257">
        <v>217</v>
      </c>
    </row>
    <row r="129" spans="1:3" x14ac:dyDescent="0.2">
      <c r="A129" s="1"/>
      <c r="B129" s="241" t="s">
        <v>314</v>
      </c>
      <c r="C129" s="257"/>
    </row>
    <row r="130" spans="1:3" x14ac:dyDescent="0.2">
      <c r="A130" s="1"/>
      <c r="B130" s="241" t="s">
        <v>315</v>
      </c>
      <c r="C130" s="257"/>
    </row>
    <row r="131" spans="1:3" x14ac:dyDescent="0.2">
      <c r="A131" s="1"/>
      <c r="B131" s="241" t="s">
        <v>316</v>
      </c>
      <c r="C131" s="257"/>
    </row>
    <row r="132" spans="1:3" x14ac:dyDescent="0.2">
      <c r="A132" s="1"/>
      <c r="B132" s="241" t="s">
        <v>317</v>
      </c>
      <c r="C132" s="257"/>
    </row>
    <row r="133" spans="1:3" x14ac:dyDescent="0.2">
      <c r="A133" s="1"/>
      <c r="B133" s="241" t="s">
        <v>318</v>
      </c>
      <c r="C133" s="257">
        <v>33</v>
      </c>
    </row>
    <row r="134" spans="1:3" x14ac:dyDescent="0.2">
      <c r="A134" s="1"/>
      <c r="B134" s="241" t="s">
        <v>319</v>
      </c>
      <c r="C134" s="257">
        <v>61</v>
      </c>
    </row>
    <row r="135" spans="1:3" x14ac:dyDescent="0.2">
      <c r="A135" s="1"/>
      <c r="B135" s="241" t="s">
        <v>320</v>
      </c>
      <c r="C135" s="257">
        <v>49.345622119815665</v>
      </c>
    </row>
    <row r="136" spans="1:3" x14ac:dyDescent="0.2">
      <c r="A136" s="229" t="s">
        <v>1707</v>
      </c>
      <c r="B136" s="229" t="s">
        <v>311</v>
      </c>
      <c r="C136" s="233">
        <v>1</v>
      </c>
    </row>
    <row r="137" spans="1:3" x14ac:dyDescent="0.2">
      <c r="A137" s="1"/>
      <c r="B137" s="241" t="s">
        <v>312</v>
      </c>
      <c r="C137" s="257"/>
    </row>
    <row r="138" spans="1:3" x14ac:dyDescent="0.2">
      <c r="A138" s="1"/>
      <c r="B138" s="241" t="s">
        <v>313</v>
      </c>
      <c r="C138" s="257"/>
    </row>
    <row r="139" spans="1:3" x14ac:dyDescent="0.2">
      <c r="A139" s="1"/>
      <c r="B139" s="241" t="s">
        <v>314</v>
      </c>
      <c r="C139" s="257">
        <v>1</v>
      </c>
    </row>
    <row r="140" spans="1:3" x14ac:dyDescent="0.2">
      <c r="A140" s="1"/>
      <c r="B140" s="241" t="s">
        <v>315</v>
      </c>
      <c r="C140" s="257">
        <v>22</v>
      </c>
    </row>
    <row r="141" spans="1:3" x14ac:dyDescent="0.2">
      <c r="A141" s="1"/>
      <c r="B141" s="241" t="s">
        <v>316</v>
      </c>
      <c r="C141" s="257">
        <v>22</v>
      </c>
    </row>
    <row r="142" spans="1:3" x14ac:dyDescent="0.2">
      <c r="A142" s="1"/>
      <c r="B142" s="241" t="s">
        <v>317</v>
      </c>
      <c r="C142" s="257">
        <v>22</v>
      </c>
    </row>
    <row r="143" spans="1:3" x14ac:dyDescent="0.2">
      <c r="A143" s="1"/>
      <c r="B143" s="241" t="s">
        <v>318</v>
      </c>
      <c r="C143" s="257"/>
    </row>
    <row r="144" spans="1:3" x14ac:dyDescent="0.2">
      <c r="A144" s="1"/>
      <c r="B144" s="241" t="s">
        <v>319</v>
      </c>
      <c r="C144" s="257"/>
    </row>
    <row r="145" spans="1:3" x14ac:dyDescent="0.2">
      <c r="A145" s="1"/>
      <c r="B145" s="241" t="s">
        <v>320</v>
      </c>
      <c r="C145" s="257"/>
    </row>
    <row r="146" spans="1:3" x14ac:dyDescent="0.2">
      <c r="A146" s="232" t="s">
        <v>147</v>
      </c>
      <c r="B146" s="256"/>
      <c r="C146" s="233">
        <v>3628</v>
      </c>
    </row>
    <row r="147" spans="1:3" x14ac:dyDescent="0.2">
      <c r="A147" s="232" t="s">
        <v>148</v>
      </c>
      <c r="B147" s="256"/>
      <c r="C147" s="233">
        <v>1427</v>
      </c>
    </row>
    <row r="148" spans="1:3" x14ac:dyDescent="0.2">
      <c r="A148" s="232" t="s">
        <v>156</v>
      </c>
      <c r="B148" s="256"/>
      <c r="C148" s="233">
        <v>3422</v>
      </c>
    </row>
    <row r="149" spans="1:3" x14ac:dyDescent="0.2">
      <c r="A149" s="232" t="s">
        <v>92</v>
      </c>
      <c r="B149" s="256"/>
      <c r="C149" s="233">
        <v>180</v>
      </c>
    </row>
    <row r="150" spans="1:3" x14ac:dyDescent="0.2">
      <c r="A150" s="232" t="s">
        <v>225</v>
      </c>
      <c r="B150" s="256"/>
      <c r="C150" s="233">
        <v>13</v>
      </c>
    </row>
    <row r="151" spans="1:3" x14ac:dyDescent="0.2">
      <c r="A151" s="232" t="s">
        <v>226</v>
      </c>
      <c r="B151" s="256"/>
      <c r="C151" s="233">
        <v>53</v>
      </c>
    </row>
    <row r="152" spans="1:3" x14ac:dyDescent="0.2">
      <c r="A152" s="232" t="s">
        <v>227</v>
      </c>
      <c r="B152" s="256"/>
      <c r="C152" s="233">
        <v>26.880555555555556</v>
      </c>
    </row>
    <row r="153" spans="1:3" x14ac:dyDescent="0.2">
      <c r="A153" s="232" t="s">
        <v>228</v>
      </c>
      <c r="B153" s="256"/>
      <c r="C153" s="233">
        <v>23</v>
      </c>
    </row>
    <row r="154" spans="1:3" x14ac:dyDescent="0.2">
      <c r="A154" s="232" t="s">
        <v>229</v>
      </c>
      <c r="B154" s="256"/>
      <c r="C154" s="233">
        <v>108</v>
      </c>
    </row>
    <row r="155" spans="1:3" x14ac:dyDescent="0.2">
      <c r="A155" s="250" t="s">
        <v>230</v>
      </c>
      <c r="B155" s="251"/>
      <c r="C155" s="252">
        <v>54.80260081823495</v>
      </c>
    </row>
  </sheetData>
  <phoneticPr fontId="5" type="noConversion"/>
  <pageMargins left="0.75" right="0.75" top="1" bottom="1" header="0.5" footer="0.5"/>
  <pageSetup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499984740745262"/>
  </sheetPr>
  <dimension ref="A1:P100"/>
  <sheetViews>
    <sheetView workbookViewId="0">
      <selection activeCell="A19" sqref="A19"/>
    </sheetView>
  </sheetViews>
  <sheetFormatPr defaultColWidth="11.42578125" defaultRowHeight="12.75" x14ac:dyDescent="0.2"/>
  <cols>
    <col min="1" max="1" width="22.140625" customWidth="1"/>
    <col min="2" max="4" width="6.42578125" customWidth="1"/>
    <col min="5" max="5" width="10.5703125" customWidth="1"/>
    <col min="6" max="11" width="2" customWidth="1"/>
    <col min="12" max="12" width="18.7109375" customWidth="1"/>
    <col min="13" max="15" width="6.42578125" customWidth="1"/>
    <col min="16" max="16" width="10.5703125" bestFit="1" customWidth="1"/>
  </cols>
  <sheetData>
    <row r="1" spans="1:16" x14ac:dyDescent="0.2">
      <c r="A1" s="2" t="s">
        <v>31</v>
      </c>
      <c r="L1" s="2" t="s">
        <v>115</v>
      </c>
    </row>
    <row r="2" spans="1:16" x14ac:dyDescent="0.2">
      <c r="A2" s="15" t="s">
        <v>118</v>
      </c>
      <c r="L2" s="15" t="s">
        <v>118</v>
      </c>
    </row>
    <row r="4" spans="1:16" x14ac:dyDescent="0.2">
      <c r="A4" s="228" t="s">
        <v>108</v>
      </c>
      <c r="B4" s="228" t="s">
        <v>99</v>
      </c>
      <c r="C4" s="255"/>
      <c r="D4" s="255"/>
      <c r="E4" s="235"/>
      <c r="L4" s="228" t="s">
        <v>238</v>
      </c>
      <c r="M4" s="228" t="s">
        <v>99</v>
      </c>
      <c r="N4" s="255"/>
      <c r="O4" s="255"/>
      <c r="P4" s="235"/>
    </row>
    <row r="5" spans="1:16" x14ac:dyDescent="0.2">
      <c r="A5" s="228" t="s">
        <v>3</v>
      </c>
      <c r="B5" s="229">
        <v>1</v>
      </c>
      <c r="C5" s="265">
        <v>2</v>
      </c>
      <c r="D5" s="265">
        <v>3</v>
      </c>
      <c r="E5" s="259" t="s">
        <v>12</v>
      </c>
      <c r="L5" s="228" t="s">
        <v>3</v>
      </c>
      <c r="M5" s="229">
        <v>1</v>
      </c>
      <c r="N5" s="265">
        <v>2</v>
      </c>
      <c r="O5" s="265">
        <v>3</v>
      </c>
      <c r="P5" s="259" t="s">
        <v>12</v>
      </c>
    </row>
    <row r="6" spans="1:16" x14ac:dyDescent="0.2">
      <c r="A6" s="239">
        <v>41796</v>
      </c>
      <c r="B6" s="240">
        <v>500.00000000000023</v>
      </c>
      <c r="C6" s="266"/>
      <c r="D6" s="266"/>
      <c r="E6" s="258">
        <v>500.00000000000023</v>
      </c>
      <c r="L6" s="239">
        <v>41796</v>
      </c>
      <c r="M6" s="248">
        <v>59</v>
      </c>
      <c r="N6" s="269"/>
      <c r="O6" s="269"/>
      <c r="P6" s="263">
        <v>59</v>
      </c>
    </row>
    <row r="7" spans="1:16" x14ac:dyDescent="0.2">
      <c r="A7" s="261">
        <v>41797</v>
      </c>
      <c r="B7" s="242">
        <v>681.00000000000023</v>
      </c>
      <c r="C7" s="267"/>
      <c r="D7" s="267"/>
      <c r="E7" s="247">
        <v>681.00000000000023</v>
      </c>
      <c r="L7" s="261">
        <v>41797</v>
      </c>
      <c r="M7" s="262">
        <v>63.333333333333336</v>
      </c>
      <c r="N7" s="270"/>
      <c r="O7" s="270"/>
      <c r="P7" s="264">
        <v>63.333333333333336</v>
      </c>
    </row>
    <row r="8" spans="1:16" x14ac:dyDescent="0.2">
      <c r="A8" s="261">
        <v>41798</v>
      </c>
      <c r="B8" s="242">
        <v>798</v>
      </c>
      <c r="C8" s="267"/>
      <c r="D8" s="267"/>
      <c r="E8" s="247">
        <v>798</v>
      </c>
      <c r="L8" s="261">
        <v>41798</v>
      </c>
      <c r="M8" s="262">
        <v>67</v>
      </c>
      <c r="N8" s="270"/>
      <c r="O8" s="270"/>
      <c r="P8" s="264">
        <v>67</v>
      </c>
    </row>
    <row r="9" spans="1:16" x14ac:dyDescent="0.2">
      <c r="A9" s="261">
        <v>41799</v>
      </c>
      <c r="B9" s="242">
        <v>785.00000000000011</v>
      </c>
      <c r="C9" s="267"/>
      <c r="D9" s="267">
        <v>290.00000000000023</v>
      </c>
      <c r="E9" s="247">
        <v>1075.0000000000005</v>
      </c>
      <c r="L9" s="261">
        <v>41799</v>
      </c>
      <c r="M9" s="262">
        <v>59</v>
      </c>
      <c r="N9" s="270"/>
      <c r="O9" s="270">
        <v>43</v>
      </c>
      <c r="P9" s="264">
        <v>48.333333333333336</v>
      </c>
    </row>
    <row r="10" spans="1:16" x14ac:dyDescent="0.2">
      <c r="A10" s="261">
        <v>41800</v>
      </c>
      <c r="B10" s="242">
        <v>795</v>
      </c>
      <c r="C10" s="267"/>
      <c r="D10" s="267">
        <v>825.00000000000011</v>
      </c>
      <c r="E10" s="247">
        <v>1620</v>
      </c>
      <c r="L10" s="261">
        <v>41800</v>
      </c>
      <c r="M10" s="262">
        <v>55</v>
      </c>
      <c r="N10" s="270"/>
      <c r="O10" s="270">
        <v>41</v>
      </c>
      <c r="P10" s="264">
        <v>48</v>
      </c>
    </row>
    <row r="11" spans="1:16" x14ac:dyDescent="0.2">
      <c r="A11" s="261">
        <v>41801</v>
      </c>
      <c r="B11" s="242">
        <v>819.99999999999989</v>
      </c>
      <c r="C11" s="267"/>
      <c r="D11" s="267">
        <v>861</v>
      </c>
      <c r="E11" s="247">
        <v>1681</v>
      </c>
      <c r="L11" s="261">
        <v>41801</v>
      </c>
      <c r="M11" s="262">
        <v>55</v>
      </c>
      <c r="N11" s="270"/>
      <c r="O11" s="270">
        <v>44</v>
      </c>
      <c r="P11" s="264">
        <v>48.4</v>
      </c>
    </row>
    <row r="12" spans="1:16" x14ac:dyDescent="0.2">
      <c r="A12" s="261">
        <v>41802</v>
      </c>
      <c r="B12" s="242">
        <v>1009</v>
      </c>
      <c r="C12" s="267">
        <v>742</v>
      </c>
      <c r="D12" s="267">
        <v>945.00000000000011</v>
      </c>
      <c r="E12" s="247">
        <v>2696</v>
      </c>
      <c r="L12" s="261">
        <v>41802</v>
      </c>
      <c r="M12" s="262">
        <v>57.4</v>
      </c>
      <c r="N12" s="270">
        <v>36</v>
      </c>
      <c r="O12" s="270">
        <v>41.666666666666664</v>
      </c>
      <c r="P12" s="264">
        <v>45.4</v>
      </c>
    </row>
    <row r="13" spans="1:16" x14ac:dyDescent="0.2">
      <c r="A13" s="261">
        <v>41803</v>
      </c>
      <c r="B13" s="242">
        <v>893</v>
      </c>
      <c r="C13" s="267">
        <v>892.99999999999989</v>
      </c>
      <c r="D13" s="267">
        <v>914.99999999999977</v>
      </c>
      <c r="E13" s="247">
        <v>2701</v>
      </c>
      <c r="L13" s="261">
        <v>41803</v>
      </c>
      <c r="M13" s="262">
        <v>72.875</v>
      </c>
      <c r="N13" s="270">
        <v>38.375</v>
      </c>
      <c r="O13" s="270">
        <v>41.25</v>
      </c>
      <c r="P13" s="264">
        <v>50.833333333333336</v>
      </c>
    </row>
    <row r="14" spans="1:16" x14ac:dyDescent="0.2">
      <c r="A14" s="261">
        <v>41804</v>
      </c>
      <c r="B14" s="242">
        <v>907.00000000000011</v>
      </c>
      <c r="C14" s="267">
        <v>936.00000000000011</v>
      </c>
      <c r="D14" s="267">
        <v>927.00000000000011</v>
      </c>
      <c r="E14" s="247">
        <v>2770.0000000000005</v>
      </c>
      <c r="L14" s="261">
        <v>41804</v>
      </c>
      <c r="M14" s="262">
        <v>76.857142857142861</v>
      </c>
      <c r="N14" s="270">
        <v>42.5</v>
      </c>
      <c r="O14" s="270">
        <v>42</v>
      </c>
      <c r="P14" s="264">
        <v>52.782608695652172</v>
      </c>
    </row>
    <row r="15" spans="1:16" x14ac:dyDescent="0.2">
      <c r="A15" s="261">
        <v>41805</v>
      </c>
      <c r="B15" s="242">
        <v>952.00000000000011</v>
      </c>
      <c r="C15" s="267">
        <v>951.00000000000023</v>
      </c>
      <c r="D15" s="267">
        <v>940</v>
      </c>
      <c r="E15" s="247">
        <v>2843.0000000000005</v>
      </c>
      <c r="L15" s="261">
        <v>41805</v>
      </c>
      <c r="M15" s="262">
        <v>60</v>
      </c>
      <c r="N15" s="270">
        <v>37.75</v>
      </c>
      <c r="O15" s="270">
        <v>39.25</v>
      </c>
      <c r="P15" s="264">
        <v>45.666666666666664</v>
      </c>
    </row>
    <row r="16" spans="1:16" x14ac:dyDescent="0.2">
      <c r="A16" s="261">
        <v>41806</v>
      </c>
      <c r="B16" s="242">
        <v>1040</v>
      </c>
      <c r="C16" s="267">
        <v>1003</v>
      </c>
      <c r="D16" s="267">
        <v>953</v>
      </c>
      <c r="E16" s="247">
        <v>2996</v>
      </c>
      <c r="L16" s="261">
        <v>41806</v>
      </c>
      <c r="M16" s="262">
        <v>54.142857142857146</v>
      </c>
      <c r="N16" s="270">
        <v>33.714285714285715</v>
      </c>
      <c r="O16" s="270">
        <v>37.428571428571431</v>
      </c>
      <c r="P16" s="264">
        <v>41.761904761904759</v>
      </c>
    </row>
    <row r="17" spans="1:16" x14ac:dyDescent="0.2">
      <c r="A17" s="261">
        <v>41807</v>
      </c>
      <c r="B17" s="242">
        <v>941</v>
      </c>
      <c r="C17" s="267">
        <v>915</v>
      </c>
      <c r="D17" s="267">
        <v>1016</v>
      </c>
      <c r="E17" s="247">
        <v>2872</v>
      </c>
      <c r="L17" s="261">
        <v>41807</v>
      </c>
      <c r="M17" s="262">
        <v>46.625</v>
      </c>
      <c r="N17" s="270">
        <v>35.299999999999997</v>
      </c>
      <c r="O17" s="270">
        <v>37.6</v>
      </c>
      <c r="P17" s="264">
        <v>40.972222222222221</v>
      </c>
    </row>
    <row r="18" spans="1:16" x14ac:dyDescent="0.2">
      <c r="A18" s="261">
        <v>41808</v>
      </c>
      <c r="B18" s="242">
        <v>1046</v>
      </c>
      <c r="C18" s="267">
        <v>964</v>
      </c>
      <c r="D18" s="267">
        <v>788.00000000000011</v>
      </c>
      <c r="E18" s="247">
        <v>2798</v>
      </c>
      <c r="L18" s="261">
        <v>41808</v>
      </c>
      <c r="M18" s="262">
        <v>44.4</v>
      </c>
      <c r="N18" s="270">
        <v>33.6</v>
      </c>
      <c r="O18" s="270">
        <v>40.5</v>
      </c>
      <c r="P18" s="264">
        <v>39.428571428571431</v>
      </c>
    </row>
    <row r="19" spans="1:16" x14ac:dyDescent="0.2">
      <c r="A19" s="261">
        <v>41809</v>
      </c>
      <c r="B19" s="242">
        <v>1021</v>
      </c>
      <c r="C19" s="267">
        <v>989.00000000000011</v>
      </c>
      <c r="D19" s="267">
        <v>953.99999999999977</v>
      </c>
      <c r="E19" s="247">
        <v>2964</v>
      </c>
      <c r="L19" s="261">
        <v>41809</v>
      </c>
      <c r="M19" s="262">
        <v>42.857142857142854</v>
      </c>
      <c r="N19" s="270">
        <v>35.200000000000003</v>
      </c>
      <c r="O19" s="270">
        <v>38.666666666666664</v>
      </c>
      <c r="P19" s="264">
        <v>39.333333333333336</v>
      </c>
    </row>
    <row r="20" spans="1:16" x14ac:dyDescent="0.2">
      <c r="A20" s="261">
        <v>41810</v>
      </c>
      <c r="B20" s="242">
        <v>975.99999999999977</v>
      </c>
      <c r="C20" s="267">
        <v>969</v>
      </c>
      <c r="D20" s="267">
        <v>976.00000000000011</v>
      </c>
      <c r="E20" s="247">
        <v>2921</v>
      </c>
      <c r="L20" s="261">
        <v>41810</v>
      </c>
      <c r="M20" s="262">
        <v>45</v>
      </c>
      <c r="N20" s="270">
        <v>31.8</v>
      </c>
      <c r="O20" s="270">
        <v>39.5</v>
      </c>
      <c r="P20" s="264">
        <v>39.176470588235297</v>
      </c>
    </row>
    <row r="21" spans="1:16" x14ac:dyDescent="0.2">
      <c r="A21" s="261">
        <v>41811</v>
      </c>
      <c r="B21" s="242">
        <v>1048</v>
      </c>
      <c r="C21" s="267">
        <v>992.00000000000011</v>
      </c>
      <c r="D21" s="267">
        <v>1026</v>
      </c>
      <c r="E21" s="247">
        <v>3066</v>
      </c>
      <c r="L21" s="261">
        <v>41811</v>
      </c>
      <c r="M21" s="262">
        <v>50.5</v>
      </c>
      <c r="N21" s="270">
        <v>34.666666666666664</v>
      </c>
      <c r="O21" s="270">
        <v>39.75</v>
      </c>
      <c r="P21" s="264">
        <v>42.272727272727273</v>
      </c>
    </row>
    <row r="22" spans="1:16" x14ac:dyDescent="0.2">
      <c r="A22" s="261">
        <v>41812</v>
      </c>
      <c r="B22" s="242">
        <v>1005.9999999999998</v>
      </c>
      <c r="C22" s="267">
        <v>960.99999999999989</v>
      </c>
      <c r="D22" s="267">
        <v>1044</v>
      </c>
      <c r="E22" s="247">
        <v>3010.9999999999995</v>
      </c>
      <c r="L22" s="261">
        <v>41812</v>
      </c>
      <c r="M22" s="262">
        <v>46.4</v>
      </c>
      <c r="N22" s="270">
        <v>31.25</v>
      </c>
      <c r="O22" s="270">
        <v>39</v>
      </c>
      <c r="P22" s="264">
        <v>39.46153846153846</v>
      </c>
    </row>
    <row r="23" spans="1:16" x14ac:dyDescent="0.2">
      <c r="A23" s="261">
        <v>41813</v>
      </c>
      <c r="B23" s="242">
        <v>1055</v>
      </c>
      <c r="C23" s="267">
        <v>1032</v>
      </c>
      <c r="D23" s="267">
        <v>1045</v>
      </c>
      <c r="E23" s="247">
        <v>3132</v>
      </c>
      <c r="L23" s="261">
        <v>41813</v>
      </c>
      <c r="M23" s="262">
        <v>56.75</v>
      </c>
      <c r="N23" s="270">
        <v>33.75</v>
      </c>
      <c r="O23" s="270">
        <v>42</v>
      </c>
      <c r="P23" s="264">
        <v>44.166666666666664</v>
      </c>
    </row>
    <row r="24" spans="1:16" x14ac:dyDescent="0.2">
      <c r="A24" s="261">
        <v>41814</v>
      </c>
      <c r="B24" s="242">
        <v>1055.0000000000002</v>
      </c>
      <c r="C24" s="267">
        <v>1034</v>
      </c>
      <c r="D24" s="267">
        <v>1050</v>
      </c>
      <c r="E24" s="247">
        <v>3139</v>
      </c>
      <c r="L24" s="261">
        <v>41814</v>
      </c>
      <c r="M24" s="262">
        <v>56.6</v>
      </c>
      <c r="N24" s="270">
        <v>33.5</v>
      </c>
      <c r="O24" s="270">
        <v>45</v>
      </c>
      <c r="P24" s="264">
        <v>45.92307692307692</v>
      </c>
    </row>
    <row r="25" spans="1:16" x14ac:dyDescent="0.2">
      <c r="A25" s="261">
        <v>41815</v>
      </c>
      <c r="B25" s="242">
        <v>1027.9999999999998</v>
      </c>
      <c r="C25" s="267">
        <v>985</v>
      </c>
      <c r="D25" s="267">
        <v>966</v>
      </c>
      <c r="E25" s="247">
        <v>2979</v>
      </c>
      <c r="L25" s="261">
        <v>41815</v>
      </c>
      <c r="M25" s="262">
        <v>57.5</v>
      </c>
      <c r="N25" s="270">
        <v>34.5</v>
      </c>
      <c r="O25" s="270">
        <v>45.5</v>
      </c>
      <c r="P25" s="264">
        <v>45.833333333333336</v>
      </c>
    </row>
    <row r="26" spans="1:16" x14ac:dyDescent="0.2">
      <c r="A26" s="261">
        <v>41816</v>
      </c>
      <c r="B26" s="242">
        <v>0</v>
      </c>
      <c r="C26" s="267">
        <v>0</v>
      </c>
      <c r="D26" s="267">
        <v>0</v>
      </c>
      <c r="E26" s="247">
        <v>0</v>
      </c>
      <c r="L26" s="261">
        <v>41816</v>
      </c>
      <c r="M26" s="262"/>
      <c r="N26" s="270"/>
      <c r="O26" s="270"/>
      <c r="P26" s="264"/>
    </row>
    <row r="27" spans="1:16" x14ac:dyDescent="0.2">
      <c r="A27" s="261">
        <v>41817</v>
      </c>
      <c r="B27" s="242">
        <v>0</v>
      </c>
      <c r="C27" s="267">
        <v>0</v>
      </c>
      <c r="D27" s="267">
        <v>0</v>
      </c>
      <c r="E27" s="247">
        <v>0</v>
      </c>
      <c r="L27" s="261">
        <v>41817</v>
      </c>
      <c r="M27" s="262"/>
      <c r="N27" s="270"/>
      <c r="O27" s="270"/>
      <c r="P27" s="264"/>
    </row>
    <row r="28" spans="1:16" x14ac:dyDescent="0.2">
      <c r="A28" s="261">
        <v>41818</v>
      </c>
      <c r="B28" s="242">
        <v>955</v>
      </c>
      <c r="C28" s="267">
        <v>528</v>
      </c>
      <c r="D28" s="267">
        <v>0</v>
      </c>
      <c r="E28" s="247">
        <v>1483</v>
      </c>
      <c r="L28" s="261">
        <v>41818</v>
      </c>
      <c r="M28" s="262">
        <v>35.428571428571431</v>
      </c>
      <c r="N28" s="270">
        <v>29.666666666666668</v>
      </c>
      <c r="O28" s="270"/>
      <c r="P28" s="264">
        <v>33.700000000000003</v>
      </c>
    </row>
    <row r="29" spans="1:16" x14ac:dyDescent="0.2">
      <c r="A29" s="261">
        <v>41819</v>
      </c>
      <c r="B29" s="242">
        <v>1440</v>
      </c>
      <c r="C29" s="267">
        <v>1056</v>
      </c>
      <c r="D29" s="267">
        <v>1057</v>
      </c>
      <c r="E29" s="247">
        <v>3553</v>
      </c>
      <c r="L29" s="261">
        <v>41819</v>
      </c>
      <c r="M29" s="262">
        <v>43.5</v>
      </c>
      <c r="N29" s="270">
        <v>28.75</v>
      </c>
      <c r="O29" s="270">
        <v>35</v>
      </c>
      <c r="P29" s="264">
        <v>35.75</v>
      </c>
    </row>
    <row r="30" spans="1:16" x14ac:dyDescent="0.2">
      <c r="A30" s="261">
        <v>41820</v>
      </c>
      <c r="B30" s="242">
        <v>1439.9999999999998</v>
      </c>
      <c r="C30" s="267">
        <v>1440.0000000000002</v>
      </c>
      <c r="D30" s="267">
        <v>1422</v>
      </c>
      <c r="E30" s="247">
        <v>4302</v>
      </c>
      <c r="L30" s="261">
        <v>41820</v>
      </c>
      <c r="M30" s="262">
        <v>52.75</v>
      </c>
      <c r="N30" s="270">
        <v>32</v>
      </c>
      <c r="O30" s="270">
        <v>39.75</v>
      </c>
      <c r="P30" s="264">
        <v>41.5</v>
      </c>
    </row>
    <row r="31" spans="1:16" x14ac:dyDescent="0.2">
      <c r="A31" s="261">
        <v>41821</v>
      </c>
      <c r="B31" s="242">
        <v>1420</v>
      </c>
      <c r="C31" s="267">
        <v>1430</v>
      </c>
      <c r="D31" s="267">
        <v>1440</v>
      </c>
      <c r="E31" s="247">
        <v>4290</v>
      </c>
      <c r="L31" s="261">
        <v>41821</v>
      </c>
      <c r="M31" s="262">
        <v>48.75</v>
      </c>
      <c r="N31" s="270">
        <v>31</v>
      </c>
      <c r="O31" s="270">
        <v>52.5</v>
      </c>
      <c r="P31" s="264">
        <v>44.083333333333336</v>
      </c>
    </row>
    <row r="32" spans="1:16" x14ac:dyDescent="0.2">
      <c r="A32" s="261">
        <v>41822</v>
      </c>
      <c r="B32" s="242">
        <v>1286</v>
      </c>
      <c r="C32" s="267">
        <v>1393</v>
      </c>
      <c r="D32" s="267">
        <v>1369</v>
      </c>
      <c r="E32" s="247">
        <v>4048</v>
      </c>
      <c r="L32" s="261">
        <v>41822</v>
      </c>
      <c r="M32" s="262">
        <v>36.25</v>
      </c>
      <c r="N32" s="270">
        <v>31.25</v>
      </c>
      <c r="O32" s="270">
        <v>39.666666666666664</v>
      </c>
      <c r="P32" s="264">
        <v>35.363636363636367</v>
      </c>
    </row>
    <row r="33" spans="1:16" x14ac:dyDescent="0.2">
      <c r="A33" s="261">
        <v>41823</v>
      </c>
      <c r="B33" s="242">
        <v>1081</v>
      </c>
      <c r="C33" s="267">
        <v>1065</v>
      </c>
      <c r="D33" s="267">
        <v>799</v>
      </c>
      <c r="E33" s="247">
        <v>2945</v>
      </c>
      <c r="L33" s="261">
        <v>41823</v>
      </c>
      <c r="M33" s="262">
        <v>34.6</v>
      </c>
      <c r="N33" s="270">
        <v>29.25</v>
      </c>
      <c r="O33" s="270">
        <v>32</v>
      </c>
      <c r="P33" s="264">
        <v>32.153846153846153</v>
      </c>
    </row>
    <row r="34" spans="1:16" x14ac:dyDescent="0.2">
      <c r="A34" s="261">
        <v>41824</v>
      </c>
      <c r="B34" s="242">
        <v>1373</v>
      </c>
      <c r="C34" s="267">
        <v>587</v>
      </c>
      <c r="D34" s="267">
        <v>1397</v>
      </c>
      <c r="E34" s="247">
        <v>3357</v>
      </c>
      <c r="L34" s="261">
        <v>41824</v>
      </c>
      <c r="M34" s="262">
        <v>34.799999999999997</v>
      </c>
      <c r="N34" s="270">
        <v>36</v>
      </c>
      <c r="O34" s="270">
        <v>35</v>
      </c>
      <c r="P34" s="264">
        <v>35.153846153846153</v>
      </c>
    </row>
    <row r="35" spans="1:16" x14ac:dyDescent="0.2">
      <c r="A35" s="261">
        <v>41825</v>
      </c>
      <c r="B35" s="242">
        <v>1439.0000000000002</v>
      </c>
      <c r="C35" s="267">
        <v>1440</v>
      </c>
      <c r="D35" s="267">
        <v>1426</v>
      </c>
      <c r="E35" s="247">
        <v>4305</v>
      </c>
      <c r="L35" s="261">
        <v>41825</v>
      </c>
      <c r="M35" s="262">
        <v>39.75</v>
      </c>
      <c r="N35" s="270">
        <v>35</v>
      </c>
      <c r="O35" s="270">
        <v>39</v>
      </c>
      <c r="P35" s="264">
        <v>37.916666666666664</v>
      </c>
    </row>
    <row r="36" spans="1:16" x14ac:dyDescent="0.2">
      <c r="A36" s="261">
        <v>41826</v>
      </c>
      <c r="B36" s="242">
        <v>1434.9999999999998</v>
      </c>
      <c r="C36" s="267">
        <v>1440.0000000000002</v>
      </c>
      <c r="D36" s="267">
        <v>1412</v>
      </c>
      <c r="E36" s="247">
        <v>4287</v>
      </c>
      <c r="L36" s="261">
        <v>41826</v>
      </c>
      <c r="M36" s="262">
        <v>45.25</v>
      </c>
      <c r="N36" s="270">
        <v>35</v>
      </c>
      <c r="O36" s="270">
        <v>40.5</v>
      </c>
      <c r="P36" s="264">
        <v>40.25</v>
      </c>
    </row>
    <row r="37" spans="1:16" x14ac:dyDescent="0.2">
      <c r="A37" s="261">
        <v>41827</v>
      </c>
      <c r="B37" s="242">
        <v>1403</v>
      </c>
      <c r="C37" s="267">
        <v>1440</v>
      </c>
      <c r="D37" s="267">
        <v>1363</v>
      </c>
      <c r="E37" s="247">
        <v>4206</v>
      </c>
      <c r="L37" s="261">
        <v>41827</v>
      </c>
      <c r="M37" s="262">
        <v>37.5</v>
      </c>
      <c r="N37" s="270">
        <v>31.75</v>
      </c>
      <c r="O37" s="270">
        <v>34.75</v>
      </c>
      <c r="P37" s="264">
        <v>34.666666666666664</v>
      </c>
    </row>
    <row r="38" spans="1:16" x14ac:dyDescent="0.2">
      <c r="A38" s="261">
        <v>41828</v>
      </c>
      <c r="B38" s="242">
        <v>1413</v>
      </c>
      <c r="C38" s="267">
        <v>1435</v>
      </c>
      <c r="D38" s="267">
        <v>1071</v>
      </c>
      <c r="E38" s="247">
        <v>3919</v>
      </c>
      <c r="L38" s="261">
        <v>41828</v>
      </c>
      <c r="M38" s="262">
        <v>32</v>
      </c>
      <c r="N38" s="270">
        <v>31.5</v>
      </c>
      <c r="O38" s="270">
        <v>34.5</v>
      </c>
      <c r="P38" s="264">
        <v>32.666666666666664</v>
      </c>
    </row>
    <row r="39" spans="1:16" x14ac:dyDescent="0.2">
      <c r="A39" s="261">
        <v>41829</v>
      </c>
      <c r="B39" s="242">
        <v>1432</v>
      </c>
      <c r="C39" s="267">
        <v>1440</v>
      </c>
      <c r="D39" s="267">
        <v>1394</v>
      </c>
      <c r="E39" s="247">
        <v>4266</v>
      </c>
      <c r="L39" s="261">
        <v>41829</v>
      </c>
      <c r="M39" s="262">
        <v>33.5</v>
      </c>
      <c r="N39" s="270">
        <v>33</v>
      </c>
      <c r="O39" s="270">
        <v>35.75</v>
      </c>
      <c r="P39" s="264">
        <v>34.083333333333336</v>
      </c>
    </row>
    <row r="40" spans="1:16" x14ac:dyDescent="0.2">
      <c r="A40" s="261">
        <v>41830</v>
      </c>
      <c r="B40" s="242">
        <v>1440</v>
      </c>
      <c r="C40" s="267">
        <v>1440</v>
      </c>
      <c r="D40" s="267">
        <v>1440</v>
      </c>
      <c r="E40" s="247">
        <v>4320</v>
      </c>
      <c r="L40" s="261">
        <v>41830</v>
      </c>
      <c r="M40" s="262">
        <v>34.25</v>
      </c>
      <c r="N40" s="270">
        <v>32.25</v>
      </c>
      <c r="O40" s="270">
        <v>38.75</v>
      </c>
      <c r="P40" s="264">
        <v>35.083333333333336</v>
      </c>
    </row>
    <row r="41" spans="1:16" x14ac:dyDescent="0.2">
      <c r="A41" s="261">
        <v>41831</v>
      </c>
      <c r="B41" s="242">
        <v>1433.9999999999998</v>
      </c>
      <c r="C41" s="267">
        <v>1440</v>
      </c>
      <c r="D41" s="267">
        <v>1440</v>
      </c>
      <c r="E41" s="247">
        <v>4314</v>
      </c>
      <c r="L41" s="261">
        <v>41831</v>
      </c>
      <c r="M41" s="262">
        <v>34.5</v>
      </c>
      <c r="N41" s="270">
        <v>32</v>
      </c>
      <c r="O41" s="270">
        <v>36.25</v>
      </c>
      <c r="P41" s="264">
        <v>34.25</v>
      </c>
    </row>
    <row r="42" spans="1:16" x14ac:dyDescent="0.2">
      <c r="A42" s="261">
        <v>41832</v>
      </c>
      <c r="B42" s="242">
        <v>1440</v>
      </c>
      <c r="C42" s="267">
        <v>1440</v>
      </c>
      <c r="D42" s="267">
        <v>1429</v>
      </c>
      <c r="E42" s="247">
        <v>4309</v>
      </c>
      <c r="L42" s="261">
        <v>41832</v>
      </c>
      <c r="M42" s="262">
        <v>36</v>
      </c>
      <c r="N42" s="270">
        <v>33.25</v>
      </c>
      <c r="O42" s="270">
        <v>37.75</v>
      </c>
      <c r="P42" s="264">
        <v>35.666666666666664</v>
      </c>
    </row>
    <row r="43" spans="1:16" x14ac:dyDescent="0.2">
      <c r="A43" s="261">
        <v>41833</v>
      </c>
      <c r="B43" s="242">
        <v>1156</v>
      </c>
      <c r="C43" s="267">
        <v>1440</v>
      </c>
      <c r="D43" s="267">
        <v>1392</v>
      </c>
      <c r="E43" s="247">
        <v>3988</v>
      </c>
      <c r="L43" s="261">
        <v>41833</v>
      </c>
      <c r="M43" s="262">
        <v>34.75</v>
      </c>
      <c r="N43" s="270">
        <v>32.25</v>
      </c>
      <c r="O43" s="270">
        <v>36</v>
      </c>
      <c r="P43" s="264">
        <v>34.333333333333336</v>
      </c>
    </row>
    <row r="44" spans="1:16" x14ac:dyDescent="0.2">
      <c r="A44" s="261">
        <v>41834</v>
      </c>
      <c r="B44" s="242">
        <v>1440</v>
      </c>
      <c r="C44" s="267">
        <v>1440</v>
      </c>
      <c r="D44" s="267">
        <v>1440</v>
      </c>
      <c r="E44" s="247">
        <v>4320</v>
      </c>
      <c r="L44" s="261">
        <v>41834</v>
      </c>
      <c r="M44" s="262">
        <v>32.75</v>
      </c>
      <c r="N44" s="270">
        <v>32</v>
      </c>
      <c r="O44" s="270">
        <v>36.75</v>
      </c>
      <c r="P44" s="264">
        <v>33.833333333333336</v>
      </c>
    </row>
    <row r="45" spans="1:16" x14ac:dyDescent="0.2">
      <c r="A45" s="261">
        <v>41835</v>
      </c>
      <c r="B45" s="242">
        <v>1194</v>
      </c>
      <c r="C45" s="267">
        <v>1440</v>
      </c>
      <c r="D45" s="267">
        <v>1435</v>
      </c>
      <c r="E45" s="247">
        <v>4069</v>
      </c>
      <c r="L45" s="261">
        <v>41835</v>
      </c>
      <c r="M45" s="262">
        <v>37.25</v>
      </c>
      <c r="N45" s="270">
        <v>34.5</v>
      </c>
      <c r="O45" s="270">
        <v>40.25</v>
      </c>
      <c r="P45" s="264">
        <v>37.333333333333336</v>
      </c>
    </row>
    <row r="46" spans="1:16" x14ac:dyDescent="0.2">
      <c r="A46" s="261">
        <v>41836</v>
      </c>
      <c r="B46" s="242">
        <v>1440</v>
      </c>
      <c r="C46" s="267">
        <v>1422.0000000000002</v>
      </c>
      <c r="D46" s="267">
        <v>1440</v>
      </c>
      <c r="E46" s="247">
        <v>4302</v>
      </c>
      <c r="L46" s="261">
        <v>41836</v>
      </c>
      <c r="M46" s="262">
        <v>41.5</v>
      </c>
      <c r="N46" s="270">
        <v>33.75</v>
      </c>
      <c r="O46" s="270">
        <v>41.5</v>
      </c>
      <c r="P46" s="264">
        <v>38.916666666666664</v>
      </c>
    </row>
    <row r="47" spans="1:16" x14ac:dyDescent="0.2">
      <c r="A47" s="261">
        <v>41837</v>
      </c>
      <c r="B47" s="242">
        <v>1432</v>
      </c>
      <c r="C47" s="267">
        <v>1440</v>
      </c>
      <c r="D47" s="267">
        <v>1425</v>
      </c>
      <c r="E47" s="247">
        <v>4297</v>
      </c>
      <c r="L47" s="261">
        <v>41837</v>
      </c>
      <c r="M47" s="262">
        <v>41.75</v>
      </c>
      <c r="N47" s="270">
        <v>32.75</v>
      </c>
      <c r="O47" s="270">
        <v>44.75</v>
      </c>
      <c r="P47" s="264">
        <v>39.75</v>
      </c>
    </row>
    <row r="48" spans="1:16" x14ac:dyDescent="0.2">
      <c r="A48" s="261">
        <v>41838</v>
      </c>
      <c r="B48" s="242">
        <v>1403</v>
      </c>
      <c r="C48" s="267">
        <v>1382</v>
      </c>
      <c r="D48" s="267">
        <v>1404</v>
      </c>
      <c r="E48" s="247">
        <v>4189</v>
      </c>
      <c r="L48" s="261">
        <v>41838</v>
      </c>
      <c r="M48" s="262">
        <v>45</v>
      </c>
      <c r="N48" s="270">
        <v>35.25</v>
      </c>
      <c r="O48" s="270">
        <v>50.5</v>
      </c>
      <c r="P48" s="264">
        <v>43.583333333333336</v>
      </c>
    </row>
    <row r="49" spans="1:16" x14ac:dyDescent="0.2">
      <c r="A49" s="261">
        <v>41839</v>
      </c>
      <c r="B49" s="242">
        <v>688.99999999999989</v>
      </c>
      <c r="C49" s="267">
        <v>608</v>
      </c>
      <c r="D49" s="267">
        <v>709.99999999999977</v>
      </c>
      <c r="E49" s="247">
        <v>2006.9999999999998</v>
      </c>
      <c r="L49" s="261">
        <v>41839</v>
      </c>
      <c r="M49" s="262">
        <v>39</v>
      </c>
      <c r="N49" s="270">
        <v>37</v>
      </c>
      <c r="O49" s="270">
        <v>49.666666666666664</v>
      </c>
      <c r="P49" s="264">
        <v>43</v>
      </c>
    </row>
    <row r="50" spans="1:16" x14ac:dyDescent="0.2">
      <c r="A50" s="261">
        <v>41840</v>
      </c>
      <c r="B50" s="242">
        <v>634.99999999999977</v>
      </c>
      <c r="C50" s="267">
        <v>707</v>
      </c>
      <c r="D50" s="267">
        <v>716.99999999999989</v>
      </c>
      <c r="E50" s="247">
        <v>2058.9999999999995</v>
      </c>
      <c r="L50" s="261">
        <v>41840</v>
      </c>
      <c r="M50" s="262">
        <v>41.5</v>
      </c>
      <c r="N50" s="270">
        <v>31.5</v>
      </c>
      <c r="O50" s="270">
        <v>44</v>
      </c>
      <c r="P50" s="264">
        <v>39.714285714285715</v>
      </c>
    </row>
    <row r="51" spans="1:16" x14ac:dyDescent="0.2">
      <c r="A51" s="261">
        <v>41841</v>
      </c>
      <c r="B51" s="242">
        <v>710</v>
      </c>
      <c r="C51" s="267">
        <v>706.00000000000023</v>
      </c>
      <c r="D51" s="267">
        <v>721</v>
      </c>
      <c r="E51" s="247">
        <v>2137</v>
      </c>
      <c r="L51" s="261">
        <v>41841</v>
      </c>
      <c r="M51" s="262">
        <v>41</v>
      </c>
      <c r="N51" s="270">
        <v>30</v>
      </c>
      <c r="O51" s="270">
        <v>43</v>
      </c>
      <c r="P51" s="264">
        <v>38.714285714285715</v>
      </c>
    </row>
    <row r="52" spans="1:16" x14ac:dyDescent="0.2">
      <c r="A52" s="261">
        <v>41842</v>
      </c>
      <c r="B52" s="242">
        <v>709.00000000000011</v>
      </c>
      <c r="C52" s="267">
        <v>701.99999999999989</v>
      </c>
      <c r="D52" s="267">
        <v>700</v>
      </c>
      <c r="E52" s="247">
        <v>2111</v>
      </c>
      <c r="L52" s="261">
        <v>41842</v>
      </c>
      <c r="M52" s="262">
        <v>43</v>
      </c>
      <c r="N52" s="270">
        <v>34</v>
      </c>
      <c r="O52" s="270">
        <v>44</v>
      </c>
      <c r="P52" s="264">
        <v>39.875</v>
      </c>
    </row>
    <row r="53" spans="1:16" x14ac:dyDescent="0.2">
      <c r="A53" s="261">
        <v>41843</v>
      </c>
      <c r="B53" s="242">
        <v>730</v>
      </c>
      <c r="C53" s="267">
        <v>718.00000000000011</v>
      </c>
      <c r="D53" s="267">
        <v>712</v>
      </c>
      <c r="E53" s="247">
        <v>2160</v>
      </c>
      <c r="L53" s="261">
        <v>41843</v>
      </c>
      <c r="M53" s="262">
        <v>49.666666666666664</v>
      </c>
      <c r="N53" s="270">
        <v>33.666666666666664</v>
      </c>
      <c r="O53" s="270">
        <v>51.5</v>
      </c>
      <c r="P53" s="264">
        <v>44.125</v>
      </c>
    </row>
    <row r="54" spans="1:16" x14ac:dyDescent="0.2">
      <c r="A54" s="261">
        <v>41844</v>
      </c>
      <c r="B54" s="242">
        <v>677</v>
      </c>
      <c r="C54" s="267">
        <v>723</v>
      </c>
      <c r="D54" s="267">
        <v>725.00000000000011</v>
      </c>
      <c r="E54" s="247">
        <v>2125</v>
      </c>
      <c r="L54" s="261">
        <v>41844</v>
      </c>
      <c r="M54" s="262">
        <v>51.5</v>
      </c>
      <c r="N54" s="270">
        <v>36.5</v>
      </c>
      <c r="O54" s="270">
        <v>52</v>
      </c>
      <c r="P54" s="264">
        <v>47.428571428571431</v>
      </c>
    </row>
    <row r="55" spans="1:16" x14ac:dyDescent="0.2">
      <c r="A55" s="261">
        <v>41845</v>
      </c>
      <c r="B55" s="242">
        <v>757.99999999999977</v>
      </c>
      <c r="C55" s="267">
        <v>721</v>
      </c>
      <c r="D55" s="267">
        <v>719.99999999999977</v>
      </c>
      <c r="E55" s="247">
        <v>2198.9999999999995</v>
      </c>
      <c r="L55" s="261">
        <v>41845</v>
      </c>
      <c r="M55" s="262">
        <v>49.5</v>
      </c>
      <c r="N55" s="270">
        <v>34</v>
      </c>
      <c r="O55" s="270">
        <v>50.333333333333336</v>
      </c>
      <c r="P55" s="264">
        <v>45.428571428571431</v>
      </c>
    </row>
    <row r="56" spans="1:16" x14ac:dyDescent="0.2">
      <c r="A56" s="261">
        <v>41846</v>
      </c>
      <c r="B56" s="242">
        <v>724.00000000000011</v>
      </c>
      <c r="C56" s="267">
        <v>719.00000000000011</v>
      </c>
      <c r="D56" s="267">
        <v>757</v>
      </c>
      <c r="E56" s="247">
        <v>2200</v>
      </c>
      <c r="L56" s="261">
        <v>41846</v>
      </c>
      <c r="M56" s="262">
        <v>41.333333333333336</v>
      </c>
      <c r="N56" s="270">
        <v>33.666666666666664</v>
      </c>
      <c r="O56" s="270">
        <v>47</v>
      </c>
      <c r="P56" s="264">
        <v>39.875</v>
      </c>
    </row>
    <row r="57" spans="1:16" x14ac:dyDescent="0.2">
      <c r="A57" s="261">
        <v>41847</v>
      </c>
      <c r="B57" s="242">
        <v>737</v>
      </c>
      <c r="C57" s="267">
        <v>721.00000000000011</v>
      </c>
      <c r="D57" s="267">
        <v>721</v>
      </c>
      <c r="E57" s="247">
        <v>2179</v>
      </c>
      <c r="L57" s="261">
        <v>41847</v>
      </c>
      <c r="M57" s="262">
        <v>46.666666666666664</v>
      </c>
      <c r="N57" s="270">
        <v>31.333333333333332</v>
      </c>
      <c r="O57" s="270">
        <v>49</v>
      </c>
      <c r="P57" s="264">
        <v>41.5</v>
      </c>
    </row>
    <row r="58" spans="1:16" x14ac:dyDescent="0.2">
      <c r="A58" s="261">
        <v>41848</v>
      </c>
      <c r="B58" s="242">
        <v>741</v>
      </c>
      <c r="C58" s="267">
        <v>721</v>
      </c>
      <c r="D58" s="267">
        <v>722</v>
      </c>
      <c r="E58" s="247">
        <v>2184</v>
      </c>
      <c r="L58" s="261">
        <v>41848</v>
      </c>
      <c r="M58" s="262">
        <v>52.5</v>
      </c>
      <c r="N58" s="270">
        <v>33</v>
      </c>
      <c r="O58" s="270">
        <v>53.333333333333336</v>
      </c>
      <c r="P58" s="264">
        <v>47.285714285714285</v>
      </c>
    </row>
    <row r="59" spans="1:16" x14ac:dyDescent="0.2">
      <c r="A59" s="261">
        <v>41849</v>
      </c>
      <c r="B59" s="242">
        <v>722.00000000000011</v>
      </c>
      <c r="C59" s="267">
        <v>713</v>
      </c>
      <c r="D59" s="267">
        <v>721.00000000000011</v>
      </c>
      <c r="E59" s="247">
        <v>2156</v>
      </c>
      <c r="L59" s="261">
        <v>41849</v>
      </c>
      <c r="M59" s="262">
        <v>54.5</v>
      </c>
      <c r="N59" s="270">
        <v>36.5</v>
      </c>
      <c r="O59" s="270">
        <v>56.666666666666664</v>
      </c>
      <c r="P59" s="264">
        <v>50.285714285714285</v>
      </c>
    </row>
    <row r="60" spans="1:16" x14ac:dyDescent="0.2">
      <c r="A60" s="261">
        <v>41850</v>
      </c>
      <c r="B60" s="242">
        <v>660</v>
      </c>
      <c r="C60" s="267">
        <v>714</v>
      </c>
      <c r="D60" s="267">
        <v>725</v>
      </c>
      <c r="E60" s="247">
        <v>2099</v>
      </c>
      <c r="L60" s="261">
        <v>41850</v>
      </c>
      <c r="M60" s="262">
        <v>53</v>
      </c>
      <c r="N60" s="270">
        <v>40</v>
      </c>
      <c r="O60" s="270">
        <v>55.333333333333336</v>
      </c>
      <c r="P60" s="264">
        <v>50.285714285714285</v>
      </c>
    </row>
    <row r="61" spans="1:16" x14ac:dyDescent="0.2">
      <c r="A61" s="261">
        <v>41851</v>
      </c>
      <c r="B61" s="242">
        <v>721</v>
      </c>
      <c r="C61" s="267">
        <v>720.99999999999989</v>
      </c>
      <c r="D61" s="267">
        <v>706.99999999999977</v>
      </c>
      <c r="E61" s="247">
        <v>2149</v>
      </c>
      <c r="L61" s="261">
        <v>41851</v>
      </c>
      <c r="M61" s="262">
        <v>51.666666666666664</v>
      </c>
      <c r="N61" s="270">
        <v>36</v>
      </c>
      <c r="O61" s="270">
        <v>49</v>
      </c>
      <c r="P61" s="264">
        <v>45.125</v>
      </c>
    </row>
    <row r="62" spans="1:16" x14ac:dyDescent="0.2">
      <c r="A62" s="261">
        <v>41852</v>
      </c>
      <c r="B62" s="242">
        <v>710.00000000000011</v>
      </c>
      <c r="C62" s="267">
        <v>726</v>
      </c>
      <c r="D62" s="267">
        <v>719.99999999999989</v>
      </c>
      <c r="E62" s="247">
        <v>2156</v>
      </c>
      <c r="L62" s="261">
        <v>41852</v>
      </c>
      <c r="M62" s="262">
        <v>54</v>
      </c>
      <c r="N62" s="270">
        <v>35.5</v>
      </c>
      <c r="O62" s="270">
        <v>50.666666666666664</v>
      </c>
      <c r="P62" s="264">
        <v>47.285714285714285</v>
      </c>
    </row>
    <row r="63" spans="1:16" x14ac:dyDescent="0.2">
      <c r="A63" s="261">
        <v>41853</v>
      </c>
      <c r="B63" s="242">
        <v>720.00000000000011</v>
      </c>
      <c r="C63" s="267">
        <v>720</v>
      </c>
      <c r="D63" s="267">
        <v>721</v>
      </c>
      <c r="E63" s="247">
        <v>2161</v>
      </c>
      <c r="L63" s="261">
        <v>41853</v>
      </c>
      <c r="M63" s="262">
        <v>52</v>
      </c>
      <c r="N63" s="270">
        <v>35.5</v>
      </c>
      <c r="O63" s="270">
        <v>48</v>
      </c>
      <c r="P63" s="264">
        <v>45.571428571428569</v>
      </c>
    </row>
    <row r="64" spans="1:16" x14ac:dyDescent="0.2">
      <c r="A64" s="261">
        <v>41854</v>
      </c>
      <c r="B64" s="242">
        <v>784</v>
      </c>
      <c r="C64" s="267">
        <v>719.99999999999977</v>
      </c>
      <c r="D64" s="267">
        <v>719.99999999999977</v>
      </c>
      <c r="E64" s="247">
        <v>2223.9999999999995</v>
      </c>
      <c r="L64" s="261">
        <v>41854</v>
      </c>
      <c r="M64" s="262">
        <v>49</v>
      </c>
      <c r="N64" s="270">
        <v>34.5</v>
      </c>
      <c r="O64" s="270">
        <v>47.666666666666664</v>
      </c>
      <c r="P64" s="264">
        <v>44.285714285714285</v>
      </c>
    </row>
    <row r="65" spans="1:16" x14ac:dyDescent="0.2">
      <c r="A65" s="261">
        <v>41855</v>
      </c>
      <c r="B65" s="242">
        <v>720.00000000000011</v>
      </c>
      <c r="C65" s="267">
        <v>719.99999999999989</v>
      </c>
      <c r="D65" s="267">
        <v>719.99999999999989</v>
      </c>
      <c r="E65" s="247">
        <v>2160</v>
      </c>
      <c r="L65" s="261">
        <v>41855</v>
      </c>
      <c r="M65" s="262">
        <v>53.666666666666664</v>
      </c>
      <c r="N65" s="270">
        <v>35</v>
      </c>
      <c r="O65" s="270">
        <v>50</v>
      </c>
      <c r="P65" s="264">
        <v>45.75</v>
      </c>
    </row>
    <row r="66" spans="1:16" x14ac:dyDescent="0.2">
      <c r="A66" s="261">
        <v>41856</v>
      </c>
      <c r="B66" s="242">
        <v>720</v>
      </c>
      <c r="C66" s="267">
        <v>720</v>
      </c>
      <c r="D66" s="267">
        <v>725</v>
      </c>
      <c r="E66" s="247">
        <v>2165</v>
      </c>
      <c r="L66" s="261">
        <v>41856</v>
      </c>
      <c r="M66" s="262">
        <v>48.666666666666664</v>
      </c>
      <c r="N66" s="270">
        <v>35.333333333333336</v>
      </c>
      <c r="O66" s="270">
        <v>47.5</v>
      </c>
      <c r="P66" s="264">
        <v>43.375</v>
      </c>
    </row>
    <row r="67" spans="1:16" x14ac:dyDescent="0.2">
      <c r="A67" s="261">
        <v>41857</v>
      </c>
      <c r="B67" s="242">
        <v>720.00000000000011</v>
      </c>
      <c r="C67" s="267">
        <v>720.00000000000011</v>
      </c>
      <c r="D67" s="267">
        <v>720</v>
      </c>
      <c r="E67" s="247">
        <v>2160</v>
      </c>
      <c r="L67" s="261">
        <v>41857</v>
      </c>
      <c r="M67" s="262">
        <v>46.333333333333336</v>
      </c>
      <c r="N67" s="270">
        <v>34</v>
      </c>
      <c r="O67" s="270">
        <v>46.5</v>
      </c>
      <c r="P67" s="264">
        <v>41.75</v>
      </c>
    </row>
    <row r="68" spans="1:16" x14ac:dyDescent="0.2">
      <c r="A68" s="261">
        <v>41858</v>
      </c>
      <c r="B68" s="242">
        <v>720.00000000000011</v>
      </c>
      <c r="C68" s="267">
        <v>720.00000000000011</v>
      </c>
      <c r="D68" s="267">
        <v>720</v>
      </c>
      <c r="E68" s="247">
        <v>2160</v>
      </c>
      <c r="L68" s="261">
        <v>41858</v>
      </c>
      <c r="M68" s="262">
        <v>50.5</v>
      </c>
      <c r="N68" s="270">
        <v>35</v>
      </c>
      <c r="O68" s="270">
        <v>47.333333333333336</v>
      </c>
      <c r="P68" s="264">
        <v>44.714285714285715</v>
      </c>
    </row>
    <row r="69" spans="1:16" x14ac:dyDescent="0.2">
      <c r="A69" s="261">
        <v>41859</v>
      </c>
      <c r="B69" s="242">
        <v>719.99999999999989</v>
      </c>
      <c r="C69" s="267">
        <v>720.00000000000011</v>
      </c>
      <c r="D69" s="267">
        <v>717.99999999999977</v>
      </c>
      <c r="E69" s="247">
        <v>2158</v>
      </c>
      <c r="L69" s="261">
        <v>41859</v>
      </c>
      <c r="M69" s="262">
        <v>53</v>
      </c>
      <c r="N69" s="270">
        <v>36.5</v>
      </c>
      <c r="O69" s="270">
        <v>50.666666666666664</v>
      </c>
      <c r="P69" s="264">
        <v>47.285714285714285</v>
      </c>
    </row>
    <row r="70" spans="1:16" x14ac:dyDescent="0.2">
      <c r="A70" s="261">
        <v>41860</v>
      </c>
      <c r="B70" s="242">
        <v>731</v>
      </c>
      <c r="C70" s="267">
        <v>720.00000000000011</v>
      </c>
      <c r="D70" s="267">
        <v>720.00000000000011</v>
      </c>
      <c r="E70" s="247">
        <v>2171</v>
      </c>
      <c r="L70" s="261">
        <v>41860</v>
      </c>
      <c r="M70" s="262">
        <v>56.5</v>
      </c>
      <c r="N70" s="270">
        <v>44.5</v>
      </c>
      <c r="O70" s="270">
        <v>49.333333333333336</v>
      </c>
      <c r="P70" s="264">
        <v>50</v>
      </c>
    </row>
    <row r="71" spans="1:16" x14ac:dyDescent="0.2">
      <c r="A71" s="261">
        <v>41861</v>
      </c>
      <c r="B71" s="242">
        <v>740.00000000000011</v>
      </c>
      <c r="C71" s="267">
        <v>722</v>
      </c>
      <c r="D71" s="267">
        <v>733</v>
      </c>
      <c r="E71" s="247">
        <v>2195</v>
      </c>
      <c r="L71" s="261">
        <v>41861</v>
      </c>
      <c r="M71" s="262">
        <v>55.5</v>
      </c>
      <c r="N71" s="270">
        <v>36.5</v>
      </c>
      <c r="O71" s="270">
        <v>51</v>
      </c>
      <c r="P71" s="264">
        <v>48.142857142857146</v>
      </c>
    </row>
    <row r="72" spans="1:16" x14ac:dyDescent="0.2">
      <c r="A72" s="261">
        <v>41862</v>
      </c>
      <c r="B72" s="242">
        <v>723.99999999999977</v>
      </c>
      <c r="C72" s="267">
        <v>720</v>
      </c>
      <c r="D72" s="267">
        <v>719.99999999999989</v>
      </c>
      <c r="E72" s="247">
        <v>2163.9999999999995</v>
      </c>
      <c r="L72" s="261">
        <v>41862</v>
      </c>
      <c r="M72" s="262">
        <v>61.5</v>
      </c>
      <c r="N72" s="270">
        <v>37</v>
      </c>
      <c r="O72" s="270">
        <v>52.333333333333336</v>
      </c>
      <c r="P72" s="264">
        <v>50.571428571428569</v>
      </c>
    </row>
    <row r="73" spans="1:16" x14ac:dyDescent="0.2">
      <c r="A73" s="261">
        <v>41863</v>
      </c>
      <c r="B73" s="242">
        <v>722</v>
      </c>
      <c r="C73" s="267">
        <v>720</v>
      </c>
      <c r="D73" s="267">
        <v>720.00000000000011</v>
      </c>
      <c r="E73" s="247">
        <v>2162</v>
      </c>
      <c r="L73" s="261">
        <v>41863</v>
      </c>
      <c r="M73" s="262">
        <v>54</v>
      </c>
      <c r="N73" s="270">
        <v>36.333333333333336</v>
      </c>
      <c r="O73" s="270">
        <v>48</v>
      </c>
      <c r="P73" s="264">
        <v>45.875</v>
      </c>
    </row>
    <row r="74" spans="1:16" x14ac:dyDescent="0.2">
      <c r="A74" s="261">
        <v>41864</v>
      </c>
      <c r="B74" s="242">
        <v>726.00000000000011</v>
      </c>
      <c r="C74" s="267">
        <v>720.00000000000011</v>
      </c>
      <c r="D74" s="267">
        <v>719.00000000000011</v>
      </c>
      <c r="E74" s="247">
        <v>2165.0000000000005</v>
      </c>
      <c r="L74" s="261">
        <v>41864</v>
      </c>
      <c r="M74" s="262">
        <v>52.666666666666664</v>
      </c>
      <c r="N74" s="270">
        <v>35.333333333333336</v>
      </c>
      <c r="O74" s="270">
        <v>40</v>
      </c>
      <c r="P74" s="264">
        <v>43</v>
      </c>
    </row>
    <row r="75" spans="1:16" x14ac:dyDescent="0.2">
      <c r="A75" s="261">
        <v>41865</v>
      </c>
      <c r="B75" s="242">
        <v>719</v>
      </c>
      <c r="C75" s="267">
        <v>710</v>
      </c>
      <c r="D75" s="267">
        <v>722</v>
      </c>
      <c r="E75" s="247">
        <v>2151</v>
      </c>
      <c r="L75" s="261">
        <v>41865</v>
      </c>
      <c r="M75" s="262">
        <v>55</v>
      </c>
      <c r="N75" s="270">
        <v>37.5</v>
      </c>
      <c r="O75" s="270">
        <v>40.666666666666664</v>
      </c>
      <c r="P75" s="264">
        <v>43.857142857142854</v>
      </c>
    </row>
    <row r="76" spans="1:16" x14ac:dyDescent="0.2">
      <c r="A76" s="261">
        <v>41866</v>
      </c>
      <c r="B76" s="242">
        <v>721</v>
      </c>
      <c r="C76" s="267">
        <v>719.99999999999977</v>
      </c>
      <c r="D76" s="267">
        <v>720</v>
      </c>
      <c r="E76" s="247">
        <v>2161</v>
      </c>
      <c r="L76" s="261">
        <v>41866</v>
      </c>
      <c r="M76" s="262">
        <v>58.5</v>
      </c>
      <c r="N76" s="270">
        <v>35.5</v>
      </c>
      <c r="O76" s="270">
        <v>37</v>
      </c>
      <c r="P76" s="264">
        <v>42.714285714285715</v>
      </c>
    </row>
    <row r="77" spans="1:16" x14ac:dyDescent="0.2">
      <c r="A77" s="261">
        <v>41867</v>
      </c>
      <c r="B77" s="242">
        <v>724</v>
      </c>
      <c r="C77" s="267">
        <v>720.00000000000011</v>
      </c>
      <c r="D77" s="267">
        <v>732</v>
      </c>
      <c r="E77" s="247">
        <v>2176</v>
      </c>
      <c r="L77" s="261">
        <v>41867</v>
      </c>
      <c r="M77" s="262">
        <v>55</v>
      </c>
      <c r="N77" s="270">
        <v>34</v>
      </c>
      <c r="O77" s="270">
        <v>38.333333333333336</v>
      </c>
      <c r="P77" s="264">
        <v>41.857142857142854</v>
      </c>
    </row>
    <row r="78" spans="1:16" x14ac:dyDescent="0.2">
      <c r="A78" s="261">
        <v>41868</v>
      </c>
      <c r="B78" s="242">
        <v>721</v>
      </c>
      <c r="C78" s="267">
        <v>721</v>
      </c>
      <c r="D78" s="267">
        <v>720.00000000000011</v>
      </c>
      <c r="E78" s="247">
        <v>2162</v>
      </c>
      <c r="L78" s="261">
        <v>41868</v>
      </c>
      <c r="M78" s="262">
        <v>47.5</v>
      </c>
      <c r="N78" s="270">
        <v>33.5</v>
      </c>
      <c r="O78" s="270">
        <v>46</v>
      </c>
      <c r="P78" s="264">
        <v>42.857142857142854</v>
      </c>
    </row>
    <row r="79" spans="1:16" x14ac:dyDescent="0.2">
      <c r="A79" s="261">
        <v>41869</v>
      </c>
      <c r="B79" s="242">
        <v>727</v>
      </c>
      <c r="C79" s="267">
        <v>719.99999999999977</v>
      </c>
      <c r="D79" s="267">
        <v>726</v>
      </c>
      <c r="E79" s="247">
        <v>2173</v>
      </c>
      <c r="L79" s="261">
        <v>41869</v>
      </c>
      <c r="M79" s="262">
        <v>45.5</v>
      </c>
      <c r="N79" s="270">
        <v>32</v>
      </c>
      <c r="O79" s="270">
        <v>40</v>
      </c>
      <c r="P79" s="264">
        <v>39.285714285714285</v>
      </c>
    </row>
    <row r="80" spans="1:16" x14ac:dyDescent="0.2">
      <c r="A80" s="261">
        <v>41870</v>
      </c>
      <c r="B80" s="242">
        <v>710</v>
      </c>
      <c r="C80" s="267">
        <v>720</v>
      </c>
      <c r="D80" s="267">
        <v>720.00000000000011</v>
      </c>
      <c r="E80" s="247">
        <v>2150</v>
      </c>
      <c r="L80" s="261">
        <v>41870</v>
      </c>
      <c r="M80" s="262">
        <v>47.75</v>
      </c>
      <c r="N80" s="270">
        <v>32.5</v>
      </c>
      <c r="O80" s="270">
        <v>39.5</v>
      </c>
      <c r="P80" s="264">
        <v>40</v>
      </c>
    </row>
    <row r="81" spans="1:16" x14ac:dyDescent="0.2">
      <c r="A81" s="261">
        <v>41871</v>
      </c>
      <c r="B81" s="242">
        <v>729</v>
      </c>
      <c r="C81" s="267">
        <v>725</v>
      </c>
      <c r="D81" s="267">
        <v>720.00000000000011</v>
      </c>
      <c r="E81" s="247">
        <v>2174</v>
      </c>
      <c r="L81" s="261">
        <v>41871</v>
      </c>
      <c r="M81" s="262">
        <v>51.5</v>
      </c>
      <c r="N81" s="270">
        <v>35</v>
      </c>
      <c r="O81" s="270">
        <v>41.5</v>
      </c>
      <c r="P81" s="264">
        <v>42.9</v>
      </c>
    </row>
    <row r="82" spans="1:16" x14ac:dyDescent="0.2">
      <c r="A82" s="261">
        <v>41872</v>
      </c>
      <c r="B82" s="242">
        <v>719.99999999999989</v>
      </c>
      <c r="C82" s="267">
        <v>720</v>
      </c>
      <c r="D82" s="267">
        <v>720</v>
      </c>
      <c r="E82" s="247">
        <v>2160</v>
      </c>
      <c r="L82" s="261">
        <v>41872</v>
      </c>
      <c r="M82" s="262">
        <v>55</v>
      </c>
      <c r="N82" s="270">
        <v>35.5</v>
      </c>
      <c r="O82" s="270">
        <v>43</v>
      </c>
      <c r="P82" s="264">
        <v>44.8</v>
      </c>
    </row>
    <row r="83" spans="1:16" x14ac:dyDescent="0.2">
      <c r="A83" s="261">
        <v>41873</v>
      </c>
      <c r="B83" s="242">
        <v>730.99999999999989</v>
      </c>
      <c r="C83" s="267">
        <v>719.99999999999977</v>
      </c>
      <c r="D83" s="267">
        <v>721</v>
      </c>
      <c r="E83" s="247">
        <v>2171.9999999999995</v>
      </c>
      <c r="L83" s="261">
        <v>41873</v>
      </c>
      <c r="M83" s="262">
        <v>57.75</v>
      </c>
      <c r="N83" s="270">
        <v>37</v>
      </c>
      <c r="O83" s="270">
        <v>47</v>
      </c>
      <c r="P83" s="264">
        <v>47.3</v>
      </c>
    </row>
    <row r="84" spans="1:16" x14ac:dyDescent="0.2">
      <c r="A84" s="261">
        <v>41874</v>
      </c>
      <c r="B84" s="242">
        <v>729</v>
      </c>
      <c r="C84" s="267">
        <v>726</v>
      </c>
      <c r="D84" s="267">
        <v>713.00000000000011</v>
      </c>
      <c r="E84" s="247">
        <v>2168</v>
      </c>
      <c r="L84" s="261">
        <v>41874</v>
      </c>
      <c r="M84" s="262">
        <v>62.333333333333336</v>
      </c>
      <c r="N84" s="270">
        <v>36.666666666666664</v>
      </c>
      <c r="O84" s="270">
        <v>46.5</v>
      </c>
      <c r="P84" s="264">
        <v>48.75</v>
      </c>
    </row>
    <row r="85" spans="1:16" x14ac:dyDescent="0.2">
      <c r="A85" s="261">
        <v>41875</v>
      </c>
      <c r="B85" s="242">
        <v>734.99999999999977</v>
      </c>
      <c r="C85" s="267">
        <v>726</v>
      </c>
      <c r="D85" s="267">
        <v>731</v>
      </c>
      <c r="E85" s="247">
        <v>2192</v>
      </c>
      <c r="L85" s="261">
        <v>41875</v>
      </c>
      <c r="M85" s="262">
        <v>62.333333333333336</v>
      </c>
      <c r="N85" s="270">
        <v>37.333333333333336</v>
      </c>
      <c r="O85" s="270">
        <v>49</v>
      </c>
      <c r="P85" s="264">
        <v>49.625</v>
      </c>
    </row>
    <row r="86" spans="1:16" x14ac:dyDescent="0.2">
      <c r="A86" s="261">
        <v>41876</v>
      </c>
      <c r="B86" s="242">
        <v>723.99999999999989</v>
      </c>
      <c r="C86" s="267">
        <v>724</v>
      </c>
      <c r="D86" s="267">
        <v>720</v>
      </c>
      <c r="E86" s="247">
        <v>2168</v>
      </c>
      <c r="L86" s="261">
        <v>41876</v>
      </c>
      <c r="M86" s="262">
        <v>62.5</v>
      </c>
      <c r="N86" s="270">
        <v>40.5</v>
      </c>
      <c r="O86" s="270">
        <v>47.666666666666664</v>
      </c>
      <c r="P86" s="264">
        <v>49.857142857142854</v>
      </c>
    </row>
    <row r="87" spans="1:16" x14ac:dyDescent="0.2">
      <c r="A87" s="261">
        <v>41877</v>
      </c>
      <c r="B87" s="242">
        <v>720.00000000000011</v>
      </c>
      <c r="C87" s="267">
        <v>720</v>
      </c>
      <c r="D87" s="267">
        <v>719</v>
      </c>
      <c r="E87" s="247">
        <v>2159</v>
      </c>
      <c r="L87" s="261">
        <v>41877</v>
      </c>
      <c r="M87" s="262">
        <v>58.5</v>
      </c>
      <c r="N87" s="270">
        <v>37</v>
      </c>
      <c r="O87" s="270">
        <v>45.333333333333336</v>
      </c>
      <c r="P87" s="264">
        <v>46.714285714285715</v>
      </c>
    </row>
    <row r="88" spans="1:16" x14ac:dyDescent="0.2">
      <c r="A88" s="261">
        <v>41878</v>
      </c>
      <c r="B88" s="242">
        <v>724</v>
      </c>
      <c r="C88" s="267">
        <v>722</v>
      </c>
      <c r="D88" s="267">
        <v>723</v>
      </c>
      <c r="E88" s="247">
        <v>2169</v>
      </c>
      <c r="L88" s="261">
        <v>41878</v>
      </c>
      <c r="M88" s="262">
        <v>53</v>
      </c>
      <c r="N88" s="270">
        <v>35.333333333333336</v>
      </c>
      <c r="O88" s="270">
        <v>46</v>
      </c>
      <c r="P88" s="264">
        <v>44.625</v>
      </c>
    </row>
    <row r="89" spans="1:16" x14ac:dyDescent="0.2">
      <c r="A89" s="261">
        <v>41879</v>
      </c>
      <c r="B89" s="242">
        <v>726</v>
      </c>
      <c r="C89" s="267">
        <v>720</v>
      </c>
      <c r="D89" s="267">
        <v>723</v>
      </c>
      <c r="E89" s="247">
        <v>2169</v>
      </c>
      <c r="L89" s="261">
        <v>41879</v>
      </c>
      <c r="M89" s="262">
        <v>50.666666666666664</v>
      </c>
      <c r="N89" s="270">
        <v>33</v>
      </c>
      <c r="O89" s="270">
        <v>43</v>
      </c>
      <c r="P89" s="264">
        <v>42.125</v>
      </c>
    </row>
    <row r="90" spans="1:16" x14ac:dyDescent="0.2">
      <c r="A90" s="261">
        <v>41880</v>
      </c>
      <c r="B90" s="242">
        <v>630</v>
      </c>
      <c r="C90" s="267">
        <v>633</v>
      </c>
      <c r="D90" s="267">
        <v>731</v>
      </c>
      <c r="E90" s="247">
        <v>1994</v>
      </c>
      <c r="L90" s="261">
        <v>41880</v>
      </c>
      <c r="M90" s="262">
        <v>56</v>
      </c>
      <c r="N90" s="270">
        <v>32.5</v>
      </c>
      <c r="O90" s="270">
        <v>38.666666666666664</v>
      </c>
      <c r="P90" s="264">
        <v>41.857142857142854</v>
      </c>
    </row>
    <row r="91" spans="1:16" x14ac:dyDescent="0.2">
      <c r="A91" s="261">
        <v>41881</v>
      </c>
      <c r="B91" s="242">
        <v>596</v>
      </c>
      <c r="C91" s="267">
        <v>590</v>
      </c>
      <c r="D91" s="267">
        <v>597.00000000000011</v>
      </c>
      <c r="E91" s="247">
        <v>1783</v>
      </c>
      <c r="L91" s="261">
        <v>41881</v>
      </c>
      <c r="M91" s="262">
        <v>54</v>
      </c>
      <c r="N91" s="270">
        <v>34</v>
      </c>
      <c r="O91" s="270">
        <v>39</v>
      </c>
      <c r="P91" s="264">
        <v>42.333333333333336</v>
      </c>
    </row>
    <row r="92" spans="1:16" x14ac:dyDescent="0.2">
      <c r="A92" s="261">
        <v>41882</v>
      </c>
      <c r="B92" s="242">
        <v>562</v>
      </c>
      <c r="C92" s="267">
        <v>555.99999999999977</v>
      </c>
      <c r="D92" s="267">
        <v>586</v>
      </c>
      <c r="E92" s="247">
        <v>1703.9999999999998</v>
      </c>
      <c r="L92" s="261">
        <v>41882</v>
      </c>
      <c r="M92" s="262">
        <v>56.333333333333336</v>
      </c>
      <c r="N92" s="270">
        <v>34.333333333333336</v>
      </c>
      <c r="O92" s="270">
        <v>41.666666666666664</v>
      </c>
      <c r="P92" s="264">
        <v>44.111111111111114</v>
      </c>
    </row>
    <row r="93" spans="1:16" x14ac:dyDescent="0.2">
      <c r="A93" s="261">
        <v>41883</v>
      </c>
      <c r="B93" s="242">
        <v>583</v>
      </c>
      <c r="C93" s="267">
        <v>542</v>
      </c>
      <c r="D93" s="267">
        <v>574.00000000000023</v>
      </c>
      <c r="E93" s="247">
        <v>1699.0000000000002</v>
      </c>
      <c r="L93" s="261">
        <v>41883</v>
      </c>
      <c r="M93" s="262">
        <v>56.666666666666664</v>
      </c>
      <c r="N93" s="270">
        <v>36.666666666666664</v>
      </c>
      <c r="O93" s="270">
        <v>44</v>
      </c>
      <c r="P93" s="264">
        <v>45.777777777777779</v>
      </c>
    </row>
    <row r="94" spans="1:16" x14ac:dyDescent="0.2">
      <c r="A94" s="261">
        <v>41884</v>
      </c>
      <c r="B94" s="242">
        <v>606</v>
      </c>
      <c r="C94" s="267">
        <v>603</v>
      </c>
      <c r="D94" s="267">
        <v>587.99999999999989</v>
      </c>
      <c r="E94" s="247">
        <v>1797</v>
      </c>
      <c r="L94" s="261">
        <v>41884</v>
      </c>
      <c r="M94" s="262">
        <v>56</v>
      </c>
      <c r="N94" s="270">
        <v>36.5</v>
      </c>
      <c r="O94" s="270">
        <v>43.5</v>
      </c>
      <c r="P94" s="264">
        <v>45.333333333333336</v>
      </c>
    </row>
    <row r="95" spans="1:16" x14ac:dyDescent="0.2">
      <c r="A95" s="261">
        <v>41885</v>
      </c>
      <c r="B95" s="242">
        <v>611</v>
      </c>
      <c r="C95" s="267">
        <v>628.00000000000011</v>
      </c>
      <c r="D95" s="267">
        <v>633</v>
      </c>
      <c r="E95" s="247">
        <v>1872</v>
      </c>
      <c r="L95" s="261">
        <v>41885</v>
      </c>
      <c r="M95" s="262">
        <v>44</v>
      </c>
      <c r="N95" s="270">
        <v>31.5</v>
      </c>
      <c r="O95" s="270">
        <v>34.5</v>
      </c>
      <c r="P95" s="264">
        <v>36.666666666666664</v>
      </c>
    </row>
    <row r="96" spans="1:16" x14ac:dyDescent="0.2">
      <c r="A96" s="261">
        <v>41886</v>
      </c>
      <c r="B96" s="242">
        <v>549</v>
      </c>
      <c r="C96" s="267">
        <v>569</v>
      </c>
      <c r="D96" s="267">
        <v>578.00000000000011</v>
      </c>
      <c r="E96" s="247">
        <v>1696</v>
      </c>
      <c r="L96" s="261">
        <v>41886</v>
      </c>
      <c r="M96" s="262">
        <v>55.5</v>
      </c>
      <c r="N96" s="270">
        <v>33.5</v>
      </c>
      <c r="O96" s="270">
        <v>38.5</v>
      </c>
      <c r="P96" s="264">
        <v>42.5</v>
      </c>
    </row>
    <row r="97" spans="1:16" x14ac:dyDescent="0.2">
      <c r="A97" s="261">
        <v>41887</v>
      </c>
      <c r="B97" s="242">
        <v>594.00000000000023</v>
      </c>
      <c r="C97" s="267">
        <v>595.99999999999989</v>
      </c>
      <c r="D97" s="267">
        <v>605.99999999999989</v>
      </c>
      <c r="E97" s="247">
        <v>1796</v>
      </c>
      <c r="L97" s="261">
        <v>41887</v>
      </c>
      <c r="M97" s="262">
        <v>63</v>
      </c>
      <c r="N97" s="270">
        <v>37</v>
      </c>
      <c r="O97" s="270">
        <v>39.5</v>
      </c>
      <c r="P97" s="264">
        <v>46.5</v>
      </c>
    </row>
    <row r="98" spans="1:16" x14ac:dyDescent="0.2">
      <c r="A98" s="261">
        <v>41888</v>
      </c>
      <c r="B98" s="242">
        <v>582.00000000000011</v>
      </c>
      <c r="C98" s="267">
        <v>602</v>
      </c>
      <c r="D98" s="267">
        <v>586.00000000000011</v>
      </c>
      <c r="E98" s="247">
        <v>1770</v>
      </c>
      <c r="L98" s="261">
        <v>41888</v>
      </c>
      <c r="M98" s="262">
        <v>58.5</v>
      </c>
      <c r="N98" s="270">
        <v>33</v>
      </c>
      <c r="O98" s="270">
        <v>39.5</v>
      </c>
      <c r="P98" s="264">
        <v>43.666666666666664</v>
      </c>
    </row>
    <row r="99" spans="1:16" x14ac:dyDescent="0.2">
      <c r="A99" s="261">
        <v>41889</v>
      </c>
      <c r="B99" s="242">
        <v>560</v>
      </c>
      <c r="C99" s="267">
        <v>549</v>
      </c>
      <c r="D99" s="267">
        <v>538.00000000000011</v>
      </c>
      <c r="E99" s="247">
        <v>1647</v>
      </c>
      <c r="L99" s="261">
        <v>41889</v>
      </c>
      <c r="M99" s="262">
        <v>60</v>
      </c>
      <c r="N99" s="270">
        <v>34</v>
      </c>
      <c r="O99" s="270">
        <v>39</v>
      </c>
      <c r="P99" s="264">
        <v>44.333333333333336</v>
      </c>
    </row>
    <row r="100" spans="1:16" x14ac:dyDescent="0.2">
      <c r="A100" s="243" t="s">
        <v>12</v>
      </c>
      <c r="B100" s="245">
        <v>82255</v>
      </c>
      <c r="C100" s="268">
        <v>76188</v>
      </c>
      <c r="D100" s="268">
        <v>78097</v>
      </c>
      <c r="E100" s="234">
        <v>236540</v>
      </c>
      <c r="L100" s="243" t="s">
        <v>12</v>
      </c>
      <c r="M100" s="249">
        <v>49.363036303630366</v>
      </c>
      <c r="N100" s="271">
        <v>34.467509025270758</v>
      </c>
      <c r="O100" s="271">
        <v>42.519163763066203</v>
      </c>
      <c r="P100" s="236">
        <v>42.338523644752016</v>
      </c>
    </row>
  </sheetData>
  <phoneticPr fontId="5" type="noConversion"/>
  <pageMargins left="0.75" right="0.75" top="1" bottom="1" header="0.5" footer="0.5"/>
  <pageSetup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499984740745262"/>
  </sheetPr>
  <dimension ref="A1:V70"/>
  <sheetViews>
    <sheetView workbookViewId="0">
      <selection activeCell="A35" sqref="A35"/>
    </sheetView>
  </sheetViews>
  <sheetFormatPr defaultColWidth="9.140625" defaultRowHeight="12.75" x14ac:dyDescent="0.2"/>
  <cols>
    <col min="1" max="1" width="9.140625" style="4"/>
    <col min="2" max="2" width="10.42578125" style="4" bestFit="1" customWidth="1"/>
    <col min="3" max="3" width="8.7109375" style="4" customWidth="1"/>
    <col min="4" max="4" width="11" style="4" customWidth="1"/>
    <col min="5" max="5" width="16.28515625" style="4" customWidth="1"/>
    <col min="6" max="6" width="31.28515625" style="4" bestFit="1" customWidth="1"/>
    <col min="7" max="7" width="31" style="4" bestFit="1" customWidth="1"/>
    <col min="8" max="12" width="2" style="4" customWidth="1"/>
    <col min="13" max="13" width="15.28515625" style="4" customWidth="1"/>
    <col min="14" max="19" width="9.85546875" style="4" customWidth="1"/>
    <col min="20" max="20" width="10.5703125" style="4" bestFit="1" customWidth="1"/>
    <col min="21" max="21" width="11.42578125" style="4" bestFit="1" customWidth="1"/>
    <col min="22" max="22" width="10.5703125" style="4" bestFit="1" customWidth="1"/>
    <col min="23" max="16384" width="9.140625" style="4"/>
  </cols>
  <sheetData>
    <row r="1" spans="1:22" x14ac:dyDescent="0.2">
      <c r="A1" s="33" t="s">
        <v>240</v>
      </c>
      <c r="M1" s="33" t="s">
        <v>119</v>
      </c>
      <c r="T1"/>
    </row>
    <row r="2" spans="1:22" ht="12.75" customHeight="1" x14ac:dyDescent="0.2">
      <c r="M2" s="13" t="s">
        <v>117</v>
      </c>
      <c r="T2"/>
    </row>
    <row r="3" spans="1:22" x14ac:dyDescent="0.2">
      <c r="A3" s="150" t="s">
        <v>239</v>
      </c>
      <c r="B3" s="32" t="s">
        <v>78</v>
      </c>
      <c r="C3" s="32" t="s">
        <v>79</v>
      </c>
      <c r="D3" s="88" t="str">
        <f>B3</f>
        <v>Frequency</v>
      </c>
      <c r="E3" s="86" t="s">
        <v>169</v>
      </c>
      <c r="F3" s="86" t="s">
        <v>144</v>
      </c>
      <c r="G3" s="151"/>
      <c r="H3" s="151"/>
      <c r="I3" s="151"/>
      <c r="J3" s="151"/>
      <c r="K3" s="151"/>
      <c r="L3" s="151"/>
      <c r="M3"/>
      <c r="N3"/>
      <c r="O3"/>
      <c r="P3"/>
    </row>
    <row r="4" spans="1:22" x14ac:dyDescent="0.2">
      <c r="A4" s="4">
        <v>2014</v>
      </c>
      <c r="B4" s="84">
        <v>151.917</v>
      </c>
      <c r="C4" s="5">
        <f>ROUND(MOD(B4,1)*1000,0)</f>
        <v>917</v>
      </c>
      <c r="D4" s="89">
        <f>B4</f>
        <v>151.917</v>
      </c>
      <c r="E4" s="322" t="s">
        <v>174</v>
      </c>
      <c r="F4" s="13" t="s">
        <v>177</v>
      </c>
      <c r="G4" s="13"/>
      <c r="H4" s="13"/>
      <c r="I4" s="13"/>
      <c r="J4" s="13"/>
      <c r="K4" s="13"/>
      <c r="L4" s="13"/>
      <c r="M4" s="230" t="s">
        <v>149</v>
      </c>
      <c r="N4" s="228" t="s">
        <v>141</v>
      </c>
      <c r="O4" s="255"/>
      <c r="P4" s="255"/>
      <c r="Q4" s="255"/>
      <c r="R4" s="255"/>
      <c r="S4" s="255"/>
      <c r="T4" s="311"/>
      <c r="U4"/>
      <c r="V4"/>
    </row>
    <row r="5" spans="1:22" x14ac:dyDescent="0.2">
      <c r="A5" s="4">
        <v>2014</v>
      </c>
      <c r="B5" s="84">
        <v>151.364</v>
      </c>
      <c r="C5" s="5">
        <f t="shared" ref="C5:C48" si="0">ROUND(MOD(B5,1)*1000,0)</f>
        <v>364</v>
      </c>
      <c r="D5" s="89">
        <f t="shared" ref="D5:D48" si="1">B5</f>
        <v>151.364</v>
      </c>
      <c r="E5" s="13" t="s">
        <v>176</v>
      </c>
      <c r="F5" s="13" t="s">
        <v>2</v>
      </c>
      <c r="G5" s="13"/>
      <c r="H5" s="13"/>
      <c r="I5" s="13"/>
      <c r="J5" s="13"/>
      <c r="K5" s="13"/>
      <c r="L5" s="13"/>
      <c r="M5" s="228" t="s">
        <v>140</v>
      </c>
      <c r="N5" s="229" t="s">
        <v>2</v>
      </c>
      <c r="O5" s="265" t="s">
        <v>177</v>
      </c>
      <c r="P5" s="265" t="s">
        <v>8</v>
      </c>
      <c r="Q5" s="265" t="s">
        <v>71</v>
      </c>
      <c r="R5" s="265" t="s">
        <v>70</v>
      </c>
      <c r="S5" s="265" t="s">
        <v>72</v>
      </c>
      <c r="T5" s="231" t="s">
        <v>12</v>
      </c>
      <c r="U5"/>
      <c r="V5"/>
    </row>
    <row r="6" spans="1:22" x14ac:dyDescent="0.2">
      <c r="A6" s="4">
        <v>2014</v>
      </c>
      <c r="B6" s="84">
        <v>151.684</v>
      </c>
      <c r="C6" s="5">
        <f t="shared" si="0"/>
        <v>684</v>
      </c>
      <c r="D6" s="89">
        <f t="shared" si="1"/>
        <v>151.684</v>
      </c>
      <c r="E6" s="13" t="s">
        <v>176</v>
      </c>
      <c r="F6" s="13" t="s">
        <v>2</v>
      </c>
      <c r="G6" s="13"/>
      <c r="H6" s="13"/>
      <c r="I6" s="13"/>
      <c r="J6" s="13"/>
      <c r="K6" s="13"/>
      <c r="L6" s="13"/>
      <c r="M6" s="229">
        <v>266</v>
      </c>
      <c r="N6" s="240"/>
      <c r="O6" s="266"/>
      <c r="P6" s="266"/>
      <c r="Q6" s="266"/>
      <c r="R6" s="266"/>
      <c r="S6" s="266">
        <v>96</v>
      </c>
      <c r="T6" s="292">
        <v>96</v>
      </c>
      <c r="U6"/>
      <c r="V6"/>
    </row>
    <row r="7" spans="1:22" x14ac:dyDescent="0.2">
      <c r="A7" s="4">
        <v>2014</v>
      </c>
      <c r="B7" s="85">
        <v>151.72499999999999</v>
      </c>
      <c r="C7" s="5">
        <f t="shared" si="0"/>
        <v>725</v>
      </c>
      <c r="D7" s="89">
        <f t="shared" si="1"/>
        <v>151.72499999999999</v>
      </c>
      <c r="E7" s="13" t="s">
        <v>176</v>
      </c>
      <c r="F7" s="13" t="s">
        <v>2</v>
      </c>
      <c r="G7" s="13"/>
      <c r="H7" s="13"/>
      <c r="I7" s="13"/>
      <c r="J7" s="13"/>
      <c r="K7" s="13"/>
      <c r="L7" s="13"/>
      <c r="M7" s="241">
        <v>325</v>
      </c>
      <c r="N7" s="242"/>
      <c r="O7" s="267"/>
      <c r="P7" s="267">
        <v>2</v>
      </c>
      <c r="Q7" s="267"/>
      <c r="R7" s="267"/>
      <c r="S7" s="267">
        <v>96</v>
      </c>
      <c r="T7" s="293">
        <v>98</v>
      </c>
      <c r="U7"/>
      <c r="V7"/>
    </row>
    <row r="8" spans="1:22" x14ac:dyDescent="0.2">
      <c r="A8" s="4">
        <v>2014</v>
      </c>
      <c r="B8" s="84">
        <v>151.755</v>
      </c>
      <c r="C8" s="5">
        <f t="shared" si="0"/>
        <v>755</v>
      </c>
      <c r="D8" s="89">
        <f t="shared" si="1"/>
        <v>151.755</v>
      </c>
      <c r="E8" s="13" t="s">
        <v>176</v>
      </c>
      <c r="F8" s="13" t="s">
        <v>2</v>
      </c>
      <c r="G8" s="13"/>
      <c r="H8" s="13"/>
      <c r="I8" s="13"/>
      <c r="J8" s="13"/>
      <c r="K8" s="13"/>
      <c r="L8" s="13"/>
      <c r="M8" s="241">
        <v>364</v>
      </c>
      <c r="N8" s="242">
        <v>49</v>
      </c>
      <c r="O8" s="267"/>
      <c r="P8" s="267">
        <v>1</v>
      </c>
      <c r="Q8" s="267"/>
      <c r="R8" s="267"/>
      <c r="S8" s="267"/>
      <c r="T8" s="293">
        <v>50</v>
      </c>
      <c r="U8"/>
      <c r="V8"/>
    </row>
    <row r="9" spans="1:22" x14ac:dyDescent="0.2">
      <c r="A9" s="4">
        <v>2014</v>
      </c>
      <c r="B9" s="91">
        <v>151.78399999999999</v>
      </c>
      <c r="C9" s="5">
        <f t="shared" si="0"/>
        <v>784</v>
      </c>
      <c r="D9" s="89">
        <f t="shared" si="1"/>
        <v>151.78399999999999</v>
      </c>
      <c r="E9" s="13" t="s">
        <v>176</v>
      </c>
      <c r="F9" s="4" t="s">
        <v>2</v>
      </c>
      <c r="M9" s="241">
        <v>515</v>
      </c>
      <c r="N9" s="242"/>
      <c r="O9" s="267"/>
      <c r="P9" s="267"/>
      <c r="Q9" s="267"/>
      <c r="R9" s="267">
        <v>100</v>
      </c>
      <c r="S9" s="267"/>
      <c r="T9" s="293">
        <v>100</v>
      </c>
      <c r="U9"/>
      <c r="V9"/>
    </row>
    <row r="10" spans="1:22" x14ac:dyDescent="0.2">
      <c r="A10" s="4">
        <v>2014</v>
      </c>
      <c r="B10" s="85">
        <v>151.875</v>
      </c>
      <c r="C10" s="5">
        <f t="shared" si="0"/>
        <v>875</v>
      </c>
      <c r="D10" s="89">
        <f t="shared" si="1"/>
        <v>151.875</v>
      </c>
      <c r="E10" s="13" t="s">
        <v>176</v>
      </c>
      <c r="F10" s="4" t="s">
        <v>2</v>
      </c>
      <c r="M10" s="241">
        <v>534</v>
      </c>
      <c r="N10" s="242"/>
      <c r="O10" s="267"/>
      <c r="P10" s="267"/>
      <c r="Q10" s="267">
        <v>98</v>
      </c>
      <c r="R10" s="267"/>
      <c r="S10" s="267">
        <v>2</v>
      </c>
      <c r="T10" s="293">
        <v>100</v>
      </c>
      <c r="U10"/>
      <c r="V10"/>
    </row>
    <row r="11" spans="1:22" x14ac:dyDescent="0.2">
      <c r="A11" s="4">
        <v>2014</v>
      </c>
      <c r="B11" s="85">
        <v>151.53399999999999</v>
      </c>
      <c r="C11" s="5">
        <f t="shared" si="0"/>
        <v>534</v>
      </c>
      <c r="D11" s="89">
        <f t="shared" si="1"/>
        <v>151.53399999999999</v>
      </c>
      <c r="E11" s="13" t="s">
        <v>175</v>
      </c>
      <c r="F11" s="4" t="s">
        <v>71</v>
      </c>
      <c r="M11" s="241">
        <v>564</v>
      </c>
      <c r="N11" s="242"/>
      <c r="O11" s="267"/>
      <c r="P11" s="267"/>
      <c r="Q11" s="267">
        <v>99</v>
      </c>
      <c r="R11" s="267"/>
      <c r="S11" s="267"/>
      <c r="T11" s="293">
        <v>99</v>
      </c>
      <c r="U11"/>
      <c r="V11"/>
    </row>
    <row r="12" spans="1:22" x14ac:dyDescent="0.2">
      <c r="A12" s="4">
        <v>2014</v>
      </c>
      <c r="B12" s="84">
        <v>151.56399999999999</v>
      </c>
      <c r="C12" s="5">
        <f t="shared" si="0"/>
        <v>564</v>
      </c>
      <c r="D12" s="89">
        <f t="shared" si="1"/>
        <v>151.56399999999999</v>
      </c>
      <c r="E12" s="13" t="s">
        <v>175</v>
      </c>
      <c r="F12" t="s">
        <v>71</v>
      </c>
      <c r="G12"/>
      <c r="H12"/>
      <c r="I12"/>
      <c r="J12"/>
      <c r="K12"/>
      <c r="L12"/>
      <c r="M12" s="241">
        <v>572</v>
      </c>
      <c r="N12" s="242"/>
      <c r="O12" s="267"/>
      <c r="P12" s="267"/>
      <c r="Q12" s="267"/>
      <c r="R12" s="267"/>
      <c r="S12" s="267">
        <v>1</v>
      </c>
      <c r="T12" s="293">
        <v>1</v>
      </c>
      <c r="U12"/>
      <c r="V12"/>
    </row>
    <row r="13" spans="1:22" x14ac:dyDescent="0.2">
      <c r="A13" s="4">
        <v>2014</v>
      </c>
      <c r="B13" s="84">
        <v>151.26400000000001</v>
      </c>
      <c r="C13" s="403">
        <f t="shared" si="0"/>
        <v>264</v>
      </c>
      <c r="D13" s="89">
        <f t="shared" si="1"/>
        <v>151.26400000000001</v>
      </c>
      <c r="E13" s="13" t="s">
        <v>175</v>
      </c>
      <c r="F13" s="4" t="s">
        <v>72</v>
      </c>
      <c r="G13" s="13" t="s">
        <v>4497</v>
      </c>
      <c r="M13" s="241">
        <v>573</v>
      </c>
      <c r="N13" s="242"/>
      <c r="O13" s="267"/>
      <c r="P13" s="267">
        <v>99</v>
      </c>
      <c r="Q13" s="267"/>
      <c r="R13" s="267"/>
      <c r="S13" s="267"/>
      <c r="T13" s="293">
        <v>99</v>
      </c>
      <c r="U13"/>
      <c r="V13"/>
    </row>
    <row r="14" spans="1:22" x14ac:dyDescent="0.2">
      <c r="A14" s="4">
        <v>2014</v>
      </c>
      <c r="B14" s="84">
        <v>151.26599999999999</v>
      </c>
      <c r="C14" s="401">
        <f t="shared" si="0"/>
        <v>266</v>
      </c>
      <c r="D14" s="89">
        <f t="shared" si="1"/>
        <v>151.26599999999999</v>
      </c>
      <c r="E14" s="13" t="s">
        <v>175</v>
      </c>
      <c r="F14" s="4" t="s">
        <v>72</v>
      </c>
      <c r="M14" s="241">
        <v>584</v>
      </c>
      <c r="N14" s="242"/>
      <c r="O14" s="267"/>
      <c r="P14" s="267"/>
      <c r="Q14" s="267"/>
      <c r="R14" s="267"/>
      <c r="S14" s="267">
        <v>2</v>
      </c>
      <c r="T14" s="293">
        <v>2</v>
      </c>
      <c r="U14"/>
      <c r="V14"/>
    </row>
    <row r="15" spans="1:22" x14ac:dyDescent="0.2">
      <c r="A15" s="4">
        <v>2014</v>
      </c>
      <c r="B15" s="84">
        <v>151.322</v>
      </c>
      <c r="C15" s="402">
        <f t="shared" si="0"/>
        <v>322</v>
      </c>
      <c r="D15" s="89">
        <f t="shared" si="1"/>
        <v>151.322</v>
      </c>
      <c r="E15" s="13" t="s">
        <v>175</v>
      </c>
      <c r="F15" s="4" t="s">
        <v>72</v>
      </c>
      <c r="M15" s="241">
        <v>586</v>
      </c>
      <c r="N15" s="242"/>
      <c r="O15" s="267"/>
      <c r="P15" s="267">
        <v>98</v>
      </c>
      <c r="Q15" s="267"/>
      <c r="R15" s="267"/>
      <c r="S15" s="267">
        <v>1</v>
      </c>
      <c r="T15" s="293">
        <v>99</v>
      </c>
      <c r="U15"/>
      <c r="V15"/>
    </row>
    <row r="16" spans="1:22" x14ac:dyDescent="0.2">
      <c r="A16" s="4">
        <v>2014</v>
      </c>
      <c r="B16" s="84">
        <v>151.32499999999999</v>
      </c>
      <c r="C16" s="402">
        <f t="shared" si="0"/>
        <v>325</v>
      </c>
      <c r="D16" s="89">
        <f t="shared" si="1"/>
        <v>151.32499999999999</v>
      </c>
      <c r="E16" s="13" t="s">
        <v>175</v>
      </c>
      <c r="F16" s="4" t="s">
        <v>72</v>
      </c>
      <c r="M16" s="241">
        <v>596</v>
      </c>
      <c r="N16" s="242">
        <v>1</v>
      </c>
      <c r="O16" s="267"/>
      <c r="P16" s="267"/>
      <c r="Q16" s="267">
        <v>1</v>
      </c>
      <c r="R16" s="267">
        <v>98</v>
      </c>
      <c r="S16" s="267"/>
      <c r="T16" s="293">
        <v>100</v>
      </c>
      <c r="U16"/>
      <c r="V16"/>
    </row>
    <row r="17" spans="1:22" x14ac:dyDescent="0.2">
      <c r="A17" s="4">
        <v>2014</v>
      </c>
      <c r="B17" s="84">
        <v>151.51499999999999</v>
      </c>
      <c r="C17" s="5">
        <f t="shared" si="0"/>
        <v>515</v>
      </c>
      <c r="D17" s="89">
        <f t="shared" si="1"/>
        <v>151.51499999999999</v>
      </c>
      <c r="E17" s="13" t="s">
        <v>174</v>
      </c>
      <c r="F17" s="4" t="s">
        <v>70</v>
      </c>
      <c r="M17" s="241">
        <v>684</v>
      </c>
      <c r="N17" s="242">
        <v>100</v>
      </c>
      <c r="O17" s="267"/>
      <c r="P17" s="267"/>
      <c r="Q17" s="267"/>
      <c r="R17" s="267"/>
      <c r="S17" s="267"/>
      <c r="T17" s="293">
        <v>100</v>
      </c>
      <c r="U17"/>
      <c r="V17"/>
    </row>
    <row r="18" spans="1:22" x14ac:dyDescent="0.2">
      <c r="A18" s="4">
        <v>2014</v>
      </c>
      <c r="B18" s="84">
        <v>151.596</v>
      </c>
      <c r="C18" s="5">
        <f t="shared" si="0"/>
        <v>596</v>
      </c>
      <c r="D18" s="89">
        <f t="shared" si="1"/>
        <v>151.596</v>
      </c>
      <c r="E18" s="13" t="s">
        <v>174</v>
      </c>
      <c r="F18" s="87" t="s">
        <v>70</v>
      </c>
      <c r="G18" s="87"/>
      <c r="H18" s="87"/>
      <c r="I18" s="87"/>
      <c r="J18" s="87"/>
      <c r="K18" s="87"/>
      <c r="L18" s="87"/>
      <c r="M18" s="241">
        <v>725</v>
      </c>
      <c r="N18" s="242">
        <v>99</v>
      </c>
      <c r="O18" s="267"/>
      <c r="P18" s="267"/>
      <c r="Q18" s="267"/>
      <c r="R18" s="267"/>
      <c r="S18" s="267"/>
      <c r="T18" s="293">
        <v>99</v>
      </c>
      <c r="U18"/>
      <c r="V18"/>
    </row>
    <row r="19" spans="1:22" x14ac:dyDescent="0.2">
      <c r="A19" s="4">
        <v>2014</v>
      </c>
      <c r="B19" s="84">
        <v>151.18199999999999</v>
      </c>
      <c r="C19" s="5">
        <f t="shared" si="0"/>
        <v>182</v>
      </c>
      <c r="D19" s="89">
        <f t="shared" si="1"/>
        <v>151.18199999999999</v>
      </c>
      <c r="E19" s="310" t="s">
        <v>389</v>
      </c>
      <c r="F19" s="4" t="s">
        <v>378</v>
      </c>
      <c r="M19" s="241">
        <v>755</v>
      </c>
      <c r="N19" s="242">
        <v>101</v>
      </c>
      <c r="O19" s="267"/>
      <c r="P19" s="267"/>
      <c r="Q19" s="267"/>
      <c r="R19" s="267"/>
      <c r="S19" s="267"/>
      <c r="T19" s="293">
        <v>101</v>
      </c>
      <c r="U19"/>
      <c r="V19"/>
    </row>
    <row r="20" spans="1:22" x14ac:dyDescent="0.2">
      <c r="A20" s="4">
        <v>2014</v>
      </c>
      <c r="B20" s="84">
        <v>151.82</v>
      </c>
      <c r="C20" s="5">
        <f t="shared" si="0"/>
        <v>820</v>
      </c>
      <c r="D20" s="89">
        <f t="shared" si="1"/>
        <v>151.82</v>
      </c>
      <c r="E20" s="310" t="s">
        <v>389</v>
      </c>
      <c r="F20" s="4" t="s">
        <v>378</v>
      </c>
      <c r="M20" s="241">
        <v>784</v>
      </c>
      <c r="N20" s="242">
        <v>101</v>
      </c>
      <c r="O20" s="267"/>
      <c r="P20" s="267"/>
      <c r="Q20" s="267"/>
      <c r="R20" s="267"/>
      <c r="S20" s="267"/>
      <c r="T20" s="293">
        <v>101</v>
      </c>
      <c r="U20"/>
      <c r="V20"/>
    </row>
    <row r="21" spans="1:22" x14ac:dyDescent="0.2">
      <c r="A21" s="4">
        <v>2014</v>
      </c>
      <c r="B21" s="84">
        <v>151.57300000000001</v>
      </c>
      <c r="C21" s="5">
        <f t="shared" si="0"/>
        <v>573</v>
      </c>
      <c r="D21" s="89">
        <f t="shared" si="1"/>
        <v>151.57300000000001</v>
      </c>
      <c r="E21" s="13" t="s">
        <v>175</v>
      </c>
      <c r="F21" s="4" t="s">
        <v>8</v>
      </c>
      <c r="M21" s="241">
        <v>875</v>
      </c>
      <c r="N21" s="242">
        <v>99</v>
      </c>
      <c r="O21" s="267"/>
      <c r="P21" s="267"/>
      <c r="Q21" s="267"/>
      <c r="R21" s="267"/>
      <c r="S21" s="267"/>
      <c r="T21" s="293">
        <v>99</v>
      </c>
      <c r="U21"/>
      <c r="V21"/>
    </row>
    <row r="22" spans="1:22" x14ac:dyDescent="0.2">
      <c r="A22" s="4">
        <v>2014</v>
      </c>
      <c r="B22" s="84">
        <v>151.58600000000001</v>
      </c>
      <c r="C22" s="5">
        <f t="shared" si="0"/>
        <v>586</v>
      </c>
      <c r="D22" s="89">
        <f t="shared" si="1"/>
        <v>151.58600000000001</v>
      </c>
      <c r="E22" s="13" t="s">
        <v>175</v>
      </c>
      <c r="F22" s="4" t="s">
        <v>8</v>
      </c>
      <c r="M22" s="241">
        <v>917</v>
      </c>
      <c r="N22" s="242">
        <v>40</v>
      </c>
      <c r="O22" s="267">
        <v>33</v>
      </c>
      <c r="P22" s="267"/>
      <c r="Q22" s="267">
        <v>2</v>
      </c>
      <c r="R22" s="267">
        <v>2</v>
      </c>
      <c r="S22" s="267">
        <v>14</v>
      </c>
      <c r="T22" s="293">
        <v>91</v>
      </c>
      <c r="U22"/>
      <c r="V22"/>
    </row>
    <row r="23" spans="1:22" x14ac:dyDescent="0.2">
      <c r="A23" s="4">
        <v>2014</v>
      </c>
      <c r="B23" s="84">
        <v>151.34399999999999</v>
      </c>
      <c r="C23" s="5">
        <f t="shared" si="0"/>
        <v>344</v>
      </c>
      <c r="D23" s="89">
        <f t="shared" si="1"/>
        <v>151.34399999999999</v>
      </c>
      <c r="E23" s="310" t="s">
        <v>389</v>
      </c>
      <c r="F23" s="4" t="s">
        <v>379</v>
      </c>
      <c r="M23" s="241" t="s">
        <v>571</v>
      </c>
      <c r="N23" s="242"/>
      <c r="O23" s="267"/>
      <c r="P23" s="267"/>
      <c r="Q23" s="267"/>
      <c r="R23" s="267"/>
      <c r="S23" s="267"/>
      <c r="T23" s="293"/>
      <c r="U23"/>
      <c r="V23"/>
    </row>
    <row r="24" spans="1:22" x14ac:dyDescent="0.2">
      <c r="A24" s="4">
        <v>2014</v>
      </c>
      <c r="B24" s="92">
        <v>151.483</v>
      </c>
      <c r="C24" s="5">
        <f t="shared" si="0"/>
        <v>483</v>
      </c>
      <c r="D24" s="89">
        <f t="shared" si="1"/>
        <v>151.483</v>
      </c>
      <c r="E24" s="310" t="s">
        <v>389</v>
      </c>
      <c r="F24" s="4" t="s">
        <v>379</v>
      </c>
      <c r="M24" s="250" t="s">
        <v>12</v>
      </c>
      <c r="N24" s="245">
        <v>590</v>
      </c>
      <c r="O24" s="268">
        <v>33</v>
      </c>
      <c r="P24" s="268">
        <v>200</v>
      </c>
      <c r="Q24" s="268">
        <v>200</v>
      </c>
      <c r="R24" s="268">
        <v>200</v>
      </c>
      <c r="S24" s="268">
        <v>212</v>
      </c>
      <c r="T24" s="246">
        <v>1435</v>
      </c>
      <c r="U24"/>
      <c r="V24"/>
    </row>
    <row r="25" spans="1:22" x14ac:dyDescent="0.2">
      <c r="A25" s="4">
        <v>2014</v>
      </c>
      <c r="B25" s="84">
        <v>151.50299999999999</v>
      </c>
      <c r="C25" s="5">
        <f t="shared" si="0"/>
        <v>503</v>
      </c>
      <c r="D25" s="89">
        <f t="shared" si="1"/>
        <v>151.50299999999999</v>
      </c>
      <c r="E25" s="310" t="s">
        <v>389</v>
      </c>
      <c r="F25" s="4" t="s">
        <v>379</v>
      </c>
      <c r="M25"/>
      <c r="N25"/>
      <c r="O25"/>
      <c r="P25"/>
      <c r="Q25"/>
      <c r="R25"/>
      <c r="S25"/>
      <c r="T25"/>
      <c r="U25"/>
      <c r="V25"/>
    </row>
    <row r="26" spans="1:22" x14ac:dyDescent="0.2">
      <c r="A26" s="4">
        <v>2014</v>
      </c>
      <c r="B26" s="84">
        <v>151.524</v>
      </c>
      <c r="C26" s="5">
        <f t="shared" si="0"/>
        <v>524</v>
      </c>
      <c r="D26" s="89">
        <f t="shared" si="1"/>
        <v>151.524</v>
      </c>
      <c r="E26" s="310" t="s">
        <v>389</v>
      </c>
      <c r="F26" s="4" t="s">
        <v>379</v>
      </c>
      <c r="M26"/>
      <c r="N26"/>
      <c r="O26"/>
      <c r="P26"/>
      <c r="Q26"/>
      <c r="R26"/>
      <c r="S26"/>
      <c r="T26"/>
      <c r="U26"/>
      <c r="V26"/>
    </row>
    <row r="27" spans="1:22" x14ac:dyDescent="0.2">
      <c r="A27" s="4">
        <v>2014</v>
      </c>
      <c r="B27" s="91">
        <v>151.64400000000001</v>
      </c>
      <c r="C27" s="5">
        <f t="shared" si="0"/>
        <v>644</v>
      </c>
      <c r="D27" s="89">
        <f t="shared" si="1"/>
        <v>151.64400000000001</v>
      </c>
      <c r="E27" s="310" t="s">
        <v>389</v>
      </c>
      <c r="F27" s="4" t="s">
        <v>379</v>
      </c>
      <c r="M27"/>
      <c r="N27"/>
      <c r="O27"/>
      <c r="P27"/>
      <c r="Q27"/>
      <c r="R27"/>
      <c r="S27"/>
      <c r="T27"/>
      <c r="U27"/>
      <c r="V27"/>
    </row>
    <row r="28" spans="1:22" x14ac:dyDescent="0.2">
      <c r="A28" s="4">
        <v>2014</v>
      </c>
      <c r="B28" s="91">
        <v>151.65299999999999</v>
      </c>
      <c r="C28" s="5">
        <f t="shared" si="0"/>
        <v>653</v>
      </c>
      <c r="D28" s="89">
        <f t="shared" si="1"/>
        <v>151.65299999999999</v>
      </c>
      <c r="E28" s="310" t="s">
        <v>389</v>
      </c>
      <c r="F28" s="4" t="s">
        <v>379</v>
      </c>
      <c r="M28"/>
      <c r="N28"/>
      <c r="O28"/>
      <c r="P28"/>
      <c r="Q28"/>
      <c r="R28"/>
      <c r="S28"/>
      <c r="T28"/>
      <c r="U28"/>
      <c r="V28"/>
    </row>
    <row r="29" spans="1:22" x14ac:dyDescent="0.2">
      <c r="A29" s="4">
        <v>2014</v>
      </c>
      <c r="B29" s="91">
        <v>151.66300000000001</v>
      </c>
      <c r="C29" s="5">
        <f t="shared" si="0"/>
        <v>663</v>
      </c>
      <c r="D29" s="89">
        <f t="shared" si="1"/>
        <v>151.66300000000001</v>
      </c>
      <c r="E29" s="310" t="s">
        <v>389</v>
      </c>
      <c r="F29" s="4" t="s">
        <v>379</v>
      </c>
      <c r="M29"/>
      <c r="N29"/>
      <c r="O29"/>
      <c r="P29"/>
      <c r="Q29"/>
      <c r="R29"/>
      <c r="S29"/>
      <c r="T29"/>
      <c r="U29"/>
      <c r="V29"/>
    </row>
    <row r="30" spans="1:22" x14ac:dyDescent="0.2">
      <c r="A30" s="4">
        <v>2014</v>
      </c>
      <c r="B30" s="347">
        <v>151.22399999999999</v>
      </c>
      <c r="C30" s="5">
        <f t="shared" si="0"/>
        <v>224</v>
      </c>
      <c r="D30" s="89">
        <f t="shared" si="1"/>
        <v>151.22399999999999</v>
      </c>
      <c r="E30" s="13" t="s">
        <v>174</v>
      </c>
      <c r="F30" s="4" t="s">
        <v>380</v>
      </c>
      <c r="G30" s="4" t="s">
        <v>3411</v>
      </c>
      <c r="M30"/>
      <c r="N30"/>
      <c r="O30"/>
      <c r="P30"/>
      <c r="Q30"/>
      <c r="R30"/>
      <c r="S30"/>
      <c r="T30"/>
      <c r="U30"/>
      <c r="V30"/>
    </row>
    <row r="31" spans="1:22" x14ac:dyDescent="0.2">
      <c r="A31" s="4">
        <v>2014</v>
      </c>
      <c r="B31" s="347">
        <v>151.63200000000001</v>
      </c>
      <c r="C31" s="5">
        <f t="shared" si="0"/>
        <v>632</v>
      </c>
      <c r="D31" s="89">
        <f t="shared" si="1"/>
        <v>151.63200000000001</v>
      </c>
      <c r="E31" s="13" t="s">
        <v>174</v>
      </c>
      <c r="F31" s="4" t="s">
        <v>380</v>
      </c>
      <c r="G31" s="4" t="s">
        <v>3411</v>
      </c>
      <c r="M31"/>
      <c r="N31"/>
      <c r="O31"/>
      <c r="P31"/>
      <c r="Q31"/>
      <c r="R31"/>
      <c r="S31"/>
      <c r="T31"/>
      <c r="U31"/>
      <c r="V31"/>
    </row>
    <row r="32" spans="1:22" x14ac:dyDescent="0.2">
      <c r="A32" s="4">
        <v>2014</v>
      </c>
      <c r="B32" s="347">
        <v>151.625</v>
      </c>
      <c r="C32" s="5">
        <f t="shared" si="0"/>
        <v>625</v>
      </c>
      <c r="D32" s="89">
        <f t="shared" si="1"/>
        <v>151.625</v>
      </c>
      <c r="E32" s="13" t="s">
        <v>176</v>
      </c>
      <c r="F32" s="4" t="s">
        <v>381</v>
      </c>
      <c r="M32"/>
      <c r="N32"/>
      <c r="O32"/>
      <c r="P32"/>
      <c r="Q32"/>
      <c r="R32"/>
      <c r="S32"/>
      <c r="T32"/>
      <c r="U32"/>
      <c r="V32"/>
    </row>
    <row r="33" spans="1:22" x14ac:dyDescent="0.2">
      <c r="A33" s="4">
        <v>2014</v>
      </c>
      <c r="B33" s="347">
        <v>151.71299999999999</v>
      </c>
      <c r="C33" s="5">
        <f t="shared" si="0"/>
        <v>713</v>
      </c>
      <c r="D33" s="89">
        <f t="shared" si="1"/>
        <v>151.71299999999999</v>
      </c>
      <c r="E33" s="13" t="s">
        <v>176</v>
      </c>
      <c r="F33" s="13" t="s">
        <v>381</v>
      </c>
      <c r="G33" s="13"/>
      <c r="H33" s="13"/>
      <c r="I33" s="13"/>
      <c r="J33" s="13"/>
      <c r="K33" s="13"/>
      <c r="L33" s="13"/>
      <c r="M33"/>
      <c r="N33"/>
      <c r="O33"/>
      <c r="P33"/>
      <c r="Q33"/>
      <c r="R33"/>
      <c r="S33"/>
      <c r="T33"/>
      <c r="U33"/>
      <c r="V33"/>
    </row>
    <row r="34" spans="1:22" x14ac:dyDescent="0.2">
      <c r="A34" s="4">
        <v>2014</v>
      </c>
      <c r="B34" s="348">
        <v>151.744</v>
      </c>
      <c r="C34" s="5">
        <f t="shared" si="0"/>
        <v>744</v>
      </c>
      <c r="D34" s="89">
        <f t="shared" si="1"/>
        <v>151.744</v>
      </c>
      <c r="E34" s="13" t="s">
        <v>176</v>
      </c>
      <c r="F34" s="4" t="s">
        <v>381</v>
      </c>
      <c r="M34"/>
      <c r="N34"/>
      <c r="O34"/>
      <c r="P34"/>
      <c r="Q34"/>
      <c r="R34"/>
      <c r="S34"/>
      <c r="T34"/>
      <c r="U34"/>
      <c r="V34"/>
    </row>
    <row r="35" spans="1:22" x14ac:dyDescent="0.2">
      <c r="A35" s="4">
        <v>2014</v>
      </c>
      <c r="B35" s="348">
        <v>151.76400000000001</v>
      </c>
      <c r="C35" s="5">
        <f t="shared" si="0"/>
        <v>764</v>
      </c>
      <c r="D35" s="89">
        <f t="shared" si="1"/>
        <v>151.76400000000001</v>
      </c>
      <c r="E35" s="13" t="s">
        <v>176</v>
      </c>
      <c r="F35" s="4" t="s">
        <v>381</v>
      </c>
      <c r="G35" s="13" t="s">
        <v>1869</v>
      </c>
      <c r="M35"/>
      <c r="N35"/>
      <c r="O35"/>
      <c r="P35"/>
      <c r="Q35"/>
      <c r="R35"/>
      <c r="S35"/>
      <c r="T35"/>
      <c r="U35"/>
      <c r="V35"/>
    </row>
    <row r="36" spans="1:22" x14ac:dyDescent="0.2">
      <c r="A36" s="4">
        <v>2014</v>
      </c>
      <c r="B36" s="348">
        <v>151.85499999999999</v>
      </c>
      <c r="C36" s="5">
        <f t="shared" si="0"/>
        <v>855</v>
      </c>
      <c r="D36" s="89">
        <f t="shared" si="1"/>
        <v>151.85499999999999</v>
      </c>
      <c r="E36" s="13" t="s">
        <v>176</v>
      </c>
      <c r="F36" s="4" t="s">
        <v>381</v>
      </c>
      <c r="G36" s="13" t="s">
        <v>1869</v>
      </c>
      <c r="M36"/>
      <c r="N36"/>
      <c r="O36"/>
      <c r="P36"/>
      <c r="Q36"/>
      <c r="R36"/>
      <c r="S36"/>
      <c r="T36"/>
      <c r="U36"/>
      <c r="V36"/>
    </row>
    <row r="37" spans="1:22" x14ac:dyDescent="0.2">
      <c r="A37" s="4">
        <v>2014</v>
      </c>
      <c r="B37" s="348">
        <v>151.92400000000001</v>
      </c>
      <c r="C37" s="5">
        <f t="shared" si="0"/>
        <v>924</v>
      </c>
      <c r="D37" s="89">
        <f t="shared" si="1"/>
        <v>151.92400000000001</v>
      </c>
      <c r="E37" s="13" t="s">
        <v>176</v>
      </c>
      <c r="F37" s="4" t="s">
        <v>381</v>
      </c>
      <c r="G37" s="13" t="s">
        <v>1869</v>
      </c>
      <c r="M37"/>
      <c r="N37"/>
      <c r="O37"/>
      <c r="P37"/>
      <c r="Q37"/>
      <c r="R37"/>
      <c r="S37"/>
      <c r="T37"/>
      <c r="U37"/>
      <c r="V37"/>
    </row>
    <row r="38" spans="1:22" x14ac:dyDescent="0.2">
      <c r="A38" s="4">
        <v>2014</v>
      </c>
      <c r="B38" s="347">
        <v>151.935</v>
      </c>
      <c r="C38" s="5">
        <f t="shared" si="0"/>
        <v>935</v>
      </c>
      <c r="D38" s="89">
        <f t="shared" si="1"/>
        <v>151.935</v>
      </c>
      <c r="E38" s="13" t="s">
        <v>176</v>
      </c>
      <c r="F38" s="4" t="s">
        <v>381</v>
      </c>
      <c r="G38" s="13" t="s">
        <v>1869</v>
      </c>
      <c r="M38"/>
      <c r="N38"/>
      <c r="O38"/>
      <c r="P38"/>
      <c r="Q38"/>
      <c r="R38"/>
      <c r="S38"/>
      <c r="T38"/>
      <c r="U38"/>
      <c r="V38"/>
    </row>
    <row r="39" spans="1:22" x14ac:dyDescent="0.2">
      <c r="A39" s="4">
        <v>2014</v>
      </c>
      <c r="B39" s="347">
        <v>151.03299999999999</v>
      </c>
      <c r="C39" s="5">
        <f t="shared" si="0"/>
        <v>33</v>
      </c>
      <c r="D39" s="89">
        <f t="shared" si="1"/>
        <v>151.03299999999999</v>
      </c>
      <c r="E39" s="13" t="s">
        <v>175</v>
      </c>
      <c r="F39" s="4" t="s">
        <v>382</v>
      </c>
      <c r="G39" s="4" t="s">
        <v>3411</v>
      </c>
      <c r="M39"/>
      <c r="N39"/>
      <c r="O39"/>
      <c r="P39"/>
      <c r="Q39"/>
      <c r="R39"/>
      <c r="S39"/>
      <c r="T39"/>
      <c r="U39"/>
      <c r="V39"/>
    </row>
    <row r="40" spans="1:22" x14ac:dyDescent="0.2">
      <c r="A40" s="4">
        <v>2014</v>
      </c>
      <c r="B40" s="348">
        <v>151.114</v>
      </c>
      <c r="C40" s="5">
        <f t="shared" si="0"/>
        <v>114</v>
      </c>
      <c r="D40" s="89">
        <f t="shared" si="1"/>
        <v>151.114</v>
      </c>
      <c r="E40" s="13" t="s">
        <v>175</v>
      </c>
      <c r="F40" s="4" t="s">
        <v>382</v>
      </c>
      <c r="G40" s="4" t="s">
        <v>3411</v>
      </c>
      <c r="M40"/>
      <c r="N40"/>
      <c r="O40"/>
      <c r="P40"/>
      <c r="Q40"/>
      <c r="R40"/>
      <c r="S40"/>
      <c r="T40"/>
      <c r="U40"/>
      <c r="V40"/>
    </row>
    <row r="41" spans="1:22" x14ac:dyDescent="0.2">
      <c r="A41" s="4">
        <v>2014</v>
      </c>
      <c r="B41" s="347">
        <v>151.19399999999999</v>
      </c>
      <c r="C41" s="5">
        <f t="shared" si="0"/>
        <v>194</v>
      </c>
      <c r="D41" s="89">
        <f t="shared" si="1"/>
        <v>151.19399999999999</v>
      </c>
      <c r="E41" s="13" t="s">
        <v>175</v>
      </c>
      <c r="F41" s="4" t="s">
        <v>382</v>
      </c>
      <c r="G41" s="4" t="s">
        <v>3411</v>
      </c>
      <c r="M41"/>
      <c r="N41"/>
      <c r="O41"/>
      <c r="P41"/>
      <c r="Q41"/>
      <c r="R41"/>
      <c r="S41"/>
      <c r="T41"/>
      <c r="U41"/>
      <c r="V41"/>
    </row>
    <row r="42" spans="1:22" x14ac:dyDescent="0.2">
      <c r="A42" s="4">
        <v>2014</v>
      </c>
      <c r="B42" s="347">
        <v>151.35499999999999</v>
      </c>
      <c r="C42" s="5">
        <f t="shared" si="0"/>
        <v>355</v>
      </c>
      <c r="D42" s="89">
        <f t="shared" si="1"/>
        <v>151.35499999999999</v>
      </c>
      <c r="E42" s="13" t="s">
        <v>175</v>
      </c>
      <c r="F42" s="4" t="s">
        <v>382</v>
      </c>
      <c r="G42" s="4" t="s">
        <v>3411</v>
      </c>
      <c r="M42"/>
      <c r="N42"/>
      <c r="O42"/>
      <c r="P42"/>
      <c r="Q42"/>
      <c r="R42"/>
      <c r="S42"/>
      <c r="T42"/>
      <c r="U42"/>
      <c r="V42"/>
    </row>
    <row r="43" spans="1:22" x14ac:dyDescent="0.2">
      <c r="A43" s="4">
        <v>2014</v>
      </c>
      <c r="B43" s="347">
        <v>151.553</v>
      </c>
      <c r="C43" s="5">
        <f t="shared" si="0"/>
        <v>553</v>
      </c>
      <c r="D43" s="89">
        <f t="shared" si="1"/>
        <v>151.553</v>
      </c>
      <c r="E43" s="13" t="s">
        <v>175</v>
      </c>
      <c r="F43" s="13" t="s">
        <v>382</v>
      </c>
      <c r="G43" s="13" t="s">
        <v>3411</v>
      </c>
      <c r="H43" s="13"/>
      <c r="I43" s="13"/>
      <c r="J43" s="13"/>
      <c r="K43" s="13"/>
      <c r="L43" s="13"/>
      <c r="M43"/>
      <c r="N43"/>
      <c r="O43"/>
      <c r="P43"/>
      <c r="Q43"/>
      <c r="R43"/>
      <c r="S43"/>
      <c r="T43"/>
      <c r="U43"/>
      <c r="V43"/>
    </row>
    <row r="44" spans="1:22" x14ac:dyDescent="0.2">
      <c r="A44" s="4">
        <v>2014</v>
      </c>
      <c r="B44" s="348">
        <v>151.60599999999999</v>
      </c>
      <c r="C44" s="5">
        <f t="shared" si="0"/>
        <v>606</v>
      </c>
      <c r="D44" s="89">
        <f t="shared" si="1"/>
        <v>151.60599999999999</v>
      </c>
      <c r="E44" s="13" t="s">
        <v>175</v>
      </c>
      <c r="F44" s="4" t="s">
        <v>382</v>
      </c>
      <c r="G44" s="4" t="s">
        <v>3411</v>
      </c>
      <c r="M44"/>
      <c r="N44"/>
      <c r="O44"/>
      <c r="P44"/>
      <c r="Q44"/>
      <c r="R44"/>
      <c r="S44"/>
      <c r="T44"/>
      <c r="U44"/>
      <c r="V44"/>
    </row>
    <row r="45" spans="1:22" x14ac:dyDescent="0.2">
      <c r="A45" s="4">
        <v>2014</v>
      </c>
      <c r="B45" s="348">
        <v>151.376</v>
      </c>
      <c r="C45" s="5">
        <f t="shared" si="0"/>
        <v>376</v>
      </c>
      <c r="D45" s="89">
        <f t="shared" si="1"/>
        <v>151.376</v>
      </c>
      <c r="E45" s="13" t="s">
        <v>176</v>
      </c>
      <c r="F45" s="4" t="s">
        <v>381</v>
      </c>
      <c r="M45"/>
      <c r="N45"/>
      <c r="O45"/>
      <c r="P45"/>
      <c r="Q45"/>
      <c r="R45"/>
      <c r="S45"/>
      <c r="T45"/>
      <c r="U45"/>
      <c r="V45"/>
    </row>
    <row r="46" spans="1:22" x14ac:dyDescent="0.2">
      <c r="A46" s="4">
        <v>2014</v>
      </c>
      <c r="B46" s="348">
        <v>151.39400000000001</v>
      </c>
      <c r="C46" s="5">
        <f t="shared" si="0"/>
        <v>394</v>
      </c>
      <c r="D46" s="89">
        <f t="shared" si="1"/>
        <v>151.39400000000001</v>
      </c>
      <c r="E46" s="13" t="s">
        <v>176</v>
      </c>
      <c r="F46" s="4" t="s">
        <v>381</v>
      </c>
      <c r="M46"/>
      <c r="N46"/>
      <c r="O46"/>
      <c r="P46"/>
      <c r="Q46"/>
      <c r="R46"/>
      <c r="S46"/>
      <c r="T46"/>
      <c r="U46"/>
      <c r="V46"/>
    </row>
    <row r="47" spans="1:22" x14ac:dyDescent="0.2">
      <c r="A47" s="4">
        <v>2014</v>
      </c>
      <c r="B47" s="347">
        <v>151.41399999999999</v>
      </c>
      <c r="C47" s="5">
        <f t="shared" si="0"/>
        <v>414</v>
      </c>
      <c r="D47" s="89">
        <f t="shared" si="1"/>
        <v>151.41399999999999</v>
      </c>
      <c r="E47" s="13" t="s">
        <v>176</v>
      </c>
      <c r="F47" s="4" t="s">
        <v>381</v>
      </c>
      <c r="G47" s="13" t="s">
        <v>1869</v>
      </c>
      <c r="M47"/>
      <c r="N47"/>
      <c r="O47"/>
      <c r="P47"/>
      <c r="Q47"/>
      <c r="R47"/>
      <c r="S47"/>
      <c r="T47"/>
      <c r="U47"/>
      <c r="V47"/>
    </row>
    <row r="48" spans="1:22" x14ac:dyDescent="0.2">
      <c r="A48" s="4">
        <v>2014</v>
      </c>
      <c r="B48" s="347">
        <v>150.41200000000001</v>
      </c>
      <c r="C48" s="5">
        <f t="shared" si="0"/>
        <v>412</v>
      </c>
      <c r="D48" s="89">
        <f t="shared" si="1"/>
        <v>150.41200000000001</v>
      </c>
      <c r="E48" s="13" t="s">
        <v>175</v>
      </c>
      <c r="F48" s="4" t="s">
        <v>382</v>
      </c>
      <c r="M48"/>
      <c r="N48"/>
      <c r="O48"/>
      <c r="P48"/>
      <c r="Q48"/>
      <c r="R48"/>
      <c r="S48"/>
      <c r="T48"/>
      <c r="U48"/>
      <c r="V48"/>
    </row>
    <row r="49" spans="2:22" x14ac:dyDescent="0.2">
      <c r="B49"/>
      <c r="C49"/>
      <c r="D49"/>
      <c r="E49"/>
      <c r="F49"/>
      <c r="G49"/>
      <c r="H49"/>
      <c r="I49"/>
      <c r="J49"/>
      <c r="K49"/>
      <c r="L49"/>
      <c r="M49"/>
      <c r="N49"/>
      <c r="O49"/>
      <c r="P49"/>
      <c r="Q49"/>
      <c r="R49"/>
      <c r="S49"/>
      <c r="T49"/>
      <c r="U49"/>
      <c r="V49"/>
    </row>
    <row r="50" spans="2:22" x14ac:dyDescent="0.2">
      <c r="M50"/>
      <c r="N50"/>
      <c r="O50"/>
      <c r="P50"/>
      <c r="Q50"/>
      <c r="R50"/>
      <c r="S50"/>
      <c r="T50"/>
      <c r="U50"/>
      <c r="V50"/>
    </row>
    <row r="51" spans="2:22" x14ac:dyDescent="0.2">
      <c r="M51"/>
      <c r="N51"/>
      <c r="O51"/>
      <c r="P51"/>
      <c r="Q51"/>
      <c r="R51"/>
      <c r="S51"/>
      <c r="T51"/>
      <c r="U51"/>
      <c r="V51"/>
    </row>
    <row r="52" spans="2:22" x14ac:dyDescent="0.2">
      <c r="M52"/>
      <c r="N52"/>
      <c r="O52"/>
      <c r="P52"/>
      <c r="Q52"/>
      <c r="R52"/>
      <c r="S52"/>
      <c r="T52"/>
      <c r="U52"/>
      <c r="V52"/>
    </row>
    <row r="53" spans="2:22" x14ac:dyDescent="0.2">
      <c r="M53"/>
      <c r="N53"/>
      <c r="O53"/>
      <c r="P53"/>
      <c r="Q53"/>
      <c r="R53"/>
      <c r="S53"/>
      <c r="T53"/>
      <c r="U53"/>
      <c r="V53"/>
    </row>
    <row r="54" spans="2:22" x14ac:dyDescent="0.2">
      <c r="M54"/>
      <c r="N54"/>
      <c r="O54"/>
      <c r="P54"/>
      <c r="Q54"/>
      <c r="R54"/>
      <c r="S54"/>
      <c r="T54"/>
      <c r="U54"/>
      <c r="V54"/>
    </row>
    <row r="55" spans="2:22" x14ac:dyDescent="0.2">
      <c r="M55"/>
      <c r="N55"/>
      <c r="O55"/>
      <c r="P55"/>
      <c r="Q55"/>
      <c r="R55"/>
      <c r="S55"/>
      <c r="T55"/>
      <c r="U55"/>
      <c r="V55"/>
    </row>
    <row r="56" spans="2:22" x14ac:dyDescent="0.2">
      <c r="M56"/>
      <c r="N56"/>
      <c r="O56"/>
      <c r="P56"/>
      <c r="Q56"/>
      <c r="R56"/>
      <c r="S56"/>
      <c r="T56"/>
      <c r="U56"/>
      <c r="V56"/>
    </row>
    <row r="57" spans="2:22" x14ac:dyDescent="0.2">
      <c r="M57"/>
      <c r="N57"/>
      <c r="O57"/>
      <c r="P57"/>
      <c r="Q57"/>
      <c r="R57"/>
      <c r="S57"/>
      <c r="T57"/>
      <c r="U57"/>
      <c r="V57"/>
    </row>
    <row r="58" spans="2:22" x14ac:dyDescent="0.2">
      <c r="M58"/>
      <c r="N58"/>
      <c r="O58"/>
      <c r="P58"/>
      <c r="Q58"/>
      <c r="R58"/>
      <c r="S58"/>
      <c r="T58"/>
      <c r="U58"/>
      <c r="V58"/>
    </row>
    <row r="59" spans="2:22" x14ac:dyDescent="0.2">
      <c r="M59"/>
      <c r="N59"/>
      <c r="O59"/>
      <c r="P59"/>
      <c r="Q59"/>
      <c r="R59"/>
      <c r="S59"/>
      <c r="T59"/>
      <c r="U59"/>
      <c r="V59"/>
    </row>
    <row r="60" spans="2:22" x14ac:dyDescent="0.2">
      <c r="M60"/>
      <c r="N60"/>
      <c r="O60"/>
      <c r="P60"/>
      <c r="Q60"/>
      <c r="R60"/>
      <c r="S60"/>
      <c r="T60"/>
      <c r="U60"/>
      <c r="V60"/>
    </row>
    <row r="61" spans="2:22" x14ac:dyDescent="0.2">
      <c r="M61"/>
      <c r="N61"/>
      <c r="O61"/>
      <c r="P61"/>
      <c r="Q61"/>
      <c r="R61"/>
      <c r="S61"/>
      <c r="T61"/>
      <c r="U61"/>
      <c r="V61"/>
    </row>
    <row r="62" spans="2:22" x14ac:dyDescent="0.2">
      <c r="M62"/>
      <c r="N62"/>
      <c r="O62"/>
      <c r="P62"/>
      <c r="Q62"/>
      <c r="R62"/>
      <c r="S62"/>
      <c r="T62"/>
      <c r="U62"/>
      <c r="V62"/>
    </row>
    <row r="63" spans="2:22" x14ac:dyDescent="0.2">
      <c r="M63"/>
      <c r="N63"/>
      <c r="O63"/>
      <c r="P63"/>
      <c r="Q63"/>
      <c r="R63"/>
      <c r="S63"/>
      <c r="T63"/>
      <c r="U63"/>
      <c r="V63"/>
    </row>
    <row r="64" spans="2:22" x14ac:dyDescent="0.2">
      <c r="M64"/>
      <c r="N64"/>
      <c r="O64"/>
      <c r="P64"/>
      <c r="Q64"/>
      <c r="R64"/>
      <c r="S64"/>
      <c r="T64"/>
      <c r="U64"/>
      <c r="V64"/>
    </row>
    <row r="65" spans="13:22" x14ac:dyDescent="0.2">
      <c r="M65"/>
      <c r="N65"/>
      <c r="O65"/>
      <c r="P65"/>
      <c r="Q65"/>
      <c r="R65"/>
      <c r="S65"/>
      <c r="T65"/>
      <c r="U65"/>
      <c r="V65"/>
    </row>
    <row r="66" spans="13:22" x14ac:dyDescent="0.2">
      <c r="M66"/>
      <c r="N66"/>
      <c r="O66"/>
      <c r="P66"/>
      <c r="Q66"/>
      <c r="R66"/>
      <c r="S66"/>
      <c r="T66"/>
      <c r="U66"/>
      <c r="V66"/>
    </row>
    <row r="67" spans="13:22" x14ac:dyDescent="0.2">
      <c r="M67"/>
      <c r="N67"/>
      <c r="O67"/>
      <c r="P67"/>
      <c r="Q67"/>
      <c r="R67"/>
      <c r="S67"/>
      <c r="T67"/>
      <c r="U67"/>
      <c r="V67"/>
    </row>
    <row r="68" spans="13:22" x14ac:dyDescent="0.2">
      <c r="M68"/>
      <c r="N68"/>
      <c r="O68"/>
      <c r="P68"/>
      <c r="Q68"/>
      <c r="R68"/>
      <c r="S68"/>
      <c r="T68"/>
      <c r="U68"/>
      <c r="V68"/>
    </row>
    <row r="69" spans="13:22" x14ac:dyDescent="0.2">
      <c r="M69"/>
      <c r="N69"/>
      <c r="O69"/>
      <c r="P69"/>
      <c r="Q69"/>
      <c r="R69"/>
      <c r="S69"/>
      <c r="T69"/>
      <c r="U69"/>
      <c r="V69"/>
    </row>
    <row r="70" spans="13:22" x14ac:dyDescent="0.2">
      <c r="M70"/>
      <c r="N70"/>
      <c r="O70"/>
      <c r="P70"/>
      <c r="Q70"/>
      <c r="R70"/>
      <c r="S70"/>
      <c r="T70"/>
      <c r="U70"/>
      <c r="V70"/>
    </row>
  </sheetData>
  <autoFilter ref="A3:F48"/>
  <phoneticPr fontId="5" type="noConversion"/>
  <conditionalFormatting pivot="1">
    <cfRule type="cellIs" dxfId="2" priority="1" operator="greaterThan">
      <formula>1</formula>
    </cfRule>
  </conditionalFormatting>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E5"/>
  <sheetViews>
    <sheetView workbookViewId="0">
      <selection activeCell="A6" sqref="A6"/>
    </sheetView>
  </sheetViews>
  <sheetFormatPr defaultColWidth="9.140625" defaultRowHeight="12.75" x14ac:dyDescent="0.2"/>
  <cols>
    <col min="1" max="1" width="5.85546875" style="4" customWidth="1"/>
    <col min="2" max="2" width="13.28515625" style="4" customWidth="1"/>
    <col min="3" max="4" width="12.42578125" style="4" customWidth="1"/>
    <col min="5" max="5" width="20.85546875" style="4" bestFit="1" customWidth="1"/>
    <col min="6" max="16384" width="9.140625" style="4"/>
  </cols>
  <sheetData>
    <row r="1" spans="1:5" x14ac:dyDescent="0.2">
      <c r="A1" s="26" t="s">
        <v>99</v>
      </c>
      <c r="B1" s="27" t="s">
        <v>77</v>
      </c>
      <c r="C1" s="27" t="s">
        <v>84</v>
      </c>
      <c r="D1" s="27" t="s">
        <v>85</v>
      </c>
      <c r="E1" s="27" t="s">
        <v>132</v>
      </c>
    </row>
    <row r="2" spans="1:5" x14ac:dyDescent="0.2">
      <c r="A2" s="4">
        <v>1</v>
      </c>
      <c r="B2" s="13" t="s">
        <v>104</v>
      </c>
      <c r="C2" s="4">
        <v>62.616370000000003</v>
      </c>
      <c r="D2" s="4">
        <v>-150.01661999999999</v>
      </c>
      <c r="E2" s="4" t="s">
        <v>138</v>
      </c>
    </row>
    <row r="3" spans="1:5" x14ac:dyDescent="0.2">
      <c r="A3" s="4">
        <v>2</v>
      </c>
      <c r="B3" s="13" t="s">
        <v>105</v>
      </c>
      <c r="C3" s="4">
        <v>62.601680000000002</v>
      </c>
      <c r="D3" s="4">
        <v>-150.02646999999999</v>
      </c>
      <c r="E3" s="4" t="s">
        <v>138</v>
      </c>
    </row>
    <row r="4" spans="1:5" x14ac:dyDescent="0.2">
      <c r="A4" s="4">
        <v>3</v>
      </c>
      <c r="B4" s="13" t="s">
        <v>104</v>
      </c>
      <c r="C4" s="87">
        <v>62.637349999999998</v>
      </c>
      <c r="D4" s="87">
        <v>-149.97753</v>
      </c>
      <c r="E4" s="13" t="s">
        <v>138</v>
      </c>
    </row>
    <row r="5" spans="1:5" x14ac:dyDescent="0.2">
      <c r="B5" s="13"/>
      <c r="C5" s="87"/>
      <c r="D5" s="87"/>
      <c r="E5" s="13"/>
    </row>
  </sheetData>
  <protectedRanges>
    <protectedRange sqref="B4" name="Range1"/>
  </protectedRanges>
  <phoneticPr fontId="5"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pageSetUpPr fitToPage="1"/>
  </sheetPr>
  <dimension ref="A1:AD5063"/>
  <sheetViews>
    <sheetView zoomScale="90" zoomScaleNormal="90" workbookViewId="0">
      <pane xSplit="4" ySplit="1" topLeftCell="E2" activePane="bottomRight" state="frozen"/>
      <selection pane="topRight" activeCell="E1" sqref="E1"/>
      <selection pane="bottomLeft" activeCell="A2" sqref="A2"/>
      <selection pane="bottomRight" activeCell="B4" sqref="B4"/>
    </sheetView>
  </sheetViews>
  <sheetFormatPr defaultColWidth="9.140625" defaultRowHeight="12.75" zeroHeight="1" x14ac:dyDescent="0.2"/>
  <cols>
    <col min="1" max="1" width="7.7109375" style="110" customWidth="1"/>
    <col min="2" max="2" width="11.85546875" style="103" bestFit="1" customWidth="1"/>
    <col min="3" max="3" width="6.28515625" style="103" customWidth="1"/>
    <col min="4" max="4" width="7.7109375" style="103" bestFit="1" customWidth="1"/>
    <col min="5" max="5" width="12.140625" style="103" customWidth="1"/>
    <col min="6" max="6" width="7.7109375" style="103" bestFit="1" customWidth="1"/>
    <col min="7" max="7" width="5.28515625" style="103" bestFit="1" customWidth="1"/>
    <col min="8" max="8" width="8.85546875" style="137" bestFit="1" customWidth="1"/>
    <col min="9" max="10" width="5" style="103" bestFit="1" customWidth="1"/>
    <col min="11" max="11" width="4.28515625" style="103" bestFit="1" customWidth="1"/>
    <col min="12" max="13" width="7.85546875" style="103" bestFit="1" customWidth="1"/>
    <col min="14" max="14" width="7.85546875" style="137" bestFit="1" customWidth="1"/>
    <col min="15" max="15" width="6.5703125" style="103" bestFit="1" customWidth="1"/>
    <col min="16" max="16" width="46" style="100" customWidth="1"/>
    <col min="17" max="17" width="22.140625" style="100" bestFit="1" customWidth="1"/>
    <col min="18" max="18" width="21.7109375" style="226" bestFit="1" customWidth="1"/>
    <col min="19" max="19" width="13.85546875" style="509" bestFit="1" customWidth="1"/>
    <col min="20" max="20" width="8.42578125" style="492" customWidth="1"/>
    <col min="21" max="21" width="9.85546875" style="110" bestFit="1" customWidth="1"/>
    <col min="22" max="23" width="9.5703125" style="110" bestFit="1" customWidth="1"/>
    <col min="24" max="24" width="20.42578125" style="110" bestFit="1" customWidth="1"/>
    <col min="25" max="25" width="8.85546875" style="110" bestFit="1" customWidth="1"/>
    <col min="26" max="26" width="12.140625" style="110" bestFit="1" customWidth="1"/>
    <col min="27" max="27" width="20" style="110" bestFit="1" customWidth="1"/>
    <col min="28" max="28" width="15.5703125" style="110" bestFit="1" customWidth="1"/>
    <col min="29" max="29" width="12" style="10" bestFit="1" customWidth="1"/>
    <col min="30" max="30" width="13.28515625" style="10" bestFit="1" customWidth="1"/>
    <col min="31" max="16384" width="9.140625" style="10"/>
  </cols>
  <sheetData>
    <row r="1" spans="1:30" s="126" customFormat="1" ht="25.5" customHeight="1" thickBot="1" x14ac:dyDescent="0.25">
      <c r="A1" s="484" t="s">
        <v>145</v>
      </c>
      <c r="B1" s="147" t="s">
        <v>3</v>
      </c>
      <c r="C1" s="147" t="s">
        <v>99</v>
      </c>
      <c r="D1" s="147" t="s">
        <v>141</v>
      </c>
      <c r="E1" s="147" t="s">
        <v>160</v>
      </c>
      <c r="F1" s="147" t="s">
        <v>140</v>
      </c>
      <c r="G1" s="147" t="s">
        <v>15</v>
      </c>
      <c r="H1" s="147" t="s">
        <v>146</v>
      </c>
      <c r="I1" s="147" t="s">
        <v>73</v>
      </c>
      <c r="J1" s="147" t="s">
        <v>16</v>
      </c>
      <c r="K1" s="147" t="s">
        <v>17</v>
      </c>
      <c r="L1" s="147" t="s">
        <v>121</v>
      </c>
      <c r="M1" s="147" t="s">
        <v>142</v>
      </c>
      <c r="N1" s="147" t="s">
        <v>122</v>
      </c>
      <c r="O1" s="147" t="s">
        <v>82</v>
      </c>
      <c r="P1" s="148" t="s">
        <v>76</v>
      </c>
      <c r="Q1" s="147" t="s">
        <v>29</v>
      </c>
      <c r="R1" s="225" t="s">
        <v>30</v>
      </c>
      <c r="S1" s="485" t="s">
        <v>157</v>
      </c>
      <c r="T1" s="486" t="s">
        <v>5</v>
      </c>
      <c r="U1" s="126" t="s">
        <v>158</v>
      </c>
      <c r="V1" s="126" t="s">
        <v>159</v>
      </c>
      <c r="W1" s="126" t="s">
        <v>161</v>
      </c>
      <c r="X1" s="126" t="s">
        <v>162</v>
      </c>
      <c r="Y1" s="126" t="s">
        <v>163</v>
      </c>
      <c r="Z1" s="126" t="s">
        <v>164</v>
      </c>
      <c r="AA1" s="126" t="s">
        <v>165</v>
      </c>
      <c r="AB1" s="126" t="s">
        <v>166</v>
      </c>
      <c r="AC1" s="126" t="s">
        <v>167</v>
      </c>
      <c r="AD1" s="126" t="s">
        <v>168</v>
      </c>
    </row>
    <row r="2" spans="1:30" s="282" customFormat="1" x14ac:dyDescent="0.2">
      <c r="A2" s="487">
        <v>1</v>
      </c>
      <c r="B2" s="274">
        <v>41797</v>
      </c>
      <c r="C2" s="275">
        <v>1</v>
      </c>
      <c r="D2" s="276" t="s">
        <v>75</v>
      </c>
      <c r="E2" s="276" t="s">
        <v>306</v>
      </c>
      <c r="F2" s="276"/>
      <c r="G2" s="276"/>
      <c r="H2" s="276"/>
      <c r="I2" s="276"/>
      <c r="J2" s="276">
        <v>26</v>
      </c>
      <c r="K2" s="276" t="s">
        <v>364</v>
      </c>
      <c r="L2" s="277"/>
      <c r="M2" s="278"/>
      <c r="N2" s="279" t="s">
        <v>307</v>
      </c>
      <c r="O2" s="277" t="s">
        <v>555</v>
      </c>
      <c r="P2" s="280" t="s">
        <v>332</v>
      </c>
      <c r="Q2" s="280" t="s">
        <v>309</v>
      </c>
      <c r="R2" s="281" t="s">
        <v>331</v>
      </c>
      <c r="S2" s="488" t="str">
        <f t="shared" ref="S2" si="0">IF(IF(OR(L2=0,N2=0),"x",ROUND(N2-L2-(M2*24)/(24*60),10))&lt;0,0,IF(OR(L2=0,N2=0),"x",ROUND(N2-L2-(M2*24)/(24*60),10)))</f>
        <v>x</v>
      </c>
      <c r="T2" s="489" t="str">
        <f>IFERROR(VLOOKUP(F2,'Freq-Chan'!C:D,2,FALSE),"x")</f>
        <v>x</v>
      </c>
      <c r="U2" s="490" t="s">
        <v>541</v>
      </c>
      <c r="V2" s="487" t="str">
        <f>IF(OR(C2=1,C2=2,C2=3),"FWL","NRD")</f>
        <v>FWL</v>
      </c>
      <c r="W2" s="487" t="s">
        <v>541</v>
      </c>
      <c r="X2" s="487" t="s">
        <v>541</v>
      </c>
      <c r="Y2" s="487" t="str">
        <f>IFERROR(VLOOKUP(F2,'Freq-Chan'!C:E,3,FALSE),"na")</f>
        <v>na</v>
      </c>
      <c r="Z2" s="487" t="s">
        <v>541</v>
      </c>
      <c r="AA2" s="487" t="s">
        <v>541</v>
      </c>
      <c r="AB2" s="487" t="s">
        <v>541</v>
      </c>
      <c r="AC2" s="282" t="s">
        <v>541</v>
      </c>
      <c r="AD2" s="282" t="s">
        <v>541</v>
      </c>
    </row>
    <row r="3" spans="1:30" x14ac:dyDescent="0.2">
      <c r="A3" s="110">
        <v>2</v>
      </c>
      <c r="B3" s="132">
        <v>41801</v>
      </c>
      <c r="C3" s="117">
        <v>3</v>
      </c>
      <c r="D3" s="103" t="s">
        <v>2</v>
      </c>
      <c r="E3" s="103" t="s">
        <v>306</v>
      </c>
      <c r="F3" s="103">
        <v>725</v>
      </c>
      <c r="G3" s="103">
        <v>45</v>
      </c>
      <c r="H3" s="137" t="s">
        <v>511</v>
      </c>
      <c r="I3" s="103">
        <v>75</v>
      </c>
      <c r="K3" s="103" t="s">
        <v>365</v>
      </c>
      <c r="L3" s="133"/>
      <c r="M3" s="134">
        <v>6.1805555555555558E-2</v>
      </c>
      <c r="N3" s="135" t="s">
        <v>366</v>
      </c>
      <c r="O3" s="133" t="s">
        <v>371</v>
      </c>
      <c r="Q3" s="100" t="s">
        <v>348</v>
      </c>
      <c r="R3" s="226" t="s">
        <v>539</v>
      </c>
      <c r="S3" s="491" t="str">
        <f t="shared" ref="S3:S66" si="1">IF(IF(OR(L3=0,N3=0),"x",ROUND(N3-L3-(M3*24)/(24*60),10))&lt;0,0,IF(OR(L3=0,N3=0),"x",ROUND(N3-L3-(M3*24)/(24*60),10)))</f>
        <v>x</v>
      </c>
      <c r="T3" s="492">
        <f>IFERROR(VLOOKUP(F3,'Freq-Chan'!C:D,2,FALSE),"x")</f>
        <v>151.72499999999999</v>
      </c>
      <c r="U3" s="110" t="s">
        <v>541</v>
      </c>
      <c r="V3" s="110" t="str">
        <f t="shared" ref="V3:V66" si="2">IF(OR(C3=1,C3=2,C3=3),"FWL","NRD")</f>
        <v>FWL</v>
      </c>
      <c r="W3" s="110" t="s">
        <v>541</v>
      </c>
      <c r="X3" s="110" t="s">
        <v>541</v>
      </c>
      <c r="Y3" s="110" t="str">
        <f>IFERROR(VLOOKUP(F3,'Freq-Chan'!C:E,3,FALSE),"na")</f>
        <v>F1845</v>
      </c>
      <c r="Z3" s="110" t="s">
        <v>541</v>
      </c>
      <c r="AA3" s="110" t="s">
        <v>541</v>
      </c>
      <c r="AB3" s="110" t="s">
        <v>541</v>
      </c>
      <c r="AC3" s="10" t="s">
        <v>541</v>
      </c>
      <c r="AD3" s="10" t="s">
        <v>541</v>
      </c>
    </row>
    <row r="4" spans="1:30" x14ac:dyDescent="0.2">
      <c r="A4" s="110">
        <v>3</v>
      </c>
      <c r="B4" s="132">
        <v>41801</v>
      </c>
      <c r="C4" s="117">
        <v>3</v>
      </c>
      <c r="D4" s="103" t="s">
        <v>75</v>
      </c>
      <c r="E4" s="103" t="s">
        <v>306</v>
      </c>
      <c r="H4" s="103"/>
      <c r="J4" s="103">
        <v>37</v>
      </c>
      <c r="K4" s="103" t="s">
        <v>364</v>
      </c>
      <c r="L4" s="133"/>
      <c r="M4" s="134">
        <v>2.0833333333333332E-2</v>
      </c>
      <c r="N4" s="135" t="s">
        <v>367</v>
      </c>
      <c r="O4" s="133" t="s">
        <v>372</v>
      </c>
      <c r="Q4" s="100" t="s">
        <v>348</v>
      </c>
      <c r="R4" s="226" t="s">
        <v>539</v>
      </c>
      <c r="S4" s="491" t="str">
        <f t="shared" si="1"/>
        <v>x</v>
      </c>
      <c r="T4" s="492" t="str">
        <f>IFERROR(VLOOKUP(F4,'Freq-Chan'!C:D,2,FALSE),"x")</f>
        <v>x</v>
      </c>
      <c r="U4" s="110" t="s">
        <v>541</v>
      </c>
      <c r="V4" s="110" t="str">
        <f t="shared" si="2"/>
        <v>FWL</v>
      </c>
      <c r="W4" s="110" t="s">
        <v>541</v>
      </c>
      <c r="X4" s="110" t="s">
        <v>541</v>
      </c>
      <c r="Y4" s="110" t="str">
        <f>IFERROR(VLOOKUP(F4,'Freq-Chan'!C:E,3,FALSE),"na")</f>
        <v>na</v>
      </c>
      <c r="Z4" s="110" t="s">
        <v>541</v>
      </c>
      <c r="AA4" s="110" t="s">
        <v>541</v>
      </c>
      <c r="AB4" s="110" t="s">
        <v>541</v>
      </c>
      <c r="AC4" s="10" t="s">
        <v>541</v>
      </c>
      <c r="AD4" s="10" t="s">
        <v>541</v>
      </c>
    </row>
    <row r="5" spans="1:30" x14ac:dyDescent="0.2">
      <c r="A5" s="110">
        <v>4</v>
      </c>
      <c r="B5" s="132">
        <v>41801</v>
      </c>
      <c r="C5" s="117">
        <v>3</v>
      </c>
      <c r="D5" s="103" t="s">
        <v>2</v>
      </c>
      <c r="E5" s="103" t="s">
        <v>306</v>
      </c>
      <c r="F5" s="103">
        <v>684</v>
      </c>
      <c r="G5" s="103">
        <v>42</v>
      </c>
      <c r="H5" s="137" t="s">
        <v>512</v>
      </c>
      <c r="I5" s="103">
        <v>90</v>
      </c>
      <c r="K5" s="103" t="s">
        <v>365</v>
      </c>
      <c r="L5" s="133"/>
      <c r="M5" s="134">
        <v>5.1388888888888894E-2</v>
      </c>
      <c r="N5" s="135" t="s">
        <v>368</v>
      </c>
      <c r="O5" s="133" t="s">
        <v>373</v>
      </c>
      <c r="Q5" s="100" t="s">
        <v>348</v>
      </c>
      <c r="R5" s="226" t="s">
        <v>539</v>
      </c>
      <c r="S5" s="491" t="str">
        <f t="shared" si="1"/>
        <v>x</v>
      </c>
      <c r="T5" s="492">
        <f>IFERROR(VLOOKUP(F5,'Freq-Chan'!C:D,2,FALSE),"x")</f>
        <v>151.684</v>
      </c>
      <c r="U5" s="110" t="s">
        <v>541</v>
      </c>
      <c r="V5" s="110" t="str">
        <f t="shared" si="2"/>
        <v>FWL</v>
      </c>
      <c r="W5" s="110" t="s">
        <v>541</v>
      </c>
      <c r="X5" s="110" t="s">
        <v>541</v>
      </c>
      <c r="Y5" s="110" t="str">
        <f>IFERROR(VLOOKUP(F5,'Freq-Chan'!C:E,3,FALSE),"na")</f>
        <v>F1845</v>
      </c>
      <c r="Z5" s="110" t="s">
        <v>541</v>
      </c>
      <c r="AA5" s="110" t="s">
        <v>541</v>
      </c>
      <c r="AB5" s="110" t="s">
        <v>541</v>
      </c>
      <c r="AC5" s="10" t="s">
        <v>541</v>
      </c>
      <c r="AD5" s="10" t="s">
        <v>541</v>
      </c>
    </row>
    <row r="6" spans="1:30" x14ac:dyDescent="0.2">
      <c r="A6" s="110">
        <v>5</v>
      </c>
      <c r="B6" s="132">
        <v>41801</v>
      </c>
      <c r="C6" s="117">
        <v>3</v>
      </c>
      <c r="D6" s="103" t="s">
        <v>75</v>
      </c>
      <c r="E6" s="103" t="s">
        <v>306</v>
      </c>
      <c r="H6" s="103"/>
      <c r="J6" s="103">
        <v>26</v>
      </c>
      <c r="K6" s="103" t="s">
        <v>364</v>
      </c>
      <c r="L6" s="133"/>
      <c r="M6" s="134">
        <v>1.0416666666666666E-2</v>
      </c>
      <c r="N6" s="135" t="s">
        <v>369</v>
      </c>
      <c r="O6" s="133" t="s">
        <v>373</v>
      </c>
      <c r="Q6" s="100" t="s">
        <v>348</v>
      </c>
      <c r="R6" s="226" t="s">
        <v>539</v>
      </c>
      <c r="S6" s="491" t="str">
        <f t="shared" si="1"/>
        <v>x</v>
      </c>
      <c r="T6" s="492" t="str">
        <f>IFERROR(VLOOKUP(F6,'Freq-Chan'!C:D,2,FALSE),"x")</f>
        <v>x</v>
      </c>
      <c r="U6" s="110" t="s">
        <v>541</v>
      </c>
      <c r="V6" s="110" t="str">
        <f t="shared" si="2"/>
        <v>FWL</v>
      </c>
      <c r="W6" s="110" t="s">
        <v>541</v>
      </c>
      <c r="X6" s="110" t="s">
        <v>541</v>
      </c>
      <c r="Y6" s="110" t="str">
        <f>IFERROR(VLOOKUP(F6,'Freq-Chan'!C:E,3,FALSE),"na")</f>
        <v>na</v>
      </c>
      <c r="Z6" s="110" t="s">
        <v>541</v>
      </c>
      <c r="AA6" s="110" t="s">
        <v>541</v>
      </c>
      <c r="AB6" s="110" t="s">
        <v>541</v>
      </c>
      <c r="AC6" s="10" t="s">
        <v>541</v>
      </c>
      <c r="AD6" s="10" t="s">
        <v>541</v>
      </c>
    </row>
    <row r="7" spans="1:30" s="291" customFormat="1" x14ac:dyDescent="0.2">
      <c r="A7" s="493">
        <v>6</v>
      </c>
      <c r="B7" s="283">
        <v>41801</v>
      </c>
      <c r="C7" s="284">
        <v>3</v>
      </c>
      <c r="D7" s="285" t="s">
        <v>90</v>
      </c>
      <c r="E7" s="285" t="s">
        <v>306</v>
      </c>
      <c r="F7" s="285"/>
      <c r="G7" s="285"/>
      <c r="H7" s="285" t="s">
        <v>1719</v>
      </c>
      <c r="I7" s="285"/>
      <c r="J7" s="285">
        <v>26</v>
      </c>
      <c r="K7" s="285" t="s">
        <v>364</v>
      </c>
      <c r="L7" s="286"/>
      <c r="M7" s="287">
        <v>2.5694444444444447E-2</v>
      </c>
      <c r="N7" s="288" t="s">
        <v>370</v>
      </c>
      <c r="O7" s="286" t="s">
        <v>373</v>
      </c>
      <c r="P7" s="289" t="s">
        <v>374</v>
      </c>
      <c r="Q7" s="289" t="s">
        <v>348</v>
      </c>
      <c r="R7" s="290" t="s">
        <v>539</v>
      </c>
      <c r="S7" s="494" t="str">
        <f t="shared" si="1"/>
        <v>x</v>
      </c>
      <c r="T7" s="495" t="str">
        <f>IFERROR(VLOOKUP(F7,'Freq-Chan'!C:D,2,FALSE),"x")</f>
        <v>x</v>
      </c>
      <c r="U7" s="493" t="s">
        <v>541</v>
      </c>
      <c r="V7" s="493" t="str">
        <f t="shared" si="2"/>
        <v>FWL</v>
      </c>
      <c r="W7" s="493" t="s">
        <v>541</v>
      </c>
      <c r="X7" s="493" t="s">
        <v>541</v>
      </c>
      <c r="Y7" s="493" t="str">
        <f>IFERROR(VLOOKUP(F7,'Freq-Chan'!C:E,3,FALSE),"na")</f>
        <v>na</v>
      </c>
      <c r="Z7" s="493" t="s">
        <v>541</v>
      </c>
      <c r="AA7" s="493" t="s">
        <v>541</v>
      </c>
      <c r="AB7" s="493" t="s">
        <v>541</v>
      </c>
      <c r="AC7" s="291" t="s">
        <v>541</v>
      </c>
      <c r="AD7" s="291" t="s">
        <v>541</v>
      </c>
    </row>
    <row r="8" spans="1:30" s="309" customFormat="1" x14ac:dyDescent="0.2">
      <c r="A8" s="496">
        <v>7</v>
      </c>
      <c r="B8" s="302">
        <v>41802</v>
      </c>
      <c r="C8" s="303">
        <v>2</v>
      </c>
      <c r="D8" s="304" t="s">
        <v>2</v>
      </c>
      <c r="E8" s="304" t="s">
        <v>306</v>
      </c>
      <c r="F8" s="304">
        <v>684</v>
      </c>
      <c r="G8" s="304">
        <v>10</v>
      </c>
      <c r="H8" s="387" t="s">
        <v>514</v>
      </c>
      <c r="I8" s="304">
        <v>57</v>
      </c>
      <c r="J8" s="304"/>
      <c r="K8" s="304" t="s">
        <v>364</v>
      </c>
      <c r="L8" s="305"/>
      <c r="M8" s="306">
        <v>0.57638888888888895</v>
      </c>
      <c r="N8" s="307" t="s">
        <v>383</v>
      </c>
      <c r="O8" s="305" t="s">
        <v>801</v>
      </c>
      <c r="P8" s="308"/>
      <c r="Q8" s="308" t="s">
        <v>386</v>
      </c>
      <c r="R8" s="226" t="s">
        <v>539</v>
      </c>
      <c r="S8" s="497" t="str">
        <f t="shared" si="1"/>
        <v>x</v>
      </c>
      <c r="T8" s="498">
        <f>IFERROR(VLOOKUP(F8,'Freq-Chan'!C:D,2,FALSE),"x")</f>
        <v>151.684</v>
      </c>
      <c r="U8" s="496" t="s">
        <v>541</v>
      </c>
      <c r="V8" s="496" t="str">
        <f t="shared" si="2"/>
        <v>FWL</v>
      </c>
      <c r="W8" s="496" t="s">
        <v>541</v>
      </c>
      <c r="X8" s="496" t="s">
        <v>541</v>
      </c>
      <c r="Y8" s="496" t="str">
        <f>IFERROR(VLOOKUP(F8,'Freq-Chan'!C:E,3,FALSE),"na")</f>
        <v>F1845</v>
      </c>
      <c r="Z8" s="496" t="s">
        <v>541</v>
      </c>
      <c r="AA8" s="496" t="s">
        <v>541</v>
      </c>
      <c r="AB8" s="496" t="s">
        <v>541</v>
      </c>
      <c r="AC8" s="309" t="s">
        <v>541</v>
      </c>
      <c r="AD8" s="309" t="s">
        <v>541</v>
      </c>
    </row>
    <row r="9" spans="1:30" s="291" customFormat="1" x14ac:dyDescent="0.2">
      <c r="A9" s="493">
        <v>8</v>
      </c>
      <c r="B9" s="283">
        <v>41802</v>
      </c>
      <c r="C9" s="284">
        <v>2</v>
      </c>
      <c r="D9" s="285" t="s">
        <v>2</v>
      </c>
      <c r="E9" s="285" t="s">
        <v>306</v>
      </c>
      <c r="F9" s="285">
        <v>684</v>
      </c>
      <c r="G9" s="285">
        <v>35</v>
      </c>
      <c r="H9" s="339" t="s">
        <v>515</v>
      </c>
      <c r="I9" s="285">
        <v>63</v>
      </c>
      <c r="J9" s="285"/>
      <c r="K9" s="285" t="s">
        <v>364</v>
      </c>
      <c r="L9" s="286"/>
      <c r="M9" s="287">
        <v>0.59722222222222221</v>
      </c>
      <c r="N9" s="288" t="s">
        <v>384</v>
      </c>
      <c r="O9" s="286" t="s">
        <v>802</v>
      </c>
      <c r="P9" s="289" t="s">
        <v>385</v>
      </c>
      <c r="Q9" s="289" t="s">
        <v>386</v>
      </c>
      <c r="R9" s="290" t="s">
        <v>539</v>
      </c>
      <c r="S9" s="494" t="str">
        <f t="shared" si="1"/>
        <v>x</v>
      </c>
      <c r="T9" s="495">
        <f>IFERROR(VLOOKUP(F9,'Freq-Chan'!C:D,2,FALSE),"x")</f>
        <v>151.684</v>
      </c>
      <c r="U9" s="493" t="s">
        <v>541</v>
      </c>
      <c r="V9" s="493" t="str">
        <f t="shared" si="2"/>
        <v>FWL</v>
      </c>
      <c r="W9" s="493" t="s">
        <v>541</v>
      </c>
      <c r="X9" s="493" t="s">
        <v>541</v>
      </c>
      <c r="Y9" s="493" t="str">
        <f>IFERROR(VLOOKUP(F9,'Freq-Chan'!C:E,3,FALSE),"na")</f>
        <v>F1845</v>
      </c>
      <c r="Z9" s="493" t="s">
        <v>541</v>
      </c>
      <c r="AA9" s="493" t="s">
        <v>541</v>
      </c>
      <c r="AB9" s="493" t="s">
        <v>541</v>
      </c>
      <c r="AC9" s="291" t="s">
        <v>541</v>
      </c>
      <c r="AD9" s="291" t="s">
        <v>541</v>
      </c>
    </row>
    <row r="10" spans="1:30" s="291" customFormat="1" x14ac:dyDescent="0.2">
      <c r="A10" s="493">
        <v>9</v>
      </c>
      <c r="B10" s="283">
        <v>41802</v>
      </c>
      <c r="C10" s="284">
        <v>3</v>
      </c>
      <c r="D10" s="285" t="s">
        <v>88</v>
      </c>
      <c r="E10" s="285" t="s">
        <v>306</v>
      </c>
      <c r="F10" s="285"/>
      <c r="G10" s="285"/>
      <c r="H10" s="285"/>
      <c r="I10" s="285"/>
      <c r="J10" s="285">
        <v>29</v>
      </c>
      <c r="K10" s="285" t="s">
        <v>364</v>
      </c>
      <c r="L10" s="286"/>
      <c r="M10" s="287">
        <v>3.5416666666666666E-2</v>
      </c>
      <c r="N10" s="288" t="s">
        <v>375</v>
      </c>
      <c r="O10" s="286" t="s">
        <v>376</v>
      </c>
      <c r="P10" s="289"/>
      <c r="Q10" s="289" t="s">
        <v>377</v>
      </c>
      <c r="R10" s="301" t="s">
        <v>539</v>
      </c>
      <c r="S10" s="494" t="str">
        <f t="shared" si="1"/>
        <v>x</v>
      </c>
      <c r="T10" s="495" t="str">
        <f>IFERROR(VLOOKUP(F10,'Freq-Chan'!C:D,2,FALSE),"x")</f>
        <v>x</v>
      </c>
      <c r="U10" s="493" t="s">
        <v>541</v>
      </c>
      <c r="V10" s="493" t="str">
        <f t="shared" si="2"/>
        <v>FWL</v>
      </c>
      <c r="W10" s="493" t="s">
        <v>541</v>
      </c>
      <c r="X10" s="493" t="s">
        <v>541</v>
      </c>
      <c r="Y10" s="493" t="str">
        <f>IFERROR(VLOOKUP(F10,'Freq-Chan'!C:E,3,FALSE),"na")</f>
        <v>na</v>
      </c>
      <c r="Z10" s="493" t="s">
        <v>541</v>
      </c>
      <c r="AA10" s="493" t="s">
        <v>541</v>
      </c>
      <c r="AB10" s="493" t="s">
        <v>541</v>
      </c>
      <c r="AC10" s="291" t="s">
        <v>541</v>
      </c>
      <c r="AD10" s="291" t="s">
        <v>541</v>
      </c>
    </row>
    <row r="11" spans="1:30" s="314" customFormat="1" x14ac:dyDescent="0.2">
      <c r="A11" s="499">
        <v>10</v>
      </c>
      <c r="B11" s="294">
        <v>41803</v>
      </c>
      <c r="C11" s="295">
        <v>1</v>
      </c>
      <c r="D11" s="296" t="s">
        <v>2</v>
      </c>
      <c r="E11" s="296" t="s">
        <v>306</v>
      </c>
      <c r="F11" s="296">
        <v>684</v>
      </c>
      <c r="G11" s="296">
        <v>68</v>
      </c>
      <c r="H11" s="327" t="s">
        <v>516</v>
      </c>
      <c r="I11" s="296">
        <v>82</v>
      </c>
      <c r="J11" s="296"/>
      <c r="K11" s="296" t="s">
        <v>364</v>
      </c>
      <c r="L11" s="297"/>
      <c r="M11" s="298">
        <v>0.14861111111111111</v>
      </c>
      <c r="N11" s="299" t="s">
        <v>387</v>
      </c>
      <c r="O11" s="297" t="s">
        <v>801</v>
      </c>
      <c r="P11" s="300" t="s">
        <v>388</v>
      </c>
      <c r="Q11" s="300" t="s">
        <v>394</v>
      </c>
      <c r="R11" s="290" t="s">
        <v>539</v>
      </c>
      <c r="S11" s="500" t="str">
        <f t="shared" si="1"/>
        <v>x</v>
      </c>
      <c r="T11" s="501">
        <f>IFERROR(VLOOKUP(F11,'Freq-Chan'!C:D,2,FALSE),"x")</f>
        <v>151.684</v>
      </c>
      <c r="U11" s="499" t="s">
        <v>541</v>
      </c>
      <c r="V11" s="499" t="str">
        <f t="shared" si="2"/>
        <v>FWL</v>
      </c>
      <c r="W11" s="499" t="s">
        <v>541</v>
      </c>
      <c r="X11" s="499" t="s">
        <v>541</v>
      </c>
      <c r="Y11" s="499" t="str">
        <f>IFERROR(VLOOKUP(F11,'Freq-Chan'!C:E,3,FALSE),"na")</f>
        <v>F1845</v>
      </c>
      <c r="Z11" s="499" t="s">
        <v>541</v>
      </c>
      <c r="AA11" s="499" t="s">
        <v>541</v>
      </c>
      <c r="AB11" s="499" t="s">
        <v>541</v>
      </c>
      <c r="AC11" s="314" t="s">
        <v>541</v>
      </c>
      <c r="AD11" s="314" t="s">
        <v>541</v>
      </c>
    </row>
    <row r="12" spans="1:30" x14ac:dyDescent="0.2">
      <c r="A12" s="110">
        <v>11</v>
      </c>
      <c r="B12" s="132">
        <v>41803</v>
      </c>
      <c r="C12" s="117">
        <v>2</v>
      </c>
      <c r="D12" s="103" t="s">
        <v>2</v>
      </c>
      <c r="E12" s="103" t="s">
        <v>306</v>
      </c>
      <c r="F12" s="103">
        <v>684</v>
      </c>
      <c r="G12" s="103">
        <v>84</v>
      </c>
      <c r="H12" s="137" t="s">
        <v>517</v>
      </c>
      <c r="I12" s="103">
        <v>56</v>
      </c>
      <c r="K12" s="103" t="s">
        <v>364</v>
      </c>
      <c r="L12" s="133"/>
      <c r="M12" s="134">
        <v>5.7638888888888885E-2</v>
      </c>
      <c r="N12" s="135" t="s">
        <v>393</v>
      </c>
      <c r="O12" s="133" t="s">
        <v>376</v>
      </c>
      <c r="Q12" s="100" t="s">
        <v>394</v>
      </c>
      <c r="R12" s="226" t="s">
        <v>539</v>
      </c>
      <c r="S12" s="491" t="str">
        <f t="shared" si="1"/>
        <v>x</v>
      </c>
      <c r="T12" s="492">
        <f>IFERROR(VLOOKUP(F12,'Freq-Chan'!C:D,2,FALSE),"x")</f>
        <v>151.684</v>
      </c>
      <c r="U12" s="110" t="s">
        <v>541</v>
      </c>
      <c r="V12" s="110" t="str">
        <f t="shared" si="2"/>
        <v>FWL</v>
      </c>
      <c r="W12" s="110" t="s">
        <v>541</v>
      </c>
      <c r="X12" s="110" t="s">
        <v>541</v>
      </c>
      <c r="Y12" s="110" t="str">
        <f>IFERROR(VLOOKUP(F12,'Freq-Chan'!C:E,3,FALSE),"na")</f>
        <v>F1845</v>
      </c>
      <c r="Z12" s="110" t="s">
        <v>541</v>
      </c>
      <c r="AA12" s="110" t="s">
        <v>541</v>
      </c>
      <c r="AB12" s="110" t="s">
        <v>541</v>
      </c>
      <c r="AC12" s="10" t="s">
        <v>541</v>
      </c>
      <c r="AD12" s="10" t="s">
        <v>541</v>
      </c>
    </row>
    <row r="13" spans="1:30" x14ac:dyDescent="0.2">
      <c r="A13" s="110">
        <v>12</v>
      </c>
      <c r="B13" s="132">
        <v>41803</v>
      </c>
      <c r="C13" s="117">
        <v>2</v>
      </c>
      <c r="D13" s="103" t="s">
        <v>177</v>
      </c>
      <c r="E13" s="103" t="s">
        <v>0</v>
      </c>
      <c r="F13" s="103">
        <v>917</v>
      </c>
      <c r="G13" s="103">
        <v>91</v>
      </c>
      <c r="H13" s="137" t="s">
        <v>518</v>
      </c>
      <c r="I13" s="103">
        <v>40</v>
      </c>
      <c r="K13" s="103" t="s">
        <v>364</v>
      </c>
      <c r="L13" s="133"/>
      <c r="M13" s="134">
        <v>8.4027777777777771E-2</v>
      </c>
      <c r="N13" s="135" t="s">
        <v>392</v>
      </c>
      <c r="O13" s="133" t="s">
        <v>372</v>
      </c>
      <c r="Q13" s="100" t="s">
        <v>394</v>
      </c>
      <c r="R13" s="226" t="s">
        <v>539</v>
      </c>
      <c r="S13" s="491" t="str">
        <f t="shared" si="1"/>
        <v>x</v>
      </c>
      <c r="T13" s="492">
        <f>IFERROR(VLOOKUP(F13,'Freq-Chan'!C:D,2,FALSE),"x")</f>
        <v>151.917</v>
      </c>
      <c r="U13" s="110" t="s">
        <v>541</v>
      </c>
      <c r="V13" s="110" t="str">
        <f t="shared" si="2"/>
        <v>FWL</v>
      </c>
      <c r="W13" s="110" t="s">
        <v>541</v>
      </c>
      <c r="X13" s="110" t="s">
        <v>541</v>
      </c>
      <c r="Y13" s="110" t="str">
        <f>IFERROR(VLOOKUP(F13,'Freq-Chan'!C:E,3,FALSE),"na")</f>
        <v>F1835</v>
      </c>
      <c r="Z13" s="110" t="s">
        <v>541</v>
      </c>
      <c r="AA13" s="110" t="s">
        <v>541</v>
      </c>
      <c r="AB13" s="110" t="s">
        <v>541</v>
      </c>
      <c r="AC13" s="10" t="s">
        <v>541</v>
      </c>
      <c r="AD13" s="10" t="s">
        <v>541</v>
      </c>
    </row>
    <row r="14" spans="1:30" x14ac:dyDescent="0.2">
      <c r="A14" s="110">
        <v>13</v>
      </c>
      <c r="B14" s="132">
        <v>41803</v>
      </c>
      <c r="C14" s="117">
        <v>2</v>
      </c>
      <c r="D14" s="103" t="s">
        <v>2</v>
      </c>
      <c r="E14" s="103" t="s">
        <v>306</v>
      </c>
      <c r="F14" s="103">
        <v>684</v>
      </c>
      <c r="G14" s="103">
        <v>13</v>
      </c>
      <c r="H14" s="137" t="s">
        <v>519</v>
      </c>
      <c r="I14" s="103">
        <v>77</v>
      </c>
      <c r="K14" s="103" t="s">
        <v>365</v>
      </c>
      <c r="L14" s="133"/>
      <c r="M14" s="134">
        <v>3.6111111111111115E-2</v>
      </c>
      <c r="N14" s="135" t="s">
        <v>391</v>
      </c>
      <c r="O14" s="133" t="s">
        <v>372</v>
      </c>
      <c r="Q14" s="100" t="s">
        <v>394</v>
      </c>
      <c r="R14" s="226" t="s">
        <v>539</v>
      </c>
      <c r="S14" s="491" t="str">
        <f t="shared" si="1"/>
        <v>x</v>
      </c>
      <c r="T14" s="492">
        <f>IFERROR(VLOOKUP(F14,'Freq-Chan'!C:D,2,FALSE),"x")</f>
        <v>151.684</v>
      </c>
      <c r="U14" s="110" t="s">
        <v>541</v>
      </c>
      <c r="V14" s="110" t="str">
        <f t="shared" si="2"/>
        <v>FWL</v>
      </c>
      <c r="W14" s="110" t="s">
        <v>541</v>
      </c>
      <c r="X14" s="110" t="s">
        <v>541</v>
      </c>
      <c r="Y14" s="110" t="str">
        <f>IFERROR(VLOOKUP(F14,'Freq-Chan'!C:E,3,FALSE),"na")</f>
        <v>F1845</v>
      </c>
      <c r="Z14" s="110" t="s">
        <v>541</v>
      </c>
      <c r="AA14" s="110" t="s">
        <v>541</v>
      </c>
      <c r="AB14" s="110" t="s">
        <v>541</v>
      </c>
      <c r="AC14" s="10" t="s">
        <v>541</v>
      </c>
      <c r="AD14" s="10" t="s">
        <v>541</v>
      </c>
    </row>
    <row r="15" spans="1:30" s="291" customFormat="1" x14ac:dyDescent="0.2">
      <c r="A15" s="493">
        <v>14</v>
      </c>
      <c r="B15" s="283">
        <v>41803</v>
      </c>
      <c r="C15" s="284">
        <v>2</v>
      </c>
      <c r="D15" s="285" t="s">
        <v>2</v>
      </c>
      <c r="E15" s="285" t="s">
        <v>306</v>
      </c>
      <c r="F15" s="285">
        <v>725</v>
      </c>
      <c r="G15" s="285">
        <v>58</v>
      </c>
      <c r="H15" s="339" t="s">
        <v>520</v>
      </c>
      <c r="I15" s="285">
        <v>87</v>
      </c>
      <c r="J15" s="285"/>
      <c r="K15" s="285" t="s">
        <v>364</v>
      </c>
      <c r="L15" s="286"/>
      <c r="M15" s="287">
        <v>6.5277777777777782E-2</v>
      </c>
      <c r="N15" s="288" t="s">
        <v>390</v>
      </c>
      <c r="O15" s="286" t="s">
        <v>373</v>
      </c>
      <c r="P15" s="289"/>
      <c r="Q15" s="289" t="s">
        <v>394</v>
      </c>
      <c r="R15" s="290" t="s">
        <v>539</v>
      </c>
      <c r="S15" s="494" t="str">
        <f t="shared" si="1"/>
        <v>x</v>
      </c>
      <c r="T15" s="495">
        <f>IFERROR(VLOOKUP(F15,'Freq-Chan'!C:D,2,FALSE),"x")</f>
        <v>151.72499999999999</v>
      </c>
      <c r="U15" s="493" t="s">
        <v>541</v>
      </c>
      <c r="V15" s="493" t="str">
        <f t="shared" si="2"/>
        <v>FWL</v>
      </c>
      <c r="W15" s="493" t="s">
        <v>541</v>
      </c>
      <c r="X15" s="493" t="s">
        <v>541</v>
      </c>
      <c r="Y15" s="493" t="str">
        <f>IFERROR(VLOOKUP(F15,'Freq-Chan'!C:E,3,FALSE),"na")</f>
        <v>F1845</v>
      </c>
      <c r="Z15" s="493" t="s">
        <v>541</v>
      </c>
      <c r="AA15" s="493" t="s">
        <v>541</v>
      </c>
      <c r="AB15" s="493" t="s">
        <v>541</v>
      </c>
      <c r="AC15" s="291" t="s">
        <v>541</v>
      </c>
      <c r="AD15" s="291" t="s">
        <v>541</v>
      </c>
    </row>
    <row r="16" spans="1:30" x14ac:dyDescent="0.2">
      <c r="A16" s="110">
        <v>15</v>
      </c>
      <c r="B16" s="132">
        <v>41803</v>
      </c>
      <c r="C16" s="117">
        <v>3</v>
      </c>
      <c r="D16" s="103" t="s">
        <v>75</v>
      </c>
      <c r="E16" s="103" t="s">
        <v>306</v>
      </c>
      <c r="H16" s="103"/>
      <c r="J16" s="103">
        <v>24</v>
      </c>
      <c r="K16" s="103" t="s">
        <v>364</v>
      </c>
      <c r="L16" s="133"/>
      <c r="M16" s="134">
        <v>3.125E-2</v>
      </c>
      <c r="N16" s="135" t="s">
        <v>395</v>
      </c>
      <c r="O16" s="133" t="s">
        <v>801</v>
      </c>
      <c r="Q16" s="100" t="s">
        <v>397</v>
      </c>
      <c r="R16" s="226" t="s">
        <v>539</v>
      </c>
      <c r="S16" s="491" t="str">
        <f t="shared" si="1"/>
        <v>x</v>
      </c>
      <c r="T16" s="492" t="str">
        <f>IFERROR(VLOOKUP(F16,'Freq-Chan'!C:D,2,FALSE),"x")</f>
        <v>x</v>
      </c>
      <c r="U16" s="110" t="s">
        <v>541</v>
      </c>
      <c r="V16" s="110" t="str">
        <f t="shared" si="2"/>
        <v>FWL</v>
      </c>
      <c r="W16" s="110" t="s">
        <v>541</v>
      </c>
      <c r="X16" s="110" t="s">
        <v>541</v>
      </c>
      <c r="Y16" s="110" t="str">
        <f>IFERROR(VLOOKUP(F16,'Freq-Chan'!C:E,3,FALSE),"na")</f>
        <v>na</v>
      </c>
      <c r="Z16" s="110" t="s">
        <v>541</v>
      </c>
      <c r="AA16" s="110" t="s">
        <v>541</v>
      </c>
      <c r="AB16" s="110" t="s">
        <v>541</v>
      </c>
      <c r="AC16" s="10" t="s">
        <v>541</v>
      </c>
      <c r="AD16" s="10" t="s">
        <v>541</v>
      </c>
    </row>
    <row r="17" spans="1:30" s="291" customFormat="1" x14ac:dyDescent="0.2">
      <c r="A17" s="493">
        <v>16</v>
      </c>
      <c r="B17" s="283">
        <v>41803</v>
      </c>
      <c r="C17" s="284">
        <v>3</v>
      </c>
      <c r="D17" s="285" t="s">
        <v>2</v>
      </c>
      <c r="E17" s="285" t="s">
        <v>306</v>
      </c>
      <c r="F17" s="285">
        <v>684</v>
      </c>
      <c r="G17" s="285">
        <v>17</v>
      </c>
      <c r="H17" s="339" t="s">
        <v>521</v>
      </c>
      <c r="I17" s="285">
        <v>65</v>
      </c>
      <c r="J17" s="285"/>
      <c r="K17" s="285" t="s">
        <v>364</v>
      </c>
      <c r="L17" s="286"/>
      <c r="M17" s="287">
        <v>9.5833333333333326E-2</v>
      </c>
      <c r="N17" s="288" t="s">
        <v>396</v>
      </c>
      <c r="O17" s="286" t="s">
        <v>801</v>
      </c>
      <c r="P17" s="289" t="s">
        <v>557</v>
      </c>
      <c r="Q17" s="289" t="s">
        <v>397</v>
      </c>
      <c r="R17" s="290" t="s">
        <v>539</v>
      </c>
      <c r="S17" s="494" t="str">
        <f t="shared" si="1"/>
        <v>x</v>
      </c>
      <c r="T17" s="495">
        <f>IFERROR(VLOOKUP(F17,'Freq-Chan'!C:D,2,FALSE),"x")</f>
        <v>151.684</v>
      </c>
      <c r="U17" s="493" t="s">
        <v>541</v>
      </c>
      <c r="V17" s="493" t="str">
        <f t="shared" si="2"/>
        <v>FWL</v>
      </c>
      <c r="W17" s="493" t="s">
        <v>541</v>
      </c>
      <c r="X17" s="493" t="s">
        <v>541</v>
      </c>
      <c r="Y17" s="493" t="str">
        <f>IFERROR(VLOOKUP(F17,'Freq-Chan'!C:E,3,FALSE),"na")</f>
        <v>F1845</v>
      </c>
      <c r="Z17" s="493" t="s">
        <v>541</v>
      </c>
      <c r="AA17" s="493" t="s">
        <v>541</v>
      </c>
      <c r="AB17" s="493" t="s">
        <v>541</v>
      </c>
      <c r="AC17" s="291" t="s">
        <v>541</v>
      </c>
      <c r="AD17" s="291" t="s">
        <v>541</v>
      </c>
    </row>
    <row r="18" spans="1:30" x14ac:dyDescent="0.2">
      <c r="A18" s="110">
        <v>17</v>
      </c>
      <c r="B18" s="132">
        <v>41804</v>
      </c>
      <c r="C18" s="117">
        <v>1</v>
      </c>
      <c r="D18" s="103" t="s">
        <v>2</v>
      </c>
      <c r="E18" s="103" t="s">
        <v>306</v>
      </c>
      <c r="F18" s="103">
        <v>725</v>
      </c>
      <c r="G18" s="103">
        <v>57</v>
      </c>
      <c r="H18" s="137" t="s">
        <v>522</v>
      </c>
      <c r="I18" s="103">
        <v>70</v>
      </c>
      <c r="K18" s="103" t="s">
        <v>364</v>
      </c>
      <c r="L18" s="133"/>
      <c r="M18" s="134">
        <v>8.1250000000000003E-2</v>
      </c>
      <c r="N18" s="135" t="s">
        <v>496</v>
      </c>
      <c r="O18" s="133" t="s">
        <v>803</v>
      </c>
      <c r="Q18" s="100" t="s">
        <v>469</v>
      </c>
      <c r="R18" s="226" t="s">
        <v>532</v>
      </c>
      <c r="S18" s="491" t="str">
        <f t="shared" si="1"/>
        <v>x</v>
      </c>
      <c r="T18" s="492">
        <f>IFERROR(VLOOKUP(F18,'Freq-Chan'!C:D,2,FALSE),"x")</f>
        <v>151.72499999999999</v>
      </c>
      <c r="U18" s="110" t="s">
        <v>541</v>
      </c>
      <c r="V18" s="110" t="str">
        <f t="shared" si="2"/>
        <v>FWL</v>
      </c>
      <c r="W18" s="110" t="s">
        <v>541</v>
      </c>
      <c r="X18" s="110" t="s">
        <v>541</v>
      </c>
      <c r="Y18" s="110" t="str">
        <f>IFERROR(VLOOKUP(F18,'Freq-Chan'!C:E,3,FALSE),"na")</f>
        <v>F1845</v>
      </c>
      <c r="Z18" s="110" t="s">
        <v>541</v>
      </c>
      <c r="AA18" s="110" t="s">
        <v>541</v>
      </c>
      <c r="AB18" s="110" t="s">
        <v>541</v>
      </c>
      <c r="AC18" s="10" t="s">
        <v>541</v>
      </c>
      <c r="AD18" s="10" t="s">
        <v>541</v>
      </c>
    </row>
    <row r="19" spans="1:30" x14ac:dyDescent="0.2">
      <c r="A19" s="110">
        <v>18</v>
      </c>
      <c r="B19" s="132">
        <v>41804</v>
      </c>
      <c r="C19" s="117">
        <v>1</v>
      </c>
      <c r="D19" s="103" t="s">
        <v>75</v>
      </c>
      <c r="E19" s="103" t="s">
        <v>306</v>
      </c>
      <c r="H19" s="103"/>
      <c r="K19" s="103" t="s">
        <v>364</v>
      </c>
      <c r="L19" s="133"/>
      <c r="M19" s="134"/>
      <c r="N19" s="135" t="s">
        <v>497</v>
      </c>
      <c r="O19" s="133" t="s">
        <v>803</v>
      </c>
      <c r="P19" s="100" t="s">
        <v>498</v>
      </c>
      <c r="Q19" s="100" t="s">
        <v>469</v>
      </c>
      <c r="R19" s="226" t="s">
        <v>532</v>
      </c>
      <c r="S19" s="491" t="str">
        <f t="shared" si="1"/>
        <v>x</v>
      </c>
      <c r="T19" s="492" t="str">
        <f>IFERROR(VLOOKUP(F19,'Freq-Chan'!C:D,2,FALSE),"x")</f>
        <v>x</v>
      </c>
      <c r="U19" s="110" t="s">
        <v>541</v>
      </c>
      <c r="V19" s="110" t="str">
        <f t="shared" si="2"/>
        <v>FWL</v>
      </c>
      <c r="W19" s="110" t="s">
        <v>541</v>
      </c>
      <c r="X19" s="110" t="s">
        <v>541</v>
      </c>
      <c r="Y19" s="110" t="str">
        <f>IFERROR(VLOOKUP(F19,'Freq-Chan'!C:E,3,FALSE),"na")</f>
        <v>na</v>
      </c>
      <c r="Z19" s="110" t="s">
        <v>541</v>
      </c>
      <c r="AA19" s="110" t="s">
        <v>541</v>
      </c>
      <c r="AB19" s="110" t="s">
        <v>541</v>
      </c>
      <c r="AC19" s="10" t="s">
        <v>541</v>
      </c>
      <c r="AD19" s="10" t="s">
        <v>541</v>
      </c>
    </row>
    <row r="20" spans="1:30" x14ac:dyDescent="0.2">
      <c r="A20" s="110">
        <v>19</v>
      </c>
      <c r="B20" s="132">
        <v>41804</v>
      </c>
      <c r="C20" s="117">
        <v>1</v>
      </c>
      <c r="D20" s="103" t="s">
        <v>91</v>
      </c>
      <c r="E20" s="103" t="s">
        <v>306</v>
      </c>
      <c r="H20" s="103"/>
      <c r="J20" s="103">
        <v>34</v>
      </c>
      <c r="K20" s="103" t="s">
        <v>364</v>
      </c>
      <c r="L20" s="133">
        <v>0.55763888888888891</v>
      </c>
      <c r="M20" s="134">
        <v>1.3888888888888888E-2</v>
      </c>
      <c r="N20" s="135" t="s">
        <v>499</v>
      </c>
      <c r="O20" s="133" t="s">
        <v>373</v>
      </c>
      <c r="Q20" s="100" t="s">
        <v>469</v>
      </c>
      <c r="R20" s="226" t="s">
        <v>532</v>
      </c>
      <c r="S20" s="491">
        <f t="shared" si="1"/>
        <v>5.3240741000000003E-3</v>
      </c>
      <c r="T20" s="492" t="str">
        <f>IFERROR(VLOOKUP(F20,'Freq-Chan'!C:D,2,FALSE),"x")</f>
        <v>x</v>
      </c>
      <c r="U20" s="110" t="s">
        <v>541</v>
      </c>
      <c r="V20" s="110" t="str">
        <f t="shared" si="2"/>
        <v>FWL</v>
      </c>
      <c r="W20" s="110" t="s">
        <v>541</v>
      </c>
      <c r="X20" s="110" t="s">
        <v>541</v>
      </c>
      <c r="Y20" s="110" t="str">
        <f>IFERROR(VLOOKUP(F20,'Freq-Chan'!C:E,3,FALSE),"na")</f>
        <v>na</v>
      </c>
      <c r="Z20" s="110" t="s">
        <v>541</v>
      </c>
      <c r="AA20" s="110" t="s">
        <v>541</v>
      </c>
      <c r="AB20" s="110" t="s">
        <v>541</v>
      </c>
      <c r="AC20" s="10" t="s">
        <v>541</v>
      </c>
      <c r="AD20" s="10" t="s">
        <v>541</v>
      </c>
    </row>
    <row r="21" spans="1:30" s="291" customFormat="1" x14ac:dyDescent="0.2">
      <c r="A21" s="493">
        <v>20</v>
      </c>
      <c r="B21" s="283">
        <v>41804</v>
      </c>
      <c r="C21" s="284">
        <v>1</v>
      </c>
      <c r="D21" s="285" t="s">
        <v>2</v>
      </c>
      <c r="E21" s="285" t="s">
        <v>306</v>
      </c>
      <c r="F21" s="285"/>
      <c r="G21" s="285"/>
      <c r="H21" s="285"/>
      <c r="I21" s="285"/>
      <c r="J21" s="285"/>
      <c r="K21" s="285" t="s">
        <v>364</v>
      </c>
      <c r="L21" s="286"/>
      <c r="M21" s="287"/>
      <c r="N21" s="288"/>
      <c r="O21" s="286" t="s">
        <v>803</v>
      </c>
      <c r="P21" s="289" t="s">
        <v>500</v>
      </c>
      <c r="Q21" s="289" t="s">
        <v>533</v>
      </c>
      <c r="R21" s="290" t="s">
        <v>532</v>
      </c>
      <c r="S21" s="494" t="str">
        <f t="shared" si="1"/>
        <v>x</v>
      </c>
      <c r="T21" s="495" t="str">
        <f>IFERROR(VLOOKUP(F21,'Freq-Chan'!C:D,2,FALSE),"x")</f>
        <v>x</v>
      </c>
      <c r="U21" s="493" t="s">
        <v>541</v>
      </c>
      <c r="V21" s="493" t="str">
        <f t="shared" si="2"/>
        <v>FWL</v>
      </c>
      <c r="W21" s="493" t="s">
        <v>541</v>
      </c>
      <c r="X21" s="493" t="s">
        <v>541</v>
      </c>
      <c r="Y21" s="493" t="str">
        <f>IFERROR(VLOOKUP(F21,'Freq-Chan'!C:E,3,FALSE),"na")</f>
        <v>na</v>
      </c>
      <c r="Z21" s="493" t="s">
        <v>541</v>
      </c>
      <c r="AA21" s="493" t="s">
        <v>541</v>
      </c>
      <c r="AB21" s="493" t="s">
        <v>541</v>
      </c>
      <c r="AC21" s="291" t="s">
        <v>541</v>
      </c>
      <c r="AD21" s="291" t="s">
        <v>541</v>
      </c>
    </row>
    <row r="22" spans="1:30" x14ac:dyDescent="0.2">
      <c r="A22" s="110">
        <v>21</v>
      </c>
      <c r="B22" s="132">
        <v>41804</v>
      </c>
      <c r="C22" s="117">
        <v>2</v>
      </c>
      <c r="D22" s="103" t="s">
        <v>2</v>
      </c>
      <c r="E22" s="103" t="s">
        <v>306</v>
      </c>
      <c r="F22" s="103">
        <v>684</v>
      </c>
      <c r="G22" s="103">
        <v>80</v>
      </c>
      <c r="H22" s="137" t="s">
        <v>523</v>
      </c>
      <c r="I22" s="103">
        <v>76</v>
      </c>
      <c r="K22" s="103" t="s">
        <v>364</v>
      </c>
      <c r="L22" s="133"/>
      <c r="M22" s="134">
        <v>0.10347222222222223</v>
      </c>
      <c r="N22" s="135" t="s">
        <v>501</v>
      </c>
      <c r="O22" s="133" t="s">
        <v>802</v>
      </c>
      <c r="Q22" s="100" t="s">
        <v>534</v>
      </c>
      <c r="R22" s="226" t="s">
        <v>532</v>
      </c>
      <c r="S22" s="491" t="str">
        <f t="shared" si="1"/>
        <v>x</v>
      </c>
      <c r="T22" s="492">
        <f>IFERROR(VLOOKUP(F22,'Freq-Chan'!C:D,2,FALSE),"x")</f>
        <v>151.684</v>
      </c>
      <c r="U22" s="110" t="s">
        <v>541</v>
      </c>
      <c r="V22" s="110" t="str">
        <f t="shared" si="2"/>
        <v>FWL</v>
      </c>
      <c r="W22" s="110" t="s">
        <v>541</v>
      </c>
      <c r="X22" s="110" t="s">
        <v>541</v>
      </c>
      <c r="Y22" s="110" t="str">
        <f>IFERROR(VLOOKUP(F22,'Freq-Chan'!C:E,3,FALSE),"na")</f>
        <v>F1845</v>
      </c>
      <c r="Z22" s="110" t="s">
        <v>541</v>
      </c>
      <c r="AA22" s="110" t="s">
        <v>541</v>
      </c>
      <c r="AB22" s="110" t="s">
        <v>541</v>
      </c>
      <c r="AC22" s="10" t="s">
        <v>541</v>
      </c>
      <c r="AD22" s="10" t="s">
        <v>541</v>
      </c>
    </row>
    <row r="23" spans="1:30" x14ac:dyDescent="0.2">
      <c r="A23" s="110">
        <v>22</v>
      </c>
      <c r="B23" s="132">
        <v>41804</v>
      </c>
      <c r="C23" s="117">
        <v>2</v>
      </c>
      <c r="D23" s="103" t="s">
        <v>2</v>
      </c>
      <c r="E23" s="103" t="s">
        <v>306</v>
      </c>
      <c r="F23" s="103">
        <v>725</v>
      </c>
      <c r="G23" s="103">
        <v>54</v>
      </c>
      <c r="H23" s="137" t="s">
        <v>524</v>
      </c>
      <c r="I23" s="103">
        <v>80</v>
      </c>
      <c r="K23" s="103" t="s">
        <v>364</v>
      </c>
      <c r="L23" s="133"/>
      <c r="M23" s="134">
        <v>5.4166666666666669E-2</v>
      </c>
      <c r="N23" s="135" t="s">
        <v>502</v>
      </c>
      <c r="O23" s="133" t="s">
        <v>373</v>
      </c>
      <c r="Q23" s="100" t="s">
        <v>535</v>
      </c>
      <c r="R23" s="226" t="s">
        <v>532</v>
      </c>
      <c r="S23" s="491" t="str">
        <f t="shared" si="1"/>
        <v>x</v>
      </c>
      <c r="T23" s="492">
        <f>IFERROR(VLOOKUP(F23,'Freq-Chan'!C:D,2,FALSE),"x")</f>
        <v>151.72499999999999</v>
      </c>
      <c r="U23" s="110" t="s">
        <v>541</v>
      </c>
      <c r="V23" s="110" t="str">
        <f t="shared" si="2"/>
        <v>FWL</v>
      </c>
      <c r="W23" s="110" t="s">
        <v>541</v>
      </c>
      <c r="X23" s="110" t="s">
        <v>541</v>
      </c>
      <c r="Y23" s="110" t="str">
        <f>IFERROR(VLOOKUP(F23,'Freq-Chan'!C:E,3,FALSE),"na")</f>
        <v>F1845</v>
      </c>
      <c r="Z23" s="110" t="s">
        <v>541</v>
      </c>
      <c r="AA23" s="110" t="s">
        <v>541</v>
      </c>
      <c r="AB23" s="110" t="s">
        <v>541</v>
      </c>
      <c r="AC23" s="10" t="s">
        <v>541</v>
      </c>
      <c r="AD23" s="10" t="s">
        <v>541</v>
      </c>
    </row>
    <row r="24" spans="1:30" x14ac:dyDescent="0.2">
      <c r="A24" s="110">
        <v>23</v>
      </c>
      <c r="B24" s="132">
        <v>41804</v>
      </c>
      <c r="C24" s="117">
        <v>2</v>
      </c>
      <c r="D24" s="103" t="s">
        <v>2</v>
      </c>
      <c r="E24" s="103" t="s">
        <v>306</v>
      </c>
      <c r="F24" s="103">
        <v>684</v>
      </c>
      <c r="G24" s="103">
        <v>83</v>
      </c>
      <c r="H24" s="137" t="s">
        <v>525</v>
      </c>
      <c r="I24" s="103">
        <v>63</v>
      </c>
      <c r="K24" s="103" t="s">
        <v>364</v>
      </c>
      <c r="L24" s="133"/>
      <c r="M24" s="134">
        <v>6.3194444444444442E-2</v>
      </c>
      <c r="N24" s="135" t="s">
        <v>503</v>
      </c>
      <c r="O24" s="133" t="s">
        <v>376</v>
      </c>
      <c r="Q24" s="100" t="s">
        <v>536</v>
      </c>
      <c r="R24" s="226" t="s">
        <v>532</v>
      </c>
      <c r="S24" s="491" t="str">
        <f t="shared" si="1"/>
        <v>x</v>
      </c>
      <c r="T24" s="492">
        <f>IFERROR(VLOOKUP(F24,'Freq-Chan'!C:D,2,FALSE),"x")</f>
        <v>151.684</v>
      </c>
      <c r="U24" s="110" t="s">
        <v>541</v>
      </c>
      <c r="V24" s="110" t="str">
        <f t="shared" si="2"/>
        <v>FWL</v>
      </c>
      <c r="W24" s="110" t="s">
        <v>541</v>
      </c>
      <c r="X24" s="110" t="s">
        <v>541</v>
      </c>
      <c r="Y24" s="110" t="str">
        <f>IFERROR(VLOOKUP(F24,'Freq-Chan'!C:E,3,FALSE),"na")</f>
        <v>F1845</v>
      </c>
      <c r="Z24" s="110" t="s">
        <v>541</v>
      </c>
      <c r="AA24" s="110" t="s">
        <v>541</v>
      </c>
      <c r="AB24" s="110" t="s">
        <v>541</v>
      </c>
      <c r="AC24" s="10" t="s">
        <v>541</v>
      </c>
      <c r="AD24" s="10" t="s">
        <v>541</v>
      </c>
    </row>
    <row r="25" spans="1:30" x14ac:dyDescent="0.2">
      <c r="A25" s="110">
        <v>24</v>
      </c>
      <c r="B25" s="132">
        <v>41804</v>
      </c>
      <c r="C25" s="117">
        <v>2</v>
      </c>
      <c r="D25" s="103" t="s">
        <v>2</v>
      </c>
      <c r="E25" s="103" t="s">
        <v>306</v>
      </c>
      <c r="F25" s="103">
        <v>725</v>
      </c>
      <c r="G25" s="103">
        <v>35</v>
      </c>
      <c r="H25" s="137" t="s">
        <v>526</v>
      </c>
      <c r="I25" s="103">
        <v>93</v>
      </c>
      <c r="K25" s="103" t="s">
        <v>364</v>
      </c>
      <c r="L25" s="133"/>
      <c r="M25" s="134">
        <v>6.1805555555555558E-2</v>
      </c>
      <c r="N25" s="135" t="s">
        <v>504</v>
      </c>
      <c r="O25" s="133" t="s">
        <v>373</v>
      </c>
      <c r="Q25" s="100" t="s">
        <v>537</v>
      </c>
      <c r="R25" s="226" t="s">
        <v>532</v>
      </c>
      <c r="S25" s="491" t="str">
        <f t="shared" si="1"/>
        <v>x</v>
      </c>
      <c r="T25" s="492">
        <f>IFERROR(VLOOKUP(F25,'Freq-Chan'!C:D,2,FALSE),"x")</f>
        <v>151.72499999999999</v>
      </c>
      <c r="U25" s="110" t="s">
        <v>541</v>
      </c>
      <c r="V25" s="110" t="str">
        <f t="shared" si="2"/>
        <v>FWL</v>
      </c>
      <c r="W25" s="110" t="s">
        <v>541</v>
      </c>
      <c r="X25" s="110" t="s">
        <v>541</v>
      </c>
      <c r="Y25" s="110" t="str">
        <f>IFERROR(VLOOKUP(F25,'Freq-Chan'!C:E,3,FALSE),"na")</f>
        <v>F1845</v>
      </c>
      <c r="Z25" s="110" t="s">
        <v>541</v>
      </c>
      <c r="AA25" s="110" t="s">
        <v>541</v>
      </c>
      <c r="AB25" s="110" t="s">
        <v>541</v>
      </c>
      <c r="AC25" s="10" t="s">
        <v>541</v>
      </c>
      <c r="AD25" s="10" t="s">
        <v>541</v>
      </c>
    </row>
    <row r="26" spans="1:30" x14ac:dyDescent="0.2">
      <c r="A26" s="110">
        <v>25</v>
      </c>
      <c r="B26" s="132">
        <v>41804</v>
      </c>
      <c r="C26" s="117">
        <v>2</v>
      </c>
      <c r="D26" s="103" t="s">
        <v>2</v>
      </c>
      <c r="E26" s="103" t="s">
        <v>306</v>
      </c>
      <c r="F26" s="103">
        <v>725</v>
      </c>
      <c r="G26" s="103">
        <v>41</v>
      </c>
      <c r="H26" s="137" t="s">
        <v>527</v>
      </c>
      <c r="I26" s="103">
        <v>91</v>
      </c>
      <c r="K26" s="103" t="s">
        <v>365</v>
      </c>
      <c r="L26" s="133"/>
      <c r="M26" s="134">
        <v>4.1666666666666664E-2</v>
      </c>
      <c r="N26" s="135" t="s">
        <v>505</v>
      </c>
      <c r="O26" s="133" t="s">
        <v>371</v>
      </c>
      <c r="Q26" s="100" t="s">
        <v>538</v>
      </c>
      <c r="R26" s="226" t="s">
        <v>532</v>
      </c>
      <c r="S26" s="491" t="str">
        <f t="shared" si="1"/>
        <v>x</v>
      </c>
      <c r="T26" s="492">
        <f>IFERROR(VLOOKUP(F26,'Freq-Chan'!C:D,2,FALSE),"x")</f>
        <v>151.72499999999999</v>
      </c>
      <c r="U26" s="110" t="s">
        <v>541</v>
      </c>
      <c r="V26" s="110" t="str">
        <f t="shared" si="2"/>
        <v>FWL</v>
      </c>
      <c r="W26" s="110" t="s">
        <v>541</v>
      </c>
      <c r="X26" s="110" t="s">
        <v>541</v>
      </c>
      <c r="Y26" s="110" t="str">
        <f>IFERROR(VLOOKUP(F26,'Freq-Chan'!C:E,3,FALSE),"na")</f>
        <v>F1845</v>
      </c>
      <c r="Z26" s="110" t="s">
        <v>541</v>
      </c>
      <c r="AA26" s="110" t="s">
        <v>541</v>
      </c>
      <c r="AB26" s="110" t="s">
        <v>541</v>
      </c>
      <c r="AC26" s="10" t="s">
        <v>541</v>
      </c>
      <c r="AD26" s="10" t="s">
        <v>541</v>
      </c>
    </row>
    <row r="27" spans="1:30" s="291" customFormat="1" x14ac:dyDescent="0.2">
      <c r="A27" s="493">
        <v>26</v>
      </c>
      <c r="B27" s="283">
        <v>41804</v>
      </c>
      <c r="C27" s="284">
        <v>2</v>
      </c>
      <c r="D27" s="285" t="s">
        <v>2</v>
      </c>
      <c r="E27" s="285" t="s">
        <v>306</v>
      </c>
      <c r="F27" s="285">
        <v>725</v>
      </c>
      <c r="G27" s="285">
        <v>68</v>
      </c>
      <c r="H27" s="339" t="s">
        <v>528</v>
      </c>
      <c r="I27" s="285">
        <v>51</v>
      </c>
      <c r="J27" s="285"/>
      <c r="K27" s="285" t="s">
        <v>364</v>
      </c>
      <c r="L27" s="286"/>
      <c r="M27" s="287">
        <v>0.11180555555555556</v>
      </c>
      <c r="N27" s="288" t="s">
        <v>506</v>
      </c>
      <c r="O27" s="286" t="s">
        <v>371</v>
      </c>
      <c r="P27" s="289" t="s">
        <v>507</v>
      </c>
      <c r="Q27" s="289" t="s">
        <v>538</v>
      </c>
      <c r="R27" s="290" t="s">
        <v>532</v>
      </c>
      <c r="S27" s="494" t="str">
        <f t="shared" si="1"/>
        <v>x</v>
      </c>
      <c r="T27" s="495">
        <f>IFERROR(VLOOKUP(F27,'Freq-Chan'!C:D,2,FALSE),"x")</f>
        <v>151.72499999999999</v>
      </c>
      <c r="U27" s="493" t="s">
        <v>541</v>
      </c>
      <c r="V27" s="493" t="str">
        <f t="shared" si="2"/>
        <v>FWL</v>
      </c>
      <c r="W27" s="493" t="s">
        <v>541</v>
      </c>
      <c r="X27" s="493" t="s">
        <v>541</v>
      </c>
      <c r="Y27" s="493" t="str">
        <f>IFERROR(VLOOKUP(F27,'Freq-Chan'!C:E,3,FALSE),"na")</f>
        <v>F1845</v>
      </c>
      <c r="Z27" s="493" t="s">
        <v>541</v>
      </c>
      <c r="AA27" s="493" t="s">
        <v>541</v>
      </c>
      <c r="AB27" s="493" t="s">
        <v>541</v>
      </c>
      <c r="AC27" s="291" t="s">
        <v>541</v>
      </c>
      <c r="AD27" s="291" t="s">
        <v>541</v>
      </c>
    </row>
    <row r="28" spans="1:30" s="309" customFormat="1" x14ac:dyDescent="0.2">
      <c r="A28" s="496">
        <v>27</v>
      </c>
      <c r="B28" s="302">
        <v>41804</v>
      </c>
      <c r="C28" s="303">
        <v>3</v>
      </c>
      <c r="D28" s="304" t="s">
        <v>2</v>
      </c>
      <c r="E28" s="304" t="s">
        <v>306</v>
      </c>
      <c r="F28" s="304">
        <v>684</v>
      </c>
      <c r="G28" s="304">
        <v>54</v>
      </c>
      <c r="H28" s="387" t="s">
        <v>529</v>
      </c>
      <c r="I28" s="304">
        <v>78</v>
      </c>
      <c r="J28" s="304"/>
      <c r="K28" s="304" t="s">
        <v>364</v>
      </c>
      <c r="L28" s="305"/>
      <c r="M28" s="306">
        <v>6.9444444444444434E-2</v>
      </c>
      <c r="N28" s="307" t="s">
        <v>508</v>
      </c>
      <c r="O28" s="305" t="s">
        <v>802</v>
      </c>
      <c r="P28" s="308"/>
      <c r="Q28" s="308" t="s">
        <v>535</v>
      </c>
      <c r="R28" s="312" t="s">
        <v>532</v>
      </c>
      <c r="S28" s="497" t="str">
        <f t="shared" si="1"/>
        <v>x</v>
      </c>
      <c r="T28" s="498">
        <f>IFERROR(VLOOKUP(F28,'Freq-Chan'!C:D,2,FALSE),"x")</f>
        <v>151.684</v>
      </c>
      <c r="U28" s="496" t="s">
        <v>541</v>
      </c>
      <c r="V28" s="496" t="str">
        <f t="shared" si="2"/>
        <v>FWL</v>
      </c>
      <c r="W28" s="496" t="s">
        <v>541</v>
      </c>
      <c r="X28" s="496" t="s">
        <v>541</v>
      </c>
      <c r="Y28" s="496" t="str">
        <f>IFERROR(VLOOKUP(F28,'Freq-Chan'!C:E,3,FALSE),"na")</f>
        <v>F1845</v>
      </c>
      <c r="Z28" s="496" t="s">
        <v>541</v>
      </c>
      <c r="AA28" s="496" t="s">
        <v>541</v>
      </c>
      <c r="AB28" s="496" t="s">
        <v>541</v>
      </c>
      <c r="AC28" s="309" t="s">
        <v>541</v>
      </c>
      <c r="AD28" s="309" t="s">
        <v>541</v>
      </c>
    </row>
    <row r="29" spans="1:30" x14ac:dyDescent="0.2">
      <c r="A29" s="110">
        <v>28</v>
      </c>
      <c r="B29" s="132">
        <v>41804</v>
      </c>
      <c r="C29" s="117">
        <v>3</v>
      </c>
      <c r="D29" s="103" t="s">
        <v>2</v>
      </c>
      <c r="E29" s="103" t="s">
        <v>306</v>
      </c>
      <c r="F29" s="103">
        <v>725</v>
      </c>
      <c r="G29" s="103">
        <v>53</v>
      </c>
      <c r="H29" s="137" t="s">
        <v>530</v>
      </c>
      <c r="I29" s="103">
        <v>57</v>
      </c>
      <c r="K29" s="103" t="s">
        <v>364</v>
      </c>
      <c r="L29" s="133"/>
      <c r="M29" s="134">
        <v>6.7361111111111108E-2</v>
      </c>
      <c r="N29" s="135" t="s">
        <v>509</v>
      </c>
      <c r="O29" s="133" t="s">
        <v>373</v>
      </c>
      <c r="P29" s="100" t="s">
        <v>540</v>
      </c>
      <c r="Q29" s="100" t="s">
        <v>535</v>
      </c>
      <c r="R29" s="226" t="s">
        <v>532</v>
      </c>
      <c r="S29" s="491" t="str">
        <f t="shared" si="1"/>
        <v>x</v>
      </c>
      <c r="T29" s="492">
        <f>IFERROR(VLOOKUP(F29,'Freq-Chan'!C:D,2,FALSE),"x")</f>
        <v>151.72499999999999</v>
      </c>
      <c r="U29" s="110" t="s">
        <v>541</v>
      </c>
      <c r="V29" s="110" t="str">
        <f t="shared" si="2"/>
        <v>FWL</v>
      </c>
      <c r="W29" s="110" t="s">
        <v>541</v>
      </c>
      <c r="X29" s="110" t="s">
        <v>541</v>
      </c>
      <c r="Y29" s="110" t="str">
        <f>IFERROR(VLOOKUP(F29,'Freq-Chan'!C:E,3,FALSE),"na")</f>
        <v>F1845</v>
      </c>
      <c r="Z29" s="110" t="s">
        <v>541</v>
      </c>
      <c r="AA29" s="110" t="s">
        <v>541</v>
      </c>
      <c r="AB29" s="110" t="s">
        <v>541</v>
      </c>
      <c r="AC29" s="10" t="s">
        <v>541</v>
      </c>
      <c r="AD29" s="10" t="s">
        <v>541</v>
      </c>
    </row>
    <row r="30" spans="1:30" s="291" customFormat="1" x14ac:dyDescent="0.2">
      <c r="A30" s="493">
        <v>29</v>
      </c>
      <c r="B30" s="283">
        <v>41804</v>
      </c>
      <c r="C30" s="284">
        <v>3</v>
      </c>
      <c r="D30" s="285" t="s">
        <v>2</v>
      </c>
      <c r="E30" s="285" t="s">
        <v>306</v>
      </c>
      <c r="F30" s="285">
        <v>684</v>
      </c>
      <c r="G30" s="285">
        <v>36</v>
      </c>
      <c r="H30" s="339" t="s">
        <v>531</v>
      </c>
      <c r="I30" s="285">
        <v>79</v>
      </c>
      <c r="J30" s="285"/>
      <c r="K30" s="285" t="s">
        <v>365</v>
      </c>
      <c r="L30" s="286"/>
      <c r="M30" s="287">
        <v>4.8611111111111112E-2</v>
      </c>
      <c r="N30" s="288" t="s">
        <v>510</v>
      </c>
      <c r="O30" s="286" t="s">
        <v>371</v>
      </c>
      <c r="P30" s="289"/>
      <c r="Q30" s="289" t="s">
        <v>538</v>
      </c>
      <c r="R30" s="290" t="s">
        <v>532</v>
      </c>
      <c r="S30" s="494" t="str">
        <f t="shared" si="1"/>
        <v>x</v>
      </c>
      <c r="T30" s="495">
        <f>IFERROR(VLOOKUP(F30,'Freq-Chan'!C:D,2,FALSE),"x")</f>
        <v>151.684</v>
      </c>
      <c r="U30" s="493" t="s">
        <v>541</v>
      </c>
      <c r="V30" s="493" t="str">
        <f t="shared" si="2"/>
        <v>FWL</v>
      </c>
      <c r="W30" s="493" t="s">
        <v>541</v>
      </c>
      <c r="X30" s="493" t="s">
        <v>541</v>
      </c>
      <c r="Y30" s="493" t="str">
        <f>IFERROR(VLOOKUP(F30,'Freq-Chan'!C:E,3,FALSE),"na")</f>
        <v>F1845</v>
      </c>
      <c r="Z30" s="493" t="s">
        <v>541</v>
      </c>
      <c r="AA30" s="493" t="s">
        <v>541</v>
      </c>
      <c r="AB30" s="493" t="s">
        <v>541</v>
      </c>
      <c r="AC30" s="291" t="s">
        <v>541</v>
      </c>
      <c r="AD30" s="291" t="s">
        <v>541</v>
      </c>
    </row>
    <row r="31" spans="1:30" x14ac:dyDescent="0.2">
      <c r="A31" s="110">
        <v>30</v>
      </c>
      <c r="B31" s="132">
        <v>41805</v>
      </c>
      <c r="C31" s="117">
        <v>1</v>
      </c>
      <c r="D31" s="103" t="s">
        <v>75</v>
      </c>
      <c r="E31" s="103" t="s">
        <v>306</v>
      </c>
      <c r="H31" s="103"/>
      <c r="J31" s="103">
        <v>27</v>
      </c>
      <c r="K31" s="103" t="s">
        <v>364</v>
      </c>
      <c r="L31" s="133"/>
      <c r="M31" s="134">
        <v>4.1666666666666664E-2</v>
      </c>
      <c r="N31" s="135" t="s">
        <v>589</v>
      </c>
      <c r="O31" s="133" t="s">
        <v>376</v>
      </c>
      <c r="P31" s="100" t="s">
        <v>590</v>
      </c>
      <c r="Q31" s="100" t="s">
        <v>596</v>
      </c>
      <c r="R31" s="226" t="s">
        <v>559</v>
      </c>
      <c r="S31" s="491" t="str">
        <f t="shared" si="1"/>
        <v>x</v>
      </c>
      <c r="T31" s="492" t="str">
        <f>IFERROR(VLOOKUP(F31,'Freq-Chan'!C:D,2,FALSE),"x")</f>
        <v>x</v>
      </c>
      <c r="U31" s="110" t="s">
        <v>541</v>
      </c>
      <c r="V31" s="110" t="str">
        <f t="shared" si="2"/>
        <v>FWL</v>
      </c>
      <c r="W31" s="110" t="s">
        <v>541</v>
      </c>
      <c r="X31" s="110" t="s">
        <v>541</v>
      </c>
      <c r="Y31" s="110" t="str">
        <f>IFERROR(VLOOKUP(F31,'Freq-Chan'!C:E,3,FALSE),"na")</f>
        <v>na</v>
      </c>
      <c r="Z31" s="110" t="s">
        <v>541</v>
      </c>
      <c r="AA31" s="110" t="s">
        <v>541</v>
      </c>
      <c r="AB31" s="110" t="s">
        <v>541</v>
      </c>
      <c r="AC31" s="10" t="s">
        <v>541</v>
      </c>
      <c r="AD31" s="10" t="s">
        <v>541</v>
      </c>
    </row>
    <row r="32" spans="1:30" s="291" customFormat="1" x14ac:dyDescent="0.2">
      <c r="A32" s="493">
        <v>31</v>
      </c>
      <c r="B32" s="283">
        <v>41805</v>
      </c>
      <c r="C32" s="284">
        <v>1</v>
      </c>
      <c r="D32" s="285" t="s">
        <v>2</v>
      </c>
      <c r="E32" s="285" t="s">
        <v>306</v>
      </c>
      <c r="F32" s="285">
        <v>725</v>
      </c>
      <c r="G32" s="285">
        <v>60</v>
      </c>
      <c r="H32" s="339" t="s">
        <v>593</v>
      </c>
      <c r="I32" s="285">
        <v>54</v>
      </c>
      <c r="J32" s="285"/>
      <c r="K32" s="285" t="s">
        <v>364</v>
      </c>
      <c r="L32" s="286"/>
      <c r="M32" s="287">
        <v>0.13541666666666666</v>
      </c>
      <c r="N32" s="288" t="s">
        <v>591</v>
      </c>
      <c r="O32" s="286" t="s">
        <v>804</v>
      </c>
      <c r="P32" s="289"/>
      <c r="Q32" s="289" t="s">
        <v>596</v>
      </c>
      <c r="R32" s="290" t="s">
        <v>559</v>
      </c>
      <c r="S32" s="494" t="str">
        <f t="shared" si="1"/>
        <v>x</v>
      </c>
      <c r="T32" s="495">
        <f>IFERROR(VLOOKUP(F32,'Freq-Chan'!C:D,2,FALSE),"x")</f>
        <v>151.72499999999999</v>
      </c>
      <c r="U32" s="493" t="s">
        <v>541</v>
      </c>
      <c r="V32" s="493" t="str">
        <f t="shared" si="2"/>
        <v>FWL</v>
      </c>
      <c r="W32" s="493" t="s">
        <v>541</v>
      </c>
      <c r="X32" s="493" t="s">
        <v>541</v>
      </c>
      <c r="Y32" s="493" t="str">
        <f>IFERROR(VLOOKUP(F32,'Freq-Chan'!C:E,3,FALSE),"na")</f>
        <v>F1845</v>
      </c>
      <c r="Z32" s="493" t="s">
        <v>541</v>
      </c>
      <c r="AA32" s="493" t="s">
        <v>541</v>
      </c>
      <c r="AB32" s="493" t="s">
        <v>541</v>
      </c>
      <c r="AC32" s="291" t="s">
        <v>541</v>
      </c>
      <c r="AD32" s="291" t="s">
        <v>541</v>
      </c>
    </row>
    <row r="33" spans="1:30" x14ac:dyDescent="0.2">
      <c r="A33" s="110">
        <v>32</v>
      </c>
      <c r="B33" s="132">
        <v>41805</v>
      </c>
      <c r="C33" s="117">
        <v>2</v>
      </c>
      <c r="D33" s="103" t="s">
        <v>2</v>
      </c>
      <c r="E33" s="103" t="s">
        <v>306</v>
      </c>
      <c r="F33" s="103">
        <v>684</v>
      </c>
      <c r="G33" s="103">
        <v>92</v>
      </c>
      <c r="H33" s="137" t="s">
        <v>594</v>
      </c>
      <c r="I33" s="103">
        <v>81</v>
      </c>
      <c r="K33" s="103" t="s">
        <v>365</v>
      </c>
      <c r="L33" s="133"/>
      <c r="M33" s="134">
        <v>7.7083333333333337E-2</v>
      </c>
      <c r="N33" s="135" t="s">
        <v>367</v>
      </c>
      <c r="O33" s="133" t="s">
        <v>376</v>
      </c>
      <c r="Q33" s="100" t="s">
        <v>532</v>
      </c>
      <c r="R33" s="226" t="s">
        <v>559</v>
      </c>
      <c r="S33" s="491" t="str">
        <f t="shared" si="1"/>
        <v>x</v>
      </c>
      <c r="T33" s="492">
        <f>IFERROR(VLOOKUP(F33,'Freq-Chan'!C:D,2,FALSE),"x")</f>
        <v>151.684</v>
      </c>
      <c r="U33" s="110" t="s">
        <v>541</v>
      </c>
      <c r="V33" s="110" t="str">
        <f t="shared" si="2"/>
        <v>FWL</v>
      </c>
      <c r="W33" s="110" t="s">
        <v>541</v>
      </c>
      <c r="X33" s="110" t="s">
        <v>541</v>
      </c>
      <c r="Y33" s="110" t="str">
        <f>IFERROR(VLOOKUP(F33,'Freq-Chan'!C:E,3,FALSE),"na")</f>
        <v>F1845</v>
      </c>
      <c r="Z33" s="110" t="s">
        <v>541</v>
      </c>
      <c r="AA33" s="110" t="s">
        <v>541</v>
      </c>
      <c r="AB33" s="110" t="s">
        <v>541</v>
      </c>
      <c r="AC33" s="10" t="s">
        <v>541</v>
      </c>
      <c r="AD33" s="10" t="s">
        <v>541</v>
      </c>
    </row>
    <row r="34" spans="1:30" s="291" customFormat="1" x14ac:dyDescent="0.2">
      <c r="A34" s="493">
        <v>33</v>
      </c>
      <c r="B34" s="283">
        <v>41805</v>
      </c>
      <c r="C34" s="284">
        <v>2</v>
      </c>
      <c r="D34" s="285" t="s">
        <v>2</v>
      </c>
      <c r="E34" s="285" t="s">
        <v>306</v>
      </c>
      <c r="F34" s="285">
        <v>684</v>
      </c>
      <c r="G34" s="285">
        <v>90</v>
      </c>
      <c r="H34" s="339" t="s">
        <v>592</v>
      </c>
      <c r="I34" s="285">
        <v>63</v>
      </c>
      <c r="J34" s="285"/>
      <c r="K34" s="285" t="s">
        <v>364</v>
      </c>
      <c r="L34" s="286"/>
      <c r="M34" s="287">
        <v>0.12569444444444444</v>
      </c>
      <c r="N34" s="288" t="s">
        <v>595</v>
      </c>
      <c r="O34" s="286" t="s">
        <v>805</v>
      </c>
      <c r="P34" s="289"/>
      <c r="Q34" s="289" t="s">
        <v>532</v>
      </c>
      <c r="R34" s="290" t="s">
        <v>559</v>
      </c>
      <c r="S34" s="494" t="str">
        <f t="shared" si="1"/>
        <v>x</v>
      </c>
      <c r="T34" s="495">
        <f>IFERROR(VLOOKUP(F34,'Freq-Chan'!C:D,2,FALSE),"x")</f>
        <v>151.684</v>
      </c>
      <c r="U34" s="493" t="s">
        <v>541</v>
      </c>
      <c r="V34" s="493" t="str">
        <f t="shared" si="2"/>
        <v>FWL</v>
      </c>
      <c r="W34" s="493" t="s">
        <v>541</v>
      </c>
      <c r="X34" s="493" t="s">
        <v>541</v>
      </c>
      <c r="Y34" s="493" t="str">
        <f>IFERROR(VLOOKUP(F34,'Freq-Chan'!C:E,3,FALSE),"na")</f>
        <v>F1845</v>
      </c>
      <c r="Z34" s="493" t="s">
        <v>541</v>
      </c>
      <c r="AA34" s="493" t="s">
        <v>541</v>
      </c>
      <c r="AB34" s="493" t="s">
        <v>541</v>
      </c>
      <c r="AC34" s="291" t="s">
        <v>541</v>
      </c>
      <c r="AD34" s="291" t="s">
        <v>541</v>
      </c>
    </row>
    <row r="35" spans="1:30" x14ac:dyDescent="0.2">
      <c r="A35" s="110">
        <v>34</v>
      </c>
      <c r="B35" s="132">
        <v>41806</v>
      </c>
      <c r="C35" s="117">
        <v>1</v>
      </c>
      <c r="D35" s="103" t="s">
        <v>2</v>
      </c>
      <c r="E35" s="103" t="s">
        <v>306</v>
      </c>
      <c r="F35" s="103">
        <v>684</v>
      </c>
      <c r="G35" s="103">
        <v>31</v>
      </c>
      <c r="H35" s="137" t="s">
        <v>632</v>
      </c>
      <c r="I35" s="103">
        <v>56</v>
      </c>
      <c r="K35" s="103" t="s">
        <v>364</v>
      </c>
      <c r="L35" s="133"/>
      <c r="M35" s="134">
        <v>7.4305555555555555E-2</v>
      </c>
      <c r="N35" s="135" t="s">
        <v>638</v>
      </c>
      <c r="O35" s="133" t="s">
        <v>804</v>
      </c>
      <c r="Q35" s="100" t="s">
        <v>648</v>
      </c>
      <c r="R35" s="226" t="s">
        <v>600</v>
      </c>
      <c r="S35" s="491" t="str">
        <f t="shared" si="1"/>
        <v>x</v>
      </c>
      <c r="T35" s="492">
        <f>IFERROR(VLOOKUP(F35,'Freq-Chan'!C:D,2,FALSE),"x")</f>
        <v>151.684</v>
      </c>
      <c r="U35" s="110" t="s">
        <v>541</v>
      </c>
      <c r="V35" s="110" t="str">
        <f t="shared" si="2"/>
        <v>FWL</v>
      </c>
      <c r="W35" s="110" t="s">
        <v>541</v>
      </c>
      <c r="X35" s="110" t="s">
        <v>541</v>
      </c>
      <c r="Y35" s="110" t="str">
        <f>IFERROR(VLOOKUP(F35,'Freq-Chan'!C:E,3,FALSE),"na")</f>
        <v>F1845</v>
      </c>
      <c r="Z35" s="110" t="s">
        <v>541</v>
      </c>
      <c r="AA35" s="110" t="s">
        <v>541</v>
      </c>
      <c r="AB35" s="110" t="s">
        <v>541</v>
      </c>
      <c r="AC35" s="10" t="s">
        <v>541</v>
      </c>
      <c r="AD35" s="10" t="s">
        <v>541</v>
      </c>
    </row>
    <row r="36" spans="1:30" x14ac:dyDescent="0.2">
      <c r="A36" s="110">
        <v>35</v>
      </c>
      <c r="B36" s="132">
        <v>41806</v>
      </c>
      <c r="C36" s="117">
        <v>1</v>
      </c>
      <c r="D36" s="103" t="s">
        <v>2</v>
      </c>
      <c r="E36" s="103" t="s">
        <v>306</v>
      </c>
      <c r="F36" s="103">
        <v>684</v>
      </c>
      <c r="G36" s="103">
        <v>33</v>
      </c>
      <c r="H36" s="137" t="s">
        <v>633</v>
      </c>
      <c r="I36" s="103">
        <v>98</v>
      </c>
      <c r="K36" s="103" t="s">
        <v>364</v>
      </c>
      <c r="L36" s="133"/>
      <c r="M36" s="134">
        <v>0.12986111111111112</v>
      </c>
      <c r="N36" s="135" t="s">
        <v>639</v>
      </c>
      <c r="O36" s="133" t="s">
        <v>376</v>
      </c>
      <c r="P36" s="100" t="s">
        <v>644</v>
      </c>
      <c r="Q36" s="100" t="s">
        <v>648</v>
      </c>
      <c r="R36" s="226" t="s">
        <v>600</v>
      </c>
      <c r="S36" s="491" t="str">
        <f t="shared" si="1"/>
        <v>x</v>
      </c>
      <c r="T36" s="492">
        <f>IFERROR(VLOOKUP(F36,'Freq-Chan'!C:D,2,FALSE),"x")</f>
        <v>151.684</v>
      </c>
      <c r="U36" s="110" t="s">
        <v>541</v>
      </c>
      <c r="V36" s="110" t="str">
        <f t="shared" si="2"/>
        <v>FWL</v>
      </c>
      <c r="W36" s="110" t="s">
        <v>541</v>
      </c>
      <c r="X36" s="110" t="s">
        <v>541</v>
      </c>
      <c r="Y36" s="110" t="str">
        <f>IFERROR(VLOOKUP(F36,'Freq-Chan'!C:E,3,FALSE),"na")</f>
        <v>F1845</v>
      </c>
      <c r="Z36" s="110" t="s">
        <v>541</v>
      </c>
      <c r="AA36" s="110" t="s">
        <v>541</v>
      </c>
      <c r="AB36" s="110" t="s">
        <v>541</v>
      </c>
      <c r="AC36" s="10" t="s">
        <v>541</v>
      </c>
      <c r="AD36" s="10" t="s">
        <v>541</v>
      </c>
    </row>
    <row r="37" spans="1:30" x14ac:dyDescent="0.2">
      <c r="A37" s="110">
        <v>36</v>
      </c>
      <c r="B37" s="132">
        <v>41806</v>
      </c>
      <c r="C37" s="117">
        <v>1</v>
      </c>
      <c r="D37" s="103" t="s">
        <v>2</v>
      </c>
      <c r="E37" s="103" t="s">
        <v>306</v>
      </c>
      <c r="F37" s="103">
        <v>725</v>
      </c>
      <c r="G37" s="103">
        <v>23</v>
      </c>
      <c r="H37" s="137" t="s">
        <v>634</v>
      </c>
      <c r="I37" s="103">
        <v>64</v>
      </c>
      <c r="K37" s="103" t="s">
        <v>364</v>
      </c>
      <c r="L37" s="133"/>
      <c r="M37" s="134">
        <v>7.0833333333333331E-2</v>
      </c>
      <c r="N37" s="135" t="s">
        <v>640</v>
      </c>
      <c r="O37" s="133" t="s">
        <v>804</v>
      </c>
      <c r="P37" s="100" t="s">
        <v>645</v>
      </c>
      <c r="Q37" s="100" t="s">
        <v>648</v>
      </c>
      <c r="R37" s="226" t="s">
        <v>600</v>
      </c>
      <c r="S37" s="491" t="str">
        <f t="shared" si="1"/>
        <v>x</v>
      </c>
      <c r="T37" s="492">
        <f>IFERROR(VLOOKUP(F37,'Freq-Chan'!C:D,2,FALSE),"x")</f>
        <v>151.72499999999999</v>
      </c>
      <c r="U37" s="110" t="s">
        <v>541</v>
      </c>
      <c r="V37" s="110" t="str">
        <f t="shared" si="2"/>
        <v>FWL</v>
      </c>
      <c r="W37" s="110" t="s">
        <v>541</v>
      </c>
      <c r="X37" s="110" t="s">
        <v>541</v>
      </c>
      <c r="Y37" s="110" t="str">
        <f>IFERROR(VLOOKUP(F37,'Freq-Chan'!C:E,3,FALSE),"na")</f>
        <v>F1845</v>
      </c>
      <c r="Z37" s="110" t="s">
        <v>541</v>
      </c>
      <c r="AA37" s="110" t="s">
        <v>541</v>
      </c>
      <c r="AB37" s="110" t="s">
        <v>541</v>
      </c>
      <c r="AC37" s="10" t="s">
        <v>541</v>
      </c>
      <c r="AD37" s="10" t="s">
        <v>541</v>
      </c>
    </row>
    <row r="38" spans="1:30" x14ac:dyDescent="0.2">
      <c r="A38" s="110">
        <v>37</v>
      </c>
      <c r="B38" s="132">
        <v>41807</v>
      </c>
      <c r="C38" s="117">
        <v>1</v>
      </c>
      <c r="D38" s="103" t="s">
        <v>2</v>
      </c>
      <c r="E38" s="103" t="s">
        <v>306</v>
      </c>
      <c r="F38" s="103">
        <v>725</v>
      </c>
      <c r="G38" s="103">
        <v>76</v>
      </c>
      <c r="H38" s="137" t="s">
        <v>635</v>
      </c>
      <c r="I38" s="103">
        <v>58</v>
      </c>
      <c r="K38" s="103" t="s">
        <v>364</v>
      </c>
      <c r="L38" s="133"/>
      <c r="M38" s="134">
        <v>6.3888888888888884E-2</v>
      </c>
      <c r="N38" s="135" t="s">
        <v>641</v>
      </c>
      <c r="O38" s="133" t="s">
        <v>802</v>
      </c>
      <c r="Q38" s="100" t="s">
        <v>648</v>
      </c>
      <c r="R38" s="226" t="s">
        <v>600</v>
      </c>
      <c r="S38" s="491" t="str">
        <f t="shared" si="1"/>
        <v>x</v>
      </c>
      <c r="T38" s="492">
        <f>IFERROR(VLOOKUP(F38,'Freq-Chan'!C:D,2,FALSE),"x")</f>
        <v>151.72499999999999</v>
      </c>
      <c r="U38" s="110" t="s">
        <v>541</v>
      </c>
      <c r="V38" s="110" t="str">
        <f t="shared" si="2"/>
        <v>FWL</v>
      </c>
      <c r="W38" s="110" t="s">
        <v>541</v>
      </c>
      <c r="X38" s="110" t="s">
        <v>541</v>
      </c>
      <c r="Y38" s="110" t="str">
        <f>IFERROR(VLOOKUP(F38,'Freq-Chan'!C:E,3,FALSE),"na")</f>
        <v>F1845</v>
      </c>
      <c r="Z38" s="110" t="s">
        <v>541</v>
      </c>
      <c r="AA38" s="110" t="s">
        <v>541</v>
      </c>
      <c r="AB38" s="110" t="s">
        <v>541</v>
      </c>
      <c r="AC38" s="10" t="s">
        <v>541</v>
      </c>
      <c r="AD38" s="10" t="s">
        <v>541</v>
      </c>
    </row>
    <row r="39" spans="1:30" x14ac:dyDescent="0.2">
      <c r="A39" s="110">
        <v>38</v>
      </c>
      <c r="B39" s="132">
        <v>41807</v>
      </c>
      <c r="C39" s="117">
        <v>1</v>
      </c>
      <c r="D39" s="103" t="s">
        <v>2</v>
      </c>
      <c r="E39" s="103" t="s">
        <v>306</v>
      </c>
      <c r="F39" s="103">
        <v>684</v>
      </c>
      <c r="G39" s="103">
        <v>67</v>
      </c>
      <c r="H39" s="137" t="s">
        <v>636</v>
      </c>
      <c r="I39" s="103">
        <v>59</v>
      </c>
      <c r="K39" s="103" t="s">
        <v>364</v>
      </c>
      <c r="L39" s="133"/>
      <c r="M39" s="134">
        <v>7.5694444444444439E-2</v>
      </c>
      <c r="N39" s="135" t="s">
        <v>642</v>
      </c>
      <c r="O39" s="133" t="s">
        <v>805</v>
      </c>
      <c r="Q39" s="100" t="s">
        <v>648</v>
      </c>
      <c r="R39" s="226" t="s">
        <v>600</v>
      </c>
      <c r="S39" s="491" t="str">
        <f t="shared" si="1"/>
        <v>x</v>
      </c>
      <c r="T39" s="492">
        <f>IFERROR(VLOOKUP(F39,'Freq-Chan'!C:D,2,FALSE),"x")</f>
        <v>151.684</v>
      </c>
      <c r="U39" s="110" t="s">
        <v>541</v>
      </c>
      <c r="V39" s="110" t="str">
        <f t="shared" si="2"/>
        <v>FWL</v>
      </c>
      <c r="W39" s="110" t="s">
        <v>541</v>
      </c>
      <c r="X39" s="110" t="s">
        <v>541</v>
      </c>
      <c r="Y39" s="110" t="str">
        <f>IFERROR(VLOOKUP(F39,'Freq-Chan'!C:E,3,FALSE),"na")</f>
        <v>F1845</v>
      </c>
      <c r="Z39" s="110" t="s">
        <v>541</v>
      </c>
      <c r="AA39" s="110" t="s">
        <v>541</v>
      </c>
      <c r="AB39" s="110" t="s">
        <v>541</v>
      </c>
      <c r="AC39" s="10" t="s">
        <v>541</v>
      </c>
      <c r="AD39" s="10" t="s">
        <v>541</v>
      </c>
    </row>
    <row r="40" spans="1:30" s="291" customFormat="1" x14ac:dyDescent="0.2">
      <c r="A40" s="493">
        <v>39</v>
      </c>
      <c r="B40" s="283">
        <v>41807</v>
      </c>
      <c r="C40" s="284">
        <v>1</v>
      </c>
      <c r="D40" s="285" t="s">
        <v>2</v>
      </c>
      <c r="E40" s="285" t="s">
        <v>306</v>
      </c>
      <c r="F40" s="285">
        <v>684</v>
      </c>
      <c r="G40" s="285">
        <v>20</v>
      </c>
      <c r="H40" s="339" t="s">
        <v>637</v>
      </c>
      <c r="I40" s="285">
        <v>62</v>
      </c>
      <c r="J40" s="285"/>
      <c r="K40" s="285" t="s">
        <v>364</v>
      </c>
      <c r="L40" s="286"/>
      <c r="M40" s="287">
        <v>9.4444444444444442E-2</v>
      </c>
      <c r="N40" s="288" t="s">
        <v>643</v>
      </c>
      <c r="O40" s="286" t="s">
        <v>805</v>
      </c>
      <c r="P40" s="289"/>
      <c r="Q40" s="289" t="s">
        <v>648</v>
      </c>
      <c r="R40" s="290" t="s">
        <v>600</v>
      </c>
      <c r="S40" s="494" t="str">
        <f t="shared" si="1"/>
        <v>x</v>
      </c>
      <c r="T40" s="495">
        <f>IFERROR(VLOOKUP(F40,'Freq-Chan'!C:D,2,FALSE),"x")</f>
        <v>151.684</v>
      </c>
      <c r="U40" s="493" t="s">
        <v>541</v>
      </c>
      <c r="V40" s="493" t="str">
        <f t="shared" si="2"/>
        <v>FWL</v>
      </c>
      <c r="W40" s="493" t="s">
        <v>541</v>
      </c>
      <c r="X40" s="493" t="s">
        <v>541</v>
      </c>
      <c r="Y40" s="493" t="str">
        <f>IFERROR(VLOOKUP(F40,'Freq-Chan'!C:E,3,FALSE),"na")</f>
        <v>F1845</v>
      </c>
      <c r="Z40" s="493" t="s">
        <v>541</v>
      </c>
      <c r="AA40" s="493" t="s">
        <v>541</v>
      </c>
      <c r="AB40" s="493" t="s">
        <v>541</v>
      </c>
      <c r="AC40" s="291" t="s">
        <v>541</v>
      </c>
      <c r="AD40" s="291" t="s">
        <v>541</v>
      </c>
    </row>
    <row r="41" spans="1:30" s="314" customFormat="1" x14ac:dyDescent="0.2">
      <c r="A41" s="499">
        <v>40</v>
      </c>
      <c r="B41" s="294">
        <v>41806</v>
      </c>
      <c r="C41" s="295">
        <v>2</v>
      </c>
      <c r="D41" s="296" t="s">
        <v>2</v>
      </c>
      <c r="E41" s="296" t="s">
        <v>306</v>
      </c>
      <c r="F41" s="296">
        <v>725</v>
      </c>
      <c r="G41" s="296">
        <v>64</v>
      </c>
      <c r="H41" s="327" t="s">
        <v>646</v>
      </c>
      <c r="I41" s="296">
        <v>68</v>
      </c>
      <c r="J41" s="296"/>
      <c r="K41" s="296" t="s">
        <v>364</v>
      </c>
      <c r="L41" s="297"/>
      <c r="M41" s="298">
        <v>8.6805555555555566E-2</v>
      </c>
      <c r="N41" s="299" t="s">
        <v>647</v>
      </c>
      <c r="O41" s="297" t="s">
        <v>376</v>
      </c>
      <c r="P41" s="300"/>
      <c r="Q41" s="300" t="s">
        <v>648</v>
      </c>
      <c r="R41" s="301" t="s">
        <v>600</v>
      </c>
      <c r="S41" s="500" t="str">
        <f t="shared" si="1"/>
        <v>x</v>
      </c>
      <c r="T41" s="501">
        <f>IFERROR(VLOOKUP(F41,'Freq-Chan'!C:D,2,FALSE),"x")</f>
        <v>151.72499999999999</v>
      </c>
      <c r="U41" s="499" t="s">
        <v>541</v>
      </c>
      <c r="V41" s="499" t="str">
        <f t="shared" si="2"/>
        <v>FWL</v>
      </c>
      <c r="W41" s="499" t="s">
        <v>541</v>
      </c>
      <c r="X41" s="499" t="s">
        <v>541</v>
      </c>
      <c r="Y41" s="499" t="str">
        <f>IFERROR(VLOOKUP(F41,'Freq-Chan'!C:E,3,FALSE),"na")</f>
        <v>F1845</v>
      </c>
      <c r="Z41" s="499" t="s">
        <v>541</v>
      </c>
      <c r="AA41" s="499" t="s">
        <v>541</v>
      </c>
      <c r="AB41" s="499" t="s">
        <v>541</v>
      </c>
      <c r="AC41" s="314" t="s">
        <v>541</v>
      </c>
      <c r="AD41" s="314" t="s">
        <v>541</v>
      </c>
    </row>
    <row r="42" spans="1:30" x14ac:dyDescent="0.2">
      <c r="A42" s="110">
        <v>41</v>
      </c>
      <c r="B42" s="132">
        <v>41807</v>
      </c>
      <c r="C42" s="117">
        <v>1</v>
      </c>
      <c r="D42" s="103" t="s">
        <v>2</v>
      </c>
      <c r="E42" s="103" t="s">
        <v>306</v>
      </c>
      <c r="F42" s="103">
        <v>725</v>
      </c>
      <c r="G42" s="103">
        <v>82</v>
      </c>
      <c r="H42" s="137" t="s">
        <v>683</v>
      </c>
      <c r="I42" s="103">
        <v>72</v>
      </c>
      <c r="K42" s="103" t="s">
        <v>364</v>
      </c>
      <c r="L42" s="133">
        <v>0.33819444444444446</v>
      </c>
      <c r="M42" s="135" t="s">
        <v>696</v>
      </c>
      <c r="N42" s="135" t="s">
        <v>707</v>
      </c>
      <c r="O42" s="133" t="s">
        <v>373</v>
      </c>
      <c r="P42" s="100" t="s">
        <v>728</v>
      </c>
      <c r="Q42" s="100" t="s">
        <v>734</v>
      </c>
      <c r="R42" s="226" t="s">
        <v>724</v>
      </c>
      <c r="S42" s="491">
        <f t="shared" si="1"/>
        <v>6.7361111E-3</v>
      </c>
      <c r="T42" s="492">
        <f>IFERROR(VLOOKUP(F42,'Freq-Chan'!C:D,2,FALSE),"x")</f>
        <v>151.72499999999999</v>
      </c>
      <c r="U42" s="110" t="s">
        <v>541</v>
      </c>
      <c r="V42" s="110" t="str">
        <f t="shared" si="2"/>
        <v>FWL</v>
      </c>
      <c r="W42" s="110" t="s">
        <v>541</v>
      </c>
      <c r="X42" s="110" t="s">
        <v>541</v>
      </c>
      <c r="Y42" s="110" t="str">
        <f>IFERROR(VLOOKUP(F42,'Freq-Chan'!C:E,3,FALSE),"na")</f>
        <v>F1845</v>
      </c>
      <c r="Z42" s="110" t="s">
        <v>541</v>
      </c>
      <c r="AA42" s="110" t="s">
        <v>541</v>
      </c>
      <c r="AB42" s="110" t="s">
        <v>541</v>
      </c>
      <c r="AC42" s="10" t="s">
        <v>541</v>
      </c>
      <c r="AD42" s="10" t="s">
        <v>541</v>
      </c>
    </row>
    <row r="43" spans="1:30" x14ac:dyDescent="0.2">
      <c r="A43" s="110">
        <v>42</v>
      </c>
      <c r="B43" s="132">
        <v>41807</v>
      </c>
      <c r="C43" s="117">
        <v>1</v>
      </c>
      <c r="D43" s="103" t="s">
        <v>2</v>
      </c>
      <c r="E43" s="103" t="s">
        <v>306</v>
      </c>
      <c r="F43" s="103">
        <v>725</v>
      </c>
      <c r="G43" s="103">
        <v>51</v>
      </c>
      <c r="H43" s="137" t="s">
        <v>684</v>
      </c>
      <c r="I43" s="103">
        <v>60</v>
      </c>
      <c r="K43" s="103" t="s">
        <v>364</v>
      </c>
      <c r="L43" s="133"/>
      <c r="M43" s="135" t="s">
        <v>697</v>
      </c>
      <c r="N43" s="135" t="s">
        <v>708</v>
      </c>
      <c r="O43" s="133" t="s">
        <v>806</v>
      </c>
      <c r="Q43" s="100" t="s">
        <v>734</v>
      </c>
      <c r="R43" s="226" t="s">
        <v>724</v>
      </c>
      <c r="S43" s="491" t="str">
        <f t="shared" si="1"/>
        <v>x</v>
      </c>
      <c r="T43" s="492">
        <f>IFERROR(VLOOKUP(F43,'Freq-Chan'!C:D,2,FALSE),"x")</f>
        <v>151.72499999999999</v>
      </c>
      <c r="U43" s="110" t="s">
        <v>541</v>
      </c>
      <c r="V43" s="110" t="str">
        <f t="shared" si="2"/>
        <v>FWL</v>
      </c>
      <c r="W43" s="110" t="s">
        <v>541</v>
      </c>
      <c r="X43" s="110" t="s">
        <v>541</v>
      </c>
      <c r="Y43" s="110" t="str">
        <f>IFERROR(VLOOKUP(F43,'Freq-Chan'!C:E,3,FALSE),"na")</f>
        <v>F1845</v>
      </c>
      <c r="Z43" s="110" t="s">
        <v>541</v>
      </c>
      <c r="AA43" s="110" t="s">
        <v>541</v>
      </c>
      <c r="AB43" s="110" t="s">
        <v>541</v>
      </c>
      <c r="AC43" s="10" t="s">
        <v>541</v>
      </c>
      <c r="AD43" s="10" t="s">
        <v>541</v>
      </c>
    </row>
    <row r="44" spans="1:30" x14ac:dyDescent="0.2">
      <c r="A44" s="110">
        <v>43</v>
      </c>
      <c r="B44" s="132">
        <v>41807</v>
      </c>
      <c r="C44" s="117">
        <v>1</v>
      </c>
      <c r="D44" s="103" t="s">
        <v>2</v>
      </c>
      <c r="E44" s="103" t="s">
        <v>306</v>
      </c>
      <c r="F44" s="103">
        <v>684</v>
      </c>
      <c r="G44" s="103">
        <v>89</v>
      </c>
      <c r="H44" s="137" t="s">
        <v>685</v>
      </c>
      <c r="I44" s="103">
        <v>59</v>
      </c>
      <c r="K44" s="103" t="s">
        <v>364</v>
      </c>
      <c r="L44" s="133"/>
      <c r="M44" s="135" t="s">
        <v>698</v>
      </c>
      <c r="N44" s="135" t="s">
        <v>709</v>
      </c>
      <c r="O44" s="133" t="s">
        <v>806</v>
      </c>
      <c r="Q44" s="100" t="s">
        <v>734</v>
      </c>
      <c r="R44" s="226" t="s">
        <v>724</v>
      </c>
      <c r="S44" s="491" t="str">
        <f t="shared" si="1"/>
        <v>x</v>
      </c>
      <c r="T44" s="492">
        <f>IFERROR(VLOOKUP(F44,'Freq-Chan'!C:D,2,FALSE),"x")</f>
        <v>151.684</v>
      </c>
      <c r="U44" s="110" t="s">
        <v>541</v>
      </c>
      <c r="V44" s="110" t="str">
        <f t="shared" si="2"/>
        <v>FWL</v>
      </c>
      <c r="W44" s="110" t="s">
        <v>541</v>
      </c>
      <c r="X44" s="110" t="s">
        <v>541</v>
      </c>
      <c r="Y44" s="110" t="str">
        <f>IFERROR(VLOOKUP(F44,'Freq-Chan'!C:E,3,FALSE),"na")</f>
        <v>F1845</v>
      </c>
      <c r="Z44" s="110" t="s">
        <v>541</v>
      </c>
      <c r="AA44" s="110" t="s">
        <v>541</v>
      </c>
      <c r="AB44" s="110" t="s">
        <v>541</v>
      </c>
      <c r="AC44" s="10" t="s">
        <v>541</v>
      </c>
      <c r="AD44" s="10" t="s">
        <v>541</v>
      </c>
    </row>
    <row r="45" spans="1:30" x14ac:dyDescent="0.2">
      <c r="A45" s="110">
        <v>44</v>
      </c>
      <c r="B45" s="132">
        <v>41807</v>
      </c>
      <c r="C45" s="117">
        <v>1</v>
      </c>
      <c r="D45" s="103" t="s">
        <v>2</v>
      </c>
      <c r="E45" s="103" t="s">
        <v>306</v>
      </c>
      <c r="F45" s="103">
        <v>725</v>
      </c>
      <c r="G45" s="103">
        <v>63</v>
      </c>
      <c r="H45" s="137" t="s">
        <v>686</v>
      </c>
      <c r="I45" s="103">
        <v>53</v>
      </c>
      <c r="K45" s="103" t="s">
        <v>364</v>
      </c>
      <c r="L45" s="133"/>
      <c r="M45" s="135" t="s">
        <v>699</v>
      </c>
      <c r="N45" s="135" t="s">
        <v>710</v>
      </c>
      <c r="O45" s="133" t="s">
        <v>803</v>
      </c>
      <c r="Q45" s="100" t="s">
        <v>734</v>
      </c>
      <c r="R45" s="226" t="s">
        <v>724</v>
      </c>
      <c r="S45" s="491" t="str">
        <f t="shared" si="1"/>
        <v>x</v>
      </c>
      <c r="T45" s="492">
        <f>IFERROR(VLOOKUP(F45,'Freq-Chan'!C:D,2,FALSE),"x")</f>
        <v>151.72499999999999</v>
      </c>
      <c r="U45" s="110" t="s">
        <v>541</v>
      </c>
      <c r="V45" s="110" t="str">
        <f t="shared" si="2"/>
        <v>FWL</v>
      </c>
      <c r="W45" s="110" t="s">
        <v>541</v>
      </c>
      <c r="X45" s="110" t="s">
        <v>541</v>
      </c>
      <c r="Y45" s="110" t="str">
        <f>IFERROR(VLOOKUP(F45,'Freq-Chan'!C:E,3,FALSE),"na")</f>
        <v>F1845</v>
      </c>
      <c r="Z45" s="110" t="s">
        <v>541</v>
      </c>
      <c r="AA45" s="110" t="s">
        <v>541</v>
      </c>
      <c r="AB45" s="110" t="s">
        <v>541</v>
      </c>
      <c r="AC45" s="10" t="s">
        <v>541</v>
      </c>
      <c r="AD45" s="10" t="s">
        <v>541</v>
      </c>
    </row>
    <row r="46" spans="1:30" x14ac:dyDescent="0.2">
      <c r="A46" s="110">
        <v>45</v>
      </c>
      <c r="B46" s="132">
        <v>41807</v>
      </c>
      <c r="C46" s="117">
        <v>1</v>
      </c>
      <c r="D46" s="103" t="s">
        <v>2</v>
      </c>
      <c r="E46" s="103" t="s">
        <v>306</v>
      </c>
      <c r="F46" s="103">
        <v>725</v>
      </c>
      <c r="G46" s="103">
        <v>84</v>
      </c>
      <c r="H46" s="137" t="s">
        <v>687</v>
      </c>
      <c r="I46" s="103">
        <v>52</v>
      </c>
      <c r="K46" s="103" t="s">
        <v>364</v>
      </c>
      <c r="L46" s="133"/>
      <c r="M46" s="135" t="s">
        <v>700</v>
      </c>
      <c r="N46" s="135" t="s">
        <v>711</v>
      </c>
      <c r="O46" s="133" t="s">
        <v>803</v>
      </c>
      <c r="Q46" s="100" t="s">
        <v>734</v>
      </c>
      <c r="R46" s="226" t="s">
        <v>724</v>
      </c>
      <c r="S46" s="491" t="str">
        <f t="shared" si="1"/>
        <v>x</v>
      </c>
      <c r="T46" s="492">
        <f>IFERROR(VLOOKUP(F46,'Freq-Chan'!C:D,2,FALSE),"x")</f>
        <v>151.72499999999999</v>
      </c>
      <c r="U46" s="110" t="s">
        <v>541</v>
      </c>
      <c r="V46" s="110" t="str">
        <f t="shared" si="2"/>
        <v>FWL</v>
      </c>
      <c r="W46" s="110" t="s">
        <v>541</v>
      </c>
      <c r="X46" s="110" t="s">
        <v>541</v>
      </c>
      <c r="Y46" s="110" t="str">
        <f>IFERROR(VLOOKUP(F46,'Freq-Chan'!C:E,3,FALSE),"na")</f>
        <v>F1845</v>
      </c>
      <c r="Z46" s="110" t="s">
        <v>541</v>
      </c>
      <c r="AA46" s="110" t="s">
        <v>541</v>
      </c>
      <c r="AB46" s="110" t="s">
        <v>541</v>
      </c>
      <c r="AC46" s="10" t="s">
        <v>541</v>
      </c>
      <c r="AD46" s="10" t="s">
        <v>541</v>
      </c>
    </row>
    <row r="47" spans="1:30" x14ac:dyDescent="0.2">
      <c r="A47" s="110">
        <v>46</v>
      </c>
      <c r="B47" s="132">
        <v>41807</v>
      </c>
      <c r="C47" s="117">
        <v>1</v>
      </c>
      <c r="D47" s="103" t="s">
        <v>2</v>
      </c>
      <c r="E47" s="103" t="s">
        <v>306</v>
      </c>
      <c r="F47" s="103">
        <v>725</v>
      </c>
      <c r="G47" s="103">
        <v>18</v>
      </c>
      <c r="H47" s="137" t="s">
        <v>688</v>
      </c>
      <c r="I47" s="103">
        <v>68</v>
      </c>
      <c r="K47" s="103" t="s">
        <v>364</v>
      </c>
      <c r="L47" s="133"/>
      <c r="M47" s="135" t="s">
        <v>701</v>
      </c>
      <c r="N47" s="135" t="s">
        <v>712</v>
      </c>
      <c r="O47" s="133" t="s">
        <v>807</v>
      </c>
      <c r="Q47" s="100" t="s">
        <v>734</v>
      </c>
      <c r="R47" s="226" t="s">
        <v>724</v>
      </c>
      <c r="S47" s="491" t="str">
        <f t="shared" si="1"/>
        <v>x</v>
      </c>
      <c r="T47" s="492">
        <f>IFERROR(VLOOKUP(F47,'Freq-Chan'!C:D,2,FALSE),"x")</f>
        <v>151.72499999999999</v>
      </c>
      <c r="U47" s="110" t="s">
        <v>541</v>
      </c>
      <c r="V47" s="110" t="str">
        <f t="shared" si="2"/>
        <v>FWL</v>
      </c>
      <c r="W47" s="110" t="s">
        <v>541</v>
      </c>
      <c r="X47" s="110" t="s">
        <v>541</v>
      </c>
      <c r="Y47" s="110" t="str">
        <f>IFERROR(VLOOKUP(F47,'Freq-Chan'!C:E,3,FALSE),"na")</f>
        <v>F1845</v>
      </c>
      <c r="Z47" s="110" t="s">
        <v>541</v>
      </c>
      <c r="AA47" s="110" t="s">
        <v>541</v>
      </c>
      <c r="AB47" s="110" t="s">
        <v>541</v>
      </c>
      <c r="AC47" s="10" t="s">
        <v>541</v>
      </c>
      <c r="AD47" s="10" t="s">
        <v>541</v>
      </c>
    </row>
    <row r="48" spans="1:30" x14ac:dyDescent="0.2">
      <c r="A48" s="110">
        <v>47</v>
      </c>
      <c r="B48" s="132">
        <v>41807</v>
      </c>
      <c r="C48" s="117">
        <v>1</v>
      </c>
      <c r="D48" s="103" t="s">
        <v>2</v>
      </c>
      <c r="E48" s="103" t="s">
        <v>306</v>
      </c>
      <c r="F48" s="103">
        <v>725</v>
      </c>
      <c r="G48" s="103">
        <v>92</v>
      </c>
      <c r="H48" s="137" t="s">
        <v>689</v>
      </c>
      <c r="I48" s="103">
        <v>62</v>
      </c>
      <c r="K48" s="103" t="s">
        <v>364</v>
      </c>
      <c r="L48" s="133"/>
      <c r="M48" s="135" t="s">
        <v>698</v>
      </c>
      <c r="N48" s="135" t="s">
        <v>713</v>
      </c>
      <c r="O48" s="133" t="s">
        <v>804</v>
      </c>
      <c r="Q48" s="100" t="s">
        <v>734</v>
      </c>
      <c r="R48" s="226" t="s">
        <v>724</v>
      </c>
      <c r="S48" s="491" t="str">
        <f t="shared" si="1"/>
        <v>x</v>
      </c>
      <c r="T48" s="492">
        <f>IFERROR(VLOOKUP(F48,'Freq-Chan'!C:D,2,FALSE),"x")</f>
        <v>151.72499999999999</v>
      </c>
      <c r="U48" s="110" t="s">
        <v>541</v>
      </c>
      <c r="V48" s="110" t="str">
        <f t="shared" si="2"/>
        <v>FWL</v>
      </c>
      <c r="W48" s="110" t="s">
        <v>541</v>
      </c>
      <c r="X48" s="110" t="s">
        <v>541</v>
      </c>
      <c r="Y48" s="110" t="str">
        <f>IFERROR(VLOOKUP(F48,'Freq-Chan'!C:E,3,FALSE),"na")</f>
        <v>F1845</v>
      </c>
      <c r="Z48" s="110" t="s">
        <v>541</v>
      </c>
      <c r="AA48" s="110" t="s">
        <v>541</v>
      </c>
      <c r="AB48" s="110" t="s">
        <v>541</v>
      </c>
      <c r="AC48" s="10" t="s">
        <v>541</v>
      </c>
      <c r="AD48" s="10" t="s">
        <v>541</v>
      </c>
    </row>
    <row r="49" spans="1:30" x14ac:dyDescent="0.2">
      <c r="A49" s="110">
        <v>48</v>
      </c>
      <c r="B49" s="132">
        <v>41807</v>
      </c>
      <c r="C49" s="117">
        <v>1</v>
      </c>
      <c r="D49" s="103" t="s">
        <v>2</v>
      </c>
      <c r="E49" s="103" t="s">
        <v>306</v>
      </c>
      <c r="F49" s="103">
        <v>725</v>
      </c>
      <c r="G49" s="103">
        <v>6</v>
      </c>
      <c r="H49" s="137" t="s">
        <v>690</v>
      </c>
      <c r="I49" s="103">
        <v>77</v>
      </c>
      <c r="K49" s="103" t="s">
        <v>364</v>
      </c>
      <c r="L49" s="133"/>
      <c r="M49" s="135" t="s">
        <v>702</v>
      </c>
      <c r="N49" s="135" t="s">
        <v>714</v>
      </c>
      <c r="O49" s="133" t="s">
        <v>804</v>
      </c>
      <c r="Q49" s="100" t="s">
        <v>734</v>
      </c>
      <c r="R49" s="226" t="s">
        <v>724</v>
      </c>
      <c r="S49" s="491" t="str">
        <f t="shared" si="1"/>
        <v>x</v>
      </c>
      <c r="T49" s="492">
        <f>IFERROR(VLOOKUP(F49,'Freq-Chan'!C:D,2,FALSE),"x")</f>
        <v>151.72499999999999</v>
      </c>
      <c r="U49" s="110" t="s">
        <v>541</v>
      </c>
      <c r="V49" s="110" t="str">
        <f t="shared" si="2"/>
        <v>FWL</v>
      </c>
      <c r="W49" s="110" t="s">
        <v>541</v>
      </c>
      <c r="X49" s="110" t="s">
        <v>541</v>
      </c>
      <c r="Y49" s="110" t="str">
        <f>IFERROR(VLOOKUP(F49,'Freq-Chan'!C:E,3,FALSE),"na")</f>
        <v>F1845</v>
      </c>
      <c r="Z49" s="110" t="s">
        <v>541</v>
      </c>
      <c r="AA49" s="110" t="s">
        <v>541</v>
      </c>
      <c r="AB49" s="110" t="s">
        <v>541</v>
      </c>
      <c r="AC49" s="10" t="s">
        <v>541</v>
      </c>
      <c r="AD49" s="10" t="s">
        <v>541</v>
      </c>
    </row>
    <row r="50" spans="1:30" x14ac:dyDescent="0.2">
      <c r="A50" s="110">
        <v>49</v>
      </c>
      <c r="B50" s="132">
        <v>41807</v>
      </c>
      <c r="C50" s="117">
        <v>1</v>
      </c>
      <c r="D50" s="103" t="s">
        <v>2</v>
      </c>
      <c r="E50" s="103" t="s">
        <v>306</v>
      </c>
      <c r="F50" s="103">
        <v>684</v>
      </c>
      <c r="G50" s="103">
        <v>25</v>
      </c>
      <c r="H50" s="137" t="s">
        <v>691</v>
      </c>
      <c r="I50" s="103">
        <v>55</v>
      </c>
      <c r="K50" s="103" t="s">
        <v>364</v>
      </c>
      <c r="L50" s="133"/>
      <c r="M50" s="135" t="s">
        <v>698</v>
      </c>
      <c r="N50" s="135" t="s">
        <v>715</v>
      </c>
      <c r="O50" s="133" t="s">
        <v>808</v>
      </c>
      <c r="P50" s="100" t="s">
        <v>723</v>
      </c>
      <c r="Q50" s="100" t="s">
        <v>734</v>
      </c>
      <c r="R50" s="226" t="s">
        <v>724</v>
      </c>
      <c r="S50" s="491" t="str">
        <f t="shared" si="1"/>
        <v>x</v>
      </c>
      <c r="T50" s="492">
        <f>IFERROR(VLOOKUP(F50,'Freq-Chan'!C:D,2,FALSE),"x")</f>
        <v>151.684</v>
      </c>
      <c r="U50" s="110" t="s">
        <v>541</v>
      </c>
      <c r="V50" s="110" t="str">
        <f t="shared" si="2"/>
        <v>FWL</v>
      </c>
      <c r="W50" s="110" t="s">
        <v>541</v>
      </c>
      <c r="X50" s="110" t="s">
        <v>541</v>
      </c>
      <c r="Y50" s="110" t="str">
        <f>IFERROR(VLOOKUP(F50,'Freq-Chan'!C:E,3,FALSE),"na")</f>
        <v>F1845</v>
      </c>
      <c r="Z50" s="110" t="s">
        <v>541</v>
      </c>
      <c r="AA50" s="110" t="s">
        <v>541</v>
      </c>
      <c r="AB50" s="110" t="s">
        <v>541</v>
      </c>
      <c r="AC50" s="10" t="s">
        <v>541</v>
      </c>
      <c r="AD50" s="10" t="s">
        <v>541</v>
      </c>
    </row>
    <row r="51" spans="1:30" x14ac:dyDescent="0.2">
      <c r="A51" s="110">
        <v>50</v>
      </c>
      <c r="B51" s="132">
        <v>41807</v>
      </c>
      <c r="C51" s="117">
        <v>1</v>
      </c>
      <c r="D51" s="103" t="s">
        <v>2</v>
      </c>
      <c r="E51" s="103" t="s">
        <v>306</v>
      </c>
      <c r="F51" s="103">
        <v>725</v>
      </c>
      <c r="G51" s="103">
        <v>36</v>
      </c>
      <c r="H51" s="137" t="s">
        <v>692</v>
      </c>
      <c r="I51" s="103">
        <v>78</v>
      </c>
      <c r="K51" s="103" t="s">
        <v>364</v>
      </c>
      <c r="L51" s="133">
        <v>0.81736111111111109</v>
      </c>
      <c r="M51" s="135" t="s">
        <v>703</v>
      </c>
      <c r="N51" s="135" t="s">
        <v>716</v>
      </c>
      <c r="O51" s="133" t="s">
        <v>806</v>
      </c>
      <c r="Q51" s="100" t="s">
        <v>734</v>
      </c>
      <c r="R51" s="226" t="s">
        <v>724</v>
      </c>
      <c r="S51" s="491">
        <f t="shared" si="1"/>
        <v>3.7268519000000001E-3</v>
      </c>
      <c r="T51" s="492">
        <f>IFERROR(VLOOKUP(F51,'Freq-Chan'!C:D,2,FALSE),"x")</f>
        <v>151.72499999999999</v>
      </c>
      <c r="U51" s="110" t="s">
        <v>541</v>
      </c>
      <c r="V51" s="110" t="str">
        <f t="shared" si="2"/>
        <v>FWL</v>
      </c>
      <c r="W51" s="110" t="s">
        <v>541</v>
      </c>
      <c r="X51" s="110" t="s">
        <v>541</v>
      </c>
      <c r="Y51" s="110" t="str">
        <f>IFERROR(VLOOKUP(F51,'Freq-Chan'!C:E,3,FALSE),"na")</f>
        <v>F1845</v>
      </c>
      <c r="Z51" s="110" t="s">
        <v>541</v>
      </c>
      <c r="AA51" s="110" t="s">
        <v>541</v>
      </c>
      <c r="AB51" s="110" t="s">
        <v>541</v>
      </c>
      <c r="AC51" s="10" t="s">
        <v>541</v>
      </c>
      <c r="AD51" s="10" t="s">
        <v>541</v>
      </c>
    </row>
    <row r="52" spans="1:30" x14ac:dyDescent="0.2">
      <c r="A52" s="110">
        <v>51</v>
      </c>
      <c r="B52" s="132">
        <v>41807</v>
      </c>
      <c r="C52" s="117">
        <v>1</v>
      </c>
      <c r="D52" s="103" t="s">
        <v>2</v>
      </c>
      <c r="E52" s="103" t="s">
        <v>306</v>
      </c>
      <c r="F52" s="103">
        <v>725</v>
      </c>
      <c r="G52" s="103">
        <v>22</v>
      </c>
      <c r="H52" s="137" t="s">
        <v>693</v>
      </c>
      <c r="I52" s="103">
        <v>68</v>
      </c>
      <c r="K52" s="103" t="s">
        <v>364</v>
      </c>
      <c r="L52" s="133"/>
      <c r="M52" s="135" t="s">
        <v>703</v>
      </c>
      <c r="N52" s="135" t="s">
        <v>717</v>
      </c>
      <c r="O52" s="133" t="s">
        <v>802</v>
      </c>
      <c r="Q52" s="100" t="s">
        <v>734</v>
      </c>
      <c r="R52" s="226" t="s">
        <v>724</v>
      </c>
      <c r="S52" s="491" t="str">
        <f t="shared" si="1"/>
        <v>x</v>
      </c>
      <c r="T52" s="492">
        <f>IFERROR(VLOOKUP(F52,'Freq-Chan'!C:D,2,FALSE),"x")</f>
        <v>151.72499999999999</v>
      </c>
      <c r="U52" s="110" t="s">
        <v>541</v>
      </c>
      <c r="V52" s="110" t="str">
        <f t="shared" si="2"/>
        <v>FWL</v>
      </c>
      <c r="W52" s="110" t="s">
        <v>541</v>
      </c>
      <c r="X52" s="110" t="s">
        <v>541</v>
      </c>
      <c r="Y52" s="110" t="str">
        <f>IFERROR(VLOOKUP(F52,'Freq-Chan'!C:E,3,FALSE),"na")</f>
        <v>F1845</v>
      </c>
      <c r="Z52" s="110" t="s">
        <v>541</v>
      </c>
      <c r="AA52" s="110" t="s">
        <v>541</v>
      </c>
      <c r="AB52" s="110" t="s">
        <v>541</v>
      </c>
      <c r="AC52" s="10" t="s">
        <v>541</v>
      </c>
      <c r="AD52" s="10" t="s">
        <v>541</v>
      </c>
    </row>
    <row r="53" spans="1:30" x14ac:dyDescent="0.2">
      <c r="A53" s="110">
        <v>52</v>
      </c>
      <c r="B53" s="132">
        <v>41807</v>
      </c>
      <c r="C53" s="117">
        <v>1</v>
      </c>
      <c r="D53" s="103" t="s">
        <v>2</v>
      </c>
      <c r="E53" s="103" t="s">
        <v>306</v>
      </c>
      <c r="F53" s="103">
        <v>725</v>
      </c>
      <c r="G53" s="103">
        <v>46</v>
      </c>
      <c r="H53" s="137" t="s">
        <v>694</v>
      </c>
      <c r="I53" s="103">
        <v>84</v>
      </c>
      <c r="K53" s="103" t="s">
        <v>364</v>
      </c>
      <c r="L53" s="133"/>
      <c r="M53" s="135" t="s">
        <v>704</v>
      </c>
      <c r="N53" s="135" t="s">
        <v>718</v>
      </c>
      <c r="O53" s="133" t="s">
        <v>802</v>
      </c>
      <c r="Q53" s="100" t="s">
        <v>734</v>
      </c>
      <c r="R53" s="226" t="s">
        <v>724</v>
      </c>
      <c r="S53" s="491" t="str">
        <f t="shared" si="1"/>
        <v>x</v>
      </c>
      <c r="T53" s="492">
        <f>IFERROR(VLOOKUP(F53,'Freq-Chan'!C:D,2,FALSE),"x")</f>
        <v>151.72499999999999</v>
      </c>
      <c r="U53" s="110" t="s">
        <v>541</v>
      </c>
      <c r="V53" s="110" t="str">
        <f t="shared" si="2"/>
        <v>FWL</v>
      </c>
      <c r="W53" s="110" t="s">
        <v>541</v>
      </c>
      <c r="X53" s="110" t="s">
        <v>541</v>
      </c>
      <c r="Y53" s="110" t="str">
        <f>IFERROR(VLOOKUP(F53,'Freq-Chan'!C:E,3,FALSE),"na")</f>
        <v>F1845</v>
      </c>
      <c r="Z53" s="110" t="s">
        <v>541</v>
      </c>
      <c r="AA53" s="110" t="s">
        <v>541</v>
      </c>
      <c r="AB53" s="110" t="s">
        <v>541</v>
      </c>
      <c r="AC53" s="10" t="s">
        <v>541</v>
      </c>
      <c r="AD53" s="10" t="s">
        <v>541</v>
      </c>
    </row>
    <row r="54" spans="1:30" s="291" customFormat="1" x14ac:dyDescent="0.2">
      <c r="A54" s="493">
        <v>53</v>
      </c>
      <c r="B54" s="283">
        <v>41807</v>
      </c>
      <c r="C54" s="284">
        <v>1</v>
      </c>
      <c r="D54" s="285" t="s">
        <v>2</v>
      </c>
      <c r="E54" s="285" t="s">
        <v>306</v>
      </c>
      <c r="F54" s="285">
        <v>725</v>
      </c>
      <c r="G54" s="285">
        <v>0</v>
      </c>
      <c r="H54" s="339" t="s">
        <v>695</v>
      </c>
      <c r="I54" s="285">
        <v>56</v>
      </c>
      <c r="J54" s="285"/>
      <c r="K54" s="285" t="s">
        <v>364</v>
      </c>
      <c r="L54" s="286"/>
      <c r="M54" s="288" t="s">
        <v>705</v>
      </c>
      <c r="N54" s="502" t="s">
        <v>384</v>
      </c>
      <c r="O54" s="286" t="s">
        <v>805</v>
      </c>
      <c r="P54" s="289"/>
      <c r="Q54" s="289" t="s">
        <v>734</v>
      </c>
      <c r="R54" s="290" t="s">
        <v>724</v>
      </c>
      <c r="S54" s="494" t="str">
        <f t="shared" si="1"/>
        <v>x</v>
      </c>
      <c r="T54" s="495">
        <f>IFERROR(VLOOKUP(F54,'Freq-Chan'!C:D,2,FALSE),"x")</f>
        <v>151.72499999999999</v>
      </c>
      <c r="U54" s="493" t="s">
        <v>541</v>
      </c>
      <c r="V54" s="493" t="str">
        <f t="shared" si="2"/>
        <v>FWL</v>
      </c>
      <c r="W54" s="493" t="s">
        <v>541</v>
      </c>
      <c r="X54" s="493" t="s">
        <v>541</v>
      </c>
      <c r="Y54" s="493" t="str">
        <f>IFERROR(VLOOKUP(F54,'Freq-Chan'!C:E,3,FALSE),"na")</f>
        <v>F1845</v>
      </c>
      <c r="Z54" s="493" t="s">
        <v>541</v>
      </c>
      <c r="AA54" s="493" t="s">
        <v>541</v>
      </c>
      <c r="AB54" s="493" t="s">
        <v>541</v>
      </c>
      <c r="AC54" s="291" t="s">
        <v>541</v>
      </c>
      <c r="AD54" s="291" t="s">
        <v>541</v>
      </c>
    </row>
    <row r="55" spans="1:30" s="314" customFormat="1" x14ac:dyDescent="0.2">
      <c r="A55" s="499">
        <v>54</v>
      </c>
      <c r="B55" s="294">
        <v>41807</v>
      </c>
      <c r="C55" s="295">
        <v>2</v>
      </c>
      <c r="D55" s="296" t="s">
        <v>2</v>
      </c>
      <c r="E55" s="296" t="s">
        <v>306</v>
      </c>
      <c r="F55" s="296">
        <v>684</v>
      </c>
      <c r="G55" s="296">
        <v>28</v>
      </c>
      <c r="H55" s="327" t="s">
        <v>706</v>
      </c>
      <c r="I55" s="296">
        <v>52</v>
      </c>
      <c r="J55" s="296"/>
      <c r="K55" s="296" t="s">
        <v>364</v>
      </c>
      <c r="L55" s="297"/>
      <c r="M55" s="298">
        <v>7.2222222222222229E-2</v>
      </c>
      <c r="N55" s="299" t="s">
        <v>719</v>
      </c>
      <c r="O55" s="297" t="s">
        <v>806</v>
      </c>
      <c r="P55" s="300" t="s">
        <v>720</v>
      </c>
      <c r="Q55" s="300" t="s">
        <v>734</v>
      </c>
      <c r="R55" s="301" t="s">
        <v>724</v>
      </c>
      <c r="S55" s="500" t="str">
        <f t="shared" si="1"/>
        <v>x</v>
      </c>
      <c r="T55" s="501">
        <f>IFERROR(VLOOKUP(F55,'Freq-Chan'!C:D,2,FALSE),"x")</f>
        <v>151.684</v>
      </c>
      <c r="U55" s="499" t="s">
        <v>541</v>
      </c>
      <c r="V55" s="499" t="str">
        <f t="shared" si="2"/>
        <v>FWL</v>
      </c>
      <c r="W55" s="499" t="s">
        <v>541</v>
      </c>
      <c r="X55" s="499" t="s">
        <v>541</v>
      </c>
      <c r="Y55" s="499" t="str">
        <f>IFERROR(VLOOKUP(F55,'Freq-Chan'!C:E,3,FALSE),"na")</f>
        <v>F1845</v>
      </c>
      <c r="Z55" s="499" t="s">
        <v>541</v>
      </c>
      <c r="AA55" s="499" t="s">
        <v>541</v>
      </c>
      <c r="AB55" s="499" t="s">
        <v>541</v>
      </c>
      <c r="AC55" s="314" t="s">
        <v>541</v>
      </c>
      <c r="AD55" s="314" t="s">
        <v>541</v>
      </c>
    </row>
    <row r="56" spans="1:30" s="314" customFormat="1" x14ac:dyDescent="0.2">
      <c r="A56" s="499">
        <v>55</v>
      </c>
      <c r="B56" s="294">
        <v>41807</v>
      </c>
      <c r="C56" s="295">
        <v>3</v>
      </c>
      <c r="D56" s="296" t="s">
        <v>2</v>
      </c>
      <c r="E56" s="296" t="s">
        <v>306</v>
      </c>
      <c r="F56" s="296">
        <v>684</v>
      </c>
      <c r="G56" s="296">
        <v>64</v>
      </c>
      <c r="H56" s="327" t="s">
        <v>721</v>
      </c>
      <c r="I56" s="296">
        <v>60</v>
      </c>
      <c r="J56" s="296"/>
      <c r="K56" s="296" t="s">
        <v>364</v>
      </c>
      <c r="L56" s="297"/>
      <c r="M56" s="298">
        <v>8.7500000000000008E-2</v>
      </c>
      <c r="N56" s="299" t="s">
        <v>722</v>
      </c>
      <c r="O56" s="297" t="s">
        <v>804</v>
      </c>
      <c r="P56" s="300"/>
      <c r="Q56" s="300" t="s">
        <v>734</v>
      </c>
      <c r="R56" s="301" t="s">
        <v>724</v>
      </c>
      <c r="S56" s="500" t="str">
        <f t="shared" si="1"/>
        <v>x</v>
      </c>
      <c r="T56" s="501">
        <f>IFERROR(VLOOKUP(F56,'Freq-Chan'!C:D,2,FALSE),"x")</f>
        <v>151.684</v>
      </c>
      <c r="U56" s="499" t="s">
        <v>541</v>
      </c>
      <c r="V56" s="499" t="str">
        <f t="shared" si="2"/>
        <v>FWL</v>
      </c>
      <c r="W56" s="499" t="s">
        <v>541</v>
      </c>
      <c r="X56" s="499" t="s">
        <v>541</v>
      </c>
      <c r="Y56" s="499" t="str">
        <f>IFERROR(VLOOKUP(F56,'Freq-Chan'!C:E,3,FALSE),"na")</f>
        <v>F1845</v>
      </c>
      <c r="Z56" s="499" t="s">
        <v>541</v>
      </c>
      <c r="AA56" s="499" t="s">
        <v>541</v>
      </c>
      <c r="AB56" s="499" t="s">
        <v>541</v>
      </c>
      <c r="AC56" s="314" t="s">
        <v>541</v>
      </c>
      <c r="AD56" s="314" t="s">
        <v>541</v>
      </c>
    </row>
    <row r="57" spans="1:30" x14ac:dyDescent="0.2">
      <c r="A57" s="110">
        <v>56</v>
      </c>
      <c r="B57" s="132">
        <v>41808</v>
      </c>
      <c r="C57" s="117">
        <v>1</v>
      </c>
      <c r="D57" s="103" t="s">
        <v>2</v>
      </c>
      <c r="E57" s="103" t="s">
        <v>306</v>
      </c>
      <c r="F57" s="103">
        <v>684</v>
      </c>
      <c r="G57" s="103">
        <v>49</v>
      </c>
      <c r="H57" s="137" t="s">
        <v>750</v>
      </c>
      <c r="I57" s="103">
        <v>57</v>
      </c>
      <c r="K57" s="103" t="s">
        <v>364</v>
      </c>
      <c r="L57" s="133">
        <v>0.23958333333333334</v>
      </c>
      <c r="M57" s="134">
        <v>5.9027777777777783E-2</v>
      </c>
      <c r="N57" s="135" t="s">
        <v>838</v>
      </c>
      <c r="O57" s="133" t="s">
        <v>804</v>
      </c>
      <c r="Q57" s="100" t="s">
        <v>734</v>
      </c>
      <c r="R57" s="226" t="s">
        <v>797</v>
      </c>
      <c r="S57" s="491">
        <f t="shared" si="1"/>
        <v>4.5717593000000004E-3</v>
      </c>
      <c r="T57" s="492">
        <f>IFERROR(VLOOKUP(F57,'Freq-Chan'!C:D,2,FALSE),"x")</f>
        <v>151.684</v>
      </c>
      <c r="U57" s="110" t="s">
        <v>541</v>
      </c>
      <c r="V57" s="110" t="str">
        <f t="shared" si="2"/>
        <v>FWL</v>
      </c>
      <c r="W57" s="110" t="s">
        <v>541</v>
      </c>
      <c r="X57" s="110" t="s">
        <v>541</v>
      </c>
      <c r="Y57" s="110" t="str">
        <f>IFERROR(VLOOKUP(F57,'Freq-Chan'!C:E,3,FALSE),"na")</f>
        <v>F1845</v>
      </c>
      <c r="Z57" s="110" t="s">
        <v>541</v>
      </c>
      <c r="AA57" s="110" t="s">
        <v>541</v>
      </c>
      <c r="AB57" s="110" t="s">
        <v>541</v>
      </c>
      <c r="AC57" s="10" t="s">
        <v>541</v>
      </c>
      <c r="AD57" s="10" t="s">
        <v>541</v>
      </c>
    </row>
    <row r="58" spans="1:30" x14ac:dyDescent="0.2">
      <c r="A58" s="110">
        <v>57</v>
      </c>
      <c r="B58" s="132">
        <v>41808</v>
      </c>
      <c r="C58" s="117">
        <v>1</v>
      </c>
      <c r="D58" s="103" t="s">
        <v>2</v>
      </c>
      <c r="E58" s="103" t="s">
        <v>306</v>
      </c>
      <c r="F58" s="103">
        <v>725</v>
      </c>
      <c r="G58" s="103">
        <v>8</v>
      </c>
      <c r="H58" s="137" t="s">
        <v>751</v>
      </c>
      <c r="I58" s="103">
        <v>87</v>
      </c>
      <c r="K58" s="103" t="s">
        <v>364</v>
      </c>
      <c r="L58" s="133"/>
      <c r="M58" s="134">
        <v>7.4999999999999997E-2</v>
      </c>
      <c r="N58" s="135" t="s">
        <v>839</v>
      </c>
      <c r="O58" s="133" t="s">
        <v>373</v>
      </c>
      <c r="Q58" s="100" t="s">
        <v>734</v>
      </c>
      <c r="R58" s="226" t="s">
        <v>797</v>
      </c>
      <c r="S58" s="491" t="str">
        <f t="shared" si="1"/>
        <v>x</v>
      </c>
      <c r="T58" s="492">
        <f>IFERROR(VLOOKUP(F58,'Freq-Chan'!C:D,2,FALSE),"x")</f>
        <v>151.72499999999999</v>
      </c>
      <c r="U58" s="110" t="s">
        <v>541</v>
      </c>
      <c r="V58" s="110" t="str">
        <f t="shared" si="2"/>
        <v>FWL</v>
      </c>
      <c r="W58" s="110" t="s">
        <v>541</v>
      </c>
      <c r="X58" s="110" t="s">
        <v>541</v>
      </c>
      <c r="Y58" s="110" t="str">
        <f>IFERROR(VLOOKUP(F58,'Freq-Chan'!C:E,3,FALSE),"na")</f>
        <v>F1845</v>
      </c>
      <c r="Z58" s="110" t="s">
        <v>541</v>
      </c>
      <c r="AA58" s="110" t="s">
        <v>541</v>
      </c>
      <c r="AB58" s="110" t="s">
        <v>541</v>
      </c>
      <c r="AC58" s="10" t="s">
        <v>541</v>
      </c>
      <c r="AD58" s="10" t="s">
        <v>541</v>
      </c>
    </row>
    <row r="59" spans="1:30" x14ac:dyDescent="0.2">
      <c r="A59" s="110">
        <v>58</v>
      </c>
      <c r="B59" s="132">
        <v>41808</v>
      </c>
      <c r="C59" s="117">
        <v>1</v>
      </c>
      <c r="D59" s="103" t="s">
        <v>2</v>
      </c>
      <c r="E59" s="103" t="s">
        <v>306</v>
      </c>
      <c r="F59" s="103">
        <v>684</v>
      </c>
      <c r="G59" s="103">
        <v>29</v>
      </c>
      <c r="H59" s="137" t="s">
        <v>752</v>
      </c>
      <c r="I59" s="103">
        <v>61</v>
      </c>
      <c r="K59" s="103" t="s">
        <v>364</v>
      </c>
      <c r="L59" s="133"/>
      <c r="M59" s="134">
        <v>6.5972222222222224E-2</v>
      </c>
      <c r="N59" s="135" t="s">
        <v>763</v>
      </c>
      <c r="O59" s="133" t="s">
        <v>376</v>
      </c>
      <c r="Q59" s="100" t="s">
        <v>734</v>
      </c>
      <c r="R59" s="226" t="s">
        <v>797</v>
      </c>
      <c r="S59" s="491" t="str">
        <f t="shared" si="1"/>
        <v>x</v>
      </c>
      <c r="T59" s="492">
        <f>IFERROR(VLOOKUP(F59,'Freq-Chan'!C:D,2,FALSE),"x")</f>
        <v>151.684</v>
      </c>
      <c r="U59" s="110" t="s">
        <v>541</v>
      </c>
      <c r="V59" s="110" t="str">
        <f t="shared" si="2"/>
        <v>FWL</v>
      </c>
      <c r="W59" s="110" t="s">
        <v>541</v>
      </c>
      <c r="X59" s="110" t="s">
        <v>541</v>
      </c>
      <c r="Y59" s="110" t="str">
        <f>IFERROR(VLOOKUP(F59,'Freq-Chan'!C:E,3,FALSE),"na")</f>
        <v>F1845</v>
      </c>
      <c r="Z59" s="110" t="s">
        <v>541</v>
      </c>
      <c r="AA59" s="110" t="s">
        <v>541</v>
      </c>
      <c r="AB59" s="110" t="s">
        <v>541</v>
      </c>
      <c r="AC59" s="10" t="s">
        <v>541</v>
      </c>
      <c r="AD59" s="10" t="s">
        <v>541</v>
      </c>
    </row>
    <row r="60" spans="1:30" x14ac:dyDescent="0.2">
      <c r="A60" s="110">
        <v>59</v>
      </c>
      <c r="B60" s="132">
        <v>41808</v>
      </c>
      <c r="C60" s="117">
        <v>1</v>
      </c>
      <c r="D60" s="103" t="s">
        <v>2</v>
      </c>
      <c r="E60" s="103" t="s">
        <v>306</v>
      </c>
      <c r="F60" s="103">
        <v>725</v>
      </c>
      <c r="G60" s="103">
        <v>31</v>
      </c>
      <c r="H60" s="137" t="s">
        <v>753</v>
      </c>
      <c r="I60" s="103">
        <v>66</v>
      </c>
      <c r="K60" s="103" t="s">
        <v>364</v>
      </c>
      <c r="L60" s="133"/>
      <c r="M60" s="134">
        <v>6.458333333333334E-2</v>
      </c>
      <c r="N60" s="135" t="s">
        <v>764</v>
      </c>
      <c r="O60" s="133" t="s">
        <v>376</v>
      </c>
      <c r="Q60" s="100" t="s">
        <v>734</v>
      </c>
      <c r="R60" s="226" t="s">
        <v>797</v>
      </c>
      <c r="S60" s="491" t="str">
        <f t="shared" si="1"/>
        <v>x</v>
      </c>
      <c r="T60" s="492">
        <f>IFERROR(VLOOKUP(F60,'Freq-Chan'!C:D,2,FALSE),"x")</f>
        <v>151.72499999999999</v>
      </c>
      <c r="U60" s="110" t="s">
        <v>541</v>
      </c>
      <c r="V60" s="110" t="str">
        <f t="shared" si="2"/>
        <v>FWL</v>
      </c>
      <c r="W60" s="110" t="s">
        <v>541</v>
      </c>
      <c r="X60" s="110" t="s">
        <v>541</v>
      </c>
      <c r="Y60" s="110" t="str">
        <f>IFERROR(VLOOKUP(F60,'Freq-Chan'!C:E,3,FALSE),"na")</f>
        <v>F1845</v>
      </c>
      <c r="Z60" s="110" t="s">
        <v>541</v>
      </c>
      <c r="AA60" s="110" t="s">
        <v>541</v>
      </c>
      <c r="AB60" s="110" t="s">
        <v>541</v>
      </c>
      <c r="AC60" s="10" t="s">
        <v>541</v>
      </c>
      <c r="AD60" s="10" t="s">
        <v>541</v>
      </c>
    </row>
    <row r="61" spans="1:30" x14ac:dyDescent="0.2">
      <c r="A61" s="110">
        <v>60</v>
      </c>
      <c r="B61" s="132">
        <v>41808</v>
      </c>
      <c r="C61" s="117">
        <v>1</v>
      </c>
      <c r="D61" s="103" t="s">
        <v>2</v>
      </c>
      <c r="E61" s="103" t="s">
        <v>306</v>
      </c>
      <c r="F61" s="103">
        <v>684</v>
      </c>
      <c r="G61" s="103">
        <v>40</v>
      </c>
      <c r="H61" s="137" t="s">
        <v>754</v>
      </c>
      <c r="I61" s="103">
        <v>69</v>
      </c>
      <c r="K61" s="103" t="s">
        <v>364</v>
      </c>
      <c r="L61" s="133">
        <v>0.50486111111111109</v>
      </c>
      <c r="M61" s="134">
        <v>9.8611111111111108E-2</v>
      </c>
      <c r="N61" s="135" t="s">
        <v>765</v>
      </c>
      <c r="O61" s="133" t="s">
        <v>376</v>
      </c>
      <c r="Q61" s="100" t="s">
        <v>734</v>
      </c>
      <c r="R61" s="226" t="s">
        <v>797</v>
      </c>
      <c r="S61" s="491">
        <f t="shared" si="1"/>
        <v>4.6064814999999997E-3</v>
      </c>
      <c r="T61" s="492">
        <f>IFERROR(VLOOKUP(F61,'Freq-Chan'!C:D,2,FALSE),"x")</f>
        <v>151.684</v>
      </c>
      <c r="U61" s="110" t="s">
        <v>541</v>
      </c>
      <c r="V61" s="110" t="str">
        <f t="shared" si="2"/>
        <v>FWL</v>
      </c>
      <c r="W61" s="110" t="s">
        <v>541</v>
      </c>
      <c r="X61" s="110" t="s">
        <v>541</v>
      </c>
      <c r="Y61" s="110" t="str">
        <f>IFERROR(VLOOKUP(F61,'Freq-Chan'!C:E,3,FALSE),"na")</f>
        <v>F1845</v>
      </c>
      <c r="Z61" s="110" t="s">
        <v>541</v>
      </c>
      <c r="AA61" s="110" t="s">
        <v>541</v>
      </c>
      <c r="AB61" s="110" t="s">
        <v>541</v>
      </c>
      <c r="AC61" s="10" t="s">
        <v>541</v>
      </c>
      <c r="AD61" s="10" t="s">
        <v>541</v>
      </c>
    </row>
    <row r="62" spans="1:30" x14ac:dyDescent="0.2">
      <c r="A62" s="110">
        <v>61</v>
      </c>
      <c r="B62" s="132">
        <v>41808</v>
      </c>
      <c r="C62" s="117">
        <v>1</v>
      </c>
      <c r="D62" s="103" t="s">
        <v>2</v>
      </c>
      <c r="E62" s="103" t="s">
        <v>306</v>
      </c>
      <c r="F62" s="103">
        <v>684</v>
      </c>
      <c r="G62" s="103">
        <v>76</v>
      </c>
      <c r="H62" s="137" t="s">
        <v>755</v>
      </c>
      <c r="I62" s="103">
        <v>95</v>
      </c>
      <c r="K62" s="103" t="s">
        <v>364</v>
      </c>
      <c r="L62" s="133">
        <v>0.55208333333333337</v>
      </c>
      <c r="M62" s="134">
        <v>5.8333333333333327E-2</v>
      </c>
      <c r="N62" s="135" t="s">
        <v>766</v>
      </c>
      <c r="O62" s="133" t="s">
        <v>75</v>
      </c>
      <c r="Q62" s="100" t="s">
        <v>734</v>
      </c>
      <c r="R62" s="226" t="s">
        <v>797</v>
      </c>
      <c r="S62" s="491">
        <f t="shared" si="1"/>
        <v>8.0555556E-3</v>
      </c>
      <c r="T62" s="492">
        <f>IFERROR(VLOOKUP(F62,'Freq-Chan'!C:D,2,FALSE),"x")</f>
        <v>151.684</v>
      </c>
      <c r="U62" s="110" t="s">
        <v>541</v>
      </c>
      <c r="V62" s="110" t="str">
        <f t="shared" si="2"/>
        <v>FWL</v>
      </c>
      <c r="W62" s="110" t="s">
        <v>541</v>
      </c>
      <c r="X62" s="110" t="s">
        <v>541</v>
      </c>
      <c r="Y62" s="110" t="str">
        <f>IFERROR(VLOOKUP(F62,'Freq-Chan'!C:E,3,FALSE),"na")</f>
        <v>F1845</v>
      </c>
      <c r="Z62" s="110" t="s">
        <v>541</v>
      </c>
      <c r="AA62" s="110" t="s">
        <v>541</v>
      </c>
      <c r="AB62" s="110" t="s">
        <v>541</v>
      </c>
      <c r="AC62" s="10" t="s">
        <v>541</v>
      </c>
      <c r="AD62" s="10" t="s">
        <v>541</v>
      </c>
    </row>
    <row r="63" spans="1:30" x14ac:dyDescent="0.2">
      <c r="A63" s="110">
        <v>62</v>
      </c>
      <c r="B63" s="132">
        <v>41808</v>
      </c>
      <c r="C63" s="117">
        <v>1</v>
      </c>
      <c r="D63" s="103" t="s">
        <v>2</v>
      </c>
      <c r="E63" s="103" t="s">
        <v>306</v>
      </c>
      <c r="F63" s="103">
        <v>684</v>
      </c>
      <c r="G63" s="103">
        <v>78</v>
      </c>
      <c r="H63" s="137" t="s">
        <v>756</v>
      </c>
      <c r="I63" s="103">
        <v>60</v>
      </c>
      <c r="K63" s="103" t="s">
        <v>364</v>
      </c>
      <c r="L63" s="133">
        <v>0.65416666666666667</v>
      </c>
      <c r="M63" s="134">
        <v>3.6805555555555557E-2</v>
      </c>
      <c r="N63" s="135" t="s">
        <v>767</v>
      </c>
      <c r="O63" s="133" t="s">
        <v>75</v>
      </c>
      <c r="Q63" s="100" t="s">
        <v>734</v>
      </c>
      <c r="R63" s="226" t="s">
        <v>797</v>
      </c>
      <c r="S63" s="491">
        <f t="shared" si="1"/>
        <v>2.8587962999999999E-3</v>
      </c>
      <c r="T63" s="492">
        <f>IFERROR(VLOOKUP(F63,'Freq-Chan'!C:D,2,FALSE),"x")</f>
        <v>151.684</v>
      </c>
      <c r="U63" s="110" t="s">
        <v>541</v>
      </c>
      <c r="V63" s="110" t="str">
        <f t="shared" si="2"/>
        <v>FWL</v>
      </c>
      <c r="W63" s="110" t="s">
        <v>541</v>
      </c>
      <c r="X63" s="110" t="s">
        <v>541</v>
      </c>
      <c r="Y63" s="110" t="str">
        <f>IFERROR(VLOOKUP(F63,'Freq-Chan'!C:E,3,FALSE),"na")</f>
        <v>F1845</v>
      </c>
      <c r="Z63" s="110" t="s">
        <v>541</v>
      </c>
      <c r="AA63" s="110" t="s">
        <v>541</v>
      </c>
      <c r="AB63" s="110" t="s">
        <v>541</v>
      </c>
      <c r="AC63" s="10" t="s">
        <v>541</v>
      </c>
      <c r="AD63" s="10" t="s">
        <v>541</v>
      </c>
    </row>
    <row r="64" spans="1:30" x14ac:dyDescent="0.2">
      <c r="A64" s="110">
        <v>63</v>
      </c>
      <c r="B64" s="132">
        <v>41808</v>
      </c>
      <c r="C64" s="117">
        <v>1</v>
      </c>
      <c r="D64" s="103" t="s">
        <v>2</v>
      </c>
      <c r="E64" s="103" t="s">
        <v>306</v>
      </c>
      <c r="F64" s="103">
        <v>725</v>
      </c>
      <c r="G64" s="103">
        <v>86</v>
      </c>
      <c r="H64" s="137" t="s">
        <v>757</v>
      </c>
      <c r="I64" s="103">
        <v>53</v>
      </c>
      <c r="K64" s="103" t="s">
        <v>364</v>
      </c>
      <c r="L64" s="133">
        <v>0.6645833333333333</v>
      </c>
      <c r="M64" s="134">
        <v>5.0694444444444452E-2</v>
      </c>
      <c r="N64" s="135" t="s">
        <v>768</v>
      </c>
      <c r="O64" s="133" t="s">
        <v>802</v>
      </c>
      <c r="Q64" s="100" t="s">
        <v>734</v>
      </c>
      <c r="R64" s="226" t="s">
        <v>797</v>
      </c>
      <c r="S64" s="491">
        <f t="shared" si="1"/>
        <v>4.0162037000000001E-3</v>
      </c>
      <c r="T64" s="492">
        <f>IFERROR(VLOOKUP(F64,'Freq-Chan'!C:D,2,FALSE),"x")</f>
        <v>151.72499999999999</v>
      </c>
      <c r="U64" s="110" t="s">
        <v>541</v>
      </c>
      <c r="V64" s="110" t="str">
        <f t="shared" si="2"/>
        <v>FWL</v>
      </c>
      <c r="W64" s="110" t="s">
        <v>541</v>
      </c>
      <c r="X64" s="110" t="s">
        <v>541</v>
      </c>
      <c r="Y64" s="110" t="str">
        <f>IFERROR(VLOOKUP(F64,'Freq-Chan'!C:E,3,FALSE),"na")</f>
        <v>F1845</v>
      </c>
      <c r="Z64" s="110" t="s">
        <v>541</v>
      </c>
      <c r="AA64" s="110" t="s">
        <v>541</v>
      </c>
      <c r="AB64" s="110" t="s">
        <v>541</v>
      </c>
      <c r="AC64" s="10" t="s">
        <v>541</v>
      </c>
      <c r="AD64" s="10" t="s">
        <v>541</v>
      </c>
    </row>
    <row r="65" spans="1:30" x14ac:dyDescent="0.2">
      <c r="A65" s="110">
        <v>64</v>
      </c>
      <c r="B65" s="132">
        <v>41808</v>
      </c>
      <c r="C65" s="117">
        <v>1</v>
      </c>
      <c r="D65" s="103" t="s">
        <v>2</v>
      </c>
      <c r="E65" s="103" t="s">
        <v>306</v>
      </c>
      <c r="F65" s="103">
        <v>684</v>
      </c>
      <c r="G65" s="103">
        <v>45</v>
      </c>
      <c r="H65" s="137" t="s">
        <v>758</v>
      </c>
      <c r="I65" s="103">
        <v>61</v>
      </c>
      <c r="K65" s="103" t="s">
        <v>364</v>
      </c>
      <c r="L65" s="133"/>
      <c r="M65" s="134">
        <v>4.0972222222222222E-2</v>
      </c>
      <c r="N65" s="135" t="s">
        <v>769</v>
      </c>
      <c r="O65" s="133" t="s">
        <v>75</v>
      </c>
      <c r="Q65" s="100" t="s">
        <v>734</v>
      </c>
      <c r="R65" s="226" t="s">
        <v>797</v>
      </c>
      <c r="S65" s="491" t="str">
        <f t="shared" si="1"/>
        <v>x</v>
      </c>
      <c r="T65" s="492">
        <f>IFERROR(VLOOKUP(F65,'Freq-Chan'!C:D,2,FALSE),"x")</f>
        <v>151.684</v>
      </c>
      <c r="U65" s="110" t="s">
        <v>541</v>
      </c>
      <c r="V65" s="110" t="str">
        <f t="shared" si="2"/>
        <v>FWL</v>
      </c>
      <c r="W65" s="110" t="s">
        <v>541</v>
      </c>
      <c r="X65" s="110" t="s">
        <v>541</v>
      </c>
      <c r="Y65" s="110" t="str">
        <f>IFERROR(VLOOKUP(F65,'Freq-Chan'!C:E,3,FALSE),"na")</f>
        <v>F1845</v>
      </c>
      <c r="Z65" s="110" t="s">
        <v>541</v>
      </c>
      <c r="AA65" s="110" t="s">
        <v>541</v>
      </c>
      <c r="AB65" s="110" t="s">
        <v>541</v>
      </c>
      <c r="AC65" s="10" t="s">
        <v>541</v>
      </c>
      <c r="AD65" s="10" t="s">
        <v>541</v>
      </c>
    </row>
    <row r="66" spans="1:30" x14ac:dyDescent="0.2">
      <c r="A66" s="110">
        <v>65</v>
      </c>
      <c r="B66" s="132">
        <v>41808</v>
      </c>
      <c r="C66" s="117">
        <v>1</v>
      </c>
      <c r="D66" s="103" t="s">
        <v>177</v>
      </c>
      <c r="E66" s="103" t="s">
        <v>0</v>
      </c>
      <c r="H66" s="103"/>
      <c r="I66" s="103">
        <v>34</v>
      </c>
      <c r="K66" s="103" t="s">
        <v>364</v>
      </c>
      <c r="L66" s="133"/>
      <c r="M66" s="134">
        <v>2.7777777777777776E-2</v>
      </c>
      <c r="N66" s="135" t="s">
        <v>770</v>
      </c>
      <c r="O66" s="133" t="s">
        <v>806</v>
      </c>
      <c r="P66" s="100" t="s">
        <v>776</v>
      </c>
      <c r="Q66" s="100" t="s">
        <v>734</v>
      </c>
      <c r="R66" s="226" t="s">
        <v>797</v>
      </c>
      <c r="S66" s="491" t="str">
        <f t="shared" si="1"/>
        <v>x</v>
      </c>
      <c r="T66" s="492" t="str">
        <f>IFERROR(VLOOKUP(F66,'Freq-Chan'!C:D,2,FALSE),"x")</f>
        <v>x</v>
      </c>
      <c r="U66" s="110" t="s">
        <v>541</v>
      </c>
      <c r="V66" s="110" t="str">
        <f t="shared" si="2"/>
        <v>FWL</v>
      </c>
      <c r="W66" s="110" t="s">
        <v>541</v>
      </c>
      <c r="X66" s="110" t="s">
        <v>541</v>
      </c>
      <c r="Y66" s="110" t="str">
        <f>IFERROR(VLOOKUP(F66,'Freq-Chan'!C:E,3,FALSE),"na")</f>
        <v>na</v>
      </c>
      <c r="Z66" s="110" t="s">
        <v>541</v>
      </c>
      <c r="AA66" s="110" t="s">
        <v>541</v>
      </c>
      <c r="AB66" s="110" t="s">
        <v>541</v>
      </c>
      <c r="AC66" s="10" t="s">
        <v>541</v>
      </c>
      <c r="AD66" s="10" t="s">
        <v>541</v>
      </c>
    </row>
    <row r="67" spans="1:30" x14ac:dyDescent="0.2">
      <c r="A67" s="110">
        <v>66</v>
      </c>
      <c r="B67" s="132">
        <v>41808</v>
      </c>
      <c r="C67" s="117">
        <v>1</v>
      </c>
      <c r="D67" s="103" t="s">
        <v>2</v>
      </c>
      <c r="E67" s="103" t="s">
        <v>306</v>
      </c>
      <c r="F67" s="103">
        <v>917</v>
      </c>
      <c r="G67" s="103">
        <v>16</v>
      </c>
      <c r="H67" s="137" t="s">
        <v>759</v>
      </c>
      <c r="I67" s="103">
        <v>50</v>
      </c>
      <c r="K67" s="103" t="s">
        <v>364</v>
      </c>
      <c r="L67" s="133"/>
      <c r="M67" s="134">
        <v>0.1076388888888889</v>
      </c>
      <c r="N67" s="135" t="s">
        <v>771</v>
      </c>
      <c r="O67" s="133" t="s">
        <v>376</v>
      </c>
      <c r="P67" s="100" t="s">
        <v>777</v>
      </c>
      <c r="Q67" s="100" t="s">
        <v>734</v>
      </c>
      <c r="R67" s="226" t="s">
        <v>797</v>
      </c>
      <c r="S67" s="491" t="str">
        <f t="shared" ref="S67:S130" si="3">IF(IF(OR(L67=0,N67=0),"x",ROUND(N67-L67-(M67*24)/(24*60),10))&lt;0,0,IF(OR(L67=0,N67=0),"x",ROUND(N67-L67-(M67*24)/(24*60),10)))</f>
        <v>x</v>
      </c>
      <c r="T67" s="492">
        <f>IFERROR(VLOOKUP(F67,'Freq-Chan'!C:D,2,FALSE),"x")</f>
        <v>151.917</v>
      </c>
      <c r="U67" s="110" t="s">
        <v>541</v>
      </c>
      <c r="V67" s="110" t="str">
        <f t="shared" ref="V67:V130" si="4">IF(OR(C67=1,C67=2,C67=3),"FWL","NRD")</f>
        <v>FWL</v>
      </c>
      <c r="W67" s="110" t="s">
        <v>541</v>
      </c>
      <c r="X67" s="110" t="s">
        <v>541</v>
      </c>
      <c r="Y67" s="110" t="str">
        <f>IFERROR(VLOOKUP(F67,'Freq-Chan'!C:E,3,FALSE),"na")</f>
        <v>F1835</v>
      </c>
      <c r="Z67" s="110" t="s">
        <v>541</v>
      </c>
      <c r="AA67" s="110" t="s">
        <v>541</v>
      </c>
      <c r="AB67" s="110" t="s">
        <v>541</v>
      </c>
      <c r="AC67" s="10" t="s">
        <v>541</v>
      </c>
      <c r="AD67" s="10" t="s">
        <v>541</v>
      </c>
    </row>
    <row r="68" spans="1:30" x14ac:dyDescent="0.2">
      <c r="A68" s="110">
        <v>67</v>
      </c>
      <c r="B68" s="132">
        <v>41808</v>
      </c>
      <c r="C68" s="117">
        <v>1</v>
      </c>
      <c r="D68" s="103" t="s">
        <v>2</v>
      </c>
      <c r="E68" s="103" t="s">
        <v>306</v>
      </c>
      <c r="F68" s="103">
        <v>684</v>
      </c>
      <c r="G68" s="103">
        <v>82</v>
      </c>
      <c r="H68" s="137" t="s">
        <v>760</v>
      </c>
      <c r="I68" s="103">
        <v>88</v>
      </c>
      <c r="K68" s="103" t="s">
        <v>364</v>
      </c>
      <c r="L68" s="133">
        <v>0.79027777777777775</v>
      </c>
      <c r="M68" s="134">
        <v>0.125</v>
      </c>
      <c r="N68" s="135" t="s">
        <v>772</v>
      </c>
      <c r="O68" s="133" t="s">
        <v>806</v>
      </c>
      <c r="P68" s="100" t="s">
        <v>778</v>
      </c>
      <c r="Q68" s="100" t="s">
        <v>734</v>
      </c>
      <c r="R68" s="226" t="s">
        <v>797</v>
      </c>
      <c r="S68" s="491">
        <f t="shared" si="3"/>
        <v>3.4722222000000001E-3</v>
      </c>
      <c r="T68" s="492">
        <f>IFERROR(VLOOKUP(F68,'Freq-Chan'!C:D,2,FALSE),"x")</f>
        <v>151.684</v>
      </c>
      <c r="U68" s="110" t="s">
        <v>541</v>
      </c>
      <c r="V68" s="110" t="str">
        <f t="shared" si="4"/>
        <v>FWL</v>
      </c>
      <c r="W68" s="110" t="s">
        <v>541</v>
      </c>
      <c r="X68" s="110" t="s">
        <v>541</v>
      </c>
      <c r="Y68" s="110" t="str">
        <f>IFERROR(VLOOKUP(F68,'Freq-Chan'!C:E,3,FALSE),"na")</f>
        <v>F1845</v>
      </c>
      <c r="Z68" s="110" t="s">
        <v>541</v>
      </c>
      <c r="AA68" s="110" t="s">
        <v>541</v>
      </c>
      <c r="AB68" s="110" t="s">
        <v>541</v>
      </c>
      <c r="AC68" s="10" t="s">
        <v>541</v>
      </c>
      <c r="AD68" s="10" t="s">
        <v>541</v>
      </c>
    </row>
    <row r="69" spans="1:30" x14ac:dyDescent="0.2">
      <c r="A69" s="110">
        <v>68</v>
      </c>
      <c r="B69" s="132">
        <v>41808</v>
      </c>
      <c r="C69" s="117">
        <v>1</v>
      </c>
      <c r="D69" s="103" t="s">
        <v>2</v>
      </c>
      <c r="E69" s="103" t="s">
        <v>306</v>
      </c>
      <c r="F69" s="103">
        <v>684</v>
      </c>
      <c r="G69" s="103">
        <v>73</v>
      </c>
      <c r="H69" s="137" t="s">
        <v>761</v>
      </c>
      <c r="I69" s="103">
        <v>105</v>
      </c>
      <c r="K69" s="103" t="s">
        <v>364</v>
      </c>
      <c r="L69" s="133">
        <v>0.81527777777777777</v>
      </c>
      <c r="M69" s="134">
        <v>9.3055555555555558E-2</v>
      </c>
      <c r="N69" s="135" t="s">
        <v>773</v>
      </c>
      <c r="O69" s="133" t="s">
        <v>806</v>
      </c>
      <c r="Q69" s="100" t="s">
        <v>734</v>
      </c>
      <c r="R69" s="226" t="s">
        <v>797</v>
      </c>
      <c r="S69" s="491">
        <f t="shared" si="3"/>
        <v>4.6990740999999997E-3</v>
      </c>
      <c r="T69" s="492">
        <f>IFERROR(VLOOKUP(F69,'Freq-Chan'!C:D,2,FALSE),"x")</f>
        <v>151.684</v>
      </c>
      <c r="U69" s="110" t="s">
        <v>541</v>
      </c>
      <c r="V69" s="110" t="str">
        <f t="shared" si="4"/>
        <v>FWL</v>
      </c>
      <c r="W69" s="110" t="s">
        <v>541</v>
      </c>
      <c r="X69" s="110" t="s">
        <v>541</v>
      </c>
      <c r="Y69" s="110" t="str">
        <f>IFERROR(VLOOKUP(F69,'Freq-Chan'!C:E,3,FALSE),"na")</f>
        <v>F1845</v>
      </c>
      <c r="Z69" s="110" t="s">
        <v>541</v>
      </c>
      <c r="AA69" s="110" t="s">
        <v>541</v>
      </c>
      <c r="AB69" s="110" t="s">
        <v>541</v>
      </c>
      <c r="AC69" s="10" t="s">
        <v>541</v>
      </c>
      <c r="AD69" s="10" t="s">
        <v>541</v>
      </c>
    </row>
    <row r="70" spans="1:30" x14ac:dyDescent="0.2">
      <c r="A70" s="110">
        <v>69</v>
      </c>
      <c r="B70" s="132">
        <v>41808</v>
      </c>
      <c r="C70" s="117">
        <v>1</v>
      </c>
      <c r="D70" s="103" t="s">
        <v>2</v>
      </c>
      <c r="E70" s="103" t="s">
        <v>306</v>
      </c>
      <c r="F70" s="103">
        <v>725</v>
      </c>
      <c r="G70" s="103">
        <v>71</v>
      </c>
      <c r="H70" s="137" t="s">
        <v>762</v>
      </c>
      <c r="I70" s="103">
        <v>66</v>
      </c>
      <c r="K70" s="103" t="s">
        <v>364</v>
      </c>
      <c r="L70" s="133"/>
      <c r="M70" s="134">
        <v>3.9583333333333331E-2</v>
      </c>
      <c r="N70" s="135" t="s">
        <v>774</v>
      </c>
      <c r="O70" s="133" t="s">
        <v>802</v>
      </c>
      <c r="Q70" s="100" t="s">
        <v>734</v>
      </c>
      <c r="R70" s="226" t="s">
        <v>797</v>
      </c>
      <c r="S70" s="491" t="str">
        <f t="shared" si="3"/>
        <v>x</v>
      </c>
      <c r="T70" s="492">
        <f>IFERROR(VLOOKUP(F70,'Freq-Chan'!C:D,2,FALSE),"x")</f>
        <v>151.72499999999999</v>
      </c>
      <c r="U70" s="110" t="s">
        <v>541</v>
      </c>
      <c r="V70" s="110" t="str">
        <f t="shared" si="4"/>
        <v>FWL</v>
      </c>
      <c r="W70" s="110" t="s">
        <v>541</v>
      </c>
      <c r="X70" s="110" t="s">
        <v>541</v>
      </c>
      <c r="Y70" s="110" t="str">
        <f>IFERROR(VLOOKUP(F70,'Freq-Chan'!C:E,3,FALSE),"na")</f>
        <v>F1845</v>
      </c>
      <c r="Z70" s="110" t="s">
        <v>541</v>
      </c>
      <c r="AA70" s="110" t="s">
        <v>541</v>
      </c>
      <c r="AB70" s="110" t="s">
        <v>541</v>
      </c>
      <c r="AC70" s="10" t="s">
        <v>541</v>
      </c>
      <c r="AD70" s="10" t="s">
        <v>541</v>
      </c>
    </row>
    <row r="71" spans="1:30" s="291" customFormat="1" x14ac:dyDescent="0.2">
      <c r="A71" s="493">
        <v>70</v>
      </c>
      <c r="B71" s="283">
        <v>41808</v>
      </c>
      <c r="C71" s="284">
        <v>1</v>
      </c>
      <c r="D71" s="285" t="s">
        <v>177</v>
      </c>
      <c r="E71" s="285" t="s">
        <v>0</v>
      </c>
      <c r="F71" s="285"/>
      <c r="G71" s="285"/>
      <c r="H71" s="285"/>
      <c r="I71" s="285">
        <v>38</v>
      </c>
      <c r="J71" s="285"/>
      <c r="K71" s="285" t="s">
        <v>364</v>
      </c>
      <c r="L71" s="286"/>
      <c r="M71" s="287">
        <v>4.5138888888888888E-2</v>
      </c>
      <c r="N71" s="288" t="s">
        <v>775</v>
      </c>
      <c r="O71" s="286" t="s">
        <v>802</v>
      </c>
      <c r="P71" s="289" t="s">
        <v>779</v>
      </c>
      <c r="Q71" s="289" t="s">
        <v>734</v>
      </c>
      <c r="R71" s="290" t="s">
        <v>797</v>
      </c>
      <c r="S71" s="494" t="str">
        <f t="shared" si="3"/>
        <v>x</v>
      </c>
      <c r="T71" s="495" t="str">
        <f>IFERROR(VLOOKUP(F71,'Freq-Chan'!C:D,2,FALSE),"x")</f>
        <v>x</v>
      </c>
      <c r="U71" s="493" t="s">
        <v>541</v>
      </c>
      <c r="V71" s="493" t="str">
        <f t="shared" si="4"/>
        <v>FWL</v>
      </c>
      <c r="W71" s="493" t="s">
        <v>541</v>
      </c>
      <c r="X71" s="493" t="s">
        <v>541</v>
      </c>
      <c r="Y71" s="493" t="str">
        <f>IFERROR(VLOOKUP(F71,'Freq-Chan'!C:E,3,FALSE),"na")</f>
        <v>na</v>
      </c>
      <c r="Z71" s="493" t="s">
        <v>541</v>
      </c>
      <c r="AA71" s="493" t="s">
        <v>541</v>
      </c>
      <c r="AB71" s="493" t="s">
        <v>541</v>
      </c>
      <c r="AC71" s="291" t="s">
        <v>541</v>
      </c>
      <c r="AD71" s="291" t="s">
        <v>541</v>
      </c>
    </row>
    <row r="72" spans="1:30" x14ac:dyDescent="0.2">
      <c r="A72" s="110">
        <v>71</v>
      </c>
      <c r="B72" s="132">
        <v>41808</v>
      </c>
      <c r="C72" s="117">
        <v>2</v>
      </c>
      <c r="D72" s="103" t="s">
        <v>177</v>
      </c>
      <c r="E72" s="103" t="s">
        <v>0</v>
      </c>
      <c r="H72" s="103"/>
      <c r="I72" s="103">
        <v>28</v>
      </c>
      <c r="K72" s="103" t="s">
        <v>364</v>
      </c>
      <c r="L72" s="133"/>
      <c r="M72" s="134">
        <v>2.6388888888888889E-2</v>
      </c>
      <c r="N72" s="135" t="s">
        <v>782</v>
      </c>
      <c r="O72" s="133" t="s">
        <v>373</v>
      </c>
      <c r="P72" s="100" t="s">
        <v>785</v>
      </c>
      <c r="Q72" s="100" t="s">
        <v>734</v>
      </c>
      <c r="R72" s="226" t="s">
        <v>797</v>
      </c>
      <c r="S72" s="491" t="str">
        <f t="shared" si="3"/>
        <v>x</v>
      </c>
      <c r="T72" s="492" t="str">
        <f>IFERROR(VLOOKUP(F72,'Freq-Chan'!C:D,2,FALSE),"x")</f>
        <v>x</v>
      </c>
      <c r="U72" s="110" t="s">
        <v>541</v>
      </c>
      <c r="V72" s="110" t="str">
        <f t="shared" si="4"/>
        <v>FWL</v>
      </c>
      <c r="W72" s="110" t="s">
        <v>541</v>
      </c>
      <c r="X72" s="110" t="s">
        <v>541</v>
      </c>
      <c r="Y72" s="110" t="str">
        <f>IFERROR(VLOOKUP(F72,'Freq-Chan'!C:E,3,FALSE),"na")</f>
        <v>na</v>
      </c>
      <c r="Z72" s="110" t="s">
        <v>541</v>
      </c>
      <c r="AA72" s="110" t="s">
        <v>541</v>
      </c>
      <c r="AB72" s="110" t="s">
        <v>541</v>
      </c>
      <c r="AC72" s="10" t="s">
        <v>541</v>
      </c>
      <c r="AD72" s="10" t="s">
        <v>541</v>
      </c>
    </row>
    <row r="73" spans="1:30" x14ac:dyDescent="0.2">
      <c r="A73" s="110">
        <v>72</v>
      </c>
      <c r="B73" s="132">
        <v>41808</v>
      </c>
      <c r="C73" s="117">
        <v>2</v>
      </c>
      <c r="D73" s="103" t="s">
        <v>2</v>
      </c>
      <c r="E73" s="103" t="s">
        <v>306</v>
      </c>
      <c r="F73" s="103">
        <v>684</v>
      </c>
      <c r="G73" s="103">
        <v>62</v>
      </c>
      <c r="H73" s="137" t="s">
        <v>780</v>
      </c>
      <c r="I73" s="103">
        <v>79</v>
      </c>
      <c r="K73" s="103" t="s">
        <v>364</v>
      </c>
      <c r="L73" s="133"/>
      <c r="M73" s="134">
        <v>9.1666666666666674E-2</v>
      </c>
      <c r="N73" s="135" t="s">
        <v>783</v>
      </c>
      <c r="O73" s="133" t="s">
        <v>376</v>
      </c>
      <c r="Q73" s="100" t="s">
        <v>734</v>
      </c>
      <c r="R73" s="226" t="s">
        <v>797</v>
      </c>
      <c r="S73" s="491" t="str">
        <f t="shared" si="3"/>
        <v>x</v>
      </c>
      <c r="T73" s="492">
        <f>IFERROR(VLOOKUP(F73,'Freq-Chan'!C:D,2,FALSE),"x")</f>
        <v>151.684</v>
      </c>
      <c r="U73" s="110" t="s">
        <v>541</v>
      </c>
      <c r="V73" s="110" t="str">
        <f t="shared" si="4"/>
        <v>FWL</v>
      </c>
      <c r="W73" s="110" t="s">
        <v>541</v>
      </c>
      <c r="X73" s="110" t="s">
        <v>541</v>
      </c>
      <c r="Y73" s="110" t="str">
        <f>IFERROR(VLOOKUP(F73,'Freq-Chan'!C:E,3,FALSE),"na")</f>
        <v>F1845</v>
      </c>
      <c r="Z73" s="110" t="s">
        <v>541</v>
      </c>
      <c r="AA73" s="110" t="s">
        <v>541</v>
      </c>
      <c r="AB73" s="110" t="s">
        <v>541</v>
      </c>
      <c r="AC73" s="10" t="s">
        <v>541</v>
      </c>
      <c r="AD73" s="10" t="s">
        <v>541</v>
      </c>
    </row>
    <row r="74" spans="1:30" s="291" customFormat="1" x14ac:dyDescent="0.2">
      <c r="A74" s="493">
        <v>73</v>
      </c>
      <c r="B74" s="283">
        <v>41808</v>
      </c>
      <c r="C74" s="284">
        <v>2</v>
      </c>
      <c r="D74" s="285" t="s">
        <v>2</v>
      </c>
      <c r="E74" s="285" t="s">
        <v>306</v>
      </c>
      <c r="F74" s="285">
        <v>684</v>
      </c>
      <c r="G74" s="285">
        <v>2</v>
      </c>
      <c r="H74" s="339" t="s">
        <v>781</v>
      </c>
      <c r="I74" s="285">
        <v>87</v>
      </c>
      <c r="J74" s="285"/>
      <c r="K74" s="285" t="s">
        <v>364</v>
      </c>
      <c r="L74" s="286"/>
      <c r="M74" s="287">
        <v>0.10625</v>
      </c>
      <c r="N74" s="288" t="s">
        <v>784</v>
      </c>
      <c r="O74" s="286" t="s">
        <v>376</v>
      </c>
      <c r="P74" s="289"/>
      <c r="Q74" s="289" t="s">
        <v>734</v>
      </c>
      <c r="R74" s="290" t="s">
        <v>797</v>
      </c>
      <c r="S74" s="494" t="str">
        <f t="shared" si="3"/>
        <v>x</v>
      </c>
      <c r="T74" s="495">
        <f>IFERROR(VLOOKUP(F74,'Freq-Chan'!C:D,2,FALSE),"x")</f>
        <v>151.684</v>
      </c>
      <c r="U74" s="493" t="s">
        <v>541</v>
      </c>
      <c r="V74" s="493" t="str">
        <f t="shared" si="4"/>
        <v>FWL</v>
      </c>
      <c r="W74" s="493" t="s">
        <v>541</v>
      </c>
      <c r="X74" s="493" t="s">
        <v>541</v>
      </c>
      <c r="Y74" s="493" t="str">
        <f>IFERROR(VLOOKUP(F74,'Freq-Chan'!C:E,3,FALSE),"na")</f>
        <v>F1845</v>
      </c>
      <c r="Z74" s="493" t="s">
        <v>541</v>
      </c>
      <c r="AA74" s="493" t="s">
        <v>541</v>
      </c>
      <c r="AB74" s="493" t="s">
        <v>541</v>
      </c>
      <c r="AC74" s="291" t="s">
        <v>541</v>
      </c>
      <c r="AD74" s="291" t="s">
        <v>541</v>
      </c>
    </row>
    <row r="75" spans="1:30" s="314" customFormat="1" x14ac:dyDescent="0.2">
      <c r="A75" s="499">
        <v>74</v>
      </c>
      <c r="B75" s="294">
        <v>41808</v>
      </c>
      <c r="C75" s="295">
        <v>2</v>
      </c>
      <c r="D75" s="296" t="s">
        <v>2</v>
      </c>
      <c r="E75" s="296" t="s">
        <v>306</v>
      </c>
      <c r="F75" s="296">
        <v>684</v>
      </c>
      <c r="G75" s="296">
        <v>34</v>
      </c>
      <c r="H75" s="327" t="s">
        <v>786</v>
      </c>
      <c r="I75" s="296">
        <v>65</v>
      </c>
      <c r="J75" s="296"/>
      <c r="K75" s="296" t="s">
        <v>364</v>
      </c>
      <c r="L75" s="297"/>
      <c r="M75" s="298">
        <v>4.5138888888888888E-2</v>
      </c>
      <c r="N75" s="299" t="s">
        <v>787</v>
      </c>
      <c r="O75" s="297" t="s">
        <v>75</v>
      </c>
      <c r="P75" s="300"/>
      <c r="Q75" s="289" t="s">
        <v>740</v>
      </c>
      <c r="R75" s="301" t="s">
        <v>797</v>
      </c>
      <c r="S75" s="500" t="str">
        <f t="shared" si="3"/>
        <v>x</v>
      </c>
      <c r="T75" s="501">
        <f>IFERROR(VLOOKUP(F75,'Freq-Chan'!C:D,2,FALSE),"x")</f>
        <v>151.684</v>
      </c>
      <c r="U75" s="499" t="s">
        <v>541</v>
      </c>
      <c r="V75" s="499" t="str">
        <f t="shared" si="4"/>
        <v>FWL</v>
      </c>
      <c r="W75" s="499" t="s">
        <v>541</v>
      </c>
      <c r="X75" s="499" t="s">
        <v>541</v>
      </c>
      <c r="Y75" s="499" t="str">
        <f>IFERROR(VLOOKUP(F75,'Freq-Chan'!C:E,3,FALSE),"na")</f>
        <v>F1845</v>
      </c>
      <c r="Z75" s="499" t="s">
        <v>541</v>
      </c>
      <c r="AA75" s="499" t="s">
        <v>541</v>
      </c>
      <c r="AB75" s="499" t="s">
        <v>541</v>
      </c>
      <c r="AC75" s="314" t="s">
        <v>541</v>
      </c>
      <c r="AD75" s="314" t="s">
        <v>541</v>
      </c>
    </row>
    <row r="76" spans="1:30" x14ac:dyDescent="0.2">
      <c r="A76" s="110">
        <v>75</v>
      </c>
      <c r="B76" s="132">
        <v>41808</v>
      </c>
      <c r="C76" s="117">
        <v>3</v>
      </c>
      <c r="D76" s="103" t="s">
        <v>2</v>
      </c>
      <c r="E76" s="103" t="s">
        <v>306</v>
      </c>
      <c r="F76" s="103">
        <v>684</v>
      </c>
      <c r="G76" s="103">
        <v>87</v>
      </c>
      <c r="H76" s="137" t="s">
        <v>788</v>
      </c>
      <c r="I76" s="103">
        <v>73</v>
      </c>
      <c r="K76" s="103" t="s">
        <v>364</v>
      </c>
      <c r="L76" s="133">
        <v>0.79861111111111116</v>
      </c>
      <c r="M76" s="134">
        <v>6.1111111111111116E-2</v>
      </c>
      <c r="N76" s="135" t="s">
        <v>789</v>
      </c>
      <c r="O76" s="133" t="s">
        <v>75</v>
      </c>
      <c r="Q76" s="100" t="s">
        <v>795</v>
      </c>
      <c r="R76" s="226" t="s">
        <v>797</v>
      </c>
      <c r="S76" s="491">
        <f t="shared" si="3"/>
        <v>4.5370369999999998E-3</v>
      </c>
      <c r="T76" s="492">
        <f>IFERROR(VLOOKUP(F76,'Freq-Chan'!C:D,2,FALSE),"x")</f>
        <v>151.684</v>
      </c>
      <c r="U76" s="110" t="s">
        <v>541</v>
      </c>
      <c r="V76" s="110" t="str">
        <f t="shared" si="4"/>
        <v>FWL</v>
      </c>
      <c r="W76" s="110" t="s">
        <v>541</v>
      </c>
      <c r="X76" s="110" t="s">
        <v>541</v>
      </c>
      <c r="Y76" s="110" t="str">
        <f>IFERROR(VLOOKUP(F76,'Freq-Chan'!C:E,3,FALSE),"na")</f>
        <v>F1845</v>
      </c>
      <c r="Z76" s="110" t="s">
        <v>541</v>
      </c>
      <c r="AA76" s="110" t="s">
        <v>541</v>
      </c>
      <c r="AB76" s="110" t="s">
        <v>541</v>
      </c>
      <c r="AC76" s="10" t="s">
        <v>541</v>
      </c>
      <c r="AD76" s="10" t="s">
        <v>541</v>
      </c>
    </row>
    <row r="77" spans="1:30" x14ac:dyDescent="0.2">
      <c r="A77" s="110">
        <v>76</v>
      </c>
      <c r="B77" s="132">
        <v>41808</v>
      </c>
      <c r="C77" s="117">
        <v>3</v>
      </c>
      <c r="D77" s="103" t="s">
        <v>75</v>
      </c>
      <c r="E77" s="103" t="s">
        <v>798</v>
      </c>
      <c r="H77" s="103"/>
      <c r="K77" s="103" t="s">
        <v>364</v>
      </c>
      <c r="L77" s="133"/>
      <c r="M77" s="134">
        <v>4.3055555555555562E-2</v>
      </c>
      <c r="N77" s="135" t="s">
        <v>791</v>
      </c>
      <c r="O77" s="133" t="s">
        <v>75</v>
      </c>
      <c r="Q77" s="100" t="s">
        <v>795</v>
      </c>
      <c r="R77" s="226" t="s">
        <v>797</v>
      </c>
      <c r="S77" s="491" t="str">
        <f t="shared" si="3"/>
        <v>x</v>
      </c>
      <c r="T77" s="492" t="str">
        <f>IFERROR(VLOOKUP(F77,'Freq-Chan'!C:D,2,FALSE),"x")</f>
        <v>x</v>
      </c>
      <c r="U77" s="110" t="s">
        <v>541</v>
      </c>
      <c r="V77" s="110" t="str">
        <f t="shared" si="4"/>
        <v>FWL</v>
      </c>
      <c r="W77" s="110" t="s">
        <v>541</v>
      </c>
      <c r="X77" s="110" t="s">
        <v>541</v>
      </c>
      <c r="Y77" s="110" t="str">
        <f>IFERROR(VLOOKUP(F77,'Freq-Chan'!C:E,3,FALSE),"na")</f>
        <v>na</v>
      </c>
      <c r="Z77" s="110" t="s">
        <v>541</v>
      </c>
      <c r="AA77" s="110" t="s">
        <v>541</v>
      </c>
      <c r="AB77" s="110" t="s">
        <v>541</v>
      </c>
      <c r="AC77" s="10" t="s">
        <v>541</v>
      </c>
      <c r="AD77" s="10" t="s">
        <v>541</v>
      </c>
    </row>
    <row r="78" spans="1:30" x14ac:dyDescent="0.2">
      <c r="A78" s="110">
        <v>77</v>
      </c>
      <c r="B78" s="132">
        <v>41808</v>
      </c>
      <c r="C78" s="117">
        <v>3</v>
      </c>
      <c r="D78" s="103" t="s">
        <v>2</v>
      </c>
      <c r="E78" s="103" t="s">
        <v>306</v>
      </c>
      <c r="F78" s="103">
        <v>725</v>
      </c>
      <c r="G78" s="103">
        <v>4</v>
      </c>
      <c r="H78" s="137" t="s">
        <v>790</v>
      </c>
      <c r="I78" s="103">
        <v>55</v>
      </c>
      <c r="K78" s="103" t="s">
        <v>364</v>
      </c>
      <c r="L78" s="133"/>
      <c r="M78" s="134">
        <v>4.1666666666666664E-2</v>
      </c>
      <c r="N78" s="135" t="s">
        <v>792</v>
      </c>
      <c r="O78" s="133" t="s">
        <v>75</v>
      </c>
      <c r="Q78" s="100" t="s">
        <v>795</v>
      </c>
      <c r="R78" s="226" t="s">
        <v>797</v>
      </c>
      <c r="S78" s="491" t="str">
        <f t="shared" si="3"/>
        <v>x</v>
      </c>
      <c r="T78" s="492">
        <f>IFERROR(VLOOKUP(F78,'Freq-Chan'!C:D,2,FALSE),"x")</f>
        <v>151.72499999999999</v>
      </c>
      <c r="U78" s="110" t="s">
        <v>541</v>
      </c>
      <c r="V78" s="110" t="str">
        <f t="shared" si="4"/>
        <v>FWL</v>
      </c>
      <c r="W78" s="110" t="s">
        <v>541</v>
      </c>
      <c r="X78" s="110" t="s">
        <v>541</v>
      </c>
      <c r="Y78" s="110" t="str">
        <f>IFERROR(VLOOKUP(F78,'Freq-Chan'!C:E,3,FALSE),"na")</f>
        <v>F1845</v>
      </c>
      <c r="Z78" s="110" t="s">
        <v>541</v>
      </c>
      <c r="AA78" s="110" t="s">
        <v>541</v>
      </c>
      <c r="AB78" s="110" t="s">
        <v>541</v>
      </c>
      <c r="AC78" s="10" t="s">
        <v>541</v>
      </c>
      <c r="AD78" s="10" t="s">
        <v>541</v>
      </c>
    </row>
    <row r="79" spans="1:30" x14ac:dyDescent="0.2">
      <c r="A79" s="110">
        <v>78</v>
      </c>
      <c r="B79" s="132">
        <v>41808</v>
      </c>
      <c r="C79" s="117">
        <v>3</v>
      </c>
      <c r="D79" s="103" t="s">
        <v>177</v>
      </c>
      <c r="E79" s="103" t="s">
        <v>0</v>
      </c>
      <c r="H79" s="103"/>
      <c r="I79" s="103">
        <v>33</v>
      </c>
      <c r="K79" s="103" t="s">
        <v>364</v>
      </c>
      <c r="L79" s="133"/>
      <c r="M79" s="134">
        <v>6.25E-2</v>
      </c>
      <c r="N79" s="135" t="s">
        <v>792</v>
      </c>
      <c r="O79" s="133" t="s">
        <v>75</v>
      </c>
      <c r="P79" s="100" t="s">
        <v>794</v>
      </c>
      <c r="Q79" s="100" t="s">
        <v>795</v>
      </c>
      <c r="R79" s="226" t="s">
        <v>797</v>
      </c>
      <c r="S79" s="491" t="str">
        <f t="shared" si="3"/>
        <v>x</v>
      </c>
      <c r="T79" s="492" t="str">
        <f>IFERROR(VLOOKUP(F79,'Freq-Chan'!C:D,2,FALSE),"x")</f>
        <v>x</v>
      </c>
      <c r="U79" s="110" t="s">
        <v>541</v>
      </c>
      <c r="V79" s="110" t="str">
        <f t="shared" si="4"/>
        <v>FWL</v>
      </c>
      <c r="W79" s="110" t="s">
        <v>541</v>
      </c>
      <c r="X79" s="110" t="s">
        <v>541</v>
      </c>
      <c r="Y79" s="110" t="str">
        <f>IFERROR(VLOOKUP(F79,'Freq-Chan'!C:E,3,FALSE),"na")</f>
        <v>na</v>
      </c>
      <c r="Z79" s="110" t="s">
        <v>541</v>
      </c>
      <c r="AA79" s="110" t="s">
        <v>541</v>
      </c>
      <c r="AB79" s="110" t="s">
        <v>541</v>
      </c>
      <c r="AC79" s="10" t="s">
        <v>541</v>
      </c>
      <c r="AD79" s="10" t="s">
        <v>541</v>
      </c>
    </row>
    <row r="80" spans="1:30" s="291" customFormat="1" x14ac:dyDescent="0.2">
      <c r="A80" s="493">
        <v>79</v>
      </c>
      <c r="B80" s="283">
        <v>41808</v>
      </c>
      <c r="C80" s="284">
        <v>3</v>
      </c>
      <c r="D80" s="285" t="s">
        <v>177</v>
      </c>
      <c r="E80" s="285" t="s">
        <v>0</v>
      </c>
      <c r="F80" s="285"/>
      <c r="G80" s="285"/>
      <c r="H80" s="285"/>
      <c r="I80" s="285">
        <v>38</v>
      </c>
      <c r="J80" s="285"/>
      <c r="K80" s="285" t="s">
        <v>364</v>
      </c>
      <c r="L80" s="286">
        <v>0.91388888888888886</v>
      </c>
      <c r="M80" s="287">
        <v>4.3055555555555562E-2</v>
      </c>
      <c r="N80" s="288" t="s">
        <v>793</v>
      </c>
      <c r="O80" s="286" t="s">
        <v>75</v>
      </c>
      <c r="P80" s="289" t="s">
        <v>776</v>
      </c>
      <c r="Q80" s="289" t="s">
        <v>795</v>
      </c>
      <c r="R80" s="290" t="s">
        <v>797</v>
      </c>
      <c r="S80" s="494">
        <f t="shared" si="3"/>
        <v>1.3657407000000001E-3</v>
      </c>
      <c r="T80" s="495" t="str">
        <f>IFERROR(VLOOKUP(F80,'Freq-Chan'!C:D,2,FALSE),"x")</f>
        <v>x</v>
      </c>
      <c r="U80" s="493" t="s">
        <v>541</v>
      </c>
      <c r="V80" s="493" t="str">
        <f t="shared" si="4"/>
        <v>FWL</v>
      </c>
      <c r="W80" s="493" t="s">
        <v>541</v>
      </c>
      <c r="X80" s="493" t="s">
        <v>541</v>
      </c>
      <c r="Y80" s="493" t="str">
        <f>IFERROR(VLOOKUP(F80,'Freq-Chan'!C:E,3,FALSE),"na")</f>
        <v>na</v>
      </c>
      <c r="Z80" s="493" t="s">
        <v>541</v>
      </c>
      <c r="AA80" s="493" t="s">
        <v>541</v>
      </c>
      <c r="AB80" s="493" t="s">
        <v>541</v>
      </c>
      <c r="AC80" s="291" t="s">
        <v>541</v>
      </c>
      <c r="AD80" s="291" t="s">
        <v>541</v>
      </c>
    </row>
    <row r="81" spans="1:30" s="314" customFormat="1" x14ac:dyDescent="0.2">
      <c r="A81" s="499">
        <v>80</v>
      </c>
      <c r="B81" s="294">
        <v>41809</v>
      </c>
      <c r="C81" s="295">
        <v>1</v>
      </c>
      <c r="D81" s="296" t="s">
        <v>2</v>
      </c>
      <c r="E81" s="296" t="s">
        <v>306</v>
      </c>
      <c r="F81" s="296">
        <v>684</v>
      </c>
      <c r="G81" s="296">
        <v>69</v>
      </c>
      <c r="H81" s="327" t="s">
        <v>824</v>
      </c>
      <c r="I81" s="296">
        <v>92</v>
      </c>
      <c r="J81" s="296"/>
      <c r="K81" s="296" t="s">
        <v>364</v>
      </c>
      <c r="L81" s="297"/>
      <c r="M81" s="298">
        <v>7.4999999999999997E-2</v>
      </c>
      <c r="N81" s="299" t="s">
        <v>825</v>
      </c>
      <c r="O81" s="297" t="s">
        <v>376</v>
      </c>
      <c r="P81" s="300"/>
      <c r="Q81" s="300" t="s">
        <v>812</v>
      </c>
      <c r="R81" s="301" t="s">
        <v>913</v>
      </c>
      <c r="S81" s="500" t="str">
        <f t="shared" si="3"/>
        <v>x</v>
      </c>
      <c r="T81" s="501">
        <f>IFERROR(VLOOKUP(F81,'Freq-Chan'!C:D,2,FALSE),"x")</f>
        <v>151.684</v>
      </c>
      <c r="U81" s="499" t="s">
        <v>541</v>
      </c>
      <c r="V81" s="499" t="str">
        <f t="shared" si="4"/>
        <v>FWL</v>
      </c>
      <c r="W81" s="499" t="s">
        <v>541</v>
      </c>
      <c r="X81" s="499" t="s">
        <v>541</v>
      </c>
      <c r="Y81" s="499" t="str">
        <f>IFERROR(VLOOKUP(F81,'Freq-Chan'!C:E,3,FALSE),"na")</f>
        <v>F1845</v>
      </c>
      <c r="Z81" s="499" t="s">
        <v>541</v>
      </c>
      <c r="AA81" s="499" t="s">
        <v>541</v>
      </c>
      <c r="AB81" s="499" t="s">
        <v>541</v>
      </c>
      <c r="AC81" s="314" t="s">
        <v>541</v>
      </c>
      <c r="AD81" s="314" t="s">
        <v>541</v>
      </c>
    </row>
    <row r="82" spans="1:30" s="314" customFormat="1" x14ac:dyDescent="0.2">
      <c r="A82" s="499">
        <v>81</v>
      </c>
      <c r="B82" s="294">
        <v>41809</v>
      </c>
      <c r="C82" s="295">
        <v>2</v>
      </c>
      <c r="D82" s="296" t="s">
        <v>75</v>
      </c>
      <c r="E82" s="296" t="s">
        <v>798</v>
      </c>
      <c r="F82" s="296"/>
      <c r="G82" s="296"/>
      <c r="H82" s="296"/>
      <c r="I82" s="296"/>
      <c r="J82" s="296">
        <v>18</v>
      </c>
      <c r="K82" s="296" t="s">
        <v>364</v>
      </c>
      <c r="L82" s="297"/>
      <c r="M82" s="298"/>
      <c r="N82" s="299" t="s">
        <v>826</v>
      </c>
      <c r="O82" s="297" t="s">
        <v>805</v>
      </c>
      <c r="P82" s="300"/>
      <c r="Q82" s="300" t="s">
        <v>818</v>
      </c>
      <c r="R82" s="301" t="s">
        <v>913</v>
      </c>
      <c r="S82" s="500" t="str">
        <f t="shared" si="3"/>
        <v>x</v>
      </c>
      <c r="T82" s="501" t="str">
        <f>IFERROR(VLOOKUP(F82,'Freq-Chan'!C:D,2,FALSE),"x")</f>
        <v>x</v>
      </c>
      <c r="U82" s="499" t="s">
        <v>541</v>
      </c>
      <c r="V82" s="499" t="str">
        <f t="shared" si="4"/>
        <v>FWL</v>
      </c>
      <c r="W82" s="499" t="s">
        <v>541</v>
      </c>
      <c r="X82" s="499" t="s">
        <v>541</v>
      </c>
      <c r="Y82" s="499" t="str">
        <f>IFERROR(VLOOKUP(F82,'Freq-Chan'!C:E,3,FALSE),"na")</f>
        <v>na</v>
      </c>
      <c r="Z82" s="499" t="s">
        <v>541</v>
      </c>
      <c r="AA82" s="499" t="s">
        <v>541</v>
      </c>
      <c r="AB82" s="499" t="s">
        <v>541</v>
      </c>
      <c r="AC82" s="314" t="s">
        <v>541</v>
      </c>
      <c r="AD82" s="314" t="s">
        <v>541</v>
      </c>
    </row>
    <row r="83" spans="1:30" x14ac:dyDescent="0.2">
      <c r="A83" s="110">
        <v>82</v>
      </c>
      <c r="B83" s="132">
        <v>41809</v>
      </c>
      <c r="C83" s="117">
        <v>3</v>
      </c>
      <c r="D83" s="103" t="s">
        <v>177</v>
      </c>
      <c r="E83" s="103" t="s">
        <v>0</v>
      </c>
      <c r="H83" s="103"/>
      <c r="I83" s="103">
        <v>36</v>
      </c>
      <c r="K83" s="103" t="s">
        <v>364</v>
      </c>
      <c r="L83" s="133"/>
      <c r="M83" s="134">
        <v>1.5972222222222224E-2</v>
      </c>
      <c r="N83" s="135" t="s">
        <v>834</v>
      </c>
      <c r="O83" s="133" t="s">
        <v>373</v>
      </c>
      <c r="P83" s="100" t="s">
        <v>851</v>
      </c>
      <c r="Q83" s="100" t="s">
        <v>813</v>
      </c>
      <c r="R83" s="226" t="s">
        <v>913</v>
      </c>
      <c r="S83" s="491" t="str">
        <f t="shared" si="3"/>
        <v>x</v>
      </c>
      <c r="T83" s="492" t="str">
        <f>IFERROR(VLOOKUP(F83,'Freq-Chan'!C:D,2,FALSE),"x")</f>
        <v>x</v>
      </c>
      <c r="U83" s="110" t="s">
        <v>541</v>
      </c>
      <c r="V83" s="110" t="str">
        <f t="shared" si="4"/>
        <v>FWL</v>
      </c>
      <c r="W83" s="110" t="s">
        <v>541</v>
      </c>
      <c r="X83" s="110" t="s">
        <v>541</v>
      </c>
      <c r="Y83" s="110" t="str">
        <f>IFERROR(VLOOKUP(F83,'Freq-Chan'!C:E,3,FALSE),"na")</f>
        <v>na</v>
      </c>
      <c r="Z83" s="110" t="s">
        <v>541</v>
      </c>
      <c r="AA83" s="110" t="s">
        <v>541</v>
      </c>
      <c r="AB83" s="110" t="s">
        <v>541</v>
      </c>
      <c r="AC83" s="10" t="s">
        <v>541</v>
      </c>
      <c r="AD83" s="10" t="s">
        <v>541</v>
      </c>
    </row>
    <row r="84" spans="1:30" x14ac:dyDescent="0.2">
      <c r="A84" s="110">
        <v>83</v>
      </c>
      <c r="B84" s="132">
        <v>41809</v>
      </c>
      <c r="C84" s="117">
        <v>3</v>
      </c>
      <c r="D84" s="103" t="s">
        <v>2</v>
      </c>
      <c r="E84" s="103" t="s">
        <v>306</v>
      </c>
      <c r="F84" s="103">
        <v>725</v>
      </c>
      <c r="G84" s="103">
        <v>98</v>
      </c>
      <c r="H84" s="137" t="s">
        <v>827</v>
      </c>
      <c r="I84" s="103">
        <v>66</v>
      </c>
      <c r="K84" s="103" t="s">
        <v>364</v>
      </c>
      <c r="L84" s="133"/>
      <c r="M84" s="134">
        <v>5.347222222222222E-2</v>
      </c>
      <c r="N84" s="135" t="s">
        <v>835</v>
      </c>
      <c r="O84" s="133" t="s">
        <v>804</v>
      </c>
      <c r="Q84" s="100" t="s">
        <v>813</v>
      </c>
      <c r="R84" s="226" t="s">
        <v>913</v>
      </c>
      <c r="S84" s="491" t="str">
        <f t="shared" si="3"/>
        <v>x</v>
      </c>
      <c r="T84" s="492">
        <f>IFERROR(VLOOKUP(F84,'Freq-Chan'!C:D,2,FALSE),"x")</f>
        <v>151.72499999999999</v>
      </c>
      <c r="U84" s="110" t="s">
        <v>541</v>
      </c>
      <c r="V84" s="110" t="str">
        <f t="shared" si="4"/>
        <v>FWL</v>
      </c>
      <c r="W84" s="110" t="s">
        <v>541</v>
      </c>
      <c r="X84" s="110" t="s">
        <v>541</v>
      </c>
      <c r="Y84" s="110" t="str">
        <f>IFERROR(VLOOKUP(F84,'Freq-Chan'!C:E,3,FALSE),"na")</f>
        <v>F1845</v>
      </c>
      <c r="Z84" s="110" t="s">
        <v>541</v>
      </c>
      <c r="AA84" s="110" t="s">
        <v>541</v>
      </c>
      <c r="AB84" s="110" t="s">
        <v>541</v>
      </c>
      <c r="AC84" s="10" t="s">
        <v>541</v>
      </c>
      <c r="AD84" s="10" t="s">
        <v>541</v>
      </c>
    </row>
    <row r="85" spans="1:30" x14ac:dyDescent="0.2">
      <c r="A85" s="110">
        <v>84</v>
      </c>
      <c r="B85" s="132">
        <v>41809</v>
      </c>
      <c r="C85" s="117">
        <v>3</v>
      </c>
      <c r="D85" s="103" t="s">
        <v>177</v>
      </c>
      <c r="E85" s="103" t="s">
        <v>0</v>
      </c>
      <c r="H85" s="103"/>
      <c r="I85" s="103">
        <v>36</v>
      </c>
      <c r="K85" s="103" t="s">
        <v>364</v>
      </c>
      <c r="L85" s="133"/>
      <c r="M85" s="134">
        <v>3.5416666666666666E-2</v>
      </c>
      <c r="N85" s="135" t="s">
        <v>836</v>
      </c>
      <c r="O85" s="133" t="s">
        <v>376</v>
      </c>
      <c r="P85" s="100" t="s">
        <v>776</v>
      </c>
      <c r="Q85" s="100" t="s">
        <v>797</v>
      </c>
      <c r="R85" s="226" t="s">
        <v>913</v>
      </c>
      <c r="S85" s="491" t="str">
        <f t="shared" si="3"/>
        <v>x</v>
      </c>
      <c r="T85" s="492" t="str">
        <f>IFERROR(VLOOKUP(F85,'Freq-Chan'!C:D,2,FALSE),"x")</f>
        <v>x</v>
      </c>
      <c r="U85" s="110" t="s">
        <v>541</v>
      </c>
      <c r="V85" s="110" t="str">
        <f t="shared" si="4"/>
        <v>FWL</v>
      </c>
      <c r="W85" s="110" t="s">
        <v>541</v>
      </c>
      <c r="X85" s="110" t="s">
        <v>541</v>
      </c>
      <c r="Y85" s="110" t="str">
        <f>IFERROR(VLOOKUP(F85,'Freq-Chan'!C:E,3,FALSE),"na")</f>
        <v>na</v>
      </c>
      <c r="Z85" s="110" t="s">
        <v>541</v>
      </c>
      <c r="AA85" s="110" t="s">
        <v>541</v>
      </c>
      <c r="AB85" s="110" t="s">
        <v>541</v>
      </c>
      <c r="AC85" s="10" t="s">
        <v>541</v>
      </c>
      <c r="AD85" s="10" t="s">
        <v>541</v>
      </c>
    </row>
    <row r="86" spans="1:30" x14ac:dyDescent="0.2">
      <c r="A86" s="110">
        <v>85</v>
      </c>
      <c r="B86" s="132">
        <v>41809</v>
      </c>
      <c r="C86" s="117">
        <v>3</v>
      </c>
      <c r="D86" s="103" t="s">
        <v>177</v>
      </c>
      <c r="E86" s="103" t="s">
        <v>0</v>
      </c>
      <c r="H86" s="103"/>
      <c r="I86" s="103">
        <v>39</v>
      </c>
      <c r="K86" s="103" t="s">
        <v>364</v>
      </c>
      <c r="L86" s="133"/>
      <c r="M86" s="134">
        <v>2.361111111111111E-2</v>
      </c>
      <c r="N86" s="135" t="s">
        <v>837</v>
      </c>
      <c r="O86" s="133" t="s">
        <v>376</v>
      </c>
      <c r="P86" s="100" t="s">
        <v>776</v>
      </c>
      <c r="Q86" s="100" t="s">
        <v>797</v>
      </c>
      <c r="R86" s="226" t="s">
        <v>913</v>
      </c>
      <c r="S86" s="491" t="str">
        <f t="shared" si="3"/>
        <v>x</v>
      </c>
      <c r="T86" s="492" t="str">
        <f>IFERROR(VLOOKUP(F86,'Freq-Chan'!C:D,2,FALSE),"x")</f>
        <v>x</v>
      </c>
      <c r="U86" s="110" t="s">
        <v>541</v>
      </c>
      <c r="V86" s="110" t="str">
        <f t="shared" si="4"/>
        <v>FWL</v>
      </c>
      <c r="W86" s="110" t="s">
        <v>541</v>
      </c>
      <c r="X86" s="110" t="s">
        <v>541</v>
      </c>
      <c r="Y86" s="110" t="str">
        <f>IFERROR(VLOOKUP(F86,'Freq-Chan'!C:E,3,FALSE),"na")</f>
        <v>na</v>
      </c>
      <c r="Z86" s="110" t="s">
        <v>541</v>
      </c>
      <c r="AA86" s="110" t="s">
        <v>541</v>
      </c>
      <c r="AB86" s="110" t="s">
        <v>541</v>
      </c>
      <c r="AC86" s="10" t="s">
        <v>541</v>
      </c>
      <c r="AD86" s="10" t="s">
        <v>541</v>
      </c>
    </row>
    <row r="87" spans="1:30" x14ac:dyDescent="0.2">
      <c r="A87" s="110">
        <v>86</v>
      </c>
      <c r="B87" s="132">
        <v>41809</v>
      </c>
      <c r="C87" s="117">
        <v>3</v>
      </c>
      <c r="D87" s="103" t="s">
        <v>2</v>
      </c>
      <c r="E87" s="103" t="s">
        <v>306</v>
      </c>
      <c r="F87" s="103">
        <v>725</v>
      </c>
      <c r="G87" s="103">
        <v>37</v>
      </c>
      <c r="H87" s="137" t="s">
        <v>828</v>
      </c>
      <c r="I87" s="103">
        <v>60</v>
      </c>
      <c r="K87" s="103" t="s">
        <v>364</v>
      </c>
      <c r="L87" s="133"/>
      <c r="M87" s="134">
        <v>6.3888888888888884E-2</v>
      </c>
      <c r="N87" s="135" t="s">
        <v>840</v>
      </c>
      <c r="O87" s="133" t="s">
        <v>806</v>
      </c>
      <c r="Q87" s="100" t="s">
        <v>797</v>
      </c>
      <c r="R87" s="226" t="s">
        <v>913</v>
      </c>
      <c r="S87" s="491" t="str">
        <f t="shared" si="3"/>
        <v>x</v>
      </c>
      <c r="T87" s="492">
        <f>IFERROR(VLOOKUP(F87,'Freq-Chan'!C:D,2,FALSE),"x")</f>
        <v>151.72499999999999</v>
      </c>
      <c r="U87" s="110" t="s">
        <v>541</v>
      </c>
      <c r="V87" s="110" t="str">
        <f t="shared" si="4"/>
        <v>FWL</v>
      </c>
      <c r="W87" s="110" t="s">
        <v>541</v>
      </c>
      <c r="X87" s="110" t="s">
        <v>541</v>
      </c>
      <c r="Y87" s="110" t="str">
        <f>IFERROR(VLOOKUP(F87,'Freq-Chan'!C:E,3,FALSE),"na")</f>
        <v>F1845</v>
      </c>
      <c r="Z87" s="110" t="s">
        <v>541</v>
      </c>
      <c r="AA87" s="110" t="s">
        <v>541</v>
      </c>
      <c r="AB87" s="110" t="s">
        <v>541</v>
      </c>
      <c r="AC87" s="10" t="s">
        <v>541</v>
      </c>
      <c r="AD87" s="10" t="s">
        <v>541</v>
      </c>
    </row>
    <row r="88" spans="1:30" x14ac:dyDescent="0.2">
      <c r="A88" s="110">
        <v>87</v>
      </c>
      <c r="B88" s="132">
        <v>41809</v>
      </c>
      <c r="C88" s="117">
        <v>3</v>
      </c>
      <c r="D88" s="103" t="s">
        <v>2</v>
      </c>
      <c r="E88" s="103" t="s">
        <v>306</v>
      </c>
      <c r="F88" s="103">
        <v>684</v>
      </c>
      <c r="G88" s="103">
        <v>93</v>
      </c>
      <c r="H88" s="137" t="s">
        <v>829</v>
      </c>
      <c r="I88" s="103">
        <v>67</v>
      </c>
      <c r="K88" s="103" t="s">
        <v>364</v>
      </c>
      <c r="L88" s="133"/>
      <c r="M88" s="134">
        <v>6.3888888888888884E-2</v>
      </c>
      <c r="N88" s="135" t="s">
        <v>841</v>
      </c>
      <c r="O88" s="133" t="s">
        <v>806</v>
      </c>
      <c r="Q88" s="100" t="s">
        <v>797</v>
      </c>
      <c r="R88" s="226" t="s">
        <v>913</v>
      </c>
      <c r="S88" s="491" t="str">
        <f t="shared" si="3"/>
        <v>x</v>
      </c>
      <c r="T88" s="492">
        <f>IFERROR(VLOOKUP(F88,'Freq-Chan'!C:D,2,FALSE),"x")</f>
        <v>151.684</v>
      </c>
      <c r="U88" s="110" t="s">
        <v>541</v>
      </c>
      <c r="V88" s="110" t="str">
        <f t="shared" si="4"/>
        <v>FWL</v>
      </c>
      <c r="W88" s="110" t="s">
        <v>541</v>
      </c>
      <c r="X88" s="110" t="s">
        <v>541</v>
      </c>
      <c r="Y88" s="110" t="str">
        <f>IFERROR(VLOOKUP(F88,'Freq-Chan'!C:E,3,FALSE),"na")</f>
        <v>F1845</v>
      </c>
      <c r="Z88" s="110" t="s">
        <v>541</v>
      </c>
      <c r="AA88" s="110" t="s">
        <v>541</v>
      </c>
      <c r="AB88" s="110" t="s">
        <v>541</v>
      </c>
      <c r="AC88" s="10" t="s">
        <v>541</v>
      </c>
      <c r="AD88" s="10" t="s">
        <v>541</v>
      </c>
    </row>
    <row r="89" spans="1:30" x14ac:dyDescent="0.2">
      <c r="A89" s="110">
        <v>88</v>
      </c>
      <c r="B89" s="132">
        <v>41809</v>
      </c>
      <c r="C89" s="117">
        <v>3</v>
      </c>
      <c r="D89" s="103" t="s">
        <v>87</v>
      </c>
      <c r="E89" s="103" t="s">
        <v>798</v>
      </c>
      <c r="H89" s="103" t="s">
        <v>912</v>
      </c>
      <c r="J89" s="103">
        <v>31</v>
      </c>
      <c r="K89" s="103" t="s">
        <v>364</v>
      </c>
      <c r="L89" s="133"/>
      <c r="M89" s="134">
        <v>2.0833333333333332E-2</v>
      </c>
      <c r="N89" s="135" t="s">
        <v>842</v>
      </c>
      <c r="O89" s="133" t="s">
        <v>376</v>
      </c>
      <c r="Q89" s="100" t="s">
        <v>797</v>
      </c>
      <c r="R89" s="226" t="s">
        <v>913</v>
      </c>
      <c r="S89" s="491" t="str">
        <f t="shared" si="3"/>
        <v>x</v>
      </c>
      <c r="T89" s="492" t="str">
        <f>IFERROR(VLOOKUP(F89,'Freq-Chan'!C:D,2,FALSE),"x")</f>
        <v>x</v>
      </c>
      <c r="U89" s="110" t="s">
        <v>541</v>
      </c>
      <c r="V89" s="110" t="str">
        <f t="shared" si="4"/>
        <v>FWL</v>
      </c>
      <c r="W89" s="110" t="s">
        <v>541</v>
      </c>
      <c r="X89" s="110" t="s">
        <v>541</v>
      </c>
      <c r="Y89" s="110" t="str">
        <f>IFERROR(VLOOKUP(F89,'Freq-Chan'!C:E,3,FALSE),"na")</f>
        <v>na</v>
      </c>
      <c r="Z89" s="110" t="s">
        <v>541</v>
      </c>
      <c r="AA89" s="110" t="s">
        <v>541</v>
      </c>
      <c r="AB89" s="110" t="s">
        <v>541</v>
      </c>
      <c r="AC89" s="10" t="s">
        <v>541</v>
      </c>
      <c r="AD89" s="10" t="s">
        <v>541</v>
      </c>
    </row>
    <row r="90" spans="1:30" x14ac:dyDescent="0.2">
      <c r="A90" s="110">
        <v>89</v>
      </c>
      <c r="B90" s="132">
        <v>41809</v>
      </c>
      <c r="C90" s="117">
        <v>3</v>
      </c>
      <c r="D90" s="103" t="s">
        <v>177</v>
      </c>
      <c r="E90" s="103" t="s">
        <v>0</v>
      </c>
      <c r="H90" s="103"/>
      <c r="I90" s="103">
        <v>35</v>
      </c>
      <c r="K90" s="103" t="s">
        <v>364</v>
      </c>
      <c r="L90" s="133"/>
      <c r="M90" s="134">
        <v>2.0833333333333332E-2</v>
      </c>
      <c r="N90" s="135" t="s">
        <v>843</v>
      </c>
      <c r="O90" s="133" t="s">
        <v>806</v>
      </c>
      <c r="P90" s="100" t="s">
        <v>776</v>
      </c>
      <c r="Q90" s="100" t="s">
        <v>797</v>
      </c>
      <c r="R90" s="226" t="s">
        <v>913</v>
      </c>
      <c r="S90" s="491" t="str">
        <f t="shared" si="3"/>
        <v>x</v>
      </c>
      <c r="T90" s="492" t="str">
        <f>IFERROR(VLOOKUP(F90,'Freq-Chan'!C:D,2,FALSE),"x")</f>
        <v>x</v>
      </c>
      <c r="U90" s="110" t="s">
        <v>541</v>
      </c>
      <c r="V90" s="110" t="str">
        <f t="shared" si="4"/>
        <v>FWL</v>
      </c>
      <c r="W90" s="110" t="s">
        <v>541</v>
      </c>
      <c r="X90" s="110" t="s">
        <v>541</v>
      </c>
      <c r="Y90" s="110" t="str">
        <f>IFERROR(VLOOKUP(F90,'Freq-Chan'!C:E,3,FALSE),"na")</f>
        <v>na</v>
      </c>
      <c r="Z90" s="110" t="s">
        <v>541</v>
      </c>
      <c r="AA90" s="110" t="s">
        <v>541</v>
      </c>
      <c r="AB90" s="110" t="s">
        <v>541</v>
      </c>
      <c r="AC90" s="10" t="s">
        <v>541</v>
      </c>
      <c r="AD90" s="10" t="s">
        <v>541</v>
      </c>
    </row>
    <row r="91" spans="1:30" x14ac:dyDescent="0.2">
      <c r="A91" s="110">
        <v>90</v>
      </c>
      <c r="B91" s="132">
        <v>41809</v>
      </c>
      <c r="C91" s="117">
        <v>3</v>
      </c>
      <c r="D91" s="103" t="s">
        <v>2</v>
      </c>
      <c r="E91" s="103" t="s">
        <v>306</v>
      </c>
      <c r="F91" s="103">
        <v>725</v>
      </c>
      <c r="G91" s="103">
        <v>73</v>
      </c>
      <c r="H91" s="137" t="s">
        <v>830</v>
      </c>
      <c r="I91" s="103">
        <v>79</v>
      </c>
      <c r="K91" s="103" t="s">
        <v>364</v>
      </c>
      <c r="L91" s="133"/>
      <c r="M91" s="134">
        <v>3.7499999999999999E-2</v>
      </c>
      <c r="N91" s="135" t="s">
        <v>844</v>
      </c>
      <c r="O91" s="133" t="s">
        <v>802</v>
      </c>
      <c r="Q91" s="100" t="s">
        <v>816</v>
      </c>
      <c r="R91" s="226" t="s">
        <v>913</v>
      </c>
      <c r="S91" s="491" t="str">
        <f t="shared" si="3"/>
        <v>x</v>
      </c>
      <c r="T91" s="492">
        <f>IFERROR(VLOOKUP(F91,'Freq-Chan'!C:D,2,FALSE),"x")</f>
        <v>151.72499999999999</v>
      </c>
      <c r="U91" s="110" t="s">
        <v>541</v>
      </c>
      <c r="V91" s="110" t="str">
        <f t="shared" si="4"/>
        <v>FWL</v>
      </c>
      <c r="W91" s="110" t="s">
        <v>541</v>
      </c>
      <c r="X91" s="110" t="s">
        <v>541</v>
      </c>
      <c r="Y91" s="110" t="str">
        <f>IFERROR(VLOOKUP(F91,'Freq-Chan'!C:E,3,FALSE),"na")</f>
        <v>F1845</v>
      </c>
      <c r="Z91" s="110" t="s">
        <v>541</v>
      </c>
      <c r="AA91" s="110" t="s">
        <v>541</v>
      </c>
      <c r="AB91" s="110" t="s">
        <v>541</v>
      </c>
      <c r="AC91" s="10" t="s">
        <v>541</v>
      </c>
      <c r="AD91" s="10" t="s">
        <v>541</v>
      </c>
    </row>
    <row r="92" spans="1:30" x14ac:dyDescent="0.2">
      <c r="A92" s="110">
        <v>91</v>
      </c>
      <c r="B92" s="132">
        <v>41809</v>
      </c>
      <c r="C92" s="117">
        <v>3</v>
      </c>
      <c r="D92" s="103" t="s">
        <v>2</v>
      </c>
      <c r="E92" s="103" t="s">
        <v>306</v>
      </c>
      <c r="F92" s="103">
        <v>725</v>
      </c>
      <c r="G92" s="103">
        <v>72</v>
      </c>
      <c r="H92" s="137" t="s">
        <v>831</v>
      </c>
      <c r="I92" s="103">
        <v>92</v>
      </c>
      <c r="K92" s="103" t="s">
        <v>364</v>
      </c>
      <c r="L92" s="133"/>
      <c r="M92" s="134">
        <v>0.1388888888888889</v>
      </c>
      <c r="N92" s="135" t="s">
        <v>845</v>
      </c>
      <c r="O92" s="133" t="s">
        <v>805</v>
      </c>
      <c r="P92" s="100" t="s">
        <v>852</v>
      </c>
      <c r="Q92" s="100" t="s">
        <v>816</v>
      </c>
      <c r="R92" s="226" t="s">
        <v>913</v>
      </c>
      <c r="S92" s="491" t="str">
        <f t="shared" si="3"/>
        <v>x</v>
      </c>
      <c r="T92" s="492">
        <f>IFERROR(VLOOKUP(F92,'Freq-Chan'!C:D,2,FALSE),"x")</f>
        <v>151.72499999999999</v>
      </c>
      <c r="U92" s="110" t="s">
        <v>541</v>
      </c>
      <c r="V92" s="110" t="str">
        <f t="shared" si="4"/>
        <v>FWL</v>
      </c>
      <c r="W92" s="110" t="s">
        <v>541</v>
      </c>
      <c r="X92" s="110" t="s">
        <v>541</v>
      </c>
      <c r="Y92" s="110" t="str">
        <f>IFERROR(VLOOKUP(F92,'Freq-Chan'!C:E,3,FALSE),"na")</f>
        <v>F1845</v>
      </c>
      <c r="Z92" s="110" t="s">
        <v>541</v>
      </c>
      <c r="AA92" s="110" t="s">
        <v>541</v>
      </c>
      <c r="AB92" s="110" t="s">
        <v>541</v>
      </c>
      <c r="AC92" s="10" t="s">
        <v>541</v>
      </c>
      <c r="AD92" s="10" t="s">
        <v>541</v>
      </c>
    </row>
    <row r="93" spans="1:30" x14ac:dyDescent="0.2">
      <c r="A93" s="110">
        <v>92</v>
      </c>
      <c r="B93" s="132">
        <v>41809</v>
      </c>
      <c r="C93" s="117">
        <v>3</v>
      </c>
      <c r="D93" s="103" t="s">
        <v>177</v>
      </c>
      <c r="E93" s="103" t="s">
        <v>0</v>
      </c>
      <c r="H93" s="103"/>
      <c r="I93" s="103">
        <v>33</v>
      </c>
      <c r="K93" s="103" t="s">
        <v>364</v>
      </c>
      <c r="L93" s="133"/>
      <c r="M93" s="134">
        <v>3.4722222222222224E-2</v>
      </c>
      <c r="N93" s="135" t="s">
        <v>846</v>
      </c>
      <c r="O93" s="133" t="s">
        <v>805</v>
      </c>
      <c r="P93" s="100" t="s">
        <v>776</v>
      </c>
      <c r="Q93" s="100" t="s">
        <v>816</v>
      </c>
      <c r="R93" s="226" t="s">
        <v>913</v>
      </c>
      <c r="S93" s="491" t="str">
        <f t="shared" si="3"/>
        <v>x</v>
      </c>
      <c r="T93" s="492" t="str">
        <f>IFERROR(VLOOKUP(F93,'Freq-Chan'!C:D,2,FALSE),"x")</f>
        <v>x</v>
      </c>
      <c r="U93" s="110" t="s">
        <v>541</v>
      </c>
      <c r="V93" s="110" t="str">
        <f t="shared" si="4"/>
        <v>FWL</v>
      </c>
      <c r="W93" s="110" t="s">
        <v>541</v>
      </c>
      <c r="X93" s="110" t="s">
        <v>541</v>
      </c>
      <c r="Y93" s="110" t="str">
        <f>IFERROR(VLOOKUP(F93,'Freq-Chan'!C:E,3,FALSE),"na")</f>
        <v>na</v>
      </c>
      <c r="Z93" s="110" t="s">
        <v>541</v>
      </c>
      <c r="AA93" s="110" t="s">
        <v>541</v>
      </c>
      <c r="AB93" s="110" t="s">
        <v>541</v>
      </c>
      <c r="AC93" s="10" t="s">
        <v>541</v>
      </c>
      <c r="AD93" s="10" t="s">
        <v>541</v>
      </c>
    </row>
    <row r="94" spans="1:30" x14ac:dyDescent="0.2">
      <c r="A94" s="110">
        <v>93</v>
      </c>
      <c r="B94" s="132">
        <v>41809</v>
      </c>
      <c r="C94" s="117">
        <v>3</v>
      </c>
      <c r="D94" s="103" t="s">
        <v>177</v>
      </c>
      <c r="E94" s="103" t="s">
        <v>0</v>
      </c>
      <c r="H94" s="103"/>
      <c r="I94" s="103">
        <v>36</v>
      </c>
      <c r="K94" s="103" t="s">
        <v>364</v>
      </c>
      <c r="L94" s="136"/>
      <c r="M94" s="134">
        <v>2.0833333333333332E-2</v>
      </c>
      <c r="N94" s="135" t="s">
        <v>847</v>
      </c>
      <c r="O94" s="133" t="s">
        <v>806</v>
      </c>
      <c r="P94" s="100" t="s">
        <v>776</v>
      </c>
      <c r="Q94" s="100" t="s">
        <v>816</v>
      </c>
      <c r="R94" s="226" t="s">
        <v>913</v>
      </c>
      <c r="S94" s="491" t="str">
        <f t="shared" si="3"/>
        <v>x</v>
      </c>
      <c r="T94" s="492" t="str">
        <f>IFERROR(VLOOKUP(F94,'Freq-Chan'!C:D,2,FALSE),"x")</f>
        <v>x</v>
      </c>
      <c r="U94" s="110" t="s">
        <v>541</v>
      </c>
      <c r="V94" s="110" t="str">
        <f t="shared" si="4"/>
        <v>FWL</v>
      </c>
      <c r="W94" s="110" t="s">
        <v>541</v>
      </c>
      <c r="X94" s="110" t="s">
        <v>541</v>
      </c>
      <c r="Y94" s="110" t="str">
        <f>IFERROR(VLOOKUP(F94,'Freq-Chan'!C:E,3,FALSE),"na")</f>
        <v>na</v>
      </c>
      <c r="Z94" s="110" t="s">
        <v>541</v>
      </c>
      <c r="AA94" s="110" t="s">
        <v>541</v>
      </c>
      <c r="AB94" s="110" t="s">
        <v>541</v>
      </c>
      <c r="AC94" s="10" t="s">
        <v>541</v>
      </c>
      <c r="AD94" s="10" t="s">
        <v>541</v>
      </c>
    </row>
    <row r="95" spans="1:30" x14ac:dyDescent="0.2">
      <c r="A95" s="110">
        <v>94</v>
      </c>
      <c r="B95" s="132">
        <v>41809</v>
      </c>
      <c r="C95" s="117">
        <v>3</v>
      </c>
      <c r="D95" s="103" t="s">
        <v>177</v>
      </c>
      <c r="E95" s="103" t="s">
        <v>0</v>
      </c>
      <c r="H95" s="103"/>
      <c r="I95" s="103">
        <v>35</v>
      </c>
      <c r="K95" s="103" t="s">
        <v>364</v>
      </c>
      <c r="L95" s="133"/>
      <c r="M95" s="134">
        <v>1.7361111111111112E-2</v>
      </c>
      <c r="N95" s="135" t="s">
        <v>848</v>
      </c>
      <c r="O95" s="133" t="s">
        <v>806</v>
      </c>
      <c r="P95" s="100" t="s">
        <v>776</v>
      </c>
      <c r="Q95" s="100" t="s">
        <v>816</v>
      </c>
      <c r="R95" s="226" t="s">
        <v>913</v>
      </c>
      <c r="S95" s="491" t="str">
        <f t="shared" si="3"/>
        <v>x</v>
      </c>
      <c r="T95" s="492" t="str">
        <f>IFERROR(VLOOKUP(F95,'Freq-Chan'!C:D,2,FALSE),"x")</f>
        <v>x</v>
      </c>
      <c r="U95" s="110" t="s">
        <v>541</v>
      </c>
      <c r="V95" s="110" t="str">
        <f t="shared" si="4"/>
        <v>FWL</v>
      </c>
      <c r="W95" s="110" t="s">
        <v>541</v>
      </c>
      <c r="X95" s="110" t="s">
        <v>541</v>
      </c>
      <c r="Y95" s="110" t="str">
        <f>IFERROR(VLOOKUP(F95,'Freq-Chan'!C:E,3,FALSE),"na")</f>
        <v>na</v>
      </c>
      <c r="Z95" s="110" t="s">
        <v>541</v>
      </c>
      <c r="AA95" s="110" t="s">
        <v>541</v>
      </c>
      <c r="AB95" s="110" t="s">
        <v>541</v>
      </c>
      <c r="AC95" s="10" t="s">
        <v>541</v>
      </c>
      <c r="AD95" s="10" t="s">
        <v>541</v>
      </c>
    </row>
    <row r="96" spans="1:30" x14ac:dyDescent="0.2">
      <c r="A96" s="110">
        <v>95</v>
      </c>
      <c r="B96" s="132">
        <v>41809</v>
      </c>
      <c r="C96" s="117">
        <v>3</v>
      </c>
      <c r="D96" s="103" t="s">
        <v>2</v>
      </c>
      <c r="E96" s="103" t="s">
        <v>306</v>
      </c>
      <c r="F96" s="103">
        <v>684</v>
      </c>
      <c r="G96" s="103">
        <v>16</v>
      </c>
      <c r="H96" s="137" t="s">
        <v>832</v>
      </c>
      <c r="I96" s="103">
        <v>63</v>
      </c>
      <c r="K96" s="103" t="s">
        <v>364</v>
      </c>
      <c r="L96" s="133"/>
      <c r="M96" s="134">
        <v>8.6111111111111124E-2</v>
      </c>
      <c r="N96" s="135" t="s">
        <v>849</v>
      </c>
      <c r="O96" s="133" t="s">
        <v>376</v>
      </c>
      <c r="P96" s="100" t="s">
        <v>853</v>
      </c>
      <c r="Q96" s="100" t="s">
        <v>797</v>
      </c>
      <c r="R96" s="226" t="s">
        <v>913</v>
      </c>
      <c r="S96" s="491" t="str">
        <f t="shared" si="3"/>
        <v>x</v>
      </c>
      <c r="T96" s="492">
        <f>IFERROR(VLOOKUP(F96,'Freq-Chan'!C:D,2,FALSE),"x")</f>
        <v>151.684</v>
      </c>
      <c r="U96" s="110" t="s">
        <v>541</v>
      </c>
      <c r="V96" s="110" t="str">
        <f t="shared" si="4"/>
        <v>FWL</v>
      </c>
      <c r="W96" s="110" t="s">
        <v>541</v>
      </c>
      <c r="X96" s="110" t="s">
        <v>541</v>
      </c>
      <c r="Y96" s="110" t="str">
        <f>IFERROR(VLOOKUP(F96,'Freq-Chan'!C:E,3,FALSE),"na")</f>
        <v>F1845</v>
      </c>
      <c r="Z96" s="110" t="s">
        <v>541</v>
      </c>
      <c r="AA96" s="110" t="s">
        <v>541</v>
      </c>
      <c r="AB96" s="110" t="s">
        <v>541</v>
      </c>
      <c r="AC96" s="10" t="s">
        <v>541</v>
      </c>
      <c r="AD96" s="10" t="s">
        <v>541</v>
      </c>
    </row>
    <row r="97" spans="1:30" s="291" customFormat="1" x14ac:dyDescent="0.2">
      <c r="A97" s="493">
        <v>96</v>
      </c>
      <c r="B97" s="283">
        <v>41809</v>
      </c>
      <c r="C97" s="284">
        <v>3</v>
      </c>
      <c r="D97" s="285" t="s">
        <v>2</v>
      </c>
      <c r="E97" s="285" t="s">
        <v>306</v>
      </c>
      <c r="F97" s="285">
        <v>684</v>
      </c>
      <c r="G97" s="285">
        <v>47</v>
      </c>
      <c r="H97" s="339" t="s">
        <v>833</v>
      </c>
      <c r="I97" s="285">
        <v>61</v>
      </c>
      <c r="J97" s="285"/>
      <c r="K97" s="285" t="s">
        <v>364</v>
      </c>
      <c r="L97" s="286"/>
      <c r="M97" s="287">
        <v>6.5277777777777782E-2</v>
      </c>
      <c r="N97" s="288" t="s">
        <v>850</v>
      </c>
      <c r="O97" s="286" t="s">
        <v>802</v>
      </c>
      <c r="P97" s="289"/>
      <c r="Q97" s="289" t="s">
        <v>818</v>
      </c>
      <c r="R97" s="290" t="s">
        <v>913</v>
      </c>
      <c r="S97" s="494" t="str">
        <f t="shared" si="3"/>
        <v>x</v>
      </c>
      <c r="T97" s="495">
        <f>IFERROR(VLOOKUP(F97,'Freq-Chan'!C:D,2,FALSE),"x")</f>
        <v>151.684</v>
      </c>
      <c r="U97" s="493" t="s">
        <v>541</v>
      </c>
      <c r="V97" s="493" t="str">
        <f t="shared" si="4"/>
        <v>FWL</v>
      </c>
      <c r="W97" s="493" t="s">
        <v>541</v>
      </c>
      <c r="X97" s="493" t="s">
        <v>541</v>
      </c>
      <c r="Y97" s="493" t="str">
        <f>IFERROR(VLOOKUP(F97,'Freq-Chan'!C:E,3,FALSE),"na")</f>
        <v>F1845</v>
      </c>
      <c r="Z97" s="493" t="s">
        <v>541</v>
      </c>
      <c r="AA97" s="493" t="s">
        <v>541</v>
      </c>
      <c r="AB97" s="493" t="s">
        <v>541</v>
      </c>
      <c r="AC97" s="291" t="s">
        <v>541</v>
      </c>
      <c r="AD97" s="291" t="s">
        <v>541</v>
      </c>
    </row>
    <row r="98" spans="1:30" x14ac:dyDescent="0.2">
      <c r="A98" s="110">
        <v>97</v>
      </c>
      <c r="B98" s="132">
        <v>41810</v>
      </c>
      <c r="C98" s="117">
        <v>1</v>
      </c>
      <c r="D98" s="103" t="s">
        <v>2</v>
      </c>
      <c r="E98" s="103" t="s">
        <v>306</v>
      </c>
      <c r="F98" s="103">
        <v>725</v>
      </c>
      <c r="G98" s="103">
        <v>12</v>
      </c>
      <c r="H98" s="137" t="s">
        <v>867</v>
      </c>
      <c r="I98" s="103">
        <v>68</v>
      </c>
      <c r="K98" s="103" t="s">
        <v>364</v>
      </c>
      <c r="L98" s="133"/>
      <c r="M98" s="134">
        <v>6.25E-2</v>
      </c>
      <c r="N98" s="135" t="s">
        <v>875</v>
      </c>
      <c r="O98" s="133" t="s">
        <v>804</v>
      </c>
      <c r="Q98" s="100" t="s">
        <v>855</v>
      </c>
      <c r="R98" s="226" t="s">
        <v>913</v>
      </c>
      <c r="S98" s="491" t="str">
        <f t="shared" si="3"/>
        <v>x</v>
      </c>
      <c r="T98" s="492">
        <f>IFERROR(VLOOKUP(F98,'Freq-Chan'!C:D,2,FALSE),"x")</f>
        <v>151.72499999999999</v>
      </c>
      <c r="U98" s="110" t="s">
        <v>541</v>
      </c>
      <c r="V98" s="110" t="str">
        <f t="shared" si="4"/>
        <v>FWL</v>
      </c>
      <c r="W98" s="110" t="s">
        <v>541</v>
      </c>
      <c r="X98" s="110" t="s">
        <v>541</v>
      </c>
      <c r="Y98" s="110" t="str">
        <f>IFERROR(VLOOKUP(F98,'Freq-Chan'!C:E,3,FALSE),"na")</f>
        <v>F1845</v>
      </c>
      <c r="Z98" s="110" t="s">
        <v>541</v>
      </c>
      <c r="AA98" s="110" t="s">
        <v>541</v>
      </c>
      <c r="AB98" s="110" t="s">
        <v>541</v>
      </c>
      <c r="AC98" s="10" t="s">
        <v>541</v>
      </c>
      <c r="AD98" s="10" t="s">
        <v>541</v>
      </c>
    </row>
    <row r="99" spans="1:30" x14ac:dyDescent="0.2">
      <c r="A99" s="110">
        <v>98</v>
      </c>
      <c r="B99" s="132">
        <v>41810</v>
      </c>
      <c r="C99" s="117">
        <v>1</v>
      </c>
      <c r="D99" s="103" t="s">
        <v>177</v>
      </c>
      <c r="E99" s="103" t="s">
        <v>0</v>
      </c>
      <c r="F99" s="103">
        <v>917</v>
      </c>
      <c r="G99" s="103">
        <v>40</v>
      </c>
      <c r="H99" s="137" t="s">
        <v>868</v>
      </c>
      <c r="I99" s="103">
        <v>48</v>
      </c>
      <c r="K99" s="103" t="s">
        <v>364</v>
      </c>
      <c r="L99" s="133"/>
      <c r="M99" s="134">
        <v>5.347222222222222E-2</v>
      </c>
      <c r="N99" s="135" t="s">
        <v>876</v>
      </c>
      <c r="O99" s="133" t="s">
        <v>373</v>
      </c>
      <c r="Q99" s="100" t="s">
        <v>855</v>
      </c>
      <c r="R99" s="226" t="s">
        <v>913</v>
      </c>
      <c r="S99" s="491" t="str">
        <f t="shared" si="3"/>
        <v>x</v>
      </c>
      <c r="T99" s="492">
        <f>IFERROR(VLOOKUP(F99,'Freq-Chan'!C:D,2,FALSE),"x")</f>
        <v>151.917</v>
      </c>
      <c r="U99" s="110" t="s">
        <v>541</v>
      </c>
      <c r="V99" s="110" t="str">
        <f t="shared" si="4"/>
        <v>FWL</v>
      </c>
      <c r="W99" s="110" t="s">
        <v>541</v>
      </c>
      <c r="X99" s="110" t="s">
        <v>541</v>
      </c>
      <c r="Y99" s="110" t="str">
        <f>IFERROR(VLOOKUP(F99,'Freq-Chan'!C:E,3,FALSE),"na")</f>
        <v>F1835</v>
      </c>
      <c r="Z99" s="110" t="s">
        <v>541</v>
      </c>
      <c r="AA99" s="110" t="s">
        <v>541</v>
      </c>
      <c r="AB99" s="110" t="s">
        <v>541</v>
      </c>
      <c r="AC99" s="10" t="s">
        <v>541</v>
      </c>
      <c r="AD99" s="10" t="s">
        <v>541</v>
      </c>
    </row>
    <row r="100" spans="1:30" x14ac:dyDescent="0.2">
      <c r="A100" s="110">
        <v>99</v>
      </c>
      <c r="B100" s="132">
        <v>41810</v>
      </c>
      <c r="C100" s="117">
        <v>1</v>
      </c>
      <c r="D100" s="103" t="s">
        <v>2</v>
      </c>
      <c r="E100" s="103" t="s">
        <v>306</v>
      </c>
      <c r="F100" s="103">
        <v>725</v>
      </c>
      <c r="G100" s="103">
        <v>74</v>
      </c>
      <c r="H100" s="137" t="s">
        <v>869</v>
      </c>
      <c r="I100" s="103">
        <v>88</v>
      </c>
      <c r="K100" s="103" t="s">
        <v>364</v>
      </c>
      <c r="L100" s="133">
        <v>0.7006944444444444</v>
      </c>
      <c r="M100" s="134">
        <v>4.7916666666666663E-2</v>
      </c>
      <c r="N100" s="135" t="s">
        <v>877</v>
      </c>
      <c r="O100" s="133" t="s">
        <v>804</v>
      </c>
      <c r="Q100" s="100" t="s">
        <v>855</v>
      </c>
      <c r="R100" s="226" t="s">
        <v>913</v>
      </c>
      <c r="S100" s="491">
        <f t="shared" si="3"/>
        <v>2.6736110999999998E-3</v>
      </c>
      <c r="T100" s="492">
        <f>IFERROR(VLOOKUP(F100,'Freq-Chan'!C:D,2,FALSE),"x")</f>
        <v>151.72499999999999</v>
      </c>
      <c r="U100" s="110" t="s">
        <v>541</v>
      </c>
      <c r="V100" s="110" t="str">
        <f t="shared" si="4"/>
        <v>FWL</v>
      </c>
      <c r="W100" s="110" t="s">
        <v>541</v>
      </c>
      <c r="X100" s="110" t="s">
        <v>541</v>
      </c>
      <c r="Y100" s="110" t="str">
        <f>IFERROR(VLOOKUP(F100,'Freq-Chan'!C:E,3,FALSE),"na")</f>
        <v>F1845</v>
      </c>
      <c r="Z100" s="110" t="s">
        <v>541</v>
      </c>
      <c r="AA100" s="110" t="s">
        <v>541</v>
      </c>
      <c r="AB100" s="110" t="s">
        <v>541</v>
      </c>
      <c r="AC100" s="10" t="s">
        <v>541</v>
      </c>
      <c r="AD100" s="10" t="s">
        <v>541</v>
      </c>
    </row>
    <row r="101" spans="1:30" x14ac:dyDescent="0.2">
      <c r="A101" s="110">
        <v>100</v>
      </c>
      <c r="B101" s="132">
        <v>41810</v>
      </c>
      <c r="C101" s="117">
        <v>1</v>
      </c>
      <c r="D101" s="103" t="s">
        <v>2</v>
      </c>
      <c r="E101" s="103" t="s">
        <v>306</v>
      </c>
      <c r="F101" s="103">
        <v>725</v>
      </c>
      <c r="G101" s="103">
        <v>17</v>
      </c>
      <c r="H101" s="137" t="s">
        <v>870</v>
      </c>
      <c r="I101" s="103">
        <v>69</v>
      </c>
      <c r="K101" s="103" t="s">
        <v>364</v>
      </c>
      <c r="L101" s="133"/>
      <c r="M101" s="134">
        <v>6.0416666666666667E-2</v>
      </c>
      <c r="N101" s="135" t="s">
        <v>878</v>
      </c>
      <c r="O101" s="133" t="s">
        <v>802</v>
      </c>
      <c r="Q101" s="100" t="s">
        <v>861</v>
      </c>
      <c r="R101" s="226" t="s">
        <v>913</v>
      </c>
      <c r="S101" s="491" t="str">
        <f t="shared" si="3"/>
        <v>x</v>
      </c>
      <c r="T101" s="492">
        <f>IFERROR(VLOOKUP(F101,'Freq-Chan'!C:D,2,FALSE),"x")</f>
        <v>151.72499999999999</v>
      </c>
      <c r="U101" s="110" t="s">
        <v>541</v>
      </c>
      <c r="V101" s="110" t="str">
        <f t="shared" si="4"/>
        <v>FWL</v>
      </c>
      <c r="W101" s="110" t="s">
        <v>541</v>
      </c>
      <c r="X101" s="110" t="s">
        <v>541</v>
      </c>
      <c r="Y101" s="110" t="str">
        <f>IFERROR(VLOOKUP(F101,'Freq-Chan'!C:E,3,FALSE),"na")</f>
        <v>F1845</v>
      </c>
      <c r="Z101" s="110" t="s">
        <v>541</v>
      </c>
      <c r="AA101" s="110" t="s">
        <v>541</v>
      </c>
      <c r="AB101" s="110" t="s">
        <v>541</v>
      </c>
      <c r="AC101" s="10" t="s">
        <v>541</v>
      </c>
      <c r="AD101" s="10" t="s">
        <v>541</v>
      </c>
    </row>
    <row r="102" spans="1:30" x14ac:dyDescent="0.2">
      <c r="A102" s="110">
        <v>101</v>
      </c>
      <c r="B102" s="132">
        <v>41810</v>
      </c>
      <c r="C102" s="117">
        <v>1</v>
      </c>
      <c r="D102" s="103" t="s">
        <v>2</v>
      </c>
      <c r="E102" s="103" t="s">
        <v>306</v>
      </c>
      <c r="H102" s="103" t="s">
        <v>871</v>
      </c>
      <c r="I102" s="103">
        <v>90</v>
      </c>
      <c r="K102" s="103" t="s">
        <v>364</v>
      </c>
      <c r="L102" s="133"/>
      <c r="M102" s="134">
        <v>0.11458333333333333</v>
      </c>
      <c r="N102" s="135" t="s">
        <v>879</v>
      </c>
      <c r="O102" s="133" t="s">
        <v>805</v>
      </c>
      <c r="P102" s="100" t="s">
        <v>885</v>
      </c>
      <c r="Q102" s="100" t="s">
        <v>861</v>
      </c>
      <c r="R102" s="226" t="s">
        <v>913</v>
      </c>
      <c r="S102" s="491" t="str">
        <f t="shared" si="3"/>
        <v>x</v>
      </c>
      <c r="T102" s="492" t="str">
        <f>IFERROR(VLOOKUP(F102,'Freq-Chan'!C:D,2,FALSE),"x")</f>
        <v>x</v>
      </c>
      <c r="U102" s="110" t="s">
        <v>541</v>
      </c>
      <c r="V102" s="110" t="str">
        <f t="shared" si="4"/>
        <v>FWL</v>
      </c>
      <c r="W102" s="110" t="s">
        <v>541</v>
      </c>
      <c r="X102" s="110" t="s">
        <v>541</v>
      </c>
      <c r="Y102" s="110" t="str">
        <f>IFERROR(VLOOKUP(F102,'Freq-Chan'!C:E,3,FALSE),"na")</f>
        <v>na</v>
      </c>
      <c r="Z102" s="110" t="s">
        <v>541</v>
      </c>
      <c r="AA102" s="110" t="s">
        <v>541</v>
      </c>
      <c r="AB102" s="110" t="s">
        <v>541</v>
      </c>
      <c r="AC102" s="10" t="s">
        <v>541</v>
      </c>
      <c r="AD102" s="10" t="s">
        <v>541</v>
      </c>
    </row>
    <row r="103" spans="1:30" x14ac:dyDescent="0.2">
      <c r="A103" s="110">
        <v>102</v>
      </c>
      <c r="B103" s="132">
        <v>41810</v>
      </c>
      <c r="C103" s="117">
        <v>1</v>
      </c>
      <c r="D103" s="103" t="s">
        <v>2</v>
      </c>
      <c r="E103" s="103" t="s">
        <v>306</v>
      </c>
      <c r="F103" s="103">
        <v>684</v>
      </c>
      <c r="G103" s="103">
        <v>30</v>
      </c>
      <c r="H103" s="137" t="s">
        <v>872</v>
      </c>
      <c r="I103" s="103">
        <v>63</v>
      </c>
      <c r="K103" s="103" t="s">
        <v>364</v>
      </c>
      <c r="L103" s="133"/>
      <c r="M103" s="134">
        <v>8.1944444444444445E-2</v>
      </c>
      <c r="N103" s="135" t="s">
        <v>880</v>
      </c>
      <c r="O103" s="133" t="s">
        <v>805</v>
      </c>
      <c r="P103" s="100" t="s">
        <v>917</v>
      </c>
      <c r="Q103" s="100" t="s">
        <v>861</v>
      </c>
      <c r="R103" s="226" t="s">
        <v>913</v>
      </c>
      <c r="S103" s="491" t="str">
        <f t="shared" si="3"/>
        <v>x</v>
      </c>
      <c r="T103" s="492">
        <f>IFERROR(VLOOKUP(F103,'Freq-Chan'!C:D,2,FALSE),"x")</f>
        <v>151.684</v>
      </c>
      <c r="U103" s="110" t="s">
        <v>541</v>
      </c>
      <c r="V103" s="110" t="str">
        <f t="shared" si="4"/>
        <v>FWL</v>
      </c>
      <c r="W103" s="110" t="s">
        <v>541</v>
      </c>
      <c r="X103" s="110" t="s">
        <v>541</v>
      </c>
      <c r="Y103" s="110" t="str">
        <f>IFERROR(VLOOKUP(F103,'Freq-Chan'!C:E,3,FALSE),"na")</f>
        <v>F1845</v>
      </c>
      <c r="Z103" s="110" t="s">
        <v>541</v>
      </c>
      <c r="AA103" s="110" t="s">
        <v>541</v>
      </c>
      <c r="AB103" s="110" t="s">
        <v>541</v>
      </c>
      <c r="AC103" s="10" t="s">
        <v>541</v>
      </c>
      <c r="AD103" s="10" t="s">
        <v>541</v>
      </c>
    </row>
    <row r="104" spans="1:30" x14ac:dyDescent="0.2">
      <c r="A104" s="110">
        <v>103</v>
      </c>
      <c r="B104" s="132">
        <v>41810</v>
      </c>
      <c r="C104" s="117">
        <v>1</v>
      </c>
      <c r="D104" s="103" t="s">
        <v>2</v>
      </c>
      <c r="E104" s="103" t="s">
        <v>306</v>
      </c>
      <c r="F104" s="103">
        <v>725</v>
      </c>
      <c r="G104" s="103">
        <v>67</v>
      </c>
      <c r="H104" s="137" t="s">
        <v>873</v>
      </c>
      <c r="I104" s="103">
        <v>81</v>
      </c>
      <c r="K104" s="103" t="s">
        <v>364</v>
      </c>
      <c r="L104" s="133">
        <v>0.77361111111111114</v>
      </c>
      <c r="M104" s="134">
        <v>0.14097222222222222</v>
      </c>
      <c r="N104" s="135" t="s">
        <v>881</v>
      </c>
      <c r="O104" s="133" t="s">
        <v>803</v>
      </c>
      <c r="Q104" s="100" t="s">
        <v>863</v>
      </c>
      <c r="R104" s="226" t="s">
        <v>913</v>
      </c>
      <c r="S104" s="491">
        <f t="shared" si="3"/>
        <v>5.9837963000000001E-3</v>
      </c>
      <c r="T104" s="492">
        <f>IFERROR(VLOOKUP(F104,'Freq-Chan'!C:D,2,FALSE),"x")</f>
        <v>151.72499999999999</v>
      </c>
      <c r="U104" s="110" t="s">
        <v>541</v>
      </c>
      <c r="V104" s="110" t="str">
        <f t="shared" si="4"/>
        <v>FWL</v>
      </c>
      <c r="W104" s="110" t="s">
        <v>541</v>
      </c>
      <c r="X104" s="110" t="s">
        <v>541</v>
      </c>
      <c r="Y104" s="110" t="str">
        <f>IFERROR(VLOOKUP(F104,'Freq-Chan'!C:E,3,FALSE),"na")</f>
        <v>F1845</v>
      </c>
      <c r="Z104" s="110" t="s">
        <v>541</v>
      </c>
      <c r="AA104" s="110" t="s">
        <v>541</v>
      </c>
      <c r="AB104" s="110" t="s">
        <v>541</v>
      </c>
      <c r="AC104" s="10" t="s">
        <v>541</v>
      </c>
      <c r="AD104" s="10" t="s">
        <v>541</v>
      </c>
    </row>
    <row r="105" spans="1:30" x14ac:dyDescent="0.2">
      <c r="A105" s="110">
        <v>104</v>
      </c>
      <c r="B105" s="132">
        <v>41810</v>
      </c>
      <c r="C105" s="117">
        <v>1</v>
      </c>
      <c r="D105" s="103" t="s">
        <v>2</v>
      </c>
      <c r="E105" s="103" t="s">
        <v>306</v>
      </c>
      <c r="F105" s="103">
        <v>684</v>
      </c>
      <c r="G105" s="103">
        <v>99</v>
      </c>
      <c r="H105" s="137" t="s">
        <v>916</v>
      </c>
      <c r="I105" s="103">
        <v>56</v>
      </c>
      <c r="K105" s="103" t="s">
        <v>364</v>
      </c>
      <c r="L105" s="133"/>
      <c r="M105" s="134">
        <v>9.7222222222222224E-2</v>
      </c>
      <c r="N105" s="135" t="s">
        <v>882</v>
      </c>
      <c r="O105" s="133" t="s">
        <v>803</v>
      </c>
      <c r="P105" s="100" t="s">
        <v>886</v>
      </c>
      <c r="Q105" s="100" t="s">
        <v>863</v>
      </c>
      <c r="R105" s="226" t="s">
        <v>913</v>
      </c>
      <c r="S105" s="491" t="str">
        <f t="shared" si="3"/>
        <v>x</v>
      </c>
      <c r="T105" s="492">
        <f>IFERROR(VLOOKUP(F105,'Freq-Chan'!C:D,2,FALSE),"x")</f>
        <v>151.684</v>
      </c>
      <c r="U105" s="110" t="s">
        <v>541</v>
      </c>
      <c r="V105" s="110" t="str">
        <f t="shared" si="4"/>
        <v>FWL</v>
      </c>
      <c r="W105" s="110" t="s">
        <v>541</v>
      </c>
      <c r="X105" s="110" t="s">
        <v>541</v>
      </c>
      <c r="Y105" s="110" t="str">
        <f>IFERROR(VLOOKUP(F105,'Freq-Chan'!C:E,3,FALSE),"na")</f>
        <v>F1845</v>
      </c>
      <c r="Z105" s="110" t="s">
        <v>541</v>
      </c>
      <c r="AA105" s="110" t="s">
        <v>541</v>
      </c>
      <c r="AB105" s="110" t="s">
        <v>541</v>
      </c>
      <c r="AC105" s="10" t="s">
        <v>541</v>
      </c>
      <c r="AD105" s="10" t="s">
        <v>541</v>
      </c>
    </row>
    <row r="106" spans="1:30" x14ac:dyDescent="0.2">
      <c r="A106" s="110">
        <v>105</v>
      </c>
      <c r="B106" s="132">
        <v>41810</v>
      </c>
      <c r="C106" s="117">
        <v>1</v>
      </c>
      <c r="D106" s="103" t="s">
        <v>177</v>
      </c>
      <c r="E106" s="103" t="s">
        <v>0</v>
      </c>
      <c r="H106" s="103"/>
      <c r="I106" s="103">
        <v>33</v>
      </c>
      <c r="K106" s="103" t="s">
        <v>364</v>
      </c>
      <c r="L106" s="133"/>
      <c r="M106" s="134">
        <v>3.1944444444444449E-2</v>
      </c>
      <c r="N106" s="135" t="s">
        <v>883</v>
      </c>
      <c r="O106" s="133" t="s">
        <v>805</v>
      </c>
      <c r="P106" s="100" t="s">
        <v>887</v>
      </c>
      <c r="Q106" s="100" t="s">
        <v>864</v>
      </c>
      <c r="R106" s="226" t="s">
        <v>913</v>
      </c>
      <c r="S106" s="491" t="str">
        <f t="shared" si="3"/>
        <v>x</v>
      </c>
      <c r="T106" s="492" t="str">
        <f>IFERROR(VLOOKUP(F106,'Freq-Chan'!C:D,2,FALSE),"x")</f>
        <v>x</v>
      </c>
      <c r="U106" s="110" t="s">
        <v>541</v>
      </c>
      <c r="V106" s="110" t="str">
        <f t="shared" si="4"/>
        <v>FWL</v>
      </c>
      <c r="W106" s="110" t="s">
        <v>541</v>
      </c>
      <c r="X106" s="110" t="s">
        <v>541</v>
      </c>
      <c r="Y106" s="110" t="str">
        <f>IFERROR(VLOOKUP(F106,'Freq-Chan'!C:E,3,FALSE),"na")</f>
        <v>na</v>
      </c>
      <c r="Z106" s="110" t="s">
        <v>541</v>
      </c>
      <c r="AA106" s="110" t="s">
        <v>541</v>
      </c>
      <c r="AB106" s="110" t="s">
        <v>541</v>
      </c>
      <c r="AC106" s="10" t="s">
        <v>541</v>
      </c>
      <c r="AD106" s="10" t="s">
        <v>541</v>
      </c>
    </row>
    <row r="107" spans="1:30" s="291" customFormat="1" x14ac:dyDescent="0.2">
      <c r="A107" s="493">
        <v>106</v>
      </c>
      <c r="B107" s="283">
        <v>41810</v>
      </c>
      <c r="C107" s="284">
        <v>1</v>
      </c>
      <c r="D107" s="285" t="s">
        <v>2</v>
      </c>
      <c r="E107" s="285" t="s">
        <v>306</v>
      </c>
      <c r="F107" s="285">
        <v>684</v>
      </c>
      <c r="G107" s="285">
        <v>59</v>
      </c>
      <c r="H107" s="339" t="s">
        <v>874</v>
      </c>
      <c r="I107" s="285">
        <v>67</v>
      </c>
      <c r="J107" s="285"/>
      <c r="K107" s="285" t="s">
        <v>364</v>
      </c>
      <c r="L107" s="286"/>
      <c r="M107" s="287">
        <v>7.9166666666666663E-2</v>
      </c>
      <c r="N107" s="288" t="s">
        <v>884</v>
      </c>
      <c r="O107" s="286" t="s">
        <v>802</v>
      </c>
      <c r="P107" s="289"/>
      <c r="Q107" s="289" t="s">
        <v>864</v>
      </c>
      <c r="R107" s="290" t="s">
        <v>913</v>
      </c>
      <c r="S107" s="494" t="str">
        <f t="shared" si="3"/>
        <v>x</v>
      </c>
      <c r="T107" s="495">
        <f>IFERROR(VLOOKUP(F107,'Freq-Chan'!C:D,2,FALSE),"x")</f>
        <v>151.684</v>
      </c>
      <c r="U107" s="493" t="s">
        <v>541</v>
      </c>
      <c r="V107" s="493" t="str">
        <f t="shared" si="4"/>
        <v>FWL</v>
      </c>
      <c r="W107" s="493" t="s">
        <v>541</v>
      </c>
      <c r="X107" s="493" t="s">
        <v>541</v>
      </c>
      <c r="Y107" s="493" t="str">
        <f>IFERROR(VLOOKUP(F107,'Freq-Chan'!C:E,3,FALSE),"na")</f>
        <v>F1845</v>
      </c>
      <c r="Z107" s="493" t="s">
        <v>541</v>
      </c>
      <c r="AA107" s="493" t="s">
        <v>541</v>
      </c>
      <c r="AB107" s="493" t="s">
        <v>541</v>
      </c>
      <c r="AC107" s="291" t="s">
        <v>541</v>
      </c>
      <c r="AD107" s="291" t="s">
        <v>541</v>
      </c>
    </row>
    <row r="108" spans="1:30" x14ac:dyDescent="0.2">
      <c r="A108" s="110">
        <v>107</v>
      </c>
      <c r="B108" s="132">
        <v>41810</v>
      </c>
      <c r="C108" s="117">
        <v>2</v>
      </c>
      <c r="D108" s="103" t="s">
        <v>2</v>
      </c>
      <c r="E108" s="103" t="s">
        <v>306</v>
      </c>
      <c r="F108" s="103">
        <v>684</v>
      </c>
      <c r="G108" s="103">
        <v>4</v>
      </c>
      <c r="H108" s="137" t="s">
        <v>888</v>
      </c>
      <c r="I108" s="103">
        <v>64</v>
      </c>
      <c r="K108" s="103" t="s">
        <v>364</v>
      </c>
      <c r="L108" s="133"/>
      <c r="M108" s="134">
        <v>5.5555555555555552E-2</v>
      </c>
      <c r="N108" s="135" t="s">
        <v>890</v>
      </c>
      <c r="O108" s="133" t="s">
        <v>376</v>
      </c>
      <c r="Q108" s="100" t="s">
        <v>858</v>
      </c>
      <c r="R108" s="226" t="s">
        <v>913</v>
      </c>
      <c r="S108" s="491" t="str">
        <f t="shared" si="3"/>
        <v>x</v>
      </c>
      <c r="T108" s="492">
        <f>IFERROR(VLOOKUP(F108,'Freq-Chan'!C:D,2,FALSE),"x")</f>
        <v>151.684</v>
      </c>
      <c r="U108" s="110" t="s">
        <v>541</v>
      </c>
      <c r="V108" s="110" t="str">
        <f t="shared" si="4"/>
        <v>FWL</v>
      </c>
      <c r="W108" s="110" t="s">
        <v>541</v>
      </c>
      <c r="X108" s="110" t="s">
        <v>541</v>
      </c>
      <c r="Y108" s="110" t="str">
        <f>IFERROR(VLOOKUP(F108,'Freq-Chan'!C:E,3,FALSE),"na")</f>
        <v>F1845</v>
      </c>
      <c r="Z108" s="110" t="s">
        <v>541</v>
      </c>
      <c r="AA108" s="110" t="s">
        <v>541</v>
      </c>
      <c r="AB108" s="110" t="s">
        <v>541</v>
      </c>
      <c r="AC108" s="10" t="s">
        <v>541</v>
      </c>
      <c r="AD108" s="10" t="s">
        <v>541</v>
      </c>
    </row>
    <row r="109" spans="1:30" s="291" customFormat="1" x14ac:dyDescent="0.2">
      <c r="A109" s="493">
        <v>108</v>
      </c>
      <c r="B109" s="283">
        <v>41810</v>
      </c>
      <c r="C109" s="284">
        <v>2</v>
      </c>
      <c r="D109" s="285" t="s">
        <v>2</v>
      </c>
      <c r="E109" s="285" t="s">
        <v>306</v>
      </c>
      <c r="F109" s="285">
        <v>725</v>
      </c>
      <c r="G109" s="285">
        <v>89</v>
      </c>
      <c r="H109" s="339" t="s">
        <v>889</v>
      </c>
      <c r="I109" s="285">
        <v>99</v>
      </c>
      <c r="J109" s="285"/>
      <c r="K109" s="285" t="s">
        <v>364</v>
      </c>
      <c r="L109" s="286"/>
      <c r="M109" s="287">
        <v>9.4444444444444442E-2</v>
      </c>
      <c r="N109" s="288" t="s">
        <v>589</v>
      </c>
      <c r="O109" s="286" t="s">
        <v>806</v>
      </c>
      <c r="P109" s="289"/>
      <c r="Q109" s="289" t="s">
        <v>863</v>
      </c>
      <c r="R109" s="290" t="s">
        <v>913</v>
      </c>
      <c r="S109" s="494" t="str">
        <f t="shared" si="3"/>
        <v>x</v>
      </c>
      <c r="T109" s="495">
        <f>IFERROR(VLOOKUP(F109,'Freq-Chan'!C:D,2,FALSE),"x")</f>
        <v>151.72499999999999</v>
      </c>
      <c r="U109" s="493" t="s">
        <v>541</v>
      </c>
      <c r="V109" s="493" t="str">
        <f t="shared" si="4"/>
        <v>FWL</v>
      </c>
      <c r="W109" s="493" t="s">
        <v>541</v>
      </c>
      <c r="X109" s="493" t="s">
        <v>541</v>
      </c>
      <c r="Y109" s="493" t="str">
        <f>IFERROR(VLOOKUP(F109,'Freq-Chan'!C:E,3,FALSE),"na")</f>
        <v>F1845</v>
      </c>
      <c r="Z109" s="493" t="s">
        <v>541</v>
      </c>
      <c r="AA109" s="493" t="s">
        <v>541</v>
      </c>
      <c r="AB109" s="493" t="s">
        <v>541</v>
      </c>
      <c r="AC109" s="291" t="s">
        <v>541</v>
      </c>
      <c r="AD109" s="291" t="s">
        <v>541</v>
      </c>
    </row>
    <row r="110" spans="1:30" x14ac:dyDescent="0.2">
      <c r="A110" s="110">
        <v>109</v>
      </c>
      <c r="B110" s="132">
        <v>41810</v>
      </c>
      <c r="C110" s="117">
        <v>3</v>
      </c>
      <c r="D110" s="103" t="s">
        <v>2</v>
      </c>
      <c r="E110" s="103" t="s">
        <v>306</v>
      </c>
      <c r="F110" s="103">
        <v>684</v>
      </c>
      <c r="G110" s="103">
        <v>85</v>
      </c>
      <c r="H110" s="137" t="s">
        <v>891</v>
      </c>
      <c r="I110" s="103">
        <v>64</v>
      </c>
      <c r="K110" s="103" t="s">
        <v>364</v>
      </c>
      <c r="L110" s="133"/>
      <c r="M110" s="134">
        <v>5.6944444444444443E-2</v>
      </c>
      <c r="N110" s="135" t="s">
        <v>898</v>
      </c>
      <c r="O110" s="133" t="s">
        <v>373</v>
      </c>
      <c r="Q110" s="100" t="s">
        <v>855</v>
      </c>
      <c r="R110" s="226" t="s">
        <v>913</v>
      </c>
      <c r="S110" s="491" t="str">
        <f t="shared" si="3"/>
        <v>x</v>
      </c>
      <c r="T110" s="492">
        <f>IFERROR(VLOOKUP(F110,'Freq-Chan'!C:D,2,FALSE),"x")</f>
        <v>151.684</v>
      </c>
      <c r="U110" s="110" t="s">
        <v>541</v>
      </c>
      <c r="V110" s="110" t="str">
        <f t="shared" si="4"/>
        <v>FWL</v>
      </c>
      <c r="W110" s="110" t="s">
        <v>541</v>
      </c>
      <c r="X110" s="110" t="s">
        <v>541</v>
      </c>
      <c r="Y110" s="110" t="str">
        <f>IFERROR(VLOOKUP(F110,'Freq-Chan'!C:E,3,FALSE),"na")</f>
        <v>F1845</v>
      </c>
      <c r="Z110" s="110" t="s">
        <v>541</v>
      </c>
      <c r="AA110" s="110" t="s">
        <v>541</v>
      </c>
      <c r="AB110" s="110" t="s">
        <v>541</v>
      </c>
      <c r="AC110" s="10" t="s">
        <v>541</v>
      </c>
      <c r="AD110" s="10" t="s">
        <v>541</v>
      </c>
    </row>
    <row r="111" spans="1:30" x14ac:dyDescent="0.2">
      <c r="A111" s="110">
        <v>110</v>
      </c>
      <c r="B111" s="132">
        <v>41810</v>
      </c>
      <c r="C111" s="117">
        <v>3</v>
      </c>
      <c r="D111" s="103" t="s">
        <v>2</v>
      </c>
      <c r="E111" s="103" t="s">
        <v>306</v>
      </c>
      <c r="F111" s="103">
        <v>684</v>
      </c>
      <c r="G111" s="103">
        <v>22</v>
      </c>
      <c r="H111" s="137" t="s">
        <v>892</v>
      </c>
      <c r="I111" s="103">
        <v>64</v>
      </c>
      <c r="K111" s="103" t="s">
        <v>364</v>
      </c>
      <c r="L111" s="133"/>
      <c r="M111" s="134">
        <v>6.1805555555555558E-2</v>
      </c>
      <c r="N111" s="135" t="s">
        <v>899</v>
      </c>
      <c r="O111" s="133" t="s">
        <v>376</v>
      </c>
      <c r="Q111" s="100" t="s">
        <v>858</v>
      </c>
      <c r="R111" s="226" t="s">
        <v>913</v>
      </c>
      <c r="S111" s="491" t="str">
        <f t="shared" si="3"/>
        <v>x</v>
      </c>
      <c r="T111" s="492">
        <f>IFERROR(VLOOKUP(F111,'Freq-Chan'!C:D,2,FALSE),"x")</f>
        <v>151.684</v>
      </c>
      <c r="U111" s="110" t="s">
        <v>541</v>
      </c>
      <c r="V111" s="110" t="str">
        <f t="shared" si="4"/>
        <v>FWL</v>
      </c>
      <c r="W111" s="110" t="s">
        <v>541</v>
      </c>
      <c r="X111" s="110" t="s">
        <v>541</v>
      </c>
      <c r="Y111" s="110" t="str">
        <f>IFERROR(VLOOKUP(F111,'Freq-Chan'!C:E,3,FALSE),"na")</f>
        <v>F1845</v>
      </c>
      <c r="Z111" s="110" t="s">
        <v>541</v>
      </c>
      <c r="AA111" s="110" t="s">
        <v>541</v>
      </c>
      <c r="AB111" s="110" t="s">
        <v>541</v>
      </c>
      <c r="AC111" s="10" t="s">
        <v>541</v>
      </c>
      <c r="AD111" s="10" t="s">
        <v>541</v>
      </c>
    </row>
    <row r="112" spans="1:30" x14ac:dyDescent="0.2">
      <c r="A112" s="110">
        <v>111</v>
      </c>
      <c r="B112" s="132">
        <v>41810</v>
      </c>
      <c r="C112" s="117">
        <v>3</v>
      </c>
      <c r="D112" s="103" t="s">
        <v>2</v>
      </c>
      <c r="E112" s="103" t="s">
        <v>306</v>
      </c>
      <c r="F112" s="103">
        <v>725</v>
      </c>
      <c r="G112" s="103">
        <v>7</v>
      </c>
      <c r="H112" s="137" t="s">
        <v>893</v>
      </c>
      <c r="I112" s="103">
        <v>97</v>
      </c>
      <c r="K112" s="103" t="s">
        <v>364</v>
      </c>
      <c r="L112" s="133"/>
      <c r="M112" s="134">
        <v>9.7222222222222224E-2</v>
      </c>
      <c r="N112" s="135" t="s">
        <v>900</v>
      </c>
      <c r="O112" s="133" t="s">
        <v>806</v>
      </c>
      <c r="Q112" s="100" t="s">
        <v>858</v>
      </c>
      <c r="R112" s="226" t="s">
        <v>913</v>
      </c>
      <c r="S112" s="491" t="str">
        <f t="shared" si="3"/>
        <v>x</v>
      </c>
      <c r="T112" s="492">
        <f>IFERROR(VLOOKUP(F112,'Freq-Chan'!C:D,2,FALSE),"x")</f>
        <v>151.72499999999999</v>
      </c>
      <c r="U112" s="110" t="s">
        <v>541</v>
      </c>
      <c r="V112" s="110" t="str">
        <f t="shared" si="4"/>
        <v>FWL</v>
      </c>
      <c r="W112" s="110" t="s">
        <v>541</v>
      </c>
      <c r="X112" s="110" t="s">
        <v>541</v>
      </c>
      <c r="Y112" s="110" t="str">
        <f>IFERROR(VLOOKUP(F112,'Freq-Chan'!C:E,3,FALSE),"na")</f>
        <v>F1845</v>
      </c>
      <c r="Z112" s="110" t="s">
        <v>541</v>
      </c>
      <c r="AA112" s="110" t="s">
        <v>541</v>
      </c>
      <c r="AB112" s="110" t="s">
        <v>541</v>
      </c>
      <c r="AC112" s="10" t="s">
        <v>541</v>
      </c>
      <c r="AD112" s="10" t="s">
        <v>541</v>
      </c>
    </row>
    <row r="113" spans="1:30" x14ac:dyDescent="0.2">
      <c r="A113" s="110">
        <v>112</v>
      </c>
      <c r="B113" s="132">
        <v>41810</v>
      </c>
      <c r="C113" s="117">
        <v>3</v>
      </c>
      <c r="D113" s="103" t="s">
        <v>177</v>
      </c>
      <c r="E113" s="103" t="s">
        <v>0</v>
      </c>
      <c r="H113" s="103"/>
      <c r="I113" s="103">
        <v>37</v>
      </c>
      <c r="K113" s="103" t="s">
        <v>364</v>
      </c>
      <c r="L113" s="133"/>
      <c r="M113" s="134">
        <v>4.1666666666666664E-2</v>
      </c>
      <c r="N113" s="135" t="s">
        <v>901</v>
      </c>
      <c r="O113" s="133" t="s">
        <v>909</v>
      </c>
      <c r="Q113" s="100" t="s">
        <v>858</v>
      </c>
      <c r="R113" s="226" t="s">
        <v>913</v>
      </c>
      <c r="S113" s="491" t="str">
        <f t="shared" si="3"/>
        <v>x</v>
      </c>
      <c r="T113" s="492" t="str">
        <f>IFERROR(VLOOKUP(F113,'Freq-Chan'!C:D,2,FALSE),"x")</f>
        <v>x</v>
      </c>
      <c r="U113" s="110" t="s">
        <v>541</v>
      </c>
      <c r="V113" s="110" t="str">
        <f t="shared" si="4"/>
        <v>FWL</v>
      </c>
      <c r="W113" s="110" t="s">
        <v>541</v>
      </c>
      <c r="X113" s="110" t="s">
        <v>541</v>
      </c>
      <c r="Y113" s="110" t="str">
        <f>IFERROR(VLOOKUP(F113,'Freq-Chan'!C:E,3,FALSE),"na")</f>
        <v>na</v>
      </c>
      <c r="Z113" s="110" t="s">
        <v>541</v>
      </c>
      <c r="AA113" s="110" t="s">
        <v>541</v>
      </c>
      <c r="AB113" s="110" t="s">
        <v>541</v>
      </c>
      <c r="AC113" s="10" t="s">
        <v>541</v>
      </c>
      <c r="AD113" s="10" t="s">
        <v>541</v>
      </c>
    </row>
    <row r="114" spans="1:30" x14ac:dyDescent="0.2">
      <c r="A114" s="110">
        <v>113</v>
      </c>
      <c r="B114" s="132">
        <v>41810</v>
      </c>
      <c r="C114" s="117">
        <v>3</v>
      </c>
      <c r="D114" s="103" t="s">
        <v>2</v>
      </c>
      <c r="E114" s="103" t="s">
        <v>306</v>
      </c>
      <c r="F114" s="103">
        <v>725</v>
      </c>
      <c r="G114" s="103">
        <v>62</v>
      </c>
      <c r="H114" s="137" t="s">
        <v>894</v>
      </c>
      <c r="I114" s="103">
        <v>74</v>
      </c>
      <c r="K114" s="103" t="s">
        <v>364</v>
      </c>
      <c r="L114" s="133"/>
      <c r="M114" s="134">
        <v>7.4999999999999997E-2</v>
      </c>
      <c r="N114" s="135" t="s">
        <v>902</v>
      </c>
      <c r="O114" s="133" t="s">
        <v>806</v>
      </c>
      <c r="Q114" s="100" t="s">
        <v>858</v>
      </c>
      <c r="R114" s="226" t="s">
        <v>913</v>
      </c>
      <c r="S114" s="491" t="str">
        <f t="shared" si="3"/>
        <v>x</v>
      </c>
      <c r="T114" s="492">
        <f>IFERROR(VLOOKUP(F114,'Freq-Chan'!C:D,2,FALSE),"x")</f>
        <v>151.72499999999999</v>
      </c>
      <c r="U114" s="110" t="s">
        <v>541</v>
      </c>
      <c r="V114" s="110" t="str">
        <f t="shared" si="4"/>
        <v>FWL</v>
      </c>
      <c r="W114" s="110" t="s">
        <v>541</v>
      </c>
      <c r="X114" s="110" t="s">
        <v>541</v>
      </c>
      <c r="Y114" s="110" t="str">
        <f>IFERROR(VLOOKUP(F114,'Freq-Chan'!C:E,3,FALSE),"na")</f>
        <v>F1845</v>
      </c>
      <c r="Z114" s="110" t="s">
        <v>541</v>
      </c>
      <c r="AA114" s="110" t="s">
        <v>541</v>
      </c>
      <c r="AB114" s="110" t="s">
        <v>541</v>
      </c>
      <c r="AC114" s="10" t="s">
        <v>541</v>
      </c>
      <c r="AD114" s="10" t="s">
        <v>541</v>
      </c>
    </row>
    <row r="115" spans="1:30" x14ac:dyDescent="0.2">
      <c r="A115" s="110">
        <v>114</v>
      </c>
      <c r="B115" s="132">
        <v>41810</v>
      </c>
      <c r="C115" s="117">
        <v>3</v>
      </c>
      <c r="D115" s="103" t="s">
        <v>177</v>
      </c>
      <c r="E115" s="103" t="s">
        <v>0</v>
      </c>
      <c r="H115" s="103"/>
      <c r="I115" s="103">
        <v>31</v>
      </c>
      <c r="K115" s="103" t="s">
        <v>364</v>
      </c>
      <c r="L115" s="133">
        <v>0.58750000000000002</v>
      </c>
      <c r="M115" s="134">
        <v>1.8749999999999999E-2</v>
      </c>
      <c r="N115" s="135" t="s">
        <v>903</v>
      </c>
      <c r="O115" s="133" t="s">
        <v>804</v>
      </c>
      <c r="P115" s="100" t="s">
        <v>776</v>
      </c>
      <c r="Q115" s="100" t="s">
        <v>858</v>
      </c>
      <c r="R115" s="226" t="s">
        <v>913</v>
      </c>
      <c r="S115" s="491">
        <f t="shared" si="3"/>
        <v>3.8194439999999997E-4</v>
      </c>
      <c r="T115" s="492" t="str">
        <f>IFERROR(VLOOKUP(F115,'Freq-Chan'!C:D,2,FALSE),"x")</f>
        <v>x</v>
      </c>
      <c r="U115" s="110" t="s">
        <v>541</v>
      </c>
      <c r="V115" s="110" t="str">
        <f t="shared" si="4"/>
        <v>FWL</v>
      </c>
      <c r="W115" s="110" t="s">
        <v>541</v>
      </c>
      <c r="X115" s="110" t="s">
        <v>541</v>
      </c>
      <c r="Y115" s="110" t="str">
        <f>IFERROR(VLOOKUP(F115,'Freq-Chan'!C:E,3,FALSE),"na")</f>
        <v>na</v>
      </c>
      <c r="Z115" s="110" t="s">
        <v>541</v>
      </c>
      <c r="AA115" s="110" t="s">
        <v>541</v>
      </c>
      <c r="AB115" s="110" t="s">
        <v>541</v>
      </c>
      <c r="AC115" s="10" t="s">
        <v>541</v>
      </c>
      <c r="AD115" s="10" t="s">
        <v>541</v>
      </c>
    </row>
    <row r="116" spans="1:30" x14ac:dyDescent="0.2">
      <c r="A116" s="110">
        <v>115</v>
      </c>
      <c r="B116" s="132">
        <v>41810</v>
      </c>
      <c r="C116" s="117">
        <v>3</v>
      </c>
      <c r="D116" s="103" t="s">
        <v>2</v>
      </c>
      <c r="E116" s="103" t="s">
        <v>306</v>
      </c>
      <c r="F116" s="103">
        <v>684</v>
      </c>
      <c r="G116" s="103">
        <v>39</v>
      </c>
      <c r="H116" s="137" t="s">
        <v>895</v>
      </c>
      <c r="I116" s="103">
        <v>63</v>
      </c>
      <c r="K116" s="103" t="s">
        <v>364</v>
      </c>
      <c r="L116" s="133">
        <v>0.74305555555555547</v>
      </c>
      <c r="M116" s="134">
        <v>0.13749999999999998</v>
      </c>
      <c r="N116" s="135" t="s">
        <v>904</v>
      </c>
      <c r="O116" s="133" t="s">
        <v>803</v>
      </c>
      <c r="P116" s="100" t="s">
        <v>910</v>
      </c>
      <c r="Q116" s="100" t="s">
        <v>863</v>
      </c>
      <c r="R116" s="226" t="s">
        <v>913</v>
      </c>
      <c r="S116" s="491">
        <f t="shared" si="3"/>
        <v>3.9583333000000002E-3</v>
      </c>
      <c r="T116" s="492">
        <f>IFERROR(VLOOKUP(F116,'Freq-Chan'!C:D,2,FALSE),"x")</f>
        <v>151.684</v>
      </c>
      <c r="U116" s="110" t="s">
        <v>541</v>
      </c>
      <c r="V116" s="110" t="str">
        <f t="shared" si="4"/>
        <v>FWL</v>
      </c>
      <c r="W116" s="110" t="s">
        <v>541</v>
      </c>
      <c r="X116" s="110" t="s">
        <v>541</v>
      </c>
      <c r="Y116" s="110" t="str">
        <f>IFERROR(VLOOKUP(F116,'Freq-Chan'!C:E,3,FALSE),"na")</f>
        <v>F1845</v>
      </c>
      <c r="Z116" s="110" t="s">
        <v>541</v>
      </c>
      <c r="AA116" s="110" t="s">
        <v>541</v>
      </c>
      <c r="AB116" s="110" t="s">
        <v>541</v>
      </c>
      <c r="AC116" s="10" t="s">
        <v>541</v>
      </c>
      <c r="AD116" s="10" t="s">
        <v>541</v>
      </c>
    </row>
    <row r="117" spans="1:30" x14ac:dyDescent="0.2">
      <c r="A117" s="110">
        <v>116</v>
      </c>
      <c r="B117" s="132">
        <v>41810</v>
      </c>
      <c r="C117" s="117">
        <v>3</v>
      </c>
      <c r="D117" s="103" t="s">
        <v>177</v>
      </c>
      <c r="E117" s="103" t="s">
        <v>0</v>
      </c>
      <c r="H117" s="103"/>
      <c r="I117" s="103">
        <v>35</v>
      </c>
      <c r="K117" s="103" t="s">
        <v>364</v>
      </c>
      <c r="L117" s="133"/>
      <c r="M117" s="134">
        <v>5.5555555555555552E-2</v>
      </c>
      <c r="N117" s="135" t="s">
        <v>905</v>
      </c>
      <c r="O117" s="133" t="s">
        <v>909</v>
      </c>
      <c r="P117" s="100" t="s">
        <v>776</v>
      </c>
      <c r="Q117" s="100" t="s">
        <v>863</v>
      </c>
      <c r="R117" s="226" t="s">
        <v>913</v>
      </c>
      <c r="S117" s="491" t="str">
        <f t="shared" si="3"/>
        <v>x</v>
      </c>
      <c r="T117" s="492" t="str">
        <f>IFERROR(VLOOKUP(F117,'Freq-Chan'!C:D,2,FALSE),"x")</f>
        <v>x</v>
      </c>
      <c r="U117" s="110" t="s">
        <v>541</v>
      </c>
      <c r="V117" s="110" t="str">
        <f t="shared" si="4"/>
        <v>FWL</v>
      </c>
      <c r="W117" s="110" t="s">
        <v>541</v>
      </c>
      <c r="X117" s="110" t="s">
        <v>541</v>
      </c>
      <c r="Y117" s="110" t="str">
        <f>IFERROR(VLOOKUP(F117,'Freq-Chan'!C:E,3,FALSE),"na")</f>
        <v>na</v>
      </c>
      <c r="Z117" s="110" t="s">
        <v>541</v>
      </c>
      <c r="AA117" s="110" t="s">
        <v>541</v>
      </c>
      <c r="AB117" s="110" t="s">
        <v>541</v>
      </c>
      <c r="AC117" s="10" t="s">
        <v>541</v>
      </c>
      <c r="AD117" s="10" t="s">
        <v>541</v>
      </c>
    </row>
    <row r="118" spans="1:30" x14ac:dyDescent="0.2">
      <c r="A118" s="110">
        <v>117</v>
      </c>
      <c r="B118" s="132">
        <v>41810</v>
      </c>
      <c r="C118" s="117">
        <v>3</v>
      </c>
      <c r="D118" s="103" t="s">
        <v>88</v>
      </c>
      <c r="E118" s="103" t="s">
        <v>798</v>
      </c>
      <c r="H118" s="103"/>
      <c r="J118" s="103">
        <v>28</v>
      </c>
      <c r="K118" s="103" t="s">
        <v>364</v>
      </c>
      <c r="L118" s="133"/>
      <c r="M118" s="134">
        <v>4.8611111111111112E-2</v>
      </c>
      <c r="N118" s="135" t="s">
        <v>905</v>
      </c>
      <c r="O118" s="133" t="s">
        <v>909</v>
      </c>
      <c r="Q118" s="100" t="s">
        <v>863</v>
      </c>
      <c r="R118" s="226" t="s">
        <v>913</v>
      </c>
      <c r="S118" s="491" t="str">
        <f t="shared" si="3"/>
        <v>x</v>
      </c>
      <c r="T118" s="492" t="str">
        <f>IFERROR(VLOOKUP(F118,'Freq-Chan'!C:D,2,FALSE),"x")</f>
        <v>x</v>
      </c>
      <c r="U118" s="110" t="s">
        <v>541</v>
      </c>
      <c r="V118" s="110" t="str">
        <f t="shared" si="4"/>
        <v>FWL</v>
      </c>
      <c r="W118" s="110" t="s">
        <v>541</v>
      </c>
      <c r="X118" s="110" t="s">
        <v>541</v>
      </c>
      <c r="Y118" s="110" t="str">
        <f>IFERROR(VLOOKUP(F118,'Freq-Chan'!C:E,3,FALSE),"na")</f>
        <v>na</v>
      </c>
      <c r="Z118" s="110" t="s">
        <v>541</v>
      </c>
      <c r="AA118" s="110" t="s">
        <v>541</v>
      </c>
      <c r="AB118" s="110" t="s">
        <v>541</v>
      </c>
      <c r="AC118" s="10" t="s">
        <v>541</v>
      </c>
      <c r="AD118" s="10" t="s">
        <v>541</v>
      </c>
    </row>
    <row r="119" spans="1:30" x14ac:dyDescent="0.2">
      <c r="A119" s="110">
        <v>118</v>
      </c>
      <c r="B119" s="132">
        <v>41810</v>
      </c>
      <c r="C119" s="117">
        <v>3</v>
      </c>
      <c r="D119" s="103" t="s">
        <v>2</v>
      </c>
      <c r="E119" s="103" t="s">
        <v>306</v>
      </c>
      <c r="F119" s="103">
        <v>684</v>
      </c>
      <c r="G119" s="103">
        <v>72</v>
      </c>
      <c r="H119" s="137" t="s">
        <v>896</v>
      </c>
      <c r="I119" s="103">
        <v>56</v>
      </c>
      <c r="K119" s="103" t="s">
        <v>364</v>
      </c>
      <c r="L119" s="133"/>
      <c r="M119" s="134">
        <v>7.4999999999999997E-2</v>
      </c>
      <c r="N119" s="135" t="s">
        <v>906</v>
      </c>
      <c r="O119" s="133" t="s">
        <v>805</v>
      </c>
      <c r="Q119" s="100" t="s">
        <v>866</v>
      </c>
      <c r="R119" s="226" t="s">
        <v>913</v>
      </c>
      <c r="S119" s="491" t="str">
        <f t="shared" si="3"/>
        <v>x</v>
      </c>
      <c r="T119" s="492">
        <f>IFERROR(VLOOKUP(F119,'Freq-Chan'!C:D,2,FALSE),"x")</f>
        <v>151.684</v>
      </c>
      <c r="U119" s="110" t="s">
        <v>541</v>
      </c>
      <c r="V119" s="110" t="str">
        <f t="shared" si="4"/>
        <v>FWL</v>
      </c>
      <c r="W119" s="110" t="s">
        <v>541</v>
      </c>
      <c r="X119" s="110" t="s">
        <v>541</v>
      </c>
      <c r="Y119" s="110" t="str">
        <f>IFERROR(VLOOKUP(F119,'Freq-Chan'!C:E,3,FALSE),"na")</f>
        <v>F1845</v>
      </c>
      <c r="Z119" s="110" t="s">
        <v>541</v>
      </c>
      <c r="AA119" s="110" t="s">
        <v>541</v>
      </c>
      <c r="AB119" s="110" t="s">
        <v>541</v>
      </c>
      <c r="AC119" s="10" t="s">
        <v>541</v>
      </c>
      <c r="AD119" s="10" t="s">
        <v>541</v>
      </c>
    </row>
    <row r="120" spans="1:30" x14ac:dyDescent="0.2">
      <c r="A120" s="110">
        <v>119</v>
      </c>
      <c r="B120" s="132">
        <v>41810</v>
      </c>
      <c r="C120" s="117">
        <v>3</v>
      </c>
      <c r="D120" s="103" t="s">
        <v>2</v>
      </c>
      <c r="E120" s="103" t="s">
        <v>306</v>
      </c>
      <c r="F120" s="103">
        <v>725</v>
      </c>
      <c r="G120" s="103">
        <v>25</v>
      </c>
      <c r="H120" s="137" t="s">
        <v>897</v>
      </c>
      <c r="I120" s="103">
        <v>63</v>
      </c>
      <c r="K120" s="103" t="s">
        <v>364</v>
      </c>
      <c r="L120" s="133"/>
      <c r="M120" s="134">
        <v>6.3888888888888884E-2</v>
      </c>
      <c r="N120" s="135" t="s">
        <v>907</v>
      </c>
      <c r="O120" s="133" t="s">
        <v>802</v>
      </c>
      <c r="Q120" s="100" t="s">
        <v>866</v>
      </c>
      <c r="R120" s="226" t="s">
        <v>913</v>
      </c>
      <c r="S120" s="491" t="str">
        <f t="shared" si="3"/>
        <v>x</v>
      </c>
      <c r="T120" s="492">
        <f>IFERROR(VLOOKUP(F120,'Freq-Chan'!C:D,2,FALSE),"x")</f>
        <v>151.72499999999999</v>
      </c>
      <c r="U120" s="110" t="s">
        <v>541</v>
      </c>
      <c r="V120" s="110" t="str">
        <f t="shared" si="4"/>
        <v>FWL</v>
      </c>
      <c r="W120" s="110" t="s">
        <v>541</v>
      </c>
      <c r="X120" s="110" t="s">
        <v>541</v>
      </c>
      <c r="Y120" s="110" t="str">
        <f>IFERROR(VLOOKUP(F120,'Freq-Chan'!C:E,3,FALSE),"na")</f>
        <v>F1845</v>
      </c>
      <c r="Z120" s="110" t="s">
        <v>541</v>
      </c>
      <c r="AA120" s="110" t="s">
        <v>541</v>
      </c>
      <c r="AB120" s="110" t="s">
        <v>541</v>
      </c>
      <c r="AC120" s="10" t="s">
        <v>541</v>
      </c>
      <c r="AD120" s="10" t="s">
        <v>541</v>
      </c>
    </row>
    <row r="121" spans="1:30" s="291" customFormat="1" x14ac:dyDescent="0.2">
      <c r="A121" s="493">
        <v>120</v>
      </c>
      <c r="B121" s="283">
        <v>41810</v>
      </c>
      <c r="C121" s="284">
        <v>3</v>
      </c>
      <c r="D121" s="285" t="s">
        <v>90</v>
      </c>
      <c r="E121" s="285" t="s">
        <v>798</v>
      </c>
      <c r="F121" s="285"/>
      <c r="G121" s="285"/>
      <c r="H121" s="285"/>
      <c r="I121" s="285"/>
      <c r="J121" s="285">
        <v>41</v>
      </c>
      <c r="K121" s="285" t="s">
        <v>364</v>
      </c>
      <c r="L121" s="286"/>
      <c r="M121" s="287">
        <v>2.0833333333333332E-2</v>
      </c>
      <c r="N121" s="288" t="s">
        <v>908</v>
      </c>
      <c r="O121" s="286" t="s">
        <v>805</v>
      </c>
      <c r="P121" s="289" t="s">
        <v>911</v>
      </c>
      <c r="Q121" s="289" t="s">
        <v>866</v>
      </c>
      <c r="R121" s="290" t="s">
        <v>913</v>
      </c>
      <c r="S121" s="494" t="str">
        <f t="shared" si="3"/>
        <v>x</v>
      </c>
      <c r="T121" s="495" t="str">
        <f>IFERROR(VLOOKUP(F121,'Freq-Chan'!C:D,2,FALSE),"x")</f>
        <v>x</v>
      </c>
      <c r="U121" s="493" t="s">
        <v>541</v>
      </c>
      <c r="V121" s="493" t="str">
        <f t="shared" si="4"/>
        <v>FWL</v>
      </c>
      <c r="W121" s="493" t="s">
        <v>541</v>
      </c>
      <c r="X121" s="493" t="s">
        <v>541</v>
      </c>
      <c r="Y121" s="493" t="str">
        <f>IFERROR(VLOOKUP(F121,'Freq-Chan'!C:E,3,FALSE),"na")</f>
        <v>na</v>
      </c>
      <c r="Z121" s="493" t="s">
        <v>541</v>
      </c>
      <c r="AA121" s="493" t="s">
        <v>541</v>
      </c>
      <c r="AB121" s="493" t="s">
        <v>541</v>
      </c>
      <c r="AC121" s="291" t="s">
        <v>541</v>
      </c>
      <c r="AD121" s="291" t="s">
        <v>541</v>
      </c>
    </row>
    <row r="122" spans="1:30" x14ac:dyDescent="0.2">
      <c r="A122" s="110">
        <v>121</v>
      </c>
      <c r="B122" s="132">
        <v>41811</v>
      </c>
      <c r="C122" s="117">
        <v>1</v>
      </c>
      <c r="D122" s="103" t="s">
        <v>177</v>
      </c>
      <c r="E122" s="103" t="s">
        <v>0</v>
      </c>
      <c r="F122" s="103">
        <v>917</v>
      </c>
      <c r="G122" s="103">
        <v>74</v>
      </c>
      <c r="H122" s="137" t="s">
        <v>920</v>
      </c>
      <c r="I122" s="103">
        <v>45</v>
      </c>
      <c r="K122" s="103" t="s">
        <v>364</v>
      </c>
      <c r="L122" s="133"/>
      <c r="M122" s="134">
        <v>6.1805555555555558E-2</v>
      </c>
      <c r="N122" s="140">
        <v>0.3</v>
      </c>
      <c r="O122" s="133" t="s">
        <v>372</v>
      </c>
      <c r="Q122" s="100" t="s">
        <v>932</v>
      </c>
      <c r="R122" s="226" t="s">
        <v>934</v>
      </c>
      <c r="S122" s="491" t="str">
        <f t="shared" si="3"/>
        <v>x</v>
      </c>
      <c r="T122" s="492">
        <f>IFERROR(VLOOKUP(F122,'Freq-Chan'!C:D,2,FALSE),"x")</f>
        <v>151.917</v>
      </c>
      <c r="U122" s="110" t="s">
        <v>541</v>
      </c>
      <c r="V122" s="110" t="str">
        <f t="shared" si="4"/>
        <v>FWL</v>
      </c>
      <c r="W122" s="110" t="s">
        <v>541</v>
      </c>
      <c r="X122" s="110" t="s">
        <v>541</v>
      </c>
      <c r="Y122" s="110" t="str">
        <f>IFERROR(VLOOKUP(F122,'Freq-Chan'!C:E,3,FALSE),"na")</f>
        <v>F1835</v>
      </c>
      <c r="Z122" s="110" t="s">
        <v>541</v>
      </c>
      <c r="AA122" s="110" t="s">
        <v>541</v>
      </c>
      <c r="AB122" s="110" t="s">
        <v>541</v>
      </c>
      <c r="AC122" s="10" t="s">
        <v>541</v>
      </c>
      <c r="AD122" s="10" t="s">
        <v>541</v>
      </c>
    </row>
    <row r="123" spans="1:30" x14ac:dyDescent="0.2">
      <c r="A123" s="110">
        <v>122</v>
      </c>
      <c r="B123" s="132">
        <v>41811</v>
      </c>
      <c r="C123" s="117">
        <v>1</v>
      </c>
      <c r="D123" s="103" t="s">
        <v>177</v>
      </c>
      <c r="E123" s="103" t="s">
        <v>0</v>
      </c>
      <c r="H123" s="103"/>
      <c r="I123" s="103">
        <v>30</v>
      </c>
      <c r="K123" s="103" t="s">
        <v>364</v>
      </c>
      <c r="L123" s="133"/>
      <c r="M123" s="134">
        <v>1.3888888888888888E-2</v>
      </c>
      <c r="N123" s="140">
        <v>0.30277777777777776</v>
      </c>
      <c r="O123" s="133" t="s">
        <v>804</v>
      </c>
      <c r="P123" s="100" t="s">
        <v>776</v>
      </c>
      <c r="Q123" s="100" t="s">
        <v>932</v>
      </c>
      <c r="R123" s="226" t="s">
        <v>934</v>
      </c>
      <c r="S123" s="491" t="str">
        <f t="shared" si="3"/>
        <v>x</v>
      </c>
      <c r="T123" s="492" t="str">
        <f>IFERROR(VLOOKUP(F123,'Freq-Chan'!C:D,2,FALSE),"x")</f>
        <v>x</v>
      </c>
      <c r="U123" s="110" t="s">
        <v>541</v>
      </c>
      <c r="V123" s="110" t="str">
        <f t="shared" si="4"/>
        <v>FWL</v>
      </c>
      <c r="W123" s="110" t="s">
        <v>541</v>
      </c>
      <c r="X123" s="110" t="s">
        <v>541</v>
      </c>
      <c r="Y123" s="110" t="str">
        <f>IFERROR(VLOOKUP(F123,'Freq-Chan'!C:E,3,FALSE),"na")</f>
        <v>na</v>
      </c>
      <c r="Z123" s="110" t="s">
        <v>541</v>
      </c>
      <c r="AA123" s="110" t="s">
        <v>541</v>
      </c>
      <c r="AB123" s="110" t="s">
        <v>541</v>
      </c>
      <c r="AC123" s="10" t="s">
        <v>541</v>
      </c>
      <c r="AD123" s="10" t="s">
        <v>541</v>
      </c>
    </row>
    <row r="124" spans="1:30" x14ac:dyDescent="0.2">
      <c r="A124" s="110">
        <v>123</v>
      </c>
      <c r="B124" s="132">
        <v>41811</v>
      </c>
      <c r="C124" s="117">
        <v>1</v>
      </c>
      <c r="D124" s="103" t="s">
        <v>177</v>
      </c>
      <c r="E124" s="103" t="s">
        <v>0</v>
      </c>
      <c r="F124" s="103">
        <v>917</v>
      </c>
      <c r="G124" s="103">
        <v>53</v>
      </c>
      <c r="H124" s="137" t="s">
        <v>921</v>
      </c>
      <c r="I124" s="103">
        <v>43</v>
      </c>
      <c r="K124" s="103" t="s">
        <v>364</v>
      </c>
      <c r="L124" s="133"/>
      <c r="M124" s="134">
        <v>5.5555555555555552E-2</v>
      </c>
      <c r="N124" s="140">
        <v>0.30486111111111108</v>
      </c>
      <c r="O124" s="133" t="s">
        <v>372</v>
      </c>
      <c r="Q124" s="100" t="s">
        <v>932</v>
      </c>
      <c r="R124" s="226" t="s">
        <v>934</v>
      </c>
      <c r="S124" s="491" t="str">
        <f t="shared" si="3"/>
        <v>x</v>
      </c>
      <c r="T124" s="492">
        <f>IFERROR(VLOOKUP(F124,'Freq-Chan'!C:D,2,FALSE),"x")</f>
        <v>151.917</v>
      </c>
      <c r="U124" s="110" t="s">
        <v>541</v>
      </c>
      <c r="V124" s="110" t="str">
        <f t="shared" si="4"/>
        <v>FWL</v>
      </c>
      <c r="W124" s="110" t="s">
        <v>541</v>
      </c>
      <c r="X124" s="110" t="s">
        <v>541</v>
      </c>
      <c r="Y124" s="110" t="str">
        <f>IFERROR(VLOOKUP(F124,'Freq-Chan'!C:E,3,FALSE),"na")</f>
        <v>F1835</v>
      </c>
      <c r="Z124" s="110" t="s">
        <v>541</v>
      </c>
      <c r="AA124" s="110" t="s">
        <v>541</v>
      </c>
      <c r="AB124" s="110" t="s">
        <v>541</v>
      </c>
      <c r="AC124" s="10" t="s">
        <v>541</v>
      </c>
      <c r="AD124" s="10" t="s">
        <v>541</v>
      </c>
    </row>
    <row r="125" spans="1:30" x14ac:dyDescent="0.2">
      <c r="A125" s="110">
        <v>124</v>
      </c>
      <c r="B125" s="132">
        <v>41811</v>
      </c>
      <c r="C125" s="117">
        <v>1</v>
      </c>
      <c r="D125" s="103" t="s">
        <v>2</v>
      </c>
      <c r="E125" s="103" t="s">
        <v>306</v>
      </c>
      <c r="F125" s="103">
        <v>725</v>
      </c>
      <c r="G125" s="103">
        <v>87</v>
      </c>
      <c r="H125" s="137" t="s">
        <v>922</v>
      </c>
      <c r="I125" s="103">
        <v>69</v>
      </c>
      <c r="K125" s="103" t="s">
        <v>364</v>
      </c>
      <c r="L125" s="133">
        <v>0.28958333333333336</v>
      </c>
      <c r="M125" s="134">
        <v>4.6527777777777779E-2</v>
      </c>
      <c r="N125" s="140">
        <v>0.30624999999999997</v>
      </c>
      <c r="O125" s="133" t="s">
        <v>804</v>
      </c>
      <c r="Q125" s="100" t="s">
        <v>932</v>
      </c>
      <c r="R125" s="226" t="s">
        <v>934</v>
      </c>
      <c r="S125" s="491">
        <f t="shared" si="3"/>
        <v>1.5891203699999999E-2</v>
      </c>
      <c r="T125" s="492">
        <f>IFERROR(VLOOKUP(F125,'Freq-Chan'!C:D,2,FALSE),"x")</f>
        <v>151.72499999999999</v>
      </c>
      <c r="U125" s="110" t="s">
        <v>541</v>
      </c>
      <c r="V125" s="110" t="str">
        <f t="shared" si="4"/>
        <v>FWL</v>
      </c>
      <c r="W125" s="110" t="s">
        <v>541</v>
      </c>
      <c r="X125" s="110" t="s">
        <v>541</v>
      </c>
      <c r="Y125" s="110" t="str">
        <f>IFERROR(VLOOKUP(F125,'Freq-Chan'!C:E,3,FALSE),"na")</f>
        <v>F1845</v>
      </c>
      <c r="Z125" s="110" t="s">
        <v>541</v>
      </c>
      <c r="AA125" s="110" t="s">
        <v>541</v>
      </c>
      <c r="AB125" s="110" t="s">
        <v>541</v>
      </c>
      <c r="AC125" s="10" t="s">
        <v>541</v>
      </c>
      <c r="AD125" s="10" t="s">
        <v>541</v>
      </c>
    </row>
    <row r="126" spans="1:30" x14ac:dyDescent="0.2">
      <c r="A126" s="110">
        <v>125</v>
      </c>
      <c r="B126" s="132">
        <v>41811</v>
      </c>
      <c r="C126" s="117">
        <v>1</v>
      </c>
      <c r="D126" s="103" t="s">
        <v>87</v>
      </c>
      <c r="E126" s="103" t="s">
        <v>798</v>
      </c>
      <c r="H126" s="103" t="s">
        <v>912</v>
      </c>
      <c r="J126" s="103">
        <v>20</v>
      </c>
      <c r="K126" s="103" t="s">
        <v>364</v>
      </c>
      <c r="L126" s="133"/>
      <c r="M126" s="134">
        <v>5.5555555555555552E-2</v>
      </c>
      <c r="N126" s="140">
        <v>0.31736111111111115</v>
      </c>
      <c r="O126" s="133" t="s">
        <v>372</v>
      </c>
      <c r="Q126" s="100" t="s">
        <v>932</v>
      </c>
      <c r="R126" s="226" t="s">
        <v>934</v>
      </c>
      <c r="S126" s="491" t="str">
        <f t="shared" si="3"/>
        <v>x</v>
      </c>
      <c r="T126" s="492" t="str">
        <f>IFERROR(VLOOKUP(F126,'Freq-Chan'!C:D,2,FALSE),"x")</f>
        <v>x</v>
      </c>
      <c r="U126" s="110" t="s">
        <v>541</v>
      </c>
      <c r="V126" s="110" t="str">
        <f t="shared" si="4"/>
        <v>FWL</v>
      </c>
      <c r="W126" s="110" t="s">
        <v>541</v>
      </c>
      <c r="X126" s="110" t="s">
        <v>541</v>
      </c>
      <c r="Y126" s="110" t="str">
        <f>IFERROR(VLOOKUP(F126,'Freq-Chan'!C:E,3,FALSE),"na")</f>
        <v>na</v>
      </c>
      <c r="Z126" s="110" t="s">
        <v>541</v>
      </c>
      <c r="AA126" s="110" t="s">
        <v>541</v>
      </c>
      <c r="AB126" s="110" t="s">
        <v>541</v>
      </c>
      <c r="AC126" s="10" t="s">
        <v>541</v>
      </c>
      <c r="AD126" s="10" t="s">
        <v>541</v>
      </c>
    </row>
    <row r="127" spans="1:30" x14ac:dyDescent="0.2">
      <c r="A127" s="110">
        <v>126</v>
      </c>
      <c r="B127" s="132">
        <v>41811</v>
      </c>
      <c r="C127" s="117">
        <v>1</v>
      </c>
      <c r="D127" s="103" t="s">
        <v>177</v>
      </c>
      <c r="E127" s="103" t="s">
        <v>0</v>
      </c>
      <c r="H127" s="103"/>
      <c r="I127" s="103">
        <v>34</v>
      </c>
      <c r="K127" s="103" t="s">
        <v>364</v>
      </c>
      <c r="L127" s="133"/>
      <c r="M127" s="134">
        <v>1.5972222222222224E-2</v>
      </c>
      <c r="N127" s="140">
        <v>0.38541666666666669</v>
      </c>
      <c r="O127" s="133" t="s">
        <v>804</v>
      </c>
      <c r="P127" s="100" t="s">
        <v>776</v>
      </c>
      <c r="Q127" s="100" t="s">
        <v>932</v>
      </c>
      <c r="R127" s="226" t="s">
        <v>934</v>
      </c>
      <c r="S127" s="491" t="str">
        <f t="shared" si="3"/>
        <v>x</v>
      </c>
      <c r="T127" s="492" t="str">
        <f>IFERROR(VLOOKUP(F127,'Freq-Chan'!C:D,2,FALSE),"x")</f>
        <v>x</v>
      </c>
      <c r="U127" s="110" t="s">
        <v>541</v>
      </c>
      <c r="V127" s="110" t="str">
        <f t="shared" si="4"/>
        <v>FWL</v>
      </c>
      <c r="W127" s="110" t="s">
        <v>541</v>
      </c>
      <c r="X127" s="110" t="s">
        <v>541</v>
      </c>
      <c r="Y127" s="110" t="str">
        <f>IFERROR(VLOOKUP(F127,'Freq-Chan'!C:E,3,FALSE),"na")</f>
        <v>na</v>
      </c>
      <c r="Z127" s="110" t="s">
        <v>541</v>
      </c>
      <c r="AA127" s="110" t="s">
        <v>541</v>
      </c>
      <c r="AB127" s="110" t="s">
        <v>541</v>
      </c>
      <c r="AC127" s="10" t="s">
        <v>541</v>
      </c>
      <c r="AD127" s="10" t="s">
        <v>541</v>
      </c>
    </row>
    <row r="128" spans="1:30" x14ac:dyDescent="0.2">
      <c r="A128" s="110">
        <v>127</v>
      </c>
      <c r="B128" s="132">
        <v>41811</v>
      </c>
      <c r="C128" s="117">
        <v>1</v>
      </c>
      <c r="D128" s="103" t="s">
        <v>177</v>
      </c>
      <c r="E128" s="103" t="s">
        <v>0</v>
      </c>
      <c r="H128" s="103"/>
      <c r="I128" s="103">
        <v>32</v>
      </c>
      <c r="K128" s="103" t="s">
        <v>364</v>
      </c>
      <c r="L128" s="133"/>
      <c r="M128" s="134">
        <v>2.4999999999999998E-2</v>
      </c>
      <c r="N128" s="140">
        <v>0.38750000000000001</v>
      </c>
      <c r="O128" s="133" t="s">
        <v>372</v>
      </c>
      <c r="P128" s="100" t="s">
        <v>776</v>
      </c>
      <c r="Q128" s="100" t="s">
        <v>932</v>
      </c>
      <c r="R128" s="226" t="s">
        <v>934</v>
      </c>
      <c r="S128" s="491" t="str">
        <f t="shared" si="3"/>
        <v>x</v>
      </c>
      <c r="T128" s="492" t="str">
        <f>IFERROR(VLOOKUP(F128,'Freq-Chan'!C:D,2,FALSE),"x")</f>
        <v>x</v>
      </c>
      <c r="U128" s="110" t="s">
        <v>541</v>
      </c>
      <c r="V128" s="110" t="str">
        <f t="shared" si="4"/>
        <v>FWL</v>
      </c>
      <c r="W128" s="110" t="s">
        <v>541</v>
      </c>
      <c r="X128" s="110" t="s">
        <v>541</v>
      </c>
      <c r="Y128" s="110" t="str">
        <f>IFERROR(VLOOKUP(F128,'Freq-Chan'!C:E,3,FALSE),"na")</f>
        <v>na</v>
      </c>
      <c r="Z128" s="110" t="s">
        <v>541</v>
      </c>
      <c r="AA128" s="110" t="s">
        <v>541</v>
      </c>
      <c r="AB128" s="110" t="s">
        <v>541</v>
      </c>
      <c r="AC128" s="10" t="s">
        <v>541</v>
      </c>
      <c r="AD128" s="10" t="s">
        <v>541</v>
      </c>
    </row>
    <row r="129" spans="1:30" x14ac:dyDescent="0.2">
      <c r="A129" s="110">
        <v>128</v>
      </c>
      <c r="B129" s="132">
        <v>41811</v>
      </c>
      <c r="C129" s="117">
        <v>1</v>
      </c>
      <c r="D129" s="103" t="s">
        <v>177</v>
      </c>
      <c r="E129" s="103" t="s">
        <v>0</v>
      </c>
      <c r="H129" s="103"/>
      <c r="I129" s="103">
        <v>35.5</v>
      </c>
      <c r="K129" s="103" t="s">
        <v>364</v>
      </c>
      <c r="L129" s="133">
        <v>0.44305555555555554</v>
      </c>
      <c r="M129" s="134">
        <v>3.8194444444444441E-2</v>
      </c>
      <c r="N129" s="140">
        <v>0.4458333333333333</v>
      </c>
      <c r="O129" s="133" t="s">
        <v>803</v>
      </c>
      <c r="P129" s="100" t="s">
        <v>776</v>
      </c>
      <c r="Q129" s="100" t="s">
        <v>933</v>
      </c>
      <c r="R129" s="226" t="s">
        <v>934</v>
      </c>
      <c r="S129" s="491">
        <f t="shared" si="3"/>
        <v>2.1412037000000002E-3</v>
      </c>
      <c r="T129" s="492" t="str">
        <f>IFERROR(VLOOKUP(F129,'Freq-Chan'!C:D,2,FALSE),"x")</f>
        <v>x</v>
      </c>
      <c r="U129" s="110" t="s">
        <v>541</v>
      </c>
      <c r="V129" s="110" t="str">
        <f t="shared" si="4"/>
        <v>FWL</v>
      </c>
      <c r="W129" s="110" t="s">
        <v>541</v>
      </c>
      <c r="X129" s="110" t="s">
        <v>541</v>
      </c>
      <c r="Y129" s="110" t="str">
        <f>IFERROR(VLOOKUP(F129,'Freq-Chan'!C:E,3,FALSE),"na")</f>
        <v>na</v>
      </c>
      <c r="Z129" s="110" t="s">
        <v>541</v>
      </c>
      <c r="AA129" s="110" t="s">
        <v>541</v>
      </c>
      <c r="AB129" s="110" t="s">
        <v>541</v>
      </c>
      <c r="AC129" s="10" t="s">
        <v>541</v>
      </c>
      <c r="AD129" s="10" t="s">
        <v>541</v>
      </c>
    </row>
    <row r="130" spans="1:30" x14ac:dyDescent="0.2">
      <c r="A130" s="110">
        <v>129</v>
      </c>
      <c r="B130" s="132">
        <v>41811</v>
      </c>
      <c r="C130" s="117">
        <v>1</v>
      </c>
      <c r="D130" s="103" t="s">
        <v>2</v>
      </c>
      <c r="E130" s="103" t="s">
        <v>306</v>
      </c>
      <c r="F130" s="103">
        <v>684</v>
      </c>
      <c r="G130" s="103">
        <v>24</v>
      </c>
      <c r="H130" s="137" t="s">
        <v>923</v>
      </c>
      <c r="I130" s="103">
        <v>55</v>
      </c>
      <c r="K130" s="103" t="s">
        <v>364</v>
      </c>
      <c r="L130" s="133">
        <v>0.4694444444444445</v>
      </c>
      <c r="M130" s="134">
        <v>8.4722222222222213E-2</v>
      </c>
      <c r="N130" s="140">
        <v>0.47430555555555554</v>
      </c>
      <c r="O130" s="133" t="s">
        <v>803</v>
      </c>
      <c r="Q130" s="100" t="s">
        <v>933</v>
      </c>
      <c r="R130" s="226" t="s">
        <v>934</v>
      </c>
      <c r="S130" s="491">
        <f t="shared" si="3"/>
        <v>3.4490740999999999E-3</v>
      </c>
      <c r="T130" s="492">
        <f>IFERROR(VLOOKUP(F130,'Freq-Chan'!C:D,2,FALSE),"x")</f>
        <v>151.684</v>
      </c>
      <c r="U130" s="110" t="s">
        <v>541</v>
      </c>
      <c r="V130" s="110" t="str">
        <f t="shared" si="4"/>
        <v>FWL</v>
      </c>
      <c r="W130" s="110" t="s">
        <v>541</v>
      </c>
      <c r="X130" s="110" t="s">
        <v>541</v>
      </c>
      <c r="Y130" s="110" t="str">
        <f>IFERROR(VLOOKUP(F130,'Freq-Chan'!C:E,3,FALSE),"na")</f>
        <v>F1845</v>
      </c>
      <c r="Z130" s="110" t="s">
        <v>541</v>
      </c>
      <c r="AA130" s="110" t="s">
        <v>541</v>
      </c>
      <c r="AB130" s="110" t="s">
        <v>541</v>
      </c>
      <c r="AC130" s="10" t="s">
        <v>541</v>
      </c>
      <c r="AD130" s="10" t="s">
        <v>541</v>
      </c>
    </row>
    <row r="131" spans="1:30" x14ac:dyDescent="0.2">
      <c r="A131" s="110">
        <v>130</v>
      </c>
      <c r="B131" s="132">
        <v>41811</v>
      </c>
      <c r="C131" s="117">
        <v>1</v>
      </c>
      <c r="D131" s="103" t="s">
        <v>177</v>
      </c>
      <c r="E131" s="103" t="s">
        <v>0</v>
      </c>
      <c r="H131" s="103"/>
      <c r="I131" s="103">
        <v>36</v>
      </c>
      <c r="K131" s="103" t="s">
        <v>364</v>
      </c>
      <c r="L131" s="133">
        <v>0.54027777777777775</v>
      </c>
      <c r="M131" s="134">
        <v>4.1666666666666664E-2</v>
      </c>
      <c r="N131" s="140">
        <v>0.54305555555555551</v>
      </c>
      <c r="O131" s="133" t="s">
        <v>803</v>
      </c>
      <c r="P131" s="100" t="s">
        <v>776</v>
      </c>
      <c r="Q131" s="100" t="s">
        <v>933</v>
      </c>
      <c r="R131" s="226" t="s">
        <v>934</v>
      </c>
      <c r="S131" s="491">
        <f t="shared" ref="S131:S194" si="5">IF(IF(OR(L131=0,N131=0),"x",ROUND(N131-L131-(M131*24)/(24*60),10))&lt;0,0,IF(OR(L131=0,N131=0),"x",ROUND(N131-L131-(M131*24)/(24*60),10)))</f>
        <v>2.0833332999999998E-3</v>
      </c>
      <c r="T131" s="492" t="str">
        <f>IFERROR(VLOOKUP(F131,'Freq-Chan'!C:D,2,FALSE),"x")</f>
        <v>x</v>
      </c>
      <c r="U131" s="110" t="s">
        <v>541</v>
      </c>
      <c r="V131" s="110" t="str">
        <f t="shared" ref="V131:V194" si="6">IF(OR(C131=1,C131=2,C131=3),"FWL","NRD")</f>
        <v>FWL</v>
      </c>
      <c r="W131" s="110" t="s">
        <v>541</v>
      </c>
      <c r="X131" s="110" t="s">
        <v>541</v>
      </c>
      <c r="Y131" s="110" t="str">
        <f>IFERROR(VLOOKUP(F131,'Freq-Chan'!C:E,3,FALSE),"na")</f>
        <v>na</v>
      </c>
      <c r="Z131" s="110" t="s">
        <v>541</v>
      </c>
      <c r="AA131" s="110" t="s">
        <v>541</v>
      </c>
      <c r="AB131" s="110" t="s">
        <v>541</v>
      </c>
      <c r="AC131" s="10" t="s">
        <v>541</v>
      </c>
      <c r="AD131" s="10" t="s">
        <v>541</v>
      </c>
    </row>
    <row r="132" spans="1:30" x14ac:dyDescent="0.2">
      <c r="A132" s="110">
        <v>131</v>
      </c>
      <c r="B132" s="132">
        <v>41811</v>
      </c>
      <c r="C132" s="117">
        <v>1</v>
      </c>
      <c r="D132" s="103" t="s">
        <v>177</v>
      </c>
      <c r="E132" s="103" t="s">
        <v>0</v>
      </c>
      <c r="H132" s="103"/>
      <c r="I132" s="103">
        <v>31</v>
      </c>
      <c r="K132" s="103" t="s">
        <v>364</v>
      </c>
      <c r="L132" s="133">
        <v>0.57847222222222217</v>
      </c>
      <c r="M132" s="134">
        <v>2.4305555555555556E-2</v>
      </c>
      <c r="N132" s="140">
        <v>0.58124999999999993</v>
      </c>
      <c r="O132" s="133" t="s">
        <v>803</v>
      </c>
      <c r="P132" s="100" t="s">
        <v>776</v>
      </c>
      <c r="Q132" s="100" t="s">
        <v>933</v>
      </c>
      <c r="R132" s="226" t="s">
        <v>934</v>
      </c>
      <c r="S132" s="491">
        <f t="shared" si="5"/>
        <v>2.3726851999999999E-3</v>
      </c>
      <c r="T132" s="492" t="str">
        <f>IFERROR(VLOOKUP(F132,'Freq-Chan'!C:D,2,FALSE),"x")</f>
        <v>x</v>
      </c>
      <c r="U132" s="110" t="s">
        <v>541</v>
      </c>
      <c r="V132" s="110" t="str">
        <f t="shared" si="6"/>
        <v>FWL</v>
      </c>
      <c r="W132" s="110" t="s">
        <v>541</v>
      </c>
      <c r="X132" s="110" t="s">
        <v>541</v>
      </c>
      <c r="Y132" s="110" t="str">
        <f>IFERROR(VLOOKUP(F132,'Freq-Chan'!C:E,3,FALSE),"na")</f>
        <v>na</v>
      </c>
      <c r="Z132" s="110" t="s">
        <v>541</v>
      </c>
      <c r="AA132" s="110" t="s">
        <v>541</v>
      </c>
      <c r="AB132" s="110" t="s">
        <v>541</v>
      </c>
      <c r="AC132" s="10" t="s">
        <v>541</v>
      </c>
      <c r="AD132" s="10" t="s">
        <v>541</v>
      </c>
    </row>
    <row r="133" spans="1:30" x14ac:dyDescent="0.2">
      <c r="A133" s="110">
        <v>132</v>
      </c>
      <c r="B133" s="132">
        <v>41811</v>
      </c>
      <c r="C133" s="117">
        <v>1</v>
      </c>
      <c r="D133" s="103" t="s">
        <v>2</v>
      </c>
      <c r="E133" s="103" t="s">
        <v>306</v>
      </c>
      <c r="F133" s="103">
        <v>725</v>
      </c>
      <c r="G133" s="103">
        <v>2</v>
      </c>
      <c r="H133" s="137" t="s">
        <v>924</v>
      </c>
      <c r="I133" s="103">
        <v>76</v>
      </c>
      <c r="K133" s="103" t="s">
        <v>364</v>
      </c>
      <c r="L133" s="133"/>
      <c r="M133" s="134">
        <v>5.6250000000000001E-2</v>
      </c>
      <c r="N133" s="140">
        <v>0.65694444444444444</v>
      </c>
      <c r="O133" s="133" t="s">
        <v>806</v>
      </c>
      <c r="Q133" s="100" t="s">
        <v>932</v>
      </c>
      <c r="R133" s="226" t="s">
        <v>934</v>
      </c>
      <c r="S133" s="491" t="str">
        <f t="shared" si="5"/>
        <v>x</v>
      </c>
      <c r="T133" s="492">
        <f>IFERROR(VLOOKUP(F133,'Freq-Chan'!C:D,2,FALSE),"x")</f>
        <v>151.72499999999999</v>
      </c>
      <c r="U133" s="110" t="s">
        <v>541</v>
      </c>
      <c r="V133" s="110" t="str">
        <f t="shared" si="6"/>
        <v>FWL</v>
      </c>
      <c r="W133" s="110" t="s">
        <v>541</v>
      </c>
      <c r="X133" s="110" t="s">
        <v>541</v>
      </c>
      <c r="Y133" s="110" t="str">
        <f>IFERROR(VLOOKUP(F133,'Freq-Chan'!C:E,3,FALSE),"na")</f>
        <v>F1845</v>
      </c>
      <c r="Z133" s="110" t="s">
        <v>541</v>
      </c>
      <c r="AA133" s="110" t="s">
        <v>541</v>
      </c>
      <c r="AB133" s="110" t="s">
        <v>541</v>
      </c>
      <c r="AC133" s="10" t="s">
        <v>541</v>
      </c>
      <c r="AD133" s="10" t="s">
        <v>541</v>
      </c>
    </row>
    <row r="134" spans="1:30" x14ac:dyDescent="0.2">
      <c r="A134" s="110">
        <v>133</v>
      </c>
      <c r="B134" s="132">
        <v>41811</v>
      </c>
      <c r="C134" s="117">
        <v>1</v>
      </c>
      <c r="D134" s="103" t="s">
        <v>177</v>
      </c>
      <c r="E134" s="103" t="s">
        <v>0</v>
      </c>
      <c r="H134" s="103"/>
      <c r="I134" s="103">
        <v>33</v>
      </c>
      <c r="K134" s="103" t="s">
        <v>364</v>
      </c>
      <c r="L134" s="133"/>
      <c r="M134" s="134">
        <v>1.7361111111111112E-2</v>
      </c>
      <c r="N134" s="140">
        <v>0.65833333333333333</v>
      </c>
      <c r="O134" s="133" t="s">
        <v>806</v>
      </c>
      <c r="P134" s="100" t="s">
        <v>776</v>
      </c>
      <c r="Q134" s="100" t="s">
        <v>932</v>
      </c>
      <c r="R134" s="226" t="s">
        <v>934</v>
      </c>
      <c r="S134" s="491" t="str">
        <f t="shared" si="5"/>
        <v>x</v>
      </c>
      <c r="T134" s="492" t="str">
        <f>IFERROR(VLOOKUP(F134,'Freq-Chan'!C:D,2,FALSE),"x")</f>
        <v>x</v>
      </c>
      <c r="U134" s="110" t="s">
        <v>541</v>
      </c>
      <c r="V134" s="110" t="str">
        <f t="shared" si="6"/>
        <v>FWL</v>
      </c>
      <c r="W134" s="110" t="s">
        <v>541</v>
      </c>
      <c r="X134" s="110" t="s">
        <v>541</v>
      </c>
      <c r="Y134" s="110" t="str">
        <f>IFERROR(VLOOKUP(F134,'Freq-Chan'!C:E,3,FALSE),"na")</f>
        <v>na</v>
      </c>
      <c r="Z134" s="110" t="s">
        <v>541</v>
      </c>
      <c r="AA134" s="110" t="s">
        <v>541</v>
      </c>
      <c r="AB134" s="110" t="s">
        <v>541</v>
      </c>
      <c r="AC134" s="10" t="s">
        <v>541</v>
      </c>
      <c r="AD134" s="10" t="s">
        <v>541</v>
      </c>
    </row>
    <row r="135" spans="1:30" x14ac:dyDescent="0.2">
      <c r="A135" s="110">
        <v>134</v>
      </c>
      <c r="B135" s="132">
        <v>41811</v>
      </c>
      <c r="C135" s="117">
        <v>1</v>
      </c>
      <c r="D135" s="103" t="s">
        <v>2</v>
      </c>
      <c r="E135" s="103" t="s">
        <v>306</v>
      </c>
      <c r="F135" s="103">
        <v>725</v>
      </c>
      <c r="G135" s="103">
        <v>21</v>
      </c>
      <c r="H135" s="137" t="s">
        <v>925</v>
      </c>
      <c r="I135" s="103">
        <v>98</v>
      </c>
      <c r="K135" s="103" t="s">
        <v>364</v>
      </c>
      <c r="L135" s="133">
        <v>0.65694444444444444</v>
      </c>
      <c r="M135" s="134">
        <v>9.5138888888888884E-2</v>
      </c>
      <c r="N135" s="140">
        <v>0.66249999999999998</v>
      </c>
      <c r="O135" s="133" t="s">
        <v>806</v>
      </c>
      <c r="Q135" s="100" t="s">
        <v>932</v>
      </c>
      <c r="R135" s="226" t="s">
        <v>934</v>
      </c>
      <c r="S135" s="491">
        <f t="shared" si="5"/>
        <v>3.9699074000000001E-3</v>
      </c>
      <c r="T135" s="492">
        <f>IFERROR(VLOOKUP(F135,'Freq-Chan'!C:D,2,FALSE),"x")</f>
        <v>151.72499999999999</v>
      </c>
      <c r="U135" s="110" t="s">
        <v>541</v>
      </c>
      <c r="V135" s="110" t="str">
        <f t="shared" si="6"/>
        <v>FWL</v>
      </c>
      <c r="W135" s="110" t="s">
        <v>541</v>
      </c>
      <c r="X135" s="110" t="s">
        <v>541</v>
      </c>
      <c r="Y135" s="110" t="str">
        <f>IFERROR(VLOOKUP(F135,'Freq-Chan'!C:E,3,FALSE),"na")</f>
        <v>F1845</v>
      </c>
      <c r="Z135" s="110" t="s">
        <v>541</v>
      </c>
      <c r="AA135" s="110" t="s">
        <v>541</v>
      </c>
      <c r="AB135" s="110" t="s">
        <v>541</v>
      </c>
      <c r="AC135" s="10" t="s">
        <v>541</v>
      </c>
      <c r="AD135" s="10" t="s">
        <v>541</v>
      </c>
    </row>
    <row r="136" spans="1:30" x14ac:dyDescent="0.2">
      <c r="A136" s="110">
        <v>135</v>
      </c>
      <c r="B136" s="132">
        <v>41811</v>
      </c>
      <c r="C136" s="117">
        <v>1</v>
      </c>
      <c r="D136" s="103" t="s">
        <v>2</v>
      </c>
      <c r="E136" s="103" t="s">
        <v>306</v>
      </c>
      <c r="F136" s="103">
        <v>684</v>
      </c>
      <c r="G136" s="103">
        <v>50</v>
      </c>
      <c r="H136" s="137" t="s">
        <v>927</v>
      </c>
      <c r="I136" s="103">
        <v>59</v>
      </c>
      <c r="K136" s="103" t="s">
        <v>364</v>
      </c>
      <c r="L136" s="133">
        <v>0.65555555555555556</v>
      </c>
      <c r="M136" s="134">
        <v>5.2777777777777778E-2</v>
      </c>
      <c r="N136" s="140">
        <v>0.6645833333333333</v>
      </c>
      <c r="O136" s="133" t="s">
        <v>804</v>
      </c>
      <c r="Q136" s="100" t="s">
        <v>932</v>
      </c>
      <c r="R136" s="226" t="s">
        <v>934</v>
      </c>
      <c r="S136" s="491">
        <f t="shared" si="5"/>
        <v>8.1481481000000005E-3</v>
      </c>
      <c r="T136" s="492">
        <f>IFERROR(VLOOKUP(F136,'Freq-Chan'!C:D,2,FALSE),"x")</f>
        <v>151.684</v>
      </c>
      <c r="U136" s="110" t="s">
        <v>541</v>
      </c>
      <c r="V136" s="110" t="str">
        <f t="shared" si="6"/>
        <v>FWL</v>
      </c>
      <c r="W136" s="110" t="s">
        <v>541</v>
      </c>
      <c r="X136" s="110" t="s">
        <v>541</v>
      </c>
      <c r="Y136" s="110" t="str">
        <f>IFERROR(VLOOKUP(F136,'Freq-Chan'!C:E,3,FALSE),"na")</f>
        <v>F1845</v>
      </c>
      <c r="Z136" s="110" t="s">
        <v>541</v>
      </c>
      <c r="AA136" s="110" t="s">
        <v>541</v>
      </c>
      <c r="AB136" s="110" t="s">
        <v>541</v>
      </c>
      <c r="AC136" s="10" t="s">
        <v>541</v>
      </c>
      <c r="AD136" s="10" t="s">
        <v>541</v>
      </c>
    </row>
    <row r="137" spans="1:30" x14ac:dyDescent="0.2">
      <c r="A137" s="110">
        <v>136</v>
      </c>
      <c r="B137" s="132">
        <v>41811</v>
      </c>
      <c r="C137" s="117">
        <v>1</v>
      </c>
      <c r="D137" s="103" t="s">
        <v>2</v>
      </c>
      <c r="E137" s="103" t="s">
        <v>306</v>
      </c>
      <c r="H137" s="103"/>
      <c r="K137" s="103" t="s">
        <v>364</v>
      </c>
      <c r="L137" s="133">
        <v>0.69861111111111107</v>
      </c>
      <c r="M137" s="134"/>
      <c r="N137" s="140">
        <v>0.70624999999999993</v>
      </c>
      <c r="O137" s="133" t="s">
        <v>372</v>
      </c>
      <c r="P137" s="100" t="s">
        <v>931</v>
      </c>
      <c r="Q137" s="100" t="s">
        <v>932</v>
      </c>
      <c r="R137" s="226" t="s">
        <v>934</v>
      </c>
      <c r="S137" s="491">
        <f t="shared" si="5"/>
        <v>7.6388888999999998E-3</v>
      </c>
      <c r="T137" s="492" t="str">
        <f>IFERROR(VLOOKUP(F137,'Freq-Chan'!C:D,2,FALSE),"x")</f>
        <v>x</v>
      </c>
      <c r="U137" s="110" t="s">
        <v>541</v>
      </c>
      <c r="V137" s="110" t="str">
        <f t="shared" si="6"/>
        <v>FWL</v>
      </c>
      <c r="W137" s="110" t="s">
        <v>541</v>
      </c>
      <c r="X137" s="110" t="s">
        <v>541</v>
      </c>
      <c r="Y137" s="110" t="str">
        <f>IFERROR(VLOOKUP(F137,'Freq-Chan'!C:E,3,FALSE),"na")</f>
        <v>na</v>
      </c>
      <c r="Z137" s="110" t="s">
        <v>541</v>
      </c>
      <c r="AA137" s="110" t="s">
        <v>541</v>
      </c>
      <c r="AB137" s="110" t="s">
        <v>541</v>
      </c>
      <c r="AC137" s="10" t="s">
        <v>541</v>
      </c>
      <c r="AD137" s="10" t="s">
        <v>541</v>
      </c>
    </row>
    <row r="138" spans="1:30" x14ac:dyDescent="0.2">
      <c r="A138" s="110">
        <v>137</v>
      </c>
      <c r="B138" s="132">
        <v>41811</v>
      </c>
      <c r="C138" s="117">
        <v>1</v>
      </c>
      <c r="D138" s="103" t="s">
        <v>2</v>
      </c>
      <c r="E138" s="103" t="s">
        <v>306</v>
      </c>
      <c r="F138" s="103">
        <v>684</v>
      </c>
      <c r="G138" s="103">
        <v>27</v>
      </c>
      <c r="H138" s="137" t="s">
        <v>928</v>
      </c>
      <c r="I138" s="103">
        <v>82</v>
      </c>
      <c r="K138" s="103" t="s">
        <v>364</v>
      </c>
      <c r="L138" s="133"/>
      <c r="M138" s="134">
        <v>6.25E-2</v>
      </c>
      <c r="N138" s="140">
        <v>0.78472222222222221</v>
      </c>
      <c r="O138" s="133" t="s">
        <v>372</v>
      </c>
      <c r="Q138" s="100" t="s">
        <v>932</v>
      </c>
      <c r="R138" s="226" t="s">
        <v>934</v>
      </c>
      <c r="S138" s="491" t="str">
        <f t="shared" si="5"/>
        <v>x</v>
      </c>
      <c r="T138" s="492">
        <f>IFERROR(VLOOKUP(F138,'Freq-Chan'!C:D,2,FALSE),"x")</f>
        <v>151.684</v>
      </c>
      <c r="U138" s="110" t="s">
        <v>541</v>
      </c>
      <c r="V138" s="110" t="str">
        <f t="shared" si="6"/>
        <v>FWL</v>
      </c>
      <c r="W138" s="110" t="s">
        <v>541</v>
      </c>
      <c r="X138" s="110" t="s">
        <v>541</v>
      </c>
      <c r="Y138" s="110" t="str">
        <f>IFERROR(VLOOKUP(F138,'Freq-Chan'!C:E,3,FALSE),"na")</f>
        <v>F1845</v>
      </c>
      <c r="Z138" s="110" t="s">
        <v>541</v>
      </c>
      <c r="AA138" s="110" t="s">
        <v>541</v>
      </c>
      <c r="AB138" s="110" t="s">
        <v>541</v>
      </c>
      <c r="AC138" s="10" t="s">
        <v>541</v>
      </c>
      <c r="AD138" s="10" t="s">
        <v>541</v>
      </c>
    </row>
    <row r="139" spans="1:30" x14ac:dyDescent="0.2">
      <c r="A139" s="110">
        <v>138</v>
      </c>
      <c r="B139" s="132">
        <v>41811</v>
      </c>
      <c r="C139" s="117">
        <v>1</v>
      </c>
      <c r="D139" s="103" t="s">
        <v>2</v>
      </c>
      <c r="E139" s="103" t="s">
        <v>306</v>
      </c>
      <c r="F139" s="103">
        <v>684</v>
      </c>
      <c r="G139" s="103">
        <v>70</v>
      </c>
      <c r="H139" s="137" t="s">
        <v>929</v>
      </c>
      <c r="I139" s="103">
        <v>85</v>
      </c>
      <c r="K139" s="103" t="s">
        <v>364</v>
      </c>
      <c r="L139" s="133"/>
      <c r="M139" s="134">
        <v>6.1111111111111116E-2</v>
      </c>
      <c r="N139" s="140">
        <v>0.81736111111111109</v>
      </c>
      <c r="O139" s="133" t="s">
        <v>802</v>
      </c>
      <c r="Q139" s="100" t="s">
        <v>933</v>
      </c>
      <c r="R139" s="226" t="s">
        <v>934</v>
      </c>
      <c r="S139" s="491" t="str">
        <f t="shared" si="5"/>
        <v>x</v>
      </c>
      <c r="T139" s="492">
        <f>IFERROR(VLOOKUP(F139,'Freq-Chan'!C:D,2,FALSE),"x")</f>
        <v>151.684</v>
      </c>
      <c r="U139" s="110" t="s">
        <v>541</v>
      </c>
      <c r="V139" s="110" t="str">
        <f t="shared" si="6"/>
        <v>FWL</v>
      </c>
      <c r="W139" s="110" t="s">
        <v>541</v>
      </c>
      <c r="X139" s="110" t="s">
        <v>541</v>
      </c>
      <c r="Y139" s="110" t="str">
        <f>IFERROR(VLOOKUP(F139,'Freq-Chan'!C:E,3,FALSE),"na")</f>
        <v>F1845</v>
      </c>
      <c r="Z139" s="110" t="s">
        <v>541</v>
      </c>
      <c r="AA139" s="110" t="s">
        <v>541</v>
      </c>
      <c r="AB139" s="110" t="s">
        <v>541</v>
      </c>
      <c r="AC139" s="10" t="s">
        <v>541</v>
      </c>
      <c r="AD139" s="10" t="s">
        <v>541</v>
      </c>
    </row>
    <row r="140" spans="1:30" x14ac:dyDescent="0.2">
      <c r="A140" s="110">
        <v>139</v>
      </c>
      <c r="B140" s="132">
        <v>41811</v>
      </c>
      <c r="C140" s="117">
        <v>1</v>
      </c>
      <c r="D140" s="103" t="s">
        <v>2</v>
      </c>
      <c r="E140" s="103" t="s">
        <v>306</v>
      </c>
      <c r="F140" s="103">
        <v>725</v>
      </c>
      <c r="G140" s="103">
        <v>95</v>
      </c>
      <c r="H140" s="137" t="s">
        <v>930</v>
      </c>
      <c r="I140" s="103">
        <v>61</v>
      </c>
      <c r="K140" s="103" t="s">
        <v>364</v>
      </c>
      <c r="L140" s="133"/>
      <c r="M140" s="134">
        <v>4.7916666666666663E-2</v>
      </c>
      <c r="N140" s="140">
        <v>0.85486111111111107</v>
      </c>
      <c r="O140" s="133" t="s">
        <v>803</v>
      </c>
      <c r="Q140" s="100" t="s">
        <v>933</v>
      </c>
      <c r="R140" s="226" t="s">
        <v>934</v>
      </c>
      <c r="S140" s="491" t="str">
        <f t="shared" si="5"/>
        <v>x</v>
      </c>
      <c r="T140" s="492">
        <f>IFERROR(VLOOKUP(F140,'Freq-Chan'!C:D,2,FALSE),"x")</f>
        <v>151.72499999999999</v>
      </c>
      <c r="U140" s="110" t="s">
        <v>541</v>
      </c>
      <c r="V140" s="110" t="str">
        <f t="shared" si="6"/>
        <v>FWL</v>
      </c>
      <c r="W140" s="110" t="s">
        <v>541</v>
      </c>
      <c r="X140" s="110" t="s">
        <v>541</v>
      </c>
      <c r="Y140" s="110" t="str">
        <f>IFERROR(VLOOKUP(F140,'Freq-Chan'!C:E,3,FALSE),"na")</f>
        <v>F1845</v>
      </c>
      <c r="Z140" s="110" t="s">
        <v>541</v>
      </c>
      <c r="AA140" s="110" t="s">
        <v>541</v>
      </c>
      <c r="AB140" s="110" t="s">
        <v>541</v>
      </c>
      <c r="AC140" s="10" t="s">
        <v>541</v>
      </c>
      <c r="AD140" s="10" t="s">
        <v>541</v>
      </c>
    </row>
    <row r="141" spans="1:30" s="291" customFormat="1" x14ac:dyDescent="0.2">
      <c r="A141" s="493">
        <v>140</v>
      </c>
      <c r="B141" s="283">
        <v>41811</v>
      </c>
      <c r="C141" s="284">
        <v>1</v>
      </c>
      <c r="D141" s="285" t="s">
        <v>177</v>
      </c>
      <c r="E141" s="285" t="s">
        <v>0</v>
      </c>
      <c r="F141" s="285"/>
      <c r="G141" s="285"/>
      <c r="H141" s="285"/>
      <c r="I141" s="285">
        <v>34</v>
      </c>
      <c r="J141" s="285"/>
      <c r="K141" s="285" t="s">
        <v>364</v>
      </c>
      <c r="L141" s="286"/>
      <c r="M141" s="287">
        <v>1.9444444444444445E-2</v>
      </c>
      <c r="N141" s="326">
        <v>0.87847222222222221</v>
      </c>
      <c r="O141" s="286" t="s">
        <v>802</v>
      </c>
      <c r="P141" s="289" t="s">
        <v>776</v>
      </c>
      <c r="Q141" s="289" t="s">
        <v>933</v>
      </c>
      <c r="R141" s="290" t="s">
        <v>934</v>
      </c>
      <c r="S141" s="494" t="str">
        <f t="shared" si="5"/>
        <v>x</v>
      </c>
      <c r="T141" s="495" t="str">
        <f>IFERROR(VLOOKUP(F141,'Freq-Chan'!C:D,2,FALSE),"x")</f>
        <v>x</v>
      </c>
      <c r="U141" s="493" t="s">
        <v>541</v>
      </c>
      <c r="V141" s="493" t="str">
        <f t="shared" si="6"/>
        <v>FWL</v>
      </c>
      <c r="W141" s="493" t="s">
        <v>541</v>
      </c>
      <c r="X141" s="493" t="s">
        <v>541</v>
      </c>
      <c r="Y141" s="493" t="str">
        <f>IFERROR(VLOOKUP(F141,'Freq-Chan'!C:E,3,FALSE),"na")</f>
        <v>na</v>
      </c>
      <c r="Z141" s="493" t="s">
        <v>541</v>
      </c>
      <c r="AA141" s="493" t="s">
        <v>541</v>
      </c>
      <c r="AB141" s="493" t="s">
        <v>541</v>
      </c>
      <c r="AC141" s="291" t="s">
        <v>541</v>
      </c>
      <c r="AD141" s="291" t="s">
        <v>541</v>
      </c>
    </row>
    <row r="142" spans="1:30" s="291" customFormat="1" x14ac:dyDescent="0.2">
      <c r="A142" s="493">
        <v>141</v>
      </c>
      <c r="B142" s="283">
        <v>41811</v>
      </c>
      <c r="C142" s="284">
        <v>1</v>
      </c>
      <c r="D142" s="285" t="s">
        <v>177</v>
      </c>
      <c r="E142" s="285" t="s">
        <v>0</v>
      </c>
      <c r="F142" s="285"/>
      <c r="G142" s="285"/>
      <c r="H142" s="285"/>
      <c r="I142" s="285">
        <v>36</v>
      </c>
      <c r="J142" s="285"/>
      <c r="K142" s="285" t="s">
        <v>364</v>
      </c>
      <c r="L142" s="325">
        <v>0.94374999999999998</v>
      </c>
      <c r="M142" s="287">
        <v>2.361111111111111E-2</v>
      </c>
      <c r="N142" s="326">
        <v>0.94444444444444453</v>
      </c>
      <c r="O142" s="286" t="s">
        <v>802</v>
      </c>
      <c r="P142" s="289" t="s">
        <v>776</v>
      </c>
      <c r="Q142" s="289" t="s">
        <v>933</v>
      </c>
      <c r="R142" s="290" t="s">
        <v>934</v>
      </c>
      <c r="S142" s="494">
        <f t="shared" si="5"/>
        <v>3.0092589999999999E-4</v>
      </c>
      <c r="T142" s="495" t="str">
        <f>IFERROR(VLOOKUP(F142,'Freq-Chan'!C:D,2,FALSE),"x")</f>
        <v>x</v>
      </c>
      <c r="U142" s="493" t="s">
        <v>541</v>
      </c>
      <c r="V142" s="493" t="str">
        <f t="shared" si="6"/>
        <v>FWL</v>
      </c>
      <c r="W142" s="493" t="s">
        <v>541</v>
      </c>
      <c r="X142" s="493" t="s">
        <v>541</v>
      </c>
      <c r="Y142" s="493" t="str">
        <f>IFERROR(VLOOKUP(F142,'Freq-Chan'!C:E,3,FALSE),"na")</f>
        <v>na</v>
      </c>
      <c r="Z142" s="493" t="s">
        <v>541</v>
      </c>
      <c r="AA142" s="493" t="s">
        <v>541</v>
      </c>
      <c r="AB142" s="493" t="s">
        <v>541</v>
      </c>
      <c r="AC142" s="291" t="s">
        <v>541</v>
      </c>
      <c r="AD142" s="291" t="s">
        <v>541</v>
      </c>
    </row>
    <row r="143" spans="1:30" x14ac:dyDescent="0.2">
      <c r="A143" s="110">
        <v>142</v>
      </c>
      <c r="B143" s="132">
        <v>41811</v>
      </c>
      <c r="C143" s="117">
        <v>3</v>
      </c>
      <c r="D143" s="103" t="s">
        <v>2</v>
      </c>
      <c r="E143" s="103" t="s">
        <v>306</v>
      </c>
      <c r="F143" s="103">
        <v>684</v>
      </c>
      <c r="G143" s="103">
        <v>66</v>
      </c>
      <c r="H143" s="137" t="s">
        <v>935</v>
      </c>
      <c r="I143" s="103">
        <v>98</v>
      </c>
      <c r="K143" s="103" t="s">
        <v>364</v>
      </c>
      <c r="L143" s="133">
        <v>0.27638888888888885</v>
      </c>
      <c r="M143" s="134">
        <v>8.9583333333333334E-2</v>
      </c>
      <c r="N143" s="140">
        <v>0.28680555555555554</v>
      </c>
      <c r="O143" s="133" t="s">
        <v>806</v>
      </c>
      <c r="Q143" s="100" t="s">
        <v>913</v>
      </c>
      <c r="R143" s="226" t="s">
        <v>934</v>
      </c>
      <c r="S143" s="491">
        <f t="shared" si="5"/>
        <v>8.9236110999999993E-3</v>
      </c>
      <c r="T143" s="492">
        <f>IFERROR(VLOOKUP(F143,'Freq-Chan'!C:D,2,FALSE),"x")</f>
        <v>151.684</v>
      </c>
      <c r="U143" s="110" t="s">
        <v>541</v>
      </c>
      <c r="V143" s="110" t="str">
        <f t="shared" si="6"/>
        <v>FWL</v>
      </c>
      <c r="W143" s="110" t="s">
        <v>541</v>
      </c>
      <c r="X143" s="110" t="s">
        <v>541</v>
      </c>
      <c r="Y143" s="110" t="str">
        <f>IFERROR(VLOOKUP(F143,'Freq-Chan'!C:E,3,FALSE),"na")</f>
        <v>F1845</v>
      </c>
      <c r="Z143" s="110" t="s">
        <v>541</v>
      </c>
      <c r="AA143" s="110" t="s">
        <v>541</v>
      </c>
      <c r="AB143" s="110" t="s">
        <v>541</v>
      </c>
      <c r="AC143" s="10" t="s">
        <v>541</v>
      </c>
      <c r="AD143" s="10" t="s">
        <v>541</v>
      </c>
    </row>
    <row r="144" spans="1:30" x14ac:dyDescent="0.2">
      <c r="A144" s="110">
        <v>143</v>
      </c>
      <c r="B144" s="132">
        <v>41811</v>
      </c>
      <c r="C144" s="117">
        <v>3</v>
      </c>
      <c r="D144" s="103" t="s">
        <v>2</v>
      </c>
      <c r="E144" s="103" t="s">
        <v>306</v>
      </c>
      <c r="F144" s="103">
        <v>725</v>
      </c>
      <c r="G144" s="103">
        <v>91</v>
      </c>
      <c r="H144" s="137" t="s">
        <v>936</v>
      </c>
      <c r="I144" s="103">
        <v>64</v>
      </c>
      <c r="K144" s="103" t="s">
        <v>364</v>
      </c>
      <c r="L144" s="133">
        <v>0.27569444444444446</v>
      </c>
      <c r="M144" s="134">
        <v>7.1527777777777787E-2</v>
      </c>
      <c r="N144" s="140">
        <v>0.28958333333333336</v>
      </c>
      <c r="O144" s="133" t="s">
        <v>806</v>
      </c>
      <c r="Q144" s="100" t="s">
        <v>913</v>
      </c>
      <c r="R144" s="226" t="s">
        <v>934</v>
      </c>
      <c r="S144" s="491">
        <f t="shared" si="5"/>
        <v>1.2696759300000001E-2</v>
      </c>
      <c r="T144" s="492">
        <f>IFERROR(VLOOKUP(F144,'Freq-Chan'!C:D,2,FALSE),"x")</f>
        <v>151.72499999999999</v>
      </c>
      <c r="U144" s="110" t="s">
        <v>541</v>
      </c>
      <c r="V144" s="110" t="str">
        <f t="shared" si="6"/>
        <v>FWL</v>
      </c>
      <c r="W144" s="110" t="s">
        <v>541</v>
      </c>
      <c r="X144" s="110" t="s">
        <v>541</v>
      </c>
      <c r="Y144" s="110" t="str">
        <f>IFERROR(VLOOKUP(F144,'Freq-Chan'!C:E,3,FALSE),"na")</f>
        <v>F1845</v>
      </c>
      <c r="Z144" s="110" t="s">
        <v>541</v>
      </c>
      <c r="AA144" s="110" t="s">
        <v>541</v>
      </c>
      <c r="AB144" s="110" t="s">
        <v>541</v>
      </c>
      <c r="AC144" s="10" t="s">
        <v>541</v>
      </c>
      <c r="AD144" s="10" t="s">
        <v>541</v>
      </c>
    </row>
    <row r="145" spans="1:30" x14ac:dyDescent="0.2">
      <c r="A145" s="110">
        <v>144</v>
      </c>
      <c r="B145" s="132">
        <v>41811</v>
      </c>
      <c r="C145" s="117">
        <v>3</v>
      </c>
      <c r="D145" s="103" t="s">
        <v>88</v>
      </c>
      <c r="E145" s="103" t="s">
        <v>798</v>
      </c>
      <c r="H145" s="103"/>
      <c r="J145" s="103">
        <v>33</v>
      </c>
      <c r="K145" s="103" t="s">
        <v>364</v>
      </c>
      <c r="L145" s="133">
        <v>0.3263888888888889</v>
      </c>
      <c r="M145" s="134">
        <v>3.888888888888889E-2</v>
      </c>
      <c r="N145" s="134">
        <v>0.32777777777777778</v>
      </c>
      <c r="O145" s="133" t="s">
        <v>806</v>
      </c>
      <c r="Q145" s="100" t="s">
        <v>913</v>
      </c>
      <c r="R145" s="226" t="s">
        <v>934</v>
      </c>
      <c r="S145" s="491">
        <f t="shared" si="5"/>
        <v>7.4074069999999995E-4</v>
      </c>
      <c r="T145" s="492" t="str">
        <f>IFERROR(VLOOKUP(F145,'Freq-Chan'!C:D,2,FALSE),"x")</f>
        <v>x</v>
      </c>
      <c r="U145" s="110" t="s">
        <v>541</v>
      </c>
      <c r="V145" s="110" t="str">
        <f t="shared" si="6"/>
        <v>FWL</v>
      </c>
      <c r="W145" s="110" t="s">
        <v>541</v>
      </c>
      <c r="X145" s="110" t="s">
        <v>541</v>
      </c>
      <c r="Y145" s="110" t="str">
        <f>IFERROR(VLOOKUP(F145,'Freq-Chan'!C:E,3,FALSE),"na")</f>
        <v>na</v>
      </c>
      <c r="Z145" s="110" t="s">
        <v>541</v>
      </c>
      <c r="AA145" s="110" t="s">
        <v>541</v>
      </c>
      <c r="AB145" s="110" t="s">
        <v>541</v>
      </c>
      <c r="AC145" s="10" t="s">
        <v>541</v>
      </c>
      <c r="AD145" s="10" t="s">
        <v>541</v>
      </c>
    </row>
    <row r="146" spans="1:30" x14ac:dyDescent="0.2">
      <c r="A146" s="110">
        <v>145</v>
      </c>
      <c r="B146" s="132">
        <v>41811</v>
      </c>
      <c r="C146" s="117">
        <v>3</v>
      </c>
      <c r="D146" s="103" t="s">
        <v>2</v>
      </c>
      <c r="E146" s="103" t="s">
        <v>306</v>
      </c>
      <c r="F146" s="103">
        <v>725</v>
      </c>
      <c r="G146" s="103">
        <v>39</v>
      </c>
      <c r="H146" s="137" t="s">
        <v>937</v>
      </c>
      <c r="I146" s="103">
        <v>52</v>
      </c>
      <c r="K146" s="103" t="s">
        <v>364</v>
      </c>
      <c r="L146" s="133">
        <v>0.34513888888888888</v>
      </c>
      <c r="M146" s="134">
        <v>7.7777777777777779E-2</v>
      </c>
      <c r="N146" s="140">
        <v>0.35138888888888892</v>
      </c>
      <c r="O146" s="133" t="s">
        <v>950</v>
      </c>
      <c r="Q146" s="100" t="s">
        <v>913</v>
      </c>
      <c r="R146" s="226" t="s">
        <v>934</v>
      </c>
      <c r="S146" s="491">
        <f t="shared" si="5"/>
        <v>4.9537037000000001E-3</v>
      </c>
      <c r="T146" s="492">
        <f>IFERROR(VLOOKUP(F146,'Freq-Chan'!C:D,2,FALSE),"x")</f>
        <v>151.72499999999999</v>
      </c>
      <c r="U146" s="110" t="s">
        <v>541</v>
      </c>
      <c r="V146" s="110" t="str">
        <f t="shared" si="6"/>
        <v>FWL</v>
      </c>
      <c r="W146" s="110" t="s">
        <v>541</v>
      </c>
      <c r="X146" s="110" t="s">
        <v>541</v>
      </c>
      <c r="Y146" s="110" t="str">
        <f>IFERROR(VLOOKUP(F146,'Freq-Chan'!C:E,3,FALSE),"na")</f>
        <v>F1845</v>
      </c>
      <c r="Z146" s="110" t="s">
        <v>541</v>
      </c>
      <c r="AA146" s="110" t="s">
        <v>541</v>
      </c>
      <c r="AB146" s="110" t="s">
        <v>541</v>
      </c>
      <c r="AC146" s="10" t="s">
        <v>541</v>
      </c>
      <c r="AD146" s="10" t="s">
        <v>541</v>
      </c>
    </row>
    <row r="147" spans="1:30" x14ac:dyDescent="0.2">
      <c r="A147" s="110">
        <v>146</v>
      </c>
      <c r="B147" s="132">
        <v>41811</v>
      </c>
      <c r="C147" s="117">
        <v>3</v>
      </c>
      <c r="D147" s="103" t="s">
        <v>88</v>
      </c>
      <c r="E147" s="103" t="s">
        <v>798</v>
      </c>
      <c r="H147" s="103"/>
      <c r="J147" s="103">
        <v>23</v>
      </c>
      <c r="K147" s="103" t="s">
        <v>364</v>
      </c>
      <c r="L147" s="133">
        <v>0.3263888888888889</v>
      </c>
      <c r="M147" s="134">
        <v>2.0833333333333332E-2</v>
      </c>
      <c r="N147" s="140">
        <v>0.40972222222222227</v>
      </c>
      <c r="O147" s="133" t="s">
        <v>806</v>
      </c>
      <c r="Q147" s="100" t="s">
        <v>913</v>
      </c>
      <c r="R147" s="226" t="s">
        <v>934</v>
      </c>
      <c r="S147" s="491">
        <f t="shared" si="5"/>
        <v>8.2986111099999996E-2</v>
      </c>
      <c r="T147" s="492" t="str">
        <f>IFERROR(VLOOKUP(F147,'Freq-Chan'!C:D,2,FALSE),"x")</f>
        <v>x</v>
      </c>
      <c r="U147" s="110" t="s">
        <v>541</v>
      </c>
      <c r="V147" s="110" t="str">
        <f t="shared" si="6"/>
        <v>FWL</v>
      </c>
      <c r="W147" s="110" t="s">
        <v>541</v>
      </c>
      <c r="X147" s="110" t="s">
        <v>541</v>
      </c>
      <c r="Y147" s="110" t="str">
        <f>IFERROR(VLOOKUP(F147,'Freq-Chan'!C:E,3,FALSE),"na")</f>
        <v>na</v>
      </c>
      <c r="Z147" s="110" t="s">
        <v>541</v>
      </c>
      <c r="AA147" s="110" t="s">
        <v>541</v>
      </c>
      <c r="AB147" s="110" t="s">
        <v>541</v>
      </c>
      <c r="AC147" s="10" t="s">
        <v>541</v>
      </c>
      <c r="AD147" s="10" t="s">
        <v>541</v>
      </c>
    </row>
    <row r="148" spans="1:30" x14ac:dyDescent="0.2">
      <c r="A148" s="110">
        <v>147</v>
      </c>
      <c r="B148" s="132">
        <v>41811</v>
      </c>
      <c r="C148" s="117">
        <v>3</v>
      </c>
      <c r="D148" s="103" t="s">
        <v>177</v>
      </c>
      <c r="E148" s="103" t="s">
        <v>0</v>
      </c>
      <c r="H148" s="103"/>
      <c r="I148" s="103">
        <v>34</v>
      </c>
      <c r="K148" s="103" t="s">
        <v>364</v>
      </c>
      <c r="L148" s="133"/>
      <c r="M148" s="134">
        <v>2.0833333333333332E-2</v>
      </c>
      <c r="N148" s="140">
        <v>0.43402777777777773</v>
      </c>
      <c r="O148" s="133" t="s">
        <v>802</v>
      </c>
      <c r="P148" s="100" t="s">
        <v>776</v>
      </c>
      <c r="Q148" s="100" t="s">
        <v>951</v>
      </c>
      <c r="R148" s="226" t="s">
        <v>934</v>
      </c>
      <c r="S148" s="491" t="str">
        <f t="shared" si="5"/>
        <v>x</v>
      </c>
      <c r="T148" s="492" t="str">
        <f>IFERROR(VLOOKUP(F148,'Freq-Chan'!C:D,2,FALSE),"x")</f>
        <v>x</v>
      </c>
      <c r="U148" s="110" t="s">
        <v>541</v>
      </c>
      <c r="V148" s="110" t="str">
        <f t="shared" si="6"/>
        <v>FWL</v>
      </c>
      <c r="W148" s="110" t="s">
        <v>541</v>
      </c>
      <c r="X148" s="110" t="s">
        <v>541</v>
      </c>
      <c r="Y148" s="110" t="str">
        <f>IFERROR(VLOOKUP(F148,'Freq-Chan'!C:E,3,FALSE),"na")</f>
        <v>na</v>
      </c>
      <c r="Z148" s="110" t="s">
        <v>541</v>
      </c>
      <c r="AA148" s="110" t="s">
        <v>541</v>
      </c>
      <c r="AB148" s="110" t="s">
        <v>541</v>
      </c>
      <c r="AC148" s="10" t="s">
        <v>541</v>
      </c>
      <c r="AD148" s="10" t="s">
        <v>541</v>
      </c>
    </row>
    <row r="149" spans="1:30" x14ac:dyDescent="0.2">
      <c r="A149" s="110">
        <v>148</v>
      </c>
      <c r="B149" s="132">
        <v>41811</v>
      </c>
      <c r="C149" s="117">
        <v>3</v>
      </c>
      <c r="D149" s="103" t="s">
        <v>2</v>
      </c>
      <c r="E149" s="103" t="s">
        <v>306</v>
      </c>
      <c r="F149" s="103">
        <v>684</v>
      </c>
      <c r="G149" s="103">
        <v>37</v>
      </c>
      <c r="H149" s="137" t="s">
        <v>938</v>
      </c>
      <c r="I149" s="103">
        <v>68</v>
      </c>
      <c r="K149" s="103" t="s">
        <v>364</v>
      </c>
      <c r="L149" s="133"/>
      <c r="M149" s="134">
        <v>9.0277777777777776E-2</v>
      </c>
      <c r="N149" s="140">
        <v>0.43888888888888888</v>
      </c>
      <c r="O149" s="133" t="s">
        <v>805</v>
      </c>
      <c r="Q149" s="100" t="s">
        <v>951</v>
      </c>
      <c r="R149" s="226" t="s">
        <v>934</v>
      </c>
      <c r="S149" s="491" t="str">
        <f t="shared" si="5"/>
        <v>x</v>
      </c>
      <c r="T149" s="492">
        <f>IFERROR(VLOOKUP(F149,'Freq-Chan'!C:D,2,FALSE),"x")</f>
        <v>151.684</v>
      </c>
      <c r="U149" s="110" t="s">
        <v>541</v>
      </c>
      <c r="V149" s="110" t="str">
        <f t="shared" si="6"/>
        <v>FWL</v>
      </c>
      <c r="W149" s="110" t="s">
        <v>541</v>
      </c>
      <c r="X149" s="110" t="s">
        <v>541</v>
      </c>
      <c r="Y149" s="110" t="str">
        <f>IFERROR(VLOOKUP(F149,'Freq-Chan'!C:E,3,FALSE),"na")</f>
        <v>F1845</v>
      </c>
      <c r="Z149" s="110" t="s">
        <v>541</v>
      </c>
      <c r="AA149" s="110" t="s">
        <v>541</v>
      </c>
      <c r="AB149" s="110" t="s">
        <v>541</v>
      </c>
      <c r="AC149" s="10" t="s">
        <v>541</v>
      </c>
      <c r="AD149" s="10" t="s">
        <v>541</v>
      </c>
    </row>
    <row r="150" spans="1:30" x14ac:dyDescent="0.2">
      <c r="A150" s="110">
        <v>149</v>
      </c>
      <c r="B150" s="132">
        <v>41811</v>
      </c>
      <c r="C150" s="117">
        <v>3</v>
      </c>
      <c r="D150" s="103" t="s">
        <v>177</v>
      </c>
      <c r="E150" s="103" t="s">
        <v>0</v>
      </c>
      <c r="H150" s="103"/>
      <c r="I150" s="103">
        <v>34</v>
      </c>
      <c r="K150" s="103" t="s">
        <v>364</v>
      </c>
      <c r="L150" s="133"/>
      <c r="M150" s="134">
        <v>3.5416666666666666E-2</v>
      </c>
      <c r="N150" s="140">
        <v>0.54791666666666672</v>
      </c>
      <c r="O150" s="133" t="s">
        <v>802</v>
      </c>
      <c r="P150" s="100" t="s">
        <v>776</v>
      </c>
      <c r="Q150" s="100" t="s">
        <v>951</v>
      </c>
      <c r="R150" s="226" t="s">
        <v>934</v>
      </c>
      <c r="S150" s="491" t="str">
        <f t="shared" si="5"/>
        <v>x</v>
      </c>
      <c r="T150" s="492" t="str">
        <f>IFERROR(VLOOKUP(F150,'Freq-Chan'!C:D,2,FALSE),"x")</f>
        <v>x</v>
      </c>
      <c r="U150" s="110" t="s">
        <v>541</v>
      </c>
      <c r="V150" s="110" t="str">
        <f t="shared" si="6"/>
        <v>FWL</v>
      </c>
      <c r="W150" s="110" t="s">
        <v>541</v>
      </c>
      <c r="X150" s="110" t="s">
        <v>541</v>
      </c>
      <c r="Y150" s="110" t="str">
        <f>IFERROR(VLOOKUP(F150,'Freq-Chan'!C:E,3,FALSE),"na")</f>
        <v>na</v>
      </c>
      <c r="Z150" s="110" t="s">
        <v>541</v>
      </c>
      <c r="AA150" s="110" t="s">
        <v>541</v>
      </c>
      <c r="AB150" s="110" t="s">
        <v>541</v>
      </c>
      <c r="AC150" s="10" t="s">
        <v>541</v>
      </c>
      <c r="AD150" s="10" t="s">
        <v>541</v>
      </c>
    </row>
    <row r="151" spans="1:30" x14ac:dyDescent="0.2">
      <c r="A151" s="110">
        <v>150</v>
      </c>
      <c r="B151" s="132">
        <v>41811</v>
      </c>
      <c r="C151" s="117">
        <v>3</v>
      </c>
      <c r="D151" s="103" t="s">
        <v>2</v>
      </c>
      <c r="E151" s="103" t="s">
        <v>306</v>
      </c>
      <c r="F151" s="103">
        <v>725</v>
      </c>
      <c r="G151" s="103">
        <v>79</v>
      </c>
      <c r="H151" s="137" t="s">
        <v>939</v>
      </c>
      <c r="I151" s="103">
        <v>68</v>
      </c>
      <c r="K151" s="103" t="s">
        <v>364</v>
      </c>
      <c r="L151" s="133">
        <v>0.55625000000000002</v>
      </c>
      <c r="M151" s="134">
        <v>6.25E-2</v>
      </c>
      <c r="N151" s="140">
        <v>0.56180555555555556</v>
      </c>
      <c r="O151" s="133" t="s">
        <v>802</v>
      </c>
      <c r="Q151" s="100" t="s">
        <v>951</v>
      </c>
      <c r="R151" s="226" t="s">
        <v>934</v>
      </c>
      <c r="S151" s="491">
        <f t="shared" si="5"/>
        <v>4.5138888999999996E-3</v>
      </c>
      <c r="T151" s="492">
        <f>IFERROR(VLOOKUP(F151,'Freq-Chan'!C:D,2,FALSE),"x")</f>
        <v>151.72499999999999</v>
      </c>
      <c r="U151" s="110" t="s">
        <v>541</v>
      </c>
      <c r="V151" s="110" t="str">
        <f t="shared" si="6"/>
        <v>FWL</v>
      </c>
      <c r="W151" s="110" t="s">
        <v>541</v>
      </c>
      <c r="X151" s="110" t="s">
        <v>541</v>
      </c>
      <c r="Y151" s="110" t="str">
        <f>IFERROR(VLOOKUP(F151,'Freq-Chan'!C:E,3,FALSE),"na")</f>
        <v>F1845</v>
      </c>
      <c r="Z151" s="110" t="s">
        <v>541</v>
      </c>
      <c r="AA151" s="110" t="s">
        <v>541</v>
      </c>
      <c r="AB151" s="110" t="s">
        <v>541</v>
      </c>
      <c r="AC151" s="10" t="s">
        <v>541</v>
      </c>
      <c r="AD151" s="10" t="s">
        <v>541</v>
      </c>
    </row>
    <row r="152" spans="1:30" x14ac:dyDescent="0.2">
      <c r="A152" s="110">
        <v>151</v>
      </c>
      <c r="B152" s="132">
        <v>41811</v>
      </c>
      <c r="C152" s="117">
        <v>3</v>
      </c>
      <c r="D152" s="103" t="s">
        <v>2</v>
      </c>
      <c r="E152" s="103" t="s">
        <v>306</v>
      </c>
      <c r="F152" s="103">
        <v>725</v>
      </c>
      <c r="G152" s="103">
        <v>20</v>
      </c>
      <c r="H152" s="137" t="s">
        <v>926</v>
      </c>
      <c r="I152" s="103">
        <v>79</v>
      </c>
      <c r="K152" s="103" t="s">
        <v>364</v>
      </c>
      <c r="L152" s="133"/>
      <c r="M152" s="134">
        <v>6.25E-2</v>
      </c>
      <c r="N152" s="140">
        <v>0.6333333333333333</v>
      </c>
      <c r="O152" s="133" t="s">
        <v>806</v>
      </c>
      <c r="P152" s="100" t="s">
        <v>947</v>
      </c>
      <c r="Q152" s="100" t="s">
        <v>932</v>
      </c>
      <c r="R152" s="226" t="s">
        <v>934</v>
      </c>
      <c r="S152" s="491" t="str">
        <f t="shared" si="5"/>
        <v>x</v>
      </c>
      <c r="T152" s="492">
        <f>IFERROR(VLOOKUP(F152,'Freq-Chan'!C:D,2,FALSE),"x")</f>
        <v>151.72499999999999</v>
      </c>
      <c r="U152" s="110" t="s">
        <v>541</v>
      </c>
      <c r="V152" s="110" t="str">
        <f t="shared" si="6"/>
        <v>FWL</v>
      </c>
      <c r="W152" s="110" t="s">
        <v>541</v>
      </c>
      <c r="X152" s="110" t="s">
        <v>541</v>
      </c>
      <c r="Y152" s="110" t="str">
        <f>IFERROR(VLOOKUP(F152,'Freq-Chan'!C:E,3,FALSE),"na")</f>
        <v>F1845</v>
      </c>
      <c r="Z152" s="110" t="s">
        <v>541</v>
      </c>
      <c r="AA152" s="110" t="s">
        <v>541</v>
      </c>
      <c r="AB152" s="110" t="s">
        <v>541</v>
      </c>
      <c r="AC152" s="10" t="s">
        <v>541</v>
      </c>
      <c r="AD152" s="10" t="s">
        <v>541</v>
      </c>
    </row>
    <row r="153" spans="1:30" x14ac:dyDescent="0.2">
      <c r="A153" s="110">
        <v>152</v>
      </c>
      <c r="B153" s="132">
        <v>41811</v>
      </c>
      <c r="C153" s="117">
        <v>3</v>
      </c>
      <c r="D153" s="103" t="s">
        <v>2</v>
      </c>
      <c r="E153" s="103" t="s">
        <v>306</v>
      </c>
      <c r="F153" s="103">
        <v>725</v>
      </c>
      <c r="G153" s="103">
        <v>5</v>
      </c>
      <c r="H153" s="137" t="s">
        <v>940</v>
      </c>
      <c r="I153" s="103">
        <v>74</v>
      </c>
      <c r="K153" s="103" t="s">
        <v>364</v>
      </c>
      <c r="L153" s="133"/>
      <c r="M153" s="134">
        <v>7.013888888888889E-2</v>
      </c>
      <c r="N153" s="134">
        <v>0.63541666666666663</v>
      </c>
      <c r="O153" s="133" t="s">
        <v>806</v>
      </c>
      <c r="Q153" s="100" t="s">
        <v>932</v>
      </c>
      <c r="R153" s="226" t="s">
        <v>934</v>
      </c>
      <c r="S153" s="491" t="str">
        <f t="shared" si="5"/>
        <v>x</v>
      </c>
      <c r="T153" s="492">
        <f>IFERROR(VLOOKUP(F153,'Freq-Chan'!C:D,2,FALSE),"x")</f>
        <v>151.72499999999999</v>
      </c>
      <c r="U153" s="110" t="s">
        <v>541</v>
      </c>
      <c r="V153" s="110" t="str">
        <f t="shared" si="6"/>
        <v>FWL</v>
      </c>
      <c r="W153" s="110" t="s">
        <v>541</v>
      </c>
      <c r="X153" s="110" t="s">
        <v>541</v>
      </c>
      <c r="Y153" s="110" t="str">
        <f>IFERROR(VLOOKUP(F153,'Freq-Chan'!C:E,3,FALSE),"na")</f>
        <v>F1845</v>
      </c>
      <c r="Z153" s="110" t="s">
        <v>541</v>
      </c>
      <c r="AA153" s="110" t="s">
        <v>541</v>
      </c>
      <c r="AB153" s="110" t="s">
        <v>541</v>
      </c>
      <c r="AC153" s="10" t="s">
        <v>541</v>
      </c>
      <c r="AD153" s="10" t="s">
        <v>541</v>
      </c>
    </row>
    <row r="154" spans="1:30" x14ac:dyDescent="0.2">
      <c r="A154" s="110">
        <v>153</v>
      </c>
      <c r="B154" s="132">
        <v>41811</v>
      </c>
      <c r="C154" s="117">
        <v>3</v>
      </c>
      <c r="D154" s="103" t="s">
        <v>2</v>
      </c>
      <c r="E154" s="103" t="s">
        <v>306</v>
      </c>
      <c r="F154" s="103">
        <v>725</v>
      </c>
      <c r="G154" s="103">
        <v>9</v>
      </c>
      <c r="H154" s="137" t="s">
        <v>941</v>
      </c>
      <c r="I154" s="103">
        <v>60</v>
      </c>
      <c r="K154" s="103" t="s">
        <v>364</v>
      </c>
      <c r="L154" s="133"/>
      <c r="M154" s="134">
        <v>8.2638888888888887E-2</v>
      </c>
      <c r="N154" s="134">
        <v>0.6381944444444444</v>
      </c>
      <c r="O154" s="133" t="s">
        <v>806</v>
      </c>
      <c r="Q154" s="100" t="s">
        <v>932</v>
      </c>
      <c r="R154" s="226" t="s">
        <v>934</v>
      </c>
      <c r="S154" s="491" t="str">
        <f t="shared" si="5"/>
        <v>x</v>
      </c>
      <c r="T154" s="492">
        <f>IFERROR(VLOOKUP(F154,'Freq-Chan'!C:D,2,FALSE),"x")</f>
        <v>151.72499999999999</v>
      </c>
      <c r="U154" s="110" t="s">
        <v>541</v>
      </c>
      <c r="V154" s="110" t="str">
        <f t="shared" si="6"/>
        <v>FWL</v>
      </c>
      <c r="W154" s="110" t="s">
        <v>541</v>
      </c>
      <c r="X154" s="110" t="s">
        <v>541</v>
      </c>
      <c r="Y154" s="110" t="str">
        <f>IFERROR(VLOOKUP(F154,'Freq-Chan'!C:E,3,FALSE),"na")</f>
        <v>F1845</v>
      </c>
      <c r="Z154" s="110" t="s">
        <v>541</v>
      </c>
      <c r="AA154" s="110" t="s">
        <v>541</v>
      </c>
      <c r="AB154" s="110" t="s">
        <v>541</v>
      </c>
      <c r="AC154" s="10" t="s">
        <v>541</v>
      </c>
      <c r="AD154" s="10" t="s">
        <v>541</v>
      </c>
    </row>
    <row r="155" spans="1:30" x14ac:dyDescent="0.2">
      <c r="A155" s="110">
        <v>154</v>
      </c>
      <c r="B155" s="132">
        <v>41811</v>
      </c>
      <c r="C155" s="117">
        <v>3</v>
      </c>
      <c r="D155" s="103" t="s">
        <v>2</v>
      </c>
      <c r="E155" s="103" t="s">
        <v>306</v>
      </c>
      <c r="F155" s="103">
        <v>725</v>
      </c>
      <c r="G155" s="103">
        <v>47</v>
      </c>
      <c r="H155" s="137" t="s">
        <v>942</v>
      </c>
      <c r="I155" s="103">
        <v>56</v>
      </c>
      <c r="K155" s="103" t="s">
        <v>364</v>
      </c>
      <c r="L155" s="133"/>
      <c r="M155" s="134">
        <v>7.2916666666666671E-2</v>
      </c>
      <c r="N155" s="134">
        <v>0.64097222222222217</v>
      </c>
      <c r="O155" s="133" t="s">
        <v>806</v>
      </c>
      <c r="P155" s="100" t="s">
        <v>948</v>
      </c>
      <c r="Q155" s="100" t="s">
        <v>932</v>
      </c>
      <c r="R155" s="226" t="s">
        <v>934</v>
      </c>
      <c r="S155" s="491" t="str">
        <f t="shared" si="5"/>
        <v>x</v>
      </c>
      <c r="T155" s="492">
        <f>IFERROR(VLOOKUP(F155,'Freq-Chan'!C:D,2,FALSE),"x")</f>
        <v>151.72499999999999</v>
      </c>
      <c r="U155" s="110" t="s">
        <v>541</v>
      </c>
      <c r="V155" s="110" t="str">
        <f t="shared" si="6"/>
        <v>FWL</v>
      </c>
      <c r="W155" s="110" t="s">
        <v>541</v>
      </c>
      <c r="X155" s="110" t="s">
        <v>541</v>
      </c>
      <c r="Y155" s="110" t="str">
        <f>IFERROR(VLOOKUP(F155,'Freq-Chan'!C:E,3,FALSE),"na")</f>
        <v>F1845</v>
      </c>
      <c r="Z155" s="110" t="s">
        <v>541</v>
      </c>
      <c r="AA155" s="110" t="s">
        <v>541</v>
      </c>
      <c r="AB155" s="110" t="s">
        <v>541</v>
      </c>
      <c r="AC155" s="10" t="s">
        <v>541</v>
      </c>
      <c r="AD155" s="10" t="s">
        <v>541</v>
      </c>
    </row>
    <row r="156" spans="1:30" x14ac:dyDescent="0.2">
      <c r="A156" s="110">
        <v>155</v>
      </c>
      <c r="B156" s="132">
        <v>41811</v>
      </c>
      <c r="C156" s="117">
        <v>3</v>
      </c>
      <c r="D156" s="103" t="s">
        <v>2</v>
      </c>
      <c r="E156" s="103" t="s">
        <v>306</v>
      </c>
      <c r="F156" s="103">
        <v>684</v>
      </c>
      <c r="G156" s="103">
        <v>8</v>
      </c>
      <c r="H156" s="137" t="s">
        <v>943</v>
      </c>
      <c r="I156" s="103">
        <v>76</v>
      </c>
      <c r="K156" s="103" t="s">
        <v>364</v>
      </c>
      <c r="L156" s="133"/>
      <c r="M156" s="134">
        <v>5.2083333333333336E-2</v>
      </c>
      <c r="N156" s="134">
        <v>0.67986111111111114</v>
      </c>
      <c r="O156" s="133" t="s">
        <v>806</v>
      </c>
      <c r="Q156" s="100" t="s">
        <v>932</v>
      </c>
      <c r="R156" s="226" t="s">
        <v>934</v>
      </c>
      <c r="S156" s="491" t="str">
        <f t="shared" si="5"/>
        <v>x</v>
      </c>
      <c r="T156" s="492">
        <f>IFERROR(VLOOKUP(F156,'Freq-Chan'!C:D,2,FALSE),"x")</f>
        <v>151.684</v>
      </c>
      <c r="U156" s="110" t="s">
        <v>541</v>
      </c>
      <c r="V156" s="110" t="str">
        <f t="shared" si="6"/>
        <v>FWL</v>
      </c>
      <c r="W156" s="110" t="s">
        <v>541</v>
      </c>
      <c r="X156" s="110" t="s">
        <v>541</v>
      </c>
      <c r="Y156" s="110" t="str">
        <f>IFERROR(VLOOKUP(F156,'Freq-Chan'!C:E,3,FALSE),"na")</f>
        <v>F1845</v>
      </c>
      <c r="Z156" s="110" t="s">
        <v>541</v>
      </c>
      <c r="AA156" s="110" t="s">
        <v>541</v>
      </c>
      <c r="AB156" s="110" t="s">
        <v>541</v>
      </c>
      <c r="AC156" s="10" t="s">
        <v>541</v>
      </c>
      <c r="AD156" s="10" t="s">
        <v>541</v>
      </c>
    </row>
    <row r="157" spans="1:30" x14ac:dyDescent="0.2">
      <c r="A157" s="110">
        <v>156</v>
      </c>
      <c r="B157" s="132">
        <v>41811</v>
      </c>
      <c r="C157" s="117">
        <v>3</v>
      </c>
      <c r="D157" s="103" t="s">
        <v>2</v>
      </c>
      <c r="E157" s="103" t="s">
        <v>306</v>
      </c>
      <c r="G157" s="138"/>
      <c r="H157" s="103"/>
      <c r="I157" s="138">
        <v>103</v>
      </c>
      <c r="J157" s="138"/>
      <c r="K157" s="103" t="s">
        <v>364</v>
      </c>
      <c r="L157" s="136"/>
      <c r="M157" s="134">
        <v>0.10069444444444443</v>
      </c>
      <c r="N157" s="140">
        <v>0.72361111111111109</v>
      </c>
      <c r="O157" s="133" t="s">
        <v>804</v>
      </c>
      <c r="P157" s="100" t="s">
        <v>949</v>
      </c>
      <c r="Q157" s="100" t="s">
        <v>932</v>
      </c>
      <c r="R157" s="226" t="s">
        <v>934</v>
      </c>
      <c r="S157" s="491" t="str">
        <f t="shared" si="5"/>
        <v>x</v>
      </c>
      <c r="T157" s="492" t="str">
        <f>IFERROR(VLOOKUP(F157,'Freq-Chan'!C:D,2,FALSE),"x")</f>
        <v>x</v>
      </c>
      <c r="U157" s="110" t="s">
        <v>541</v>
      </c>
      <c r="V157" s="110" t="str">
        <f t="shared" si="6"/>
        <v>FWL</v>
      </c>
      <c r="W157" s="110" t="s">
        <v>541</v>
      </c>
      <c r="X157" s="110" t="s">
        <v>541</v>
      </c>
      <c r="Y157" s="110" t="str">
        <f>IFERROR(VLOOKUP(F157,'Freq-Chan'!C:E,3,FALSE),"na")</f>
        <v>na</v>
      </c>
      <c r="Z157" s="110" t="s">
        <v>541</v>
      </c>
      <c r="AA157" s="110" t="s">
        <v>541</v>
      </c>
      <c r="AB157" s="110" t="s">
        <v>541</v>
      </c>
      <c r="AC157" s="10" t="s">
        <v>541</v>
      </c>
      <c r="AD157" s="10" t="s">
        <v>541</v>
      </c>
    </row>
    <row r="158" spans="1:30" x14ac:dyDescent="0.2">
      <c r="A158" s="110">
        <v>157</v>
      </c>
      <c r="B158" s="132">
        <v>41811</v>
      </c>
      <c r="C158" s="117">
        <v>3</v>
      </c>
      <c r="D158" s="103" t="s">
        <v>2</v>
      </c>
      <c r="E158" s="103" t="s">
        <v>306</v>
      </c>
      <c r="F158" s="138">
        <v>684</v>
      </c>
      <c r="G158" s="103">
        <v>91</v>
      </c>
      <c r="H158" s="137" t="s">
        <v>944</v>
      </c>
      <c r="I158" s="103">
        <v>96</v>
      </c>
      <c r="K158" s="103" t="s">
        <v>364</v>
      </c>
      <c r="L158" s="133"/>
      <c r="M158" s="134">
        <v>0.16666666666666666</v>
      </c>
      <c r="N158" s="134">
        <v>0.82361111111111107</v>
      </c>
      <c r="O158" s="133" t="s">
        <v>909</v>
      </c>
      <c r="Q158" s="100" t="s">
        <v>951</v>
      </c>
      <c r="R158" s="226" t="s">
        <v>934</v>
      </c>
      <c r="S158" s="491" t="str">
        <f t="shared" si="5"/>
        <v>x</v>
      </c>
      <c r="T158" s="492">
        <f>IFERROR(VLOOKUP(F158,'Freq-Chan'!C:D,2,FALSE),"x")</f>
        <v>151.684</v>
      </c>
      <c r="U158" s="110" t="s">
        <v>541</v>
      </c>
      <c r="V158" s="110" t="str">
        <f t="shared" si="6"/>
        <v>FWL</v>
      </c>
      <c r="W158" s="110" t="s">
        <v>541</v>
      </c>
      <c r="X158" s="110" t="s">
        <v>541</v>
      </c>
      <c r="Y158" s="110" t="str">
        <f>IFERROR(VLOOKUP(F158,'Freq-Chan'!C:E,3,FALSE),"na")</f>
        <v>F1845</v>
      </c>
      <c r="Z158" s="110" t="s">
        <v>541</v>
      </c>
      <c r="AA158" s="110" t="s">
        <v>541</v>
      </c>
      <c r="AB158" s="110" t="s">
        <v>541</v>
      </c>
      <c r="AC158" s="10" t="s">
        <v>541</v>
      </c>
      <c r="AD158" s="10" t="s">
        <v>541</v>
      </c>
    </row>
    <row r="159" spans="1:30" x14ac:dyDescent="0.2">
      <c r="A159" s="110">
        <v>158</v>
      </c>
      <c r="B159" s="132">
        <v>41811</v>
      </c>
      <c r="C159" s="117">
        <v>3</v>
      </c>
      <c r="D159" s="103" t="s">
        <v>177</v>
      </c>
      <c r="E159" s="103" t="s">
        <v>0</v>
      </c>
      <c r="H159" s="103"/>
      <c r="I159" s="103">
        <v>32</v>
      </c>
      <c r="K159" s="103" t="s">
        <v>364</v>
      </c>
      <c r="L159" s="133"/>
      <c r="M159" s="134">
        <v>2.4305555555555556E-2</v>
      </c>
      <c r="N159" s="134">
        <v>0.81874999999999998</v>
      </c>
      <c r="O159" s="133" t="s">
        <v>909</v>
      </c>
      <c r="P159" s="100" t="s">
        <v>776</v>
      </c>
      <c r="Q159" s="100" t="s">
        <v>951</v>
      </c>
      <c r="R159" s="226" t="s">
        <v>934</v>
      </c>
      <c r="S159" s="491" t="str">
        <f t="shared" si="5"/>
        <v>x</v>
      </c>
      <c r="T159" s="492" t="str">
        <f>IFERROR(VLOOKUP(F159,'Freq-Chan'!C:D,2,FALSE),"x")</f>
        <v>x</v>
      </c>
      <c r="U159" s="110" t="s">
        <v>541</v>
      </c>
      <c r="V159" s="110" t="str">
        <f t="shared" si="6"/>
        <v>FWL</v>
      </c>
      <c r="W159" s="110" t="s">
        <v>541</v>
      </c>
      <c r="X159" s="110" t="s">
        <v>541</v>
      </c>
      <c r="Y159" s="110" t="str">
        <f>IFERROR(VLOOKUP(F159,'Freq-Chan'!C:E,3,FALSE),"na")</f>
        <v>na</v>
      </c>
      <c r="Z159" s="110" t="s">
        <v>541</v>
      </c>
      <c r="AA159" s="110" t="s">
        <v>541</v>
      </c>
      <c r="AB159" s="110" t="s">
        <v>541</v>
      </c>
      <c r="AC159" s="10" t="s">
        <v>541</v>
      </c>
      <c r="AD159" s="10" t="s">
        <v>541</v>
      </c>
    </row>
    <row r="160" spans="1:30" x14ac:dyDescent="0.2">
      <c r="A160" s="110">
        <v>159</v>
      </c>
      <c r="B160" s="132">
        <v>41811</v>
      </c>
      <c r="C160" s="117">
        <v>3</v>
      </c>
      <c r="D160" s="103" t="s">
        <v>177</v>
      </c>
      <c r="E160" s="103" t="s">
        <v>0</v>
      </c>
      <c r="H160" s="103"/>
      <c r="I160" s="103">
        <v>29</v>
      </c>
      <c r="K160" s="103" t="s">
        <v>364</v>
      </c>
      <c r="L160" s="133"/>
      <c r="M160" s="134">
        <v>2.013888888888889E-2</v>
      </c>
      <c r="N160" s="134">
        <v>0.82638888888888884</v>
      </c>
      <c r="O160" s="133" t="s">
        <v>909</v>
      </c>
      <c r="P160" s="100" t="s">
        <v>776</v>
      </c>
      <c r="Q160" s="100" t="s">
        <v>951</v>
      </c>
      <c r="R160" s="226" t="s">
        <v>934</v>
      </c>
      <c r="S160" s="491" t="str">
        <f t="shared" si="5"/>
        <v>x</v>
      </c>
      <c r="T160" s="492" t="str">
        <f>IFERROR(VLOOKUP(F160,'Freq-Chan'!C:D,2,FALSE),"x")</f>
        <v>x</v>
      </c>
      <c r="U160" s="110" t="s">
        <v>541</v>
      </c>
      <c r="V160" s="110" t="str">
        <f t="shared" si="6"/>
        <v>FWL</v>
      </c>
      <c r="W160" s="110" t="s">
        <v>541</v>
      </c>
      <c r="X160" s="110" t="s">
        <v>541</v>
      </c>
      <c r="Y160" s="110" t="str">
        <f>IFERROR(VLOOKUP(F160,'Freq-Chan'!C:E,3,FALSE),"na")</f>
        <v>na</v>
      </c>
      <c r="Z160" s="110" t="s">
        <v>541</v>
      </c>
      <c r="AA160" s="110" t="s">
        <v>541</v>
      </c>
      <c r="AB160" s="110" t="s">
        <v>541</v>
      </c>
      <c r="AC160" s="10" t="s">
        <v>541</v>
      </c>
      <c r="AD160" s="10" t="s">
        <v>541</v>
      </c>
    </row>
    <row r="161" spans="1:30" x14ac:dyDescent="0.2">
      <c r="A161" s="110">
        <v>160</v>
      </c>
      <c r="B161" s="132">
        <v>41811</v>
      </c>
      <c r="C161" s="117">
        <v>3</v>
      </c>
      <c r="D161" s="103" t="s">
        <v>2</v>
      </c>
      <c r="E161" s="103" t="s">
        <v>306</v>
      </c>
      <c r="F161" s="103">
        <v>725</v>
      </c>
      <c r="G161" s="103">
        <v>43</v>
      </c>
      <c r="H161" s="137" t="s">
        <v>945</v>
      </c>
      <c r="I161" s="103">
        <v>67</v>
      </c>
      <c r="K161" s="103" t="s">
        <v>364</v>
      </c>
      <c r="L161" s="133"/>
      <c r="M161" s="134">
        <v>7.8472222222222221E-2</v>
      </c>
      <c r="N161" s="134">
        <v>0.8340277777777777</v>
      </c>
      <c r="O161" s="133" t="s">
        <v>805</v>
      </c>
      <c r="Q161" s="100" t="s">
        <v>951</v>
      </c>
      <c r="R161" s="226" t="s">
        <v>934</v>
      </c>
      <c r="S161" s="491" t="str">
        <f t="shared" si="5"/>
        <v>x</v>
      </c>
      <c r="T161" s="492">
        <f>IFERROR(VLOOKUP(F161,'Freq-Chan'!C:D,2,FALSE),"x")</f>
        <v>151.72499999999999</v>
      </c>
      <c r="U161" s="110" t="s">
        <v>541</v>
      </c>
      <c r="V161" s="110" t="str">
        <f t="shared" si="6"/>
        <v>FWL</v>
      </c>
      <c r="W161" s="110" t="s">
        <v>541</v>
      </c>
      <c r="X161" s="110" t="s">
        <v>541</v>
      </c>
      <c r="Y161" s="110" t="str">
        <f>IFERROR(VLOOKUP(F161,'Freq-Chan'!C:E,3,FALSE),"na")</f>
        <v>F1845</v>
      </c>
      <c r="Z161" s="110" t="s">
        <v>541</v>
      </c>
      <c r="AA161" s="110" t="s">
        <v>541</v>
      </c>
      <c r="AB161" s="110" t="s">
        <v>541</v>
      </c>
      <c r="AC161" s="10" t="s">
        <v>541</v>
      </c>
      <c r="AD161" s="10" t="s">
        <v>541</v>
      </c>
    </row>
    <row r="162" spans="1:30" s="291" customFormat="1" x14ac:dyDescent="0.2">
      <c r="A162" s="493">
        <v>161</v>
      </c>
      <c r="B162" s="283">
        <v>41811</v>
      </c>
      <c r="C162" s="284">
        <v>3</v>
      </c>
      <c r="D162" s="285" t="s">
        <v>2</v>
      </c>
      <c r="E162" s="285" t="s">
        <v>306</v>
      </c>
      <c r="F162" s="285">
        <v>725</v>
      </c>
      <c r="G162" s="285">
        <v>27</v>
      </c>
      <c r="H162" s="339" t="s">
        <v>946</v>
      </c>
      <c r="I162" s="285">
        <v>51</v>
      </c>
      <c r="J162" s="285"/>
      <c r="K162" s="285" t="s">
        <v>364</v>
      </c>
      <c r="L162" s="286">
        <v>0.86249999999999993</v>
      </c>
      <c r="M162" s="287">
        <v>8.3333333333333329E-2</v>
      </c>
      <c r="N162" s="287">
        <v>0.87083333333333324</v>
      </c>
      <c r="O162" s="286" t="s">
        <v>909</v>
      </c>
      <c r="P162" s="289"/>
      <c r="Q162" s="289" t="s">
        <v>951</v>
      </c>
      <c r="R162" s="290" t="s">
        <v>934</v>
      </c>
      <c r="S162" s="494">
        <f t="shared" si="5"/>
        <v>6.9444444000000003E-3</v>
      </c>
      <c r="T162" s="495">
        <f>IFERROR(VLOOKUP(F162,'Freq-Chan'!C:D,2,FALSE),"x")</f>
        <v>151.72499999999999</v>
      </c>
      <c r="U162" s="493" t="s">
        <v>541</v>
      </c>
      <c r="V162" s="493" t="str">
        <f t="shared" si="6"/>
        <v>FWL</v>
      </c>
      <c r="W162" s="493" t="s">
        <v>541</v>
      </c>
      <c r="X162" s="493" t="s">
        <v>541</v>
      </c>
      <c r="Y162" s="493" t="str">
        <f>IFERROR(VLOOKUP(F162,'Freq-Chan'!C:E,3,FALSE),"na")</f>
        <v>F1845</v>
      </c>
      <c r="Z162" s="493" t="s">
        <v>541</v>
      </c>
      <c r="AA162" s="493" t="s">
        <v>541</v>
      </c>
      <c r="AB162" s="493" t="s">
        <v>541</v>
      </c>
      <c r="AC162" s="291" t="s">
        <v>541</v>
      </c>
      <c r="AD162" s="291" t="s">
        <v>541</v>
      </c>
    </row>
    <row r="163" spans="1:30" x14ac:dyDescent="0.2">
      <c r="A163" s="110">
        <v>162</v>
      </c>
      <c r="B163" s="132">
        <v>41811</v>
      </c>
      <c r="C163" s="117">
        <v>3</v>
      </c>
      <c r="D163" s="103" t="s">
        <v>88</v>
      </c>
      <c r="E163" s="103" t="s">
        <v>798</v>
      </c>
      <c r="H163" s="103"/>
      <c r="J163" s="103">
        <v>36</v>
      </c>
      <c r="K163" s="103" t="s">
        <v>364</v>
      </c>
      <c r="L163" s="133"/>
      <c r="M163" s="134">
        <v>3.125E-2</v>
      </c>
      <c r="N163" s="134">
        <v>0.88055555555555554</v>
      </c>
      <c r="O163" s="133" t="s">
        <v>805</v>
      </c>
      <c r="Q163" s="100" t="s">
        <v>951</v>
      </c>
      <c r="R163" s="226" t="s">
        <v>934</v>
      </c>
      <c r="S163" s="491" t="str">
        <f t="shared" si="5"/>
        <v>x</v>
      </c>
      <c r="T163" s="492" t="str">
        <f>IFERROR(VLOOKUP(F163,'Freq-Chan'!C:D,2,FALSE),"x")</f>
        <v>x</v>
      </c>
      <c r="U163" s="110" t="s">
        <v>541</v>
      </c>
      <c r="V163" s="110" t="str">
        <f t="shared" si="6"/>
        <v>FWL</v>
      </c>
      <c r="W163" s="110" t="s">
        <v>541</v>
      </c>
      <c r="X163" s="110" t="s">
        <v>541</v>
      </c>
      <c r="Y163" s="110" t="str">
        <f>IFERROR(VLOOKUP(F163,'Freq-Chan'!C:E,3,FALSE),"na")</f>
        <v>na</v>
      </c>
      <c r="Z163" s="110" t="s">
        <v>541</v>
      </c>
      <c r="AA163" s="110" t="s">
        <v>541</v>
      </c>
      <c r="AB163" s="110" t="s">
        <v>541</v>
      </c>
      <c r="AC163" s="10" t="s">
        <v>541</v>
      </c>
      <c r="AD163" s="10" t="s">
        <v>541</v>
      </c>
    </row>
    <row r="164" spans="1:30" x14ac:dyDescent="0.2">
      <c r="A164" s="110">
        <v>163</v>
      </c>
      <c r="B164" s="132">
        <v>41811</v>
      </c>
      <c r="C164" s="117">
        <v>3</v>
      </c>
      <c r="D164" s="103" t="s">
        <v>177</v>
      </c>
      <c r="E164" s="103" t="s">
        <v>0</v>
      </c>
      <c r="H164" s="103"/>
      <c r="I164" s="103">
        <v>33</v>
      </c>
      <c r="K164" s="103" t="s">
        <v>364</v>
      </c>
      <c r="L164" s="133"/>
      <c r="M164" s="134">
        <v>2.2222222222222223E-2</v>
      </c>
      <c r="N164" s="134">
        <v>0.88124999999999998</v>
      </c>
      <c r="O164" s="133" t="s">
        <v>805</v>
      </c>
      <c r="P164" s="100" t="s">
        <v>776</v>
      </c>
      <c r="Q164" s="100" t="s">
        <v>951</v>
      </c>
      <c r="R164" s="226" t="s">
        <v>934</v>
      </c>
      <c r="S164" s="491" t="str">
        <f t="shared" si="5"/>
        <v>x</v>
      </c>
      <c r="T164" s="492" t="str">
        <f>IFERROR(VLOOKUP(F164,'Freq-Chan'!C:D,2,FALSE),"x")</f>
        <v>x</v>
      </c>
      <c r="U164" s="110" t="s">
        <v>541</v>
      </c>
      <c r="V164" s="110" t="str">
        <f t="shared" si="6"/>
        <v>FWL</v>
      </c>
      <c r="W164" s="110" t="s">
        <v>541</v>
      </c>
      <c r="X164" s="110" t="s">
        <v>541</v>
      </c>
      <c r="Y164" s="110" t="str">
        <f>IFERROR(VLOOKUP(F164,'Freq-Chan'!C:E,3,FALSE),"na")</f>
        <v>na</v>
      </c>
      <c r="Z164" s="110" t="s">
        <v>541</v>
      </c>
      <c r="AA164" s="110" t="s">
        <v>541</v>
      </c>
      <c r="AB164" s="110" t="s">
        <v>541</v>
      </c>
      <c r="AC164" s="10" t="s">
        <v>541</v>
      </c>
      <c r="AD164" s="10" t="s">
        <v>541</v>
      </c>
    </row>
    <row r="165" spans="1:30" s="291" customFormat="1" x14ac:dyDescent="0.2">
      <c r="A165" s="493">
        <v>164</v>
      </c>
      <c r="B165" s="283">
        <v>41811</v>
      </c>
      <c r="C165" s="284">
        <v>3</v>
      </c>
      <c r="D165" s="285" t="s">
        <v>177</v>
      </c>
      <c r="E165" s="285" t="s">
        <v>0</v>
      </c>
      <c r="F165" s="285"/>
      <c r="G165" s="285"/>
      <c r="H165" s="285"/>
      <c r="I165" s="285">
        <v>34</v>
      </c>
      <c r="J165" s="285"/>
      <c r="K165" s="285" t="s">
        <v>364</v>
      </c>
      <c r="L165" s="286"/>
      <c r="M165" s="287">
        <v>3.125E-2</v>
      </c>
      <c r="N165" s="287">
        <v>0.96666666666666667</v>
      </c>
      <c r="O165" s="286" t="s">
        <v>805</v>
      </c>
      <c r="P165" s="289" t="s">
        <v>776</v>
      </c>
      <c r="Q165" s="289" t="s">
        <v>951</v>
      </c>
      <c r="R165" s="290" t="s">
        <v>934</v>
      </c>
      <c r="S165" s="494" t="str">
        <f t="shared" si="5"/>
        <v>x</v>
      </c>
      <c r="T165" s="495" t="str">
        <f>IFERROR(VLOOKUP(F165,'Freq-Chan'!C:D,2,FALSE),"x")</f>
        <v>x</v>
      </c>
      <c r="U165" s="493" t="s">
        <v>541</v>
      </c>
      <c r="V165" s="493" t="str">
        <f t="shared" si="6"/>
        <v>FWL</v>
      </c>
      <c r="W165" s="493" t="s">
        <v>541</v>
      </c>
      <c r="X165" s="493" t="s">
        <v>541</v>
      </c>
      <c r="Y165" s="493" t="str">
        <f>IFERROR(VLOOKUP(F165,'Freq-Chan'!C:E,3,FALSE),"na")</f>
        <v>na</v>
      </c>
      <c r="Z165" s="493" t="s">
        <v>541</v>
      </c>
      <c r="AA165" s="493" t="s">
        <v>541</v>
      </c>
      <c r="AB165" s="493" t="s">
        <v>541</v>
      </c>
      <c r="AC165" s="291" t="s">
        <v>541</v>
      </c>
      <c r="AD165" s="291" t="s">
        <v>541</v>
      </c>
    </row>
    <row r="166" spans="1:30" x14ac:dyDescent="0.2">
      <c r="A166" s="110">
        <v>165</v>
      </c>
      <c r="B166" s="132">
        <v>41812</v>
      </c>
      <c r="C166" s="117">
        <v>1</v>
      </c>
      <c r="D166" s="103" t="s">
        <v>2</v>
      </c>
      <c r="E166" s="103" t="s">
        <v>306</v>
      </c>
      <c r="F166" s="103">
        <v>725</v>
      </c>
      <c r="G166" s="103">
        <v>83</v>
      </c>
      <c r="H166" s="137" t="s">
        <v>963</v>
      </c>
      <c r="I166" s="103">
        <v>86</v>
      </c>
      <c r="K166" s="103" t="s">
        <v>364</v>
      </c>
      <c r="L166" s="133"/>
      <c r="M166" s="134">
        <v>7.6388888888888895E-2</v>
      </c>
      <c r="N166" s="134">
        <v>0.60416666666666663</v>
      </c>
      <c r="O166" s="133" t="s">
        <v>909</v>
      </c>
      <c r="P166" s="100" t="s">
        <v>1001</v>
      </c>
      <c r="Q166" s="100" t="s">
        <v>966</v>
      </c>
      <c r="R166" s="226" t="s">
        <v>986</v>
      </c>
      <c r="S166" s="491" t="str">
        <f t="shared" si="5"/>
        <v>x</v>
      </c>
      <c r="T166" s="492">
        <f>IFERROR(VLOOKUP(F166,'Freq-Chan'!C:D,2,FALSE),"x")</f>
        <v>151.72499999999999</v>
      </c>
      <c r="U166" s="110" t="s">
        <v>541</v>
      </c>
      <c r="V166" s="110" t="str">
        <f t="shared" si="6"/>
        <v>FWL</v>
      </c>
      <c r="W166" s="110" t="s">
        <v>541</v>
      </c>
      <c r="X166" s="110" t="s">
        <v>541</v>
      </c>
      <c r="Y166" s="110" t="str">
        <f>IFERROR(VLOOKUP(F166,'Freq-Chan'!C:E,3,FALSE),"na")</f>
        <v>F1845</v>
      </c>
      <c r="Z166" s="110" t="s">
        <v>541</v>
      </c>
      <c r="AA166" s="110" t="s">
        <v>541</v>
      </c>
      <c r="AB166" s="110" t="s">
        <v>541</v>
      </c>
      <c r="AC166" s="10" t="s">
        <v>541</v>
      </c>
      <c r="AD166" s="10" t="s">
        <v>541</v>
      </c>
    </row>
    <row r="167" spans="1:30" x14ac:dyDescent="0.2">
      <c r="A167" s="110">
        <v>166</v>
      </c>
      <c r="B167" s="132">
        <v>41812</v>
      </c>
      <c r="C167" s="117">
        <v>1</v>
      </c>
      <c r="D167" s="103" t="s">
        <v>2</v>
      </c>
      <c r="E167" s="103" t="s">
        <v>306</v>
      </c>
      <c r="F167" s="103">
        <v>684</v>
      </c>
      <c r="G167" s="103">
        <v>6</v>
      </c>
      <c r="H167" s="137" t="s">
        <v>964</v>
      </c>
      <c r="I167" s="103">
        <v>63</v>
      </c>
      <c r="K167" s="103" t="s">
        <v>364</v>
      </c>
      <c r="L167" s="133"/>
      <c r="M167" s="134">
        <v>4.5833333333333337E-2</v>
      </c>
      <c r="N167" s="134">
        <v>0.7895833333333333</v>
      </c>
      <c r="O167" s="133" t="s">
        <v>806</v>
      </c>
      <c r="Q167" s="100" t="s">
        <v>934</v>
      </c>
      <c r="R167" s="226" t="s">
        <v>986</v>
      </c>
      <c r="S167" s="491" t="str">
        <f t="shared" si="5"/>
        <v>x</v>
      </c>
      <c r="T167" s="492">
        <f>IFERROR(VLOOKUP(F167,'Freq-Chan'!C:D,2,FALSE),"x")</f>
        <v>151.684</v>
      </c>
      <c r="U167" s="110" t="s">
        <v>541</v>
      </c>
      <c r="V167" s="110" t="str">
        <f t="shared" si="6"/>
        <v>FWL</v>
      </c>
      <c r="W167" s="110" t="s">
        <v>541</v>
      </c>
      <c r="X167" s="110" t="s">
        <v>541</v>
      </c>
      <c r="Y167" s="110" t="str">
        <f>IFERROR(VLOOKUP(F167,'Freq-Chan'!C:E,3,FALSE),"na")</f>
        <v>F1845</v>
      </c>
      <c r="Z167" s="110" t="s">
        <v>541</v>
      </c>
      <c r="AA167" s="110" t="s">
        <v>541</v>
      </c>
      <c r="AB167" s="110" t="s">
        <v>541</v>
      </c>
      <c r="AC167" s="10" t="s">
        <v>541</v>
      </c>
      <c r="AD167" s="10" t="s">
        <v>541</v>
      </c>
    </row>
    <row r="168" spans="1:30" x14ac:dyDescent="0.2">
      <c r="A168" s="110">
        <v>167</v>
      </c>
      <c r="B168" s="132">
        <v>41812</v>
      </c>
      <c r="C168" s="117">
        <v>1</v>
      </c>
      <c r="D168" s="103" t="s">
        <v>177</v>
      </c>
      <c r="E168" s="103" t="s">
        <v>0</v>
      </c>
      <c r="H168" s="103"/>
      <c r="I168" s="103">
        <v>35</v>
      </c>
      <c r="K168" s="103" t="s">
        <v>364</v>
      </c>
      <c r="L168" s="133"/>
      <c r="M168" s="134">
        <v>1.8055555555555557E-2</v>
      </c>
      <c r="N168" s="134">
        <v>0.8222222222222223</v>
      </c>
      <c r="O168" s="133" t="s">
        <v>805</v>
      </c>
      <c r="P168" s="100" t="s">
        <v>776</v>
      </c>
      <c r="Q168" s="100" t="s">
        <v>967</v>
      </c>
      <c r="R168" s="226" t="s">
        <v>986</v>
      </c>
      <c r="S168" s="491" t="str">
        <f t="shared" si="5"/>
        <v>x</v>
      </c>
      <c r="T168" s="492" t="str">
        <f>IFERROR(VLOOKUP(F168,'Freq-Chan'!C:D,2,FALSE),"x")</f>
        <v>x</v>
      </c>
      <c r="U168" s="110" t="s">
        <v>541</v>
      </c>
      <c r="V168" s="110" t="str">
        <f t="shared" si="6"/>
        <v>FWL</v>
      </c>
      <c r="W168" s="110" t="s">
        <v>541</v>
      </c>
      <c r="X168" s="110" t="s">
        <v>541</v>
      </c>
      <c r="Y168" s="110" t="str">
        <f>IFERROR(VLOOKUP(F168,'Freq-Chan'!C:E,3,FALSE),"na")</f>
        <v>na</v>
      </c>
      <c r="Z168" s="110" t="s">
        <v>541</v>
      </c>
      <c r="AA168" s="110" t="s">
        <v>541</v>
      </c>
      <c r="AB168" s="110" t="s">
        <v>541</v>
      </c>
      <c r="AC168" s="10" t="s">
        <v>541</v>
      </c>
      <c r="AD168" s="10" t="s">
        <v>541</v>
      </c>
    </row>
    <row r="169" spans="1:30" s="291" customFormat="1" x14ac:dyDescent="0.2">
      <c r="A169" s="493">
        <v>168</v>
      </c>
      <c r="B169" s="283">
        <v>41812</v>
      </c>
      <c r="C169" s="284">
        <v>1</v>
      </c>
      <c r="D169" s="285" t="s">
        <v>2</v>
      </c>
      <c r="E169" s="285" t="s">
        <v>306</v>
      </c>
      <c r="F169" s="285">
        <v>684</v>
      </c>
      <c r="G169" s="285">
        <v>11</v>
      </c>
      <c r="H169" s="339" t="s">
        <v>965</v>
      </c>
      <c r="I169" s="285">
        <v>88</v>
      </c>
      <c r="J169" s="285"/>
      <c r="K169" s="285" t="s">
        <v>364</v>
      </c>
      <c r="L169" s="286">
        <v>0.87083333333333324</v>
      </c>
      <c r="M169" s="287">
        <v>7.4999999999999997E-2</v>
      </c>
      <c r="N169" s="287">
        <v>0.87986111111111109</v>
      </c>
      <c r="O169" s="286" t="s">
        <v>805</v>
      </c>
      <c r="P169" s="289"/>
      <c r="Q169" s="289" t="s">
        <v>967</v>
      </c>
      <c r="R169" s="290" t="s">
        <v>986</v>
      </c>
      <c r="S169" s="494">
        <f t="shared" si="5"/>
        <v>7.7777777999999999E-3</v>
      </c>
      <c r="T169" s="495">
        <f>IFERROR(VLOOKUP(F169,'Freq-Chan'!C:D,2,FALSE),"x")</f>
        <v>151.684</v>
      </c>
      <c r="U169" s="493" t="s">
        <v>541</v>
      </c>
      <c r="V169" s="493" t="str">
        <f t="shared" si="6"/>
        <v>FWL</v>
      </c>
      <c r="W169" s="493" t="s">
        <v>541</v>
      </c>
      <c r="X169" s="493" t="s">
        <v>541</v>
      </c>
      <c r="Y169" s="493" t="str">
        <f>IFERROR(VLOOKUP(F169,'Freq-Chan'!C:E,3,FALSE),"na")</f>
        <v>F1845</v>
      </c>
      <c r="Z169" s="493" t="s">
        <v>541</v>
      </c>
      <c r="AA169" s="493" t="s">
        <v>541</v>
      </c>
      <c r="AB169" s="493" t="s">
        <v>541</v>
      </c>
      <c r="AC169" s="291" t="s">
        <v>541</v>
      </c>
      <c r="AD169" s="291" t="s">
        <v>541</v>
      </c>
    </row>
    <row r="170" spans="1:30" s="314" customFormat="1" x14ac:dyDescent="0.2">
      <c r="A170" s="499">
        <v>169</v>
      </c>
      <c r="B170" s="294">
        <v>41812</v>
      </c>
      <c r="C170" s="295">
        <v>2</v>
      </c>
      <c r="D170" s="296" t="s">
        <v>2</v>
      </c>
      <c r="E170" s="296" t="s">
        <v>306</v>
      </c>
      <c r="F170" s="296">
        <v>684</v>
      </c>
      <c r="G170" s="296">
        <v>23</v>
      </c>
      <c r="H170" s="327" t="s">
        <v>968</v>
      </c>
      <c r="I170" s="296">
        <v>87</v>
      </c>
      <c r="J170" s="296"/>
      <c r="K170" s="296" t="s">
        <v>364</v>
      </c>
      <c r="L170" s="297"/>
      <c r="M170" s="298">
        <v>6.1111111111111116E-2</v>
      </c>
      <c r="N170" s="327" t="s">
        <v>969</v>
      </c>
      <c r="O170" s="297" t="s">
        <v>806</v>
      </c>
      <c r="P170" s="300"/>
      <c r="Q170" s="300" t="s">
        <v>934</v>
      </c>
      <c r="R170" s="301" t="s">
        <v>986</v>
      </c>
      <c r="S170" s="500" t="str">
        <f t="shared" si="5"/>
        <v>x</v>
      </c>
      <c r="T170" s="501">
        <f>IFERROR(VLOOKUP(F170,'Freq-Chan'!C:D,2,FALSE),"x")</f>
        <v>151.684</v>
      </c>
      <c r="U170" s="499" t="s">
        <v>541</v>
      </c>
      <c r="V170" s="499" t="str">
        <f t="shared" si="6"/>
        <v>FWL</v>
      </c>
      <c r="W170" s="499" t="s">
        <v>541</v>
      </c>
      <c r="X170" s="499" t="s">
        <v>541</v>
      </c>
      <c r="Y170" s="499" t="str">
        <f>IFERROR(VLOOKUP(F170,'Freq-Chan'!C:E,3,FALSE),"na")</f>
        <v>F1845</v>
      </c>
      <c r="Z170" s="499" t="s">
        <v>541</v>
      </c>
      <c r="AA170" s="499" t="s">
        <v>541</v>
      </c>
      <c r="AB170" s="499" t="s">
        <v>541</v>
      </c>
      <c r="AC170" s="314" t="s">
        <v>541</v>
      </c>
      <c r="AD170" s="314" t="s">
        <v>541</v>
      </c>
    </row>
    <row r="171" spans="1:30" x14ac:dyDescent="0.2">
      <c r="A171" s="110">
        <v>170</v>
      </c>
      <c r="B171" s="132">
        <v>41812</v>
      </c>
      <c r="C171" s="117">
        <v>3</v>
      </c>
      <c r="D171" s="103" t="s">
        <v>177</v>
      </c>
      <c r="E171" s="103" t="s">
        <v>0</v>
      </c>
      <c r="H171" s="103"/>
      <c r="I171" s="103">
        <v>37</v>
      </c>
      <c r="K171" s="103" t="s">
        <v>364</v>
      </c>
      <c r="L171" s="133"/>
      <c r="M171" s="134">
        <v>3.1944444444444449E-2</v>
      </c>
      <c r="N171" s="134">
        <v>0.30902777777777779</v>
      </c>
      <c r="O171" s="133" t="s">
        <v>372</v>
      </c>
      <c r="P171" s="100" t="s">
        <v>776</v>
      </c>
      <c r="Q171" s="100" t="s">
        <v>983</v>
      </c>
      <c r="R171" s="226" t="s">
        <v>986</v>
      </c>
      <c r="S171" s="491" t="str">
        <f t="shared" si="5"/>
        <v>x</v>
      </c>
      <c r="T171" s="492" t="str">
        <f>IFERROR(VLOOKUP(F171,'Freq-Chan'!C:D,2,FALSE),"x")</f>
        <v>x</v>
      </c>
      <c r="U171" s="110" t="s">
        <v>541</v>
      </c>
      <c r="V171" s="110" t="str">
        <f t="shared" si="6"/>
        <v>FWL</v>
      </c>
      <c r="W171" s="110" t="s">
        <v>541</v>
      </c>
      <c r="X171" s="110" t="s">
        <v>541</v>
      </c>
      <c r="Y171" s="110" t="str">
        <f>IFERROR(VLOOKUP(F171,'Freq-Chan'!C:E,3,FALSE),"na")</f>
        <v>na</v>
      </c>
      <c r="Z171" s="110" t="s">
        <v>541</v>
      </c>
      <c r="AA171" s="110" t="s">
        <v>541</v>
      </c>
      <c r="AB171" s="110" t="s">
        <v>541</v>
      </c>
      <c r="AC171" s="10" t="s">
        <v>541</v>
      </c>
      <c r="AD171" s="10" t="s">
        <v>541</v>
      </c>
    </row>
    <row r="172" spans="1:30" x14ac:dyDescent="0.2">
      <c r="A172" s="110">
        <v>171</v>
      </c>
      <c r="B172" s="132">
        <v>41812</v>
      </c>
      <c r="C172" s="117">
        <v>3</v>
      </c>
      <c r="D172" s="103" t="s">
        <v>2</v>
      </c>
      <c r="E172" s="103" t="s">
        <v>306</v>
      </c>
      <c r="F172" s="103">
        <v>684</v>
      </c>
      <c r="G172" s="103">
        <v>7</v>
      </c>
      <c r="H172" s="137" t="s">
        <v>970</v>
      </c>
      <c r="I172" s="103">
        <v>61</v>
      </c>
      <c r="K172" s="103" t="s">
        <v>364</v>
      </c>
      <c r="L172" s="133"/>
      <c r="M172" s="134">
        <v>5.0694444444444452E-2</v>
      </c>
      <c r="N172" s="134">
        <v>0.31875000000000003</v>
      </c>
      <c r="O172" s="133" t="s">
        <v>372</v>
      </c>
      <c r="Q172" s="100" t="s">
        <v>983</v>
      </c>
      <c r="R172" s="226" t="s">
        <v>986</v>
      </c>
      <c r="S172" s="491" t="str">
        <f t="shared" si="5"/>
        <v>x</v>
      </c>
      <c r="T172" s="492">
        <f>IFERROR(VLOOKUP(F172,'Freq-Chan'!C:D,2,FALSE),"x")</f>
        <v>151.684</v>
      </c>
      <c r="U172" s="110" t="s">
        <v>541</v>
      </c>
      <c r="V172" s="110" t="str">
        <f t="shared" si="6"/>
        <v>FWL</v>
      </c>
      <c r="W172" s="110" t="s">
        <v>541</v>
      </c>
      <c r="X172" s="110" t="s">
        <v>541</v>
      </c>
      <c r="Y172" s="110" t="str">
        <f>IFERROR(VLOOKUP(F172,'Freq-Chan'!C:E,3,FALSE),"na")</f>
        <v>F1845</v>
      </c>
      <c r="Z172" s="110" t="s">
        <v>541</v>
      </c>
      <c r="AA172" s="110" t="s">
        <v>541</v>
      </c>
      <c r="AB172" s="110" t="s">
        <v>541</v>
      </c>
      <c r="AC172" s="10" t="s">
        <v>541</v>
      </c>
      <c r="AD172" s="10" t="s">
        <v>541</v>
      </c>
    </row>
    <row r="173" spans="1:30" x14ac:dyDescent="0.2">
      <c r="A173" s="110">
        <v>172</v>
      </c>
      <c r="B173" s="132">
        <v>41812</v>
      </c>
      <c r="C173" s="117">
        <v>3</v>
      </c>
      <c r="D173" s="103" t="s">
        <v>2</v>
      </c>
      <c r="E173" s="103" t="s">
        <v>306</v>
      </c>
      <c r="F173" s="103">
        <v>684</v>
      </c>
      <c r="G173" s="103">
        <v>32</v>
      </c>
      <c r="H173" s="137" t="s">
        <v>971</v>
      </c>
      <c r="I173" s="103">
        <v>84</v>
      </c>
      <c r="K173" s="103" t="s">
        <v>364</v>
      </c>
      <c r="L173" s="133">
        <v>0.375</v>
      </c>
      <c r="M173" s="134">
        <v>6.1111111111111116E-2</v>
      </c>
      <c r="N173" s="134">
        <v>0.38055555555555554</v>
      </c>
      <c r="O173" s="133" t="s">
        <v>804</v>
      </c>
      <c r="Q173" s="100" t="s">
        <v>983</v>
      </c>
      <c r="R173" s="226" t="s">
        <v>986</v>
      </c>
      <c r="S173" s="491">
        <f t="shared" si="5"/>
        <v>4.5370369999999998E-3</v>
      </c>
      <c r="T173" s="492">
        <f>IFERROR(VLOOKUP(F173,'Freq-Chan'!C:D,2,FALSE),"x")</f>
        <v>151.684</v>
      </c>
      <c r="U173" s="110" t="s">
        <v>541</v>
      </c>
      <c r="V173" s="110" t="str">
        <f t="shared" si="6"/>
        <v>FWL</v>
      </c>
      <c r="W173" s="110" t="s">
        <v>541</v>
      </c>
      <c r="X173" s="110" t="s">
        <v>541</v>
      </c>
      <c r="Y173" s="110" t="str">
        <f>IFERROR(VLOOKUP(F173,'Freq-Chan'!C:E,3,FALSE),"na")</f>
        <v>F1845</v>
      </c>
      <c r="Z173" s="110" t="s">
        <v>541</v>
      </c>
      <c r="AA173" s="110" t="s">
        <v>541</v>
      </c>
      <c r="AB173" s="110" t="s">
        <v>541</v>
      </c>
      <c r="AC173" s="10" t="s">
        <v>541</v>
      </c>
      <c r="AD173" s="10" t="s">
        <v>541</v>
      </c>
    </row>
    <row r="174" spans="1:30" x14ac:dyDescent="0.2">
      <c r="A174" s="110">
        <v>173</v>
      </c>
      <c r="B174" s="132">
        <v>41812</v>
      </c>
      <c r="C174" s="117">
        <v>3</v>
      </c>
      <c r="D174" s="103" t="s">
        <v>2</v>
      </c>
      <c r="E174" s="103" t="s">
        <v>306</v>
      </c>
      <c r="F174" s="103">
        <v>725</v>
      </c>
      <c r="G174" s="103">
        <v>15</v>
      </c>
      <c r="H174" s="137" t="s">
        <v>972</v>
      </c>
      <c r="I174" s="103">
        <v>101</v>
      </c>
      <c r="K174" s="103" t="s">
        <v>364</v>
      </c>
      <c r="L174" s="133">
        <v>0.375</v>
      </c>
      <c r="M174" s="134">
        <v>7.2916666666666671E-2</v>
      </c>
      <c r="N174" s="134">
        <v>0.38472222222222219</v>
      </c>
      <c r="O174" s="133" t="s">
        <v>804</v>
      </c>
      <c r="Q174" s="100" t="s">
        <v>983</v>
      </c>
      <c r="R174" s="226" t="s">
        <v>986</v>
      </c>
      <c r="S174" s="491">
        <f t="shared" si="5"/>
        <v>8.5069444000000008E-3</v>
      </c>
      <c r="T174" s="492">
        <f>IFERROR(VLOOKUP(F174,'Freq-Chan'!C:D,2,FALSE),"x")</f>
        <v>151.72499999999999</v>
      </c>
      <c r="U174" s="110" t="s">
        <v>541</v>
      </c>
      <c r="V174" s="110" t="str">
        <f t="shared" si="6"/>
        <v>FWL</v>
      </c>
      <c r="W174" s="110" t="s">
        <v>541</v>
      </c>
      <c r="X174" s="110" t="s">
        <v>541</v>
      </c>
      <c r="Y174" s="110" t="str">
        <f>IFERROR(VLOOKUP(F174,'Freq-Chan'!C:E,3,FALSE),"na")</f>
        <v>F1845</v>
      </c>
      <c r="Z174" s="110" t="s">
        <v>541</v>
      </c>
      <c r="AA174" s="110" t="s">
        <v>541</v>
      </c>
      <c r="AB174" s="110" t="s">
        <v>541</v>
      </c>
      <c r="AC174" s="10" t="s">
        <v>541</v>
      </c>
      <c r="AD174" s="10" t="s">
        <v>541</v>
      </c>
    </row>
    <row r="175" spans="1:30" x14ac:dyDescent="0.2">
      <c r="A175" s="110">
        <v>174</v>
      </c>
      <c r="B175" s="132">
        <v>41812</v>
      </c>
      <c r="C175" s="117">
        <v>3</v>
      </c>
      <c r="D175" s="103" t="s">
        <v>177</v>
      </c>
      <c r="E175" s="103" t="s">
        <v>0</v>
      </c>
      <c r="H175" s="103"/>
      <c r="I175" s="103">
        <v>32</v>
      </c>
      <c r="K175" s="103" t="s">
        <v>364</v>
      </c>
      <c r="L175" s="133"/>
      <c r="M175" s="134">
        <v>2.2222222222222223E-2</v>
      </c>
      <c r="N175" s="134">
        <v>0.38263888888888892</v>
      </c>
      <c r="O175" s="133" t="s">
        <v>804</v>
      </c>
      <c r="P175" s="100" t="s">
        <v>776</v>
      </c>
      <c r="Q175" s="100" t="s">
        <v>983</v>
      </c>
      <c r="R175" s="226" t="s">
        <v>986</v>
      </c>
      <c r="S175" s="491" t="str">
        <f t="shared" si="5"/>
        <v>x</v>
      </c>
      <c r="T175" s="492" t="str">
        <f>IFERROR(VLOOKUP(F175,'Freq-Chan'!C:D,2,FALSE),"x")</f>
        <v>x</v>
      </c>
      <c r="U175" s="110" t="s">
        <v>541</v>
      </c>
      <c r="V175" s="110" t="str">
        <f t="shared" si="6"/>
        <v>FWL</v>
      </c>
      <c r="W175" s="110" t="s">
        <v>541</v>
      </c>
      <c r="X175" s="110" t="s">
        <v>541</v>
      </c>
      <c r="Y175" s="110" t="str">
        <f>IFERROR(VLOOKUP(F175,'Freq-Chan'!C:E,3,FALSE),"na")</f>
        <v>na</v>
      </c>
      <c r="Z175" s="110" t="s">
        <v>541</v>
      </c>
      <c r="AA175" s="110" t="s">
        <v>541</v>
      </c>
      <c r="AB175" s="110" t="s">
        <v>541</v>
      </c>
      <c r="AC175" s="10" t="s">
        <v>541</v>
      </c>
      <c r="AD175" s="10" t="s">
        <v>541</v>
      </c>
    </row>
    <row r="176" spans="1:30" x14ac:dyDescent="0.2">
      <c r="A176" s="110">
        <v>175</v>
      </c>
      <c r="B176" s="132">
        <v>41812</v>
      </c>
      <c r="C176" s="117">
        <v>3</v>
      </c>
      <c r="D176" s="103" t="s">
        <v>2</v>
      </c>
      <c r="E176" s="103" t="s">
        <v>306</v>
      </c>
      <c r="F176" s="103">
        <v>684</v>
      </c>
      <c r="G176" s="103">
        <v>88</v>
      </c>
      <c r="H176" s="137" t="s">
        <v>973</v>
      </c>
      <c r="I176" s="103">
        <v>76</v>
      </c>
      <c r="K176" s="103" t="s">
        <v>364</v>
      </c>
      <c r="L176" s="133"/>
      <c r="M176" s="134">
        <v>7.2916666666666671E-2</v>
      </c>
      <c r="N176" s="134">
        <v>0.44930555555555557</v>
      </c>
      <c r="O176" s="133" t="s">
        <v>802</v>
      </c>
      <c r="Q176" s="100" t="s">
        <v>984</v>
      </c>
      <c r="R176" s="226" t="s">
        <v>986</v>
      </c>
      <c r="S176" s="491" t="str">
        <f t="shared" si="5"/>
        <v>x</v>
      </c>
      <c r="T176" s="492">
        <f>IFERROR(VLOOKUP(F176,'Freq-Chan'!C:D,2,FALSE),"x")</f>
        <v>151.684</v>
      </c>
      <c r="U176" s="110" t="s">
        <v>541</v>
      </c>
      <c r="V176" s="110" t="str">
        <f t="shared" si="6"/>
        <v>FWL</v>
      </c>
      <c r="W176" s="110" t="s">
        <v>541</v>
      </c>
      <c r="X176" s="110" t="s">
        <v>541</v>
      </c>
      <c r="Y176" s="110" t="str">
        <f>IFERROR(VLOOKUP(F176,'Freq-Chan'!C:E,3,FALSE),"na")</f>
        <v>F1845</v>
      </c>
      <c r="Z176" s="110" t="s">
        <v>541</v>
      </c>
      <c r="AA176" s="110" t="s">
        <v>541</v>
      </c>
      <c r="AB176" s="110" t="s">
        <v>541</v>
      </c>
      <c r="AC176" s="10" t="s">
        <v>541</v>
      </c>
      <c r="AD176" s="10" t="s">
        <v>541</v>
      </c>
    </row>
    <row r="177" spans="1:30" x14ac:dyDescent="0.2">
      <c r="A177" s="110">
        <v>176</v>
      </c>
      <c r="B177" s="132">
        <v>41812</v>
      </c>
      <c r="C177" s="117">
        <v>3</v>
      </c>
      <c r="D177" s="103" t="s">
        <v>177</v>
      </c>
      <c r="E177" s="103" t="s">
        <v>0</v>
      </c>
      <c r="H177" s="103"/>
      <c r="I177" s="103">
        <v>39</v>
      </c>
      <c r="K177" s="103" t="s">
        <v>364</v>
      </c>
      <c r="L177" s="133">
        <v>0.57291666666666663</v>
      </c>
      <c r="M177" s="134">
        <v>3.2638888888888891E-2</v>
      </c>
      <c r="N177" s="134">
        <v>0.57638888888888895</v>
      </c>
      <c r="O177" s="133" t="s">
        <v>802</v>
      </c>
      <c r="P177" s="100" t="s">
        <v>776</v>
      </c>
      <c r="Q177" s="100" t="s">
        <v>984</v>
      </c>
      <c r="R177" s="226" t="s">
        <v>986</v>
      </c>
      <c r="S177" s="491">
        <f t="shared" si="5"/>
        <v>2.9282407000000002E-3</v>
      </c>
      <c r="T177" s="492" t="str">
        <f>IFERROR(VLOOKUP(F177,'Freq-Chan'!C:D,2,FALSE),"x")</f>
        <v>x</v>
      </c>
      <c r="U177" s="110" t="s">
        <v>541</v>
      </c>
      <c r="V177" s="110" t="str">
        <f t="shared" si="6"/>
        <v>FWL</v>
      </c>
      <c r="W177" s="110" t="s">
        <v>541</v>
      </c>
      <c r="X177" s="110" t="s">
        <v>541</v>
      </c>
      <c r="Y177" s="110" t="str">
        <f>IFERROR(VLOOKUP(F177,'Freq-Chan'!C:E,3,FALSE),"na")</f>
        <v>na</v>
      </c>
      <c r="Z177" s="110" t="s">
        <v>541</v>
      </c>
      <c r="AA177" s="110" t="s">
        <v>541</v>
      </c>
      <c r="AB177" s="110" t="s">
        <v>541</v>
      </c>
      <c r="AC177" s="10" t="s">
        <v>541</v>
      </c>
      <c r="AD177" s="10" t="s">
        <v>541</v>
      </c>
    </row>
    <row r="178" spans="1:30" x14ac:dyDescent="0.2">
      <c r="A178" s="110">
        <v>177</v>
      </c>
      <c r="B178" s="132">
        <v>41812</v>
      </c>
      <c r="C178" s="117">
        <v>3</v>
      </c>
      <c r="D178" s="103" t="s">
        <v>2</v>
      </c>
      <c r="E178" s="103" t="s">
        <v>306</v>
      </c>
      <c r="F178" s="103">
        <v>684</v>
      </c>
      <c r="G178" s="103">
        <v>71</v>
      </c>
      <c r="H178" s="137" t="s">
        <v>974</v>
      </c>
      <c r="I178" s="103">
        <v>64</v>
      </c>
      <c r="K178" s="103" t="s">
        <v>364</v>
      </c>
      <c r="L178" s="133"/>
      <c r="M178" s="134">
        <v>6.25E-2</v>
      </c>
      <c r="N178" s="134">
        <v>0.63124999999999998</v>
      </c>
      <c r="O178" s="133" t="s">
        <v>806</v>
      </c>
      <c r="Q178" s="100" t="s">
        <v>934</v>
      </c>
      <c r="R178" s="226" t="s">
        <v>986</v>
      </c>
      <c r="S178" s="491" t="str">
        <f t="shared" si="5"/>
        <v>x</v>
      </c>
      <c r="T178" s="492">
        <f>IFERROR(VLOOKUP(F178,'Freq-Chan'!C:D,2,FALSE),"x")</f>
        <v>151.684</v>
      </c>
      <c r="U178" s="110" t="s">
        <v>541</v>
      </c>
      <c r="V178" s="110" t="str">
        <f t="shared" si="6"/>
        <v>FWL</v>
      </c>
      <c r="W178" s="110" t="s">
        <v>541</v>
      </c>
      <c r="X178" s="110" t="s">
        <v>541</v>
      </c>
      <c r="Y178" s="110" t="str">
        <f>IFERROR(VLOOKUP(F178,'Freq-Chan'!C:E,3,FALSE),"na")</f>
        <v>F1845</v>
      </c>
      <c r="Z178" s="110" t="s">
        <v>541</v>
      </c>
      <c r="AA178" s="110" t="s">
        <v>541</v>
      </c>
      <c r="AB178" s="110" t="s">
        <v>541</v>
      </c>
      <c r="AC178" s="10" t="s">
        <v>541</v>
      </c>
      <c r="AD178" s="10" t="s">
        <v>541</v>
      </c>
    </row>
    <row r="179" spans="1:30" x14ac:dyDescent="0.2">
      <c r="A179" s="110">
        <v>178</v>
      </c>
      <c r="B179" s="132">
        <v>41812</v>
      </c>
      <c r="C179" s="117">
        <v>3</v>
      </c>
      <c r="D179" s="103" t="s">
        <v>2</v>
      </c>
      <c r="E179" s="103" t="s">
        <v>306</v>
      </c>
      <c r="F179" s="103">
        <v>725</v>
      </c>
      <c r="G179" s="103">
        <v>48</v>
      </c>
      <c r="H179" s="137" t="s">
        <v>975</v>
      </c>
      <c r="I179" s="103">
        <v>77</v>
      </c>
      <c r="K179" s="103" t="s">
        <v>364</v>
      </c>
      <c r="L179" s="133"/>
      <c r="M179" s="134">
        <v>5.5555555555555552E-2</v>
      </c>
      <c r="N179" s="134">
        <v>0.63402777777777775</v>
      </c>
      <c r="O179" s="133" t="s">
        <v>950</v>
      </c>
      <c r="Q179" s="100" t="s">
        <v>934</v>
      </c>
      <c r="R179" s="226" t="s">
        <v>986</v>
      </c>
      <c r="S179" s="491" t="str">
        <f t="shared" si="5"/>
        <v>x</v>
      </c>
      <c r="T179" s="492">
        <f>IFERROR(VLOOKUP(F179,'Freq-Chan'!C:D,2,FALSE),"x")</f>
        <v>151.72499999999999</v>
      </c>
      <c r="U179" s="110" t="s">
        <v>541</v>
      </c>
      <c r="V179" s="110" t="str">
        <f t="shared" si="6"/>
        <v>FWL</v>
      </c>
      <c r="W179" s="110" t="s">
        <v>541</v>
      </c>
      <c r="X179" s="110" t="s">
        <v>541</v>
      </c>
      <c r="Y179" s="110" t="str">
        <f>IFERROR(VLOOKUP(F179,'Freq-Chan'!C:E,3,FALSE),"na")</f>
        <v>F1845</v>
      </c>
      <c r="Z179" s="110" t="s">
        <v>541</v>
      </c>
      <c r="AA179" s="110" t="s">
        <v>541</v>
      </c>
      <c r="AB179" s="110" t="s">
        <v>541</v>
      </c>
      <c r="AC179" s="10" t="s">
        <v>541</v>
      </c>
      <c r="AD179" s="10" t="s">
        <v>541</v>
      </c>
    </row>
    <row r="180" spans="1:30" x14ac:dyDescent="0.2">
      <c r="A180" s="110">
        <v>179</v>
      </c>
      <c r="B180" s="132">
        <v>41812</v>
      </c>
      <c r="C180" s="117">
        <v>3</v>
      </c>
      <c r="D180" s="103" t="s">
        <v>177</v>
      </c>
      <c r="E180" s="103" t="s">
        <v>0</v>
      </c>
      <c r="H180" s="103"/>
      <c r="I180" s="103">
        <v>33</v>
      </c>
      <c r="K180" s="103" t="s">
        <v>364</v>
      </c>
      <c r="L180" s="133"/>
      <c r="M180" s="134">
        <v>2.0833333333333332E-2</v>
      </c>
      <c r="N180" s="134">
        <v>0.63472222222222219</v>
      </c>
      <c r="O180" s="133" t="s">
        <v>806</v>
      </c>
      <c r="Q180" s="100" t="s">
        <v>934</v>
      </c>
      <c r="R180" s="226" t="s">
        <v>986</v>
      </c>
      <c r="S180" s="491" t="str">
        <f t="shared" si="5"/>
        <v>x</v>
      </c>
      <c r="T180" s="492" t="str">
        <f>IFERROR(VLOOKUP(F180,'Freq-Chan'!C:D,2,FALSE),"x")</f>
        <v>x</v>
      </c>
      <c r="U180" s="110" t="s">
        <v>541</v>
      </c>
      <c r="V180" s="110" t="str">
        <f t="shared" si="6"/>
        <v>FWL</v>
      </c>
      <c r="W180" s="110" t="s">
        <v>541</v>
      </c>
      <c r="X180" s="110" t="s">
        <v>541</v>
      </c>
      <c r="Y180" s="110" t="str">
        <f>IFERROR(VLOOKUP(F180,'Freq-Chan'!C:E,3,FALSE),"na")</f>
        <v>na</v>
      </c>
      <c r="Z180" s="110" t="s">
        <v>541</v>
      </c>
      <c r="AA180" s="110" t="s">
        <v>541</v>
      </c>
      <c r="AB180" s="110" t="s">
        <v>541</v>
      </c>
      <c r="AC180" s="10" t="s">
        <v>541</v>
      </c>
      <c r="AD180" s="10" t="s">
        <v>541</v>
      </c>
    </row>
    <row r="181" spans="1:30" x14ac:dyDescent="0.2">
      <c r="A181" s="110">
        <v>180</v>
      </c>
      <c r="B181" s="132">
        <v>41812</v>
      </c>
      <c r="C181" s="117">
        <v>3</v>
      </c>
      <c r="D181" s="103" t="s">
        <v>2</v>
      </c>
      <c r="E181" s="103" t="s">
        <v>306</v>
      </c>
      <c r="F181" s="103">
        <v>725</v>
      </c>
      <c r="G181" s="103">
        <v>88</v>
      </c>
      <c r="H181" s="137" t="s">
        <v>976</v>
      </c>
      <c r="I181" s="103">
        <v>57</v>
      </c>
      <c r="K181" s="103" t="s">
        <v>364</v>
      </c>
      <c r="L181" s="133">
        <v>0.71111111111111114</v>
      </c>
      <c r="M181" s="134">
        <v>5.9027777777777783E-2</v>
      </c>
      <c r="N181" s="134">
        <v>0.71458333333333324</v>
      </c>
      <c r="O181" s="133" t="s">
        <v>950</v>
      </c>
      <c r="Q181" s="100" t="s">
        <v>934</v>
      </c>
      <c r="R181" s="226" t="s">
        <v>986</v>
      </c>
      <c r="S181" s="491">
        <f t="shared" si="5"/>
        <v>2.4884259000000001E-3</v>
      </c>
      <c r="T181" s="492">
        <f>IFERROR(VLOOKUP(F181,'Freq-Chan'!C:D,2,FALSE),"x")</f>
        <v>151.72499999999999</v>
      </c>
      <c r="U181" s="110" t="s">
        <v>541</v>
      </c>
      <c r="V181" s="110" t="str">
        <f t="shared" si="6"/>
        <v>FWL</v>
      </c>
      <c r="W181" s="110" t="s">
        <v>541</v>
      </c>
      <c r="X181" s="110" t="s">
        <v>541</v>
      </c>
      <c r="Y181" s="110" t="str">
        <f>IFERROR(VLOOKUP(F181,'Freq-Chan'!C:E,3,FALSE),"na")</f>
        <v>F1845</v>
      </c>
      <c r="Z181" s="110" t="s">
        <v>541</v>
      </c>
      <c r="AA181" s="110" t="s">
        <v>541</v>
      </c>
      <c r="AB181" s="110" t="s">
        <v>541</v>
      </c>
      <c r="AC181" s="10" t="s">
        <v>541</v>
      </c>
      <c r="AD181" s="10" t="s">
        <v>541</v>
      </c>
    </row>
    <row r="182" spans="1:30" x14ac:dyDescent="0.2">
      <c r="A182" s="110">
        <v>181</v>
      </c>
      <c r="B182" s="132">
        <v>41812</v>
      </c>
      <c r="C182" s="117">
        <v>3</v>
      </c>
      <c r="D182" s="103" t="s">
        <v>2</v>
      </c>
      <c r="E182" s="103" t="s">
        <v>306</v>
      </c>
      <c r="F182" s="103">
        <v>725</v>
      </c>
      <c r="G182" s="103">
        <v>93</v>
      </c>
      <c r="H182" s="137" t="s">
        <v>977</v>
      </c>
      <c r="I182" s="103">
        <v>89</v>
      </c>
      <c r="K182" s="103" t="s">
        <v>364</v>
      </c>
      <c r="L182" s="133">
        <v>0.73125000000000007</v>
      </c>
      <c r="M182" s="134">
        <v>0.10069444444444443</v>
      </c>
      <c r="N182" s="134">
        <v>0.73611111111111116</v>
      </c>
      <c r="O182" s="133" t="s">
        <v>950</v>
      </c>
      <c r="Q182" s="100" t="s">
        <v>934</v>
      </c>
      <c r="R182" s="226" t="s">
        <v>986</v>
      </c>
      <c r="S182" s="491">
        <f t="shared" si="5"/>
        <v>3.1828704000000001E-3</v>
      </c>
      <c r="T182" s="492">
        <f>IFERROR(VLOOKUP(F182,'Freq-Chan'!C:D,2,FALSE),"x")</f>
        <v>151.72499999999999</v>
      </c>
      <c r="U182" s="110" t="s">
        <v>541</v>
      </c>
      <c r="V182" s="110" t="str">
        <f t="shared" si="6"/>
        <v>FWL</v>
      </c>
      <c r="W182" s="110" t="s">
        <v>541</v>
      </c>
      <c r="X182" s="110" t="s">
        <v>541</v>
      </c>
      <c r="Y182" s="110" t="str">
        <f>IFERROR(VLOOKUP(F182,'Freq-Chan'!C:E,3,FALSE),"na")</f>
        <v>F1845</v>
      </c>
      <c r="Z182" s="110" t="s">
        <v>541</v>
      </c>
      <c r="AA182" s="110" t="s">
        <v>541</v>
      </c>
      <c r="AB182" s="110" t="s">
        <v>541</v>
      </c>
      <c r="AC182" s="10" t="s">
        <v>541</v>
      </c>
      <c r="AD182" s="10" t="s">
        <v>541</v>
      </c>
    </row>
    <row r="183" spans="1:30" x14ac:dyDescent="0.2">
      <c r="A183" s="110">
        <v>182</v>
      </c>
      <c r="B183" s="132">
        <v>41812</v>
      </c>
      <c r="C183" s="117">
        <v>3</v>
      </c>
      <c r="D183" s="103" t="s">
        <v>2</v>
      </c>
      <c r="E183" s="103" t="s">
        <v>306</v>
      </c>
      <c r="F183" s="103">
        <v>725</v>
      </c>
      <c r="G183" s="103">
        <v>55</v>
      </c>
      <c r="H183" s="137" t="s">
        <v>978</v>
      </c>
      <c r="I183" s="103">
        <v>74</v>
      </c>
      <c r="K183" s="103" t="s">
        <v>364</v>
      </c>
      <c r="L183" s="133"/>
      <c r="M183" s="134">
        <v>5.7638888888888885E-2</v>
      </c>
      <c r="N183" s="134">
        <v>0.78472222222222221</v>
      </c>
      <c r="O183" s="133" t="s">
        <v>806</v>
      </c>
      <c r="Q183" s="100" t="s">
        <v>934</v>
      </c>
      <c r="R183" s="226" t="s">
        <v>986</v>
      </c>
      <c r="S183" s="491" t="str">
        <f t="shared" si="5"/>
        <v>x</v>
      </c>
      <c r="T183" s="492">
        <f>IFERROR(VLOOKUP(F183,'Freq-Chan'!C:D,2,FALSE),"x")</f>
        <v>151.72499999999999</v>
      </c>
      <c r="U183" s="110" t="s">
        <v>541</v>
      </c>
      <c r="V183" s="110" t="str">
        <f t="shared" si="6"/>
        <v>FWL</v>
      </c>
      <c r="W183" s="110" t="s">
        <v>541</v>
      </c>
      <c r="X183" s="110" t="s">
        <v>541</v>
      </c>
      <c r="Y183" s="110" t="str">
        <f>IFERROR(VLOOKUP(F183,'Freq-Chan'!C:E,3,FALSE),"na")</f>
        <v>F1845</v>
      </c>
      <c r="Z183" s="110" t="s">
        <v>541</v>
      </c>
      <c r="AA183" s="110" t="s">
        <v>541</v>
      </c>
      <c r="AB183" s="110" t="s">
        <v>541</v>
      </c>
      <c r="AC183" s="10" t="s">
        <v>541</v>
      </c>
      <c r="AD183" s="10" t="s">
        <v>541</v>
      </c>
    </row>
    <row r="184" spans="1:30" x14ac:dyDescent="0.2">
      <c r="A184" s="110">
        <v>183</v>
      </c>
      <c r="B184" s="132">
        <v>41812</v>
      </c>
      <c r="C184" s="117">
        <v>3</v>
      </c>
      <c r="D184" s="103" t="s">
        <v>75</v>
      </c>
      <c r="E184" s="103" t="s">
        <v>798</v>
      </c>
      <c r="H184" s="103"/>
      <c r="J184" s="103">
        <v>41</v>
      </c>
      <c r="K184" s="103" t="s">
        <v>364</v>
      </c>
      <c r="L184" s="133"/>
      <c r="M184" s="134">
        <v>1.0416666666666666E-2</v>
      </c>
      <c r="N184" s="134">
        <v>0.78263888888888899</v>
      </c>
      <c r="O184" s="133" t="s">
        <v>806</v>
      </c>
      <c r="Q184" s="100" t="s">
        <v>934</v>
      </c>
      <c r="R184" s="226" t="s">
        <v>986</v>
      </c>
      <c r="S184" s="491" t="str">
        <f t="shared" si="5"/>
        <v>x</v>
      </c>
      <c r="T184" s="492" t="str">
        <f>IFERROR(VLOOKUP(F184,'Freq-Chan'!C:D,2,FALSE),"x")</f>
        <v>x</v>
      </c>
      <c r="U184" s="110" t="s">
        <v>541</v>
      </c>
      <c r="V184" s="110" t="str">
        <f t="shared" si="6"/>
        <v>FWL</v>
      </c>
      <c r="W184" s="110" t="s">
        <v>541</v>
      </c>
      <c r="X184" s="110" t="s">
        <v>541</v>
      </c>
      <c r="Y184" s="110" t="str">
        <f>IFERROR(VLOOKUP(F184,'Freq-Chan'!C:E,3,FALSE),"na")</f>
        <v>na</v>
      </c>
      <c r="Z184" s="110" t="s">
        <v>541</v>
      </c>
      <c r="AA184" s="110" t="s">
        <v>541</v>
      </c>
      <c r="AB184" s="110" t="s">
        <v>541</v>
      </c>
      <c r="AC184" s="10" t="s">
        <v>541</v>
      </c>
      <c r="AD184" s="10" t="s">
        <v>541</v>
      </c>
    </row>
    <row r="185" spans="1:30" x14ac:dyDescent="0.2">
      <c r="A185" s="110">
        <v>184</v>
      </c>
      <c r="B185" s="132">
        <v>41812</v>
      </c>
      <c r="C185" s="117">
        <v>3</v>
      </c>
      <c r="D185" s="103" t="s">
        <v>177</v>
      </c>
      <c r="E185" s="103" t="s">
        <v>0</v>
      </c>
      <c r="H185" s="103"/>
      <c r="I185" s="103">
        <v>34</v>
      </c>
      <c r="K185" s="103" t="s">
        <v>364</v>
      </c>
      <c r="L185" s="133"/>
      <c r="M185" s="134">
        <v>3.125E-2</v>
      </c>
      <c r="N185" s="134">
        <v>0.78611111111111109</v>
      </c>
      <c r="O185" s="133" t="s">
        <v>806</v>
      </c>
      <c r="P185" s="100" t="s">
        <v>776</v>
      </c>
      <c r="Q185" s="100" t="s">
        <v>934</v>
      </c>
      <c r="R185" s="226" t="s">
        <v>986</v>
      </c>
      <c r="S185" s="491" t="str">
        <f t="shared" si="5"/>
        <v>x</v>
      </c>
      <c r="T185" s="492" t="str">
        <f>IFERROR(VLOOKUP(F185,'Freq-Chan'!C:D,2,FALSE),"x")</f>
        <v>x</v>
      </c>
      <c r="U185" s="110" t="s">
        <v>541</v>
      </c>
      <c r="V185" s="110" t="str">
        <f t="shared" si="6"/>
        <v>FWL</v>
      </c>
      <c r="W185" s="110" t="s">
        <v>541</v>
      </c>
      <c r="X185" s="110" t="s">
        <v>541</v>
      </c>
      <c r="Y185" s="110" t="str">
        <f>IFERROR(VLOOKUP(F185,'Freq-Chan'!C:E,3,FALSE),"na")</f>
        <v>na</v>
      </c>
      <c r="Z185" s="110" t="s">
        <v>541</v>
      </c>
      <c r="AA185" s="110" t="s">
        <v>541</v>
      </c>
      <c r="AB185" s="110" t="s">
        <v>541</v>
      </c>
      <c r="AC185" s="10" t="s">
        <v>541</v>
      </c>
      <c r="AD185" s="10" t="s">
        <v>541</v>
      </c>
    </row>
    <row r="186" spans="1:30" x14ac:dyDescent="0.2">
      <c r="A186" s="110">
        <v>185</v>
      </c>
      <c r="B186" s="132">
        <v>41812</v>
      </c>
      <c r="C186" s="117">
        <v>3</v>
      </c>
      <c r="D186" s="103" t="s">
        <v>87</v>
      </c>
      <c r="E186" s="103" t="s">
        <v>798</v>
      </c>
      <c r="H186" s="103" t="s">
        <v>912</v>
      </c>
      <c r="J186" s="103">
        <v>43</v>
      </c>
      <c r="K186" s="103" t="s">
        <v>364</v>
      </c>
      <c r="L186" s="133"/>
      <c r="M186" s="134">
        <v>3.1944444444444449E-2</v>
      </c>
      <c r="N186" s="134">
        <v>0.84027777777777779</v>
      </c>
      <c r="O186" s="133" t="s">
        <v>805</v>
      </c>
      <c r="Q186" s="100" t="s">
        <v>985</v>
      </c>
      <c r="R186" s="226" t="s">
        <v>986</v>
      </c>
      <c r="S186" s="491" t="str">
        <f t="shared" si="5"/>
        <v>x</v>
      </c>
      <c r="T186" s="492" t="str">
        <f>IFERROR(VLOOKUP(F186,'Freq-Chan'!C:D,2,FALSE),"x")</f>
        <v>x</v>
      </c>
      <c r="U186" s="110" t="s">
        <v>541</v>
      </c>
      <c r="V186" s="110" t="str">
        <f t="shared" si="6"/>
        <v>FWL</v>
      </c>
      <c r="W186" s="110" t="s">
        <v>541</v>
      </c>
      <c r="X186" s="110" t="s">
        <v>541</v>
      </c>
      <c r="Y186" s="110" t="str">
        <f>IFERROR(VLOOKUP(F186,'Freq-Chan'!C:E,3,FALSE),"na")</f>
        <v>na</v>
      </c>
      <c r="Z186" s="110" t="s">
        <v>541</v>
      </c>
      <c r="AA186" s="110" t="s">
        <v>541</v>
      </c>
      <c r="AB186" s="110" t="s">
        <v>541</v>
      </c>
      <c r="AC186" s="10" t="s">
        <v>541</v>
      </c>
      <c r="AD186" s="10" t="s">
        <v>541</v>
      </c>
    </row>
    <row r="187" spans="1:30" x14ac:dyDescent="0.2">
      <c r="A187" s="110">
        <v>186</v>
      </c>
      <c r="B187" s="132">
        <v>41812</v>
      </c>
      <c r="C187" s="117">
        <v>3</v>
      </c>
      <c r="D187" s="103" t="s">
        <v>2</v>
      </c>
      <c r="E187" s="103" t="s">
        <v>306</v>
      </c>
      <c r="F187" s="103">
        <v>725</v>
      </c>
      <c r="G187" s="103">
        <v>99</v>
      </c>
      <c r="H187" s="137" t="s">
        <v>979</v>
      </c>
      <c r="I187" s="103">
        <v>65</v>
      </c>
      <c r="K187" s="103" t="s">
        <v>364</v>
      </c>
      <c r="L187" s="133"/>
      <c r="M187" s="134">
        <v>5.2083333333333336E-2</v>
      </c>
      <c r="N187" s="134">
        <v>0.84722222222222221</v>
      </c>
      <c r="O187" s="133" t="s">
        <v>803</v>
      </c>
      <c r="Q187" s="100" t="s">
        <v>985</v>
      </c>
      <c r="R187" s="226" t="s">
        <v>986</v>
      </c>
      <c r="S187" s="491" t="str">
        <f t="shared" si="5"/>
        <v>x</v>
      </c>
      <c r="T187" s="492">
        <f>IFERROR(VLOOKUP(F187,'Freq-Chan'!C:D,2,FALSE),"x")</f>
        <v>151.72499999999999</v>
      </c>
      <c r="U187" s="110" t="s">
        <v>541</v>
      </c>
      <c r="V187" s="110" t="str">
        <f t="shared" si="6"/>
        <v>FWL</v>
      </c>
      <c r="W187" s="110" t="s">
        <v>541</v>
      </c>
      <c r="X187" s="110" t="s">
        <v>541</v>
      </c>
      <c r="Y187" s="110" t="str">
        <f>IFERROR(VLOOKUP(F187,'Freq-Chan'!C:E,3,FALSE),"na")</f>
        <v>F1845</v>
      </c>
      <c r="Z187" s="110" t="s">
        <v>541</v>
      </c>
      <c r="AA187" s="110" t="s">
        <v>541</v>
      </c>
      <c r="AB187" s="110" t="s">
        <v>541</v>
      </c>
      <c r="AC187" s="10" t="s">
        <v>541</v>
      </c>
      <c r="AD187" s="10" t="s">
        <v>541</v>
      </c>
    </row>
    <row r="188" spans="1:30" x14ac:dyDescent="0.2">
      <c r="A188" s="110">
        <v>187</v>
      </c>
      <c r="B188" s="132">
        <v>41812</v>
      </c>
      <c r="C188" s="117">
        <v>3</v>
      </c>
      <c r="D188" s="103" t="s">
        <v>177</v>
      </c>
      <c r="E188" s="103" t="s">
        <v>0</v>
      </c>
      <c r="H188" s="103"/>
      <c r="I188" s="103">
        <v>33</v>
      </c>
      <c r="K188" s="103" t="s">
        <v>364</v>
      </c>
      <c r="L188" s="133"/>
      <c r="M188" s="134">
        <v>1.3194444444444444E-2</v>
      </c>
      <c r="N188" s="134">
        <v>0.84375</v>
      </c>
      <c r="O188" s="133" t="s">
        <v>803</v>
      </c>
      <c r="P188" s="100" t="s">
        <v>776</v>
      </c>
      <c r="Q188" s="100" t="s">
        <v>985</v>
      </c>
      <c r="R188" s="226" t="s">
        <v>986</v>
      </c>
      <c r="S188" s="491" t="str">
        <f t="shared" si="5"/>
        <v>x</v>
      </c>
      <c r="T188" s="492" t="str">
        <f>IFERROR(VLOOKUP(F188,'Freq-Chan'!C:D,2,FALSE),"x")</f>
        <v>x</v>
      </c>
      <c r="U188" s="110" t="s">
        <v>541</v>
      </c>
      <c r="V188" s="110" t="str">
        <f t="shared" si="6"/>
        <v>FWL</v>
      </c>
      <c r="W188" s="110" t="s">
        <v>541</v>
      </c>
      <c r="X188" s="110" t="s">
        <v>541</v>
      </c>
      <c r="Y188" s="110" t="str">
        <f>IFERROR(VLOOKUP(F188,'Freq-Chan'!C:E,3,FALSE),"na")</f>
        <v>na</v>
      </c>
      <c r="Z188" s="110" t="s">
        <v>541</v>
      </c>
      <c r="AA188" s="110" t="s">
        <v>541</v>
      </c>
      <c r="AB188" s="110" t="s">
        <v>541</v>
      </c>
      <c r="AC188" s="10" t="s">
        <v>541</v>
      </c>
      <c r="AD188" s="10" t="s">
        <v>541</v>
      </c>
    </row>
    <row r="189" spans="1:30" s="291" customFormat="1" x14ac:dyDescent="0.2">
      <c r="A189" s="493">
        <v>188</v>
      </c>
      <c r="B189" s="283">
        <v>41812</v>
      </c>
      <c r="C189" s="284">
        <v>3</v>
      </c>
      <c r="D189" s="285" t="s">
        <v>88</v>
      </c>
      <c r="E189" s="285" t="s">
        <v>798</v>
      </c>
      <c r="F189" s="285"/>
      <c r="G189" s="285"/>
      <c r="H189" s="285"/>
      <c r="I189" s="285"/>
      <c r="J189" s="285">
        <v>26</v>
      </c>
      <c r="K189" s="285" t="s">
        <v>364</v>
      </c>
      <c r="L189" s="286"/>
      <c r="M189" s="287">
        <v>2.2222222222222223E-2</v>
      </c>
      <c r="N189" s="287">
        <v>0.84861111111111109</v>
      </c>
      <c r="O189" s="286" t="s">
        <v>803</v>
      </c>
      <c r="P189" s="289"/>
      <c r="Q189" s="289" t="s">
        <v>985</v>
      </c>
      <c r="R189" s="290" t="s">
        <v>986</v>
      </c>
      <c r="S189" s="494" t="str">
        <f t="shared" si="5"/>
        <v>x</v>
      </c>
      <c r="T189" s="495" t="str">
        <f>IFERROR(VLOOKUP(F189,'Freq-Chan'!C:D,2,FALSE),"x")</f>
        <v>x</v>
      </c>
      <c r="U189" s="493" t="s">
        <v>541</v>
      </c>
      <c r="V189" s="493" t="str">
        <f t="shared" si="6"/>
        <v>FWL</v>
      </c>
      <c r="W189" s="493" t="s">
        <v>541</v>
      </c>
      <c r="X189" s="493" t="s">
        <v>541</v>
      </c>
      <c r="Y189" s="493" t="str">
        <f>IFERROR(VLOOKUP(F189,'Freq-Chan'!C:E,3,FALSE),"na")</f>
        <v>na</v>
      </c>
      <c r="Z189" s="493" t="s">
        <v>541</v>
      </c>
      <c r="AA189" s="493" t="s">
        <v>541</v>
      </c>
      <c r="AB189" s="493" t="s">
        <v>541</v>
      </c>
      <c r="AC189" s="291" t="s">
        <v>541</v>
      </c>
      <c r="AD189" s="291" t="s">
        <v>541</v>
      </c>
    </row>
    <row r="190" spans="1:30" x14ac:dyDescent="0.2">
      <c r="A190" s="110">
        <v>189</v>
      </c>
      <c r="B190" s="132">
        <v>41812</v>
      </c>
      <c r="C190" s="117">
        <v>3</v>
      </c>
      <c r="D190" s="103" t="s">
        <v>2</v>
      </c>
      <c r="E190" s="103" t="s">
        <v>306</v>
      </c>
      <c r="F190" s="103">
        <v>725</v>
      </c>
      <c r="G190" s="103">
        <v>52</v>
      </c>
      <c r="H190" s="137" t="s">
        <v>980</v>
      </c>
      <c r="I190" s="103">
        <v>56</v>
      </c>
      <c r="K190" s="103" t="s">
        <v>364</v>
      </c>
      <c r="L190" s="133"/>
      <c r="M190" s="134">
        <v>6.458333333333334E-2</v>
      </c>
      <c r="N190" s="134">
        <v>0.93819444444444444</v>
      </c>
      <c r="O190" s="133" t="s">
        <v>803</v>
      </c>
      <c r="Q190" s="100" t="s">
        <v>985</v>
      </c>
      <c r="R190" s="226" t="s">
        <v>986</v>
      </c>
      <c r="S190" s="491" t="str">
        <f t="shared" si="5"/>
        <v>x</v>
      </c>
      <c r="T190" s="492">
        <f>IFERROR(VLOOKUP(F190,'Freq-Chan'!C:D,2,FALSE),"x")</f>
        <v>151.72499999999999</v>
      </c>
      <c r="U190" s="110" t="s">
        <v>541</v>
      </c>
      <c r="V190" s="110" t="str">
        <f t="shared" si="6"/>
        <v>FWL</v>
      </c>
      <c r="W190" s="110" t="s">
        <v>541</v>
      </c>
      <c r="X190" s="110" t="s">
        <v>541</v>
      </c>
      <c r="Y190" s="110" t="str">
        <f>IFERROR(VLOOKUP(F190,'Freq-Chan'!C:E,3,FALSE),"na")</f>
        <v>F1845</v>
      </c>
      <c r="Z190" s="110" t="s">
        <v>541</v>
      </c>
      <c r="AA190" s="110" t="s">
        <v>541</v>
      </c>
      <c r="AB190" s="110" t="s">
        <v>541</v>
      </c>
      <c r="AC190" s="10" t="s">
        <v>541</v>
      </c>
      <c r="AD190" s="10" t="s">
        <v>541</v>
      </c>
    </row>
    <row r="191" spans="1:30" x14ac:dyDescent="0.2">
      <c r="A191" s="110">
        <v>190</v>
      </c>
      <c r="B191" s="132">
        <v>41812</v>
      </c>
      <c r="C191" s="117">
        <v>3</v>
      </c>
      <c r="D191" s="103" t="s">
        <v>2</v>
      </c>
      <c r="E191" s="103" t="s">
        <v>306</v>
      </c>
      <c r="H191" s="103"/>
      <c r="I191" s="103">
        <v>93</v>
      </c>
      <c r="K191" s="103" t="s">
        <v>364</v>
      </c>
      <c r="L191" s="133"/>
      <c r="M191" s="134">
        <v>5.0694444444444452E-2</v>
      </c>
      <c r="N191" s="134">
        <v>0.94236111111111109</v>
      </c>
      <c r="O191" s="133" t="s">
        <v>805</v>
      </c>
      <c r="P191" s="100" t="s">
        <v>982</v>
      </c>
      <c r="Q191" s="100" t="s">
        <v>985</v>
      </c>
      <c r="R191" s="226" t="s">
        <v>986</v>
      </c>
      <c r="S191" s="491" t="str">
        <f t="shared" si="5"/>
        <v>x</v>
      </c>
      <c r="T191" s="492" t="str">
        <f>IFERROR(VLOOKUP(F191,'Freq-Chan'!C:D,2,FALSE),"x")</f>
        <v>x</v>
      </c>
      <c r="U191" s="110" t="s">
        <v>541</v>
      </c>
      <c r="V191" s="110" t="str">
        <f t="shared" si="6"/>
        <v>FWL</v>
      </c>
      <c r="W191" s="110" t="s">
        <v>541</v>
      </c>
      <c r="X191" s="110" t="s">
        <v>541</v>
      </c>
      <c r="Y191" s="110" t="str">
        <f>IFERROR(VLOOKUP(F191,'Freq-Chan'!C:E,3,FALSE),"na")</f>
        <v>na</v>
      </c>
      <c r="Z191" s="110" t="s">
        <v>541</v>
      </c>
      <c r="AA191" s="110" t="s">
        <v>541</v>
      </c>
      <c r="AB191" s="110" t="s">
        <v>541</v>
      </c>
      <c r="AC191" s="10" t="s">
        <v>541</v>
      </c>
      <c r="AD191" s="10" t="s">
        <v>541</v>
      </c>
    </row>
    <row r="192" spans="1:30" s="291" customFormat="1" x14ac:dyDescent="0.2">
      <c r="A192" s="493">
        <v>191</v>
      </c>
      <c r="B192" s="283">
        <v>41812</v>
      </c>
      <c r="C192" s="284">
        <v>3</v>
      </c>
      <c r="D192" s="285" t="s">
        <v>177</v>
      </c>
      <c r="E192" s="285" t="s">
        <v>0</v>
      </c>
      <c r="F192" s="285">
        <v>917</v>
      </c>
      <c r="G192" s="285">
        <v>45</v>
      </c>
      <c r="H192" s="339" t="s">
        <v>981</v>
      </c>
      <c r="I192" s="285">
        <v>47</v>
      </c>
      <c r="J192" s="285"/>
      <c r="K192" s="285" t="s">
        <v>364</v>
      </c>
      <c r="L192" s="286"/>
      <c r="M192" s="287">
        <v>5.0694444444444452E-2</v>
      </c>
      <c r="N192" s="287">
        <v>0.97083333333333333</v>
      </c>
      <c r="O192" s="286" t="s">
        <v>803</v>
      </c>
      <c r="P192" s="289"/>
      <c r="Q192" s="289" t="s">
        <v>985</v>
      </c>
      <c r="R192" s="290" t="s">
        <v>986</v>
      </c>
      <c r="S192" s="494" t="str">
        <f t="shared" si="5"/>
        <v>x</v>
      </c>
      <c r="T192" s="495">
        <f>IFERROR(VLOOKUP(F192,'Freq-Chan'!C:D,2,FALSE),"x")</f>
        <v>151.917</v>
      </c>
      <c r="U192" s="493" t="s">
        <v>541</v>
      </c>
      <c r="V192" s="493" t="str">
        <f t="shared" si="6"/>
        <v>FWL</v>
      </c>
      <c r="W192" s="493" t="s">
        <v>541</v>
      </c>
      <c r="X192" s="493" t="s">
        <v>541</v>
      </c>
      <c r="Y192" s="493" t="str">
        <f>IFERROR(VLOOKUP(F192,'Freq-Chan'!C:E,3,FALSE),"na")</f>
        <v>F1835</v>
      </c>
      <c r="Z192" s="493" t="s">
        <v>541</v>
      </c>
      <c r="AA192" s="493" t="s">
        <v>541</v>
      </c>
      <c r="AB192" s="493" t="s">
        <v>541</v>
      </c>
      <c r="AC192" s="291" t="s">
        <v>541</v>
      </c>
      <c r="AD192" s="291" t="s">
        <v>541</v>
      </c>
    </row>
    <row r="193" spans="1:30" x14ac:dyDescent="0.2">
      <c r="A193" s="110">
        <v>192</v>
      </c>
      <c r="B193" s="132">
        <v>41813</v>
      </c>
      <c r="C193" s="117">
        <v>1</v>
      </c>
      <c r="D193" s="103" t="s">
        <v>2</v>
      </c>
      <c r="E193" s="103" t="s">
        <v>306</v>
      </c>
      <c r="F193" s="103">
        <v>725</v>
      </c>
      <c r="G193" s="103">
        <v>16</v>
      </c>
      <c r="H193" s="137" t="s">
        <v>1019</v>
      </c>
      <c r="I193" s="103">
        <v>71</v>
      </c>
      <c r="K193" s="103" t="s">
        <v>364</v>
      </c>
      <c r="L193" s="133">
        <v>0.26874999999999999</v>
      </c>
      <c r="M193" s="134">
        <v>4.9999999999999996E-2</v>
      </c>
      <c r="N193" s="134">
        <v>0.27291666666666664</v>
      </c>
      <c r="O193" s="133" t="s">
        <v>1033</v>
      </c>
      <c r="Q193" s="100" t="s">
        <v>1004</v>
      </c>
      <c r="R193" s="226" t="s">
        <v>1017</v>
      </c>
      <c r="S193" s="491">
        <f t="shared" si="5"/>
        <v>3.3333333000000001E-3</v>
      </c>
      <c r="T193" s="492">
        <f>IFERROR(VLOOKUP(F193,'Freq-Chan'!C:D,2,FALSE),"x")</f>
        <v>151.72499999999999</v>
      </c>
      <c r="U193" s="110" t="s">
        <v>541</v>
      </c>
      <c r="V193" s="110" t="str">
        <f t="shared" si="6"/>
        <v>FWL</v>
      </c>
      <c r="W193" s="110" t="s">
        <v>541</v>
      </c>
      <c r="X193" s="110" t="s">
        <v>541</v>
      </c>
      <c r="Y193" s="110" t="str">
        <f>IFERROR(VLOOKUP(F193,'Freq-Chan'!C:E,3,FALSE),"na")</f>
        <v>F1845</v>
      </c>
      <c r="Z193" s="110" t="s">
        <v>541</v>
      </c>
      <c r="AA193" s="110" t="s">
        <v>541</v>
      </c>
      <c r="AB193" s="110" t="s">
        <v>541</v>
      </c>
      <c r="AC193" s="10" t="s">
        <v>541</v>
      </c>
      <c r="AD193" s="10" t="s">
        <v>541</v>
      </c>
    </row>
    <row r="194" spans="1:30" x14ac:dyDescent="0.2">
      <c r="A194" s="110">
        <v>193</v>
      </c>
      <c r="B194" s="132">
        <v>41813</v>
      </c>
      <c r="C194" s="117">
        <v>1</v>
      </c>
      <c r="D194" s="103" t="s">
        <v>177</v>
      </c>
      <c r="E194" s="103" t="s">
        <v>0</v>
      </c>
      <c r="H194" s="103"/>
      <c r="I194" s="103">
        <v>34</v>
      </c>
      <c r="K194" s="103" t="s">
        <v>1032</v>
      </c>
      <c r="L194" s="133"/>
      <c r="M194" s="134">
        <v>1.3888888888888888E-2</v>
      </c>
      <c r="N194" s="134">
        <v>0.3263888888888889</v>
      </c>
      <c r="O194" s="133" t="s">
        <v>1033</v>
      </c>
      <c r="Q194" s="100" t="s">
        <v>1004</v>
      </c>
      <c r="R194" s="226" t="s">
        <v>1017</v>
      </c>
      <c r="S194" s="491" t="str">
        <f t="shared" si="5"/>
        <v>x</v>
      </c>
      <c r="T194" s="492" t="str">
        <f>IFERROR(VLOOKUP(F194,'Freq-Chan'!C:D,2,FALSE),"x")</f>
        <v>x</v>
      </c>
      <c r="U194" s="110" t="s">
        <v>541</v>
      </c>
      <c r="V194" s="110" t="str">
        <f t="shared" si="6"/>
        <v>FWL</v>
      </c>
      <c r="W194" s="110" t="s">
        <v>541</v>
      </c>
      <c r="X194" s="110" t="s">
        <v>541</v>
      </c>
      <c r="Y194" s="110" t="str">
        <f>IFERROR(VLOOKUP(F194,'Freq-Chan'!C:E,3,FALSE),"na")</f>
        <v>na</v>
      </c>
      <c r="Z194" s="110" t="s">
        <v>541</v>
      </c>
      <c r="AA194" s="110" t="s">
        <v>541</v>
      </c>
      <c r="AB194" s="110" t="s">
        <v>541</v>
      </c>
      <c r="AC194" s="10" t="s">
        <v>541</v>
      </c>
      <c r="AD194" s="10" t="s">
        <v>541</v>
      </c>
    </row>
    <row r="195" spans="1:30" x14ac:dyDescent="0.2">
      <c r="A195" s="110">
        <v>194</v>
      </c>
      <c r="B195" s="132">
        <v>41813</v>
      </c>
      <c r="C195" s="117">
        <v>1</v>
      </c>
      <c r="D195" s="103" t="s">
        <v>2</v>
      </c>
      <c r="E195" s="103" t="s">
        <v>306</v>
      </c>
      <c r="F195" s="103">
        <v>725</v>
      </c>
      <c r="G195" s="103">
        <v>66</v>
      </c>
      <c r="H195" s="137" t="s">
        <v>1020</v>
      </c>
      <c r="I195" s="103">
        <v>88</v>
      </c>
      <c r="K195" s="103" t="s">
        <v>365</v>
      </c>
      <c r="L195" s="133"/>
      <c r="M195" s="134">
        <v>5.2083333333333336E-2</v>
      </c>
      <c r="N195" s="134">
        <v>0.4375</v>
      </c>
      <c r="O195" s="133" t="s">
        <v>1034</v>
      </c>
      <c r="Q195" s="100" t="s">
        <v>1039</v>
      </c>
      <c r="R195" s="226" t="s">
        <v>1017</v>
      </c>
      <c r="S195" s="491" t="str">
        <f t="shared" ref="S195:S258" si="7">IF(IF(OR(L195=0,N195=0),"x",ROUND(N195-L195-(M195*24)/(24*60),10))&lt;0,0,IF(OR(L195=0,N195=0),"x",ROUND(N195-L195-(M195*24)/(24*60),10)))</f>
        <v>x</v>
      </c>
      <c r="T195" s="492">
        <f>IFERROR(VLOOKUP(F195,'Freq-Chan'!C:D,2,FALSE),"x")</f>
        <v>151.72499999999999</v>
      </c>
      <c r="U195" s="110" t="s">
        <v>541</v>
      </c>
      <c r="V195" s="110" t="str">
        <f t="shared" ref="V195:V258" si="8">IF(OR(C195=1,C195=2,C195=3),"FWL","NRD")</f>
        <v>FWL</v>
      </c>
      <c r="W195" s="110" t="s">
        <v>541</v>
      </c>
      <c r="X195" s="110" t="s">
        <v>541</v>
      </c>
      <c r="Y195" s="110" t="str">
        <f>IFERROR(VLOOKUP(F195,'Freq-Chan'!C:E,3,FALSE),"na")</f>
        <v>F1845</v>
      </c>
      <c r="Z195" s="110" t="s">
        <v>541</v>
      </c>
      <c r="AA195" s="110" t="s">
        <v>541</v>
      </c>
      <c r="AB195" s="110" t="s">
        <v>541</v>
      </c>
      <c r="AC195" s="10" t="s">
        <v>541</v>
      </c>
      <c r="AD195" s="10" t="s">
        <v>541</v>
      </c>
    </row>
    <row r="196" spans="1:30" x14ac:dyDescent="0.2">
      <c r="A196" s="110">
        <v>195</v>
      </c>
      <c r="B196" s="132">
        <v>41813</v>
      </c>
      <c r="C196" s="117">
        <v>1</v>
      </c>
      <c r="D196" s="103" t="s">
        <v>2</v>
      </c>
      <c r="E196" s="103" t="s">
        <v>306</v>
      </c>
      <c r="F196" s="103">
        <v>684</v>
      </c>
      <c r="G196" s="103">
        <v>98</v>
      </c>
      <c r="H196" s="137" t="s">
        <v>1021</v>
      </c>
      <c r="I196" s="103">
        <v>65</v>
      </c>
      <c r="K196" s="103" t="s">
        <v>365</v>
      </c>
      <c r="L196" s="133"/>
      <c r="M196" s="134">
        <v>5.7638888888888885E-2</v>
      </c>
      <c r="N196" s="134">
        <v>0.54861111111111105</v>
      </c>
      <c r="O196" s="133" t="s">
        <v>805</v>
      </c>
      <c r="Q196" s="100" t="s">
        <v>1039</v>
      </c>
      <c r="R196" s="226" t="s">
        <v>1017</v>
      </c>
      <c r="S196" s="491" t="str">
        <f t="shared" si="7"/>
        <v>x</v>
      </c>
      <c r="T196" s="492">
        <f>IFERROR(VLOOKUP(F196,'Freq-Chan'!C:D,2,FALSE),"x")</f>
        <v>151.684</v>
      </c>
      <c r="U196" s="110" t="s">
        <v>541</v>
      </c>
      <c r="V196" s="110" t="str">
        <f t="shared" si="8"/>
        <v>FWL</v>
      </c>
      <c r="W196" s="110" t="s">
        <v>541</v>
      </c>
      <c r="X196" s="110" t="s">
        <v>541</v>
      </c>
      <c r="Y196" s="110" t="str">
        <f>IFERROR(VLOOKUP(F196,'Freq-Chan'!C:E,3,FALSE),"na")</f>
        <v>F1845</v>
      </c>
      <c r="Z196" s="110" t="s">
        <v>541</v>
      </c>
      <c r="AA196" s="110" t="s">
        <v>541</v>
      </c>
      <c r="AB196" s="110" t="s">
        <v>541</v>
      </c>
      <c r="AC196" s="10" t="s">
        <v>541</v>
      </c>
      <c r="AD196" s="10" t="s">
        <v>541</v>
      </c>
    </row>
    <row r="197" spans="1:30" x14ac:dyDescent="0.2">
      <c r="A197" s="110">
        <v>196</v>
      </c>
      <c r="B197" s="132">
        <v>41813</v>
      </c>
      <c r="C197" s="117">
        <v>1</v>
      </c>
      <c r="D197" s="103" t="s">
        <v>2</v>
      </c>
      <c r="E197" s="103" t="s">
        <v>306</v>
      </c>
      <c r="H197" s="103"/>
      <c r="I197" s="103">
        <v>60</v>
      </c>
      <c r="K197" s="103" t="s">
        <v>364</v>
      </c>
      <c r="L197" s="133"/>
      <c r="M197" s="134"/>
      <c r="N197" s="134"/>
      <c r="O197" s="133" t="s">
        <v>1033</v>
      </c>
      <c r="P197" s="100" t="s">
        <v>1035</v>
      </c>
      <c r="Q197" s="100" t="s">
        <v>1010</v>
      </c>
      <c r="R197" s="226" t="s">
        <v>1017</v>
      </c>
      <c r="S197" s="491" t="str">
        <f t="shared" si="7"/>
        <v>x</v>
      </c>
      <c r="T197" s="492" t="str">
        <f>IFERROR(VLOOKUP(F197,'Freq-Chan'!C:D,2,FALSE),"x")</f>
        <v>x</v>
      </c>
      <c r="U197" s="110" t="s">
        <v>541</v>
      </c>
      <c r="V197" s="110" t="str">
        <f t="shared" si="8"/>
        <v>FWL</v>
      </c>
      <c r="W197" s="110" t="s">
        <v>541</v>
      </c>
      <c r="X197" s="110" t="s">
        <v>541</v>
      </c>
      <c r="Y197" s="110" t="str">
        <f>IFERROR(VLOOKUP(F197,'Freq-Chan'!C:E,3,FALSE),"na")</f>
        <v>na</v>
      </c>
      <c r="Z197" s="110" t="s">
        <v>541</v>
      </c>
      <c r="AA197" s="110" t="s">
        <v>541</v>
      </c>
      <c r="AB197" s="110" t="s">
        <v>541</v>
      </c>
      <c r="AC197" s="10" t="s">
        <v>541</v>
      </c>
      <c r="AD197" s="10" t="s">
        <v>541</v>
      </c>
    </row>
    <row r="198" spans="1:30" x14ac:dyDescent="0.2">
      <c r="A198" s="110">
        <v>197</v>
      </c>
      <c r="B198" s="132">
        <v>41813</v>
      </c>
      <c r="C198" s="117">
        <v>1</v>
      </c>
      <c r="D198" s="103" t="s">
        <v>177</v>
      </c>
      <c r="E198" s="103" t="s">
        <v>0</v>
      </c>
      <c r="H198" s="103"/>
      <c r="I198" s="103">
        <v>37</v>
      </c>
      <c r="K198" s="103" t="s">
        <v>1032</v>
      </c>
      <c r="L198" s="133"/>
      <c r="M198" s="134">
        <v>2.7777777777777776E-2</v>
      </c>
      <c r="N198" s="134">
        <v>0.78541666666666676</v>
      </c>
      <c r="O198" s="133" t="s">
        <v>1036</v>
      </c>
      <c r="Q198" s="100" t="s">
        <v>1010</v>
      </c>
      <c r="R198" s="226" t="s">
        <v>1017</v>
      </c>
      <c r="S198" s="491" t="str">
        <f t="shared" si="7"/>
        <v>x</v>
      </c>
      <c r="T198" s="492" t="str">
        <f>IFERROR(VLOOKUP(F198,'Freq-Chan'!C:D,2,FALSE),"x")</f>
        <v>x</v>
      </c>
      <c r="U198" s="110" t="s">
        <v>541</v>
      </c>
      <c r="V198" s="110" t="str">
        <f t="shared" si="8"/>
        <v>FWL</v>
      </c>
      <c r="W198" s="110" t="s">
        <v>541</v>
      </c>
      <c r="X198" s="110" t="s">
        <v>541</v>
      </c>
      <c r="Y198" s="110" t="str">
        <f>IFERROR(VLOOKUP(F198,'Freq-Chan'!C:E,3,FALSE),"na")</f>
        <v>na</v>
      </c>
      <c r="Z198" s="110" t="s">
        <v>541</v>
      </c>
      <c r="AA198" s="110" t="s">
        <v>541</v>
      </c>
      <c r="AB198" s="110" t="s">
        <v>541</v>
      </c>
      <c r="AC198" s="10" t="s">
        <v>541</v>
      </c>
      <c r="AD198" s="10" t="s">
        <v>541</v>
      </c>
    </row>
    <row r="199" spans="1:30" x14ac:dyDescent="0.2">
      <c r="A199" s="110">
        <v>198</v>
      </c>
      <c r="B199" s="132">
        <v>41813</v>
      </c>
      <c r="C199" s="117">
        <v>1</v>
      </c>
      <c r="D199" s="103" t="s">
        <v>2</v>
      </c>
      <c r="E199" s="103" t="s">
        <v>306</v>
      </c>
      <c r="F199" s="103">
        <v>725</v>
      </c>
      <c r="G199" s="103">
        <v>1</v>
      </c>
      <c r="H199" s="137" t="s">
        <v>1022</v>
      </c>
      <c r="I199" s="103">
        <v>78</v>
      </c>
      <c r="K199" s="103" t="s">
        <v>364</v>
      </c>
      <c r="L199" s="133"/>
      <c r="M199" s="134">
        <v>6.3888888888888884E-2</v>
      </c>
      <c r="N199" s="134">
        <v>0.87916666666666676</v>
      </c>
      <c r="O199" s="133" t="s">
        <v>803</v>
      </c>
      <c r="Q199" s="100" t="s">
        <v>1009</v>
      </c>
      <c r="R199" s="226" t="s">
        <v>1017</v>
      </c>
      <c r="S199" s="491" t="str">
        <f t="shared" si="7"/>
        <v>x</v>
      </c>
      <c r="T199" s="492">
        <f>IFERROR(VLOOKUP(F199,'Freq-Chan'!C:D,2,FALSE),"x")</f>
        <v>151.72499999999999</v>
      </c>
      <c r="U199" s="110" t="s">
        <v>541</v>
      </c>
      <c r="V199" s="110" t="str">
        <f t="shared" si="8"/>
        <v>FWL</v>
      </c>
      <c r="W199" s="110" t="s">
        <v>541</v>
      </c>
      <c r="X199" s="110" t="s">
        <v>541</v>
      </c>
      <c r="Y199" s="110" t="str">
        <f>IFERROR(VLOOKUP(F199,'Freq-Chan'!C:E,3,FALSE),"na")</f>
        <v>F1845</v>
      </c>
      <c r="Z199" s="110" t="s">
        <v>541</v>
      </c>
      <c r="AA199" s="110" t="s">
        <v>541</v>
      </c>
      <c r="AB199" s="110" t="s">
        <v>541</v>
      </c>
      <c r="AC199" s="10" t="s">
        <v>541</v>
      </c>
      <c r="AD199" s="10" t="s">
        <v>541</v>
      </c>
    </row>
    <row r="200" spans="1:30" s="291" customFormat="1" x14ac:dyDescent="0.2">
      <c r="A200" s="493">
        <v>199</v>
      </c>
      <c r="B200" s="283">
        <v>41813</v>
      </c>
      <c r="C200" s="284">
        <v>1</v>
      </c>
      <c r="D200" s="285" t="s">
        <v>2</v>
      </c>
      <c r="E200" s="285" t="s">
        <v>306</v>
      </c>
      <c r="F200" s="285">
        <v>684</v>
      </c>
      <c r="G200" s="285">
        <v>3</v>
      </c>
      <c r="H200" s="339" t="s">
        <v>1023</v>
      </c>
      <c r="I200" s="285">
        <v>64</v>
      </c>
      <c r="J200" s="285"/>
      <c r="K200" s="285" t="s">
        <v>364</v>
      </c>
      <c r="L200" s="286"/>
      <c r="M200" s="287">
        <v>7.3611111111111113E-2</v>
      </c>
      <c r="N200" s="287">
        <v>0.94166666666666676</v>
      </c>
      <c r="O200" s="286" t="s">
        <v>805</v>
      </c>
      <c r="P200" s="289"/>
      <c r="Q200" s="289" t="s">
        <v>1009</v>
      </c>
      <c r="R200" s="290" t="s">
        <v>1017</v>
      </c>
      <c r="S200" s="494" t="str">
        <f t="shared" si="7"/>
        <v>x</v>
      </c>
      <c r="T200" s="495">
        <f>IFERROR(VLOOKUP(F200,'Freq-Chan'!C:D,2,FALSE),"x")</f>
        <v>151.684</v>
      </c>
      <c r="U200" s="493" t="s">
        <v>541</v>
      </c>
      <c r="V200" s="493" t="str">
        <f t="shared" si="8"/>
        <v>FWL</v>
      </c>
      <c r="W200" s="493" t="s">
        <v>541</v>
      </c>
      <c r="X200" s="493" t="s">
        <v>541</v>
      </c>
      <c r="Y200" s="493" t="str">
        <f>IFERROR(VLOOKUP(F200,'Freq-Chan'!C:E,3,FALSE),"na")</f>
        <v>F1845</v>
      </c>
      <c r="Z200" s="493" t="s">
        <v>541</v>
      </c>
      <c r="AA200" s="493" t="s">
        <v>541</v>
      </c>
      <c r="AB200" s="493" t="s">
        <v>541</v>
      </c>
      <c r="AC200" s="291" t="s">
        <v>541</v>
      </c>
      <c r="AD200" s="291" t="s">
        <v>541</v>
      </c>
    </row>
    <row r="201" spans="1:30" x14ac:dyDescent="0.2">
      <c r="A201" s="110">
        <v>200</v>
      </c>
      <c r="B201" s="132">
        <v>41813</v>
      </c>
      <c r="C201" s="117">
        <v>2</v>
      </c>
      <c r="D201" s="103" t="s">
        <v>2</v>
      </c>
      <c r="E201" s="103" t="s">
        <v>306</v>
      </c>
      <c r="F201" s="103">
        <v>725</v>
      </c>
      <c r="G201" s="103">
        <v>42</v>
      </c>
      <c r="H201" s="137" t="s">
        <v>1024</v>
      </c>
      <c r="I201" s="103">
        <v>79</v>
      </c>
      <c r="K201" s="103" t="s">
        <v>364</v>
      </c>
      <c r="L201" s="133"/>
      <c r="M201" s="134">
        <v>4.9999999999999996E-2</v>
      </c>
      <c r="N201" s="134">
        <v>0.38958333333333334</v>
      </c>
      <c r="O201" s="133" t="s">
        <v>950</v>
      </c>
      <c r="Q201" s="100" t="s">
        <v>1004</v>
      </c>
      <c r="R201" s="226" t="s">
        <v>1017</v>
      </c>
      <c r="S201" s="491" t="str">
        <f t="shared" si="7"/>
        <v>x</v>
      </c>
      <c r="T201" s="492">
        <f>IFERROR(VLOOKUP(F201,'Freq-Chan'!C:D,2,FALSE),"x")</f>
        <v>151.72499999999999</v>
      </c>
      <c r="U201" s="110" t="s">
        <v>541</v>
      </c>
      <c r="V201" s="110" t="str">
        <f t="shared" si="8"/>
        <v>FWL</v>
      </c>
      <c r="W201" s="110" t="s">
        <v>541</v>
      </c>
      <c r="X201" s="110" t="s">
        <v>541</v>
      </c>
      <c r="Y201" s="110" t="str">
        <f>IFERROR(VLOOKUP(F201,'Freq-Chan'!C:E,3,FALSE),"na")</f>
        <v>F1845</v>
      </c>
      <c r="Z201" s="110" t="s">
        <v>541</v>
      </c>
      <c r="AA201" s="110" t="s">
        <v>541</v>
      </c>
      <c r="AB201" s="110" t="s">
        <v>541</v>
      </c>
      <c r="AC201" s="10" t="s">
        <v>541</v>
      </c>
      <c r="AD201" s="10" t="s">
        <v>541</v>
      </c>
    </row>
    <row r="202" spans="1:30" x14ac:dyDescent="0.2">
      <c r="A202" s="110">
        <v>201</v>
      </c>
      <c r="B202" s="132">
        <v>41813</v>
      </c>
      <c r="C202" s="117">
        <v>2</v>
      </c>
      <c r="D202" s="103" t="s">
        <v>2</v>
      </c>
      <c r="E202" s="103" t="s">
        <v>306</v>
      </c>
      <c r="F202" s="103">
        <v>684</v>
      </c>
      <c r="G202" s="103">
        <v>44</v>
      </c>
      <c r="H202" s="137" t="s">
        <v>1025</v>
      </c>
      <c r="I202" s="103">
        <v>83</v>
      </c>
      <c r="K202" s="103" t="s">
        <v>364</v>
      </c>
      <c r="L202" s="133"/>
      <c r="M202" s="134">
        <v>8.1250000000000003E-2</v>
      </c>
      <c r="N202" s="134">
        <v>0.74375000000000002</v>
      </c>
      <c r="O202" s="133" t="s">
        <v>1033</v>
      </c>
      <c r="Q202" s="100" t="s">
        <v>1008</v>
      </c>
      <c r="R202" s="226" t="s">
        <v>1017</v>
      </c>
      <c r="S202" s="491" t="str">
        <f t="shared" si="7"/>
        <v>x</v>
      </c>
      <c r="T202" s="492">
        <f>IFERROR(VLOOKUP(F202,'Freq-Chan'!C:D,2,FALSE),"x")</f>
        <v>151.684</v>
      </c>
      <c r="U202" s="110" t="s">
        <v>541</v>
      </c>
      <c r="V202" s="110" t="str">
        <f t="shared" si="8"/>
        <v>FWL</v>
      </c>
      <c r="W202" s="110" t="s">
        <v>541</v>
      </c>
      <c r="X202" s="110" t="s">
        <v>541</v>
      </c>
      <c r="Y202" s="110" t="str">
        <f>IFERROR(VLOOKUP(F202,'Freq-Chan'!C:E,3,FALSE),"na")</f>
        <v>F1845</v>
      </c>
      <c r="Z202" s="110" t="s">
        <v>541</v>
      </c>
      <c r="AA202" s="110" t="s">
        <v>541</v>
      </c>
      <c r="AB202" s="110" t="s">
        <v>541</v>
      </c>
      <c r="AC202" s="10" t="s">
        <v>541</v>
      </c>
      <c r="AD202" s="10" t="s">
        <v>541</v>
      </c>
    </row>
    <row r="203" spans="1:30" x14ac:dyDescent="0.2">
      <c r="A203" s="110">
        <v>202</v>
      </c>
      <c r="B203" s="132">
        <v>41813</v>
      </c>
      <c r="C203" s="117">
        <v>2</v>
      </c>
      <c r="D203" s="103" t="s">
        <v>2</v>
      </c>
      <c r="E203" s="103" t="s">
        <v>306</v>
      </c>
      <c r="F203" s="103">
        <v>684</v>
      </c>
      <c r="G203" s="103">
        <v>55</v>
      </c>
      <c r="H203" s="137" t="s">
        <v>1026</v>
      </c>
      <c r="I203" s="103">
        <v>63</v>
      </c>
      <c r="K203" s="103" t="s">
        <v>1032</v>
      </c>
      <c r="L203" s="133"/>
      <c r="M203" s="134">
        <v>7.6388888888888895E-2</v>
      </c>
      <c r="N203" s="134">
        <v>0.75</v>
      </c>
      <c r="O203" s="133" t="s">
        <v>1036</v>
      </c>
      <c r="Q203" s="100" t="s">
        <v>1008</v>
      </c>
      <c r="R203" s="226" t="s">
        <v>1017</v>
      </c>
      <c r="S203" s="491" t="str">
        <f t="shared" si="7"/>
        <v>x</v>
      </c>
      <c r="T203" s="492">
        <f>IFERROR(VLOOKUP(F203,'Freq-Chan'!C:D,2,FALSE),"x")</f>
        <v>151.684</v>
      </c>
      <c r="U203" s="110" t="s">
        <v>541</v>
      </c>
      <c r="V203" s="110" t="str">
        <f t="shared" si="8"/>
        <v>FWL</v>
      </c>
      <c r="W203" s="110" t="s">
        <v>541</v>
      </c>
      <c r="X203" s="110" t="s">
        <v>541</v>
      </c>
      <c r="Y203" s="110" t="str">
        <f>IFERROR(VLOOKUP(F203,'Freq-Chan'!C:E,3,FALSE),"na")</f>
        <v>F1845</v>
      </c>
      <c r="Z203" s="110" t="s">
        <v>541</v>
      </c>
      <c r="AA203" s="110" t="s">
        <v>541</v>
      </c>
      <c r="AB203" s="110" t="s">
        <v>541</v>
      </c>
      <c r="AC203" s="10" t="s">
        <v>541</v>
      </c>
      <c r="AD203" s="10" t="s">
        <v>541</v>
      </c>
    </row>
    <row r="204" spans="1:30" x14ac:dyDescent="0.2">
      <c r="A204" s="110">
        <v>203</v>
      </c>
      <c r="B204" s="132">
        <v>41813</v>
      </c>
      <c r="C204" s="117">
        <v>2</v>
      </c>
      <c r="D204" s="103" t="s">
        <v>2</v>
      </c>
      <c r="E204" s="103" t="s">
        <v>306</v>
      </c>
      <c r="F204" s="103">
        <v>684</v>
      </c>
      <c r="G204" s="103">
        <v>56</v>
      </c>
      <c r="H204" s="137" t="s">
        <v>1027</v>
      </c>
      <c r="I204" s="103">
        <v>62</v>
      </c>
      <c r="K204" s="103" t="s">
        <v>364</v>
      </c>
      <c r="L204" s="133">
        <v>0.75</v>
      </c>
      <c r="M204" s="134">
        <v>6.9444444444444434E-2</v>
      </c>
      <c r="N204" s="134">
        <v>0.75347222222222221</v>
      </c>
      <c r="O204" s="133" t="s">
        <v>1036</v>
      </c>
      <c r="Q204" s="100" t="s">
        <v>1008</v>
      </c>
      <c r="R204" s="226" t="s">
        <v>1017</v>
      </c>
      <c r="S204" s="491">
        <f t="shared" si="7"/>
        <v>2.3148147999999999E-3</v>
      </c>
      <c r="T204" s="492">
        <f>IFERROR(VLOOKUP(F204,'Freq-Chan'!C:D,2,FALSE),"x")</f>
        <v>151.684</v>
      </c>
      <c r="U204" s="110" t="s">
        <v>541</v>
      </c>
      <c r="V204" s="110" t="str">
        <f t="shared" si="8"/>
        <v>FWL</v>
      </c>
      <c r="W204" s="110" t="s">
        <v>541</v>
      </c>
      <c r="X204" s="110" t="s">
        <v>541</v>
      </c>
      <c r="Y204" s="110" t="str">
        <f>IFERROR(VLOOKUP(F204,'Freq-Chan'!C:E,3,FALSE),"na")</f>
        <v>F1845</v>
      </c>
      <c r="Z204" s="110" t="s">
        <v>541</v>
      </c>
      <c r="AA204" s="110" t="s">
        <v>541</v>
      </c>
      <c r="AB204" s="110" t="s">
        <v>541</v>
      </c>
      <c r="AC204" s="10" t="s">
        <v>541</v>
      </c>
      <c r="AD204" s="10" t="s">
        <v>541</v>
      </c>
    </row>
    <row r="205" spans="1:30" x14ac:dyDescent="0.2">
      <c r="A205" s="110">
        <v>204</v>
      </c>
      <c r="B205" s="132">
        <v>41813</v>
      </c>
      <c r="C205" s="117">
        <v>2</v>
      </c>
      <c r="D205" s="103" t="s">
        <v>2</v>
      </c>
      <c r="E205" s="103" t="s">
        <v>306</v>
      </c>
      <c r="F205" s="103">
        <v>725</v>
      </c>
      <c r="G205" s="103">
        <v>14</v>
      </c>
      <c r="H205" s="137" t="s">
        <v>1028</v>
      </c>
      <c r="I205" s="103">
        <v>63</v>
      </c>
      <c r="K205" s="103" t="s">
        <v>364</v>
      </c>
      <c r="L205" s="133"/>
      <c r="M205" s="134">
        <v>5.2083333333333336E-2</v>
      </c>
      <c r="N205" s="134">
        <v>0.80625000000000002</v>
      </c>
      <c r="O205" s="133" t="s">
        <v>805</v>
      </c>
      <c r="Q205" s="100" t="s">
        <v>1009</v>
      </c>
      <c r="R205" s="226" t="s">
        <v>1017</v>
      </c>
      <c r="S205" s="491" t="str">
        <f t="shared" si="7"/>
        <v>x</v>
      </c>
      <c r="T205" s="492">
        <f>IFERROR(VLOOKUP(F205,'Freq-Chan'!C:D,2,FALSE),"x")</f>
        <v>151.72499999999999</v>
      </c>
      <c r="U205" s="110" t="s">
        <v>541</v>
      </c>
      <c r="V205" s="110" t="str">
        <f t="shared" si="8"/>
        <v>FWL</v>
      </c>
      <c r="W205" s="110" t="s">
        <v>541</v>
      </c>
      <c r="X205" s="110" t="s">
        <v>541</v>
      </c>
      <c r="Y205" s="110" t="str">
        <f>IFERROR(VLOOKUP(F205,'Freq-Chan'!C:E,3,FALSE),"na")</f>
        <v>F1845</v>
      </c>
      <c r="Z205" s="110" t="s">
        <v>541</v>
      </c>
      <c r="AA205" s="110" t="s">
        <v>541</v>
      </c>
      <c r="AB205" s="110" t="s">
        <v>541</v>
      </c>
      <c r="AC205" s="10" t="s">
        <v>541</v>
      </c>
      <c r="AD205" s="10" t="s">
        <v>541</v>
      </c>
    </row>
    <row r="206" spans="1:30" s="291" customFormat="1" x14ac:dyDescent="0.2">
      <c r="A206" s="493">
        <v>205</v>
      </c>
      <c r="B206" s="283">
        <v>41813</v>
      </c>
      <c r="C206" s="284">
        <v>2</v>
      </c>
      <c r="D206" s="285" t="s">
        <v>2</v>
      </c>
      <c r="E206" s="285" t="s">
        <v>306</v>
      </c>
      <c r="F206" s="285"/>
      <c r="G206" s="285"/>
      <c r="H206" s="285"/>
      <c r="I206" s="285">
        <v>82</v>
      </c>
      <c r="J206" s="285"/>
      <c r="K206" s="285" t="s">
        <v>364</v>
      </c>
      <c r="L206" s="286"/>
      <c r="M206" s="287">
        <v>3.4027777777777775E-2</v>
      </c>
      <c r="N206" s="287">
        <v>0.80763888888888891</v>
      </c>
      <c r="O206" s="286" t="s">
        <v>805</v>
      </c>
      <c r="P206" s="289" t="s">
        <v>1037</v>
      </c>
      <c r="Q206" s="289" t="s">
        <v>1009</v>
      </c>
      <c r="R206" s="290" t="s">
        <v>1017</v>
      </c>
      <c r="S206" s="494" t="str">
        <f t="shared" si="7"/>
        <v>x</v>
      </c>
      <c r="T206" s="495" t="str">
        <f>IFERROR(VLOOKUP(F206,'Freq-Chan'!C:D,2,FALSE),"x")</f>
        <v>x</v>
      </c>
      <c r="U206" s="493" t="s">
        <v>541</v>
      </c>
      <c r="V206" s="493" t="str">
        <f t="shared" si="8"/>
        <v>FWL</v>
      </c>
      <c r="W206" s="493" t="s">
        <v>541</v>
      </c>
      <c r="X206" s="493" t="s">
        <v>541</v>
      </c>
      <c r="Y206" s="493" t="str">
        <f>IFERROR(VLOOKUP(F206,'Freq-Chan'!C:E,3,FALSE),"na")</f>
        <v>na</v>
      </c>
      <c r="Z206" s="493" t="s">
        <v>541</v>
      </c>
      <c r="AA206" s="493" t="s">
        <v>541</v>
      </c>
      <c r="AB206" s="493" t="s">
        <v>541</v>
      </c>
      <c r="AC206" s="291" t="s">
        <v>541</v>
      </c>
      <c r="AD206" s="291" t="s">
        <v>541</v>
      </c>
    </row>
    <row r="207" spans="1:30" x14ac:dyDescent="0.2">
      <c r="A207" s="110">
        <v>206</v>
      </c>
      <c r="B207" s="132">
        <v>41813</v>
      </c>
      <c r="C207" s="117">
        <v>3</v>
      </c>
      <c r="D207" s="103" t="s">
        <v>75</v>
      </c>
      <c r="E207" s="103" t="s">
        <v>798</v>
      </c>
      <c r="H207" s="103"/>
      <c r="J207" s="103">
        <v>35</v>
      </c>
      <c r="K207" s="103" t="s">
        <v>364</v>
      </c>
      <c r="L207" s="133"/>
      <c r="M207" s="134">
        <v>2.9861111111111113E-2</v>
      </c>
      <c r="N207" s="134">
        <v>0.4458333333333333</v>
      </c>
      <c r="O207" s="133" t="s">
        <v>909</v>
      </c>
      <c r="Q207" s="100" t="s">
        <v>1009</v>
      </c>
      <c r="R207" s="226" t="s">
        <v>1017</v>
      </c>
      <c r="S207" s="491" t="str">
        <f t="shared" si="7"/>
        <v>x</v>
      </c>
      <c r="T207" s="492" t="str">
        <f>IFERROR(VLOOKUP(F207,'Freq-Chan'!C:D,2,FALSE),"x")</f>
        <v>x</v>
      </c>
      <c r="U207" s="110" t="s">
        <v>541</v>
      </c>
      <c r="V207" s="110" t="str">
        <f t="shared" si="8"/>
        <v>FWL</v>
      </c>
      <c r="W207" s="110" t="s">
        <v>541</v>
      </c>
      <c r="X207" s="110" t="s">
        <v>541</v>
      </c>
      <c r="Y207" s="110" t="str">
        <f>IFERROR(VLOOKUP(F207,'Freq-Chan'!C:E,3,FALSE),"na")</f>
        <v>na</v>
      </c>
      <c r="Z207" s="110" t="s">
        <v>541</v>
      </c>
      <c r="AA207" s="110" t="s">
        <v>541</v>
      </c>
      <c r="AB207" s="110" t="s">
        <v>541</v>
      </c>
      <c r="AC207" s="10" t="s">
        <v>541</v>
      </c>
      <c r="AD207" s="10" t="s">
        <v>541</v>
      </c>
    </row>
    <row r="208" spans="1:30" x14ac:dyDescent="0.2">
      <c r="A208" s="110">
        <v>207</v>
      </c>
      <c r="B208" s="132">
        <v>41813</v>
      </c>
      <c r="C208" s="117">
        <v>3</v>
      </c>
      <c r="D208" s="103" t="s">
        <v>88</v>
      </c>
      <c r="E208" s="103" t="s">
        <v>798</v>
      </c>
      <c r="H208" s="103"/>
      <c r="J208" s="103">
        <v>29</v>
      </c>
      <c r="K208" s="103" t="s">
        <v>364</v>
      </c>
      <c r="L208" s="133"/>
      <c r="M208" s="134">
        <v>1.8749999999999999E-2</v>
      </c>
      <c r="N208" s="134">
        <v>0.44722222222222219</v>
      </c>
      <c r="O208" s="133" t="s">
        <v>803</v>
      </c>
      <c r="Q208" s="100" t="s">
        <v>1009</v>
      </c>
      <c r="R208" s="226" t="s">
        <v>1017</v>
      </c>
      <c r="S208" s="491" t="str">
        <f t="shared" si="7"/>
        <v>x</v>
      </c>
      <c r="T208" s="492" t="str">
        <f>IFERROR(VLOOKUP(F208,'Freq-Chan'!C:D,2,FALSE),"x")</f>
        <v>x</v>
      </c>
      <c r="U208" s="110" t="s">
        <v>541</v>
      </c>
      <c r="V208" s="110" t="str">
        <f t="shared" si="8"/>
        <v>FWL</v>
      </c>
      <c r="W208" s="110" t="s">
        <v>541</v>
      </c>
      <c r="X208" s="110" t="s">
        <v>541</v>
      </c>
      <c r="Y208" s="110" t="str">
        <f>IFERROR(VLOOKUP(F208,'Freq-Chan'!C:E,3,FALSE),"na")</f>
        <v>na</v>
      </c>
      <c r="Z208" s="110" t="s">
        <v>541</v>
      </c>
      <c r="AA208" s="110" t="s">
        <v>541</v>
      </c>
      <c r="AB208" s="110" t="s">
        <v>541</v>
      </c>
      <c r="AC208" s="10" t="s">
        <v>541</v>
      </c>
      <c r="AD208" s="10" t="s">
        <v>541</v>
      </c>
    </row>
    <row r="209" spans="1:30" x14ac:dyDescent="0.2">
      <c r="A209" s="110">
        <v>208</v>
      </c>
      <c r="B209" s="132">
        <v>41813</v>
      </c>
      <c r="C209" s="117">
        <v>3</v>
      </c>
      <c r="D209" s="103" t="s">
        <v>2</v>
      </c>
      <c r="E209" s="103" t="s">
        <v>306</v>
      </c>
      <c r="F209" s="103">
        <v>684</v>
      </c>
      <c r="G209" s="103">
        <v>43</v>
      </c>
      <c r="H209" s="137" t="s">
        <v>1029</v>
      </c>
      <c r="I209" s="103">
        <v>53</v>
      </c>
      <c r="K209" s="103" t="s">
        <v>364</v>
      </c>
      <c r="L209" s="133">
        <v>0.78194444444444444</v>
      </c>
      <c r="M209" s="134">
        <v>6.1111111111111116E-2</v>
      </c>
      <c r="N209" s="134">
        <v>0.78541666666666676</v>
      </c>
      <c r="O209" s="133" t="s">
        <v>806</v>
      </c>
      <c r="Q209" s="100" t="s">
        <v>986</v>
      </c>
      <c r="R209" s="226" t="s">
        <v>1017</v>
      </c>
      <c r="S209" s="491">
        <f t="shared" si="7"/>
        <v>2.4537037E-3</v>
      </c>
      <c r="T209" s="492">
        <f>IFERROR(VLOOKUP(F209,'Freq-Chan'!C:D,2,FALSE),"x")</f>
        <v>151.684</v>
      </c>
      <c r="U209" s="110" t="s">
        <v>541</v>
      </c>
      <c r="V209" s="110" t="str">
        <f t="shared" si="8"/>
        <v>FWL</v>
      </c>
      <c r="W209" s="110" t="s">
        <v>541</v>
      </c>
      <c r="X209" s="110" t="s">
        <v>541</v>
      </c>
      <c r="Y209" s="110" t="str">
        <f>IFERROR(VLOOKUP(F209,'Freq-Chan'!C:E,3,FALSE),"na")</f>
        <v>F1845</v>
      </c>
      <c r="Z209" s="110" t="s">
        <v>541</v>
      </c>
      <c r="AA209" s="110" t="s">
        <v>541</v>
      </c>
      <c r="AB209" s="110" t="s">
        <v>541</v>
      </c>
      <c r="AC209" s="10" t="s">
        <v>541</v>
      </c>
      <c r="AD209" s="10" t="s">
        <v>541</v>
      </c>
    </row>
    <row r="210" spans="1:30" x14ac:dyDescent="0.2">
      <c r="A210" s="110">
        <v>209</v>
      </c>
      <c r="B210" s="132">
        <v>41813</v>
      </c>
      <c r="C210" s="117">
        <v>3</v>
      </c>
      <c r="D210" s="103" t="s">
        <v>2</v>
      </c>
      <c r="E210" s="103" t="s">
        <v>306</v>
      </c>
      <c r="F210" s="103">
        <v>684</v>
      </c>
      <c r="G210" s="103">
        <v>48</v>
      </c>
      <c r="H210" s="137" t="s">
        <v>1030</v>
      </c>
      <c r="I210" s="103">
        <v>84.5</v>
      </c>
      <c r="K210" s="103" t="s">
        <v>365</v>
      </c>
      <c r="L210" s="133">
        <v>0.88194444444444453</v>
      </c>
      <c r="M210" s="134">
        <v>8.0555555555555561E-2</v>
      </c>
      <c r="N210" s="134">
        <v>0.88958333333333339</v>
      </c>
      <c r="O210" s="133" t="s">
        <v>909</v>
      </c>
      <c r="P210" s="100" t="s">
        <v>1038</v>
      </c>
      <c r="Q210" s="100" t="s">
        <v>1016</v>
      </c>
      <c r="R210" s="226" t="s">
        <v>1017</v>
      </c>
      <c r="S210" s="491">
        <f t="shared" si="7"/>
        <v>6.2962963000000004E-3</v>
      </c>
      <c r="T210" s="492">
        <f>IFERROR(VLOOKUP(F210,'Freq-Chan'!C:D,2,FALSE),"x")</f>
        <v>151.684</v>
      </c>
      <c r="U210" s="110" t="s">
        <v>541</v>
      </c>
      <c r="V210" s="110" t="str">
        <f t="shared" si="8"/>
        <v>FWL</v>
      </c>
      <c r="W210" s="110" t="s">
        <v>541</v>
      </c>
      <c r="X210" s="110" t="s">
        <v>541</v>
      </c>
      <c r="Y210" s="110" t="str">
        <f>IFERROR(VLOOKUP(F210,'Freq-Chan'!C:E,3,FALSE),"na")</f>
        <v>F1845</v>
      </c>
      <c r="Z210" s="110" t="s">
        <v>541</v>
      </c>
      <c r="AA210" s="110" t="s">
        <v>541</v>
      </c>
      <c r="AB210" s="110" t="s">
        <v>541</v>
      </c>
      <c r="AC210" s="10" t="s">
        <v>541</v>
      </c>
      <c r="AD210" s="10" t="s">
        <v>541</v>
      </c>
    </row>
    <row r="211" spans="1:30" s="291" customFormat="1" x14ac:dyDescent="0.2">
      <c r="A211" s="493">
        <v>210</v>
      </c>
      <c r="B211" s="283">
        <v>41813</v>
      </c>
      <c r="C211" s="284">
        <v>3</v>
      </c>
      <c r="D211" s="285" t="s">
        <v>2</v>
      </c>
      <c r="E211" s="285" t="s">
        <v>306</v>
      </c>
      <c r="F211" s="285">
        <v>684</v>
      </c>
      <c r="G211" s="285">
        <v>63</v>
      </c>
      <c r="H211" s="339" t="s">
        <v>1031</v>
      </c>
      <c r="I211" s="285">
        <v>71.5</v>
      </c>
      <c r="J211" s="285"/>
      <c r="K211" s="285" t="s">
        <v>1032</v>
      </c>
      <c r="L211" s="286">
        <v>0.95000000000000007</v>
      </c>
      <c r="M211" s="287">
        <v>0.12013888888888889</v>
      </c>
      <c r="N211" s="287">
        <v>0.95277777777777783</v>
      </c>
      <c r="O211" s="286" t="s">
        <v>909</v>
      </c>
      <c r="P211" s="289"/>
      <c r="Q211" s="289" t="s">
        <v>1016</v>
      </c>
      <c r="R211" s="290" t="s">
        <v>1017</v>
      </c>
      <c r="S211" s="494">
        <f t="shared" si="7"/>
        <v>7.75463E-4</v>
      </c>
      <c r="T211" s="495">
        <f>IFERROR(VLOOKUP(F211,'Freq-Chan'!C:D,2,FALSE),"x")</f>
        <v>151.684</v>
      </c>
      <c r="U211" s="493" t="s">
        <v>541</v>
      </c>
      <c r="V211" s="493" t="str">
        <f t="shared" si="8"/>
        <v>FWL</v>
      </c>
      <c r="W211" s="493" t="s">
        <v>541</v>
      </c>
      <c r="X211" s="493" t="s">
        <v>541</v>
      </c>
      <c r="Y211" s="493" t="str">
        <f>IFERROR(VLOOKUP(F211,'Freq-Chan'!C:E,3,FALSE),"na")</f>
        <v>F1845</v>
      </c>
      <c r="Z211" s="493" t="s">
        <v>541</v>
      </c>
      <c r="AA211" s="493" t="s">
        <v>541</v>
      </c>
      <c r="AB211" s="493" t="s">
        <v>541</v>
      </c>
      <c r="AC211" s="291" t="s">
        <v>541</v>
      </c>
      <c r="AD211" s="291" t="s">
        <v>541</v>
      </c>
    </row>
    <row r="212" spans="1:30" x14ac:dyDescent="0.2">
      <c r="A212" s="110">
        <v>211</v>
      </c>
      <c r="B212" s="132">
        <v>41814</v>
      </c>
      <c r="C212" s="117">
        <v>1</v>
      </c>
      <c r="D212" s="103" t="s">
        <v>2</v>
      </c>
      <c r="E212" s="103" t="s">
        <v>306</v>
      </c>
      <c r="F212" s="103">
        <v>684</v>
      </c>
      <c r="G212" s="103">
        <v>60</v>
      </c>
      <c r="H212" s="137" t="s">
        <v>1061</v>
      </c>
      <c r="I212" s="103">
        <v>62</v>
      </c>
      <c r="K212" s="103" t="s">
        <v>364</v>
      </c>
      <c r="L212" s="133">
        <v>0.32361111111111113</v>
      </c>
      <c r="M212" s="134">
        <v>5.6944444444444443E-2</v>
      </c>
      <c r="N212" s="134">
        <v>0.33333333333333331</v>
      </c>
      <c r="O212" s="133" t="s">
        <v>372</v>
      </c>
      <c r="Q212" s="100" t="s">
        <v>1052</v>
      </c>
      <c r="R212" s="226" t="s">
        <v>1056</v>
      </c>
      <c r="S212" s="491">
        <f t="shared" si="7"/>
        <v>8.7731480999999993E-3</v>
      </c>
      <c r="T212" s="492">
        <f>IFERROR(VLOOKUP(F212,'Freq-Chan'!C:D,2,FALSE),"x")</f>
        <v>151.684</v>
      </c>
      <c r="U212" s="110" t="s">
        <v>541</v>
      </c>
      <c r="V212" s="110" t="str">
        <f t="shared" si="8"/>
        <v>FWL</v>
      </c>
      <c r="W212" s="110" t="s">
        <v>541</v>
      </c>
      <c r="X212" s="110" t="s">
        <v>541</v>
      </c>
      <c r="Y212" s="110" t="str">
        <f>IFERROR(VLOOKUP(F212,'Freq-Chan'!C:E,3,FALSE),"na")</f>
        <v>F1845</v>
      </c>
      <c r="Z212" s="110" t="s">
        <v>541</v>
      </c>
      <c r="AA212" s="110" t="s">
        <v>541</v>
      </c>
      <c r="AB212" s="110" t="s">
        <v>541</v>
      </c>
      <c r="AC212" s="10" t="s">
        <v>541</v>
      </c>
      <c r="AD212" s="10" t="s">
        <v>541</v>
      </c>
    </row>
    <row r="213" spans="1:30" x14ac:dyDescent="0.2">
      <c r="A213" s="110">
        <v>212</v>
      </c>
      <c r="B213" s="132">
        <v>41814</v>
      </c>
      <c r="C213" s="117">
        <v>1</v>
      </c>
      <c r="D213" s="103" t="s">
        <v>2</v>
      </c>
      <c r="E213" s="103" t="s">
        <v>306</v>
      </c>
      <c r="H213" s="103"/>
      <c r="I213" s="103">
        <v>59</v>
      </c>
      <c r="K213" s="103" t="s">
        <v>364</v>
      </c>
      <c r="L213" s="133"/>
      <c r="M213" s="134">
        <v>3.125E-2</v>
      </c>
      <c r="N213" s="134">
        <v>0.44027777777777777</v>
      </c>
      <c r="O213" s="133" t="s">
        <v>803</v>
      </c>
      <c r="P213" s="100" t="s">
        <v>1058</v>
      </c>
      <c r="Q213" s="100" t="s">
        <v>1521</v>
      </c>
      <c r="R213" s="226" t="s">
        <v>1056</v>
      </c>
      <c r="S213" s="491" t="str">
        <f t="shared" si="7"/>
        <v>x</v>
      </c>
      <c r="T213" s="492" t="str">
        <f>IFERROR(VLOOKUP(F213,'Freq-Chan'!C:D,2,FALSE),"x")</f>
        <v>x</v>
      </c>
      <c r="U213" s="110" t="s">
        <v>541</v>
      </c>
      <c r="V213" s="110" t="str">
        <f t="shared" si="8"/>
        <v>FWL</v>
      </c>
      <c r="W213" s="110" t="s">
        <v>541</v>
      </c>
      <c r="X213" s="110" t="s">
        <v>541</v>
      </c>
      <c r="Y213" s="110" t="str">
        <f>IFERROR(VLOOKUP(F213,'Freq-Chan'!C:E,3,FALSE),"na")</f>
        <v>na</v>
      </c>
      <c r="Z213" s="110" t="s">
        <v>541</v>
      </c>
      <c r="AA213" s="110" t="s">
        <v>541</v>
      </c>
      <c r="AB213" s="110" t="s">
        <v>541</v>
      </c>
      <c r="AC213" s="10" t="s">
        <v>541</v>
      </c>
      <c r="AD213" s="10" t="s">
        <v>541</v>
      </c>
    </row>
    <row r="214" spans="1:30" x14ac:dyDescent="0.2">
      <c r="A214" s="110">
        <v>213</v>
      </c>
      <c r="B214" s="132">
        <v>41814</v>
      </c>
      <c r="C214" s="117">
        <v>1</v>
      </c>
      <c r="D214" s="103" t="s">
        <v>2</v>
      </c>
      <c r="E214" s="103" t="s">
        <v>306</v>
      </c>
      <c r="F214" s="103">
        <v>725</v>
      </c>
      <c r="G214" s="103">
        <v>34</v>
      </c>
      <c r="H214" s="137" t="s">
        <v>1062</v>
      </c>
      <c r="I214" s="103">
        <v>88</v>
      </c>
      <c r="K214" s="103" t="s">
        <v>364</v>
      </c>
      <c r="L214" s="133"/>
      <c r="M214" s="134">
        <v>6.3194444444444442E-2</v>
      </c>
      <c r="N214" s="134">
        <v>0.49791666666666662</v>
      </c>
      <c r="O214" s="133" t="s">
        <v>803</v>
      </c>
      <c r="Q214" s="100" t="s">
        <v>1521</v>
      </c>
      <c r="R214" s="226" t="s">
        <v>1056</v>
      </c>
      <c r="S214" s="491" t="str">
        <f t="shared" si="7"/>
        <v>x</v>
      </c>
      <c r="T214" s="492">
        <f>IFERROR(VLOOKUP(F214,'Freq-Chan'!C:D,2,FALSE),"x")</f>
        <v>151.72499999999999</v>
      </c>
      <c r="U214" s="110" t="s">
        <v>541</v>
      </c>
      <c r="V214" s="110" t="str">
        <f t="shared" si="8"/>
        <v>FWL</v>
      </c>
      <c r="W214" s="110" t="s">
        <v>541</v>
      </c>
      <c r="X214" s="110" t="s">
        <v>541</v>
      </c>
      <c r="Y214" s="110" t="str">
        <f>IFERROR(VLOOKUP(F214,'Freq-Chan'!C:E,3,FALSE),"na")</f>
        <v>F1845</v>
      </c>
      <c r="Z214" s="110" t="s">
        <v>541</v>
      </c>
      <c r="AA214" s="110" t="s">
        <v>541</v>
      </c>
      <c r="AB214" s="110" t="s">
        <v>541</v>
      </c>
      <c r="AC214" s="10" t="s">
        <v>541</v>
      </c>
      <c r="AD214" s="10" t="s">
        <v>541</v>
      </c>
    </row>
    <row r="215" spans="1:30" x14ac:dyDescent="0.2">
      <c r="A215" s="110">
        <v>214</v>
      </c>
      <c r="B215" s="132">
        <v>41814</v>
      </c>
      <c r="C215" s="117">
        <v>1</v>
      </c>
      <c r="D215" s="103" t="s">
        <v>2</v>
      </c>
      <c r="E215" s="103" t="s">
        <v>306</v>
      </c>
      <c r="F215" s="103">
        <v>725</v>
      </c>
      <c r="G215" s="103">
        <v>11</v>
      </c>
      <c r="H215" s="137" t="s">
        <v>1063</v>
      </c>
      <c r="I215" s="103">
        <v>68</v>
      </c>
      <c r="K215" s="103" t="s">
        <v>364</v>
      </c>
      <c r="L215" s="133"/>
      <c r="M215" s="134">
        <v>5.7638888888888885E-2</v>
      </c>
      <c r="N215" s="134">
        <v>0.63680555555555551</v>
      </c>
      <c r="O215" s="133" t="s">
        <v>950</v>
      </c>
      <c r="Q215" s="100" t="s">
        <v>1017</v>
      </c>
      <c r="R215" s="226" t="s">
        <v>1056</v>
      </c>
      <c r="S215" s="491" t="str">
        <f t="shared" si="7"/>
        <v>x</v>
      </c>
      <c r="T215" s="492">
        <f>IFERROR(VLOOKUP(F215,'Freq-Chan'!C:D,2,FALSE),"x")</f>
        <v>151.72499999999999</v>
      </c>
      <c r="U215" s="110" t="s">
        <v>541</v>
      </c>
      <c r="V215" s="110" t="str">
        <f t="shared" si="8"/>
        <v>FWL</v>
      </c>
      <c r="W215" s="110" t="s">
        <v>541</v>
      </c>
      <c r="X215" s="110" t="s">
        <v>541</v>
      </c>
      <c r="Y215" s="110" t="str">
        <f>IFERROR(VLOOKUP(F215,'Freq-Chan'!C:E,3,FALSE),"na")</f>
        <v>F1845</v>
      </c>
      <c r="Z215" s="110" t="s">
        <v>541</v>
      </c>
      <c r="AA215" s="110" t="s">
        <v>541</v>
      </c>
      <c r="AB215" s="110" t="s">
        <v>541</v>
      </c>
      <c r="AC215" s="10" t="s">
        <v>541</v>
      </c>
      <c r="AD215" s="10" t="s">
        <v>541</v>
      </c>
    </row>
    <row r="216" spans="1:30" x14ac:dyDescent="0.2">
      <c r="A216" s="110">
        <v>215</v>
      </c>
      <c r="B216" s="132">
        <v>41814</v>
      </c>
      <c r="C216" s="117">
        <v>1</v>
      </c>
      <c r="D216" s="103" t="s">
        <v>2</v>
      </c>
      <c r="E216" s="103" t="s">
        <v>306</v>
      </c>
      <c r="F216" s="103">
        <v>684</v>
      </c>
      <c r="G216" s="103">
        <v>86</v>
      </c>
      <c r="H216" s="137" t="s">
        <v>1064</v>
      </c>
      <c r="I216" s="103">
        <v>63</v>
      </c>
      <c r="K216" s="103" t="s">
        <v>364</v>
      </c>
      <c r="L216" s="133"/>
      <c r="M216" s="134">
        <v>5.9027777777777783E-2</v>
      </c>
      <c r="N216" s="134">
        <v>0.70347222222222217</v>
      </c>
      <c r="O216" s="133" t="s">
        <v>950</v>
      </c>
      <c r="Q216" s="100" t="s">
        <v>1017</v>
      </c>
      <c r="R216" s="226" t="s">
        <v>1056</v>
      </c>
      <c r="S216" s="491" t="str">
        <f t="shared" si="7"/>
        <v>x</v>
      </c>
      <c r="T216" s="492">
        <f>IFERROR(VLOOKUP(F216,'Freq-Chan'!C:D,2,FALSE),"x")</f>
        <v>151.684</v>
      </c>
      <c r="U216" s="110" t="s">
        <v>541</v>
      </c>
      <c r="V216" s="110" t="str">
        <f t="shared" si="8"/>
        <v>FWL</v>
      </c>
      <c r="W216" s="110" t="s">
        <v>541</v>
      </c>
      <c r="X216" s="110" t="s">
        <v>541</v>
      </c>
      <c r="Y216" s="110" t="str">
        <f>IFERROR(VLOOKUP(F216,'Freq-Chan'!C:E,3,FALSE),"na")</f>
        <v>F1845</v>
      </c>
      <c r="Z216" s="110" t="s">
        <v>541</v>
      </c>
      <c r="AA216" s="110" t="s">
        <v>541</v>
      </c>
      <c r="AB216" s="110" t="s">
        <v>541</v>
      </c>
      <c r="AC216" s="10" t="s">
        <v>541</v>
      </c>
      <c r="AD216" s="10" t="s">
        <v>541</v>
      </c>
    </row>
    <row r="217" spans="1:30" x14ac:dyDescent="0.2">
      <c r="A217" s="110">
        <v>216</v>
      </c>
      <c r="B217" s="132">
        <v>41814</v>
      </c>
      <c r="C217" s="117">
        <v>1</v>
      </c>
      <c r="D217" s="103" t="s">
        <v>2</v>
      </c>
      <c r="E217" s="103" t="s">
        <v>306</v>
      </c>
      <c r="F217" s="103">
        <v>725</v>
      </c>
      <c r="G217" s="103">
        <v>81</v>
      </c>
      <c r="H217" s="137" t="s">
        <v>1065</v>
      </c>
      <c r="I217" s="103">
        <v>83</v>
      </c>
      <c r="K217" s="103" t="s">
        <v>364</v>
      </c>
      <c r="L217" s="133"/>
      <c r="M217" s="134">
        <v>5.2777777777777778E-2</v>
      </c>
      <c r="N217" s="134">
        <v>0.70624999999999993</v>
      </c>
      <c r="O217" s="133" t="s">
        <v>806</v>
      </c>
      <c r="Q217" s="100" t="s">
        <v>1017</v>
      </c>
      <c r="R217" s="226" t="s">
        <v>1056</v>
      </c>
      <c r="S217" s="491" t="str">
        <f t="shared" si="7"/>
        <v>x</v>
      </c>
      <c r="T217" s="492">
        <f>IFERROR(VLOOKUP(F217,'Freq-Chan'!C:D,2,FALSE),"x")</f>
        <v>151.72499999999999</v>
      </c>
      <c r="U217" s="110" t="s">
        <v>541</v>
      </c>
      <c r="V217" s="110" t="str">
        <f t="shared" si="8"/>
        <v>FWL</v>
      </c>
      <c r="W217" s="110" t="s">
        <v>541</v>
      </c>
      <c r="X217" s="110" t="s">
        <v>541</v>
      </c>
      <c r="Y217" s="110" t="str">
        <f>IFERROR(VLOOKUP(F217,'Freq-Chan'!C:E,3,FALSE),"na")</f>
        <v>F1845</v>
      </c>
      <c r="Z217" s="110" t="s">
        <v>541</v>
      </c>
      <c r="AA217" s="110" t="s">
        <v>541</v>
      </c>
      <c r="AB217" s="110" t="s">
        <v>541</v>
      </c>
      <c r="AC217" s="10" t="s">
        <v>541</v>
      </c>
      <c r="AD217" s="10" t="s">
        <v>541</v>
      </c>
    </row>
    <row r="218" spans="1:30" x14ac:dyDescent="0.2">
      <c r="A218" s="110">
        <v>217</v>
      </c>
      <c r="B218" s="132">
        <v>41814</v>
      </c>
      <c r="C218" s="117">
        <v>1</v>
      </c>
      <c r="D218" s="103" t="s">
        <v>2</v>
      </c>
      <c r="E218" s="103" t="s">
        <v>306</v>
      </c>
      <c r="F218" s="103">
        <v>684</v>
      </c>
      <c r="G218" s="103">
        <v>97</v>
      </c>
      <c r="H218" s="137" t="s">
        <v>1066</v>
      </c>
      <c r="I218" s="103">
        <v>86.5</v>
      </c>
      <c r="K218" s="103" t="s">
        <v>364</v>
      </c>
      <c r="L218" s="133">
        <v>0.82152777777777775</v>
      </c>
      <c r="M218" s="134">
        <v>7.2222222222222229E-2</v>
      </c>
      <c r="N218" s="134">
        <v>0.8256944444444444</v>
      </c>
      <c r="O218" s="133" t="s">
        <v>909</v>
      </c>
      <c r="Q218" s="100" t="s">
        <v>1051</v>
      </c>
      <c r="R218" s="226" t="s">
        <v>1056</v>
      </c>
      <c r="S218" s="491">
        <f t="shared" si="7"/>
        <v>2.9629629999999999E-3</v>
      </c>
      <c r="T218" s="492">
        <f>IFERROR(VLOOKUP(F218,'Freq-Chan'!C:D,2,FALSE),"x")</f>
        <v>151.684</v>
      </c>
      <c r="U218" s="110" t="s">
        <v>541</v>
      </c>
      <c r="V218" s="110" t="str">
        <f t="shared" si="8"/>
        <v>FWL</v>
      </c>
      <c r="W218" s="110" t="s">
        <v>541</v>
      </c>
      <c r="X218" s="110" t="s">
        <v>541</v>
      </c>
      <c r="Y218" s="110" t="str">
        <f>IFERROR(VLOOKUP(F218,'Freq-Chan'!C:E,3,FALSE),"na")</f>
        <v>F1845</v>
      </c>
      <c r="Z218" s="110" t="s">
        <v>541</v>
      </c>
      <c r="AA218" s="110" t="s">
        <v>541</v>
      </c>
      <c r="AB218" s="110" t="s">
        <v>541</v>
      </c>
      <c r="AC218" s="10" t="s">
        <v>541</v>
      </c>
      <c r="AD218" s="10" t="s">
        <v>541</v>
      </c>
    </row>
    <row r="219" spans="1:30" x14ac:dyDescent="0.2">
      <c r="A219" s="110">
        <v>218</v>
      </c>
      <c r="B219" s="132">
        <v>41814</v>
      </c>
      <c r="C219" s="117">
        <v>1</v>
      </c>
      <c r="D219" s="103" t="s">
        <v>2</v>
      </c>
      <c r="E219" s="103" t="s">
        <v>306</v>
      </c>
      <c r="F219" s="103">
        <v>684</v>
      </c>
      <c r="G219" s="103">
        <v>38</v>
      </c>
      <c r="H219" s="137" t="s">
        <v>1067</v>
      </c>
      <c r="I219" s="103">
        <v>81</v>
      </c>
      <c r="K219" s="103" t="s">
        <v>364</v>
      </c>
      <c r="L219" s="133">
        <v>0.8569444444444444</v>
      </c>
      <c r="M219" s="134">
        <v>7.3611111111111113E-2</v>
      </c>
      <c r="N219" s="134">
        <v>0.86111111111111116</v>
      </c>
      <c r="O219" s="133" t="s">
        <v>803</v>
      </c>
      <c r="Q219" s="100" t="s">
        <v>1051</v>
      </c>
      <c r="R219" s="226" t="s">
        <v>1056</v>
      </c>
      <c r="S219" s="491">
        <f t="shared" si="7"/>
        <v>2.9398148000000001E-3</v>
      </c>
      <c r="T219" s="492">
        <f>IFERROR(VLOOKUP(F219,'Freq-Chan'!C:D,2,FALSE),"x")</f>
        <v>151.684</v>
      </c>
      <c r="U219" s="110" t="s">
        <v>541</v>
      </c>
      <c r="V219" s="110" t="str">
        <f t="shared" si="8"/>
        <v>FWL</v>
      </c>
      <c r="W219" s="110" t="s">
        <v>541</v>
      </c>
      <c r="X219" s="110" t="s">
        <v>541</v>
      </c>
      <c r="Y219" s="110" t="str">
        <f>IFERROR(VLOOKUP(F219,'Freq-Chan'!C:E,3,FALSE),"na")</f>
        <v>F1845</v>
      </c>
      <c r="Z219" s="110" t="s">
        <v>541</v>
      </c>
      <c r="AA219" s="110" t="s">
        <v>541</v>
      </c>
      <c r="AB219" s="110" t="s">
        <v>541</v>
      </c>
      <c r="AC219" s="10" t="s">
        <v>541</v>
      </c>
      <c r="AD219" s="10" t="s">
        <v>541</v>
      </c>
    </row>
    <row r="220" spans="1:30" x14ac:dyDescent="0.2">
      <c r="A220" s="110">
        <v>219</v>
      </c>
      <c r="B220" s="132">
        <v>41814</v>
      </c>
      <c r="C220" s="117">
        <v>1</v>
      </c>
      <c r="D220" s="103" t="s">
        <v>2</v>
      </c>
      <c r="E220" s="103" t="s">
        <v>306</v>
      </c>
      <c r="F220" s="103">
        <v>725</v>
      </c>
      <c r="G220" s="103">
        <v>96</v>
      </c>
      <c r="H220" s="137" t="s">
        <v>1068</v>
      </c>
      <c r="I220" s="103">
        <v>72</v>
      </c>
      <c r="K220" s="103" t="s">
        <v>364</v>
      </c>
      <c r="L220" s="133"/>
      <c r="M220" s="134">
        <v>5.5555555555555552E-2</v>
      </c>
      <c r="N220" s="134">
        <v>0.91180555555555554</v>
      </c>
      <c r="O220" s="133" t="s">
        <v>803</v>
      </c>
      <c r="Q220" s="100" t="s">
        <v>1051</v>
      </c>
      <c r="R220" s="226" t="s">
        <v>1056</v>
      </c>
      <c r="S220" s="491" t="str">
        <f t="shared" si="7"/>
        <v>x</v>
      </c>
      <c r="T220" s="492">
        <f>IFERROR(VLOOKUP(F220,'Freq-Chan'!C:D,2,FALSE),"x")</f>
        <v>151.72499999999999</v>
      </c>
      <c r="U220" s="110" t="s">
        <v>541</v>
      </c>
      <c r="V220" s="110" t="str">
        <f t="shared" si="8"/>
        <v>FWL</v>
      </c>
      <c r="W220" s="110" t="s">
        <v>541</v>
      </c>
      <c r="X220" s="110" t="s">
        <v>541</v>
      </c>
      <c r="Y220" s="110" t="str">
        <f>IFERROR(VLOOKUP(F220,'Freq-Chan'!C:E,3,FALSE),"na")</f>
        <v>F1845</v>
      </c>
      <c r="Z220" s="110" t="s">
        <v>541</v>
      </c>
      <c r="AA220" s="110" t="s">
        <v>541</v>
      </c>
      <c r="AB220" s="110" t="s">
        <v>541</v>
      </c>
      <c r="AC220" s="10" t="s">
        <v>541</v>
      </c>
      <c r="AD220" s="10" t="s">
        <v>541</v>
      </c>
    </row>
    <row r="221" spans="1:30" x14ac:dyDescent="0.2">
      <c r="A221" s="110">
        <v>220</v>
      </c>
      <c r="B221" s="132">
        <v>41814</v>
      </c>
      <c r="C221" s="117">
        <v>1</v>
      </c>
      <c r="D221" s="103" t="s">
        <v>2</v>
      </c>
      <c r="E221" s="103" t="s">
        <v>306</v>
      </c>
      <c r="F221" s="103">
        <v>725</v>
      </c>
      <c r="G221" s="103">
        <v>75</v>
      </c>
      <c r="H221" s="137" t="s">
        <v>1069</v>
      </c>
      <c r="I221" s="103">
        <v>95</v>
      </c>
      <c r="K221" s="103" t="s">
        <v>364</v>
      </c>
      <c r="L221" s="133"/>
      <c r="M221" s="134">
        <v>7.4999999999999997E-2</v>
      </c>
      <c r="N221" s="134">
        <v>0.92638888888888893</v>
      </c>
      <c r="O221" s="133" t="s">
        <v>909</v>
      </c>
      <c r="P221" s="100" t="s">
        <v>1059</v>
      </c>
      <c r="Q221" s="100" t="s">
        <v>1051</v>
      </c>
      <c r="R221" s="226" t="s">
        <v>1056</v>
      </c>
      <c r="S221" s="491" t="str">
        <f t="shared" si="7"/>
        <v>x</v>
      </c>
      <c r="T221" s="492">
        <f>IFERROR(VLOOKUP(F221,'Freq-Chan'!C:D,2,FALSE),"x")</f>
        <v>151.72499999999999</v>
      </c>
      <c r="U221" s="110" t="s">
        <v>541</v>
      </c>
      <c r="V221" s="110" t="str">
        <f t="shared" si="8"/>
        <v>FWL</v>
      </c>
      <c r="W221" s="110" t="s">
        <v>541</v>
      </c>
      <c r="X221" s="110" t="s">
        <v>541</v>
      </c>
      <c r="Y221" s="110" t="str">
        <f>IFERROR(VLOOKUP(F221,'Freq-Chan'!C:E,3,FALSE),"na")</f>
        <v>F1845</v>
      </c>
      <c r="Z221" s="110" t="s">
        <v>541</v>
      </c>
      <c r="AA221" s="110" t="s">
        <v>541</v>
      </c>
      <c r="AB221" s="110" t="s">
        <v>541</v>
      </c>
      <c r="AC221" s="10" t="s">
        <v>541</v>
      </c>
      <c r="AD221" s="10" t="s">
        <v>541</v>
      </c>
    </row>
    <row r="222" spans="1:30" s="291" customFormat="1" x14ac:dyDescent="0.2">
      <c r="A222" s="493">
        <v>221</v>
      </c>
      <c r="B222" s="283">
        <v>41814</v>
      </c>
      <c r="C222" s="284">
        <v>1</v>
      </c>
      <c r="D222" s="285" t="s">
        <v>2</v>
      </c>
      <c r="E222" s="285" t="s">
        <v>306</v>
      </c>
      <c r="F222" s="285">
        <v>725</v>
      </c>
      <c r="G222" s="285">
        <v>97</v>
      </c>
      <c r="H222" s="339" t="s">
        <v>1070</v>
      </c>
      <c r="I222" s="285">
        <v>92</v>
      </c>
      <c r="J222" s="285"/>
      <c r="K222" s="285" t="s">
        <v>364</v>
      </c>
      <c r="L222" s="286"/>
      <c r="M222" s="287">
        <v>7.2916666666666671E-2</v>
      </c>
      <c r="N222" s="287">
        <v>0.93263888888888891</v>
      </c>
      <c r="O222" s="286" t="s">
        <v>803</v>
      </c>
      <c r="P222" s="289"/>
      <c r="Q222" s="289" t="s">
        <v>1051</v>
      </c>
      <c r="R222" s="290" t="s">
        <v>1056</v>
      </c>
      <c r="S222" s="494" t="str">
        <f t="shared" si="7"/>
        <v>x</v>
      </c>
      <c r="T222" s="495">
        <f>IFERROR(VLOOKUP(F222,'Freq-Chan'!C:D,2,FALSE),"x")</f>
        <v>151.72499999999999</v>
      </c>
      <c r="U222" s="493" t="s">
        <v>541</v>
      </c>
      <c r="V222" s="493" t="str">
        <f t="shared" si="8"/>
        <v>FWL</v>
      </c>
      <c r="W222" s="493" t="s">
        <v>541</v>
      </c>
      <c r="X222" s="493" t="s">
        <v>541</v>
      </c>
      <c r="Y222" s="493" t="str">
        <f>IFERROR(VLOOKUP(F222,'Freq-Chan'!C:E,3,FALSE),"na")</f>
        <v>F1845</v>
      </c>
      <c r="Z222" s="493" t="s">
        <v>541</v>
      </c>
      <c r="AA222" s="493" t="s">
        <v>541</v>
      </c>
      <c r="AB222" s="493" t="s">
        <v>541</v>
      </c>
      <c r="AC222" s="291" t="s">
        <v>541</v>
      </c>
      <c r="AD222" s="291" t="s">
        <v>541</v>
      </c>
    </row>
    <row r="223" spans="1:30" x14ac:dyDescent="0.2">
      <c r="A223" s="110">
        <v>222</v>
      </c>
      <c r="B223" s="132">
        <v>41814</v>
      </c>
      <c r="C223" s="117">
        <v>2</v>
      </c>
      <c r="D223" s="103" t="s">
        <v>2</v>
      </c>
      <c r="E223" s="103" t="s">
        <v>306</v>
      </c>
      <c r="F223" s="103">
        <v>684</v>
      </c>
      <c r="G223" s="103">
        <v>96</v>
      </c>
      <c r="H223" s="137" t="s">
        <v>1071</v>
      </c>
      <c r="I223" s="103">
        <v>75</v>
      </c>
      <c r="K223" s="103" t="s">
        <v>364</v>
      </c>
      <c r="L223" s="133"/>
      <c r="M223" s="134">
        <v>5.5555555555555552E-2</v>
      </c>
      <c r="N223" s="134">
        <v>0.79027777777777775</v>
      </c>
      <c r="O223" s="133" t="s">
        <v>806</v>
      </c>
      <c r="Q223" s="100" t="s">
        <v>1017</v>
      </c>
      <c r="R223" s="226" t="s">
        <v>1056</v>
      </c>
      <c r="S223" s="491" t="str">
        <f t="shared" si="7"/>
        <v>x</v>
      </c>
      <c r="T223" s="492">
        <f>IFERROR(VLOOKUP(F223,'Freq-Chan'!C:D,2,FALSE),"x")</f>
        <v>151.684</v>
      </c>
      <c r="U223" s="110" t="s">
        <v>541</v>
      </c>
      <c r="V223" s="110" t="str">
        <f t="shared" si="8"/>
        <v>FWL</v>
      </c>
      <c r="W223" s="110" t="s">
        <v>541</v>
      </c>
      <c r="X223" s="110" t="s">
        <v>541</v>
      </c>
      <c r="Y223" s="110" t="str">
        <f>IFERROR(VLOOKUP(F223,'Freq-Chan'!C:E,3,FALSE),"na")</f>
        <v>F1845</v>
      </c>
      <c r="Z223" s="110" t="s">
        <v>541</v>
      </c>
      <c r="AA223" s="110" t="s">
        <v>541</v>
      </c>
      <c r="AB223" s="110" t="s">
        <v>541</v>
      </c>
      <c r="AC223" s="10" t="s">
        <v>541</v>
      </c>
      <c r="AD223" s="10" t="s">
        <v>541</v>
      </c>
    </row>
    <row r="224" spans="1:30" x14ac:dyDescent="0.2">
      <c r="A224" s="110">
        <v>223</v>
      </c>
      <c r="B224" s="132">
        <v>41814</v>
      </c>
      <c r="C224" s="117">
        <v>2</v>
      </c>
      <c r="D224" s="103" t="s">
        <v>2</v>
      </c>
      <c r="E224" s="103" t="s">
        <v>306</v>
      </c>
      <c r="F224" s="103">
        <v>725</v>
      </c>
      <c r="G224" s="103">
        <v>61</v>
      </c>
      <c r="H224" s="137" t="s">
        <v>1072</v>
      </c>
      <c r="I224" s="103">
        <v>56</v>
      </c>
      <c r="K224" s="103" t="s">
        <v>364</v>
      </c>
      <c r="L224" s="133"/>
      <c r="M224" s="134">
        <v>6.3194444444444442E-2</v>
      </c>
      <c r="N224" s="134">
        <v>0.88402777777777775</v>
      </c>
      <c r="O224" s="133" t="s">
        <v>909</v>
      </c>
      <c r="Q224" s="100" t="s">
        <v>1051</v>
      </c>
      <c r="R224" s="226" t="s">
        <v>1056</v>
      </c>
      <c r="S224" s="491" t="str">
        <f t="shared" si="7"/>
        <v>x</v>
      </c>
      <c r="T224" s="492">
        <f>IFERROR(VLOOKUP(F224,'Freq-Chan'!C:D,2,FALSE),"x")</f>
        <v>151.72499999999999</v>
      </c>
      <c r="U224" s="110" t="s">
        <v>541</v>
      </c>
      <c r="V224" s="110" t="str">
        <f t="shared" si="8"/>
        <v>FWL</v>
      </c>
      <c r="W224" s="110" t="s">
        <v>541</v>
      </c>
      <c r="X224" s="110" t="s">
        <v>541</v>
      </c>
      <c r="Y224" s="110" t="str">
        <f>IFERROR(VLOOKUP(F224,'Freq-Chan'!C:E,3,FALSE),"na")</f>
        <v>F1845</v>
      </c>
      <c r="Z224" s="110" t="s">
        <v>541</v>
      </c>
      <c r="AA224" s="110" t="s">
        <v>541</v>
      </c>
      <c r="AB224" s="110" t="s">
        <v>541</v>
      </c>
      <c r="AC224" s="10" t="s">
        <v>541</v>
      </c>
      <c r="AD224" s="10" t="s">
        <v>541</v>
      </c>
    </row>
    <row r="225" spans="1:30" x14ac:dyDescent="0.2">
      <c r="A225" s="110">
        <v>224</v>
      </c>
      <c r="B225" s="132">
        <v>41814</v>
      </c>
      <c r="C225" s="117">
        <v>2</v>
      </c>
      <c r="D225" s="103" t="s">
        <v>2</v>
      </c>
      <c r="E225" s="103" t="s">
        <v>306</v>
      </c>
      <c r="F225" s="103">
        <v>684</v>
      </c>
      <c r="G225" s="103">
        <v>5</v>
      </c>
      <c r="H225" s="137" t="s">
        <v>1073</v>
      </c>
      <c r="I225" s="103">
        <v>61</v>
      </c>
      <c r="K225" s="103" t="s">
        <v>364</v>
      </c>
      <c r="L225" s="133"/>
      <c r="M225" s="134">
        <v>7.0833333333333331E-2</v>
      </c>
      <c r="N225" s="134">
        <v>0.8881944444444444</v>
      </c>
      <c r="O225" s="133" t="s">
        <v>803</v>
      </c>
      <c r="Q225" s="100" t="s">
        <v>1051</v>
      </c>
      <c r="R225" s="226" t="s">
        <v>1056</v>
      </c>
      <c r="S225" s="491" t="str">
        <f t="shared" si="7"/>
        <v>x</v>
      </c>
      <c r="T225" s="492">
        <f>IFERROR(VLOOKUP(F225,'Freq-Chan'!C:D,2,FALSE),"x")</f>
        <v>151.684</v>
      </c>
      <c r="U225" s="110" t="s">
        <v>541</v>
      </c>
      <c r="V225" s="110" t="str">
        <f t="shared" si="8"/>
        <v>FWL</v>
      </c>
      <c r="W225" s="110" t="s">
        <v>541</v>
      </c>
      <c r="X225" s="110" t="s">
        <v>541</v>
      </c>
      <c r="Y225" s="110" t="str">
        <f>IFERROR(VLOOKUP(F225,'Freq-Chan'!C:E,3,FALSE),"na")</f>
        <v>F1845</v>
      </c>
      <c r="Z225" s="110" t="s">
        <v>541</v>
      </c>
      <c r="AA225" s="110" t="s">
        <v>541</v>
      </c>
      <c r="AB225" s="110" t="s">
        <v>541</v>
      </c>
      <c r="AC225" s="10" t="s">
        <v>541</v>
      </c>
      <c r="AD225" s="10" t="s">
        <v>541</v>
      </c>
    </row>
    <row r="226" spans="1:30" s="291" customFormat="1" x14ac:dyDescent="0.2">
      <c r="A226" s="493">
        <v>225</v>
      </c>
      <c r="B226" s="283">
        <v>41814</v>
      </c>
      <c r="C226" s="284">
        <v>2</v>
      </c>
      <c r="D226" s="285" t="s">
        <v>2</v>
      </c>
      <c r="E226" s="285" t="s">
        <v>306</v>
      </c>
      <c r="F226" s="285">
        <v>684</v>
      </c>
      <c r="G226" s="285">
        <v>19</v>
      </c>
      <c r="H226" s="339" t="s">
        <v>1074</v>
      </c>
      <c r="I226" s="285">
        <v>82</v>
      </c>
      <c r="J226" s="285"/>
      <c r="K226" s="285" t="s">
        <v>364</v>
      </c>
      <c r="L226" s="286"/>
      <c r="M226" s="287">
        <v>0.10208333333333335</v>
      </c>
      <c r="N226" s="287">
        <v>0.8930555555555556</v>
      </c>
      <c r="O226" s="286" t="s">
        <v>909</v>
      </c>
      <c r="P226" s="289" t="s">
        <v>1520</v>
      </c>
      <c r="Q226" s="289" t="s">
        <v>1051</v>
      </c>
      <c r="R226" s="290" t="s">
        <v>1056</v>
      </c>
      <c r="S226" s="494" t="str">
        <f t="shared" si="7"/>
        <v>x</v>
      </c>
      <c r="T226" s="495">
        <f>IFERROR(VLOOKUP(F226,'Freq-Chan'!C:D,2,FALSE),"x")</f>
        <v>151.684</v>
      </c>
      <c r="U226" s="493" t="s">
        <v>541</v>
      </c>
      <c r="V226" s="493" t="str">
        <f t="shared" si="8"/>
        <v>FWL</v>
      </c>
      <c r="W226" s="493" t="s">
        <v>541</v>
      </c>
      <c r="X226" s="493" t="s">
        <v>541</v>
      </c>
      <c r="Y226" s="493" t="str">
        <f>IFERROR(VLOOKUP(F226,'Freq-Chan'!C:E,3,FALSE),"na")</f>
        <v>F1845</v>
      </c>
      <c r="Z226" s="493" t="s">
        <v>541</v>
      </c>
      <c r="AA226" s="493" t="s">
        <v>541</v>
      </c>
      <c r="AB226" s="493" t="s">
        <v>541</v>
      </c>
      <c r="AC226" s="291" t="s">
        <v>541</v>
      </c>
      <c r="AD226" s="291" t="s">
        <v>541</v>
      </c>
    </row>
    <row r="227" spans="1:30" x14ac:dyDescent="0.2">
      <c r="A227" s="110">
        <v>226</v>
      </c>
      <c r="B227" s="132">
        <v>41814</v>
      </c>
      <c r="C227" s="117">
        <v>3</v>
      </c>
      <c r="D227" s="103" t="s">
        <v>2</v>
      </c>
      <c r="E227" s="103" t="s">
        <v>306</v>
      </c>
      <c r="H227" s="103"/>
      <c r="I227" s="103">
        <v>76</v>
      </c>
      <c r="K227" s="103" t="s">
        <v>364</v>
      </c>
      <c r="L227" s="133">
        <v>0.58888888888888891</v>
      </c>
      <c r="M227" s="134">
        <v>5.0694444444444452E-2</v>
      </c>
      <c r="N227" s="134">
        <v>0.59513888888888888</v>
      </c>
      <c r="O227" s="133" t="s">
        <v>803</v>
      </c>
      <c r="P227" s="100" t="s">
        <v>1060</v>
      </c>
      <c r="Q227" s="100" t="s">
        <v>1055</v>
      </c>
      <c r="R227" s="226" t="s">
        <v>1056</v>
      </c>
      <c r="S227" s="491">
        <f t="shared" si="7"/>
        <v>5.4050925999999996E-3</v>
      </c>
      <c r="T227" s="492" t="str">
        <f>IFERROR(VLOOKUP(F227,'Freq-Chan'!C:D,2,FALSE),"x")</f>
        <v>x</v>
      </c>
      <c r="U227" s="110" t="s">
        <v>541</v>
      </c>
      <c r="V227" s="110" t="str">
        <f t="shared" si="8"/>
        <v>FWL</v>
      </c>
      <c r="W227" s="110" t="s">
        <v>541</v>
      </c>
      <c r="X227" s="110" t="s">
        <v>541</v>
      </c>
      <c r="Y227" s="110" t="str">
        <f>IFERROR(VLOOKUP(F227,'Freq-Chan'!C:E,3,FALSE),"na")</f>
        <v>na</v>
      </c>
      <c r="Z227" s="110" t="s">
        <v>541</v>
      </c>
      <c r="AA227" s="110" t="s">
        <v>541</v>
      </c>
      <c r="AB227" s="110" t="s">
        <v>541</v>
      </c>
      <c r="AC227" s="10" t="s">
        <v>541</v>
      </c>
      <c r="AD227" s="10" t="s">
        <v>541</v>
      </c>
    </row>
    <row r="228" spans="1:30" x14ac:dyDescent="0.2">
      <c r="A228" s="110">
        <v>227</v>
      </c>
      <c r="B228" s="132">
        <v>41814</v>
      </c>
      <c r="C228" s="117">
        <v>3</v>
      </c>
      <c r="D228" s="103" t="s">
        <v>2</v>
      </c>
      <c r="E228" s="103" t="s">
        <v>306</v>
      </c>
      <c r="F228" s="103">
        <v>917</v>
      </c>
      <c r="G228" s="103">
        <v>50</v>
      </c>
      <c r="H228" s="137" t="s">
        <v>1075</v>
      </c>
      <c r="I228" s="103">
        <v>50</v>
      </c>
      <c r="K228" s="103" t="s">
        <v>364</v>
      </c>
      <c r="L228" s="133"/>
      <c r="M228" s="134">
        <v>5.347222222222222E-2</v>
      </c>
      <c r="N228" s="134">
        <v>0.6</v>
      </c>
      <c r="O228" s="133" t="s">
        <v>803</v>
      </c>
      <c r="Q228" s="100" t="s">
        <v>1055</v>
      </c>
      <c r="R228" s="226" t="s">
        <v>1056</v>
      </c>
      <c r="S228" s="491" t="str">
        <f t="shared" si="7"/>
        <v>x</v>
      </c>
      <c r="T228" s="492">
        <f>IFERROR(VLOOKUP(F228,'Freq-Chan'!C:D,2,FALSE),"x")</f>
        <v>151.917</v>
      </c>
      <c r="U228" s="110" t="s">
        <v>541</v>
      </c>
      <c r="V228" s="110" t="str">
        <f t="shared" si="8"/>
        <v>FWL</v>
      </c>
      <c r="W228" s="110" t="s">
        <v>541</v>
      </c>
      <c r="X228" s="110" t="s">
        <v>541</v>
      </c>
      <c r="Y228" s="110" t="str">
        <f>IFERROR(VLOOKUP(F228,'Freq-Chan'!C:E,3,FALSE),"na")</f>
        <v>F1835</v>
      </c>
      <c r="Z228" s="110" t="s">
        <v>541</v>
      </c>
      <c r="AA228" s="110" t="s">
        <v>541</v>
      </c>
      <c r="AB228" s="110" t="s">
        <v>541</v>
      </c>
      <c r="AC228" s="10" t="s">
        <v>541</v>
      </c>
      <c r="AD228" s="10" t="s">
        <v>541</v>
      </c>
    </row>
    <row r="229" spans="1:30" x14ac:dyDescent="0.2">
      <c r="A229" s="110">
        <v>228</v>
      </c>
      <c r="B229" s="132">
        <v>41814</v>
      </c>
      <c r="C229" s="117">
        <v>3</v>
      </c>
      <c r="D229" s="103" t="s">
        <v>2</v>
      </c>
      <c r="E229" s="103" t="s">
        <v>306</v>
      </c>
      <c r="F229" s="103">
        <v>684</v>
      </c>
      <c r="G229" s="103">
        <v>75</v>
      </c>
      <c r="H229" s="137" t="s">
        <v>1076</v>
      </c>
      <c r="I229" s="103">
        <v>59</v>
      </c>
      <c r="K229" s="103" t="s">
        <v>364</v>
      </c>
      <c r="L229" s="133"/>
      <c r="M229" s="134">
        <v>6.5972222222222224E-2</v>
      </c>
      <c r="N229" s="134">
        <v>0.65069444444444446</v>
      </c>
      <c r="O229" s="133" t="s">
        <v>950</v>
      </c>
      <c r="Q229" s="100" t="s">
        <v>1052</v>
      </c>
      <c r="R229" s="226" t="s">
        <v>1056</v>
      </c>
      <c r="S229" s="491" t="str">
        <f t="shared" si="7"/>
        <v>x</v>
      </c>
      <c r="T229" s="492">
        <f>IFERROR(VLOOKUP(F229,'Freq-Chan'!C:D,2,FALSE),"x")</f>
        <v>151.684</v>
      </c>
      <c r="U229" s="110" t="s">
        <v>541</v>
      </c>
      <c r="V229" s="110" t="str">
        <f t="shared" si="8"/>
        <v>FWL</v>
      </c>
      <c r="W229" s="110" t="s">
        <v>541</v>
      </c>
      <c r="X229" s="110" t="s">
        <v>541</v>
      </c>
      <c r="Y229" s="110" t="str">
        <f>IFERROR(VLOOKUP(F229,'Freq-Chan'!C:E,3,FALSE),"na")</f>
        <v>F1845</v>
      </c>
      <c r="Z229" s="110" t="s">
        <v>541</v>
      </c>
      <c r="AA229" s="110" t="s">
        <v>541</v>
      </c>
      <c r="AB229" s="110" t="s">
        <v>541</v>
      </c>
      <c r="AC229" s="10" t="s">
        <v>541</v>
      </c>
      <c r="AD229" s="10" t="s">
        <v>541</v>
      </c>
    </row>
    <row r="230" spans="1:30" x14ac:dyDescent="0.2">
      <c r="A230" s="110">
        <v>229</v>
      </c>
      <c r="B230" s="132">
        <v>41814</v>
      </c>
      <c r="C230" s="117">
        <v>3</v>
      </c>
      <c r="D230" s="103" t="s">
        <v>2</v>
      </c>
      <c r="E230" s="103" t="s">
        <v>306</v>
      </c>
      <c r="F230" s="103">
        <v>684</v>
      </c>
      <c r="G230" s="103">
        <v>77</v>
      </c>
      <c r="H230" s="137" t="s">
        <v>1077</v>
      </c>
      <c r="I230" s="103">
        <v>66</v>
      </c>
      <c r="K230" s="103" t="s">
        <v>364</v>
      </c>
      <c r="L230" s="133">
        <v>0.68819444444444444</v>
      </c>
      <c r="M230" s="134">
        <v>6.3888888888888884E-2</v>
      </c>
      <c r="N230" s="134">
        <v>0.69305555555555554</v>
      </c>
      <c r="O230" s="133" t="s">
        <v>950</v>
      </c>
      <c r="Q230" s="100" t="s">
        <v>1052</v>
      </c>
      <c r="R230" s="226" t="s">
        <v>1056</v>
      </c>
      <c r="S230" s="491">
        <f t="shared" si="7"/>
        <v>3.7962962999999999E-3</v>
      </c>
      <c r="T230" s="492">
        <f>IFERROR(VLOOKUP(F230,'Freq-Chan'!C:D,2,FALSE),"x")</f>
        <v>151.684</v>
      </c>
      <c r="U230" s="110" t="s">
        <v>541</v>
      </c>
      <c r="V230" s="110" t="str">
        <f t="shared" si="8"/>
        <v>FWL</v>
      </c>
      <c r="W230" s="110" t="s">
        <v>541</v>
      </c>
      <c r="X230" s="110" t="s">
        <v>541</v>
      </c>
      <c r="Y230" s="110" t="str">
        <f>IFERROR(VLOOKUP(F230,'Freq-Chan'!C:E,3,FALSE),"na")</f>
        <v>F1845</v>
      </c>
      <c r="Z230" s="110" t="s">
        <v>541</v>
      </c>
      <c r="AA230" s="110" t="s">
        <v>541</v>
      </c>
      <c r="AB230" s="110" t="s">
        <v>541</v>
      </c>
      <c r="AC230" s="10" t="s">
        <v>541</v>
      </c>
      <c r="AD230" s="10" t="s">
        <v>541</v>
      </c>
    </row>
    <row r="231" spans="1:30" x14ac:dyDescent="0.2">
      <c r="A231" s="110">
        <v>230</v>
      </c>
      <c r="B231" s="132">
        <v>41814</v>
      </c>
      <c r="C231" s="117">
        <v>3</v>
      </c>
      <c r="D231" s="103" t="s">
        <v>2</v>
      </c>
      <c r="E231" s="103" t="s">
        <v>306</v>
      </c>
      <c r="F231" s="103">
        <v>684</v>
      </c>
      <c r="G231" s="103">
        <v>0</v>
      </c>
      <c r="H231" s="137" t="s">
        <v>1078</v>
      </c>
      <c r="I231" s="103">
        <v>73</v>
      </c>
      <c r="K231" s="103" t="s">
        <v>1032</v>
      </c>
      <c r="L231" s="133"/>
      <c r="M231" s="134">
        <v>5.2777777777777778E-2</v>
      </c>
      <c r="N231" s="134">
        <v>0.80763888888888891</v>
      </c>
      <c r="O231" s="133" t="s">
        <v>803</v>
      </c>
      <c r="Q231" s="100" t="s">
        <v>1521</v>
      </c>
      <c r="R231" s="226" t="s">
        <v>1056</v>
      </c>
      <c r="S231" s="491" t="str">
        <f t="shared" si="7"/>
        <v>x</v>
      </c>
      <c r="T231" s="492">
        <f>IFERROR(VLOOKUP(F231,'Freq-Chan'!C:D,2,FALSE),"x")</f>
        <v>151.684</v>
      </c>
      <c r="U231" s="110" t="s">
        <v>541</v>
      </c>
      <c r="V231" s="110" t="str">
        <f t="shared" si="8"/>
        <v>FWL</v>
      </c>
      <c r="W231" s="110" t="s">
        <v>541</v>
      </c>
      <c r="X231" s="110" t="s">
        <v>541</v>
      </c>
      <c r="Y231" s="110" t="str">
        <f>IFERROR(VLOOKUP(F231,'Freq-Chan'!C:E,3,FALSE),"na")</f>
        <v>F1845</v>
      </c>
      <c r="Z231" s="110" t="s">
        <v>541</v>
      </c>
      <c r="AA231" s="110" t="s">
        <v>541</v>
      </c>
      <c r="AB231" s="110" t="s">
        <v>541</v>
      </c>
      <c r="AC231" s="10" t="s">
        <v>541</v>
      </c>
      <c r="AD231" s="10" t="s">
        <v>541</v>
      </c>
    </row>
    <row r="232" spans="1:30" x14ac:dyDescent="0.2">
      <c r="A232" s="110">
        <v>231</v>
      </c>
      <c r="B232" s="132">
        <v>41814</v>
      </c>
      <c r="C232" s="117">
        <v>3</v>
      </c>
      <c r="D232" s="103" t="s">
        <v>177</v>
      </c>
      <c r="E232" s="103" t="s">
        <v>0</v>
      </c>
      <c r="H232" s="103"/>
      <c r="I232" s="103">
        <v>32</v>
      </c>
      <c r="K232" s="103" t="s">
        <v>364</v>
      </c>
      <c r="L232" s="133">
        <v>0.81041666666666667</v>
      </c>
      <c r="M232" s="134">
        <v>1.3194444444444444E-2</v>
      </c>
      <c r="N232" s="134">
        <v>0.81319444444444444</v>
      </c>
      <c r="O232" s="133" t="s">
        <v>803</v>
      </c>
      <c r="Q232" s="100" t="s">
        <v>1521</v>
      </c>
      <c r="R232" s="226" t="s">
        <v>1056</v>
      </c>
      <c r="S232" s="491">
        <f t="shared" si="7"/>
        <v>2.5578704E-3</v>
      </c>
      <c r="T232" s="492" t="str">
        <f>IFERROR(VLOOKUP(F232,'Freq-Chan'!C:D,2,FALSE),"x")</f>
        <v>x</v>
      </c>
      <c r="U232" s="110" t="s">
        <v>541</v>
      </c>
      <c r="V232" s="110" t="str">
        <f t="shared" si="8"/>
        <v>FWL</v>
      </c>
      <c r="W232" s="110" t="s">
        <v>541</v>
      </c>
      <c r="X232" s="110" t="s">
        <v>541</v>
      </c>
      <c r="Y232" s="110" t="str">
        <f>IFERROR(VLOOKUP(F232,'Freq-Chan'!C:E,3,FALSE),"na")</f>
        <v>na</v>
      </c>
      <c r="Z232" s="110" t="s">
        <v>541</v>
      </c>
      <c r="AA232" s="110" t="s">
        <v>541</v>
      </c>
      <c r="AB232" s="110" t="s">
        <v>541</v>
      </c>
      <c r="AC232" s="10" t="s">
        <v>541</v>
      </c>
      <c r="AD232" s="10" t="s">
        <v>541</v>
      </c>
    </row>
    <row r="233" spans="1:30" x14ac:dyDescent="0.2">
      <c r="A233" s="110">
        <v>232</v>
      </c>
      <c r="B233" s="132">
        <v>41814</v>
      </c>
      <c r="C233" s="117">
        <v>3</v>
      </c>
      <c r="D233" s="103" t="s">
        <v>2</v>
      </c>
      <c r="E233" s="103" t="s">
        <v>306</v>
      </c>
      <c r="F233" s="103">
        <v>725</v>
      </c>
      <c r="G233" s="103">
        <v>3</v>
      </c>
      <c r="H233" s="137" t="s">
        <v>1079</v>
      </c>
      <c r="I233" s="103">
        <v>77</v>
      </c>
      <c r="K233" s="103" t="s">
        <v>365</v>
      </c>
      <c r="L233" s="133">
        <v>0.88402777777777775</v>
      </c>
      <c r="M233" s="134">
        <v>4.5833333333333337E-2</v>
      </c>
      <c r="N233" s="134">
        <v>0.88680555555555562</v>
      </c>
      <c r="O233" s="133" t="s">
        <v>805</v>
      </c>
      <c r="Q233" s="100" t="s">
        <v>1521</v>
      </c>
      <c r="R233" s="226" t="s">
        <v>1056</v>
      </c>
      <c r="S233" s="491">
        <f t="shared" si="7"/>
        <v>2.0138889E-3</v>
      </c>
      <c r="T233" s="492">
        <f>IFERROR(VLOOKUP(F233,'Freq-Chan'!C:D,2,FALSE),"x")</f>
        <v>151.72499999999999</v>
      </c>
      <c r="U233" s="110" t="s">
        <v>541</v>
      </c>
      <c r="V233" s="110" t="str">
        <f t="shared" si="8"/>
        <v>FWL</v>
      </c>
      <c r="W233" s="110" t="s">
        <v>541</v>
      </c>
      <c r="X233" s="110" t="s">
        <v>541</v>
      </c>
      <c r="Y233" s="110" t="str">
        <f>IFERROR(VLOOKUP(F233,'Freq-Chan'!C:E,3,FALSE),"na")</f>
        <v>F1845</v>
      </c>
      <c r="Z233" s="110" t="s">
        <v>541</v>
      </c>
      <c r="AA233" s="110" t="s">
        <v>541</v>
      </c>
      <c r="AB233" s="110" t="s">
        <v>541</v>
      </c>
      <c r="AC233" s="10" t="s">
        <v>541</v>
      </c>
      <c r="AD233" s="10" t="s">
        <v>541</v>
      </c>
    </row>
    <row r="234" spans="1:30" s="291" customFormat="1" x14ac:dyDescent="0.2">
      <c r="A234" s="493">
        <v>233</v>
      </c>
      <c r="B234" s="283">
        <v>41814</v>
      </c>
      <c r="C234" s="284">
        <v>3</v>
      </c>
      <c r="D234" s="285" t="s">
        <v>2</v>
      </c>
      <c r="E234" s="285" t="s">
        <v>306</v>
      </c>
      <c r="F234" s="285">
        <v>684</v>
      </c>
      <c r="G234" s="285">
        <v>52</v>
      </c>
      <c r="H234" s="339" t="s">
        <v>1080</v>
      </c>
      <c r="I234" s="285">
        <v>73</v>
      </c>
      <c r="J234" s="285"/>
      <c r="K234" s="285" t="s">
        <v>1032</v>
      </c>
      <c r="L234" s="286">
        <v>0.94861111111111107</v>
      </c>
      <c r="M234" s="287">
        <v>3.9583333333333331E-2</v>
      </c>
      <c r="N234" s="287">
        <v>0.95277777777777783</v>
      </c>
      <c r="O234" s="286" t="s">
        <v>803</v>
      </c>
      <c r="P234" s="289"/>
      <c r="Q234" s="289" t="s">
        <v>1521</v>
      </c>
      <c r="R234" s="290" t="s">
        <v>1056</v>
      </c>
      <c r="S234" s="494">
        <f t="shared" si="7"/>
        <v>3.5069443999999998E-3</v>
      </c>
      <c r="T234" s="495">
        <f>IFERROR(VLOOKUP(F234,'Freq-Chan'!C:D,2,FALSE),"x")</f>
        <v>151.684</v>
      </c>
      <c r="U234" s="493" t="s">
        <v>541</v>
      </c>
      <c r="V234" s="493" t="str">
        <f t="shared" si="8"/>
        <v>FWL</v>
      </c>
      <c r="W234" s="493" t="s">
        <v>541</v>
      </c>
      <c r="X234" s="493" t="s">
        <v>541</v>
      </c>
      <c r="Y234" s="493" t="str">
        <f>IFERROR(VLOOKUP(F234,'Freq-Chan'!C:E,3,FALSE),"na")</f>
        <v>F1845</v>
      </c>
      <c r="Z234" s="493" t="s">
        <v>541</v>
      </c>
      <c r="AA234" s="493" t="s">
        <v>541</v>
      </c>
      <c r="AB234" s="493" t="s">
        <v>541</v>
      </c>
      <c r="AC234" s="291" t="s">
        <v>541</v>
      </c>
      <c r="AD234" s="291" t="s">
        <v>541</v>
      </c>
    </row>
    <row r="235" spans="1:30" x14ac:dyDescent="0.2">
      <c r="A235" s="110">
        <v>234</v>
      </c>
      <c r="B235" s="132">
        <v>41815</v>
      </c>
      <c r="C235" s="117">
        <v>1</v>
      </c>
      <c r="D235" s="103" t="s">
        <v>2</v>
      </c>
      <c r="E235" s="103" t="s">
        <v>306</v>
      </c>
      <c r="F235" s="103">
        <v>725</v>
      </c>
      <c r="G235" s="103">
        <v>49</v>
      </c>
      <c r="H235" s="137" t="s">
        <v>1090</v>
      </c>
      <c r="I235" s="103">
        <v>55</v>
      </c>
      <c r="K235" s="103" t="s">
        <v>1032</v>
      </c>
      <c r="L235" s="133"/>
      <c r="M235" s="134">
        <v>4.6527777777777779E-2</v>
      </c>
      <c r="N235" s="134">
        <v>0.26250000000000001</v>
      </c>
      <c r="O235" s="133" t="s">
        <v>950</v>
      </c>
      <c r="Q235" s="100" t="s">
        <v>1525</v>
      </c>
      <c r="R235" s="226" t="s">
        <v>1526</v>
      </c>
      <c r="S235" s="491" t="str">
        <f t="shared" si="7"/>
        <v>x</v>
      </c>
      <c r="T235" s="492">
        <f>IFERROR(VLOOKUP(F235,'Freq-Chan'!C:D,2,FALSE),"x")</f>
        <v>151.72499999999999</v>
      </c>
      <c r="U235" s="110" t="s">
        <v>541</v>
      </c>
      <c r="V235" s="110" t="str">
        <f t="shared" si="8"/>
        <v>FWL</v>
      </c>
      <c r="W235" s="110" t="s">
        <v>541</v>
      </c>
      <c r="X235" s="110" t="s">
        <v>541</v>
      </c>
      <c r="Y235" s="110" t="str">
        <f>IFERROR(VLOOKUP(F235,'Freq-Chan'!C:E,3,FALSE),"na")</f>
        <v>F1845</v>
      </c>
      <c r="Z235" s="110" t="s">
        <v>541</v>
      </c>
      <c r="AA235" s="110" t="s">
        <v>541</v>
      </c>
      <c r="AB235" s="110" t="s">
        <v>541</v>
      </c>
      <c r="AC235" s="10" t="s">
        <v>541</v>
      </c>
      <c r="AD235" s="10" t="s">
        <v>541</v>
      </c>
    </row>
    <row r="236" spans="1:30" x14ac:dyDescent="0.2">
      <c r="A236" s="110">
        <v>235</v>
      </c>
      <c r="B236" s="132">
        <v>41815</v>
      </c>
      <c r="C236" s="117">
        <v>1</v>
      </c>
      <c r="D236" s="103" t="s">
        <v>2</v>
      </c>
      <c r="E236" s="103" t="s">
        <v>306</v>
      </c>
      <c r="F236" s="103">
        <v>684</v>
      </c>
      <c r="G236" s="103">
        <v>81</v>
      </c>
      <c r="H236" s="137" t="s">
        <v>1091</v>
      </c>
      <c r="I236" s="103">
        <v>57</v>
      </c>
      <c r="K236" s="103" t="s">
        <v>364</v>
      </c>
      <c r="L236" s="133">
        <v>0.27152777777777776</v>
      </c>
      <c r="M236" s="134">
        <v>4.5833333333333337E-2</v>
      </c>
      <c r="N236" s="134">
        <v>0.27708333333333335</v>
      </c>
      <c r="O236" s="133" t="s">
        <v>1033</v>
      </c>
      <c r="Q236" s="100" t="s">
        <v>1525</v>
      </c>
      <c r="R236" s="226" t="s">
        <v>1526</v>
      </c>
      <c r="S236" s="491">
        <f t="shared" si="7"/>
        <v>4.7916666999999998E-3</v>
      </c>
      <c r="T236" s="492">
        <f>IFERROR(VLOOKUP(F236,'Freq-Chan'!C:D,2,FALSE),"x")</f>
        <v>151.684</v>
      </c>
      <c r="U236" s="110" t="s">
        <v>541</v>
      </c>
      <c r="V236" s="110" t="str">
        <f t="shared" si="8"/>
        <v>FWL</v>
      </c>
      <c r="W236" s="110" t="s">
        <v>541</v>
      </c>
      <c r="X236" s="110" t="s">
        <v>541</v>
      </c>
      <c r="Y236" s="110" t="str">
        <f>IFERROR(VLOOKUP(F236,'Freq-Chan'!C:E,3,FALSE),"na")</f>
        <v>F1845</v>
      </c>
      <c r="Z236" s="110" t="s">
        <v>541</v>
      </c>
      <c r="AA236" s="110" t="s">
        <v>541</v>
      </c>
      <c r="AB236" s="110" t="s">
        <v>541</v>
      </c>
      <c r="AC236" s="10" t="s">
        <v>541</v>
      </c>
      <c r="AD236" s="10" t="s">
        <v>541</v>
      </c>
    </row>
    <row r="237" spans="1:30" x14ac:dyDescent="0.2">
      <c r="A237" s="110">
        <v>236</v>
      </c>
      <c r="B237" s="132">
        <v>41815</v>
      </c>
      <c r="C237" s="117">
        <v>1</v>
      </c>
      <c r="D237" s="103" t="s">
        <v>88</v>
      </c>
      <c r="E237" s="103" t="s">
        <v>798</v>
      </c>
      <c r="H237" s="103"/>
      <c r="J237" s="103">
        <v>27</v>
      </c>
      <c r="K237" s="103" t="s">
        <v>364</v>
      </c>
      <c r="L237" s="133"/>
      <c r="M237" s="134">
        <v>1.0416666666666666E-2</v>
      </c>
      <c r="N237" s="134">
        <v>0.39861111111111108</v>
      </c>
      <c r="O237" s="133" t="s">
        <v>1033</v>
      </c>
      <c r="Q237" s="100" t="s">
        <v>1525</v>
      </c>
      <c r="R237" s="226" t="s">
        <v>1526</v>
      </c>
      <c r="S237" s="491" t="str">
        <f t="shared" si="7"/>
        <v>x</v>
      </c>
      <c r="T237" s="492" t="str">
        <f>IFERROR(VLOOKUP(F237,'Freq-Chan'!C:D,2,FALSE),"x")</f>
        <v>x</v>
      </c>
      <c r="U237" s="110" t="s">
        <v>541</v>
      </c>
      <c r="V237" s="110" t="str">
        <f t="shared" si="8"/>
        <v>FWL</v>
      </c>
      <c r="W237" s="110" t="s">
        <v>541</v>
      </c>
      <c r="X237" s="110" t="s">
        <v>541</v>
      </c>
      <c r="Y237" s="110" t="str">
        <f>IFERROR(VLOOKUP(F237,'Freq-Chan'!C:E,3,FALSE),"na")</f>
        <v>na</v>
      </c>
      <c r="Z237" s="110" t="s">
        <v>541</v>
      </c>
      <c r="AA237" s="110" t="s">
        <v>541</v>
      </c>
      <c r="AB237" s="110" t="s">
        <v>541</v>
      </c>
      <c r="AC237" s="10" t="s">
        <v>541</v>
      </c>
      <c r="AD237" s="10" t="s">
        <v>541</v>
      </c>
    </row>
    <row r="238" spans="1:30" x14ac:dyDescent="0.2">
      <c r="A238" s="110">
        <v>237</v>
      </c>
      <c r="B238" s="132">
        <v>41815</v>
      </c>
      <c r="C238" s="117">
        <v>1</v>
      </c>
      <c r="D238" s="103" t="s">
        <v>2</v>
      </c>
      <c r="E238" s="103" t="s">
        <v>306</v>
      </c>
      <c r="F238" s="103">
        <v>684</v>
      </c>
      <c r="G238" s="103">
        <v>53</v>
      </c>
      <c r="H238" s="137" t="s">
        <v>1093</v>
      </c>
      <c r="I238" s="103">
        <v>93</v>
      </c>
      <c r="K238" s="103" t="s">
        <v>1032</v>
      </c>
      <c r="L238" s="133"/>
      <c r="M238" s="134">
        <v>8.7500000000000008E-2</v>
      </c>
      <c r="N238" s="134">
        <v>0.51111111111111118</v>
      </c>
      <c r="O238" s="133" t="s">
        <v>803</v>
      </c>
      <c r="Q238" s="100" t="s">
        <v>1534</v>
      </c>
      <c r="R238" s="226" t="s">
        <v>1526</v>
      </c>
      <c r="S238" s="491" t="str">
        <f t="shared" si="7"/>
        <v>x</v>
      </c>
      <c r="T238" s="492">
        <f>IFERROR(VLOOKUP(F238,'Freq-Chan'!C:D,2,FALSE),"x")</f>
        <v>151.684</v>
      </c>
      <c r="U238" s="110" t="s">
        <v>541</v>
      </c>
      <c r="V238" s="110" t="str">
        <f t="shared" si="8"/>
        <v>FWL</v>
      </c>
      <c r="W238" s="110" t="s">
        <v>541</v>
      </c>
      <c r="X238" s="110" t="s">
        <v>541</v>
      </c>
      <c r="Y238" s="110" t="str">
        <f>IFERROR(VLOOKUP(F238,'Freq-Chan'!C:E,3,FALSE),"na")</f>
        <v>F1845</v>
      </c>
      <c r="Z238" s="110" t="s">
        <v>541</v>
      </c>
      <c r="AA238" s="110" t="s">
        <v>541</v>
      </c>
      <c r="AB238" s="110" t="s">
        <v>541</v>
      </c>
      <c r="AC238" s="10" t="s">
        <v>541</v>
      </c>
      <c r="AD238" s="10" t="s">
        <v>541</v>
      </c>
    </row>
    <row r="239" spans="1:30" x14ac:dyDescent="0.2">
      <c r="A239" s="110">
        <v>238</v>
      </c>
      <c r="B239" s="132">
        <v>41815</v>
      </c>
      <c r="C239" s="117">
        <v>1</v>
      </c>
      <c r="D239" s="103" t="s">
        <v>2</v>
      </c>
      <c r="E239" s="103" t="s">
        <v>306</v>
      </c>
      <c r="F239" s="103">
        <v>725</v>
      </c>
      <c r="G239" s="103">
        <v>38</v>
      </c>
      <c r="H239" s="137" t="s">
        <v>1092</v>
      </c>
      <c r="I239" s="103">
        <v>57</v>
      </c>
      <c r="K239" s="103" t="s">
        <v>364</v>
      </c>
      <c r="L239" s="133"/>
      <c r="M239" s="134">
        <v>5.2083333333333336E-2</v>
      </c>
      <c r="N239" s="134">
        <v>0.50486111111111109</v>
      </c>
      <c r="O239" s="133" t="s">
        <v>805</v>
      </c>
      <c r="Q239" s="100" t="s">
        <v>1534</v>
      </c>
      <c r="R239" s="226" t="s">
        <v>1526</v>
      </c>
      <c r="S239" s="491" t="str">
        <f t="shared" si="7"/>
        <v>x</v>
      </c>
      <c r="T239" s="492">
        <f>IFERROR(VLOOKUP(F239,'Freq-Chan'!C:D,2,FALSE),"x")</f>
        <v>151.72499999999999</v>
      </c>
      <c r="U239" s="110" t="s">
        <v>541</v>
      </c>
      <c r="V239" s="110" t="str">
        <f t="shared" si="8"/>
        <v>FWL</v>
      </c>
      <c r="W239" s="110" t="s">
        <v>541</v>
      </c>
      <c r="X239" s="110" t="s">
        <v>541</v>
      </c>
      <c r="Y239" s="110" t="str">
        <f>IFERROR(VLOOKUP(F239,'Freq-Chan'!C:E,3,FALSE),"na")</f>
        <v>F1845</v>
      </c>
      <c r="Z239" s="110" t="s">
        <v>541</v>
      </c>
      <c r="AA239" s="110" t="s">
        <v>541</v>
      </c>
      <c r="AB239" s="110" t="s">
        <v>541</v>
      </c>
      <c r="AC239" s="10" t="s">
        <v>541</v>
      </c>
      <c r="AD239" s="10" t="s">
        <v>541</v>
      </c>
    </row>
    <row r="240" spans="1:30" x14ac:dyDescent="0.2">
      <c r="A240" s="110">
        <v>239</v>
      </c>
      <c r="B240" s="132">
        <v>41815</v>
      </c>
      <c r="C240" s="117">
        <v>1</v>
      </c>
      <c r="D240" s="103" t="s">
        <v>2</v>
      </c>
      <c r="E240" s="103" t="s">
        <v>306</v>
      </c>
      <c r="F240" s="103">
        <v>725</v>
      </c>
      <c r="G240" s="103">
        <v>33</v>
      </c>
      <c r="H240" s="137" t="s">
        <v>1094</v>
      </c>
      <c r="I240" s="103">
        <v>87</v>
      </c>
      <c r="K240" s="103" t="s">
        <v>365</v>
      </c>
      <c r="L240" s="133"/>
      <c r="M240" s="134">
        <v>8.1250000000000003E-2</v>
      </c>
      <c r="N240" s="134">
        <v>0.63402777777777775</v>
      </c>
      <c r="O240" s="133" t="s">
        <v>1033</v>
      </c>
      <c r="Q240" s="100" t="s">
        <v>1525</v>
      </c>
      <c r="R240" s="226" t="s">
        <v>1526</v>
      </c>
      <c r="S240" s="491" t="str">
        <f t="shared" si="7"/>
        <v>x</v>
      </c>
      <c r="T240" s="492">
        <f>IFERROR(VLOOKUP(F240,'Freq-Chan'!C:D,2,FALSE),"x")</f>
        <v>151.72499999999999</v>
      </c>
      <c r="U240" s="110" t="s">
        <v>541</v>
      </c>
      <c r="V240" s="110" t="str">
        <f t="shared" si="8"/>
        <v>FWL</v>
      </c>
      <c r="W240" s="110" t="s">
        <v>541</v>
      </c>
      <c r="X240" s="110" t="s">
        <v>541</v>
      </c>
      <c r="Y240" s="110" t="str">
        <f>IFERROR(VLOOKUP(F240,'Freq-Chan'!C:E,3,FALSE),"na")</f>
        <v>F1845</v>
      </c>
      <c r="Z240" s="110" t="s">
        <v>541</v>
      </c>
      <c r="AA240" s="110" t="s">
        <v>541</v>
      </c>
      <c r="AB240" s="110" t="s">
        <v>541</v>
      </c>
      <c r="AC240" s="10" t="s">
        <v>541</v>
      </c>
      <c r="AD240" s="10" t="s">
        <v>541</v>
      </c>
    </row>
    <row r="241" spans="1:30" x14ac:dyDescent="0.2">
      <c r="A241" s="110">
        <v>240</v>
      </c>
      <c r="B241" s="132">
        <v>41815</v>
      </c>
      <c r="C241" s="117">
        <v>1</v>
      </c>
      <c r="D241" s="103" t="s">
        <v>2</v>
      </c>
      <c r="E241" s="103" t="s">
        <v>306</v>
      </c>
      <c r="H241" s="103"/>
      <c r="K241" s="103" t="s">
        <v>364</v>
      </c>
      <c r="L241" s="133"/>
      <c r="M241" s="134">
        <v>0.10416666666666667</v>
      </c>
      <c r="N241" s="134">
        <v>0.63958333333333328</v>
      </c>
      <c r="O241" s="133" t="s">
        <v>1532</v>
      </c>
      <c r="P241" s="100" t="s">
        <v>1533</v>
      </c>
      <c r="Q241" s="100" t="s">
        <v>1525</v>
      </c>
      <c r="R241" s="226" t="s">
        <v>1526</v>
      </c>
      <c r="S241" s="491" t="str">
        <f t="shared" si="7"/>
        <v>x</v>
      </c>
      <c r="T241" s="492" t="str">
        <f>IFERROR(VLOOKUP(F241,'Freq-Chan'!C:D,2,FALSE),"x")</f>
        <v>x</v>
      </c>
      <c r="U241" s="110" t="s">
        <v>541</v>
      </c>
      <c r="V241" s="110" t="str">
        <f t="shared" si="8"/>
        <v>FWL</v>
      </c>
      <c r="W241" s="110" t="s">
        <v>541</v>
      </c>
      <c r="X241" s="110" t="s">
        <v>541</v>
      </c>
      <c r="Y241" s="110" t="str">
        <f>IFERROR(VLOOKUP(F241,'Freq-Chan'!C:E,3,FALSE),"na")</f>
        <v>na</v>
      </c>
      <c r="Z241" s="110" t="s">
        <v>541</v>
      </c>
      <c r="AA241" s="110" t="s">
        <v>541</v>
      </c>
      <c r="AB241" s="110" t="s">
        <v>541</v>
      </c>
      <c r="AC241" s="10" t="s">
        <v>541</v>
      </c>
      <c r="AD241" s="10" t="s">
        <v>541</v>
      </c>
    </row>
    <row r="242" spans="1:30" x14ac:dyDescent="0.2">
      <c r="A242" s="110">
        <v>241</v>
      </c>
      <c r="B242" s="132">
        <v>41815</v>
      </c>
      <c r="C242" s="117">
        <v>1</v>
      </c>
      <c r="D242" s="103" t="s">
        <v>2</v>
      </c>
      <c r="E242" s="103" t="s">
        <v>306</v>
      </c>
      <c r="F242" s="103">
        <v>725</v>
      </c>
      <c r="G242" s="103">
        <v>70</v>
      </c>
      <c r="H242" s="137" t="s">
        <v>1096</v>
      </c>
      <c r="I242" s="103">
        <v>64</v>
      </c>
      <c r="K242" s="103" t="s">
        <v>364</v>
      </c>
      <c r="L242" s="133">
        <v>0.65555555555555556</v>
      </c>
      <c r="M242" s="134">
        <v>5.347222222222222E-2</v>
      </c>
      <c r="N242" s="134">
        <v>0.65902777777777777</v>
      </c>
      <c r="O242" s="133" t="s">
        <v>1532</v>
      </c>
      <c r="Q242" s="100" t="s">
        <v>1525</v>
      </c>
      <c r="R242" s="226" t="s">
        <v>1526</v>
      </c>
      <c r="S242" s="491">
        <f t="shared" si="7"/>
        <v>2.5810185000000002E-3</v>
      </c>
      <c r="T242" s="492">
        <f>IFERROR(VLOOKUP(F242,'Freq-Chan'!C:D,2,FALSE),"x")</f>
        <v>151.72499999999999</v>
      </c>
      <c r="U242" s="110" t="s">
        <v>541</v>
      </c>
      <c r="V242" s="110" t="str">
        <f t="shared" si="8"/>
        <v>FWL</v>
      </c>
      <c r="W242" s="110" t="s">
        <v>541</v>
      </c>
      <c r="X242" s="110" t="s">
        <v>541</v>
      </c>
      <c r="Y242" s="110" t="str">
        <f>IFERROR(VLOOKUP(F242,'Freq-Chan'!C:E,3,FALSE),"na")</f>
        <v>F1845</v>
      </c>
      <c r="Z242" s="110" t="s">
        <v>541</v>
      </c>
      <c r="AA242" s="110" t="s">
        <v>541</v>
      </c>
      <c r="AB242" s="110" t="s">
        <v>541</v>
      </c>
      <c r="AC242" s="10" t="s">
        <v>541</v>
      </c>
      <c r="AD242" s="10" t="s">
        <v>541</v>
      </c>
    </row>
    <row r="243" spans="1:30" s="291" customFormat="1" x14ac:dyDescent="0.2">
      <c r="A243" s="493">
        <v>242</v>
      </c>
      <c r="B243" s="283">
        <v>41815</v>
      </c>
      <c r="C243" s="284">
        <v>1</v>
      </c>
      <c r="D243" s="285" t="s">
        <v>2</v>
      </c>
      <c r="E243" s="285" t="s">
        <v>306</v>
      </c>
      <c r="F243" s="285">
        <v>725</v>
      </c>
      <c r="G243" s="285">
        <v>78</v>
      </c>
      <c r="H243" s="339" t="s">
        <v>1098</v>
      </c>
      <c r="I243" s="285">
        <v>68</v>
      </c>
      <c r="J243" s="285"/>
      <c r="K243" s="285" t="s">
        <v>364</v>
      </c>
      <c r="L243" s="286"/>
      <c r="M243" s="287">
        <v>5.9027777777777783E-2</v>
      </c>
      <c r="N243" s="287">
        <v>0.81874999999999998</v>
      </c>
      <c r="O243" s="286" t="s">
        <v>805</v>
      </c>
      <c r="P243" s="289"/>
      <c r="Q243" s="289" t="s">
        <v>1534</v>
      </c>
      <c r="R243" s="290" t="s">
        <v>1526</v>
      </c>
      <c r="S243" s="494" t="str">
        <f t="shared" si="7"/>
        <v>x</v>
      </c>
      <c r="T243" s="495">
        <f>IFERROR(VLOOKUP(F243,'Freq-Chan'!C:D,2,FALSE),"x")</f>
        <v>151.72499999999999</v>
      </c>
      <c r="U243" s="493" t="s">
        <v>541</v>
      </c>
      <c r="V243" s="493" t="str">
        <f t="shared" si="8"/>
        <v>FWL</v>
      </c>
      <c r="W243" s="493" t="s">
        <v>541</v>
      </c>
      <c r="X243" s="493" t="s">
        <v>541</v>
      </c>
      <c r="Y243" s="493" t="str">
        <f>IFERROR(VLOOKUP(F243,'Freq-Chan'!C:E,3,FALSE),"na")</f>
        <v>F1845</v>
      </c>
      <c r="Z243" s="493" t="s">
        <v>541</v>
      </c>
      <c r="AA243" s="493" t="s">
        <v>541</v>
      </c>
      <c r="AB243" s="493" t="s">
        <v>541</v>
      </c>
      <c r="AC243" s="291" t="s">
        <v>541</v>
      </c>
      <c r="AD243" s="291" t="s">
        <v>541</v>
      </c>
    </row>
    <row r="244" spans="1:30" x14ac:dyDescent="0.2">
      <c r="A244" s="110">
        <v>243</v>
      </c>
      <c r="B244" s="132">
        <v>41815</v>
      </c>
      <c r="C244" s="117">
        <v>2</v>
      </c>
      <c r="D244" s="103" t="s">
        <v>2</v>
      </c>
      <c r="E244" s="103" t="s">
        <v>306</v>
      </c>
      <c r="F244" s="103">
        <v>684</v>
      </c>
      <c r="G244" s="103">
        <v>94</v>
      </c>
      <c r="H244" s="137" t="s">
        <v>1095</v>
      </c>
      <c r="I244" s="103">
        <v>80</v>
      </c>
      <c r="K244" s="103" t="s">
        <v>364</v>
      </c>
      <c r="L244" s="133"/>
      <c r="M244" s="134">
        <v>6.25E-2</v>
      </c>
      <c r="N244" s="135" t="s">
        <v>1535</v>
      </c>
      <c r="O244" s="133" t="s">
        <v>805</v>
      </c>
      <c r="Q244" s="100" t="s">
        <v>1534</v>
      </c>
      <c r="R244" s="226" t="s">
        <v>1526</v>
      </c>
      <c r="S244" s="491" t="str">
        <f t="shared" si="7"/>
        <v>x</v>
      </c>
      <c r="T244" s="492">
        <f>IFERROR(VLOOKUP(F244,'Freq-Chan'!C:D,2,FALSE),"x")</f>
        <v>151.684</v>
      </c>
      <c r="U244" s="110" t="s">
        <v>541</v>
      </c>
      <c r="V244" s="110" t="str">
        <f t="shared" si="8"/>
        <v>FWL</v>
      </c>
      <c r="W244" s="110" t="s">
        <v>541</v>
      </c>
      <c r="X244" s="110" t="s">
        <v>541</v>
      </c>
      <c r="Y244" s="110" t="str">
        <f>IFERROR(VLOOKUP(F244,'Freq-Chan'!C:E,3,FALSE),"na")</f>
        <v>F1845</v>
      </c>
      <c r="Z244" s="110" t="s">
        <v>541</v>
      </c>
      <c r="AA244" s="110" t="s">
        <v>541</v>
      </c>
      <c r="AB244" s="110" t="s">
        <v>541</v>
      </c>
      <c r="AC244" s="10" t="s">
        <v>541</v>
      </c>
      <c r="AD244" s="10" t="s">
        <v>541</v>
      </c>
    </row>
    <row r="245" spans="1:30" x14ac:dyDescent="0.2">
      <c r="A245" s="110">
        <v>244</v>
      </c>
      <c r="B245" s="132">
        <v>41815</v>
      </c>
      <c r="C245" s="117">
        <v>2</v>
      </c>
      <c r="D245" s="103" t="s">
        <v>2</v>
      </c>
      <c r="E245" s="103" t="s">
        <v>306</v>
      </c>
      <c r="F245" s="103">
        <v>684</v>
      </c>
      <c r="G245" s="103">
        <v>46</v>
      </c>
      <c r="H245" s="137" t="s">
        <v>1097</v>
      </c>
      <c r="I245" s="103">
        <v>84</v>
      </c>
      <c r="K245" s="103" t="s">
        <v>364</v>
      </c>
      <c r="L245" s="133"/>
      <c r="M245" s="134">
        <v>7.4999999999999997E-2</v>
      </c>
      <c r="N245" s="137" t="s">
        <v>1536</v>
      </c>
      <c r="O245" s="133" t="s">
        <v>1033</v>
      </c>
      <c r="Q245" s="100" t="s">
        <v>1525</v>
      </c>
      <c r="R245" s="226" t="s">
        <v>1526</v>
      </c>
      <c r="S245" s="491" t="str">
        <f t="shared" si="7"/>
        <v>x</v>
      </c>
      <c r="T245" s="492">
        <f>IFERROR(VLOOKUP(F245,'Freq-Chan'!C:D,2,FALSE),"x")</f>
        <v>151.684</v>
      </c>
      <c r="U245" s="110" t="s">
        <v>541</v>
      </c>
      <c r="V245" s="110" t="str">
        <f t="shared" si="8"/>
        <v>FWL</v>
      </c>
      <c r="W245" s="110" t="s">
        <v>541</v>
      </c>
      <c r="X245" s="110" t="s">
        <v>541</v>
      </c>
      <c r="Y245" s="110" t="str">
        <f>IFERROR(VLOOKUP(F245,'Freq-Chan'!C:E,3,FALSE),"na")</f>
        <v>F1845</v>
      </c>
      <c r="Z245" s="110" t="s">
        <v>541</v>
      </c>
      <c r="AA245" s="110" t="s">
        <v>541</v>
      </c>
      <c r="AB245" s="110" t="s">
        <v>541</v>
      </c>
      <c r="AC245" s="10" t="s">
        <v>541</v>
      </c>
      <c r="AD245" s="10" t="s">
        <v>541</v>
      </c>
    </row>
    <row r="246" spans="1:30" s="291" customFormat="1" x14ac:dyDescent="0.2">
      <c r="A246" s="493">
        <v>245</v>
      </c>
      <c r="B246" s="283">
        <v>41815</v>
      </c>
      <c r="C246" s="284">
        <v>2</v>
      </c>
      <c r="D246" s="285" t="s">
        <v>2</v>
      </c>
      <c r="E246" s="285" t="s">
        <v>306</v>
      </c>
      <c r="F246" s="285">
        <v>725</v>
      </c>
      <c r="G246" s="285">
        <v>24</v>
      </c>
      <c r="H246" s="339" t="s">
        <v>1100</v>
      </c>
      <c r="I246" s="285">
        <v>92</v>
      </c>
      <c r="J246" s="285"/>
      <c r="K246" s="285" t="s">
        <v>364</v>
      </c>
      <c r="L246" s="286"/>
      <c r="M246" s="287">
        <v>0.10277777777777779</v>
      </c>
      <c r="N246" s="339" t="s">
        <v>1537</v>
      </c>
      <c r="O246" s="286" t="s">
        <v>909</v>
      </c>
      <c r="P246" s="289"/>
      <c r="Q246" s="289" t="s">
        <v>1534</v>
      </c>
      <c r="R246" s="290" t="s">
        <v>1526</v>
      </c>
      <c r="S246" s="494" t="str">
        <f t="shared" si="7"/>
        <v>x</v>
      </c>
      <c r="T246" s="495">
        <f>IFERROR(VLOOKUP(F246,'Freq-Chan'!C:D,2,FALSE),"x")</f>
        <v>151.72499999999999</v>
      </c>
      <c r="U246" s="493" t="s">
        <v>541</v>
      </c>
      <c r="V246" s="493" t="str">
        <f t="shared" si="8"/>
        <v>FWL</v>
      </c>
      <c r="W246" s="493" t="s">
        <v>541</v>
      </c>
      <c r="X246" s="493" t="s">
        <v>541</v>
      </c>
      <c r="Y246" s="493" t="str">
        <f>IFERROR(VLOOKUP(F246,'Freq-Chan'!C:E,3,FALSE),"na")</f>
        <v>F1845</v>
      </c>
      <c r="Z246" s="493" t="s">
        <v>541</v>
      </c>
      <c r="AA246" s="493" t="s">
        <v>541</v>
      </c>
      <c r="AB246" s="493" t="s">
        <v>541</v>
      </c>
      <c r="AC246" s="291" t="s">
        <v>541</v>
      </c>
      <c r="AD246" s="291" t="s">
        <v>541</v>
      </c>
    </row>
    <row r="247" spans="1:30" x14ac:dyDescent="0.2">
      <c r="A247" s="110">
        <v>246</v>
      </c>
      <c r="B247" s="132">
        <v>41815</v>
      </c>
      <c r="C247" s="117">
        <v>3</v>
      </c>
      <c r="D247" s="103" t="s">
        <v>2</v>
      </c>
      <c r="E247" s="103" t="s">
        <v>306</v>
      </c>
      <c r="F247" s="103">
        <v>725</v>
      </c>
      <c r="G247" s="103">
        <v>10</v>
      </c>
      <c r="H247" s="137" t="s">
        <v>1081</v>
      </c>
      <c r="I247" s="103">
        <v>87</v>
      </c>
      <c r="K247" s="103" t="s">
        <v>364</v>
      </c>
      <c r="L247" s="133">
        <v>0.33124999999999999</v>
      </c>
      <c r="M247" s="134">
        <v>6.9444444444444434E-2</v>
      </c>
      <c r="N247" s="134">
        <v>0.3347222222222222</v>
      </c>
      <c r="O247" s="133" t="s">
        <v>372</v>
      </c>
      <c r="Q247" s="100" t="s">
        <v>1539</v>
      </c>
      <c r="R247" s="226" t="s">
        <v>1526</v>
      </c>
      <c r="S247" s="491">
        <f t="shared" si="7"/>
        <v>2.3148147999999999E-3</v>
      </c>
      <c r="T247" s="492">
        <f>IFERROR(VLOOKUP(F247,'Freq-Chan'!C:D,2,FALSE),"x")</f>
        <v>151.72499999999999</v>
      </c>
      <c r="U247" s="110" t="s">
        <v>541</v>
      </c>
      <c r="V247" s="110" t="str">
        <f t="shared" si="8"/>
        <v>FWL</v>
      </c>
      <c r="W247" s="110" t="s">
        <v>541</v>
      </c>
      <c r="X247" s="110" t="s">
        <v>541</v>
      </c>
      <c r="Y247" s="110" t="str">
        <f>IFERROR(VLOOKUP(F247,'Freq-Chan'!C:E,3,FALSE),"na")</f>
        <v>F1845</v>
      </c>
      <c r="Z247" s="110" t="s">
        <v>541</v>
      </c>
      <c r="AA247" s="110" t="s">
        <v>541</v>
      </c>
      <c r="AB247" s="110" t="s">
        <v>541</v>
      </c>
      <c r="AC247" s="10" t="s">
        <v>541</v>
      </c>
      <c r="AD247" s="10" t="s">
        <v>541</v>
      </c>
    </row>
    <row r="248" spans="1:30" x14ac:dyDescent="0.2">
      <c r="A248" s="110">
        <v>247</v>
      </c>
      <c r="B248" s="132">
        <v>41815</v>
      </c>
      <c r="C248" s="117">
        <v>3</v>
      </c>
      <c r="D248" s="103" t="s">
        <v>2</v>
      </c>
      <c r="E248" s="103" t="s">
        <v>306</v>
      </c>
      <c r="F248" s="103">
        <v>684</v>
      </c>
      <c r="G248" s="103">
        <v>18</v>
      </c>
      <c r="H248" s="137" t="s">
        <v>1082</v>
      </c>
      <c r="I248" s="103">
        <v>82</v>
      </c>
      <c r="K248" s="103" t="s">
        <v>364</v>
      </c>
      <c r="L248" s="133">
        <v>0.37361111111111112</v>
      </c>
      <c r="M248" s="134">
        <v>6.5277777777777782E-2</v>
      </c>
      <c r="N248" s="134">
        <v>0.37708333333333338</v>
      </c>
      <c r="O248" s="133" t="s">
        <v>372</v>
      </c>
      <c r="Q248" s="100" t="s">
        <v>1539</v>
      </c>
      <c r="R248" s="226" t="s">
        <v>1526</v>
      </c>
      <c r="S248" s="491">
        <f t="shared" si="7"/>
        <v>2.3842592999999998E-3</v>
      </c>
      <c r="T248" s="492">
        <f>IFERROR(VLOOKUP(F248,'Freq-Chan'!C:D,2,FALSE),"x")</f>
        <v>151.684</v>
      </c>
      <c r="U248" s="110" t="s">
        <v>541</v>
      </c>
      <c r="V248" s="110" t="str">
        <f t="shared" si="8"/>
        <v>FWL</v>
      </c>
      <c r="W248" s="110" t="s">
        <v>541</v>
      </c>
      <c r="X248" s="110" t="s">
        <v>541</v>
      </c>
      <c r="Y248" s="110" t="str">
        <f>IFERROR(VLOOKUP(F248,'Freq-Chan'!C:E,3,FALSE),"na")</f>
        <v>F1845</v>
      </c>
      <c r="Z248" s="110" t="s">
        <v>541</v>
      </c>
      <c r="AA248" s="110" t="s">
        <v>541</v>
      </c>
      <c r="AB248" s="110" t="s">
        <v>541</v>
      </c>
      <c r="AC248" s="10" t="s">
        <v>541</v>
      </c>
      <c r="AD248" s="10" t="s">
        <v>541</v>
      </c>
    </row>
    <row r="249" spans="1:30" x14ac:dyDescent="0.2">
      <c r="A249" s="110">
        <v>248</v>
      </c>
      <c r="B249" s="132">
        <v>41815</v>
      </c>
      <c r="C249" s="117">
        <v>3</v>
      </c>
      <c r="D249" s="103" t="s">
        <v>75</v>
      </c>
      <c r="E249" s="103" t="s">
        <v>798</v>
      </c>
      <c r="H249" s="103"/>
      <c r="J249" s="103">
        <v>22</v>
      </c>
      <c r="K249" s="103" t="s">
        <v>364</v>
      </c>
      <c r="L249" s="133"/>
      <c r="M249" s="134">
        <v>1.7361111111111112E-2</v>
      </c>
      <c r="N249" s="134">
        <v>0.51736111111111105</v>
      </c>
      <c r="O249" s="133" t="s">
        <v>803</v>
      </c>
      <c r="Q249" s="100" t="s">
        <v>1540</v>
      </c>
      <c r="R249" s="226" t="s">
        <v>1526</v>
      </c>
      <c r="S249" s="491" t="str">
        <f t="shared" si="7"/>
        <v>x</v>
      </c>
      <c r="T249" s="492" t="str">
        <f>IFERROR(VLOOKUP(F249,'Freq-Chan'!C:D,2,FALSE),"x")</f>
        <v>x</v>
      </c>
      <c r="U249" s="110" t="s">
        <v>541</v>
      </c>
      <c r="V249" s="110" t="str">
        <f t="shared" si="8"/>
        <v>FWL</v>
      </c>
      <c r="W249" s="110" t="s">
        <v>541</v>
      </c>
      <c r="X249" s="110" t="s">
        <v>541</v>
      </c>
      <c r="Y249" s="110" t="str">
        <f>IFERROR(VLOOKUP(F249,'Freq-Chan'!C:E,3,FALSE),"na")</f>
        <v>na</v>
      </c>
      <c r="Z249" s="110" t="s">
        <v>541</v>
      </c>
      <c r="AA249" s="110" t="s">
        <v>541</v>
      </c>
      <c r="AB249" s="110" t="s">
        <v>541</v>
      </c>
      <c r="AC249" s="10" t="s">
        <v>541</v>
      </c>
      <c r="AD249" s="10" t="s">
        <v>541</v>
      </c>
    </row>
    <row r="250" spans="1:30" x14ac:dyDescent="0.2">
      <c r="A250" s="110">
        <v>249</v>
      </c>
      <c r="B250" s="132">
        <v>41815</v>
      </c>
      <c r="C250" s="117">
        <v>3</v>
      </c>
      <c r="D250" s="103" t="s">
        <v>2</v>
      </c>
      <c r="E250" s="103" t="s">
        <v>306</v>
      </c>
      <c r="F250" s="103">
        <v>684</v>
      </c>
      <c r="G250" s="103">
        <v>74</v>
      </c>
      <c r="H250" s="137" t="s">
        <v>1083</v>
      </c>
      <c r="I250" s="103">
        <v>78</v>
      </c>
      <c r="K250" s="103" t="s">
        <v>364</v>
      </c>
      <c r="L250" s="133"/>
      <c r="M250" s="134">
        <v>7.013888888888889E-2</v>
      </c>
      <c r="N250" s="134">
        <v>0.55625000000000002</v>
      </c>
      <c r="O250" s="133" t="s">
        <v>803</v>
      </c>
      <c r="Q250" s="100" t="s">
        <v>1540</v>
      </c>
      <c r="R250" s="226" t="s">
        <v>1526</v>
      </c>
      <c r="S250" s="491" t="str">
        <f t="shared" si="7"/>
        <v>x</v>
      </c>
      <c r="T250" s="492">
        <f>IFERROR(VLOOKUP(F250,'Freq-Chan'!C:D,2,FALSE),"x")</f>
        <v>151.684</v>
      </c>
      <c r="U250" s="110" t="s">
        <v>541</v>
      </c>
      <c r="V250" s="110" t="str">
        <f t="shared" si="8"/>
        <v>FWL</v>
      </c>
      <c r="W250" s="110" t="s">
        <v>541</v>
      </c>
      <c r="X250" s="110" t="s">
        <v>541</v>
      </c>
      <c r="Y250" s="110" t="str">
        <f>IFERROR(VLOOKUP(F250,'Freq-Chan'!C:E,3,FALSE),"na")</f>
        <v>F1845</v>
      </c>
      <c r="Z250" s="110" t="s">
        <v>541</v>
      </c>
      <c r="AA250" s="110" t="s">
        <v>541</v>
      </c>
      <c r="AB250" s="110" t="s">
        <v>541</v>
      </c>
      <c r="AC250" s="10" t="s">
        <v>541</v>
      </c>
      <c r="AD250" s="10" t="s">
        <v>541</v>
      </c>
    </row>
    <row r="251" spans="1:30" x14ac:dyDescent="0.2">
      <c r="A251" s="110">
        <v>250</v>
      </c>
      <c r="B251" s="132">
        <v>41815</v>
      </c>
      <c r="C251" s="117">
        <v>3</v>
      </c>
      <c r="D251" s="103" t="s">
        <v>2</v>
      </c>
      <c r="E251" s="103" t="s">
        <v>306</v>
      </c>
      <c r="F251" s="103">
        <v>684</v>
      </c>
      <c r="G251" s="103">
        <v>65</v>
      </c>
      <c r="H251" s="137" t="s">
        <v>1084</v>
      </c>
      <c r="I251" s="103">
        <v>65</v>
      </c>
      <c r="K251" s="103" t="s">
        <v>364</v>
      </c>
      <c r="L251" s="133">
        <v>0.63402777777777775</v>
      </c>
      <c r="M251" s="134">
        <v>5.4166666666666669E-2</v>
      </c>
      <c r="N251" s="134">
        <v>0.63750000000000007</v>
      </c>
      <c r="O251" s="133" t="s">
        <v>950</v>
      </c>
      <c r="Q251" s="100" t="s">
        <v>1523</v>
      </c>
      <c r="R251" s="226" t="s">
        <v>1526</v>
      </c>
      <c r="S251" s="491">
        <f t="shared" si="7"/>
        <v>2.5694443999999999E-3</v>
      </c>
      <c r="T251" s="492">
        <f>IFERROR(VLOOKUP(F251,'Freq-Chan'!C:D,2,FALSE),"x")</f>
        <v>151.684</v>
      </c>
      <c r="U251" s="110" t="s">
        <v>541</v>
      </c>
      <c r="V251" s="110" t="str">
        <f t="shared" si="8"/>
        <v>FWL</v>
      </c>
      <c r="W251" s="110" t="s">
        <v>541</v>
      </c>
      <c r="X251" s="110" t="s">
        <v>541</v>
      </c>
      <c r="Y251" s="110" t="str">
        <f>IFERROR(VLOOKUP(F251,'Freq-Chan'!C:E,3,FALSE),"na")</f>
        <v>F1845</v>
      </c>
      <c r="Z251" s="110" t="s">
        <v>541</v>
      </c>
      <c r="AA251" s="110" t="s">
        <v>541</v>
      </c>
      <c r="AB251" s="110" t="s">
        <v>541</v>
      </c>
      <c r="AC251" s="10" t="s">
        <v>541</v>
      </c>
      <c r="AD251" s="10" t="s">
        <v>541</v>
      </c>
    </row>
    <row r="252" spans="1:30" x14ac:dyDescent="0.2">
      <c r="A252" s="110">
        <v>251</v>
      </c>
      <c r="B252" s="132">
        <v>41815</v>
      </c>
      <c r="C252" s="117">
        <v>3</v>
      </c>
      <c r="D252" s="103" t="s">
        <v>2</v>
      </c>
      <c r="E252" s="103" t="s">
        <v>306</v>
      </c>
      <c r="F252" s="103">
        <v>684</v>
      </c>
      <c r="G252" s="103">
        <v>79</v>
      </c>
      <c r="H252" s="137" t="s">
        <v>1099</v>
      </c>
      <c r="I252" s="103">
        <v>81</v>
      </c>
      <c r="K252" s="103" t="s">
        <v>364</v>
      </c>
      <c r="L252" s="133">
        <v>0.6972222222222223</v>
      </c>
      <c r="M252" s="134">
        <v>7.9861111111111105E-2</v>
      </c>
      <c r="N252" s="134">
        <v>0.70138888888888884</v>
      </c>
      <c r="O252" s="133" t="s">
        <v>372</v>
      </c>
      <c r="Q252" s="100" t="s">
        <v>1523</v>
      </c>
      <c r="R252" s="226" t="s">
        <v>1526</v>
      </c>
      <c r="S252" s="491">
        <f t="shared" si="7"/>
        <v>2.8356481000000001E-3</v>
      </c>
      <c r="T252" s="492">
        <f>IFERROR(VLOOKUP(F252,'Freq-Chan'!C:D,2,FALSE),"x")</f>
        <v>151.684</v>
      </c>
      <c r="U252" s="110" t="s">
        <v>541</v>
      </c>
      <c r="V252" s="110" t="str">
        <f t="shared" si="8"/>
        <v>FWL</v>
      </c>
      <c r="W252" s="110" t="s">
        <v>541</v>
      </c>
      <c r="X252" s="110" t="s">
        <v>541</v>
      </c>
      <c r="Y252" s="110" t="str">
        <f>IFERROR(VLOOKUP(F252,'Freq-Chan'!C:E,3,FALSE),"na")</f>
        <v>F1845</v>
      </c>
      <c r="Z252" s="110" t="s">
        <v>541</v>
      </c>
      <c r="AA252" s="110" t="s">
        <v>541</v>
      </c>
      <c r="AB252" s="110" t="s">
        <v>541</v>
      </c>
      <c r="AC252" s="10" t="s">
        <v>541</v>
      </c>
      <c r="AD252" s="10" t="s">
        <v>541</v>
      </c>
    </row>
    <row r="253" spans="1:30" x14ac:dyDescent="0.2">
      <c r="A253" s="110">
        <v>252</v>
      </c>
      <c r="B253" s="132">
        <v>41815</v>
      </c>
      <c r="C253" s="117">
        <v>3</v>
      </c>
      <c r="D253" s="103" t="s">
        <v>2</v>
      </c>
      <c r="E253" s="103" t="s">
        <v>306</v>
      </c>
      <c r="F253" s="103">
        <v>725</v>
      </c>
      <c r="G253" s="103">
        <v>44</v>
      </c>
      <c r="H253" s="137" t="s">
        <v>1101</v>
      </c>
      <c r="I253" s="103">
        <v>85</v>
      </c>
      <c r="K253" s="103" t="s">
        <v>364</v>
      </c>
      <c r="L253" s="133">
        <v>0.74236111111111114</v>
      </c>
      <c r="M253" s="134">
        <v>0.11944444444444445</v>
      </c>
      <c r="N253" s="134">
        <v>0.74791666666666667</v>
      </c>
      <c r="O253" s="133" t="s">
        <v>950</v>
      </c>
      <c r="Q253" s="100" t="s">
        <v>1523</v>
      </c>
      <c r="R253" s="226" t="s">
        <v>1526</v>
      </c>
      <c r="S253" s="491">
        <f t="shared" si="7"/>
        <v>3.5648148000000002E-3</v>
      </c>
      <c r="T253" s="492">
        <f>IFERROR(VLOOKUP(F253,'Freq-Chan'!C:D,2,FALSE),"x")</f>
        <v>151.72499999999999</v>
      </c>
      <c r="U253" s="110" t="s">
        <v>541</v>
      </c>
      <c r="V253" s="110" t="str">
        <f t="shared" si="8"/>
        <v>FWL</v>
      </c>
      <c r="W253" s="110" t="s">
        <v>541</v>
      </c>
      <c r="X253" s="110" t="s">
        <v>541</v>
      </c>
      <c r="Y253" s="110" t="str">
        <f>IFERROR(VLOOKUP(F253,'Freq-Chan'!C:E,3,FALSE),"na")</f>
        <v>F1845</v>
      </c>
      <c r="Z253" s="110" t="s">
        <v>541</v>
      </c>
      <c r="AA253" s="110" t="s">
        <v>541</v>
      </c>
      <c r="AB253" s="110" t="s">
        <v>541</v>
      </c>
      <c r="AC253" s="10" t="s">
        <v>541</v>
      </c>
      <c r="AD253" s="10" t="s">
        <v>541</v>
      </c>
    </row>
    <row r="254" spans="1:30" x14ac:dyDescent="0.2">
      <c r="A254" s="110">
        <v>253</v>
      </c>
      <c r="B254" s="132">
        <v>41815</v>
      </c>
      <c r="C254" s="117">
        <v>3</v>
      </c>
      <c r="D254" s="103" t="s">
        <v>2</v>
      </c>
      <c r="E254" s="103" t="s">
        <v>306</v>
      </c>
      <c r="F254" s="103">
        <v>725</v>
      </c>
      <c r="G254" s="103">
        <v>69</v>
      </c>
      <c r="H254" s="137" t="s">
        <v>1102</v>
      </c>
      <c r="I254" s="103">
        <v>61</v>
      </c>
      <c r="K254" s="103" t="s">
        <v>364</v>
      </c>
      <c r="L254" s="133">
        <v>0.77083333333333337</v>
      </c>
      <c r="M254" s="134">
        <v>5.0694444444444452E-2</v>
      </c>
      <c r="N254" s="134">
        <v>0.77500000000000002</v>
      </c>
      <c r="O254" s="133" t="s">
        <v>372</v>
      </c>
      <c r="Q254" s="100" t="s">
        <v>1523</v>
      </c>
      <c r="R254" s="226" t="s">
        <v>1526</v>
      </c>
      <c r="S254" s="491">
        <f t="shared" si="7"/>
        <v>3.3217593000000002E-3</v>
      </c>
      <c r="T254" s="492">
        <f>IFERROR(VLOOKUP(F254,'Freq-Chan'!C:D,2,FALSE),"x")</f>
        <v>151.72499999999999</v>
      </c>
      <c r="U254" s="110" t="s">
        <v>541</v>
      </c>
      <c r="V254" s="110" t="str">
        <f t="shared" si="8"/>
        <v>FWL</v>
      </c>
      <c r="W254" s="110" t="s">
        <v>541</v>
      </c>
      <c r="X254" s="110" t="s">
        <v>541</v>
      </c>
      <c r="Y254" s="110" t="str">
        <f>IFERROR(VLOOKUP(F254,'Freq-Chan'!C:E,3,FALSE),"na")</f>
        <v>F1845</v>
      </c>
      <c r="Z254" s="110" t="s">
        <v>541</v>
      </c>
      <c r="AA254" s="110" t="s">
        <v>541</v>
      </c>
      <c r="AB254" s="110" t="s">
        <v>541</v>
      </c>
      <c r="AC254" s="10" t="s">
        <v>541</v>
      </c>
      <c r="AD254" s="10" t="s">
        <v>541</v>
      </c>
    </row>
    <row r="255" spans="1:30" x14ac:dyDescent="0.2">
      <c r="A255" s="110">
        <v>254</v>
      </c>
      <c r="B255" s="132">
        <v>41815</v>
      </c>
      <c r="C255" s="117">
        <v>3</v>
      </c>
      <c r="D255" s="103" t="s">
        <v>177</v>
      </c>
      <c r="E255" s="103" t="s">
        <v>0</v>
      </c>
      <c r="H255" s="103"/>
      <c r="I255" s="103">
        <v>37</v>
      </c>
      <c r="K255" s="103" t="s">
        <v>364</v>
      </c>
      <c r="L255" s="133"/>
      <c r="M255" s="134">
        <v>1.7361111111111112E-2</v>
      </c>
      <c r="N255" s="134">
        <v>0.77638888888888891</v>
      </c>
      <c r="O255" s="133" t="s">
        <v>950</v>
      </c>
      <c r="P255" s="100" t="s">
        <v>776</v>
      </c>
      <c r="Q255" s="100" t="s">
        <v>1523</v>
      </c>
      <c r="R255" s="226" t="s">
        <v>1526</v>
      </c>
      <c r="S255" s="491" t="str">
        <f t="shared" si="7"/>
        <v>x</v>
      </c>
      <c r="T255" s="492" t="str">
        <f>IFERROR(VLOOKUP(F255,'Freq-Chan'!C:D,2,FALSE),"x")</f>
        <v>x</v>
      </c>
      <c r="U255" s="110" t="s">
        <v>541</v>
      </c>
      <c r="V255" s="110" t="str">
        <f t="shared" si="8"/>
        <v>FWL</v>
      </c>
      <c r="W255" s="110" t="s">
        <v>541</v>
      </c>
      <c r="X255" s="110" t="s">
        <v>541</v>
      </c>
      <c r="Y255" s="110" t="str">
        <f>IFERROR(VLOOKUP(F255,'Freq-Chan'!C:E,3,FALSE),"na")</f>
        <v>na</v>
      </c>
      <c r="Z255" s="110" t="s">
        <v>541</v>
      </c>
      <c r="AA255" s="110" t="s">
        <v>541</v>
      </c>
      <c r="AB255" s="110" t="s">
        <v>541</v>
      </c>
      <c r="AC255" s="10" t="s">
        <v>541</v>
      </c>
      <c r="AD255" s="10" t="s">
        <v>541</v>
      </c>
    </row>
    <row r="256" spans="1:30" s="291" customFormat="1" x14ac:dyDescent="0.2">
      <c r="A256" s="493">
        <v>255</v>
      </c>
      <c r="B256" s="283">
        <v>41815</v>
      </c>
      <c r="C256" s="284">
        <v>3</v>
      </c>
      <c r="D256" s="285" t="s">
        <v>2</v>
      </c>
      <c r="E256" s="285" t="s">
        <v>306</v>
      </c>
      <c r="F256" s="285">
        <v>725</v>
      </c>
      <c r="G256" s="285">
        <v>56</v>
      </c>
      <c r="H256" s="339" t="s">
        <v>1103</v>
      </c>
      <c r="I256" s="285">
        <v>65</v>
      </c>
      <c r="J256" s="285"/>
      <c r="K256" s="285" t="s">
        <v>1032</v>
      </c>
      <c r="L256" s="286">
        <v>0.875</v>
      </c>
      <c r="M256" s="287">
        <v>3.3333333333333333E-2</v>
      </c>
      <c r="N256" s="287">
        <v>0.87777777777777777</v>
      </c>
      <c r="O256" s="286" t="s">
        <v>1538</v>
      </c>
      <c r="P256" s="289"/>
      <c r="Q256" s="289" t="s">
        <v>1541</v>
      </c>
      <c r="R256" s="290" t="s">
        <v>1526</v>
      </c>
      <c r="S256" s="494">
        <f t="shared" si="7"/>
        <v>2.2222221999999999E-3</v>
      </c>
      <c r="T256" s="495">
        <f>IFERROR(VLOOKUP(F256,'Freq-Chan'!C:D,2,FALSE),"x")</f>
        <v>151.72499999999999</v>
      </c>
      <c r="U256" s="493" t="s">
        <v>541</v>
      </c>
      <c r="V256" s="493" t="str">
        <f t="shared" si="8"/>
        <v>FWL</v>
      </c>
      <c r="W256" s="493" t="s">
        <v>541</v>
      </c>
      <c r="X256" s="493" t="s">
        <v>541</v>
      </c>
      <c r="Y256" s="493" t="str">
        <f>IFERROR(VLOOKUP(F256,'Freq-Chan'!C:E,3,FALSE),"na")</f>
        <v>F1845</v>
      </c>
      <c r="Z256" s="493" t="s">
        <v>541</v>
      </c>
      <c r="AA256" s="493" t="s">
        <v>541</v>
      </c>
      <c r="AB256" s="493" t="s">
        <v>541</v>
      </c>
      <c r="AC256" s="291" t="s">
        <v>541</v>
      </c>
      <c r="AD256" s="291" t="s">
        <v>541</v>
      </c>
    </row>
    <row r="257" spans="1:30" x14ac:dyDescent="0.2">
      <c r="A257" s="110">
        <v>256</v>
      </c>
      <c r="B257" s="132">
        <v>41818</v>
      </c>
      <c r="C257" s="117">
        <v>1</v>
      </c>
      <c r="D257" s="103" t="s">
        <v>2</v>
      </c>
      <c r="E257" s="103" t="s">
        <v>306</v>
      </c>
      <c r="F257" s="103">
        <v>725</v>
      </c>
      <c r="G257" s="103">
        <v>19</v>
      </c>
      <c r="H257" s="137" t="s">
        <v>1106</v>
      </c>
      <c r="I257" s="103">
        <v>56</v>
      </c>
      <c r="K257" s="103" t="s">
        <v>364</v>
      </c>
      <c r="L257" s="133"/>
      <c r="M257" s="134">
        <v>5.5555555555555552E-2</v>
      </c>
      <c r="N257" s="137" t="s">
        <v>1571</v>
      </c>
      <c r="O257" s="133" t="s">
        <v>372</v>
      </c>
      <c r="Q257" s="100" t="s">
        <v>1573</v>
      </c>
      <c r="R257" s="226" t="s">
        <v>1589</v>
      </c>
      <c r="S257" s="491" t="str">
        <f t="shared" si="7"/>
        <v>x</v>
      </c>
      <c r="T257" s="492">
        <f>IFERROR(VLOOKUP(F257,'Freq-Chan'!C:D,2,FALSE),"x")</f>
        <v>151.72499999999999</v>
      </c>
      <c r="U257" s="110" t="s">
        <v>541</v>
      </c>
      <c r="V257" s="110" t="str">
        <f t="shared" si="8"/>
        <v>FWL</v>
      </c>
      <c r="W257" s="110" t="s">
        <v>541</v>
      </c>
      <c r="X257" s="110" t="s">
        <v>541</v>
      </c>
      <c r="Y257" s="110" t="str">
        <f>IFERROR(VLOOKUP(F257,'Freq-Chan'!C:E,3,FALSE),"na")</f>
        <v>F1845</v>
      </c>
      <c r="Z257" s="110" t="s">
        <v>541</v>
      </c>
      <c r="AA257" s="110" t="s">
        <v>541</v>
      </c>
      <c r="AB257" s="110" t="s">
        <v>541</v>
      </c>
      <c r="AC257" s="10" t="s">
        <v>541</v>
      </c>
      <c r="AD257" s="10" t="s">
        <v>541</v>
      </c>
    </row>
    <row r="258" spans="1:30" x14ac:dyDescent="0.2">
      <c r="A258" s="110">
        <v>257</v>
      </c>
      <c r="B258" s="132">
        <v>41818</v>
      </c>
      <c r="C258" s="117">
        <v>1</v>
      </c>
      <c r="D258" s="103" t="s">
        <v>2</v>
      </c>
      <c r="E258" s="103" t="s">
        <v>306</v>
      </c>
      <c r="F258" s="103">
        <v>725</v>
      </c>
      <c r="G258" s="103">
        <v>59</v>
      </c>
      <c r="H258" s="137" t="s">
        <v>1107</v>
      </c>
      <c r="I258" s="103">
        <v>53</v>
      </c>
      <c r="K258" s="103" t="s">
        <v>364</v>
      </c>
      <c r="L258" s="133">
        <v>0.46111111111111108</v>
      </c>
      <c r="M258" s="134">
        <v>4.9999999999999996E-2</v>
      </c>
      <c r="N258" s="137" t="s">
        <v>1572</v>
      </c>
      <c r="O258" s="133" t="s">
        <v>373</v>
      </c>
      <c r="Q258" s="100" t="s">
        <v>1558</v>
      </c>
      <c r="R258" s="226" t="s">
        <v>1589</v>
      </c>
      <c r="S258" s="491">
        <f t="shared" si="7"/>
        <v>5.4166667000000003E-3</v>
      </c>
      <c r="T258" s="492">
        <f>IFERROR(VLOOKUP(F258,'Freq-Chan'!C:D,2,FALSE),"x")</f>
        <v>151.72499999999999</v>
      </c>
      <c r="U258" s="110" t="s">
        <v>541</v>
      </c>
      <c r="V258" s="110" t="str">
        <f t="shared" si="8"/>
        <v>FWL</v>
      </c>
      <c r="W258" s="110" t="s">
        <v>541</v>
      </c>
      <c r="X258" s="110" t="s">
        <v>541</v>
      </c>
      <c r="Y258" s="110" t="str">
        <f>IFERROR(VLOOKUP(F258,'Freq-Chan'!C:E,3,FALSE),"na")</f>
        <v>F1845</v>
      </c>
      <c r="Z258" s="110" t="s">
        <v>541</v>
      </c>
      <c r="AA258" s="110" t="s">
        <v>541</v>
      </c>
      <c r="AB258" s="110" t="s">
        <v>541</v>
      </c>
      <c r="AC258" s="10" t="s">
        <v>541</v>
      </c>
      <c r="AD258" s="10" t="s">
        <v>541</v>
      </c>
    </row>
    <row r="259" spans="1:30" x14ac:dyDescent="0.2">
      <c r="A259" s="110">
        <v>258</v>
      </c>
      <c r="B259" s="132">
        <v>41818</v>
      </c>
      <c r="C259" s="117">
        <v>1</v>
      </c>
      <c r="D259" s="103" t="s">
        <v>2</v>
      </c>
      <c r="E259" s="103" t="s">
        <v>306</v>
      </c>
      <c r="F259" s="103">
        <v>725</v>
      </c>
      <c r="G259" s="103">
        <v>30</v>
      </c>
      <c r="H259" s="137" t="s">
        <v>1108</v>
      </c>
      <c r="I259" s="103">
        <v>65</v>
      </c>
      <c r="K259" s="103" t="s">
        <v>364</v>
      </c>
      <c r="L259" s="133"/>
      <c r="M259" s="134">
        <v>6.25E-2</v>
      </c>
      <c r="N259" s="137" t="s">
        <v>1575</v>
      </c>
      <c r="O259" s="133" t="s">
        <v>1585</v>
      </c>
      <c r="Q259" s="100" t="s">
        <v>1558</v>
      </c>
      <c r="R259" s="226" t="s">
        <v>1589</v>
      </c>
      <c r="S259" s="491" t="str">
        <f t="shared" ref="S259:S322" si="9">IF(IF(OR(L259=0,N259=0),"x",ROUND(N259-L259-(M259*24)/(24*60),10))&lt;0,0,IF(OR(L259=0,N259=0),"x",ROUND(N259-L259-(M259*24)/(24*60),10)))</f>
        <v>x</v>
      </c>
      <c r="T259" s="492">
        <f>IFERROR(VLOOKUP(F259,'Freq-Chan'!C:D,2,FALSE),"x")</f>
        <v>151.72499999999999</v>
      </c>
      <c r="U259" s="110" t="s">
        <v>541</v>
      </c>
      <c r="V259" s="110" t="str">
        <f t="shared" ref="V259:V322" si="10">IF(OR(C259=1,C259=2,C259=3),"FWL","NRD")</f>
        <v>FWL</v>
      </c>
      <c r="W259" s="110" t="s">
        <v>541</v>
      </c>
      <c r="X259" s="110" t="s">
        <v>541</v>
      </c>
      <c r="Y259" s="110" t="str">
        <f>IFERROR(VLOOKUP(F259,'Freq-Chan'!C:E,3,FALSE),"na")</f>
        <v>F1845</v>
      </c>
      <c r="Z259" s="110" t="s">
        <v>541</v>
      </c>
      <c r="AA259" s="110" t="s">
        <v>541</v>
      </c>
      <c r="AB259" s="110" t="s">
        <v>541</v>
      </c>
      <c r="AC259" s="10" t="s">
        <v>541</v>
      </c>
      <c r="AD259" s="10" t="s">
        <v>541</v>
      </c>
    </row>
    <row r="260" spans="1:30" x14ac:dyDescent="0.2">
      <c r="A260" s="110">
        <v>259</v>
      </c>
      <c r="B260" s="132">
        <v>41818</v>
      </c>
      <c r="C260" s="117">
        <v>1</v>
      </c>
      <c r="D260" s="103" t="s">
        <v>177</v>
      </c>
      <c r="E260" s="103" t="s">
        <v>0</v>
      </c>
      <c r="H260" s="103"/>
      <c r="I260" s="103">
        <v>27</v>
      </c>
      <c r="K260" s="103" t="s">
        <v>364</v>
      </c>
      <c r="L260" s="133"/>
      <c r="M260" s="134">
        <v>1.0416666666666666E-2</v>
      </c>
      <c r="N260" s="137" t="s">
        <v>1576</v>
      </c>
      <c r="O260" s="133" t="s">
        <v>373</v>
      </c>
      <c r="P260" s="100" t="s">
        <v>776</v>
      </c>
      <c r="Q260" s="100" t="s">
        <v>1558</v>
      </c>
      <c r="R260" s="226" t="s">
        <v>1589</v>
      </c>
      <c r="S260" s="491" t="str">
        <f t="shared" si="9"/>
        <v>x</v>
      </c>
      <c r="T260" s="492" t="str">
        <f>IFERROR(VLOOKUP(F260,'Freq-Chan'!C:D,2,FALSE),"x")</f>
        <v>x</v>
      </c>
      <c r="U260" s="110" t="s">
        <v>541</v>
      </c>
      <c r="V260" s="110" t="str">
        <f t="shared" si="10"/>
        <v>FWL</v>
      </c>
      <c r="W260" s="110" t="s">
        <v>541</v>
      </c>
      <c r="X260" s="110" t="s">
        <v>541</v>
      </c>
      <c r="Y260" s="110" t="str">
        <f>IFERROR(VLOOKUP(F260,'Freq-Chan'!C:E,3,FALSE),"na")</f>
        <v>na</v>
      </c>
      <c r="Z260" s="110" t="s">
        <v>541</v>
      </c>
      <c r="AA260" s="110" t="s">
        <v>541</v>
      </c>
      <c r="AB260" s="110" t="s">
        <v>541</v>
      </c>
      <c r="AC260" s="10" t="s">
        <v>541</v>
      </c>
      <c r="AD260" s="10" t="s">
        <v>541</v>
      </c>
    </row>
    <row r="261" spans="1:30" x14ac:dyDescent="0.2">
      <c r="A261" s="110">
        <v>260</v>
      </c>
      <c r="B261" s="132">
        <v>41818</v>
      </c>
      <c r="C261" s="117">
        <v>1</v>
      </c>
      <c r="D261" s="103" t="s">
        <v>177</v>
      </c>
      <c r="E261" s="103" t="s">
        <v>0</v>
      </c>
      <c r="H261" s="103"/>
      <c r="I261" s="103">
        <v>38</v>
      </c>
      <c r="K261" s="103" t="s">
        <v>364</v>
      </c>
      <c r="L261" s="133"/>
      <c r="M261" s="134">
        <v>2.4305555555555556E-2</v>
      </c>
      <c r="N261" s="137" t="s">
        <v>1577</v>
      </c>
      <c r="O261" s="133" t="s">
        <v>909</v>
      </c>
      <c r="P261" s="100" t="s">
        <v>776</v>
      </c>
      <c r="Q261" s="100" t="s">
        <v>1559</v>
      </c>
      <c r="R261" s="226" t="s">
        <v>1589</v>
      </c>
      <c r="S261" s="491" t="str">
        <f t="shared" si="9"/>
        <v>x</v>
      </c>
      <c r="T261" s="492" t="str">
        <f>IFERROR(VLOOKUP(F261,'Freq-Chan'!C:D,2,FALSE),"x")</f>
        <v>x</v>
      </c>
      <c r="U261" s="110" t="s">
        <v>541</v>
      </c>
      <c r="V261" s="110" t="str">
        <f t="shared" si="10"/>
        <v>FWL</v>
      </c>
      <c r="W261" s="110" t="s">
        <v>541</v>
      </c>
      <c r="X261" s="110" t="s">
        <v>541</v>
      </c>
      <c r="Y261" s="110" t="str">
        <f>IFERROR(VLOOKUP(F261,'Freq-Chan'!C:E,3,FALSE),"na")</f>
        <v>na</v>
      </c>
      <c r="Z261" s="110" t="s">
        <v>541</v>
      </c>
      <c r="AA261" s="110" t="s">
        <v>541</v>
      </c>
      <c r="AB261" s="110" t="s">
        <v>541</v>
      </c>
      <c r="AC261" s="10" t="s">
        <v>541</v>
      </c>
      <c r="AD261" s="10" t="s">
        <v>541</v>
      </c>
    </row>
    <row r="262" spans="1:30" x14ac:dyDescent="0.2">
      <c r="A262" s="110">
        <v>261</v>
      </c>
      <c r="B262" s="132">
        <v>41818</v>
      </c>
      <c r="C262" s="117">
        <v>1</v>
      </c>
      <c r="D262" s="103" t="s">
        <v>2</v>
      </c>
      <c r="E262" s="103" t="s">
        <v>306</v>
      </c>
      <c r="F262" s="103">
        <v>684</v>
      </c>
      <c r="G262" s="103">
        <v>14</v>
      </c>
      <c r="H262" s="137" t="s">
        <v>1109</v>
      </c>
      <c r="I262" s="103">
        <v>78</v>
      </c>
      <c r="K262" s="103" t="s">
        <v>364</v>
      </c>
      <c r="L262" s="133"/>
      <c r="M262" s="134">
        <v>6.5972222222222224E-2</v>
      </c>
      <c r="N262" s="137" t="s">
        <v>1578</v>
      </c>
      <c r="O262" s="133" t="s">
        <v>802</v>
      </c>
      <c r="Q262" s="100" t="s">
        <v>1560</v>
      </c>
      <c r="R262" s="226" t="s">
        <v>1589</v>
      </c>
      <c r="S262" s="491" t="str">
        <f t="shared" si="9"/>
        <v>x</v>
      </c>
      <c r="T262" s="492">
        <f>IFERROR(VLOOKUP(F262,'Freq-Chan'!C:D,2,FALSE),"x")</f>
        <v>151.684</v>
      </c>
      <c r="U262" s="110" t="s">
        <v>541</v>
      </c>
      <c r="V262" s="110" t="str">
        <f t="shared" si="10"/>
        <v>FWL</v>
      </c>
      <c r="W262" s="110" t="s">
        <v>541</v>
      </c>
      <c r="X262" s="110" t="s">
        <v>541</v>
      </c>
      <c r="Y262" s="110" t="str">
        <f>IFERROR(VLOOKUP(F262,'Freq-Chan'!C:E,3,FALSE),"na")</f>
        <v>F1845</v>
      </c>
      <c r="Z262" s="110" t="s">
        <v>541</v>
      </c>
      <c r="AA262" s="110" t="s">
        <v>541</v>
      </c>
      <c r="AB262" s="110" t="s">
        <v>541</v>
      </c>
      <c r="AC262" s="10" t="s">
        <v>541</v>
      </c>
      <c r="AD262" s="10" t="s">
        <v>541</v>
      </c>
    </row>
    <row r="263" spans="1:30" x14ac:dyDescent="0.2">
      <c r="A263" s="110">
        <v>262</v>
      </c>
      <c r="B263" s="132">
        <v>41818</v>
      </c>
      <c r="C263" s="117">
        <v>1</v>
      </c>
      <c r="D263" s="103" t="s">
        <v>177</v>
      </c>
      <c r="E263" s="103" t="s">
        <v>0</v>
      </c>
      <c r="H263" s="103"/>
      <c r="I263" s="103">
        <v>33</v>
      </c>
      <c r="K263" s="103" t="s">
        <v>364</v>
      </c>
      <c r="L263" s="133"/>
      <c r="M263" s="134">
        <v>1.8055555555555557E-2</v>
      </c>
      <c r="N263" s="137" t="s">
        <v>1579</v>
      </c>
      <c r="O263" s="133" t="s">
        <v>376</v>
      </c>
      <c r="P263" s="100" t="s">
        <v>776</v>
      </c>
      <c r="Q263" s="100" t="s">
        <v>1565</v>
      </c>
      <c r="R263" s="226" t="s">
        <v>1589</v>
      </c>
      <c r="S263" s="491" t="str">
        <f t="shared" si="9"/>
        <v>x</v>
      </c>
      <c r="T263" s="492" t="str">
        <f>IFERROR(VLOOKUP(F263,'Freq-Chan'!C:D,2,FALSE),"x")</f>
        <v>x</v>
      </c>
      <c r="U263" s="110" t="s">
        <v>541</v>
      </c>
      <c r="V263" s="110" t="str">
        <f t="shared" si="10"/>
        <v>FWL</v>
      </c>
      <c r="W263" s="110" t="s">
        <v>541</v>
      </c>
      <c r="X263" s="110" t="s">
        <v>541</v>
      </c>
      <c r="Y263" s="110" t="str">
        <f>IFERROR(VLOOKUP(F263,'Freq-Chan'!C:E,3,FALSE),"na")</f>
        <v>na</v>
      </c>
      <c r="Z263" s="110" t="s">
        <v>541</v>
      </c>
      <c r="AA263" s="110" t="s">
        <v>541</v>
      </c>
      <c r="AB263" s="110" t="s">
        <v>541</v>
      </c>
      <c r="AC263" s="10" t="s">
        <v>541</v>
      </c>
      <c r="AD263" s="10" t="s">
        <v>541</v>
      </c>
    </row>
    <row r="264" spans="1:30" x14ac:dyDescent="0.2">
      <c r="A264" s="110">
        <v>263</v>
      </c>
      <c r="B264" s="132">
        <v>41818</v>
      </c>
      <c r="C264" s="117">
        <v>1</v>
      </c>
      <c r="D264" s="103" t="s">
        <v>177</v>
      </c>
      <c r="E264" s="103" t="s">
        <v>0</v>
      </c>
      <c r="H264" s="103"/>
      <c r="I264" s="103">
        <v>32</v>
      </c>
      <c r="K264" s="103" t="s">
        <v>364</v>
      </c>
      <c r="L264" s="133"/>
      <c r="M264" s="134">
        <v>2.2222222222222223E-2</v>
      </c>
      <c r="N264" s="137" t="s">
        <v>1580</v>
      </c>
      <c r="O264" s="133" t="s">
        <v>376</v>
      </c>
      <c r="P264" s="100" t="s">
        <v>776</v>
      </c>
      <c r="Q264" s="100" t="s">
        <v>1565</v>
      </c>
      <c r="R264" s="226" t="s">
        <v>1589</v>
      </c>
      <c r="S264" s="491" t="str">
        <f t="shared" si="9"/>
        <v>x</v>
      </c>
      <c r="T264" s="492" t="str">
        <f>IFERROR(VLOOKUP(F264,'Freq-Chan'!C:D,2,FALSE),"x")</f>
        <v>x</v>
      </c>
      <c r="U264" s="110" t="s">
        <v>541</v>
      </c>
      <c r="V264" s="110" t="str">
        <f t="shared" si="10"/>
        <v>FWL</v>
      </c>
      <c r="W264" s="110" t="s">
        <v>541</v>
      </c>
      <c r="X264" s="110" t="s">
        <v>541</v>
      </c>
      <c r="Y264" s="110" t="str">
        <f>IFERROR(VLOOKUP(F264,'Freq-Chan'!C:E,3,FALSE),"na")</f>
        <v>na</v>
      </c>
      <c r="Z264" s="110" t="s">
        <v>541</v>
      </c>
      <c r="AA264" s="110" t="s">
        <v>541</v>
      </c>
      <c r="AB264" s="110" t="s">
        <v>541</v>
      </c>
      <c r="AC264" s="10" t="s">
        <v>541</v>
      </c>
      <c r="AD264" s="10" t="s">
        <v>541</v>
      </c>
    </row>
    <row r="265" spans="1:30" x14ac:dyDescent="0.2">
      <c r="A265" s="110">
        <v>264</v>
      </c>
      <c r="B265" s="132">
        <v>41818</v>
      </c>
      <c r="C265" s="117">
        <v>1</v>
      </c>
      <c r="D265" s="103" t="s">
        <v>2</v>
      </c>
      <c r="E265" s="103" t="s">
        <v>306</v>
      </c>
      <c r="F265" s="103">
        <v>684</v>
      </c>
      <c r="G265" s="103">
        <v>9</v>
      </c>
      <c r="H265" s="137" t="s">
        <v>1117</v>
      </c>
      <c r="I265" s="103">
        <v>78</v>
      </c>
      <c r="K265" s="103" t="s">
        <v>364</v>
      </c>
      <c r="L265" s="133">
        <v>0.71180555555555547</v>
      </c>
      <c r="M265" s="134">
        <v>6.9444444444444434E-2</v>
      </c>
      <c r="N265" s="137" t="s">
        <v>1574</v>
      </c>
      <c r="O265" s="133" t="s">
        <v>376</v>
      </c>
      <c r="Q265" s="100" t="s">
        <v>1565</v>
      </c>
      <c r="R265" s="226" t="s">
        <v>1589</v>
      </c>
      <c r="S265" s="491">
        <f t="shared" si="9"/>
        <v>5.0925926000000002E-3</v>
      </c>
      <c r="T265" s="492">
        <f>IFERROR(VLOOKUP(F265,'Freq-Chan'!C:D,2,FALSE),"x")</f>
        <v>151.684</v>
      </c>
      <c r="U265" s="110" t="s">
        <v>541</v>
      </c>
      <c r="V265" s="110" t="str">
        <f t="shared" si="10"/>
        <v>FWL</v>
      </c>
      <c r="W265" s="110" t="s">
        <v>541</v>
      </c>
      <c r="X265" s="110" t="s">
        <v>541</v>
      </c>
      <c r="Y265" s="110" t="str">
        <f>IFERROR(VLOOKUP(F265,'Freq-Chan'!C:E,3,FALSE),"na")</f>
        <v>F1845</v>
      </c>
      <c r="Z265" s="110" t="s">
        <v>541</v>
      </c>
      <c r="AA265" s="110" t="s">
        <v>541</v>
      </c>
      <c r="AB265" s="110" t="s">
        <v>541</v>
      </c>
      <c r="AC265" s="10" t="s">
        <v>541</v>
      </c>
      <c r="AD265" s="10" t="s">
        <v>541</v>
      </c>
    </row>
    <row r="266" spans="1:30" x14ac:dyDescent="0.2">
      <c r="A266" s="110">
        <v>265</v>
      </c>
      <c r="B266" s="132">
        <v>41818</v>
      </c>
      <c r="C266" s="117">
        <v>1</v>
      </c>
      <c r="D266" s="103" t="s">
        <v>75</v>
      </c>
      <c r="E266" s="103" t="s">
        <v>798</v>
      </c>
      <c r="H266" s="103"/>
      <c r="J266" s="103">
        <v>27</v>
      </c>
      <c r="K266" s="103" t="s">
        <v>364</v>
      </c>
      <c r="L266" s="133"/>
      <c r="M266" s="134">
        <v>2.4999999999999998E-2</v>
      </c>
      <c r="N266" s="137" t="s">
        <v>1581</v>
      </c>
      <c r="O266" s="133" t="s">
        <v>376</v>
      </c>
      <c r="Q266" s="100" t="s">
        <v>1565</v>
      </c>
      <c r="R266" s="226" t="s">
        <v>1589</v>
      </c>
      <c r="S266" s="491" t="str">
        <f t="shared" si="9"/>
        <v>x</v>
      </c>
      <c r="T266" s="492" t="str">
        <f>IFERROR(VLOOKUP(F266,'Freq-Chan'!C:D,2,FALSE),"x")</f>
        <v>x</v>
      </c>
      <c r="U266" s="110" t="s">
        <v>541</v>
      </c>
      <c r="V266" s="110" t="str">
        <f t="shared" si="10"/>
        <v>FWL</v>
      </c>
      <c r="W266" s="110" t="s">
        <v>541</v>
      </c>
      <c r="X266" s="110" t="s">
        <v>541</v>
      </c>
      <c r="Y266" s="110" t="str">
        <f>IFERROR(VLOOKUP(F266,'Freq-Chan'!C:E,3,FALSE),"na")</f>
        <v>na</v>
      </c>
      <c r="Z266" s="110" t="s">
        <v>541</v>
      </c>
      <c r="AA266" s="110" t="s">
        <v>541</v>
      </c>
      <c r="AB266" s="110" t="s">
        <v>541</v>
      </c>
      <c r="AC266" s="10" t="s">
        <v>541</v>
      </c>
      <c r="AD266" s="10" t="s">
        <v>541</v>
      </c>
    </row>
    <row r="267" spans="1:30" x14ac:dyDescent="0.2">
      <c r="A267" s="110">
        <v>266</v>
      </c>
      <c r="B267" s="132">
        <v>41818</v>
      </c>
      <c r="C267" s="117">
        <v>1</v>
      </c>
      <c r="D267" s="103" t="s">
        <v>177</v>
      </c>
      <c r="E267" s="103" t="s">
        <v>0</v>
      </c>
      <c r="H267" s="103"/>
      <c r="I267" s="103">
        <v>35</v>
      </c>
      <c r="K267" s="103" t="s">
        <v>364</v>
      </c>
      <c r="L267" s="133"/>
      <c r="M267" s="134">
        <v>2.4305555555555556E-2</v>
      </c>
      <c r="N267" s="137" t="s">
        <v>1582</v>
      </c>
      <c r="O267" s="133" t="s">
        <v>376</v>
      </c>
      <c r="P267" s="100" t="s">
        <v>776</v>
      </c>
      <c r="Q267" s="100" t="s">
        <v>1565</v>
      </c>
      <c r="R267" s="226" t="s">
        <v>1589</v>
      </c>
      <c r="S267" s="491" t="str">
        <f t="shared" si="9"/>
        <v>x</v>
      </c>
      <c r="T267" s="492" t="str">
        <f>IFERROR(VLOOKUP(F267,'Freq-Chan'!C:D,2,FALSE),"x")</f>
        <v>x</v>
      </c>
      <c r="U267" s="110" t="s">
        <v>541</v>
      </c>
      <c r="V267" s="110" t="str">
        <f t="shared" si="10"/>
        <v>FWL</v>
      </c>
      <c r="W267" s="110" t="s">
        <v>541</v>
      </c>
      <c r="X267" s="110" t="s">
        <v>541</v>
      </c>
      <c r="Y267" s="110" t="str">
        <f>IFERROR(VLOOKUP(F267,'Freq-Chan'!C:E,3,FALSE),"na")</f>
        <v>na</v>
      </c>
      <c r="Z267" s="110" t="s">
        <v>541</v>
      </c>
      <c r="AA267" s="110" t="s">
        <v>541</v>
      </c>
      <c r="AB267" s="110" t="s">
        <v>541</v>
      </c>
      <c r="AC267" s="10" t="s">
        <v>541</v>
      </c>
      <c r="AD267" s="10" t="s">
        <v>541</v>
      </c>
    </row>
    <row r="268" spans="1:30" x14ac:dyDescent="0.2">
      <c r="A268" s="110">
        <v>267</v>
      </c>
      <c r="B268" s="132">
        <v>41818</v>
      </c>
      <c r="C268" s="117">
        <v>1</v>
      </c>
      <c r="D268" s="103" t="s">
        <v>2</v>
      </c>
      <c r="E268" s="103" t="s">
        <v>306</v>
      </c>
      <c r="F268" s="103">
        <v>684</v>
      </c>
      <c r="G268" s="103">
        <v>1</v>
      </c>
      <c r="H268" s="137" t="s">
        <v>1118</v>
      </c>
      <c r="I268" s="103">
        <v>79</v>
      </c>
      <c r="K268" s="103" t="s">
        <v>364</v>
      </c>
      <c r="L268" s="133">
        <v>0.78819444444444453</v>
      </c>
      <c r="M268" s="134">
        <v>9.5833333333333326E-2</v>
      </c>
      <c r="N268" s="137" t="s">
        <v>1583</v>
      </c>
      <c r="O268" s="133" t="s">
        <v>1532</v>
      </c>
      <c r="Q268" s="100" t="s">
        <v>1586</v>
      </c>
      <c r="R268" s="226" t="s">
        <v>1589</v>
      </c>
      <c r="S268" s="491">
        <f t="shared" si="9"/>
        <v>2.5694443999999999E-3</v>
      </c>
      <c r="T268" s="492">
        <f>IFERROR(VLOOKUP(F268,'Freq-Chan'!C:D,2,FALSE),"x")</f>
        <v>151.684</v>
      </c>
      <c r="U268" s="110" t="s">
        <v>541</v>
      </c>
      <c r="V268" s="110" t="str">
        <f t="shared" si="10"/>
        <v>FWL</v>
      </c>
      <c r="W268" s="110" t="s">
        <v>541</v>
      </c>
      <c r="X268" s="110" t="s">
        <v>541</v>
      </c>
      <c r="Y268" s="110" t="str">
        <f>IFERROR(VLOOKUP(F268,'Freq-Chan'!C:E,3,FALSE),"na")</f>
        <v>F1845</v>
      </c>
      <c r="Z268" s="110" t="s">
        <v>541</v>
      </c>
      <c r="AA268" s="110" t="s">
        <v>541</v>
      </c>
      <c r="AB268" s="110" t="s">
        <v>541</v>
      </c>
      <c r="AC268" s="10" t="s">
        <v>541</v>
      </c>
      <c r="AD268" s="10" t="s">
        <v>541</v>
      </c>
    </row>
    <row r="269" spans="1:30" s="291" customFormat="1" x14ac:dyDescent="0.2">
      <c r="A269" s="493">
        <v>268</v>
      </c>
      <c r="B269" s="283">
        <v>41818</v>
      </c>
      <c r="C269" s="284">
        <v>1</v>
      </c>
      <c r="D269" s="285" t="s">
        <v>2</v>
      </c>
      <c r="E269" s="285" t="s">
        <v>306</v>
      </c>
      <c r="F269" s="285">
        <v>725</v>
      </c>
      <c r="G269" s="285">
        <v>50</v>
      </c>
      <c r="H269" s="339" t="s">
        <v>1119</v>
      </c>
      <c r="I269" s="285">
        <v>51</v>
      </c>
      <c r="J269" s="285"/>
      <c r="K269" s="285" t="s">
        <v>364</v>
      </c>
      <c r="L269" s="286"/>
      <c r="M269" s="287">
        <v>6.6666666666666666E-2</v>
      </c>
      <c r="N269" s="339" t="s">
        <v>1584</v>
      </c>
      <c r="O269" s="286" t="s">
        <v>909</v>
      </c>
      <c r="P269" s="289"/>
      <c r="Q269" s="289" t="s">
        <v>1559</v>
      </c>
      <c r="R269" s="290" t="s">
        <v>1589</v>
      </c>
      <c r="S269" s="494" t="str">
        <f t="shared" si="9"/>
        <v>x</v>
      </c>
      <c r="T269" s="495">
        <f>IFERROR(VLOOKUP(F269,'Freq-Chan'!C:D,2,FALSE),"x")</f>
        <v>151.72499999999999</v>
      </c>
      <c r="U269" s="493" t="s">
        <v>541</v>
      </c>
      <c r="V269" s="493" t="str">
        <f t="shared" si="10"/>
        <v>FWL</v>
      </c>
      <c r="W269" s="493" t="s">
        <v>541</v>
      </c>
      <c r="X269" s="493" t="s">
        <v>541</v>
      </c>
      <c r="Y269" s="493" t="str">
        <f>IFERROR(VLOOKUP(F269,'Freq-Chan'!C:E,3,FALSE),"na")</f>
        <v>F1845</v>
      </c>
      <c r="Z269" s="493" t="s">
        <v>541</v>
      </c>
      <c r="AA269" s="493" t="s">
        <v>541</v>
      </c>
      <c r="AB269" s="493" t="s">
        <v>541</v>
      </c>
      <c r="AC269" s="291" t="s">
        <v>541</v>
      </c>
      <c r="AD269" s="291" t="s">
        <v>541</v>
      </c>
    </row>
    <row r="270" spans="1:30" s="314" customFormat="1" x14ac:dyDescent="0.2">
      <c r="A270" s="499">
        <v>269</v>
      </c>
      <c r="B270" s="294">
        <v>41818</v>
      </c>
      <c r="C270" s="295">
        <v>2</v>
      </c>
      <c r="D270" s="296" t="s">
        <v>75</v>
      </c>
      <c r="E270" s="296" t="s">
        <v>798</v>
      </c>
      <c r="F270" s="296"/>
      <c r="G270" s="296"/>
      <c r="H270" s="296"/>
      <c r="I270" s="296"/>
      <c r="J270" s="296">
        <v>25</v>
      </c>
      <c r="K270" s="296" t="s">
        <v>364</v>
      </c>
      <c r="L270" s="297"/>
      <c r="M270" s="298">
        <v>1.4583333333333332E-2</v>
      </c>
      <c r="N270" s="299" t="s">
        <v>1587</v>
      </c>
      <c r="O270" s="297" t="s">
        <v>1585</v>
      </c>
      <c r="P270" s="300"/>
      <c r="Q270" s="300" t="s">
        <v>1569</v>
      </c>
      <c r="R270" s="301" t="s">
        <v>1589</v>
      </c>
      <c r="S270" s="500" t="str">
        <f t="shared" si="9"/>
        <v>x</v>
      </c>
      <c r="T270" s="501" t="str">
        <f>IFERROR(VLOOKUP(F270,'Freq-Chan'!C:D,2,FALSE),"x")</f>
        <v>x</v>
      </c>
      <c r="U270" s="499" t="s">
        <v>541</v>
      </c>
      <c r="V270" s="499" t="str">
        <f t="shared" si="10"/>
        <v>FWL</v>
      </c>
      <c r="W270" s="499" t="s">
        <v>541</v>
      </c>
      <c r="X270" s="499" t="s">
        <v>541</v>
      </c>
      <c r="Y270" s="499" t="str">
        <f>IFERROR(VLOOKUP(F270,'Freq-Chan'!C:E,3,FALSE),"na")</f>
        <v>na</v>
      </c>
      <c r="Z270" s="499" t="s">
        <v>541</v>
      </c>
      <c r="AA270" s="499" t="s">
        <v>541</v>
      </c>
      <c r="AB270" s="499" t="s">
        <v>541</v>
      </c>
      <c r="AC270" s="314" t="s">
        <v>541</v>
      </c>
      <c r="AD270" s="314" t="s">
        <v>541</v>
      </c>
    </row>
    <row r="271" spans="1:30" x14ac:dyDescent="0.2">
      <c r="A271" s="110">
        <v>270</v>
      </c>
      <c r="B271" s="132">
        <v>41819</v>
      </c>
      <c r="C271" s="117">
        <v>1</v>
      </c>
      <c r="D271" s="103" t="s">
        <v>2</v>
      </c>
      <c r="E271" s="103" t="s">
        <v>306</v>
      </c>
      <c r="F271" s="103">
        <v>684</v>
      </c>
      <c r="G271" s="103">
        <v>12</v>
      </c>
      <c r="H271" s="137" t="s">
        <v>1120</v>
      </c>
      <c r="I271" s="103">
        <v>84</v>
      </c>
      <c r="K271" s="103" t="s">
        <v>364</v>
      </c>
      <c r="L271" s="133"/>
      <c r="M271" s="134">
        <v>5.9722222222222225E-2</v>
      </c>
      <c r="N271" s="134">
        <v>0.24166666666666667</v>
      </c>
      <c r="O271" s="133" t="s">
        <v>802</v>
      </c>
      <c r="Q271" s="100" t="s">
        <v>1597</v>
      </c>
      <c r="R271" s="226" t="s">
        <v>1599</v>
      </c>
      <c r="S271" s="491" t="str">
        <f t="shared" si="9"/>
        <v>x</v>
      </c>
      <c r="T271" s="492">
        <f>IFERROR(VLOOKUP(F271,'Freq-Chan'!C:D,2,FALSE),"x")</f>
        <v>151.684</v>
      </c>
      <c r="U271" s="110" t="s">
        <v>541</v>
      </c>
      <c r="V271" s="110" t="str">
        <f t="shared" si="10"/>
        <v>FWL</v>
      </c>
      <c r="W271" s="110" t="s">
        <v>541</v>
      </c>
      <c r="X271" s="110" t="s">
        <v>541</v>
      </c>
      <c r="Y271" s="110" t="str">
        <f>IFERROR(VLOOKUP(F271,'Freq-Chan'!C:E,3,FALSE),"na")</f>
        <v>F1845</v>
      </c>
      <c r="Z271" s="110" t="s">
        <v>541</v>
      </c>
      <c r="AA271" s="110" t="s">
        <v>541</v>
      </c>
      <c r="AB271" s="110" t="s">
        <v>541</v>
      </c>
      <c r="AC271" s="10" t="s">
        <v>541</v>
      </c>
      <c r="AD271" s="10" t="s">
        <v>541</v>
      </c>
    </row>
    <row r="272" spans="1:30" x14ac:dyDescent="0.2">
      <c r="A272" s="110">
        <v>271</v>
      </c>
      <c r="B272" s="132">
        <v>41819</v>
      </c>
      <c r="C272" s="117">
        <v>1</v>
      </c>
      <c r="D272" s="103" t="s">
        <v>177</v>
      </c>
      <c r="E272" s="103" t="s">
        <v>0</v>
      </c>
      <c r="H272" s="103"/>
      <c r="I272" s="103">
        <v>38</v>
      </c>
      <c r="J272" s="103">
        <v>40</v>
      </c>
      <c r="K272" s="103" t="s">
        <v>364</v>
      </c>
      <c r="L272" s="133"/>
      <c r="M272" s="134">
        <v>4.3750000000000004E-2</v>
      </c>
      <c r="N272" s="134">
        <v>0.24513888888888888</v>
      </c>
      <c r="O272" s="133" t="s">
        <v>802</v>
      </c>
      <c r="P272" s="100" t="s">
        <v>776</v>
      </c>
      <c r="Q272" s="100" t="s">
        <v>1597</v>
      </c>
      <c r="R272" s="226" t="s">
        <v>1599</v>
      </c>
      <c r="S272" s="491" t="str">
        <f t="shared" si="9"/>
        <v>x</v>
      </c>
      <c r="T272" s="492" t="str">
        <f>IFERROR(VLOOKUP(F272,'Freq-Chan'!C:D,2,FALSE),"x")</f>
        <v>x</v>
      </c>
      <c r="U272" s="110" t="s">
        <v>541</v>
      </c>
      <c r="V272" s="110" t="str">
        <f t="shared" si="10"/>
        <v>FWL</v>
      </c>
      <c r="W272" s="110" t="s">
        <v>541</v>
      </c>
      <c r="X272" s="110" t="s">
        <v>541</v>
      </c>
      <c r="Y272" s="110" t="str">
        <f>IFERROR(VLOOKUP(F272,'Freq-Chan'!C:E,3,FALSE),"na")</f>
        <v>na</v>
      </c>
      <c r="Z272" s="110" t="s">
        <v>541</v>
      </c>
      <c r="AA272" s="110" t="s">
        <v>541</v>
      </c>
      <c r="AB272" s="110" t="s">
        <v>541</v>
      </c>
      <c r="AC272" s="10" t="s">
        <v>541</v>
      </c>
      <c r="AD272" s="10" t="s">
        <v>541</v>
      </c>
    </row>
    <row r="273" spans="1:30" x14ac:dyDescent="0.2">
      <c r="A273" s="110">
        <v>272</v>
      </c>
      <c r="B273" s="132">
        <v>41819</v>
      </c>
      <c r="C273" s="117">
        <v>1</v>
      </c>
      <c r="D273" s="103" t="s">
        <v>8</v>
      </c>
      <c r="E273" s="103" t="s">
        <v>306</v>
      </c>
      <c r="H273" s="103"/>
      <c r="I273" s="103">
        <v>46</v>
      </c>
      <c r="K273" s="103" t="s">
        <v>364</v>
      </c>
      <c r="L273" s="133"/>
      <c r="M273" s="134">
        <v>3.4722222222222224E-2</v>
      </c>
      <c r="N273" s="134">
        <v>0.24374999999999999</v>
      </c>
      <c r="O273" s="133" t="s">
        <v>802</v>
      </c>
      <c r="P273" s="100" t="s">
        <v>1596</v>
      </c>
      <c r="Q273" s="100" t="s">
        <v>1597</v>
      </c>
      <c r="R273" s="226" t="s">
        <v>1599</v>
      </c>
      <c r="S273" s="491" t="str">
        <f t="shared" si="9"/>
        <v>x</v>
      </c>
      <c r="T273" s="492" t="str">
        <f>IFERROR(VLOOKUP(F273,'Freq-Chan'!C:D,2,FALSE),"x")</f>
        <v>x</v>
      </c>
      <c r="U273" s="110" t="s">
        <v>541</v>
      </c>
      <c r="V273" s="110" t="str">
        <f t="shared" si="10"/>
        <v>FWL</v>
      </c>
      <c r="W273" s="110" t="s">
        <v>541</v>
      </c>
      <c r="X273" s="110" t="s">
        <v>541</v>
      </c>
      <c r="Y273" s="110" t="str">
        <f>IFERROR(VLOOKUP(F273,'Freq-Chan'!C:E,3,FALSE),"na")</f>
        <v>na</v>
      </c>
      <c r="Z273" s="110" t="s">
        <v>541</v>
      </c>
      <c r="AA273" s="110" t="s">
        <v>541</v>
      </c>
      <c r="AB273" s="110" t="s">
        <v>541</v>
      </c>
      <c r="AC273" s="10" t="s">
        <v>541</v>
      </c>
      <c r="AD273" s="10" t="s">
        <v>541</v>
      </c>
    </row>
    <row r="274" spans="1:30" x14ac:dyDescent="0.2">
      <c r="A274" s="110">
        <v>273</v>
      </c>
      <c r="B274" s="132">
        <v>41819</v>
      </c>
      <c r="C274" s="117">
        <v>1</v>
      </c>
      <c r="D274" s="103" t="s">
        <v>177</v>
      </c>
      <c r="E274" s="103" t="s">
        <v>0</v>
      </c>
      <c r="F274" s="103">
        <v>917</v>
      </c>
      <c r="G274" s="103">
        <v>26</v>
      </c>
      <c r="H274" s="137" t="s">
        <v>1121</v>
      </c>
      <c r="I274" s="103">
        <v>47</v>
      </c>
      <c r="K274" s="103" t="s">
        <v>364</v>
      </c>
      <c r="L274" s="133"/>
      <c r="M274" s="134">
        <v>7.0833333333333331E-2</v>
      </c>
      <c r="N274" s="134">
        <v>0.25277777777777777</v>
      </c>
      <c r="O274" s="133" t="s">
        <v>1532</v>
      </c>
      <c r="Q274" s="100" t="s">
        <v>1597</v>
      </c>
      <c r="R274" s="226" t="s">
        <v>1599</v>
      </c>
      <c r="S274" s="491" t="str">
        <f t="shared" si="9"/>
        <v>x</v>
      </c>
      <c r="T274" s="492">
        <f>IFERROR(VLOOKUP(F274,'Freq-Chan'!C:D,2,FALSE),"x")</f>
        <v>151.917</v>
      </c>
      <c r="U274" s="110" t="s">
        <v>541</v>
      </c>
      <c r="V274" s="110" t="str">
        <f t="shared" si="10"/>
        <v>FWL</v>
      </c>
      <c r="W274" s="110" t="s">
        <v>541</v>
      </c>
      <c r="X274" s="110" t="s">
        <v>541</v>
      </c>
      <c r="Y274" s="110" t="str">
        <f>IFERROR(VLOOKUP(F274,'Freq-Chan'!C:E,3,FALSE),"na")</f>
        <v>F1835</v>
      </c>
      <c r="Z274" s="110" t="s">
        <v>541</v>
      </c>
      <c r="AA274" s="110" t="s">
        <v>541</v>
      </c>
      <c r="AB274" s="110" t="s">
        <v>541</v>
      </c>
      <c r="AC274" s="10" t="s">
        <v>541</v>
      </c>
      <c r="AD274" s="10" t="s">
        <v>541</v>
      </c>
    </row>
    <row r="275" spans="1:30" x14ac:dyDescent="0.2">
      <c r="A275" s="110">
        <v>274</v>
      </c>
      <c r="B275" s="132">
        <v>41819</v>
      </c>
      <c r="C275" s="117">
        <v>1</v>
      </c>
      <c r="D275" s="103" t="s">
        <v>2</v>
      </c>
      <c r="E275" s="103" t="s">
        <v>306</v>
      </c>
      <c r="F275" s="103">
        <v>684</v>
      </c>
      <c r="G275" s="103">
        <v>51</v>
      </c>
      <c r="H275" s="137" t="s">
        <v>1122</v>
      </c>
      <c r="I275" s="103">
        <v>86</v>
      </c>
      <c r="K275" s="103" t="s">
        <v>364</v>
      </c>
      <c r="L275" s="133"/>
      <c r="M275" s="134">
        <v>5.7638888888888885E-2</v>
      </c>
      <c r="N275" s="134">
        <v>0.25416666666666665</v>
      </c>
      <c r="O275" s="133" t="s">
        <v>1532</v>
      </c>
      <c r="Q275" s="100" t="s">
        <v>1597</v>
      </c>
      <c r="R275" s="226" t="s">
        <v>1599</v>
      </c>
      <c r="S275" s="491" t="str">
        <f t="shared" si="9"/>
        <v>x</v>
      </c>
      <c r="T275" s="492">
        <f>IFERROR(VLOOKUP(F275,'Freq-Chan'!C:D,2,FALSE),"x")</f>
        <v>151.684</v>
      </c>
      <c r="U275" s="110" t="s">
        <v>541</v>
      </c>
      <c r="V275" s="110" t="str">
        <f t="shared" si="10"/>
        <v>FWL</v>
      </c>
      <c r="W275" s="110" t="s">
        <v>541</v>
      </c>
      <c r="X275" s="110" t="s">
        <v>541</v>
      </c>
      <c r="Y275" s="110" t="str">
        <f>IFERROR(VLOOKUP(F275,'Freq-Chan'!C:E,3,FALSE),"na")</f>
        <v>F1845</v>
      </c>
      <c r="Z275" s="110" t="s">
        <v>541</v>
      </c>
      <c r="AA275" s="110" t="s">
        <v>541</v>
      </c>
      <c r="AB275" s="110" t="s">
        <v>541</v>
      </c>
      <c r="AC275" s="10" t="s">
        <v>541</v>
      </c>
      <c r="AD275" s="10" t="s">
        <v>541</v>
      </c>
    </row>
    <row r="276" spans="1:30" x14ac:dyDescent="0.2">
      <c r="A276" s="110">
        <v>275</v>
      </c>
      <c r="B276" s="132">
        <v>41819</v>
      </c>
      <c r="C276" s="117">
        <v>1</v>
      </c>
      <c r="D276" s="103" t="s">
        <v>2</v>
      </c>
      <c r="E276" s="103" t="s">
        <v>306</v>
      </c>
      <c r="F276" s="103">
        <v>725</v>
      </c>
      <c r="G276" s="103">
        <v>40</v>
      </c>
      <c r="H276" s="137" t="s">
        <v>1123</v>
      </c>
      <c r="I276" s="103">
        <v>71</v>
      </c>
      <c r="K276" s="103" t="s">
        <v>364</v>
      </c>
      <c r="L276" s="133">
        <v>0.33333333333333331</v>
      </c>
      <c r="M276" s="134">
        <v>5.9027777777777783E-2</v>
      </c>
      <c r="N276" s="134">
        <v>0.33888888888888885</v>
      </c>
      <c r="O276" s="133" t="s">
        <v>802</v>
      </c>
      <c r="Q276" s="100" t="s">
        <v>1597</v>
      </c>
      <c r="R276" s="226" t="s">
        <v>1599</v>
      </c>
      <c r="S276" s="491">
        <f t="shared" si="9"/>
        <v>4.5717593000000004E-3</v>
      </c>
      <c r="T276" s="492">
        <f>IFERROR(VLOOKUP(F276,'Freq-Chan'!C:D,2,FALSE),"x")</f>
        <v>151.72499999999999</v>
      </c>
      <c r="U276" s="110" t="s">
        <v>541</v>
      </c>
      <c r="V276" s="110" t="str">
        <f t="shared" si="10"/>
        <v>FWL</v>
      </c>
      <c r="W276" s="110" t="s">
        <v>541</v>
      </c>
      <c r="X276" s="110" t="s">
        <v>541</v>
      </c>
      <c r="Y276" s="110" t="str">
        <f>IFERROR(VLOOKUP(F276,'Freq-Chan'!C:E,3,FALSE),"na")</f>
        <v>F1845</v>
      </c>
      <c r="Z276" s="110" t="s">
        <v>541</v>
      </c>
      <c r="AA276" s="110" t="s">
        <v>541</v>
      </c>
      <c r="AB276" s="110" t="s">
        <v>541</v>
      </c>
      <c r="AC276" s="10" t="s">
        <v>541</v>
      </c>
      <c r="AD276" s="10" t="s">
        <v>541</v>
      </c>
    </row>
    <row r="277" spans="1:30" x14ac:dyDescent="0.2">
      <c r="A277" s="110">
        <v>276</v>
      </c>
      <c r="B277" s="132">
        <v>41819</v>
      </c>
      <c r="C277" s="117">
        <v>1</v>
      </c>
      <c r="D277" s="103" t="s">
        <v>2</v>
      </c>
      <c r="E277" s="103" t="s">
        <v>306</v>
      </c>
      <c r="F277" s="103">
        <v>684</v>
      </c>
      <c r="G277" s="103">
        <v>57</v>
      </c>
      <c r="H277" s="137" t="s">
        <v>1124</v>
      </c>
      <c r="I277" s="103">
        <v>88</v>
      </c>
      <c r="K277" s="103" t="s">
        <v>364</v>
      </c>
      <c r="L277" s="133">
        <v>0.3972222222222222</v>
      </c>
      <c r="M277" s="134">
        <v>5.4166666666666669E-2</v>
      </c>
      <c r="N277" s="134">
        <v>0.40069444444444446</v>
      </c>
      <c r="O277" s="133" t="s">
        <v>1532</v>
      </c>
      <c r="P277" s="100" t="s">
        <v>1595</v>
      </c>
      <c r="Q277" s="100" t="s">
        <v>1597</v>
      </c>
      <c r="R277" s="226" t="s">
        <v>1599</v>
      </c>
      <c r="S277" s="491">
        <f t="shared" si="9"/>
        <v>2.5694443999999999E-3</v>
      </c>
      <c r="T277" s="492">
        <f>IFERROR(VLOOKUP(F277,'Freq-Chan'!C:D,2,FALSE),"x")</f>
        <v>151.684</v>
      </c>
      <c r="U277" s="110" t="s">
        <v>541</v>
      </c>
      <c r="V277" s="110" t="str">
        <f t="shared" si="10"/>
        <v>FWL</v>
      </c>
      <c r="W277" s="110" t="s">
        <v>541</v>
      </c>
      <c r="X277" s="110" t="s">
        <v>541</v>
      </c>
      <c r="Y277" s="110" t="str">
        <f>IFERROR(VLOOKUP(F277,'Freq-Chan'!C:E,3,FALSE),"na")</f>
        <v>F1845</v>
      </c>
      <c r="Z277" s="110" t="s">
        <v>541</v>
      </c>
      <c r="AA277" s="110" t="s">
        <v>541</v>
      </c>
      <c r="AB277" s="110" t="s">
        <v>541</v>
      </c>
      <c r="AC277" s="10" t="s">
        <v>541</v>
      </c>
      <c r="AD277" s="10" t="s">
        <v>541</v>
      </c>
    </row>
    <row r="278" spans="1:30" x14ac:dyDescent="0.2">
      <c r="A278" s="110">
        <v>277</v>
      </c>
      <c r="B278" s="132">
        <v>41819</v>
      </c>
      <c r="C278" s="117">
        <v>1</v>
      </c>
      <c r="D278" s="103" t="s">
        <v>2</v>
      </c>
      <c r="E278" s="103" t="s">
        <v>306</v>
      </c>
      <c r="F278" s="103">
        <v>725</v>
      </c>
      <c r="G278" s="103">
        <v>77</v>
      </c>
      <c r="H278" s="137" t="s">
        <v>1125</v>
      </c>
      <c r="I278" s="103">
        <v>66</v>
      </c>
      <c r="K278" s="103" t="s">
        <v>364</v>
      </c>
      <c r="L278" s="133"/>
      <c r="M278" s="134">
        <v>6.1111111111111116E-2</v>
      </c>
      <c r="N278" s="134">
        <v>0.40625</v>
      </c>
      <c r="O278" s="133" t="s">
        <v>1532</v>
      </c>
      <c r="Q278" s="100" t="s">
        <v>1597</v>
      </c>
      <c r="R278" s="226" t="s">
        <v>1599</v>
      </c>
      <c r="S278" s="491" t="str">
        <f t="shared" si="9"/>
        <v>x</v>
      </c>
      <c r="T278" s="492">
        <f>IFERROR(VLOOKUP(F278,'Freq-Chan'!C:D,2,FALSE),"x")</f>
        <v>151.72499999999999</v>
      </c>
      <c r="U278" s="110" t="s">
        <v>541</v>
      </c>
      <c r="V278" s="110" t="str">
        <f t="shared" si="10"/>
        <v>FWL</v>
      </c>
      <c r="W278" s="110" t="s">
        <v>541</v>
      </c>
      <c r="X278" s="110" t="s">
        <v>541</v>
      </c>
      <c r="Y278" s="110" t="str">
        <f>IFERROR(VLOOKUP(F278,'Freq-Chan'!C:E,3,FALSE),"na")</f>
        <v>F1845</v>
      </c>
      <c r="Z278" s="110" t="s">
        <v>541</v>
      </c>
      <c r="AA278" s="110" t="s">
        <v>541</v>
      </c>
      <c r="AB278" s="110" t="s">
        <v>541</v>
      </c>
      <c r="AC278" s="10" t="s">
        <v>541</v>
      </c>
      <c r="AD278" s="10" t="s">
        <v>541</v>
      </c>
    </row>
    <row r="279" spans="1:30" x14ac:dyDescent="0.2">
      <c r="A279" s="110">
        <v>278</v>
      </c>
      <c r="B279" s="132">
        <v>41819</v>
      </c>
      <c r="C279" s="117">
        <v>1</v>
      </c>
      <c r="D279" s="103" t="s">
        <v>2</v>
      </c>
      <c r="E279" s="103" t="s">
        <v>306</v>
      </c>
      <c r="F279" s="103">
        <v>725</v>
      </c>
      <c r="G279" s="103">
        <v>29</v>
      </c>
      <c r="H279" s="137" t="s">
        <v>1126</v>
      </c>
      <c r="I279" s="103">
        <v>51</v>
      </c>
      <c r="K279" s="103" t="s">
        <v>364</v>
      </c>
      <c r="L279" s="133"/>
      <c r="M279" s="134">
        <v>8.3333333333333329E-2</v>
      </c>
      <c r="N279" s="134">
        <v>0.41319444444444442</v>
      </c>
      <c r="O279" s="133" t="s">
        <v>802</v>
      </c>
      <c r="Q279" s="100" t="s">
        <v>1597</v>
      </c>
      <c r="R279" s="226" t="s">
        <v>1599</v>
      </c>
      <c r="S279" s="491" t="str">
        <f t="shared" si="9"/>
        <v>x</v>
      </c>
      <c r="T279" s="492">
        <f>IFERROR(VLOOKUP(F279,'Freq-Chan'!C:D,2,FALSE),"x")</f>
        <v>151.72499999999999</v>
      </c>
      <c r="U279" s="110" t="s">
        <v>541</v>
      </c>
      <c r="V279" s="110" t="str">
        <f t="shared" si="10"/>
        <v>FWL</v>
      </c>
      <c r="W279" s="110" t="s">
        <v>541</v>
      </c>
      <c r="X279" s="110" t="s">
        <v>541</v>
      </c>
      <c r="Y279" s="110" t="str">
        <f>IFERROR(VLOOKUP(F279,'Freq-Chan'!C:E,3,FALSE),"na")</f>
        <v>F1845</v>
      </c>
      <c r="Z279" s="110" t="s">
        <v>541</v>
      </c>
      <c r="AA279" s="110" t="s">
        <v>541</v>
      </c>
      <c r="AB279" s="110" t="s">
        <v>541</v>
      </c>
      <c r="AC279" s="10" t="s">
        <v>541</v>
      </c>
      <c r="AD279" s="10" t="s">
        <v>541</v>
      </c>
    </row>
    <row r="280" spans="1:30" x14ac:dyDescent="0.2">
      <c r="A280" s="110">
        <v>279</v>
      </c>
      <c r="B280" s="132">
        <v>41819</v>
      </c>
      <c r="C280" s="117">
        <v>1</v>
      </c>
      <c r="D280" s="103" t="s">
        <v>2</v>
      </c>
      <c r="E280" s="103" t="s">
        <v>306</v>
      </c>
      <c r="F280" s="103">
        <v>725</v>
      </c>
      <c r="G280" s="103">
        <v>65</v>
      </c>
      <c r="H280" s="137" t="s">
        <v>1127</v>
      </c>
      <c r="I280" s="103">
        <v>65</v>
      </c>
      <c r="K280" s="103" t="s">
        <v>364</v>
      </c>
      <c r="L280" s="133"/>
      <c r="M280" s="134">
        <v>6.5972222222222224E-2</v>
      </c>
      <c r="N280" s="134">
        <v>0.41666666666666669</v>
      </c>
      <c r="O280" s="133" t="s">
        <v>802</v>
      </c>
      <c r="Q280" s="100" t="s">
        <v>1597</v>
      </c>
      <c r="R280" s="226" t="s">
        <v>1599</v>
      </c>
      <c r="S280" s="491" t="str">
        <f t="shared" si="9"/>
        <v>x</v>
      </c>
      <c r="T280" s="492">
        <f>IFERROR(VLOOKUP(F280,'Freq-Chan'!C:D,2,FALSE),"x")</f>
        <v>151.72499999999999</v>
      </c>
      <c r="U280" s="110" t="s">
        <v>541</v>
      </c>
      <c r="V280" s="110" t="str">
        <f t="shared" si="10"/>
        <v>FWL</v>
      </c>
      <c r="W280" s="110" t="s">
        <v>541</v>
      </c>
      <c r="X280" s="110" t="s">
        <v>541</v>
      </c>
      <c r="Y280" s="110" t="str">
        <f>IFERROR(VLOOKUP(F280,'Freq-Chan'!C:E,3,FALSE),"na")</f>
        <v>F1845</v>
      </c>
      <c r="Z280" s="110" t="s">
        <v>541</v>
      </c>
      <c r="AA280" s="110" t="s">
        <v>541</v>
      </c>
      <c r="AB280" s="110" t="s">
        <v>541</v>
      </c>
      <c r="AC280" s="10" t="s">
        <v>541</v>
      </c>
      <c r="AD280" s="10" t="s">
        <v>541</v>
      </c>
    </row>
    <row r="281" spans="1:30" x14ac:dyDescent="0.2">
      <c r="A281" s="110">
        <v>280</v>
      </c>
      <c r="B281" s="132">
        <v>41819</v>
      </c>
      <c r="C281" s="117">
        <v>1</v>
      </c>
      <c r="D281" s="103" t="s">
        <v>177</v>
      </c>
      <c r="E281" s="103" t="s">
        <v>0</v>
      </c>
      <c r="H281" s="103"/>
      <c r="I281" s="103">
        <v>34</v>
      </c>
      <c r="K281" s="103" t="s">
        <v>364</v>
      </c>
      <c r="L281" s="133"/>
      <c r="M281" s="134">
        <v>3.0555555555555555E-2</v>
      </c>
      <c r="N281" s="134">
        <v>0.46666666666666662</v>
      </c>
      <c r="O281" s="133" t="s">
        <v>950</v>
      </c>
      <c r="P281" s="100" t="s">
        <v>776</v>
      </c>
      <c r="Q281" s="100" t="s">
        <v>1598</v>
      </c>
      <c r="R281" s="226" t="s">
        <v>1599</v>
      </c>
      <c r="S281" s="491" t="str">
        <f t="shared" si="9"/>
        <v>x</v>
      </c>
      <c r="T281" s="492" t="str">
        <f>IFERROR(VLOOKUP(F281,'Freq-Chan'!C:D,2,FALSE),"x")</f>
        <v>x</v>
      </c>
      <c r="U281" s="110" t="s">
        <v>541</v>
      </c>
      <c r="V281" s="110" t="str">
        <f t="shared" si="10"/>
        <v>FWL</v>
      </c>
      <c r="W281" s="110" t="s">
        <v>541</v>
      </c>
      <c r="X281" s="110" t="s">
        <v>541</v>
      </c>
      <c r="Y281" s="110" t="str">
        <f>IFERROR(VLOOKUP(F281,'Freq-Chan'!C:E,3,FALSE),"na")</f>
        <v>na</v>
      </c>
      <c r="Z281" s="110" t="s">
        <v>541</v>
      </c>
      <c r="AA281" s="110" t="s">
        <v>541</v>
      </c>
      <c r="AB281" s="110" t="s">
        <v>541</v>
      </c>
      <c r="AC281" s="10" t="s">
        <v>541</v>
      </c>
      <c r="AD281" s="10" t="s">
        <v>541</v>
      </c>
    </row>
    <row r="282" spans="1:30" x14ac:dyDescent="0.2">
      <c r="A282" s="110">
        <v>281</v>
      </c>
      <c r="B282" s="132">
        <v>41819</v>
      </c>
      <c r="C282" s="117">
        <v>1</v>
      </c>
      <c r="D282" s="103" t="s">
        <v>177</v>
      </c>
      <c r="E282" s="103" t="s">
        <v>0</v>
      </c>
      <c r="H282" s="103"/>
      <c r="I282" s="103">
        <v>35</v>
      </c>
      <c r="K282" s="103" t="s">
        <v>364</v>
      </c>
      <c r="L282" s="133"/>
      <c r="M282" s="134">
        <v>2.7083333333333334E-2</v>
      </c>
      <c r="N282" s="134">
        <v>0.48402777777777778</v>
      </c>
      <c r="O282" s="133" t="s">
        <v>909</v>
      </c>
      <c r="P282" s="100" t="s">
        <v>776</v>
      </c>
      <c r="Q282" s="100" t="s">
        <v>1598</v>
      </c>
      <c r="R282" s="226" t="s">
        <v>1599</v>
      </c>
      <c r="S282" s="491" t="str">
        <f t="shared" si="9"/>
        <v>x</v>
      </c>
      <c r="T282" s="492" t="str">
        <f>IFERROR(VLOOKUP(F282,'Freq-Chan'!C:D,2,FALSE),"x")</f>
        <v>x</v>
      </c>
      <c r="U282" s="110" t="s">
        <v>541</v>
      </c>
      <c r="V282" s="110" t="str">
        <f t="shared" si="10"/>
        <v>FWL</v>
      </c>
      <c r="W282" s="110" t="s">
        <v>541</v>
      </c>
      <c r="X282" s="110" t="s">
        <v>541</v>
      </c>
      <c r="Y282" s="110" t="str">
        <f>IFERROR(VLOOKUP(F282,'Freq-Chan'!C:E,3,FALSE),"na")</f>
        <v>na</v>
      </c>
      <c r="Z282" s="110" t="s">
        <v>541</v>
      </c>
      <c r="AA282" s="110" t="s">
        <v>541</v>
      </c>
      <c r="AB282" s="110" t="s">
        <v>541</v>
      </c>
      <c r="AC282" s="10" t="s">
        <v>541</v>
      </c>
      <c r="AD282" s="10" t="s">
        <v>541</v>
      </c>
    </row>
    <row r="283" spans="1:30" x14ac:dyDescent="0.2">
      <c r="A283" s="110">
        <v>282</v>
      </c>
      <c r="B283" s="132">
        <v>41819</v>
      </c>
      <c r="C283" s="117">
        <v>1</v>
      </c>
      <c r="D283" s="103" t="s">
        <v>177</v>
      </c>
      <c r="E283" s="103" t="s">
        <v>0</v>
      </c>
      <c r="H283" s="103"/>
      <c r="I283" s="103">
        <v>34</v>
      </c>
      <c r="K283" s="103" t="s">
        <v>364</v>
      </c>
      <c r="L283" s="133">
        <v>0.48472222222222222</v>
      </c>
      <c r="M283" s="134">
        <v>2.5694444444444447E-2</v>
      </c>
      <c r="N283" s="134">
        <v>0.48541666666666666</v>
      </c>
      <c r="O283" s="133" t="s">
        <v>950</v>
      </c>
      <c r="P283" s="100" t="s">
        <v>776</v>
      </c>
      <c r="Q283" s="100" t="s">
        <v>1598</v>
      </c>
      <c r="R283" s="226" t="s">
        <v>1599</v>
      </c>
      <c r="S283" s="491">
        <f t="shared" si="9"/>
        <v>2.6620369999999998E-4</v>
      </c>
      <c r="T283" s="492" t="str">
        <f>IFERROR(VLOOKUP(F283,'Freq-Chan'!C:D,2,FALSE),"x")</f>
        <v>x</v>
      </c>
      <c r="U283" s="110" t="s">
        <v>541</v>
      </c>
      <c r="V283" s="110" t="str">
        <f t="shared" si="10"/>
        <v>FWL</v>
      </c>
      <c r="W283" s="110" t="s">
        <v>541</v>
      </c>
      <c r="X283" s="110" t="s">
        <v>541</v>
      </c>
      <c r="Y283" s="110" t="str">
        <f>IFERROR(VLOOKUP(F283,'Freq-Chan'!C:E,3,FALSE),"na")</f>
        <v>na</v>
      </c>
      <c r="Z283" s="110" t="s">
        <v>541</v>
      </c>
      <c r="AA283" s="110" t="s">
        <v>541</v>
      </c>
      <c r="AB283" s="110" t="s">
        <v>541</v>
      </c>
      <c r="AC283" s="10" t="s">
        <v>541</v>
      </c>
      <c r="AD283" s="10" t="s">
        <v>541</v>
      </c>
    </row>
    <row r="284" spans="1:30" x14ac:dyDescent="0.2">
      <c r="A284" s="110">
        <v>283</v>
      </c>
      <c r="B284" s="132">
        <v>41819</v>
      </c>
      <c r="C284" s="117">
        <v>1</v>
      </c>
      <c r="D284" s="103" t="s">
        <v>2</v>
      </c>
      <c r="E284" s="103" t="s">
        <v>306</v>
      </c>
      <c r="F284" s="103">
        <v>725</v>
      </c>
      <c r="G284" s="103">
        <v>28</v>
      </c>
      <c r="H284" s="137" t="s">
        <v>1128</v>
      </c>
      <c r="I284" s="103">
        <v>69</v>
      </c>
      <c r="K284" s="103" t="s">
        <v>364</v>
      </c>
      <c r="L284" s="133"/>
      <c r="M284" s="134">
        <v>5.8333333333333327E-2</v>
      </c>
      <c r="N284" s="134">
        <v>0.54722222222222217</v>
      </c>
      <c r="O284" s="133" t="s">
        <v>950</v>
      </c>
      <c r="Q284" s="100" t="s">
        <v>1598</v>
      </c>
      <c r="R284" s="226" t="s">
        <v>1599</v>
      </c>
      <c r="S284" s="491" t="str">
        <f t="shared" si="9"/>
        <v>x</v>
      </c>
      <c r="T284" s="492">
        <f>IFERROR(VLOOKUP(F284,'Freq-Chan'!C:D,2,FALSE),"x")</f>
        <v>151.72499999999999</v>
      </c>
      <c r="U284" s="110" t="s">
        <v>541</v>
      </c>
      <c r="V284" s="110" t="str">
        <f t="shared" si="10"/>
        <v>FWL</v>
      </c>
      <c r="W284" s="110" t="s">
        <v>541</v>
      </c>
      <c r="X284" s="110" t="s">
        <v>541</v>
      </c>
      <c r="Y284" s="110" t="str">
        <f>IFERROR(VLOOKUP(F284,'Freq-Chan'!C:E,3,FALSE),"na")</f>
        <v>F1845</v>
      </c>
      <c r="Z284" s="110" t="s">
        <v>541</v>
      </c>
      <c r="AA284" s="110" t="s">
        <v>541</v>
      </c>
      <c r="AB284" s="110" t="s">
        <v>541</v>
      </c>
      <c r="AC284" s="10" t="s">
        <v>541</v>
      </c>
      <c r="AD284" s="10" t="s">
        <v>541</v>
      </c>
    </row>
    <row r="285" spans="1:30" x14ac:dyDescent="0.2">
      <c r="A285" s="110">
        <v>284</v>
      </c>
      <c r="B285" s="132">
        <v>41819</v>
      </c>
      <c r="C285" s="117">
        <v>1</v>
      </c>
      <c r="D285" s="103" t="s">
        <v>2</v>
      </c>
      <c r="E285" s="103" t="s">
        <v>306</v>
      </c>
      <c r="F285" s="103">
        <v>684</v>
      </c>
      <c r="G285" s="103">
        <v>41</v>
      </c>
      <c r="H285" s="137" t="s">
        <v>1129</v>
      </c>
      <c r="I285" s="103">
        <v>63</v>
      </c>
      <c r="K285" s="103" t="s">
        <v>364</v>
      </c>
      <c r="L285" s="133"/>
      <c r="M285" s="134">
        <v>6.1111111111111116E-2</v>
      </c>
      <c r="N285" s="134">
        <v>0.55277777777777781</v>
      </c>
      <c r="O285" s="133" t="s">
        <v>909</v>
      </c>
      <c r="Q285" s="100" t="s">
        <v>1598</v>
      </c>
      <c r="R285" s="226" t="s">
        <v>1599</v>
      </c>
      <c r="S285" s="491" t="str">
        <f t="shared" si="9"/>
        <v>x</v>
      </c>
      <c r="T285" s="492">
        <f>IFERROR(VLOOKUP(F285,'Freq-Chan'!C:D,2,FALSE),"x")</f>
        <v>151.684</v>
      </c>
      <c r="U285" s="110" t="s">
        <v>541</v>
      </c>
      <c r="V285" s="110" t="str">
        <f t="shared" si="10"/>
        <v>FWL</v>
      </c>
      <c r="W285" s="110" t="s">
        <v>541</v>
      </c>
      <c r="X285" s="110" t="s">
        <v>541</v>
      </c>
      <c r="Y285" s="110" t="str">
        <f>IFERROR(VLOOKUP(F285,'Freq-Chan'!C:E,3,FALSE),"na")</f>
        <v>F1845</v>
      </c>
      <c r="Z285" s="110" t="s">
        <v>541</v>
      </c>
      <c r="AA285" s="110" t="s">
        <v>541</v>
      </c>
      <c r="AB285" s="110" t="s">
        <v>541</v>
      </c>
      <c r="AC285" s="10" t="s">
        <v>541</v>
      </c>
      <c r="AD285" s="10" t="s">
        <v>541</v>
      </c>
    </row>
    <row r="286" spans="1:30" x14ac:dyDescent="0.2">
      <c r="A286" s="110">
        <v>285</v>
      </c>
      <c r="B286" s="132">
        <v>41819</v>
      </c>
      <c r="C286" s="117">
        <v>1</v>
      </c>
      <c r="D286" s="103" t="s">
        <v>2</v>
      </c>
      <c r="E286" s="103" t="s">
        <v>306</v>
      </c>
      <c r="F286" s="103">
        <v>784</v>
      </c>
      <c r="G286" s="103">
        <v>90</v>
      </c>
      <c r="H286" s="137" t="s">
        <v>1130</v>
      </c>
      <c r="I286" s="103">
        <v>62</v>
      </c>
      <c r="K286" s="103" t="s">
        <v>364</v>
      </c>
      <c r="L286" s="133">
        <v>0.55763888888888891</v>
      </c>
      <c r="M286" s="134">
        <v>6.0416666666666667E-2</v>
      </c>
      <c r="N286" s="134">
        <v>0.56111111111111112</v>
      </c>
      <c r="O286" s="133" t="s">
        <v>950</v>
      </c>
      <c r="Q286" s="100" t="s">
        <v>1598</v>
      </c>
      <c r="R286" s="226" t="s">
        <v>1599</v>
      </c>
      <c r="S286" s="491">
        <f t="shared" si="9"/>
        <v>2.4652777999999999E-3</v>
      </c>
      <c r="T286" s="492">
        <f>IFERROR(VLOOKUP(F286,'Freq-Chan'!C:D,2,FALSE),"x")</f>
        <v>151.78399999999999</v>
      </c>
      <c r="U286" s="110" t="s">
        <v>541</v>
      </c>
      <c r="V286" s="110" t="str">
        <f t="shared" si="10"/>
        <v>FWL</v>
      </c>
      <c r="W286" s="110" t="s">
        <v>541</v>
      </c>
      <c r="X286" s="110" t="s">
        <v>541</v>
      </c>
      <c r="Y286" s="110" t="str">
        <f>IFERROR(VLOOKUP(F286,'Freq-Chan'!C:E,3,FALSE),"na")</f>
        <v>F1845</v>
      </c>
      <c r="Z286" s="110" t="s">
        <v>541</v>
      </c>
      <c r="AA286" s="110" t="s">
        <v>541</v>
      </c>
      <c r="AB286" s="110" t="s">
        <v>541</v>
      </c>
      <c r="AC286" s="10" t="s">
        <v>541</v>
      </c>
      <c r="AD286" s="10" t="s">
        <v>541</v>
      </c>
    </row>
    <row r="287" spans="1:30" x14ac:dyDescent="0.2">
      <c r="A287" s="110">
        <v>286</v>
      </c>
      <c r="B287" s="132">
        <v>41819</v>
      </c>
      <c r="C287" s="117">
        <v>1</v>
      </c>
      <c r="D287" s="103" t="s">
        <v>2</v>
      </c>
      <c r="E287" s="103" t="s">
        <v>306</v>
      </c>
      <c r="F287" s="103">
        <v>755</v>
      </c>
      <c r="G287" s="103">
        <v>94</v>
      </c>
      <c r="H287" s="137" t="s">
        <v>1131</v>
      </c>
      <c r="I287" s="103">
        <v>56</v>
      </c>
      <c r="K287" s="103" t="s">
        <v>364</v>
      </c>
      <c r="L287" s="133"/>
      <c r="M287" s="134">
        <v>6.3194444444444442E-2</v>
      </c>
      <c r="N287" s="134">
        <v>0.56805555555555554</v>
      </c>
      <c r="O287" s="133" t="s">
        <v>909</v>
      </c>
      <c r="Q287" s="100" t="s">
        <v>1598</v>
      </c>
      <c r="R287" s="226" t="s">
        <v>1599</v>
      </c>
      <c r="S287" s="491" t="str">
        <f t="shared" si="9"/>
        <v>x</v>
      </c>
      <c r="T287" s="492">
        <f>IFERROR(VLOOKUP(F287,'Freq-Chan'!C:D,2,FALSE),"x")</f>
        <v>151.755</v>
      </c>
      <c r="U287" s="110" t="s">
        <v>541</v>
      </c>
      <c r="V287" s="110" t="str">
        <f t="shared" si="10"/>
        <v>FWL</v>
      </c>
      <c r="W287" s="110" t="s">
        <v>541</v>
      </c>
      <c r="X287" s="110" t="s">
        <v>541</v>
      </c>
      <c r="Y287" s="110" t="str">
        <f>IFERROR(VLOOKUP(F287,'Freq-Chan'!C:E,3,FALSE),"na")</f>
        <v>F1845</v>
      </c>
      <c r="Z287" s="110" t="s">
        <v>541</v>
      </c>
      <c r="AA287" s="110" t="s">
        <v>541</v>
      </c>
      <c r="AB287" s="110" t="s">
        <v>541</v>
      </c>
      <c r="AC287" s="10" t="s">
        <v>541</v>
      </c>
      <c r="AD287" s="10" t="s">
        <v>541</v>
      </c>
    </row>
    <row r="288" spans="1:30" x14ac:dyDescent="0.2">
      <c r="A288" s="110">
        <v>287</v>
      </c>
      <c r="B288" s="132">
        <v>41819</v>
      </c>
      <c r="C288" s="117">
        <v>1</v>
      </c>
      <c r="D288" s="103" t="s">
        <v>2</v>
      </c>
      <c r="E288" s="103" t="s">
        <v>306</v>
      </c>
      <c r="F288" s="103">
        <v>755</v>
      </c>
      <c r="G288" s="103">
        <v>37</v>
      </c>
      <c r="H288" s="137" t="s">
        <v>1132</v>
      </c>
      <c r="I288" s="103">
        <v>53</v>
      </c>
      <c r="K288" s="103" t="s">
        <v>364</v>
      </c>
      <c r="L288" s="133"/>
      <c r="M288" s="134">
        <v>5.9027777777777783E-2</v>
      </c>
      <c r="N288" s="134">
        <v>0.59583333333333333</v>
      </c>
      <c r="O288" s="133" t="s">
        <v>950</v>
      </c>
      <c r="Q288" s="100" t="s">
        <v>1598</v>
      </c>
      <c r="R288" s="226" t="s">
        <v>1599</v>
      </c>
      <c r="S288" s="491" t="str">
        <f t="shared" si="9"/>
        <v>x</v>
      </c>
      <c r="T288" s="492">
        <f>IFERROR(VLOOKUP(F288,'Freq-Chan'!C:D,2,FALSE),"x")</f>
        <v>151.755</v>
      </c>
      <c r="U288" s="110" t="s">
        <v>541</v>
      </c>
      <c r="V288" s="110" t="str">
        <f t="shared" si="10"/>
        <v>FWL</v>
      </c>
      <c r="W288" s="110" t="s">
        <v>541</v>
      </c>
      <c r="X288" s="110" t="s">
        <v>541</v>
      </c>
      <c r="Y288" s="110" t="str">
        <f>IFERROR(VLOOKUP(F288,'Freq-Chan'!C:E,3,FALSE),"na")</f>
        <v>F1845</v>
      </c>
      <c r="Z288" s="110" t="s">
        <v>541</v>
      </c>
      <c r="AA288" s="110" t="s">
        <v>541</v>
      </c>
      <c r="AB288" s="110" t="s">
        <v>541</v>
      </c>
      <c r="AC288" s="10" t="s">
        <v>541</v>
      </c>
      <c r="AD288" s="10" t="s">
        <v>541</v>
      </c>
    </row>
    <row r="289" spans="1:30" s="291" customFormat="1" x14ac:dyDescent="0.2">
      <c r="A289" s="493">
        <v>288</v>
      </c>
      <c r="B289" s="283">
        <v>41819</v>
      </c>
      <c r="C289" s="284">
        <v>1</v>
      </c>
      <c r="D289" s="285" t="s">
        <v>2</v>
      </c>
      <c r="E289" s="285" t="s">
        <v>306</v>
      </c>
      <c r="F289" s="285">
        <v>784</v>
      </c>
      <c r="G289" s="285">
        <v>83</v>
      </c>
      <c r="H289" s="339" t="s">
        <v>1133</v>
      </c>
      <c r="I289" s="285">
        <v>59</v>
      </c>
      <c r="J289" s="285"/>
      <c r="K289" s="285" t="s">
        <v>364</v>
      </c>
      <c r="L289" s="286">
        <v>0.60069444444444442</v>
      </c>
      <c r="M289" s="287">
        <v>8.0555555555555561E-2</v>
      </c>
      <c r="N289" s="287">
        <v>0.60416666666666663</v>
      </c>
      <c r="O289" s="286" t="s">
        <v>909</v>
      </c>
      <c r="P289" s="289" t="s">
        <v>1594</v>
      </c>
      <c r="Q289" s="289" t="s">
        <v>1598</v>
      </c>
      <c r="R289" s="290" t="s">
        <v>1599</v>
      </c>
      <c r="S289" s="494">
        <f t="shared" si="9"/>
        <v>2.1296295999999998E-3</v>
      </c>
      <c r="T289" s="495">
        <f>IFERROR(VLOOKUP(F289,'Freq-Chan'!C:D,2,FALSE),"x")</f>
        <v>151.78399999999999</v>
      </c>
      <c r="U289" s="493" t="s">
        <v>541</v>
      </c>
      <c r="V289" s="493" t="str">
        <f t="shared" si="10"/>
        <v>FWL</v>
      </c>
      <c r="W289" s="493" t="s">
        <v>541</v>
      </c>
      <c r="X289" s="493" t="s">
        <v>541</v>
      </c>
      <c r="Y289" s="493" t="str">
        <f>IFERROR(VLOOKUP(F289,'Freq-Chan'!C:E,3,FALSE),"na")</f>
        <v>F1845</v>
      </c>
      <c r="Z289" s="493" t="s">
        <v>541</v>
      </c>
      <c r="AA289" s="493" t="s">
        <v>541</v>
      </c>
      <c r="AB289" s="493" t="s">
        <v>541</v>
      </c>
      <c r="AC289" s="291" t="s">
        <v>541</v>
      </c>
      <c r="AD289" s="291" t="s">
        <v>541</v>
      </c>
    </row>
    <row r="290" spans="1:30" x14ac:dyDescent="0.2">
      <c r="A290" s="110">
        <v>289</v>
      </c>
      <c r="B290" s="132">
        <v>41819</v>
      </c>
      <c r="C290" s="117">
        <v>1</v>
      </c>
      <c r="D290" s="103" t="s">
        <v>2</v>
      </c>
      <c r="E290" s="103" t="s">
        <v>306</v>
      </c>
      <c r="F290" s="103">
        <v>784</v>
      </c>
      <c r="G290" s="103">
        <v>33</v>
      </c>
      <c r="H290" s="137" t="s">
        <v>1134</v>
      </c>
      <c r="I290" s="103">
        <v>63</v>
      </c>
      <c r="K290" s="103" t="s">
        <v>364</v>
      </c>
      <c r="L290" s="133"/>
      <c r="M290" s="134">
        <v>7.0833333333333331E-2</v>
      </c>
      <c r="N290" s="134">
        <v>0.67013888888888884</v>
      </c>
      <c r="O290" s="133" t="s">
        <v>372</v>
      </c>
      <c r="Q290" s="100" t="s">
        <v>1557</v>
      </c>
      <c r="R290" s="226" t="s">
        <v>1599</v>
      </c>
      <c r="S290" s="491" t="str">
        <f t="shared" si="9"/>
        <v>x</v>
      </c>
      <c r="T290" s="492">
        <f>IFERROR(VLOOKUP(F290,'Freq-Chan'!C:D,2,FALSE),"x")</f>
        <v>151.78399999999999</v>
      </c>
      <c r="U290" s="110" t="s">
        <v>541</v>
      </c>
      <c r="V290" s="110" t="str">
        <f t="shared" si="10"/>
        <v>FWL</v>
      </c>
      <c r="W290" s="110" t="s">
        <v>541</v>
      </c>
      <c r="X290" s="110" t="s">
        <v>541</v>
      </c>
      <c r="Y290" s="110" t="str">
        <f>IFERROR(VLOOKUP(F290,'Freq-Chan'!C:E,3,FALSE),"na")</f>
        <v>F1845</v>
      </c>
      <c r="Z290" s="110" t="s">
        <v>541</v>
      </c>
      <c r="AA290" s="110" t="s">
        <v>541</v>
      </c>
      <c r="AB290" s="110" t="s">
        <v>541</v>
      </c>
      <c r="AC290" s="10" t="s">
        <v>541</v>
      </c>
      <c r="AD290" s="10" t="s">
        <v>541</v>
      </c>
    </row>
    <row r="291" spans="1:30" x14ac:dyDescent="0.2">
      <c r="A291" s="110">
        <v>290</v>
      </c>
      <c r="B291" s="132">
        <v>41819</v>
      </c>
      <c r="C291" s="117">
        <v>1</v>
      </c>
      <c r="D291" s="103" t="s">
        <v>2</v>
      </c>
      <c r="E291" s="103" t="s">
        <v>306</v>
      </c>
      <c r="F291" s="103">
        <v>784</v>
      </c>
      <c r="G291" s="103">
        <v>39</v>
      </c>
      <c r="H291" s="137" t="s">
        <v>1135</v>
      </c>
      <c r="I291" s="103">
        <v>51</v>
      </c>
      <c r="K291" s="103" t="s">
        <v>364</v>
      </c>
      <c r="L291" s="133"/>
      <c r="M291" s="134">
        <v>5.9722222222222225E-2</v>
      </c>
      <c r="N291" s="134">
        <v>0.67361111111111116</v>
      </c>
      <c r="O291" s="133" t="s">
        <v>372</v>
      </c>
      <c r="Q291" s="100" t="s">
        <v>1557</v>
      </c>
      <c r="R291" s="226" t="s">
        <v>1599</v>
      </c>
      <c r="S291" s="491" t="str">
        <f t="shared" si="9"/>
        <v>x</v>
      </c>
      <c r="T291" s="492">
        <f>IFERROR(VLOOKUP(F291,'Freq-Chan'!C:D,2,FALSE),"x")</f>
        <v>151.78399999999999</v>
      </c>
      <c r="U291" s="110" t="s">
        <v>541</v>
      </c>
      <c r="V291" s="110" t="str">
        <f t="shared" si="10"/>
        <v>FWL</v>
      </c>
      <c r="W291" s="110" t="s">
        <v>541</v>
      </c>
      <c r="X291" s="110" t="s">
        <v>541</v>
      </c>
      <c r="Y291" s="110" t="str">
        <f>IFERROR(VLOOKUP(F291,'Freq-Chan'!C:E,3,FALSE),"na")</f>
        <v>F1845</v>
      </c>
      <c r="Z291" s="110" t="s">
        <v>541</v>
      </c>
      <c r="AA291" s="110" t="s">
        <v>541</v>
      </c>
      <c r="AB291" s="110" t="s">
        <v>541</v>
      </c>
      <c r="AC291" s="10" t="s">
        <v>541</v>
      </c>
      <c r="AD291" s="10" t="s">
        <v>541</v>
      </c>
    </row>
    <row r="292" spans="1:30" x14ac:dyDescent="0.2">
      <c r="A292" s="110">
        <v>291</v>
      </c>
      <c r="B292" s="132">
        <v>41819</v>
      </c>
      <c r="C292" s="117">
        <v>1</v>
      </c>
      <c r="D292" s="103" t="s">
        <v>2</v>
      </c>
      <c r="E292" s="103" t="s">
        <v>306</v>
      </c>
      <c r="F292" s="103">
        <v>755</v>
      </c>
      <c r="G292" s="103">
        <v>40</v>
      </c>
      <c r="H292" s="137" t="s">
        <v>1136</v>
      </c>
      <c r="I292" s="103">
        <v>64</v>
      </c>
      <c r="K292" s="103" t="s">
        <v>364</v>
      </c>
      <c r="L292" s="133"/>
      <c r="M292" s="134">
        <v>4.9305555555555554E-2</v>
      </c>
      <c r="N292" s="134">
        <v>0.6791666666666667</v>
      </c>
      <c r="O292" s="133" t="s">
        <v>802</v>
      </c>
      <c r="Q292" s="100" t="s">
        <v>1557</v>
      </c>
      <c r="R292" s="226" t="s">
        <v>1599</v>
      </c>
      <c r="S292" s="491" t="str">
        <f t="shared" si="9"/>
        <v>x</v>
      </c>
      <c r="T292" s="492">
        <f>IFERROR(VLOOKUP(F292,'Freq-Chan'!C:D,2,FALSE),"x")</f>
        <v>151.755</v>
      </c>
      <c r="U292" s="110" t="s">
        <v>541</v>
      </c>
      <c r="V292" s="110" t="str">
        <f t="shared" si="10"/>
        <v>FWL</v>
      </c>
      <c r="W292" s="110" t="s">
        <v>541</v>
      </c>
      <c r="X292" s="110" t="s">
        <v>541</v>
      </c>
      <c r="Y292" s="110" t="str">
        <f>IFERROR(VLOOKUP(F292,'Freq-Chan'!C:E,3,FALSE),"na")</f>
        <v>F1845</v>
      </c>
      <c r="Z292" s="110" t="s">
        <v>541</v>
      </c>
      <c r="AA292" s="110" t="s">
        <v>541</v>
      </c>
      <c r="AB292" s="110" t="s">
        <v>541</v>
      </c>
      <c r="AC292" s="10" t="s">
        <v>541</v>
      </c>
      <c r="AD292" s="10" t="s">
        <v>541</v>
      </c>
    </row>
    <row r="293" spans="1:30" x14ac:dyDescent="0.2">
      <c r="A293" s="110">
        <v>292</v>
      </c>
      <c r="B293" s="132">
        <v>41819</v>
      </c>
      <c r="C293" s="117">
        <v>1</v>
      </c>
      <c r="D293" s="103" t="s">
        <v>2</v>
      </c>
      <c r="E293" s="103" t="s">
        <v>306</v>
      </c>
      <c r="F293" s="103">
        <v>784</v>
      </c>
      <c r="G293" s="103">
        <v>5</v>
      </c>
      <c r="H293" s="137" t="s">
        <v>1137</v>
      </c>
      <c r="I293" s="103">
        <v>90</v>
      </c>
      <c r="K293" s="103" t="s">
        <v>364</v>
      </c>
      <c r="L293" s="133"/>
      <c r="M293" s="134">
        <v>6.458333333333334E-2</v>
      </c>
      <c r="N293" s="134">
        <v>0.68194444444444446</v>
      </c>
      <c r="O293" s="133" t="s">
        <v>802</v>
      </c>
      <c r="Q293" s="100" t="s">
        <v>1557</v>
      </c>
      <c r="R293" s="226" t="s">
        <v>1599</v>
      </c>
      <c r="S293" s="491" t="str">
        <f t="shared" si="9"/>
        <v>x</v>
      </c>
      <c r="T293" s="492">
        <f>IFERROR(VLOOKUP(F293,'Freq-Chan'!C:D,2,FALSE),"x")</f>
        <v>151.78399999999999</v>
      </c>
      <c r="U293" s="110" t="s">
        <v>541</v>
      </c>
      <c r="V293" s="110" t="str">
        <f t="shared" si="10"/>
        <v>FWL</v>
      </c>
      <c r="W293" s="110" t="s">
        <v>541</v>
      </c>
      <c r="X293" s="110" t="s">
        <v>541</v>
      </c>
      <c r="Y293" s="110" t="str">
        <f>IFERROR(VLOOKUP(F293,'Freq-Chan'!C:E,3,FALSE),"na")</f>
        <v>F1845</v>
      </c>
      <c r="Z293" s="110" t="s">
        <v>541</v>
      </c>
      <c r="AA293" s="110" t="s">
        <v>541</v>
      </c>
      <c r="AB293" s="110" t="s">
        <v>541</v>
      </c>
      <c r="AC293" s="10" t="s">
        <v>541</v>
      </c>
      <c r="AD293" s="10" t="s">
        <v>541</v>
      </c>
    </row>
    <row r="294" spans="1:30" x14ac:dyDescent="0.2">
      <c r="A294" s="110">
        <v>293</v>
      </c>
      <c r="B294" s="132">
        <v>41819</v>
      </c>
      <c r="C294" s="117">
        <v>1</v>
      </c>
      <c r="D294" s="103" t="s">
        <v>177</v>
      </c>
      <c r="E294" s="103" t="s">
        <v>0</v>
      </c>
      <c r="F294" s="103">
        <v>917</v>
      </c>
      <c r="G294" s="103">
        <v>66</v>
      </c>
      <c r="H294" s="137" t="s">
        <v>1138</v>
      </c>
      <c r="I294" s="103">
        <v>49</v>
      </c>
      <c r="K294" s="103" t="s">
        <v>364</v>
      </c>
      <c r="L294" s="133">
        <v>0.68055555555555547</v>
      </c>
      <c r="M294" s="134">
        <v>4.7916666666666663E-2</v>
      </c>
      <c r="N294" s="134">
        <v>0.68611111111111101</v>
      </c>
      <c r="O294" s="133" t="s">
        <v>372</v>
      </c>
      <c r="Q294" s="100" t="s">
        <v>1557</v>
      </c>
      <c r="R294" s="226" t="s">
        <v>1599</v>
      </c>
      <c r="S294" s="491">
        <f t="shared" si="9"/>
        <v>4.7569444000000001E-3</v>
      </c>
      <c r="T294" s="492">
        <f>IFERROR(VLOOKUP(F294,'Freq-Chan'!C:D,2,FALSE),"x")</f>
        <v>151.917</v>
      </c>
      <c r="U294" s="110" t="s">
        <v>541</v>
      </c>
      <c r="V294" s="110" t="str">
        <f t="shared" si="10"/>
        <v>FWL</v>
      </c>
      <c r="W294" s="110" t="s">
        <v>541</v>
      </c>
      <c r="X294" s="110" t="s">
        <v>541</v>
      </c>
      <c r="Y294" s="110" t="str">
        <f>IFERROR(VLOOKUP(F294,'Freq-Chan'!C:E,3,FALSE),"na")</f>
        <v>F1835</v>
      </c>
      <c r="Z294" s="110" t="s">
        <v>541</v>
      </c>
      <c r="AA294" s="110" t="s">
        <v>541</v>
      </c>
      <c r="AB294" s="110" t="s">
        <v>541</v>
      </c>
      <c r="AC294" s="10" t="s">
        <v>541</v>
      </c>
      <c r="AD294" s="10" t="s">
        <v>541</v>
      </c>
    </row>
    <row r="295" spans="1:30" x14ac:dyDescent="0.2">
      <c r="A295" s="110">
        <v>294</v>
      </c>
      <c r="B295" s="132">
        <v>41819</v>
      </c>
      <c r="C295" s="117">
        <v>1</v>
      </c>
      <c r="D295" s="103" t="s">
        <v>2</v>
      </c>
      <c r="E295" s="103" t="s">
        <v>306</v>
      </c>
      <c r="F295" s="103">
        <v>784</v>
      </c>
      <c r="G295" s="103">
        <v>58</v>
      </c>
      <c r="H295" s="137" t="s">
        <v>1139</v>
      </c>
      <c r="I295" s="103">
        <v>84</v>
      </c>
      <c r="K295" s="103" t="s">
        <v>364</v>
      </c>
      <c r="L295" s="133"/>
      <c r="M295" s="134">
        <v>7.5694444444444439E-2</v>
      </c>
      <c r="N295" s="134">
        <v>0.76250000000000007</v>
      </c>
      <c r="O295" s="133" t="s">
        <v>372</v>
      </c>
      <c r="Q295" s="100" t="s">
        <v>1557</v>
      </c>
      <c r="R295" s="226" t="s">
        <v>1599</v>
      </c>
      <c r="S295" s="491" t="str">
        <f t="shared" si="9"/>
        <v>x</v>
      </c>
      <c r="T295" s="492">
        <f>IFERROR(VLOOKUP(F295,'Freq-Chan'!C:D,2,FALSE),"x")</f>
        <v>151.78399999999999</v>
      </c>
      <c r="U295" s="110" t="s">
        <v>541</v>
      </c>
      <c r="V295" s="110" t="str">
        <f t="shared" si="10"/>
        <v>FWL</v>
      </c>
      <c r="W295" s="110" t="s">
        <v>541</v>
      </c>
      <c r="X295" s="110" t="s">
        <v>541</v>
      </c>
      <c r="Y295" s="110" t="str">
        <f>IFERROR(VLOOKUP(F295,'Freq-Chan'!C:E,3,FALSE),"na")</f>
        <v>F1845</v>
      </c>
      <c r="Z295" s="110" t="s">
        <v>541</v>
      </c>
      <c r="AA295" s="110" t="s">
        <v>541</v>
      </c>
      <c r="AB295" s="110" t="s">
        <v>541</v>
      </c>
      <c r="AC295" s="10" t="s">
        <v>541</v>
      </c>
      <c r="AD295" s="10" t="s">
        <v>541</v>
      </c>
    </row>
    <row r="296" spans="1:30" x14ac:dyDescent="0.2">
      <c r="A296" s="110">
        <v>295</v>
      </c>
      <c r="B296" s="132">
        <v>41819</v>
      </c>
      <c r="C296" s="117">
        <v>1</v>
      </c>
      <c r="D296" s="103" t="s">
        <v>2</v>
      </c>
      <c r="E296" s="103" t="s">
        <v>306</v>
      </c>
      <c r="F296" s="103">
        <v>784</v>
      </c>
      <c r="G296" s="103">
        <v>71</v>
      </c>
      <c r="H296" s="137" t="s">
        <v>1140</v>
      </c>
      <c r="I296" s="103">
        <v>82</v>
      </c>
      <c r="K296" s="103" t="s">
        <v>364</v>
      </c>
      <c r="L296" s="133"/>
      <c r="M296" s="134">
        <v>5.347222222222222E-2</v>
      </c>
      <c r="N296" s="134">
        <v>0.76666666666666661</v>
      </c>
      <c r="O296" s="133" t="s">
        <v>802</v>
      </c>
      <c r="Q296" s="100" t="s">
        <v>1557</v>
      </c>
      <c r="R296" s="226" t="s">
        <v>1599</v>
      </c>
      <c r="S296" s="491" t="str">
        <f t="shared" si="9"/>
        <v>x</v>
      </c>
      <c r="T296" s="492">
        <f>IFERROR(VLOOKUP(F296,'Freq-Chan'!C:D,2,FALSE),"x")</f>
        <v>151.78399999999999</v>
      </c>
      <c r="U296" s="110" t="s">
        <v>541</v>
      </c>
      <c r="V296" s="110" t="str">
        <f t="shared" si="10"/>
        <v>FWL</v>
      </c>
      <c r="W296" s="110" t="s">
        <v>541</v>
      </c>
      <c r="X296" s="110" t="s">
        <v>541</v>
      </c>
      <c r="Y296" s="110" t="str">
        <f>IFERROR(VLOOKUP(F296,'Freq-Chan'!C:E,3,FALSE),"na")</f>
        <v>F1845</v>
      </c>
      <c r="Z296" s="110" t="s">
        <v>541</v>
      </c>
      <c r="AA296" s="110" t="s">
        <v>541</v>
      </c>
      <c r="AB296" s="110" t="s">
        <v>541</v>
      </c>
      <c r="AC296" s="10" t="s">
        <v>541</v>
      </c>
      <c r="AD296" s="10" t="s">
        <v>541</v>
      </c>
    </row>
    <row r="297" spans="1:30" x14ac:dyDescent="0.2">
      <c r="A297" s="110">
        <v>296</v>
      </c>
      <c r="B297" s="132">
        <v>41819</v>
      </c>
      <c r="C297" s="117">
        <v>1</v>
      </c>
      <c r="D297" s="103" t="s">
        <v>177</v>
      </c>
      <c r="E297" s="103" t="s">
        <v>0</v>
      </c>
      <c r="H297" s="103"/>
      <c r="I297" s="103">
        <v>31</v>
      </c>
      <c r="K297" s="103" t="s">
        <v>364</v>
      </c>
      <c r="L297" s="133"/>
      <c r="M297" s="134">
        <v>2.4305555555555556E-2</v>
      </c>
      <c r="N297" s="134">
        <v>0.8569444444444444</v>
      </c>
      <c r="O297" s="133" t="s">
        <v>373</v>
      </c>
      <c r="P297" s="100" t="s">
        <v>776</v>
      </c>
      <c r="Q297" s="100" t="s">
        <v>1598</v>
      </c>
      <c r="R297" s="226" t="s">
        <v>1599</v>
      </c>
      <c r="S297" s="491" t="str">
        <f t="shared" si="9"/>
        <v>x</v>
      </c>
      <c r="T297" s="492" t="str">
        <f>IFERROR(VLOOKUP(F297,'Freq-Chan'!C:D,2,FALSE),"x")</f>
        <v>x</v>
      </c>
      <c r="U297" s="110" t="s">
        <v>541</v>
      </c>
      <c r="V297" s="110" t="str">
        <f t="shared" si="10"/>
        <v>FWL</v>
      </c>
      <c r="W297" s="110" t="s">
        <v>541</v>
      </c>
      <c r="X297" s="110" t="s">
        <v>541</v>
      </c>
      <c r="Y297" s="110" t="str">
        <f>IFERROR(VLOOKUP(F297,'Freq-Chan'!C:E,3,FALSE),"na")</f>
        <v>na</v>
      </c>
      <c r="Z297" s="110" t="s">
        <v>541</v>
      </c>
      <c r="AA297" s="110" t="s">
        <v>541</v>
      </c>
      <c r="AB297" s="110" t="s">
        <v>541</v>
      </c>
      <c r="AC297" s="10" t="s">
        <v>541</v>
      </c>
      <c r="AD297" s="10" t="s">
        <v>541</v>
      </c>
    </row>
    <row r="298" spans="1:30" x14ac:dyDescent="0.2">
      <c r="A298" s="110">
        <v>297</v>
      </c>
      <c r="B298" s="132">
        <v>41819</v>
      </c>
      <c r="C298" s="117">
        <v>1</v>
      </c>
      <c r="D298" s="103" t="s">
        <v>2</v>
      </c>
      <c r="E298" s="103" t="s">
        <v>306</v>
      </c>
      <c r="F298" s="103">
        <v>755</v>
      </c>
      <c r="G298" s="103">
        <v>54</v>
      </c>
      <c r="H298" s="137" t="s">
        <v>1141</v>
      </c>
      <c r="I298" s="103">
        <v>81</v>
      </c>
      <c r="K298" s="103" t="s">
        <v>364</v>
      </c>
      <c r="L298" s="133">
        <v>0.8569444444444444</v>
      </c>
      <c r="M298" s="134">
        <v>5.2777777777777778E-2</v>
      </c>
      <c r="N298" s="134">
        <v>0.86388888888888893</v>
      </c>
      <c r="O298" s="133" t="s">
        <v>373</v>
      </c>
      <c r="Q298" s="100" t="s">
        <v>1598</v>
      </c>
      <c r="R298" s="226" t="s">
        <v>1599</v>
      </c>
      <c r="S298" s="491">
        <f t="shared" si="9"/>
        <v>6.0648148000000002E-3</v>
      </c>
      <c r="T298" s="492">
        <f>IFERROR(VLOOKUP(F298,'Freq-Chan'!C:D,2,FALSE),"x")</f>
        <v>151.755</v>
      </c>
      <c r="U298" s="110" t="s">
        <v>541</v>
      </c>
      <c r="V298" s="110" t="str">
        <f t="shared" si="10"/>
        <v>FWL</v>
      </c>
      <c r="W298" s="110" t="s">
        <v>541</v>
      </c>
      <c r="X298" s="110" t="s">
        <v>541</v>
      </c>
      <c r="Y298" s="110" t="str">
        <f>IFERROR(VLOOKUP(F298,'Freq-Chan'!C:E,3,FALSE),"na")</f>
        <v>F1845</v>
      </c>
      <c r="Z298" s="110" t="s">
        <v>541</v>
      </c>
      <c r="AA298" s="110" t="s">
        <v>541</v>
      </c>
      <c r="AB298" s="110" t="s">
        <v>541</v>
      </c>
      <c r="AC298" s="10" t="s">
        <v>541</v>
      </c>
      <c r="AD298" s="10" t="s">
        <v>541</v>
      </c>
    </row>
    <row r="299" spans="1:30" x14ac:dyDescent="0.2">
      <c r="A299" s="110">
        <v>298</v>
      </c>
      <c r="B299" s="132">
        <v>41819</v>
      </c>
      <c r="C299" s="117">
        <v>1</v>
      </c>
      <c r="D299" s="103" t="s">
        <v>2</v>
      </c>
      <c r="E299" s="103" t="s">
        <v>306</v>
      </c>
      <c r="F299" s="103">
        <v>784</v>
      </c>
      <c r="G299" s="103">
        <v>32</v>
      </c>
      <c r="H299" s="137" t="s">
        <v>1142</v>
      </c>
      <c r="I299" s="103">
        <v>101</v>
      </c>
      <c r="K299" s="103" t="s">
        <v>364</v>
      </c>
      <c r="L299" s="133">
        <v>0.90208333333333324</v>
      </c>
      <c r="M299" s="134">
        <v>7.4305555555555555E-2</v>
      </c>
      <c r="N299" s="134">
        <v>0.91111111111111109</v>
      </c>
      <c r="O299" s="133" t="s">
        <v>373</v>
      </c>
      <c r="P299" s="100" t="s">
        <v>1600</v>
      </c>
      <c r="Q299" s="100" t="s">
        <v>1598</v>
      </c>
      <c r="R299" s="226" t="s">
        <v>1599</v>
      </c>
      <c r="S299" s="491">
        <f t="shared" si="9"/>
        <v>7.7893518999999998E-3</v>
      </c>
      <c r="T299" s="492">
        <f>IFERROR(VLOOKUP(F299,'Freq-Chan'!C:D,2,FALSE),"x")</f>
        <v>151.78399999999999</v>
      </c>
      <c r="U299" s="110" t="s">
        <v>541</v>
      </c>
      <c r="V299" s="110" t="str">
        <f t="shared" si="10"/>
        <v>FWL</v>
      </c>
      <c r="W299" s="110" t="s">
        <v>541</v>
      </c>
      <c r="X299" s="110" t="s">
        <v>541</v>
      </c>
      <c r="Y299" s="110" t="str">
        <f>IFERROR(VLOOKUP(F299,'Freq-Chan'!C:E,3,FALSE),"na")</f>
        <v>F1845</v>
      </c>
      <c r="Z299" s="110" t="s">
        <v>541</v>
      </c>
      <c r="AA299" s="110" t="s">
        <v>541</v>
      </c>
      <c r="AB299" s="110" t="s">
        <v>541</v>
      </c>
      <c r="AC299" s="10" t="s">
        <v>541</v>
      </c>
      <c r="AD299" s="10" t="s">
        <v>541</v>
      </c>
    </row>
    <row r="300" spans="1:30" x14ac:dyDescent="0.2">
      <c r="A300" s="110">
        <v>299</v>
      </c>
      <c r="B300" s="132">
        <v>41819</v>
      </c>
      <c r="C300" s="117">
        <v>1</v>
      </c>
      <c r="D300" s="103" t="s">
        <v>2</v>
      </c>
      <c r="E300" s="103" t="s">
        <v>306</v>
      </c>
      <c r="F300" s="103">
        <v>755</v>
      </c>
      <c r="G300" s="103">
        <v>18</v>
      </c>
      <c r="H300" s="137" t="s">
        <v>1143</v>
      </c>
      <c r="I300" s="103">
        <v>72</v>
      </c>
      <c r="K300" s="103" t="s">
        <v>364</v>
      </c>
      <c r="L300" s="133">
        <v>0.94166666666666676</v>
      </c>
      <c r="M300" s="134">
        <v>6.1111111111111116E-2</v>
      </c>
      <c r="N300" s="134">
        <v>0.94374999999999998</v>
      </c>
      <c r="O300" s="133" t="s">
        <v>909</v>
      </c>
      <c r="Q300" s="100" t="s">
        <v>1598</v>
      </c>
      <c r="R300" s="226" t="s">
        <v>1599</v>
      </c>
      <c r="S300" s="491">
        <f t="shared" si="9"/>
        <v>1.0648147999999999E-3</v>
      </c>
      <c r="T300" s="492">
        <f>IFERROR(VLOOKUP(F300,'Freq-Chan'!C:D,2,FALSE),"x")</f>
        <v>151.755</v>
      </c>
      <c r="U300" s="110" t="s">
        <v>541</v>
      </c>
      <c r="V300" s="110" t="str">
        <f t="shared" si="10"/>
        <v>FWL</v>
      </c>
      <c r="W300" s="110" t="s">
        <v>541</v>
      </c>
      <c r="X300" s="110" t="s">
        <v>541</v>
      </c>
      <c r="Y300" s="110" t="str">
        <f>IFERROR(VLOOKUP(F300,'Freq-Chan'!C:E,3,FALSE),"na")</f>
        <v>F1845</v>
      </c>
      <c r="Z300" s="110" t="s">
        <v>541</v>
      </c>
      <c r="AA300" s="110" t="s">
        <v>541</v>
      </c>
      <c r="AB300" s="110" t="s">
        <v>541</v>
      </c>
      <c r="AC300" s="10" t="s">
        <v>541</v>
      </c>
      <c r="AD300" s="10" t="s">
        <v>541</v>
      </c>
    </row>
    <row r="301" spans="1:30" s="291" customFormat="1" x14ac:dyDescent="0.2">
      <c r="A301" s="493">
        <v>300</v>
      </c>
      <c r="B301" s="283">
        <v>41819</v>
      </c>
      <c r="C301" s="284">
        <v>1</v>
      </c>
      <c r="D301" s="285" t="s">
        <v>2</v>
      </c>
      <c r="E301" s="285" t="s">
        <v>306</v>
      </c>
      <c r="F301" s="285">
        <v>784</v>
      </c>
      <c r="G301" s="285">
        <v>10</v>
      </c>
      <c r="H301" s="339" t="s">
        <v>1144</v>
      </c>
      <c r="I301" s="285">
        <v>66</v>
      </c>
      <c r="J301" s="285"/>
      <c r="K301" s="285" t="s">
        <v>364</v>
      </c>
      <c r="L301" s="286"/>
      <c r="M301" s="287">
        <v>5.9722222222222225E-2</v>
      </c>
      <c r="N301" s="287">
        <v>0.97777777777777775</v>
      </c>
      <c r="O301" s="286" t="s">
        <v>909</v>
      </c>
      <c r="P301" s="289"/>
      <c r="Q301" s="289" t="s">
        <v>1598</v>
      </c>
      <c r="R301" s="290" t="s">
        <v>1599</v>
      </c>
      <c r="S301" s="494" t="str">
        <f t="shared" si="9"/>
        <v>x</v>
      </c>
      <c r="T301" s="495">
        <f>IFERROR(VLOOKUP(F301,'Freq-Chan'!C:D,2,FALSE),"x")</f>
        <v>151.78399999999999</v>
      </c>
      <c r="U301" s="493" t="s">
        <v>541</v>
      </c>
      <c r="V301" s="493" t="str">
        <f t="shared" si="10"/>
        <v>FWL</v>
      </c>
      <c r="W301" s="493" t="s">
        <v>541</v>
      </c>
      <c r="X301" s="493" t="s">
        <v>541</v>
      </c>
      <c r="Y301" s="493" t="str">
        <f>IFERROR(VLOOKUP(F301,'Freq-Chan'!C:E,3,FALSE),"na")</f>
        <v>F1845</v>
      </c>
      <c r="Z301" s="493" t="s">
        <v>541</v>
      </c>
      <c r="AA301" s="493" t="s">
        <v>541</v>
      </c>
      <c r="AB301" s="493" t="s">
        <v>541</v>
      </c>
      <c r="AC301" s="291" t="s">
        <v>541</v>
      </c>
      <c r="AD301" s="291" t="s">
        <v>541</v>
      </c>
    </row>
    <row r="302" spans="1:30" x14ac:dyDescent="0.2">
      <c r="A302" s="110">
        <v>301</v>
      </c>
      <c r="B302" s="132">
        <v>41819</v>
      </c>
      <c r="C302" s="117">
        <v>3</v>
      </c>
      <c r="D302" s="103" t="s">
        <v>177</v>
      </c>
      <c r="E302" s="103" t="s">
        <v>0</v>
      </c>
      <c r="H302" s="103"/>
      <c r="I302" s="103">
        <v>34</v>
      </c>
      <c r="K302" s="103" t="s">
        <v>364</v>
      </c>
      <c r="L302" s="133">
        <v>0.50555555555555554</v>
      </c>
      <c r="M302" s="134">
        <v>2.0833333333333332E-2</v>
      </c>
      <c r="N302" s="134">
        <v>0.50694444444444442</v>
      </c>
      <c r="O302" s="133" t="s">
        <v>806</v>
      </c>
      <c r="P302" s="100" t="s">
        <v>776</v>
      </c>
      <c r="Q302" s="100" t="s">
        <v>1589</v>
      </c>
      <c r="R302" s="226" t="s">
        <v>1599</v>
      </c>
      <c r="S302" s="491">
        <f t="shared" si="9"/>
        <v>1.0416666999999999E-3</v>
      </c>
      <c r="T302" s="492" t="str">
        <f>IFERROR(VLOOKUP(F302,'Freq-Chan'!C:D,2,FALSE),"x")</f>
        <v>x</v>
      </c>
      <c r="U302" s="110" t="s">
        <v>541</v>
      </c>
      <c r="V302" s="110" t="str">
        <f t="shared" si="10"/>
        <v>FWL</v>
      </c>
      <c r="W302" s="110" t="s">
        <v>541</v>
      </c>
      <c r="X302" s="110" t="s">
        <v>541</v>
      </c>
      <c r="Y302" s="110" t="str">
        <f>IFERROR(VLOOKUP(F302,'Freq-Chan'!C:E,3,FALSE),"na")</f>
        <v>na</v>
      </c>
      <c r="Z302" s="110" t="s">
        <v>541</v>
      </c>
      <c r="AA302" s="110" t="s">
        <v>541</v>
      </c>
      <c r="AB302" s="110" t="s">
        <v>541</v>
      </c>
      <c r="AC302" s="10" t="s">
        <v>541</v>
      </c>
      <c r="AD302" s="10" t="s">
        <v>541</v>
      </c>
    </row>
    <row r="303" spans="1:30" x14ac:dyDescent="0.2">
      <c r="A303" s="110">
        <v>302</v>
      </c>
      <c r="B303" s="132">
        <v>41819</v>
      </c>
      <c r="C303" s="117">
        <v>3</v>
      </c>
      <c r="D303" s="103" t="s">
        <v>2</v>
      </c>
      <c r="E303" s="103" t="s">
        <v>306</v>
      </c>
      <c r="F303" s="103">
        <v>725</v>
      </c>
      <c r="G303" s="103">
        <v>26</v>
      </c>
      <c r="H303" s="137" t="s">
        <v>1104</v>
      </c>
      <c r="I303" s="103">
        <v>56</v>
      </c>
      <c r="K303" s="103" t="s">
        <v>364</v>
      </c>
      <c r="L303" s="133">
        <v>0.55625000000000002</v>
      </c>
      <c r="M303" s="134">
        <v>8.4027777777777771E-2</v>
      </c>
      <c r="N303" s="134">
        <v>0.56111111111111112</v>
      </c>
      <c r="O303" s="133" t="s">
        <v>806</v>
      </c>
      <c r="Q303" s="100" t="s">
        <v>1589</v>
      </c>
      <c r="R303" s="226" t="s">
        <v>1599</v>
      </c>
      <c r="S303" s="491">
        <f t="shared" si="9"/>
        <v>3.4606480999999998E-3</v>
      </c>
      <c r="T303" s="492">
        <f>IFERROR(VLOOKUP(F303,'Freq-Chan'!C:D,2,FALSE),"x")</f>
        <v>151.72499999999999</v>
      </c>
      <c r="U303" s="110" t="s">
        <v>541</v>
      </c>
      <c r="V303" s="110" t="str">
        <f t="shared" si="10"/>
        <v>FWL</v>
      </c>
      <c r="W303" s="110" t="s">
        <v>541</v>
      </c>
      <c r="X303" s="110" t="s">
        <v>541</v>
      </c>
      <c r="Y303" s="110" t="str">
        <f>IFERROR(VLOOKUP(F303,'Freq-Chan'!C:E,3,FALSE),"na")</f>
        <v>F1845</v>
      </c>
      <c r="Z303" s="110" t="s">
        <v>541</v>
      </c>
      <c r="AA303" s="110" t="s">
        <v>541</v>
      </c>
      <c r="AB303" s="110" t="s">
        <v>541</v>
      </c>
      <c r="AC303" s="10" t="s">
        <v>541</v>
      </c>
      <c r="AD303" s="10" t="s">
        <v>541</v>
      </c>
    </row>
    <row r="304" spans="1:30" x14ac:dyDescent="0.2">
      <c r="A304" s="110">
        <v>303</v>
      </c>
      <c r="B304" s="132">
        <v>41819</v>
      </c>
      <c r="C304" s="117">
        <v>3</v>
      </c>
      <c r="D304" s="103" t="s">
        <v>2</v>
      </c>
      <c r="E304" s="103" t="s">
        <v>306</v>
      </c>
      <c r="F304" s="103">
        <v>725</v>
      </c>
      <c r="G304" s="103">
        <v>80</v>
      </c>
      <c r="H304" s="137" t="s">
        <v>1105</v>
      </c>
      <c r="I304" s="103">
        <v>67</v>
      </c>
      <c r="K304" s="103" t="s">
        <v>364</v>
      </c>
      <c r="L304" s="133">
        <v>0.59305555555555556</v>
      </c>
      <c r="M304" s="134">
        <v>6.25E-2</v>
      </c>
      <c r="N304" s="134">
        <v>0.59722222222222221</v>
      </c>
      <c r="O304" s="133" t="s">
        <v>1585</v>
      </c>
      <c r="Q304" s="100" t="s">
        <v>1589</v>
      </c>
      <c r="R304" s="226" t="s">
        <v>1599</v>
      </c>
      <c r="S304" s="491">
        <f t="shared" si="9"/>
        <v>3.1250000000000002E-3</v>
      </c>
      <c r="T304" s="492">
        <f>IFERROR(VLOOKUP(F304,'Freq-Chan'!C:D,2,FALSE),"x")</f>
        <v>151.72499999999999</v>
      </c>
      <c r="U304" s="110" t="s">
        <v>541</v>
      </c>
      <c r="V304" s="110" t="str">
        <f t="shared" si="10"/>
        <v>FWL</v>
      </c>
      <c r="W304" s="110" t="s">
        <v>541</v>
      </c>
      <c r="X304" s="110" t="s">
        <v>541</v>
      </c>
      <c r="Y304" s="110" t="str">
        <f>IFERROR(VLOOKUP(F304,'Freq-Chan'!C:E,3,FALSE),"na")</f>
        <v>F1845</v>
      </c>
      <c r="Z304" s="110" t="s">
        <v>541</v>
      </c>
      <c r="AA304" s="110" t="s">
        <v>541</v>
      </c>
      <c r="AB304" s="110" t="s">
        <v>541</v>
      </c>
      <c r="AC304" s="10" t="s">
        <v>541</v>
      </c>
      <c r="AD304" s="10" t="s">
        <v>541</v>
      </c>
    </row>
    <row r="305" spans="1:30" s="291" customFormat="1" x14ac:dyDescent="0.2">
      <c r="A305" s="493">
        <v>304</v>
      </c>
      <c r="B305" s="283">
        <v>41819</v>
      </c>
      <c r="C305" s="284">
        <v>3</v>
      </c>
      <c r="D305" s="285" t="s">
        <v>2</v>
      </c>
      <c r="E305" s="285" t="s">
        <v>306</v>
      </c>
      <c r="F305" s="285">
        <v>725</v>
      </c>
      <c r="G305" s="285">
        <v>90</v>
      </c>
      <c r="H305" s="339" t="s">
        <v>1110</v>
      </c>
      <c r="I305" s="285">
        <v>76</v>
      </c>
      <c r="J305" s="285"/>
      <c r="K305" s="285" t="s">
        <v>364</v>
      </c>
      <c r="L305" s="286">
        <v>0.77986111111111101</v>
      </c>
      <c r="M305" s="287">
        <v>6.5277777777777782E-2</v>
      </c>
      <c r="N305" s="287">
        <v>0.78333333333333333</v>
      </c>
      <c r="O305" s="286" t="s">
        <v>1532</v>
      </c>
      <c r="P305" s="289"/>
      <c r="Q305" s="289" t="s">
        <v>1601</v>
      </c>
      <c r="R305" s="290" t="s">
        <v>1599</v>
      </c>
      <c r="S305" s="494">
        <f t="shared" si="9"/>
        <v>2.3842592999999998E-3</v>
      </c>
      <c r="T305" s="495">
        <f>IFERROR(VLOOKUP(F305,'Freq-Chan'!C:D,2,FALSE),"x")</f>
        <v>151.72499999999999</v>
      </c>
      <c r="U305" s="493" t="s">
        <v>541</v>
      </c>
      <c r="V305" s="493" t="str">
        <f t="shared" si="10"/>
        <v>FWL</v>
      </c>
      <c r="W305" s="493" t="s">
        <v>541</v>
      </c>
      <c r="X305" s="493" t="s">
        <v>541</v>
      </c>
      <c r="Y305" s="493" t="str">
        <f>IFERROR(VLOOKUP(F305,'Freq-Chan'!C:E,3,FALSE),"na")</f>
        <v>F1845</v>
      </c>
      <c r="Z305" s="493" t="s">
        <v>541</v>
      </c>
      <c r="AA305" s="493" t="s">
        <v>541</v>
      </c>
      <c r="AB305" s="493" t="s">
        <v>541</v>
      </c>
      <c r="AC305" s="291" t="s">
        <v>541</v>
      </c>
      <c r="AD305" s="291" t="s">
        <v>541</v>
      </c>
    </row>
    <row r="306" spans="1:30" x14ac:dyDescent="0.2">
      <c r="A306" s="110">
        <v>305</v>
      </c>
      <c r="B306" s="132">
        <v>41820</v>
      </c>
      <c r="C306" s="117">
        <v>1</v>
      </c>
      <c r="D306" s="103" t="s">
        <v>2</v>
      </c>
      <c r="E306" s="103" t="s">
        <v>306</v>
      </c>
      <c r="F306" s="103">
        <v>755</v>
      </c>
      <c r="G306" s="103">
        <v>63</v>
      </c>
      <c r="H306" s="137" t="s">
        <v>1145</v>
      </c>
      <c r="I306" s="103">
        <v>72</v>
      </c>
      <c r="K306" s="103" t="s">
        <v>364</v>
      </c>
      <c r="L306" s="133"/>
      <c r="M306" s="134">
        <v>6.5972222222222224E-2</v>
      </c>
      <c r="N306" s="134" t="s">
        <v>1627</v>
      </c>
      <c r="O306" s="133" t="s">
        <v>376</v>
      </c>
      <c r="P306" s="100" t="s">
        <v>1628</v>
      </c>
      <c r="Q306" s="100" t="s">
        <v>1615</v>
      </c>
      <c r="R306" s="226" t="s">
        <v>1697</v>
      </c>
      <c r="S306" s="491" t="str">
        <f t="shared" si="9"/>
        <v>x</v>
      </c>
      <c r="T306" s="492">
        <f>IFERROR(VLOOKUP(F306,'Freq-Chan'!C:D,2,FALSE),"x")</f>
        <v>151.755</v>
      </c>
      <c r="U306" s="110" t="s">
        <v>541</v>
      </c>
      <c r="V306" s="110" t="str">
        <f t="shared" si="10"/>
        <v>FWL</v>
      </c>
      <c r="W306" s="110" t="s">
        <v>541</v>
      </c>
      <c r="X306" s="110" t="s">
        <v>541</v>
      </c>
      <c r="Y306" s="110" t="str">
        <f>IFERROR(VLOOKUP(F306,'Freq-Chan'!C:E,3,FALSE),"na")</f>
        <v>F1845</v>
      </c>
      <c r="Z306" s="110" t="s">
        <v>541</v>
      </c>
      <c r="AA306" s="110" t="s">
        <v>541</v>
      </c>
      <c r="AB306" s="110" t="s">
        <v>541</v>
      </c>
      <c r="AC306" s="10" t="s">
        <v>541</v>
      </c>
      <c r="AD306" s="10" t="s">
        <v>541</v>
      </c>
    </row>
    <row r="307" spans="1:30" x14ac:dyDescent="0.2">
      <c r="A307" s="110">
        <v>306</v>
      </c>
      <c r="B307" s="132">
        <v>41820</v>
      </c>
      <c r="C307" s="117">
        <v>1</v>
      </c>
      <c r="D307" s="103" t="s">
        <v>2</v>
      </c>
      <c r="E307" s="103" t="s">
        <v>306</v>
      </c>
      <c r="F307" s="103">
        <v>784</v>
      </c>
      <c r="G307" s="103">
        <v>13</v>
      </c>
      <c r="H307" s="137" t="s">
        <v>1146</v>
      </c>
      <c r="I307" s="103">
        <v>87</v>
      </c>
      <c r="K307" s="103" t="s">
        <v>364</v>
      </c>
      <c r="L307" s="133"/>
      <c r="M307" s="134">
        <v>9.375E-2</v>
      </c>
      <c r="N307" s="134" t="s">
        <v>1629</v>
      </c>
      <c r="O307" s="133" t="s">
        <v>376</v>
      </c>
      <c r="P307" s="100" t="s">
        <v>1628</v>
      </c>
      <c r="Q307" s="100" t="s">
        <v>1615</v>
      </c>
      <c r="R307" s="226" t="s">
        <v>1697</v>
      </c>
      <c r="S307" s="491" t="str">
        <f t="shared" si="9"/>
        <v>x</v>
      </c>
      <c r="T307" s="492">
        <f>IFERROR(VLOOKUP(F307,'Freq-Chan'!C:D,2,FALSE),"x")</f>
        <v>151.78399999999999</v>
      </c>
      <c r="U307" s="110" t="s">
        <v>541</v>
      </c>
      <c r="V307" s="110" t="str">
        <f t="shared" si="10"/>
        <v>FWL</v>
      </c>
      <c r="W307" s="110" t="s">
        <v>541</v>
      </c>
      <c r="X307" s="110" t="s">
        <v>541</v>
      </c>
      <c r="Y307" s="110" t="str">
        <f>IFERROR(VLOOKUP(F307,'Freq-Chan'!C:E,3,FALSE),"na")</f>
        <v>F1845</v>
      </c>
      <c r="Z307" s="110" t="s">
        <v>541</v>
      </c>
      <c r="AA307" s="110" t="s">
        <v>541</v>
      </c>
      <c r="AB307" s="110" t="s">
        <v>541</v>
      </c>
      <c r="AC307" s="10" t="s">
        <v>541</v>
      </c>
      <c r="AD307" s="10" t="s">
        <v>541</v>
      </c>
    </row>
    <row r="308" spans="1:30" x14ac:dyDescent="0.2">
      <c r="A308" s="110">
        <v>307</v>
      </c>
      <c r="B308" s="132">
        <v>41820</v>
      </c>
      <c r="C308" s="117">
        <v>1</v>
      </c>
      <c r="D308" s="103" t="s">
        <v>177</v>
      </c>
      <c r="E308" s="103" t="s">
        <v>0</v>
      </c>
      <c r="H308" s="103"/>
      <c r="I308" s="103">
        <v>36</v>
      </c>
      <c r="K308" s="103" t="s">
        <v>364</v>
      </c>
      <c r="L308" s="133"/>
      <c r="M308" s="134">
        <v>3.125E-2</v>
      </c>
      <c r="N308" s="134" t="s">
        <v>838</v>
      </c>
      <c r="O308" s="133" t="s">
        <v>1532</v>
      </c>
      <c r="P308" s="100" t="s">
        <v>1702</v>
      </c>
      <c r="Q308" s="100" t="s">
        <v>1615</v>
      </c>
      <c r="R308" s="226" t="s">
        <v>1697</v>
      </c>
      <c r="S308" s="491" t="str">
        <f t="shared" si="9"/>
        <v>x</v>
      </c>
      <c r="T308" s="492" t="str">
        <f>IFERROR(VLOOKUP(F308,'Freq-Chan'!C:D,2,FALSE),"x")</f>
        <v>x</v>
      </c>
      <c r="U308" s="110" t="s">
        <v>541</v>
      </c>
      <c r="V308" s="110" t="str">
        <f t="shared" si="10"/>
        <v>FWL</v>
      </c>
      <c r="W308" s="110" t="s">
        <v>541</v>
      </c>
      <c r="X308" s="110" t="s">
        <v>541</v>
      </c>
      <c r="Y308" s="110" t="str">
        <f>IFERROR(VLOOKUP(F308,'Freq-Chan'!C:E,3,FALSE),"na")</f>
        <v>na</v>
      </c>
      <c r="Z308" s="110" t="s">
        <v>541</v>
      </c>
      <c r="AA308" s="110" t="s">
        <v>541</v>
      </c>
      <c r="AB308" s="110" t="s">
        <v>541</v>
      </c>
      <c r="AC308" s="10" t="s">
        <v>541</v>
      </c>
      <c r="AD308" s="10" t="s">
        <v>541</v>
      </c>
    </row>
    <row r="309" spans="1:30" x14ac:dyDescent="0.2">
      <c r="A309" s="110">
        <v>308</v>
      </c>
      <c r="B309" s="132">
        <v>41820</v>
      </c>
      <c r="C309" s="117">
        <v>1</v>
      </c>
      <c r="D309" s="103" t="s">
        <v>2</v>
      </c>
      <c r="E309" s="103" t="s">
        <v>306</v>
      </c>
      <c r="F309" s="103">
        <v>784</v>
      </c>
      <c r="G309" s="103">
        <v>34</v>
      </c>
      <c r="H309" s="137" t="s">
        <v>1147</v>
      </c>
      <c r="I309" s="103">
        <v>61</v>
      </c>
      <c r="K309" s="103" t="s">
        <v>364</v>
      </c>
      <c r="L309" s="133"/>
      <c r="M309" s="134">
        <v>4.5833333333333337E-2</v>
      </c>
      <c r="N309" s="137" t="s">
        <v>1630</v>
      </c>
      <c r="O309" s="133" t="s">
        <v>376</v>
      </c>
      <c r="P309" s="100" t="s">
        <v>1628</v>
      </c>
      <c r="Q309" s="100" t="s">
        <v>1615</v>
      </c>
      <c r="R309" s="226" t="s">
        <v>1697</v>
      </c>
      <c r="S309" s="491" t="str">
        <f t="shared" si="9"/>
        <v>x</v>
      </c>
      <c r="T309" s="492">
        <f>IFERROR(VLOOKUP(F309,'Freq-Chan'!C:D,2,FALSE),"x")</f>
        <v>151.78399999999999</v>
      </c>
      <c r="U309" s="110" t="s">
        <v>541</v>
      </c>
      <c r="V309" s="110" t="str">
        <f t="shared" si="10"/>
        <v>FWL</v>
      </c>
      <c r="W309" s="110" t="s">
        <v>541</v>
      </c>
      <c r="X309" s="110" t="s">
        <v>541</v>
      </c>
      <c r="Y309" s="110" t="str">
        <f>IFERROR(VLOOKUP(F309,'Freq-Chan'!C:E,3,FALSE),"na")</f>
        <v>F1845</v>
      </c>
      <c r="Z309" s="110" t="s">
        <v>541</v>
      </c>
      <c r="AA309" s="110" t="s">
        <v>541</v>
      </c>
      <c r="AB309" s="110" t="s">
        <v>541</v>
      </c>
      <c r="AC309" s="10" t="s">
        <v>541</v>
      </c>
      <c r="AD309" s="10" t="s">
        <v>541</v>
      </c>
    </row>
    <row r="310" spans="1:30" x14ac:dyDescent="0.2">
      <c r="A310" s="110">
        <v>309</v>
      </c>
      <c r="B310" s="132">
        <v>41820</v>
      </c>
      <c r="C310" s="117">
        <v>1</v>
      </c>
      <c r="D310" s="103" t="s">
        <v>2</v>
      </c>
      <c r="E310" s="103" t="s">
        <v>306</v>
      </c>
      <c r="F310" s="103">
        <v>755</v>
      </c>
      <c r="G310" s="103">
        <v>62</v>
      </c>
      <c r="H310" s="137" t="s">
        <v>1148</v>
      </c>
      <c r="I310" s="103">
        <v>78</v>
      </c>
      <c r="K310" s="103" t="s">
        <v>364</v>
      </c>
      <c r="L310" s="136"/>
      <c r="M310" s="134">
        <v>4.7222222222222221E-2</v>
      </c>
      <c r="N310" s="135" t="s">
        <v>1631</v>
      </c>
      <c r="O310" s="133" t="s">
        <v>376</v>
      </c>
      <c r="P310" s="100" t="s">
        <v>1628</v>
      </c>
      <c r="Q310" s="100" t="s">
        <v>1615</v>
      </c>
      <c r="R310" s="226" t="s">
        <v>1697</v>
      </c>
      <c r="S310" s="491" t="str">
        <f t="shared" si="9"/>
        <v>x</v>
      </c>
      <c r="T310" s="492">
        <f>IFERROR(VLOOKUP(F310,'Freq-Chan'!C:D,2,FALSE),"x")</f>
        <v>151.755</v>
      </c>
      <c r="U310" s="110" t="s">
        <v>541</v>
      </c>
      <c r="V310" s="110" t="str">
        <f t="shared" si="10"/>
        <v>FWL</v>
      </c>
      <c r="W310" s="110" t="s">
        <v>541</v>
      </c>
      <c r="X310" s="110" t="s">
        <v>541</v>
      </c>
      <c r="Y310" s="110" t="str">
        <f>IFERROR(VLOOKUP(F310,'Freq-Chan'!C:E,3,FALSE),"na")</f>
        <v>F1845</v>
      </c>
      <c r="Z310" s="110" t="s">
        <v>541</v>
      </c>
      <c r="AA310" s="110" t="s">
        <v>541</v>
      </c>
      <c r="AB310" s="110" t="s">
        <v>541</v>
      </c>
      <c r="AC310" s="10" t="s">
        <v>541</v>
      </c>
      <c r="AD310" s="10" t="s">
        <v>541</v>
      </c>
    </row>
    <row r="311" spans="1:30" x14ac:dyDescent="0.2">
      <c r="A311" s="110">
        <v>310</v>
      </c>
      <c r="B311" s="132">
        <v>41820</v>
      </c>
      <c r="C311" s="117">
        <v>1</v>
      </c>
      <c r="D311" s="103" t="s">
        <v>177</v>
      </c>
      <c r="E311" s="103" t="s">
        <v>0</v>
      </c>
      <c r="F311" s="103">
        <v>917</v>
      </c>
      <c r="G311" s="103">
        <v>60</v>
      </c>
      <c r="H311" s="137" t="s">
        <v>1149</v>
      </c>
      <c r="I311" s="103">
        <v>45</v>
      </c>
      <c r="K311" s="103" t="s">
        <v>364</v>
      </c>
      <c r="L311" s="136"/>
      <c r="M311" s="134">
        <v>5.8333333333333327E-2</v>
      </c>
      <c r="N311" s="135" t="s">
        <v>1632</v>
      </c>
      <c r="O311" s="133" t="s">
        <v>376</v>
      </c>
      <c r="P311" s="100" t="s">
        <v>1628</v>
      </c>
      <c r="Q311" s="100" t="s">
        <v>1615</v>
      </c>
      <c r="R311" s="226" t="s">
        <v>1697</v>
      </c>
      <c r="S311" s="491" t="str">
        <f t="shared" si="9"/>
        <v>x</v>
      </c>
      <c r="T311" s="492">
        <f>IFERROR(VLOOKUP(F311,'Freq-Chan'!C:D,2,FALSE),"x")</f>
        <v>151.917</v>
      </c>
      <c r="U311" s="110" t="s">
        <v>541</v>
      </c>
      <c r="V311" s="110" t="str">
        <f t="shared" si="10"/>
        <v>FWL</v>
      </c>
      <c r="W311" s="110" t="s">
        <v>541</v>
      </c>
      <c r="X311" s="110" t="s">
        <v>541</v>
      </c>
      <c r="Y311" s="110" t="str">
        <f>IFERROR(VLOOKUP(F311,'Freq-Chan'!C:E,3,FALSE),"na")</f>
        <v>F1835</v>
      </c>
      <c r="Z311" s="110" t="s">
        <v>541</v>
      </c>
      <c r="AA311" s="110" t="s">
        <v>541</v>
      </c>
      <c r="AB311" s="110" t="s">
        <v>541</v>
      </c>
      <c r="AC311" s="10" t="s">
        <v>541</v>
      </c>
      <c r="AD311" s="10" t="s">
        <v>541</v>
      </c>
    </row>
    <row r="312" spans="1:30" x14ac:dyDescent="0.2">
      <c r="A312" s="110">
        <v>311</v>
      </c>
      <c r="B312" s="132">
        <v>41820</v>
      </c>
      <c r="C312" s="117">
        <v>1</v>
      </c>
      <c r="D312" s="103" t="s">
        <v>2</v>
      </c>
      <c r="E312" s="103" t="s">
        <v>306</v>
      </c>
      <c r="H312" s="103"/>
      <c r="I312" s="103">
        <v>83</v>
      </c>
      <c r="K312" s="103" t="s">
        <v>364</v>
      </c>
      <c r="L312" s="136"/>
      <c r="M312" s="134">
        <v>8.6805555555555566E-2</v>
      </c>
      <c r="N312" s="135" t="s">
        <v>1633</v>
      </c>
      <c r="O312" s="133" t="s">
        <v>376</v>
      </c>
      <c r="P312" s="100" t="s">
        <v>1634</v>
      </c>
      <c r="Q312" s="100" t="s">
        <v>1615</v>
      </c>
      <c r="R312" s="226" t="s">
        <v>1697</v>
      </c>
      <c r="S312" s="491" t="str">
        <f t="shared" si="9"/>
        <v>x</v>
      </c>
      <c r="T312" s="492" t="str">
        <f>IFERROR(VLOOKUP(F312,'Freq-Chan'!C:D,2,FALSE),"x")</f>
        <v>x</v>
      </c>
      <c r="U312" s="110" t="s">
        <v>541</v>
      </c>
      <c r="V312" s="110" t="str">
        <f t="shared" si="10"/>
        <v>FWL</v>
      </c>
      <c r="W312" s="110" t="s">
        <v>541</v>
      </c>
      <c r="X312" s="110" t="s">
        <v>541</v>
      </c>
      <c r="Y312" s="110" t="str">
        <f>IFERROR(VLOOKUP(F312,'Freq-Chan'!C:E,3,FALSE),"na")</f>
        <v>na</v>
      </c>
      <c r="Z312" s="110" t="s">
        <v>541</v>
      </c>
      <c r="AA312" s="110" t="s">
        <v>541</v>
      </c>
      <c r="AB312" s="110" t="s">
        <v>541</v>
      </c>
      <c r="AC312" s="10" t="s">
        <v>541</v>
      </c>
      <c r="AD312" s="10" t="s">
        <v>541</v>
      </c>
    </row>
    <row r="313" spans="1:30" x14ac:dyDescent="0.2">
      <c r="A313" s="110">
        <v>312</v>
      </c>
      <c r="B313" s="132">
        <v>41820</v>
      </c>
      <c r="C313" s="117">
        <v>1</v>
      </c>
      <c r="D313" s="103" t="s">
        <v>2</v>
      </c>
      <c r="E313" s="103" t="s">
        <v>306</v>
      </c>
      <c r="F313" s="103">
        <v>784</v>
      </c>
      <c r="G313" s="103">
        <v>54</v>
      </c>
      <c r="H313" s="137" t="s">
        <v>1150</v>
      </c>
      <c r="I313" s="103">
        <v>82</v>
      </c>
      <c r="K313" s="103" t="s">
        <v>364</v>
      </c>
      <c r="L313" s="133"/>
      <c r="M313" s="134">
        <v>0.12013888888888889</v>
      </c>
      <c r="N313" s="137" t="s">
        <v>1635</v>
      </c>
      <c r="O313" s="133" t="s">
        <v>1532</v>
      </c>
      <c r="P313" s="100" t="s">
        <v>1636</v>
      </c>
      <c r="Q313" s="100" t="s">
        <v>1615</v>
      </c>
      <c r="R313" s="226" t="s">
        <v>1697</v>
      </c>
      <c r="S313" s="491" t="str">
        <f t="shared" si="9"/>
        <v>x</v>
      </c>
      <c r="T313" s="492">
        <f>IFERROR(VLOOKUP(F313,'Freq-Chan'!C:D,2,FALSE),"x")</f>
        <v>151.78399999999999</v>
      </c>
      <c r="U313" s="110" t="s">
        <v>541</v>
      </c>
      <c r="V313" s="110" t="str">
        <f t="shared" si="10"/>
        <v>FWL</v>
      </c>
      <c r="W313" s="110" t="s">
        <v>541</v>
      </c>
      <c r="X313" s="110" t="s">
        <v>541</v>
      </c>
      <c r="Y313" s="110" t="str">
        <f>IFERROR(VLOOKUP(F313,'Freq-Chan'!C:E,3,FALSE),"na")</f>
        <v>F1845</v>
      </c>
      <c r="Z313" s="110" t="s">
        <v>541</v>
      </c>
      <c r="AA313" s="110" t="s">
        <v>541</v>
      </c>
      <c r="AB313" s="110" t="s">
        <v>541</v>
      </c>
      <c r="AC313" s="10" t="s">
        <v>541</v>
      </c>
      <c r="AD313" s="10" t="s">
        <v>541</v>
      </c>
    </row>
    <row r="314" spans="1:30" x14ac:dyDescent="0.2">
      <c r="A314" s="110">
        <v>313</v>
      </c>
      <c r="B314" s="132">
        <v>41820</v>
      </c>
      <c r="C314" s="117">
        <v>1</v>
      </c>
      <c r="D314" s="103" t="s">
        <v>2</v>
      </c>
      <c r="E314" s="103" t="s">
        <v>306</v>
      </c>
      <c r="F314" s="103">
        <v>684</v>
      </c>
      <c r="G314" s="103">
        <v>21</v>
      </c>
      <c r="H314" s="137" t="s">
        <v>1151</v>
      </c>
      <c r="I314" s="103">
        <v>82</v>
      </c>
      <c r="K314" s="103" t="s">
        <v>364</v>
      </c>
      <c r="L314" s="136"/>
      <c r="M314" s="134">
        <v>5.5555555555555552E-2</v>
      </c>
      <c r="N314" s="135" t="s">
        <v>1637</v>
      </c>
      <c r="O314" s="133" t="s">
        <v>1532</v>
      </c>
      <c r="P314" s="100" t="s">
        <v>1638</v>
      </c>
      <c r="Q314" s="100" t="s">
        <v>1615</v>
      </c>
      <c r="R314" s="226" t="s">
        <v>1697</v>
      </c>
      <c r="S314" s="491" t="str">
        <f t="shared" si="9"/>
        <v>x</v>
      </c>
      <c r="T314" s="492">
        <f>IFERROR(VLOOKUP(F314,'Freq-Chan'!C:D,2,FALSE),"x")</f>
        <v>151.684</v>
      </c>
      <c r="U314" s="110" t="s">
        <v>541</v>
      </c>
      <c r="V314" s="110" t="str">
        <f t="shared" si="10"/>
        <v>FWL</v>
      </c>
      <c r="W314" s="110" t="s">
        <v>541</v>
      </c>
      <c r="X314" s="110" t="s">
        <v>541</v>
      </c>
      <c r="Y314" s="110" t="str">
        <f>IFERROR(VLOOKUP(F314,'Freq-Chan'!C:E,3,FALSE),"na")</f>
        <v>F1845</v>
      </c>
      <c r="Z314" s="110" t="s">
        <v>541</v>
      </c>
      <c r="AA314" s="110" t="s">
        <v>541</v>
      </c>
      <c r="AB314" s="110" t="s">
        <v>541</v>
      </c>
      <c r="AC314" s="10" t="s">
        <v>541</v>
      </c>
      <c r="AD314" s="10" t="s">
        <v>541</v>
      </c>
    </row>
    <row r="315" spans="1:30" x14ac:dyDescent="0.2">
      <c r="A315" s="110">
        <v>314</v>
      </c>
      <c r="B315" s="132">
        <v>41820</v>
      </c>
      <c r="C315" s="117">
        <v>1</v>
      </c>
      <c r="D315" s="103" t="s">
        <v>2</v>
      </c>
      <c r="E315" s="103" t="s">
        <v>306</v>
      </c>
      <c r="F315" s="103">
        <v>755</v>
      </c>
      <c r="G315" s="103">
        <v>46</v>
      </c>
      <c r="H315" s="137" t="s">
        <v>1152</v>
      </c>
      <c r="I315" s="103">
        <v>64</v>
      </c>
      <c r="K315" s="103" t="s">
        <v>364</v>
      </c>
      <c r="L315" s="136"/>
      <c r="M315" s="134">
        <v>5.1388888888888894E-2</v>
      </c>
      <c r="N315" s="135" t="s">
        <v>1639</v>
      </c>
      <c r="O315" s="133" t="s">
        <v>1532</v>
      </c>
      <c r="P315" s="100" t="s">
        <v>1640</v>
      </c>
      <c r="Q315" s="100" t="s">
        <v>1615</v>
      </c>
      <c r="R315" s="226" t="s">
        <v>1697</v>
      </c>
      <c r="S315" s="491" t="str">
        <f t="shared" si="9"/>
        <v>x</v>
      </c>
      <c r="T315" s="492">
        <f>IFERROR(VLOOKUP(F315,'Freq-Chan'!C:D,2,FALSE),"x")</f>
        <v>151.755</v>
      </c>
      <c r="U315" s="110" t="s">
        <v>541</v>
      </c>
      <c r="V315" s="110" t="str">
        <f t="shared" si="10"/>
        <v>FWL</v>
      </c>
      <c r="W315" s="110" t="s">
        <v>541</v>
      </c>
      <c r="X315" s="110" t="s">
        <v>541</v>
      </c>
      <c r="Y315" s="110" t="str">
        <f>IFERROR(VLOOKUP(F315,'Freq-Chan'!C:E,3,FALSE),"na")</f>
        <v>F1845</v>
      </c>
      <c r="Z315" s="110" t="s">
        <v>541</v>
      </c>
      <c r="AA315" s="110" t="s">
        <v>541</v>
      </c>
      <c r="AB315" s="110" t="s">
        <v>541</v>
      </c>
      <c r="AC315" s="10" t="s">
        <v>541</v>
      </c>
      <c r="AD315" s="10" t="s">
        <v>541</v>
      </c>
    </row>
    <row r="316" spans="1:30" x14ac:dyDescent="0.2">
      <c r="A316" s="110">
        <v>315</v>
      </c>
      <c r="B316" s="132">
        <v>41820</v>
      </c>
      <c r="C316" s="117">
        <v>1</v>
      </c>
      <c r="D316" s="103" t="s">
        <v>2</v>
      </c>
      <c r="E316" s="103" t="s">
        <v>306</v>
      </c>
      <c r="F316" s="103">
        <v>684</v>
      </c>
      <c r="G316" s="103">
        <v>26</v>
      </c>
      <c r="H316" s="137" t="s">
        <v>1153</v>
      </c>
      <c r="I316" s="103">
        <v>57</v>
      </c>
      <c r="K316" s="103" t="s">
        <v>364</v>
      </c>
      <c r="L316" s="136"/>
      <c r="M316" s="134">
        <v>5.0694444444444452E-2</v>
      </c>
      <c r="N316" s="137" t="s">
        <v>1641</v>
      </c>
      <c r="O316" s="133" t="s">
        <v>1532</v>
      </c>
      <c r="P316" s="100" t="s">
        <v>1642</v>
      </c>
      <c r="Q316" s="100" t="s">
        <v>1615</v>
      </c>
      <c r="R316" s="226" t="s">
        <v>1697</v>
      </c>
      <c r="S316" s="491" t="str">
        <f t="shared" si="9"/>
        <v>x</v>
      </c>
      <c r="T316" s="492">
        <f>IFERROR(VLOOKUP(F316,'Freq-Chan'!C:D,2,FALSE),"x")</f>
        <v>151.684</v>
      </c>
      <c r="U316" s="110" t="s">
        <v>541</v>
      </c>
      <c r="V316" s="110" t="str">
        <f t="shared" si="10"/>
        <v>FWL</v>
      </c>
      <c r="W316" s="110" t="s">
        <v>541</v>
      </c>
      <c r="X316" s="110" t="s">
        <v>541</v>
      </c>
      <c r="Y316" s="110" t="str">
        <f>IFERROR(VLOOKUP(F316,'Freq-Chan'!C:E,3,FALSE),"na")</f>
        <v>F1845</v>
      </c>
      <c r="Z316" s="110" t="s">
        <v>541</v>
      </c>
      <c r="AA316" s="110" t="s">
        <v>541</v>
      </c>
      <c r="AB316" s="110" t="s">
        <v>541</v>
      </c>
      <c r="AC316" s="10" t="s">
        <v>541</v>
      </c>
      <c r="AD316" s="10" t="s">
        <v>541</v>
      </c>
    </row>
    <row r="317" spans="1:30" x14ac:dyDescent="0.2">
      <c r="A317" s="110">
        <v>316</v>
      </c>
      <c r="B317" s="132">
        <v>41820</v>
      </c>
      <c r="C317" s="117">
        <v>1</v>
      </c>
      <c r="D317" s="103" t="s">
        <v>2</v>
      </c>
      <c r="E317" s="103" t="s">
        <v>306</v>
      </c>
      <c r="F317" s="103">
        <v>725</v>
      </c>
      <c r="G317" s="103">
        <v>94</v>
      </c>
      <c r="H317" s="137" t="s">
        <v>1154</v>
      </c>
      <c r="I317" s="103">
        <v>60</v>
      </c>
      <c r="K317" s="103" t="s">
        <v>364</v>
      </c>
      <c r="L317" s="133">
        <v>0.25</v>
      </c>
      <c r="M317" s="134">
        <v>5.6250000000000001E-2</v>
      </c>
      <c r="N317" s="137" t="s">
        <v>1643</v>
      </c>
      <c r="O317" s="133" t="s">
        <v>1532</v>
      </c>
      <c r="Q317" s="100" t="s">
        <v>1615</v>
      </c>
      <c r="R317" s="226" t="s">
        <v>1697</v>
      </c>
      <c r="S317" s="491">
        <f t="shared" si="9"/>
        <v>1.15625E-2</v>
      </c>
      <c r="T317" s="492">
        <f>IFERROR(VLOOKUP(F317,'Freq-Chan'!C:D,2,FALSE),"x")</f>
        <v>151.72499999999999</v>
      </c>
      <c r="U317" s="110" t="s">
        <v>541</v>
      </c>
      <c r="V317" s="110" t="str">
        <f t="shared" si="10"/>
        <v>FWL</v>
      </c>
      <c r="W317" s="110" t="s">
        <v>541</v>
      </c>
      <c r="X317" s="110" t="s">
        <v>541</v>
      </c>
      <c r="Y317" s="110" t="str">
        <f>IFERROR(VLOOKUP(F317,'Freq-Chan'!C:E,3,FALSE),"na")</f>
        <v>F1845</v>
      </c>
      <c r="Z317" s="110" t="s">
        <v>541</v>
      </c>
      <c r="AA317" s="110" t="s">
        <v>541</v>
      </c>
      <c r="AB317" s="110" t="s">
        <v>541</v>
      </c>
      <c r="AC317" s="10" t="s">
        <v>541</v>
      </c>
      <c r="AD317" s="10" t="s">
        <v>541</v>
      </c>
    </row>
    <row r="318" spans="1:30" x14ac:dyDescent="0.2">
      <c r="A318" s="110">
        <v>317</v>
      </c>
      <c r="B318" s="132">
        <v>41820</v>
      </c>
      <c r="C318" s="117">
        <v>1</v>
      </c>
      <c r="D318" s="103" t="s">
        <v>87</v>
      </c>
      <c r="E318" s="103" t="s">
        <v>798</v>
      </c>
      <c r="H318" s="103" t="s">
        <v>912</v>
      </c>
      <c r="J318" s="103">
        <v>25</v>
      </c>
      <c r="K318" s="103" t="s">
        <v>364</v>
      </c>
      <c r="L318" s="136"/>
      <c r="M318" s="134">
        <v>3.6111111111111115E-2</v>
      </c>
      <c r="N318" s="135" t="s">
        <v>1644</v>
      </c>
      <c r="O318" s="133" t="s">
        <v>372</v>
      </c>
      <c r="P318" s="100" t="s">
        <v>1645</v>
      </c>
      <c r="Q318" s="100" t="s">
        <v>1615</v>
      </c>
      <c r="R318" s="226" t="s">
        <v>1697</v>
      </c>
      <c r="S318" s="491" t="str">
        <f t="shared" si="9"/>
        <v>x</v>
      </c>
      <c r="T318" s="492" t="str">
        <f>IFERROR(VLOOKUP(F318,'Freq-Chan'!C:D,2,FALSE),"x")</f>
        <v>x</v>
      </c>
      <c r="U318" s="110" t="s">
        <v>541</v>
      </c>
      <c r="V318" s="110" t="str">
        <f t="shared" si="10"/>
        <v>FWL</v>
      </c>
      <c r="W318" s="110" t="s">
        <v>541</v>
      </c>
      <c r="X318" s="110" t="s">
        <v>541</v>
      </c>
      <c r="Y318" s="110" t="str">
        <f>IFERROR(VLOOKUP(F318,'Freq-Chan'!C:E,3,FALSE),"na")</f>
        <v>na</v>
      </c>
      <c r="Z318" s="110" t="s">
        <v>541</v>
      </c>
      <c r="AA318" s="110" t="s">
        <v>541</v>
      </c>
      <c r="AB318" s="110" t="s">
        <v>541</v>
      </c>
      <c r="AC318" s="10" t="s">
        <v>541</v>
      </c>
      <c r="AD318" s="10" t="s">
        <v>541</v>
      </c>
    </row>
    <row r="319" spans="1:30" x14ac:dyDescent="0.2">
      <c r="A319" s="110">
        <v>318</v>
      </c>
      <c r="B319" s="132">
        <v>41820</v>
      </c>
      <c r="C319" s="117">
        <v>1</v>
      </c>
      <c r="D319" s="103" t="s">
        <v>177</v>
      </c>
      <c r="E319" s="103" t="s">
        <v>0</v>
      </c>
      <c r="H319" s="103"/>
      <c r="I319" s="103">
        <v>35</v>
      </c>
      <c r="K319" s="103" t="s">
        <v>364</v>
      </c>
      <c r="L319" s="136"/>
      <c r="M319" s="134">
        <v>3.3333333333333333E-2</v>
      </c>
      <c r="N319" s="137" t="s">
        <v>1646</v>
      </c>
      <c r="O319" s="133" t="s">
        <v>1532</v>
      </c>
      <c r="P319" s="100" t="s">
        <v>776</v>
      </c>
      <c r="Q319" s="100" t="s">
        <v>1615</v>
      </c>
      <c r="R319" s="226" t="s">
        <v>1697</v>
      </c>
      <c r="S319" s="491" t="str">
        <f t="shared" si="9"/>
        <v>x</v>
      </c>
      <c r="T319" s="492" t="str">
        <f>IFERROR(VLOOKUP(F319,'Freq-Chan'!C:D,2,FALSE),"x")</f>
        <v>x</v>
      </c>
      <c r="U319" s="110" t="s">
        <v>541</v>
      </c>
      <c r="V319" s="110" t="str">
        <f t="shared" si="10"/>
        <v>FWL</v>
      </c>
      <c r="W319" s="110" t="s">
        <v>541</v>
      </c>
      <c r="X319" s="110" t="s">
        <v>541</v>
      </c>
      <c r="Y319" s="110" t="str">
        <f>IFERROR(VLOOKUP(F319,'Freq-Chan'!C:E,3,FALSE),"na")</f>
        <v>na</v>
      </c>
      <c r="Z319" s="110" t="s">
        <v>541</v>
      </c>
      <c r="AA319" s="110" t="s">
        <v>541</v>
      </c>
      <c r="AB319" s="110" t="s">
        <v>541</v>
      </c>
      <c r="AC319" s="10" t="s">
        <v>541</v>
      </c>
      <c r="AD319" s="10" t="s">
        <v>541</v>
      </c>
    </row>
    <row r="320" spans="1:30" x14ac:dyDescent="0.2">
      <c r="A320" s="110">
        <v>319</v>
      </c>
      <c r="B320" s="132">
        <v>41820</v>
      </c>
      <c r="C320" s="117">
        <v>1</v>
      </c>
      <c r="D320" s="103" t="s">
        <v>2</v>
      </c>
      <c r="E320" s="103" t="s">
        <v>306</v>
      </c>
      <c r="F320" s="103">
        <v>784</v>
      </c>
      <c r="G320" s="103">
        <v>93</v>
      </c>
      <c r="H320" s="137" t="s">
        <v>1155</v>
      </c>
      <c r="I320" s="103">
        <v>63</v>
      </c>
      <c r="K320" s="103" t="s">
        <v>364</v>
      </c>
      <c r="L320" s="136">
        <v>0.30486111111111108</v>
      </c>
      <c r="M320" s="134">
        <v>7.2916666666666671E-2</v>
      </c>
      <c r="N320" s="137" t="s">
        <v>1647</v>
      </c>
      <c r="O320" s="133" t="s">
        <v>1532</v>
      </c>
      <c r="Q320" s="100" t="s">
        <v>1615</v>
      </c>
      <c r="R320" s="226" t="s">
        <v>1697</v>
      </c>
      <c r="S320" s="491">
        <f t="shared" si="9"/>
        <v>3.6458332999999999E-3</v>
      </c>
      <c r="T320" s="492">
        <f>IFERROR(VLOOKUP(F320,'Freq-Chan'!C:D,2,FALSE),"x")</f>
        <v>151.78399999999999</v>
      </c>
      <c r="U320" s="110" t="s">
        <v>541</v>
      </c>
      <c r="V320" s="110" t="str">
        <f t="shared" si="10"/>
        <v>FWL</v>
      </c>
      <c r="W320" s="110" t="s">
        <v>541</v>
      </c>
      <c r="X320" s="110" t="s">
        <v>541</v>
      </c>
      <c r="Y320" s="110" t="str">
        <f>IFERROR(VLOOKUP(F320,'Freq-Chan'!C:E,3,FALSE),"na")</f>
        <v>F1845</v>
      </c>
      <c r="Z320" s="110" t="s">
        <v>541</v>
      </c>
      <c r="AA320" s="110" t="s">
        <v>541</v>
      </c>
      <c r="AB320" s="110" t="s">
        <v>541</v>
      </c>
      <c r="AC320" s="10" t="s">
        <v>541</v>
      </c>
      <c r="AD320" s="10" t="s">
        <v>541</v>
      </c>
    </row>
    <row r="321" spans="1:30" x14ac:dyDescent="0.2">
      <c r="A321" s="110">
        <v>320</v>
      </c>
      <c r="B321" s="132">
        <v>41820</v>
      </c>
      <c r="C321" s="117">
        <v>1</v>
      </c>
      <c r="D321" s="103" t="s">
        <v>2</v>
      </c>
      <c r="E321" s="103" t="s">
        <v>306</v>
      </c>
      <c r="F321" s="103">
        <v>784</v>
      </c>
      <c r="G321" s="103">
        <v>2</v>
      </c>
      <c r="H321" s="137" t="s">
        <v>1156</v>
      </c>
      <c r="I321" s="103">
        <v>92</v>
      </c>
      <c r="K321" s="103" t="s">
        <v>364</v>
      </c>
      <c r="L321" s="133">
        <v>0.31111111111111112</v>
      </c>
      <c r="M321" s="134">
        <v>5.0694444444444452E-2</v>
      </c>
      <c r="N321" s="137" t="s">
        <v>1648</v>
      </c>
      <c r="O321" s="133" t="s">
        <v>1532</v>
      </c>
      <c r="Q321" s="100" t="s">
        <v>1615</v>
      </c>
      <c r="R321" s="226" t="s">
        <v>1697</v>
      </c>
      <c r="S321" s="491">
        <f t="shared" si="9"/>
        <v>1.9328704000000001E-3</v>
      </c>
      <c r="T321" s="492">
        <f>IFERROR(VLOOKUP(F321,'Freq-Chan'!C:D,2,FALSE),"x")</f>
        <v>151.78399999999999</v>
      </c>
      <c r="U321" s="110" t="s">
        <v>541</v>
      </c>
      <c r="V321" s="110" t="str">
        <f t="shared" si="10"/>
        <v>FWL</v>
      </c>
      <c r="W321" s="110" t="s">
        <v>541</v>
      </c>
      <c r="X321" s="110" t="s">
        <v>541</v>
      </c>
      <c r="Y321" s="110" t="str">
        <f>IFERROR(VLOOKUP(F321,'Freq-Chan'!C:E,3,FALSE),"na")</f>
        <v>F1845</v>
      </c>
      <c r="Z321" s="110" t="s">
        <v>541</v>
      </c>
      <c r="AA321" s="110" t="s">
        <v>541</v>
      </c>
      <c r="AB321" s="110" t="s">
        <v>541</v>
      </c>
      <c r="AC321" s="10" t="s">
        <v>541</v>
      </c>
      <c r="AD321" s="10" t="s">
        <v>541</v>
      </c>
    </row>
    <row r="322" spans="1:30" x14ac:dyDescent="0.2">
      <c r="A322" s="110">
        <v>321</v>
      </c>
      <c r="B322" s="132">
        <v>41820</v>
      </c>
      <c r="C322" s="117">
        <v>1</v>
      </c>
      <c r="D322" s="103" t="s">
        <v>177</v>
      </c>
      <c r="E322" s="103" t="s">
        <v>0</v>
      </c>
      <c r="H322" s="103"/>
      <c r="I322" s="103">
        <v>36</v>
      </c>
      <c r="K322" s="103" t="s">
        <v>364</v>
      </c>
      <c r="L322" s="136"/>
      <c r="M322" s="134">
        <v>2.1527777777777781E-2</v>
      </c>
      <c r="N322" s="137" t="s">
        <v>1649</v>
      </c>
      <c r="O322" s="133" t="s">
        <v>1532</v>
      </c>
      <c r="P322" s="100" t="s">
        <v>776</v>
      </c>
      <c r="Q322" s="100" t="s">
        <v>1615</v>
      </c>
      <c r="R322" s="226" t="s">
        <v>1697</v>
      </c>
      <c r="S322" s="491" t="str">
        <f t="shared" si="9"/>
        <v>x</v>
      </c>
      <c r="T322" s="492" t="str">
        <f>IFERROR(VLOOKUP(F322,'Freq-Chan'!C:D,2,FALSE),"x")</f>
        <v>x</v>
      </c>
      <c r="U322" s="110" t="s">
        <v>541</v>
      </c>
      <c r="V322" s="110" t="str">
        <f t="shared" si="10"/>
        <v>FWL</v>
      </c>
      <c r="W322" s="110" t="s">
        <v>541</v>
      </c>
      <c r="X322" s="110" t="s">
        <v>541</v>
      </c>
      <c r="Y322" s="110" t="str">
        <f>IFERROR(VLOOKUP(F322,'Freq-Chan'!C:E,3,FALSE),"na")</f>
        <v>na</v>
      </c>
      <c r="Z322" s="110" t="s">
        <v>541</v>
      </c>
      <c r="AA322" s="110" t="s">
        <v>541</v>
      </c>
      <c r="AB322" s="110" t="s">
        <v>541</v>
      </c>
      <c r="AC322" s="10" t="s">
        <v>541</v>
      </c>
      <c r="AD322" s="10" t="s">
        <v>541</v>
      </c>
    </row>
    <row r="323" spans="1:30" x14ac:dyDescent="0.2">
      <c r="A323" s="110">
        <v>322</v>
      </c>
      <c r="B323" s="132">
        <v>41820</v>
      </c>
      <c r="C323" s="117">
        <v>1</v>
      </c>
      <c r="D323" s="103" t="s">
        <v>2</v>
      </c>
      <c r="E323" s="103" t="s">
        <v>306</v>
      </c>
      <c r="F323" s="103">
        <v>755</v>
      </c>
      <c r="G323" s="103">
        <v>27</v>
      </c>
      <c r="H323" s="137" t="s">
        <v>1157</v>
      </c>
      <c r="I323" s="103">
        <v>58</v>
      </c>
      <c r="K323" s="103" t="s">
        <v>364</v>
      </c>
      <c r="L323" s="136"/>
      <c r="M323" s="134">
        <v>5.8333333333333327E-2</v>
      </c>
      <c r="N323" s="137" t="s">
        <v>1650</v>
      </c>
      <c r="O323" s="133" t="s">
        <v>1532</v>
      </c>
      <c r="Q323" s="100" t="s">
        <v>1615</v>
      </c>
      <c r="R323" s="226" t="s">
        <v>1697</v>
      </c>
      <c r="S323" s="491" t="str">
        <f t="shared" ref="S323:S386" si="11">IF(IF(OR(L323=0,N323=0),"x",ROUND(N323-L323-(M323*24)/(24*60),10))&lt;0,0,IF(OR(L323=0,N323=0),"x",ROUND(N323-L323-(M323*24)/(24*60),10)))</f>
        <v>x</v>
      </c>
      <c r="T323" s="492">
        <f>IFERROR(VLOOKUP(F323,'Freq-Chan'!C:D,2,FALSE),"x")</f>
        <v>151.755</v>
      </c>
      <c r="U323" s="110" t="s">
        <v>541</v>
      </c>
      <c r="V323" s="110" t="str">
        <f t="shared" ref="V323:V386" si="12">IF(OR(C323=1,C323=2,C323=3),"FWL","NRD")</f>
        <v>FWL</v>
      </c>
      <c r="W323" s="110" t="s">
        <v>541</v>
      </c>
      <c r="X323" s="110" t="s">
        <v>541</v>
      </c>
      <c r="Y323" s="110" t="str">
        <f>IFERROR(VLOOKUP(F323,'Freq-Chan'!C:E,3,FALSE),"na")</f>
        <v>F1845</v>
      </c>
      <c r="Z323" s="110" t="s">
        <v>541</v>
      </c>
      <c r="AA323" s="110" t="s">
        <v>541</v>
      </c>
      <c r="AB323" s="110" t="s">
        <v>541</v>
      </c>
      <c r="AC323" s="10" t="s">
        <v>541</v>
      </c>
      <c r="AD323" s="10" t="s">
        <v>541</v>
      </c>
    </row>
    <row r="324" spans="1:30" x14ac:dyDescent="0.2">
      <c r="A324" s="110">
        <v>323</v>
      </c>
      <c r="B324" s="132">
        <v>41820</v>
      </c>
      <c r="C324" s="117">
        <v>1</v>
      </c>
      <c r="D324" s="103" t="s">
        <v>2</v>
      </c>
      <c r="E324" s="103" t="s">
        <v>306</v>
      </c>
      <c r="F324" s="103">
        <v>784</v>
      </c>
      <c r="G324" s="103">
        <v>95</v>
      </c>
      <c r="H324" s="137" t="s">
        <v>1158</v>
      </c>
      <c r="I324" s="103">
        <v>64</v>
      </c>
      <c r="K324" s="103" t="s">
        <v>364</v>
      </c>
      <c r="L324" s="136"/>
      <c r="M324" s="134">
        <v>4.4444444444444446E-2</v>
      </c>
      <c r="N324" s="137" t="s">
        <v>1651</v>
      </c>
      <c r="O324" s="133" t="s">
        <v>950</v>
      </c>
      <c r="Q324" s="100" t="s">
        <v>1659</v>
      </c>
      <c r="R324" s="226" t="s">
        <v>1697</v>
      </c>
      <c r="S324" s="491" t="str">
        <f t="shared" si="11"/>
        <v>x</v>
      </c>
      <c r="T324" s="492">
        <f>IFERROR(VLOOKUP(F324,'Freq-Chan'!C:D,2,FALSE),"x")</f>
        <v>151.78399999999999</v>
      </c>
      <c r="U324" s="110" t="s">
        <v>541</v>
      </c>
      <c r="V324" s="110" t="str">
        <f t="shared" si="12"/>
        <v>FWL</v>
      </c>
      <c r="W324" s="110" t="s">
        <v>541</v>
      </c>
      <c r="X324" s="110" t="s">
        <v>541</v>
      </c>
      <c r="Y324" s="110" t="str">
        <f>IFERROR(VLOOKUP(F324,'Freq-Chan'!C:E,3,FALSE),"na")</f>
        <v>F1845</v>
      </c>
      <c r="Z324" s="110" t="s">
        <v>541</v>
      </c>
      <c r="AA324" s="110" t="s">
        <v>541</v>
      </c>
      <c r="AB324" s="110" t="s">
        <v>541</v>
      </c>
      <c r="AC324" s="10" t="s">
        <v>541</v>
      </c>
      <c r="AD324" s="10" t="s">
        <v>541</v>
      </c>
    </row>
    <row r="325" spans="1:30" x14ac:dyDescent="0.2">
      <c r="A325" s="110">
        <v>324</v>
      </c>
      <c r="B325" s="132">
        <v>41820</v>
      </c>
      <c r="C325" s="117">
        <v>1</v>
      </c>
      <c r="D325" s="103" t="s">
        <v>2</v>
      </c>
      <c r="E325" s="103" t="s">
        <v>306</v>
      </c>
      <c r="F325" s="103">
        <v>784</v>
      </c>
      <c r="G325" s="103">
        <v>55</v>
      </c>
      <c r="H325" s="137" t="s">
        <v>1159</v>
      </c>
      <c r="I325" s="103">
        <v>69</v>
      </c>
      <c r="K325" s="103" t="s">
        <v>364</v>
      </c>
      <c r="L325" s="136">
        <v>0.43611111111111112</v>
      </c>
      <c r="M325" s="134">
        <v>4.9305555555555554E-2</v>
      </c>
      <c r="N325" s="137" t="s">
        <v>1652</v>
      </c>
      <c r="O325" s="133" t="s">
        <v>373</v>
      </c>
      <c r="Q325" s="100" t="s">
        <v>1659</v>
      </c>
      <c r="R325" s="226" t="s">
        <v>1697</v>
      </c>
      <c r="S325" s="491">
        <f t="shared" si="11"/>
        <v>3.3449074E-3</v>
      </c>
      <c r="T325" s="492">
        <f>IFERROR(VLOOKUP(F325,'Freq-Chan'!C:D,2,FALSE),"x")</f>
        <v>151.78399999999999</v>
      </c>
      <c r="U325" s="110" t="s">
        <v>541</v>
      </c>
      <c r="V325" s="110" t="str">
        <f t="shared" si="12"/>
        <v>FWL</v>
      </c>
      <c r="W325" s="110" t="s">
        <v>541</v>
      </c>
      <c r="X325" s="110" t="s">
        <v>541</v>
      </c>
      <c r="Y325" s="110" t="str">
        <f>IFERROR(VLOOKUP(F325,'Freq-Chan'!C:E,3,FALSE),"na")</f>
        <v>F1845</v>
      </c>
      <c r="Z325" s="110" t="s">
        <v>541</v>
      </c>
      <c r="AA325" s="110" t="s">
        <v>541</v>
      </c>
      <c r="AB325" s="110" t="s">
        <v>541</v>
      </c>
      <c r="AC325" s="10" t="s">
        <v>541</v>
      </c>
      <c r="AD325" s="10" t="s">
        <v>541</v>
      </c>
    </row>
    <row r="326" spans="1:30" x14ac:dyDescent="0.2">
      <c r="A326" s="110">
        <v>325</v>
      </c>
      <c r="B326" s="132">
        <v>41820</v>
      </c>
      <c r="C326" s="117">
        <v>1</v>
      </c>
      <c r="D326" s="103" t="s">
        <v>2</v>
      </c>
      <c r="E326" s="103" t="s">
        <v>306</v>
      </c>
      <c r="F326" s="103">
        <v>755</v>
      </c>
      <c r="G326" s="103">
        <v>20</v>
      </c>
      <c r="H326" s="137" t="s">
        <v>1160</v>
      </c>
      <c r="I326" s="103">
        <v>60</v>
      </c>
      <c r="K326" s="103" t="s">
        <v>364</v>
      </c>
      <c r="L326" s="136">
        <v>0.46875</v>
      </c>
      <c r="M326" s="134">
        <v>4.3750000000000004E-2</v>
      </c>
      <c r="N326" s="137" t="s">
        <v>708</v>
      </c>
      <c r="O326" s="133" t="s">
        <v>950</v>
      </c>
      <c r="Q326" s="100" t="s">
        <v>1620</v>
      </c>
      <c r="R326" s="226" t="s">
        <v>1697</v>
      </c>
      <c r="S326" s="491">
        <f t="shared" si="11"/>
        <v>2.0486111000000001E-3</v>
      </c>
      <c r="T326" s="492">
        <f>IFERROR(VLOOKUP(F326,'Freq-Chan'!C:D,2,FALSE),"x")</f>
        <v>151.755</v>
      </c>
      <c r="U326" s="110" t="s">
        <v>541</v>
      </c>
      <c r="V326" s="110" t="str">
        <f t="shared" si="12"/>
        <v>FWL</v>
      </c>
      <c r="W326" s="110" t="s">
        <v>541</v>
      </c>
      <c r="X326" s="110" t="s">
        <v>541</v>
      </c>
      <c r="Y326" s="110" t="str">
        <f>IFERROR(VLOOKUP(F326,'Freq-Chan'!C:E,3,FALSE),"na")</f>
        <v>F1845</v>
      </c>
      <c r="Z326" s="110" t="s">
        <v>541</v>
      </c>
      <c r="AA326" s="110" t="s">
        <v>541</v>
      </c>
      <c r="AB326" s="110" t="s">
        <v>541</v>
      </c>
      <c r="AC326" s="10" t="s">
        <v>541</v>
      </c>
      <c r="AD326" s="10" t="s">
        <v>541</v>
      </c>
    </row>
    <row r="327" spans="1:30" x14ac:dyDescent="0.2">
      <c r="A327" s="110">
        <v>326</v>
      </c>
      <c r="B327" s="132">
        <v>41820</v>
      </c>
      <c r="C327" s="117">
        <v>1</v>
      </c>
      <c r="D327" s="103" t="s">
        <v>2</v>
      </c>
      <c r="E327" s="103" t="s">
        <v>306</v>
      </c>
      <c r="F327" s="103">
        <v>755</v>
      </c>
      <c r="G327" s="103">
        <v>84</v>
      </c>
      <c r="H327" s="137" t="s">
        <v>1161</v>
      </c>
      <c r="I327" s="103">
        <v>79</v>
      </c>
      <c r="K327" s="103" t="s">
        <v>364</v>
      </c>
      <c r="L327" s="136"/>
      <c r="M327" s="134">
        <v>4.3750000000000004E-2</v>
      </c>
      <c r="N327" s="137" t="s">
        <v>1653</v>
      </c>
      <c r="O327" s="133" t="s">
        <v>373</v>
      </c>
      <c r="Q327" s="100" t="s">
        <v>1620</v>
      </c>
      <c r="R327" s="226" t="s">
        <v>1697</v>
      </c>
      <c r="S327" s="491" t="str">
        <f t="shared" si="11"/>
        <v>x</v>
      </c>
      <c r="T327" s="492">
        <f>IFERROR(VLOOKUP(F327,'Freq-Chan'!C:D,2,FALSE),"x")</f>
        <v>151.755</v>
      </c>
      <c r="U327" s="110" t="s">
        <v>541</v>
      </c>
      <c r="V327" s="110" t="str">
        <f t="shared" si="12"/>
        <v>FWL</v>
      </c>
      <c r="W327" s="110" t="s">
        <v>541</v>
      </c>
      <c r="X327" s="110" t="s">
        <v>541</v>
      </c>
      <c r="Y327" s="110" t="str">
        <f>IFERROR(VLOOKUP(F327,'Freq-Chan'!C:E,3,FALSE),"na")</f>
        <v>F1845</v>
      </c>
      <c r="Z327" s="110" t="s">
        <v>541</v>
      </c>
      <c r="AA327" s="110" t="s">
        <v>541</v>
      </c>
      <c r="AB327" s="110" t="s">
        <v>541</v>
      </c>
      <c r="AC327" s="10" t="s">
        <v>541</v>
      </c>
      <c r="AD327" s="10" t="s">
        <v>541</v>
      </c>
    </row>
    <row r="328" spans="1:30" x14ac:dyDescent="0.2">
      <c r="A328" s="110">
        <v>327</v>
      </c>
      <c r="B328" s="132">
        <v>41820</v>
      </c>
      <c r="C328" s="117">
        <v>1</v>
      </c>
      <c r="D328" s="103" t="s">
        <v>2</v>
      </c>
      <c r="E328" s="103" t="s">
        <v>306</v>
      </c>
      <c r="F328" s="103">
        <v>684</v>
      </c>
      <c r="G328" s="103">
        <v>61</v>
      </c>
      <c r="H328" s="137" t="s">
        <v>1162</v>
      </c>
      <c r="I328" s="103">
        <v>86</v>
      </c>
      <c r="K328" s="103" t="s">
        <v>364</v>
      </c>
      <c r="L328" s="133"/>
      <c r="M328" s="134">
        <v>5.4166666666666669E-2</v>
      </c>
      <c r="N328" s="137" t="s">
        <v>1654</v>
      </c>
      <c r="O328" s="133" t="s">
        <v>950</v>
      </c>
      <c r="P328" s="100" t="s">
        <v>1655</v>
      </c>
      <c r="Q328" s="100" t="s">
        <v>1620</v>
      </c>
      <c r="R328" s="226" t="s">
        <v>1697</v>
      </c>
      <c r="S328" s="491" t="str">
        <f t="shared" si="11"/>
        <v>x</v>
      </c>
      <c r="T328" s="492">
        <f>IFERROR(VLOOKUP(F328,'Freq-Chan'!C:D,2,FALSE),"x")</f>
        <v>151.684</v>
      </c>
      <c r="U328" s="110" t="s">
        <v>541</v>
      </c>
      <c r="V328" s="110" t="str">
        <f t="shared" si="12"/>
        <v>FWL</v>
      </c>
      <c r="W328" s="110" t="s">
        <v>541</v>
      </c>
      <c r="X328" s="110" t="s">
        <v>541</v>
      </c>
      <c r="Y328" s="110" t="str">
        <f>IFERROR(VLOOKUP(F328,'Freq-Chan'!C:E,3,FALSE),"na")</f>
        <v>F1845</v>
      </c>
      <c r="Z328" s="110" t="s">
        <v>541</v>
      </c>
      <c r="AA328" s="110" t="s">
        <v>541</v>
      </c>
      <c r="AB328" s="110" t="s">
        <v>541</v>
      </c>
      <c r="AC328" s="10" t="s">
        <v>541</v>
      </c>
      <c r="AD328" s="10" t="s">
        <v>541</v>
      </c>
    </row>
    <row r="329" spans="1:30" x14ac:dyDescent="0.2">
      <c r="A329" s="110">
        <v>328</v>
      </c>
      <c r="B329" s="132">
        <v>41820</v>
      </c>
      <c r="C329" s="117">
        <v>1</v>
      </c>
      <c r="D329" s="103" t="s">
        <v>2</v>
      </c>
      <c r="E329" s="103" t="s">
        <v>306</v>
      </c>
      <c r="F329" s="103">
        <v>755</v>
      </c>
      <c r="G329" s="103">
        <v>19</v>
      </c>
      <c r="H329" s="137" t="s">
        <v>1163</v>
      </c>
      <c r="I329" s="103">
        <v>80</v>
      </c>
      <c r="K329" s="103" t="s">
        <v>364</v>
      </c>
      <c r="L329" s="133"/>
      <c r="M329" s="134">
        <v>3.8194444444444441E-2</v>
      </c>
      <c r="N329" s="137" t="s">
        <v>1656</v>
      </c>
      <c r="O329" s="133" t="s">
        <v>373</v>
      </c>
      <c r="Q329" s="100" t="s">
        <v>1620</v>
      </c>
      <c r="R329" s="226" t="s">
        <v>1697</v>
      </c>
      <c r="S329" s="491" t="str">
        <f t="shared" si="11"/>
        <v>x</v>
      </c>
      <c r="T329" s="492">
        <f>IFERROR(VLOOKUP(F329,'Freq-Chan'!C:D,2,FALSE),"x")</f>
        <v>151.755</v>
      </c>
      <c r="U329" s="110" t="s">
        <v>541</v>
      </c>
      <c r="V329" s="110" t="str">
        <f t="shared" si="12"/>
        <v>FWL</v>
      </c>
      <c r="W329" s="110" t="s">
        <v>541</v>
      </c>
      <c r="X329" s="110" t="s">
        <v>541</v>
      </c>
      <c r="Y329" s="110" t="str">
        <f>IFERROR(VLOOKUP(F329,'Freq-Chan'!C:E,3,FALSE),"na")</f>
        <v>F1845</v>
      </c>
      <c r="Z329" s="110" t="s">
        <v>541</v>
      </c>
      <c r="AA329" s="110" t="s">
        <v>541</v>
      </c>
      <c r="AB329" s="110" t="s">
        <v>541</v>
      </c>
      <c r="AC329" s="10" t="s">
        <v>541</v>
      </c>
      <c r="AD329" s="10" t="s">
        <v>541</v>
      </c>
    </row>
    <row r="330" spans="1:30" x14ac:dyDescent="0.2">
      <c r="A330" s="110">
        <v>329</v>
      </c>
      <c r="B330" s="132">
        <v>41820</v>
      </c>
      <c r="C330" s="117">
        <v>1</v>
      </c>
      <c r="D330" s="103" t="s">
        <v>2</v>
      </c>
      <c r="E330" s="103" t="s">
        <v>306</v>
      </c>
      <c r="F330" s="103">
        <v>755</v>
      </c>
      <c r="G330" s="103">
        <v>86</v>
      </c>
      <c r="H330" s="137" t="s">
        <v>1164</v>
      </c>
      <c r="I330" s="103">
        <v>52</v>
      </c>
      <c r="K330" s="103" t="s">
        <v>364</v>
      </c>
      <c r="L330" s="133"/>
      <c r="M330" s="134">
        <v>4.8611111111111112E-2</v>
      </c>
      <c r="N330" s="137" t="s">
        <v>843</v>
      </c>
      <c r="O330" s="133" t="s">
        <v>373</v>
      </c>
      <c r="Q330" s="100" t="s">
        <v>1620</v>
      </c>
      <c r="R330" s="226" t="s">
        <v>1697</v>
      </c>
      <c r="S330" s="491" t="str">
        <f t="shared" si="11"/>
        <v>x</v>
      </c>
      <c r="T330" s="492">
        <f>IFERROR(VLOOKUP(F330,'Freq-Chan'!C:D,2,FALSE),"x")</f>
        <v>151.755</v>
      </c>
      <c r="U330" s="110" t="s">
        <v>541</v>
      </c>
      <c r="V330" s="110" t="str">
        <f t="shared" si="12"/>
        <v>FWL</v>
      </c>
      <c r="W330" s="110" t="s">
        <v>541</v>
      </c>
      <c r="X330" s="110" t="s">
        <v>541</v>
      </c>
      <c r="Y330" s="110" t="str">
        <f>IFERROR(VLOOKUP(F330,'Freq-Chan'!C:E,3,FALSE),"na")</f>
        <v>F1845</v>
      </c>
      <c r="Z330" s="110" t="s">
        <v>541</v>
      </c>
      <c r="AA330" s="110" t="s">
        <v>541</v>
      </c>
      <c r="AB330" s="110" t="s">
        <v>541</v>
      </c>
      <c r="AC330" s="10" t="s">
        <v>541</v>
      </c>
      <c r="AD330" s="10" t="s">
        <v>541</v>
      </c>
    </row>
    <row r="331" spans="1:30" x14ac:dyDescent="0.2">
      <c r="A331" s="110">
        <v>330</v>
      </c>
      <c r="B331" s="132">
        <v>41820</v>
      </c>
      <c r="C331" s="117">
        <v>1</v>
      </c>
      <c r="D331" s="103" t="s">
        <v>8</v>
      </c>
      <c r="E331" s="103" t="s">
        <v>306</v>
      </c>
      <c r="F331" s="103">
        <v>573</v>
      </c>
      <c r="G331" s="103">
        <v>34</v>
      </c>
      <c r="H331" s="137" t="s">
        <v>1657</v>
      </c>
      <c r="I331" s="103">
        <v>56</v>
      </c>
      <c r="K331" s="103" t="s">
        <v>364</v>
      </c>
      <c r="L331" s="133">
        <v>0.53125</v>
      </c>
      <c r="M331" s="134">
        <v>6.25E-2</v>
      </c>
      <c r="N331" s="137" t="s">
        <v>1658</v>
      </c>
      <c r="O331" s="133" t="s">
        <v>950</v>
      </c>
      <c r="P331" s="100" t="s">
        <v>1600</v>
      </c>
      <c r="Q331" s="100" t="s">
        <v>1620</v>
      </c>
      <c r="R331" s="226" t="s">
        <v>1697</v>
      </c>
      <c r="S331" s="491">
        <f t="shared" si="11"/>
        <v>7.2916667000000003E-3</v>
      </c>
      <c r="T331" s="492">
        <f>IFERROR(VLOOKUP(F331,'Freq-Chan'!C:D,2,FALSE),"x")</f>
        <v>151.57300000000001</v>
      </c>
      <c r="U331" s="110" t="s">
        <v>541</v>
      </c>
      <c r="V331" s="110" t="str">
        <f t="shared" si="12"/>
        <v>FWL</v>
      </c>
      <c r="W331" s="110" t="s">
        <v>541</v>
      </c>
      <c r="X331" s="110" t="s">
        <v>541</v>
      </c>
      <c r="Y331" s="110" t="str">
        <f>IFERROR(VLOOKUP(F331,'Freq-Chan'!C:E,3,FALSE),"na")</f>
        <v>F1840</v>
      </c>
      <c r="Z331" s="110" t="s">
        <v>541</v>
      </c>
      <c r="AA331" s="110" t="s">
        <v>541</v>
      </c>
      <c r="AB331" s="110" t="s">
        <v>541</v>
      </c>
      <c r="AC331" s="10" t="s">
        <v>541</v>
      </c>
      <c r="AD331" s="10" t="s">
        <v>541</v>
      </c>
    </row>
    <row r="332" spans="1:30" x14ac:dyDescent="0.2">
      <c r="A332" s="110">
        <v>331</v>
      </c>
      <c r="B332" s="132">
        <v>41820</v>
      </c>
      <c r="C332" s="117">
        <v>1</v>
      </c>
      <c r="D332" s="103" t="s">
        <v>2</v>
      </c>
      <c r="E332" s="103" t="s">
        <v>306</v>
      </c>
      <c r="F332" s="103">
        <v>784</v>
      </c>
      <c r="G332" s="103">
        <v>51</v>
      </c>
      <c r="H332" s="137" t="s">
        <v>1165</v>
      </c>
      <c r="I332" s="103">
        <v>91</v>
      </c>
      <c r="K332" s="103" t="s">
        <v>364</v>
      </c>
      <c r="L332" s="133">
        <v>0.55555555555555558</v>
      </c>
      <c r="M332" s="134">
        <v>5.9722222222222225E-2</v>
      </c>
      <c r="N332" s="137" t="s">
        <v>902</v>
      </c>
      <c r="O332" s="133" t="s">
        <v>950</v>
      </c>
      <c r="Q332" s="100" t="s">
        <v>1620</v>
      </c>
      <c r="R332" s="226" t="s">
        <v>1697</v>
      </c>
      <c r="S332" s="491">
        <f t="shared" si="11"/>
        <v>0</v>
      </c>
      <c r="T332" s="492">
        <f>IFERROR(VLOOKUP(F332,'Freq-Chan'!C:D,2,FALSE),"x")</f>
        <v>151.78399999999999</v>
      </c>
      <c r="U332" s="110" t="s">
        <v>541</v>
      </c>
      <c r="V332" s="110" t="str">
        <f t="shared" si="12"/>
        <v>FWL</v>
      </c>
      <c r="W332" s="110" t="s">
        <v>541</v>
      </c>
      <c r="X332" s="110" t="s">
        <v>541</v>
      </c>
      <c r="Y332" s="110" t="str">
        <f>IFERROR(VLOOKUP(F332,'Freq-Chan'!C:E,3,FALSE),"na")</f>
        <v>F1845</v>
      </c>
      <c r="Z332" s="110" t="s">
        <v>541</v>
      </c>
      <c r="AA332" s="110" t="s">
        <v>541</v>
      </c>
      <c r="AB332" s="110" t="s">
        <v>541</v>
      </c>
      <c r="AC332" s="10" t="s">
        <v>541</v>
      </c>
      <c r="AD332" s="10" t="s">
        <v>541</v>
      </c>
    </row>
    <row r="333" spans="1:30" x14ac:dyDescent="0.2">
      <c r="A333" s="110">
        <v>332</v>
      </c>
      <c r="B333" s="132">
        <v>41820</v>
      </c>
      <c r="C333" s="117">
        <v>1</v>
      </c>
      <c r="D333" s="103" t="s">
        <v>75</v>
      </c>
      <c r="E333" s="103" t="s">
        <v>798</v>
      </c>
      <c r="H333" s="103"/>
      <c r="J333" s="103">
        <v>28</v>
      </c>
      <c r="K333" s="103" t="s">
        <v>364</v>
      </c>
      <c r="L333" s="133"/>
      <c r="M333" s="134">
        <v>1.7361111111111112E-2</v>
      </c>
      <c r="N333" s="137" t="s">
        <v>1698</v>
      </c>
      <c r="O333" s="133" t="s">
        <v>950</v>
      </c>
      <c r="Q333" s="100" t="s">
        <v>1620</v>
      </c>
      <c r="R333" s="226" t="s">
        <v>1697</v>
      </c>
      <c r="S333" s="491" t="str">
        <f t="shared" si="11"/>
        <v>x</v>
      </c>
      <c r="T333" s="492" t="str">
        <f>IFERROR(VLOOKUP(F333,'Freq-Chan'!C:D,2,FALSE),"x")</f>
        <v>x</v>
      </c>
      <c r="U333" s="110" t="s">
        <v>541</v>
      </c>
      <c r="V333" s="110" t="str">
        <f t="shared" si="12"/>
        <v>FWL</v>
      </c>
      <c r="W333" s="110" t="s">
        <v>541</v>
      </c>
      <c r="X333" s="110" t="s">
        <v>541</v>
      </c>
      <c r="Y333" s="110" t="str">
        <f>IFERROR(VLOOKUP(F333,'Freq-Chan'!C:E,3,FALSE),"na")</f>
        <v>na</v>
      </c>
      <c r="Z333" s="110" t="s">
        <v>541</v>
      </c>
      <c r="AA333" s="110" t="s">
        <v>541</v>
      </c>
      <c r="AB333" s="110" t="s">
        <v>541</v>
      </c>
      <c r="AC333" s="10" t="s">
        <v>541</v>
      </c>
      <c r="AD333" s="10" t="s">
        <v>541</v>
      </c>
    </row>
    <row r="334" spans="1:30" x14ac:dyDescent="0.2">
      <c r="A334" s="110">
        <v>333</v>
      </c>
      <c r="B334" s="132">
        <v>41820</v>
      </c>
      <c r="C334" s="117">
        <v>1</v>
      </c>
      <c r="D334" s="103" t="s">
        <v>2</v>
      </c>
      <c r="E334" s="103" t="s">
        <v>306</v>
      </c>
      <c r="F334" s="103">
        <v>755</v>
      </c>
      <c r="G334" s="103">
        <v>52</v>
      </c>
      <c r="H334" s="137" t="s">
        <v>1166</v>
      </c>
      <c r="I334" s="103">
        <v>63</v>
      </c>
      <c r="K334" s="103" t="s">
        <v>364</v>
      </c>
      <c r="L334" s="133">
        <v>0.57777777777777783</v>
      </c>
      <c r="M334" s="134">
        <v>4.6527777777777779E-2</v>
      </c>
      <c r="N334" s="137" t="s">
        <v>1660</v>
      </c>
      <c r="O334" s="133" t="s">
        <v>373</v>
      </c>
      <c r="Q334" s="100" t="s">
        <v>1620</v>
      </c>
      <c r="R334" s="226" t="s">
        <v>1697</v>
      </c>
      <c r="S334" s="491">
        <f t="shared" si="11"/>
        <v>2.0023148000000001E-3</v>
      </c>
      <c r="T334" s="492">
        <f>IFERROR(VLOOKUP(F334,'Freq-Chan'!C:D,2,FALSE),"x")</f>
        <v>151.755</v>
      </c>
      <c r="U334" s="110" t="s">
        <v>541</v>
      </c>
      <c r="V334" s="110" t="str">
        <f t="shared" si="12"/>
        <v>FWL</v>
      </c>
      <c r="W334" s="110" t="s">
        <v>541</v>
      </c>
      <c r="X334" s="110" t="s">
        <v>541</v>
      </c>
      <c r="Y334" s="110" t="str">
        <f>IFERROR(VLOOKUP(F334,'Freq-Chan'!C:E,3,FALSE),"na")</f>
        <v>F1845</v>
      </c>
      <c r="Z334" s="110" t="s">
        <v>541</v>
      </c>
      <c r="AA334" s="110" t="s">
        <v>541</v>
      </c>
      <c r="AB334" s="110" t="s">
        <v>541</v>
      </c>
      <c r="AC334" s="10" t="s">
        <v>541</v>
      </c>
      <c r="AD334" s="10" t="s">
        <v>541</v>
      </c>
    </row>
    <row r="335" spans="1:30" x14ac:dyDescent="0.2">
      <c r="A335" s="110">
        <v>334</v>
      </c>
      <c r="B335" s="132">
        <v>41820</v>
      </c>
      <c r="C335" s="117">
        <v>1</v>
      </c>
      <c r="D335" s="103" t="s">
        <v>2</v>
      </c>
      <c r="E335" s="103" t="s">
        <v>306</v>
      </c>
      <c r="F335" s="103">
        <v>784</v>
      </c>
      <c r="G335" s="103">
        <v>42</v>
      </c>
      <c r="H335" s="137" t="s">
        <v>1167</v>
      </c>
      <c r="I335" s="103">
        <v>84</v>
      </c>
      <c r="K335" s="103" t="s">
        <v>364</v>
      </c>
      <c r="L335" s="133">
        <v>0.57916666666666672</v>
      </c>
      <c r="M335" s="134">
        <v>6.1805555555555558E-2</v>
      </c>
      <c r="N335" s="137" t="s">
        <v>1661</v>
      </c>
      <c r="O335" s="133" t="s">
        <v>950</v>
      </c>
      <c r="Q335" s="100" t="s">
        <v>1620</v>
      </c>
      <c r="R335" s="226" t="s">
        <v>1697</v>
      </c>
      <c r="S335" s="491">
        <f t="shared" si="11"/>
        <v>3.8310185E-3</v>
      </c>
      <c r="T335" s="492">
        <f>IFERROR(VLOOKUP(F335,'Freq-Chan'!C:D,2,FALSE),"x")</f>
        <v>151.78399999999999</v>
      </c>
      <c r="U335" s="110" t="s">
        <v>541</v>
      </c>
      <c r="V335" s="110" t="str">
        <f t="shared" si="12"/>
        <v>FWL</v>
      </c>
      <c r="W335" s="110" t="s">
        <v>541</v>
      </c>
      <c r="X335" s="110" t="s">
        <v>541</v>
      </c>
      <c r="Y335" s="110" t="str">
        <f>IFERROR(VLOOKUP(F335,'Freq-Chan'!C:E,3,FALSE),"na")</f>
        <v>F1845</v>
      </c>
      <c r="Z335" s="110" t="s">
        <v>541</v>
      </c>
      <c r="AA335" s="110" t="s">
        <v>541</v>
      </c>
      <c r="AB335" s="110" t="s">
        <v>541</v>
      </c>
      <c r="AC335" s="10" t="s">
        <v>541</v>
      </c>
      <c r="AD335" s="10" t="s">
        <v>541</v>
      </c>
    </row>
    <row r="336" spans="1:30" x14ac:dyDescent="0.2">
      <c r="A336" s="110">
        <v>335</v>
      </c>
      <c r="B336" s="132">
        <v>41820</v>
      </c>
      <c r="C336" s="117">
        <v>1</v>
      </c>
      <c r="D336" s="103" t="s">
        <v>2</v>
      </c>
      <c r="E336" s="103" t="s">
        <v>306</v>
      </c>
      <c r="F336" s="103">
        <v>784</v>
      </c>
      <c r="G336" s="103">
        <v>98</v>
      </c>
      <c r="H336" s="137" t="s">
        <v>1168</v>
      </c>
      <c r="I336" s="103">
        <v>63</v>
      </c>
      <c r="K336" s="103" t="s">
        <v>364</v>
      </c>
      <c r="L336" s="133"/>
      <c r="M336" s="134">
        <v>6.8749999999999992E-2</v>
      </c>
      <c r="N336" s="137" t="s">
        <v>1662</v>
      </c>
      <c r="O336" s="133" t="s">
        <v>1663</v>
      </c>
      <c r="Q336" s="100" t="s">
        <v>1621</v>
      </c>
      <c r="R336" s="226" t="s">
        <v>1697</v>
      </c>
      <c r="S336" s="491" t="str">
        <f t="shared" si="11"/>
        <v>x</v>
      </c>
      <c r="T336" s="492">
        <f>IFERROR(VLOOKUP(F336,'Freq-Chan'!C:D,2,FALSE),"x")</f>
        <v>151.78399999999999</v>
      </c>
      <c r="U336" s="110" t="s">
        <v>541</v>
      </c>
      <c r="V336" s="110" t="str">
        <f t="shared" si="12"/>
        <v>FWL</v>
      </c>
      <c r="W336" s="110" t="s">
        <v>541</v>
      </c>
      <c r="X336" s="110" t="s">
        <v>541</v>
      </c>
      <c r="Y336" s="110" t="str">
        <f>IFERROR(VLOOKUP(F336,'Freq-Chan'!C:E,3,FALSE),"na")</f>
        <v>F1845</v>
      </c>
      <c r="Z336" s="110" t="s">
        <v>541</v>
      </c>
      <c r="AA336" s="110" t="s">
        <v>541</v>
      </c>
      <c r="AB336" s="110" t="s">
        <v>541</v>
      </c>
      <c r="AC336" s="10" t="s">
        <v>541</v>
      </c>
      <c r="AD336" s="10" t="s">
        <v>541</v>
      </c>
    </row>
    <row r="337" spans="1:30" x14ac:dyDescent="0.2">
      <c r="A337" s="110">
        <v>336</v>
      </c>
      <c r="B337" s="132">
        <v>41820</v>
      </c>
      <c r="C337" s="117">
        <v>1</v>
      </c>
      <c r="D337" s="103" t="s">
        <v>177</v>
      </c>
      <c r="E337" s="103" t="s">
        <v>0</v>
      </c>
      <c r="F337" s="103">
        <v>917</v>
      </c>
      <c r="G337" s="103">
        <v>80</v>
      </c>
      <c r="H337" s="137" t="s">
        <v>1179</v>
      </c>
      <c r="I337" s="103">
        <v>48</v>
      </c>
      <c r="K337" s="103" t="s">
        <v>364</v>
      </c>
      <c r="L337" s="133"/>
      <c r="M337" s="134">
        <v>5.486111111111111E-2</v>
      </c>
      <c r="N337" s="137" t="s">
        <v>1664</v>
      </c>
      <c r="O337" s="133" t="s">
        <v>372</v>
      </c>
      <c r="Q337" s="100" t="s">
        <v>1621</v>
      </c>
      <c r="R337" s="226" t="s">
        <v>1697</v>
      </c>
      <c r="S337" s="491" t="str">
        <f t="shared" si="11"/>
        <v>x</v>
      </c>
      <c r="T337" s="492">
        <f>IFERROR(VLOOKUP(F337,'Freq-Chan'!C:D,2,FALSE),"x")</f>
        <v>151.917</v>
      </c>
      <c r="U337" s="110" t="s">
        <v>541</v>
      </c>
      <c r="V337" s="110" t="str">
        <f t="shared" si="12"/>
        <v>FWL</v>
      </c>
      <c r="W337" s="110" t="s">
        <v>541</v>
      </c>
      <c r="X337" s="110" t="s">
        <v>541</v>
      </c>
      <c r="Y337" s="110" t="str">
        <f>IFERROR(VLOOKUP(F337,'Freq-Chan'!C:E,3,FALSE),"na")</f>
        <v>F1835</v>
      </c>
      <c r="Z337" s="110" t="s">
        <v>541</v>
      </c>
      <c r="AA337" s="110" t="s">
        <v>541</v>
      </c>
      <c r="AB337" s="110" t="s">
        <v>541</v>
      </c>
      <c r="AC337" s="10" t="s">
        <v>541</v>
      </c>
      <c r="AD337" s="10" t="s">
        <v>541</v>
      </c>
    </row>
    <row r="338" spans="1:30" x14ac:dyDescent="0.2">
      <c r="A338" s="110">
        <v>337</v>
      </c>
      <c r="B338" s="132">
        <v>41820</v>
      </c>
      <c r="C338" s="117">
        <v>1</v>
      </c>
      <c r="D338" s="103" t="s">
        <v>2</v>
      </c>
      <c r="E338" s="103" t="s">
        <v>306</v>
      </c>
      <c r="F338" s="103">
        <v>755</v>
      </c>
      <c r="G338" s="103">
        <v>73</v>
      </c>
      <c r="H338" s="137" t="s">
        <v>1180</v>
      </c>
      <c r="I338" s="103">
        <v>55</v>
      </c>
      <c r="K338" s="103" t="s">
        <v>364</v>
      </c>
      <c r="L338" s="133"/>
      <c r="M338" s="134">
        <v>6.3194444444444442E-2</v>
      </c>
      <c r="N338" s="137" t="s">
        <v>391</v>
      </c>
      <c r="O338" s="133" t="s">
        <v>372</v>
      </c>
      <c r="Q338" s="100" t="s">
        <v>1621</v>
      </c>
      <c r="R338" s="226" t="s">
        <v>1697</v>
      </c>
      <c r="S338" s="491" t="str">
        <f t="shared" si="11"/>
        <v>x</v>
      </c>
      <c r="T338" s="492">
        <f>IFERROR(VLOOKUP(F338,'Freq-Chan'!C:D,2,FALSE),"x")</f>
        <v>151.755</v>
      </c>
      <c r="U338" s="110" t="s">
        <v>541</v>
      </c>
      <c r="V338" s="110" t="str">
        <f t="shared" si="12"/>
        <v>FWL</v>
      </c>
      <c r="W338" s="110" t="s">
        <v>541</v>
      </c>
      <c r="X338" s="110" t="s">
        <v>541</v>
      </c>
      <c r="Y338" s="110" t="str">
        <f>IFERROR(VLOOKUP(F338,'Freq-Chan'!C:E,3,FALSE),"na")</f>
        <v>F1845</v>
      </c>
      <c r="Z338" s="110" t="s">
        <v>541</v>
      </c>
      <c r="AA338" s="110" t="s">
        <v>541</v>
      </c>
      <c r="AB338" s="110" t="s">
        <v>541</v>
      </c>
      <c r="AC338" s="10" t="s">
        <v>541</v>
      </c>
      <c r="AD338" s="10" t="s">
        <v>541</v>
      </c>
    </row>
    <row r="339" spans="1:30" x14ac:dyDescent="0.2">
      <c r="A339" s="110">
        <v>338</v>
      </c>
      <c r="B339" s="132">
        <v>41820</v>
      </c>
      <c r="C339" s="117">
        <v>1</v>
      </c>
      <c r="D339" s="103" t="s">
        <v>2</v>
      </c>
      <c r="E339" s="103" t="s">
        <v>306</v>
      </c>
      <c r="H339" s="103"/>
      <c r="I339" s="103">
        <v>83</v>
      </c>
      <c r="K339" s="103" t="s">
        <v>364</v>
      </c>
      <c r="L339" s="133"/>
      <c r="M339" s="134">
        <v>0.10069444444444443</v>
      </c>
      <c r="N339" s="137" t="s">
        <v>1665</v>
      </c>
      <c r="O339" s="133" t="s">
        <v>1663</v>
      </c>
      <c r="P339" s="100" t="s">
        <v>1666</v>
      </c>
      <c r="Q339" s="100" t="s">
        <v>1621</v>
      </c>
      <c r="R339" s="226" t="s">
        <v>1697</v>
      </c>
      <c r="S339" s="491" t="str">
        <f t="shared" si="11"/>
        <v>x</v>
      </c>
      <c r="T339" s="492" t="str">
        <f>IFERROR(VLOOKUP(F339,'Freq-Chan'!C:D,2,FALSE),"x")</f>
        <v>x</v>
      </c>
      <c r="U339" s="110" t="s">
        <v>541</v>
      </c>
      <c r="V339" s="110" t="str">
        <f t="shared" si="12"/>
        <v>FWL</v>
      </c>
      <c r="W339" s="110" t="s">
        <v>541</v>
      </c>
      <c r="X339" s="110" t="s">
        <v>541</v>
      </c>
      <c r="Y339" s="110" t="str">
        <f>IFERROR(VLOOKUP(F339,'Freq-Chan'!C:E,3,FALSE),"na")</f>
        <v>na</v>
      </c>
      <c r="Z339" s="110" t="s">
        <v>541</v>
      </c>
      <c r="AA339" s="110" t="s">
        <v>541</v>
      </c>
      <c r="AB339" s="110" t="s">
        <v>541</v>
      </c>
      <c r="AC339" s="10" t="s">
        <v>541</v>
      </c>
      <c r="AD339" s="10" t="s">
        <v>541</v>
      </c>
    </row>
    <row r="340" spans="1:30" x14ac:dyDescent="0.2">
      <c r="A340" s="110">
        <v>339</v>
      </c>
      <c r="B340" s="132">
        <v>41820</v>
      </c>
      <c r="C340" s="117">
        <v>1</v>
      </c>
      <c r="D340" s="103" t="s">
        <v>2</v>
      </c>
      <c r="E340" s="103" t="s">
        <v>306</v>
      </c>
      <c r="F340" s="103">
        <v>755</v>
      </c>
      <c r="G340" s="103">
        <v>96</v>
      </c>
      <c r="H340" s="137" t="s">
        <v>1181</v>
      </c>
      <c r="I340" s="103">
        <v>78</v>
      </c>
      <c r="K340" s="103" t="s">
        <v>364</v>
      </c>
      <c r="L340" s="133"/>
      <c r="M340" s="134">
        <v>5.0694444444444452E-2</v>
      </c>
      <c r="N340" s="137" t="s">
        <v>1667</v>
      </c>
      <c r="O340" s="133" t="s">
        <v>1663</v>
      </c>
      <c r="Q340" s="100" t="s">
        <v>1621</v>
      </c>
      <c r="R340" s="226" t="s">
        <v>1697</v>
      </c>
      <c r="S340" s="491" t="str">
        <f t="shared" si="11"/>
        <v>x</v>
      </c>
      <c r="T340" s="492">
        <f>IFERROR(VLOOKUP(F340,'Freq-Chan'!C:D,2,FALSE),"x")</f>
        <v>151.755</v>
      </c>
      <c r="U340" s="110" t="s">
        <v>541</v>
      </c>
      <c r="V340" s="110" t="str">
        <f t="shared" si="12"/>
        <v>FWL</v>
      </c>
      <c r="W340" s="110" t="s">
        <v>541</v>
      </c>
      <c r="X340" s="110" t="s">
        <v>541</v>
      </c>
      <c r="Y340" s="110" t="str">
        <f>IFERROR(VLOOKUP(F340,'Freq-Chan'!C:E,3,FALSE),"na")</f>
        <v>F1845</v>
      </c>
      <c r="Z340" s="110" t="s">
        <v>541</v>
      </c>
      <c r="AA340" s="110" t="s">
        <v>541</v>
      </c>
      <c r="AB340" s="110" t="s">
        <v>541</v>
      </c>
      <c r="AC340" s="10" t="s">
        <v>541</v>
      </c>
      <c r="AD340" s="10" t="s">
        <v>541</v>
      </c>
    </row>
    <row r="341" spans="1:30" x14ac:dyDescent="0.2">
      <c r="A341" s="110">
        <v>340</v>
      </c>
      <c r="B341" s="132">
        <v>41820</v>
      </c>
      <c r="C341" s="117">
        <v>1</v>
      </c>
      <c r="D341" s="103" t="s">
        <v>2</v>
      </c>
      <c r="E341" s="103" t="s">
        <v>306</v>
      </c>
      <c r="F341" s="103">
        <v>784</v>
      </c>
      <c r="G341" s="103">
        <v>9</v>
      </c>
      <c r="H341" s="137" t="s">
        <v>1182</v>
      </c>
      <c r="I341" s="103">
        <v>84</v>
      </c>
      <c r="K341" s="103" t="s">
        <v>364</v>
      </c>
      <c r="L341" s="133">
        <v>0.70416666666666661</v>
      </c>
      <c r="M341" s="134">
        <v>5.8333333333333327E-2</v>
      </c>
      <c r="N341" s="137" t="s">
        <v>1668</v>
      </c>
      <c r="O341" s="133" t="s">
        <v>802</v>
      </c>
      <c r="Q341" s="100" t="s">
        <v>1621</v>
      </c>
      <c r="R341" s="226" t="s">
        <v>1697</v>
      </c>
      <c r="S341" s="491">
        <f t="shared" si="11"/>
        <v>3.8888888999999999E-3</v>
      </c>
      <c r="T341" s="492">
        <f>IFERROR(VLOOKUP(F341,'Freq-Chan'!C:D,2,FALSE),"x")</f>
        <v>151.78399999999999</v>
      </c>
      <c r="U341" s="110" t="s">
        <v>541</v>
      </c>
      <c r="V341" s="110" t="str">
        <f t="shared" si="12"/>
        <v>FWL</v>
      </c>
      <c r="W341" s="110" t="s">
        <v>541</v>
      </c>
      <c r="X341" s="110" t="s">
        <v>541</v>
      </c>
      <c r="Y341" s="110" t="str">
        <f>IFERROR(VLOOKUP(F341,'Freq-Chan'!C:E,3,FALSE),"na")</f>
        <v>F1845</v>
      </c>
      <c r="Z341" s="110" t="s">
        <v>541</v>
      </c>
      <c r="AA341" s="110" t="s">
        <v>541</v>
      </c>
      <c r="AB341" s="110" t="s">
        <v>541</v>
      </c>
      <c r="AC341" s="10" t="s">
        <v>541</v>
      </c>
      <c r="AD341" s="10" t="s">
        <v>541</v>
      </c>
    </row>
    <row r="342" spans="1:30" x14ac:dyDescent="0.2">
      <c r="A342" s="110">
        <v>341</v>
      </c>
      <c r="B342" s="132">
        <v>41820</v>
      </c>
      <c r="C342" s="117">
        <v>1</v>
      </c>
      <c r="D342" s="103" t="s">
        <v>2</v>
      </c>
      <c r="E342" s="103" t="s">
        <v>306</v>
      </c>
      <c r="F342" s="103">
        <v>755</v>
      </c>
      <c r="G342" s="103">
        <v>43</v>
      </c>
      <c r="H342" s="137" t="s">
        <v>1183</v>
      </c>
      <c r="I342" s="103">
        <v>64</v>
      </c>
      <c r="K342" s="103" t="s">
        <v>364</v>
      </c>
      <c r="L342" s="133"/>
      <c r="M342" s="134">
        <v>4.6527777777777779E-2</v>
      </c>
      <c r="N342" s="137" t="s">
        <v>1669</v>
      </c>
      <c r="O342" s="133" t="s">
        <v>372</v>
      </c>
      <c r="Q342" s="100" t="s">
        <v>1621</v>
      </c>
      <c r="R342" s="226" t="s">
        <v>1697</v>
      </c>
      <c r="S342" s="491" t="str">
        <f t="shared" si="11"/>
        <v>x</v>
      </c>
      <c r="T342" s="492">
        <f>IFERROR(VLOOKUP(F342,'Freq-Chan'!C:D,2,FALSE),"x")</f>
        <v>151.755</v>
      </c>
      <c r="U342" s="110" t="s">
        <v>541</v>
      </c>
      <c r="V342" s="110" t="str">
        <f t="shared" si="12"/>
        <v>FWL</v>
      </c>
      <c r="W342" s="110" t="s">
        <v>541</v>
      </c>
      <c r="X342" s="110" t="s">
        <v>541</v>
      </c>
      <c r="Y342" s="110" t="str">
        <f>IFERROR(VLOOKUP(F342,'Freq-Chan'!C:E,3,FALSE),"na")</f>
        <v>F1845</v>
      </c>
      <c r="Z342" s="110" t="s">
        <v>541</v>
      </c>
      <c r="AA342" s="110" t="s">
        <v>541</v>
      </c>
      <c r="AB342" s="110" t="s">
        <v>541</v>
      </c>
      <c r="AC342" s="10" t="s">
        <v>541</v>
      </c>
      <c r="AD342" s="10" t="s">
        <v>541</v>
      </c>
    </row>
    <row r="343" spans="1:30" x14ac:dyDescent="0.2">
      <c r="A343" s="110">
        <v>342</v>
      </c>
      <c r="B343" s="132">
        <v>41820</v>
      </c>
      <c r="C343" s="117">
        <v>1</v>
      </c>
      <c r="D343" s="103" t="s">
        <v>2</v>
      </c>
      <c r="E343" s="103" t="s">
        <v>306</v>
      </c>
      <c r="F343" s="103">
        <v>755</v>
      </c>
      <c r="G343" s="103">
        <v>91</v>
      </c>
      <c r="H343" s="137" t="s">
        <v>1184</v>
      </c>
      <c r="I343" s="103">
        <v>68</v>
      </c>
      <c r="K343" s="103" t="s">
        <v>364</v>
      </c>
      <c r="L343" s="133"/>
      <c r="M343" s="134">
        <v>5.1388888888888894E-2</v>
      </c>
      <c r="N343" s="137" t="s">
        <v>904</v>
      </c>
      <c r="O343" s="133" t="s">
        <v>802</v>
      </c>
      <c r="Q343" s="100" t="s">
        <v>1621</v>
      </c>
      <c r="R343" s="226" t="s">
        <v>1697</v>
      </c>
      <c r="S343" s="491" t="str">
        <f t="shared" si="11"/>
        <v>x</v>
      </c>
      <c r="T343" s="492">
        <f>IFERROR(VLOOKUP(F343,'Freq-Chan'!C:D,2,FALSE),"x")</f>
        <v>151.755</v>
      </c>
      <c r="U343" s="110" t="s">
        <v>541</v>
      </c>
      <c r="V343" s="110" t="str">
        <f t="shared" si="12"/>
        <v>FWL</v>
      </c>
      <c r="W343" s="110" t="s">
        <v>541</v>
      </c>
      <c r="X343" s="110" t="s">
        <v>541</v>
      </c>
      <c r="Y343" s="110" t="str">
        <f>IFERROR(VLOOKUP(F343,'Freq-Chan'!C:E,3,FALSE),"na")</f>
        <v>F1845</v>
      </c>
      <c r="Z343" s="110" t="s">
        <v>541</v>
      </c>
      <c r="AA343" s="110" t="s">
        <v>541</v>
      </c>
      <c r="AB343" s="110" t="s">
        <v>541</v>
      </c>
      <c r="AC343" s="10" t="s">
        <v>541</v>
      </c>
      <c r="AD343" s="10" t="s">
        <v>541</v>
      </c>
    </row>
    <row r="344" spans="1:30" x14ac:dyDescent="0.2">
      <c r="A344" s="110">
        <v>343</v>
      </c>
      <c r="B344" s="132">
        <v>41820</v>
      </c>
      <c r="C344" s="117">
        <v>1</v>
      </c>
      <c r="D344" s="103" t="s">
        <v>2</v>
      </c>
      <c r="E344" s="103" t="s">
        <v>306</v>
      </c>
      <c r="F344" s="103">
        <v>755</v>
      </c>
      <c r="G344" s="103">
        <v>38</v>
      </c>
      <c r="H344" s="137" t="s">
        <v>1185</v>
      </c>
      <c r="I344" s="103">
        <v>91</v>
      </c>
      <c r="K344" s="103" t="s">
        <v>364</v>
      </c>
      <c r="L344" s="133"/>
      <c r="M344" s="134">
        <v>8.1250000000000003E-2</v>
      </c>
      <c r="N344" s="137" t="s">
        <v>1670</v>
      </c>
      <c r="O344" s="133" t="s">
        <v>1663</v>
      </c>
      <c r="Q344" s="100" t="s">
        <v>1621</v>
      </c>
      <c r="R344" s="226" t="s">
        <v>1697</v>
      </c>
      <c r="S344" s="491" t="str">
        <f t="shared" si="11"/>
        <v>x</v>
      </c>
      <c r="T344" s="492">
        <f>IFERROR(VLOOKUP(F344,'Freq-Chan'!C:D,2,FALSE),"x")</f>
        <v>151.755</v>
      </c>
      <c r="U344" s="110" t="s">
        <v>541</v>
      </c>
      <c r="V344" s="110" t="str">
        <f t="shared" si="12"/>
        <v>FWL</v>
      </c>
      <c r="W344" s="110" t="s">
        <v>541</v>
      </c>
      <c r="X344" s="110" t="s">
        <v>541</v>
      </c>
      <c r="Y344" s="110" t="str">
        <f>IFERROR(VLOOKUP(F344,'Freq-Chan'!C:E,3,FALSE),"na")</f>
        <v>F1845</v>
      </c>
      <c r="Z344" s="110" t="s">
        <v>541</v>
      </c>
      <c r="AA344" s="110" t="s">
        <v>541</v>
      </c>
      <c r="AB344" s="110" t="s">
        <v>541</v>
      </c>
      <c r="AC344" s="10" t="s">
        <v>541</v>
      </c>
      <c r="AD344" s="10" t="s">
        <v>541</v>
      </c>
    </row>
    <row r="345" spans="1:30" x14ac:dyDescent="0.2">
      <c r="A345" s="110">
        <v>344</v>
      </c>
      <c r="B345" s="132">
        <v>41820</v>
      </c>
      <c r="C345" s="117">
        <v>1</v>
      </c>
      <c r="D345" s="103" t="s">
        <v>2</v>
      </c>
      <c r="E345" s="103" t="s">
        <v>306</v>
      </c>
      <c r="F345" s="103">
        <v>784</v>
      </c>
      <c r="G345" s="103">
        <v>26</v>
      </c>
      <c r="H345" s="137" t="s">
        <v>1186</v>
      </c>
      <c r="I345" s="103">
        <v>60</v>
      </c>
      <c r="K345" s="103" t="s">
        <v>364</v>
      </c>
      <c r="L345" s="133"/>
      <c r="M345" s="134">
        <v>7.5694444444444439E-2</v>
      </c>
      <c r="N345" s="137" t="s">
        <v>375</v>
      </c>
      <c r="O345" s="133" t="s">
        <v>802</v>
      </c>
      <c r="Q345" s="100" t="s">
        <v>1621</v>
      </c>
      <c r="R345" s="226" t="s">
        <v>1697</v>
      </c>
      <c r="S345" s="491" t="str">
        <f t="shared" si="11"/>
        <v>x</v>
      </c>
      <c r="T345" s="492">
        <f>IFERROR(VLOOKUP(F345,'Freq-Chan'!C:D,2,FALSE),"x")</f>
        <v>151.78399999999999</v>
      </c>
      <c r="U345" s="110" t="s">
        <v>541</v>
      </c>
      <c r="V345" s="110" t="str">
        <f t="shared" si="12"/>
        <v>FWL</v>
      </c>
      <c r="W345" s="110" t="s">
        <v>541</v>
      </c>
      <c r="X345" s="110" t="s">
        <v>541</v>
      </c>
      <c r="Y345" s="110" t="str">
        <f>IFERROR(VLOOKUP(F345,'Freq-Chan'!C:E,3,FALSE),"na")</f>
        <v>F1845</v>
      </c>
      <c r="Z345" s="110" t="s">
        <v>541</v>
      </c>
      <c r="AA345" s="110" t="s">
        <v>541</v>
      </c>
      <c r="AB345" s="110" t="s">
        <v>541</v>
      </c>
      <c r="AC345" s="10" t="s">
        <v>541</v>
      </c>
      <c r="AD345" s="10" t="s">
        <v>541</v>
      </c>
    </row>
    <row r="346" spans="1:30" x14ac:dyDescent="0.2">
      <c r="A346" s="110">
        <v>345</v>
      </c>
      <c r="B346" s="132">
        <v>41820</v>
      </c>
      <c r="C346" s="117">
        <v>1</v>
      </c>
      <c r="D346" s="103" t="s">
        <v>2</v>
      </c>
      <c r="E346" s="103" t="s">
        <v>306</v>
      </c>
      <c r="F346" s="103">
        <v>784</v>
      </c>
      <c r="G346" s="103">
        <v>52</v>
      </c>
      <c r="H346" s="137" t="s">
        <v>1187</v>
      </c>
      <c r="I346" s="103">
        <v>56</v>
      </c>
      <c r="K346" s="103" t="s">
        <v>364</v>
      </c>
      <c r="L346" s="133"/>
      <c r="M346" s="134">
        <v>8.7500000000000008E-2</v>
      </c>
      <c r="N346" s="137" t="s">
        <v>1671</v>
      </c>
      <c r="O346" s="133" t="s">
        <v>909</v>
      </c>
      <c r="P346" s="100" t="s">
        <v>1672</v>
      </c>
      <c r="Q346" s="100" t="s">
        <v>1599</v>
      </c>
      <c r="R346" s="226" t="s">
        <v>1697</v>
      </c>
      <c r="S346" s="491" t="str">
        <f t="shared" si="11"/>
        <v>x</v>
      </c>
      <c r="T346" s="492">
        <f>IFERROR(VLOOKUP(F346,'Freq-Chan'!C:D,2,FALSE),"x")</f>
        <v>151.78399999999999</v>
      </c>
      <c r="U346" s="110" t="s">
        <v>541</v>
      </c>
      <c r="V346" s="110" t="str">
        <f t="shared" si="12"/>
        <v>FWL</v>
      </c>
      <c r="W346" s="110" t="s">
        <v>541</v>
      </c>
      <c r="X346" s="110" t="s">
        <v>541</v>
      </c>
      <c r="Y346" s="110" t="str">
        <f>IFERROR(VLOOKUP(F346,'Freq-Chan'!C:E,3,FALSE),"na")</f>
        <v>F1845</v>
      </c>
      <c r="Z346" s="110" t="s">
        <v>541</v>
      </c>
      <c r="AA346" s="110" t="s">
        <v>541</v>
      </c>
      <c r="AB346" s="110" t="s">
        <v>541</v>
      </c>
      <c r="AC346" s="10" t="s">
        <v>541</v>
      </c>
      <c r="AD346" s="10" t="s">
        <v>541</v>
      </c>
    </row>
    <row r="347" spans="1:30" x14ac:dyDescent="0.2">
      <c r="A347" s="110">
        <v>346</v>
      </c>
      <c r="B347" s="132">
        <v>41820</v>
      </c>
      <c r="C347" s="117">
        <v>1</v>
      </c>
      <c r="D347" s="103" t="s">
        <v>2</v>
      </c>
      <c r="E347" s="103" t="s">
        <v>306</v>
      </c>
      <c r="F347" s="103">
        <v>755</v>
      </c>
      <c r="G347" s="103">
        <v>71</v>
      </c>
      <c r="H347" s="137" t="s">
        <v>1188</v>
      </c>
      <c r="I347" s="103">
        <v>56</v>
      </c>
      <c r="K347" s="103" t="s">
        <v>364</v>
      </c>
      <c r="L347" s="133"/>
      <c r="M347" s="134">
        <v>6.805555555555555E-2</v>
      </c>
      <c r="N347" s="137" t="s">
        <v>1673</v>
      </c>
      <c r="O347" s="133" t="s">
        <v>909</v>
      </c>
      <c r="Q347" s="100" t="s">
        <v>1599</v>
      </c>
      <c r="R347" s="226" t="s">
        <v>1697</v>
      </c>
      <c r="S347" s="491" t="str">
        <f t="shared" si="11"/>
        <v>x</v>
      </c>
      <c r="T347" s="492">
        <f>IFERROR(VLOOKUP(F347,'Freq-Chan'!C:D,2,FALSE),"x")</f>
        <v>151.755</v>
      </c>
      <c r="U347" s="110" t="s">
        <v>541</v>
      </c>
      <c r="V347" s="110" t="str">
        <f t="shared" si="12"/>
        <v>FWL</v>
      </c>
      <c r="W347" s="110" t="s">
        <v>541</v>
      </c>
      <c r="X347" s="110" t="s">
        <v>541</v>
      </c>
      <c r="Y347" s="110" t="str">
        <f>IFERROR(VLOOKUP(F347,'Freq-Chan'!C:E,3,FALSE),"na")</f>
        <v>F1845</v>
      </c>
      <c r="Z347" s="110" t="s">
        <v>541</v>
      </c>
      <c r="AA347" s="110" t="s">
        <v>541</v>
      </c>
      <c r="AB347" s="110" t="s">
        <v>541</v>
      </c>
      <c r="AC347" s="10" t="s">
        <v>541</v>
      </c>
      <c r="AD347" s="10" t="s">
        <v>541</v>
      </c>
    </row>
    <row r="348" spans="1:30" x14ac:dyDescent="0.2">
      <c r="A348" s="110">
        <v>347</v>
      </c>
      <c r="B348" s="132">
        <v>41820</v>
      </c>
      <c r="C348" s="117">
        <v>1</v>
      </c>
      <c r="D348" s="103" t="s">
        <v>2</v>
      </c>
      <c r="E348" s="103" t="s">
        <v>306</v>
      </c>
      <c r="F348" s="103">
        <v>784</v>
      </c>
      <c r="G348" s="103">
        <v>57</v>
      </c>
      <c r="H348" s="137" t="s">
        <v>1189</v>
      </c>
      <c r="I348" s="103">
        <v>63</v>
      </c>
      <c r="K348" s="103" t="s">
        <v>364</v>
      </c>
      <c r="L348" s="133">
        <v>0.875</v>
      </c>
      <c r="M348" s="134">
        <v>6.3194444444444442E-2</v>
      </c>
      <c r="N348" s="137" t="s">
        <v>1674</v>
      </c>
      <c r="O348" s="133" t="s">
        <v>909</v>
      </c>
      <c r="Q348" s="100" t="s">
        <v>1599</v>
      </c>
      <c r="R348" s="226" t="s">
        <v>1697</v>
      </c>
      <c r="S348" s="491">
        <f t="shared" si="11"/>
        <v>3.1134258999999998E-3</v>
      </c>
      <c r="T348" s="492">
        <f>IFERROR(VLOOKUP(F348,'Freq-Chan'!C:D,2,FALSE),"x")</f>
        <v>151.78399999999999</v>
      </c>
      <c r="U348" s="110" t="s">
        <v>541</v>
      </c>
      <c r="V348" s="110" t="str">
        <f t="shared" si="12"/>
        <v>FWL</v>
      </c>
      <c r="W348" s="110" t="s">
        <v>541</v>
      </c>
      <c r="X348" s="110" t="s">
        <v>541</v>
      </c>
      <c r="Y348" s="110" t="str">
        <f>IFERROR(VLOOKUP(F348,'Freq-Chan'!C:E,3,FALSE),"na")</f>
        <v>F1845</v>
      </c>
      <c r="Z348" s="110" t="s">
        <v>541</v>
      </c>
      <c r="AA348" s="110" t="s">
        <v>541</v>
      </c>
      <c r="AB348" s="110" t="s">
        <v>541</v>
      </c>
      <c r="AC348" s="10" t="s">
        <v>541</v>
      </c>
      <c r="AD348" s="10" t="s">
        <v>541</v>
      </c>
    </row>
    <row r="349" spans="1:30" x14ac:dyDescent="0.2">
      <c r="A349" s="110">
        <v>348</v>
      </c>
      <c r="B349" s="132">
        <v>41820</v>
      </c>
      <c r="C349" s="117">
        <v>1</v>
      </c>
      <c r="D349" s="103" t="s">
        <v>2</v>
      </c>
      <c r="E349" s="103" t="s">
        <v>306</v>
      </c>
      <c r="H349" s="103"/>
      <c r="I349" s="103">
        <v>73</v>
      </c>
      <c r="K349" s="103" t="s">
        <v>364</v>
      </c>
      <c r="L349" s="133">
        <v>0.89097222222222217</v>
      </c>
      <c r="M349" s="134">
        <v>6.9444444444444434E-2</v>
      </c>
      <c r="N349" s="137" t="s">
        <v>1675</v>
      </c>
      <c r="O349" s="133" t="s">
        <v>806</v>
      </c>
      <c r="P349" s="100" t="s">
        <v>1676</v>
      </c>
      <c r="Q349" s="100" t="s">
        <v>1599</v>
      </c>
      <c r="R349" s="226" t="s">
        <v>1697</v>
      </c>
      <c r="S349" s="491">
        <f t="shared" si="11"/>
        <v>2.3148147999999999E-3</v>
      </c>
      <c r="T349" s="492" t="str">
        <f>IFERROR(VLOOKUP(F349,'Freq-Chan'!C:D,2,FALSE),"x")</f>
        <v>x</v>
      </c>
      <c r="U349" s="110" t="s">
        <v>541</v>
      </c>
      <c r="V349" s="110" t="str">
        <f t="shared" si="12"/>
        <v>FWL</v>
      </c>
      <c r="W349" s="110" t="s">
        <v>541</v>
      </c>
      <c r="X349" s="110" t="s">
        <v>541</v>
      </c>
      <c r="Y349" s="110" t="str">
        <f>IFERROR(VLOOKUP(F349,'Freq-Chan'!C:E,3,FALSE),"na")</f>
        <v>na</v>
      </c>
      <c r="Z349" s="110" t="s">
        <v>541</v>
      </c>
      <c r="AA349" s="110" t="s">
        <v>541</v>
      </c>
      <c r="AB349" s="110" t="s">
        <v>541</v>
      </c>
      <c r="AC349" s="10" t="s">
        <v>541</v>
      </c>
      <c r="AD349" s="10" t="s">
        <v>541</v>
      </c>
    </row>
    <row r="350" spans="1:30" x14ac:dyDescent="0.2">
      <c r="A350" s="110">
        <v>349</v>
      </c>
      <c r="B350" s="132">
        <v>41820</v>
      </c>
      <c r="C350" s="117">
        <v>1</v>
      </c>
      <c r="D350" s="103" t="s">
        <v>2</v>
      </c>
      <c r="E350" s="103" t="s">
        <v>306</v>
      </c>
      <c r="F350" s="103">
        <v>755</v>
      </c>
      <c r="G350" s="103">
        <v>11</v>
      </c>
      <c r="H350" s="137" t="s">
        <v>1190</v>
      </c>
      <c r="I350" s="103">
        <v>69</v>
      </c>
      <c r="K350" s="103" t="s">
        <v>364</v>
      </c>
      <c r="L350" s="133">
        <v>0.90208333333333324</v>
      </c>
      <c r="M350" s="134">
        <v>5.9027777777777783E-2</v>
      </c>
      <c r="N350" s="137" t="s">
        <v>1677</v>
      </c>
      <c r="O350" s="133" t="s">
        <v>806</v>
      </c>
      <c r="P350" s="100" t="s">
        <v>1678</v>
      </c>
      <c r="Q350" s="100" t="s">
        <v>1599</v>
      </c>
      <c r="R350" s="226" t="s">
        <v>1697</v>
      </c>
      <c r="S350" s="491">
        <f t="shared" si="11"/>
        <v>7.3495369999999997E-3</v>
      </c>
      <c r="T350" s="492">
        <f>IFERROR(VLOOKUP(F350,'Freq-Chan'!C:D,2,FALSE),"x")</f>
        <v>151.755</v>
      </c>
      <c r="U350" s="110" t="s">
        <v>541</v>
      </c>
      <c r="V350" s="110" t="str">
        <f t="shared" si="12"/>
        <v>FWL</v>
      </c>
      <c r="W350" s="110" t="s">
        <v>541</v>
      </c>
      <c r="X350" s="110" t="s">
        <v>541</v>
      </c>
      <c r="Y350" s="110" t="str">
        <f>IFERROR(VLOOKUP(F350,'Freq-Chan'!C:E,3,FALSE),"na")</f>
        <v>F1845</v>
      </c>
      <c r="Z350" s="110" t="s">
        <v>541</v>
      </c>
      <c r="AA350" s="110" t="s">
        <v>541</v>
      </c>
      <c r="AB350" s="110" t="s">
        <v>541</v>
      </c>
      <c r="AC350" s="10" t="s">
        <v>541</v>
      </c>
      <c r="AD350" s="10" t="s">
        <v>541</v>
      </c>
    </row>
    <row r="351" spans="1:30" s="291" customFormat="1" x14ac:dyDescent="0.2">
      <c r="A351" s="493">
        <v>350</v>
      </c>
      <c r="B351" s="283">
        <v>41820</v>
      </c>
      <c r="C351" s="284">
        <v>1</v>
      </c>
      <c r="D351" s="285" t="s">
        <v>2</v>
      </c>
      <c r="E351" s="285" t="s">
        <v>306</v>
      </c>
      <c r="F351" s="285">
        <v>725</v>
      </c>
      <c r="G351" s="285">
        <v>13</v>
      </c>
      <c r="H351" s="339" t="s">
        <v>1085</v>
      </c>
      <c r="I351" s="285">
        <v>57</v>
      </c>
      <c r="J351" s="285"/>
      <c r="K351" s="285" t="s">
        <v>364</v>
      </c>
      <c r="L351" s="286"/>
      <c r="M351" s="287">
        <v>6.1111111111111116E-2</v>
      </c>
      <c r="N351" s="339" t="s">
        <v>1679</v>
      </c>
      <c r="O351" s="286" t="s">
        <v>806</v>
      </c>
      <c r="P351" s="289"/>
      <c r="Q351" s="289" t="s">
        <v>1599</v>
      </c>
      <c r="R351" s="290" t="s">
        <v>1697</v>
      </c>
      <c r="S351" s="494" t="str">
        <f t="shared" si="11"/>
        <v>x</v>
      </c>
      <c r="T351" s="495">
        <f>IFERROR(VLOOKUP(F351,'Freq-Chan'!C:D,2,FALSE),"x")</f>
        <v>151.72499999999999</v>
      </c>
      <c r="U351" s="493" t="s">
        <v>541</v>
      </c>
      <c r="V351" s="493" t="str">
        <f t="shared" si="12"/>
        <v>FWL</v>
      </c>
      <c r="W351" s="493" t="s">
        <v>541</v>
      </c>
      <c r="X351" s="493" t="s">
        <v>541</v>
      </c>
      <c r="Y351" s="493" t="str">
        <f>IFERROR(VLOOKUP(F351,'Freq-Chan'!C:E,3,FALSE),"na")</f>
        <v>F1845</v>
      </c>
      <c r="Z351" s="493" t="s">
        <v>541</v>
      </c>
      <c r="AA351" s="493" t="s">
        <v>541</v>
      </c>
      <c r="AB351" s="493" t="s">
        <v>541</v>
      </c>
      <c r="AC351" s="291" t="s">
        <v>541</v>
      </c>
      <c r="AD351" s="291" t="s">
        <v>541</v>
      </c>
    </row>
    <row r="352" spans="1:30" x14ac:dyDescent="0.2">
      <c r="A352" s="110">
        <v>351</v>
      </c>
      <c r="B352" s="132">
        <v>41820</v>
      </c>
      <c r="C352" s="117">
        <v>3</v>
      </c>
      <c r="D352" s="103" t="s">
        <v>2</v>
      </c>
      <c r="E352" s="103" t="s">
        <v>306</v>
      </c>
      <c r="F352" s="103">
        <v>755</v>
      </c>
      <c r="G352" s="103">
        <v>85</v>
      </c>
      <c r="H352" s="137" t="s">
        <v>1111</v>
      </c>
      <c r="I352" s="103">
        <v>63</v>
      </c>
      <c r="K352" s="103" t="s">
        <v>364</v>
      </c>
      <c r="L352" s="133"/>
      <c r="M352" s="134">
        <v>4.5833333333333337E-2</v>
      </c>
      <c r="N352" s="137" t="s">
        <v>1680</v>
      </c>
      <c r="O352" s="133" t="s">
        <v>372</v>
      </c>
      <c r="P352" s="100" t="s">
        <v>1628</v>
      </c>
      <c r="Q352" s="100" t="s">
        <v>1682</v>
      </c>
      <c r="R352" s="226" t="s">
        <v>1697</v>
      </c>
      <c r="S352" s="491" t="str">
        <f t="shared" si="11"/>
        <v>x</v>
      </c>
      <c r="T352" s="492">
        <f>IFERROR(VLOOKUP(F352,'Freq-Chan'!C:D,2,FALSE),"x")</f>
        <v>151.755</v>
      </c>
      <c r="U352" s="110" t="s">
        <v>541</v>
      </c>
      <c r="V352" s="110" t="str">
        <f t="shared" si="12"/>
        <v>FWL</v>
      </c>
      <c r="W352" s="110" t="s">
        <v>541</v>
      </c>
      <c r="X352" s="110" t="s">
        <v>541</v>
      </c>
      <c r="Y352" s="110" t="str">
        <f>IFERROR(VLOOKUP(F352,'Freq-Chan'!C:E,3,FALSE),"na")</f>
        <v>F1845</v>
      </c>
      <c r="Z352" s="110" t="s">
        <v>541</v>
      </c>
      <c r="AA352" s="110" t="s">
        <v>541</v>
      </c>
      <c r="AB352" s="110" t="s">
        <v>541</v>
      </c>
      <c r="AC352" s="10" t="s">
        <v>541</v>
      </c>
      <c r="AD352" s="10" t="s">
        <v>541</v>
      </c>
    </row>
    <row r="353" spans="1:30" x14ac:dyDescent="0.2">
      <c r="A353" s="110">
        <v>352</v>
      </c>
      <c r="B353" s="132">
        <v>41820</v>
      </c>
      <c r="C353" s="117">
        <v>3</v>
      </c>
      <c r="D353" s="103" t="s">
        <v>2</v>
      </c>
      <c r="E353" s="103" t="s">
        <v>306</v>
      </c>
      <c r="F353" s="103">
        <v>755</v>
      </c>
      <c r="G353" s="103">
        <v>88</v>
      </c>
      <c r="H353" s="137" t="s">
        <v>1112</v>
      </c>
      <c r="I353" s="103">
        <v>60</v>
      </c>
      <c r="K353" s="103" t="s">
        <v>364</v>
      </c>
      <c r="L353" s="133"/>
      <c r="M353" s="134">
        <v>4.8611111111111112E-2</v>
      </c>
      <c r="N353" s="137" t="s">
        <v>1681</v>
      </c>
      <c r="O353" s="133" t="s">
        <v>372</v>
      </c>
      <c r="P353" s="100" t="s">
        <v>1628</v>
      </c>
      <c r="Q353" s="100" t="s">
        <v>1682</v>
      </c>
      <c r="R353" s="226" t="s">
        <v>1697</v>
      </c>
      <c r="S353" s="491" t="str">
        <f t="shared" si="11"/>
        <v>x</v>
      </c>
      <c r="T353" s="492">
        <f>IFERROR(VLOOKUP(F353,'Freq-Chan'!C:D,2,FALSE),"x")</f>
        <v>151.755</v>
      </c>
      <c r="U353" s="110" t="s">
        <v>541</v>
      </c>
      <c r="V353" s="110" t="str">
        <f t="shared" si="12"/>
        <v>FWL</v>
      </c>
      <c r="W353" s="110" t="s">
        <v>541</v>
      </c>
      <c r="X353" s="110" t="s">
        <v>541</v>
      </c>
      <c r="Y353" s="110" t="str">
        <f>IFERROR(VLOOKUP(F353,'Freq-Chan'!C:E,3,FALSE),"na")</f>
        <v>F1845</v>
      </c>
      <c r="Z353" s="110" t="s">
        <v>541</v>
      </c>
      <c r="AA353" s="110" t="s">
        <v>541</v>
      </c>
      <c r="AB353" s="110" t="s">
        <v>541</v>
      </c>
      <c r="AC353" s="10" t="s">
        <v>541</v>
      </c>
      <c r="AD353" s="10" t="s">
        <v>541</v>
      </c>
    </row>
    <row r="354" spans="1:30" x14ac:dyDescent="0.2">
      <c r="A354" s="110">
        <v>353</v>
      </c>
      <c r="B354" s="132">
        <v>41820</v>
      </c>
      <c r="C354" s="117">
        <v>3</v>
      </c>
      <c r="D354" s="103" t="s">
        <v>2</v>
      </c>
      <c r="E354" s="103" t="s">
        <v>306</v>
      </c>
      <c r="F354" s="103">
        <v>755</v>
      </c>
      <c r="G354" s="103">
        <v>97</v>
      </c>
      <c r="H354" s="137" t="s">
        <v>1113</v>
      </c>
      <c r="I354" s="103">
        <v>51</v>
      </c>
      <c r="K354" s="103" t="s">
        <v>364</v>
      </c>
      <c r="L354" s="136"/>
      <c r="M354" s="134">
        <v>4.7916666666666663E-2</v>
      </c>
      <c r="N354" s="137" t="s">
        <v>1683</v>
      </c>
      <c r="O354" s="133" t="s">
        <v>372</v>
      </c>
      <c r="P354" s="100" t="s">
        <v>1684</v>
      </c>
      <c r="Q354" s="100" t="s">
        <v>1682</v>
      </c>
      <c r="R354" s="226" t="s">
        <v>1697</v>
      </c>
      <c r="S354" s="491" t="str">
        <f t="shared" si="11"/>
        <v>x</v>
      </c>
      <c r="T354" s="492">
        <f>IFERROR(VLOOKUP(F354,'Freq-Chan'!C:D,2,FALSE),"x")</f>
        <v>151.755</v>
      </c>
      <c r="U354" s="110" t="s">
        <v>541</v>
      </c>
      <c r="V354" s="110" t="str">
        <f t="shared" si="12"/>
        <v>FWL</v>
      </c>
      <c r="W354" s="110" t="s">
        <v>541</v>
      </c>
      <c r="X354" s="110" t="s">
        <v>541</v>
      </c>
      <c r="Y354" s="110" t="str">
        <f>IFERROR(VLOOKUP(F354,'Freq-Chan'!C:E,3,FALSE),"na")</f>
        <v>F1845</v>
      </c>
      <c r="Z354" s="110" t="s">
        <v>541</v>
      </c>
      <c r="AA354" s="110" t="s">
        <v>541</v>
      </c>
      <c r="AB354" s="110" t="s">
        <v>541</v>
      </c>
      <c r="AC354" s="10" t="s">
        <v>541</v>
      </c>
      <c r="AD354" s="10" t="s">
        <v>541</v>
      </c>
    </row>
    <row r="355" spans="1:30" x14ac:dyDescent="0.2">
      <c r="A355" s="110">
        <v>354</v>
      </c>
      <c r="B355" s="132">
        <v>41820</v>
      </c>
      <c r="C355" s="117">
        <v>3</v>
      </c>
      <c r="D355" s="103" t="s">
        <v>177</v>
      </c>
      <c r="E355" s="103" t="s">
        <v>0</v>
      </c>
      <c r="F355" s="103">
        <v>917</v>
      </c>
      <c r="G355" s="103">
        <v>10</v>
      </c>
      <c r="H355" s="137" t="s">
        <v>1114</v>
      </c>
      <c r="I355" s="103">
        <v>40</v>
      </c>
      <c r="K355" s="103" t="s">
        <v>364</v>
      </c>
      <c r="L355" s="133"/>
      <c r="M355" s="134">
        <v>9.0277777777777776E-2</v>
      </c>
      <c r="N355" s="137" t="s">
        <v>1685</v>
      </c>
      <c r="O355" s="133" t="s">
        <v>372</v>
      </c>
      <c r="P355" s="100" t="s">
        <v>1703</v>
      </c>
      <c r="Q355" s="100" t="s">
        <v>1682</v>
      </c>
      <c r="R355" s="226" t="s">
        <v>1697</v>
      </c>
      <c r="S355" s="491" t="str">
        <f t="shared" si="11"/>
        <v>x</v>
      </c>
      <c r="T355" s="492">
        <f>IFERROR(VLOOKUP(F355,'Freq-Chan'!C:D,2,FALSE),"x")</f>
        <v>151.917</v>
      </c>
      <c r="U355" s="110" t="s">
        <v>541</v>
      </c>
      <c r="V355" s="110" t="str">
        <f t="shared" si="12"/>
        <v>FWL</v>
      </c>
      <c r="W355" s="110" t="s">
        <v>541</v>
      </c>
      <c r="X355" s="110" t="s">
        <v>541</v>
      </c>
      <c r="Y355" s="110" t="str">
        <f>IFERROR(VLOOKUP(F355,'Freq-Chan'!C:E,3,FALSE),"na")</f>
        <v>F1835</v>
      </c>
      <c r="Z355" s="110" t="s">
        <v>541</v>
      </c>
      <c r="AA355" s="110" t="s">
        <v>541</v>
      </c>
      <c r="AB355" s="110" t="s">
        <v>541</v>
      </c>
      <c r="AC355" s="10" t="s">
        <v>541</v>
      </c>
      <c r="AD355" s="10" t="s">
        <v>541</v>
      </c>
    </row>
    <row r="356" spans="1:30" x14ac:dyDescent="0.2">
      <c r="A356" s="110">
        <v>355</v>
      </c>
      <c r="B356" s="132">
        <v>41820</v>
      </c>
      <c r="C356" s="117">
        <v>3</v>
      </c>
      <c r="D356" s="103" t="s">
        <v>2</v>
      </c>
      <c r="E356" s="103" t="s">
        <v>306</v>
      </c>
      <c r="F356" s="103">
        <v>784</v>
      </c>
      <c r="G356" s="103">
        <v>20</v>
      </c>
      <c r="H356" s="137" t="s">
        <v>1115</v>
      </c>
      <c r="I356" s="103">
        <v>60</v>
      </c>
      <c r="K356" s="103" t="s">
        <v>364</v>
      </c>
      <c r="L356" s="136">
        <v>0.7319444444444444</v>
      </c>
      <c r="M356" s="134">
        <v>7.4305555555555555E-2</v>
      </c>
      <c r="N356" s="137" t="s">
        <v>1686</v>
      </c>
      <c r="O356" s="133" t="s">
        <v>1532</v>
      </c>
      <c r="Q356" s="100" t="s">
        <v>1688</v>
      </c>
      <c r="R356" s="226" t="s">
        <v>1697</v>
      </c>
      <c r="S356" s="491">
        <f t="shared" si="11"/>
        <v>5.7060184999999999E-3</v>
      </c>
      <c r="T356" s="492">
        <f>IFERROR(VLOOKUP(F356,'Freq-Chan'!C:D,2,FALSE),"x")</f>
        <v>151.78399999999999</v>
      </c>
      <c r="U356" s="110" t="s">
        <v>541</v>
      </c>
      <c r="V356" s="110" t="str">
        <f t="shared" si="12"/>
        <v>FWL</v>
      </c>
      <c r="W356" s="110" t="s">
        <v>541</v>
      </c>
      <c r="X356" s="110" t="s">
        <v>541</v>
      </c>
      <c r="Y356" s="110" t="str">
        <f>IFERROR(VLOOKUP(F356,'Freq-Chan'!C:E,3,FALSE),"na")</f>
        <v>F1845</v>
      </c>
      <c r="Z356" s="110" t="s">
        <v>541</v>
      </c>
      <c r="AA356" s="110" t="s">
        <v>541</v>
      </c>
      <c r="AB356" s="110" t="s">
        <v>541</v>
      </c>
      <c r="AC356" s="10" t="s">
        <v>541</v>
      </c>
      <c r="AD356" s="10" t="s">
        <v>541</v>
      </c>
    </row>
    <row r="357" spans="1:30" x14ac:dyDescent="0.2">
      <c r="A357" s="110">
        <v>356</v>
      </c>
      <c r="B357" s="132">
        <v>41820</v>
      </c>
      <c r="C357" s="117">
        <v>3</v>
      </c>
      <c r="D357" s="103" t="s">
        <v>177</v>
      </c>
      <c r="E357" s="103" t="s">
        <v>0</v>
      </c>
      <c r="H357" s="103"/>
      <c r="I357" s="103">
        <v>35</v>
      </c>
      <c r="K357" s="103" t="s">
        <v>364</v>
      </c>
      <c r="L357" s="133"/>
      <c r="M357" s="134">
        <v>2.4305555555555556E-2</v>
      </c>
      <c r="N357" s="137" t="s">
        <v>1687</v>
      </c>
      <c r="O357" s="133" t="s">
        <v>376</v>
      </c>
      <c r="P357" s="100" t="s">
        <v>776</v>
      </c>
      <c r="Q357" s="100" t="s">
        <v>1688</v>
      </c>
      <c r="R357" s="226" t="s">
        <v>1697</v>
      </c>
      <c r="S357" s="491" t="str">
        <f t="shared" si="11"/>
        <v>x</v>
      </c>
      <c r="T357" s="492" t="str">
        <f>IFERROR(VLOOKUP(F357,'Freq-Chan'!C:D,2,FALSE),"x")</f>
        <v>x</v>
      </c>
      <c r="U357" s="110" t="s">
        <v>541</v>
      </c>
      <c r="V357" s="110" t="str">
        <f t="shared" si="12"/>
        <v>FWL</v>
      </c>
      <c r="W357" s="110" t="s">
        <v>541</v>
      </c>
      <c r="X357" s="110" t="s">
        <v>541</v>
      </c>
      <c r="Y357" s="110" t="str">
        <f>IFERROR(VLOOKUP(F357,'Freq-Chan'!C:E,3,FALSE),"na")</f>
        <v>na</v>
      </c>
      <c r="Z357" s="110" t="s">
        <v>541</v>
      </c>
      <c r="AA357" s="110" t="s">
        <v>541</v>
      </c>
      <c r="AB357" s="110" t="s">
        <v>541</v>
      </c>
      <c r="AC357" s="10" t="s">
        <v>541</v>
      </c>
      <c r="AD357" s="10" t="s">
        <v>541</v>
      </c>
    </row>
    <row r="358" spans="1:30" x14ac:dyDescent="0.2">
      <c r="A358" s="110">
        <v>357</v>
      </c>
      <c r="B358" s="132">
        <v>41820</v>
      </c>
      <c r="C358" s="117">
        <v>3</v>
      </c>
      <c r="D358" s="103" t="s">
        <v>177</v>
      </c>
      <c r="E358" s="103" t="s">
        <v>0</v>
      </c>
      <c r="H358" s="103"/>
      <c r="I358" s="103">
        <v>36</v>
      </c>
      <c r="K358" s="103" t="s">
        <v>364</v>
      </c>
      <c r="L358" s="133"/>
      <c r="M358" s="134">
        <v>2.013888888888889E-2</v>
      </c>
      <c r="N358" s="137" t="s">
        <v>1689</v>
      </c>
      <c r="O358" s="133" t="s">
        <v>376</v>
      </c>
      <c r="P358" s="100" t="s">
        <v>776</v>
      </c>
      <c r="Q358" s="100" t="s">
        <v>1688</v>
      </c>
      <c r="R358" s="226" t="s">
        <v>1697</v>
      </c>
      <c r="S358" s="491" t="str">
        <f t="shared" si="11"/>
        <v>x</v>
      </c>
      <c r="T358" s="492" t="str">
        <f>IFERROR(VLOOKUP(F358,'Freq-Chan'!C:D,2,FALSE),"x")</f>
        <v>x</v>
      </c>
      <c r="U358" s="110" t="s">
        <v>541</v>
      </c>
      <c r="V358" s="110" t="str">
        <f t="shared" si="12"/>
        <v>FWL</v>
      </c>
      <c r="W358" s="110" t="s">
        <v>541</v>
      </c>
      <c r="X358" s="110" t="s">
        <v>541</v>
      </c>
      <c r="Y358" s="110" t="str">
        <f>IFERROR(VLOOKUP(F358,'Freq-Chan'!C:E,3,FALSE),"na")</f>
        <v>na</v>
      </c>
      <c r="Z358" s="110" t="s">
        <v>541</v>
      </c>
      <c r="AA358" s="110" t="s">
        <v>541</v>
      </c>
      <c r="AB358" s="110" t="s">
        <v>541</v>
      </c>
      <c r="AC358" s="10" t="s">
        <v>541</v>
      </c>
      <c r="AD358" s="10" t="s">
        <v>541</v>
      </c>
    </row>
    <row r="359" spans="1:30" x14ac:dyDescent="0.2">
      <c r="A359" s="110">
        <v>358</v>
      </c>
      <c r="B359" s="132">
        <v>41820</v>
      </c>
      <c r="C359" s="117">
        <v>3</v>
      </c>
      <c r="D359" s="103" t="s">
        <v>2</v>
      </c>
      <c r="E359" s="103" t="s">
        <v>306</v>
      </c>
      <c r="F359" s="103">
        <v>725</v>
      </c>
      <c r="G359" s="103">
        <v>85</v>
      </c>
      <c r="H359" s="137" t="s">
        <v>1116</v>
      </c>
      <c r="I359" s="103">
        <v>87</v>
      </c>
      <c r="K359" s="103" t="s">
        <v>364</v>
      </c>
      <c r="L359" s="133">
        <v>0.7583333333333333</v>
      </c>
      <c r="M359" s="134">
        <v>8.1944444444444445E-2</v>
      </c>
      <c r="N359" s="137" t="s">
        <v>719</v>
      </c>
      <c r="O359" s="133" t="s">
        <v>376</v>
      </c>
      <c r="Q359" s="100" t="s">
        <v>1688</v>
      </c>
      <c r="R359" s="226" t="s">
        <v>1697</v>
      </c>
      <c r="S359" s="491">
        <f t="shared" si="11"/>
        <v>3.4953704E-3</v>
      </c>
      <c r="T359" s="492">
        <f>IFERROR(VLOOKUP(F359,'Freq-Chan'!C:D,2,FALSE),"x")</f>
        <v>151.72499999999999</v>
      </c>
      <c r="U359" s="110" t="s">
        <v>541</v>
      </c>
      <c r="V359" s="110" t="str">
        <f t="shared" si="12"/>
        <v>FWL</v>
      </c>
      <c r="W359" s="110" t="s">
        <v>541</v>
      </c>
      <c r="X359" s="110" t="s">
        <v>541</v>
      </c>
      <c r="Y359" s="110" t="str">
        <f>IFERROR(VLOOKUP(F359,'Freq-Chan'!C:E,3,FALSE),"na")</f>
        <v>F1845</v>
      </c>
      <c r="Z359" s="110" t="s">
        <v>541</v>
      </c>
      <c r="AA359" s="110" t="s">
        <v>541</v>
      </c>
      <c r="AB359" s="110" t="s">
        <v>541</v>
      </c>
      <c r="AC359" s="10" t="s">
        <v>541</v>
      </c>
      <c r="AD359" s="10" t="s">
        <v>541</v>
      </c>
    </row>
    <row r="360" spans="1:30" x14ac:dyDescent="0.2">
      <c r="A360" s="110">
        <v>359</v>
      </c>
      <c r="B360" s="132">
        <v>41820</v>
      </c>
      <c r="C360" s="117">
        <v>3</v>
      </c>
      <c r="D360" s="103" t="s">
        <v>2</v>
      </c>
      <c r="E360" s="103" t="s">
        <v>306</v>
      </c>
      <c r="F360" s="103">
        <v>755</v>
      </c>
      <c r="G360" s="103">
        <v>59</v>
      </c>
      <c r="H360" s="137" t="s">
        <v>1169</v>
      </c>
      <c r="I360" s="103">
        <v>59</v>
      </c>
      <c r="K360" s="103" t="s">
        <v>364</v>
      </c>
      <c r="L360" s="133">
        <v>0.7680555555555556</v>
      </c>
      <c r="M360" s="134">
        <v>4.3055555555555562E-2</v>
      </c>
      <c r="N360" s="137" t="s">
        <v>504</v>
      </c>
      <c r="O360" s="133" t="s">
        <v>376</v>
      </c>
      <c r="Q360" s="100" t="s">
        <v>1688</v>
      </c>
      <c r="R360" s="226" t="s">
        <v>1697</v>
      </c>
      <c r="S360" s="491">
        <f t="shared" si="11"/>
        <v>2.7546296E-3</v>
      </c>
      <c r="T360" s="492">
        <f>IFERROR(VLOOKUP(F360,'Freq-Chan'!C:D,2,FALSE),"x")</f>
        <v>151.755</v>
      </c>
      <c r="U360" s="110" t="s">
        <v>541</v>
      </c>
      <c r="V360" s="110" t="str">
        <f t="shared" si="12"/>
        <v>FWL</v>
      </c>
      <c r="W360" s="110" t="s">
        <v>541</v>
      </c>
      <c r="X360" s="110" t="s">
        <v>541</v>
      </c>
      <c r="Y360" s="110" t="str">
        <f>IFERROR(VLOOKUP(F360,'Freq-Chan'!C:E,3,FALSE),"na")</f>
        <v>F1845</v>
      </c>
      <c r="Z360" s="110" t="s">
        <v>541</v>
      </c>
      <c r="AA360" s="110" t="s">
        <v>541</v>
      </c>
      <c r="AB360" s="110" t="s">
        <v>541</v>
      </c>
      <c r="AC360" s="10" t="s">
        <v>541</v>
      </c>
      <c r="AD360" s="10" t="s">
        <v>541</v>
      </c>
    </row>
    <row r="361" spans="1:30" x14ac:dyDescent="0.2">
      <c r="A361" s="110">
        <v>360</v>
      </c>
      <c r="B361" s="132">
        <v>41820</v>
      </c>
      <c r="C361" s="117">
        <v>3</v>
      </c>
      <c r="D361" s="103" t="s">
        <v>2</v>
      </c>
      <c r="E361" s="103" t="s">
        <v>306</v>
      </c>
      <c r="F361" s="103">
        <v>784</v>
      </c>
      <c r="G361" s="103">
        <v>74</v>
      </c>
      <c r="H361" s="137" t="s">
        <v>1170</v>
      </c>
      <c r="I361" s="103">
        <v>87</v>
      </c>
      <c r="K361" s="103" t="s">
        <v>365</v>
      </c>
      <c r="L361" s="133"/>
      <c r="M361" s="134">
        <v>6.1111111111111116E-2</v>
      </c>
      <c r="N361" s="137" t="s">
        <v>1690</v>
      </c>
      <c r="O361" s="133" t="s">
        <v>950</v>
      </c>
      <c r="Q361" s="100" t="s">
        <v>1696</v>
      </c>
      <c r="R361" s="226" t="s">
        <v>1697</v>
      </c>
      <c r="S361" s="491" t="str">
        <f t="shared" si="11"/>
        <v>x</v>
      </c>
      <c r="T361" s="492">
        <f>IFERROR(VLOOKUP(F361,'Freq-Chan'!C:D,2,FALSE),"x")</f>
        <v>151.78399999999999</v>
      </c>
      <c r="U361" s="110" t="s">
        <v>541</v>
      </c>
      <c r="V361" s="110" t="str">
        <f t="shared" si="12"/>
        <v>FWL</v>
      </c>
      <c r="W361" s="110" t="s">
        <v>541</v>
      </c>
      <c r="X361" s="110" t="s">
        <v>541</v>
      </c>
      <c r="Y361" s="110" t="str">
        <f>IFERROR(VLOOKUP(F361,'Freq-Chan'!C:E,3,FALSE),"na")</f>
        <v>F1845</v>
      </c>
      <c r="Z361" s="110" t="s">
        <v>541</v>
      </c>
      <c r="AA361" s="110" t="s">
        <v>541</v>
      </c>
      <c r="AB361" s="110" t="s">
        <v>541</v>
      </c>
      <c r="AC361" s="10" t="s">
        <v>541</v>
      </c>
      <c r="AD361" s="10" t="s">
        <v>541</v>
      </c>
    </row>
    <row r="362" spans="1:30" x14ac:dyDescent="0.2">
      <c r="A362" s="110">
        <v>361</v>
      </c>
      <c r="B362" s="132">
        <v>41820</v>
      </c>
      <c r="C362" s="117">
        <v>3</v>
      </c>
      <c r="D362" s="103" t="s">
        <v>2</v>
      </c>
      <c r="E362" s="103" t="s">
        <v>306</v>
      </c>
      <c r="F362" s="103">
        <v>784</v>
      </c>
      <c r="G362" s="103">
        <v>40</v>
      </c>
      <c r="H362" s="137" t="s">
        <v>1171</v>
      </c>
      <c r="I362" s="103">
        <v>87</v>
      </c>
      <c r="K362" s="103" t="s">
        <v>364</v>
      </c>
      <c r="L362" s="133">
        <v>0.86249999999999993</v>
      </c>
      <c r="M362" s="134">
        <v>5.486111111111111E-2</v>
      </c>
      <c r="N362" s="137" t="s">
        <v>387</v>
      </c>
      <c r="O362" s="133" t="s">
        <v>1585</v>
      </c>
      <c r="Q362" s="100" t="s">
        <v>1696</v>
      </c>
      <c r="R362" s="226" t="s">
        <v>1697</v>
      </c>
      <c r="S362" s="491">
        <f t="shared" si="11"/>
        <v>3.2523147999999999E-3</v>
      </c>
      <c r="T362" s="492">
        <f>IFERROR(VLOOKUP(F362,'Freq-Chan'!C:D,2,FALSE),"x")</f>
        <v>151.78399999999999</v>
      </c>
      <c r="U362" s="110" t="s">
        <v>541</v>
      </c>
      <c r="V362" s="110" t="str">
        <f t="shared" si="12"/>
        <v>FWL</v>
      </c>
      <c r="W362" s="110" t="s">
        <v>541</v>
      </c>
      <c r="X362" s="110" t="s">
        <v>541</v>
      </c>
      <c r="Y362" s="110" t="str">
        <f>IFERROR(VLOOKUP(F362,'Freq-Chan'!C:E,3,FALSE),"na")</f>
        <v>F1845</v>
      </c>
      <c r="Z362" s="110" t="s">
        <v>541</v>
      </c>
      <c r="AA362" s="110" t="s">
        <v>541</v>
      </c>
      <c r="AB362" s="110" t="s">
        <v>541</v>
      </c>
      <c r="AC362" s="10" t="s">
        <v>541</v>
      </c>
      <c r="AD362" s="10" t="s">
        <v>541</v>
      </c>
    </row>
    <row r="363" spans="1:30" x14ac:dyDescent="0.2">
      <c r="A363" s="110">
        <v>362</v>
      </c>
      <c r="B363" s="132">
        <v>41820</v>
      </c>
      <c r="C363" s="117">
        <v>3</v>
      </c>
      <c r="D363" s="103" t="s">
        <v>177</v>
      </c>
      <c r="E363" s="103" t="s">
        <v>0</v>
      </c>
      <c r="H363" s="103"/>
      <c r="I363" s="103">
        <v>36</v>
      </c>
      <c r="K363" s="103" t="s">
        <v>364</v>
      </c>
      <c r="L363" s="133"/>
      <c r="M363" s="134">
        <v>1.8749999999999999E-2</v>
      </c>
      <c r="N363" s="137" t="s">
        <v>1691</v>
      </c>
      <c r="O363" s="133" t="s">
        <v>1585</v>
      </c>
      <c r="P363" s="100" t="s">
        <v>776</v>
      </c>
      <c r="Q363" s="100" t="s">
        <v>1696</v>
      </c>
      <c r="R363" s="226" t="s">
        <v>1697</v>
      </c>
      <c r="S363" s="491" t="str">
        <f t="shared" si="11"/>
        <v>x</v>
      </c>
      <c r="T363" s="492" t="str">
        <f>IFERROR(VLOOKUP(F363,'Freq-Chan'!C:D,2,FALSE),"x")</f>
        <v>x</v>
      </c>
      <c r="U363" s="110" t="s">
        <v>541</v>
      </c>
      <c r="V363" s="110" t="str">
        <f t="shared" si="12"/>
        <v>FWL</v>
      </c>
      <c r="W363" s="110" t="s">
        <v>541</v>
      </c>
      <c r="X363" s="110" t="s">
        <v>541</v>
      </c>
      <c r="Y363" s="110" t="str">
        <f>IFERROR(VLOOKUP(F363,'Freq-Chan'!C:E,3,FALSE),"na")</f>
        <v>na</v>
      </c>
      <c r="Z363" s="110" t="s">
        <v>541</v>
      </c>
      <c r="AA363" s="110" t="s">
        <v>541</v>
      </c>
      <c r="AB363" s="110" t="s">
        <v>541</v>
      </c>
      <c r="AC363" s="10" t="s">
        <v>541</v>
      </c>
      <c r="AD363" s="10" t="s">
        <v>541</v>
      </c>
    </row>
    <row r="364" spans="1:30" x14ac:dyDescent="0.2">
      <c r="A364" s="110">
        <v>363</v>
      </c>
      <c r="B364" s="132">
        <v>41820</v>
      </c>
      <c r="C364" s="117">
        <v>3</v>
      </c>
      <c r="D364" s="103" t="s">
        <v>2</v>
      </c>
      <c r="E364" s="103" t="s">
        <v>306</v>
      </c>
      <c r="H364" s="103"/>
      <c r="I364" s="103">
        <v>83</v>
      </c>
      <c r="K364" s="103" t="s">
        <v>364</v>
      </c>
      <c r="L364" s="133"/>
      <c r="M364" s="134">
        <v>4.0972222222222222E-2</v>
      </c>
      <c r="N364" s="137" t="s">
        <v>1692</v>
      </c>
      <c r="O364" s="133" t="s">
        <v>1585</v>
      </c>
      <c r="P364" s="100" t="s">
        <v>1693</v>
      </c>
      <c r="Q364" s="100" t="s">
        <v>1696</v>
      </c>
      <c r="R364" s="226" t="s">
        <v>1697</v>
      </c>
      <c r="S364" s="491" t="str">
        <f t="shared" si="11"/>
        <v>x</v>
      </c>
      <c r="T364" s="492" t="str">
        <f>IFERROR(VLOOKUP(F364,'Freq-Chan'!C:D,2,FALSE),"x")</f>
        <v>x</v>
      </c>
      <c r="U364" s="110" t="s">
        <v>541</v>
      </c>
      <c r="V364" s="110" t="str">
        <f t="shared" si="12"/>
        <v>FWL</v>
      </c>
      <c r="W364" s="110" t="s">
        <v>541</v>
      </c>
      <c r="X364" s="110" t="s">
        <v>541</v>
      </c>
      <c r="Y364" s="110" t="str">
        <f>IFERROR(VLOOKUP(F364,'Freq-Chan'!C:E,3,FALSE),"na")</f>
        <v>na</v>
      </c>
      <c r="Z364" s="110" t="s">
        <v>541</v>
      </c>
      <c r="AA364" s="110" t="s">
        <v>541</v>
      </c>
      <c r="AB364" s="110" t="s">
        <v>541</v>
      </c>
      <c r="AC364" s="10" t="s">
        <v>541</v>
      </c>
      <c r="AD364" s="10" t="s">
        <v>541</v>
      </c>
    </row>
    <row r="365" spans="1:30" x14ac:dyDescent="0.2">
      <c r="A365" s="110">
        <v>364</v>
      </c>
      <c r="B365" s="132">
        <v>41820</v>
      </c>
      <c r="C365" s="117">
        <v>3</v>
      </c>
      <c r="D365" s="103" t="s">
        <v>2</v>
      </c>
      <c r="E365" s="103" t="s">
        <v>306</v>
      </c>
      <c r="F365" s="103">
        <v>784</v>
      </c>
      <c r="G365" s="103">
        <v>3</v>
      </c>
      <c r="H365" s="137" t="s">
        <v>1172</v>
      </c>
      <c r="I365" s="103">
        <v>52</v>
      </c>
      <c r="K365" s="103" t="s">
        <v>364</v>
      </c>
      <c r="L365" s="133">
        <v>0.8833333333333333</v>
      </c>
      <c r="M365" s="134">
        <v>6.5972222222222224E-2</v>
      </c>
      <c r="N365" s="137" t="s">
        <v>907</v>
      </c>
      <c r="O365" s="133" t="s">
        <v>950</v>
      </c>
      <c r="Q365" s="100" t="s">
        <v>1696</v>
      </c>
      <c r="R365" s="226" t="s">
        <v>1697</v>
      </c>
      <c r="S365" s="491">
        <f t="shared" si="11"/>
        <v>5.1504630000000001E-3</v>
      </c>
      <c r="T365" s="492">
        <f>IFERROR(VLOOKUP(F365,'Freq-Chan'!C:D,2,FALSE),"x")</f>
        <v>151.78399999999999</v>
      </c>
      <c r="U365" s="110" t="s">
        <v>541</v>
      </c>
      <c r="V365" s="110" t="str">
        <f t="shared" si="12"/>
        <v>FWL</v>
      </c>
      <c r="W365" s="110" t="s">
        <v>541</v>
      </c>
      <c r="X365" s="110" t="s">
        <v>541</v>
      </c>
      <c r="Y365" s="110" t="str">
        <f>IFERROR(VLOOKUP(F365,'Freq-Chan'!C:E,3,FALSE),"na")</f>
        <v>F1845</v>
      </c>
      <c r="Z365" s="110" t="s">
        <v>541</v>
      </c>
      <c r="AA365" s="110" t="s">
        <v>541</v>
      </c>
      <c r="AB365" s="110" t="s">
        <v>541</v>
      </c>
      <c r="AC365" s="10" t="s">
        <v>541</v>
      </c>
      <c r="AD365" s="10" t="s">
        <v>541</v>
      </c>
    </row>
    <row r="366" spans="1:30" x14ac:dyDescent="0.2">
      <c r="A366" s="110">
        <v>365</v>
      </c>
      <c r="B366" s="132">
        <v>41820</v>
      </c>
      <c r="C366" s="117">
        <v>3</v>
      </c>
      <c r="D366" s="103" t="s">
        <v>2</v>
      </c>
      <c r="E366" s="103" t="s">
        <v>306</v>
      </c>
      <c r="F366" s="103">
        <v>755</v>
      </c>
      <c r="G366" s="103">
        <v>49</v>
      </c>
      <c r="H366" s="137" t="s">
        <v>1173</v>
      </c>
      <c r="I366" s="103">
        <v>87</v>
      </c>
      <c r="K366" s="103" t="s">
        <v>364</v>
      </c>
      <c r="L366" s="133">
        <v>0.90486111111111101</v>
      </c>
      <c r="M366" s="134">
        <v>5.9027777777777783E-2</v>
      </c>
      <c r="N366" s="137" t="s">
        <v>1694</v>
      </c>
      <c r="O366" s="133" t="s">
        <v>1585</v>
      </c>
      <c r="Q366" s="100" t="s">
        <v>1696</v>
      </c>
      <c r="R366" s="226" t="s">
        <v>1697</v>
      </c>
      <c r="S366" s="491">
        <f t="shared" si="11"/>
        <v>5.2662037000000004E-3</v>
      </c>
      <c r="T366" s="492">
        <f>IFERROR(VLOOKUP(F366,'Freq-Chan'!C:D,2,FALSE),"x")</f>
        <v>151.755</v>
      </c>
      <c r="U366" s="110" t="s">
        <v>541</v>
      </c>
      <c r="V366" s="110" t="str">
        <f t="shared" si="12"/>
        <v>FWL</v>
      </c>
      <c r="W366" s="110" t="s">
        <v>541</v>
      </c>
      <c r="X366" s="110" t="s">
        <v>541</v>
      </c>
      <c r="Y366" s="110" t="str">
        <f>IFERROR(VLOOKUP(F366,'Freq-Chan'!C:E,3,FALSE),"na")</f>
        <v>F1845</v>
      </c>
      <c r="Z366" s="110" t="s">
        <v>541</v>
      </c>
      <c r="AA366" s="110" t="s">
        <v>541</v>
      </c>
      <c r="AB366" s="110" t="s">
        <v>541</v>
      </c>
      <c r="AC366" s="10" t="s">
        <v>541</v>
      </c>
      <c r="AD366" s="10" t="s">
        <v>541</v>
      </c>
    </row>
    <row r="367" spans="1:30" s="291" customFormat="1" x14ac:dyDescent="0.2">
      <c r="A367" s="493">
        <v>366</v>
      </c>
      <c r="B367" s="283">
        <v>41820</v>
      </c>
      <c r="C367" s="284">
        <v>3</v>
      </c>
      <c r="D367" s="285" t="s">
        <v>177</v>
      </c>
      <c r="E367" s="285" t="s">
        <v>0</v>
      </c>
      <c r="F367" s="285"/>
      <c r="G367" s="285"/>
      <c r="H367" s="285"/>
      <c r="I367" s="285">
        <v>34</v>
      </c>
      <c r="J367" s="285"/>
      <c r="K367" s="285" t="s">
        <v>364</v>
      </c>
      <c r="L367" s="286"/>
      <c r="M367" s="287">
        <v>1.4583333333333332E-2</v>
      </c>
      <c r="N367" s="339" t="s">
        <v>1695</v>
      </c>
      <c r="O367" s="286" t="s">
        <v>1585</v>
      </c>
      <c r="P367" s="289" t="s">
        <v>776</v>
      </c>
      <c r="Q367" s="289" t="s">
        <v>1696</v>
      </c>
      <c r="R367" s="290" t="s">
        <v>1697</v>
      </c>
      <c r="S367" s="494" t="str">
        <f t="shared" si="11"/>
        <v>x</v>
      </c>
      <c r="T367" s="495" t="str">
        <f>IFERROR(VLOOKUP(F367,'Freq-Chan'!C:D,2,FALSE),"x")</f>
        <v>x</v>
      </c>
      <c r="U367" s="493" t="s">
        <v>541</v>
      </c>
      <c r="V367" s="493" t="str">
        <f t="shared" si="12"/>
        <v>FWL</v>
      </c>
      <c r="W367" s="493" t="s">
        <v>541</v>
      </c>
      <c r="X367" s="493" t="s">
        <v>541</v>
      </c>
      <c r="Y367" s="493" t="str">
        <f>IFERROR(VLOOKUP(F367,'Freq-Chan'!C:E,3,FALSE),"na")</f>
        <v>na</v>
      </c>
      <c r="Z367" s="493" t="s">
        <v>541</v>
      </c>
      <c r="AA367" s="493" t="s">
        <v>541</v>
      </c>
      <c r="AB367" s="493" t="s">
        <v>541</v>
      </c>
      <c r="AC367" s="291" t="s">
        <v>541</v>
      </c>
      <c r="AD367" s="291" t="s">
        <v>541</v>
      </c>
    </row>
    <row r="368" spans="1:30" x14ac:dyDescent="0.2">
      <c r="A368" s="110">
        <v>367</v>
      </c>
      <c r="B368" s="132">
        <v>41821</v>
      </c>
      <c r="C368" s="117">
        <v>1</v>
      </c>
      <c r="D368" s="103" t="s">
        <v>2</v>
      </c>
      <c r="E368" s="103" t="s">
        <v>306</v>
      </c>
      <c r="F368" s="103">
        <v>784</v>
      </c>
      <c r="G368" s="103">
        <v>19</v>
      </c>
      <c r="H368" s="137" t="s">
        <v>1086</v>
      </c>
      <c r="I368" s="103">
        <v>97</v>
      </c>
      <c r="K368" s="103" t="s">
        <v>364</v>
      </c>
      <c r="L368" s="133"/>
      <c r="M368" s="134">
        <v>9.5138888888888884E-2</v>
      </c>
      <c r="N368" s="134">
        <v>0.23750000000000002</v>
      </c>
      <c r="O368" s="133" t="s">
        <v>372</v>
      </c>
      <c r="P368" s="100" t="s">
        <v>1640</v>
      </c>
      <c r="Q368" s="100" t="s">
        <v>1706</v>
      </c>
      <c r="R368" s="226" t="s">
        <v>1739</v>
      </c>
      <c r="S368" s="491" t="str">
        <f t="shared" si="11"/>
        <v>x</v>
      </c>
      <c r="T368" s="492">
        <f>IFERROR(VLOOKUP(F368,'Freq-Chan'!C:D,2,FALSE),"x")</f>
        <v>151.78399999999999</v>
      </c>
      <c r="U368" s="110" t="s">
        <v>541</v>
      </c>
      <c r="V368" s="110" t="str">
        <f t="shared" si="12"/>
        <v>FWL</v>
      </c>
      <c r="W368" s="110" t="s">
        <v>541</v>
      </c>
      <c r="X368" s="110" t="s">
        <v>541</v>
      </c>
      <c r="Y368" s="110" t="str">
        <f>IFERROR(VLOOKUP(F368,'Freq-Chan'!C:E,3,FALSE),"na")</f>
        <v>F1845</v>
      </c>
      <c r="Z368" s="110" t="s">
        <v>541</v>
      </c>
      <c r="AA368" s="110" t="s">
        <v>541</v>
      </c>
      <c r="AB368" s="110" t="s">
        <v>541</v>
      </c>
      <c r="AC368" s="10" t="s">
        <v>541</v>
      </c>
      <c r="AD368" s="10" t="s">
        <v>541</v>
      </c>
    </row>
    <row r="369" spans="1:30" x14ac:dyDescent="0.2">
      <c r="A369" s="110">
        <v>368</v>
      </c>
      <c r="B369" s="132">
        <v>41821</v>
      </c>
      <c r="C369" s="117">
        <v>1</v>
      </c>
      <c r="D369" s="103" t="s">
        <v>2</v>
      </c>
      <c r="E369" s="103" t="s">
        <v>306</v>
      </c>
      <c r="F369" s="103">
        <v>784</v>
      </c>
      <c r="G369" s="103">
        <v>79</v>
      </c>
      <c r="H369" s="137" t="s">
        <v>1087</v>
      </c>
      <c r="I369" s="103">
        <v>72</v>
      </c>
      <c r="K369" s="103" t="s">
        <v>364</v>
      </c>
      <c r="L369" s="133"/>
      <c r="M369" s="134">
        <v>6.3888888888888884E-2</v>
      </c>
      <c r="N369" s="134">
        <v>0.23958333333333334</v>
      </c>
      <c r="O369" s="133" t="s">
        <v>372</v>
      </c>
      <c r="P369" s="100" t="s">
        <v>1640</v>
      </c>
      <c r="Q369" s="100" t="s">
        <v>1706</v>
      </c>
      <c r="R369" s="226" t="s">
        <v>1739</v>
      </c>
      <c r="S369" s="491" t="str">
        <f t="shared" si="11"/>
        <v>x</v>
      </c>
      <c r="T369" s="492">
        <f>IFERROR(VLOOKUP(F369,'Freq-Chan'!C:D,2,FALSE),"x")</f>
        <v>151.78399999999999</v>
      </c>
      <c r="U369" s="110" t="s">
        <v>541</v>
      </c>
      <c r="V369" s="110" t="str">
        <f t="shared" si="12"/>
        <v>FWL</v>
      </c>
      <c r="W369" s="110" t="s">
        <v>541</v>
      </c>
      <c r="X369" s="110" t="s">
        <v>541</v>
      </c>
      <c r="Y369" s="110" t="str">
        <f>IFERROR(VLOOKUP(F369,'Freq-Chan'!C:E,3,FALSE),"na")</f>
        <v>F1845</v>
      </c>
      <c r="Z369" s="110" t="s">
        <v>541</v>
      </c>
      <c r="AA369" s="110" t="s">
        <v>541</v>
      </c>
      <c r="AB369" s="110" t="s">
        <v>541</v>
      </c>
      <c r="AC369" s="10" t="s">
        <v>541</v>
      </c>
      <c r="AD369" s="10" t="s">
        <v>541</v>
      </c>
    </row>
    <row r="370" spans="1:30" x14ac:dyDescent="0.2">
      <c r="A370" s="110">
        <v>369</v>
      </c>
      <c r="B370" s="132">
        <v>41821</v>
      </c>
      <c r="C370" s="117">
        <v>1</v>
      </c>
      <c r="D370" s="103" t="s">
        <v>2</v>
      </c>
      <c r="E370" s="103" t="s">
        <v>306</v>
      </c>
      <c r="F370" s="103">
        <v>784</v>
      </c>
      <c r="G370" s="103">
        <v>59</v>
      </c>
      <c r="H370" s="137" t="s">
        <v>1088</v>
      </c>
      <c r="I370" s="103">
        <v>59</v>
      </c>
      <c r="K370" s="103" t="s">
        <v>364</v>
      </c>
      <c r="L370" s="133"/>
      <c r="M370" s="134">
        <v>5.4166666666666669E-2</v>
      </c>
      <c r="N370" s="134">
        <v>0.24166666666666667</v>
      </c>
      <c r="O370" s="133" t="s">
        <v>372</v>
      </c>
      <c r="P370" s="100" t="s">
        <v>1640</v>
      </c>
      <c r="Q370" s="100" t="s">
        <v>1706</v>
      </c>
      <c r="R370" s="226" t="s">
        <v>1739</v>
      </c>
      <c r="S370" s="491" t="str">
        <f t="shared" si="11"/>
        <v>x</v>
      </c>
      <c r="T370" s="492">
        <f>IFERROR(VLOOKUP(F370,'Freq-Chan'!C:D,2,FALSE),"x")</f>
        <v>151.78399999999999</v>
      </c>
      <c r="U370" s="110" t="s">
        <v>541</v>
      </c>
      <c r="V370" s="110" t="str">
        <f t="shared" si="12"/>
        <v>FWL</v>
      </c>
      <c r="W370" s="110" t="s">
        <v>541</v>
      </c>
      <c r="X370" s="110" t="s">
        <v>541</v>
      </c>
      <c r="Y370" s="110" t="str">
        <f>IFERROR(VLOOKUP(F370,'Freq-Chan'!C:E,3,FALSE),"na")</f>
        <v>F1845</v>
      </c>
      <c r="Z370" s="110" t="s">
        <v>541</v>
      </c>
      <c r="AA370" s="110" t="s">
        <v>541</v>
      </c>
      <c r="AB370" s="110" t="s">
        <v>541</v>
      </c>
      <c r="AC370" s="10" t="s">
        <v>541</v>
      </c>
      <c r="AD370" s="10" t="s">
        <v>541</v>
      </c>
    </row>
    <row r="371" spans="1:30" x14ac:dyDescent="0.2">
      <c r="A371" s="110">
        <v>370</v>
      </c>
      <c r="B371" s="132">
        <v>41821</v>
      </c>
      <c r="C371" s="117">
        <v>1</v>
      </c>
      <c r="D371" s="103" t="s">
        <v>2</v>
      </c>
      <c r="E371" s="103" t="s">
        <v>306</v>
      </c>
      <c r="F371" s="103">
        <v>684</v>
      </c>
      <c r="G371" s="103">
        <v>95</v>
      </c>
      <c r="H371" s="137" t="s">
        <v>1089</v>
      </c>
      <c r="I371" s="103">
        <v>64</v>
      </c>
      <c r="K371" s="103" t="s">
        <v>364</v>
      </c>
      <c r="L371" s="133"/>
      <c r="M371" s="134">
        <v>4.3055555555555562E-2</v>
      </c>
      <c r="N371" s="134">
        <v>0.24583333333333335</v>
      </c>
      <c r="O371" s="133" t="s">
        <v>802</v>
      </c>
      <c r="P371" s="100" t="s">
        <v>1640</v>
      </c>
      <c r="Q371" s="100" t="s">
        <v>1706</v>
      </c>
      <c r="R371" s="226" t="s">
        <v>1739</v>
      </c>
      <c r="S371" s="491" t="str">
        <f t="shared" si="11"/>
        <v>x</v>
      </c>
      <c r="T371" s="492">
        <f>IFERROR(VLOOKUP(F371,'Freq-Chan'!C:D,2,FALSE),"x")</f>
        <v>151.684</v>
      </c>
      <c r="U371" s="110" t="s">
        <v>541</v>
      </c>
      <c r="V371" s="110" t="str">
        <f t="shared" si="12"/>
        <v>FWL</v>
      </c>
      <c r="W371" s="110" t="s">
        <v>541</v>
      </c>
      <c r="X371" s="110" t="s">
        <v>541</v>
      </c>
      <c r="Y371" s="110" t="str">
        <f>IFERROR(VLOOKUP(F371,'Freq-Chan'!C:E,3,FALSE),"na")</f>
        <v>F1845</v>
      </c>
      <c r="Z371" s="110" t="s">
        <v>541</v>
      </c>
      <c r="AA371" s="110" t="s">
        <v>541</v>
      </c>
      <c r="AB371" s="110" t="s">
        <v>541</v>
      </c>
      <c r="AC371" s="10" t="s">
        <v>541</v>
      </c>
      <c r="AD371" s="10" t="s">
        <v>541</v>
      </c>
    </row>
    <row r="372" spans="1:30" x14ac:dyDescent="0.2">
      <c r="A372" s="110">
        <v>371</v>
      </c>
      <c r="B372" s="132">
        <v>41821</v>
      </c>
      <c r="C372" s="117">
        <v>1</v>
      </c>
      <c r="D372" s="103" t="s">
        <v>2</v>
      </c>
      <c r="E372" s="103" t="s">
        <v>306</v>
      </c>
      <c r="F372" s="103">
        <v>755</v>
      </c>
      <c r="G372" s="103">
        <v>83</v>
      </c>
      <c r="H372" s="137" t="s">
        <v>1191</v>
      </c>
      <c r="I372" s="103">
        <v>63</v>
      </c>
      <c r="K372" s="103" t="s">
        <v>364</v>
      </c>
      <c r="L372" s="133"/>
      <c r="M372" s="134">
        <v>4.9999999999999996E-2</v>
      </c>
      <c r="N372" s="134">
        <v>0.24722222222222223</v>
      </c>
      <c r="O372" s="133" t="s">
        <v>802</v>
      </c>
      <c r="P372" s="100" t="s">
        <v>1640</v>
      </c>
      <c r="Q372" s="100" t="s">
        <v>1706</v>
      </c>
      <c r="R372" s="226" t="s">
        <v>1739</v>
      </c>
      <c r="S372" s="491" t="str">
        <f t="shared" si="11"/>
        <v>x</v>
      </c>
      <c r="T372" s="492">
        <f>IFERROR(VLOOKUP(F372,'Freq-Chan'!C:D,2,FALSE),"x")</f>
        <v>151.755</v>
      </c>
      <c r="U372" s="110" t="s">
        <v>541</v>
      </c>
      <c r="V372" s="110" t="str">
        <f t="shared" si="12"/>
        <v>FWL</v>
      </c>
      <c r="W372" s="110" t="s">
        <v>541</v>
      </c>
      <c r="X372" s="110" t="s">
        <v>541</v>
      </c>
      <c r="Y372" s="110" t="str">
        <f>IFERROR(VLOOKUP(F372,'Freq-Chan'!C:E,3,FALSE),"na")</f>
        <v>F1845</v>
      </c>
      <c r="Z372" s="110" t="s">
        <v>541</v>
      </c>
      <c r="AA372" s="110" t="s">
        <v>541</v>
      </c>
      <c r="AB372" s="110" t="s">
        <v>541</v>
      </c>
      <c r="AC372" s="10" t="s">
        <v>541</v>
      </c>
      <c r="AD372" s="10" t="s">
        <v>541</v>
      </c>
    </row>
    <row r="373" spans="1:30" x14ac:dyDescent="0.2">
      <c r="A373" s="110">
        <v>372</v>
      </c>
      <c r="B373" s="132">
        <v>41821</v>
      </c>
      <c r="C373" s="117">
        <v>1</v>
      </c>
      <c r="D373" s="103" t="s">
        <v>2</v>
      </c>
      <c r="E373" s="103" t="s">
        <v>306</v>
      </c>
      <c r="F373" s="103">
        <v>684</v>
      </c>
      <c r="G373" s="103">
        <v>15</v>
      </c>
      <c r="H373" s="137" t="s">
        <v>1192</v>
      </c>
      <c r="I373" s="103">
        <v>84</v>
      </c>
      <c r="K373" s="103" t="s">
        <v>364</v>
      </c>
      <c r="L373" s="133"/>
      <c r="M373" s="134">
        <v>4.7222222222222221E-2</v>
      </c>
      <c r="N373" s="134">
        <v>0.25</v>
      </c>
      <c r="O373" s="133" t="s">
        <v>802</v>
      </c>
      <c r="P373" s="100" t="s">
        <v>1640</v>
      </c>
      <c r="Q373" s="100" t="s">
        <v>1706</v>
      </c>
      <c r="R373" s="226" t="s">
        <v>1739</v>
      </c>
      <c r="S373" s="491" t="str">
        <f t="shared" si="11"/>
        <v>x</v>
      </c>
      <c r="T373" s="492">
        <f>IFERROR(VLOOKUP(F373,'Freq-Chan'!C:D,2,FALSE),"x")</f>
        <v>151.684</v>
      </c>
      <c r="U373" s="110" t="s">
        <v>541</v>
      </c>
      <c r="V373" s="110" t="str">
        <f t="shared" si="12"/>
        <v>FWL</v>
      </c>
      <c r="W373" s="110" t="s">
        <v>541</v>
      </c>
      <c r="X373" s="110" t="s">
        <v>541</v>
      </c>
      <c r="Y373" s="110" t="str">
        <f>IFERROR(VLOOKUP(F373,'Freq-Chan'!C:E,3,FALSE),"na")</f>
        <v>F1845</v>
      </c>
      <c r="Z373" s="110" t="s">
        <v>541</v>
      </c>
      <c r="AA373" s="110" t="s">
        <v>541</v>
      </c>
      <c r="AB373" s="110" t="s">
        <v>541</v>
      </c>
      <c r="AC373" s="10" t="s">
        <v>541</v>
      </c>
      <c r="AD373" s="10" t="s">
        <v>541</v>
      </c>
    </row>
    <row r="374" spans="1:30" x14ac:dyDescent="0.2">
      <c r="A374" s="110">
        <v>373</v>
      </c>
      <c r="B374" s="132">
        <v>41821</v>
      </c>
      <c r="C374" s="117">
        <v>1</v>
      </c>
      <c r="D374" s="103" t="s">
        <v>2</v>
      </c>
      <c r="E374" s="103" t="s">
        <v>306</v>
      </c>
      <c r="F374" s="103">
        <v>684</v>
      </c>
      <c r="G374" s="103">
        <v>58</v>
      </c>
      <c r="H374" s="137" t="s">
        <v>1193</v>
      </c>
      <c r="I374" s="103">
        <v>61</v>
      </c>
      <c r="K374" s="103" t="s">
        <v>364</v>
      </c>
      <c r="L374" s="133"/>
      <c r="M374" s="134">
        <v>4.7222222222222221E-2</v>
      </c>
      <c r="N374" s="134">
        <v>0.25208333333333333</v>
      </c>
      <c r="O374" s="133" t="s">
        <v>1663</v>
      </c>
      <c r="P374" s="100" t="s">
        <v>1628</v>
      </c>
      <c r="Q374" s="100" t="s">
        <v>1706</v>
      </c>
      <c r="R374" s="226" t="s">
        <v>1739</v>
      </c>
      <c r="S374" s="491" t="str">
        <f t="shared" si="11"/>
        <v>x</v>
      </c>
      <c r="T374" s="492">
        <f>IFERROR(VLOOKUP(F374,'Freq-Chan'!C:D,2,FALSE),"x")</f>
        <v>151.684</v>
      </c>
      <c r="U374" s="110" t="s">
        <v>541</v>
      </c>
      <c r="V374" s="110" t="str">
        <f t="shared" si="12"/>
        <v>FWL</v>
      </c>
      <c r="W374" s="110" t="s">
        <v>541</v>
      </c>
      <c r="X374" s="110" t="s">
        <v>541</v>
      </c>
      <c r="Y374" s="110" t="str">
        <f>IFERROR(VLOOKUP(F374,'Freq-Chan'!C:E,3,FALSE),"na")</f>
        <v>F1845</v>
      </c>
      <c r="Z374" s="110" t="s">
        <v>541</v>
      </c>
      <c r="AA374" s="110" t="s">
        <v>541</v>
      </c>
      <c r="AB374" s="110" t="s">
        <v>541</v>
      </c>
      <c r="AC374" s="10" t="s">
        <v>541</v>
      </c>
      <c r="AD374" s="10" t="s">
        <v>541</v>
      </c>
    </row>
    <row r="375" spans="1:30" x14ac:dyDescent="0.2">
      <c r="A375" s="110">
        <v>374</v>
      </c>
      <c r="B375" s="132">
        <v>41821</v>
      </c>
      <c r="C375" s="117">
        <v>1</v>
      </c>
      <c r="D375" s="103" t="s">
        <v>2</v>
      </c>
      <c r="E375" s="103" t="s">
        <v>306</v>
      </c>
      <c r="F375" s="103">
        <v>755</v>
      </c>
      <c r="G375" s="103">
        <v>77</v>
      </c>
      <c r="H375" s="137" t="s">
        <v>1194</v>
      </c>
      <c r="I375" s="103">
        <v>82</v>
      </c>
      <c r="K375" s="103" t="s">
        <v>364</v>
      </c>
      <c r="L375" s="133"/>
      <c r="M375" s="134">
        <v>5.9027777777777783E-2</v>
      </c>
      <c r="N375" s="134">
        <v>0.25555555555555559</v>
      </c>
      <c r="O375" s="133" t="s">
        <v>1663</v>
      </c>
      <c r="P375" s="100" t="s">
        <v>1628</v>
      </c>
      <c r="Q375" s="100" t="s">
        <v>1706</v>
      </c>
      <c r="R375" s="226" t="s">
        <v>1739</v>
      </c>
      <c r="S375" s="491" t="str">
        <f t="shared" si="11"/>
        <v>x</v>
      </c>
      <c r="T375" s="492">
        <f>IFERROR(VLOOKUP(F375,'Freq-Chan'!C:D,2,FALSE),"x")</f>
        <v>151.755</v>
      </c>
      <c r="U375" s="110" t="s">
        <v>541</v>
      </c>
      <c r="V375" s="110" t="str">
        <f t="shared" si="12"/>
        <v>FWL</v>
      </c>
      <c r="W375" s="110" t="s">
        <v>541</v>
      </c>
      <c r="X375" s="110" t="s">
        <v>541</v>
      </c>
      <c r="Y375" s="110" t="str">
        <f>IFERROR(VLOOKUP(F375,'Freq-Chan'!C:E,3,FALSE),"na")</f>
        <v>F1845</v>
      </c>
      <c r="Z375" s="110" t="s">
        <v>541</v>
      </c>
      <c r="AA375" s="110" t="s">
        <v>541</v>
      </c>
      <c r="AB375" s="110" t="s">
        <v>541</v>
      </c>
      <c r="AC375" s="10" t="s">
        <v>541</v>
      </c>
      <c r="AD375" s="10" t="s">
        <v>541</v>
      </c>
    </row>
    <row r="376" spans="1:30" x14ac:dyDescent="0.2">
      <c r="A376" s="110">
        <v>375</v>
      </c>
      <c r="B376" s="132">
        <v>41821</v>
      </c>
      <c r="C376" s="117">
        <v>1</v>
      </c>
      <c r="D376" s="103" t="s">
        <v>2</v>
      </c>
      <c r="E376" s="103" t="s">
        <v>306</v>
      </c>
      <c r="F376" s="103">
        <v>755</v>
      </c>
      <c r="G376" s="103">
        <v>76</v>
      </c>
      <c r="H376" s="137" t="s">
        <v>1195</v>
      </c>
      <c r="I376" s="103">
        <v>51</v>
      </c>
      <c r="K376" s="103" t="s">
        <v>364</v>
      </c>
      <c r="L376" s="133"/>
      <c r="M376" s="134">
        <v>4.5833333333333337E-2</v>
      </c>
      <c r="N376" s="134">
        <v>0.25694444444444448</v>
      </c>
      <c r="O376" s="133" t="s">
        <v>376</v>
      </c>
      <c r="P376" s="100" t="s">
        <v>1704</v>
      </c>
      <c r="Q376" s="100" t="s">
        <v>1706</v>
      </c>
      <c r="R376" s="226" t="s">
        <v>1739</v>
      </c>
      <c r="S376" s="491" t="str">
        <f t="shared" si="11"/>
        <v>x</v>
      </c>
      <c r="T376" s="492">
        <f>IFERROR(VLOOKUP(F376,'Freq-Chan'!C:D,2,FALSE),"x")</f>
        <v>151.755</v>
      </c>
      <c r="U376" s="110" t="s">
        <v>541</v>
      </c>
      <c r="V376" s="110" t="str">
        <f t="shared" si="12"/>
        <v>FWL</v>
      </c>
      <c r="W376" s="110" t="s">
        <v>541</v>
      </c>
      <c r="X376" s="110" t="s">
        <v>541</v>
      </c>
      <c r="Y376" s="110" t="str">
        <f>IFERROR(VLOOKUP(F376,'Freq-Chan'!C:E,3,FALSE),"na")</f>
        <v>F1845</v>
      </c>
      <c r="Z376" s="110" t="s">
        <v>541</v>
      </c>
      <c r="AA376" s="110" t="s">
        <v>541</v>
      </c>
      <c r="AB376" s="110" t="s">
        <v>541</v>
      </c>
      <c r="AC376" s="10" t="s">
        <v>541</v>
      </c>
      <c r="AD376" s="10" t="s">
        <v>541</v>
      </c>
    </row>
    <row r="377" spans="1:30" x14ac:dyDescent="0.2">
      <c r="A377" s="110">
        <v>376</v>
      </c>
      <c r="B377" s="132">
        <v>41821</v>
      </c>
      <c r="C377" s="117">
        <v>1</v>
      </c>
      <c r="D377" s="103" t="s">
        <v>2</v>
      </c>
      <c r="E377" s="103" t="s">
        <v>306</v>
      </c>
      <c r="F377" s="103">
        <v>755</v>
      </c>
      <c r="G377" s="103">
        <v>69</v>
      </c>
      <c r="H377" s="137" t="s">
        <v>1196</v>
      </c>
      <c r="I377" s="103">
        <v>79</v>
      </c>
      <c r="K377" s="103" t="s">
        <v>364</v>
      </c>
      <c r="L377" s="133"/>
      <c r="M377" s="134">
        <v>4.3750000000000004E-2</v>
      </c>
      <c r="N377" s="134">
        <v>0.2590277777777778</v>
      </c>
      <c r="O377" s="133" t="s">
        <v>376</v>
      </c>
      <c r="P377" s="100" t="s">
        <v>1628</v>
      </c>
      <c r="Q377" s="100" t="s">
        <v>1706</v>
      </c>
      <c r="R377" s="226" t="s">
        <v>1739</v>
      </c>
      <c r="S377" s="491" t="str">
        <f t="shared" si="11"/>
        <v>x</v>
      </c>
      <c r="T377" s="492">
        <f>IFERROR(VLOOKUP(F377,'Freq-Chan'!C:D,2,FALSE),"x")</f>
        <v>151.755</v>
      </c>
      <c r="U377" s="110" t="s">
        <v>541</v>
      </c>
      <c r="V377" s="110" t="str">
        <f t="shared" si="12"/>
        <v>FWL</v>
      </c>
      <c r="W377" s="110" t="s">
        <v>541</v>
      </c>
      <c r="X377" s="110" t="s">
        <v>541</v>
      </c>
      <c r="Y377" s="110" t="str">
        <f>IFERROR(VLOOKUP(F377,'Freq-Chan'!C:E,3,FALSE),"na")</f>
        <v>F1845</v>
      </c>
      <c r="Z377" s="110" t="s">
        <v>541</v>
      </c>
      <c r="AA377" s="110" t="s">
        <v>541</v>
      </c>
      <c r="AB377" s="110" t="s">
        <v>541</v>
      </c>
      <c r="AC377" s="10" t="s">
        <v>541</v>
      </c>
      <c r="AD377" s="10" t="s">
        <v>541</v>
      </c>
    </row>
    <row r="378" spans="1:30" x14ac:dyDescent="0.2">
      <c r="A378" s="110">
        <v>377</v>
      </c>
      <c r="B378" s="132">
        <v>41821</v>
      </c>
      <c r="C378" s="117">
        <v>1</v>
      </c>
      <c r="D378" s="103" t="s">
        <v>177</v>
      </c>
      <c r="E378" s="103" t="s">
        <v>0</v>
      </c>
      <c r="F378" s="103">
        <v>917</v>
      </c>
      <c r="G378" s="103">
        <v>69</v>
      </c>
      <c r="H378" s="137" t="s">
        <v>1197</v>
      </c>
      <c r="I378" s="103">
        <v>42</v>
      </c>
      <c r="K378" s="103" t="s">
        <v>364</v>
      </c>
      <c r="L378" s="133"/>
      <c r="M378" s="134">
        <v>4.1666666666666664E-2</v>
      </c>
      <c r="N378" s="134">
        <v>0.26041666666666669</v>
      </c>
      <c r="O378" s="133" t="s">
        <v>1532</v>
      </c>
      <c r="P378" s="100" t="s">
        <v>1628</v>
      </c>
      <c r="Q378" s="100" t="s">
        <v>1706</v>
      </c>
      <c r="R378" s="226" t="s">
        <v>1739</v>
      </c>
      <c r="S378" s="491" t="str">
        <f t="shared" si="11"/>
        <v>x</v>
      </c>
      <c r="T378" s="492">
        <f>IFERROR(VLOOKUP(F378,'Freq-Chan'!C:D,2,FALSE),"x")</f>
        <v>151.917</v>
      </c>
      <c r="U378" s="110" t="s">
        <v>541</v>
      </c>
      <c r="V378" s="110" t="str">
        <f t="shared" si="12"/>
        <v>FWL</v>
      </c>
      <c r="W378" s="110" t="s">
        <v>541</v>
      </c>
      <c r="X378" s="110" t="s">
        <v>541</v>
      </c>
      <c r="Y378" s="110" t="str">
        <f>IFERROR(VLOOKUP(F378,'Freq-Chan'!C:E,3,FALSE),"na")</f>
        <v>F1835</v>
      </c>
      <c r="Z378" s="110" t="s">
        <v>541</v>
      </c>
      <c r="AA378" s="110" t="s">
        <v>541</v>
      </c>
      <c r="AB378" s="110" t="s">
        <v>541</v>
      </c>
      <c r="AC378" s="10" t="s">
        <v>541</v>
      </c>
      <c r="AD378" s="10" t="s">
        <v>541</v>
      </c>
    </row>
    <row r="379" spans="1:30" x14ac:dyDescent="0.2">
      <c r="A379" s="110">
        <v>378</v>
      </c>
      <c r="B379" s="132">
        <v>41821</v>
      </c>
      <c r="C379" s="117">
        <v>1</v>
      </c>
      <c r="D379" s="103" t="s">
        <v>2</v>
      </c>
      <c r="E379" s="103" t="s">
        <v>306</v>
      </c>
      <c r="F379" s="103">
        <v>755</v>
      </c>
      <c r="G379" s="103">
        <v>89</v>
      </c>
      <c r="H379" s="137" t="s">
        <v>1198</v>
      </c>
      <c r="I379" s="103">
        <v>59</v>
      </c>
      <c r="K379" s="103" t="s">
        <v>364</v>
      </c>
      <c r="L379" s="133"/>
      <c r="M379" s="134">
        <v>3.9583333333333331E-2</v>
      </c>
      <c r="N379" s="134">
        <v>0.26180555555555557</v>
      </c>
      <c r="O379" s="133" t="s">
        <v>1532</v>
      </c>
      <c r="P379" s="100" t="s">
        <v>1628</v>
      </c>
      <c r="Q379" s="100" t="s">
        <v>1706</v>
      </c>
      <c r="R379" s="226" t="s">
        <v>1739</v>
      </c>
      <c r="S379" s="491" t="str">
        <f t="shared" si="11"/>
        <v>x</v>
      </c>
      <c r="T379" s="492">
        <f>IFERROR(VLOOKUP(F379,'Freq-Chan'!C:D,2,FALSE),"x")</f>
        <v>151.755</v>
      </c>
      <c r="U379" s="110" t="s">
        <v>541</v>
      </c>
      <c r="V379" s="110" t="str">
        <f t="shared" si="12"/>
        <v>FWL</v>
      </c>
      <c r="W379" s="110" t="s">
        <v>541</v>
      </c>
      <c r="X379" s="110" t="s">
        <v>541</v>
      </c>
      <c r="Y379" s="110" t="str">
        <f>IFERROR(VLOOKUP(F379,'Freq-Chan'!C:E,3,FALSE),"na")</f>
        <v>F1845</v>
      </c>
      <c r="Z379" s="110" t="s">
        <v>541</v>
      </c>
      <c r="AA379" s="110" t="s">
        <v>541</v>
      </c>
      <c r="AB379" s="110" t="s">
        <v>541</v>
      </c>
      <c r="AC379" s="10" t="s">
        <v>541</v>
      </c>
      <c r="AD379" s="10" t="s">
        <v>541</v>
      </c>
    </row>
    <row r="380" spans="1:30" x14ac:dyDescent="0.2">
      <c r="A380" s="110">
        <v>379</v>
      </c>
      <c r="B380" s="132">
        <v>41821</v>
      </c>
      <c r="C380" s="117">
        <v>1</v>
      </c>
      <c r="D380" s="103" t="s">
        <v>91</v>
      </c>
      <c r="E380" s="103" t="s">
        <v>798</v>
      </c>
      <c r="H380" s="103"/>
      <c r="J380" s="103">
        <v>34</v>
      </c>
      <c r="K380" s="103" t="s">
        <v>364</v>
      </c>
      <c r="L380" s="133"/>
      <c r="M380" s="134">
        <v>1.3194444444444444E-2</v>
      </c>
      <c r="N380" s="134">
        <v>0.26319444444444445</v>
      </c>
      <c r="O380" s="133" t="s">
        <v>1532</v>
      </c>
      <c r="P380" s="100" t="s">
        <v>1628</v>
      </c>
      <c r="Q380" s="100" t="s">
        <v>1706</v>
      </c>
      <c r="R380" s="226" t="s">
        <v>1739</v>
      </c>
      <c r="S380" s="491" t="str">
        <f t="shared" si="11"/>
        <v>x</v>
      </c>
      <c r="T380" s="492" t="str">
        <f>IFERROR(VLOOKUP(F380,'Freq-Chan'!C:D,2,FALSE),"x")</f>
        <v>x</v>
      </c>
      <c r="U380" s="110" t="s">
        <v>541</v>
      </c>
      <c r="V380" s="110" t="str">
        <f t="shared" si="12"/>
        <v>FWL</v>
      </c>
      <c r="W380" s="110" t="s">
        <v>541</v>
      </c>
      <c r="X380" s="110" t="s">
        <v>541</v>
      </c>
      <c r="Y380" s="110" t="str">
        <f>IFERROR(VLOOKUP(F380,'Freq-Chan'!C:E,3,FALSE),"na")</f>
        <v>na</v>
      </c>
      <c r="Z380" s="110" t="s">
        <v>541</v>
      </c>
      <c r="AA380" s="110" t="s">
        <v>541</v>
      </c>
      <c r="AB380" s="110" t="s">
        <v>541</v>
      </c>
      <c r="AC380" s="10" t="s">
        <v>541</v>
      </c>
      <c r="AD380" s="10" t="s">
        <v>541</v>
      </c>
    </row>
    <row r="381" spans="1:30" x14ac:dyDescent="0.2">
      <c r="A381" s="110">
        <v>380</v>
      </c>
      <c r="B381" s="132">
        <v>41821</v>
      </c>
      <c r="C381" s="117">
        <v>1</v>
      </c>
      <c r="D381" s="103" t="s">
        <v>2</v>
      </c>
      <c r="E381" s="103" t="s">
        <v>306</v>
      </c>
      <c r="F381" s="103">
        <v>755</v>
      </c>
      <c r="G381" s="103">
        <v>75</v>
      </c>
      <c r="H381" s="137" t="s">
        <v>1199</v>
      </c>
      <c r="I381" s="103">
        <v>53</v>
      </c>
      <c r="K381" s="103" t="s">
        <v>364</v>
      </c>
      <c r="L381" s="133">
        <v>0.37222222222222223</v>
      </c>
      <c r="M381" s="134">
        <v>5.5555555555555552E-2</v>
      </c>
      <c r="N381" s="134">
        <v>0.37847222222222227</v>
      </c>
      <c r="O381" s="133" t="s">
        <v>1663</v>
      </c>
      <c r="Q381" s="100" t="s">
        <v>1706</v>
      </c>
      <c r="R381" s="226" t="s">
        <v>1739</v>
      </c>
      <c r="S381" s="491">
        <f t="shared" si="11"/>
        <v>5.3240741000000003E-3</v>
      </c>
      <c r="T381" s="492">
        <f>IFERROR(VLOOKUP(F381,'Freq-Chan'!C:D,2,FALSE),"x")</f>
        <v>151.755</v>
      </c>
      <c r="U381" s="110" t="s">
        <v>541</v>
      </c>
      <c r="V381" s="110" t="str">
        <f t="shared" si="12"/>
        <v>FWL</v>
      </c>
      <c r="W381" s="110" t="s">
        <v>541</v>
      </c>
      <c r="X381" s="110" t="s">
        <v>541</v>
      </c>
      <c r="Y381" s="110" t="str">
        <f>IFERROR(VLOOKUP(F381,'Freq-Chan'!C:E,3,FALSE),"na")</f>
        <v>F1845</v>
      </c>
      <c r="Z381" s="110" t="s">
        <v>541</v>
      </c>
      <c r="AA381" s="110" t="s">
        <v>541</v>
      </c>
      <c r="AB381" s="110" t="s">
        <v>541</v>
      </c>
      <c r="AC381" s="10" t="s">
        <v>541</v>
      </c>
      <c r="AD381" s="10" t="s">
        <v>541</v>
      </c>
    </row>
    <row r="382" spans="1:30" x14ac:dyDescent="0.2">
      <c r="A382" s="110">
        <v>381</v>
      </c>
      <c r="B382" s="132">
        <v>41821</v>
      </c>
      <c r="C382" s="117">
        <v>1</v>
      </c>
      <c r="D382" s="103" t="s">
        <v>2</v>
      </c>
      <c r="E382" s="103" t="s">
        <v>306</v>
      </c>
      <c r="F382" s="103">
        <v>755</v>
      </c>
      <c r="G382" s="103">
        <v>50</v>
      </c>
      <c r="H382" s="137" t="s">
        <v>1206</v>
      </c>
      <c r="I382" s="103">
        <v>78</v>
      </c>
      <c r="K382" s="103" t="s">
        <v>364</v>
      </c>
      <c r="L382" s="133">
        <v>0.39027777777777778</v>
      </c>
      <c r="M382" s="134">
        <v>5.0694444444444452E-2</v>
      </c>
      <c r="N382" s="134">
        <v>0.39374999999999999</v>
      </c>
      <c r="O382" s="133" t="s">
        <v>802</v>
      </c>
      <c r="Q382" s="100" t="s">
        <v>1706</v>
      </c>
      <c r="R382" s="226" t="s">
        <v>1739</v>
      </c>
      <c r="S382" s="491">
        <f t="shared" si="11"/>
        <v>2.6273147999999998E-3</v>
      </c>
      <c r="T382" s="492">
        <f>IFERROR(VLOOKUP(F382,'Freq-Chan'!C:D,2,FALSE),"x")</f>
        <v>151.755</v>
      </c>
      <c r="U382" s="110" t="s">
        <v>541</v>
      </c>
      <c r="V382" s="110" t="str">
        <f t="shared" si="12"/>
        <v>FWL</v>
      </c>
      <c r="W382" s="110" t="s">
        <v>541</v>
      </c>
      <c r="X382" s="110" t="s">
        <v>541</v>
      </c>
      <c r="Y382" s="110" t="str">
        <f>IFERROR(VLOOKUP(F382,'Freq-Chan'!C:E,3,FALSE),"na")</f>
        <v>F1845</v>
      </c>
      <c r="Z382" s="110" t="s">
        <v>541</v>
      </c>
      <c r="AA382" s="110" t="s">
        <v>541</v>
      </c>
      <c r="AB382" s="110" t="s">
        <v>541</v>
      </c>
      <c r="AC382" s="10" t="s">
        <v>541</v>
      </c>
      <c r="AD382" s="10" t="s">
        <v>541</v>
      </c>
    </row>
    <row r="383" spans="1:30" x14ac:dyDescent="0.2">
      <c r="A383" s="110">
        <v>382</v>
      </c>
      <c r="B383" s="132">
        <v>41821</v>
      </c>
      <c r="C383" s="117">
        <v>1</v>
      </c>
      <c r="D383" s="103" t="s">
        <v>177</v>
      </c>
      <c r="E383" s="103" t="s">
        <v>0</v>
      </c>
      <c r="H383" s="103"/>
      <c r="I383" s="103">
        <v>35</v>
      </c>
      <c r="K383" s="103" t="s">
        <v>364</v>
      </c>
      <c r="L383" s="133">
        <v>0.38472222222222219</v>
      </c>
      <c r="M383" s="134">
        <v>2.2222222222222223E-2</v>
      </c>
      <c r="N383" s="134">
        <v>0.39513888888888887</v>
      </c>
      <c r="O383" s="133" t="s">
        <v>802</v>
      </c>
      <c r="Q383" s="100" t="s">
        <v>1706</v>
      </c>
      <c r="R383" s="226" t="s">
        <v>1739</v>
      </c>
      <c r="S383" s="491">
        <f t="shared" si="11"/>
        <v>1.00462963E-2</v>
      </c>
      <c r="T383" s="492" t="str">
        <f>IFERROR(VLOOKUP(F383,'Freq-Chan'!C:D,2,FALSE),"x")</f>
        <v>x</v>
      </c>
      <c r="U383" s="110" t="s">
        <v>541</v>
      </c>
      <c r="V383" s="110" t="str">
        <f t="shared" si="12"/>
        <v>FWL</v>
      </c>
      <c r="W383" s="110" t="s">
        <v>541</v>
      </c>
      <c r="X383" s="110" t="s">
        <v>541</v>
      </c>
      <c r="Y383" s="110" t="str">
        <f>IFERROR(VLOOKUP(F383,'Freq-Chan'!C:E,3,FALSE),"na")</f>
        <v>na</v>
      </c>
      <c r="Z383" s="110" t="s">
        <v>541</v>
      </c>
      <c r="AA383" s="110" t="s">
        <v>541</v>
      </c>
      <c r="AB383" s="110" t="s">
        <v>541</v>
      </c>
      <c r="AC383" s="10" t="s">
        <v>541</v>
      </c>
      <c r="AD383" s="10" t="s">
        <v>541</v>
      </c>
    </row>
    <row r="384" spans="1:30" x14ac:dyDescent="0.2">
      <c r="A384" s="110">
        <v>383</v>
      </c>
      <c r="B384" s="132">
        <v>41821</v>
      </c>
      <c r="C384" s="117">
        <v>1</v>
      </c>
      <c r="D384" s="103" t="s">
        <v>2</v>
      </c>
      <c r="E384" s="103" t="s">
        <v>306</v>
      </c>
      <c r="F384" s="103">
        <v>784</v>
      </c>
      <c r="G384" s="103">
        <v>1</v>
      </c>
      <c r="H384" s="137" t="s">
        <v>1207</v>
      </c>
      <c r="I384" s="103">
        <v>60</v>
      </c>
      <c r="K384" s="103" t="s">
        <v>364</v>
      </c>
      <c r="L384" s="133">
        <v>0.41180555555555554</v>
      </c>
      <c r="M384" s="134">
        <v>4.027777777777778E-2</v>
      </c>
      <c r="N384" s="134">
        <v>0.41597222222222219</v>
      </c>
      <c r="O384" s="133" t="s">
        <v>372</v>
      </c>
      <c r="Q384" s="100" t="s">
        <v>1706</v>
      </c>
      <c r="R384" s="226" t="s">
        <v>1739</v>
      </c>
      <c r="S384" s="491">
        <f t="shared" si="11"/>
        <v>3.4953704E-3</v>
      </c>
      <c r="T384" s="492">
        <f>IFERROR(VLOOKUP(F384,'Freq-Chan'!C:D,2,FALSE),"x")</f>
        <v>151.78399999999999</v>
      </c>
      <c r="U384" s="110" t="s">
        <v>541</v>
      </c>
      <c r="V384" s="110" t="str">
        <f t="shared" si="12"/>
        <v>FWL</v>
      </c>
      <c r="W384" s="110" t="s">
        <v>541</v>
      </c>
      <c r="X384" s="110" t="s">
        <v>541</v>
      </c>
      <c r="Y384" s="110" t="str">
        <f>IFERROR(VLOOKUP(F384,'Freq-Chan'!C:E,3,FALSE),"na")</f>
        <v>F1845</v>
      </c>
      <c r="Z384" s="110" t="s">
        <v>541</v>
      </c>
      <c r="AA384" s="110" t="s">
        <v>541</v>
      </c>
      <c r="AB384" s="110" t="s">
        <v>541</v>
      </c>
      <c r="AC384" s="10" t="s">
        <v>541</v>
      </c>
      <c r="AD384" s="10" t="s">
        <v>541</v>
      </c>
    </row>
    <row r="385" spans="1:30" x14ac:dyDescent="0.2">
      <c r="A385" s="110">
        <v>384</v>
      </c>
      <c r="B385" s="132">
        <v>41821</v>
      </c>
      <c r="C385" s="117">
        <v>1</v>
      </c>
      <c r="D385" s="103" t="s">
        <v>2</v>
      </c>
      <c r="E385" s="103" t="s">
        <v>306</v>
      </c>
      <c r="F385" s="103">
        <v>784</v>
      </c>
      <c r="G385" s="103">
        <v>14</v>
      </c>
      <c r="H385" s="137" t="s">
        <v>1208</v>
      </c>
      <c r="I385" s="103">
        <v>71</v>
      </c>
      <c r="K385" s="103" t="s">
        <v>364</v>
      </c>
      <c r="L385" s="133"/>
      <c r="M385" s="134">
        <v>5.9027777777777783E-2</v>
      </c>
      <c r="N385" s="134">
        <v>0.45416666666666666</v>
      </c>
      <c r="O385" s="133" t="s">
        <v>950</v>
      </c>
      <c r="Q385" s="100" t="s">
        <v>1697</v>
      </c>
      <c r="R385" s="226" t="s">
        <v>1739</v>
      </c>
      <c r="S385" s="491" t="str">
        <f t="shared" si="11"/>
        <v>x</v>
      </c>
      <c r="T385" s="492">
        <f>IFERROR(VLOOKUP(F385,'Freq-Chan'!C:D,2,FALSE),"x")</f>
        <v>151.78399999999999</v>
      </c>
      <c r="U385" s="110" t="s">
        <v>541</v>
      </c>
      <c r="V385" s="110" t="str">
        <f t="shared" si="12"/>
        <v>FWL</v>
      </c>
      <c r="W385" s="110" t="s">
        <v>541</v>
      </c>
      <c r="X385" s="110" t="s">
        <v>541</v>
      </c>
      <c r="Y385" s="110" t="str">
        <f>IFERROR(VLOOKUP(F385,'Freq-Chan'!C:E,3,FALSE),"na")</f>
        <v>F1845</v>
      </c>
      <c r="Z385" s="110" t="s">
        <v>541</v>
      </c>
      <c r="AA385" s="110" t="s">
        <v>541</v>
      </c>
      <c r="AB385" s="110" t="s">
        <v>541</v>
      </c>
      <c r="AC385" s="10" t="s">
        <v>541</v>
      </c>
      <c r="AD385" s="10" t="s">
        <v>541</v>
      </c>
    </row>
    <row r="386" spans="1:30" x14ac:dyDescent="0.2">
      <c r="A386" s="110">
        <v>385</v>
      </c>
      <c r="B386" s="132">
        <v>41821</v>
      </c>
      <c r="C386" s="117">
        <v>1</v>
      </c>
      <c r="D386" s="103" t="s">
        <v>2</v>
      </c>
      <c r="E386" s="103" t="s">
        <v>306</v>
      </c>
      <c r="F386" s="103">
        <v>755</v>
      </c>
      <c r="G386" s="103">
        <v>82</v>
      </c>
      <c r="H386" s="137" t="s">
        <v>1209</v>
      </c>
      <c r="I386" s="103">
        <v>58</v>
      </c>
      <c r="K386" s="103" t="s">
        <v>364</v>
      </c>
      <c r="L386" s="133"/>
      <c r="M386" s="134">
        <v>4.0972222222222222E-2</v>
      </c>
      <c r="N386" s="134">
        <v>0.45624999999999999</v>
      </c>
      <c r="O386" s="133" t="s">
        <v>950</v>
      </c>
      <c r="Q386" s="100" t="s">
        <v>1697</v>
      </c>
      <c r="R386" s="226" t="s">
        <v>1739</v>
      </c>
      <c r="S386" s="491" t="str">
        <f t="shared" si="11"/>
        <v>x</v>
      </c>
      <c r="T386" s="492">
        <f>IFERROR(VLOOKUP(F386,'Freq-Chan'!C:D,2,FALSE),"x")</f>
        <v>151.755</v>
      </c>
      <c r="U386" s="110" t="s">
        <v>541</v>
      </c>
      <c r="V386" s="110" t="str">
        <f t="shared" si="12"/>
        <v>FWL</v>
      </c>
      <c r="W386" s="110" t="s">
        <v>541</v>
      </c>
      <c r="X386" s="110" t="s">
        <v>541</v>
      </c>
      <c r="Y386" s="110" t="str">
        <f>IFERROR(VLOOKUP(F386,'Freq-Chan'!C:E,3,FALSE),"na")</f>
        <v>F1845</v>
      </c>
      <c r="Z386" s="110" t="s">
        <v>541</v>
      </c>
      <c r="AA386" s="110" t="s">
        <v>541</v>
      </c>
      <c r="AB386" s="110" t="s">
        <v>541</v>
      </c>
      <c r="AC386" s="10" t="s">
        <v>541</v>
      </c>
      <c r="AD386" s="10" t="s">
        <v>541</v>
      </c>
    </row>
    <row r="387" spans="1:30" x14ac:dyDescent="0.2">
      <c r="A387" s="110">
        <v>386</v>
      </c>
      <c r="B387" s="132">
        <v>41821</v>
      </c>
      <c r="C387" s="117">
        <v>1</v>
      </c>
      <c r="D387" s="103" t="s">
        <v>2</v>
      </c>
      <c r="E387" s="103" t="s">
        <v>306</v>
      </c>
      <c r="H387" s="103"/>
      <c r="I387" s="103">
        <v>50</v>
      </c>
      <c r="K387" s="103" t="s">
        <v>364</v>
      </c>
      <c r="L387" s="133"/>
      <c r="M387" s="134">
        <v>3.6805555555555557E-2</v>
      </c>
      <c r="N387" s="134">
        <v>0.45763888888888887</v>
      </c>
      <c r="O387" s="133" t="s">
        <v>806</v>
      </c>
      <c r="P387" s="100" t="s">
        <v>1705</v>
      </c>
      <c r="Q387" s="100" t="s">
        <v>1697</v>
      </c>
      <c r="R387" s="226" t="s">
        <v>1739</v>
      </c>
      <c r="S387" s="491" t="str">
        <f t="shared" ref="S387:S450" si="13">IF(IF(OR(L387=0,N387=0),"x",ROUND(N387-L387-(M387*24)/(24*60),10))&lt;0,0,IF(OR(L387=0,N387=0),"x",ROUND(N387-L387-(M387*24)/(24*60),10)))</f>
        <v>x</v>
      </c>
      <c r="T387" s="492" t="str">
        <f>IFERROR(VLOOKUP(F387,'Freq-Chan'!C:D,2,FALSE),"x")</f>
        <v>x</v>
      </c>
      <c r="U387" s="110" t="s">
        <v>541</v>
      </c>
      <c r="V387" s="110" t="str">
        <f t="shared" ref="V387:V450" si="14">IF(OR(C387=1,C387=2,C387=3),"FWL","NRD")</f>
        <v>FWL</v>
      </c>
      <c r="W387" s="110" t="s">
        <v>541</v>
      </c>
      <c r="X387" s="110" t="s">
        <v>541</v>
      </c>
      <c r="Y387" s="110" t="str">
        <f>IFERROR(VLOOKUP(F387,'Freq-Chan'!C:E,3,FALSE),"na")</f>
        <v>na</v>
      </c>
      <c r="Z387" s="110" t="s">
        <v>541</v>
      </c>
      <c r="AA387" s="110" t="s">
        <v>541</v>
      </c>
      <c r="AB387" s="110" t="s">
        <v>541</v>
      </c>
      <c r="AC387" s="10" t="s">
        <v>541</v>
      </c>
      <c r="AD387" s="10" t="s">
        <v>541</v>
      </c>
    </row>
    <row r="388" spans="1:30" x14ac:dyDescent="0.2">
      <c r="A388" s="110">
        <v>387</v>
      </c>
      <c r="B388" s="132">
        <v>41821</v>
      </c>
      <c r="C388" s="117">
        <v>1</v>
      </c>
      <c r="D388" s="103" t="s">
        <v>91</v>
      </c>
      <c r="E388" s="103" t="s">
        <v>798</v>
      </c>
      <c r="H388" s="103"/>
      <c r="J388" s="103">
        <v>18</v>
      </c>
      <c r="K388" s="103" t="s">
        <v>364</v>
      </c>
      <c r="L388" s="133"/>
      <c r="M388" s="134">
        <v>1.0416666666666666E-2</v>
      </c>
      <c r="N388" s="134">
        <v>0.45833333333333331</v>
      </c>
      <c r="O388" s="133" t="s">
        <v>806</v>
      </c>
      <c r="P388" s="100" t="s">
        <v>1708</v>
      </c>
      <c r="Q388" s="100" t="s">
        <v>1697</v>
      </c>
      <c r="R388" s="226" t="s">
        <v>1739</v>
      </c>
      <c r="S388" s="491" t="str">
        <f t="shared" si="13"/>
        <v>x</v>
      </c>
      <c r="T388" s="492" t="str">
        <f>IFERROR(VLOOKUP(F388,'Freq-Chan'!C:D,2,FALSE),"x")</f>
        <v>x</v>
      </c>
      <c r="U388" s="110" t="s">
        <v>541</v>
      </c>
      <c r="V388" s="110" t="str">
        <f t="shared" si="14"/>
        <v>FWL</v>
      </c>
      <c r="W388" s="110" t="s">
        <v>541</v>
      </c>
      <c r="X388" s="110" t="s">
        <v>541</v>
      </c>
      <c r="Y388" s="110" t="str">
        <f>IFERROR(VLOOKUP(F388,'Freq-Chan'!C:E,3,FALSE),"na")</f>
        <v>na</v>
      </c>
      <c r="Z388" s="110" t="s">
        <v>541</v>
      </c>
      <c r="AA388" s="110" t="s">
        <v>541</v>
      </c>
      <c r="AB388" s="110" t="s">
        <v>541</v>
      </c>
      <c r="AC388" s="10" t="s">
        <v>541</v>
      </c>
      <c r="AD388" s="10" t="s">
        <v>541</v>
      </c>
    </row>
    <row r="389" spans="1:30" x14ac:dyDescent="0.2">
      <c r="A389" s="110">
        <v>388</v>
      </c>
      <c r="B389" s="132">
        <v>41821</v>
      </c>
      <c r="C389" s="117">
        <v>1</v>
      </c>
      <c r="D389" s="103" t="s">
        <v>2</v>
      </c>
      <c r="E389" s="103" t="s">
        <v>306</v>
      </c>
      <c r="F389" s="103">
        <v>784</v>
      </c>
      <c r="G389" s="103">
        <v>67</v>
      </c>
      <c r="H389" s="137" t="s">
        <v>1210</v>
      </c>
      <c r="I389" s="103">
        <v>55</v>
      </c>
      <c r="K389" s="103" t="s">
        <v>364</v>
      </c>
      <c r="L389" s="133"/>
      <c r="M389" s="134">
        <v>5.0694444444444452E-2</v>
      </c>
      <c r="N389" s="134">
        <v>0.51180555555555551</v>
      </c>
      <c r="O389" s="133" t="s">
        <v>806</v>
      </c>
      <c r="Q389" s="100" t="s">
        <v>1697</v>
      </c>
      <c r="R389" s="226" t="s">
        <v>1739</v>
      </c>
      <c r="S389" s="491" t="str">
        <f t="shared" si="13"/>
        <v>x</v>
      </c>
      <c r="T389" s="492">
        <f>IFERROR(VLOOKUP(F389,'Freq-Chan'!C:D,2,FALSE),"x")</f>
        <v>151.78399999999999</v>
      </c>
      <c r="U389" s="110" t="s">
        <v>541</v>
      </c>
      <c r="V389" s="110" t="str">
        <f t="shared" si="14"/>
        <v>FWL</v>
      </c>
      <c r="W389" s="110" t="s">
        <v>541</v>
      </c>
      <c r="X389" s="110" t="s">
        <v>541</v>
      </c>
      <c r="Y389" s="110" t="str">
        <f>IFERROR(VLOOKUP(F389,'Freq-Chan'!C:E,3,FALSE),"na")</f>
        <v>F1845</v>
      </c>
      <c r="Z389" s="110" t="s">
        <v>541</v>
      </c>
      <c r="AA389" s="110" t="s">
        <v>541</v>
      </c>
      <c r="AB389" s="110" t="s">
        <v>541</v>
      </c>
      <c r="AC389" s="10" t="s">
        <v>541</v>
      </c>
      <c r="AD389" s="10" t="s">
        <v>541</v>
      </c>
    </row>
    <row r="390" spans="1:30" x14ac:dyDescent="0.2">
      <c r="A390" s="110">
        <v>389</v>
      </c>
      <c r="B390" s="132">
        <v>41821</v>
      </c>
      <c r="C390" s="117">
        <v>1</v>
      </c>
      <c r="D390" s="103" t="s">
        <v>2</v>
      </c>
      <c r="E390" s="103" t="s">
        <v>306</v>
      </c>
      <c r="F390" s="103">
        <v>784</v>
      </c>
      <c r="G390" s="103">
        <v>91</v>
      </c>
      <c r="H390" s="137" t="s">
        <v>1211</v>
      </c>
      <c r="I390" s="103">
        <v>83</v>
      </c>
      <c r="K390" s="103" t="s">
        <v>364</v>
      </c>
      <c r="L390" s="133">
        <v>0.54375000000000007</v>
      </c>
      <c r="M390" s="134">
        <v>5.5555555555555552E-2</v>
      </c>
      <c r="N390" s="134">
        <v>0.54652777777777783</v>
      </c>
      <c r="O390" s="133" t="s">
        <v>950</v>
      </c>
      <c r="Q390" s="100" t="s">
        <v>1697</v>
      </c>
      <c r="R390" s="226" t="s">
        <v>1739</v>
      </c>
      <c r="S390" s="491">
        <f t="shared" si="13"/>
        <v>1.8518518999999999E-3</v>
      </c>
      <c r="T390" s="492">
        <f>IFERROR(VLOOKUP(F390,'Freq-Chan'!C:D,2,FALSE),"x")</f>
        <v>151.78399999999999</v>
      </c>
      <c r="U390" s="110" t="s">
        <v>541</v>
      </c>
      <c r="V390" s="110" t="str">
        <f t="shared" si="14"/>
        <v>FWL</v>
      </c>
      <c r="W390" s="110" t="s">
        <v>541</v>
      </c>
      <c r="X390" s="110" t="s">
        <v>541</v>
      </c>
      <c r="Y390" s="110" t="str">
        <f>IFERROR(VLOOKUP(F390,'Freq-Chan'!C:E,3,FALSE),"na")</f>
        <v>F1845</v>
      </c>
      <c r="Z390" s="110" t="s">
        <v>541</v>
      </c>
      <c r="AA390" s="110" t="s">
        <v>541</v>
      </c>
      <c r="AB390" s="110" t="s">
        <v>541</v>
      </c>
      <c r="AC390" s="10" t="s">
        <v>541</v>
      </c>
      <c r="AD390" s="10" t="s">
        <v>541</v>
      </c>
    </row>
    <row r="391" spans="1:30" x14ac:dyDescent="0.2">
      <c r="A391" s="110">
        <v>390</v>
      </c>
      <c r="B391" s="132">
        <v>41821</v>
      </c>
      <c r="C391" s="117">
        <v>1</v>
      </c>
      <c r="D391" s="103" t="s">
        <v>2</v>
      </c>
      <c r="E391" s="103" t="s">
        <v>306</v>
      </c>
      <c r="F391" s="103">
        <v>784</v>
      </c>
      <c r="G391" s="103">
        <v>80</v>
      </c>
      <c r="H391" s="137" t="s">
        <v>1212</v>
      </c>
      <c r="I391" s="103">
        <v>80</v>
      </c>
      <c r="K391" s="103" t="s">
        <v>364</v>
      </c>
      <c r="L391" s="133">
        <v>0.58611111111111114</v>
      </c>
      <c r="M391" s="134">
        <v>5.6250000000000001E-2</v>
      </c>
      <c r="N391" s="134">
        <v>0.58958333333333335</v>
      </c>
      <c r="O391" s="133" t="s">
        <v>806</v>
      </c>
      <c r="Q391" s="100" t="s">
        <v>1697</v>
      </c>
      <c r="R391" s="226" t="s">
        <v>1739</v>
      </c>
      <c r="S391" s="491">
        <f t="shared" si="13"/>
        <v>2.5347222000000002E-3</v>
      </c>
      <c r="T391" s="492">
        <f>IFERROR(VLOOKUP(F391,'Freq-Chan'!C:D,2,FALSE),"x")</f>
        <v>151.78399999999999</v>
      </c>
      <c r="U391" s="110" t="s">
        <v>541</v>
      </c>
      <c r="V391" s="110" t="str">
        <f t="shared" si="14"/>
        <v>FWL</v>
      </c>
      <c r="W391" s="110" t="s">
        <v>541</v>
      </c>
      <c r="X391" s="110" t="s">
        <v>541</v>
      </c>
      <c r="Y391" s="110" t="str">
        <f>IFERROR(VLOOKUP(F391,'Freq-Chan'!C:E,3,FALSE),"na")</f>
        <v>F1845</v>
      </c>
      <c r="Z391" s="110" t="s">
        <v>541</v>
      </c>
      <c r="AA391" s="110" t="s">
        <v>541</v>
      </c>
      <c r="AB391" s="110" t="s">
        <v>541</v>
      </c>
      <c r="AC391" s="10" t="s">
        <v>541</v>
      </c>
      <c r="AD391" s="10" t="s">
        <v>541</v>
      </c>
    </row>
    <row r="392" spans="1:30" x14ac:dyDescent="0.2">
      <c r="A392" s="110">
        <v>391</v>
      </c>
      <c r="B392" s="132">
        <v>41821</v>
      </c>
      <c r="C392" s="117">
        <v>1</v>
      </c>
      <c r="D392" s="103" t="s">
        <v>2</v>
      </c>
      <c r="E392" s="103" t="s">
        <v>306</v>
      </c>
      <c r="F392" s="103">
        <v>784</v>
      </c>
      <c r="G392" s="103">
        <v>63</v>
      </c>
      <c r="H392" s="137" t="s">
        <v>1213</v>
      </c>
      <c r="I392" s="103">
        <v>60</v>
      </c>
      <c r="K392" s="103" t="s">
        <v>364</v>
      </c>
      <c r="L392" s="133"/>
      <c r="M392" s="134">
        <v>4.6527777777777779E-2</v>
      </c>
      <c r="N392" s="134">
        <v>0.59236111111111112</v>
      </c>
      <c r="O392" s="133" t="s">
        <v>950</v>
      </c>
      <c r="Q392" s="100" t="s">
        <v>1697</v>
      </c>
      <c r="R392" s="226" t="s">
        <v>1739</v>
      </c>
      <c r="S392" s="491" t="str">
        <f t="shared" si="13"/>
        <v>x</v>
      </c>
      <c r="T392" s="492">
        <f>IFERROR(VLOOKUP(F392,'Freq-Chan'!C:D,2,FALSE),"x")</f>
        <v>151.78399999999999</v>
      </c>
      <c r="U392" s="110" t="s">
        <v>541</v>
      </c>
      <c r="V392" s="110" t="str">
        <f t="shared" si="14"/>
        <v>FWL</v>
      </c>
      <c r="W392" s="110" t="s">
        <v>541</v>
      </c>
      <c r="X392" s="110" t="s">
        <v>541</v>
      </c>
      <c r="Y392" s="110" t="str">
        <f>IFERROR(VLOOKUP(F392,'Freq-Chan'!C:E,3,FALSE),"na")</f>
        <v>F1845</v>
      </c>
      <c r="Z392" s="110" t="s">
        <v>541</v>
      </c>
      <c r="AA392" s="110" t="s">
        <v>541</v>
      </c>
      <c r="AB392" s="110" t="s">
        <v>541</v>
      </c>
      <c r="AC392" s="10" t="s">
        <v>541</v>
      </c>
      <c r="AD392" s="10" t="s">
        <v>541</v>
      </c>
    </row>
    <row r="393" spans="1:30" x14ac:dyDescent="0.2">
      <c r="A393" s="110">
        <v>392</v>
      </c>
      <c r="B393" s="132">
        <v>41821</v>
      </c>
      <c r="C393" s="117">
        <v>1</v>
      </c>
      <c r="D393" s="103" t="s">
        <v>1707</v>
      </c>
      <c r="E393" s="103" t="s">
        <v>798</v>
      </c>
      <c r="H393" s="103"/>
      <c r="J393" s="103">
        <v>22</v>
      </c>
      <c r="K393" s="103" t="s">
        <v>364</v>
      </c>
      <c r="L393" s="133"/>
      <c r="M393" s="134">
        <v>2.7777777777777776E-2</v>
      </c>
      <c r="N393" s="134">
        <v>0.63750000000000007</v>
      </c>
      <c r="O393" s="133" t="s">
        <v>1532</v>
      </c>
      <c r="Q393" s="100" t="s">
        <v>1712</v>
      </c>
      <c r="R393" s="226" t="s">
        <v>1739</v>
      </c>
      <c r="S393" s="491" t="str">
        <f t="shared" si="13"/>
        <v>x</v>
      </c>
      <c r="T393" s="492" t="str">
        <f>IFERROR(VLOOKUP(F393,'Freq-Chan'!C:D,2,FALSE),"x")</f>
        <v>x</v>
      </c>
      <c r="U393" s="110" t="s">
        <v>541</v>
      </c>
      <c r="V393" s="110" t="str">
        <f t="shared" si="14"/>
        <v>FWL</v>
      </c>
      <c r="W393" s="110" t="s">
        <v>541</v>
      </c>
      <c r="X393" s="110" t="s">
        <v>541</v>
      </c>
      <c r="Y393" s="110" t="str">
        <f>IFERROR(VLOOKUP(F393,'Freq-Chan'!C:E,3,FALSE),"na")</f>
        <v>na</v>
      </c>
      <c r="Z393" s="110" t="s">
        <v>541</v>
      </c>
      <c r="AA393" s="110" t="s">
        <v>541</v>
      </c>
      <c r="AB393" s="110" t="s">
        <v>541</v>
      </c>
      <c r="AC393" s="10" t="s">
        <v>541</v>
      </c>
      <c r="AD393" s="10" t="s">
        <v>541</v>
      </c>
    </row>
    <row r="394" spans="1:30" x14ac:dyDescent="0.2">
      <c r="A394" s="110">
        <v>393</v>
      </c>
      <c r="B394" s="132">
        <v>41821</v>
      </c>
      <c r="C394" s="117">
        <v>1</v>
      </c>
      <c r="D394" s="103" t="s">
        <v>2</v>
      </c>
      <c r="E394" s="103" t="s">
        <v>306</v>
      </c>
      <c r="F394" s="103">
        <v>784</v>
      </c>
      <c r="G394" s="103">
        <v>66</v>
      </c>
      <c r="H394" s="137" t="s">
        <v>1214</v>
      </c>
      <c r="I394" s="103">
        <v>87</v>
      </c>
      <c r="K394" s="103" t="s">
        <v>364</v>
      </c>
      <c r="L394" s="133"/>
      <c r="M394" s="134">
        <v>4.7916666666666663E-2</v>
      </c>
      <c r="N394" s="134">
        <v>0.7895833333333333</v>
      </c>
      <c r="O394" s="133" t="s">
        <v>802</v>
      </c>
      <c r="Q394" s="100" t="s">
        <v>1712</v>
      </c>
      <c r="R394" s="226" t="s">
        <v>1739</v>
      </c>
      <c r="S394" s="491" t="str">
        <f t="shared" si="13"/>
        <v>x</v>
      </c>
      <c r="T394" s="492">
        <f>IFERROR(VLOOKUP(F394,'Freq-Chan'!C:D,2,FALSE),"x")</f>
        <v>151.78399999999999</v>
      </c>
      <c r="U394" s="110" t="s">
        <v>541</v>
      </c>
      <c r="V394" s="110" t="str">
        <f t="shared" si="14"/>
        <v>FWL</v>
      </c>
      <c r="W394" s="110" t="s">
        <v>541</v>
      </c>
      <c r="X394" s="110" t="s">
        <v>541</v>
      </c>
      <c r="Y394" s="110" t="str">
        <f>IFERROR(VLOOKUP(F394,'Freq-Chan'!C:E,3,FALSE),"na")</f>
        <v>F1845</v>
      </c>
      <c r="Z394" s="110" t="s">
        <v>541</v>
      </c>
      <c r="AA394" s="110" t="s">
        <v>541</v>
      </c>
      <c r="AB394" s="110" t="s">
        <v>541</v>
      </c>
      <c r="AC394" s="10" t="s">
        <v>541</v>
      </c>
      <c r="AD394" s="10" t="s">
        <v>541</v>
      </c>
    </row>
    <row r="395" spans="1:30" x14ac:dyDescent="0.2">
      <c r="A395" s="110">
        <v>394</v>
      </c>
      <c r="B395" s="132">
        <v>41821</v>
      </c>
      <c r="C395" s="117">
        <v>1</v>
      </c>
      <c r="D395" s="103" t="s">
        <v>2</v>
      </c>
      <c r="E395" s="103" t="s">
        <v>306</v>
      </c>
      <c r="F395" s="103">
        <v>755</v>
      </c>
      <c r="G395" s="103">
        <v>14</v>
      </c>
      <c r="H395" s="137" t="s">
        <v>1215</v>
      </c>
      <c r="I395" s="103">
        <v>59</v>
      </c>
      <c r="K395" s="103" t="s">
        <v>364</v>
      </c>
      <c r="L395" s="133"/>
      <c r="M395" s="134">
        <v>4.5138888888888888E-2</v>
      </c>
      <c r="N395" s="134">
        <v>0.79166666666666663</v>
      </c>
      <c r="O395" s="133" t="s">
        <v>802</v>
      </c>
      <c r="Q395" s="100" t="s">
        <v>1712</v>
      </c>
      <c r="R395" s="226" t="s">
        <v>1739</v>
      </c>
      <c r="S395" s="491" t="str">
        <f t="shared" si="13"/>
        <v>x</v>
      </c>
      <c r="T395" s="492">
        <f>IFERROR(VLOOKUP(F395,'Freq-Chan'!C:D,2,FALSE),"x")</f>
        <v>151.755</v>
      </c>
      <c r="U395" s="110" t="s">
        <v>541</v>
      </c>
      <c r="V395" s="110" t="str">
        <f t="shared" si="14"/>
        <v>FWL</v>
      </c>
      <c r="W395" s="110" t="s">
        <v>541</v>
      </c>
      <c r="X395" s="110" t="s">
        <v>541</v>
      </c>
      <c r="Y395" s="110" t="str">
        <f>IFERROR(VLOOKUP(F395,'Freq-Chan'!C:E,3,FALSE),"na")</f>
        <v>F1845</v>
      </c>
      <c r="Z395" s="110" t="s">
        <v>541</v>
      </c>
      <c r="AA395" s="110" t="s">
        <v>541</v>
      </c>
      <c r="AB395" s="110" t="s">
        <v>541</v>
      </c>
      <c r="AC395" s="10" t="s">
        <v>541</v>
      </c>
      <c r="AD395" s="10" t="s">
        <v>541</v>
      </c>
    </row>
    <row r="396" spans="1:30" x14ac:dyDescent="0.2">
      <c r="A396" s="110">
        <v>395</v>
      </c>
      <c r="B396" s="132">
        <v>41821</v>
      </c>
      <c r="C396" s="117">
        <v>1</v>
      </c>
      <c r="D396" s="103" t="s">
        <v>2</v>
      </c>
      <c r="E396" s="103" t="s">
        <v>306</v>
      </c>
      <c r="F396" s="103">
        <v>755</v>
      </c>
      <c r="G396" s="103">
        <v>34</v>
      </c>
      <c r="H396" s="137" t="s">
        <v>1216</v>
      </c>
      <c r="I396" s="103">
        <v>50</v>
      </c>
      <c r="K396" s="103" t="s">
        <v>364</v>
      </c>
      <c r="L396" s="133"/>
      <c r="M396" s="134">
        <v>5.6944444444444443E-2</v>
      </c>
      <c r="N396" s="134">
        <v>0.7944444444444444</v>
      </c>
      <c r="O396" s="133" t="s">
        <v>802</v>
      </c>
      <c r="Q396" s="100" t="s">
        <v>1712</v>
      </c>
      <c r="R396" s="226" t="s">
        <v>1739</v>
      </c>
      <c r="S396" s="491" t="str">
        <f t="shared" si="13"/>
        <v>x</v>
      </c>
      <c r="T396" s="492">
        <f>IFERROR(VLOOKUP(F396,'Freq-Chan'!C:D,2,FALSE),"x")</f>
        <v>151.755</v>
      </c>
      <c r="U396" s="110" t="s">
        <v>541</v>
      </c>
      <c r="V396" s="110" t="str">
        <f t="shared" si="14"/>
        <v>FWL</v>
      </c>
      <c r="W396" s="110" t="s">
        <v>541</v>
      </c>
      <c r="X396" s="110" t="s">
        <v>541</v>
      </c>
      <c r="Y396" s="110" t="str">
        <f>IFERROR(VLOOKUP(F396,'Freq-Chan'!C:E,3,FALSE),"na")</f>
        <v>F1845</v>
      </c>
      <c r="Z396" s="110" t="s">
        <v>541</v>
      </c>
      <c r="AA396" s="110" t="s">
        <v>541</v>
      </c>
      <c r="AB396" s="110" t="s">
        <v>541</v>
      </c>
      <c r="AC396" s="10" t="s">
        <v>541</v>
      </c>
      <c r="AD396" s="10" t="s">
        <v>541</v>
      </c>
    </row>
    <row r="397" spans="1:30" x14ac:dyDescent="0.2">
      <c r="A397" s="110">
        <v>396</v>
      </c>
      <c r="B397" s="132">
        <v>41821</v>
      </c>
      <c r="C397" s="117">
        <v>1</v>
      </c>
      <c r="D397" s="103" t="s">
        <v>2</v>
      </c>
      <c r="E397" s="103" t="s">
        <v>306</v>
      </c>
      <c r="F397" s="103">
        <v>784</v>
      </c>
      <c r="G397" s="103">
        <v>50</v>
      </c>
      <c r="H397" s="137" t="s">
        <v>1217</v>
      </c>
      <c r="I397" s="103">
        <v>61</v>
      </c>
      <c r="K397" s="103" t="s">
        <v>364</v>
      </c>
      <c r="L397" s="133">
        <v>0.82916666666666661</v>
      </c>
      <c r="M397" s="134">
        <v>4.0972222222222222E-2</v>
      </c>
      <c r="N397" s="134">
        <v>0.8305555555555556</v>
      </c>
      <c r="O397" s="133" t="s">
        <v>373</v>
      </c>
      <c r="Q397" s="100" t="s">
        <v>1712</v>
      </c>
      <c r="R397" s="226" t="s">
        <v>1739</v>
      </c>
      <c r="S397" s="491">
        <f t="shared" si="13"/>
        <v>7.0601850000000005E-4</v>
      </c>
      <c r="T397" s="492">
        <f>IFERROR(VLOOKUP(F397,'Freq-Chan'!C:D,2,FALSE),"x")</f>
        <v>151.78399999999999</v>
      </c>
      <c r="U397" s="110" t="s">
        <v>541</v>
      </c>
      <c r="V397" s="110" t="str">
        <f t="shared" si="14"/>
        <v>FWL</v>
      </c>
      <c r="W397" s="110" t="s">
        <v>541</v>
      </c>
      <c r="X397" s="110" t="s">
        <v>541</v>
      </c>
      <c r="Y397" s="110" t="str">
        <f>IFERROR(VLOOKUP(F397,'Freq-Chan'!C:E,3,FALSE),"na")</f>
        <v>F1845</v>
      </c>
      <c r="Z397" s="110" t="s">
        <v>541</v>
      </c>
      <c r="AA397" s="110" t="s">
        <v>541</v>
      </c>
      <c r="AB397" s="110" t="s">
        <v>541</v>
      </c>
      <c r="AC397" s="10" t="s">
        <v>541</v>
      </c>
      <c r="AD397" s="10" t="s">
        <v>541</v>
      </c>
    </row>
    <row r="398" spans="1:30" x14ac:dyDescent="0.2">
      <c r="A398" s="110">
        <v>397</v>
      </c>
      <c r="B398" s="132">
        <v>41821</v>
      </c>
      <c r="C398" s="117">
        <v>1</v>
      </c>
      <c r="D398" s="103" t="s">
        <v>2</v>
      </c>
      <c r="E398" s="103" t="s">
        <v>306</v>
      </c>
      <c r="F398" s="103">
        <v>755</v>
      </c>
      <c r="G398" s="103">
        <v>4</v>
      </c>
      <c r="H398" s="137" t="s">
        <v>1218</v>
      </c>
      <c r="I398" s="103">
        <v>87</v>
      </c>
      <c r="K398" s="103" t="s">
        <v>364</v>
      </c>
      <c r="L398" s="133">
        <v>0.82916666666666661</v>
      </c>
      <c r="M398" s="134">
        <v>5.9027777777777783E-2</v>
      </c>
      <c r="N398" s="134">
        <v>0.8354166666666667</v>
      </c>
      <c r="O398" s="133" t="s">
        <v>373</v>
      </c>
      <c r="P398" s="100" t="s">
        <v>1709</v>
      </c>
      <c r="Q398" s="100" t="s">
        <v>1713</v>
      </c>
      <c r="R398" s="226" t="s">
        <v>1739</v>
      </c>
      <c r="S398" s="491">
        <f t="shared" si="13"/>
        <v>5.2662037000000004E-3</v>
      </c>
      <c r="T398" s="492">
        <f>IFERROR(VLOOKUP(F398,'Freq-Chan'!C:D,2,FALSE),"x")</f>
        <v>151.755</v>
      </c>
      <c r="U398" s="110" t="s">
        <v>541</v>
      </c>
      <c r="V398" s="110" t="str">
        <f t="shared" si="14"/>
        <v>FWL</v>
      </c>
      <c r="W398" s="110" t="s">
        <v>541</v>
      </c>
      <c r="X398" s="110" t="s">
        <v>541</v>
      </c>
      <c r="Y398" s="110" t="str">
        <f>IFERROR(VLOOKUP(F398,'Freq-Chan'!C:E,3,FALSE),"na")</f>
        <v>F1845</v>
      </c>
      <c r="Z398" s="110" t="s">
        <v>541</v>
      </c>
      <c r="AA398" s="110" t="s">
        <v>541</v>
      </c>
      <c r="AB398" s="110" t="s">
        <v>541</v>
      </c>
      <c r="AC398" s="10" t="s">
        <v>541</v>
      </c>
      <c r="AD398" s="10" t="s">
        <v>541</v>
      </c>
    </row>
    <row r="399" spans="1:30" x14ac:dyDescent="0.2">
      <c r="A399" s="110">
        <v>398</v>
      </c>
      <c r="B399" s="132">
        <v>41821</v>
      </c>
      <c r="C399" s="117">
        <v>1</v>
      </c>
      <c r="D399" s="103" t="s">
        <v>75</v>
      </c>
      <c r="E399" s="103" t="s">
        <v>798</v>
      </c>
      <c r="H399" s="103"/>
      <c r="K399" s="103" t="s">
        <v>364</v>
      </c>
      <c r="L399" s="133"/>
      <c r="M399" s="134"/>
      <c r="N399" s="134">
        <v>0.8847222222222223</v>
      </c>
      <c r="O399" s="133" t="s">
        <v>373</v>
      </c>
      <c r="P399" s="100" t="s">
        <v>1710</v>
      </c>
      <c r="Q399" s="100" t="s">
        <v>1713</v>
      </c>
      <c r="R399" s="226" t="s">
        <v>1739</v>
      </c>
      <c r="S399" s="491" t="str">
        <f t="shared" si="13"/>
        <v>x</v>
      </c>
      <c r="T399" s="492" t="str">
        <f>IFERROR(VLOOKUP(F399,'Freq-Chan'!C:D,2,FALSE),"x")</f>
        <v>x</v>
      </c>
      <c r="U399" s="110" t="s">
        <v>541</v>
      </c>
      <c r="V399" s="110" t="str">
        <f t="shared" si="14"/>
        <v>FWL</v>
      </c>
      <c r="W399" s="110" t="s">
        <v>541</v>
      </c>
      <c r="X399" s="110" t="s">
        <v>541</v>
      </c>
      <c r="Y399" s="110" t="str">
        <f>IFERROR(VLOOKUP(F399,'Freq-Chan'!C:E,3,FALSE),"na")</f>
        <v>na</v>
      </c>
      <c r="Z399" s="110" t="s">
        <v>541</v>
      </c>
      <c r="AA399" s="110" t="s">
        <v>541</v>
      </c>
      <c r="AB399" s="110" t="s">
        <v>541</v>
      </c>
      <c r="AC399" s="10" t="s">
        <v>541</v>
      </c>
      <c r="AD399" s="10" t="s">
        <v>541</v>
      </c>
    </row>
    <row r="400" spans="1:30" x14ac:dyDescent="0.2">
      <c r="A400" s="110">
        <v>399</v>
      </c>
      <c r="B400" s="132">
        <v>41821</v>
      </c>
      <c r="C400" s="117">
        <v>1</v>
      </c>
      <c r="D400" s="103" t="s">
        <v>2</v>
      </c>
      <c r="E400" s="103" t="s">
        <v>306</v>
      </c>
      <c r="H400" s="103"/>
      <c r="K400" s="103" t="s">
        <v>364</v>
      </c>
      <c r="L400" s="133">
        <v>0.95416666666666661</v>
      </c>
      <c r="M400" s="134"/>
      <c r="N400" s="134">
        <v>0.95486111111111116</v>
      </c>
      <c r="O400" s="133" t="s">
        <v>373</v>
      </c>
      <c r="P400" s="100" t="s">
        <v>1711</v>
      </c>
      <c r="Q400" s="100" t="s">
        <v>1713</v>
      </c>
      <c r="R400" s="226" t="s">
        <v>1739</v>
      </c>
      <c r="S400" s="491">
        <f t="shared" si="13"/>
        <v>6.9444440000000004E-4</v>
      </c>
      <c r="T400" s="492" t="str">
        <f>IFERROR(VLOOKUP(F400,'Freq-Chan'!C:D,2,FALSE),"x")</f>
        <v>x</v>
      </c>
      <c r="U400" s="110" t="s">
        <v>541</v>
      </c>
      <c r="V400" s="110" t="str">
        <f t="shared" si="14"/>
        <v>FWL</v>
      </c>
      <c r="W400" s="110" t="s">
        <v>541</v>
      </c>
      <c r="X400" s="110" t="s">
        <v>541</v>
      </c>
      <c r="Y400" s="110" t="str">
        <f>IFERROR(VLOOKUP(F400,'Freq-Chan'!C:E,3,FALSE),"na")</f>
        <v>na</v>
      </c>
      <c r="Z400" s="110" t="s">
        <v>541</v>
      </c>
      <c r="AA400" s="110" t="s">
        <v>541</v>
      </c>
      <c r="AB400" s="110" t="s">
        <v>541</v>
      </c>
      <c r="AC400" s="10" t="s">
        <v>541</v>
      </c>
      <c r="AD400" s="10" t="s">
        <v>541</v>
      </c>
    </row>
    <row r="401" spans="1:30" s="291" customFormat="1" x14ac:dyDescent="0.2">
      <c r="A401" s="493">
        <v>400</v>
      </c>
      <c r="B401" s="283">
        <v>41821</v>
      </c>
      <c r="C401" s="284">
        <v>1</v>
      </c>
      <c r="D401" s="285" t="s">
        <v>2</v>
      </c>
      <c r="E401" s="285" t="s">
        <v>306</v>
      </c>
      <c r="F401" s="285">
        <v>755</v>
      </c>
      <c r="G401" s="285">
        <v>90</v>
      </c>
      <c r="H401" s="339" t="s">
        <v>1226</v>
      </c>
      <c r="I401" s="285"/>
      <c r="J401" s="285"/>
      <c r="K401" s="285" t="s">
        <v>364</v>
      </c>
      <c r="L401" s="286">
        <v>0.97638888888888886</v>
      </c>
      <c r="M401" s="287">
        <v>6.9444444444444434E-2</v>
      </c>
      <c r="N401" s="287">
        <v>0.97777777777777775</v>
      </c>
      <c r="O401" s="286" t="s">
        <v>909</v>
      </c>
      <c r="P401" s="289"/>
      <c r="Q401" s="289" t="s">
        <v>1713</v>
      </c>
      <c r="R401" s="290" t="s">
        <v>1739</v>
      </c>
      <c r="S401" s="494">
        <f t="shared" si="13"/>
        <v>2.314815E-4</v>
      </c>
      <c r="T401" s="495">
        <f>IFERROR(VLOOKUP(F401,'Freq-Chan'!C:D,2,FALSE),"x")</f>
        <v>151.755</v>
      </c>
      <c r="U401" s="493" t="s">
        <v>541</v>
      </c>
      <c r="V401" s="493" t="str">
        <f t="shared" si="14"/>
        <v>FWL</v>
      </c>
      <c r="W401" s="493" t="s">
        <v>541</v>
      </c>
      <c r="X401" s="493" t="s">
        <v>541</v>
      </c>
      <c r="Y401" s="493" t="str">
        <f>IFERROR(VLOOKUP(F401,'Freq-Chan'!C:E,3,FALSE),"na")</f>
        <v>F1845</v>
      </c>
      <c r="Z401" s="493" t="s">
        <v>541</v>
      </c>
      <c r="AA401" s="493" t="s">
        <v>541</v>
      </c>
      <c r="AB401" s="493" t="s">
        <v>541</v>
      </c>
      <c r="AC401" s="291" t="s">
        <v>541</v>
      </c>
      <c r="AD401" s="291" t="s">
        <v>541</v>
      </c>
    </row>
    <row r="402" spans="1:30" x14ac:dyDescent="0.2">
      <c r="A402" s="110">
        <v>401</v>
      </c>
      <c r="B402" s="132">
        <v>41821</v>
      </c>
      <c r="C402" s="117">
        <v>2</v>
      </c>
      <c r="D402" s="103" t="s">
        <v>177</v>
      </c>
      <c r="E402" s="103" t="s">
        <v>0</v>
      </c>
      <c r="H402" s="103"/>
      <c r="I402" s="103">
        <v>34</v>
      </c>
      <c r="K402" s="103" t="s">
        <v>364</v>
      </c>
      <c r="L402" s="133"/>
      <c r="M402" s="134">
        <v>2.0833333333333332E-2</v>
      </c>
      <c r="N402" s="137" t="s">
        <v>1714</v>
      </c>
      <c r="O402" s="133" t="s">
        <v>373</v>
      </c>
      <c r="Q402" s="100" t="s">
        <v>1716</v>
      </c>
      <c r="R402" s="226" t="s">
        <v>1739</v>
      </c>
      <c r="S402" s="491" t="str">
        <f t="shared" si="13"/>
        <v>x</v>
      </c>
      <c r="T402" s="492" t="str">
        <f>IFERROR(VLOOKUP(F402,'Freq-Chan'!C:D,2,FALSE),"x")</f>
        <v>x</v>
      </c>
      <c r="U402" s="110" t="s">
        <v>541</v>
      </c>
      <c r="V402" s="110" t="str">
        <f t="shared" si="14"/>
        <v>FWL</v>
      </c>
      <c r="W402" s="110" t="s">
        <v>541</v>
      </c>
      <c r="X402" s="110" t="s">
        <v>541</v>
      </c>
      <c r="Y402" s="110" t="str">
        <f>IFERROR(VLOOKUP(F402,'Freq-Chan'!C:E,3,FALSE),"na")</f>
        <v>na</v>
      </c>
      <c r="Z402" s="110" t="s">
        <v>541</v>
      </c>
      <c r="AA402" s="110" t="s">
        <v>541</v>
      </c>
      <c r="AB402" s="110" t="s">
        <v>541</v>
      </c>
      <c r="AC402" s="10" t="s">
        <v>541</v>
      </c>
      <c r="AD402" s="10" t="s">
        <v>541</v>
      </c>
    </row>
    <row r="403" spans="1:30" s="291" customFormat="1" x14ac:dyDescent="0.2">
      <c r="A403" s="493">
        <v>402</v>
      </c>
      <c r="B403" s="283">
        <v>41821</v>
      </c>
      <c r="C403" s="284">
        <v>2</v>
      </c>
      <c r="D403" s="285" t="s">
        <v>2</v>
      </c>
      <c r="E403" s="285" t="s">
        <v>306</v>
      </c>
      <c r="F403" s="285">
        <v>784</v>
      </c>
      <c r="G403" s="285">
        <v>88</v>
      </c>
      <c r="H403" s="339" t="s">
        <v>1219</v>
      </c>
      <c r="I403" s="285">
        <v>80</v>
      </c>
      <c r="J403" s="285"/>
      <c r="K403" s="285" t="s">
        <v>364</v>
      </c>
      <c r="L403" s="286"/>
      <c r="M403" s="287">
        <v>9.0277777777777776E-2</v>
      </c>
      <c r="N403" s="339" t="s">
        <v>1537</v>
      </c>
      <c r="O403" s="286" t="s">
        <v>373</v>
      </c>
      <c r="P403" s="289" t="s">
        <v>1715</v>
      </c>
      <c r="Q403" s="289" t="s">
        <v>1716</v>
      </c>
      <c r="R403" s="290" t="s">
        <v>1739</v>
      </c>
      <c r="S403" s="494" t="str">
        <f t="shared" si="13"/>
        <v>x</v>
      </c>
      <c r="T403" s="495">
        <f>IFERROR(VLOOKUP(F403,'Freq-Chan'!C:D,2,FALSE),"x")</f>
        <v>151.78399999999999</v>
      </c>
      <c r="U403" s="493" t="s">
        <v>541</v>
      </c>
      <c r="V403" s="493" t="str">
        <f t="shared" si="14"/>
        <v>FWL</v>
      </c>
      <c r="W403" s="493" t="s">
        <v>541</v>
      </c>
      <c r="X403" s="493" t="s">
        <v>541</v>
      </c>
      <c r="Y403" s="493" t="str">
        <f>IFERROR(VLOOKUP(F403,'Freq-Chan'!C:E,3,FALSE),"na")</f>
        <v>F1845</v>
      </c>
      <c r="Z403" s="493" t="s">
        <v>541</v>
      </c>
      <c r="AA403" s="493" t="s">
        <v>541</v>
      </c>
      <c r="AB403" s="493" t="s">
        <v>541</v>
      </c>
      <c r="AC403" s="291" t="s">
        <v>541</v>
      </c>
      <c r="AD403" s="291" t="s">
        <v>541</v>
      </c>
    </row>
    <row r="404" spans="1:30" x14ac:dyDescent="0.2">
      <c r="A404" s="110">
        <v>403</v>
      </c>
      <c r="B404" s="132">
        <v>41821</v>
      </c>
      <c r="C404" s="117">
        <v>3</v>
      </c>
      <c r="D404" s="103" t="s">
        <v>2</v>
      </c>
      <c r="E404" s="103" t="s">
        <v>306</v>
      </c>
      <c r="F404" s="103">
        <v>784</v>
      </c>
      <c r="G404" s="103">
        <v>48</v>
      </c>
      <c r="H404" s="137" t="s">
        <v>1174</v>
      </c>
      <c r="I404" s="103">
        <v>65</v>
      </c>
      <c r="K404" s="103" t="s">
        <v>364</v>
      </c>
      <c r="L404" s="133"/>
      <c r="M404" s="134">
        <v>4.9999999999999996E-2</v>
      </c>
      <c r="N404" s="134">
        <v>0.27499999999999997</v>
      </c>
      <c r="O404" s="133" t="s">
        <v>376</v>
      </c>
      <c r="Q404" s="100" t="s">
        <v>1720</v>
      </c>
      <c r="R404" s="226" t="s">
        <v>1739</v>
      </c>
      <c r="S404" s="491" t="str">
        <f t="shared" si="13"/>
        <v>x</v>
      </c>
      <c r="T404" s="492">
        <f>IFERROR(VLOOKUP(F404,'Freq-Chan'!C:D,2,FALSE),"x")</f>
        <v>151.78399999999999</v>
      </c>
      <c r="U404" s="110" t="s">
        <v>541</v>
      </c>
      <c r="V404" s="110" t="str">
        <f t="shared" si="14"/>
        <v>FWL</v>
      </c>
      <c r="W404" s="110" t="s">
        <v>541</v>
      </c>
      <c r="X404" s="110" t="s">
        <v>541</v>
      </c>
      <c r="Y404" s="110" t="str">
        <f>IFERROR(VLOOKUP(F404,'Freq-Chan'!C:E,3,FALSE),"na")</f>
        <v>F1845</v>
      </c>
      <c r="Z404" s="110" t="s">
        <v>541</v>
      </c>
      <c r="AA404" s="110" t="s">
        <v>541</v>
      </c>
      <c r="AB404" s="110" t="s">
        <v>541</v>
      </c>
      <c r="AC404" s="10" t="s">
        <v>541</v>
      </c>
      <c r="AD404" s="10" t="s">
        <v>541</v>
      </c>
    </row>
    <row r="405" spans="1:30" x14ac:dyDescent="0.2">
      <c r="A405" s="110">
        <v>404</v>
      </c>
      <c r="B405" s="132">
        <v>41821</v>
      </c>
      <c r="C405" s="117">
        <v>3</v>
      </c>
      <c r="D405" s="103" t="s">
        <v>2</v>
      </c>
      <c r="E405" s="103" t="s">
        <v>306</v>
      </c>
      <c r="F405" s="103">
        <v>755</v>
      </c>
      <c r="G405" s="103">
        <v>67</v>
      </c>
      <c r="H405" s="137" t="s">
        <v>1175</v>
      </c>
      <c r="I405" s="103">
        <v>84</v>
      </c>
      <c r="K405" s="103" t="s">
        <v>364</v>
      </c>
      <c r="L405" s="133"/>
      <c r="M405" s="134">
        <v>6.805555555555555E-2</v>
      </c>
      <c r="N405" s="134">
        <v>0.27777777777777779</v>
      </c>
      <c r="O405" s="133" t="s">
        <v>376</v>
      </c>
      <c r="Q405" s="100" t="s">
        <v>1720</v>
      </c>
      <c r="R405" s="226" t="s">
        <v>1739</v>
      </c>
      <c r="S405" s="491" t="str">
        <f t="shared" si="13"/>
        <v>x</v>
      </c>
      <c r="T405" s="492">
        <f>IFERROR(VLOOKUP(F405,'Freq-Chan'!C:D,2,FALSE),"x")</f>
        <v>151.755</v>
      </c>
      <c r="U405" s="110" t="s">
        <v>541</v>
      </c>
      <c r="V405" s="110" t="str">
        <f t="shared" si="14"/>
        <v>FWL</v>
      </c>
      <c r="W405" s="110" t="s">
        <v>541</v>
      </c>
      <c r="X405" s="110" t="s">
        <v>541</v>
      </c>
      <c r="Y405" s="110" t="str">
        <f>IFERROR(VLOOKUP(F405,'Freq-Chan'!C:E,3,FALSE),"na")</f>
        <v>F1845</v>
      </c>
      <c r="Z405" s="110" t="s">
        <v>541</v>
      </c>
      <c r="AA405" s="110" t="s">
        <v>541</v>
      </c>
      <c r="AB405" s="110" t="s">
        <v>541</v>
      </c>
      <c r="AC405" s="10" t="s">
        <v>541</v>
      </c>
      <c r="AD405" s="10" t="s">
        <v>541</v>
      </c>
    </row>
    <row r="406" spans="1:30" x14ac:dyDescent="0.2">
      <c r="A406" s="110">
        <v>405</v>
      </c>
      <c r="B406" s="132">
        <v>41821</v>
      </c>
      <c r="C406" s="117">
        <v>3</v>
      </c>
      <c r="D406" s="103" t="s">
        <v>90</v>
      </c>
      <c r="E406" s="103" t="s">
        <v>798</v>
      </c>
      <c r="H406" s="103" t="s">
        <v>1719</v>
      </c>
      <c r="J406" s="103">
        <v>18</v>
      </c>
      <c r="K406" s="103" t="s">
        <v>364</v>
      </c>
      <c r="L406" s="133"/>
      <c r="M406" s="134">
        <v>4.1666666666666664E-2</v>
      </c>
      <c r="N406" s="134">
        <v>0.28194444444444444</v>
      </c>
      <c r="O406" s="133" t="s">
        <v>376</v>
      </c>
      <c r="Q406" s="100" t="s">
        <v>1720</v>
      </c>
      <c r="R406" s="226" t="s">
        <v>1739</v>
      </c>
      <c r="S406" s="491" t="str">
        <f t="shared" si="13"/>
        <v>x</v>
      </c>
      <c r="T406" s="492" t="str">
        <f>IFERROR(VLOOKUP(F406,'Freq-Chan'!C:D,2,FALSE),"x")</f>
        <v>x</v>
      </c>
      <c r="U406" s="110" t="s">
        <v>541</v>
      </c>
      <c r="V406" s="110" t="str">
        <f t="shared" si="14"/>
        <v>FWL</v>
      </c>
      <c r="W406" s="110" t="s">
        <v>541</v>
      </c>
      <c r="X406" s="110" t="s">
        <v>541</v>
      </c>
      <c r="Y406" s="110" t="str">
        <f>IFERROR(VLOOKUP(F406,'Freq-Chan'!C:E,3,FALSE),"na")</f>
        <v>na</v>
      </c>
      <c r="Z406" s="110" t="s">
        <v>541</v>
      </c>
      <c r="AA406" s="110" t="s">
        <v>541</v>
      </c>
      <c r="AB406" s="110" t="s">
        <v>541</v>
      </c>
      <c r="AC406" s="10" t="s">
        <v>541</v>
      </c>
      <c r="AD406" s="10" t="s">
        <v>541</v>
      </c>
    </row>
    <row r="407" spans="1:30" x14ac:dyDescent="0.2">
      <c r="A407" s="110">
        <v>406</v>
      </c>
      <c r="B407" s="132">
        <v>41821</v>
      </c>
      <c r="C407" s="117">
        <v>3</v>
      </c>
      <c r="D407" s="103" t="s">
        <v>2</v>
      </c>
      <c r="E407" s="103" t="s">
        <v>306</v>
      </c>
      <c r="F407" s="103">
        <v>784</v>
      </c>
      <c r="G407" s="103">
        <v>0</v>
      </c>
      <c r="H407" s="137" t="s">
        <v>1176</v>
      </c>
      <c r="I407" s="103">
        <v>56</v>
      </c>
      <c r="K407" s="103" t="s">
        <v>364</v>
      </c>
      <c r="L407" s="133"/>
      <c r="M407" s="134">
        <v>6.5277777777777782E-2</v>
      </c>
      <c r="N407" s="134">
        <v>0.28611111111111115</v>
      </c>
      <c r="O407" s="133" t="s">
        <v>376</v>
      </c>
      <c r="Q407" s="100" t="s">
        <v>1720</v>
      </c>
      <c r="R407" s="226" t="s">
        <v>1739</v>
      </c>
      <c r="S407" s="491" t="str">
        <f t="shared" si="13"/>
        <v>x</v>
      </c>
      <c r="T407" s="492">
        <f>IFERROR(VLOOKUP(F407,'Freq-Chan'!C:D,2,FALSE),"x")</f>
        <v>151.78399999999999</v>
      </c>
      <c r="U407" s="110" t="s">
        <v>541</v>
      </c>
      <c r="V407" s="110" t="str">
        <f t="shared" si="14"/>
        <v>FWL</v>
      </c>
      <c r="W407" s="110" t="s">
        <v>541</v>
      </c>
      <c r="X407" s="110" t="s">
        <v>541</v>
      </c>
      <c r="Y407" s="110" t="str">
        <f>IFERROR(VLOOKUP(F407,'Freq-Chan'!C:E,3,FALSE),"na")</f>
        <v>F1845</v>
      </c>
      <c r="Z407" s="110" t="s">
        <v>541</v>
      </c>
      <c r="AA407" s="110" t="s">
        <v>541</v>
      </c>
      <c r="AB407" s="110" t="s">
        <v>541</v>
      </c>
      <c r="AC407" s="10" t="s">
        <v>541</v>
      </c>
      <c r="AD407" s="10" t="s">
        <v>541</v>
      </c>
    </row>
    <row r="408" spans="1:30" x14ac:dyDescent="0.2">
      <c r="A408" s="110">
        <v>407</v>
      </c>
      <c r="B408" s="132">
        <v>41821</v>
      </c>
      <c r="C408" s="117">
        <v>3</v>
      </c>
      <c r="D408" s="103" t="s">
        <v>2</v>
      </c>
      <c r="E408" s="103" t="s">
        <v>306</v>
      </c>
      <c r="F408" s="103">
        <v>755</v>
      </c>
      <c r="G408" s="103">
        <v>24</v>
      </c>
      <c r="H408" s="137" t="s">
        <v>1177</v>
      </c>
      <c r="I408" s="103">
        <v>84</v>
      </c>
      <c r="K408" s="103" t="s">
        <v>364</v>
      </c>
      <c r="L408" s="133"/>
      <c r="M408" s="134">
        <v>7.9861111111111105E-2</v>
      </c>
      <c r="N408" s="134">
        <v>0.28958333333333336</v>
      </c>
      <c r="O408" s="133" t="s">
        <v>376</v>
      </c>
      <c r="Q408" s="100" t="s">
        <v>1720</v>
      </c>
      <c r="R408" s="226" t="s">
        <v>1739</v>
      </c>
      <c r="S408" s="491" t="str">
        <f t="shared" si="13"/>
        <v>x</v>
      </c>
      <c r="T408" s="492">
        <f>IFERROR(VLOOKUP(F408,'Freq-Chan'!C:D,2,FALSE),"x")</f>
        <v>151.755</v>
      </c>
      <c r="U408" s="110" t="s">
        <v>541</v>
      </c>
      <c r="V408" s="110" t="str">
        <f t="shared" si="14"/>
        <v>FWL</v>
      </c>
      <c r="W408" s="110" t="s">
        <v>541</v>
      </c>
      <c r="X408" s="110" t="s">
        <v>541</v>
      </c>
      <c r="Y408" s="110" t="str">
        <f>IFERROR(VLOOKUP(F408,'Freq-Chan'!C:E,3,FALSE),"na")</f>
        <v>F1845</v>
      </c>
      <c r="Z408" s="110" t="s">
        <v>541</v>
      </c>
      <c r="AA408" s="110" t="s">
        <v>541</v>
      </c>
      <c r="AB408" s="110" t="s">
        <v>541</v>
      </c>
      <c r="AC408" s="10" t="s">
        <v>541</v>
      </c>
      <c r="AD408" s="10" t="s">
        <v>541</v>
      </c>
    </row>
    <row r="409" spans="1:30" x14ac:dyDescent="0.2">
      <c r="A409" s="110">
        <v>408</v>
      </c>
      <c r="B409" s="132">
        <v>41821</v>
      </c>
      <c r="C409" s="117">
        <v>3</v>
      </c>
      <c r="D409" s="103" t="s">
        <v>2</v>
      </c>
      <c r="E409" s="103" t="s">
        <v>306</v>
      </c>
      <c r="H409" s="103"/>
      <c r="I409" s="103">
        <v>74</v>
      </c>
      <c r="K409" s="103" t="s">
        <v>364</v>
      </c>
      <c r="L409" s="133"/>
      <c r="M409" s="134"/>
      <c r="N409" s="134">
        <v>0.29305555555555557</v>
      </c>
      <c r="O409" s="133" t="s">
        <v>376</v>
      </c>
      <c r="P409" s="100" t="s">
        <v>1717</v>
      </c>
      <c r="Q409" s="100" t="s">
        <v>1720</v>
      </c>
      <c r="R409" s="226" t="s">
        <v>1739</v>
      </c>
      <c r="S409" s="491" t="str">
        <f t="shared" si="13"/>
        <v>x</v>
      </c>
      <c r="T409" s="492" t="str">
        <f>IFERROR(VLOOKUP(F409,'Freq-Chan'!C:D,2,FALSE),"x")</f>
        <v>x</v>
      </c>
      <c r="U409" s="110" t="s">
        <v>541</v>
      </c>
      <c r="V409" s="110" t="str">
        <f t="shared" si="14"/>
        <v>FWL</v>
      </c>
      <c r="W409" s="110" t="s">
        <v>541</v>
      </c>
      <c r="X409" s="110" t="s">
        <v>541</v>
      </c>
      <c r="Y409" s="110" t="str">
        <f>IFERROR(VLOOKUP(F409,'Freq-Chan'!C:E,3,FALSE),"na")</f>
        <v>na</v>
      </c>
      <c r="Z409" s="110" t="s">
        <v>541</v>
      </c>
      <c r="AA409" s="110" t="s">
        <v>541</v>
      </c>
      <c r="AB409" s="110" t="s">
        <v>541</v>
      </c>
      <c r="AC409" s="10" t="s">
        <v>541</v>
      </c>
      <c r="AD409" s="10" t="s">
        <v>541</v>
      </c>
    </row>
    <row r="410" spans="1:30" x14ac:dyDescent="0.2">
      <c r="A410" s="110">
        <v>409</v>
      </c>
      <c r="B410" s="132">
        <v>41821</v>
      </c>
      <c r="C410" s="117">
        <v>3</v>
      </c>
      <c r="D410" s="103" t="s">
        <v>177</v>
      </c>
      <c r="E410" s="103" t="s">
        <v>0</v>
      </c>
      <c r="F410" s="103">
        <v>917</v>
      </c>
      <c r="G410" s="103">
        <v>93</v>
      </c>
      <c r="H410" s="137" t="s">
        <v>1178</v>
      </c>
      <c r="I410" s="103">
        <v>45</v>
      </c>
      <c r="K410" s="103" t="s">
        <v>364</v>
      </c>
      <c r="L410" s="133"/>
      <c r="M410" s="134">
        <v>6.25E-2</v>
      </c>
      <c r="N410" s="134">
        <v>0.2986111111111111</v>
      </c>
      <c r="O410" s="133" t="s">
        <v>1532</v>
      </c>
      <c r="Q410" s="100" t="s">
        <v>1720</v>
      </c>
      <c r="R410" s="226" t="s">
        <v>1739</v>
      </c>
      <c r="S410" s="491" t="str">
        <f t="shared" si="13"/>
        <v>x</v>
      </c>
      <c r="T410" s="492">
        <f>IFERROR(VLOOKUP(F410,'Freq-Chan'!C:D,2,FALSE),"x")</f>
        <v>151.917</v>
      </c>
      <c r="U410" s="110" t="s">
        <v>541</v>
      </c>
      <c r="V410" s="110" t="str">
        <f t="shared" si="14"/>
        <v>FWL</v>
      </c>
      <c r="W410" s="110" t="s">
        <v>541</v>
      </c>
      <c r="X410" s="110" t="s">
        <v>541</v>
      </c>
      <c r="Y410" s="110" t="str">
        <f>IFERROR(VLOOKUP(F410,'Freq-Chan'!C:E,3,FALSE),"na")</f>
        <v>F1835</v>
      </c>
      <c r="Z410" s="110" t="s">
        <v>541</v>
      </c>
      <c r="AA410" s="110" t="s">
        <v>541</v>
      </c>
      <c r="AB410" s="110" t="s">
        <v>541</v>
      </c>
      <c r="AC410" s="10" t="s">
        <v>541</v>
      </c>
      <c r="AD410" s="10" t="s">
        <v>541</v>
      </c>
    </row>
    <row r="411" spans="1:30" x14ac:dyDescent="0.2">
      <c r="A411" s="110">
        <v>410</v>
      </c>
      <c r="B411" s="132">
        <v>41821</v>
      </c>
      <c r="C411" s="117">
        <v>3</v>
      </c>
      <c r="D411" s="103" t="s">
        <v>90</v>
      </c>
      <c r="E411" s="103" t="s">
        <v>798</v>
      </c>
      <c r="H411" s="103" t="s">
        <v>1719</v>
      </c>
      <c r="J411" s="103">
        <v>35</v>
      </c>
      <c r="K411" s="103" t="s">
        <v>364</v>
      </c>
      <c r="L411" s="133"/>
      <c r="M411" s="134">
        <v>2.7777777777777776E-2</v>
      </c>
      <c r="N411" s="134">
        <v>0.30138888888888887</v>
      </c>
      <c r="O411" s="133" t="s">
        <v>1532</v>
      </c>
      <c r="Q411" s="100" t="s">
        <v>1720</v>
      </c>
      <c r="R411" s="226" t="s">
        <v>1739</v>
      </c>
      <c r="S411" s="491" t="str">
        <f t="shared" si="13"/>
        <v>x</v>
      </c>
      <c r="T411" s="492" t="str">
        <f>IFERROR(VLOOKUP(F411,'Freq-Chan'!C:D,2,FALSE),"x")</f>
        <v>x</v>
      </c>
      <c r="U411" s="110" t="s">
        <v>541</v>
      </c>
      <c r="V411" s="110" t="str">
        <f t="shared" si="14"/>
        <v>FWL</v>
      </c>
      <c r="W411" s="110" t="s">
        <v>541</v>
      </c>
      <c r="X411" s="110" t="s">
        <v>541</v>
      </c>
      <c r="Y411" s="110" t="str">
        <f>IFERROR(VLOOKUP(F411,'Freq-Chan'!C:E,3,FALSE),"na")</f>
        <v>na</v>
      </c>
      <c r="Z411" s="110" t="s">
        <v>541</v>
      </c>
      <c r="AA411" s="110" t="s">
        <v>541</v>
      </c>
      <c r="AB411" s="110" t="s">
        <v>541</v>
      </c>
      <c r="AC411" s="10" t="s">
        <v>541</v>
      </c>
      <c r="AD411" s="10" t="s">
        <v>541</v>
      </c>
    </row>
    <row r="412" spans="1:30" x14ac:dyDescent="0.2">
      <c r="A412" s="110">
        <v>411</v>
      </c>
      <c r="B412" s="132">
        <v>41821</v>
      </c>
      <c r="C412" s="117">
        <v>3</v>
      </c>
      <c r="D412" s="103" t="s">
        <v>2</v>
      </c>
      <c r="E412" s="103" t="s">
        <v>306</v>
      </c>
      <c r="F412" s="103">
        <v>784</v>
      </c>
      <c r="G412" s="103">
        <v>81</v>
      </c>
      <c r="H412" s="137" t="s">
        <v>1200</v>
      </c>
      <c r="I412" s="103">
        <v>76</v>
      </c>
      <c r="K412" s="103" t="s">
        <v>364</v>
      </c>
      <c r="L412" s="133"/>
      <c r="M412" s="134">
        <v>5.9722222222222225E-2</v>
      </c>
      <c r="N412" s="134">
        <v>0.3263888888888889</v>
      </c>
      <c r="O412" s="133" t="s">
        <v>376</v>
      </c>
      <c r="Q412" s="100" t="s">
        <v>1720</v>
      </c>
      <c r="R412" s="226" t="s">
        <v>1739</v>
      </c>
      <c r="S412" s="491" t="str">
        <f t="shared" si="13"/>
        <v>x</v>
      </c>
      <c r="T412" s="492">
        <f>IFERROR(VLOOKUP(F412,'Freq-Chan'!C:D,2,FALSE),"x")</f>
        <v>151.78399999999999</v>
      </c>
      <c r="U412" s="110" t="s">
        <v>541</v>
      </c>
      <c r="V412" s="110" t="str">
        <f t="shared" si="14"/>
        <v>FWL</v>
      </c>
      <c r="W412" s="110" t="s">
        <v>541</v>
      </c>
      <c r="X412" s="110" t="s">
        <v>541</v>
      </c>
      <c r="Y412" s="110" t="str">
        <f>IFERROR(VLOOKUP(F412,'Freq-Chan'!C:E,3,FALSE),"na")</f>
        <v>F1845</v>
      </c>
      <c r="Z412" s="110" t="s">
        <v>541</v>
      </c>
      <c r="AA412" s="110" t="s">
        <v>541</v>
      </c>
      <c r="AB412" s="110" t="s">
        <v>541</v>
      </c>
      <c r="AC412" s="10" t="s">
        <v>541</v>
      </c>
      <c r="AD412" s="10" t="s">
        <v>541</v>
      </c>
    </row>
    <row r="413" spans="1:30" x14ac:dyDescent="0.2">
      <c r="A413" s="110">
        <v>412</v>
      </c>
      <c r="B413" s="132">
        <v>41821</v>
      </c>
      <c r="C413" s="117">
        <v>3</v>
      </c>
      <c r="D413" s="103" t="s">
        <v>2</v>
      </c>
      <c r="E413" s="103" t="s">
        <v>306</v>
      </c>
      <c r="F413" s="103">
        <v>784</v>
      </c>
      <c r="G413" s="103">
        <v>60</v>
      </c>
      <c r="H413" s="137" t="s">
        <v>1201</v>
      </c>
      <c r="I413" s="103">
        <v>62</v>
      </c>
      <c r="K413" s="103" t="s">
        <v>364</v>
      </c>
      <c r="L413" s="133">
        <v>0.35555555555555557</v>
      </c>
      <c r="M413" s="134">
        <v>5.4166666666666669E-2</v>
      </c>
      <c r="N413" s="134">
        <v>0.36527777777777781</v>
      </c>
      <c r="O413" s="133" t="s">
        <v>376</v>
      </c>
      <c r="Q413" s="100" t="s">
        <v>1720</v>
      </c>
      <c r="R413" s="226" t="s">
        <v>1739</v>
      </c>
      <c r="S413" s="491">
        <f t="shared" si="13"/>
        <v>8.8194443999999993E-3</v>
      </c>
      <c r="T413" s="492">
        <f>IFERROR(VLOOKUP(F413,'Freq-Chan'!C:D,2,FALSE),"x")</f>
        <v>151.78399999999999</v>
      </c>
      <c r="U413" s="110" t="s">
        <v>541</v>
      </c>
      <c r="V413" s="110" t="str">
        <f t="shared" si="14"/>
        <v>FWL</v>
      </c>
      <c r="W413" s="110" t="s">
        <v>541</v>
      </c>
      <c r="X413" s="110" t="s">
        <v>541</v>
      </c>
      <c r="Y413" s="110" t="str">
        <f>IFERROR(VLOOKUP(F413,'Freq-Chan'!C:E,3,FALSE),"na")</f>
        <v>F1845</v>
      </c>
      <c r="Z413" s="110" t="s">
        <v>541</v>
      </c>
      <c r="AA413" s="110" t="s">
        <v>541</v>
      </c>
      <c r="AB413" s="110" t="s">
        <v>541</v>
      </c>
      <c r="AC413" s="10" t="s">
        <v>541</v>
      </c>
      <c r="AD413" s="10" t="s">
        <v>541</v>
      </c>
    </row>
    <row r="414" spans="1:30" x14ac:dyDescent="0.2">
      <c r="A414" s="110">
        <v>413</v>
      </c>
      <c r="B414" s="132">
        <v>41821</v>
      </c>
      <c r="C414" s="117">
        <v>3</v>
      </c>
      <c r="D414" s="103" t="s">
        <v>2</v>
      </c>
      <c r="E414" s="103" t="s">
        <v>306</v>
      </c>
      <c r="F414" s="103">
        <v>755</v>
      </c>
      <c r="G414" s="103">
        <v>60</v>
      </c>
      <c r="H414" s="137" t="s">
        <v>1202</v>
      </c>
      <c r="I414" s="103">
        <v>51</v>
      </c>
      <c r="K414" s="103" t="s">
        <v>364</v>
      </c>
      <c r="L414" s="133">
        <v>0.39583333333333331</v>
      </c>
      <c r="M414" s="134">
        <v>5.9027777777777783E-2</v>
      </c>
      <c r="N414" s="134">
        <v>0.40416666666666662</v>
      </c>
      <c r="O414" s="133" t="s">
        <v>1532</v>
      </c>
      <c r="Q414" s="100" t="s">
        <v>1720</v>
      </c>
      <c r="R414" s="226" t="s">
        <v>1739</v>
      </c>
      <c r="S414" s="491">
        <f t="shared" si="13"/>
        <v>7.3495369999999997E-3</v>
      </c>
      <c r="T414" s="492">
        <f>IFERROR(VLOOKUP(F414,'Freq-Chan'!C:D,2,FALSE),"x")</f>
        <v>151.755</v>
      </c>
      <c r="U414" s="110" t="s">
        <v>541</v>
      </c>
      <c r="V414" s="110" t="str">
        <f t="shared" si="14"/>
        <v>FWL</v>
      </c>
      <c r="W414" s="110" t="s">
        <v>541</v>
      </c>
      <c r="X414" s="110" t="s">
        <v>541</v>
      </c>
      <c r="Y414" s="110" t="str">
        <f>IFERROR(VLOOKUP(F414,'Freq-Chan'!C:E,3,FALSE),"na")</f>
        <v>F1845</v>
      </c>
      <c r="Z414" s="110" t="s">
        <v>541</v>
      </c>
      <c r="AA414" s="110" t="s">
        <v>541</v>
      </c>
      <c r="AB414" s="110" t="s">
        <v>541</v>
      </c>
      <c r="AC414" s="10" t="s">
        <v>541</v>
      </c>
      <c r="AD414" s="10" t="s">
        <v>541</v>
      </c>
    </row>
    <row r="415" spans="1:30" x14ac:dyDescent="0.2">
      <c r="A415" s="110">
        <v>414</v>
      </c>
      <c r="B415" s="132">
        <v>41821</v>
      </c>
      <c r="C415" s="117">
        <v>3</v>
      </c>
      <c r="D415" s="103" t="s">
        <v>177</v>
      </c>
      <c r="E415" s="103" t="s">
        <v>0</v>
      </c>
      <c r="H415" s="103"/>
      <c r="I415" s="103">
        <v>35</v>
      </c>
      <c r="K415" s="103" t="s">
        <v>364</v>
      </c>
      <c r="L415" s="133"/>
      <c r="M415" s="134">
        <v>2.6388888888888889E-2</v>
      </c>
      <c r="N415" s="134">
        <v>0.44097222222222227</v>
      </c>
      <c r="O415" s="133" t="s">
        <v>909</v>
      </c>
      <c r="P415" s="100" t="s">
        <v>776</v>
      </c>
      <c r="Q415" s="100" t="s">
        <v>1721</v>
      </c>
      <c r="R415" s="226" t="s">
        <v>1739</v>
      </c>
      <c r="S415" s="491" t="str">
        <f t="shared" si="13"/>
        <v>x</v>
      </c>
      <c r="T415" s="492" t="str">
        <f>IFERROR(VLOOKUP(F415,'Freq-Chan'!C:D,2,FALSE),"x")</f>
        <v>x</v>
      </c>
      <c r="U415" s="110" t="s">
        <v>541</v>
      </c>
      <c r="V415" s="110" t="str">
        <f t="shared" si="14"/>
        <v>FWL</v>
      </c>
      <c r="W415" s="110" t="s">
        <v>541</v>
      </c>
      <c r="X415" s="110" t="s">
        <v>541</v>
      </c>
      <c r="Y415" s="110" t="str">
        <f>IFERROR(VLOOKUP(F415,'Freq-Chan'!C:E,3,FALSE),"na")</f>
        <v>na</v>
      </c>
      <c r="Z415" s="110" t="s">
        <v>541</v>
      </c>
      <c r="AA415" s="110" t="s">
        <v>541</v>
      </c>
      <c r="AB415" s="110" t="s">
        <v>541</v>
      </c>
      <c r="AC415" s="10" t="s">
        <v>541</v>
      </c>
      <c r="AD415" s="10" t="s">
        <v>541</v>
      </c>
    </row>
    <row r="416" spans="1:30" x14ac:dyDescent="0.2">
      <c r="A416" s="110">
        <v>415</v>
      </c>
      <c r="B416" s="132">
        <v>41821</v>
      </c>
      <c r="C416" s="117">
        <v>3</v>
      </c>
      <c r="D416" s="103" t="s">
        <v>177</v>
      </c>
      <c r="E416" s="103" t="s">
        <v>0</v>
      </c>
      <c r="H416" s="103"/>
      <c r="I416" s="103">
        <v>35</v>
      </c>
      <c r="K416" s="103" t="s">
        <v>364</v>
      </c>
      <c r="L416" s="133">
        <v>0.44791666666666669</v>
      </c>
      <c r="M416" s="134">
        <v>2.4305555555555556E-2</v>
      </c>
      <c r="N416" s="134">
        <v>0.44861111111111113</v>
      </c>
      <c r="O416" s="133" t="s">
        <v>909</v>
      </c>
      <c r="P416" s="100" t="s">
        <v>1718</v>
      </c>
      <c r="Q416" s="100" t="s">
        <v>1721</v>
      </c>
      <c r="R416" s="226" t="s">
        <v>1739</v>
      </c>
      <c r="S416" s="491">
        <f t="shared" si="13"/>
        <v>2.8935190000000001E-4</v>
      </c>
      <c r="T416" s="492" t="str">
        <f>IFERROR(VLOOKUP(F416,'Freq-Chan'!C:D,2,FALSE),"x")</f>
        <v>x</v>
      </c>
      <c r="U416" s="110" t="s">
        <v>541</v>
      </c>
      <c r="V416" s="110" t="str">
        <f t="shared" si="14"/>
        <v>FWL</v>
      </c>
      <c r="W416" s="110" t="s">
        <v>541</v>
      </c>
      <c r="X416" s="110" t="s">
        <v>541</v>
      </c>
      <c r="Y416" s="110" t="str">
        <f>IFERROR(VLOOKUP(F416,'Freq-Chan'!C:E,3,FALSE),"na")</f>
        <v>na</v>
      </c>
      <c r="Z416" s="110" t="s">
        <v>541</v>
      </c>
      <c r="AA416" s="110" t="s">
        <v>541</v>
      </c>
      <c r="AB416" s="110" t="s">
        <v>541</v>
      </c>
      <c r="AC416" s="10" t="s">
        <v>541</v>
      </c>
      <c r="AD416" s="10" t="s">
        <v>541</v>
      </c>
    </row>
    <row r="417" spans="1:30" x14ac:dyDescent="0.2">
      <c r="A417" s="110">
        <v>416</v>
      </c>
      <c r="B417" s="132">
        <v>41821</v>
      </c>
      <c r="C417" s="117">
        <v>3</v>
      </c>
      <c r="D417" s="103" t="s">
        <v>177</v>
      </c>
      <c r="E417" s="103" t="s">
        <v>0</v>
      </c>
      <c r="H417" s="103"/>
      <c r="I417" s="103">
        <v>33</v>
      </c>
      <c r="K417" s="103" t="s">
        <v>364</v>
      </c>
      <c r="L417" s="133">
        <v>0.46458333333333335</v>
      </c>
      <c r="M417" s="134">
        <v>1.9444444444444445E-2</v>
      </c>
      <c r="N417" s="134">
        <v>0.46527777777777773</v>
      </c>
      <c r="O417" s="133" t="s">
        <v>909</v>
      </c>
      <c r="P417" s="100" t="s">
        <v>776</v>
      </c>
      <c r="Q417" s="100" t="s">
        <v>1721</v>
      </c>
      <c r="R417" s="226" t="s">
        <v>1739</v>
      </c>
      <c r="S417" s="491">
        <f t="shared" si="13"/>
        <v>3.7037039999999999E-4</v>
      </c>
      <c r="T417" s="492" t="str">
        <f>IFERROR(VLOOKUP(F417,'Freq-Chan'!C:D,2,FALSE),"x")</f>
        <v>x</v>
      </c>
      <c r="U417" s="110" t="s">
        <v>541</v>
      </c>
      <c r="V417" s="110" t="str">
        <f t="shared" si="14"/>
        <v>FWL</v>
      </c>
      <c r="W417" s="110" t="s">
        <v>541</v>
      </c>
      <c r="X417" s="110" t="s">
        <v>541</v>
      </c>
      <c r="Y417" s="110" t="str">
        <f>IFERROR(VLOOKUP(F417,'Freq-Chan'!C:E,3,FALSE),"na")</f>
        <v>na</v>
      </c>
      <c r="Z417" s="110" t="s">
        <v>541</v>
      </c>
      <c r="AA417" s="110" t="s">
        <v>541</v>
      </c>
      <c r="AB417" s="110" t="s">
        <v>541</v>
      </c>
      <c r="AC417" s="10" t="s">
        <v>541</v>
      </c>
      <c r="AD417" s="10" t="s">
        <v>541</v>
      </c>
    </row>
    <row r="418" spans="1:30" x14ac:dyDescent="0.2">
      <c r="A418" s="110">
        <v>417</v>
      </c>
      <c r="B418" s="132">
        <v>41821</v>
      </c>
      <c r="C418" s="117">
        <v>3</v>
      </c>
      <c r="D418" s="103" t="s">
        <v>177</v>
      </c>
      <c r="E418" s="103" t="s">
        <v>0</v>
      </c>
      <c r="F418" s="103">
        <v>917</v>
      </c>
      <c r="G418" s="103">
        <v>13</v>
      </c>
      <c r="H418" s="137" t="s">
        <v>1203</v>
      </c>
      <c r="I418" s="103">
        <v>49</v>
      </c>
      <c r="K418" s="103" t="s">
        <v>364</v>
      </c>
      <c r="L418" s="133">
        <v>0.49027777777777781</v>
      </c>
      <c r="M418" s="134">
        <v>7.1527777777777787E-2</v>
      </c>
      <c r="N418" s="134">
        <v>0.50486111111111109</v>
      </c>
      <c r="O418" s="133" t="s">
        <v>909</v>
      </c>
      <c r="Q418" s="100" t="s">
        <v>1721</v>
      </c>
      <c r="R418" s="226" t="s">
        <v>1739</v>
      </c>
      <c r="S418" s="491">
        <f t="shared" si="13"/>
        <v>1.33912037E-2</v>
      </c>
      <c r="T418" s="492">
        <f>IFERROR(VLOOKUP(F418,'Freq-Chan'!C:D,2,FALSE),"x")</f>
        <v>151.917</v>
      </c>
      <c r="U418" s="110" t="s">
        <v>541</v>
      </c>
      <c r="V418" s="110" t="str">
        <f t="shared" si="14"/>
        <v>FWL</v>
      </c>
      <c r="W418" s="110" t="s">
        <v>541</v>
      </c>
      <c r="X418" s="110" t="s">
        <v>541</v>
      </c>
      <c r="Y418" s="110" t="str">
        <f>IFERROR(VLOOKUP(F418,'Freq-Chan'!C:E,3,FALSE),"na")</f>
        <v>F1835</v>
      </c>
      <c r="Z418" s="110" t="s">
        <v>541</v>
      </c>
      <c r="AA418" s="110" t="s">
        <v>541</v>
      </c>
      <c r="AB418" s="110" t="s">
        <v>541</v>
      </c>
      <c r="AC418" s="10" t="s">
        <v>541</v>
      </c>
      <c r="AD418" s="10" t="s">
        <v>541</v>
      </c>
    </row>
    <row r="419" spans="1:30" x14ac:dyDescent="0.2">
      <c r="A419" s="110">
        <v>418</v>
      </c>
      <c r="B419" s="132">
        <v>41821</v>
      </c>
      <c r="C419" s="117">
        <v>3</v>
      </c>
      <c r="D419" s="103" t="s">
        <v>2</v>
      </c>
      <c r="E419" s="103" t="s">
        <v>306</v>
      </c>
      <c r="F419" s="103">
        <v>755</v>
      </c>
      <c r="G419" s="103">
        <v>25</v>
      </c>
      <c r="H419" s="137" t="s">
        <v>1204</v>
      </c>
      <c r="I419" s="103">
        <v>99</v>
      </c>
      <c r="K419" s="103" t="s">
        <v>364</v>
      </c>
      <c r="L419" s="133">
        <v>0.5229166666666667</v>
      </c>
      <c r="M419" s="134">
        <v>8.1944444444444445E-2</v>
      </c>
      <c r="N419" s="134">
        <v>0.53125</v>
      </c>
      <c r="O419" s="133" t="s">
        <v>1585</v>
      </c>
      <c r="Q419" s="100" t="s">
        <v>1721</v>
      </c>
      <c r="R419" s="226" t="s">
        <v>1739</v>
      </c>
      <c r="S419" s="491">
        <f t="shared" si="13"/>
        <v>6.9675926000000001E-3</v>
      </c>
      <c r="T419" s="492">
        <f>IFERROR(VLOOKUP(F419,'Freq-Chan'!C:D,2,FALSE),"x")</f>
        <v>151.755</v>
      </c>
      <c r="U419" s="110" t="s">
        <v>541</v>
      </c>
      <c r="V419" s="110" t="str">
        <f t="shared" si="14"/>
        <v>FWL</v>
      </c>
      <c r="W419" s="110" t="s">
        <v>541</v>
      </c>
      <c r="X419" s="110" t="s">
        <v>541</v>
      </c>
      <c r="Y419" s="110" t="str">
        <f>IFERROR(VLOOKUP(F419,'Freq-Chan'!C:E,3,FALSE),"na")</f>
        <v>F1845</v>
      </c>
      <c r="Z419" s="110" t="s">
        <v>541</v>
      </c>
      <c r="AA419" s="110" t="s">
        <v>541</v>
      </c>
      <c r="AB419" s="110" t="s">
        <v>541</v>
      </c>
      <c r="AC419" s="10" t="s">
        <v>541</v>
      </c>
      <c r="AD419" s="10" t="s">
        <v>541</v>
      </c>
    </row>
    <row r="420" spans="1:30" x14ac:dyDescent="0.2">
      <c r="A420" s="110">
        <v>419</v>
      </c>
      <c r="B420" s="132">
        <v>41821</v>
      </c>
      <c r="C420" s="117">
        <v>3</v>
      </c>
      <c r="D420" s="103" t="s">
        <v>2</v>
      </c>
      <c r="E420" s="103" t="s">
        <v>306</v>
      </c>
      <c r="F420" s="103">
        <v>755</v>
      </c>
      <c r="G420" s="103">
        <v>15</v>
      </c>
      <c r="H420" s="137" t="s">
        <v>1205</v>
      </c>
      <c r="I420" s="103">
        <v>63</v>
      </c>
      <c r="K420" s="103" t="s">
        <v>364</v>
      </c>
      <c r="L420" s="133">
        <v>0.54861111111111105</v>
      </c>
      <c r="M420" s="134">
        <v>7.013888888888889E-2</v>
      </c>
      <c r="N420" s="134">
        <v>0.55486111111111114</v>
      </c>
      <c r="O420" s="133" t="s">
        <v>909</v>
      </c>
      <c r="P420" s="100" t="s">
        <v>1722</v>
      </c>
      <c r="Q420" s="100" t="s">
        <v>1721</v>
      </c>
      <c r="R420" s="226" t="s">
        <v>1739</v>
      </c>
      <c r="S420" s="491">
        <f t="shared" si="13"/>
        <v>5.0810185000000003E-3</v>
      </c>
      <c r="T420" s="492">
        <f>IFERROR(VLOOKUP(F420,'Freq-Chan'!C:D,2,FALSE),"x")</f>
        <v>151.755</v>
      </c>
      <c r="U420" s="110" t="s">
        <v>541</v>
      </c>
      <c r="V420" s="110" t="str">
        <f t="shared" si="14"/>
        <v>FWL</v>
      </c>
      <c r="W420" s="110" t="s">
        <v>541</v>
      </c>
      <c r="X420" s="110" t="s">
        <v>541</v>
      </c>
      <c r="Y420" s="110" t="str">
        <f>IFERROR(VLOOKUP(F420,'Freq-Chan'!C:E,3,FALSE),"na")</f>
        <v>F1845</v>
      </c>
      <c r="Z420" s="110" t="s">
        <v>541</v>
      </c>
      <c r="AA420" s="110" t="s">
        <v>541</v>
      </c>
      <c r="AB420" s="110" t="s">
        <v>541</v>
      </c>
      <c r="AC420" s="10" t="s">
        <v>541</v>
      </c>
      <c r="AD420" s="10" t="s">
        <v>541</v>
      </c>
    </row>
    <row r="421" spans="1:30" x14ac:dyDescent="0.2">
      <c r="A421" s="110">
        <v>420</v>
      </c>
      <c r="B421" s="132">
        <v>41821</v>
      </c>
      <c r="C421" s="117">
        <v>3</v>
      </c>
      <c r="D421" s="103" t="s">
        <v>2</v>
      </c>
      <c r="E421" s="103" t="s">
        <v>306</v>
      </c>
      <c r="F421" s="103">
        <v>755</v>
      </c>
      <c r="G421" s="103">
        <v>65</v>
      </c>
      <c r="H421" s="137" t="s">
        <v>1220</v>
      </c>
      <c r="I421" s="103">
        <v>77</v>
      </c>
      <c r="K421" s="103" t="s">
        <v>364</v>
      </c>
      <c r="L421" s="133">
        <v>0.59513888888888888</v>
      </c>
      <c r="M421" s="134">
        <v>5.5555555555555552E-2</v>
      </c>
      <c r="N421" s="134">
        <v>0.59930555555555554</v>
      </c>
      <c r="O421" s="133" t="s">
        <v>1585</v>
      </c>
      <c r="Q421" s="100" t="s">
        <v>1721</v>
      </c>
      <c r="R421" s="226" t="s">
        <v>1739</v>
      </c>
      <c r="S421" s="491">
        <f t="shared" si="13"/>
        <v>3.2407407E-3</v>
      </c>
      <c r="T421" s="492">
        <f>IFERROR(VLOOKUP(F421,'Freq-Chan'!C:D,2,FALSE),"x")</f>
        <v>151.755</v>
      </c>
      <c r="U421" s="110" t="s">
        <v>541</v>
      </c>
      <c r="V421" s="110" t="str">
        <f t="shared" si="14"/>
        <v>FWL</v>
      </c>
      <c r="W421" s="110" t="s">
        <v>541</v>
      </c>
      <c r="X421" s="110" t="s">
        <v>541</v>
      </c>
      <c r="Y421" s="110" t="str">
        <f>IFERROR(VLOOKUP(F421,'Freq-Chan'!C:E,3,FALSE),"na")</f>
        <v>F1845</v>
      </c>
      <c r="Z421" s="110" t="s">
        <v>541</v>
      </c>
      <c r="AA421" s="110" t="s">
        <v>541</v>
      </c>
      <c r="AB421" s="110" t="s">
        <v>541</v>
      </c>
      <c r="AC421" s="10" t="s">
        <v>541</v>
      </c>
      <c r="AD421" s="10" t="s">
        <v>541</v>
      </c>
    </row>
    <row r="422" spans="1:30" x14ac:dyDescent="0.2">
      <c r="A422" s="110">
        <v>421</v>
      </c>
      <c r="B422" s="132">
        <v>41821</v>
      </c>
      <c r="C422" s="117">
        <v>3</v>
      </c>
      <c r="D422" s="103" t="s">
        <v>2</v>
      </c>
      <c r="E422" s="103" t="s">
        <v>306</v>
      </c>
      <c r="F422" s="103">
        <v>755</v>
      </c>
      <c r="G422" s="103">
        <v>79</v>
      </c>
      <c r="H422" s="137" t="s">
        <v>1221</v>
      </c>
      <c r="I422" s="103">
        <v>59</v>
      </c>
      <c r="K422" s="103" t="s">
        <v>364</v>
      </c>
      <c r="L422" s="133">
        <v>0.63888888888888895</v>
      </c>
      <c r="M422" s="134">
        <v>6.9444444444444434E-2</v>
      </c>
      <c r="N422" s="134">
        <v>0.6430555555555556</v>
      </c>
      <c r="O422" s="133" t="s">
        <v>372</v>
      </c>
      <c r="Q422" s="100" t="s">
        <v>1720</v>
      </c>
      <c r="R422" s="226" t="s">
        <v>1739</v>
      </c>
      <c r="S422" s="491">
        <f t="shared" si="13"/>
        <v>3.0092592999999999E-3</v>
      </c>
      <c r="T422" s="492">
        <f>IFERROR(VLOOKUP(F422,'Freq-Chan'!C:D,2,FALSE),"x")</f>
        <v>151.755</v>
      </c>
      <c r="U422" s="110" t="s">
        <v>541</v>
      </c>
      <c r="V422" s="110" t="str">
        <f t="shared" si="14"/>
        <v>FWL</v>
      </c>
      <c r="W422" s="110" t="s">
        <v>541</v>
      </c>
      <c r="X422" s="110" t="s">
        <v>541</v>
      </c>
      <c r="Y422" s="110" t="str">
        <f>IFERROR(VLOOKUP(F422,'Freq-Chan'!C:E,3,FALSE),"na")</f>
        <v>F1845</v>
      </c>
      <c r="Z422" s="110" t="s">
        <v>541</v>
      </c>
      <c r="AA422" s="110" t="s">
        <v>541</v>
      </c>
      <c r="AB422" s="110" t="s">
        <v>541</v>
      </c>
      <c r="AC422" s="10" t="s">
        <v>541</v>
      </c>
      <c r="AD422" s="10" t="s">
        <v>541</v>
      </c>
    </row>
    <row r="423" spans="1:30" x14ac:dyDescent="0.2">
      <c r="A423" s="110">
        <v>422</v>
      </c>
      <c r="B423" s="132">
        <v>41821</v>
      </c>
      <c r="C423" s="117">
        <v>3</v>
      </c>
      <c r="D423" s="103" t="s">
        <v>177</v>
      </c>
      <c r="E423" s="103" t="s">
        <v>0</v>
      </c>
      <c r="H423" s="103"/>
      <c r="I423" s="103">
        <v>35</v>
      </c>
      <c r="K423" s="103" t="s">
        <v>364</v>
      </c>
      <c r="L423" s="133"/>
      <c r="M423" s="134">
        <v>2.6388888888888889E-2</v>
      </c>
      <c r="N423" s="134">
        <v>0.64166666666666672</v>
      </c>
      <c r="O423" s="133" t="s">
        <v>372</v>
      </c>
      <c r="P423" s="100" t="s">
        <v>776</v>
      </c>
      <c r="Q423" s="100" t="s">
        <v>1720</v>
      </c>
      <c r="R423" s="226" t="s">
        <v>1739</v>
      </c>
      <c r="S423" s="491" t="str">
        <f t="shared" si="13"/>
        <v>x</v>
      </c>
      <c r="T423" s="492" t="str">
        <f>IFERROR(VLOOKUP(F423,'Freq-Chan'!C:D,2,FALSE),"x")</f>
        <v>x</v>
      </c>
      <c r="U423" s="110" t="s">
        <v>541</v>
      </c>
      <c r="V423" s="110" t="str">
        <f t="shared" si="14"/>
        <v>FWL</v>
      </c>
      <c r="W423" s="110" t="s">
        <v>541</v>
      </c>
      <c r="X423" s="110" t="s">
        <v>541</v>
      </c>
      <c r="Y423" s="110" t="str">
        <f>IFERROR(VLOOKUP(F423,'Freq-Chan'!C:E,3,FALSE),"na")</f>
        <v>na</v>
      </c>
      <c r="Z423" s="110" t="s">
        <v>541</v>
      </c>
      <c r="AA423" s="110" t="s">
        <v>541</v>
      </c>
      <c r="AB423" s="110" t="s">
        <v>541</v>
      </c>
      <c r="AC423" s="10" t="s">
        <v>541</v>
      </c>
      <c r="AD423" s="10" t="s">
        <v>541</v>
      </c>
    </row>
    <row r="424" spans="1:30" x14ac:dyDescent="0.2">
      <c r="A424" s="110">
        <v>423</v>
      </c>
      <c r="B424" s="132">
        <v>41821</v>
      </c>
      <c r="C424" s="117">
        <v>3</v>
      </c>
      <c r="D424" s="103" t="s">
        <v>88</v>
      </c>
      <c r="E424" s="103" t="s">
        <v>798</v>
      </c>
      <c r="H424" s="103"/>
      <c r="J424" s="103">
        <v>26</v>
      </c>
      <c r="K424" s="103" t="s">
        <v>364</v>
      </c>
      <c r="L424" s="133"/>
      <c r="M424" s="134">
        <v>4.1666666666666664E-2</v>
      </c>
      <c r="N424" s="134">
        <v>0.64513888888888882</v>
      </c>
      <c r="O424" s="133" t="s">
        <v>372</v>
      </c>
      <c r="Q424" s="100" t="s">
        <v>1720</v>
      </c>
      <c r="R424" s="226" t="s">
        <v>1739</v>
      </c>
      <c r="S424" s="491" t="str">
        <f t="shared" si="13"/>
        <v>x</v>
      </c>
      <c r="T424" s="492" t="str">
        <f>IFERROR(VLOOKUP(F424,'Freq-Chan'!C:D,2,FALSE),"x")</f>
        <v>x</v>
      </c>
      <c r="U424" s="110" t="s">
        <v>541</v>
      </c>
      <c r="V424" s="110" t="str">
        <f t="shared" si="14"/>
        <v>FWL</v>
      </c>
      <c r="W424" s="110" t="s">
        <v>541</v>
      </c>
      <c r="X424" s="110" t="s">
        <v>541</v>
      </c>
      <c r="Y424" s="110" t="str">
        <f>IFERROR(VLOOKUP(F424,'Freq-Chan'!C:E,3,FALSE),"na")</f>
        <v>na</v>
      </c>
      <c r="Z424" s="110" t="s">
        <v>541</v>
      </c>
      <c r="AA424" s="110" t="s">
        <v>541</v>
      </c>
      <c r="AB424" s="110" t="s">
        <v>541</v>
      </c>
      <c r="AC424" s="10" t="s">
        <v>541</v>
      </c>
      <c r="AD424" s="10" t="s">
        <v>541</v>
      </c>
    </row>
    <row r="425" spans="1:30" x14ac:dyDescent="0.2">
      <c r="A425" s="110">
        <v>424</v>
      </c>
      <c r="B425" s="132">
        <v>41821</v>
      </c>
      <c r="C425" s="117">
        <v>3</v>
      </c>
      <c r="D425" s="103" t="s">
        <v>2</v>
      </c>
      <c r="E425" s="103" t="s">
        <v>306</v>
      </c>
      <c r="F425" s="103">
        <v>784</v>
      </c>
      <c r="G425" s="103">
        <v>85</v>
      </c>
      <c r="H425" s="137" t="s">
        <v>1222</v>
      </c>
      <c r="I425" s="103">
        <v>69</v>
      </c>
      <c r="K425" s="103" t="s">
        <v>364</v>
      </c>
      <c r="L425" s="133"/>
      <c r="M425" s="134">
        <v>4.7222222222222221E-2</v>
      </c>
      <c r="N425" s="134">
        <v>0.67847222222222225</v>
      </c>
      <c r="O425" s="133" t="s">
        <v>376</v>
      </c>
      <c r="Q425" s="100" t="s">
        <v>1720</v>
      </c>
      <c r="R425" s="226" t="s">
        <v>1739</v>
      </c>
      <c r="S425" s="491" t="str">
        <f t="shared" si="13"/>
        <v>x</v>
      </c>
      <c r="T425" s="492">
        <f>IFERROR(VLOOKUP(F425,'Freq-Chan'!C:D,2,FALSE),"x")</f>
        <v>151.78399999999999</v>
      </c>
      <c r="U425" s="110" t="s">
        <v>541</v>
      </c>
      <c r="V425" s="110" t="str">
        <f t="shared" si="14"/>
        <v>FWL</v>
      </c>
      <c r="W425" s="110" t="s">
        <v>541</v>
      </c>
      <c r="X425" s="110" t="s">
        <v>541</v>
      </c>
      <c r="Y425" s="110" t="str">
        <f>IFERROR(VLOOKUP(F425,'Freq-Chan'!C:E,3,FALSE),"na")</f>
        <v>F1845</v>
      </c>
      <c r="Z425" s="110" t="s">
        <v>541</v>
      </c>
      <c r="AA425" s="110" t="s">
        <v>541</v>
      </c>
      <c r="AB425" s="110" t="s">
        <v>541</v>
      </c>
      <c r="AC425" s="10" t="s">
        <v>541</v>
      </c>
      <c r="AD425" s="10" t="s">
        <v>541</v>
      </c>
    </row>
    <row r="426" spans="1:30" x14ac:dyDescent="0.2">
      <c r="A426" s="110">
        <v>425</v>
      </c>
      <c r="B426" s="132">
        <v>41821</v>
      </c>
      <c r="C426" s="117">
        <v>3</v>
      </c>
      <c r="D426" s="103" t="s">
        <v>2</v>
      </c>
      <c r="E426" s="103" t="s">
        <v>306</v>
      </c>
      <c r="F426" s="103">
        <v>784</v>
      </c>
      <c r="G426" s="103">
        <v>6</v>
      </c>
      <c r="H426" s="137" t="s">
        <v>1223</v>
      </c>
      <c r="I426" s="103">
        <v>57</v>
      </c>
      <c r="K426" s="103" t="s">
        <v>364</v>
      </c>
      <c r="L426" s="133"/>
      <c r="M426" s="134">
        <v>4.5833333333333337E-2</v>
      </c>
      <c r="N426" s="134">
        <v>0.67986111111111114</v>
      </c>
      <c r="O426" s="133" t="s">
        <v>1663</v>
      </c>
      <c r="Q426" s="100" t="s">
        <v>1720</v>
      </c>
      <c r="R426" s="226" t="s">
        <v>1739</v>
      </c>
      <c r="S426" s="491" t="str">
        <f t="shared" si="13"/>
        <v>x</v>
      </c>
      <c r="T426" s="492">
        <f>IFERROR(VLOOKUP(F426,'Freq-Chan'!C:D,2,FALSE),"x")</f>
        <v>151.78399999999999</v>
      </c>
      <c r="U426" s="110" t="s">
        <v>541</v>
      </c>
      <c r="V426" s="110" t="str">
        <f t="shared" si="14"/>
        <v>FWL</v>
      </c>
      <c r="W426" s="110" t="s">
        <v>541</v>
      </c>
      <c r="X426" s="110" t="s">
        <v>541</v>
      </c>
      <c r="Y426" s="110" t="str">
        <f>IFERROR(VLOOKUP(F426,'Freq-Chan'!C:E,3,FALSE),"na")</f>
        <v>F1845</v>
      </c>
      <c r="Z426" s="110" t="s">
        <v>541</v>
      </c>
      <c r="AA426" s="110" t="s">
        <v>541</v>
      </c>
      <c r="AB426" s="110" t="s">
        <v>541</v>
      </c>
      <c r="AC426" s="10" t="s">
        <v>541</v>
      </c>
      <c r="AD426" s="10" t="s">
        <v>541</v>
      </c>
    </row>
    <row r="427" spans="1:30" x14ac:dyDescent="0.2">
      <c r="A427" s="110">
        <v>426</v>
      </c>
      <c r="B427" s="132">
        <v>41821</v>
      </c>
      <c r="C427" s="117">
        <v>3</v>
      </c>
      <c r="D427" s="103" t="s">
        <v>2</v>
      </c>
      <c r="E427" s="103" t="s">
        <v>306</v>
      </c>
      <c r="F427" s="103">
        <v>784</v>
      </c>
      <c r="G427" s="103">
        <v>77</v>
      </c>
      <c r="H427" s="137" t="s">
        <v>1224</v>
      </c>
      <c r="I427" s="103">
        <v>64</v>
      </c>
      <c r="K427" s="103" t="s">
        <v>364</v>
      </c>
      <c r="L427" s="133">
        <v>0.72777777777777775</v>
      </c>
      <c r="M427" s="134">
        <v>4.027777777777778E-2</v>
      </c>
      <c r="N427" s="134">
        <v>0.7319444444444444</v>
      </c>
      <c r="O427" s="133" t="s">
        <v>372</v>
      </c>
      <c r="Q427" s="100" t="s">
        <v>1720</v>
      </c>
      <c r="R427" s="226" t="s">
        <v>1739</v>
      </c>
      <c r="S427" s="491">
        <f t="shared" si="13"/>
        <v>3.4953704E-3</v>
      </c>
      <c r="T427" s="492">
        <f>IFERROR(VLOOKUP(F427,'Freq-Chan'!C:D,2,FALSE),"x")</f>
        <v>151.78399999999999</v>
      </c>
      <c r="U427" s="110" t="s">
        <v>541</v>
      </c>
      <c r="V427" s="110" t="str">
        <f t="shared" si="14"/>
        <v>FWL</v>
      </c>
      <c r="W427" s="110" t="s">
        <v>541</v>
      </c>
      <c r="X427" s="110" t="s">
        <v>541</v>
      </c>
      <c r="Y427" s="110" t="str">
        <f>IFERROR(VLOOKUP(F427,'Freq-Chan'!C:E,3,FALSE),"na")</f>
        <v>F1845</v>
      </c>
      <c r="Z427" s="110" t="s">
        <v>541</v>
      </c>
      <c r="AA427" s="110" t="s">
        <v>541</v>
      </c>
      <c r="AB427" s="110" t="s">
        <v>541</v>
      </c>
      <c r="AC427" s="10" t="s">
        <v>541</v>
      </c>
      <c r="AD427" s="10" t="s">
        <v>541</v>
      </c>
    </row>
    <row r="428" spans="1:30" x14ac:dyDescent="0.2">
      <c r="A428" s="110">
        <v>427</v>
      </c>
      <c r="B428" s="132">
        <v>41821</v>
      </c>
      <c r="C428" s="117">
        <v>3</v>
      </c>
      <c r="D428" s="103" t="s">
        <v>177</v>
      </c>
      <c r="E428" s="103" t="s">
        <v>0</v>
      </c>
      <c r="H428" s="103"/>
      <c r="I428" s="103">
        <v>31</v>
      </c>
      <c r="K428" s="103" t="s">
        <v>364</v>
      </c>
      <c r="L428" s="133"/>
      <c r="M428" s="134">
        <v>2.4999999999999998E-2</v>
      </c>
      <c r="N428" s="134">
        <v>0.73402777777777783</v>
      </c>
      <c r="O428" s="133" t="s">
        <v>372</v>
      </c>
      <c r="P428" s="100" t="s">
        <v>776</v>
      </c>
      <c r="Q428" s="100" t="s">
        <v>1720</v>
      </c>
      <c r="R428" s="226" t="s">
        <v>1739</v>
      </c>
      <c r="S428" s="491" t="str">
        <f t="shared" si="13"/>
        <v>x</v>
      </c>
      <c r="T428" s="492" t="str">
        <f>IFERROR(VLOOKUP(F428,'Freq-Chan'!C:D,2,FALSE),"x")</f>
        <v>x</v>
      </c>
      <c r="U428" s="110" t="s">
        <v>541</v>
      </c>
      <c r="V428" s="110" t="str">
        <f t="shared" si="14"/>
        <v>FWL</v>
      </c>
      <c r="W428" s="110" t="s">
        <v>541</v>
      </c>
      <c r="X428" s="110" t="s">
        <v>541</v>
      </c>
      <c r="Y428" s="110" t="str">
        <f>IFERROR(VLOOKUP(F428,'Freq-Chan'!C:E,3,FALSE),"na")</f>
        <v>na</v>
      </c>
      <c r="Z428" s="110" t="s">
        <v>541</v>
      </c>
      <c r="AA428" s="110" t="s">
        <v>541</v>
      </c>
      <c r="AB428" s="110" t="s">
        <v>541</v>
      </c>
      <c r="AC428" s="10" t="s">
        <v>541</v>
      </c>
      <c r="AD428" s="10" t="s">
        <v>541</v>
      </c>
    </row>
    <row r="429" spans="1:30" x14ac:dyDescent="0.2">
      <c r="A429" s="110">
        <v>428</v>
      </c>
      <c r="B429" s="132">
        <v>41821</v>
      </c>
      <c r="C429" s="117">
        <v>3</v>
      </c>
      <c r="D429" s="103" t="s">
        <v>2</v>
      </c>
      <c r="E429" s="103" t="s">
        <v>306</v>
      </c>
      <c r="F429" s="103">
        <v>755</v>
      </c>
      <c r="G429" s="103">
        <v>7</v>
      </c>
      <c r="H429" s="137" t="s">
        <v>1225</v>
      </c>
      <c r="I429" s="103">
        <v>60</v>
      </c>
      <c r="K429" s="103" t="s">
        <v>364</v>
      </c>
      <c r="L429" s="133"/>
      <c r="M429" s="134">
        <v>4.8611111111111112E-2</v>
      </c>
      <c r="N429" s="134">
        <v>0.73749999999999993</v>
      </c>
      <c r="O429" s="133" t="s">
        <v>1663</v>
      </c>
      <c r="Q429" s="100" t="s">
        <v>1720</v>
      </c>
      <c r="R429" s="226" t="s">
        <v>1739</v>
      </c>
      <c r="S429" s="491" t="str">
        <f t="shared" si="13"/>
        <v>x</v>
      </c>
      <c r="T429" s="492">
        <f>IFERROR(VLOOKUP(F429,'Freq-Chan'!C:D,2,FALSE),"x")</f>
        <v>151.755</v>
      </c>
      <c r="U429" s="110" t="s">
        <v>541</v>
      </c>
      <c r="V429" s="110" t="str">
        <f t="shared" si="14"/>
        <v>FWL</v>
      </c>
      <c r="W429" s="110" t="s">
        <v>541</v>
      </c>
      <c r="X429" s="110" t="s">
        <v>541</v>
      </c>
      <c r="Y429" s="110" t="str">
        <f>IFERROR(VLOOKUP(F429,'Freq-Chan'!C:E,3,FALSE),"na")</f>
        <v>F1845</v>
      </c>
      <c r="Z429" s="110" t="s">
        <v>541</v>
      </c>
      <c r="AA429" s="110" t="s">
        <v>541</v>
      </c>
      <c r="AB429" s="110" t="s">
        <v>541</v>
      </c>
      <c r="AC429" s="10" t="s">
        <v>541</v>
      </c>
      <c r="AD429" s="10" t="s">
        <v>541</v>
      </c>
    </row>
    <row r="430" spans="1:30" x14ac:dyDescent="0.2">
      <c r="A430" s="110">
        <v>429</v>
      </c>
      <c r="B430" s="132">
        <v>41821</v>
      </c>
      <c r="C430" s="117">
        <v>3</v>
      </c>
      <c r="D430" s="103" t="s">
        <v>2</v>
      </c>
      <c r="E430" s="103" t="s">
        <v>306</v>
      </c>
      <c r="H430" s="103"/>
      <c r="K430" s="103" t="s">
        <v>364</v>
      </c>
      <c r="L430" s="133">
        <v>0.76041666666666663</v>
      </c>
      <c r="M430" s="134">
        <v>2.4999999999999998E-2</v>
      </c>
      <c r="N430" s="134">
        <v>0.7631944444444444</v>
      </c>
      <c r="O430" s="133" t="s">
        <v>376</v>
      </c>
      <c r="P430" s="100" t="s">
        <v>1723</v>
      </c>
      <c r="Q430" s="100" t="s">
        <v>1720</v>
      </c>
      <c r="R430" s="226" t="s">
        <v>1739</v>
      </c>
      <c r="S430" s="491">
        <f t="shared" si="13"/>
        <v>2.3611111E-3</v>
      </c>
      <c r="T430" s="492" t="str">
        <f>IFERROR(VLOOKUP(F430,'Freq-Chan'!C:D,2,FALSE),"x")</f>
        <v>x</v>
      </c>
      <c r="U430" s="110" t="s">
        <v>541</v>
      </c>
      <c r="V430" s="110" t="str">
        <f t="shared" si="14"/>
        <v>FWL</v>
      </c>
      <c r="W430" s="110" t="s">
        <v>541</v>
      </c>
      <c r="X430" s="110" t="s">
        <v>541</v>
      </c>
      <c r="Y430" s="110" t="str">
        <f>IFERROR(VLOOKUP(F430,'Freq-Chan'!C:E,3,FALSE),"na")</f>
        <v>na</v>
      </c>
      <c r="Z430" s="110" t="s">
        <v>541</v>
      </c>
      <c r="AA430" s="110" t="s">
        <v>541</v>
      </c>
      <c r="AB430" s="110" t="s">
        <v>541</v>
      </c>
      <c r="AC430" s="10" t="s">
        <v>541</v>
      </c>
      <c r="AD430" s="10" t="s">
        <v>541</v>
      </c>
    </row>
    <row r="431" spans="1:30" x14ac:dyDescent="0.2">
      <c r="A431" s="110">
        <v>430</v>
      </c>
      <c r="B431" s="132">
        <v>41821</v>
      </c>
      <c r="C431" s="117">
        <v>3</v>
      </c>
      <c r="D431" s="103" t="s">
        <v>2</v>
      </c>
      <c r="E431" s="103" t="s">
        <v>306</v>
      </c>
      <c r="F431" s="103">
        <v>784</v>
      </c>
      <c r="G431" s="103">
        <v>97</v>
      </c>
      <c r="H431" s="137" t="s">
        <v>1233</v>
      </c>
      <c r="I431" s="103">
        <v>79</v>
      </c>
      <c r="K431" s="103" t="s">
        <v>364</v>
      </c>
      <c r="L431" s="133"/>
      <c r="M431" s="134">
        <v>5.0694444444444452E-2</v>
      </c>
      <c r="N431" s="134">
        <v>0.82291666666666663</v>
      </c>
      <c r="O431" s="133" t="s">
        <v>950</v>
      </c>
      <c r="Q431" s="100" t="s">
        <v>1721</v>
      </c>
      <c r="R431" s="226" t="s">
        <v>1739</v>
      </c>
      <c r="S431" s="491" t="str">
        <f t="shared" si="13"/>
        <v>x</v>
      </c>
      <c r="T431" s="492">
        <f>IFERROR(VLOOKUP(F431,'Freq-Chan'!C:D,2,FALSE),"x")</f>
        <v>151.78399999999999</v>
      </c>
      <c r="U431" s="110" t="s">
        <v>541</v>
      </c>
      <c r="V431" s="110" t="str">
        <f t="shared" si="14"/>
        <v>FWL</v>
      </c>
      <c r="W431" s="110" t="s">
        <v>541</v>
      </c>
      <c r="X431" s="110" t="s">
        <v>541</v>
      </c>
      <c r="Y431" s="110" t="str">
        <f>IFERROR(VLOOKUP(F431,'Freq-Chan'!C:E,3,FALSE),"na")</f>
        <v>F1845</v>
      </c>
      <c r="Z431" s="110" t="s">
        <v>541</v>
      </c>
      <c r="AA431" s="110" t="s">
        <v>541</v>
      </c>
      <c r="AB431" s="110" t="s">
        <v>541</v>
      </c>
      <c r="AC431" s="10" t="s">
        <v>541</v>
      </c>
      <c r="AD431" s="10" t="s">
        <v>541</v>
      </c>
    </row>
    <row r="432" spans="1:30" x14ac:dyDescent="0.2">
      <c r="A432" s="110">
        <v>431</v>
      </c>
      <c r="B432" s="132">
        <v>41821</v>
      </c>
      <c r="C432" s="117">
        <v>3</v>
      </c>
      <c r="D432" s="103" t="s">
        <v>2</v>
      </c>
      <c r="E432" s="103" t="s">
        <v>306</v>
      </c>
      <c r="F432" s="103">
        <v>784</v>
      </c>
      <c r="G432" s="103">
        <v>87</v>
      </c>
      <c r="H432" s="137" t="s">
        <v>1234</v>
      </c>
      <c r="I432" s="103">
        <v>55</v>
      </c>
      <c r="K432" s="103" t="s">
        <v>364</v>
      </c>
      <c r="L432" s="133"/>
      <c r="M432" s="134">
        <v>5.7638888888888885E-2</v>
      </c>
      <c r="N432" s="134">
        <v>0.82500000000000007</v>
      </c>
      <c r="O432" s="133" t="s">
        <v>950</v>
      </c>
      <c r="Q432" s="100" t="s">
        <v>1721</v>
      </c>
      <c r="R432" s="226" t="s">
        <v>1739</v>
      </c>
      <c r="S432" s="491" t="str">
        <f t="shared" si="13"/>
        <v>x</v>
      </c>
      <c r="T432" s="492">
        <f>IFERROR(VLOOKUP(F432,'Freq-Chan'!C:D,2,FALSE),"x")</f>
        <v>151.78399999999999</v>
      </c>
      <c r="U432" s="110" t="s">
        <v>541</v>
      </c>
      <c r="V432" s="110" t="str">
        <f t="shared" si="14"/>
        <v>FWL</v>
      </c>
      <c r="W432" s="110" t="s">
        <v>541</v>
      </c>
      <c r="X432" s="110" t="s">
        <v>541</v>
      </c>
      <c r="Y432" s="110" t="str">
        <f>IFERROR(VLOOKUP(F432,'Freq-Chan'!C:E,3,FALSE),"na")</f>
        <v>F1845</v>
      </c>
      <c r="Z432" s="110" t="s">
        <v>541</v>
      </c>
      <c r="AA432" s="110" t="s">
        <v>541</v>
      </c>
      <c r="AB432" s="110" t="s">
        <v>541</v>
      </c>
      <c r="AC432" s="10" t="s">
        <v>541</v>
      </c>
      <c r="AD432" s="10" t="s">
        <v>541</v>
      </c>
    </row>
    <row r="433" spans="1:30" x14ac:dyDescent="0.2">
      <c r="A433" s="110">
        <v>432</v>
      </c>
      <c r="B433" s="132">
        <v>41821</v>
      </c>
      <c r="C433" s="117">
        <v>3</v>
      </c>
      <c r="D433" s="103" t="s">
        <v>2</v>
      </c>
      <c r="E433" s="103" t="s">
        <v>306</v>
      </c>
      <c r="F433" s="103">
        <v>784</v>
      </c>
      <c r="G433" s="103">
        <v>96</v>
      </c>
      <c r="H433" s="137" t="s">
        <v>1235</v>
      </c>
      <c r="I433" s="103">
        <v>63</v>
      </c>
      <c r="K433" s="103" t="s">
        <v>364</v>
      </c>
      <c r="L433" s="133"/>
      <c r="M433" s="134">
        <v>5.486111111111111E-2</v>
      </c>
      <c r="N433" s="134">
        <v>0.82916666666666661</v>
      </c>
      <c r="O433" s="133" t="s">
        <v>1585</v>
      </c>
      <c r="P433" s="100" t="s">
        <v>1727</v>
      </c>
      <c r="Q433" s="100" t="s">
        <v>1721</v>
      </c>
      <c r="R433" s="226" t="s">
        <v>1739</v>
      </c>
      <c r="S433" s="491" t="str">
        <f t="shared" si="13"/>
        <v>x</v>
      </c>
      <c r="T433" s="492">
        <f>IFERROR(VLOOKUP(F433,'Freq-Chan'!C:D,2,FALSE),"x")</f>
        <v>151.78399999999999</v>
      </c>
      <c r="U433" s="110" t="s">
        <v>541</v>
      </c>
      <c r="V433" s="110" t="str">
        <f t="shared" si="14"/>
        <v>FWL</v>
      </c>
      <c r="W433" s="110" t="s">
        <v>541</v>
      </c>
      <c r="X433" s="110" t="s">
        <v>541</v>
      </c>
      <c r="Y433" s="110" t="str">
        <f>IFERROR(VLOOKUP(F433,'Freq-Chan'!C:E,3,FALSE),"na")</f>
        <v>F1845</v>
      </c>
      <c r="Z433" s="110" t="s">
        <v>541</v>
      </c>
      <c r="AA433" s="110" t="s">
        <v>541</v>
      </c>
      <c r="AB433" s="110" t="s">
        <v>541</v>
      </c>
      <c r="AC433" s="10" t="s">
        <v>541</v>
      </c>
      <c r="AD433" s="10" t="s">
        <v>541</v>
      </c>
    </row>
    <row r="434" spans="1:30" x14ac:dyDescent="0.2">
      <c r="A434" s="110">
        <v>433</v>
      </c>
      <c r="B434" s="132">
        <v>41821</v>
      </c>
      <c r="C434" s="117">
        <v>3</v>
      </c>
      <c r="D434" s="103" t="s">
        <v>2</v>
      </c>
      <c r="E434" s="103" t="s">
        <v>306</v>
      </c>
      <c r="F434" s="103">
        <v>755</v>
      </c>
      <c r="G434" s="103">
        <v>21</v>
      </c>
      <c r="H434" s="137" t="s">
        <v>1236</v>
      </c>
      <c r="I434" s="103">
        <v>67</v>
      </c>
      <c r="K434" s="103" t="s">
        <v>364</v>
      </c>
      <c r="L434" s="133"/>
      <c r="M434" s="134">
        <v>5.347222222222222E-2</v>
      </c>
      <c r="N434" s="134">
        <v>0.8340277777777777</v>
      </c>
      <c r="O434" s="133" t="s">
        <v>1585</v>
      </c>
      <c r="Q434" s="100" t="s">
        <v>1721</v>
      </c>
      <c r="R434" s="226" t="s">
        <v>1739</v>
      </c>
      <c r="S434" s="491" t="str">
        <f t="shared" si="13"/>
        <v>x</v>
      </c>
      <c r="T434" s="492">
        <f>IFERROR(VLOOKUP(F434,'Freq-Chan'!C:D,2,FALSE),"x")</f>
        <v>151.755</v>
      </c>
      <c r="U434" s="110" t="s">
        <v>541</v>
      </c>
      <c r="V434" s="110" t="str">
        <f t="shared" si="14"/>
        <v>FWL</v>
      </c>
      <c r="W434" s="110" t="s">
        <v>541</v>
      </c>
      <c r="X434" s="110" t="s">
        <v>541</v>
      </c>
      <c r="Y434" s="110" t="str">
        <f>IFERROR(VLOOKUP(F434,'Freq-Chan'!C:E,3,FALSE),"na")</f>
        <v>F1845</v>
      </c>
      <c r="Z434" s="110" t="s">
        <v>541</v>
      </c>
      <c r="AA434" s="110" t="s">
        <v>541</v>
      </c>
      <c r="AB434" s="110" t="s">
        <v>541</v>
      </c>
      <c r="AC434" s="10" t="s">
        <v>541</v>
      </c>
      <c r="AD434" s="10" t="s">
        <v>541</v>
      </c>
    </row>
    <row r="435" spans="1:30" x14ac:dyDescent="0.2">
      <c r="A435" s="110">
        <v>434</v>
      </c>
      <c r="B435" s="132">
        <v>41821</v>
      </c>
      <c r="C435" s="117">
        <v>3</v>
      </c>
      <c r="D435" s="103" t="s">
        <v>75</v>
      </c>
      <c r="E435" s="103" t="s">
        <v>798</v>
      </c>
      <c r="H435" s="103"/>
      <c r="J435" s="103">
        <v>28</v>
      </c>
      <c r="K435" s="103" t="s">
        <v>364</v>
      </c>
      <c r="L435" s="133"/>
      <c r="M435" s="134">
        <v>2.5694444444444447E-2</v>
      </c>
      <c r="N435" s="134">
        <v>0.87708333333333333</v>
      </c>
      <c r="O435" s="133" t="s">
        <v>1585</v>
      </c>
      <c r="Q435" s="100" t="s">
        <v>1721</v>
      </c>
      <c r="R435" s="226" t="s">
        <v>1739</v>
      </c>
      <c r="S435" s="491" t="str">
        <f t="shared" si="13"/>
        <v>x</v>
      </c>
      <c r="T435" s="492" t="str">
        <f>IFERROR(VLOOKUP(F435,'Freq-Chan'!C:D,2,FALSE),"x")</f>
        <v>x</v>
      </c>
      <c r="U435" s="110" t="s">
        <v>541</v>
      </c>
      <c r="V435" s="110" t="str">
        <f t="shared" si="14"/>
        <v>FWL</v>
      </c>
      <c r="W435" s="110" t="s">
        <v>541</v>
      </c>
      <c r="X435" s="110" t="s">
        <v>541</v>
      </c>
      <c r="Y435" s="110" t="str">
        <f>IFERROR(VLOOKUP(F435,'Freq-Chan'!C:E,3,FALSE),"na")</f>
        <v>na</v>
      </c>
      <c r="Z435" s="110" t="s">
        <v>541</v>
      </c>
      <c r="AA435" s="110" t="s">
        <v>541</v>
      </c>
      <c r="AB435" s="110" t="s">
        <v>541</v>
      </c>
      <c r="AC435" s="10" t="s">
        <v>541</v>
      </c>
      <c r="AD435" s="10" t="s">
        <v>541</v>
      </c>
    </row>
    <row r="436" spans="1:30" x14ac:dyDescent="0.2">
      <c r="A436" s="110">
        <v>435</v>
      </c>
      <c r="B436" s="132">
        <v>41821</v>
      </c>
      <c r="C436" s="117">
        <v>3</v>
      </c>
      <c r="D436" s="103" t="s">
        <v>90</v>
      </c>
      <c r="E436" s="103" t="s">
        <v>798</v>
      </c>
      <c r="H436" s="103" t="s">
        <v>1719</v>
      </c>
      <c r="J436" s="103">
        <v>20</v>
      </c>
      <c r="K436" s="103" t="s">
        <v>364</v>
      </c>
      <c r="L436" s="133"/>
      <c r="M436" s="134">
        <v>5.5555555555555552E-2</v>
      </c>
      <c r="N436" s="134">
        <v>0.87847222222222221</v>
      </c>
      <c r="O436" s="133" t="s">
        <v>1585</v>
      </c>
      <c r="Q436" s="100" t="s">
        <v>1721</v>
      </c>
      <c r="R436" s="226" t="s">
        <v>1739</v>
      </c>
      <c r="S436" s="491" t="str">
        <f t="shared" si="13"/>
        <v>x</v>
      </c>
      <c r="T436" s="492" t="str">
        <f>IFERROR(VLOOKUP(F436,'Freq-Chan'!C:D,2,FALSE),"x")</f>
        <v>x</v>
      </c>
      <c r="U436" s="110" t="s">
        <v>541</v>
      </c>
      <c r="V436" s="110" t="str">
        <f t="shared" si="14"/>
        <v>FWL</v>
      </c>
      <c r="W436" s="110" t="s">
        <v>541</v>
      </c>
      <c r="X436" s="110" t="s">
        <v>541</v>
      </c>
      <c r="Y436" s="110" t="str">
        <f>IFERROR(VLOOKUP(F436,'Freq-Chan'!C:E,3,FALSE),"na")</f>
        <v>na</v>
      </c>
      <c r="Z436" s="110" t="s">
        <v>541</v>
      </c>
      <c r="AA436" s="110" t="s">
        <v>541</v>
      </c>
      <c r="AB436" s="110" t="s">
        <v>541</v>
      </c>
      <c r="AC436" s="10" t="s">
        <v>541</v>
      </c>
      <c r="AD436" s="10" t="s">
        <v>541</v>
      </c>
    </row>
    <row r="437" spans="1:30" x14ac:dyDescent="0.2">
      <c r="A437" s="110">
        <v>436</v>
      </c>
      <c r="B437" s="132">
        <v>41821</v>
      </c>
      <c r="C437" s="117">
        <v>3</v>
      </c>
      <c r="D437" s="103" t="s">
        <v>2</v>
      </c>
      <c r="E437" s="103" t="s">
        <v>306</v>
      </c>
      <c r="F437" s="103">
        <v>784</v>
      </c>
      <c r="G437" s="103">
        <v>49</v>
      </c>
      <c r="H437" s="137" t="s">
        <v>1237</v>
      </c>
      <c r="I437" s="103">
        <v>61</v>
      </c>
      <c r="K437" s="103" t="s">
        <v>364</v>
      </c>
      <c r="L437" s="133"/>
      <c r="M437" s="134">
        <v>5.486111111111111E-2</v>
      </c>
      <c r="N437" s="134">
        <v>0.88194444444444453</v>
      </c>
      <c r="O437" s="133" t="s">
        <v>950</v>
      </c>
      <c r="Q437" s="100" t="s">
        <v>1721</v>
      </c>
      <c r="R437" s="226" t="s">
        <v>1739</v>
      </c>
      <c r="S437" s="491" t="str">
        <f t="shared" si="13"/>
        <v>x</v>
      </c>
      <c r="T437" s="492">
        <f>IFERROR(VLOOKUP(F437,'Freq-Chan'!C:D,2,FALSE),"x")</f>
        <v>151.78399999999999</v>
      </c>
      <c r="U437" s="110" t="s">
        <v>541</v>
      </c>
      <c r="V437" s="110" t="str">
        <f t="shared" si="14"/>
        <v>FWL</v>
      </c>
      <c r="W437" s="110" t="s">
        <v>541</v>
      </c>
      <c r="X437" s="110" t="s">
        <v>541</v>
      </c>
      <c r="Y437" s="110" t="str">
        <f>IFERROR(VLOOKUP(F437,'Freq-Chan'!C:E,3,FALSE),"na")</f>
        <v>F1845</v>
      </c>
      <c r="Z437" s="110" t="s">
        <v>541</v>
      </c>
      <c r="AA437" s="110" t="s">
        <v>541</v>
      </c>
      <c r="AB437" s="110" t="s">
        <v>541</v>
      </c>
      <c r="AC437" s="10" t="s">
        <v>541</v>
      </c>
      <c r="AD437" s="10" t="s">
        <v>541</v>
      </c>
    </row>
    <row r="438" spans="1:30" x14ac:dyDescent="0.2">
      <c r="A438" s="110">
        <v>437</v>
      </c>
      <c r="B438" s="132">
        <v>41821</v>
      </c>
      <c r="C438" s="117">
        <v>3</v>
      </c>
      <c r="D438" s="103" t="s">
        <v>2</v>
      </c>
      <c r="E438" s="103" t="s">
        <v>306</v>
      </c>
      <c r="F438" s="103">
        <v>784</v>
      </c>
      <c r="G438" s="103">
        <v>82</v>
      </c>
      <c r="H438" s="137" t="s">
        <v>1238</v>
      </c>
      <c r="I438" s="103">
        <v>63</v>
      </c>
      <c r="K438" s="103" t="s">
        <v>364</v>
      </c>
      <c r="L438" s="133"/>
      <c r="M438" s="134">
        <v>0.10694444444444444</v>
      </c>
      <c r="N438" s="134">
        <v>0.93055555555555547</v>
      </c>
      <c r="O438" s="133" t="s">
        <v>950</v>
      </c>
      <c r="Q438" s="100" t="s">
        <v>1721</v>
      </c>
      <c r="R438" s="226" t="s">
        <v>1739</v>
      </c>
      <c r="S438" s="491" t="str">
        <f t="shared" si="13"/>
        <v>x</v>
      </c>
      <c r="T438" s="492">
        <f>IFERROR(VLOOKUP(F438,'Freq-Chan'!C:D,2,FALSE),"x")</f>
        <v>151.78399999999999</v>
      </c>
      <c r="U438" s="110" t="s">
        <v>541</v>
      </c>
      <c r="V438" s="110" t="str">
        <f t="shared" si="14"/>
        <v>FWL</v>
      </c>
      <c r="W438" s="110" t="s">
        <v>541</v>
      </c>
      <c r="X438" s="110" t="s">
        <v>541</v>
      </c>
      <c r="Y438" s="110" t="str">
        <f>IFERROR(VLOOKUP(F438,'Freq-Chan'!C:E,3,FALSE),"na")</f>
        <v>F1845</v>
      </c>
      <c r="Z438" s="110" t="s">
        <v>541</v>
      </c>
      <c r="AA438" s="110" t="s">
        <v>541</v>
      </c>
      <c r="AB438" s="110" t="s">
        <v>541</v>
      </c>
      <c r="AC438" s="10" t="s">
        <v>541</v>
      </c>
      <c r="AD438" s="10" t="s">
        <v>541</v>
      </c>
    </row>
    <row r="439" spans="1:30" x14ac:dyDescent="0.2">
      <c r="A439" s="110">
        <v>438</v>
      </c>
      <c r="B439" s="132">
        <v>41821</v>
      </c>
      <c r="C439" s="117">
        <v>3</v>
      </c>
      <c r="D439" s="103" t="s">
        <v>2</v>
      </c>
      <c r="E439" s="103" t="s">
        <v>306</v>
      </c>
      <c r="F439" s="103">
        <v>755</v>
      </c>
      <c r="G439" s="103">
        <v>64</v>
      </c>
      <c r="H439" s="137" t="s">
        <v>1239</v>
      </c>
      <c r="I439" s="103">
        <v>64</v>
      </c>
      <c r="K439" s="103" t="s">
        <v>364</v>
      </c>
      <c r="L439" s="133"/>
      <c r="M439" s="134">
        <v>4.7916666666666663E-2</v>
      </c>
      <c r="N439" s="134">
        <v>0.93472222222222223</v>
      </c>
      <c r="O439" s="133" t="s">
        <v>1585</v>
      </c>
      <c r="Q439" s="100" t="s">
        <v>1721</v>
      </c>
      <c r="R439" s="226" t="s">
        <v>1739</v>
      </c>
      <c r="S439" s="491" t="str">
        <f t="shared" si="13"/>
        <v>x</v>
      </c>
      <c r="T439" s="492">
        <f>IFERROR(VLOOKUP(F439,'Freq-Chan'!C:D,2,FALSE),"x")</f>
        <v>151.755</v>
      </c>
      <c r="U439" s="110" t="s">
        <v>541</v>
      </c>
      <c r="V439" s="110" t="str">
        <f t="shared" si="14"/>
        <v>FWL</v>
      </c>
      <c r="W439" s="110" t="s">
        <v>541</v>
      </c>
      <c r="X439" s="110" t="s">
        <v>541</v>
      </c>
      <c r="Y439" s="110" t="str">
        <f>IFERROR(VLOOKUP(F439,'Freq-Chan'!C:E,3,FALSE),"na")</f>
        <v>F1845</v>
      </c>
      <c r="Z439" s="110" t="s">
        <v>541</v>
      </c>
      <c r="AA439" s="110" t="s">
        <v>541</v>
      </c>
      <c r="AB439" s="110" t="s">
        <v>541</v>
      </c>
      <c r="AC439" s="10" t="s">
        <v>541</v>
      </c>
      <c r="AD439" s="10" t="s">
        <v>541</v>
      </c>
    </row>
    <row r="440" spans="1:30" x14ac:dyDescent="0.2">
      <c r="A440" s="110">
        <v>439</v>
      </c>
      <c r="B440" s="132">
        <v>41821</v>
      </c>
      <c r="C440" s="117">
        <v>3</v>
      </c>
      <c r="D440" s="103" t="s">
        <v>2</v>
      </c>
      <c r="E440" s="103" t="s">
        <v>306</v>
      </c>
      <c r="F440" s="103">
        <v>784</v>
      </c>
      <c r="G440" s="103">
        <v>46</v>
      </c>
      <c r="H440" s="137" t="s">
        <v>1240</v>
      </c>
      <c r="I440" s="103">
        <v>68</v>
      </c>
      <c r="K440" s="103" t="s">
        <v>364</v>
      </c>
      <c r="L440" s="133"/>
      <c r="M440" s="134">
        <v>4.7222222222222221E-2</v>
      </c>
      <c r="N440" s="134">
        <v>0.9555555555555556</v>
      </c>
      <c r="O440" s="133" t="s">
        <v>950</v>
      </c>
      <c r="Q440" s="100" t="s">
        <v>1721</v>
      </c>
      <c r="R440" s="226" t="s">
        <v>1739</v>
      </c>
      <c r="S440" s="491" t="str">
        <f t="shared" si="13"/>
        <v>x</v>
      </c>
      <c r="T440" s="492">
        <f>IFERROR(VLOOKUP(F440,'Freq-Chan'!C:D,2,FALSE),"x")</f>
        <v>151.78399999999999</v>
      </c>
      <c r="U440" s="110" t="s">
        <v>541</v>
      </c>
      <c r="V440" s="110" t="str">
        <f t="shared" si="14"/>
        <v>FWL</v>
      </c>
      <c r="W440" s="110" t="s">
        <v>541</v>
      </c>
      <c r="X440" s="110" t="s">
        <v>541</v>
      </c>
      <c r="Y440" s="110" t="str">
        <f>IFERROR(VLOOKUP(F440,'Freq-Chan'!C:E,3,FALSE),"na")</f>
        <v>F1845</v>
      </c>
      <c r="Z440" s="110" t="s">
        <v>541</v>
      </c>
      <c r="AA440" s="110" t="s">
        <v>541</v>
      </c>
      <c r="AB440" s="110" t="s">
        <v>541</v>
      </c>
      <c r="AC440" s="10" t="s">
        <v>541</v>
      </c>
      <c r="AD440" s="10" t="s">
        <v>541</v>
      </c>
    </row>
    <row r="441" spans="1:30" x14ac:dyDescent="0.2">
      <c r="A441" s="110">
        <v>440</v>
      </c>
      <c r="B441" s="132">
        <v>41821</v>
      </c>
      <c r="C441" s="117">
        <v>3</v>
      </c>
      <c r="D441" s="103" t="s">
        <v>177</v>
      </c>
      <c r="E441" s="103" t="s">
        <v>0</v>
      </c>
      <c r="H441" s="103"/>
      <c r="I441" s="103">
        <v>36</v>
      </c>
      <c r="K441" s="103" t="s">
        <v>364</v>
      </c>
      <c r="L441" s="133"/>
      <c r="M441" s="134">
        <v>2.7777777777777776E-2</v>
      </c>
      <c r="N441" s="134">
        <v>0.92708333333333337</v>
      </c>
      <c r="O441" s="133" t="s">
        <v>950</v>
      </c>
      <c r="P441" s="100" t="s">
        <v>776</v>
      </c>
      <c r="Q441" s="100" t="s">
        <v>1721</v>
      </c>
      <c r="R441" s="226" t="s">
        <v>1739</v>
      </c>
      <c r="S441" s="491" t="str">
        <f t="shared" si="13"/>
        <v>x</v>
      </c>
      <c r="T441" s="492" t="str">
        <f>IFERROR(VLOOKUP(F441,'Freq-Chan'!C:D,2,FALSE),"x")</f>
        <v>x</v>
      </c>
      <c r="U441" s="110" t="s">
        <v>541</v>
      </c>
      <c r="V441" s="110" t="str">
        <f t="shared" si="14"/>
        <v>FWL</v>
      </c>
      <c r="W441" s="110" t="s">
        <v>541</v>
      </c>
      <c r="X441" s="110" t="s">
        <v>541</v>
      </c>
      <c r="Y441" s="110" t="str">
        <f>IFERROR(VLOOKUP(F441,'Freq-Chan'!C:E,3,FALSE),"na")</f>
        <v>na</v>
      </c>
      <c r="Z441" s="110" t="s">
        <v>541</v>
      </c>
      <c r="AA441" s="110" t="s">
        <v>541</v>
      </c>
      <c r="AB441" s="110" t="s">
        <v>541</v>
      </c>
      <c r="AC441" s="10" t="s">
        <v>541</v>
      </c>
      <c r="AD441" s="10" t="s">
        <v>541</v>
      </c>
    </row>
    <row r="442" spans="1:30" x14ac:dyDescent="0.2">
      <c r="A442" s="110">
        <v>441</v>
      </c>
      <c r="B442" s="132">
        <v>41821</v>
      </c>
      <c r="C442" s="117">
        <v>3</v>
      </c>
      <c r="D442" s="103" t="s">
        <v>177</v>
      </c>
      <c r="E442" s="103" t="s">
        <v>0</v>
      </c>
      <c r="H442" s="103"/>
      <c r="I442" s="103">
        <v>32</v>
      </c>
      <c r="K442" s="103" t="s">
        <v>364</v>
      </c>
      <c r="L442" s="133"/>
      <c r="M442" s="134">
        <v>1.9444444444444445E-2</v>
      </c>
      <c r="N442" s="134">
        <v>0.92847222222222225</v>
      </c>
      <c r="O442" s="133" t="s">
        <v>950</v>
      </c>
      <c r="P442" s="100" t="s">
        <v>776</v>
      </c>
      <c r="Q442" s="100" t="s">
        <v>1721</v>
      </c>
      <c r="R442" s="226" t="s">
        <v>1739</v>
      </c>
      <c r="S442" s="491" t="str">
        <f t="shared" si="13"/>
        <v>x</v>
      </c>
      <c r="T442" s="492" t="str">
        <f>IFERROR(VLOOKUP(F442,'Freq-Chan'!C:D,2,FALSE),"x")</f>
        <v>x</v>
      </c>
      <c r="U442" s="110" t="s">
        <v>541</v>
      </c>
      <c r="V442" s="110" t="str">
        <f t="shared" si="14"/>
        <v>FWL</v>
      </c>
      <c r="W442" s="110" t="s">
        <v>541</v>
      </c>
      <c r="X442" s="110" t="s">
        <v>541</v>
      </c>
      <c r="Y442" s="110" t="str">
        <f>IFERROR(VLOOKUP(F442,'Freq-Chan'!C:E,3,FALSE),"na")</f>
        <v>na</v>
      </c>
      <c r="Z442" s="110" t="s">
        <v>541</v>
      </c>
      <c r="AA442" s="110" t="s">
        <v>541</v>
      </c>
      <c r="AB442" s="110" t="s">
        <v>541</v>
      </c>
      <c r="AC442" s="10" t="s">
        <v>541</v>
      </c>
      <c r="AD442" s="10" t="s">
        <v>541</v>
      </c>
    </row>
    <row r="443" spans="1:30" s="291" customFormat="1" x14ac:dyDescent="0.2">
      <c r="A443" s="493">
        <v>442</v>
      </c>
      <c r="B443" s="283">
        <v>41821</v>
      </c>
      <c r="C443" s="284">
        <v>3</v>
      </c>
      <c r="D443" s="285" t="s">
        <v>2</v>
      </c>
      <c r="E443" s="285" t="s">
        <v>306</v>
      </c>
      <c r="F443" s="285">
        <v>784</v>
      </c>
      <c r="G443" s="285">
        <v>35</v>
      </c>
      <c r="H443" s="339" t="s">
        <v>1232</v>
      </c>
      <c r="I443" s="285">
        <v>63</v>
      </c>
      <c r="J443" s="285"/>
      <c r="K443" s="285" t="s">
        <v>364</v>
      </c>
      <c r="L443" s="286">
        <v>0.92499999999999993</v>
      </c>
      <c r="M443" s="287">
        <v>4.8611111111111112E-2</v>
      </c>
      <c r="N443" s="339" t="s">
        <v>1724</v>
      </c>
      <c r="O443" s="286" t="s">
        <v>1585</v>
      </c>
      <c r="P443" s="289"/>
      <c r="Q443" s="289" t="s">
        <v>1721</v>
      </c>
      <c r="R443" s="290" t="s">
        <v>1739</v>
      </c>
      <c r="S443" s="494">
        <f t="shared" si="13"/>
        <v>5.1967592600000001E-2</v>
      </c>
      <c r="T443" s="495">
        <f>IFERROR(VLOOKUP(F443,'Freq-Chan'!C:D,2,FALSE),"x")</f>
        <v>151.78399999999999</v>
      </c>
      <c r="U443" s="493" t="s">
        <v>541</v>
      </c>
      <c r="V443" s="493" t="str">
        <f t="shared" si="14"/>
        <v>FWL</v>
      </c>
      <c r="W443" s="493" t="s">
        <v>541</v>
      </c>
      <c r="X443" s="493" t="s">
        <v>541</v>
      </c>
      <c r="Y443" s="493" t="str">
        <f>IFERROR(VLOOKUP(F443,'Freq-Chan'!C:E,3,FALSE),"na")</f>
        <v>F1845</v>
      </c>
      <c r="Z443" s="493" t="s">
        <v>541</v>
      </c>
      <c r="AA443" s="493" t="s">
        <v>541</v>
      </c>
      <c r="AB443" s="493" t="s">
        <v>541</v>
      </c>
      <c r="AC443" s="291" t="s">
        <v>541</v>
      </c>
      <c r="AD443" s="291" t="s">
        <v>541</v>
      </c>
    </row>
    <row r="444" spans="1:30" x14ac:dyDescent="0.2">
      <c r="A444" s="110">
        <v>443</v>
      </c>
      <c r="B444" s="132">
        <v>41822</v>
      </c>
      <c r="C444" s="117">
        <v>1</v>
      </c>
      <c r="D444" s="103" t="s">
        <v>177</v>
      </c>
      <c r="E444" s="103" t="s">
        <v>0</v>
      </c>
      <c r="F444" s="103">
        <v>917</v>
      </c>
      <c r="G444" s="103">
        <v>75</v>
      </c>
      <c r="H444" s="137" t="s">
        <v>1227</v>
      </c>
      <c r="I444" s="103">
        <v>48</v>
      </c>
      <c r="K444" s="103" t="s">
        <v>364</v>
      </c>
      <c r="L444" s="133"/>
      <c r="M444" s="134">
        <v>4.4444444444444446E-2</v>
      </c>
      <c r="N444" s="137" t="s">
        <v>1764</v>
      </c>
      <c r="O444" s="133" t="s">
        <v>1532</v>
      </c>
      <c r="P444" s="100" t="s">
        <v>1765</v>
      </c>
      <c r="Q444" s="100" t="s">
        <v>1748</v>
      </c>
      <c r="R444" s="226" t="s">
        <v>1861</v>
      </c>
      <c r="S444" s="491" t="str">
        <f t="shared" si="13"/>
        <v>x</v>
      </c>
      <c r="T444" s="492">
        <f>IFERROR(VLOOKUP(F444,'Freq-Chan'!C:D,2,FALSE),"x")</f>
        <v>151.917</v>
      </c>
      <c r="U444" s="110" t="s">
        <v>541</v>
      </c>
      <c r="V444" s="110" t="str">
        <f t="shared" si="14"/>
        <v>FWL</v>
      </c>
      <c r="W444" s="110" t="s">
        <v>541</v>
      </c>
      <c r="X444" s="110" t="s">
        <v>541</v>
      </c>
      <c r="Y444" s="110" t="str">
        <f>IFERROR(VLOOKUP(F444,'Freq-Chan'!C:E,3,FALSE),"na")</f>
        <v>F1835</v>
      </c>
      <c r="Z444" s="110" t="s">
        <v>541</v>
      </c>
      <c r="AA444" s="110" t="s">
        <v>541</v>
      </c>
      <c r="AB444" s="110" t="s">
        <v>541</v>
      </c>
      <c r="AC444" s="10" t="s">
        <v>541</v>
      </c>
      <c r="AD444" s="10" t="s">
        <v>541</v>
      </c>
    </row>
    <row r="445" spans="1:30" x14ac:dyDescent="0.2">
      <c r="A445" s="110">
        <v>444</v>
      </c>
      <c r="B445" s="132">
        <v>41822</v>
      </c>
      <c r="C445" s="117">
        <v>1</v>
      </c>
      <c r="D445" s="103" t="s">
        <v>2</v>
      </c>
      <c r="E445" s="103" t="s">
        <v>306</v>
      </c>
      <c r="F445" s="103">
        <v>784</v>
      </c>
      <c r="G445" s="103">
        <v>56</v>
      </c>
      <c r="H445" s="137" t="s">
        <v>1228</v>
      </c>
      <c r="I445" s="103">
        <v>61</v>
      </c>
      <c r="K445" s="103" t="s">
        <v>364</v>
      </c>
      <c r="L445" s="133"/>
      <c r="M445" s="134">
        <v>5.347222222222222E-2</v>
      </c>
      <c r="N445" s="137" t="s">
        <v>1766</v>
      </c>
      <c r="O445" s="133" t="s">
        <v>1532</v>
      </c>
      <c r="P445" s="100" t="s">
        <v>1640</v>
      </c>
      <c r="Q445" s="100" t="s">
        <v>1748</v>
      </c>
      <c r="R445" s="226" t="s">
        <v>1861</v>
      </c>
      <c r="S445" s="491" t="str">
        <f t="shared" si="13"/>
        <v>x</v>
      </c>
      <c r="T445" s="492">
        <f>IFERROR(VLOOKUP(F445,'Freq-Chan'!C:D,2,FALSE),"x")</f>
        <v>151.78399999999999</v>
      </c>
      <c r="U445" s="110" t="s">
        <v>541</v>
      </c>
      <c r="V445" s="110" t="str">
        <f t="shared" si="14"/>
        <v>FWL</v>
      </c>
      <c r="W445" s="110" t="s">
        <v>541</v>
      </c>
      <c r="X445" s="110" t="s">
        <v>541</v>
      </c>
      <c r="Y445" s="110" t="str">
        <f>IFERROR(VLOOKUP(F445,'Freq-Chan'!C:E,3,FALSE),"na")</f>
        <v>F1845</v>
      </c>
      <c r="Z445" s="110" t="s">
        <v>541</v>
      </c>
      <c r="AA445" s="110" t="s">
        <v>541</v>
      </c>
      <c r="AB445" s="110" t="s">
        <v>541</v>
      </c>
      <c r="AC445" s="10" t="s">
        <v>541</v>
      </c>
      <c r="AD445" s="10" t="s">
        <v>541</v>
      </c>
    </row>
    <row r="446" spans="1:30" x14ac:dyDescent="0.2">
      <c r="A446" s="110">
        <v>445</v>
      </c>
      <c r="B446" s="132">
        <v>41822</v>
      </c>
      <c r="C446" s="117">
        <v>1</v>
      </c>
      <c r="D446" s="103" t="s">
        <v>177</v>
      </c>
      <c r="E446" s="103" t="s">
        <v>0</v>
      </c>
      <c r="H446" s="103"/>
      <c r="I446" s="103">
        <v>41</v>
      </c>
      <c r="K446" s="103" t="s">
        <v>364</v>
      </c>
      <c r="L446" s="133"/>
      <c r="M446" s="134">
        <v>2.7777777777777776E-2</v>
      </c>
      <c r="N446" s="137" t="s">
        <v>1767</v>
      </c>
      <c r="O446" s="133" t="s">
        <v>802</v>
      </c>
      <c r="P446" s="100" t="s">
        <v>1856</v>
      </c>
      <c r="Q446" s="100" t="s">
        <v>1754</v>
      </c>
      <c r="R446" s="226" t="s">
        <v>1861</v>
      </c>
      <c r="S446" s="491" t="str">
        <f t="shared" si="13"/>
        <v>x</v>
      </c>
      <c r="T446" s="492" t="str">
        <f>IFERROR(VLOOKUP(F446,'Freq-Chan'!C:D,2,FALSE),"x")</f>
        <v>x</v>
      </c>
      <c r="U446" s="110" t="s">
        <v>541</v>
      </c>
      <c r="V446" s="110" t="str">
        <f t="shared" si="14"/>
        <v>FWL</v>
      </c>
      <c r="W446" s="110" t="s">
        <v>541</v>
      </c>
      <c r="X446" s="110" t="s">
        <v>541</v>
      </c>
      <c r="Y446" s="110" t="str">
        <f>IFERROR(VLOOKUP(F446,'Freq-Chan'!C:E,3,FALSE),"na")</f>
        <v>na</v>
      </c>
      <c r="Z446" s="110" t="s">
        <v>541</v>
      </c>
      <c r="AA446" s="110" t="s">
        <v>541</v>
      </c>
      <c r="AB446" s="110" t="s">
        <v>541</v>
      </c>
      <c r="AC446" s="10" t="s">
        <v>541</v>
      </c>
      <c r="AD446" s="10" t="s">
        <v>541</v>
      </c>
    </row>
    <row r="447" spans="1:30" x14ac:dyDescent="0.2">
      <c r="A447" s="110">
        <v>446</v>
      </c>
      <c r="B447" s="132">
        <v>41822</v>
      </c>
      <c r="C447" s="117">
        <v>1</v>
      </c>
      <c r="D447" s="103" t="s">
        <v>2</v>
      </c>
      <c r="E447" s="103" t="s">
        <v>306</v>
      </c>
      <c r="F447" s="103">
        <v>755</v>
      </c>
      <c r="G447" s="103">
        <v>17</v>
      </c>
      <c r="H447" s="137" t="s">
        <v>1231</v>
      </c>
      <c r="I447" s="103">
        <v>81</v>
      </c>
      <c r="K447" s="103" t="s">
        <v>364</v>
      </c>
      <c r="L447" s="133"/>
      <c r="M447" s="134">
        <v>4.7222222222222221E-2</v>
      </c>
      <c r="N447" s="137" t="s">
        <v>1768</v>
      </c>
      <c r="O447" s="133" t="s">
        <v>373</v>
      </c>
      <c r="Q447" s="100" t="s">
        <v>1739</v>
      </c>
      <c r="R447" s="226" t="s">
        <v>1861</v>
      </c>
      <c r="S447" s="491" t="str">
        <f t="shared" si="13"/>
        <v>x</v>
      </c>
      <c r="T447" s="492">
        <f>IFERROR(VLOOKUP(F447,'Freq-Chan'!C:D,2,FALSE),"x")</f>
        <v>151.755</v>
      </c>
      <c r="U447" s="110" t="s">
        <v>541</v>
      </c>
      <c r="V447" s="110" t="str">
        <f t="shared" si="14"/>
        <v>FWL</v>
      </c>
      <c r="W447" s="110" t="s">
        <v>541</v>
      </c>
      <c r="X447" s="110" t="s">
        <v>541</v>
      </c>
      <c r="Y447" s="110" t="str">
        <f>IFERROR(VLOOKUP(F447,'Freq-Chan'!C:E,3,FALSE),"na")</f>
        <v>F1845</v>
      </c>
      <c r="Z447" s="110" t="s">
        <v>541</v>
      </c>
      <c r="AA447" s="110" t="s">
        <v>541</v>
      </c>
      <c r="AB447" s="110" t="s">
        <v>541</v>
      </c>
      <c r="AC447" s="10" t="s">
        <v>541</v>
      </c>
      <c r="AD447" s="10" t="s">
        <v>541</v>
      </c>
    </row>
    <row r="448" spans="1:30" x14ac:dyDescent="0.2">
      <c r="A448" s="110">
        <v>447</v>
      </c>
      <c r="B448" s="132">
        <v>41822</v>
      </c>
      <c r="C448" s="117">
        <v>1</v>
      </c>
      <c r="D448" s="103" t="s">
        <v>177</v>
      </c>
      <c r="E448" s="103" t="s">
        <v>0</v>
      </c>
      <c r="H448" s="103"/>
      <c r="I448" s="103">
        <v>34</v>
      </c>
      <c r="K448" s="103" t="s">
        <v>364</v>
      </c>
      <c r="L448" s="133"/>
      <c r="M448" s="134">
        <v>2.0833333333333332E-2</v>
      </c>
      <c r="N448" s="137" t="s">
        <v>1769</v>
      </c>
      <c r="O448" s="133" t="s">
        <v>373</v>
      </c>
      <c r="P448" s="100" t="s">
        <v>776</v>
      </c>
      <c r="Q448" s="100" t="s">
        <v>1739</v>
      </c>
      <c r="R448" s="226" t="s">
        <v>1861</v>
      </c>
      <c r="S448" s="491" t="str">
        <f t="shared" si="13"/>
        <v>x</v>
      </c>
      <c r="T448" s="492" t="str">
        <f>IFERROR(VLOOKUP(F448,'Freq-Chan'!C:D,2,FALSE),"x")</f>
        <v>x</v>
      </c>
      <c r="U448" s="110" t="s">
        <v>541</v>
      </c>
      <c r="V448" s="110" t="str">
        <f t="shared" si="14"/>
        <v>FWL</v>
      </c>
      <c r="W448" s="110" t="s">
        <v>541</v>
      </c>
      <c r="X448" s="110" t="s">
        <v>541</v>
      </c>
      <c r="Y448" s="110" t="str">
        <f>IFERROR(VLOOKUP(F448,'Freq-Chan'!C:E,3,FALSE),"na")</f>
        <v>na</v>
      </c>
      <c r="Z448" s="110" t="s">
        <v>541</v>
      </c>
      <c r="AA448" s="110" t="s">
        <v>541</v>
      </c>
      <c r="AB448" s="110" t="s">
        <v>541</v>
      </c>
      <c r="AC448" s="10" t="s">
        <v>541</v>
      </c>
      <c r="AD448" s="10" t="s">
        <v>541</v>
      </c>
    </row>
    <row r="449" spans="1:30" x14ac:dyDescent="0.2">
      <c r="A449" s="110">
        <v>448</v>
      </c>
      <c r="B449" s="132">
        <v>41822</v>
      </c>
      <c r="C449" s="117">
        <v>1</v>
      </c>
      <c r="D449" s="103" t="s">
        <v>177</v>
      </c>
      <c r="E449" s="103" t="s">
        <v>0</v>
      </c>
      <c r="H449" s="103"/>
      <c r="I449" s="103">
        <v>33</v>
      </c>
      <c r="K449" s="103" t="s">
        <v>364</v>
      </c>
      <c r="L449" s="133"/>
      <c r="M449" s="134">
        <v>1.3194444444444444E-2</v>
      </c>
      <c r="N449" s="137" t="s">
        <v>1770</v>
      </c>
      <c r="O449" s="133" t="s">
        <v>373</v>
      </c>
      <c r="P449" s="100" t="s">
        <v>776</v>
      </c>
      <c r="Q449" s="100" t="s">
        <v>1739</v>
      </c>
      <c r="R449" s="226" t="s">
        <v>1861</v>
      </c>
      <c r="S449" s="491" t="str">
        <f t="shared" si="13"/>
        <v>x</v>
      </c>
      <c r="T449" s="492" t="str">
        <f>IFERROR(VLOOKUP(F449,'Freq-Chan'!C:D,2,FALSE),"x")</f>
        <v>x</v>
      </c>
      <c r="U449" s="110" t="s">
        <v>541</v>
      </c>
      <c r="V449" s="110" t="str">
        <f t="shared" si="14"/>
        <v>FWL</v>
      </c>
      <c r="W449" s="110" t="s">
        <v>541</v>
      </c>
      <c r="X449" s="110" t="s">
        <v>541</v>
      </c>
      <c r="Y449" s="110" t="str">
        <f>IFERROR(VLOOKUP(F449,'Freq-Chan'!C:E,3,FALSE),"na")</f>
        <v>na</v>
      </c>
      <c r="Z449" s="110" t="s">
        <v>541</v>
      </c>
      <c r="AA449" s="110" t="s">
        <v>541</v>
      </c>
      <c r="AB449" s="110" t="s">
        <v>541</v>
      </c>
      <c r="AC449" s="10" t="s">
        <v>541</v>
      </c>
      <c r="AD449" s="10" t="s">
        <v>541</v>
      </c>
    </row>
    <row r="450" spans="1:30" x14ac:dyDescent="0.2">
      <c r="A450" s="110">
        <v>449</v>
      </c>
      <c r="B450" s="132">
        <v>41822</v>
      </c>
      <c r="C450" s="117">
        <v>1</v>
      </c>
      <c r="D450" s="103" t="s">
        <v>2</v>
      </c>
      <c r="E450" s="103" t="s">
        <v>306</v>
      </c>
      <c r="F450" s="103">
        <v>755</v>
      </c>
      <c r="G450" s="103">
        <v>13</v>
      </c>
      <c r="H450" s="137" t="s">
        <v>1251</v>
      </c>
      <c r="I450" s="103">
        <v>54</v>
      </c>
      <c r="K450" s="103" t="s">
        <v>364</v>
      </c>
      <c r="L450" s="133">
        <v>0.6333333333333333</v>
      </c>
      <c r="M450" s="134">
        <v>3.888888888888889E-2</v>
      </c>
      <c r="N450" s="137" t="s">
        <v>1771</v>
      </c>
      <c r="O450" s="133" t="s">
        <v>1663</v>
      </c>
      <c r="Q450" s="100" t="s">
        <v>1751</v>
      </c>
      <c r="R450" s="226" t="s">
        <v>1861</v>
      </c>
      <c r="S450" s="491">
        <f t="shared" si="13"/>
        <v>1.9490740699999998E-2</v>
      </c>
      <c r="T450" s="492">
        <f>IFERROR(VLOOKUP(F450,'Freq-Chan'!C:D,2,FALSE),"x")</f>
        <v>151.755</v>
      </c>
      <c r="U450" s="110" t="s">
        <v>541</v>
      </c>
      <c r="V450" s="110" t="str">
        <f t="shared" si="14"/>
        <v>FWL</v>
      </c>
      <c r="W450" s="110" t="s">
        <v>541</v>
      </c>
      <c r="X450" s="110" t="s">
        <v>541</v>
      </c>
      <c r="Y450" s="110" t="str">
        <f>IFERROR(VLOOKUP(F450,'Freq-Chan'!C:E,3,FALSE),"na")</f>
        <v>F1845</v>
      </c>
      <c r="Z450" s="110" t="s">
        <v>541</v>
      </c>
      <c r="AA450" s="110" t="s">
        <v>541</v>
      </c>
      <c r="AB450" s="110" t="s">
        <v>541</v>
      </c>
      <c r="AC450" s="10" t="s">
        <v>541</v>
      </c>
      <c r="AD450" s="10" t="s">
        <v>541</v>
      </c>
    </row>
    <row r="451" spans="1:30" x14ac:dyDescent="0.2">
      <c r="A451" s="110">
        <v>450</v>
      </c>
      <c r="B451" s="132">
        <v>41822</v>
      </c>
      <c r="C451" s="117">
        <v>1</v>
      </c>
      <c r="D451" s="103" t="s">
        <v>177</v>
      </c>
      <c r="E451" s="103" t="s">
        <v>0</v>
      </c>
      <c r="F451" s="103">
        <v>917</v>
      </c>
      <c r="G451" s="103">
        <v>94</v>
      </c>
      <c r="H451" s="137" t="s">
        <v>1253</v>
      </c>
      <c r="I451" s="103">
        <v>40</v>
      </c>
      <c r="K451" s="103" t="s">
        <v>364</v>
      </c>
      <c r="L451" s="133"/>
      <c r="M451" s="134">
        <v>4.3055555555555562E-2</v>
      </c>
      <c r="N451" s="137" t="s">
        <v>1772</v>
      </c>
      <c r="O451" s="133" t="s">
        <v>1532</v>
      </c>
      <c r="Q451" s="100" t="s">
        <v>1751</v>
      </c>
      <c r="R451" s="226" t="s">
        <v>1861</v>
      </c>
      <c r="S451" s="491" t="str">
        <f t="shared" ref="S451:S514" si="15">IF(IF(OR(L451=0,N451=0),"x",ROUND(N451-L451-(M451*24)/(24*60),10))&lt;0,0,IF(OR(L451=0,N451=0),"x",ROUND(N451-L451-(M451*24)/(24*60),10)))</f>
        <v>x</v>
      </c>
      <c r="T451" s="492">
        <f>IFERROR(VLOOKUP(F451,'Freq-Chan'!C:D,2,FALSE),"x")</f>
        <v>151.917</v>
      </c>
      <c r="U451" s="110" t="s">
        <v>541</v>
      </c>
      <c r="V451" s="110" t="str">
        <f t="shared" ref="V451:V514" si="16">IF(OR(C451=1,C451=2,C451=3),"FWL","NRD")</f>
        <v>FWL</v>
      </c>
      <c r="W451" s="110" t="s">
        <v>541</v>
      </c>
      <c r="X451" s="110" t="s">
        <v>541</v>
      </c>
      <c r="Y451" s="110" t="str">
        <f>IFERROR(VLOOKUP(F451,'Freq-Chan'!C:E,3,FALSE),"na")</f>
        <v>F1835</v>
      </c>
      <c r="Z451" s="110" t="s">
        <v>541</v>
      </c>
      <c r="AA451" s="110" t="s">
        <v>541</v>
      </c>
      <c r="AB451" s="110" t="s">
        <v>541</v>
      </c>
      <c r="AC451" s="10" t="s">
        <v>541</v>
      </c>
      <c r="AD451" s="10" t="s">
        <v>541</v>
      </c>
    </row>
    <row r="452" spans="1:30" x14ac:dyDescent="0.2">
      <c r="A452" s="110">
        <v>451</v>
      </c>
      <c r="B452" s="132">
        <v>41822</v>
      </c>
      <c r="C452" s="117">
        <v>1</v>
      </c>
      <c r="D452" s="103" t="s">
        <v>177</v>
      </c>
      <c r="E452" s="103" t="s">
        <v>0</v>
      </c>
      <c r="H452" s="103"/>
      <c r="I452" s="103">
        <v>37</v>
      </c>
      <c r="K452" s="103" t="s">
        <v>364</v>
      </c>
      <c r="L452" s="133"/>
      <c r="M452" s="134">
        <v>3.3333333333333333E-2</v>
      </c>
      <c r="N452" s="137" t="s">
        <v>1773</v>
      </c>
      <c r="O452" s="133" t="s">
        <v>1532</v>
      </c>
      <c r="P452" s="100" t="s">
        <v>776</v>
      </c>
      <c r="Q452" s="100" t="s">
        <v>1751</v>
      </c>
      <c r="R452" s="226" t="s">
        <v>1861</v>
      </c>
      <c r="S452" s="491" t="str">
        <f t="shared" si="15"/>
        <v>x</v>
      </c>
      <c r="T452" s="492" t="str">
        <f>IFERROR(VLOOKUP(F452,'Freq-Chan'!C:D,2,FALSE),"x")</f>
        <v>x</v>
      </c>
      <c r="U452" s="110" t="s">
        <v>541</v>
      </c>
      <c r="V452" s="110" t="str">
        <f t="shared" si="16"/>
        <v>FWL</v>
      </c>
      <c r="W452" s="110" t="s">
        <v>541</v>
      </c>
      <c r="X452" s="110" t="s">
        <v>541</v>
      </c>
      <c r="Y452" s="110" t="str">
        <f>IFERROR(VLOOKUP(F452,'Freq-Chan'!C:E,3,FALSE),"na")</f>
        <v>na</v>
      </c>
      <c r="Z452" s="110" t="s">
        <v>541</v>
      </c>
      <c r="AA452" s="110" t="s">
        <v>541</v>
      </c>
      <c r="AB452" s="110" t="s">
        <v>541</v>
      </c>
      <c r="AC452" s="10" t="s">
        <v>541</v>
      </c>
      <c r="AD452" s="10" t="s">
        <v>541</v>
      </c>
    </row>
    <row r="453" spans="1:30" x14ac:dyDescent="0.2">
      <c r="A453" s="110">
        <v>452</v>
      </c>
      <c r="B453" s="132">
        <v>41822</v>
      </c>
      <c r="C453" s="117">
        <v>1</v>
      </c>
      <c r="D453" s="103" t="s">
        <v>97</v>
      </c>
      <c r="E453" s="103" t="s">
        <v>798</v>
      </c>
      <c r="H453" s="103"/>
      <c r="J453" s="103">
        <v>36</v>
      </c>
      <c r="K453" s="103" t="s">
        <v>364</v>
      </c>
      <c r="L453" s="133"/>
      <c r="M453" s="134">
        <v>2.4305555555555556E-2</v>
      </c>
      <c r="N453" s="137" t="s">
        <v>1774</v>
      </c>
      <c r="O453" s="133" t="s">
        <v>950</v>
      </c>
      <c r="Q453" s="100" t="s">
        <v>1753</v>
      </c>
      <c r="R453" s="226" t="s">
        <v>1861</v>
      </c>
      <c r="S453" s="491" t="str">
        <f t="shared" si="15"/>
        <v>x</v>
      </c>
      <c r="T453" s="492" t="str">
        <f>IFERROR(VLOOKUP(F453,'Freq-Chan'!C:D,2,FALSE),"x")</f>
        <v>x</v>
      </c>
      <c r="U453" s="110" t="s">
        <v>541</v>
      </c>
      <c r="V453" s="110" t="str">
        <f t="shared" si="16"/>
        <v>FWL</v>
      </c>
      <c r="W453" s="110" t="s">
        <v>541</v>
      </c>
      <c r="X453" s="110" t="s">
        <v>541</v>
      </c>
      <c r="Y453" s="110" t="str">
        <f>IFERROR(VLOOKUP(F453,'Freq-Chan'!C:E,3,FALSE),"na")</f>
        <v>na</v>
      </c>
      <c r="Z453" s="110" t="s">
        <v>541</v>
      </c>
      <c r="AA453" s="110" t="s">
        <v>541</v>
      </c>
      <c r="AB453" s="110" t="s">
        <v>541</v>
      </c>
      <c r="AC453" s="10" t="s">
        <v>541</v>
      </c>
      <c r="AD453" s="10" t="s">
        <v>541</v>
      </c>
    </row>
    <row r="454" spans="1:30" x14ac:dyDescent="0.2">
      <c r="A454" s="110">
        <v>453</v>
      </c>
      <c r="B454" s="132">
        <v>41822</v>
      </c>
      <c r="C454" s="117">
        <v>1</v>
      </c>
      <c r="D454" s="103" t="s">
        <v>177</v>
      </c>
      <c r="E454" s="103" t="s">
        <v>0</v>
      </c>
      <c r="H454" s="103"/>
      <c r="I454" s="103">
        <v>33</v>
      </c>
      <c r="K454" s="103" t="s">
        <v>364</v>
      </c>
      <c r="L454" s="133"/>
      <c r="M454" s="134">
        <v>1.9444444444444445E-2</v>
      </c>
      <c r="N454" s="137" t="s">
        <v>1743</v>
      </c>
      <c r="O454" s="133" t="s">
        <v>950</v>
      </c>
      <c r="P454" s="100" t="s">
        <v>776</v>
      </c>
      <c r="Q454" s="100" t="s">
        <v>1753</v>
      </c>
      <c r="R454" s="226" t="s">
        <v>1861</v>
      </c>
      <c r="S454" s="491" t="str">
        <f t="shared" si="15"/>
        <v>x</v>
      </c>
      <c r="T454" s="492" t="str">
        <f>IFERROR(VLOOKUP(F454,'Freq-Chan'!C:D,2,FALSE),"x")</f>
        <v>x</v>
      </c>
      <c r="U454" s="110" t="s">
        <v>541</v>
      </c>
      <c r="V454" s="110" t="str">
        <f t="shared" si="16"/>
        <v>FWL</v>
      </c>
      <c r="W454" s="110" t="s">
        <v>541</v>
      </c>
      <c r="X454" s="110" t="s">
        <v>541</v>
      </c>
      <c r="Y454" s="110" t="str">
        <f>IFERROR(VLOOKUP(F454,'Freq-Chan'!C:E,3,FALSE),"na")</f>
        <v>na</v>
      </c>
      <c r="Z454" s="110" t="s">
        <v>541</v>
      </c>
      <c r="AA454" s="110" t="s">
        <v>541</v>
      </c>
      <c r="AB454" s="110" t="s">
        <v>541</v>
      </c>
      <c r="AC454" s="10" t="s">
        <v>541</v>
      </c>
      <c r="AD454" s="10" t="s">
        <v>541</v>
      </c>
    </row>
    <row r="455" spans="1:30" x14ac:dyDescent="0.2">
      <c r="A455" s="110">
        <v>454</v>
      </c>
      <c r="B455" s="132">
        <v>41822</v>
      </c>
      <c r="C455" s="117">
        <v>1</v>
      </c>
      <c r="D455" s="103" t="s">
        <v>75</v>
      </c>
      <c r="E455" s="103" t="s">
        <v>798</v>
      </c>
      <c r="H455" s="103"/>
      <c r="J455" s="103">
        <v>21</v>
      </c>
      <c r="K455" s="103" t="s">
        <v>364</v>
      </c>
      <c r="L455" s="133"/>
      <c r="M455" s="134">
        <v>1.5972222222222224E-2</v>
      </c>
      <c r="N455" s="137" t="s">
        <v>595</v>
      </c>
      <c r="O455" s="133" t="s">
        <v>950</v>
      </c>
      <c r="Q455" s="100" t="s">
        <v>1753</v>
      </c>
      <c r="R455" s="226" t="s">
        <v>1861</v>
      </c>
      <c r="S455" s="491" t="str">
        <f t="shared" si="15"/>
        <v>x</v>
      </c>
      <c r="T455" s="492" t="str">
        <f>IFERROR(VLOOKUP(F455,'Freq-Chan'!C:D,2,FALSE),"x")</f>
        <v>x</v>
      </c>
      <c r="U455" s="110" t="s">
        <v>541</v>
      </c>
      <c r="V455" s="110" t="str">
        <f t="shared" si="16"/>
        <v>FWL</v>
      </c>
      <c r="W455" s="110" t="s">
        <v>541</v>
      </c>
      <c r="X455" s="110" t="s">
        <v>541</v>
      </c>
      <c r="Y455" s="110" t="str">
        <f>IFERROR(VLOOKUP(F455,'Freq-Chan'!C:E,3,FALSE),"na")</f>
        <v>na</v>
      </c>
      <c r="Z455" s="110" t="s">
        <v>541</v>
      </c>
      <c r="AA455" s="110" t="s">
        <v>541</v>
      </c>
      <c r="AB455" s="110" t="s">
        <v>541</v>
      </c>
      <c r="AC455" s="10" t="s">
        <v>541</v>
      </c>
      <c r="AD455" s="10" t="s">
        <v>541</v>
      </c>
    </row>
    <row r="456" spans="1:30" x14ac:dyDescent="0.2">
      <c r="A456" s="110">
        <v>455</v>
      </c>
      <c r="B456" s="132">
        <v>41822</v>
      </c>
      <c r="C456" s="117">
        <v>1</v>
      </c>
      <c r="D456" s="103" t="s">
        <v>2</v>
      </c>
      <c r="E456" s="103" t="s">
        <v>306</v>
      </c>
      <c r="F456" s="103">
        <v>784</v>
      </c>
      <c r="G456" s="103">
        <v>18</v>
      </c>
      <c r="H456" s="137" t="s">
        <v>1256</v>
      </c>
      <c r="I456" s="103">
        <v>74</v>
      </c>
      <c r="K456" s="103" t="s">
        <v>364</v>
      </c>
      <c r="L456" s="133">
        <v>0.43611111111111112</v>
      </c>
      <c r="M456" s="134">
        <v>6.7361111111111108E-2</v>
      </c>
      <c r="N456" s="135" t="s">
        <v>908</v>
      </c>
      <c r="O456" s="133" t="s">
        <v>909</v>
      </c>
      <c r="P456" s="100" t="s">
        <v>1776</v>
      </c>
      <c r="Q456" s="100" t="s">
        <v>1753</v>
      </c>
      <c r="R456" s="226" t="s">
        <v>1861</v>
      </c>
      <c r="S456" s="491">
        <f t="shared" si="15"/>
        <v>0.50165509259999996</v>
      </c>
      <c r="T456" s="492">
        <f>IFERROR(VLOOKUP(F456,'Freq-Chan'!C:D,2,FALSE),"x")</f>
        <v>151.78399999999999</v>
      </c>
      <c r="U456" s="110" t="s">
        <v>541</v>
      </c>
      <c r="V456" s="110" t="str">
        <f t="shared" si="16"/>
        <v>FWL</v>
      </c>
      <c r="W456" s="110" t="s">
        <v>541</v>
      </c>
      <c r="X456" s="110" t="s">
        <v>541</v>
      </c>
      <c r="Y456" s="110" t="str">
        <f>IFERROR(VLOOKUP(F456,'Freq-Chan'!C:E,3,FALSE),"na")</f>
        <v>F1845</v>
      </c>
      <c r="Z456" s="110" t="s">
        <v>541</v>
      </c>
      <c r="AA456" s="110" t="s">
        <v>541</v>
      </c>
      <c r="AB456" s="110" t="s">
        <v>541</v>
      </c>
      <c r="AC456" s="10" t="s">
        <v>541</v>
      </c>
      <c r="AD456" s="10" t="s">
        <v>541</v>
      </c>
    </row>
    <row r="457" spans="1:30" x14ac:dyDescent="0.2">
      <c r="A457" s="110">
        <v>456</v>
      </c>
      <c r="B457" s="132">
        <v>41822</v>
      </c>
      <c r="C457" s="117">
        <v>1</v>
      </c>
      <c r="D457" s="103" t="s">
        <v>177</v>
      </c>
      <c r="E457" s="103" t="s">
        <v>0</v>
      </c>
      <c r="H457" s="103"/>
      <c r="I457" s="103">
        <v>37</v>
      </c>
      <c r="K457" s="103" t="s">
        <v>364</v>
      </c>
      <c r="L457" s="133"/>
      <c r="M457" s="134">
        <v>2.013888888888889E-2</v>
      </c>
      <c r="N457" s="137" t="s">
        <v>1775</v>
      </c>
      <c r="O457" s="133" t="s">
        <v>909</v>
      </c>
      <c r="P457" s="100" t="s">
        <v>776</v>
      </c>
      <c r="Q457" s="100" t="s">
        <v>1753</v>
      </c>
      <c r="R457" s="226" t="s">
        <v>1861</v>
      </c>
      <c r="S457" s="491" t="str">
        <f t="shared" si="15"/>
        <v>x</v>
      </c>
      <c r="T457" s="492" t="str">
        <f>IFERROR(VLOOKUP(F457,'Freq-Chan'!C:D,2,FALSE),"x")</f>
        <v>x</v>
      </c>
      <c r="U457" s="110" t="s">
        <v>541</v>
      </c>
      <c r="V457" s="110" t="str">
        <f t="shared" si="16"/>
        <v>FWL</v>
      </c>
      <c r="W457" s="110" t="s">
        <v>541</v>
      </c>
      <c r="X457" s="110" t="s">
        <v>541</v>
      </c>
      <c r="Y457" s="110" t="str">
        <f>IFERROR(VLOOKUP(F457,'Freq-Chan'!C:E,3,FALSE),"na")</f>
        <v>na</v>
      </c>
      <c r="Z457" s="110" t="s">
        <v>541</v>
      </c>
      <c r="AA457" s="110" t="s">
        <v>541</v>
      </c>
      <c r="AB457" s="110" t="s">
        <v>541</v>
      </c>
      <c r="AC457" s="10" t="s">
        <v>541</v>
      </c>
      <c r="AD457" s="10" t="s">
        <v>541</v>
      </c>
    </row>
    <row r="458" spans="1:30" s="291" customFormat="1" x14ac:dyDescent="0.2">
      <c r="A458" s="493">
        <v>457</v>
      </c>
      <c r="B458" s="283">
        <v>41822</v>
      </c>
      <c r="C458" s="284">
        <v>1</v>
      </c>
      <c r="D458" s="285" t="s">
        <v>177</v>
      </c>
      <c r="E458" s="285" t="s">
        <v>0</v>
      </c>
      <c r="F458" s="285"/>
      <c r="G458" s="285"/>
      <c r="H458" s="285"/>
      <c r="I458" s="285">
        <v>29.5</v>
      </c>
      <c r="J458" s="285"/>
      <c r="K458" s="285" t="s">
        <v>364</v>
      </c>
      <c r="L458" s="286"/>
      <c r="M458" s="287">
        <v>1.3888888888888888E-2</v>
      </c>
      <c r="N458" s="339" t="s">
        <v>1857</v>
      </c>
      <c r="O458" s="286" t="s">
        <v>950</v>
      </c>
      <c r="P458" s="289" t="s">
        <v>1778</v>
      </c>
      <c r="Q458" s="289" t="s">
        <v>1753</v>
      </c>
      <c r="R458" s="290" t="s">
        <v>1861</v>
      </c>
      <c r="S458" s="494" t="str">
        <f t="shared" si="15"/>
        <v>x</v>
      </c>
      <c r="T458" s="495" t="str">
        <f>IFERROR(VLOOKUP(F458,'Freq-Chan'!C:D,2,FALSE),"x")</f>
        <v>x</v>
      </c>
      <c r="U458" s="493" t="s">
        <v>541</v>
      </c>
      <c r="V458" s="493" t="str">
        <f t="shared" si="16"/>
        <v>FWL</v>
      </c>
      <c r="W458" s="493" t="s">
        <v>541</v>
      </c>
      <c r="X458" s="493" t="s">
        <v>541</v>
      </c>
      <c r="Y458" s="493" t="str">
        <f>IFERROR(VLOOKUP(F458,'Freq-Chan'!C:E,3,FALSE),"na")</f>
        <v>na</v>
      </c>
      <c r="Z458" s="493" t="s">
        <v>541</v>
      </c>
      <c r="AA458" s="493" t="s">
        <v>541</v>
      </c>
      <c r="AB458" s="493" t="s">
        <v>541</v>
      </c>
      <c r="AC458" s="291" t="s">
        <v>541</v>
      </c>
      <c r="AD458" s="291" t="s">
        <v>541</v>
      </c>
    </row>
    <row r="459" spans="1:30" x14ac:dyDescent="0.2">
      <c r="A459" s="110">
        <v>458</v>
      </c>
      <c r="B459" s="132">
        <v>41822</v>
      </c>
      <c r="C459" s="117">
        <v>2</v>
      </c>
      <c r="D459" s="103" t="s">
        <v>2</v>
      </c>
      <c r="E459" s="103" t="s">
        <v>306</v>
      </c>
      <c r="F459" s="103">
        <v>784</v>
      </c>
      <c r="G459" s="103">
        <v>75</v>
      </c>
      <c r="H459" s="137" t="s">
        <v>1229</v>
      </c>
      <c r="I459" s="103">
        <v>80</v>
      </c>
      <c r="K459" s="103" t="s">
        <v>364</v>
      </c>
      <c r="L459" s="133"/>
      <c r="M459" s="134">
        <v>5.7638888888888885E-2</v>
      </c>
      <c r="N459" s="137" t="s">
        <v>1859</v>
      </c>
      <c r="O459" s="133" t="s">
        <v>802</v>
      </c>
      <c r="Q459" s="100" t="s">
        <v>1748</v>
      </c>
      <c r="R459" s="226" t="s">
        <v>1861</v>
      </c>
      <c r="S459" s="491" t="str">
        <f t="shared" si="15"/>
        <v>x</v>
      </c>
      <c r="T459" s="492">
        <f>IFERROR(VLOOKUP(F459,'Freq-Chan'!C:D,2,FALSE),"x")</f>
        <v>151.78399999999999</v>
      </c>
      <c r="U459" s="110" t="s">
        <v>541</v>
      </c>
      <c r="V459" s="110" t="str">
        <f t="shared" si="16"/>
        <v>FWL</v>
      </c>
      <c r="W459" s="110" t="s">
        <v>541</v>
      </c>
      <c r="X459" s="110" t="s">
        <v>541</v>
      </c>
      <c r="Y459" s="110" t="str">
        <f>IFERROR(VLOOKUP(F459,'Freq-Chan'!C:E,3,FALSE),"na")</f>
        <v>F1845</v>
      </c>
      <c r="Z459" s="110" t="s">
        <v>541</v>
      </c>
      <c r="AA459" s="110" t="s">
        <v>541</v>
      </c>
      <c r="AB459" s="110" t="s">
        <v>541</v>
      </c>
      <c r="AC459" s="10" t="s">
        <v>541</v>
      </c>
      <c r="AD459" s="10" t="s">
        <v>541</v>
      </c>
    </row>
    <row r="460" spans="1:30" x14ac:dyDescent="0.2">
      <c r="A460" s="110">
        <v>459</v>
      </c>
      <c r="B460" s="132">
        <v>41822</v>
      </c>
      <c r="C460" s="117">
        <v>2</v>
      </c>
      <c r="D460" s="103" t="s">
        <v>2</v>
      </c>
      <c r="E460" s="103" t="s">
        <v>306</v>
      </c>
      <c r="F460" s="103">
        <v>784</v>
      </c>
      <c r="G460" s="103">
        <v>25</v>
      </c>
      <c r="H460" s="137" t="s">
        <v>1230</v>
      </c>
      <c r="I460" s="103">
        <v>84</v>
      </c>
      <c r="K460" s="103" t="s">
        <v>364</v>
      </c>
      <c r="L460" s="133"/>
      <c r="M460" s="134">
        <v>7.0833333333333331E-2</v>
      </c>
      <c r="N460" s="137" t="s">
        <v>1858</v>
      </c>
      <c r="O460" s="133" t="s">
        <v>802</v>
      </c>
      <c r="P460" s="100" t="s">
        <v>1780</v>
      </c>
      <c r="Q460" s="100" t="s">
        <v>1748</v>
      </c>
      <c r="R460" s="226" t="s">
        <v>1861</v>
      </c>
      <c r="S460" s="491" t="str">
        <f t="shared" si="15"/>
        <v>x</v>
      </c>
      <c r="T460" s="492">
        <f>IFERROR(VLOOKUP(F460,'Freq-Chan'!C:D,2,FALSE),"x")</f>
        <v>151.78399999999999</v>
      </c>
      <c r="U460" s="110" t="s">
        <v>541</v>
      </c>
      <c r="V460" s="110" t="str">
        <f t="shared" si="16"/>
        <v>FWL</v>
      </c>
      <c r="W460" s="110" t="s">
        <v>541</v>
      </c>
      <c r="X460" s="110" t="s">
        <v>541</v>
      </c>
      <c r="Y460" s="110" t="str">
        <f>IFERROR(VLOOKUP(F460,'Freq-Chan'!C:E,3,FALSE),"na")</f>
        <v>F1845</v>
      </c>
      <c r="Z460" s="110" t="s">
        <v>541</v>
      </c>
      <c r="AA460" s="110" t="s">
        <v>541</v>
      </c>
      <c r="AB460" s="110" t="s">
        <v>541</v>
      </c>
      <c r="AC460" s="10" t="s">
        <v>541</v>
      </c>
      <c r="AD460" s="10" t="s">
        <v>541</v>
      </c>
    </row>
    <row r="461" spans="1:30" x14ac:dyDescent="0.2">
      <c r="A461" s="110">
        <v>460</v>
      </c>
      <c r="B461" s="132">
        <v>41822</v>
      </c>
      <c r="C461" s="117">
        <v>2</v>
      </c>
      <c r="D461" s="103" t="s">
        <v>177</v>
      </c>
      <c r="E461" s="103" t="s">
        <v>0</v>
      </c>
      <c r="H461" s="103"/>
      <c r="I461" s="103">
        <v>36</v>
      </c>
      <c r="K461" s="103" t="s">
        <v>364</v>
      </c>
      <c r="L461" s="133"/>
      <c r="M461" s="134">
        <v>2.4305555555555556E-2</v>
      </c>
      <c r="N461" s="137" t="s">
        <v>1781</v>
      </c>
      <c r="O461" s="133" t="s">
        <v>1532</v>
      </c>
      <c r="P461" s="100" t="s">
        <v>776</v>
      </c>
      <c r="Q461" s="100" t="s">
        <v>1748</v>
      </c>
      <c r="R461" s="226" t="s">
        <v>1861</v>
      </c>
      <c r="S461" s="491" t="str">
        <f t="shared" si="15"/>
        <v>x</v>
      </c>
      <c r="T461" s="492" t="str">
        <f>IFERROR(VLOOKUP(F461,'Freq-Chan'!C:D,2,FALSE),"x")</f>
        <v>x</v>
      </c>
      <c r="U461" s="110" t="s">
        <v>541</v>
      </c>
      <c r="V461" s="110" t="str">
        <f t="shared" si="16"/>
        <v>FWL</v>
      </c>
      <c r="W461" s="110" t="s">
        <v>541</v>
      </c>
      <c r="X461" s="110" t="s">
        <v>541</v>
      </c>
      <c r="Y461" s="110" t="str">
        <f>IFERROR(VLOOKUP(F461,'Freq-Chan'!C:E,3,FALSE),"na")</f>
        <v>na</v>
      </c>
      <c r="Z461" s="110" t="s">
        <v>541</v>
      </c>
      <c r="AA461" s="110" t="s">
        <v>541</v>
      </c>
      <c r="AB461" s="110" t="s">
        <v>541</v>
      </c>
      <c r="AC461" s="10" t="s">
        <v>541</v>
      </c>
      <c r="AD461" s="10" t="s">
        <v>541</v>
      </c>
    </row>
    <row r="462" spans="1:30" x14ac:dyDescent="0.2">
      <c r="A462" s="110">
        <v>461</v>
      </c>
      <c r="B462" s="132">
        <v>41822</v>
      </c>
      <c r="C462" s="117">
        <v>2</v>
      </c>
      <c r="D462" s="103" t="s">
        <v>75</v>
      </c>
      <c r="E462" s="103" t="s">
        <v>798</v>
      </c>
      <c r="H462" s="103"/>
      <c r="J462" s="103">
        <v>33</v>
      </c>
      <c r="K462" s="103" t="s">
        <v>364</v>
      </c>
      <c r="L462" s="133"/>
      <c r="M462" s="134">
        <v>1.3888888888888888E-2</v>
      </c>
      <c r="N462" s="137" t="s">
        <v>1782</v>
      </c>
      <c r="O462" s="133" t="s">
        <v>802</v>
      </c>
      <c r="Q462" s="100" t="s">
        <v>1748</v>
      </c>
      <c r="R462" s="226" t="s">
        <v>1861</v>
      </c>
      <c r="S462" s="491" t="str">
        <f t="shared" si="15"/>
        <v>x</v>
      </c>
      <c r="T462" s="492" t="str">
        <f>IFERROR(VLOOKUP(F462,'Freq-Chan'!C:D,2,FALSE),"x")</f>
        <v>x</v>
      </c>
      <c r="U462" s="110" t="s">
        <v>541</v>
      </c>
      <c r="V462" s="110" t="str">
        <f t="shared" si="16"/>
        <v>FWL</v>
      </c>
      <c r="W462" s="110" t="s">
        <v>541</v>
      </c>
      <c r="X462" s="110" t="s">
        <v>541</v>
      </c>
      <c r="Y462" s="110" t="str">
        <f>IFERROR(VLOOKUP(F462,'Freq-Chan'!C:E,3,FALSE),"na")</f>
        <v>na</v>
      </c>
      <c r="Z462" s="110" t="s">
        <v>541</v>
      </c>
      <c r="AA462" s="110" t="s">
        <v>541</v>
      </c>
      <c r="AB462" s="110" t="s">
        <v>541</v>
      </c>
      <c r="AC462" s="10" t="s">
        <v>541</v>
      </c>
      <c r="AD462" s="10" t="s">
        <v>541</v>
      </c>
    </row>
    <row r="463" spans="1:30" x14ac:dyDescent="0.2">
      <c r="A463" s="110">
        <v>462</v>
      </c>
      <c r="B463" s="132">
        <v>41822</v>
      </c>
      <c r="C463" s="117">
        <v>2</v>
      </c>
      <c r="D463" s="103" t="s">
        <v>88</v>
      </c>
      <c r="E463" s="103" t="s">
        <v>798</v>
      </c>
      <c r="H463" s="103"/>
      <c r="J463" s="103">
        <v>33</v>
      </c>
      <c r="K463" s="103" t="s">
        <v>364</v>
      </c>
      <c r="L463" s="133"/>
      <c r="M463" s="134">
        <v>2.4305555555555556E-2</v>
      </c>
      <c r="N463" s="137" t="s">
        <v>1783</v>
      </c>
      <c r="O463" s="133" t="s">
        <v>373</v>
      </c>
      <c r="Q463" s="100" t="s">
        <v>1739</v>
      </c>
      <c r="R463" s="226" t="s">
        <v>1861</v>
      </c>
      <c r="S463" s="491" t="str">
        <f t="shared" si="15"/>
        <v>x</v>
      </c>
      <c r="T463" s="492" t="str">
        <f>IFERROR(VLOOKUP(F463,'Freq-Chan'!C:D,2,FALSE),"x")</f>
        <v>x</v>
      </c>
      <c r="U463" s="110" t="s">
        <v>541</v>
      </c>
      <c r="V463" s="110" t="str">
        <f t="shared" si="16"/>
        <v>FWL</v>
      </c>
      <c r="W463" s="110" t="s">
        <v>541</v>
      </c>
      <c r="X463" s="110" t="s">
        <v>541</v>
      </c>
      <c r="Y463" s="110" t="str">
        <f>IFERROR(VLOOKUP(F463,'Freq-Chan'!C:E,3,FALSE),"na")</f>
        <v>na</v>
      </c>
      <c r="Z463" s="110" t="s">
        <v>541</v>
      </c>
      <c r="AA463" s="110" t="s">
        <v>541</v>
      </c>
      <c r="AB463" s="110" t="s">
        <v>541</v>
      </c>
      <c r="AC463" s="10" t="s">
        <v>541</v>
      </c>
      <c r="AD463" s="10" t="s">
        <v>541</v>
      </c>
    </row>
    <row r="464" spans="1:30" x14ac:dyDescent="0.2">
      <c r="A464" s="110">
        <v>463</v>
      </c>
      <c r="B464" s="132">
        <v>41822</v>
      </c>
      <c r="C464" s="117">
        <v>2</v>
      </c>
      <c r="D464" s="103" t="s">
        <v>2</v>
      </c>
      <c r="E464" s="103" t="s">
        <v>306</v>
      </c>
      <c r="F464" s="103">
        <v>784</v>
      </c>
      <c r="G464" s="103">
        <v>28</v>
      </c>
      <c r="H464" s="137" t="s">
        <v>1252</v>
      </c>
      <c r="I464" s="103">
        <v>61</v>
      </c>
      <c r="K464" s="103" t="s">
        <v>364</v>
      </c>
      <c r="L464" s="133"/>
      <c r="M464" s="134">
        <v>5.2083333333333336E-2</v>
      </c>
      <c r="N464" s="137" t="s">
        <v>1784</v>
      </c>
      <c r="O464" s="133" t="s">
        <v>1663</v>
      </c>
      <c r="Q464" s="100" t="s">
        <v>1754</v>
      </c>
      <c r="R464" s="226" t="s">
        <v>1861</v>
      </c>
      <c r="S464" s="491" t="str">
        <f t="shared" si="15"/>
        <v>x</v>
      </c>
      <c r="T464" s="492">
        <f>IFERROR(VLOOKUP(F464,'Freq-Chan'!C:D,2,FALSE),"x")</f>
        <v>151.78399999999999</v>
      </c>
      <c r="U464" s="110" t="s">
        <v>541</v>
      </c>
      <c r="V464" s="110" t="str">
        <f t="shared" si="16"/>
        <v>FWL</v>
      </c>
      <c r="W464" s="110" t="s">
        <v>541</v>
      </c>
      <c r="X464" s="110" t="s">
        <v>541</v>
      </c>
      <c r="Y464" s="110" t="str">
        <f>IFERROR(VLOOKUP(F464,'Freq-Chan'!C:E,3,FALSE),"na")</f>
        <v>F1845</v>
      </c>
      <c r="Z464" s="110" t="s">
        <v>541</v>
      </c>
      <c r="AA464" s="110" t="s">
        <v>541</v>
      </c>
      <c r="AB464" s="110" t="s">
        <v>541</v>
      </c>
      <c r="AC464" s="10" t="s">
        <v>541</v>
      </c>
      <c r="AD464" s="10" t="s">
        <v>541</v>
      </c>
    </row>
    <row r="465" spans="1:30" s="291" customFormat="1" x14ac:dyDescent="0.2">
      <c r="A465" s="493">
        <v>464</v>
      </c>
      <c r="B465" s="283">
        <v>41822</v>
      </c>
      <c r="C465" s="284">
        <v>2</v>
      </c>
      <c r="D465" s="285" t="s">
        <v>177</v>
      </c>
      <c r="E465" s="285" t="s">
        <v>0</v>
      </c>
      <c r="F465" s="285"/>
      <c r="G465" s="285"/>
      <c r="H465" s="285"/>
      <c r="I465" s="285"/>
      <c r="J465" s="285">
        <v>35</v>
      </c>
      <c r="K465" s="285" t="s">
        <v>364</v>
      </c>
      <c r="L465" s="286"/>
      <c r="M465" s="287">
        <v>2.0833333333333332E-2</v>
      </c>
      <c r="N465" s="339" t="s">
        <v>1785</v>
      </c>
      <c r="O465" s="286" t="s">
        <v>1532</v>
      </c>
      <c r="P465" s="289" t="s">
        <v>776</v>
      </c>
      <c r="Q465" s="289" t="s">
        <v>1754</v>
      </c>
      <c r="R465" s="290" t="s">
        <v>1861</v>
      </c>
      <c r="S465" s="494" t="str">
        <f t="shared" si="15"/>
        <v>x</v>
      </c>
      <c r="T465" s="495" t="str">
        <f>IFERROR(VLOOKUP(F465,'Freq-Chan'!C:D,2,FALSE),"x")</f>
        <v>x</v>
      </c>
      <c r="U465" s="493" t="s">
        <v>541</v>
      </c>
      <c r="V465" s="493" t="str">
        <f t="shared" si="16"/>
        <v>FWL</v>
      </c>
      <c r="W465" s="493" t="s">
        <v>541</v>
      </c>
      <c r="X465" s="493" t="s">
        <v>541</v>
      </c>
      <c r="Y465" s="493" t="str">
        <f>IFERROR(VLOOKUP(F465,'Freq-Chan'!C:E,3,FALSE),"na")</f>
        <v>na</v>
      </c>
      <c r="Z465" s="493" t="s">
        <v>541</v>
      </c>
      <c r="AA465" s="493" t="s">
        <v>541</v>
      </c>
      <c r="AB465" s="493" t="s">
        <v>541</v>
      </c>
      <c r="AC465" s="291" t="s">
        <v>541</v>
      </c>
      <c r="AD465" s="291" t="s">
        <v>541</v>
      </c>
    </row>
    <row r="466" spans="1:30" x14ac:dyDescent="0.2">
      <c r="A466" s="110">
        <v>465</v>
      </c>
      <c r="B466" s="132">
        <v>41822</v>
      </c>
      <c r="C466" s="117">
        <v>3</v>
      </c>
      <c r="D466" s="103" t="s">
        <v>2</v>
      </c>
      <c r="E466" s="103" t="s">
        <v>306</v>
      </c>
      <c r="F466" s="103">
        <v>755</v>
      </c>
      <c r="G466" s="103">
        <v>72</v>
      </c>
      <c r="H466" s="137" t="s">
        <v>1241</v>
      </c>
      <c r="I466" s="103">
        <v>59</v>
      </c>
      <c r="K466" s="103" t="s">
        <v>364</v>
      </c>
      <c r="L466" s="133"/>
      <c r="M466" s="134">
        <v>5.2777777777777778E-2</v>
      </c>
      <c r="N466" s="137" t="s">
        <v>1632</v>
      </c>
      <c r="O466" s="133" t="s">
        <v>372</v>
      </c>
      <c r="P466" s="100" t="s">
        <v>1786</v>
      </c>
      <c r="Q466" s="100" t="s">
        <v>1788</v>
      </c>
      <c r="R466" s="226" t="s">
        <v>1861</v>
      </c>
      <c r="S466" s="491" t="str">
        <f t="shared" si="15"/>
        <v>x</v>
      </c>
      <c r="T466" s="492">
        <f>IFERROR(VLOOKUP(F466,'Freq-Chan'!C:D,2,FALSE),"x")</f>
        <v>151.755</v>
      </c>
      <c r="U466" s="110" t="s">
        <v>541</v>
      </c>
      <c r="V466" s="110" t="str">
        <f t="shared" si="16"/>
        <v>FWL</v>
      </c>
      <c r="W466" s="110" t="s">
        <v>541</v>
      </c>
      <c r="X466" s="110" t="s">
        <v>541</v>
      </c>
      <c r="Y466" s="110" t="str">
        <f>IFERROR(VLOOKUP(F466,'Freq-Chan'!C:E,3,FALSE),"na")</f>
        <v>F1845</v>
      </c>
      <c r="Z466" s="110" t="s">
        <v>541</v>
      </c>
      <c r="AA466" s="110" t="s">
        <v>541</v>
      </c>
      <c r="AB466" s="110" t="s">
        <v>541</v>
      </c>
      <c r="AC466" s="10" t="s">
        <v>541</v>
      </c>
      <c r="AD466" s="10" t="s">
        <v>541</v>
      </c>
    </row>
    <row r="467" spans="1:30" x14ac:dyDescent="0.2">
      <c r="A467" s="110">
        <v>466</v>
      </c>
      <c r="B467" s="132">
        <v>41822</v>
      </c>
      <c r="C467" s="117">
        <v>3</v>
      </c>
      <c r="D467" s="103" t="s">
        <v>2</v>
      </c>
      <c r="E467" s="103" t="s">
        <v>306</v>
      </c>
      <c r="F467" s="103">
        <v>755</v>
      </c>
      <c r="G467" s="103">
        <v>58</v>
      </c>
      <c r="H467" s="137" t="s">
        <v>1242</v>
      </c>
      <c r="I467" s="103">
        <v>50</v>
      </c>
      <c r="K467" s="103" t="s">
        <v>364</v>
      </c>
      <c r="L467" s="133"/>
      <c r="M467" s="134">
        <v>5.4166666666666669E-2</v>
      </c>
      <c r="N467" s="137" t="s">
        <v>1787</v>
      </c>
      <c r="O467" s="133" t="s">
        <v>372</v>
      </c>
      <c r="P467" s="100" t="s">
        <v>1786</v>
      </c>
      <c r="Q467" s="100" t="s">
        <v>1788</v>
      </c>
      <c r="R467" s="226" t="s">
        <v>1861</v>
      </c>
      <c r="S467" s="491" t="str">
        <f t="shared" si="15"/>
        <v>x</v>
      </c>
      <c r="T467" s="492">
        <f>IFERROR(VLOOKUP(F467,'Freq-Chan'!C:D,2,FALSE),"x")</f>
        <v>151.755</v>
      </c>
      <c r="U467" s="110" t="s">
        <v>541</v>
      </c>
      <c r="V467" s="110" t="str">
        <f t="shared" si="16"/>
        <v>FWL</v>
      </c>
      <c r="W467" s="110" t="s">
        <v>541</v>
      </c>
      <c r="X467" s="110" t="s">
        <v>541</v>
      </c>
      <c r="Y467" s="110" t="str">
        <f>IFERROR(VLOOKUP(F467,'Freq-Chan'!C:E,3,FALSE),"na")</f>
        <v>F1845</v>
      </c>
      <c r="Z467" s="110" t="s">
        <v>541</v>
      </c>
      <c r="AA467" s="110" t="s">
        <v>541</v>
      </c>
      <c r="AB467" s="110" t="s">
        <v>541</v>
      </c>
      <c r="AC467" s="10" t="s">
        <v>541</v>
      </c>
      <c r="AD467" s="10" t="s">
        <v>541</v>
      </c>
    </row>
    <row r="468" spans="1:30" x14ac:dyDescent="0.2">
      <c r="A468" s="110">
        <v>467</v>
      </c>
      <c r="B468" s="132">
        <v>41822</v>
      </c>
      <c r="C468" s="117">
        <v>3</v>
      </c>
      <c r="D468" s="103" t="s">
        <v>2</v>
      </c>
      <c r="E468" s="103" t="s">
        <v>306</v>
      </c>
      <c r="F468" s="103">
        <v>784</v>
      </c>
      <c r="G468" s="103">
        <v>36</v>
      </c>
      <c r="H468" s="137" t="s">
        <v>1243</v>
      </c>
      <c r="I468" s="103">
        <v>59</v>
      </c>
      <c r="K468" s="103" t="s">
        <v>364</v>
      </c>
      <c r="L468" s="133"/>
      <c r="M468" s="134">
        <v>5.0694444444444452E-2</v>
      </c>
      <c r="N468" s="137" t="s">
        <v>1789</v>
      </c>
      <c r="O468" s="133" t="s">
        <v>376</v>
      </c>
      <c r="P468" s="100" t="s">
        <v>1790</v>
      </c>
      <c r="Q468" s="100" t="s">
        <v>1788</v>
      </c>
      <c r="R468" s="226" t="s">
        <v>1861</v>
      </c>
      <c r="S468" s="491" t="str">
        <f t="shared" si="15"/>
        <v>x</v>
      </c>
      <c r="T468" s="492">
        <f>IFERROR(VLOOKUP(F468,'Freq-Chan'!C:D,2,FALSE),"x")</f>
        <v>151.78399999999999</v>
      </c>
      <c r="U468" s="110" t="s">
        <v>541</v>
      </c>
      <c r="V468" s="110" t="str">
        <f t="shared" si="16"/>
        <v>FWL</v>
      </c>
      <c r="W468" s="110" t="s">
        <v>541</v>
      </c>
      <c r="X468" s="110" t="s">
        <v>541</v>
      </c>
      <c r="Y468" s="110" t="str">
        <f>IFERROR(VLOOKUP(F468,'Freq-Chan'!C:E,3,FALSE),"na")</f>
        <v>F1845</v>
      </c>
      <c r="Z468" s="110" t="s">
        <v>541</v>
      </c>
      <c r="AA468" s="110" t="s">
        <v>541</v>
      </c>
      <c r="AB468" s="110" t="s">
        <v>541</v>
      </c>
      <c r="AC468" s="10" t="s">
        <v>541</v>
      </c>
      <c r="AD468" s="10" t="s">
        <v>541</v>
      </c>
    </row>
    <row r="469" spans="1:30" x14ac:dyDescent="0.2">
      <c r="A469" s="110">
        <v>468</v>
      </c>
      <c r="B469" s="132">
        <v>41822</v>
      </c>
      <c r="C469" s="117">
        <v>3</v>
      </c>
      <c r="D469" s="103" t="s">
        <v>2</v>
      </c>
      <c r="E469" s="103" t="s">
        <v>306</v>
      </c>
      <c r="F469" s="103">
        <v>784</v>
      </c>
      <c r="G469" s="103">
        <v>24</v>
      </c>
      <c r="H469" s="137" t="s">
        <v>1244</v>
      </c>
      <c r="I469" s="103">
        <v>55</v>
      </c>
      <c r="K469" s="103" t="s">
        <v>364</v>
      </c>
      <c r="L469" s="133"/>
      <c r="M469" s="134">
        <v>4.3055555555555562E-2</v>
      </c>
      <c r="N469" s="137" t="s">
        <v>1639</v>
      </c>
      <c r="O469" s="133" t="s">
        <v>376</v>
      </c>
      <c r="P469" s="100" t="s">
        <v>1790</v>
      </c>
      <c r="Q469" s="100" t="s">
        <v>1788</v>
      </c>
      <c r="R469" s="226" t="s">
        <v>1861</v>
      </c>
      <c r="S469" s="491" t="str">
        <f t="shared" si="15"/>
        <v>x</v>
      </c>
      <c r="T469" s="492">
        <f>IFERROR(VLOOKUP(F469,'Freq-Chan'!C:D,2,FALSE),"x")</f>
        <v>151.78399999999999</v>
      </c>
      <c r="U469" s="110" t="s">
        <v>541</v>
      </c>
      <c r="V469" s="110" t="str">
        <f t="shared" si="16"/>
        <v>FWL</v>
      </c>
      <c r="W469" s="110" t="s">
        <v>541</v>
      </c>
      <c r="X469" s="110" t="s">
        <v>541</v>
      </c>
      <c r="Y469" s="110" t="str">
        <f>IFERROR(VLOOKUP(F469,'Freq-Chan'!C:E,3,FALSE),"na")</f>
        <v>F1845</v>
      </c>
      <c r="Z469" s="110" t="s">
        <v>541</v>
      </c>
      <c r="AA469" s="110" t="s">
        <v>541</v>
      </c>
      <c r="AB469" s="110" t="s">
        <v>541</v>
      </c>
      <c r="AC469" s="10" t="s">
        <v>541</v>
      </c>
      <c r="AD469" s="10" t="s">
        <v>541</v>
      </c>
    </row>
    <row r="470" spans="1:30" x14ac:dyDescent="0.2">
      <c r="A470" s="110">
        <v>469</v>
      </c>
      <c r="B470" s="132">
        <v>41822</v>
      </c>
      <c r="C470" s="117">
        <v>3</v>
      </c>
      <c r="D470" s="103" t="s">
        <v>2</v>
      </c>
      <c r="E470" s="103" t="s">
        <v>306</v>
      </c>
      <c r="F470" s="103">
        <v>755</v>
      </c>
      <c r="G470" s="103">
        <v>6</v>
      </c>
      <c r="H470" s="137" t="s">
        <v>1245</v>
      </c>
      <c r="I470" s="103">
        <v>94</v>
      </c>
      <c r="K470" s="103" t="s">
        <v>364</v>
      </c>
      <c r="L470" s="133"/>
      <c r="M470" s="134">
        <v>0.11597222222222221</v>
      </c>
      <c r="N470" s="137" t="s">
        <v>1779</v>
      </c>
      <c r="O470" s="133" t="s">
        <v>372</v>
      </c>
      <c r="P470" s="100" t="s">
        <v>1790</v>
      </c>
      <c r="Q470" s="100" t="s">
        <v>1788</v>
      </c>
      <c r="R470" s="226" t="s">
        <v>1861</v>
      </c>
      <c r="S470" s="491" t="str">
        <f t="shared" si="15"/>
        <v>x</v>
      </c>
      <c r="T470" s="492">
        <f>IFERROR(VLOOKUP(F470,'Freq-Chan'!C:D,2,FALSE),"x")</f>
        <v>151.755</v>
      </c>
      <c r="U470" s="110" t="s">
        <v>541</v>
      </c>
      <c r="V470" s="110" t="str">
        <f t="shared" si="16"/>
        <v>FWL</v>
      </c>
      <c r="W470" s="110" t="s">
        <v>541</v>
      </c>
      <c r="X470" s="110" t="s">
        <v>541</v>
      </c>
      <c r="Y470" s="110" t="str">
        <f>IFERROR(VLOOKUP(F470,'Freq-Chan'!C:E,3,FALSE),"na")</f>
        <v>F1845</v>
      </c>
      <c r="Z470" s="110" t="s">
        <v>541</v>
      </c>
      <c r="AA470" s="110" t="s">
        <v>541</v>
      </c>
      <c r="AB470" s="110" t="s">
        <v>541</v>
      </c>
      <c r="AC470" s="10" t="s">
        <v>541</v>
      </c>
      <c r="AD470" s="10" t="s">
        <v>541</v>
      </c>
    </row>
    <row r="471" spans="1:30" x14ac:dyDescent="0.2">
      <c r="A471" s="110">
        <v>470</v>
      </c>
      <c r="B471" s="132">
        <v>41822</v>
      </c>
      <c r="C471" s="117">
        <v>3</v>
      </c>
      <c r="D471" s="103" t="s">
        <v>2</v>
      </c>
      <c r="E471" s="103" t="s">
        <v>306</v>
      </c>
      <c r="F471" s="103">
        <v>784</v>
      </c>
      <c r="G471" s="103">
        <v>68</v>
      </c>
      <c r="H471" s="137" t="s">
        <v>1246</v>
      </c>
      <c r="I471" s="103">
        <v>62</v>
      </c>
      <c r="K471" s="103" t="s">
        <v>364</v>
      </c>
      <c r="L471" s="133"/>
      <c r="M471" s="134">
        <v>4.3055555555555562E-2</v>
      </c>
      <c r="N471" s="137" t="s">
        <v>1781</v>
      </c>
      <c r="O471" s="133" t="s">
        <v>1663</v>
      </c>
      <c r="P471" s="100" t="s">
        <v>1791</v>
      </c>
      <c r="Q471" s="100" t="s">
        <v>1788</v>
      </c>
      <c r="R471" s="226" t="s">
        <v>1861</v>
      </c>
      <c r="S471" s="491" t="str">
        <f t="shared" si="15"/>
        <v>x</v>
      </c>
      <c r="T471" s="492">
        <f>IFERROR(VLOOKUP(F471,'Freq-Chan'!C:D,2,FALSE),"x")</f>
        <v>151.78399999999999</v>
      </c>
      <c r="U471" s="110" t="s">
        <v>541</v>
      </c>
      <c r="V471" s="110" t="str">
        <f t="shared" si="16"/>
        <v>FWL</v>
      </c>
      <c r="W471" s="110" t="s">
        <v>541</v>
      </c>
      <c r="X471" s="110" t="s">
        <v>541</v>
      </c>
      <c r="Y471" s="110" t="str">
        <f>IFERROR(VLOOKUP(F471,'Freq-Chan'!C:E,3,FALSE),"na")</f>
        <v>F1845</v>
      </c>
      <c r="Z471" s="110" t="s">
        <v>541</v>
      </c>
      <c r="AA471" s="110" t="s">
        <v>541</v>
      </c>
      <c r="AB471" s="110" t="s">
        <v>541</v>
      </c>
      <c r="AC471" s="10" t="s">
        <v>541</v>
      </c>
      <c r="AD471" s="10" t="s">
        <v>541</v>
      </c>
    </row>
    <row r="472" spans="1:30" x14ac:dyDescent="0.2">
      <c r="A472" s="110">
        <v>471</v>
      </c>
      <c r="B472" s="132">
        <v>41822</v>
      </c>
      <c r="C472" s="117">
        <v>3</v>
      </c>
      <c r="D472" s="103" t="s">
        <v>177</v>
      </c>
      <c r="E472" s="103" t="s">
        <v>0</v>
      </c>
      <c r="H472" s="103"/>
      <c r="I472" s="103">
        <v>31</v>
      </c>
      <c r="K472" s="103" t="s">
        <v>364</v>
      </c>
      <c r="L472" s="133"/>
      <c r="M472" s="134">
        <v>2.1527777777777781E-2</v>
      </c>
      <c r="N472" s="137" t="s">
        <v>1792</v>
      </c>
      <c r="O472" s="133" t="s">
        <v>372</v>
      </c>
      <c r="P472" s="100" t="s">
        <v>776</v>
      </c>
      <c r="Q472" s="100" t="s">
        <v>1788</v>
      </c>
      <c r="R472" s="226" t="s">
        <v>1861</v>
      </c>
      <c r="S472" s="491" t="str">
        <f t="shared" si="15"/>
        <v>x</v>
      </c>
      <c r="T472" s="492" t="str">
        <f>IFERROR(VLOOKUP(F472,'Freq-Chan'!C:D,2,FALSE),"x")</f>
        <v>x</v>
      </c>
      <c r="U472" s="110" t="s">
        <v>541</v>
      </c>
      <c r="V472" s="110" t="str">
        <f t="shared" si="16"/>
        <v>FWL</v>
      </c>
      <c r="W472" s="110" t="s">
        <v>541</v>
      </c>
      <c r="X472" s="110" t="s">
        <v>541</v>
      </c>
      <c r="Y472" s="110" t="str">
        <f>IFERROR(VLOOKUP(F472,'Freq-Chan'!C:E,3,FALSE),"na")</f>
        <v>na</v>
      </c>
      <c r="Z472" s="110" t="s">
        <v>541</v>
      </c>
      <c r="AA472" s="110" t="s">
        <v>541</v>
      </c>
      <c r="AB472" s="110" t="s">
        <v>541</v>
      </c>
      <c r="AC472" s="10" t="s">
        <v>541</v>
      </c>
      <c r="AD472" s="10" t="s">
        <v>541</v>
      </c>
    </row>
    <row r="473" spans="1:30" x14ac:dyDescent="0.2">
      <c r="A473" s="110">
        <v>472</v>
      </c>
      <c r="B473" s="132">
        <v>41822</v>
      </c>
      <c r="C473" s="117">
        <v>3</v>
      </c>
      <c r="D473" s="103" t="s">
        <v>87</v>
      </c>
      <c r="E473" s="103" t="s">
        <v>798</v>
      </c>
      <c r="H473" s="103"/>
      <c r="K473" s="103" t="s">
        <v>364</v>
      </c>
      <c r="L473" s="133"/>
      <c r="M473" s="134"/>
      <c r="N473" s="137" t="s">
        <v>1793</v>
      </c>
      <c r="O473" s="133" t="s">
        <v>372</v>
      </c>
      <c r="P473" s="100" t="s">
        <v>1794</v>
      </c>
      <c r="Q473" s="100" t="s">
        <v>1788</v>
      </c>
      <c r="R473" s="226" t="s">
        <v>1861</v>
      </c>
      <c r="S473" s="491" t="str">
        <f t="shared" si="15"/>
        <v>x</v>
      </c>
      <c r="T473" s="492" t="str">
        <f>IFERROR(VLOOKUP(F473,'Freq-Chan'!C:D,2,FALSE),"x")</f>
        <v>x</v>
      </c>
      <c r="U473" s="110" t="s">
        <v>541</v>
      </c>
      <c r="V473" s="110" t="str">
        <f t="shared" si="16"/>
        <v>FWL</v>
      </c>
      <c r="W473" s="110" t="s">
        <v>541</v>
      </c>
      <c r="X473" s="110" t="s">
        <v>541</v>
      </c>
      <c r="Y473" s="110" t="str">
        <f>IFERROR(VLOOKUP(F473,'Freq-Chan'!C:E,3,FALSE),"na")</f>
        <v>na</v>
      </c>
      <c r="Z473" s="110" t="s">
        <v>541</v>
      </c>
      <c r="AA473" s="110" t="s">
        <v>541</v>
      </c>
      <c r="AB473" s="110" t="s">
        <v>541</v>
      </c>
      <c r="AC473" s="10" t="s">
        <v>541</v>
      </c>
      <c r="AD473" s="10" t="s">
        <v>541</v>
      </c>
    </row>
    <row r="474" spans="1:30" x14ac:dyDescent="0.2">
      <c r="A474" s="110">
        <v>473</v>
      </c>
      <c r="B474" s="132">
        <v>41822</v>
      </c>
      <c r="C474" s="117">
        <v>3</v>
      </c>
      <c r="D474" s="103" t="s">
        <v>177</v>
      </c>
      <c r="E474" s="103" t="s">
        <v>0</v>
      </c>
      <c r="H474" s="103"/>
      <c r="I474" s="103">
        <v>36</v>
      </c>
      <c r="K474" s="103" t="s">
        <v>364</v>
      </c>
      <c r="L474" s="133"/>
      <c r="M474" s="134">
        <v>1.6666666666666666E-2</v>
      </c>
      <c r="N474" s="137" t="s">
        <v>1795</v>
      </c>
      <c r="O474" s="133" t="s">
        <v>372</v>
      </c>
      <c r="P474" s="100" t="s">
        <v>887</v>
      </c>
      <c r="Q474" s="100" t="s">
        <v>1788</v>
      </c>
      <c r="R474" s="226" t="s">
        <v>1861</v>
      </c>
      <c r="S474" s="491" t="str">
        <f t="shared" si="15"/>
        <v>x</v>
      </c>
      <c r="T474" s="492" t="str">
        <f>IFERROR(VLOOKUP(F474,'Freq-Chan'!C:D,2,FALSE),"x")</f>
        <v>x</v>
      </c>
      <c r="U474" s="110" t="s">
        <v>541</v>
      </c>
      <c r="V474" s="110" t="str">
        <f t="shared" si="16"/>
        <v>FWL</v>
      </c>
      <c r="W474" s="110" t="s">
        <v>541</v>
      </c>
      <c r="X474" s="110" t="s">
        <v>541</v>
      </c>
      <c r="Y474" s="110" t="str">
        <f>IFERROR(VLOOKUP(F474,'Freq-Chan'!C:E,3,FALSE),"na")</f>
        <v>na</v>
      </c>
      <c r="Z474" s="110" t="s">
        <v>541</v>
      </c>
      <c r="AA474" s="110" t="s">
        <v>541</v>
      </c>
      <c r="AB474" s="110" t="s">
        <v>541</v>
      </c>
      <c r="AC474" s="10" t="s">
        <v>541</v>
      </c>
      <c r="AD474" s="10" t="s">
        <v>541</v>
      </c>
    </row>
    <row r="475" spans="1:30" x14ac:dyDescent="0.2">
      <c r="A475" s="110">
        <v>474</v>
      </c>
      <c r="B475" s="132">
        <v>41822</v>
      </c>
      <c r="C475" s="117">
        <v>3</v>
      </c>
      <c r="D475" s="103" t="s">
        <v>177</v>
      </c>
      <c r="E475" s="103" t="s">
        <v>0</v>
      </c>
      <c r="H475" s="103"/>
      <c r="I475" s="103">
        <v>32</v>
      </c>
      <c r="K475" s="103" t="s">
        <v>364</v>
      </c>
      <c r="L475" s="133"/>
      <c r="M475" s="134">
        <v>2.013888888888889E-2</v>
      </c>
      <c r="N475" s="137" t="s">
        <v>1860</v>
      </c>
      <c r="O475" s="133" t="s">
        <v>372</v>
      </c>
      <c r="P475" s="100" t="s">
        <v>887</v>
      </c>
      <c r="Q475" s="100" t="s">
        <v>1788</v>
      </c>
      <c r="R475" s="226" t="s">
        <v>1861</v>
      </c>
      <c r="S475" s="491" t="str">
        <f t="shared" si="15"/>
        <v>x</v>
      </c>
      <c r="T475" s="492" t="str">
        <f>IFERROR(VLOOKUP(F475,'Freq-Chan'!C:D,2,FALSE),"x")</f>
        <v>x</v>
      </c>
      <c r="U475" s="110" t="s">
        <v>541</v>
      </c>
      <c r="V475" s="110" t="str">
        <f t="shared" si="16"/>
        <v>FWL</v>
      </c>
      <c r="W475" s="110" t="s">
        <v>541</v>
      </c>
      <c r="X475" s="110" t="s">
        <v>541</v>
      </c>
      <c r="Y475" s="110" t="str">
        <f>IFERROR(VLOOKUP(F475,'Freq-Chan'!C:E,3,FALSE),"na")</f>
        <v>na</v>
      </c>
      <c r="Z475" s="110" t="s">
        <v>541</v>
      </c>
      <c r="AA475" s="110" t="s">
        <v>541</v>
      </c>
      <c r="AB475" s="110" t="s">
        <v>541</v>
      </c>
      <c r="AC475" s="10" t="s">
        <v>541</v>
      </c>
      <c r="AD475" s="10" t="s">
        <v>541</v>
      </c>
    </row>
    <row r="476" spans="1:30" x14ac:dyDescent="0.2">
      <c r="A476" s="110">
        <v>475</v>
      </c>
      <c r="B476" s="132">
        <v>41822</v>
      </c>
      <c r="C476" s="117">
        <v>3</v>
      </c>
      <c r="D476" s="103" t="s">
        <v>2</v>
      </c>
      <c r="E476" s="103" t="s">
        <v>306</v>
      </c>
      <c r="F476" s="103">
        <v>755</v>
      </c>
      <c r="G476" s="103">
        <v>87</v>
      </c>
      <c r="H476" s="137" t="s">
        <v>1247</v>
      </c>
      <c r="I476" s="103">
        <v>67</v>
      </c>
      <c r="K476" s="103" t="s">
        <v>364</v>
      </c>
      <c r="L476" s="133"/>
      <c r="M476" s="134">
        <v>4.5138888888888888E-2</v>
      </c>
      <c r="N476" s="137" t="s">
        <v>1796</v>
      </c>
      <c r="O476" s="133" t="s">
        <v>1663</v>
      </c>
      <c r="Q476" s="100" t="s">
        <v>1788</v>
      </c>
      <c r="R476" s="226" t="s">
        <v>1861</v>
      </c>
      <c r="S476" s="491" t="str">
        <f t="shared" si="15"/>
        <v>x</v>
      </c>
      <c r="T476" s="492">
        <f>IFERROR(VLOOKUP(F476,'Freq-Chan'!C:D,2,FALSE),"x")</f>
        <v>151.755</v>
      </c>
      <c r="U476" s="110" t="s">
        <v>541</v>
      </c>
      <c r="V476" s="110" t="str">
        <f t="shared" si="16"/>
        <v>FWL</v>
      </c>
      <c r="W476" s="110" t="s">
        <v>541</v>
      </c>
      <c r="X476" s="110" t="s">
        <v>541</v>
      </c>
      <c r="Y476" s="110" t="str">
        <f>IFERROR(VLOOKUP(F476,'Freq-Chan'!C:E,3,FALSE),"na")</f>
        <v>F1845</v>
      </c>
      <c r="Z476" s="110" t="s">
        <v>541</v>
      </c>
      <c r="AA476" s="110" t="s">
        <v>541</v>
      </c>
      <c r="AB476" s="110" t="s">
        <v>541</v>
      </c>
      <c r="AC476" s="10" t="s">
        <v>541</v>
      </c>
      <c r="AD476" s="10" t="s">
        <v>541</v>
      </c>
    </row>
    <row r="477" spans="1:30" x14ac:dyDescent="0.2">
      <c r="A477" s="110">
        <v>476</v>
      </c>
      <c r="B477" s="132">
        <v>41822</v>
      </c>
      <c r="C477" s="117">
        <v>3</v>
      </c>
      <c r="D477" s="103" t="s">
        <v>2</v>
      </c>
      <c r="E477" s="103" t="s">
        <v>306</v>
      </c>
      <c r="F477" s="103">
        <v>755</v>
      </c>
      <c r="G477" s="103">
        <v>36</v>
      </c>
      <c r="H477" s="137" t="s">
        <v>1248</v>
      </c>
      <c r="I477" s="103">
        <v>81</v>
      </c>
      <c r="K477" s="103" t="s">
        <v>365</v>
      </c>
      <c r="L477" s="133"/>
      <c r="M477" s="134">
        <v>5.2083333333333336E-2</v>
      </c>
      <c r="N477" s="137" t="s">
        <v>1797</v>
      </c>
      <c r="O477" s="133" t="s">
        <v>950</v>
      </c>
      <c r="Q477" s="100" t="s">
        <v>1761</v>
      </c>
      <c r="R477" s="226" t="s">
        <v>1861</v>
      </c>
      <c r="S477" s="491" t="str">
        <f t="shared" si="15"/>
        <v>x</v>
      </c>
      <c r="T477" s="492">
        <f>IFERROR(VLOOKUP(F477,'Freq-Chan'!C:D,2,FALSE),"x")</f>
        <v>151.755</v>
      </c>
      <c r="U477" s="110" t="s">
        <v>541</v>
      </c>
      <c r="V477" s="110" t="str">
        <f t="shared" si="16"/>
        <v>FWL</v>
      </c>
      <c r="W477" s="110" t="s">
        <v>541</v>
      </c>
      <c r="X477" s="110" t="s">
        <v>541</v>
      </c>
      <c r="Y477" s="110" t="str">
        <f>IFERROR(VLOOKUP(F477,'Freq-Chan'!C:E,3,FALSE),"na")</f>
        <v>F1845</v>
      </c>
      <c r="Z477" s="110" t="s">
        <v>541</v>
      </c>
      <c r="AA477" s="110" t="s">
        <v>541</v>
      </c>
      <c r="AB477" s="110" t="s">
        <v>541</v>
      </c>
      <c r="AC477" s="10" t="s">
        <v>541</v>
      </c>
      <c r="AD477" s="10" t="s">
        <v>541</v>
      </c>
    </row>
    <row r="478" spans="1:30" x14ac:dyDescent="0.2">
      <c r="A478" s="110">
        <v>477</v>
      </c>
      <c r="B478" s="132">
        <v>41822</v>
      </c>
      <c r="C478" s="117">
        <v>3</v>
      </c>
      <c r="D478" s="103" t="s">
        <v>2</v>
      </c>
      <c r="E478" s="103" t="s">
        <v>306</v>
      </c>
      <c r="F478" s="103">
        <v>755</v>
      </c>
      <c r="G478" s="103">
        <v>0</v>
      </c>
      <c r="H478" s="137" t="s">
        <v>1249</v>
      </c>
      <c r="I478" s="103">
        <v>85</v>
      </c>
      <c r="K478" s="103" t="s">
        <v>364</v>
      </c>
      <c r="L478" s="136"/>
      <c r="M478" s="134">
        <v>5.8333333333333327E-2</v>
      </c>
      <c r="N478" s="135" t="s">
        <v>1798</v>
      </c>
      <c r="O478" s="136" t="s">
        <v>1585</v>
      </c>
      <c r="Q478" s="100" t="s">
        <v>1761</v>
      </c>
      <c r="R478" s="226" t="s">
        <v>1861</v>
      </c>
      <c r="S478" s="491" t="str">
        <f t="shared" si="15"/>
        <v>x</v>
      </c>
      <c r="T478" s="492">
        <f>IFERROR(VLOOKUP(F478,'Freq-Chan'!C:D,2,FALSE),"x")</f>
        <v>151.755</v>
      </c>
      <c r="U478" s="110" t="s">
        <v>541</v>
      </c>
      <c r="V478" s="110" t="str">
        <f t="shared" si="16"/>
        <v>FWL</v>
      </c>
      <c r="W478" s="110" t="s">
        <v>541</v>
      </c>
      <c r="X478" s="110" t="s">
        <v>541</v>
      </c>
      <c r="Y478" s="110" t="str">
        <f>IFERROR(VLOOKUP(F478,'Freq-Chan'!C:E,3,FALSE),"na")</f>
        <v>F1845</v>
      </c>
      <c r="Z478" s="110" t="s">
        <v>541</v>
      </c>
      <c r="AA478" s="110" t="s">
        <v>541</v>
      </c>
      <c r="AB478" s="110" t="s">
        <v>541</v>
      </c>
      <c r="AC478" s="10" t="s">
        <v>541</v>
      </c>
      <c r="AD478" s="10" t="s">
        <v>541</v>
      </c>
    </row>
    <row r="479" spans="1:30" x14ac:dyDescent="0.2">
      <c r="A479" s="110">
        <v>478</v>
      </c>
      <c r="B479" s="132">
        <v>41822</v>
      </c>
      <c r="C479" s="117">
        <v>3</v>
      </c>
      <c r="D479" s="103" t="s">
        <v>88</v>
      </c>
      <c r="E479" s="103" t="s">
        <v>798</v>
      </c>
      <c r="H479" s="103"/>
      <c r="J479" s="103">
        <v>31</v>
      </c>
      <c r="K479" s="103" t="s">
        <v>364</v>
      </c>
      <c r="L479" s="136"/>
      <c r="M479" s="134">
        <v>3.2638888888888891E-2</v>
      </c>
      <c r="N479" s="135" t="s">
        <v>1799</v>
      </c>
      <c r="O479" s="136" t="s">
        <v>950</v>
      </c>
      <c r="Q479" s="100" t="s">
        <v>1761</v>
      </c>
      <c r="R479" s="226" t="s">
        <v>1861</v>
      </c>
      <c r="S479" s="491" t="str">
        <f t="shared" si="15"/>
        <v>x</v>
      </c>
      <c r="T479" s="492" t="str">
        <f>IFERROR(VLOOKUP(F479,'Freq-Chan'!C:D,2,FALSE),"x")</f>
        <v>x</v>
      </c>
      <c r="U479" s="110" t="s">
        <v>541</v>
      </c>
      <c r="V479" s="110" t="str">
        <f t="shared" si="16"/>
        <v>FWL</v>
      </c>
      <c r="W479" s="110" t="s">
        <v>541</v>
      </c>
      <c r="X479" s="110" t="s">
        <v>541</v>
      </c>
      <c r="Y479" s="110" t="str">
        <f>IFERROR(VLOOKUP(F479,'Freq-Chan'!C:E,3,FALSE),"na")</f>
        <v>na</v>
      </c>
      <c r="Z479" s="110" t="s">
        <v>541</v>
      </c>
      <c r="AA479" s="110" t="s">
        <v>541</v>
      </c>
      <c r="AB479" s="110" t="s">
        <v>541</v>
      </c>
      <c r="AC479" s="10" t="s">
        <v>541</v>
      </c>
      <c r="AD479" s="10" t="s">
        <v>541</v>
      </c>
    </row>
    <row r="480" spans="1:30" x14ac:dyDescent="0.2">
      <c r="A480" s="110">
        <v>479</v>
      </c>
      <c r="B480" s="132">
        <v>41822</v>
      </c>
      <c r="C480" s="117">
        <v>3</v>
      </c>
      <c r="D480" s="103" t="s">
        <v>2</v>
      </c>
      <c r="E480" s="103" t="s">
        <v>306</v>
      </c>
      <c r="F480" s="103">
        <v>755</v>
      </c>
      <c r="G480" s="103">
        <v>93</v>
      </c>
      <c r="H480" s="137" t="s">
        <v>1250</v>
      </c>
      <c r="I480" s="103">
        <v>64</v>
      </c>
      <c r="K480" s="103" t="s">
        <v>364</v>
      </c>
      <c r="L480" s="136"/>
      <c r="M480" s="134">
        <v>5.2083333333333336E-2</v>
      </c>
      <c r="N480" s="135" t="s">
        <v>1698</v>
      </c>
      <c r="O480" s="136" t="s">
        <v>950</v>
      </c>
      <c r="Q480" s="100" t="s">
        <v>1761</v>
      </c>
      <c r="R480" s="226" t="s">
        <v>1861</v>
      </c>
      <c r="S480" s="491" t="str">
        <f t="shared" si="15"/>
        <v>x</v>
      </c>
      <c r="T480" s="492">
        <f>IFERROR(VLOOKUP(F480,'Freq-Chan'!C:D,2,FALSE),"x")</f>
        <v>151.755</v>
      </c>
      <c r="U480" s="110" t="s">
        <v>541</v>
      </c>
      <c r="V480" s="110" t="str">
        <f t="shared" si="16"/>
        <v>FWL</v>
      </c>
      <c r="W480" s="110" t="s">
        <v>541</v>
      </c>
      <c r="X480" s="110" t="s">
        <v>541</v>
      </c>
      <c r="Y480" s="110" t="str">
        <f>IFERROR(VLOOKUP(F480,'Freq-Chan'!C:E,3,FALSE),"na")</f>
        <v>F1845</v>
      </c>
      <c r="Z480" s="110" t="s">
        <v>541</v>
      </c>
      <c r="AA480" s="110" t="s">
        <v>541</v>
      </c>
      <c r="AB480" s="110" t="s">
        <v>541</v>
      </c>
      <c r="AC480" s="10" t="s">
        <v>541</v>
      </c>
      <c r="AD480" s="10" t="s">
        <v>541</v>
      </c>
    </row>
    <row r="481" spans="1:30" x14ac:dyDescent="0.2">
      <c r="A481" s="110">
        <v>480</v>
      </c>
      <c r="B481" s="132">
        <v>41822</v>
      </c>
      <c r="C481" s="117">
        <v>3</v>
      </c>
      <c r="D481" s="103" t="s">
        <v>2</v>
      </c>
      <c r="E481" s="103" t="s">
        <v>306</v>
      </c>
      <c r="F481" s="103">
        <v>784</v>
      </c>
      <c r="G481" s="103">
        <v>8</v>
      </c>
      <c r="H481" s="137" t="s">
        <v>1261</v>
      </c>
      <c r="I481" s="103">
        <v>61</v>
      </c>
      <c r="K481" s="103" t="s">
        <v>364</v>
      </c>
      <c r="L481" s="136"/>
      <c r="M481" s="134">
        <v>5.347222222222222E-2</v>
      </c>
      <c r="N481" s="135" t="s">
        <v>1800</v>
      </c>
      <c r="O481" s="136" t="s">
        <v>1585</v>
      </c>
      <c r="Q481" s="100" t="s">
        <v>1761</v>
      </c>
      <c r="R481" s="226" t="s">
        <v>1861</v>
      </c>
      <c r="S481" s="491" t="str">
        <f t="shared" si="15"/>
        <v>x</v>
      </c>
      <c r="T481" s="492">
        <f>IFERROR(VLOOKUP(F481,'Freq-Chan'!C:D,2,FALSE),"x")</f>
        <v>151.78399999999999</v>
      </c>
      <c r="U481" s="110" t="s">
        <v>541</v>
      </c>
      <c r="V481" s="110" t="str">
        <f t="shared" si="16"/>
        <v>FWL</v>
      </c>
      <c r="W481" s="110" t="s">
        <v>541</v>
      </c>
      <c r="X481" s="110" t="s">
        <v>541</v>
      </c>
      <c r="Y481" s="110" t="str">
        <f>IFERROR(VLOOKUP(F481,'Freq-Chan'!C:E,3,FALSE),"na")</f>
        <v>F1845</v>
      </c>
      <c r="Z481" s="110" t="s">
        <v>541</v>
      </c>
      <c r="AA481" s="110" t="s">
        <v>541</v>
      </c>
      <c r="AB481" s="110" t="s">
        <v>541</v>
      </c>
      <c r="AC481" s="10" t="s">
        <v>541</v>
      </c>
      <c r="AD481" s="10" t="s">
        <v>541</v>
      </c>
    </row>
    <row r="482" spans="1:30" x14ac:dyDescent="0.2">
      <c r="A482" s="110">
        <v>481</v>
      </c>
      <c r="B482" s="132">
        <v>41822</v>
      </c>
      <c r="C482" s="117">
        <v>3</v>
      </c>
      <c r="D482" s="103" t="s">
        <v>2</v>
      </c>
      <c r="E482" s="103" t="s">
        <v>306</v>
      </c>
      <c r="F482" s="103">
        <v>755</v>
      </c>
      <c r="G482" s="103">
        <v>3</v>
      </c>
      <c r="H482" s="137" t="s">
        <v>1262</v>
      </c>
      <c r="I482" s="103">
        <v>61</v>
      </c>
      <c r="K482" s="103" t="s">
        <v>364</v>
      </c>
      <c r="L482" s="136"/>
      <c r="M482" s="134">
        <v>5.1388888888888894E-2</v>
      </c>
      <c r="N482" s="135" t="s">
        <v>1801</v>
      </c>
      <c r="O482" s="136" t="s">
        <v>372</v>
      </c>
      <c r="Q482" s="100" t="s">
        <v>1744</v>
      </c>
      <c r="R482" s="226" t="s">
        <v>1861</v>
      </c>
      <c r="S482" s="491" t="str">
        <f t="shared" si="15"/>
        <v>x</v>
      </c>
      <c r="T482" s="492">
        <f>IFERROR(VLOOKUP(F482,'Freq-Chan'!C:D,2,FALSE),"x")</f>
        <v>151.755</v>
      </c>
      <c r="U482" s="110" t="s">
        <v>541</v>
      </c>
      <c r="V482" s="110" t="str">
        <f t="shared" si="16"/>
        <v>FWL</v>
      </c>
      <c r="W482" s="110" t="s">
        <v>541</v>
      </c>
      <c r="X482" s="110" t="s">
        <v>541</v>
      </c>
      <c r="Y482" s="110" t="str">
        <f>IFERROR(VLOOKUP(F482,'Freq-Chan'!C:E,3,FALSE),"na")</f>
        <v>F1845</v>
      </c>
      <c r="Z482" s="110" t="s">
        <v>541</v>
      </c>
      <c r="AA482" s="110" t="s">
        <v>541</v>
      </c>
      <c r="AB482" s="110" t="s">
        <v>541</v>
      </c>
      <c r="AC482" s="10" t="s">
        <v>541</v>
      </c>
      <c r="AD482" s="10" t="s">
        <v>541</v>
      </c>
    </row>
    <row r="483" spans="1:30" x14ac:dyDescent="0.2">
      <c r="A483" s="110">
        <v>482</v>
      </c>
      <c r="B483" s="132">
        <v>41822</v>
      </c>
      <c r="C483" s="117">
        <v>3</v>
      </c>
      <c r="D483" s="103" t="s">
        <v>2</v>
      </c>
      <c r="E483" s="103" t="s">
        <v>306</v>
      </c>
      <c r="F483" s="103">
        <v>755</v>
      </c>
      <c r="G483" s="103">
        <v>74</v>
      </c>
      <c r="H483" s="137" t="s">
        <v>1263</v>
      </c>
      <c r="I483" s="103">
        <v>58</v>
      </c>
      <c r="K483" s="103" t="s">
        <v>364</v>
      </c>
      <c r="L483" s="136"/>
      <c r="M483" s="134">
        <v>6.8749999999999992E-2</v>
      </c>
      <c r="N483" s="135" t="s">
        <v>845</v>
      </c>
      <c r="O483" s="136" t="s">
        <v>376</v>
      </c>
      <c r="P483" s="100" t="s">
        <v>1802</v>
      </c>
      <c r="Q483" s="100" t="s">
        <v>1744</v>
      </c>
      <c r="R483" s="226" t="s">
        <v>1861</v>
      </c>
      <c r="S483" s="491" t="str">
        <f t="shared" si="15"/>
        <v>x</v>
      </c>
      <c r="T483" s="492">
        <f>IFERROR(VLOOKUP(F483,'Freq-Chan'!C:D,2,FALSE),"x")</f>
        <v>151.755</v>
      </c>
      <c r="U483" s="110" t="s">
        <v>541</v>
      </c>
      <c r="V483" s="110" t="str">
        <f t="shared" si="16"/>
        <v>FWL</v>
      </c>
      <c r="W483" s="110" t="s">
        <v>541</v>
      </c>
      <c r="X483" s="110" t="s">
        <v>541</v>
      </c>
      <c r="Y483" s="110" t="str">
        <f>IFERROR(VLOOKUP(F483,'Freq-Chan'!C:E,3,FALSE),"na")</f>
        <v>F1845</v>
      </c>
      <c r="Z483" s="110" t="s">
        <v>541</v>
      </c>
      <c r="AA483" s="110" t="s">
        <v>541</v>
      </c>
      <c r="AB483" s="110" t="s">
        <v>541</v>
      </c>
      <c r="AC483" s="10" t="s">
        <v>541</v>
      </c>
      <c r="AD483" s="10" t="s">
        <v>541</v>
      </c>
    </row>
    <row r="484" spans="1:30" x14ac:dyDescent="0.2">
      <c r="A484" s="110">
        <v>483</v>
      </c>
      <c r="B484" s="132">
        <v>41822</v>
      </c>
      <c r="C484" s="117">
        <v>3</v>
      </c>
      <c r="D484" s="103" t="s">
        <v>2</v>
      </c>
      <c r="E484" s="103" t="s">
        <v>306</v>
      </c>
      <c r="F484" s="103">
        <v>784</v>
      </c>
      <c r="G484" s="103">
        <v>29</v>
      </c>
      <c r="H484" s="137" t="s">
        <v>1265</v>
      </c>
      <c r="I484" s="103">
        <v>79</v>
      </c>
      <c r="K484" s="103" t="s">
        <v>364</v>
      </c>
      <c r="L484" s="136">
        <v>0.7631944444444444</v>
      </c>
      <c r="M484" s="134">
        <v>7.3611111111111113E-2</v>
      </c>
      <c r="N484" s="135" t="s">
        <v>1803</v>
      </c>
      <c r="O484" s="136" t="s">
        <v>372</v>
      </c>
      <c r="P484" s="100" t="s">
        <v>1804</v>
      </c>
      <c r="Q484" s="100" t="s">
        <v>1744</v>
      </c>
      <c r="R484" s="226" t="s">
        <v>1861</v>
      </c>
      <c r="S484" s="491">
        <f t="shared" si="15"/>
        <v>7.8009259000000001E-3</v>
      </c>
      <c r="T484" s="492">
        <f>IFERROR(VLOOKUP(F484,'Freq-Chan'!C:D,2,FALSE),"x")</f>
        <v>151.78399999999999</v>
      </c>
      <c r="U484" s="110" t="s">
        <v>541</v>
      </c>
      <c r="V484" s="110" t="str">
        <f t="shared" si="16"/>
        <v>FWL</v>
      </c>
      <c r="W484" s="110" t="s">
        <v>541</v>
      </c>
      <c r="X484" s="110" t="s">
        <v>541</v>
      </c>
      <c r="Y484" s="110" t="str">
        <f>IFERROR(VLOOKUP(F484,'Freq-Chan'!C:E,3,FALSE),"na")</f>
        <v>F1845</v>
      </c>
      <c r="Z484" s="110" t="s">
        <v>541</v>
      </c>
      <c r="AA484" s="110" t="s">
        <v>541</v>
      </c>
      <c r="AB484" s="110" t="s">
        <v>541</v>
      </c>
      <c r="AC484" s="10" t="s">
        <v>541</v>
      </c>
      <c r="AD484" s="10" t="s">
        <v>541</v>
      </c>
    </row>
    <row r="485" spans="1:30" x14ac:dyDescent="0.2">
      <c r="A485" s="110">
        <v>484</v>
      </c>
      <c r="B485" s="132">
        <v>41822</v>
      </c>
      <c r="C485" s="117">
        <v>3</v>
      </c>
      <c r="D485" s="103" t="s">
        <v>2</v>
      </c>
      <c r="E485" s="103" t="s">
        <v>306</v>
      </c>
      <c r="F485" s="103">
        <v>784</v>
      </c>
      <c r="G485" s="103">
        <v>37</v>
      </c>
      <c r="H485" s="137" t="s">
        <v>1264</v>
      </c>
      <c r="I485" s="103">
        <v>54</v>
      </c>
      <c r="K485" s="103" t="s">
        <v>364</v>
      </c>
      <c r="L485" s="136">
        <v>0.76458333333333339</v>
      </c>
      <c r="M485" s="134">
        <v>4.6527777777777779E-2</v>
      </c>
      <c r="N485" s="135" t="s">
        <v>1805</v>
      </c>
      <c r="O485" s="136" t="s">
        <v>376</v>
      </c>
      <c r="P485" s="100" t="s">
        <v>1806</v>
      </c>
      <c r="Q485" s="100" t="s">
        <v>1744</v>
      </c>
      <c r="R485" s="226" t="s">
        <v>1861</v>
      </c>
      <c r="S485" s="491">
        <f t="shared" si="15"/>
        <v>2.6967593000000001E-3</v>
      </c>
      <c r="T485" s="492">
        <f>IFERROR(VLOOKUP(F485,'Freq-Chan'!C:D,2,FALSE),"x")</f>
        <v>151.78399999999999</v>
      </c>
      <c r="U485" s="110" t="s">
        <v>541</v>
      </c>
      <c r="V485" s="110" t="str">
        <f t="shared" si="16"/>
        <v>FWL</v>
      </c>
      <c r="W485" s="110" t="s">
        <v>541</v>
      </c>
      <c r="X485" s="110" t="s">
        <v>541</v>
      </c>
      <c r="Y485" s="110" t="str">
        <f>IFERROR(VLOOKUP(F485,'Freq-Chan'!C:E,3,FALSE),"na")</f>
        <v>F1845</v>
      </c>
      <c r="Z485" s="110" t="s">
        <v>541</v>
      </c>
      <c r="AA485" s="110" t="s">
        <v>541</v>
      </c>
      <c r="AB485" s="110" t="s">
        <v>541</v>
      </c>
      <c r="AC485" s="10" t="s">
        <v>541</v>
      </c>
      <c r="AD485" s="10" t="s">
        <v>541</v>
      </c>
    </row>
    <row r="486" spans="1:30" x14ac:dyDescent="0.2">
      <c r="A486" s="110">
        <v>485</v>
      </c>
      <c r="B486" s="132">
        <v>41822</v>
      </c>
      <c r="C486" s="117">
        <v>3</v>
      </c>
      <c r="D486" s="103" t="s">
        <v>75</v>
      </c>
      <c r="E486" s="103" t="s">
        <v>798</v>
      </c>
      <c r="H486" s="103"/>
      <c r="J486" s="103">
        <v>21</v>
      </c>
      <c r="K486" s="103" t="s">
        <v>364</v>
      </c>
      <c r="L486" s="136">
        <v>0.77361111111111114</v>
      </c>
      <c r="M486" s="134">
        <v>4.3750000000000004E-2</v>
      </c>
      <c r="N486" s="135" t="s">
        <v>1807</v>
      </c>
      <c r="O486" s="136" t="s">
        <v>806</v>
      </c>
      <c r="Q486" s="100" t="s">
        <v>1744</v>
      </c>
      <c r="R486" s="226" t="s">
        <v>1861</v>
      </c>
      <c r="S486" s="491">
        <f t="shared" si="15"/>
        <v>0</v>
      </c>
      <c r="T486" s="492" t="str">
        <f>IFERROR(VLOOKUP(F486,'Freq-Chan'!C:D,2,FALSE),"x")</f>
        <v>x</v>
      </c>
      <c r="U486" s="110" t="s">
        <v>541</v>
      </c>
      <c r="V486" s="110" t="str">
        <f t="shared" si="16"/>
        <v>FWL</v>
      </c>
      <c r="W486" s="110" t="s">
        <v>541</v>
      </c>
      <c r="X486" s="110" t="s">
        <v>541</v>
      </c>
      <c r="Y486" s="110" t="str">
        <f>IFERROR(VLOOKUP(F486,'Freq-Chan'!C:E,3,FALSE),"na")</f>
        <v>na</v>
      </c>
      <c r="Z486" s="110" t="s">
        <v>541</v>
      </c>
      <c r="AA486" s="110" t="s">
        <v>541</v>
      </c>
      <c r="AB486" s="110" t="s">
        <v>541</v>
      </c>
      <c r="AC486" s="10" t="s">
        <v>541</v>
      </c>
      <c r="AD486" s="10" t="s">
        <v>541</v>
      </c>
    </row>
    <row r="487" spans="1:30" x14ac:dyDescent="0.2">
      <c r="A487" s="110">
        <v>486</v>
      </c>
      <c r="B487" s="132">
        <v>41822</v>
      </c>
      <c r="C487" s="117">
        <v>3</v>
      </c>
      <c r="D487" s="103" t="s">
        <v>177</v>
      </c>
      <c r="E487" s="103" t="s">
        <v>0</v>
      </c>
      <c r="H487" s="103"/>
      <c r="I487" s="103">
        <v>29</v>
      </c>
      <c r="K487" s="103" t="s">
        <v>364</v>
      </c>
      <c r="L487" s="136">
        <v>0.78472222222222221</v>
      </c>
      <c r="M487" s="134">
        <v>2.2222222222222223E-2</v>
      </c>
      <c r="N487" s="135" t="s">
        <v>1808</v>
      </c>
      <c r="O487" s="136" t="s">
        <v>376</v>
      </c>
      <c r="P487" s="100" t="s">
        <v>776</v>
      </c>
      <c r="Q487" s="100" t="s">
        <v>1744</v>
      </c>
      <c r="R487" s="226" t="s">
        <v>1861</v>
      </c>
      <c r="S487" s="491">
        <f t="shared" si="15"/>
        <v>1.7129630000000001E-3</v>
      </c>
      <c r="T487" s="492" t="str">
        <f>IFERROR(VLOOKUP(F487,'Freq-Chan'!C:D,2,FALSE),"x")</f>
        <v>x</v>
      </c>
      <c r="U487" s="110" t="s">
        <v>541</v>
      </c>
      <c r="V487" s="110" t="str">
        <f t="shared" si="16"/>
        <v>FWL</v>
      </c>
      <c r="W487" s="110" t="s">
        <v>541</v>
      </c>
      <c r="X487" s="110" t="s">
        <v>541</v>
      </c>
      <c r="Y487" s="110" t="str">
        <f>IFERROR(VLOOKUP(F487,'Freq-Chan'!C:E,3,FALSE),"na")</f>
        <v>na</v>
      </c>
      <c r="Z487" s="110" t="s">
        <v>541</v>
      </c>
      <c r="AA487" s="110" t="s">
        <v>541</v>
      </c>
      <c r="AB487" s="110" t="s">
        <v>541</v>
      </c>
      <c r="AC487" s="10" t="s">
        <v>541</v>
      </c>
      <c r="AD487" s="10" t="s">
        <v>541</v>
      </c>
    </row>
    <row r="488" spans="1:30" x14ac:dyDescent="0.2">
      <c r="A488" s="110">
        <v>487</v>
      </c>
      <c r="B488" s="132">
        <v>41822</v>
      </c>
      <c r="C488" s="117">
        <v>3</v>
      </c>
      <c r="D488" s="103" t="s">
        <v>177</v>
      </c>
      <c r="E488" s="103" t="s">
        <v>0</v>
      </c>
      <c r="F488" s="103">
        <v>917</v>
      </c>
      <c r="G488" s="103">
        <v>88</v>
      </c>
      <c r="H488" s="137" t="s">
        <v>1266</v>
      </c>
      <c r="I488" s="103">
        <v>47</v>
      </c>
      <c r="K488" s="103" t="s">
        <v>364</v>
      </c>
      <c r="L488" s="136"/>
      <c r="M488" s="134">
        <v>5.6944444444444443E-2</v>
      </c>
      <c r="N488" s="135" t="s">
        <v>715</v>
      </c>
      <c r="O488" s="136" t="s">
        <v>806</v>
      </c>
      <c r="Q488" s="100" t="s">
        <v>1744</v>
      </c>
      <c r="R488" s="226" t="s">
        <v>1861</v>
      </c>
      <c r="S488" s="491" t="str">
        <f t="shared" si="15"/>
        <v>x</v>
      </c>
      <c r="T488" s="492">
        <f>IFERROR(VLOOKUP(F488,'Freq-Chan'!C:D,2,FALSE),"x")</f>
        <v>151.917</v>
      </c>
      <c r="U488" s="110" t="s">
        <v>541</v>
      </c>
      <c r="V488" s="110" t="str">
        <f t="shared" si="16"/>
        <v>FWL</v>
      </c>
      <c r="W488" s="110" t="s">
        <v>541</v>
      </c>
      <c r="X488" s="110" t="s">
        <v>541</v>
      </c>
      <c r="Y488" s="110" t="str">
        <f>IFERROR(VLOOKUP(F488,'Freq-Chan'!C:E,3,FALSE),"na")</f>
        <v>F1835</v>
      </c>
      <c r="Z488" s="110" t="s">
        <v>541</v>
      </c>
      <c r="AA488" s="110" t="s">
        <v>541</v>
      </c>
      <c r="AB488" s="110" t="s">
        <v>541</v>
      </c>
      <c r="AC488" s="10" t="s">
        <v>541</v>
      </c>
      <c r="AD488" s="10" t="s">
        <v>541</v>
      </c>
    </row>
    <row r="489" spans="1:30" s="291" customFormat="1" x14ac:dyDescent="0.2">
      <c r="A489" s="493">
        <v>488</v>
      </c>
      <c r="B489" s="283">
        <v>41822</v>
      </c>
      <c r="C489" s="284">
        <v>3</v>
      </c>
      <c r="D489" s="285" t="s">
        <v>2</v>
      </c>
      <c r="E489" s="285" t="s">
        <v>306</v>
      </c>
      <c r="F489" s="285">
        <v>784</v>
      </c>
      <c r="G489" s="285">
        <v>47</v>
      </c>
      <c r="H489" s="339" t="s">
        <v>1267</v>
      </c>
      <c r="I489" s="285">
        <v>62</v>
      </c>
      <c r="J489" s="285"/>
      <c r="K489" s="285" t="s">
        <v>364</v>
      </c>
      <c r="L489" s="325">
        <v>0.83472222222222225</v>
      </c>
      <c r="M489" s="287">
        <v>5.6944444444444443E-2</v>
      </c>
      <c r="N489" s="288" t="s">
        <v>1809</v>
      </c>
      <c r="O489" s="325" t="s">
        <v>1585</v>
      </c>
      <c r="P489" s="289"/>
      <c r="Q489" s="289" t="s">
        <v>1744</v>
      </c>
      <c r="R489" s="290" t="s">
        <v>1861</v>
      </c>
      <c r="S489" s="494">
        <f t="shared" si="15"/>
        <v>1.8287036999999999E-3</v>
      </c>
      <c r="T489" s="495">
        <f>IFERROR(VLOOKUP(F489,'Freq-Chan'!C:D,2,FALSE),"x")</f>
        <v>151.78399999999999</v>
      </c>
      <c r="U489" s="493" t="s">
        <v>541</v>
      </c>
      <c r="V489" s="493" t="str">
        <f t="shared" si="16"/>
        <v>FWL</v>
      </c>
      <c r="W489" s="493" t="s">
        <v>541</v>
      </c>
      <c r="X489" s="493" t="s">
        <v>541</v>
      </c>
      <c r="Y489" s="493" t="str">
        <f>IFERROR(VLOOKUP(F489,'Freq-Chan'!C:E,3,FALSE),"na")</f>
        <v>F1845</v>
      </c>
      <c r="Z489" s="493" t="s">
        <v>541</v>
      </c>
      <c r="AA489" s="493" t="s">
        <v>541</v>
      </c>
      <c r="AB489" s="493" t="s">
        <v>541</v>
      </c>
      <c r="AC489" s="291" t="s">
        <v>541</v>
      </c>
      <c r="AD489" s="291" t="s">
        <v>541</v>
      </c>
    </row>
    <row r="490" spans="1:30" x14ac:dyDescent="0.2">
      <c r="A490" s="110">
        <v>489</v>
      </c>
      <c r="B490" s="132">
        <v>41823</v>
      </c>
      <c r="C490" s="117">
        <v>1</v>
      </c>
      <c r="D490" s="103" t="s">
        <v>2</v>
      </c>
      <c r="E490" s="103" t="s">
        <v>306</v>
      </c>
      <c r="F490" s="103">
        <v>784</v>
      </c>
      <c r="G490" s="103">
        <v>23</v>
      </c>
      <c r="H490" s="137" t="s">
        <v>1254</v>
      </c>
      <c r="I490" s="103">
        <v>55</v>
      </c>
      <c r="K490" s="103" t="s">
        <v>364</v>
      </c>
      <c r="L490" s="136"/>
      <c r="M490" s="134">
        <v>4.6527777777777779E-2</v>
      </c>
      <c r="N490" s="135" t="s">
        <v>1828</v>
      </c>
      <c r="O490" s="136" t="s">
        <v>802</v>
      </c>
      <c r="Q490" s="100" t="s">
        <v>1819</v>
      </c>
      <c r="R490" s="226" t="s">
        <v>1861</v>
      </c>
      <c r="S490" s="491" t="str">
        <f t="shared" si="15"/>
        <v>x</v>
      </c>
      <c r="T490" s="492">
        <f>IFERROR(VLOOKUP(F490,'Freq-Chan'!C:D,2,FALSE),"x")</f>
        <v>151.78399999999999</v>
      </c>
      <c r="U490" s="110" t="s">
        <v>541</v>
      </c>
      <c r="V490" s="110" t="str">
        <f t="shared" si="16"/>
        <v>FWL</v>
      </c>
      <c r="W490" s="110" t="s">
        <v>541</v>
      </c>
      <c r="X490" s="110" t="s">
        <v>541</v>
      </c>
      <c r="Y490" s="110" t="str">
        <f>IFERROR(VLOOKUP(F490,'Freq-Chan'!C:E,3,FALSE),"na")</f>
        <v>F1845</v>
      </c>
      <c r="Z490" s="110" t="s">
        <v>541</v>
      </c>
      <c r="AA490" s="110" t="s">
        <v>541</v>
      </c>
      <c r="AB490" s="110" t="s">
        <v>541</v>
      </c>
      <c r="AC490" s="10" t="s">
        <v>541</v>
      </c>
      <c r="AD490" s="10" t="s">
        <v>541</v>
      </c>
    </row>
    <row r="491" spans="1:30" x14ac:dyDescent="0.2">
      <c r="A491" s="110">
        <v>490</v>
      </c>
      <c r="B491" s="132">
        <v>41823</v>
      </c>
      <c r="C491" s="117">
        <v>1</v>
      </c>
      <c r="D491" s="103" t="s">
        <v>177</v>
      </c>
      <c r="E491" s="103" t="s">
        <v>0</v>
      </c>
      <c r="H491" s="103"/>
      <c r="I491" s="103">
        <v>34</v>
      </c>
      <c r="K491" s="103" t="s">
        <v>364</v>
      </c>
      <c r="L491" s="136"/>
      <c r="M491" s="134">
        <v>1.9444444444444445E-2</v>
      </c>
      <c r="N491" s="135" t="s">
        <v>1777</v>
      </c>
      <c r="O491" s="136" t="s">
        <v>909</v>
      </c>
      <c r="P491" s="100" t="s">
        <v>776</v>
      </c>
      <c r="Q491" s="100" t="s">
        <v>1829</v>
      </c>
      <c r="R491" s="226" t="s">
        <v>1861</v>
      </c>
      <c r="S491" s="491" t="str">
        <f t="shared" si="15"/>
        <v>x</v>
      </c>
      <c r="T491" s="492" t="str">
        <f>IFERROR(VLOOKUP(F491,'Freq-Chan'!C:D,2,FALSE),"x")</f>
        <v>x</v>
      </c>
      <c r="U491" s="110" t="s">
        <v>541</v>
      </c>
      <c r="V491" s="110" t="str">
        <f t="shared" si="16"/>
        <v>FWL</v>
      </c>
      <c r="W491" s="110" t="s">
        <v>541</v>
      </c>
      <c r="X491" s="110" t="s">
        <v>541</v>
      </c>
      <c r="Y491" s="110" t="str">
        <f>IFERROR(VLOOKUP(F491,'Freq-Chan'!C:E,3,FALSE),"na")</f>
        <v>na</v>
      </c>
      <c r="Z491" s="110" t="s">
        <v>541</v>
      </c>
      <c r="AA491" s="110" t="s">
        <v>541</v>
      </c>
      <c r="AB491" s="110" t="s">
        <v>541</v>
      </c>
      <c r="AC491" s="10" t="s">
        <v>541</v>
      </c>
      <c r="AD491" s="10" t="s">
        <v>541</v>
      </c>
    </row>
    <row r="492" spans="1:30" x14ac:dyDescent="0.2">
      <c r="A492" s="110">
        <v>491</v>
      </c>
      <c r="B492" s="132">
        <v>41823</v>
      </c>
      <c r="C492" s="117">
        <v>1</v>
      </c>
      <c r="D492" s="103" t="s">
        <v>177</v>
      </c>
      <c r="E492" s="103" t="s">
        <v>0</v>
      </c>
      <c r="H492" s="103"/>
      <c r="I492" s="103">
        <v>34</v>
      </c>
      <c r="K492" s="103" t="s">
        <v>364</v>
      </c>
      <c r="L492" s="136"/>
      <c r="M492" s="134">
        <v>1.7361111111111112E-2</v>
      </c>
      <c r="N492" s="135" t="s">
        <v>1830</v>
      </c>
      <c r="O492" s="136" t="s">
        <v>1585</v>
      </c>
      <c r="P492" s="100" t="s">
        <v>776</v>
      </c>
      <c r="Q492" s="100" t="s">
        <v>1829</v>
      </c>
      <c r="R492" s="226" t="s">
        <v>1861</v>
      </c>
      <c r="S492" s="491" t="str">
        <f t="shared" si="15"/>
        <v>x</v>
      </c>
      <c r="T492" s="492" t="str">
        <f>IFERROR(VLOOKUP(F492,'Freq-Chan'!C:D,2,FALSE),"x")</f>
        <v>x</v>
      </c>
      <c r="U492" s="110" t="s">
        <v>541</v>
      </c>
      <c r="V492" s="110" t="str">
        <f t="shared" si="16"/>
        <v>FWL</v>
      </c>
      <c r="W492" s="110" t="s">
        <v>541</v>
      </c>
      <c r="X492" s="110" t="s">
        <v>541</v>
      </c>
      <c r="Y492" s="110" t="str">
        <f>IFERROR(VLOOKUP(F492,'Freq-Chan'!C:E,3,FALSE),"na")</f>
        <v>na</v>
      </c>
      <c r="Z492" s="110" t="s">
        <v>541</v>
      </c>
      <c r="AA492" s="110" t="s">
        <v>541</v>
      </c>
      <c r="AB492" s="110" t="s">
        <v>541</v>
      </c>
      <c r="AC492" s="10" t="s">
        <v>541</v>
      </c>
      <c r="AD492" s="10" t="s">
        <v>541</v>
      </c>
    </row>
    <row r="493" spans="1:30" x14ac:dyDescent="0.2">
      <c r="A493" s="110">
        <v>492</v>
      </c>
      <c r="B493" s="132">
        <v>41823</v>
      </c>
      <c r="C493" s="117">
        <v>1</v>
      </c>
      <c r="D493" s="103" t="s">
        <v>88</v>
      </c>
      <c r="E493" s="103" t="s">
        <v>798</v>
      </c>
      <c r="H493" s="103"/>
      <c r="J493" s="103">
        <v>22</v>
      </c>
      <c r="K493" s="103" t="s">
        <v>364</v>
      </c>
      <c r="L493" s="136"/>
      <c r="M493" s="134">
        <v>2.1527777777777781E-2</v>
      </c>
      <c r="N493" s="135" t="s">
        <v>843</v>
      </c>
      <c r="O493" s="136" t="s">
        <v>1585</v>
      </c>
      <c r="Q493" s="100" t="s">
        <v>1829</v>
      </c>
      <c r="R493" s="226" t="s">
        <v>1861</v>
      </c>
      <c r="S493" s="491" t="str">
        <f t="shared" si="15"/>
        <v>x</v>
      </c>
      <c r="T493" s="492" t="str">
        <f>IFERROR(VLOOKUP(F493,'Freq-Chan'!C:D,2,FALSE),"x")</f>
        <v>x</v>
      </c>
      <c r="U493" s="110" t="s">
        <v>541</v>
      </c>
      <c r="V493" s="110" t="str">
        <f t="shared" si="16"/>
        <v>FWL</v>
      </c>
      <c r="W493" s="110" t="s">
        <v>541</v>
      </c>
      <c r="X493" s="110" t="s">
        <v>541</v>
      </c>
      <c r="Y493" s="110" t="str">
        <f>IFERROR(VLOOKUP(F493,'Freq-Chan'!C:E,3,FALSE),"na")</f>
        <v>na</v>
      </c>
      <c r="Z493" s="110" t="s">
        <v>541</v>
      </c>
      <c r="AA493" s="110" t="s">
        <v>541</v>
      </c>
      <c r="AB493" s="110" t="s">
        <v>541</v>
      </c>
      <c r="AC493" s="10" t="s">
        <v>541</v>
      </c>
      <c r="AD493" s="10" t="s">
        <v>541</v>
      </c>
    </row>
    <row r="494" spans="1:30" x14ac:dyDescent="0.2">
      <c r="A494" s="110">
        <v>493</v>
      </c>
      <c r="B494" s="132">
        <v>41823</v>
      </c>
      <c r="C494" s="117">
        <v>1</v>
      </c>
      <c r="D494" s="103" t="s">
        <v>177</v>
      </c>
      <c r="E494" s="103" t="s">
        <v>0</v>
      </c>
      <c r="H494" s="103"/>
      <c r="I494" s="103">
        <v>34</v>
      </c>
      <c r="K494" s="103" t="s">
        <v>364</v>
      </c>
      <c r="L494" s="136"/>
      <c r="M494" s="134">
        <v>2.013888888888889E-2</v>
      </c>
      <c r="N494" s="135" t="s">
        <v>1831</v>
      </c>
      <c r="O494" s="136" t="s">
        <v>1585</v>
      </c>
      <c r="P494" s="100" t="s">
        <v>776</v>
      </c>
      <c r="Q494" s="100" t="s">
        <v>1829</v>
      </c>
      <c r="R494" s="226" t="s">
        <v>1861</v>
      </c>
      <c r="S494" s="491" t="str">
        <f t="shared" si="15"/>
        <v>x</v>
      </c>
      <c r="T494" s="492" t="str">
        <f>IFERROR(VLOOKUP(F494,'Freq-Chan'!C:D,2,FALSE),"x")</f>
        <v>x</v>
      </c>
      <c r="U494" s="110" t="s">
        <v>541</v>
      </c>
      <c r="V494" s="110" t="str">
        <f t="shared" si="16"/>
        <v>FWL</v>
      </c>
      <c r="W494" s="110" t="s">
        <v>541</v>
      </c>
      <c r="X494" s="110" t="s">
        <v>541</v>
      </c>
      <c r="Y494" s="110" t="str">
        <f>IFERROR(VLOOKUP(F494,'Freq-Chan'!C:E,3,FALSE),"na")</f>
        <v>na</v>
      </c>
      <c r="Z494" s="110" t="s">
        <v>541</v>
      </c>
      <c r="AA494" s="110" t="s">
        <v>541</v>
      </c>
      <c r="AB494" s="110" t="s">
        <v>541</v>
      </c>
      <c r="AC494" s="10" t="s">
        <v>541</v>
      </c>
      <c r="AD494" s="10" t="s">
        <v>541</v>
      </c>
    </row>
    <row r="495" spans="1:30" x14ac:dyDescent="0.2">
      <c r="A495" s="110">
        <v>494</v>
      </c>
      <c r="B495" s="132">
        <v>41823</v>
      </c>
      <c r="C495" s="117">
        <v>1</v>
      </c>
      <c r="D495" s="103" t="s">
        <v>2</v>
      </c>
      <c r="E495" s="103" t="s">
        <v>306</v>
      </c>
      <c r="F495" s="103">
        <v>784</v>
      </c>
      <c r="G495" s="103">
        <v>92</v>
      </c>
      <c r="H495" s="137" t="s">
        <v>1257</v>
      </c>
      <c r="I495" s="103">
        <v>82</v>
      </c>
      <c r="K495" s="103" t="s">
        <v>364</v>
      </c>
      <c r="L495" s="136"/>
      <c r="M495" s="134">
        <v>7.4305555555555555E-2</v>
      </c>
      <c r="N495" s="135" t="s">
        <v>1832</v>
      </c>
      <c r="O495" s="136" t="s">
        <v>372</v>
      </c>
      <c r="Q495" s="100" t="s">
        <v>1814</v>
      </c>
      <c r="R495" s="226" t="s">
        <v>1861</v>
      </c>
      <c r="S495" s="491" t="str">
        <f t="shared" si="15"/>
        <v>x</v>
      </c>
      <c r="T495" s="492">
        <f>IFERROR(VLOOKUP(F495,'Freq-Chan'!C:D,2,FALSE),"x")</f>
        <v>151.78399999999999</v>
      </c>
      <c r="U495" s="110" t="s">
        <v>541</v>
      </c>
      <c r="V495" s="110" t="str">
        <f t="shared" si="16"/>
        <v>FWL</v>
      </c>
      <c r="W495" s="110" t="s">
        <v>541</v>
      </c>
      <c r="X495" s="110" t="s">
        <v>541</v>
      </c>
      <c r="Y495" s="110" t="str">
        <f>IFERROR(VLOOKUP(F495,'Freq-Chan'!C:E,3,FALSE),"na")</f>
        <v>F1845</v>
      </c>
      <c r="Z495" s="110" t="s">
        <v>541</v>
      </c>
      <c r="AA495" s="110" t="s">
        <v>541</v>
      </c>
      <c r="AB495" s="110" t="s">
        <v>541</v>
      </c>
      <c r="AC495" s="10" t="s">
        <v>541</v>
      </c>
      <c r="AD495" s="10" t="s">
        <v>541</v>
      </c>
    </row>
    <row r="496" spans="1:30" x14ac:dyDescent="0.2">
      <c r="A496" s="110">
        <v>495</v>
      </c>
      <c r="B496" s="132">
        <v>41823</v>
      </c>
      <c r="C496" s="117">
        <v>1</v>
      </c>
      <c r="D496" s="103" t="s">
        <v>2</v>
      </c>
      <c r="E496" s="103" t="s">
        <v>306</v>
      </c>
      <c r="F496" s="103">
        <v>784</v>
      </c>
      <c r="G496" s="103">
        <v>31</v>
      </c>
      <c r="H496" s="137" t="s">
        <v>1258</v>
      </c>
      <c r="I496" s="103">
        <v>77</v>
      </c>
      <c r="K496" s="103" t="s">
        <v>364</v>
      </c>
      <c r="L496" s="136"/>
      <c r="M496" s="134">
        <v>5.486111111111111E-2</v>
      </c>
      <c r="N496" s="135" t="s">
        <v>1833</v>
      </c>
      <c r="O496" s="136" t="s">
        <v>802</v>
      </c>
      <c r="Q496" s="100" t="s">
        <v>1814</v>
      </c>
      <c r="R496" s="226" t="s">
        <v>1861</v>
      </c>
      <c r="S496" s="491" t="str">
        <f t="shared" si="15"/>
        <v>x</v>
      </c>
      <c r="T496" s="492">
        <f>IFERROR(VLOOKUP(F496,'Freq-Chan'!C:D,2,FALSE),"x")</f>
        <v>151.78399999999999</v>
      </c>
      <c r="U496" s="110" t="s">
        <v>541</v>
      </c>
      <c r="V496" s="110" t="str">
        <f t="shared" si="16"/>
        <v>FWL</v>
      </c>
      <c r="W496" s="110" t="s">
        <v>541</v>
      </c>
      <c r="X496" s="110" t="s">
        <v>541</v>
      </c>
      <c r="Y496" s="110" t="str">
        <f>IFERROR(VLOOKUP(F496,'Freq-Chan'!C:E,3,FALSE),"na")</f>
        <v>F1845</v>
      </c>
      <c r="Z496" s="110" t="s">
        <v>541</v>
      </c>
      <c r="AA496" s="110" t="s">
        <v>541</v>
      </c>
      <c r="AB496" s="110" t="s">
        <v>541</v>
      </c>
      <c r="AC496" s="10" t="s">
        <v>541</v>
      </c>
      <c r="AD496" s="10" t="s">
        <v>541</v>
      </c>
    </row>
    <row r="497" spans="1:30" x14ac:dyDescent="0.2">
      <c r="A497" s="110">
        <v>496</v>
      </c>
      <c r="B497" s="132">
        <v>41823</v>
      </c>
      <c r="C497" s="117">
        <v>1</v>
      </c>
      <c r="D497" s="103" t="s">
        <v>177</v>
      </c>
      <c r="E497" s="103" t="s">
        <v>0</v>
      </c>
      <c r="H497" s="103"/>
      <c r="I497" s="103">
        <v>37</v>
      </c>
      <c r="K497" s="103" t="s">
        <v>364</v>
      </c>
      <c r="L497" s="136"/>
      <c r="M497" s="134">
        <v>1.8055555555555557E-2</v>
      </c>
      <c r="N497" s="135" t="s">
        <v>1834</v>
      </c>
      <c r="O497" s="136" t="s">
        <v>376</v>
      </c>
      <c r="P497" s="100" t="s">
        <v>776</v>
      </c>
      <c r="Q497" s="100" t="s">
        <v>1835</v>
      </c>
      <c r="R497" s="226" t="s">
        <v>1861</v>
      </c>
      <c r="S497" s="491" t="str">
        <f t="shared" si="15"/>
        <v>x</v>
      </c>
      <c r="T497" s="492" t="str">
        <f>IFERROR(VLOOKUP(F497,'Freq-Chan'!C:D,2,FALSE),"x")</f>
        <v>x</v>
      </c>
      <c r="U497" s="110" t="s">
        <v>541</v>
      </c>
      <c r="V497" s="110" t="str">
        <f t="shared" si="16"/>
        <v>FWL</v>
      </c>
      <c r="W497" s="110" t="s">
        <v>541</v>
      </c>
      <c r="X497" s="110" t="s">
        <v>541</v>
      </c>
      <c r="Y497" s="110" t="str">
        <f>IFERROR(VLOOKUP(F497,'Freq-Chan'!C:E,3,FALSE),"na")</f>
        <v>na</v>
      </c>
      <c r="Z497" s="110" t="s">
        <v>541</v>
      </c>
      <c r="AA497" s="110" t="s">
        <v>541</v>
      </c>
      <c r="AB497" s="110" t="s">
        <v>541</v>
      </c>
      <c r="AC497" s="10" t="s">
        <v>541</v>
      </c>
      <c r="AD497" s="10" t="s">
        <v>541</v>
      </c>
    </row>
    <row r="498" spans="1:30" s="291" customFormat="1" x14ac:dyDescent="0.2">
      <c r="A498" s="493">
        <v>497</v>
      </c>
      <c r="B498" s="283">
        <v>41823</v>
      </c>
      <c r="C498" s="284">
        <v>1</v>
      </c>
      <c r="D498" s="285" t="s">
        <v>8</v>
      </c>
      <c r="E498" s="285" t="s">
        <v>306</v>
      </c>
      <c r="F498" s="285">
        <v>573</v>
      </c>
      <c r="G498" s="285">
        <v>99</v>
      </c>
      <c r="H498" s="339" t="s">
        <v>1836</v>
      </c>
      <c r="I498" s="285">
        <v>42</v>
      </c>
      <c r="J498" s="285"/>
      <c r="K498" s="285" t="s">
        <v>364</v>
      </c>
      <c r="L498" s="325"/>
      <c r="M498" s="287">
        <v>5.1388888888888894E-2</v>
      </c>
      <c r="N498" s="288" t="s">
        <v>1865</v>
      </c>
      <c r="O498" s="325" t="s">
        <v>373</v>
      </c>
      <c r="P498" s="289"/>
      <c r="Q498" s="289" t="s">
        <v>1835</v>
      </c>
      <c r="R498" s="290" t="s">
        <v>1861</v>
      </c>
      <c r="S498" s="494" t="str">
        <f t="shared" si="15"/>
        <v>x</v>
      </c>
      <c r="T498" s="495">
        <f>IFERROR(VLOOKUP(F498,'Freq-Chan'!C:D,2,FALSE),"x")</f>
        <v>151.57300000000001</v>
      </c>
      <c r="U498" s="493" t="s">
        <v>541</v>
      </c>
      <c r="V498" s="493" t="str">
        <f t="shared" si="16"/>
        <v>FWL</v>
      </c>
      <c r="W498" s="493" t="s">
        <v>541</v>
      </c>
      <c r="X498" s="493" t="s">
        <v>541</v>
      </c>
      <c r="Y498" s="493" t="str">
        <f>IFERROR(VLOOKUP(F498,'Freq-Chan'!C:E,3,FALSE),"na")</f>
        <v>F1840</v>
      </c>
      <c r="Z498" s="493" t="s">
        <v>541</v>
      </c>
      <c r="AA498" s="493" t="s">
        <v>541</v>
      </c>
      <c r="AB498" s="493" t="s">
        <v>541</v>
      </c>
      <c r="AC498" s="291" t="s">
        <v>541</v>
      </c>
      <c r="AD498" s="291" t="s">
        <v>541</v>
      </c>
    </row>
    <row r="499" spans="1:30" x14ac:dyDescent="0.2">
      <c r="A499" s="110">
        <v>498</v>
      </c>
      <c r="B499" s="132">
        <v>41823</v>
      </c>
      <c r="C499" s="117">
        <v>2</v>
      </c>
      <c r="D499" s="103" t="s">
        <v>2</v>
      </c>
      <c r="E499" s="103" t="s">
        <v>306</v>
      </c>
      <c r="F499" s="103">
        <v>784</v>
      </c>
      <c r="G499" s="103">
        <v>38</v>
      </c>
      <c r="H499" s="137" t="s">
        <v>1255</v>
      </c>
      <c r="I499" s="103">
        <v>65</v>
      </c>
      <c r="K499" s="103" t="s">
        <v>364</v>
      </c>
      <c r="L499" s="136"/>
      <c r="M499" s="134">
        <v>5.8333333333333327E-2</v>
      </c>
      <c r="N499" s="135" t="s">
        <v>1837</v>
      </c>
      <c r="O499" s="136" t="s">
        <v>909</v>
      </c>
      <c r="Q499" s="100" t="s">
        <v>1829</v>
      </c>
      <c r="R499" s="226" t="s">
        <v>1861</v>
      </c>
      <c r="S499" s="491" t="str">
        <f t="shared" si="15"/>
        <v>x</v>
      </c>
      <c r="T499" s="492">
        <f>IFERROR(VLOOKUP(F499,'Freq-Chan'!C:D,2,FALSE),"x")</f>
        <v>151.78399999999999</v>
      </c>
      <c r="U499" s="110" t="s">
        <v>541</v>
      </c>
      <c r="V499" s="110" t="str">
        <f t="shared" si="16"/>
        <v>FWL</v>
      </c>
      <c r="W499" s="110" t="s">
        <v>541</v>
      </c>
      <c r="X499" s="110" t="s">
        <v>541</v>
      </c>
      <c r="Y499" s="110" t="str">
        <f>IFERROR(VLOOKUP(F499,'Freq-Chan'!C:E,3,FALSE),"na")</f>
        <v>F1845</v>
      </c>
      <c r="Z499" s="110" t="s">
        <v>541</v>
      </c>
      <c r="AA499" s="110" t="s">
        <v>541</v>
      </c>
      <c r="AB499" s="110" t="s">
        <v>541</v>
      </c>
      <c r="AC499" s="10" t="s">
        <v>541</v>
      </c>
      <c r="AD499" s="10" t="s">
        <v>541</v>
      </c>
    </row>
    <row r="500" spans="1:30" x14ac:dyDescent="0.2">
      <c r="A500" s="110">
        <v>499</v>
      </c>
      <c r="B500" s="132">
        <v>41823</v>
      </c>
      <c r="C500" s="117">
        <v>2</v>
      </c>
      <c r="D500" s="103" t="s">
        <v>97</v>
      </c>
      <c r="E500" s="103" t="s">
        <v>798</v>
      </c>
      <c r="H500" s="103"/>
      <c r="J500" s="103">
        <v>22</v>
      </c>
      <c r="K500" s="103" t="s">
        <v>364</v>
      </c>
      <c r="L500" s="136"/>
      <c r="M500" s="134">
        <v>1.8749999999999999E-2</v>
      </c>
      <c r="N500" s="135" t="s">
        <v>1838</v>
      </c>
      <c r="O500" s="136" t="s">
        <v>950</v>
      </c>
      <c r="P500" s="100" t="s">
        <v>1839</v>
      </c>
      <c r="Q500" s="100" t="s">
        <v>1829</v>
      </c>
      <c r="R500" s="226" t="s">
        <v>1861</v>
      </c>
      <c r="S500" s="491" t="str">
        <f t="shared" si="15"/>
        <v>x</v>
      </c>
      <c r="T500" s="492" t="str">
        <f>IFERROR(VLOOKUP(F500,'Freq-Chan'!C:D,2,FALSE),"x")</f>
        <v>x</v>
      </c>
      <c r="U500" s="110" t="s">
        <v>541</v>
      </c>
      <c r="V500" s="110" t="str">
        <f t="shared" si="16"/>
        <v>FWL</v>
      </c>
      <c r="W500" s="110" t="s">
        <v>541</v>
      </c>
      <c r="X500" s="110" t="s">
        <v>541</v>
      </c>
      <c r="Y500" s="110" t="str">
        <f>IFERROR(VLOOKUP(F500,'Freq-Chan'!C:E,3,FALSE),"na")</f>
        <v>na</v>
      </c>
      <c r="Z500" s="110" t="s">
        <v>541</v>
      </c>
      <c r="AA500" s="110" t="s">
        <v>541</v>
      </c>
      <c r="AB500" s="110" t="s">
        <v>541</v>
      </c>
      <c r="AC500" s="10" t="s">
        <v>541</v>
      </c>
      <c r="AD500" s="10" t="s">
        <v>541</v>
      </c>
    </row>
    <row r="501" spans="1:30" x14ac:dyDescent="0.2">
      <c r="A501" s="110">
        <v>500</v>
      </c>
      <c r="B501" s="132">
        <v>41823</v>
      </c>
      <c r="C501" s="117">
        <v>2</v>
      </c>
      <c r="D501" s="103" t="s">
        <v>177</v>
      </c>
      <c r="E501" s="103" t="s">
        <v>0</v>
      </c>
      <c r="H501" s="103"/>
      <c r="I501" s="103">
        <v>31</v>
      </c>
      <c r="K501" s="103" t="s">
        <v>364</v>
      </c>
      <c r="L501" s="136"/>
      <c r="M501" s="134">
        <v>1.6666666666666666E-2</v>
      </c>
      <c r="N501" s="135" t="s">
        <v>1840</v>
      </c>
      <c r="O501" s="136" t="s">
        <v>950</v>
      </c>
      <c r="P501" s="100" t="s">
        <v>776</v>
      </c>
      <c r="Q501" s="100" t="s">
        <v>1829</v>
      </c>
      <c r="R501" s="226" t="s">
        <v>1861</v>
      </c>
      <c r="S501" s="491" t="str">
        <f t="shared" si="15"/>
        <v>x</v>
      </c>
      <c r="T501" s="492" t="str">
        <f>IFERROR(VLOOKUP(F501,'Freq-Chan'!C:D,2,FALSE),"x")</f>
        <v>x</v>
      </c>
      <c r="U501" s="110" t="s">
        <v>541</v>
      </c>
      <c r="V501" s="110" t="str">
        <f t="shared" si="16"/>
        <v>FWL</v>
      </c>
      <c r="W501" s="110" t="s">
        <v>541</v>
      </c>
      <c r="X501" s="110" t="s">
        <v>541</v>
      </c>
      <c r="Y501" s="110" t="str">
        <f>IFERROR(VLOOKUP(F501,'Freq-Chan'!C:E,3,FALSE),"na")</f>
        <v>na</v>
      </c>
      <c r="Z501" s="110" t="s">
        <v>541</v>
      </c>
      <c r="AA501" s="110" t="s">
        <v>541</v>
      </c>
      <c r="AB501" s="110" t="s">
        <v>541</v>
      </c>
      <c r="AC501" s="10" t="s">
        <v>541</v>
      </c>
      <c r="AD501" s="10" t="s">
        <v>541</v>
      </c>
    </row>
    <row r="502" spans="1:30" x14ac:dyDescent="0.2">
      <c r="A502" s="110">
        <v>501</v>
      </c>
      <c r="B502" s="132">
        <v>41823</v>
      </c>
      <c r="C502" s="117">
        <v>2</v>
      </c>
      <c r="D502" s="103" t="s">
        <v>177</v>
      </c>
      <c r="E502" s="103" t="s">
        <v>0</v>
      </c>
      <c r="H502" s="103"/>
      <c r="I502" s="103">
        <v>37</v>
      </c>
      <c r="K502" s="103" t="s">
        <v>364</v>
      </c>
      <c r="L502" s="136">
        <v>0.59166666666666667</v>
      </c>
      <c r="M502" s="134">
        <v>1.4583333333333332E-2</v>
      </c>
      <c r="N502" s="135" t="s">
        <v>396</v>
      </c>
      <c r="O502" s="136" t="s">
        <v>950</v>
      </c>
      <c r="P502" s="100" t="s">
        <v>776</v>
      </c>
      <c r="Q502" s="100" t="s">
        <v>1829</v>
      </c>
      <c r="R502" s="226" t="s">
        <v>1861</v>
      </c>
      <c r="S502" s="491">
        <f t="shared" si="15"/>
        <v>1.1458333000000001E-3</v>
      </c>
      <c r="T502" s="492" t="str">
        <f>IFERROR(VLOOKUP(F502,'Freq-Chan'!C:D,2,FALSE),"x")</f>
        <v>x</v>
      </c>
      <c r="U502" s="110" t="s">
        <v>541</v>
      </c>
      <c r="V502" s="110" t="str">
        <f t="shared" si="16"/>
        <v>FWL</v>
      </c>
      <c r="W502" s="110" t="s">
        <v>541</v>
      </c>
      <c r="X502" s="110" t="s">
        <v>541</v>
      </c>
      <c r="Y502" s="110" t="str">
        <f>IFERROR(VLOOKUP(F502,'Freq-Chan'!C:E,3,FALSE),"na")</f>
        <v>na</v>
      </c>
      <c r="Z502" s="110" t="s">
        <v>541</v>
      </c>
      <c r="AA502" s="110" t="s">
        <v>541</v>
      </c>
      <c r="AB502" s="110" t="s">
        <v>541</v>
      </c>
      <c r="AC502" s="10" t="s">
        <v>541</v>
      </c>
      <c r="AD502" s="10" t="s">
        <v>541</v>
      </c>
    </row>
    <row r="503" spans="1:30" s="291" customFormat="1" x14ac:dyDescent="0.2">
      <c r="A503" s="493">
        <v>502</v>
      </c>
      <c r="B503" s="283">
        <v>41823</v>
      </c>
      <c r="C503" s="284">
        <v>2</v>
      </c>
      <c r="D503" s="285" t="s">
        <v>2</v>
      </c>
      <c r="E503" s="285" t="s">
        <v>306</v>
      </c>
      <c r="F503" s="285">
        <v>784</v>
      </c>
      <c r="G503" s="285">
        <v>94</v>
      </c>
      <c r="H503" s="339" t="s">
        <v>1259</v>
      </c>
      <c r="I503" s="285">
        <v>82</v>
      </c>
      <c r="J503" s="285"/>
      <c r="K503" s="285" t="s">
        <v>364</v>
      </c>
      <c r="L503" s="325"/>
      <c r="M503" s="287">
        <v>5.7638888888888885E-2</v>
      </c>
      <c r="N503" s="288" t="s">
        <v>1841</v>
      </c>
      <c r="O503" s="325" t="s">
        <v>373</v>
      </c>
      <c r="P503" s="289" t="s">
        <v>1842</v>
      </c>
      <c r="Q503" s="289" t="s">
        <v>1817</v>
      </c>
      <c r="R503" s="290" t="s">
        <v>1861</v>
      </c>
      <c r="S503" s="494" t="str">
        <f t="shared" si="15"/>
        <v>x</v>
      </c>
      <c r="T503" s="495">
        <f>IFERROR(VLOOKUP(F503,'Freq-Chan'!C:D,2,FALSE),"x")</f>
        <v>151.78399999999999</v>
      </c>
      <c r="U503" s="493" t="s">
        <v>541</v>
      </c>
      <c r="V503" s="493" t="str">
        <f t="shared" si="16"/>
        <v>FWL</v>
      </c>
      <c r="W503" s="493" t="s">
        <v>541</v>
      </c>
      <c r="X503" s="493" t="s">
        <v>541</v>
      </c>
      <c r="Y503" s="493" t="str">
        <f>IFERROR(VLOOKUP(F503,'Freq-Chan'!C:E,3,FALSE),"na")</f>
        <v>F1845</v>
      </c>
      <c r="Z503" s="493" t="s">
        <v>541</v>
      </c>
      <c r="AA503" s="493" t="s">
        <v>541</v>
      </c>
      <c r="AB503" s="493" t="s">
        <v>541</v>
      </c>
      <c r="AC503" s="291" t="s">
        <v>541</v>
      </c>
      <c r="AD503" s="291" t="s">
        <v>541</v>
      </c>
    </row>
    <row r="504" spans="1:30" x14ac:dyDescent="0.2">
      <c r="A504" s="110">
        <v>503</v>
      </c>
      <c r="B504" s="132">
        <v>41823</v>
      </c>
      <c r="C504" s="117">
        <v>3</v>
      </c>
      <c r="D504" s="103" t="s">
        <v>2</v>
      </c>
      <c r="E504" s="103" t="s">
        <v>306</v>
      </c>
      <c r="F504" s="103">
        <v>784</v>
      </c>
      <c r="G504" s="103">
        <v>21</v>
      </c>
      <c r="H504" s="137" t="s">
        <v>1268</v>
      </c>
      <c r="I504" s="103">
        <v>98</v>
      </c>
      <c r="K504" s="103" t="s">
        <v>364</v>
      </c>
      <c r="L504" s="136"/>
      <c r="M504" s="134">
        <v>8.1944444444444445E-2</v>
      </c>
      <c r="N504" s="135" t="s">
        <v>1843</v>
      </c>
      <c r="O504" s="136" t="s">
        <v>372</v>
      </c>
      <c r="Q504" s="100" t="s">
        <v>1844</v>
      </c>
      <c r="R504" s="226" t="s">
        <v>1861</v>
      </c>
      <c r="S504" s="491" t="str">
        <f t="shared" si="15"/>
        <v>x</v>
      </c>
      <c r="T504" s="492">
        <f>IFERROR(VLOOKUP(F504,'Freq-Chan'!C:D,2,FALSE),"x")</f>
        <v>151.78399999999999</v>
      </c>
      <c r="U504" s="110" t="s">
        <v>541</v>
      </c>
      <c r="V504" s="110" t="str">
        <f t="shared" si="16"/>
        <v>FWL</v>
      </c>
      <c r="W504" s="110" t="s">
        <v>541</v>
      </c>
      <c r="X504" s="110" t="s">
        <v>541</v>
      </c>
      <c r="Y504" s="110" t="str">
        <f>IFERROR(VLOOKUP(F504,'Freq-Chan'!C:E,3,FALSE),"na")</f>
        <v>F1845</v>
      </c>
      <c r="Z504" s="110" t="s">
        <v>541</v>
      </c>
      <c r="AA504" s="110" t="s">
        <v>541</v>
      </c>
      <c r="AB504" s="110" t="s">
        <v>541</v>
      </c>
      <c r="AC504" s="10" t="s">
        <v>541</v>
      </c>
      <c r="AD504" s="10" t="s">
        <v>541</v>
      </c>
    </row>
    <row r="505" spans="1:30" x14ac:dyDescent="0.2">
      <c r="A505" s="110">
        <v>504</v>
      </c>
      <c r="B505" s="132">
        <v>41823</v>
      </c>
      <c r="C505" s="117">
        <v>3</v>
      </c>
      <c r="D505" s="103" t="s">
        <v>2</v>
      </c>
      <c r="E505" s="103" t="s">
        <v>306</v>
      </c>
      <c r="F505" s="103">
        <v>784</v>
      </c>
      <c r="G505" s="103">
        <v>89</v>
      </c>
      <c r="H505" s="137" t="s">
        <v>1269</v>
      </c>
      <c r="I505" s="103">
        <v>92</v>
      </c>
      <c r="K505" s="103" t="s">
        <v>364</v>
      </c>
      <c r="L505" s="136"/>
      <c r="M505" s="134">
        <v>0.10069444444444443</v>
      </c>
      <c r="N505" s="135" t="s">
        <v>1845</v>
      </c>
      <c r="O505" s="136" t="s">
        <v>1663</v>
      </c>
      <c r="Q505" s="100" t="s">
        <v>1844</v>
      </c>
      <c r="R505" s="226" t="s">
        <v>1861</v>
      </c>
      <c r="S505" s="491" t="str">
        <f t="shared" si="15"/>
        <v>x</v>
      </c>
      <c r="T505" s="492">
        <f>IFERROR(VLOOKUP(F505,'Freq-Chan'!C:D,2,FALSE),"x")</f>
        <v>151.78399999999999</v>
      </c>
      <c r="U505" s="110" t="s">
        <v>541</v>
      </c>
      <c r="V505" s="110" t="str">
        <f t="shared" si="16"/>
        <v>FWL</v>
      </c>
      <c r="W505" s="110" t="s">
        <v>541</v>
      </c>
      <c r="X505" s="110" t="s">
        <v>541</v>
      </c>
      <c r="Y505" s="110" t="str">
        <f>IFERROR(VLOOKUP(F505,'Freq-Chan'!C:E,3,FALSE),"na")</f>
        <v>F1845</v>
      </c>
      <c r="Z505" s="110" t="s">
        <v>541</v>
      </c>
      <c r="AA505" s="110" t="s">
        <v>541</v>
      </c>
      <c r="AB505" s="110" t="s">
        <v>541</v>
      </c>
      <c r="AC505" s="10" t="s">
        <v>541</v>
      </c>
      <c r="AD505" s="10" t="s">
        <v>541</v>
      </c>
    </row>
    <row r="506" spans="1:30" x14ac:dyDescent="0.2">
      <c r="A506" s="110">
        <v>505</v>
      </c>
      <c r="B506" s="132">
        <v>41823</v>
      </c>
      <c r="C506" s="117">
        <v>3</v>
      </c>
      <c r="D506" s="103" t="s">
        <v>2</v>
      </c>
      <c r="E506" s="103" t="s">
        <v>306</v>
      </c>
      <c r="H506" s="103"/>
      <c r="I506" s="103">
        <v>65</v>
      </c>
      <c r="K506" s="103" t="s">
        <v>364</v>
      </c>
      <c r="L506" s="136">
        <v>0.32708333333333334</v>
      </c>
      <c r="M506" s="134">
        <v>5.5555555555555552E-2</v>
      </c>
      <c r="N506" s="135" t="s">
        <v>1846</v>
      </c>
      <c r="O506" s="136" t="s">
        <v>372</v>
      </c>
      <c r="P506" s="100" t="s">
        <v>1847</v>
      </c>
      <c r="Q506" s="100" t="s">
        <v>1844</v>
      </c>
      <c r="R506" s="226" t="s">
        <v>1861</v>
      </c>
      <c r="S506" s="491">
        <f t="shared" si="15"/>
        <v>3.2407407E-3</v>
      </c>
      <c r="T506" s="492" t="str">
        <f>IFERROR(VLOOKUP(F506,'Freq-Chan'!C:D,2,FALSE),"x")</f>
        <v>x</v>
      </c>
      <c r="U506" s="110" t="s">
        <v>541</v>
      </c>
      <c r="V506" s="110" t="str">
        <f t="shared" si="16"/>
        <v>FWL</v>
      </c>
      <c r="W506" s="110" t="s">
        <v>541</v>
      </c>
      <c r="X506" s="110" t="s">
        <v>541</v>
      </c>
      <c r="Y506" s="110" t="str">
        <f>IFERROR(VLOOKUP(F506,'Freq-Chan'!C:E,3,FALSE),"na")</f>
        <v>na</v>
      </c>
      <c r="Z506" s="110" t="s">
        <v>541</v>
      </c>
      <c r="AA506" s="110" t="s">
        <v>541</v>
      </c>
      <c r="AB506" s="110" t="s">
        <v>541</v>
      </c>
      <c r="AC506" s="10" t="s">
        <v>541</v>
      </c>
      <c r="AD506" s="10" t="s">
        <v>541</v>
      </c>
    </row>
    <row r="507" spans="1:30" x14ac:dyDescent="0.2">
      <c r="A507" s="110">
        <v>506</v>
      </c>
      <c r="B507" s="132">
        <v>41823</v>
      </c>
      <c r="C507" s="117">
        <v>3</v>
      </c>
      <c r="D507" s="103" t="s">
        <v>2</v>
      </c>
      <c r="E507" s="103" t="s">
        <v>306</v>
      </c>
      <c r="F507" s="103">
        <v>755</v>
      </c>
      <c r="G507" s="103">
        <v>57</v>
      </c>
      <c r="H507" s="137" t="s">
        <v>1270</v>
      </c>
      <c r="I507" s="103">
        <v>58</v>
      </c>
      <c r="K507" s="103" t="s">
        <v>364</v>
      </c>
      <c r="L507" s="136"/>
      <c r="M507" s="134">
        <v>4.6527777777777779E-2</v>
      </c>
      <c r="N507" s="135" t="s">
        <v>1848</v>
      </c>
      <c r="O507" s="136" t="s">
        <v>376</v>
      </c>
      <c r="Q507" s="100" t="s">
        <v>1835</v>
      </c>
      <c r="R507" s="226" t="s">
        <v>1861</v>
      </c>
      <c r="S507" s="491" t="str">
        <f t="shared" si="15"/>
        <v>x</v>
      </c>
      <c r="T507" s="492">
        <f>IFERROR(VLOOKUP(F507,'Freq-Chan'!C:D,2,FALSE),"x")</f>
        <v>151.755</v>
      </c>
      <c r="U507" s="110" t="s">
        <v>541</v>
      </c>
      <c r="V507" s="110" t="str">
        <f t="shared" si="16"/>
        <v>FWL</v>
      </c>
      <c r="W507" s="110" t="s">
        <v>541</v>
      </c>
      <c r="X507" s="110" t="s">
        <v>541</v>
      </c>
      <c r="Y507" s="110" t="str">
        <f>IFERROR(VLOOKUP(F507,'Freq-Chan'!C:E,3,FALSE),"na")</f>
        <v>F1845</v>
      </c>
      <c r="Z507" s="110" t="s">
        <v>541</v>
      </c>
      <c r="AA507" s="110" t="s">
        <v>541</v>
      </c>
      <c r="AB507" s="110" t="s">
        <v>541</v>
      </c>
      <c r="AC507" s="10" t="s">
        <v>541</v>
      </c>
      <c r="AD507" s="10" t="s">
        <v>541</v>
      </c>
    </row>
    <row r="508" spans="1:30" x14ac:dyDescent="0.2">
      <c r="A508" s="110">
        <v>507</v>
      </c>
      <c r="B508" s="132">
        <v>41823</v>
      </c>
      <c r="C508" s="117">
        <v>3</v>
      </c>
      <c r="D508" s="103" t="s">
        <v>2</v>
      </c>
      <c r="E508" s="103" t="s">
        <v>306</v>
      </c>
      <c r="F508" s="103">
        <v>755</v>
      </c>
      <c r="G508" s="103">
        <v>44</v>
      </c>
      <c r="H508" s="137" t="s">
        <v>1271</v>
      </c>
      <c r="I508" s="103">
        <v>56</v>
      </c>
      <c r="K508" s="103" t="s">
        <v>364</v>
      </c>
      <c r="L508" s="136">
        <v>0.56527777777777777</v>
      </c>
      <c r="M508" s="134">
        <v>6.3194444444444442E-2</v>
      </c>
      <c r="N508" s="135" t="s">
        <v>1535</v>
      </c>
      <c r="O508" s="136" t="s">
        <v>376</v>
      </c>
      <c r="Q508" s="100" t="s">
        <v>1835</v>
      </c>
      <c r="R508" s="226" t="s">
        <v>1861</v>
      </c>
      <c r="S508" s="491">
        <f t="shared" si="15"/>
        <v>2.4189814999999999E-3</v>
      </c>
      <c r="T508" s="492">
        <f>IFERROR(VLOOKUP(F508,'Freq-Chan'!C:D,2,FALSE),"x")</f>
        <v>151.755</v>
      </c>
      <c r="U508" s="110" t="s">
        <v>541</v>
      </c>
      <c r="V508" s="110" t="str">
        <f t="shared" si="16"/>
        <v>FWL</v>
      </c>
      <c r="W508" s="110" t="s">
        <v>541</v>
      </c>
      <c r="X508" s="110" t="s">
        <v>541</v>
      </c>
      <c r="Y508" s="110" t="str">
        <f>IFERROR(VLOOKUP(F508,'Freq-Chan'!C:E,3,FALSE),"na")</f>
        <v>F1845</v>
      </c>
      <c r="Z508" s="110" t="s">
        <v>541</v>
      </c>
      <c r="AA508" s="110" t="s">
        <v>541</v>
      </c>
      <c r="AB508" s="110" t="s">
        <v>541</v>
      </c>
      <c r="AC508" s="10" t="s">
        <v>541</v>
      </c>
      <c r="AD508" s="10" t="s">
        <v>541</v>
      </c>
    </row>
    <row r="509" spans="1:30" x14ac:dyDescent="0.2">
      <c r="A509" s="110">
        <v>508</v>
      </c>
      <c r="B509" s="132">
        <v>41823</v>
      </c>
      <c r="C509" s="117">
        <v>3</v>
      </c>
      <c r="D509" s="103" t="s">
        <v>2</v>
      </c>
      <c r="E509" s="103" t="s">
        <v>306</v>
      </c>
      <c r="F509" s="103">
        <v>784</v>
      </c>
      <c r="G509" s="103">
        <v>86</v>
      </c>
      <c r="H509" s="137" t="s">
        <v>1272</v>
      </c>
      <c r="I509" s="103">
        <v>54</v>
      </c>
      <c r="K509" s="103" t="s">
        <v>364</v>
      </c>
      <c r="L509" s="136"/>
      <c r="M509" s="134">
        <v>6.25E-2</v>
      </c>
      <c r="N509" s="135" t="s">
        <v>1851</v>
      </c>
      <c r="O509" s="136" t="s">
        <v>1663</v>
      </c>
      <c r="Q509" s="100" t="s">
        <v>1850</v>
      </c>
      <c r="R509" s="226" t="s">
        <v>1861</v>
      </c>
      <c r="S509" s="491" t="str">
        <f t="shared" si="15"/>
        <v>x</v>
      </c>
      <c r="T509" s="492">
        <f>IFERROR(VLOOKUP(F509,'Freq-Chan'!C:D,2,FALSE),"x")</f>
        <v>151.78399999999999</v>
      </c>
      <c r="U509" s="110" t="s">
        <v>541</v>
      </c>
      <c r="V509" s="110" t="str">
        <f t="shared" si="16"/>
        <v>FWL</v>
      </c>
      <c r="W509" s="110" t="s">
        <v>541</v>
      </c>
      <c r="X509" s="110" t="s">
        <v>541</v>
      </c>
      <c r="Y509" s="110" t="str">
        <f>IFERROR(VLOOKUP(F509,'Freq-Chan'!C:E,3,FALSE),"na")</f>
        <v>F1845</v>
      </c>
      <c r="Z509" s="110" t="s">
        <v>541</v>
      </c>
      <c r="AA509" s="110" t="s">
        <v>541</v>
      </c>
      <c r="AB509" s="110" t="s">
        <v>541</v>
      </c>
      <c r="AC509" s="10" t="s">
        <v>541</v>
      </c>
      <c r="AD509" s="10" t="s">
        <v>541</v>
      </c>
    </row>
    <row r="510" spans="1:30" x14ac:dyDescent="0.2">
      <c r="A510" s="110">
        <v>509</v>
      </c>
      <c r="B510" s="132">
        <v>41823</v>
      </c>
      <c r="C510" s="117">
        <v>3</v>
      </c>
      <c r="D510" s="103" t="s">
        <v>2</v>
      </c>
      <c r="E510" s="103" t="s">
        <v>306</v>
      </c>
      <c r="F510" s="103">
        <v>784</v>
      </c>
      <c r="G510" s="103">
        <v>70</v>
      </c>
      <c r="H510" s="137" t="s">
        <v>1273</v>
      </c>
      <c r="I510" s="103">
        <v>60</v>
      </c>
      <c r="K510" s="103" t="s">
        <v>364</v>
      </c>
      <c r="L510" s="136"/>
      <c r="M510" s="134">
        <v>4.5833333333333337E-2</v>
      </c>
      <c r="N510" s="135" t="s">
        <v>1849</v>
      </c>
      <c r="O510" s="136" t="s">
        <v>1663</v>
      </c>
      <c r="Q510" s="100" t="s">
        <v>1850</v>
      </c>
      <c r="R510" s="226" t="s">
        <v>1861</v>
      </c>
      <c r="S510" s="491" t="str">
        <f t="shared" si="15"/>
        <v>x</v>
      </c>
      <c r="T510" s="492">
        <f>IFERROR(VLOOKUP(F510,'Freq-Chan'!C:D,2,FALSE),"x")</f>
        <v>151.78399999999999</v>
      </c>
      <c r="U510" s="110" t="s">
        <v>541</v>
      </c>
      <c r="V510" s="110" t="str">
        <f t="shared" si="16"/>
        <v>FWL</v>
      </c>
      <c r="W510" s="110" t="s">
        <v>541</v>
      </c>
      <c r="X510" s="110" t="s">
        <v>541</v>
      </c>
      <c r="Y510" s="110" t="str">
        <f>IFERROR(VLOOKUP(F510,'Freq-Chan'!C:E,3,FALSE),"na")</f>
        <v>F1845</v>
      </c>
      <c r="Z510" s="110" t="s">
        <v>541</v>
      </c>
      <c r="AA510" s="110" t="s">
        <v>541</v>
      </c>
      <c r="AB510" s="110" t="s">
        <v>541</v>
      </c>
      <c r="AC510" s="10" t="s">
        <v>541</v>
      </c>
      <c r="AD510" s="10" t="s">
        <v>541</v>
      </c>
    </row>
    <row r="511" spans="1:30" x14ac:dyDescent="0.2">
      <c r="A511" s="110">
        <v>510</v>
      </c>
      <c r="B511" s="132">
        <v>41823</v>
      </c>
      <c r="C511" s="117">
        <v>3</v>
      </c>
      <c r="D511" s="103" t="s">
        <v>2</v>
      </c>
      <c r="E511" s="103" t="s">
        <v>306</v>
      </c>
      <c r="F511" s="103">
        <v>755</v>
      </c>
      <c r="G511" s="103">
        <v>35</v>
      </c>
      <c r="H511" s="137" t="s">
        <v>1274</v>
      </c>
      <c r="I511" s="103">
        <v>74</v>
      </c>
      <c r="K511" s="103" t="s">
        <v>364</v>
      </c>
      <c r="L511" s="136"/>
      <c r="M511" s="134">
        <v>4.9305555555555554E-2</v>
      </c>
      <c r="N511" s="135" t="s">
        <v>1852</v>
      </c>
      <c r="O511" s="136" t="s">
        <v>950</v>
      </c>
      <c r="Q511" s="100" t="s">
        <v>1827</v>
      </c>
      <c r="R511" s="226" t="s">
        <v>1861</v>
      </c>
      <c r="S511" s="491" t="str">
        <f t="shared" si="15"/>
        <v>x</v>
      </c>
      <c r="T511" s="492">
        <f>IFERROR(VLOOKUP(F511,'Freq-Chan'!C:D,2,FALSE),"x")</f>
        <v>151.755</v>
      </c>
      <c r="U511" s="110" t="s">
        <v>541</v>
      </c>
      <c r="V511" s="110" t="str">
        <f t="shared" si="16"/>
        <v>FWL</v>
      </c>
      <c r="W511" s="110" t="s">
        <v>541</v>
      </c>
      <c r="X511" s="110" t="s">
        <v>541</v>
      </c>
      <c r="Y511" s="110" t="str">
        <f>IFERROR(VLOOKUP(F511,'Freq-Chan'!C:E,3,FALSE),"na")</f>
        <v>F1845</v>
      </c>
      <c r="Z511" s="110" t="s">
        <v>541</v>
      </c>
      <c r="AA511" s="110" t="s">
        <v>541</v>
      </c>
      <c r="AB511" s="110" t="s">
        <v>541</v>
      </c>
      <c r="AC511" s="10" t="s">
        <v>541</v>
      </c>
      <c r="AD511" s="10" t="s">
        <v>541</v>
      </c>
    </row>
    <row r="512" spans="1:30" x14ac:dyDescent="0.2">
      <c r="A512" s="110">
        <v>511</v>
      </c>
      <c r="B512" s="132">
        <v>41823</v>
      </c>
      <c r="C512" s="117">
        <v>3</v>
      </c>
      <c r="D512" s="103" t="s">
        <v>2</v>
      </c>
      <c r="E512" s="103" t="s">
        <v>306</v>
      </c>
      <c r="F512" s="103">
        <v>755</v>
      </c>
      <c r="G512" s="103">
        <v>8</v>
      </c>
      <c r="H512" s="137" t="s">
        <v>1275</v>
      </c>
      <c r="I512" s="103">
        <v>84</v>
      </c>
      <c r="K512" s="103" t="s">
        <v>1032</v>
      </c>
      <c r="L512" s="136">
        <v>0.82708333333333339</v>
      </c>
      <c r="M512" s="134">
        <v>4.9305555555555554E-2</v>
      </c>
      <c r="N512" s="135" t="s">
        <v>1854</v>
      </c>
      <c r="O512" s="136" t="s">
        <v>1585</v>
      </c>
      <c r="Q512" s="100" t="s">
        <v>1827</v>
      </c>
      <c r="R512" s="226" t="s">
        <v>1861</v>
      </c>
      <c r="S512" s="491">
        <f t="shared" si="15"/>
        <v>4.7337962999999999E-3</v>
      </c>
      <c r="T512" s="492">
        <f>IFERROR(VLOOKUP(F512,'Freq-Chan'!C:D,2,FALSE),"x")</f>
        <v>151.755</v>
      </c>
      <c r="U512" s="110" t="s">
        <v>541</v>
      </c>
      <c r="V512" s="110" t="str">
        <f t="shared" si="16"/>
        <v>FWL</v>
      </c>
      <c r="W512" s="110" t="s">
        <v>541</v>
      </c>
      <c r="X512" s="110" t="s">
        <v>541</v>
      </c>
      <c r="Y512" s="110" t="str">
        <f>IFERROR(VLOOKUP(F512,'Freq-Chan'!C:E,3,FALSE),"na")</f>
        <v>F1845</v>
      </c>
      <c r="Z512" s="110" t="s">
        <v>541</v>
      </c>
      <c r="AA512" s="110" t="s">
        <v>541</v>
      </c>
      <c r="AB512" s="110" t="s">
        <v>541</v>
      </c>
      <c r="AC512" s="10" t="s">
        <v>541</v>
      </c>
      <c r="AD512" s="10" t="s">
        <v>541</v>
      </c>
    </row>
    <row r="513" spans="1:30" x14ac:dyDescent="0.2">
      <c r="A513" s="110">
        <v>512</v>
      </c>
      <c r="B513" s="132">
        <v>41823</v>
      </c>
      <c r="C513" s="117">
        <v>3</v>
      </c>
      <c r="D513" s="103" t="s">
        <v>2</v>
      </c>
      <c r="E513" s="103" t="s">
        <v>306</v>
      </c>
      <c r="F513" s="103">
        <v>755</v>
      </c>
      <c r="G513" s="103">
        <v>52</v>
      </c>
      <c r="H513" s="137" t="s">
        <v>1276</v>
      </c>
      <c r="I513" s="103">
        <v>69</v>
      </c>
      <c r="K513" s="103" t="s">
        <v>364</v>
      </c>
      <c r="L513" s="136">
        <v>0.85833333333333339</v>
      </c>
      <c r="M513" s="134">
        <v>6.0416666666666667E-2</v>
      </c>
      <c r="N513" s="135" t="s">
        <v>1853</v>
      </c>
      <c r="O513" s="136" t="s">
        <v>950</v>
      </c>
      <c r="Q513" s="100" t="s">
        <v>1827</v>
      </c>
      <c r="R513" s="226" t="s">
        <v>1861</v>
      </c>
      <c r="S513" s="491">
        <f t="shared" si="15"/>
        <v>2.4652777999999999E-3</v>
      </c>
      <c r="T513" s="492">
        <f>IFERROR(VLOOKUP(F513,'Freq-Chan'!C:D,2,FALSE),"x")</f>
        <v>151.755</v>
      </c>
      <c r="U513" s="110" t="s">
        <v>541</v>
      </c>
      <c r="V513" s="110" t="str">
        <f t="shared" si="16"/>
        <v>FWL</v>
      </c>
      <c r="W513" s="110" t="s">
        <v>541</v>
      </c>
      <c r="X513" s="110" t="s">
        <v>541</v>
      </c>
      <c r="Y513" s="110" t="str">
        <f>IFERROR(VLOOKUP(F513,'Freq-Chan'!C:E,3,FALSE),"na")</f>
        <v>F1845</v>
      </c>
      <c r="Z513" s="110" t="s">
        <v>541</v>
      </c>
      <c r="AA513" s="110" t="s">
        <v>541</v>
      </c>
      <c r="AB513" s="110" t="s">
        <v>541</v>
      </c>
      <c r="AC513" s="10" t="s">
        <v>541</v>
      </c>
      <c r="AD513" s="10" t="s">
        <v>541</v>
      </c>
    </row>
    <row r="514" spans="1:30" s="291" customFormat="1" x14ac:dyDescent="0.2">
      <c r="A514" s="493">
        <v>513</v>
      </c>
      <c r="B514" s="283">
        <v>41823</v>
      </c>
      <c r="C514" s="284">
        <v>3</v>
      </c>
      <c r="D514" s="285" t="s">
        <v>177</v>
      </c>
      <c r="E514" s="285" t="s">
        <v>0</v>
      </c>
      <c r="F514" s="285"/>
      <c r="G514" s="285"/>
      <c r="H514" s="285"/>
      <c r="I514" s="285">
        <v>29</v>
      </c>
      <c r="J514" s="285"/>
      <c r="K514" s="285" t="s">
        <v>1032</v>
      </c>
      <c r="L514" s="325"/>
      <c r="M514" s="287">
        <v>2.013888888888889E-2</v>
      </c>
      <c r="N514" s="288" t="s">
        <v>1855</v>
      </c>
      <c r="O514" s="325" t="s">
        <v>950</v>
      </c>
      <c r="P514" s="289" t="s">
        <v>776</v>
      </c>
      <c r="Q514" s="289" t="s">
        <v>1827</v>
      </c>
      <c r="R514" s="290" t="s">
        <v>1861</v>
      </c>
      <c r="S514" s="494" t="str">
        <f t="shared" si="15"/>
        <v>x</v>
      </c>
      <c r="T514" s="495" t="str">
        <f>IFERROR(VLOOKUP(F514,'Freq-Chan'!C:D,2,FALSE),"x")</f>
        <v>x</v>
      </c>
      <c r="U514" s="493" t="s">
        <v>541</v>
      </c>
      <c r="V514" s="493" t="str">
        <f t="shared" si="16"/>
        <v>FWL</v>
      </c>
      <c r="W514" s="493" t="s">
        <v>541</v>
      </c>
      <c r="X514" s="493" t="s">
        <v>541</v>
      </c>
      <c r="Y514" s="493" t="str">
        <f>IFERROR(VLOOKUP(F514,'Freq-Chan'!C:E,3,FALSE),"na")</f>
        <v>na</v>
      </c>
      <c r="Z514" s="493" t="s">
        <v>541</v>
      </c>
      <c r="AA514" s="493" t="s">
        <v>541</v>
      </c>
      <c r="AB514" s="493" t="s">
        <v>541</v>
      </c>
      <c r="AC514" s="291" t="s">
        <v>541</v>
      </c>
      <c r="AD514" s="291" t="s">
        <v>541</v>
      </c>
    </row>
    <row r="515" spans="1:30" x14ac:dyDescent="0.2">
      <c r="A515" s="110">
        <v>514</v>
      </c>
      <c r="B515" s="132">
        <v>41824</v>
      </c>
      <c r="C515" s="117">
        <v>1</v>
      </c>
      <c r="D515" s="103" t="s">
        <v>177</v>
      </c>
      <c r="E515" s="103" t="s">
        <v>0</v>
      </c>
      <c r="F515" s="103">
        <v>917</v>
      </c>
      <c r="G515" s="103">
        <v>34</v>
      </c>
      <c r="H515" s="137" t="s">
        <v>1260</v>
      </c>
      <c r="I515" s="103">
        <v>48</v>
      </c>
      <c r="K515" s="103" t="s">
        <v>364</v>
      </c>
      <c r="L515" s="136"/>
      <c r="M515" s="134">
        <v>6.458333333333334E-2</v>
      </c>
      <c r="N515" s="135" t="s">
        <v>1880</v>
      </c>
      <c r="O515" s="136" t="s">
        <v>372</v>
      </c>
      <c r="Q515" s="100" t="s">
        <v>1881</v>
      </c>
      <c r="R515" s="226" t="s">
        <v>1873</v>
      </c>
      <c r="S515" s="491" t="str">
        <f t="shared" ref="S515:S578" si="17">IF(IF(OR(L515=0,N515=0),"x",ROUND(N515-L515-(M515*24)/(24*60),10))&lt;0,0,IF(OR(L515=0,N515=0),"x",ROUND(N515-L515-(M515*24)/(24*60),10)))</f>
        <v>x</v>
      </c>
      <c r="T515" s="492">
        <f>IFERROR(VLOOKUP(F515,'Freq-Chan'!C:D,2,FALSE),"x")</f>
        <v>151.917</v>
      </c>
      <c r="U515" s="110" t="s">
        <v>541</v>
      </c>
      <c r="V515" s="110" t="str">
        <f t="shared" ref="V515:V578" si="18">IF(OR(C515=1,C515=2,C515=3),"FWL","NRD")</f>
        <v>FWL</v>
      </c>
      <c r="W515" s="110" t="s">
        <v>541</v>
      </c>
      <c r="X515" s="110" t="s">
        <v>541</v>
      </c>
      <c r="Y515" s="110" t="str">
        <f>IFERROR(VLOOKUP(F515,'Freq-Chan'!C:E,3,FALSE),"na")</f>
        <v>F1835</v>
      </c>
      <c r="Z515" s="110" t="s">
        <v>541</v>
      </c>
      <c r="AA515" s="110" t="s">
        <v>541</v>
      </c>
      <c r="AB515" s="110" t="s">
        <v>541</v>
      </c>
      <c r="AC515" s="10" t="s">
        <v>541</v>
      </c>
      <c r="AD515" s="10" t="s">
        <v>541</v>
      </c>
    </row>
    <row r="516" spans="1:30" x14ac:dyDescent="0.2">
      <c r="A516" s="110">
        <v>515</v>
      </c>
      <c r="B516" s="132">
        <v>41824</v>
      </c>
      <c r="C516" s="117">
        <v>1</v>
      </c>
      <c r="D516" s="103" t="s">
        <v>177</v>
      </c>
      <c r="E516" s="103" t="s">
        <v>0</v>
      </c>
      <c r="F516" s="103">
        <v>917</v>
      </c>
      <c r="G516" s="103">
        <v>72</v>
      </c>
      <c r="H516" s="137" t="s">
        <v>1282</v>
      </c>
      <c r="I516" s="103">
        <v>47</v>
      </c>
      <c r="K516" s="103" t="s">
        <v>364</v>
      </c>
      <c r="L516" s="136"/>
      <c r="M516" s="134">
        <v>6.8749999999999992E-2</v>
      </c>
      <c r="N516" s="135" t="s">
        <v>1882</v>
      </c>
      <c r="O516" s="133" t="s">
        <v>372</v>
      </c>
      <c r="Q516" s="100" t="s">
        <v>1883</v>
      </c>
      <c r="R516" s="226" t="s">
        <v>1873</v>
      </c>
      <c r="S516" s="491" t="str">
        <f t="shared" si="17"/>
        <v>x</v>
      </c>
      <c r="T516" s="492">
        <f>IFERROR(VLOOKUP(F516,'Freq-Chan'!C:D,2,FALSE),"x")</f>
        <v>151.917</v>
      </c>
      <c r="U516" s="110" t="s">
        <v>541</v>
      </c>
      <c r="V516" s="110" t="str">
        <f t="shared" si="18"/>
        <v>FWL</v>
      </c>
      <c r="W516" s="110" t="s">
        <v>541</v>
      </c>
      <c r="X516" s="110" t="s">
        <v>541</v>
      </c>
      <c r="Y516" s="110" t="str">
        <f>IFERROR(VLOOKUP(F516,'Freq-Chan'!C:E,3,FALSE),"na")</f>
        <v>F1835</v>
      </c>
      <c r="Z516" s="110" t="s">
        <v>541</v>
      </c>
      <c r="AA516" s="110" t="s">
        <v>541</v>
      </c>
      <c r="AB516" s="110" t="s">
        <v>541</v>
      </c>
      <c r="AC516" s="10" t="s">
        <v>541</v>
      </c>
      <c r="AD516" s="10" t="s">
        <v>541</v>
      </c>
    </row>
    <row r="517" spans="1:30" x14ac:dyDescent="0.2">
      <c r="A517" s="110">
        <v>516</v>
      </c>
      <c r="B517" s="132">
        <v>41824</v>
      </c>
      <c r="C517" s="117">
        <v>1</v>
      </c>
      <c r="D517" s="103" t="s">
        <v>2</v>
      </c>
      <c r="E517" s="103" t="s">
        <v>306</v>
      </c>
      <c r="F517" s="103">
        <v>784</v>
      </c>
      <c r="G517" s="103">
        <v>84</v>
      </c>
      <c r="H517" s="137" t="s">
        <v>1283</v>
      </c>
      <c r="I517" s="103">
        <v>87</v>
      </c>
      <c r="K517" s="103" t="s">
        <v>364</v>
      </c>
      <c r="L517" s="136"/>
      <c r="M517" s="134">
        <v>0.13125000000000001</v>
      </c>
      <c r="N517" s="135" t="s">
        <v>1884</v>
      </c>
      <c r="O517" s="136" t="s">
        <v>372</v>
      </c>
      <c r="Q517" s="100" t="s">
        <v>1883</v>
      </c>
      <c r="R517" s="226" t="s">
        <v>1873</v>
      </c>
      <c r="S517" s="491" t="str">
        <f t="shared" si="17"/>
        <v>x</v>
      </c>
      <c r="T517" s="492">
        <f>IFERROR(VLOOKUP(F517,'Freq-Chan'!C:D,2,FALSE),"x")</f>
        <v>151.78399999999999</v>
      </c>
      <c r="U517" s="110" t="s">
        <v>541</v>
      </c>
      <c r="V517" s="110" t="str">
        <f t="shared" si="18"/>
        <v>FWL</v>
      </c>
      <c r="W517" s="110" t="s">
        <v>541</v>
      </c>
      <c r="X517" s="110" t="s">
        <v>541</v>
      </c>
      <c r="Y517" s="110" t="str">
        <f>IFERROR(VLOOKUP(F517,'Freq-Chan'!C:E,3,FALSE),"na")</f>
        <v>F1845</v>
      </c>
      <c r="Z517" s="110" t="s">
        <v>541</v>
      </c>
      <c r="AA517" s="110" t="s">
        <v>541</v>
      </c>
      <c r="AB517" s="110" t="s">
        <v>541</v>
      </c>
      <c r="AC517" s="10" t="s">
        <v>541</v>
      </c>
      <c r="AD517" s="10" t="s">
        <v>541</v>
      </c>
    </row>
    <row r="518" spans="1:30" x14ac:dyDescent="0.2">
      <c r="A518" s="110">
        <v>517</v>
      </c>
      <c r="B518" s="132">
        <v>41824</v>
      </c>
      <c r="C518" s="117">
        <v>1</v>
      </c>
      <c r="D518" s="103" t="s">
        <v>177</v>
      </c>
      <c r="E518" s="103" t="s">
        <v>0</v>
      </c>
      <c r="H518" s="103"/>
      <c r="K518" s="103" t="s">
        <v>364</v>
      </c>
      <c r="L518" s="136"/>
      <c r="M518" s="134">
        <v>1.3888888888888888E-2</v>
      </c>
      <c r="N518" s="135" t="s">
        <v>1885</v>
      </c>
      <c r="O518" s="136" t="s">
        <v>372</v>
      </c>
      <c r="P518" s="100" t="s">
        <v>1886</v>
      </c>
      <c r="Q518" s="100" t="s">
        <v>1883</v>
      </c>
      <c r="R518" s="226" t="s">
        <v>1873</v>
      </c>
      <c r="S518" s="491" t="str">
        <f t="shared" si="17"/>
        <v>x</v>
      </c>
      <c r="T518" s="492" t="str">
        <f>IFERROR(VLOOKUP(F518,'Freq-Chan'!C:D,2,FALSE),"x")</f>
        <v>x</v>
      </c>
      <c r="U518" s="110" t="s">
        <v>541</v>
      </c>
      <c r="V518" s="110" t="str">
        <f t="shared" si="18"/>
        <v>FWL</v>
      </c>
      <c r="W518" s="110" t="s">
        <v>541</v>
      </c>
      <c r="X518" s="110" t="s">
        <v>541</v>
      </c>
      <c r="Y518" s="110" t="str">
        <f>IFERROR(VLOOKUP(F518,'Freq-Chan'!C:E,3,FALSE),"na")</f>
        <v>na</v>
      </c>
      <c r="Z518" s="110" t="s">
        <v>541</v>
      </c>
      <c r="AA518" s="110" t="s">
        <v>541</v>
      </c>
      <c r="AB518" s="110" t="s">
        <v>541</v>
      </c>
      <c r="AC518" s="10" t="s">
        <v>541</v>
      </c>
      <c r="AD518" s="10" t="s">
        <v>541</v>
      </c>
    </row>
    <row r="519" spans="1:30" x14ac:dyDescent="0.2">
      <c r="A519" s="110">
        <v>518</v>
      </c>
      <c r="B519" s="132">
        <v>41824</v>
      </c>
      <c r="C519" s="117">
        <v>1</v>
      </c>
      <c r="D519" s="103" t="s">
        <v>2</v>
      </c>
      <c r="E519" s="103" t="s">
        <v>306</v>
      </c>
      <c r="F519" s="103">
        <v>755</v>
      </c>
      <c r="G519" s="103">
        <v>2</v>
      </c>
      <c r="H519" s="137" t="s">
        <v>1284</v>
      </c>
      <c r="I519" s="103">
        <v>57</v>
      </c>
      <c r="K519" s="103" t="s">
        <v>364</v>
      </c>
      <c r="L519" s="136"/>
      <c r="M519" s="134">
        <v>4.8611111111111112E-2</v>
      </c>
      <c r="N519" s="135" t="s">
        <v>1580</v>
      </c>
      <c r="O519" s="136" t="s">
        <v>803</v>
      </c>
      <c r="Q519" s="100" t="s">
        <v>1883</v>
      </c>
      <c r="R519" s="226" t="s">
        <v>1873</v>
      </c>
      <c r="S519" s="491" t="str">
        <f t="shared" si="17"/>
        <v>x</v>
      </c>
      <c r="T519" s="492">
        <f>IFERROR(VLOOKUP(F519,'Freq-Chan'!C:D,2,FALSE),"x")</f>
        <v>151.755</v>
      </c>
      <c r="U519" s="110" t="s">
        <v>541</v>
      </c>
      <c r="V519" s="110" t="str">
        <f t="shared" si="18"/>
        <v>FWL</v>
      </c>
      <c r="W519" s="110" t="s">
        <v>541</v>
      </c>
      <c r="X519" s="110" t="s">
        <v>541</v>
      </c>
      <c r="Y519" s="110" t="str">
        <f>IFERROR(VLOOKUP(F519,'Freq-Chan'!C:E,3,FALSE),"na")</f>
        <v>F1845</v>
      </c>
      <c r="Z519" s="110" t="s">
        <v>541</v>
      </c>
      <c r="AA519" s="110" t="s">
        <v>541</v>
      </c>
      <c r="AB519" s="110" t="s">
        <v>541</v>
      </c>
      <c r="AC519" s="10" t="s">
        <v>541</v>
      </c>
      <c r="AD519" s="10" t="s">
        <v>541</v>
      </c>
    </row>
    <row r="520" spans="1:30" x14ac:dyDescent="0.2">
      <c r="A520" s="110">
        <v>519</v>
      </c>
      <c r="B520" s="132">
        <v>41824</v>
      </c>
      <c r="C520" s="117">
        <v>1</v>
      </c>
      <c r="D520" s="103" t="s">
        <v>2</v>
      </c>
      <c r="E520" s="103" t="s">
        <v>306</v>
      </c>
      <c r="F520" s="103">
        <v>755</v>
      </c>
      <c r="G520" s="103">
        <v>51</v>
      </c>
      <c r="H520" s="137" t="s">
        <v>1285</v>
      </c>
      <c r="I520" s="103">
        <v>64</v>
      </c>
      <c r="K520" s="103" t="s">
        <v>364</v>
      </c>
      <c r="L520" s="136"/>
      <c r="M520" s="134">
        <v>6.25E-2</v>
      </c>
      <c r="N520" s="135" t="s">
        <v>1887</v>
      </c>
      <c r="O520" s="136" t="s">
        <v>1888</v>
      </c>
      <c r="Q520" s="100" t="s">
        <v>1883</v>
      </c>
      <c r="R520" s="226" t="s">
        <v>1873</v>
      </c>
      <c r="S520" s="491" t="str">
        <f t="shared" si="17"/>
        <v>x</v>
      </c>
      <c r="T520" s="492">
        <f>IFERROR(VLOOKUP(F520,'Freq-Chan'!C:D,2,FALSE),"x")</f>
        <v>151.755</v>
      </c>
      <c r="U520" s="110" t="s">
        <v>541</v>
      </c>
      <c r="V520" s="110" t="str">
        <f t="shared" si="18"/>
        <v>FWL</v>
      </c>
      <c r="W520" s="110" t="s">
        <v>541</v>
      </c>
      <c r="X520" s="110" t="s">
        <v>541</v>
      </c>
      <c r="Y520" s="110" t="str">
        <f>IFERROR(VLOOKUP(F520,'Freq-Chan'!C:E,3,FALSE),"na")</f>
        <v>F1845</v>
      </c>
      <c r="Z520" s="110" t="s">
        <v>541</v>
      </c>
      <c r="AA520" s="110" t="s">
        <v>541</v>
      </c>
      <c r="AB520" s="110" t="s">
        <v>541</v>
      </c>
      <c r="AC520" s="10" t="s">
        <v>541</v>
      </c>
      <c r="AD520" s="10" t="s">
        <v>541</v>
      </c>
    </row>
    <row r="521" spans="1:30" x14ac:dyDescent="0.2">
      <c r="A521" s="110">
        <v>520</v>
      </c>
      <c r="B521" s="132">
        <v>41824</v>
      </c>
      <c r="C521" s="117">
        <v>1</v>
      </c>
      <c r="D521" s="103" t="s">
        <v>2</v>
      </c>
      <c r="E521" s="103" t="s">
        <v>306</v>
      </c>
      <c r="F521" s="103">
        <v>755</v>
      </c>
      <c r="G521" s="103">
        <v>1</v>
      </c>
      <c r="H521" s="137" t="s">
        <v>1286</v>
      </c>
      <c r="I521" s="103">
        <v>81</v>
      </c>
      <c r="K521" s="103" t="s">
        <v>364</v>
      </c>
      <c r="L521" s="136">
        <v>0.75208333333333333</v>
      </c>
      <c r="M521" s="134">
        <v>7.3611111111111113E-2</v>
      </c>
      <c r="N521" s="135" t="s">
        <v>1889</v>
      </c>
      <c r="O521" s="136" t="s">
        <v>1888</v>
      </c>
      <c r="Q521" s="100" t="s">
        <v>1883</v>
      </c>
      <c r="R521" s="226" t="s">
        <v>1873</v>
      </c>
      <c r="S521" s="491">
        <f t="shared" si="17"/>
        <v>2.2453704000000001E-3</v>
      </c>
      <c r="T521" s="492">
        <f>IFERROR(VLOOKUP(F521,'Freq-Chan'!C:D,2,FALSE),"x")</f>
        <v>151.755</v>
      </c>
      <c r="U521" s="110" t="s">
        <v>541</v>
      </c>
      <c r="V521" s="110" t="str">
        <f t="shared" si="18"/>
        <v>FWL</v>
      </c>
      <c r="W521" s="110" t="s">
        <v>541</v>
      </c>
      <c r="X521" s="110" t="s">
        <v>541</v>
      </c>
      <c r="Y521" s="110" t="str">
        <f>IFERROR(VLOOKUP(F521,'Freq-Chan'!C:E,3,FALSE),"na")</f>
        <v>F1845</v>
      </c>
      <c r="Z521" s="110" t="s">
        <v>541</v>
      </c>
      <c r="AA521" s="110" t="s">
        <v>541</v>
      </c>
      <c r="AB521" s="110" t="s">
        <v>541</v>
      </c>
      <c r="AC521" s="10" t="s">
        <v>541</v>
      </c>
      <c r="AD521" s="10" t="s">
        <v>541</v>
      </c>
    </row>
    <row r="522" spans="1:30" x14ac:dyDescent="0.2">
      <c r="A522" s="110">
        <v>521</v>
      </c>
      <c r="B522" s="132">
        <v>41824</v>
      </c>
      <c r="C522" s="117">
        <v>1</v>
      </c>
      <c r="D522" s="103" t="s">
        <v>2</v>
      </c>
      <c r="E522" s="103" t="s">
        <v>306</v>
      </c>
      <c r="F522" s="103">
        <v>784</v>
      </c>
      <c r="G522" s="103">
        <v>76</v>
      </c>
      <c r="H522" s="137" t="s">
        <v>1287</v>
      </c>
      <c r="I522" s="103">
        <v>92</v>
      </c>
      <c r="K522" s="103" t="s">
        <v>364</v>
      </c>
      <c r="L522" s="136"/>
      <c r="M522" s="134">
        <v>5.347222222222222E-2</v>
      </c>
      <c r="N522" s="135" t="s">
        <v>1890</v>
      </c>
      <c r="O522" s="136" t="s">
        <v>804</v>
      </c>
      <c r="Q522" s="100" t="s">
        <v>1891</v>
      </c>
      <c r="R522" s="226" t="s">
        <v>1873</v>
      </c>
      <c r="S522" s="491" t="str">
        <f t="shared" si="17"/>
        <v>x</v>
      </c>
      <c r="T522" s="492">
        <f>IFERROR(VLOOKUP(F522,'Freq-Chan'!C:D,2,FALSE),"x")</f>
        <v>151.78399999999999</v>
      </c>
      <c r="U522" s="110" t="s">
        <v>541</v>
      </c>
      <c r="V522" s="110" t="str">
        <f t="shared" si="18"/>
        <v>FWL</v>
      </c>
      <c r="W522" s="110" t="s">
        <v>541</v>
      </c>
      <c r="X522" s="110" t="s">
        <v>541</v>
      </c>
      <c r="Y522" s="110" t="str">
        <f>IFERROR(VLOOKUP(F522,'Freq-Chan'!C:E,3,FALSE),"na")</f>
        <v>F1845</v>
      </c>
      <c r="Z522" s="110" t="s">
        <v>541</v>
      </c>
      <c r="AA522" s="110" t="s">
        <v>541</v>
      </c>
      <c r="AB522" s="110" t="s">
        <v>541</v>
      </c>
      <c r="AC522" s="10" t="s">
        <v>541</v>
      </c>
      <c r="AD522" s="10" t="s">
        <v>541</v>
      </c>
    </row>
    <row r="523" spans="1:30" x14ac:dyDescent="0.2">
      <c r="A523" s="110">
        <v>522</v>
      </c>
      <c r="B523" s="132">
        <v>41824</v>
      </c>
      <c r="C523" s="117">
        <v>1</v>
      </c>
      <c r="D523" s="103" t="s">
        <v>2</v>
      </c>
      <c r="E523" s="103" t="s">
        <v>306</v>
      </c>
      <c r="F523" s="103">
        <v>755</v>
      </c>
      <c r="G523" s="103">
        <v>42</v>
      </c>
      <c r="H523" s="137" t="s">
        <v>1288</v>
      </c>
      <c r="I523" s="103">
        <v>78</v>
      </c>
      <c r="K523" s="103" t="s">
        <v>364</v>
      </c>
      <c r="L523" s="136"/>
      <c r="M523" s="134">
        <v>3.2638888888888891E-2</v>
      </c>
      <c r="N523" s="135" t="s">
        <v>1892</v>
      </c>
      <c r="O523" s="136" t="s">
        <v>373</v>
      </c>
      <c r="Q523" s="100" t="s">
        <v>1891</v>
      </c>
      <c r="R523" s="226" t="s">
        <v>1873</v>
      </c>
      <c r="S523" s="491" t="str">
        <f t="shared" si="17"/>
        <v>x</v>
      </c>
      <c r="T523" s="492">
        <f>IFERROR(VLOOKUP(F523,'Freq-Chan'!C:D,2,FALSE),"x")</f>
        <v>151.755</v>
      </c>
      <c r="U523" s="110" t="s">
        <v>541</v>
      </c>
      <c r="V523" s="110" t="str">
        <f t="shared" si="18"/>
        <v>FWL</v>
      </c>
      <c r="W523" s="110" t="s">
        <v>541</v>
      </c>
      <c r="X523" s="110" t="s">
        <v>541</v>
      </c>
      <c r="Y523" s="110" t="str">
        <f>IFERROR(VLOOKUP(F523,'Freq-Chan'!C:E,3,FALSE),"na")</f>
        <v>F1845</v>
      </c>
      <c r="Z523" s="110" t="s">
        <v>541</v>
      </c>
      <c r="AA523" s="110" t="s">
        <v>541</v>
      </c>
      <c r="AB523" s="110" t="s">
        <v>541</v>
      </c>
      <c r="AC523" s="10" t="s">
        <v>541</v>
      </c>
      <c r="AD523" s="10" t="s">
        <v>541</v>
      </c>
    </row>
    <row r="524" spans="1:30" x14ac:dyDescent="0.2">
      <c r="A524" s="110">
        <v>523</v>
      </c>
      <c r="B524" s="132">
        <v>41824</v>
      </c>
      <c r="C524" s="117">
        <v>1</v>
      </c>
      <c r="D524" s="103" t="s">
        <v>2</v>
      </c>
      <c r="E524" s="103" t="s">
        <v>306</v>
      </c>
      <c r="F524" s="103">
        <v>784</v>
      </c>
      <c r="G524" s="103">
        <v>45</v>
      </c>
      <c r="H524" s="137" t="s">
        <v>1296</v>
      </c>
      <c r="I524" s="103">
        <v>95</v>
      </c>
      <c r="K524" s="103" t="s">
        <v>364</v>
      </c>
      <c r="L524" s="136"/>
      <c r="M524" s="134">
        <v>0.13541666666666666</v>
      </c>
      <c r="N524" s="135" t="s">
        <v>1893</v>
      </c>
      <c r="O524" s="136" t="s">
        <v>373</v>
      </c>
      <c r="P524" s="100" t="s">
        <v>1894</v>
      </c>
      <c r="Q524" s="100" t="s">
        <v>1891</v>
      </c>
      <c r="R524" s="226" t="s">
        <v>1873</v>
      </c>
      <c r="S524" s="491" t="str">
        <f t="shared" si="17"/>
        <v>x</v>
      </c>
      <c r="T524" s="492">
        <f>IFERROR(VLOOKUP(F524,'Freq-Chan'!C:D,2,FALSE),"x")</f>
        <v>151.78399999999999</v>
      </c>
      <c r="U524" s="110" t="s">
        <v>541</v>
      </c>
      <c r="V524" s="110" t="str">
        <f t="shared" si="18"/>
        <v>FWL</v>
      </c>
      <c r="W524" s="110" t="s">
        <v>541</v>
      </c>
      <c r="X524" s="110" t="s">
        <v>541</v>
      </c>
      <c r="Y524" s="110" t="str">
        <f>IFERROR(VLOOKUP(F524,'Freq-Chan'!C:E,3,FALSE),"na")</f>
        <v>F1845</v>
      </c>
      <c r="Z524" s="110" t="s">
        <v>541</v>
      </c>
      <c r="AA524" s="110" t="s">
        <v>541</v>
      </c>
      <c r="AB524" s="110" t="s">
        <v>541</v>
      </c>
      <c r="AC524" s="10" t="s">
        <v>541</v>
      </c>
      <c r="AD524" s="10" t="s">
        <v>541</v>
      </c>
    </row>
    <row r="525" spans="1:30" x14ac:dyDescent="0.2">
      <c r="A525" s="110">
        <v>524</v>
      </c>
      <c r="B525" s="132">
        <v>41824</v>
      </c>
      <c r="C525" s="117">
        <v>1</v>
      </c>
      <c r="D525" s="103" t="s">
        <v>2</v>
      </c>
      <c r="E525" s="103" t="s">
        <v>306</v>
      </c>
      <c r="F525" s="103">
        <v>755</v>
      </c>
      <c r="G525" s="103">
        <v>95</v>
      </c>
      <c r="H525" s="137" t="s">
        <v>1297</v>
      </c>
      <c r="I525" s="103">
        <v>93</v>
      </c>
      <c r="K525" s="103" t="s">
        <v>364</v>
      </c>
      <c r="L525" s="136"/>
      <c r="M525" s="134">
        <v>4.5833333333333337E-2</v>
      </c>
      <c r="N525" s="135" t="s">
        <v>1775</v>
      </c>
      <c r="O525" s="136" t="s">
        <v>804</v>
      </c>
      <c r="Q525" s="100" t="s">
        <v>1891</v>
      </c>
      <c r="R525" s="226" t="s">
        <v>1873</v>
      </c>
      <c r="S525" s="491" t="str">
        <f t="shared" si="17"/>
        <v>x</v>
      </c>
      <c r="T525" s="492">
        <f>IFERROR(VLOOKUP(F525,'Freq-Chan'!C:D,2,FALSE),"x")</f>
        <v>151.755</v>
      </c>
      <c r="U525" s="110" t="s">
        <v>541</v>
      </c>
      <c r="V525" s="110" t="str">
        <f t="shared" si="18"/>
        <v>FWL</v>
      </c>
      <c r="W525" s="110" t="s">
        <v>541</v>
      </c>
      <c r="X525" s="110" t="s">
        <v>541</v>
      </c>
      <c r="Y525" s="110" t="str">
        <f>IFERROR(VLOOKUP(F525,'Freq-Chan'!C:E,3,FALSE),"na")</f>
        <v>F1845</v>
      </c>
      <c r="Z525" s="110" t="s">
        <v>541</v>
      </c>
      <c r="AA525" s="110" t="s">
        <v>541</v>
      </c>
      <c r="AB525" s="110" t="s">
        <v>541</v>
      </c>
      <c r="AC525" s="10" t="s">
        <v>541</v>
      </c>
      <c r="AD525" s="10" t="s">
        <v>541</v>
      </c>
    </row>
    <row r="526" spans="1:30" x14ac:dyDescent="0.2">
      <c r="A526" s="110">
        <v>525</v>
      </c>
      <c r="B526" s="132">
        <v>41824</v>
      </c>
      <c r="C526" s="117">
        <v>1</v>
      </c>
      <c r="D526" s="103" t="s">
        <v>2</v>
      </c>
      <c r="E526" s="103" t="s">
        <v>306</v>
      </c>
      <c r="F526" s="103">
        <v>755</v>
      </c>
      <c r="G526" s="103">
        <v>70</v>
      </c>
      <c r="H526" s="137" t="s">
        <v>1298</v>
      </c>
      <c r="I526" s="103">
        <v>60</v>
      </c>
      <c r="K526" s="103" t="s">
        <v>364</v>
      </c>
      <c r="L526" s="133"/>
      <c r="M526" s="134">
        <v>7.2222222222222229E-2</v>
      </c>
      <c r="N526" s="137" t="s">
        <v>1895</v>
      </c>
      <c r="O526" s="133" t="s">
        <v>804</v>
      </c>
      <c r="Q526" s="100" t="s">
        <v>1891</v>
      </c>
      <c r="R526" s="226" t="s">
        <v>1873</v>
      </c>
      <c r="S526" s="491" t="str">
        <f t="shared" si="17"/>
        <v>x</v>
      </c>
      <c r="T526" s="492">
        <f>IFERROR(VLOOKUP(F526,'Freq-Chan'!C:D,2,FALSE),"x")</f>
        <v>151.755</v>
      </c>
      <c r="U526" s="110" t="s">
        <v>541</v>
      </c>
      <c r="V526" s="110" t="str">
        <f t="shared" si="18"/>
        <v>FWL</v>
      </c>
      <c r="W526" s="110" t="s">
        <v>541</v>
      </c>
      <c r="X526" s="110" t="s">
        <v>541</v>
      </c>
      <c r="Y526" s="110" t="str">
        <f>IFERROR(VLOOKUP(F526,'Freq-Chan'!C:E,3,FALSE),"na")</f>
        <v>F1845</v>
      </c>
      <c r="Z526" s="110" t="s">
        <v>541</v>
      </c>
      <c r="AA526" s="110" t="s">
        <v>541</v>
      </c>
      <c r="AB526" s="110" t="s">
        <v>541</v>
      </c>
      <c r="AC526" s="10" t="s">
        <v>541</v>
      </c>
      <c r="AD526" s="10" t="s">
        <v>541</v>
      </c>
    </row>
    <row r="527" spans="1:30" s="291" customFormat="1" x14ac:dyDescent="0.2">
      <c r="A527" s="493">
        <v>526</v>
      </c>
      <c r="B527" s="283">
        <v>41824</v>
      </c>
      <c r="C527" s="284">
        <v>1</v>
      </c>
      <c r="D527" s="285" t="s">
        <v>2</v>
      </c>
      <c r="E527" s="285" t="s">
        <v>306</v>
      </c>
      <c r="F527" s="285">
        <v>755</v>
      </c>
      <c r="G527" s="285">
        <v>29</v>
      </c>
      <c r="H527" s="339" t="s">
        <v>1299</v>
      </c>
      <c r="I527" s="285">
        <v>88</v>
      </c>
      <c r="J527" s="285"/>
      <c r="K527" s="285" t="s">
        <v>364</v>
      </c>
      <c r="L527" s="286"/>
      <c r="M527" s="287">
        <v>4.9305555555555554E-2</v>
      </c>
      <c r="N527" s="288" t="s">
        <v>1896</v>
      </c>
      <c r="O527" s="286" t="s">
        <v>373</v>
      </c>
      <c r="P527" s="289"/>
      <c r="Q527" s="289" t="s">
        <v>1891</v>
      </c>
      <c r="R527" s="290" t="s">
        <v>1873</v>
      </c>
      <c r="S527" s="494" t="str">
        <f t="shared" si="17"/>
        <v>x</v>
      </c>
      <c r="T527" s="495">
        <f>IFERROR(VLOOKUP(F527,'Freq-Chan'!C:D,2,FALSE),"x")</f>
        <v>151.755</v>
      </c>
      <c r="U527" s="493" t="s">
        <v>541</v>
      </c>
      <c r="V527" s="493" t="str">
        <f t="shared" si="18"/>
        <v>FWL</v>
      </c>
      <c r="W527" s="493" t="s">
        <v>541</v>
      </c>
      <c r="X527" s="493" t="s">
        <v>541</v>
      </c>
      <c r="Y527" s="493" t="str">
        <f>IFERROR(VLOOKUP(F527,'Freq-Chan'!C:E,3,FALSE),"na")</f>
        <v>F1845</v>
      </c>
      <c r="Z527" s="493" t="s">
        <v>541</v>
      </c>
      <c r="AA527" s="493" t="s">
        <v>541</v>
      </c>
      <c r="AB527" s="493" t="s">
        <v>541</v>
      </c>
      <c r="AC527" s="291" t="s">
        <v>541</v>
      </c>
      <c r="AD527" s="291" t="s">
        <v>541</v>
      </c>
    </row>
    <row r="528" spans="1:30" x14ac:dyDescent="0.2">
      <c r="A528" s="110">
        <v>527</v>
      </c>
      <c r="B528" s="132">
        <v>41824</v>
      </c>
      <c r="C528" s="117">
        <v>2</v>
      </c>
      <c r="D528" s="103" t="s">
        <v>2</v>
      </c>
      <c r="E528" s="103" t="s">
        <v>306</v>
      </c>
      <c r="F528" s="103">
        <v>784</v>
      </c>
      <c r="G528" s="103">
        <v>69</v>
      </c>
      <c r="H528" s="137" t="s">
        <v>1289</v>
      </c>
      <c r="I528" s="103">
        <v>83</v>
      </c>
      <c r="K528" s="103" t="s">
        <v>364</v>
      </c>
      <c r="L528" s="133">
        <v>0.85763888888888884</v>
      </c>
      <c r="M528" s="134">
        <v>0.125</v>
      </c>
      <c r="N528" s="135" t="s">
        <v>1897</v>
      </c>
      <c r="O528" s="133" t="s">
        <v>1898</v>
      </c>
      <c r="P528" s="100" t="s">
        <v>1899</v>
      </c>
      <c r="Q528" s="100" t="s">
        <v>1891</v>
      </c>
      <c r="R528" s="226" t="s">
        <v>1873</v>
      </c>
      <c r="S528" s="491">
        <f t="shared" si="17"/>
        <v>2.1527777800000002E-2</v>
      </c>
      <c r="T528" s="492">
        <f>IFERROR(VLOOKUP(F528,'Freq-Chan'!C:D,2,FALSE),"x")</f>
        <v>151.78399999999999</v>
      </c>
      <c r="U528" s="110" t="s">
        <v>541</v>
      </c>
      <c r="V528" s="110" t="str">
        <f t="shared" si="18"/>
        <v>FWL</v>
      </c>
      <c r="W528" s="110" t="s">
        <v>541</v>
      </c>
      <c r="X528" s="110" t="s">
        <v>541</v>
      </c>
      <c r="Y528" s="110" t="str">
        <f>IFERROR(VLOOKUP(F528,'Freq-Chan'!C:E,3,FALSE),"na")</f>
        <v>F1845</v>
      </c>
      <c r="Z528" s="110" t="s">
        <v>541</v>
      </c>
      <c r="AA528" s="110" t="s">
        <v>541</v>
      </c>
      <c r="AB528" s="110" t="s">
        <v>541</v>
      </c>
      <c r="AC528" s="10" t="s">
        <v>541</v>
      </c>
      <c r="AD528" s="10" t="s">
        <v>541</v>
      </c>
    </row>
    <row r="529" spans="1:30" s="291" customFormat="1" x14ac:dyDescent="0.2">
      <c r="A529" s="493">
        <v>528</v>
      </c>
      <c r="B529" s="283">
        <v>41824</v>
      </c>
      <c r="C529" s="284">
        <v>2</v>
      </c>
      <c r="D529" s="285" t="s">
        <v>75</v>
      </c>
      <c r="E529" s="285" t="s">
        <v>798</v>
      </c>
      <c r="F529" s="285"/>
      <c r="G529" s="285"/>
      <c r="H529" s="285"/>
      <c r="I529" s="285"/>
      <c r="J529" s="285">
        <v>23</v>
      </c>
      <c r="K529" s="285" t="s">
        <v>364</v>
      </c>
      <c r="L529" s="286"/>
      <c r="M529" s="287">
        <v>3.125E-2</v>
      </c>
      <c r="N529" s="288" t="s">
        <v>1900</v>
      </c>
      <c r="O529" s="286" t="s">
        <v>1901</v>
      </c>
      <c r="P529" s="289"/>
      <c r="Q529" s="289" t="s">
        <v>1891</v>
      </c>
      <c r="R529" s="290" t="s">
        <v>1873</v>
      </c>
      <c r="S529" s="494" t="str">
        <f t="shared" si="17"/>
        <v>x</v>
      </c>
      <c r="T529" s="495" t="str">
        <f>IFERROR(VLOOKUP(F529,'Freq-Chan'!C:D,2,FALSE),"x")</f>
        <v>x</v>
      </c>
      <c r="U529" s="493" t="s">
        <v>541</v>
      </c>
      <c r="V529" s="493" t="str">
        <f t="shared" si="18"/>
        <v>FWL</v>
      </c>
      <c r="W529" s="493" t="s">
        <v>541</v>
      </c>
      <c r="X529" s="493" t="s">
        <v>541</v>
      </c>
      <c r="Y529" s="493" t="str">
        <f>IFERROR(VLOOKUP(F529,'Freq-Chan'!C:E,3,FALSE),"na")</f>
        <v>na</v>
      </c>
      <c r="Z529" s="493" t="s">
        <v>541</v>
      </c>
      <c r="AA529" s="493" t="s">
        <v>541</v>
      </c>
      <c r="AB529" s="493" t="s">
        <v>541</v>
      </c>
      <c r="AC529" s="291" t="s">
        <v>541</v>
      </c>
      <c r="AD529" s="291" t="s">
        <v>541</v>
      </c>
    </row>
    <row r="530" spans="1:30" x14ac:dyDescent="0.2">
      <c r="A530" s="110">
        <v>529</v>
      </c>
      <c r="B530" s="132">
        <v>41824</v>
      </c>
      <c r="C530" s="117">
        <v>3</v>
      </c>
      <c r="D530" s="103" t="s">
        <v>2</v>
      </c>
      <c r="E530" s="103" t="s">
        <v>306</v>
      </c>
      <c r="F530" s="103">
        <v>784</v>
      </c>
      <c r="G530" s="103">
        <v>99</v>
      </c>
      <c r="H530" s="137" t="s">
        <v>1277</v>
      </c>
      <c r="I530" s="103">
        <v>87</v>
      </c>
      <c r="K530" s="103" t="s">
        <v>364</v>
      </c>
      <c r="L530" s="133"/>
      <c r="M530" s="134">
        <v>9.0277777777777776E-2</v>
      </c>
      <c r="N530" s="135" t="s">
        <v>1902</v>
      </c>
      <c r="O530" s="133" t="s">
        <v>1663</v>
      </c>
      <c r="Q530" s="100" t="s">
        <v>1872</v>
      </c>
      <c r="R530" s="226" t="s">
        <v>1873</v>
      </c>
      <c r="S530" s="491" t="str">
        <f t="shared" si="17"/>
        <v>x</v>
      </c>
      <c r="T530" s="492">
        <f>IFERROR(VLOOKUP(F530,'Freq-Chan'!C:D,2,FALSE),"x")</f>
        <v>151.78399999999999</v>
      </c>
      <c r="U530" s="110" t="s">
        <v>541</v>
      </c>
      <c r="V530" s="110" t="str">
        <f t="shared" si="18"/>
        <v>FWL</v>
      </c>
      <c r="W530" s="110" t="s">
        <v>541</v>
      </c>
      <c r="X530" s="110" t="s">
        <v>541</v>
      </c>
      <c r="Y530" s="110" t="str">
        <f>IFERROR(VLOOKUP(F530,'Freq-Chan'!C:E,3,FALSE),"na")</f>
        <v>F1845</v>
      </c>
      <c r="Z530" s="110" t="s">
        <v>541</v>
      </c>
      <c r="AA530" s="110" t="s">
        <v>541</v>
      </c>
      <c r="AB530" s="110" t="s">
        <v>541</v>
      </c>
      <c r="AC530" s="10" t="s">
        <v>541</v>
      </c>
      <c r="AD530" s="10" t="s">
        <v>541</v>
      </c>
    </row>
    <row r="531" spans="1:30" x14ac:dyDescent="0.2">
      <c r="A531" s="110">
        <v>530</v>
      </c>
      <c r="B531" s="132">
        <v>41824</v>
      </c>
      <c r="C531" s="117">
        <v>3</v>
      </c>
      <c r="D531" s="103" t="s">
        <v>2</v>
      </c>
      <c r="E531" s="103" t="s">
        <v>306</v>
      </c>
      <c r="F531" s="103">
        <v>755</v>
      </c>
      <c r="G531" s="103">
        <v>55</v>
      </c>
      <c r="H531" s="137" t="s">
        <v>1278</v>
      </c>
      <c r="I531" s="103">
        <v>76</v>
      </c>
      <c r="K531" s="103" t="s">
        <v>364</v>
      </c>
      <c r="L531" s="133">
        <v>0.32847222222222222</v>
      </c>
      <c r="M531" s="134">
        <v>6.7361111111111108E-2</v>
      </c>
      <c r="N531" s="135" t="s">
        <v>1903</v>
      </c>
      <c r="O531" s="133" t="s">
        <v>802</v>
      </c>
      <c r="Q531" s="100" t="s">
        <v>1872</v>
      </c>
      <c r="R531" s="226" t="s">
        <v>1873</v>
      </c>
      <c r="S531" s="491">
        <f t="shared" si="17"/>
        <v>5.1273148000000003E-3</v>
      </c>
      <c r="T531" s="492">
        <f>IFERROR(VLOOKUP(F531,'Freq-Chan'!C:D,2,FALSE),"x")</f>
        <v>151.755</v>
      </c>
      <c r="U531" s="110" t="s">
        <v>541</v>
      </c>
      <c r="V531" s="110" t="str">
        <f t="shared" si="18"/>
        <v>FWL</v>
      </c>
      <c r="W531" s="110" t="s">
        <v>541</v>
      </c>
      <c r="X531" s="110" t="s">
        <v>541</v>
      </c>
      <c r="Y531" s="110" t="str">
        <f>IFERROR(VLOOKUP(F531,'Freq-Chan'!C:E,3,FALSE),"na")</f>
        <v>F1845</v>
      </c>
      <c r="Z531" s="110" t="s">
        <v>541</v>
      </c>
      <c r="AA531" s="110" t="s">
        <v>541</v>
      </c>
      <c r="AB531" s="110" t="s">
        <v>541</v>
      </c>
      <c r="AC531" s="10" t="s">
        <v>541</v>
      </c>
      <c r="AD531" s="10" t="s">
        <v>541</v>
      </c>
    </row>
    <row r="532" spans="1:30" x14ac:dyDescent="0.2">
      <c r="A532" s="110">
        <v>531</v>
      </c>
      <c r="B532" s="132">
        <v>41824</v>
      </c>
      <c r="C532" s="117">
        <v>3</v>
      </c>
      <c r="D532" s="103" t="s">
        <v>177</v>
      </c>
      <c r="E532" s="103" t="s">
        <v>0</v>
      </c>
      <c r="H532" s="103"/>
      <c r="I532" s="103">
        <v>36</v>
      </c>
      <c r="K532" s="103" t="s">
        <v>364</v>
      </c>
      <c r="L532" s="133"/>
      <c r="M532" s="134">
        <v>1.9444444444444445E-2</v>
      </c>
      <c r="N532" s="135" t="s">
        <v>1783</v>
      </c>
      <c r="O532" s="133" t="s">
        <v>950</v>
      </c>
      <c r="Q532" s="100" t="s">
        <v>1904</v>
      </c>
      <c r="R532" s="226" t="s">
        <v>1873</v>
      </c>
      <c r="S532" s="491" t="str">
        <f t="shared" si="17"/>
        <v>x</v>
      </c>
      <c r="T532" s="492" t="str">
        <f>IFERROR(VLOOKUP(F532,'Freq-Chan'!C:D,2,FALSE),"x")</f>
        <v>x</v>
      </c>
      <c r="U532" s="110" t="s">
        <v>541</v>
      </c>
      <c r="V532" s="110" t="str">
        <f t="shared" si="18"/>
        <v>FWL</v>
      </c>
      <c r="W532" s="110" t="s">
        <v>541</v>
      </c>
      <c r="X532" s="110" t="s">
        <v>541</v>
      </c>
      <c r="Y532" s="110" t="str">
        <f>IFERROR(VLOOKUP(F532,'Freq-Chan'!C:E,3,FALSE),"na")</f>
        <v>na</v>
      </c>
      <c r="Z532" s="110" t="s">
        <v>541</v>
      </c>
      <c r="AA532" s="110" t="s">
        <v>541</v>
      </c>
      <c r="AB532" s="110" t="s">
        <v>541</v>
      </c>
      <c r="AC532" s="10" t="s">
        <v>541</v>
      </c>
      <c r="AD532" s="10" t="s">
        <v>541</v>
      </c>
    </row>
    <row r="533" spans="1:30" x14ac:dyDescent="0.2">
      <c r="A533" s="110">
        <v>532</v>
      </c>
      <c r="B533" s="132">
        <v>41824</v>
      </c>
      <c r="C533" s="117">
        <v>3</v>
      </c>
      <c r="D533" s="103" t="s">
        <v>87</v>
      </c>
      <c r="E533" s="103" t="s">
        <v>798</v>
      </c>
      <c r="H533" s="103" t="s">
        <v>912</v>
      </c>
      <c r="J533" s="103">
        <v>43</v>
      </c>
      <c r="K533" s="103" t="s">
        <v>364</v>
      </c>
      <c r="L533" s="133"/>
      <c r="M533" s="134">
        <v>4.4444444444444446E-2</v>
      </c>
      <c r="N533" s="135" t="s">
        <v>1905</v>
      </c>
      <c r="O533" s="133" t="s">
        <v>950</v>
      </c>
      <c r="Q533" s="100" t="s">
        <v>1904</v>
      </c>
      <c r="R533" s="226" t="s">
        <v>1873</v>
      </c>
      <c r="S533" s="491" t="str">
        <f t="shared" si="17"/>
        <v>x</v>
      </c>
      <c r="T533" s="492" t="str">
        <f>IFERROR(VLOOKUP(F533,'Freq-Chan'!C:D,2,FALSE),"x")</f>
        <v>x</v>
      </c>
      <c r="U533" s="110" t="s">
        <v>541</v>
      </c>
      <c r="V533" s="110" t="str">
        <f t="shared" si="18"/>
        <v>FWL</v>
      </c>
      <c r="W533" s="110" t="s">
        <v>541</v>
      </c>
      <c r="X533" s="110" t="s">
        <v>541</v>
      </c>
      <c r="Y533" s="110" t="str">
        <f>IFERROR(VLOOKUP(F533,'Freq-Chan'!C:E,3,FALSE),"na")</f>
        <v>na</v>
      </c>
      <c r="Z533" s="110" t="s">
        <v>541</v>
      </c>
      <c r="AA533" s="110" t="s">
        <v>541</v>
      </c>
      <c r="AB533" s="110" t="s">
        <v>541</v>
      </c>
      <c r="AC533" s="10" t="s">
        <v>541</v>
      </c>
      <c r="AD533" s="10" t="s">
        <v>541</v>
      </c>
    </row>
    <row r="534" spans="1:30" x14ac:dyDescent="0.2">
      <c r="A534" s="110">
        <v>533</v>
      </c>
      <c r="B534" s="132">
        <v>41824</v>
      </c>
      <c r="C534" s="117">
        <v>3</v>
      </c>
      <c r="D534" s="103" t="s">
        <v>177</v>
      </c>
      <c r="E534" s="103" t="s">
        <v>0</v>
      </c>
      <c r="H534" s="103"/>
      <c r="I534" s="103">
        <v>35</v>
      </c>
      <c r="K534" s="103" t="s">
        <v>364</v>
      </c>
      <c r="L534" s="133"/>
      <c r="M534" s="134">
        <v>2.6388888888888889E-2</v>
      </c>
      <c r="N534" s="135" t="s">
        <v>1906</v>
      </c>
      <c r="O534" s="133" t="s">
        <v>950</v>
      </c>
      <c r="Q534" s="100" t="s">
        <v>1904</v>
      </c>
      <c r="R534" s="226" t="s">
        <v>1873</v>
      </c>
      <c r="S534" s="491" t="str">
        <f t="shared" si="17"/>
        <v>x</v>
      </c>
      <c r="T534" s="492" t="str">
        <f>IFERROR(VLOOKUP(F534,'Freq-Chan'!C:D,2,FALSE),"x")</f>
        <v>x</v>
      </c>
      <c r="U534" s="110" t="s">
        <v>541</v>
      </c>
      <c r="V534" s="110" t="str">
        <f t="shared" si="18"/>
        <v>FWL</v>
      </c>
      <c r="W534" s="110" t="s">
        <v>541</v>
      </c>
      <c r="X534" s="110" t="s">
        <v>541</v>
      </c>
      <c r="Y534" s="110" t="str">
        <f>IFERROR(VLOOKUP(F534,'Freq-Chan'!C:E,3,FALSE),"na")</f>
        <v>na</v>
      </c>
      <c r="Z534" s="110" t="s">
        <v>541</v>
      </c>
      <c r="AA534" s="110" t="s">
        <v>541</v>
      </c>
      <c r="AB534" s="110" t="s">
        <v>541</v>
      </c>
      <c r="AC534" s="10" t="s">
        <v>541</v>
      </c>
      <c r="AD534" s="10" t="s">
        <v>541</v>
      </c>
    </row>
    <row r="535" spans="1:30" x14ac:dyDescent="0.2">
      <c r="A535" s="110">
        <v>534</v>
      </c>
      <c r="B535" s="132">
        <v>41824</v>
      </c>
      <c r="C535" s="117">
        <v>3</v>
      </c>
      <c r="D535" s="103" t="s">
        <v>177</v>
      </c>
      <c r="E535" s="103" t="s">
        <v>0</v>
      </c>
      <c r="H535" s="103"/>
      <c r="K535" s="103" t="s">
        <v>364</v>
      </c>
      <c r="L535" s="133"/>
      <c r="M535" s="134">
        <v>3.125E-2</v>
      </c>
      <c r="N535" s="135" t="s">
        <v>1907</v>
      </c>
      <c r="O535" s="133" t="s">
        <v>950</v>
      </c>
      <c r="P535" s="100" t="s">
        <v>1908</v>
      </c>
      <c r="Q535" s="100" t="s">
        <v>1904</v>
      </c>
      <c r="R535" s="226" t="s">
        <v>1873</v>
      </c>
      <c r="S535" s="491" t="str">
        <f t="shared" si="17"/>
        <v>x</v>
      </c>
      <c r="T535" s="492" t="str">
        <f>IFERROR(VLOOKUP(F535,'Freq-Chan'!C:D,2,FALSE),"x")</f>
        <v>x</v>
      </c>
      <c r="U535" s="110" t="s">
        <v>541</v>
      </c>
      <c r="V535" s="110" t="str">
        <f t="shared" si="18"/>
        <v>FWL</v>
      </c>
      <c r="W535" s="110" t="s">
        <v>541</v>
      </c>
      <c r="X535" s="110" t="s">
        <v>541</v>
      </c>
      <c r="Y535" s="110" t="str">
        <f>IFERROR(VLOOKUP(F535,'Freq-Chan'!C:E,3,FALSE),"na")</f>
        <v>na</v>
      </c>
      <c r="Z535" s="110" t="s">
        <v>541</v>
      </c>
      <c r="AA535" s="110" t="s">
        <v>541</v>
      </c>
      <c r="AB535" s="110" t="s">
        <v>541</v>
      </c>
      <c r="AC535" s="10" t="s">
        <v>541</v>
      </c>
      <c r="AD535" s="10" t="s">
        <v>541</v>
      </c>
    </row>
    <row r="536" spans="1:30" x14ac:dyDescent="0.2">
      <c r="A536" s="110">
        <v>535</v>
      </c>
      <c r="B536" s="132">
        <v>41824</v>
      </c>
      <c r="C536" s="117">
        <v>3</v>
      </c>
      <c r="D536" s="103" t="s">
        <v>2</v>
      </c>
      <c r="E536" s="103" t="s">
        <v>306</v>
      </c>
      <c r="F536" s="103">
        <v>755</v>
      </c>
      <c r="G536" s="103">
        <v>98</v>
      </c>
      <c r="H536" s="137" t="s">
        <v>1279</v>
      </c>
      <c r="I536" s="103">
        <v>67</v>
      </c>
      <c r="K536" s="103" t="s">
        <v>364</v>
      </c>
      <c r="L536" s="133">
        <v>0.50416666666666665</v>
      </c>
      <c r="M536" s="134">
        <v>5.9722222222222225E-2</v>
      </c>
      <c r="N536" s="135" t="s">
        <v>1909</v>
      </c>
      <c r="O536" s="133" t="s">
        <v>376</v>
      </c>
      <c r="Q536" s="100" t="s">
        <v>1904</v>
      </c>
      <c r="R536" s="226" t="s">
        <v>1873</v>
      </c>
      <c r="S536" s="491">
        <f t="shared" si="17"/>
        <v>2.4768518999999998E-3</v>
      </c>
      <c r="T536" s="492">
        <f>IFERROR(VLOOKUP(F536,'Freq-Chan'!C:D,2,FALSE),"x")</f>
        <v>151.755</v>
      </c>
      <c r="U536" s="110" t="s">
        <v>541</v>
      </c>
      <c r="V536" s="110" t="str">
        <f t="shared" si="18"/>
        <v>FWL</v>
      </c>
      <c r="W536" s="110" t="s">
        <v>541</v>
      </c>
      <c r="X536" s="110" t="s">
        <v>541</v>
      </c>
      <c r="Y536" s="110" t="str">
        <f>IFERROR(VLOOKUP(F536,'Freq-Chan'!C:E,3,FALSE),"na")</f>
        <v>F1845</v>
      </c>
      <c r="Z536" s="110" t="s">
        <v>541</v>
      </c>
      <c r="AA536" s="110" t="s">
        <v>541</v>
      </c>
      <c r="AB536" s="110" t="s">
        <v>541</v>
      </c>
      <c r="AC536" s="10" t="s">
        <v>541</v>
      </c>
      <c r="AD536" s="10" t="s">
        <v>541</v>
      </c>
    </row>
    <row r="537" spans="1:30" x14ac:dyDescent="0.2">
      <c r="A537" s="110">
        <v>536</v>
      </c>
      <c r="B537" s="132">
        <v>41824</v>
      </c>
      <c r="C537" s="117">
        <v>3</v>
      </c>
      <c r="D537" s="103" t="s">
        <v>177</v>
      </c>
      <c r="E537" s="103" t="s">
        <v>0</v>
      </c>
      <c r="H537" s="103"/>
      <c r="I537" s="103">
        <v>33</v>
      </c>
      <c r="K537" s="103" t="s">
        <v>364</v>
      </c>
      <c r="L537" s="133"/>
      <c r="M537" s="134">
        <v>2.0833333333333332E-2</v>
      </c>
      <c r="N537" s="135" t="s">
        <v>1654</v>
      </c>
      <c r="O537" s="133" t="s">
        <v>950</v>
      </c>
      <c r="P537" s="100" t="s">
        <v>776</v>
      </c>
      <c r="Q537" s="100" t="s">
        <v>1904</v>
      </c>
      <c r="R537" s="226" t="s">
        <v>1873</v>
      </c>
      <c r="S537" s="491" t="str">
        <f t="shared" si="17"/>
        <v>x</v>
      </c>
      <c r="T537" s="492" t="str">
        <f>IFERROR(VLOOKUP(F537,'Freq-Chan'!C:D,2,FALSE),"x")</f>
        <v>x</v>
      </c>
      <c r="U537" s="110" t="s">
        <v>541</v>
      </c>
      <c r="V537" s="110" t="str">
        <f t="shared" si="18"/>
        <v>FWL</v>
      </c>
      <c r="W537" s="110" t="s">
        <v>541</v>
      </c>
      <c r="X537" s="110" t="s">
        <v>541</v>
      </c>
      <c r="Y537" s="110" t="str">
        <f>IFERROR(VLOOKUP(F537,'Freq-Chan'!C:E,3,FALSE),"na")</f>
        <v>na</v>
      </c>
      <c r="Z537" s="110" t="s">
        <v>541</v>
      </c>
      <c r="AA537" s="110" t="s">
        <v>541</v>
      </c>
      <c r="AB537" s="110" t="s">
        <v>541</v>
      </c>
      <c r="AC537" s="10" t="s">
        <v>541</v>
      </c>
      <c r="AD537" s="10" t="s">
        <v>541</v>
      </c>
    </row>
    <row r="538" spans="1:30" x14ac:dyDescent="0.2">
      <c r="A538" s="110">
        <v>537</v>
      </c>
      <c r="B538" s="132">
        <v>41824</v>
      </c>
      <c r="C538" s="117">
        <v>3</v>
      </c>
      <c r="D538" s="103" t="s">
        <v>2</v>
      </c>
      <c r="E538" s="103" t="s">
        <v>306</v>
      </c>
      <c r="F538" s="103">
        <v>784</v>
      </c>
      <c r="G538" s="103">
        <v>62</v>
      </c>
      <c r="H538" s="137" t="s">
        <v>1280</v>
      </c>
      <c r="I538" s="103">
        <v>80</v>
      </c>
      <c r="K538" s="103" t="s">
        <v>1032</v>
      </c>
      <c r="L538" s="133">
        <v>0.56874999999999998</v>
      </c>
      <c r="M538" s="134">
        <v>5.486111111111111E-2</v>
      </c>
      <c r="N538" s="135" t="s">
        <v>1770</v>
      </c>
      <c r="O538" s="133" t="s">
        <v>950</v>
      </c>
      <c r="P538" s="100" t="s">
        <v>1910</v>
      </c>
      <c r="Q538" s="100" t="s">
        <v>1904</v>
      </c>
      <c r="R538" s="226" t="s">
        <v>1873</v>
      </c>
      <c r="S538" s="491">
        <f t="shared" si="17"/>
        <v>2.5578704E-3</v>
      </c>
      <c r="T538" s="492">
        <f>IFERROR(VLOOKUP(F538,'Freq-Chan'!C:D,2,FALSE),"x")</f>
        <v>151.78399999999999</v>
      </c>
      <c r="U538" s="110" t="s">
        <v>541</v>
      </c>
      <c r="V538" s="110" t="str">
        <f t="shared" si="18"/>
        <v>FWL</v>
      </c>
      <c r="W538" s="110" t="s">
        <v>541</v>
      </c>
      <c r="X538" s="110" t="s">
        <v>541</v>
      </c>
      <c r="Y538" s="110" t="str">
        <f>IFERROR(VLOOKUP(F538,'Freq-Chan'!C:E,3,FALSE),"na")</f>
        <v>F1845</v>
      </c>
      <c r="Z538" s="110" t="s">
        <v>541</v>
      </c>
      <c r="AA538" s="110" t="s">
        <v>541</v>
      </c>
      <c r="AB538" s="110" t="s">
        <v>541</v>
      </c>
      <c r="AC538" s="10" t="s">
        <v>541</v>
      </c>
      <c r="AD538" s="10" t="s">
        <v>541</v>
      </c>
    </row>
    <row r="539" spans="1:30" x14ac:dyDescent="0.2">
      <c r="A539" s="110">
        <v>538</v>
      </c>
      <c r="B539" s="132">
        <v>41824</v>
      </c>
      <c r="C539" s="117">
        <v>3</v>
      </c>
      <c r="D539" s="103" t="s">
        <v>177</v>
      </c>
      <c r="E539" s="103" t="s">
        <v>0</v>
      </c>
      <c r="H539" s="103"/>
      <c r="I539" s="103">
        <v>32</v>
      </c>
      <c r="K539" s="103" t="s">
        <v>364</v>
      </c>
      <c r="L539" s="133"/>
      <c r="M539" s="134">
        <v>2.0833333333333332E-2</v>
      </c>
      <c r="N539" s="135" t="s">
        <v>1911</v>
      </c>
      <c r="O539" s="133" t="s">
        <v>376</v>
      </c>
      <c r="P539" s="100" t="s">
        <v>776</v>
      </c>
      <c r="Q539" s="100" t="s">
        <v>1904</v>
      </c>
      <c r="R539" s="226" t="s">
        <v>1873</v>
      </c>
      <c r="S539" s="491" t="str">
        <f t="shared" si="17"/>
        <v>x</v>
      </c>
      <c r="T539" s="492" t="str">
        <f>IFERROR(VLOOKUP(F539,'Freq-Chan'!C:D,2,FALSE),"x")</f>
        <v>x</v>
      </c>
      <c r="U539" s="110" t="s">
        <v>541</v>
      </c>
      <c r="V539" s="110" t="str">
        <f t="shared" si="18"/>
        <v>FWL</v>
      </c>
      <c r="W539" s="110" t="s">
        <v>541</v>
      </c>
      <c r="X539" s="110" t="s">
        <v>541</v>
      </c>
      <c r="Y539" s="110" t="str">
        <f>IFERROR(VLOOKUP(F539,'Freq-Chan'!C:E,3,FALSE),"na")</f>
        <v>na</v>
      </c>
      <c r="Z539" s="110" t="s">
        <v>541</v>
      </c>
      <c r="AA539" s="110" t="s">
        <v>541</v>
      </c>
      <c r="AB539" s="110" t="s">
        <v>541</v>
      </c>
      <c r="AC539" s="10" t="s">
        <v>541</v>
      </c>
      <c r="AD539" s="10" t="s">
        <v>541</v>
      </c>
    </row>
    <row r="540" spans="1:30" x14ac:dyDescent="0.2">
      <c r="A540" s="110">
        <v>539</v>
      </c>
      <c r="B540" s="132">
        <v>41824</v>
      </c>
      <c r="C540" s="117">
        <v>3</v>
      </c>
      <c r="D540" s="103" t="s">
        <v>2</v>
      </c>
      <c r="E540" s="103" t="s">
        <v>306</v>
      </c>
      <c r="F540" s="103">
        <v>755</v>
      </c>
      <c r="G540" s="103">
        <v>81</v>
      </c>
      <c r="H540" s="137" t="s">
        <v>1281</v>
      </c>
      <c r="I540" s="103">
        <v>63</v>
      </c>
      <c r="K540" s="103" t="s">
        <v>364</v>
      </c>
      <c r="L540" s="133">
        <v>0.68611111111111101</v>
      </c>
      <c r="M540" s="134">
        <v>6.1111111111111116E-2</v>
      </c>
      <c r="N540" s="135" t="s">
        <v>1912</v>
      </c>
      <c r="O540" s="133" t="s">
        <v>1663</v>
      </c>
      <c r="Q540" s="100" t="s">
        <v>1872</v>
      </c>
      <c r="R540" s="226" t="s">
        <v>1873</v>
      </c>
      <c r="S540" s="491">
        <f t="shared" si="17"/>
        <v>3.8425925999999999E-3</v>
      </c>
      <c r="T540" s="492">
        <f>IFERROR(VLOOKUP(F540,'Freq-Chan'!C:D,2,FALSE),"x")</f>
        <v>151.755</v>
      </c>
      <c r="U540" s="110" t="s">
        <v>541</v>
      </c>
      <c r="V540" s="110" t="str">
        <f t="shared" si="18"/>
        <v>FWL</v>
      </c>
      <c r="W540" s="110" t="s">
        <v>541</v>
      </c>
      <c r="X540" s="110" t="s">
        <v>541</v>
      </c>
      <c r="Y540" s="110" t="str">
        <f>IFERROR(VLOOKUP(F540,'Freq-Chan'!C:E,3,FALSE),"na")</f>
        <v>F1845</v>
      </c>
      <c r="Z540" s="110" t="s">
        <v>541</v>
      </c>
      <c r="AA540" s="110" t="s">
        <v>541</v>
      </c>
      <c r="AB540" s="110" t="s">
        <v>541</v>
      </c>
      <c r="AC540" s="10" t="s">
        <v>541</v>
      </c>
      <c r="AD540" s="10" t="s">
        <v>541</v>
      </c>
    </row>
    <row r="541" spans="1:30" x14ac:dyDescent="0.2">
      <c r="A541" s="110">
        <v>540</v>
      </c>
      <c r="B541" s="132">
        <v>41824</v>
      </c>
      <c r="C541" s="117">
        <v>3</v>
      </c>
      <c r="D541" s="103" t="s">
        <v>2</v>
      </c>
      <c r="E541" s="103" t="s">
        <v>306</v>
      </c>
      <c r="F541" s="103">
        <v>755</v>
      </c>
      <c r="G541" s="103">
        <v>28</v>
      </c>
      <c r="H541" s="137" t="s">
        <v>1290</v>
      </c>
      <c r="I541" s="103">
        <v>79</v>
      </c>
      <c r="K541" s="103" t="s">
        <v>364</v>
      </c>
      <c r="L541" s="136">
        <v>0.75</v>
      </c>
      <c r="M541" s="134">
        <v>7.1527777777777787E-2</v>
      </c>
      <c r="N541" s="135" t="s">
        <v>1913</v>
      </c>
      <c r="O541" s="136" t="s">
        <v>1663</v>
      </c>
      <c r="Q541" s="100" t="s">
        <v>1872</v>
      </c>
      <c r="R541" s="226" t="s">
        <v>1873</v>
      </c>
      <c r="S541" s="491">
        <f t="shared" si="17"/>
        <v>2.9745370000000002E-3</v>
      </c>
      <c r="T541" s="492">
        <f>IFERROR(VLOOKUP(F541,'Freq-Chan'!C:D,2,FALSE),"x")</f>
        <v>151.755</v>
      </c>
      <c r="U541" s="110" t="s">
        <v>541</v>
      </c>
      <c r="V541" s="110" t="str">
        <f t="shared" si="18"/>
        <v>FWL</v>
      </c>
      <c r="W541" s="110" t="s">
        <v>541</v>
      </c>
      <c r="X541" s="110" t="s">
        <v>541</v>
      </c>
      <c r="Y541" s="110" t="str">
        <f>IFERROR(VLOOKUP(F541,'Freq-Chan'!C:E,3,FALSE),"na")</f>
        <v>F1845</v>
      </c>
      <c r="Z541" s="110" t="s">
        <v>541</v>
      </c>
      <c r="AA541" s="110" t="s">
        <v>541</v>
      </c>
      <c r="AB541" s="110" t="s">
        <v>541</v>
      </c>
      <c r="AC541" s="10" t="s">
        <v>541</v>
      </c>
      <c r="AD541" s="10" t="s">
        <v>541</v>
      </c>
    </row>
    <row r="542" spans="1:30" x14ac:dyDescent="0.2">
      <c r="A542" s="110">
        <v>541</v>
      </c>
      <c r="B542" s="132">
        <v>41824</v>
      </c>
      <c r="C542" s="117">
        <v>3</v>
      </c>
      <c r="D542" s="103" t="s">
        <v>2</v>
      </c>
      <c r="E542" s="103" t="s">
        <v>306</v>
      </c>
      <c r="F542" s="103">
        <v>755</v>
      </c>
      <c r="G542" s="139">
        <v>9</v>
      </c>
      <c r="H542" s="137" t="s">
        <v>1291</v>
      </c>
      <c r="I542" s="103">
        <v>52</v>
      </c>
      <c r="K542" s="103" t="s">
        <v>364</v>
      </c>
      <c r="L542" s="136"/>
      <c r="M542" s="134">
        <v>5.9027777777777783E-2</v>
      </c>
      <c r="N542" s="135" t="s">
        <v>1914</v>
      </c>
      <c r="O542" s="136" t="s">
        <v>1663</v>
      </c>
      <c r="Q542" s="100" t="s">
        <v>1872</v>
      </c>
      <c r="R542" s="226" t="s">
        <v>1873</v>
      </c>
      <c r="S542" s="491" t="str">
        <f t="shared" si="17"/>
        <v>x</v>
      </c>
      <c r="T542" s="492">
        <f>IFERROR(VLOOKUP(F542,'Freq-Chan'!C:D,2,FALSE),"x")</f>
        <v>151.755</v>
      </c>
      <c r="U542" s="110" t="s">
        <v>541</v>
      </c>
      <c r="V542" s="110" t="str">
        <f t="shared" si="18"/>
        <v>FWL</v>
      </c>
      <c r="W542" s="110" t="s">
        <v>541</v>
      </c>
      <c r="X542" s="110" t="s">
        <v>541</v>
      </c>
      <c r="Y542" s="110" t="str">
        <f>IFERROR(VLOOKUP(F542,'Freq-Chan'!C:E,3,FALSE),"na")</f>
        <v>F1845</v>
      </c>
      <c r="Z542" s="110" t="s">
        <v>541</v>
      </c>
      <c r="AA542" s="110" t="s">
        <v>541</v>
      </c>
      <c r="AB542" s="110" t="s">
        <v>541</v>
      </c>
      <c r="AC542" s="10" t="s">
        <v>541</v>
      </c>
      <c r="AD542" s="10" t="s">
        <v>541</v>
      </c>
    </row>
    <row r="543" spans="1:30" x14ac:dyDescent="0.2">
      <c r="A543" s="110">
        <v>542</v>
      </c>
      <c r="B543" s="132">
        <v>41824</v>
      </c>
      <c r="C543" s="117">
        <v>3</v>
      </c>
      <c r="D543" s="103" t="s">
        <v>88</v>
      </c>
      <c r="E543" s="103" t="s">
        <v>798</v>
      </c>
      <c r="H543" s="103"/>
      <c r="J543" s="103">
        <v>35</v>
      </c>
      <c r="K543" s="103" t="s">
        <v>364</v>
      </c>
      <c r="L543" s="136"/>
      <c r="M543" s="134">
        <v>3.125E-2</v>
      </c>
      <c r="N543" s="135" t="s">
        <v>1915</v>
      </c>
      <c r="O543" s="136" t="s">
        <v>1663</v>
      </c>
      <c r="Q543" s="100" t="s">
        <v>1872</v>
      </c>
      <c r="R543" s="226" t="s">
        <v>1873</v>
      </c>
      <c r="S543" s="491" t="str">
        <f t="shared" si="17"/>
        <v>x</v>
      </c>
      <c r="T543" s="492" t="str">
        <f>IFERROR(VLOOKUP(F543,'Freq-Chan'!C:D,2,FALSE),"x")</f>
        <v>x</v>
      </c>
      <c r="U543" s="110" t="s">
        <v>541</v>
      </c>
      <c r="V543" s="110" t="str">
        <f t="shared" si="18"/>
        <v>FWL</v>
      </c>
      <c r="W543" s="110" t="s">
        <v>541</v>
      </c>
      <c r="X543" s="110" t="s">
        <v>541</v>
      </c>
      <c r="Y543" s="110" t="str">
        <f>IFERROR(VLOOKUP(F543,'Freq-Chan'!C:E,3,FALSE),"na")</f>
        <v>na</v>
      </c>
      <c r="Z543" s="110" t="s">
        <v>541</v>
      </c>
      <c r="AA543" s="110" t="s">
        <v>541</v>
      </c>
      <c r="AB543" s="110" t="s">
        <v>541</v>
      </c>
      <c r="AC543" s="10" t="s">
        <v>541</v>
      </c>
      <c r="AD543" s="10" t="s">
        <v>541</v>
      </c>
    </row>
    <row r="544" spans="1:30" x14ac:dyDescent="0.2">
      <c r="A544" s="110">
        <v>543</v>
      </c>
      <c r="B544" s="132">
        <v>41824</v>
      </c>
      <c r="C544" s="117">
        <v>3</v>
      </c>
      <c r="D544" s="103" t="s">
        <v>2</v>
      </c>
      <c r="E544" s="103" t="s">
        <v>306</v>
      </c>
      <c r="H544" s="103"/>
      <c r="I544" s="103">
        <v>63</v>
      </c>
      <c r="K544" s="103" t="s">
        <v>364</v>
      </c>
      <c r="L544" s="133">
        <v>0.76736111111111116</v>
      </c>
      <c r="M544" s="134">
        <v>7.0833333333333331E-2</v>
      </c>
      <c r="N544" s="135" t="s">
        <v>1807</v>
      </c>
      <c r="O544" s="133" t="s">
        <v>1663</v>
      </c>
      <c r="P544" s="100" t="s">
        <v>1916</v>
      </c>
      <c r="Q544" s="100" t="s">
        <v>1872</v>
      </c>
      <c r="R544" s="226" t="s">
        <v>1873</v>
      </c>
      <c r="S544" s="491">
        <f t="shared" si="17"/>
        <v>5.7638888999999999E-3</v>
      </c>
      <c r="T544" s="492" t="str">
        <f>IFERROR(VLOOKUP(F544,'Freq-Chan'!C:D,2,FALSE),"x")</f>
        <v>x</v>
      </c>
      <c r="U544" s="110" t="s">
        <v>541</v>
      </c>
      <c r="V544" s="110" t="str">
        <f t="shared" si="18"/>
        <v>FWL</v>
      </c>
      <c r="W544" s="110" t="s">
        <v>541</v>
      </c>
      <c r="X544" s="110" t="s">
        <v>541</v>
      </c>
      <c r="Y544" s="110" t="str">
        <f>IFERROR(VLOOKUP(F544,'Freq-Chan'!C:E,3,FALSE),"na")</f>
        <v>na</v>
      </c>
      <c r="Z544" s="110" t="s">
        <v>541</v>
      </c>
      <c r="AA544" s="110" t="s">
        <v>541</v>
      </c>
      <c r="AB544" s="110" t="s">
        <v>541</v>
      </c>
      <c r="AC544" s="10" t="s">
        <v>541</v>
      </c>
      <c r="AD544" s="10" t="s">
        <v>541</v>
      </c>
    </row>
    <row r="545" spans="1:30" x14ac:dyDescent="0.2">
      <c r="A545" s="110">
        <v>544</v>
      </c>
      <c r="B545" s="132">
        <v>41824</v>
      </c>
      <c r="C545" s="117">
        <v>3</v>
      </c>
      <c r="D545" s="103" t="s">
        <v>88</v>
      </c>
      <c r="E545" s="103" t="s">
        <v>798</v>
      </c>
      <c r="H545" s="103"/>
      <c r="J545" s="103">
        <v>29</v>
      </c>
      <c r="K545" s="103" t="s">
        <v>364</v>
      </c>
      <c r="L545" s="133"/>
      <c r="M545" s="134">
        <v>2.1527777777777781E-2</v>
      </c>
      <c r="N545" s="135" t="s">
        <v>1803</v>
      </c>
      <c r="O545" s="133" t="s">
        <v>802</v>
      </c>
      <c r="Q545" s="100" t="s">
        <v>1872</v>
      </c>
      <c r="R545" s="226" t="s">
        <v>1873</v>
      </c>
      <c r="S545" s="491" t="str">
        <f t="shared" si="17"/>
        <v>x</v>
      </c>
      <c r="T545" s="492" t="str">
        <f>IFERROR(VLOOKUP(F545,'Freq-Chan'!C:D,2,FALSE),"x")</f>
        <v>x</v>
      </c>
      <c r="U545" s="110" t="s">
        <v>541</v>
      </c>
      <c r="V545" s="110" t="str">
        <f t="shared" si="18"/>
        <v>FWL</v>
      </c>
      <c r="W545" s="110" t="s">
        <v>541</v>
      </c>
      <c r="X545" s="110" t="s">
        <v>541</v>
      </c>
      <c r="Y545" s="110" t="str">
        <f>IFERROR(VLOOKUP(F545,'Freq-Chan'!C:E,3,FALSE),"na")</f>
        <v>na</v>
      </c>
      <c r="Z545" s="110" t="s">
        <v>541</v>
      </c>
      <c r="AA545" s="110" t="s">
        <v>541</v>
      </c>
      <c r="AB545" s="110" t="s">
        <v>541</v>
      </c>
      <c r="AC545" s="10" t="s">
        <v>541</v>
      </c>
      <c r="AD545" s="10" t="s">
        <v>541</v>
      </c>
    </row>
    <row r="546" spans="1:30" x14ac:dyDescent="0.2">
      <c r="A546" s="110">
        <v>545</v>
      </c>
      <c r="B546" s="132">
        <v>41824</v>
      </c>
      <c r="C546" s="117">
        <v>3</v>
      </c>
      <c r="D546" s="103" t="s">
        <v>2</v>
      </c>
      <c r="E546" s="103" t="s">
        <v>306</v>
      </c>
      <c r="F546" s="103">
        <v>755</v>
      </c>
      <c r="G546" s="103">
        <v>23</v>
      </c>
      <c r="H546" s="137" t="s">
        <v>1292</v>
      </c>
      <c r="I546" s="103">
        <v>78</v>
      </c>
      <c r="K546" s="103" t="s">
        <v>364</v>
      </c>
      <c r="L546" s="136">
        <v>0.81527777777777777</v>
      </c>
      <c r="M546" s="134">
        <v>4.9305555555555554E-2</v>
      </c>
      <c r="N546" s="135" t="s">
        <v>773</v>
      </c>
      <c r="O546" s="133" t="s">
        <v>376</v>
      </c>
      <c r="Q546" s="100" t="s">
        <v>1904</v>
      </c>
      <c r="R546" s="226" t="s">
        <v>1873</v>
      </c>
      <c r="S546" s="491">
        <f t="shared" si="17"/>
        <v>5.4282406999999998E-3</v>
      </c>
      <c r="T546" s="492">
        <f>IFERROR(VLOOKUP(F546,'Freq-Chan'!C:D,2,FALSE),"x")</f>
        <v>151.755</v>
      </c>
      <c r="U546" s="110" t="s">
        <v>541</v>
      </c>
      <c r="V546" s="110" t="str">
        <f t="shared" si="18"/>
        <v>FWL</v>
      </c>
      <c r="W546" s="110" t="s">
        <v>541</v>
      </c>
      <c r="X546" s="110" t="s">
        <v>541</v>
      </c>
      <c r="Y546" s="110" t="str">
        <f>IFERROR(VLOOKUP(F546,'Freq-Chan'!C:E,3,FALSE),"na")</f>
        <v>F1845</v>
      </c>
      <c r="Z546" s="110" t="s">
        <v>541</v>
      </c>
      <c r="AA546" s="110" t="s">
        <v>541</v>
      </c>
      <c r="AB546" s="110" t="s">
        <v>541</v>
      </c>
      <c r="AC546" s="10" t="s">
        <v>541</v>
      </c>
      <c r="AD546" s="10" t="s">
        <v>541</v>
      </c>
    </row>
    <row r="547" spans="1:30" x14ac:dyDescent="0.2">
      <c r="A547" s="110">
        <v>546</v>
      </c>
      <c r="B547" s="132">
        <v>41824</v>
      </c>
      <c r="C547" s="117">
        <v>3</v>
      </c>
      <c r="D547" s="103" t="s">
        <v>75</v>
      </c>
      <c r="E547" s="103" t="s">
        <v>798</v>
      </c>
      <c r="H547" s="103"/>
      <c r="J547" s="103">
        <v>31</v>
      </c>
      <c r="K547" s="103" t="s">
        <v>364</v>
      </c>
      <c r="L547" s="133"/>
      <c r="M547" s="134">
        <v>2.2222222222222223E-2</v>
      </c>
      <c r="N547" s="135" t="s">
        <v>1691</v>
      </c>
      <c r="O547" s="133" t="s">
        <v>376</v>
      </c>
      <c r="Q547" s="100" t="s">
        <v>1904</v>
      </c>
      <c r="R547" s="226" t="s">
        <v>1873</v>
      </c>
      <c r="S547" s="491" t="str">
        <f t="shared" si="17"/>
        <v>x</v>
      </c>
      <c r="T547" s="492" t="str">
        <f>IFERROR(VLOOKUP(F547,'Freq-Chan'!C:D,2,FALSE),"x")</f>
        <v>x</v>
      </c>
      <c r="U547" s="110" t="s">
        <v>541</v>
      </c>
      <c r="V547" s="110" t="str">
        <f t="shared" si="18"/>
        <v>FWL</v>
      </c>
      <c r="W547" s="110" t="s">
        <v>541</v>
      </c>
      <c r="X547" s="110" t="s">
        <v>541</v>
      </c>
      <c r="Y547" s="110" t="str">
        <f>IFERROR(VLOOKUP(F547,'Freq-Chan'!C:E,3,FALSE),"na")</f>
        <v>na</v>
      </c>
      <c r="Z547" s="110" t="s">
        <v>541</v>
      </c>
      <c r="AA547" s="110" t="s">
        <v>541</v>
      </c>
      <c r="AB547" s="110" t="s">
        <v>541</v>
      </c>
      <c r="AC547" s="10" t="s">
        <v>541</v>
      </c>
      <c r="AD547" s="10" t="s">
        <v>541</v>
      </c>
    </row>
    <row r="548" spans="1:30" x14ac:dyDescent="0.2">
      <c r="A548" s="110">
        <v>547</v>
      </c>
      <c r="B548" s="132">
        <v>41824</v>
      </c>
      <c r="C548" s="117">
        <v>3</v>
      </c>
      <c r="D548" s="103" t="s">
        <v>2</v>
      </c>
      <c r="E548" s="103" t="s">
        <v>306</v>
      </c>
      <c r="F548" s="103">
        <v>784</v>
      </c>
      <c r="G548" s="103">
        <v>30</v>
      </c>
      <c r="H548" s="137" t="s">
        <v>1293</v>
      </c>
      <c r="I548" s="103">
        <v>86</v>
      </c>
      <c r="K548" s="103" t="s">
        <v>364</v>
      </c>
      <c r="L548" s="133"/>
      <c r="M548" s="134">
        <v>6.7361111111111108E-2</v>
      </c>
      <c r="N548" s="135" t="s">
        <v>1917</v>
      </c>
      <c r="O548" s="133" t="s">
        <v>376</v>
      </c>
      <c r="Q548" s="100" t="s">
        <v>1904</v>
      </c>
      <c r="R548" s="226" t="s">
        <v>1873</v>
      </c>
      <c r="S548" s="491" t="str">
        <f t="shared" si="17"/>
        <v>x</v>
      </c>
      <c r="T548" s="492">
        <f>IFERROR(VLOOKUP(F548,'Freq-Chan'!C:D,2,FALSE),"x")</f>
        <v>151.78399999999999</v>
      </c>
      <c r="U548" s="110" t="s">
        <v>541</v>
      </c>
      <c r="V548" s="110" t="str">
        <f t="shared" si="18"/>
        <v>FWL</v>
      </c>
      <c r="W548" s="110" t="s">
        <v>541</v>
      </c>
      <c r="X548" s="110" t="s">
        <v>541</v>
      </c>
      <c r="Y548" s="110" t="str">
        <f>IFERROR(VLOOKUP(F548,'Freq-Chan'!C:E,3,FALSE),"na")</f>
        <v>F1845</v>
      </c>
      <c r="Z548" s="110" t="s">
        <v>541</v>
      </c>
      <c r="AA548" s="110" t="s">
        <v>541</v>
      </c>
      <c r="AB548" s="110" t="s">
        <v>541</v>
      </c>
      <c r="AC548" s="10" t="s">
        <v>541</v>
      </c>
      <c r="AD548" s="10" t="s">
        <v>541</v>
      </c>
    </row>
    <row r="549" spans="1:30" x14ac:dyDescent="0.2">
      <c r="A549" s="110">
        <v>548</v>
      </c>
      <c r="B549" s="132">
        <v>41824</v>
      </c>
      <c r="C549" s="117">
        <v>3</v>
      </c>
      <c r="D549" s="103" t="s">
        <v>2</v>
      </c>
      <c r="E549" s="103" t="s">
        <v>306</v>
      </c>
      <c r="F549" s="103">
        <v>784</v>
      </c>
      <c r="G549" s="103">
        <v>12</v>
      </c>
      <c r="H549" s="137" t="s">
        <v>1294</v>
      </c>
      <c r="I549" s="103">
        <v>64</v>
      </c>
      <c r="K549" s="103" t="s">
        <v>364</v>
      </c>
      <c r="L549" s="133"/>
      <c r="M549" s="134">
        <v>6.1111111111111116E-2</v>
      </c>
      <c r="N549" s="135" t="s">
        <v>1854</v>
      </c>
      <c r="O549" s="133" t="s">
        <v>1585</v>
      </c>
      <c r="Q549" s="100" t="s">
        <v>1904</v>
      </c>
      <c r="R549" s="226" t="s">
        <v>1873</v>
      </c>
      <c r="S549" s="491" t="str">
        <f t="shared" si="17"/>
        <v>x</v>
      </c>
      <c r="T549" s="492">
        <f>IFERROR(VLOOKUP(F549,'Freq-Chan'!C:D,2,FALSE),"x")</f>
        <v>151.78399999999999</v>
      </c>
      <c r="U549" s="110" t="s">
        <v>541</v>
      </c>
      <c r="V549" s="110" t="str">
        <f t="shared" si="18"/>
        <v>FWL</v>
      </c>
      <c r="W549" s="110" t="s">
        <v>541</v>
      </c>
      <c r="X549" s="110" t="s">
        <v>541</v>
      </c>
      <c r="Y549" s="110" t="str">
        <f>IFERROR(VLOOKUP(F549,'Freq-Chan'!C:E,3,FALSE),"na")</f>
        <v>F1845</v>
      </c>
      <c r="Z549" s="110" t="s">
        <v>541</v>
      </c>
      <c r="AA549" s="110" t="s">
        <v>541</v>
      </c>
      <c r="AB549" s="110" t="s">
        <v>541</v>
      </c>
      <c r="AC549" s="10" t="s">
        <v>541</v>
      </c>
      <c r="AD549" s="10" t="s">
        <v>541</v>
      </c>
    </row>
    <row r="550" spans="1:30" x14ac:dyDescent="0.2">
      <c r="A550" s="110">
        <v>549</v>
      </c>
      <c r="B550" s="132">
        <v>41824</v>
      </c>
      <c r="C550" s="117">
        <v>3</v>
      </c>
      <c r="D550" s="103" t="s">
        <v>2</v>
      </c>
      <c r="E550" s="103" t="s">
        <v>306</v>
      </c>
      <c r="F550" s="103">
        <v>784</v>
      </c>
      <c r="G550" s="103">
        <v>73</v>
      </c>
      <c r="H550" s="137" t="s">
        <v>1295</v>
      </c>
      <c r="I550" s="103">
        <v>83</v>
      </c>
      <c r="K550" s="103" t="s">
        <v>364</v>
      </c>
      <c r="L550" s="133"/>
      <c r="M550" s="134">
        <v>5.9027777777777783E-2</v>
      </c>
      <c r="N550" s="135" t="s">
        <v>1918</v>
      </c>
      <c r="O550" s="133" t="s">
        <v>376</v>
      </c>
      <c r="P550" s="100" t="s">
        <v>1919</v>
      </c>
      <c r="Q550" s="100" t="s">
        <v>1904</v>
      </c>
      <c r="R550" s="226" t="s">
        <v>1873</v>
      </c>
      <c r="S550" s="491" t="str">
        <f t="shared" si="17"/>
        <v>x</v>
      </c>
      <c r="T550" s="492">
        <f>IFERROR(VLOOKUP(F550,'Freq-Chan'!C:D,2,FALSE),"x")</f>
        <v>151.78399999999999</v>
      </c>
      <c r="U550" s="110" t="s">
        <v>541</v>
      </c>
      <c r="V550" s="110" t="str">
        <f t="shared" si="18"/>
        <v>FWL</v>
      </c>
      <c r="W550" s="110" t="s">
        <v>541</v>
      </c>
      <c r="X550" s="110" t="s">
        <v>541</v>
      </c>
      <c r="Y550" s="110" t="str">
        <f>IFERROR(VLOOKUP(F550,'Freq-Chan'!C:E,3,FALSE),"na")</f>
        <v>F1845</v>
      </c>
      <c r="Z550" s="110" t="s">
        <v>541</v>
      </c>
      <c r="AA550" s="110" t="s">
        <v>541</v>
      </c>
      <c r="AB550" s="110" t="s">
        <v>541</v>
      </c>
      <c r="AC550" s="10" t="s">
        <v>541</v>
      </c>
      <c r="AD550" s="10" t="s">
        <v>541</v>
      </c>
    </row>
    <row r="551" spans="1:30" x14ac:dyDescent="0.2">
      <c r="A551" s="110">
        <v>550</v>
      </c>
      <c r="B551" s="132">
        <v>41824</v>
      </c>
      <c r="C551" s="117">
        <v>3</v>
      </c>
      <c r="D551" s="103" t="s">
        <v>2</v>
      </c>
      <c r="E551" s="103" t="s">
        <v>306</v>
      </c>
      <c r="F551" s="103">
        <v>784</v>
      </c>
      <c r="G551" s="103">
        <v>15</v>
      </c>
      <c r="H551" s="137" t="s">
        <v>1302</v>
      </c>
      <c r="I551" s="103">
        <v>74</v>
      </c>
      <c r="K551" s="103" t="s">
        <v>364</v>
      </c>
      <c r="L551" s="133"/>
      <c r="M551" s="134">
        <v>7.4999999999999997E-2</v>
      </c>
      <c r="N551" s="135" t="s">
        <v>1920</v>
      </c>
      <c r="O551" s="133" t="s">
        <v>1585</v>
      </c>
      <c r="Q551" s="100" t="s">
        <v>1904</v>
      </c>
      <c r="R551" s="226" t="s">
        <v>1873</v>
      </c>
      <c r="S551" s="491" t="str">
        <f t="shared" si="17"/>
        <v>x</v>
      </c>
      <c r="T551" s="492">
        <f>IFERROR(VLOOKUP(F551,'Freq-Chan'!C:D,2,FALSE),"x")</f>
        <v>151.78399999999999</v>
      </c>
      <c r="U551" s="110" t="s">
        <v>541</v>
      </c>
      <c r="V551" s="110" t="str">
        <f t="shared" si="18"/>
        <v>FWL</v>
      </c>
      <c r="W551" s="110" t="s">
        <v>541</v>
      </c>
      <c r="X551" s="110" t="s">
        <v>541</v>
      </c>
      <c r="Y551" s="110" t="str">
        <f>IFERROR(VLOOKUP(F551,'Freq-Chan'!C:E,3,FALSE),"na")</f>
        <v>F1845</v>
      </c>
      <c r="Z551" s="110" t="s">
        <v>541</v>
      </c>
      <c r="AA551" s="110" t="s">
        <v>541</v>
      </c>
      <c r="AB551" s="110" t="s">
        <v>541</v>
      </c>
      <c r="AC551" s="10" t="s">
        <v>541</v>
      </c>
      <c r="AD551" s="10" t="s">
        <v>541</v>
      </c>
    </row>
    <row r="552" spans="1:30" x14ac:dyDescent="0.2">
      <c r="A552" s="110">
        <v>551</v>
      </c>
      <c r="B552" s="132">
        <v>41824</v>
      </c>
      <c r="C552" s="117">
        <v>3</v>
      </c>
      <c r="D552" s="103" t="s">
        <v>2</v>
      </c>
      <c r="E552" s="103" t="s">
        <v>306</v>
      </c>
      <c r="F552" s="103">
        <v>784</v>
      </c>
      <c r="G552" s="103">
        <v>67</v>
      </c>
      <c r="H552" s="137" t="s">
        <v>1303</v>
      </c>
      <c r="I552" s="103">
        <v>64</v>
      </c>
      <c r="K552" s="103" t="s">
        <v>364</v>
      </c>
      <c r="L552" s="133"/>
      <c r="M552" s="134">
        <v>5.6250000000000001E-2</v>
      </c>
      <c r="N552" s="135" t="s">
        <v>1921</v>
      </c>
      <c r="O552" s="133" t="s">
        <v>376</v>
      </c>
      <c r="Q552" s="100" t="s">
        <v>1904</v>
      </c>
      <c r="R552" s="226" t="s">
        <v>1873</v>
      </c>
      <c r="S552" s="491" t="str">
        <f t="shared" si="17"/>
        <v>x</v>
      </c>
      <c r="T552" s="492">
        <f>IFERROR(VLOOKUP(F552,'Freq-Chan'!C:D,2,FALSE),"x")</f>
        <v>151.78399999999999</v>
      </c>
      <c r="U552" s="110" t="s">
        <v>541</v>
      </c>
      <c r="V552" s="110" t="str">
        <f t="shared" si="18"/>
        <v>FWL</v>
      </c>
      <c r="W552" s="110" t="s">
        <v>541</v>
      </c>
      <c r="X552" s="110" t="s">
        <v>541</v>
      </c>
      <c r="Y552" s="110" t="str">
        <f>IFERROR(VLOOKUP(F552,'Freq-Chan'!C:E,3,FALSE),"na")</f>
        <v>F1845</v>
      </c>
      <c r="Z552" s="110" t="s">
        <v>541</v>
      </c>
      <c r="AA552" s="110" t="s">
        <v>541</v>
      </c>
      <c r="AB552" s="110" t="s">
        <v>541</v>
      </c>
      <c r="AC552" s="10" t="s">
        <v>541</v>
      </c>
      <c r="AD552" s="10" t="s">
        <v>541</v>
      </c>
    </row>
    <row r="553" spans="1:30" x14ac:dyDescent="0.2">
      <c r="A553" s="110">
        <v>552</v>
      </c>
      <c r="B553" s="132">
        <v>41824</v>
      </c>
      <c r="C553" s="117">
        <v>3</v>
      </c>
      <c r="D553" s="103" t="s">
        <v>2</v>
      </c>
      <c r="E553" s="103" t="s">
        <v>306</v>
      </c>
      <c r="F553" s="103">
        <v>755</v>
      </c>
      <c r="G553" s="103">
        <v>41</v>
      </c>
      <c r="H553" s="137" t="s">
        <v>1300</v>
      </c>
      <c r="I553" s="103">
        <v>65</v>
      </c>
      <c r="K553" s="103" t="s">
        <v>364</v>
      </c>
      <c r="L553" s="133"/>
      <c r="M553" s="134">
        <v>6.5277777777777782E-2</v>
      </c>
      <c r="N553" s="135" t="s">
        <v>1922</v>
      </c>
      <c r="O553" s="133" t="s">
        <v>376</v>
      </c>
      <c r="P553" s="100" t="s">
        <v>1923</v>
      </c>
      <c r="Q553" s="100" t="s">
        <v>1904</v>
      </c>
      <c r="R553" s="226" t="s">
        <v>1873</v>
      </c>
      <c r="S553" s="491" t="str">
        <f t="shared" si="17"/>
        <v>x</v>
      </c>
      <c r="T553" s="492">
        <f>IFERROR(VLOOKUP(F553,'Freq-Chan'!C:D,2,FALSE),"x")</f>
        <v>151.755</v>
      </c>
      <c r="U553" s="110" t="s">
        <v>541</v>
      </c>
      <c r="V553" s="110" t="str">
        <f t="shared" si="18"/>
        <v>FWL</v>
      </c>
      <c r="W553" s="110" t="s">
        <v>541</v>
      </c>
      <c r="X553" s="110" t="s">
        <v>541</v>
      </c>
      <c r="Y553" s="110" t="str">
        <f>IFERROR(VLOOKUP(F553,'Freq-Chan'!C:E,3,FALSE),"na")</f>
        <v>F1845</v>
      </c>
      <c r="Z553" s="110" t="s">
        <v>541</v>
      </c>
      <c r="AA553" s="110" t="s">
        <v>541</v>
      </c>
      <c r="AB553" s="110" t="s">
        <v>541</v>
      </c>
      <c r="AC553" s="10" t="s">
        <v>541</v>
      </c>
      <c r="AD553" s="10" t="s">
        <v>541</v>
      </c>
    </row>
    <row r="554" spans="1:30" x14ac:dyDescent="0.2">
      <c r="A554" s="110">
        <v>553</v>
      </c>
      <c r="B554" s="132">
        <v>41824</v>
      </c>
      <c r="C554" s="117">
        <v>3</v>
      </c>
      <c r="D554" s="103" t="s">
        <v>2</v>
      </c>
      <c r="E554" s="103" t="s">
        <v>306</v>
      </c>
      <c r="F554" s="103">
        <v>784</v>
      </c>
      <c r="G554" s="103">
        <v>27</v>
      </c>
      <c r="H554" s="137" t="s">
        <v>1301</v>
      </c>
      <c r="I554" s="103">
        <v>78</v>
      </c>
      <c r="K554" s="103" t="s">
        <v>364</v>
      </c>
      <c r="L554" s="133">
        <v>0.93541666666666667</v>
      </c>
      <c r="M554" s="134">
        <v>6.7361111111111108E-2</v>
      </c>
      <c r="N554" s="135" t="s">
        <v>1924</v>
      </c>
      <c r="O554" s="133" t="s">
        <v>1585</v>
      </c>
      <c r="Q554" s="100" t="s">
        <v>1904</v>
      </c>
      <c r="R554" s="226" t="s">
        <v>1873</v>
      </c>
      <c r="S554" s="491">
        <f t="shared" si="17"/>
        <v>3.7384259E-3</v>
      </c>
      <c r="T554" s="492">
        <f>IFERROR(VLOOKUP(F554,'Freq-Chan'!C:D,2,FALSE),"x")</f>
        <v>151.78399999999999</v>
      </c>
      <c r="U554" s="110" t="s">
        <v>541</v>
      </c>
      <c r="V554" s="110" t="str">
        <f t="shared" si="18"/>
        <v>FWL</v>
      </c>
      <c r="W554" s="110" t="s">
        <v>541</v>
      </c>
      <c r="X554" s="110" t="s">
        <v>541</v>
      </c>
      <c r="Y554" s="110" t="str">
        <f>IFERROR(VLOOKUP(F554,'Freq-Chan'!C:E,3,FALSE),"na")</f>
        <v>F1845</v>
      </c>
      <c r="Z554" s="110" t="s">
        <v>541</v>
      </c>
      <c r="AA554" s="110" t="s">
        <v>541</v>
      </c>
      <c r="AB554" s="110" t="s">
        <v>541</v>
      </c>
      <c r="AC554" s="10" t="s">
        <v>541</v>
      </c>
      <c r="AD554" s="10" t="s">
        <v>541</v>
      </c>
    </row>
    <row r="555" spans="1:30" x14ac:dyDescent="0.2">
      <c r="A555" s="110">
        <v>554</v>
      </c>
      <c r="B555" s="132">
        <v>41824</v>
      </c>
      <c r="C555" s="117">
        <v>3</v>
      </c>
      <c r="D555" s="103" t="s">
        <v>2</v>
      </c>
      <c r="E555" s="103" t="s">
        <v>306</v>
      </c>
      <c r="F555" s="103">
        <v>784</v>
      </c>
      <c r="G555" s="103">
        <v>72</v>
      </c>
      <c r="H555" s="137" t="s">
        <v>1304</v>
      </c>
      <c r="I555" s="103">
        <v>63</v>
      </c>
      <c r="K555" s="103" t="s">
        <v>364</v>
      </c>
      <c r="L555" s="133">
        <v>0.94027777777777777</v>
      </c>
      <c r="M555" s="134">
        <v>5.2083333333333336E-2</v>
      </c>
      <c r="N555" s="135" t="s">
        <v>1925</v>
      </c>
      <c r="O555" s="133" t="s">
        <v>376</v>
      </c>
      <c r="Q555" s="100" t="s">
        <v>1904</v>
      </c>
      <c r="R555" s="226" t="s">
        <v>1873</v>
      </c>
      <c r="S555" s="491">
        <f t="shared" si="17"/>
        <v>2.6041667E-3</v>
      </c>
      <c r="T555" s="492">
        <f>IFERROR(VLOOKUP(F555,'Freq-Chan'!C:D,2,FALSE),"x")</f>
        <v>151.78399999999999</v>
      </c>
      <c r="U555" s="110" t="s">
        <v>541</v>
      </c>
      <c r="V555" s="110" t="str">
        <f t="shared" si="18"/>
        <v>FWL</v>
      </c>
      <c r="W555" s="110" t="s">
        <v>541</v>
      </c>
      <c r="X555" s="110" t="s">
        <v>541</v>
      </c>
      <c r="Y555" s="110" t="str">
        <f>IFERROR(VLOOKUP(F555,'Freq-Chan'!C:E,3,FALSE),"na")</f>
        <v>F1845</v>
      </c>
      <c r="Z555" s="110" t="s">
        <v>541</v>
      </c>
      <c r="AA555" s="110" t="s">
        <v>541</v>
      </c>
      <c r="AB555" s="110" t="s">
        <v>541</v>
      </c>
      <c r="AC555" s="10" t="s">
        <v>541</v>
      </c>
      <c r="AD555" s="10" t="s">
        <v>541</v>
      </c>
    </row>
    <row r="556" spans="1:30" x14ac:dyDescent="0.2">
      <c r="A556" s="110">
        <v>555</v>
      </c>
      <c r="B556" s="132">
        <v>41824</v>
      </c>
      <c r="C556" s="117">
        <v>3</v>
      </c>
      <c r="D556" s="103" t="s">
        <v>88</v>
      </c>
      <c r="E556" s="103" t="s">
        <v>798</v>
      </c>
      <c r="H556" s="103"/>
      <c r="J556" s="103">
        <v>24</v>
      </c>
      <c r="K556" s="103" t="s">
        <v>364</v>
      </c>
      <c r="L556" s="133"/>
      <c r="M556" s="134">
        <v>1.6666666666666666E-2</v>
      </c>
      <c r="N556" s="135" t="s">
        <v>1926</v>
      </c>
      <c r="O556" s="133" t="s">
        <v>376</v>
      </c>
      <c r="Q556" s="100" t="s">
        <v>1904</v>
      </c>
      <c r="R556" s="226" t="s">
        <v>1873</v>
      </c>
      <c r="S556" s="491" t="str">
        <f t="shared" si="17"/>
        <v>x</v>
      </c>
      <c r="T556" s="492" t="str">
        <f>IFERROR(VLOOKUP(F556,'Freq-Chan'!C:D,2,FALSE),"x")</f>
        <v>x</v>
      </c>
      <c r="U556" s="110" t="s">
        <v>541</v>
      </c>
      <c r="V556" s="110" t="str">
        <f t="shared" si="18"/>
        <v>FWL</v>
      </c>
      <c r="W556" s="110" t="s">
        <v>541</v>
      </c>
      <c r="X556" s="110" t="s">
        <v>541</v>
      </c>
      <c r="Y556" s="110" t="str">
        <f>IFERROR(VLOOKUP(F556,'Freq-Chan'!C:E,3,FALSE),"na")</f>
        <v>na</v>
      </c>
      <c r="Z556" s="110" t="s">
        <v>541</v>
      </c>
      <c r="AA556" s="110" t="s">
        <v>541</v>
      </c>
      <c r="AB556" s="110" t="s">
        <v>541</v>
      </c>
      <c r="AC556" s="10" t="s">
        <v>541</v>
      </c>
      <c r="AD556" s="10" t="s">
        <v>541</v>
      </c>
    </row>
    <row r="557" spans="1:30" s="291" customFormat="1" x14ac:dyDescent="0.2">
      <c r="A557" s="493">
        <v>556</v>
      </c>
      <c r="B557" s="283">
        <v>41824</v>
      </c>
      <c r="C557" s="284">
        <v>3</v>
      </c>
      <c r="D557" s="285" t="s">
        <v>2</v>
      </c>
      <c r="E557" s="285" t="s">
        <v>306</v>
      </c>
      <c r="F557" s="285">
        <v>755</v>
      </c>
      <c r="G557" s="285">
        <v>39</v>
      </c>
      <c r="H557" s="339" t="s">
        <v>1305</v>
      </c>
      <c r="I557" s="285">
        <v>83</v>
      </c>
      <c r="J557" s="285"/>
      <c r="K557" s="285" t="s">
        <v>364</v>
      </c>
      <c r="L557" s="286">
        <v>0.97361111111111109</v>
      </c>
      <c r="M557" s="287">
        <v>5.2083333333333336E-2</v>
      </c>
      <c r="N557" s="288" t="s">
        <v>1927</v>
      </c>
      <c r="O557" s="286" t="s">
        <v>376</v>
      </c>
      <c r="P557" s="289"/>
      <c r="Q557" s="289" t="s">
        <v>1904</v>
      </c>
      <c r="R557" s="290" t="s">
        <v>1873</v>
      </c>
      <c r="S557" s="494">
        <f t="shared" si="17"/>
        <v>2.6041667E-3</v>
      </c>
      <c r="T557" s="495">
        <f>IFERROR(VLOOKUP(F557,'Freq-Chan'!C:D,2,FALSE),"x")</f>
        <v>151.755</v>
      </c>
      <c r="U557" s="493" t="s">
        <v>541</v>
      </c>
      <c r="V557" s="493" t="str">
        <f t="shared" si="18"/>
        <v>FWL</v>
      </c>
      <c r="W557" s="493" t="s">
        <v>541</v>
      </c>
      <c r="X557" s="493" t="s">
        <v>541</v>
      </c>
      <c r="Y557" s="493" t="str">
        <f>IFERROR(VLOOKUP(F557,'Freq-Chan'!C:E,3,FALSE),"na")</f>
        <v>F1845</v>
      </c>
      <c r="Z557" s="493" t="s">
        <v>541</v>
      </c>
      <c r="AA557" s="493" t="s">
        <v>541</v>
      </c>
      <c r="AB557" s="493" t="s">
        <v>541</v>
      </c>
      <c r="AC557" s="291" t="s">
        <v>541</v>
      </c>
      <c r="AD557" s="291" t="s">
        <v>541</v>
      </c>
    </row>
    <row r="558" spans="1:30" x14ac:dyDescent="0.2">
      <c r="A558" s="110">
        <v>557</v>
      </c>
      <c r="B558" s="132">
        <v>41825</v>
      </c>
      <c r="C558" s="117">
        <v>1</v>
      </c>
      <c r="D558" s="103" t="s">
        <v>2</v>
      </c>
      <c r="E558" s="103" t="s">
        <v>306</v>
      </c>
      <c r="F558" s="103">
        <v>784</v>
      </c>
      <c r="G558" s="103">
        <v>4</v>
      </c>
      <c r="H558" s="137" t="s">
        <v>1316</v>
      </c>
      <c r="I558" s="103">
        <v>67</v>
      </c>
      <c r="K558" s="103" t="s">
        <v>364</v>
      </c>
      <c r="L558" s="133"/>
      <c r="M558" s="134">
        <v>4.8611111111111112E-2</v>
      </c>
      <c r="N558" s="135" t="s">
        <v>1928</v>
      </c>
      <c r="O558" s="133" t="s">
        <v>803</v>
      </c>
      <c r="Q558" s="100" t="s">
        <v>1929</v>
      </c>
      <c r="R558" s="226" t="s">
        <v>1873</v>
      </c>
      <c r="S558" s="491" t="str">
        <f t="shared" si="17"/>
        <v>x</v>
      </c>
      <c r="T558" s="492">
        <f>IFERROR(VLOOKUP(F558,'Freq-Chan'!C:D,2,FALSE),"x")</f>
        <v>151.78399999999999</v>
      </c>
      <c r="U558" s="110" t="s">
        <v>541</v>
      </c>
      <c r="V558" s="110" t="str">
        <f t="shared" si="18"/>
        <v>FWL</v>
      </c>
      <c r="W558" s="110" t="s">
        <v>541</v>
      </c>
      <c r="X558" s="110" t="s">
        <v>541</v>
      </c>
      <c r="Y558" s="110" t="str">
        <f>IFERROR(VLOOKUP(F558,'Freq-Chan'!C:E,3,FALSE),"na")</f>
        <v>F1845</v>
      </c>
      <c r="Z558" s="110" t="s">
        <v>541</v>
      </c>
      <c r="AA558" s="110" t="s">
        <v>541</v>
      </c>
      <c r="AB558" s="110" t="s">
        <v>541</v>
      </c>
      <c r="AC558" s="10" t="s">
        <v>541</v>
      </c>
      <c r="AD558" s="10" t="s">
        <v>541</v>
      </c>
    </row>
    <row r="559" spans="1:30" x14ac:dyDescent="0.2">
      <c r="A559" s="110">
        <v>558</v>
      </c>
      <c r="B559" s="132">
        <v>41825</v>
      </c>
      <c r="C559" s="117">
        <v>1</v>
      </c>
      <c r="D559" s="103" t="s">
        <v>2</v>
      </c>
      <c r="E559" s="103" t="s">
        <v>306</v>
      </c>
      <c r="F559" s="103">
        <v>755</v>
      </c>
      <c r="G559" s="103">
        <v>33</v>
      </c>
      <c r="H559" s="137" t="s">
        <v>1317</v>
      </c>
      <c r="I559" s="103">
        <v>73</v>
      </c>
      <c r="K559" s="103" t="s">
        <v>364</v>
      </c>
      <c r="L559" s="133"/>
      <c r="M559" s="134">
        <v>0.13194444444444445</v>
      </c>
      <c r="N559" s="135" t="s">
        <v>1930</v>
      </c>
      <c r="O559" s="133" t="s">
        <v>1888</v>
      </c>
      <c r="P559" s="100" t="s">
        <v>1931</v>
      </c>
      <c r="Q559" s="100" t="s">
        <v>1929</v>
      </c>
      <c r="R559" s="226" t="s">
        <v>1873</v>
      </c>
      <c r="S559" s="491" t="str">
        <f t="shared" si="17"/>
        <v>x</v>
      </c>
      <c r="T559" s="492">
        <f>IFERROR(VLOOKUP(F559,'Freq-Chan'!C:D,2,FALSE),"x")</f>
        <v>151.755</v>
      </c>
      <c r="U559" s="110" t="s">
        <v>541</v>
      </c>
      <c r="V559" s="110" t="str">
        <f t="shared" si="18"/>
        <v>FWL</v>
      </c>
      <c r="W559" s="110" t="s">
        <v>541</v>
      </c>
      <c r="X559" s="110" t="s">
        <v>541</v>
      </c>
      <c r="Y559" s="110" t="str">
        <f>IFERROR(VLOOKUP(F559,'Freq-Chan'!C:E,3,FALSE),"na")</f>
        <v>F1845</v>
      </c>
      <c r="Z559" s="110" t="s">
        <v>541</v>
      </c>
      <c r="AA559" s="110" t="s">
        <v>541</v>
      </c>
      <c r="AB559" s="110" t="s">
        <v>541</v>
      </c>
      <c r="AC559" s="10" t="s">
        <v>541</v>
      </c>
      <c r="AD559" s="10" t="s">
        <v>541</v>
      </c>
    </row>
    <row r="560" spans="1:30" x14ac:dyDescent="0.2">
      <c r="A560" s="110">
        <v>559</v>
      </c>
      <c r="B560" s="132">
        <v>41825</v>
      </c>
      <c r="C560" s="117">
        <v>1</v>
      </c>
      <c r="D560" s="103" t="s">
        <v>177</v>
      </c>
      <c r="E560" s="103" t="s">
        <v>0</v>
      </c>
      <c r="H560" s="103"/>
      <c r="I560" s="103">
        <v>32</v>
      </c>
      <c r="K560" s="103" t="s">
        <v>364</v>
      </c>
      <c r="L560" s="133"/>
      <c r="M560" s="134">
        <v>2.5694444444444447E-2</v>
      </c>
      <c r="N560" s="135" t="s">
        <v>1932</v>
      </c>
      <c r="O560" s="133" t="s">
        <v>1888</v>
      </c>
      <c r="P560" s="100" t="s">
        <v>776</v>
      </c>
      <c r="Q560" s="100" t="s">
        <v>1929</v>
      </c>
      <c r="R560" s="226" t="s">
        <v>1873</v>
      </c>
      <c r="S560" s="491" t="str">
        <f t="shared" si="17"/>
        <v>x</v>
      </c>
      <c r="T560" s="492" t="str">
        <f>IFERROR(VLOOKUP(F560,'Freq-Chan'!C:D,2,FALSE),"x")</f>
        <v>x</v>
      </c>
      <c r="U560" s="110" t="s">
        <v>541</v>
      </c>
      <c r="V560" s="110" t="str">
        <f t="shared" si="18"/>
        <v>FWL</v>
      </c>
      <c r="W560" s="110" t="s">
        <v>541</v>
      </c>
      <c r="X560" s="110" t="s">
        <v>541</v>
      </c>
      <c r="Y560" s="110" t="str">
        <f>IFERROR(VLOOKUP(F560,'Freq-Chan'!C:E,3,FALSE),"na")</f>
        <v>na</v>
      </c>
      <c r="Z560" s="110" t="s">
        <v>541</v>
      </c>
      <c r="AA560" s="110" t="s">
        <v>541</v>
      </c>
      <c r="AB560" s="110" t="s">
        <v>541</v>
      </c>
      <c r="AC560" s="10" t="s">
        <v>541</v>
      </c>
      <c r="AD560" s="10" t="s">
        <v>541</v>
      </c>
    </row>
    <row r="561" spans="1:30" x14ac:dyDescent="0.2">
      <c r="A561" s="110">
        <v>560</v>
      </c>
      <c r="B561" s="132">
        <v>41825</v>
      </c>
      <c r="C561" s="117">
        <v>1</v>
      </c>
      <c r="D561" s="103" t="s">
        <v>2</v>
      </c>
      <c r="E561" s="103" t="s">
        <v>306</v>
      </c>
      <c r="F561" s="103">
        <v>755</v>
      </c>
      <c r="G561" s="103">
        <v>26</v>
      </c>
      <c r="H561" s="137" t="s">
        <v>1318</v>
      </c>
      <c r="I561" s="103">
        <v>78</v>
      </c>
      <c r="K561" s="103" t="s">
        <v>1032</v>
      </c>
      <c r="L561" s="133">
        <v>0.27569444444444446</v>
      </c>
      <c r="M561" s="134">
        <v>5.8333333333333327E-2</v>
      </c>
      <c r="N561" s="135" t="s">
        <v>1933</v>
      </c>
      <c r="O561" s="133" t="s">
        <v>803</v>
      </c>
      <c r="Q561" s="100" t="s">
        <v>1929</v>
      </c>
      <c r="R561" s="226" t="s">
        <v>1873</v>
      </c>
      <c r="S561" s="491">
        <f t="shared" si="17"/>
        <v>5.9722222000000002E-3</v>
      </c>
      <c r="T561" s="492">
        <f>IFERROR(VLOOKUP(F561,'Freq-Chan'!C:D,2,FALSE),"x")</f>
        <v>151.755</v>
      </c>
      <c r="U561" s="110" t="s">
        <v>541</v>
      </c>
      <c r="V561" s="110" t="str">
        <f t="shared" si="18"/>
        <v>FWL</v>
      </c>
      <c r="W561" s="110" t="s">
        <v>541</v>
      </c>
      <c r="X561" s="110" t="s">
        <v>541</v>
      </c>
      <c r="Y561" s="110" t="str">
        <f>IFERROR(VLOOKUP(F561,'Freq-Chan'!C:E,3,FALSE),"na")</f>
        <v>F1845</v>
      </c>
      <c r="Z561" s="110" t="s">
        <v>541</v>
      </c>
      <c r="AA561" s="110" t="s">
        <v>541</v>
      </c>
      <c r="AB561" s="110" t="s">
        <v>541</v>
      </c>
      <c r="AC561" s="10" t="s">
        <v>541</v>
      </c>
      <c r="AD561" s="10" t="s">
        <v>541</v>
      </c>
    </row>
    <row r="562" spans="1:30" x14ac:dyDescent="0.2">
      <c r="A562" s="110">
        <v>561</v>
      </c>
      <c r="B562" s="132">
        <v>41825</v>
      </c>
      <c r="C562" s="117">
        <v>1</v>
      </c>
      <c r="D562" s="103" t="s">
        <v>177</v>
      </c>
      <c r="E562" s="103" t="s">
        <v>0</v>
      </c>
      <c r="H562" s="103"/>
      <c r="I562" s="103">
        <v>34</v>
      </c>
      <c r="K562" s="103" t="s">
        <v>364</v>
      </c>
      <c r="L562" s="133"/>
      <c r="M562" s="134">
        <v>2.9861111111111113E-2</v>
      </c>
      <c r="N562" s="135" t="s">
        <v>1934</v>
      </c>
      <c r="O562" s="133" t="s">
        <v>803</v>
      </c>
      <c r="P562" s="100" t="s">
        <v>776</v>
      </c>
      <c r="Q562" s="100" t="s">
        <v>1929</v>
      </c>
      <c r="R562" s="226" t="s">
        <v>1873</v>
      </c>
      <c r="S562" s="491" t="str">
        <f t="shared" si="17"/>
        <v>x</v>
      </c>
      <c r="T562" s="492" t="str">
        <f>IFERROR(VLOOKUP(F562,'Freq-Chan'!C:D,2,FALSE),"x")</f>
        <v>x</v>
      </c>
      <c r="U562" s="110" t="s">
        <v>541</v>
      </c>
      <c r="V562" s="110" t="str">
        <f t="shared" si="18"/>
        <v>FWL</v>
      </c>
      <c r="W562" s="110" t="s">
        <v>541</v>
      </c>
      <c r="X562" s="110" t="s">
        <v>541</v>
      </c>
      <c r="Y562" s="110" t="str">
        <f>IFERROR(VLOOKUP(F562,'Freq-Chan'!C:E,3,FALSE),"na")</f>
        <v>na</v>
      </c>
      <c r="Z562" s="110" t="s">
        <v>541</v>
      </c>
      <c r="AA562" s="110" t="s">
        <v>541</v>
      </c>
      <c r="AB562" s="110" t="s">
        <v>541</v>
      </c>
      <c r="AC562" s="10" t="s">
        <v>541</v>
      </c>
      <c r="AD562" s="10" t="s">
        <v>541</v>
      </c>
    </row>
    <row r="563" spans="1:30" x14ac:dyDescent="0.2">
      <c r="A563" s="110">
        <v>562</v>
      </c>
      <c r="B563" s="132">
        <v>41825</v>
      </c>
      <c r="C563" s="117">
        <v>1</v>
      </c>
      <c r="D563" s="103" t="s">
        <v>2</v>
      </c>
      <c r="E563" s="103" t="s">
        <v>306</v>
      </c>
      <c r="F563" s="103">
        <v>784</v>
      </c>
      <c r="G563" s="103">
        <v>22</v>
      </c>
      <c r="H563" s="137" t="s">
        <v>1324</v>
      </c>
      <c r="I563" s="103">
        <v>79</v>
      </c>
      <c r="K563" s="103" t="s">
        <v>364</v>
      </c>
      <c r="L563" s="133"/>
      <c r="M563" s="134">
        <v>7.2222222222222229E-2</v>
      </c>
      <c r="N563" s="135" t="s">
        <v>1935</v>
      </c>
      <c r="O563" s="133" t="s">
        <v>1875</v>
      </c>
      <c r="Q563" s="100" t="s">
        <v>1936</v>
      </c>
      <c r="R563" s="226" t="s">
        <v>1873</v>
      </c>
      <c r="S563" s="491" t="str">
        <f t="shared" si="17"/>
        <v>x</v>
      </c>
      <c r="T563" s="492">
        <f>IFERROR(VLOOKUP(F563,'Freq-Chan'!C:D,2,FALSE),"x")</f>
        <v>151.78399999999999</v>
      </c>
      <c r="U563" s="110" t="s">
        <v>541</v>
      </c>
      <c r="V563" s="110" t="str">
        <f t="shared" si="18"/>
        <v>FWL</v>
      </c>
      <c r="W563" s="110" t="s">
        <v>541</v>
      </c>
      <c r="X563" s="110" t="s">
        <v>541</v>
      </c>
      <c r="Y563" s="110" t="str">
        <f>IFERROR(VLOOKUP(F563,'Freq-Chan'!C:E,3,FALSE),"na")</f>
        <v>F1845</v>
      </c>
      <c r="Z563" s="110" t="s">
        <v>541</v>
      </c>
      <c r="AA563" s="110" t="s">
        <v>541</v>
      </c>
      <c r="AB563" s="110" t="s">
        <v>541</v>
      </c>
      <c r="AC563" s="10" t="s">
        <v>541</v>
      </c>
      <c r="AD563" s="10" t="s">
        <v>541</v>
      </c>
    </row>
    <row r="564" spans="1:30" x14ac:dyDescent="0.2">
      <c r="A564" s="110">
        <v>563</v>
      </c>
      <c r="B564" s="132">
        <v>41825</v>
      </c>
      <c r="C564" s="117">
        <v>1</v>
      </c>
      <c r="D564" s="103" t="s">
        <v>2</v>
      </c>
      <c r="E564" s="103" t="s">
        <v>306</v>
      </c>
      <c r="F564" s="103">
        <v>784</v>
      </c>
      <c r="G564" s="103">
        <v>43</v>
      </c>
      <c r="H564" s="137" t="s">
        <v>1325</v>
      </c>
      <c r="I564" s="103">
        <v>95</v>
      </c>
      <c r="K564" s="103" t="s">
        <v>364</v>
      </c>
      <c r="L564" s="133"/>
      <c r="M564" s="134">
        <v>6.805555555555555E-2</v>
      </c>
      <c r="N564" s="135" t="s">
        <v>1937</v>
      </c>
      <c r="O564" s="133" t="s">
        <v>1875</v>
      </c>
      <c r="Q564" s="100" t="s">
        <v>1936</v>
      </c>
      <c r="R564" s="226" t="s">
        <v>1873</v>
      </c>
      <c r="S564" s="491" t="str">
        <f t="shared" si="17"/>
        <v>x</v>
      </c>
      <c r="T564" s="492">
        <f>IFERROR(VLOOKUP(F564,'Freq-Chan'!C:D,2,FALSE),"x")</f>
        <v>151.78399999999999</v>
      </c>
      <c r="U564" s="110" t="s">
        <v>541</v>
      </c>
      <c r="V564" s="110" t="str">
        <f t="shared" si="18"/>
        <v>FWL</v>
      </c>
      <c r="W564" s="110" t="s">
        <v>541</v>
      </c>
      <c r="X564" s="110" t="s">
        <v>541</v>
      </c>
      <c r="Y564" s="110" t="str">
        <f>IFERROR(VLOOKUP(F564,'Freq-Chan'!C:E,3,FALSE),"na")</f>
        <v>F1845</v>
      </c>
      <c r="Z564" s="110" t="s">
        <v>541</v>
      </c>
      <c r="AA564" s="110" t="s">
        <v>541</v>
      </c>
      <c r="AB564" s="110" t="s">
        <v>541</v>
      </c>
      <c r="AC564" s="10" t="s">
        <v>541</v>
      </c>
      <c r="AD564" s="10" t="s">
        <v>541</v>
      </c>
    </row>
    <row r="565" spans="1:30" x14ac:dyDescent="0.2">
      <c r="A565" s="110">
        <v>564</v>
      </c>
      <c r="B565" s="132">
        <v>41825</v>
      </c>
      <c r="C565" s="117">
        <v>1</v>
      </c>
      <c r="D565" s="103" t="s">
        <v>2</v>
      </c>
      <c r="E565" s="103" t="s">
        <v>306</v>
      </c>
      <c r="F565" s="103">
        <v>784</v>
      </c>
      <c r="G565" s="103">
        <v>65</v>
      </c>
      <c r="H565" s="137" t="s">
        <v>1326</v>
      </c>
      <c r="I565" s="103">
        <v>85</v>
      </c>
      <c r="K565" s="103" t="s">
        <v>364</v>
      </c>
      <c r="L565" s="133"/>
      <c r="M565" s="134">
        <v>0.11180555555555556</v>
      </c>
      <c r="N565" s="135" t="s">
        <v>1800</v>
      </c>
      <c r="O565" s="133" t="s">
        <v>1875</v>
      </c>
      <c r="P565" s="100" t="s">
        <v>1938</v>
      </c>
      <c r="Q565" s="100" t="s">
        <v>1936</v>
      </c>
      <c r="R565" s="226" t="s">
        <v>1873</v>
      </c>
      <c r="S565" s="491" t="str">
        <f t="shared" si="17"/>
        <v>x</v>
      </c>
      <c r="T565" s="492">
        <f>IFERROR(VLOOKUP(F565,'Freq-Chan'!C:D,2,FALSE),"x")</f>
        <v>151.78399999999999</v>
      </c>
      <c r="U565" s="110" t="s">
        <v>541</v>
      </c>
      <c r="V565" s="110" t="str">
        <f t="shared" si="18"/>
        <v>FWL</v>
      </c>
      <c r="W565" s="110" t="s">
        <v>541</v>
      </c>
      <c r="X565" s="110" t="s">
        <v>541</v>
      </c>
      <c r="Y565" s="110" t="str">
        <f>IFERROR(VLOOKUP(F565,'Freq-Chan'!C:E,3,FALSE),"na")</f>
        <v>F1845</v>
      </c>
      <c r="Z565" s="110" t="s">
        <v>541</v>
      </c>
      <c r="AA565" s="110" t="s">
        <v>541</v>
      </c>
      <c r="AB565" s="110" t="s">
        <v>541</v>
      </c>
      <c r="AC565" s="10" t="s">
        <v>541</v>
      </c>
      <c r="AD565" s="10" t="s">
        <v>541</v>
      </c>
    </row>
    <row r="566" spans="1:30" x14ac:dyDescent="0.2">
      <c r="A566" s="110">
        <v>565</v>
      </c>
      <c r="B566" s="132">
        <v>41825</v>
      </c>
      <c r="C566" s="117">
        <v>1</v>
      </c>
      <c r="D566" s="103" t="s">
        <v>2</v>
      </c>
      <c r="E566" s="103" t="s">
        <v>306</v>
      </c>
      <c r="F566" s="103">
        <v>755</v>
      </c>
      <c r="G566" s="103">
        <v>45</v>
      </c>
      <c r="H566" s="137" t="s">
        <v>1329</v>
      </c>
      <c r="I566" s="103">
        <v>61</v>
      </c>
      <c r="K566" s="103" t="s">
        <v>364</v>
      </c>
      <c r="L566" s="133"/>
      <c r="M566" s="134">
        <v>7.013888888888889E-2</v>
      </c>
      <c r="N566" s="135" t="s">
        <v>1939</v>
      </c>
      <c r="O566" s="133" t="s">
        <v>1940</v>
      </c>
      <c r="P566" s="100" t="s">
        <v>1941</v>
      </c>
      <c r="Q566" s="100" t="s">
        <v>1936</v>
      </c>
      <c r="R566" s="226" t="s">
        <v>1873</v>
      </c>
      <c r="S566" s="491" t="str">
        <f t="shared" si="17"/>
        <v>x</v>
      </c>
      <c r="T566" s="492">
        <f>IFERROR(VLOOKUP(F566,'Freq-Chan'!C:D,2,FALSE),"x")</f>
        <v>151.755</v>
      </c>
      <c r="U566" s="110" t="s">
        <v>541</v>
      </c>
      <c r="V566" s="110" t="str">
        <f t="shared" si="18"/>
        <v>FWL</v>
      </c>
      <c r="W566" s="110" t="s">
        <v>541</v>
      </c>
      <c r="X566" s="110" t="s">
        <v>541</v>
      </c>
      <c r="Y566" s="110" t="str">
        <f>IFERROR(VLOOKUP(F566,'Freq-Chan'!C:E,3,FALSE),"na")</f>
        <v>F1845</v>
      </c>
      <c r="Z566" s="110" t="s">
        <v>541</v>
      </c>
      <c r="AA566" s="110" t="s">
        <v>541</v>
      </c>
      <c r="AB566" s="110" t="s">
        <v>541</v>
      </c>
      <c r="AC566" s="10" t="s">
        <v>541</v>
      </c>
      <c r="AD566" s="10" t="s">
        <v>541</v>
      </c>
    </row>
    <row r="567" spans="1:30" x14ac:dyDescent="0.2">
      <c r="A567" s="110">
        <v>566</v>
      </c>
      <c r="B567" s="132">
        <v>41825</v>
      </c>
      <c r="C567" s="117">
        <v>1</v>
      </c>
      <c r="D567" s="103" t="s">
        <v>2</v>
      </c>
      <c r="E567" s="103" t="s">
        <v>306</v>
      </c>
      <c r="F567" s="103">
        <v>755</v>
      </c>
      <c r="G567" s="103">
        <v>68</v>
      </c>
      <c r="H567" s="137" t="s">
        <v>1332</v>
      </c>
      <c r="I567" s="103">
        <v>67</v>
      </c>
      <c r="K567" s="103" t="s">
        <v>364</v>
      </c>
      <c r="L567" s="133">
        <v>0.68263888888888891</v>
      </c>
      <c r="M567" s="134">
        <v>5.2777777777777778E-2</v>
      </c>
      <c r="N567" s="135" t="s">
        <v>1667</v>
      </c>
      <c r="O567" s="133" t="s">
        <v>1888</v>
      </c>
      <c r="P567" s="100" t="s">
        <v>1942</v>
      </c>
      <c r="Q567" s="100" t="s">
        <v>1929</v>
      </c>
      <c r="R567" s="226" t="s">
        <v>1873</v>
      </c>
      <c r="S567" s="491">
        <f t="shared" si="17"/>
        <v>3.9814815E-3</v>
      </c>
      <c r="T567" s="492">
        <f>IFERROR(VLOOKUP(F567,'Freq-Chan'!C:D,2,FALSE),"x")</f>
        <v>151.755</v>
      </c>
      <c r="U567" s="110" t="s">
        <v>541</v>
      </c>
      <c r="V567" s="110" t="str">
        <f t="shared" si="18"/>
        <v>FWL</v>
      </c>
      <c r="W567" s="110" t="s">
        <v>541</v>
      </c>
      <c r="X567" s="110" t="s">
        <v>541</v>
      </c>
      <c r="Y567" s="110" t="str">
        <f>IFERROR(VLOOKUP(F567,'Freq-Chan'!C:E,3,FALSE),"na")</f>
        <v>F1845</v>
      </c>
      <c r="Z567" s="110" t="s">
        <v>541</v>
      </c>
      <c r="AA567" s="110" t="s">
        <v>541</v>
      </c>
      <c r="AB567" s="110" t="s">
        <v>541</v>
      </c>
      <c r="AC567" s="10" t="s">
        <v>541</v>
      </c>
      <c r="AD567" s="10" t="s">
        <v>541</v>
      </c>
    </row>
    <row r="568" spans="1:30" x14ac:dyDescent="0.2">
      <c r="A568" s="110">
        <v>567</v>
      </c>
      <c r="B568" s="132">
        <v>41825</v>
      </c>
      <c r="C568" s="117">
        <v>1</v>
      </c>
      <c r="D568" s="103" t="s">
        <v>2</v>
      </c>
      <c r="E568" s="103" t="s">
        <v>306</v>
      </c>
      <c r="H568" s="103"/>
      <c r="I568" s="103">
        <v>64</v>
      </c>
      <c r="K568" s="103" t="s">
        <v>364</v>
      </c>
      <c r="L568" s="133">
        <v>0.71250000000000002</v>
      </c>
      <c r="M568" s="134">
        <v>1.7361111111111112E-2</v>
      </c>
      <c r="N568" s="135" t="s">
        <v>1943</v>
      </c>
      <c r="O568" s="133" t="s">
        <v>803</v>
      </c>
      <c r="P568" s="100" t="s">
        <v>1944</v>
      </c>
      <c r="Q568" s="100" t="s">
        <v>1929</v>
      </c>
      <c r="R568" s="226" t="s">
        <v>1873</v>
      </c>
      <c r="S568" s="491">
        <f t="shared" si="17"/>
        <v>3.1828704000000001E-3</v>
      </c>
      <c r="T568" s="492" t="str">
        <f>IFERROR(VLOOKUP(F568,'Freq-Chan'!C:D,2,FALSE),"x")</f>
        <v>x</v>
      </c>
      <c r="U568" s="110" t="s">
        <v>541</v>
      </c>
      <c r="V568" s="110" t="str">
        <f t="shared" si="18"/>
        <v>FWL</v>
      </c>
      <c r="W568" s="110" t="s">
        <v>541</v>
      </c>
      <c r="X568" s="110" t="s">
        <v>541</v>
      </c>
      <c r="Y568" s="110" t="str">
        <f>IFERROR(VLOOKUP(F568,'Freq-Chan'!C:E,3,FALSE),"na")</f>
        <v>na</v>
      </c>
      <c r="Z568" s="110" t="s">
        <v>541</v>
      </c>
      <c r="AA568" s="110" t="s">
        <v>541</v>
      </c>
      <c r="AB568" s="110" t="s">
        <v>541</v>
      </c>
      <c r="AC568" s="10" t="s">
        <v>541</v>
      </c>
      <c r="AD568" s="10" t="s">
        <v>541</v>
      </c>
    </row>
    <row r="569" spans="1:30" x14ac:dyDescent="0.2">
      <c r="A569" s="110">
        <v>568</v>
      </c>
      <c r="B569" s="132">
        <v>41825</v>
      </c>
      <c r="C569" s="117">
        <v>1</v>
      </c>
      <c r="D569" s="103" t="s">
        <v>71</v>
      </c>
      <c r="E569" s="103" t="s">
        <v>306</v>
      </c>
      <c r="F569" s="103">
        <v>564</v>
      </c>
      <c r="G569" s="103">
        <v>92</v>
      </c>
      <c r="H569" s="137" t="s">
        <v>1945</v>
      </c>
      <c r="I569" s="103">
        <v>57</v>
      </c>
      <c r="K569" s="103" t="s">
        <v>364</v>
      </c>
      <c r="L569" s="133">
        <v>0.74652777777777779</v>
      </c>
      <c r="M569" s="134">
        <v>5.2777777777777778E-2</v>
      </c>
      <c r="N569" s="135" t="s">
        <v>1946</v>
      </c>
      <c r="O569" s="133" t="s">
        <v>803</v>
      </c>
      <c r="P569" s="100" t="s">
        <v>1947</v>
      </c>
      <c r="Q569" s="100" t="s">
        <v>1929</v>
      </c>
      <c r="R569" s="226" t="s">
        <v>1873</v>
      </c>
      <c r="S569" s="491">
        <f t="shared" si="17"/>
        <v>1.2314814800000001E-2</v>
      </c>
      <c r="T569" s="492">
        <f>IFERROR(VLOOKUP(F569,'Freq-Chan'!C:D,2,FALSE),"x")</f>
        <v>151.56399999999999</v>
      </c>
      <c r="U569" s="110" t="s">
        <v>541</v>
      </c>
      <c r="V569" s="110" t="str">
        <f t="shared" si="18"/>
        <v>FWL</v>
      </c>
      <c r="W569" s="110" t="s">
        <v>541</v>
      </c>
      <c r="X569" s="110" t="s">
        <v>541</v>
      </c>
      <c r="Y569" s="110" t="str">
        <f>IFERROR(VLOOKUP(F569,'Freq-Chan'!C:E,3,FALSE),"na")</f>
        <v>F1840</v>
      </c>
      <c r="Z569" s="110" t="s">
        <v>541</v>
      </c>
      <c r="AA569" s="110" t="s">
        <v>541</v>
      </c>
      <c r="AB569" s="110" t="s">
        <v>541</v>
      </c>
      <c r="AC569" s="10" t="s">
        <v>541</v>
      </c>
      <c r="AD569" s="10" t="s">
        <v>541</v>
      </c>
    </row>
    <row r="570" spans="1:30" x14ac:dyDescent="0.2">
      <c r="A570" s="110">
        <v>569</v>
      </c>
      <c r="B570" s="132">
        <v>41825</v>
      </c>
      <c r="C570" s="117">
        <v>1</v>
      </c>
      <c r="D570" s="103" t="s">
        <v>2</v>
      </c>
      <c r="E570" s="103" t="s">
        <v>306</v>
      </c>
      <c r="F570" s="103">
        <v>755</v>
      </c>
      <c r="G570" s="103">
        <v>66</v>
      </c>
      <c r="H570" s="137" t="s">
        <v>1334</v>
      </c>
      <c r="I570" s="103">
        <v>58</v>
      </c>
      <c r="K570" s="103" t="s">
        <v>364</v>
      </c>
      <c r="L570" s="133"/>
      <c r="M570" s="134">
        <v>3.888888888888889E-2</v>
      </c>
      <c r="N570" s="135" t="s">
        <v>1948</v>
      </c>
      <c r="O570" s="133" t="s">
        <v>376</v>
      </c>
      <c r="Q570" s="100" t="s">
        <v>1949</v>
      </c>
      <c r="R570" s="226" t="s">
        <v>1873</v>
      </c>
      <c r="S570" s="491" t="str">
        <f t="shared" si="17"/>
        <v>x</v>
      </c>
      <c r="T570" s="492">
        <f>IFERROR(VLOOKUP(F570,'Freq-Chan'!C:D,2,FALSE),"x")</f>
        <v>151.755</v>
      </c>
      <c r="U570" s="110" t="s">
        <v>541</v>
      </c>
      <c r="V570" s="110" t="str">
        <f t="shared" si="18"/>
        <v>FWL</v>
      </c>
      <c r="W570" s="110" t="s">
        <v>541</v>
      </c>
      <c r="X570" s="110" t="s">
        <v>541</v>
      </c>
      <c r="Y570" s="110" t="str">
        <f>IFERROR(VLOOKUP(F570,'Freq-Chan'!C:E,3,FALSE),"na")</f>
        <v>F1845</v>
      </c>
      <c r="Z570" s="110" t="s">
        <v>541</v>
      </c>
      <c r="AA570" s="110" t="s">
        <v>541</v>
      </c>
      <c r="AB570" s="110" t="s">
        <v>541</v>
      </c>
      <c r="AC570" s="10" t="s">
        <v>541</v>
      </c>
      <c r="AD570" s="10" t="s">
        <v>541</v>
      </c>
    </row>
    <row r="571" spans="1:30" x14ac:dyDescent="0.2">
      <c r="A571" s="110">
        <v>570</v>
      </c>
      <c r="B571" s="132">
        <v>41825</v>
      </c>
      <c r="C571" s="117">
        <v>1</v>
      </c>
      <c r="D571" s="103" t="s">
        <v>177</v>
      </c>
      <c r="E571" s="103" t="s">
        <v>0</v>
      </c>
      <c r="F571" s="103">
        <v>917</v>
      </c>
      <c r="G571" s="103">
        <v>7</v>
      </c>
      <c r="I571" s="103">
        <v>45</v>
      </c>
      <c r="K571" s="103" t="s">
        <v>364</v>
      </c>
      <c r="L571" s="133"/>
      <c r="M571" s="134">
        <v>4.6527777777777779E-2</v>
      </c>
      <c r="N571" s="135" t="s">
        <v>1950</v>
      </c>
      <c r="O571" s="133" t="s">
        <v>376</v>
      </c>
      <c r="P571" s="100" t="s">
        <v>1951</v>
      </c>
      <c r="Q571" s="100" t="s">
        <v>1949</v>
      </c>
      <c r="R571" s="226" t="s">
        <v>1873</v>
      </c>
      <c r="S571" s="491" t="str">
        <f t="shared" si="17"/>
        <v>x</v>
      </c>
      <c r="T571" s="492">
        <f>IFERROR(VLOOKUP(F571,'Freq-Chan'!C:D,2,FALSE),"x")</f>
        <v>151.917</v>
      </c>
      <c r="U571" s="110" t="s">
        <v>541</v>
      </c>
      <c r="V571" s="110" t="str">
        <f t="shared" si="18"/>
        <v>FWL</v>
      </c>
      <c r="W571" s="110" t="s">
        <v>541</v>
      </c>
      <c r="X571" s="110" t="s">
        <v>541</v>
      </c>
      <c r="Y571" s="110" t="str">
        <f>IFERROR(VLOOKUP(F571,'Freq-Chan'!C:E,3,FALSE),"na")</f>
        <v>F1835</v>
      </c>
      <c r="Z571" s="110" t="s">
        <v>541</v>
      </c>
      <c r="AA571" s="110" t="s">
        <v>541</v>
      </c>
      <c r="AB571" s="110" t="s">
        <v>541</v>
      </c>
      <c r="AC571" s="10" t="s">
        <v>541</v>
      </c>
      <c r="AD571" s="10" t="s">
        <v>541</v>
      </c>
    </row>
    <row r="572" spans="1:30" x14ac:dyDescent="0.2">
      <c r="A572" s="110">
        <v>571</v>
      </c>
      <c r="B572" s="132">
        <v>41825</v>
      </c>
      <c r="C572" s="117">
        <v>1</v>
      </c>
      <c r="D572" s="103" t="s">
        <v>177</v>
      </c>
      <c r="E572" s="103" t="s">
        <v>0</v>
      </c>
      <c r="H572" s="103"/>
      <c r="I572" s="103">
        <v>35</v>
      </c>
      <c r="K572" s="103" t="s">
        <v>364</v>
      </c>
      <c r="L572" s="133"/>
      <c r="M572" s="134">
        <v>2.013888888888889E-2</v>
      </c>
      <c r="N572" s="135" t="s">
        <v>1834</v>
      </c>
      <c r="O572" s="133" t="s">
        <v>376</v>
      </c>
      <c r="P572" s="100" t="s">
        <v>776</v>
      </c>
      <c r="Q572" s="100" t="s">
        <v>1949</v>
      </c>
      <c r="R572" s="226" t="s">
        <v>1873</v>
      </c>
      <c r="S572" s="491" t="str">
        <f t="shared" si="17"/>
        <v>x</v>
      </c>
      <c r="T572" s="492" t="str">
        <f>IFERROR(VLOOKUP(F572,'Freq-Chan'!C:D,2,FALSE),"x")</f>
        <v>x</v>
      </c>
      <c r="U572" s="110" t="s">
        <v>541</v>
      </c>
      <c r="V572" s="110" t="str">
        <f t="shared" si="18"/>
        <v>FWL</v>
      </c>
      <c r="W572" s="110" t="s">
        <v>541</v>
      </c>
      <c r="X572" s="110" t="s">
        <v>541</v>
      </c>
      <c r="Y572" s="110" t="str">
        <f>IFERROR(VLOOKUP(F572,'Freq-Chan'!C:E,3,FALSE),"na")</f>
        <v>na</v>
      </c>
      <c r="Z572" s="110" t="s">
        <v>541</v>
      </c>
      <c r="AA572" s="110" t="s">
        <v>541</v>
      </c>
      <c r="AB572" s="110" t="s">
        <v>541</v>
      </c>
      <c r="AC572" s="10" t="s">
        <v>541</v>
      </c>
      <c r="AD572" s="10" t="s">
        <v>541</v>
      </c>
    </row>
    <row r="573" spans="1:30" x14ac:dyDescent="0.2">
      <c r="A573" s="110">
        <v>572</v>
      </c>
      <c r="B573" s="132">
        <v>41825</v>
      </c>
      <c r="C573" s="117">
        <v>1</v>
      </c>
      <c r="D573" s="103" t="s">
        <v>88</v>
      </c>
      <c r="E573" s="103" t="s">
        <v>798</v>
      </c>
      <c r="H573" s="103"/>
      <c r="J573" s="103">
        <v>24</v>
      </c>
      <c r="K573" s="103" t="s">
        <v>364</v>
      </c>
      <c r="L573" s="133"/>
      <c r="M573" s="134">
        <v>1.6666666666666666E-2</v>
      </c>
      <c r="N573" s="135" t="s">
        <v>1675</v>
      </c>
      <c r="O573" s="133" t="s">
        <v>376</v>
      </c>
      <c r="P573" s="100" t="s">
        <v>1952</v>
      </c>
      <c r="Q573" s="100" t="s">
        <v>1949</v>
      </c>
      <c r="R573" s="226" t="s">
        <v>1873</v>
      </c>
      <c r="S573" s="491" t="str">
        <f t="shared" si="17"/>
        <v>x</v>
      </c>
      <c r="T573" s="492" t="str">
        <f>IFERROR(VLOOKUP(F573,'Freq-Chan'!C:D,2,FALSE),"x")</f>
        <v>x</v>
      </c>
      <c r="U573" s="110" t="s">
        <v>541</v>
      </c>
      <c r="V573" s="110" t="str">
        <f t="shared" si="18"/>
        <v>FWL</v>
      </c>
      <c r="W573" s="110" t="s">
        <v>541</v>
      </c>
      <c r="X573" s="110" t="s">
        <v>541</v>
      </c>
      <c r="Y573" s="110" t="str">
        <f>IFERROR(VLOOKUP(F573,'Freq-Chan'!C:E,3,FALSE),"na")</f>
        <v>na</v>
      </c>
      <c r="Z573" s="110" t="s">
        <v>541</v>
      </c>
      <c r="AA573" s="110" t="s">
        <v>541</v>
      </c>
      <c r="AB573" s="110" t="s">
        <v>541</v>
      </c>
      <c r="AC573" s="10" t="s">
        <v>541</v>
      </c>
      <c r="AD573" s="10" t="s">
        <v>541</v>
      </c>
    </row>
    <row r="574" spans="1:30" x14ac:dyDescent="0.2">
      <c r="A574" s="110">
        <v>573</v>
      </c>
      <c r="B574" s="132">
        <v>41825</v>
      </c>
      <c r="C574" s="117">
        <v>1</v>
      </c>
      <c r="D574" s="103" t="s">
        <v>88</v>
      </c>
      <c r="E574" s="103" t="s">
        <v>798</v>
      </c>
      <c r="H574" s="103"/>
      <c r="J574" s="103">
        <v>20</v>
      </c>
      <c r="K574" s="103" t="s">
        <v>364</v>
      </c>
      <c r="L574" s="133"/>
      <c r="M574" s="134">
        <v>1.3888888888888888E-2</v>
      </c>
      <c r="N574" s="135" t="s">
        <v>1724</v>
      </c>
      <c r="O574" s="133" t="s">
        <v>376</v>
      </c>
      <c r="Q574" s="100" t="s">
        <v>1949</v>
      </c>
      <c r="R574" s="226" t="s">
        <v>1873</v>
      </c>
      <c r="S574" s="491" t="str">
        <f t="shared" si="17"/>
        <v>x</v>
      </c>
      <c r="T574" s="492" t="str">
        <f>IFERROR(VLOOKUP(F574,'Freq-Chan'!C:D,2,FALSE),"x")</f>
        <v>x</v>
      </c>
      <c r="U574" s="110" t="s">
        <v>541</v>
      </c>
      <c r="V574" s="110" t="str">
        <f t="shared" si="18"/>
        <v>FWL</v>
      </c>
      <c r="W574" s="110" t="s">
        <v>541</v>
      </c>
      <c r="X574" s="110" t="s">
        <v>541</v>
      </c>
      <c r="Y574" s="110" t="str">
        <f>IFERROR(VLOOKUP(F574,'Freq-Chan'!C:E,3,FALSE),"na")</f>
        <v>na</v>
      </c>
      <c r="Z574" s="110" t="s">
        <v>541</v>
      </c>
      <c r="AA574" s="110" t="s">
        <v>541</v>
      </c>
      <c r="AB574" s="110" t="s">
        <v>541</v>
      </c>
      <c r="AC574" s="10" t="s">
        <v>541</v>
      </c>
      <c r="AD574" s="10" t="s">
        <v>541</v>
      </c>
    </row>
    <row r="575" spans="1:30" x14ac:dyDescent="0.2">
      <c r="A575" s="110">
        <v>574</v>
      </c>
      <c r="B575" s="132">
        <v>41825</v>
      </c>
      <c r="C575" s="117">
        <v>1</v>
      </c>
      <c r="D575" s="103" t="s">
        <v>177</v>
      </c>
      <c r="E575" s="103" t="s">
        <v>0</v>
      </c>
      <c r="F575" s="103">
        <v>917</v>
      </c>
      <c r="G575" s="103">
        <v>17</v>
      </c>
      <c r="H575" s="137" t="s">
        <v>1341</v>
      </c>
      <c r="I575" s="103">
        <v>41</v>
      </c>
      <c r="K575" s="103" t="s">
        <v>364</v>
      </c>
      <c r="L575" s="133"/>
      <c r="M575" s="134">
        <v>6.3194444444444442E-2</v>
      </c>
      <c r="N575" s="135" t="s">
        <v>1953</v>
      </c>
      <c r="O575" s="133" t="s">
        <v>1585</v>
      </c>
      <c r="Q575" s="100" t="s">
        <v>1949</v>
      </c>
      <c r="R575" s="226" t="s">
        <v>1873</v>
      </c>
      <c r="S575" s="491" t="str">
        <f t="shared" si="17"/>
        <v>x</v>
      </c>
      <c r="T575" s="492">
        <f>IFERROR(VLOOKUP(F575,'Freq-Chan'!C:D,2,FALSE),"x")</f>
        <v>151.917</v>
      </c>
      <c r="U575" s="110" t="s">
        <v>541</v>
      </c>
      <c r="V575" s="110" t="str">
        <f t="shared" si="18"/>
        <v>FWL</v>
      </c>
      <c r="W575" s="110" t="s">
        <v>541</v>
      </c>
      <c r="X575" s="110" t="s">
        <v>541</v>
      </c>
      <c r="Y575" s="110" t="str">
        <f>IFERROR(VLOOKUP(F575,'Freq-Chan'!C:E,3,FALSE),"na")</f>
        <v>F1835</v>
      </c>
      <c r="Z575" s="110" t="s">
        <v>541</v>
      </c>
      <c r="AA575" s="110" t="s">
        <v>541</v>
      </c>
      <c r="AB575" s="110" t="s">
        <v>541</v>
      </c>
      <c r="AC575" s="10" t="s">
        <v>541</v>
      </c>
      <c r="AD575" s="10" t="s">
        <v>541</v>
      </c>
    </row>
    <row r="576" spans="1:30" x14ac:dyDescent="0.2">
      <c r="A576" s="110">
        <v>575</v>
      </c>
      <c r="B576" s="132">
        <v>41825</v>
      </c>
      <c r="C576" s="117">
        <v>1</v>
      </c>
      <c r="D576" s="103" t="s">
        <v>88</v>
      </c>
      <c r="E576" s="103" t="s">
        <v>798</v>
      </c>
      <c r="H576" s="103"/>
      <c r="J576" s="103">
        <v>20</v>
      </c>
      <c r="K576" s="103" t="s">
        <v>364</v>
      </c>
      <c r="L576" s="133"/>
      <c r="M576" s="134">
        <v>1.5972222222222224E-2</v>
      </c>
      <c r="N576" s="135" t="s">
        <v>384</v>
      </c>
      <c r="O576" s="133" t="s">
        <v>376</v>
      </c>
      <c r="Q576" s="100" t="s">
        <v>1949</v>
      </c>
      <c r="R576" s="226" t="s">
        <v>1873</v>
      </c>
      <c r="S576" s="491" t="str">
        <f t="shared" si="17"/>
        <v>x</v>
      </c>
      <c r="T576" s="492" t="str">
        <f>IFERROR(VLOOKUP(F576,'Freq-Chan'!C:D,2,FALSE),"x")</f>
        <v>x</v>
      </c>
      <c r="U576" s="110" t="s">
        <v>541</v>
      </c>
      <c r="V576" s="110" t="str">
        <f t="shared" si="18"/>
        <v>FWL</v>
      </c>
      <c r="W576" s="110" t="s">
        <v>541</v>
      </c>
      <c r="X576" s="110" t="s">
        <v>541</v>
      </c>
      <c r="Y576" s="110" t="str">
        <f>IFERROR(VLOOKUP(F576,'Freq-Chan'!C:E,3,FALSE),"na")</f>
        <v>na</v>
      </c>
      <c r="Z576" s="110" t="s">
        <v>541</v>
      </c>
      <c r="AA576" s="110" t="s">
        <v>541</v>
      </c>
      <c r="AB576" s="110" t="s">
        <v>541</v>
      </c>
      <c r="AC576" s="10" t="s">
        <v>541</v>
      </c>
      <c r="AD576" s="10" t="s">
        <v>541</v>
      </c>
    </row>
    <row r="577" spans="1:30" s="291" customFormat="1" x14ac:dyDescent="0.2">
      <c r="A577" s="493">
        <v>576</v>
      </c>
      <c r="B577" s="283">
        <v>41825</v>
      </c>
      <c r="C577" s="284">
        <v>1</v>
      </c>
      <c r="D577" s="285" t="s">
        <v>97</v>
      </c>
      <c r="E577" s="285" t="s">
        <v>798</v>
      </c>
      <c r="F577" s="285"/>
      <c r="G577" s="285"/>
      <c r="H577" s="285"/>
      <c r="I577" s="285"/>
      <c r="J577" s="285">
        <v>25</v>
      </c>
      <c r="K577" s="285" t="s">
        <v>364</v>
      </c>
      <c r="L577" s="286"/>
      <c r="M577" s="287">
        <v>2.013888888888889E-2</v>
      </c>
      <c r="N577" s="288" t="s">
        <v>1895</v>
      </c>
      <c r="O577" s="286" t="s">
        <v>376</v>
      </c>
      <c r="P577" s="289" t="s">
        <v>1954</v>
      </c>
      <c r="Q577" s="289" t="s">
        <v>1949</v>
      </c>
      <c r="R577" s="290" t="s">
        <v>1873</v>
      </c>
      <c r="S577" s="494" t="str">
        <f t="shared" si="17"/>
        <v>x</v>
      </c>
      <c r="T577" s="495" t="str">
        <f>IFERROR(VLOOKUP(F577,'Freq-Chan'!C:D,2,FALSE),"x")</f>
        <v>x</v>
      </c>
      <c r="U577" s="493" t="s">
        <v>541</v>
      </c>
      <c r="V577" s="493" t="str">
        <f t="shared" si="18"/>
        <v>FWL</v>
      </c>
      <c r="W577" s="493" t="s">
        <v>541</v>
      </c>
      <c r="X577" s="493" t="s">
        <v>541</v>
      </c>
      <c r="Y577" s="493" t="str">
        <f>IFERROR(VLOOKUP(F577,'Freq-Chan'!C:E,3,FALSE),"na")</f>
        <v>na</v>
      </c>
      <c r="Z577" s="493" t="s">
        <v>541</v>
      </c>
      <c r="AA577" s="493" t="s">
        <v>541</v>
      </c>
      <c r="AB577" s="493" t="s">
        <v>541</v>
      </c>
      <c r="AC577" s="291" t="s">
        <v>541</v>
      </c>
      <c r="AD577" s="291" t="s">
        <v>541</v>
      </c>
    </row>
    <row r="578" spans="1:30" x14ac:dyDescent="0.2">
      <c r="A578" s="110">
        <v>577</v>
      </c>
      <c r="B578" s="132">
        <v>41825</v>
      </c>
      <c r="C578" s="117">
        <v>2</v>
      </c>
      <c r="D578" s="103" t="s">
        <v>88</v>
      </c>
      <c r="E578" s="103" t="s">
        <v>798</v>
      </c>
      <c r="H578" s="103"/>
      <c r="J578" s="103">
        <v>30</v>
      </c>
      <c r="K578" s="103" t="s">
        <v>364</v>
      </c>
      <c r="L578" s="133"/>
      <c r="M578" s="134"/>
      <c r="N578" s="135"/>
      <c r="O578" s="133" t="s">
        <v>803</v>
      </c>
      <c r="P578" s="100" t="s">
        <v>1955</v>
      </c>
      <c r="Q578" s="100" t="s">
        <v>1956</v>
      </c>
      <c r="R578" s="226" t="s">
        <v>1873</v>
      </c>
      <c r="S578" s="491" t="str">
        <f t="shared" si="17"/>
        <v>x</v>
      </c>
      <c r="T578" s="492" t="str">
        <f>IFERROR(VLOOKUP(F578,'Freq-Chan'!C:D,2,FALSE),"x")</f>
        <v>x</v>
      </c>
      <c r="U578" s="110" t="s">
        <v>541</v>
      </c>
      <c r="V578" s="110" t="str">
        <f t="shared" si="18"/>
        <v>FWL</v>
      </c>
      <c r="W578" s="110" t="s">
        <v>541</v>
      </c>
      <c r="X578" s="110" t="s">
        <v>541</v>
      </c>
      <c r="Y578" s="110" t="str">
        <f>IFERROR(VLOOKUP(F578,'Freq-Chan'!C:E,3,FALSE),"na")</f>
        <v>na</v>
      </c>
      <c r="Z578" s="110" t="s">
        <v>541</v>
      </c>
      <c r="AA578" s="110" t="s">
        <v>541</v>
      </c>
      <c r="AB578" s="110" t="s">
        <v>541</v>
      </c>
      <c r="AC578" s="10" t="s">
        <v>541</v>
      </c>
      <c r="AD578" s="10" t="s">
        <v>541</v>
      </c>
    </row>
    <row r="579" spans="1:30" x14ac:dyDescent="0.2">
      <c r="A579" s="110">
        <v>578</v>
      </c>
      <c r="B579" s="132">
        <v>41825</v>
      </c>
      <c r="C579" s="117">
        <v>2</v>
      </c>
      <c r="D579" s="103" t="s">
        <v>2</v>
      </c>
      <c r="E579" s="103" t="s">
        <v>306</v>
      </c>
      <c r="F579" s="103">
        <v>755</v>
      </c>
      <c r="G579" s="103">
        <v>5</v>
      </c>
      <c r="H579" s="137" t="s">
        <v>1319</v>
      </c>
      <c r="I579" s="103">
        <v>67</v>
      </c>
      <c r="K579" s="103" t="s">
        <v>364</v>
      </c>
      <c r="L579" s="133"/>
      <c r="M579" s="134">
        <v>7.3611111111111113E-2</v>
      </c>
      <c r="N579" s="135" t="s">
        <v>1957</v>
      </c>
      <c r="O579" s="133" t="s">
        <v>1888</v>
      </c>
      <c r="Q579" s="100" t="s">
        <v>1956</v>
      </c>
      <c r="R579" s="226" t="s">
        <v>1873</v>
      </c>
      <c r="S579" s="491" t="str">
        <f t="shared" ref="S579:S642" si="19">IF(IF(OR(L579=0,N579=0),"x",ROUND(N579-L579-(M579*24)/(24*60),10))&lt;0,0,IF(OR(L579=0,N579=0),"x",ROUND(N579-L579-(M579*24)/(24*60),10)))</f>
        <v>x</v>
      </c>
      <c r="T579" s="492">
        <f>IFERROR(VLOOKUP(F579,'Freq-Chan'!C:D,2,FALSE),"x")</f>
        <v>151.755</v>
      </c>
      <c r="U579" s="110" t="s">
        <v>541</v>
      </c>
      <c r="V579" s="110" t="str">
        <f t="shared" ref="V579:V642" si="20">IF(OR(C579=1,C579=2,C579=3),"FWL","NRD")</f>
        <v>FWL</v>
      </c>
      <c r="W579" s="110" t="s">
        <v>541</v>
      </c>
      <c r="X579" s="110" t="s">
        <v>541</v>
      </c>
      <c r="Y579" s="110" t="str">
        <f>IFERROR(VLOOKUP(F579,'Freq-Chan'!C:E,3,FALSE),"na")</f>
        <v>F1845</v>
      </c>
      <c r="Z579" s="110" t="s">
        <v>541</v>
      </c>
      <c r="AA579" s="110" t="s">
        <v>541</v>
      </c>
      <c r="AB579" s="110" t="s">
        <v>541</v>
      </c>
      <c r="AC579" s="10" t="s">
        <v>541</v>
      </c>
      <c r="AD579" s="10" t="s">
        <v>541</v>
      </c>
    </row>
    <row r="580" spans="1:30" x14ac:dyDescent="0.2">
      <c r="A580" s="110">
        <v>579</v>
      </c>
      <c r="B580" s="132">
        <v>41825</v>
      </c>
      <c r="C580" s="117">
        <v>2</v>
      </c>
      <c r="D580" s="103" t="s">
        <v>177</v>
      </c>
      <c r="E580" s="103" t="s">
        <v>0</v>
      </c>
      <c r="H580" s="103"/>
      <c r="I580" s="103">
        <v>31</v>
      </c>
      <c r="K580" s="103" t="s">
        <v>364</v>
      </c>
      <c r="L580" s="133"/>
      <c r="M580" s="134">
        <v>2.0833333333333332E-2</v>
      </c>
      <c r="N580" s="135" t="s">
        <v>1958</v>
      </c>
      <c r="O580" s="133" t="s">
        <v>803</v>
      </c>
      <c r="P580" s="100" t="s">
        <v>776</v>
      </c>
      <c r="Q580" s="100" t="s">
        <v>1956</v>
      </c>
      <c r="R580" s="226" t="s">
        <v>1873</v>
      </c>
      <c r="S580" s="491" t="str">
        <f t="shared" si="19"/>
        <v>x</v>
      </c>
      <c r="T580" s="492" t="str">
        <f>IFERROR(VLOOKUP(F580,'Freq-Chan'!C:D,2,FALSE),"x")</f>
        <v>x</v>
      </c>
      <c r="U580" s="110" t="s">
        <v>541</v>
      </c>
      <c r="V580" s="110" t="str">
        <f t="shared" si="20"/>
        <v>FWL</v>
      </c>
      <c r="W580" s="110" t="s">
        <v>541</v>
      </c>
      <c r="X580" s="110" t="s">
        <v>541</v>
      </c>
      <c r="Y580" s="110" t="str">
        <f>IFERROR(VLOOKUP(F580,'Freq-Chan'!C:E,3,FALSE),"na")</f>
        <v>na</v>
      </c>
      <c r="Z580" s="110" t="s">
        <v>541</v>
      </c>
      <c r="AA580" s="110" t="s">
        <v>541</v>
      </c>
      <c r="AB580" s="110" t="s">
        <v>541</v>
      </c>
      <c r="AC580" s="10" t="s">
        <v>541</v>
      </c>
      <c r="AD580" s="10" t="s">
        <v>541</v>
      </c>
    </row>
    <row r="581" spans="1:30" x14ac:dyDescent="0.2">
      <c r="A581" s="110">
        <v>580</v>
      </c>
      <c r="B581" s="132">
        <v>41825</v>
      </c>
      <c r="C581" s="117">
        <v>2</v>
      </c>
      <c r="D581" s="103" t="s">
        <v>2</v>
      </c>
      <c r="E581" s="103" t="s">
        <v>306</v>
      </c>
      <c r="F581" s="103">
        <v>755</v>
      </c>
      <c r="G581" s="103">
        <v>10</v>
      </c>
      <c r="H581" s="137" t="s">
        <v>1320</v>
      </c>
      <c r="I581" s="103">
        <v>78</v>
      </c>
      <c r="K581" s="103" t="s">
        <v>364</v>
      </c>
      <c r="L581" s="133"/>
      <c r="M581" s="134">
        <v>5.5555555555555552E-2</v>
      </c>
      <c r="N581" s="135" t="s">
        <v>1959</v>
      </c>
      <c r="O581" s="133" t="s">
        <v>803</v>
      </c>
      <c r="Q581" s="100" t="s">
        <v>1956</v>
      </c>
      <c r="R581" s="226" t="s">
        <v>1873</v>
      </c>
      <c r="S581" s="491" t="str">
        <f t="shared" si="19"/>
        <v>x</v>
      </c>
      <c r="T581" s="492">
        <f>IFERROR(VLOOKUP(F581,'Freq-Chan'!C:D,2,FALSE),"x")</f>
        <v>151.755</v>
      </c>
      <c r="U581" s="110" t="s">
        <v>541</v>
      </c>
      <c r="V581" s="110" t="str">
        <f t="shared" si="20"/>
        <v>FWL</v>
      </c>
      <c r="W581" s="110" t="s">
        <v>541</v>
      </c>
      <c r="X581" s="110" t="s">
        <v>541</v>
      </c>
      <c r="Y581" s="110" t="str">
        <f>IFERROR(VLOOKUP(F581,'Freq-Chan'!C:E,3,FALSE),"na")</f>
        <v>F1845</v>
      </c>
      <c r="Z581" s="110" t="s">
        <v>541</v>
      </c>
      <c r="AA581" s="110" t="s">
        <v>541</v>
      </c>
      <c r="AB581" s="110" t="s">
        <v>541</v>
      </c>
      <c r="AC581" s="10" t="s">
        <v>541</v>
      </c>
      <c r="AD581" s="10" t="s">
        <v>541</v>
      </c>
    </row>
    <row r="582" spans="1:30" x14ac:dyDescent="0.2">
      <c r="A582" s="110">
        <v>581</v>
      </c>
      <c r="B582" s="132">
        <v>41825</v>
      </c>
      <c r="C582" s="117">
        <v>2</v>
      </c>
      <c r="D582" s="103" t="s">
        <v>2</v>
      </c>
      <c r="E582" s="103" t="s">
        <v>306</v>
      </c>
      <c r="F582" s="103">
        <v>784</v>
      </c>
      <c r="G582" s="103">
        <v>7</v>
      </c>
      <c r="H582" s="137" t="s">
        <v>1321</v>
      </c>
      <c r="I582" s="103">
        <v>57</v>
      </c>
      <c r="K582" s="103" t="s">
        <v>364</v>
      </c>
      <c r="L582" s="133"/>
      <c r="M582" s="134">
        <v>8.1944444444444445E-2</v>
      </c>
      <c r="N582" s="135" t="s">
        <v>1960</v>
      </c>
      <c r="O582" s="133" t="s">
        <v>1888</v>
      </c>
      <c r="Q582" s="100" t="s">
        <v>1956</v>
      </c>
      <c r="R582" s="226" t="s">
        <v>1873</v>
      </c>
      <c r="S582" s="491" t="str">
        <f t="shared" si="19"/>
        <v>x</v>
      </c>
      <c r="T582" s="492">
        <f>IFERROR(VLOOKUP(F582,'Freq-Chan'!C:D,2,FALSE),"x")</f>
        <v>151.78399999999999</v>
      </c>
      <c r="U582" s="110" t="s">
        <v>541</v>
      </c>
      <c r="V582" s="110" t="str">
        <f t="shared" si="20"/>
        <v>FWL</v>
      </c>
      <c r="W582" s="110" t="s">
        <v>541</v>
      </c>
      <c r="X582" s="110" t="s">
        <v>541</v>
      </c>
      <c r="Y582" s="110" t="str">
        <f>IFERROR(VLOOKUP(F582,'Freq-Chan'!C:E,3,FALSE),"na")</f>
        <v>F1845</v>
      </c>
      <c r="Z582" s="110" t="s">
        <v>541</v>
      </c>
      <c r="AA582" s="110" t="s">
        <v>541</v>
      </c>
      <c r="AB582" s="110" t="s">
        <v>541</v>
      </c>
      <c r="AC582" s="10" t="s">
        <v>541</v>
      </c>
      <c r="AD582" s="10" t="s">
        <v>541</v>
      </c>
    </row>
    <row r="583" spans="1:30" x14ac:dyDescent="0.2">
      <c r="A583" s="110">
        <v>582</v>
      </c>
      <c r="B583" s="132">
        <v>41825</v>
      </c>
      <c r="C583" s="117">
        <v>2</v>
      </c>
      <c r="D583" s="103" t="s">
        <v>2</v>
      </c>
      <c r="E583" s="103" t="s">
        <v>306</v>
      </c>
      <c r="F583" s="103">
        <v>784</v>
      </c>
      <c r="G583" s="103">
        <v>16</v>
      </c>
      <c r="H583" s="137" t="s">
        <v>1322</v>
      </c>
      <c r="I583" s="103">
        <v>65</v>
      </c>
      <c r="K583" s="103" t="s">
        <v>364</v>
      </c>
      <c r="L583" s="133"/>
      <c r="M583" s="134">
        <v>5.5555555555555552E-2</v>
      </c>
      <c r="N583" s="135" t="s">
        <v>1961</v>
      </c>
      <c r="O583" s="133" t="s">
        <v>1875</v>
      </c>
      <c r="Q583" s="100" t="s">
        <v>1936</v>
      </c>
      <c r="R583" s="226" t="s">
        <v>1873</v>
      </c>
      <c r="S583" s="491" t="str">
        <f t="shared" si="19"/>
        <v>x</v>
      </c>
      <c r="T583" s="492">
        <f>IFERROR(VLOOKUP(F583,'Freq-Chan'!C:D,2,FALSE),"x")</f>
        <v>151.78399999999999</v>
      </c>
      <c r="U583" s="110" t="s">
        <v>541</v>
      </c>
      <c r="V583" s="110" t="str">
        <f t="shared" si="20"/>
        <v>FWL</v>
      </c>
      <c r="W583" s="110" t="s">
        <v>541</v>
      </c>
      <c r="X583" s="110" t="s">
        <v>541</v>
      </c>
      <c r="Y583" s="110" t="str">
        <f>IFERROR(VLOOKUP(F583,'Freq-Chan'!C:E,3,FALSE),"na")</f>
        <v>F1845</v>
      </c>
      <c r="Z583" s="110" t="s">
        <v>541</v>
      </c>
      <c r="AA583" s="110" t="s">
        <v>541</v>
      </c>
      <c r="AB583" s="110" t="s">
        <v>541</v>
      </c>
      <c r="AC583" s="10" t="s">
        <v>541</v>
      </c>
      <c r="AD583" s="10" t="s">
        <v>541</v>
      </c>
    </row>
    <row r="584" spans="1:30" x14ac:dyDescent="0.2">
      <c r="A584" s="110">
        <v>583</v>
      </c>
      <c r="B584" s="132">
        <v>41825</v>
      </c>
      <c r="C584" s="117">
        <v>2</v>
      </c>
      <c r="D584" s="103" t="s">
        <v>2</v>
      </c>
      <c r="E584" s="103" t="s">
        <v>306</v>
      </c>
      <c r="F584" s="103">
        <v>755</v>
      </c>
      <c r="G584" s="103">
        <v>22</v>
      </c>
      <c r="H584" s="137" t="s">
        <v>1323</v>
      </c>
      <c r="I584" s="103">
        <v>82</v>
      </c>
      <c r="K584" s="103" t="s">
        <v>364</v>
      </c>
      <c r="L584" s="133"/>
      <c r="M584" s="134">
        <v>8.0555555555555561E-2</v>
      </c>
      <c r="N584" s="135" t="s">
        <v>1962</v>
      </c>
      <c r="O584" s="133" t="s">
        <v>1875</v>
      </c>
      <c r="Q584" s="100" t="s">
        <v>1936</v>
      </c>
      <c r="R584" s="226" t="s">
        <v>1873</v>
      </c>
      <c r="S584" s="491" t="str">
        <f t="shared" si="19"/>
        <v>x</v>
      </c>
      <c r="T584" s="492">
        <f>IFERROR(VLOOKUP(F584,'Freq-Chan'!C:D,2,FALSE),"x")</f>
        <v>151.755</v>
      </c>
      <c r="U584" s="110" t="s">
        <v>541</v>
      </c>
      <c r="V584" s="110" t="str">
        <f t="shared" si="20"/>
        <v>FWL</v>
      </c>
      <c r="W584" s="110" t="s">
        <v>541</v>
      </c>
      <c r="X584" s="110" t="s">
        <v>541</v>
      </c>
      <c r="Y584" s="110" t="str">
        <f>IFERROR(VLOOKUP(F584,'Freq-Chan'!C:E,3,FALSE),"na")</f>
        <v>F1845</v>
      </c>
      <c r="Z584" s="110" t="s">
        <v>541</v>
      </c>
      <c r="AA584" s="110" t="s">
        <v>541</v>
      </c>
      <c r="AB584" s="110" t="s">
        <v>541</v>
      </c>
      <c r="AC584" s="10" t="s">
        <v>541</v>
      </c>
      <c r="AD584" s="10" t="s">
        <v>541</v>
      </c>
    </row>
    <row r="585" spans="1:30" x14ac:dyDescent="0.2">
      <c r="A585" s="110">
        <v>584</v>
      </c>
      <c r="B585" s="132">
        <v>41825</v>
      </c>
      <c r="C585" s="117">
        <v>2</v>
      </c>
      <c r="D585" s="103" t="s">
        <v>2</v>
      </c>
      <c r="E585" s="103" t="s">
        <v>306</v>
      </c>
      <c r="F585" s="103">
        <v>755</v>
      </c>
      <c r="G585" s="103">
        <v>31</v>
      </c>
      <c r="H585" s="137" t="s">
        <v>1327</v>
      </c>
      <c r="I585" s="103">
        <v>97</v>
      </c>
      <c r="K585" s="103" t="s">
        <v>364</v>
      </c>
      <c r="L585" s="133"/>
      <c r="M585" s="134">
        <v>8.1944444444444445E-2</v>
      </c>
      <c r="N585" s="135" t="s">
        <v>1963</v>
      </c>
      <c r="O585" s="133" t="s">
        <v>1875</v>
      </c>
      <c r="Q585" s="100" t="s">
        <v>1936</v>
      </c>
      <c r="R585" s="226" t="s">
        <v>1873</v>
      </c>
      <c r="S585" s="491" t="str">
        <f t="shared" si="19"/>
        <v>x</v>
      </c>
      <c r="T585" s="492">
        <f>IFERROR(VLOOKUP(F585,'Freq-Chan'!C:D,2,FALSE),"x")</f>
        <v>151.755</v>
      </c>
      <c r="U585" s="110" t="s">
        <v>541</v>
      </c>
      <c r="V585" s="110" t="str">
        <f t="shared" si="20"/>
        <v>FWL</v>
      </c>
      <c r="W585" s="110" t="s">
        <v>541</v>
      </c>
      <c r="X585" s="110" t="s">
        <v>541</v>
      </c>
      <c r="Y585" s="110" t="str">
        <f>IFERROR(VLOOKUP(F585,'Freq-Chan'!C:E,3,FALSE),"na")</f>
        <v>F1845</v>
      </c>
      <c r="Z585" s="110" t="s">
        <v>541</v>
      </c>
      <c r="AA585" s="110" t="s">
        <v>541</v>
      </c>
      <c r="AB585" s="110" t="s">
        <v>541</v>
      </c>
      <c r="AC585" s="10" t="s">
        <v>541</v>
      </c>
      <c r="AD585" s="10" t="s">
        <v>541</v>
      </c>
    </row>
    <row r="586" spans="1:30" x14ac:dyDescent="0.2">
      <c r="A586" s="110">
        <v>585</v>
      </c>
      <c r="B586" s="132">
        <v>41825</v>
      </c>
      <c r="C586" s="117">
        <v>2</v>
      </c>
      <c r="D586" s="103" t="s">
        <v>177</v>
      </c>
      <c r="E586" s="103" t="s">
        <v>0</v>
      </c>
      <c r="H586" s="103"/>
      <c r="I586" s="103">
        <v>35</v>
      </c>
      <c r="K586" s="103" t="s">
        <v>364</v>
      </c>
      <c r="L586" s="133"/>
      <c r="M586" s="134">
        <v>2.4999999999999998E-2</v>
      </c>
      <c r="N586" s="135" t="s">
        <v>1964</v>
      </c>
      <c r="O586" s="133" t="s">
        <v>1875</v>
      </c>
      <c r="Q586" s="100" t="s">
        <v>1936</v>
      </c>
      <c r="R586" s="226" t="s">
        <v>1873</v>
      </c>
      <c r="S586" s="491" t="str">
        <f t="shared" si="19"/>
        <v>x</v>
      </c>
      <c r="T586" s="492" t="str">
        <f>IFERROR(VLOOKUP(F586,'Freq-Chan'!C:D,2,FALSE),"x")</f>
        <v>x</v>
      </c>
      <c r="U586" s="110" t="s">
        <v>541</v>
      </c>
      <c r="V586" s="110" t="str">
        <f t="shared" si="20"/>
        <v>FWL</v>
      </c>
      <c r="W586" s="110" t="s">
        <v>541</v>
      </c>
      <c r="X586" s="110" t="s">
        <v>541</v>
      </c>
      <c r="Y586" s="110" t="str">
        <f>IFERROR(VLOOKUP(F586,'Freq-Chan'!C:E,3,FALSE),"na")</f>
        <v>na</v>
      </c>
      <c r="Z586" s="110" t="s">
        <v>541</v>
      </c>
      <c r="AA586" s="110" t="s">
        <v>541</v>
      </c>
      <c r="AB586" s="110" t="s">
        <v>541</v>
      </c>
      <c r="AC586" s="10" t="s">
        <v>541</v>
      </c>
      <c r="AD586" s="10" t="s">
        <v>541</v>
      </c>
    </row>
    <row r="587" spans="1:30" x14ac:dyDescent="0.2">
      <c r="A587" s="110">
        <v>586</v>
      </c>
      <c r="B587" s="132">
        <v>41825</v>
      </c>
      <c r="C587" s="117">
        <v>2</v>
      </c>
      <c r="D587" s="103" t="s">
        <v>177</v>
      </c>
      <c r="E587" s="103" t="s">
        <v>0</v>
      </c>
      <c r="F587" s="103">
        <v>917</v>
      </c>
      <c r="G587" s="103">
        <v>5</v>
      </c>
      <c r="H587" s="137" t="s">
        <v>1328</v>
      </c>
      <c r="I587" s="103">
        <v>48</v>
      </c>
      <c r="K587" s="103" t="s">
        <v>364</v>
      </c>
      <c r="L587" s="133">
        <v>0.56180555555555556</v>
      </c>
      <c r="M587" s="134">
        <v>8.5416666666666655E-2</v>
      </c>
      <c r="N587" s="135" t="s">
        <v>1965</v>
      </c>
      <c r="O587" s="133" t="s">
        <v>1875</v>
      </c>
      <c r="Q587" s="100" t="s">
        <v>1936</v>
      </c>
      <c r="R587" s="226" t="s">
        <v>1873</v>
      </c>
      <c r="S587" s="491">
        <f t="shared" si="19"/>
        <v>2.0486111000000001E-3</v>
      </c>
      <c r="T587" s="492">
        <f>IFERROR(VLOOKUP(F587,'Freq-Chan'!C:D,2,FALSE),"x")</f>
        <v>151.917</v>
      </c>
      <c r="U587" s="110" t="s">
        <v>541</v>
      </c>
      <c r="V587" s="110" t="str">
        <f t="shared" si="20"/>
        <v>FWL</v>
      </c>
      <c r="W587" s="110" t="s">
        <v>541</v>
      </c>
      <c r="X587" s="110" t="s">
        <v>541</v>
      </c>
      <c r="Y587" s="110" t="str">
        <f>IFERROR(VLOOKUP(F587,'Freq-Chan'!C:E,3,FALSE),"na")</f>
        <v>F1835</v>
      </c>
      <c r="Z587" s="110" t="s">
        <v>541</v>
      </c>
      <c r="AA587" s="110" t="s">
        <v>541</v>
      </c>
      <c r="AB587" s="110" t="s">
        <v>541</v>
      </c>
      <c r="AC587" s="10" t="s">
        <v>541</v>
      </c>
      <c r="AD587" s="10" t="s">
        <v>541</v>
      </c>
    </row>
    <row r="588" spans="1:30" x14ac:dyDescent="0.2">
      <c r="A588" s="110">
        <v>587</v>
      </c>
      <c r="B588" s="132">
        <v>41825</v>
      </c>
      <c r="C588" s="117">
        <v>2</v>
      </c>
      <c r="D588" s="103" t="s">
        <v>2</v>
      </c>
      <c r="E588" s="103" t="s">
        <v>306</v>
      </c>
      <c r="F588" s="103">
        <v>784</v>
      </c>
      <c r="G588" s="103">
        <v>64</v>
      </c>
      <c r="H588" s="137" t="s">
        <v>1330</v>
      </c>
      <c r="I588" s="103">
        <v>98</v>
      </c>
      <c r="K588" s="103" t="s">
        <v>364</v>
      </c>
      <c r="L588" s="133"/>
      <c r="M588" s="134">
        <v>0.10833333333333334</v>
      </c>
      <c r="N588" s="135" t="s">
        <v>1966</v>
      </c>
      <c r="O588" s="133" t="s">
        <v>1888</v>
      </c>
      <c r="P588" s="100" t="s">
        <v>1967</v>
      </c>
      <c r="Q588" s="100" t="s">
        <v>1929</v>
      </c>
      <c r="R588" s="226" t="s">
        <v>1873</v>
      </c>
      <c r="S588" s="491" t="str">
        <f t="shared" si="19"/>
        <v>x</v>
      </c>
      <c r="T588" s="492">
        <f>IFERROR(VLOOKUP(F588,'Freq-Chan'!C:D,2,FALSE),"x")</f>
        <v>151.78399999999999</v>
      </c>
      <c r="U588" s="110" t="s">
        <v>541</v>
      </c>
      <c r="V588" s="110" t="str">
        <f t="shared" si="20"/>
        <v>FWL</v>
      </c>
      <c r="W588" s="110" t="s">
        <v>541</v>
      </c>
      <c r="X588" s="110" t="s">
        <v>541</v>
      </c>
      <c r="Y588" s="110" t="str">
        <f>IFERROR(VLOOKUP(F588,'Freq-Chan'!C:E,3,FALSE),"na")</f>
        <v>F1845</v>
      </c>
      <c r="Z588" s="110" t="s">
        <v>541</v>
      </c>
      <c r="AA588" s="110" t="s">
        <v>541</v>
      </c>
      <c r="AB588" s="110" t="s">
        <v>541</v>
      </c>
      <c r="AC588" s="10" t="s">
        <v>541</v>
      </c>
      <c r="AD588" s="10" t="s">
        <v>541</v>
      </c>
    </row>
    <row r="589" spans="1:30" x14ac:dyDescent="0.2">
      <c r="A589" s="110">
        <v>588</v>
      </c>
      <c r="B589" s="132">
        <v>41825</v>
      </c>
      <c r="C589" s="117">
        <v>2</v>
      </c>
      <c r="D589" s="103" t="s">
        <v>2</v>
      </c>
      <c r="E589" s="103" t="s">
        <v>306</v>
      </c>
      <c r="F589" s="103">
        <v>755</v>
      </c>
      <c r="G589" s="103">
        <v>99</v>
      </c>
      <c r="H589" s="137" t="s">
        <v>1331</v>
      </c>
      <c r="I589" s="103">
        <v>93</v>
      </c>
      <c r="K589" s="103" t="s">
        <v>364</v>
      </c>
      <c r="L589" s="133"/>
      <c r="M589" s="134">
        <v>7.1527777777777787E-2</v>
      </c>
      <c r="N589" s="135" t="s">
        <v>1968</v>
      </c>
      <c r="O589" s="133" t="s">
        <v>803</v>
      </c>
      <c r="Q589" s="100" t="s">
        <v>1929</v>
      </c>
      <c r="R589" s="226" t="s">
        <v>1873</v>
      </c>
      <c r="S589" s="491" t="str">
        <f t="shared" si="19"/>
        <v>x</v>
      </c>
      <c r="T589" s="492">
        <f>IFERROR(VLOOKUP(F589,'Freq-Chan'!C:D,2,FALSE),"x")</f>
        <v>151.755</v>
      </c>
      <c r="U589" s="110" t="s">
        <v>541</v>
      </c>
      <c r="V589" s="110" t="str">
        <f t="shared" si="20"/>
        <v>FWL</v>
      </c>
      <c r="W589" s="110" t="s">
        <v>541</v>
      </c>
      <c r="X589" s="110" t="s">
        <v>541</v>
      </c>
      <c r="Y589" s="110" t="str">
        <f>IFERROR(VLOOKUP(F589,'Freq-Chan'!C:E,3,FALSE),"na")</f>
        <v>F1845</v>
      </c>
      <c r="Z589" s="110" t="s">
        <v>541</v>
      </c>
      <c r="AA589" s="110" t="s">
        <v>541</v>
      </c>
      <c r="AB589" s="110" t="s">
        <v>541</v>
      </c>
      <c r="AC589" s="10" t="s">
        <v>541</v>
      </c>
      <c r="AD589" s="10" t="s">
        <v>541</v>
      </c>
    </row>
    <row r="590" spans="1:30" x14ac:dyDescent="0.2">
      <c r="A590" s="110">
        <v>589</v>
      </c>
      <c r="B590" s="132">
        <v>41825</v>
      </c>
      <c r="C590" s="117">
        <v>2</v>
      </c>
      <c r="D590" s="103" t="s">
        <v>2</v>
      </c>
      <c r="E590" s="103" t="s">
        <v>306</v>
      </c>
      <c r="F590" s="103">
        <v>784</v>
      </c>
      <c r="G590" s="103">
        <v>53</v>
      </c>
      <c r="H590" s="137" t="s">
        <v>1333</v>
      </c>
      <c r="I590" s="103">
        <v>58</v>
      </c>
      <c r="K590" s="103" t="s">
        <v>364</v>
      </c>
      <c r="L590" s="133"/>
      <c r="M590" s="134">
        <v>6.805555555555555E-2</v>
      </c>
      <c r="N590" s="137" t="s">
        <v>1969</v>
      </c>
      <c r="O590" s="133" t="s">
        <v>1888</v>
      </c>
      <c r="Q590" s="100" t="s">
        <v>1929</v>
      </c>
      <c r="R590" s="226" t="s">
        <v>1873</v>
      </c>
      <c r="S590" s="491" t="str">
        <f t="shared" si="19"/>
        <v>x</v>
      </c>
      <c r="T590" s="492">
        <f>IFERROR(VLOOKUP(F590,'Freq-Chan'!C:D,2,FALSE),"x")</f>
        <v>151.78399999999999</v>
      </c>
      <c r="U590" s="110" t="s">
        <v>541</v>
      </c>
      <c r="V590" s="110" t="str">
        <f t="shared" si="20"/>
        <v>FWL</v>
      </c>
      <c r="W590" s="110" t="s">
        <v>541</v>
      </c>
      <c r="X590" s="110" t="s">
        <v>541</v>
      </c>
      <c r="Y590" s="110" t="str">
        <f>IFERROR(VLOOKUP(F590,'Freq-Chan'!C:E,3,FALSE),"na")</f>
        <v>F1845</v>
      </c>
      <c r="Z590" s="110" t="s">
        <v>541</v>
      </c>
      <c r="AA590" s="110" t="s">
        <v>541</v>
      </c>
      <c r="AB590" s="110" t="s">
        <v>541</v>
      </c>
      <c r="AC590" s="10" t="s">
        <v>541</v>
      </c>
      <c r="AD590" s="10" t="s">
        <v>541</v>
      </c>
    </row>
    <row r="591" spans="1:30" x14ac:dyDescent="0.2">
      <c r="A591" s="110">
        <v>590</v>
      </c>
      <c r="B591" s="132">
        <v>41825</v>
      </c>
      <c r="C591" s="117">
        <v>2</v>
      </c>
      <c r="D591" s="103" t="s">
        <v>2</v>
      </c>
      <c r="E591" s="103" t="s">
        <v>306</v>
      </c>
      <c r="F591" s="103">
        <v>364</v>
      </c>
      <c r="G591" s="103">
        <v>31</v>
      </c>
      <c r="H591" s="137" t="s">
        <v>1335</v>
      </c>
      <c r="I591" s="103">
        <v>84</v>
      </c>
      <c r="K591" s="103" t="s">
        <v>364</v>
      </c>
      <c r="L591" s="133"/>
      <c r="M591" s="134">
        <v>6.3888888888888884E-2</v>
      </c>
      <c r="N591" s="137" t="s">
        <v>1970</v>
      </c>
      <c r="O591" s="133" t="s">
        <v>376</v>
      </c>
      <c r="Q591" s="100" t="s">
        <v>1949</v>
      </c>
      <c r="R591" s="226" t="s">
        <v>1873</v>
      </c>
      <c r="S591" s="491" t="str">
        <f t="shared" si="19"/>
        <v>x</v>
      </c>
      <c r="T591" s="492">
        <f>IFERROR(VLOOKUP(F591,'Freq-Chan'!C:D,2,FALSE),"x")</f>
        <v>151.364</v>
      </c>
      <c r="U591" s="110" t="s">
        <v>541</v>
      </c>
      <c r="V591" s="110" t="str">
        <f t="shared" si="20"/>
        <v>FWL</v>
      </c>
      <c r="W591" s="110" t="s">
        <v>541</v>
      </c>
      <c r="X591" s="110" t="s">
        <v>541</v>
      </c>
      <c r="Y591" s="110" t="str">
        <f>IFERROR(VLOOKUP(F591,'Freq-Chan'!C:E,3,FALSE),"na")</f>
        <v>F1845</v>
      </c>
      <c r="Z591" s="110" t="s">
        <v>541</v>
      </c>
      <c r="AA591" s="110" t="s">
        <v>541</v>
      </c>
      <c r="AB591" s="110" t="s">
        <v>541</v>
      </c>
      <c r="AC591" s="10" t="s">
        <v>541</v>
      </c>
      <c r="AD591" s="10" t="s">
        <v>541</v>
      </c>
    </row>
    <row r="592" spans="1:30" x14ac:dyDescent="0.2">
      <c r="A592" s="110">
        <v>591</v>
      </c>
      <c r="B592" s="132">
        <v>41825</v>
      </c>
      <c r="C592" s="117">
        <v>2</v>
      </c>
      <c r="D592" s="103" t="s">
        <v>2</v>
      </c>
      <c r="E592" s="103" t="s">
        <v>306</v>
      </c>
      <c r="F592" s="103">
        <v>875</v>
      </c>
      <c r="G592" s="103">
        <v>96</v>
      </c>
      <c r="H592" s="137" t="s">
        <v>1336</v>
      </c>
      <c r="I592" s="103">
        <v>53</v>
      </c>
      <c r="K592" s="103" t="s">
        <v>364</v>
      </c>
      <c r="L592" s="133"/>
      <c r="M592" s="134">
        <v>7.1527777777777787E-2</v>
      </c>
      <c r="N592" s="137" t="s">
        <v>1971</v>
      </c>
      <c r="O592" s="133" t="s">
        <v>1585</v>
      </c>
      <c r="Q592" s="100" t="s">
        <v>1949</v>
      </c>
      <c r="R592" s="226" t="s">
        <v>1873</v>
      </c>
      <c r="S592" s="491" t="str">
        <f t="shared" si="19"/>
        <v>x</v>
      </c>
      <c r="T592" s="492">
        <f>IFERROR(VLOOKUP(F592,'Freq-Chan'!C:D,2,FALSE),"x")</f>
        <v>151.875</v>
      </c>
      <c r="U592" s="110" t="s">
        <v>541</v>
      </c>
      <c r="V592" s="110" t="str">
        <f t="shared" si="20"/>
        <v>FWL</v>
      </c>
      <c r="W592" s="110" t="s">
        <v>541</v>
      </c>
      <c r="X592" s="110" t="s">
        <v>541</v>
      </c>
      <c r="Y592" s="110" t="str">
        <f>IFERROR(VLOOKUP(F592,'Freq-Chan'!C:E,3,FALSE),"na")</f>
        <v>F1845</v>
      </c>
      <c r="Z592" s="110" t="s">
        <v>541</v>
      </c>
      <c r="AA592" s="110" t="s">
        <v>541</v>
      </c>
      <c r="AB592" s="110" t="s">
        <v>541</v>
      </c>
      <c r="AC592" s="10" t="s">
        <v>541</v>
      </c>
      <c r="AD592" s="10" t="s">
        <v>541</v>
      </c>
    </row>
    <row r="593" spans="1:30" s="291" customFormat="1" x14ac:dyDescent="0.2">
      <c r="A593" s="493">
        <v>592</v>
      </c>
      <c r="B593" s="283">
        <v>41825</v>
      </c>
      <c r="C593" s="284">
        <v>2</v>
      </c>
      <c r="D593" s="285" t="s">
        <v>91</v>
      </c>
      <c r="E593" s="285" t="s">
        <v>798</v>
      </c>
      <c r="F593" s="285"/>
      <c r="G593" s="285"/>
      <c r="H593" s="285"/>
      <c r="I593" s="285"/>
      <c r="J593" s="285">
        <v>35</v>
      </c>
      <c r="K593" s="285" t="s">
        <v>364</v>
      </c>
      <c r="L593" s="286"/>
      <c r="M593" s="287">
        <v>1.8749999999999999E-2</v>
      </c>
      <c r="N593" s="339" t="s">
        <v>1972</v>
      </c>
      <c r="O593" s="286" t="s">
        <v>1973</v>
      </c>
      <c r="P593" s="289"/>
      <c r="Q593" s="289" t="s">
        <v>1949</v>
      </c>
      <c r="R593" s="290" t="s">
        <v>1873</v>
      </c>
      <c r="S593" s="494" t="str">
        <f t="shared" si="19"/>
        <v>x</v>
      </c>
      <c r="T593" s="495" t="str">
        <f>IFERROR(VLOOKUP(F593,'Freq-Chan'!C:D,2,FALSE),"x")</f>
        <v>x</v>
      </c>
      <c r="U593" s="493" t="s">
        <v>541</v>
      </c>
      <c r="V593" s="493" t="str">
        <f t="shared" si="20"/>
        <v>FWL</v>
      </c>
      <c r="W593" s="493" t="s">
        <v>541</v>
      </c>
      <c r="X593" s="493" t="s">
        <v>541</v>
      </c>
      <c r="Y593" s="493" t="str">
        <f>IFERROR(VLOOKUP(F593,'Freq-Chan'!C:E,3,FALSE),"na")</f>
        <v>na</v>
      </c>
      <c r="Z593" s="493" t="s">
        <v>541</v>
      </c>
      <c r="AA593" s="493" t="s">
        <v>541</v>
      </c>
      <c r="AB593" s="493" t="s">
        <v>541</v>
      </c>
      <c r="AC593" s="291" t="s">
        <v>541</v>
      </c>
      <c r="AD593" s="291" t="s">
        <v>541</v>
      </c>
    </row>
    <row r="594" spans="1:30" x14ac:dyDescent="0.2">
      <c r="A594" s="110">
        <v>593</v>
      </c>
      <c r="B594" s="132">
        <v>41825</v>
      </c>
      <c r="C594" s="117">
        <v>3</v>
      </c>
      <c r="D594" s="103" t="s">
        <v>2</v>
      </c>
      <c r="E594" s="103" t="s">
        <v>306</v>
      </c>
      <c r="F594" s="103">
        <v>755</v>
      </c>
      <c r="G594" s="103">
        <v>92</v>
      </c>
      <c r="H594" s="137" t="s">
        <v>1306</v>
      </c>
      <c r="I594" s="103">
        <v>95</v>
      </c>
      <c r="K594" s="103" t="s">
        <v>364</v>
      </c>
      <c r="L594" s="133"/>
      <c r="M594" s="134">
        <v>8.6805555555555566E-2</v>
      </c>
      <c r="N594" s="137" t="s">
        <v>1631</v>
      </c>
      <c r="O594" s="133" t="s">
        <v>802</v>
      </c>
      <c r="P594" s="100" t="s">
        <v>1786</v>
      </c>
      <c r="Q594" s="100" t="s">
        <v>1974</v>
      </c>
      <c r="R594" s="226" t="s">
        <v>1873</v>
      </c>
      <c r="S594" s="491" t="str">
        <f t="shared" si="19"/>
        <v>x</v>
      </c>
      <c r="T594" s="492">
        <f>IFERROR(VLOOKUP(F594,'Freq-Chan'!C:D,2,FALSE),"x")</f>
        <v>151.755</v>
      </c>
      <c r="U594" s="110" t="s">
        <v>541</v>
      </c>
      <c r="V594" s="110" t="str">
        <f t="shared" si="20"/>
        <v>FWL</v>
      </c>
      <c r="W594" s="110" t="s">
        <v>541</v>
      </c>
      <c r="X594" s="110" t="s">
        <v>541</v>
      </c>
      <c r="Y594" s="110" t="str">
        <f>IFERROR(VLOOKUP(F594,'Freq-Chan'!C:E,3,FALSE),"na")</f>
        <v>F1845</v>
      </c>
      <c r="Z594" s="110" t="s">
        <v>541</v>
      </c>
      <c r="AA594" s="110" t="s">
        <v>541</v>
      </c>
      <c r="AB594" s="110" t="s">
        <v>541</v>
      </c>
      <c r="AC594" s="10" t="s">
        <v>541</v>
      </c>
      <c r="AD594" s="10" t="s">
        <v>541</v>
      </c>
    </row>
    <row r="595" spans="1:30" x14ac:dyDescent="0.2">
      <c r="A595" s="110">
        <v>594</v>
      </c>
      <c r="B595" s="132">
        <v>41825</v>
      </c>
      <c r="C595" s="117">
        <v>3</v>
      </c>
      <c r="D595" s="103" t="s">
        <v>2</v>
      </c>
      <c r="E595" s="103" t="s">
        <v>306</v>
      </c>
      <c r="F595" s="103">
        <v>755</v>
      </c>
      <c r="G595" s="103">
        <v>56</v>
      </c>
      <c r="H595" s="137" t="s">
        <v>1307</v>
      </c>
      <c r="I595" s="103">
        <v>62</v>
      </c>
      <c r="K595" s="103" t="s">
        <v>364</v>
      </c>
      <c r="L595" s="133"/>
      <c r="M595" s="134">
        <v>6.3888888888888884E-2</v>
      </c>
      <c r="N595" s="137" t="s">
        <v>1975</v>
      </c>
      <c r="O595" s="133" t="s">
        <v>802</v>
      </c>
      <c r="P595" s="100" t="s">
        <v>1786</v>
      </c>
      <c r="Q595" s="100" t="s">
        <v>1974</v>
      </c>
      <c r="R595" s="226" t="s">
        <v>1873</v>
      </c>
      <c r="S595" s="491" t="str">
        <f t="shared" si="19"/>
        <v>x</v>
      </c>
      <c r="T595" s="492">
        <f>IFERROR(VLOOKUP(F595,'Freq-Chan'!C:D,2,FALSE),"x")</f>
        <v>151.755</v>
      </c>
      <c r="U595" s="110" t="s">
        <v>541</v>
      </c>
      <c r="V595" s="110" t="str">
        <f t="shared" si="20"/>
        <v>FWL</v>
      </c>
      <c r="W595" s="110" t="s">
        <v>541</v>
      </c>
      <c r="X595" s="110" t="s">
        <v>541</v>
      </c>
      <c r="Y595" s="110" t="str">
        <f>IFERROR(VLOOKUP(F595,'Freq-Chan'!C:E,3,FALSE),"na")</f>
        <v>F1845</v>
      </c>
      <c r="Z595" s="110" t="s">
        <v>541</v>
      </c>
      <c r="AA595" s="110" t="s">
        <v>541</v>
      </c>
      <c r="AB595" s="110" t="s">
        <v>541</v>
      </c>
      <c r="AC595" s="10" t="s">
        <v>541</v>
      </c>
      <c r="AD595" s="10" t="s">
        <v>541</v>
      </c>
    </row>
    <row r="596" spans="1:30" x14ac:dyDescent="0.2">
      <c r="A596" s="110">
        <v>595</v>
      </c>
      <c r="B596" s="132">
        <v>41825</v>
      </c>
      <c r="C596" s="117">
        <v>3</v>
      </c>
      <c r="D596" s="103" t="s">
        <v>2</v>
      </c>
      <c r="E596" s="103" t="s">
        <v>306</v>
      </c>
      <c r="F596" s="103">
        <v>755</v>
      </c>
      <c r="G596" s="103">
        <v>80</v>
      </c>
      <c r="H596" s="137" t="s">
        <v>1308</v>
      </c>
      <c r="I596" s="103">
        <v>62</v>
      </c>
      <c r="K596" s="103" t="s">
        <v>364</v>
      </c>
      <c r="L596" s="133"/>
      <c r="M596" s="134">
        <v>4.0972222222222222E-2</v>
      </c>
      <c r="N596" s="137" t="s">
        <v>1976</v>
      </c>
      <c r="O596" s="133" t="s">
        <v>802</v>
      </c>
      <c r="P596" s="100" t="s">
        <v>1786</v>
      </c>
      <c r="Q596" s="100" t="s">
        <v>1974</v>
      </c>
      <c r="R596" s="226" t="s">
        <v>1873</v>
      </c>
      <c r="S596" s="491" t="str">
        <f t="shared" si="19"/>
        <v>x</v>
      </c>
      <c r="T596" s="492">
        <f>IFERROR(VLOOKUP(F596,'Freq-Chan'!C:D,2,FALSE),"x")</f>
        <v>151.755</v>
      </c>
      <c r="U596" s="110" t="s">
        <v>541</v>
      </c>
      <c r="V596" s="110" t="str">
        <f t="shared" si="20"/>
        <v>FWL</v>
      </c>
      <c r="W596" s="110" t="s">
        <v>541</v>
      </c>
      <c r="X596" s="110" t="s">
        <v>541</v>
      </c>
      <c r="Y596" s="110" t="str">
        <f>IFERROR(VLOOKUP(F596,'Freq-Chan'!C:E,3,FALSE),"na")</f>
        <v>F1845</v>
      </c>
      <c r="Z596" s="110" t="s">
        <v>541</v>
      </c>
      <c r="AA596" s="110" t="s">
        <v>541</v>
      </c>
      <c r="AB596" s="110" t="s">
        <v>541</v>
      </c>
      <c r="AC596" s="10" t="s">
        <v>541</v>
      </c>
      <c r="AD596" s="10" t="s">
        <v>541</v>
      </c>
    </row>
    <row r="597" spans="1:30" x14ac:dyDescent="0.2">
      <c r="A597" s="110">
        <v>596</v>
      </c>
      <c r="B597" s="132">
        <v>41825</v>
      </c>
      <c r="C597" s="117">
        <v>3</v>
      </c>
      <c r="D597" s="103" t="s">
        <v>177</v>
      </c>
      <c r="E597" s="103" t="s">
        <v>0</v>
      </c>
      <c r="H597" s="103"/>
      <c r="I597" s="103">
        <v>34</v>
      </c>
      <c r="K597" s="103" t="s">
        <v>364</v>
      </c>
      <c r="L597" s="133"/>
      <c r="M597" s="134">
        <v>2.7777777777777776E-2</v>
      </c>
      <c r="N597" s="137" t="s">
        <v>1637</v>
      </c>
      <c r="O597" s="133" t="s">
        <v>1663</v>
      </c>
      <c r="P597" s="100" t="s">
        <v>1977</v>
      </c>
      <c r="Q597" s="100" t="s">
        <v>1974</v>
      </c>
      <c r="R597" s="226" t="s">
        <v>1873</v>
      </c>
      <c r="S597" s="491" t="str">
        <f t="shared" si="19"/>
        <v>x</v>
      </c>
      <c r="T597" s="492" t="str">
        <f>IFERROR(VLOOKUP(F597,'Freq-Chan'!C:D,2,FALSE),"x")</f>
        <v>x</v>
      </c>
      <c r="U597" s="110" t="s">
        <v>541</v>
      </c>
      <c r="V597" s="110" t="str">
        <f t="shared" si="20"/>
        <v>FWL</v>
      </c>
      <c r="W597" s="110" t="s">
        <v>541</v>
      </c>
      <c r="X597" s="110" t="s">
        <v>541</v>
      </c>
      <c r="Y597" s="110" t="str">
        <f>IFERROR(VLOOKUP(F597,'Freq-Chan'!C:E,3,FALSE),"na")</f>
        <v>na</v>
      </c>
      <c r="Z597" s="110" t="s">
        <v>541</v>
      </c>
      <c r="AA597" s="110" t="s">
        <v>541</v>
      </c>
      <c r="AB597" s="110" t="s">
        <v>541</v>
      </c>
      <c r="AC597" s="10" t="s">
        <v>541</v>
      </c>
      <c r="AD597" s="10" t="s">
        <v>541</v>
      </c>
    </row>
    <row r="598" spans="1:30" x14ac:dyDescent="0.2">
      <c r="A598" s="110">
        <v>597</v>
      </c>
      <c r="B598" s="132">
        <v>41825</v>
      </c>
      <c r="C598" s="117">
        <v>3</v>
      </c>
      <c r="D598" s="103" t="s">
        <v>177</v>
      </c>
      <c r="E598" s="103" t="s">
        <v>0</v>
      </c>
      <c r="H598" s="103"/>
      <c r="I598" s="103">
        <v>35</v>
      </c>
      <c r="K598" s="103" t="s">
        <v>364</v>
      </c>
      <c r="L598" s="133"/>
      <c r="M598" s="134">
        <v>2.4305555555555556E-2</v>
      </c>
      <c r="N598" s="137" t="s">
        <v>1978</v>
      </c>
      <c r="O598" s="133" t="s">
        <v>1663</v>
      </c>
      <c r="P598" s="100" t="s">
        <v>1977</v>
      </c>
      <c r="Q598" s="100" t="s">
        <v>1974</v>
      </c>
      <c r="R598" s="226" t="s">
        <v>1873</v>
      </c>
      <c r="S598" s="491" t="str">
        <f t="shared" si="19"/>
        <v>x</v>
      </c>
      <c r="T598" s="492" t="str">
        <f>IFERROR(VLOOKUP(F598,'Freq-Chan'!C:D,2,FALSE),"x")</f>
        <v>x</v>
      </c>
      <c r="U598" s="110" t="s">
        <v>541</v>
      </c>
      <c r="V598" s="110" t="str">
        <f t="shared" si="20"/>
        <v>FWL</v>
      </c>
      <c r="W598" s="110" t="s">
        <v>541</v>
      </c>
      <c r="X598" s="110" t="s">
        <v>541</v>
      </c>
      <c r="Y598" s="110" t="str">
        <f>IFERROR(VLOOKUP(F598,'Freq-Chan'!C:E,3,FALSE),"na")</f>
        <v>na</v>
      </c>
      <c r="Z598" s="110" t="s">
        <v>541</v>
      </c>
      <c r="AA598" s="110" t="s">
        <v>541</v>
      </c>
      <c r="AB598" s="110" t="s">
        <v>541</v>
      </c>
      <c r="AC598" s="10" t="s">
        <v>541</v>
      </c>
      <c r="AD598" s="10" t="s">
        <v>541</v>
      </c>
    </row>
    <row r="599" spans="1:30" x14ac:dyDescent="0.2">
      <c r="A599" s="110">
        <v>598</v>
      </c>
      <c r="B599" s="132">
        <v>41825</v>
      </c>
      <c r="C599" s="117">
        <v>3</v>
      </c>
      <c r="D599" s="103" t="s">
        <v>88</v>
      </c>
      <c r="E599" s="103" t="s">
        <v>798</v>
      </c>
      <c r="H599" s="103"/>
      <c r="I599" s="103">
        <v>23</v>
      </c>
      <c r="K599" s="103" t="s">
        <v>364</v>
      </c>
      <c r="L599" s="133"/>
      <c r="M599" s="134">
        <v>1.8749999999999999E-2</v>
      </c>
      <c r="N599" s="137" t="s">
        <v>1641</v>
      </c>
      <c r="O599" s="133" t="s">
        <v>1663</v>
      </c>
      <c r="P599" s="100" t="s">
        <v>1979</v>
      </c>
      <c r="Q599" s="100" t="s">
        <v>1974</v>
      </c>
      <c r="R599" s="226" t="s">
        <v>1873</v>
      </c>
      <c r="S599" s="491" t="str">
        <f t="shared" si="19"/>
        <v>x</v>
      </c>
      <c r="T599" s="492" t="str">
        <f>IFERROR(VLOOKUP(F599,'Freq-Chan'!C:D,2,FALSE),"x")</f>
        <v>x</v>
      </c>
      <c r="U599" s="110" t="s">
        <v>541</v>
      </c>
      <c r="V599" s="110" t="str">
        <f t="shared" si="20"/>
        <v>FWL</v>
      </c>
      <c r="W599" s="110" t="s">
        <v>541</v>
      </c>
      <c r="X599" s="110" t="s">
        <v>541</v>
      </c>
      <c r="Y599" s="110" t="str">
        <f>IFERROR(VLOOKUP(F599,'Freq-Chan'!C:E,3,FALSE),"na")</f>
        <v>na</v>
      </c>
      <c r="Z599" s="110" t="s">
        <v>541</v>
      </c>
      <c r="AA599" s="110" t="s">
        <v>541</v>
      </c>
      <c r="AB599" s="110" t="s">
        <v>541</v>
      </c>
      <c r="AC599" s="10" t="s">
        <v>541</v>
      </c>
      <c r="AD599" s="10" t="s">
        <v>541</v>
      </c>
    </row>
    <row r="600" spans="1:30" x14ac:dyDescent="0.2">
      <c r="A600" s="110">
        <v>599</v>
      </c>
      <c r="B600" s="132">
        <v>41825</v>
      </c>
      <c r="C600" s="117">
        <v>3</v>
      </c>
      <c r="D600" s="103" t="s">
        <v>2</v>
      </c>
      <c r="E600" s="103" t="s">
        <v>306</v>
      </c>
      <c r="F600" s="103">
        <v>784</v>
      </c>
      <c r="G600" s="103">
        <v>17</v>
      </c>
      <c r="I600" s="103">
        <v>104</v>
      </c>
      <c r="K600" s="103" t="s">
        <v>364</v>
      </c>
      <c r="L600" s="133">
        <v>0.2986111111111111</v>
      </c>
      <c r="M600" s="134">
        <v>7.0833333333333331E-2</v>
      </c>
      <c r="N600" s="135" t="s">
        <v>1980</v>
      </c>
      <c r="O600" s="133" t="s">
        <v>1663</v>
      </c>
      <c r="P600" s="100" t="s">
        <v>1981</v>
      </c>
      <c r="Q600" s="100" t="s">
        <v>1974</v>
      </c>
      <c r="R600" s="226" t="s">
        <v>1873</v>
      </c>
      <c r="S600" s="491">
        <f t="shared" si="19"/>
        <v>7.8472222000000001E-3</v>
      </c>
      <c r="T600" s="492">
        <f>IFERROR(VLOOKUP(F600,'Freq-Chan'!C:D,2,FALSE),"x")</f>
        <v>151.78399999999999</v>
      </c>
      <c r="U600" s="110" t="s">
        <v>541</v>
      </c>
      <c r="V600" s="110" t="str">
        <f t="shared" si="20"/>
        <v>FWL</v>
      </c>
      <c r="W600" s="110" t="s">
        <v>541</v>
      </c>
      <c r="X600" s="110" t="s">
        <v>541</v>
      </c>
      <c r="Y600" s="110" t="str">
        <f>IFERROR(VLOOKUP(F600,'Freq-Chan'!C:E,3,FALSE),"na")</f>
        <v>F1845</v>
      </c>
      <c r="Z600" s="110" t="s">
        <v>541</v>
      </c>
      <c r="AA600" s="110" t="s">
        <v>541</v>
      </c>
      <c r="AB600" s="110" t="s">
        <v>541</v>
      </c>
      <c r="AC600" s="10" t="s">
        <v>541</v>
      </c>
      <c r="AD600" s="10" t="s">
        <v>541</v>
      </c>
    </row>
    <row r="601" spans="1:30" x14ac:dyDescent="0.2">
      <c r="A601" s="110">
        <v>600</v>
      </c>
      <c r="B601" s="132">
        <v>41825</v>
      </c>
      <c r="C601" s="117">
        <v>3</v>
      </c>
      <c r="D601" s="103" t="s">
        <v>88</v>
      </c>
      <c r="E601" s="103" t="s">
        <v>798</v>
      </c>
      <c r="H601" s="103"/>
      <c r="J601" s="103">
        <v>33</v>
      </c>
      <c r="K601" s="103" t="s">
        <v>364</v>
      </c>
      <c r="L601" s="133"/>
      <c r="M601" s="134">
        <v>2.0833333333333332E-2</v>
      </c>
      <c r="N601" s="137" t="s">
        <v>1982</v>
      </c>
      <c r="O601" s="133" t="s">
        <v>802</v>
      </c>
      <c r="Q601" s="100" t="s">
        <v>1974</v>
      </c>
      <c r="R601" s="226" t="s">
        <v>1873</v>
      </c>
      <c r="S601" s="491" t="str">
        <f t="shared" si="19"/>
        <v>x</v>
      </c>
      <c r="T601" s="492" t="str">
        <f>IFERROR(VLOOKUP(F601,'Freq-Chan'!C:D,2,FALSE),"x")</f>
        <v>x</v>
      </c>
      <c r="U601" s="110" t="s">
        <v>541</v>
      </c>
      <c r="V601" s="110" t="str">
        <f t="shared" si="20"/>
        <v>FWL</v>
      </c>
      <c r="W601" s="110" t="s">
        <v>541</v>
      </c>
      <c r="X601" s="110" t="s">
        <v>541</v>
      </c>
      <c r="Y601" s="110" t="str">
        <f>IFERROR(VLOOKUP(F601,'Freq-Chan'!C:E,3,FALSE),"na")</f>
        <v>na</v>
      </c>
      <c r="Z601" s="110" t="s">
        <v>541</v>
      </c>
      <c r="AA601" s="110" t="s">
        <v>541</v>
      </c>
      <c r="AB601" s="110" t="s">
        <v>541</v>
      </c>
      <c r="AC601" s="10" t="s">
        <v>541</v>
      </c>
      <c r="AD601" s="10" t="s">
        <v>541</v>
      </c>
    </row>
    <row r="602" spans="1:30" x14ac:dyDescent="0.2">
      <c r="A602" s="110">
        <v>601</v>
      </c>
      <c r="B602" s="132">
        <v>41825</v>
      </c>
      <c r="C602" s="117">
        <v>3</v>
      </c>
      <c r="D602" s="103" t="s">
        <v>2</v>
      </c>
      <c r="E602" s="103" t="s">
        <v>306</v>
      </c>
      <c r="F602" s="103">
        <v>784</v>
      </c>
      <c r="G602" s="103">
        <v>44</v>
      </c>
      <c r="H602" s="137" t="s">
        <v>1309</v>
      </c>
      <c r="I602" s="103">
        <v>54</v>
      </c>
      <c r="K602" s="103" t="s">
        <v>364</v>
      </c>
      <c r="L602" s="133">
        <v>0.45833333333333331</v>
      </c>
      <c r="M602" s="134">
        <v>5.6944444444444443E-2</v>
      </c>
      <c r="N602" s="137" t="s">
        <v>1769</v>
      </c>
      <c r="O602" s="133" t="s">
        <v>376</v>
      </c>
      <c r="Q602" s="100" t="s">
        <v>1949</v>
      </c>
      <c r="R602" s="226" t="s">
        <v>1873</v>
      </c>
      <c r="S602" s="491">
        <f t="shared" si="19"/>
        <v>8.7731480999999993E-3</v>
      </c>
      <c r="T602" s="492">
        <f>IFERROR(VLOOKUP(F602,'Freq-Chan'!C:D,2,FALSE),"x")</f>
        <v>151.78399999999999</v>
      </c>
      <c r="U602" s="110" t="s">
        <v>541</v>
      </c>
      <c r="V602" s="110" t="str">
        <f t="shared" si="20"/>
        <v>FWL</v>
      </c>
      <c r="W602" s="110" t="s">
        <v>541</v>
      </c>
      <c r="X602" s="110" t="s">
        <v>541</v>
      </c>
      <c r="Y602" s="110" t="str">
        <f>IFERROR(VLOOKUP(F602,'Freq-Chan'!C:E,3,FALSE),"na")</f>
        <v>F1845</v>
      </c>
      <c r="Z602" s="110" t="s">
        <v>541</v>
      </c>
      <c r="AA602" s="110" t="s">
        <v>541</v>
      </c>
      <c r="AB602" s="110" t="s">
        <v>541</v>
      </c>
      <c r="AC602" s="10" t="s">
        <v>541</v>
      </c>
      <c r="AD602" s="10" t="s">
        <v>541</v>
      </c>
    </row>
    <row r="603" spans="1:30" x14ac:dyDescent="0.2">
      <c r="A603" s="110">
        <v>602</v>
      </c>
      <c r="B603" s="132">
        <v>41825</v>
      </c>
      <c r="C603" s="117">
        <v>3</v>
      </c>
      <c r="D603" s="103" t="s">
        <v>2</v>
      </c>
      <c r="E603" s="103" t="s">
        <v>306</v>
      </c>
      <c r="F603" s="103">
        <v>784</v>
      </c>
      <c r="G603" s="103">
        <v>61</v>
      </c>
      <c r="H603" s="137" t="s">
        <v>1310</v>
      </c>
      <c r="I603" s="103">
        <v>80</v>
      </c>
      <c r="K603" s="103" t="s">
        <v>364</v>
      </c>
      <c r="L603" s="133"/>
      <c r="M603" s="134">
        <v>6.3888888888888884E-2</v>
      </c>
      <c r="N603" s="137" t="s">
        <v>1831</v>
      </c>
      <c r="O603" s="133" t="s">
        <v>376</v>
      </c>
      <c r="Q603" s="100" t="s">
        <v>1949</v>
      </c>
      <c r="R603" s="226" t="s">
        <v>1873</v>
      </c>
      <c r="S603" s="491" t="str">
        <f t="shared" si="19"/>
        <v>x</v>
      </c>
      <c r="T603" s="492">
        <f>IFERROR(VLOOKUP(F603,'Freq-Chan'!C:D,2,FALSE),"x")</f>
        <v>151.78399999999999</v>
      </c>
      <c r="U603" s="110" t="s">
        <v>541</v>
      </c>
      <c r="V603" s="110" t="str">
        <f t="shared" si="20"/>
        <v>FWL</v>
      </c>
      <c r="W603" s="110" t="s">
        <v>541</v>
      </c>
      <c r="X603" s="110" t="s">
        <v>541</v>
      </c>
      <c r="Y603" s="110" t="str">
        <f>IFERROR(VLOOKUP(F603,'Freq-Chan'!C:E,3,FALSE),"na")</f>
        <v>F1845</v>
      </c>
      <c r="Z603" s="110" t="s">
        <v>541</v>
      </c>
      <c r="AA603" s="110" t="s">
        <v>541</v>
      </c>
      <c r="AB603" s="110" t="s">
        <v>541</v>
      </c>
      <c r="AC603" s="10" t="s">
        <v>541</v>
      </c>
      <c r="AD603" s="10" t="s">
        <v>541</v>
      </c>
    </row>
    <row r="604" spans="1:30" x14ac:dyDescent="0.2">
      <c r="A604" s="110">
        <v>603</v>
      </c>
      <c r="B604" s="132">
        <v>41825</v>
      </c>
      <c r="C604" s="117">
        <v>3</v>
      </c>
      <c r="D604" s="103" t="s">
        <v>2</v>
      </c>
      <c r="E604" s="103" t="s">
        <v>306</v>
      </c>
      <c r="F604" s="103">
        <v>755</v>
      </c>
      <c r="G604" s="103">
        <v>53</v>
      </c>
      <c r="H604" s="137" t="s">
        <v>1311</v>
      </c>
      <c r="I604" s="103">
        <v>94</v>
      </c>
      <c r="K604" s="103" t="s">
        <v>364</v>
      </c>
      <c r="L604" s="133"/>
      <c r="M604" s="134">
        <v>7.2916666666666671E-2</v>
      </c>
      <c r="N604" s="135" t="s">
        <v>1983</v>
      </c>
      <c r="O604" s="133" t="s">
        <v>804</v>
      </c>
      <c r="Q604" s="100" t="s">
        <v>1949</v>
      </c>
      <c r="R604" s="226" t="s">
        <v>1873</v>
      </c>
      <c r="S604" s="491" t="str">
        <f t="shared" si="19"/>
        <v>x</v>
      </c>
      <c r="T604" s="492">
        <f>IFERROR(VLOOKUP(F604,'Freq-Chan'!C:D,2,FALSE),"x")</f>
        <v>151.755</v>
      </c>
      <c r="U604" s="110" t="s">
        <v>541</v>
      </c>
      <c r="V604" s="110" t="str">
        <f t="shared" si="20"/>
        <v>FWL</v>
      </c>
      <c r="W604" s="110" t="s">
        <v>541</v>
      </c>
      <c r="X604" s="110" t="s">
        <v>541</v>
      </c>
      <c r="Y604" s="110" t="str">
        <f>IFERROR(VLOOKUP(F604,'Freq-Chan'!C:E,3,FALSE),"na")</f>
        <v>F1845</v>
      </c>
      <c r="Z604" s="110" t="s">
        <v>541</v>
      </c>
      <c r="AA604" s="110" t="s">
        <v>541</v>
      </c>
      <c r="AB604" s="110" t="s">
        <v>541</v>
      </c>
      <c r="AC604" s="10" t="s">
        <v>541</v>
      </c>
      <c r="AD604" s="10" t="s">
        <v>541</v>
      </c>
    </row>
    <row r="605" spans="1:30" x14ac:dyDescent="0.2">
      <c r="A605" s="110">
        <v>604</v>
      </c>
      <c r="B605" s="132">
        <v>41825</v>
      </c>
      <c r="C605" s="117">
        <v>3</v>
      </c>
      <c r="D605" s="103" t="s">
        <v>2</v>
      </c>
      <c r="E605" s="103" t="s">
        <v>306</v>
      </c>
      <c r="F605" s="103">
        <v>755</v>
      </c>
      <c r="G605" s="103">
        <v>16</v>
      </c>
      <c r="H605" s="137" t="s">
        <v>1312</v>
      </c>
      <c r="I605" s="103">
        <v>81</v>
      </c>
      <c r="K605" s="103" t="s">
        <v>364</v>
      </c>
      <c r="L605" s="133"/>
      <c r="M605" s="134">
        <v>8.4722222222222213E-2</v>
      </c>
      <c r="N605" s="137" t="s">
        <v>1984</v>
      </c>
      <c r="O605" s="133" t="s">
        <v>804</v>
      </c>
      <c r="Q605" s="100" t="s">
        <v>1949</v>
      </c>
      <c r="R605" s="226" t="s">
        <v>1873</v>
      </c>
      <c r="S605" s="491" t="str">
        <f t="shared" si="19"/>
        <v>x</v>
      </c>
      <c r="T605" s="492">
        <f>IFERROR(VLOOKUP(F605,'Freq-Chan'!C:D,2,FALSE),"x")</f>
        <v>151.755</v>
      </c>
      <c r="U605" s="110" t="s">
        <v>541</v>
      </c>
      <c r="V605" s="110" t="str">
        <f t="shared" si="20"/>
        <v>FWL</v>
      </c>
      <c r="W605" s="110" t="s">
        <v>541</v>
      </c>
      <c r="X605" s="110" t="s">
        <v>541</v>
      </c>
      <c r="Y605" s="110" t="str">
        <f>IFERROR(VLOOKUP(F605,'Freq-Chan'!C:E,3,FALSE),"na")</f>
        <v>F1845</v>
      </c>
      <c r="Z605" s="110" t="s">
        <v>541</v>
      </c>
      <c r="AA605" s="110" t="s">
        <v>541</v>
      </c>
      <c r="AB605" s="110" t="s">
        <v>541</v>
      </c>
      <c r="AC605" s="10" t="s">
        <v>541</v>
      </c>
      <c r="AD605" s="10" t="s">
        <v>541</v>
      </c>
    </row>
    <row r="606" spans="1:30" x14ac:dyDescent="0.2">
      <c r="A606" s="110">
        <v>605</v>
      </c>
      <c r="B606" s="132">
        <v>41825</v>
      </c>
      <c r="C606" s="117">
        <v>3</v>
      </c>
      <c r="D606" s="103" t="s">
        <v>2</v>
      </c>
      <c r="E606" s="103" t="s">
        <v>306</v>
      </c>
      <c r="F606" s="103">
        <v>755</v>
      </c>
      <c r="G606" s="103">
        <v>47</v>
      </c>
      <c r="H606" s="137" t="s">
        <v>1313</v>
      </c>
      <c r="I606" s="103">
        <v>94</v>
      </c>
      <c r="K606" s="103" t="s">
        <v>364</v>
      </c>
      <c r="L606" s="133"/>
      <c r="M606" s="140">
        <v>9.0277777777777776E-2</v>
      </c>
      <c r="N606" s="135" t="s">
        <v>1968</v>
      </c>
      <c r="O606" s="133" t="s">
        <v>1663</v>
      </c>
      <c r="Q606" s="100" t="s">
        <v>1974</v>
      </c>
      <c r="R606" s="226" t="s">
        <v>1873</v>
      </c>
      <c r="S606" s="491" t="str">
        <f t="shared" si="19"/>
        <v>x</v>
      </c>
      <c r="T606" s="492">
        <f>IFERROR(VLOOKUP(F606,'Freq-Chan'!C:D,2,FALSE),"x")</f>
        <v>151.755</v>
      </c>
      <c r="U606" s="110" t="s">
        <v>541</v>
      </c>
      <c r="V606" s="110" t="str">
        <f t="shared" si="20"/>
        <v>FWL</v>
      </c>
      <c r="W606" s="110" t="s">
        <v>541</v>
      </c>
      <c r="X606" s="110" t="s">
        <v>541</v>
      </c>
      <c r="Y606" s="110" t="str">
        <f>IFERROR(VLOOKUP(F606,'Freq-Chan'!C:E,3,FALSE),"na")</f>
        <v>F1845</v>
      </c>
      <c r="Z606" s="110" t="s">
        <v>541</v>
      </c>
      <c r="AA606" s="110" t="s">
        <v>541</v>
      </c>
      <c r="AB606" s="110" t="s">
        <v>541</v>
      </c>
      <c r="AC606" s="10" t="s">
        <v>541</v>
      </c>
      <c r="AD606" s="10" t="s">
        <v>541</v>
      </c>
    </row>
    <row r="607" spans="1:30" x14ac:dyDescent="0.2">
      <c r="A607" s="110">
        <v>606</v>
      </c>
      <c r="B607" s="132">
        <v>41825</v>
      </c>
      <c r="C607" s="117">
        <v>3</v>
      </c>
      <c r="D607" s="103" t="s">
        <v>2</v>
      </c>
      <c r="E607" s="103" t="s">
        <v>306</v>
      </c>
      <c r="F607" s="103">
        <v>784</v>
      </c>
      <c r="G607" s="103">
        <v>41</v>
      </c>
      <c r="H607" s="137" t="s">
        <v>1314</v>
      </c>
      <c r="I607" s="103">
        <v>86</v>
      </c>
      <c r="K607" s="103" t="s">
        <v>364</v>
      </c>
      <c r="L607" s="133"/>
      <c r="M607" s="140">
        <v>5.5555555555555552E-2</v>
      </c>
      <c r="N607" s="135" t="s">
        <v>1985</v>
      </c>
      <c r="O607" s="133" t="s">
        <v>1663</v>
      </c>
      <c r="Q607" s="100" t="s">
        <v>1974</v>
      </c>
      <c r="R607" s="226" t="s">
        <v>1873</v>
      </c>
      <c r="S607" s="491" t="str">
        <f t="shared" si="19"/>
        <v>x</v>
      </c>
      <c r="T607" s="492">
        <f>IFERROR(VLOOKUP(F607,'Freq-Chan'!C:D,2,FALSE),"x")</f>
        <v>151.78399999999999</v>
      </c>
      <c r="U607" s="110" t="s">
        <v>541</v>
      </c>
      <c r="V607" s="110" t="str">
        <f t="shared" si="20"/>
        <v>FWL</v>
      </c>
      <c r="W607" s="110" t="s">
        <v>541</v>
      </c>
      <c r="X607" s="110" t="s">
        <v>541</v>
      </c>
      <c r="Y607" s="110" t="str">
        <f>IFERROR(VLOOKUP(F607,'Freq-Chan'!C:E,3,FALSE),"na")</f>
        <v>F1845</v>
      </c>
      <c r="Z607" s="110" t="s">
        <v>541</v>
      </c>
      <c r="AA607" s="110" t="s">
        <v>541</v>
      </c>
      <c r="AB607" s="110" t="s">
        <v>541</v>
      </c>
      <c r="AC607" s="10" t="s">
        <v>541</v>
      </c>
      <c r="AD607" s="10" t="s">
        <v>541</v>
      </c>
    </row>
    <row r="608" spans="1:30" x14ac:dyDescent="0.2">
      <c r="A608" s="110">
        <v>607</v>
      </c>
      <c r="B608" s="132">
        <v>41825</v>
      </c>
      <c r="C608" s="117">
        <v>3</v>
      </c>
      <c r="D608" s="103" t="s">
        <v>2</v>
      </c>
      <c r="E608" s="103" t="s">
        <v>306</v>
      </c>
      <c r="F608" s="103">
        <v>755</v>
      </c>
      <c r="G608" s="103">
        <v>61</v>
      </c>
      <c r="H608" s="137" t="s">
        <v>1315</v>
      </c>
      <c r="I608" s="103">
        <v>51</v>
      </c>
      <c r="K608" s="103" t="s">
        <v>364</v>
      </c>
      <c r="L608" s="133"/>
      <c r="M608" s="140">
        <v>4.5833333333333337E-2</v>
      </c>
      <c r="N608" s="135" t="s">
        <v>1986</v>
      </c>
      <c r="O608" s="133" t="s">
        <v>802</v>
      </c>
      <c r="Q608" s="100" t="s">
        <v>1974</v>
      </c>
      <c r="R608" s="226" t="s">
        <v>1873</v>
      </c>
      <c r="S608" s="491" t="str">
        <f t="shared" si="19"/>
        <v>x</v>
      </c>
      <c r="T608" s="492">
        <f>IFERROR(VLOOKUP(F608,'Freq-Chan'!C:D,2,FALSE),"x")</f>
        <v>151.755</v>
      </c>
      <c r="U608" s="110" t="s">
        <v>541</v>
      </c>
      <c r="V608" s="110" t="str">
        <f t="shared" si="20"/>
        <v>FWL</v>
      </c>
      <c r="W608" s="110" t="s">
        <v>541</v>
      </c>
      <c r="X608" s="110" t="s">
        <v>541</v>
      </c>
      <c r="Y608" s="110" t="str">
        <f>IFERROR(VLOOKUP(F608,'Freq-Chan'!C:E,3,FALSE),"na")</f>
        <v>F1845</v>
      </c>
      <c r="Z608" s="110" t="s">
        <v>541</v>
      </c>
      <c r="AA608" s="110" t="s">
        <v>541</v>
      </c>
      <c r="AB608" s="110" t="s">
        <v>541</v>
      </c>
      <c r="AC608" s="10" t="s">
        <v>541</v>
      </c>
      <c r="AD608" s="10" t="s">
        <v>541</v>
      </c>
    </row>
    <row r="609" spans="1:30" x14ac:dyDescent="0.2">
      <c r="A609" s="110">
        <v>608</v>
      </c>
      <c r="B609" s="132">
        <v>41825</v>
      </c>
      <c r="C609" s="117">
        <v>3</v>
      </c>
      <c r="D609" s="103" t="s">
        <v>2</v>
      </c>
      <c r="E609" s="103" t="s">
        <v>306</v>
      </c>
      <c r="F609" s="103">
        <v>784</v>
      </c>
      <c r="G609" s="103">
        <v>78</v>
      </c>
      <c r="H609" s="137" t="s">
        <v>1337</v>
      </c>
      <c r="I609" s="103">
        <v>51</v>
      </c>
      <c r="K609" s="103" t="s">
        <v>364</v>
      </c>
      <c r="L609" s="133"/>
      <c r="M609" s="134">
        <v>6.25E-2</v>
      </c>
      <c r="N609" s="135" t="s">
        <v>1987</v>
      </c>
      <c r="O609" s="133" t="s">
        <v>802</v>
      </c>
      <c r="Q609" s="100" t="s">
        <v>1974</v>
      </c>
      <c r="R609" s="226" t="s">
        <v>1873</v>
      </c>
      <c r="S609" s="491" t="str">
        <f t="shared" si="19"/>
        <v>x</v>
      </c>
      <c r="T609" s="492">
        <f>IFERROR(VLOOKUP(F609,'Freq-Chan'!C:D,2,FALSE),"x")</f>
        <v>151.78399999999999</v>
      </c>
      <c r="U609" s="110" t="s">
        <v>541</v>
      </c>
      <c r="V609" s="110" t="str">
        <f t="shared" si="20"/>
        <v>FWL</v>
      </c>
      <c r="W609" s="110" t="s">
        <v>541</v>
      </c>
      <c r="X609" s="110" t="s">
        <v>541</v>
      </c>
      <c r="Y609" s="110" t="str">
        <f>IFERROR(VLOOKUP(F609,'Freq-Chan'!C:E,3,FALSE),"na")</f>
        <v>F1845</v>
      </c>
      <c r="Z609" s="110" t="s">
        <v>541</v>
      </c>
      <c r="AA609" s="110" t="s">
        <v>541</v>
      </c>
      <c r="AB609" s="110" t="s">
        <v>541</v>
      </c>
      <c r="AC609" s="10" t="s">
        <v>541</v>
      </c>
      <c r="AD609" s="10" t="s">
        <v>541</v>
      </c>
    </row>
    <row r="610" spans="1:30" x14ac:dyDescent="0.2">
      <c r="A610" s="110">
        <v>609</v>
      </c>
      <c r="B610" s="132">
        <v>41825</v>
      </c>
      <c r="C610" s="117">
        <v>3</v>
      </c>
      <c r="D610" s="103" t="s">
        <v>2</v>
      </c>
      <c r="E610" s="103" t="s">
        <v>306</v>
      </c>
      <c r="F610" s="103">
        <v>755</v>
      </c>
      <c r="G610" s="103">
        <v>30</v>
      </c>
      <c r="H610" s="137" t="s">
        <v>1338</v>
      </c>
      <c r="I610" s="103">
        <v>56</v>
      </c>
      <c r="K610" s="103" t="s">
        <v>364</v>
      </c>
      <c r="L610" s="133"/>
      <c r="M610" s="134">
        <v>4.027777777777778E-2</v>
      </c>
      <c r="N610" s="135" t="s">
        <v>1988</v>
      </c>
      <c r="O610" s="133" t="s">
        <v>802</v>
      </c>
      <c r="P610" s="100" t="s">
        <v>1989</v>
      </c>
      <c r="Q610" s="100" t="s">
        <v>1974</v>
      </c>
      <c r="R610" s="226" t="s">
        <v>1873</v>
      </c>
      <c r="S610" s="491" t="str">
        <f t="shared" si="19"/>
        <v>x</v>
      </c>
      <c r="T610" s="492">
        <f>IFERROR(VLOOKUP(F610,'Freq-Chan'!C:D,2,FALSE),"x")</f>
        <v>151.755</v>
      </c>
      <c r="U610" s="110" t="s">
        <v>541</v>
      </c>
      <c r="V610" s="110" t="str">
        <f t="shared" si="20"/>
        <v>FWL</v>
      </c>
      <c r="W610" s="110" t="s">
        <v>541</v>
      </c>
      <c r="X610" s="110" t="s">
        <v>541</v>
      </c>
      <c r="Y610" s="110" t="str">
        <f>IFERROR(VLOOKUP(F610,'Freq-Chan'!C:E,3,FALSE),"na")</f>
        <v>F1845</v>
      </c>
      <c r="Z610" s="110" t="s">
        <v>541</v>
      </c>
      <c r="AA610" s="110" t="s">
        <v>541</v>
      </c>
      <c r="AB610" s="110" t="s">
        <v>541</v>
      </c>
      <c r="AC610" s="10" t="s">
        <v>541</v>
      </c>
      <c r="AD610" s="10" t="s">
        <v>541</v>
      </c>
    </row>
    <row r="611" spans="1:30" x14ac:dyDescent="0.2">
      <c r="A611" s="110">
        <v>610</v>
      </c>
      <c r="B611" s="132">
        <v>41825</v>
      </c>
      <c r="C611" s="117">
        <v>3</v>
      </c>
      <c r="D611" s="103" t="s">
        <v>2</v>
      </c>
      <c r="E611" s="103" t="s">
        <v>306</v>
      </c>
      <c r="F611" s="103">
        <v>755</v>
      </c>
      <c r="G611" s="103">
        <v>12</v>
      </c>
      <c r="H611" s="137" t="s">
        <v>1339</v>
      </c>
      <c r="I611" s="103">
        <v>83</v>
      </c>
      <c r="K611" s="103" t="s">
        <v>364</v>
      </c>
      <c r="L611" s="133">
        <v>0.73263888888888884</v>
      </c>
      <c r="M611" s="134">
        <v>5.486111111111111E-2</v>
      </c>
      <c r="N611" s="135" t="s">
        <v>1669</v>
      </c>
      <c r="O611" s="133" t="s">
        <v>802</v>
      </c>
      <c r="P611" s="100" t="s">
        <v>1990</v>
      </c>
      <c r="Q611" s="100" t="s">
        <v>1974</v>
      </c>
      <c r="R611" s="226" t="s">
        <v>1873</v>
      </c>
      <c r="S611" s="491">
        <f t="shared" si="19"/>
        <v>9.5023147999999998E-3</v>
      </c>
      <c r="T611" s="492">
        <f>IFERROR(VLOOKUP(F611,'Freq-Chan'!C:D,2,FALSE),"x")</f>
        <v>151.755</v>
      </c>
      <c r="U611" s="110" t="s">
        <v>541</v>
      </c>
      <c r="V611" s="110" t="str">
        <f t="shared" si="20"/>
        <v>FWL</v>
      </c>
      <c r="W611" s="110" t="s">
        <v>541</v>
      </c>
      <c r="X611" s="110" t="s">
        <v>541</v>
      </c>
      <c r="Y611" s="110" t="str">
        <f>IFERROR(VLOOKUP(F611,'Freq-Chan'!C:E,3,FALSE),"na")</f>
        <v>F1845</v>
      </c>
      <c r="Z611" s="110" t="s">
        <v>541</v>
      </c>
      <c r="AA611" s="110" t="s">
        <v>541</v>
      </c>
      <c r="AB611" s="110" t="s">
        <v>541</v>
      </c>
      <c r="AC611" s="10" t="s">
        <v>541</v>
      </c>
      <c r="AD611" s="10" t="s">
        <v>541</v>
      </c>
    </row>
    <row r="612" spans="1:30" x14ac:dyDescent="0.2">
      <c r="A612" s="110">
        <v>611</v>
      </c>
      <c r="B612" s="132">
        <v>41825</v>
      </c>
      <c r="C612" s="117">
        <v>3</v>
      </c>
      <c r="D612" s="103" t="s">
        <v>2</v>
      </c>
      <c r="E612" s="103" t="s">
        <v>306</v>
      </c>
      <c r="F612" s="103">
        <v>755</v>
      </c>
      <c r="G612" s="103">
        <v>32</v>
      </c>
      <c r="H612" s="137" t="s">
        <v>1340</v>
      </c>
      <c r="I612" s="103">
        <v>91</v>
      </c>
      <c r="K612" s="103" t="s">
        <v>364</v>
      </c>
      <c r="L612" s="133">
        <v>0.7597222222222223</v>
      </c>
      <c r="M612" s="134">
        <v>5.9722222222222225E-2</v>
      </c>
      <c r="N612" s="137" t="s">
        <v>719</v>
      </c>
      <c r="O612" s="133" t="s">
        <v>1663</v>
      </c>
      <c r="P612" s="100" t="s">
        <v>1991</v>
      </c>
      <c r="Q612" s="100" t="s">
        <v>1974</v>
      </c>
      <c r="R612" s="226" t="s">
        <v>1873</v>
      </c>
      <c r="S612" s="491">
        <f t="shared" si="19"/>
        <v>2.4768518999999998E-3</v>
      </c>
      <c r="T612" s="492">
        <f>IFERROR(VLOOKUP(F612,'Freq-Chan'!C:D,2,FALSE),"x")</f>
        <v>151.755</v>
      </c>
      <c r="U612" s="110" t="s">
        <v>541</v>
      </c>
      <c r="V612" s="110" t="str">
        <f t="shared" si="20"/>
        <v>FWL</v>
      </c>
      <c r="W612" s="110" t="s">
        <v>541</v>
      </c>
      <c r="X612" s="110" t="s">
        <v>541</v>
      </c>
      <c r="Y612" s="110" t="str">
        <f>IFERROR(VLOOKUP(F612,'Freq-Chan'!C:E,3,FALSE),"na")</f>
        <v>F1845</v>
      </c>
      <c r="Z612" s="110" t="s">
        <v>541</v>
      </c>
      <c r="AA612" s="110" t="s">
        <v>541</v>
      </c>
      <c r="AB612" s="110" t="s">
        <v>541</v>
      </c>
      <c r="AC612" s="10" t="s">
        <v>541</v>
      </c>
      <c r="AD612" s="10" t="s">
        <v>541</v>
      </c>
    </row>
    <row r="613" spans="1:30" x14ac:dyDescent="0.2">
      <c r="A613" s="110">
        <v>612</v>
      </c>
      <c r="B613" s="132">
        <v>41825</v>
      </c>
      <c r="C613" s="117">
        <v>3</v>
      </c>
      <c r="D613" s="103" t="s">
        <v>88</v>
      </c>
      <c r="E613" s="103" t="s">
        <v>798</v>
      </c>
      <c r="H613" s="103"/>
      <c r="J613" s="103">
        <v>17</v>
      </c>
      <c r="K613" s="103" t="s">
        <v>364</v>
      </c>
      <c r="L613" s="133">
        <v>0.77916666666666667</v>
      </c>
      <c r="M613" s="134">
        <v>1.3888888888888888E-2</v>
      </c>
      <c r="N613" s="135" t="s">
        <v>881</v>
      </c>
      <c r="O613" s="133" t="s">
        <v>802</v>
      </c>
      <c r="Q613" s="100" t="s">
        <v>1974</v>
      </c>
      <c r="R613" s="226" t="s">
        <v>1873</v>
      </c>
      <c r="S613" s="491">
        <f t="shared" si="19"/>
        <v>2.5462963000000001E-3</v>
      </c>
      <c r="T613" s="492" t="str">
        <f>IFERROR(VLOOKUP(F613,'Freq-Chan'!C:D,2,FALSE),"x")</f>
        <v>x</v>
      </c>
      <c r="U613" s="110" t="s">
        <v>541</v>
      </c>
      <c r="V613" s="110" t="str">
        <f t="shared" si="20"/>
        <v>FWL</v>
      </c>
      <c r="W613" s="110" t="s">
        <v>541</v>
      </c>
      <c r="X613" s="110" t="s">
        <v>541</v>
      </c>
      <c r="Y613" s="110" t="str">
        <f>IFERROR(VLOOKUP(F613,'Freq-Chan'!C:E,3,FALSE),"na")</f>
        <v>na</v>
      </c>
      <c r="Z613" s="110" t="s">
        <v>541</v>
      </c>
      <c r="AA613" s="110" t="s">
        <v>541</v>
      </c>
      <c r="AB613" s="110" t="s">
        <v>541</v>
      </c>
      <c r="AC613" s="10" t="s">
        <v>541</v>
      </c>
      <c r="AD613" s="10" t="s">
        <v>541</v>
      </c>
    </row>
    <row r="614" spans="1:30" x14ac:dyDescent="0.2">
      <c r="A614" s="110">
        <v>613</v>
      </c>
      <c r="B614" s="132">
        <v>41825</v>
      </c>
      <c r="C614" s="117">
        <v>3</v>
      </c>
      <c r="D614" s="103" t="s">
        <v>88</v>
      </c>
      <c r="E614" s="103" t="s">
        <v>798</v>
      </c>
      <c r="H614" s="103"/>
      <c r="J614" s="103">
        <v>26</v>
      </c>
      <c r="K614" s="103" t="s">
        <v>364</v>
      </c>
      <c r="L614" s="133"/>
      <c r="M614" s="134">
        <v>2.0833333333333332E-2</v>
      </c>
      <c r="N614" s="135" t="s">
        <v>1785</v>
      </c>
      <c r="O614" s="133" t="s">
        <v>1663</v>
      </c>
      <c r="Q614" s="100" t="s">
        <v>1974</v>
      </c>
      <c r="R614" s="226" t="s">
        <v>1873</v>
      </c>
      <c r="S614" s="491" t="str">
        <f t="shared" si="19"/>
        <v>x</v>
      </c>
      <c r="T614" s="492" t="str">
        <f>IFERROR(VLOOKUP(F614,'Freq-Chan'!C:D,2,FALSE),"x")</f>
        <v>x</v>
      </c>
      <c r="U614" s="110" t="s">
        <v>541</v>
      </c>
      <c r="V614" s="110" t="str">
        <f t="shared" si="20"/>
        <v>FWL</v>
      </c>
      <c r="W614" s="110" t="s">
        <v>541</v>
      </c>
      <c r="X614" s="110" t="s">
        <v>541</v>
      </c>
      <c r="Y614" s="110" t="str">
        <f>IFERROR(VLOOKUP(F614,'Freq-Chan'!C:E,3,FALSE),"na")</f>
        <v>na</v>
      </c>
      <c r="Z614" s="110" t="s">
        <v>541</v>
      </c>
      <c r="AA614" s="110" t="s">
        <v>541</v>
      </c>
      <c r="AB614" s="110" t="s">
        <v>541</v>
      </c>
      <c r="AC614" s="10" t="s">
        <v>541</v>
      </c>
      <c r="AD614" s="10" t="s">
        <v>541</v>
      </c>
    </row>
    <row r="615" spans="1:30" x14ac:dyDescent="0.2">
      <c r="A615" s="110">
        <v>614</v>
      </c>
      <c r="B615" s="132">
        <v>41825</v>
      </c>
      <c r="C615" s="117">
        <v>3</v>
      </c>
      <c r="D615" s="103" t="s">
        <v>2</v>
      </c>
      <c r="E615" s="103" t="s">
        <v>306</v>
      </c>
      <c r="H615" s="103"/>
      <c r="I615" s="103">
        <v>96</v>
      </c>
      <c r="K615" s="103" t="s">
        <v>364</v>
      </c>
      <c r="L615" s="133"/>
      <c r="M615" s="134">
        <v>6.6666666666666666E-2</v>
      </c>
      <c r="N615" s="135" t="s">
        <v>1992</v>
      </c>
      <c r="O615" s="133" t="s">
        <v>1875</v>
      </c>
      <c r="P615" s="100" t="s">
        <v>1993</v>
      </c>
      <c r="Q615" s="100" t="s">
        <v>1994</v>
      </c>
      <c r="R615" s="226" t="s">
        <v>1873</v>
      </c>
      <c r="S615" s="491" t="str">
        <f t="shared" si="19"/>
        <v>x</v>
      </c>
      <c r="T615" s="492" t="str">
        <f>IFERROR(VLOOKUP(F615,'Freq-Chan'!C:D,2,FALSE),"x")</f>
        <v>x</v>
      </c>
      <c r="U615" s="110" t="s">
        <v>541</v>
      </c>
      <c r="V615" s="110" t="str">
        <f t="shared" si="20"/>
        <v>FWL</v>
      </c>
      <c r="W615" s="110" t="s">
        <v>541</v>
      </c>
      <c r="X615" s="110" t="s">
        <v>541</v>
      </c>
      <c r="Y615" s="110" t="str">
        <f>IFERROR(VLOOKUP(F615,'Freq-Chan'!C:E,3,FALSE),"na")</f>
        <v>na</v>
      </c>
      <c r="Z615" s="110" t="s">
        <v>541</v>
      </c>
      <c r="AA615" s="110" t="s">
        <v>541</v>
      </c>
      <c r="AB615" s="110" t="s">
        <v>541</v>
      </c>
      <c r="AC615" s="10" t="s">
        <v>541</v>
      </c>
      <c r="AD615" s="10" t="s">
        <v>541</v>
      </c>
    </row>
    <row r="616" spans="1:30" x14ac:dyDescent="0.2">
      <c r="A616" s="110">
        <v>615</v>
      </c>
      <c r="B616" s="132">
        <v>41825</v>
      </c>
      <c r="C616" s="117">
        <v>3</v>
      </c>
      <c r="D616" s="103" t="s">
        <v>88</v>
      </c>
      <c r="E616" s="103" t="s">
        <v>798</v>
      </c>
      <c r="H616" s="103"/>
      <c r="J616" s="103">
        <v>21</v>
      </c>
      <c r="K616" s="103" t="s">
        <v>364</v>
      </c>
      <c r="L616" s="133">
        <v>0.84722222222222221</v>
      </c>
      <c r="M616" s="134">
        <v>3.2638888888888891E-2</v>
      </c>
      <c r="N616" s="135" t="s">
        <v>1995</v>
      </c>
      <c r="O616" s="133" t="s">
        <v>373</v>
      </c>
      <c r="Q616" s="100" t="s">
        <v>1994</v>
      </c>
      <c r="R616" s="226" t="s">
        <v>1873</v>
      </c>
      <c r="S616" s="491">
        <f t="shared" si="19"/>
        <v>7.0949074000000003E-3</v>
      </c>
      <c r="T616" s="492" t="str">
        <f>IFERROR(VLOOKUP(F616,'Freq-Chan'!C:D,2,FALSE),"x")</f>
        <v>x</v>
      </c>
      <c r="U616" s="110" t="s">
        <v>541</v>
      </c>
      <c r="V616" s="110" t="str">
        <f t="shared" si="20"/>
        <v>FWL</v>
      </c>
      <c r="W616" s="110" t="s">
        <v>541</v>
      </c>
      <c r="X616" s="110" t="s">
        <v>541</v>
      </c>
      <c r="Y616" s="110" t="str">
        <f>IFERROR(VLOOKUP(F616,'Freq-Chan'!C:E,3,FALSE),"na")</f>
        <v>na</v>
      </c>
      <c r="Z616" s="110" t="s">
        <v>541</v>
      </c>
      <c r="AA616" s="110" t="s">
        <v>541</v>
      </c>
      <c r="AB616" s="110" t="s">
        <v>541</v>
      </c>
      <c r="AC616" s="10" t="s">
        <v>541</v>
      </c>
      <c r="AD616" s="10" t="s">
        <v>541</v>
      </c>
    </row>
    <row r="617" spans="1:30" x14ac:dyDescent="0.2">
      <c r="A617" s="110">
        <v>616</v>
      </c>
      <c r="B617" s="132">
        <v>41825</v>
      </c>
      <c r="C617" s="117">
        <v>3</v>
      </c>
      <c r="D617" s="103" t="s">
        <v>2</v>
      </c>
      <c r="E617" s="103" t="s">
        <v>306</v>
      </c>
      <c r="F617" s="103">
        <v>364</v>
      </c>
      <c r="G617" s="103">
        <v>6</v>
      </c>
      <c r="H617" s="137" t="s">
        <v>1350</v>
      </c>
      <c r="I617" s="103">
        <v>87</v>
      </c>
      <c r="K617" s="103" t="s">
        <v>364</v>
      </c>
      <c r="L617" s="133">
        <v>0.88750000000000007</v>
      </c>
      <c r="M617" s="134">
        <v>6.3888888888888884E-2</v>
      </c>
      <c r="N617" s="135" t="s">
        <v>1996</v>
      </c>
      <c r="O617" s="133" t="s">
        <v>373</v>
      </c>
      <c r="Q617" s="100" t="s">
        <v>1994</v>
      </c>
      <c r="R617" s="226" t="s">
        <v>1873</v>
      </c>
      <c r="S617" s="491">
        <f t="shared" si="19"/>
        <v>1.7129630000000001E-3</v>
      </c>
      <c r="T617" s="492">
        <f>IFERROR(VLOOKUP(F617,'Freq-Chan'!C:D,2,FALSE),"x")</f>
        <v>151.364</v>
      </c>
      <c r="U617" s="110" t="s">
        <v>541</v>
      </c>
      <c r="V617" s="110" t="str">
        <f t="shared" si="20"/>
        <v>FWL</v>
      </c>
      <c r="W617" s="110" t="s">
        <v>541</v>
      </c>
      <c r="X617" s="110" t="s">
        <v>541</v>
      </c>
      <c r="Y617" s="110" t="str">
        <f>IFERROR(VLOOKUP(F617,'Freq-Chan'!C:E,3,FALSE),"na")</f>
        <v>F1845</v>
      </c>
      <c r="Z617" s="110" t="s">
        <v>541</v>
      </c>
      <c r="AA617" s="110" t="s">
        <v>541</v>
      </c>
      <c r="AB617" s="110" t="s">
        <v>541</v>
      </c>
      <c r="AC617" s="10" t="s">
        <v>541</v>
      </c>
      <c r="AD617" s="10" t="s">
        <v>541</v>
      </c>
    </row>
    <row r="618" spans="1:30" x14ac:dyDescent="0.2">
      <c r="A618" s="110">
        <v>617</v>
      </c>
      <c r="B618" s="132">
        <v>41825</v>
      </c>
      <c r="C618" s="117">
        <v>3</v>
      </c>
      <c r="D618" s="103" t="s">
        <v>177</v>
      </c>
      <c r="E618" s="103" t="s">
        <v>0</v>
      </c>
      <c r="H618" s="103"/>
      <c r="I618" s="103">
        <v>30</v>
      </c>
      <c r="K618" s="103" t="s">
        <v>364</v>
      </c>
      <c r="L618" s="133">
        <v>0.94027777777777777</v>
      </c>
      <c r="M618" s="134">
        <v>4.027777777777778E-2</v>
      </c>
      <c r="N618" s="135" t="s">
        <v>1997</v>
      </c>
      <c r="O618" s="133" t="s">
        <v>804</v>
      </c>
      <c r="Q618" s="100" t="s">
        <v>1994</v>
      </c>
      <c r="R618" s="226" t="s">
        <v>1873</v>
      </c>
      <c r="S618" s="491">
        <f t="shared" si="19"/>
        <v>2.3148099999999999E-5</v>
      </c>
      <c r="T618" s="492" t="str">
        <f>IFERROR(VLOOKUP(F618,'Freq-Chan'!C:D,2,FALSE),"x")</f>
        <v>x</v>
      </c>
      <c r="U618" s="110" t="s">
        <v>541</v>
      </c>
      <c r="V618" s="110" t="str">
        <f t="shared" si="20"/>
        <v>FWL</v>
      </c>
      <c r="W618" s="110" t="s">
        <v>541</v>
      </c>
      <c r="X618" s="110" t="s">
        <v>541</v>
      </c>
      <c r="Y618" s="110" t="str">
        <f>IFERROR(VLOOKUP(F618,'Freq-Chan'!C:E,3,FALSE),"na")</f>
        <v>na</v>
      </c>
      <c r="Z618" s="110" t="s">
        <v>541</v>
      </c>
      <c r="AA618" s="110" t="s">
        <v>541</v>
      </c>
      <c r="AB618" s="110" t="s">
        <v>541</v>
      </c>
      <c r="AC618" s="10" t="s">
        <v>541</v>
      </c>
      <c r="AD618" s="10" t="s">
        <v>541</v>
      </c>
    </row>
    <row r="619" spans="1:30" s="291" customFormat="1" x14ac:dyDescent="0.2">
      <c r="A619" s="493">
        <v>618</v>
      </c>
      <c r="B619" s="283">
        <v>41825</v>
      </c>
      <c r="C619" s="284">
        <v>3</v>
      </c>
      <c r="D619" s="285" t="s">
        <v>87</v>
      </c>
      <c r="E619" s="285" t="s">
        <v>798</v>
      </c>
      <c r="F619" s="285"/>
      <c r="G619" s="285"/>
      <c r="H619" s="285" t="s">
        <v>912</v>
      </c>
      <c r="I619" s="285">
        <v>26</v>
      </c>
      <c r="J619" s="285"/>
      <c r="K619" s="285" t="s">
        <v>364</v>
      </c>
      <c r="L619" s="286">
        <v>0.96458333333333324</v>
      </c>
      <c r="M619" s="287">
        <v>5.4166666666666669E-2</v>
      </c>
      <c r="N619" s="288" t="s">
        <v>884</v>
      </c>
      <c r="O619" s="286" t="s">
        <v>1875</v>
      </c>
      <c r="P619" s="289"/>
      <c r="Q619" s="289" t="s">
        <v>1994</v>
      </c>
      <c r="R619" s="290" t="s">
        <v>1873</v>
      </c>
      <c r="S619" s="494">
        <f t="shared" si="19"/>
        <v>1.8749999999999999E-3</v>
      </c>
      <c r="T619" s="495" t="str">
        <f>IFERROR(VLOOKUP(F619,'Freq-Chan'!C:D,2,FALSE),"x")</f>
        <v>x</v>
      </c>
      <c r="U619" s="493" t="s">
        <v>541</v>
      </c>
      <c r="V619" s="493" t="str">
        <f t="shared" si="20"/>
        <v>FWL</v>
      </c>
      <c r="W619" s="493" t="s">
        <v>541</v>
      </c>
      <c r="X619" s="493" t="s">
        <v>541</v>
      </c>
      <c r="Y619" s="493" t="str">
        <f>IFERROR(VLOOKUP(F619,'Freq-Chan'!C:E,3,FALSE),"na")</f>
        <v>na</v>
      </c>
      <c r="Z619" s="493" t="s">
        <v>541</v>
      </c>
      <c r="AA619" s="493" t="s">
        <v>541</v>
      </c>
      <c r="AB619" s="493" t="s">
        <v>541</v>
      </c>
      <c r="AC619" s="291" t="s">
        <v>541</v>
      </c>
      <c r="AD619" s="291" t="s">
        <v>541</v>
      </c>
    </row>
    <row r="620" spans="1:30" x14ac:dyDescent="0.2">
      <c r="A620" s="110">
        <v>619</v>
      </c>
      <c r="B620" s="132">
        <v>41826</v>
      </c>
      <c r="C620" s="117">
        <v>1</v>
      </c>
      <c r="D620" s="103" t="s">
        <v>2</v>
      </c>
      <c r="E620" s="103" t="s">
        <v>306</v>
      </c>
      <c r="F620" s="103">
        <v>875</v>
      </c>
      <c r="G620" s="103">
        <v>10</v>
      </c>
      <c r="H620" s="137" t="s">
        <v>1342</v>
      </c>
      <c r="I620" s="103">
        <v>96</v>
      </c>
      <c r="K620" s="103" t="s">
        <v>364</v>
      </c>
      <c r="L620" s="133"/>
      <c r="M620" s="134">
        <v>4.5138888888888888E-2</v>
      </c>
      <c r="N620" s="135" t="s">
        <v>1902</v>
      </c>
      <c r="O620" s="133" t="s">
        <v>1663</v>
      </c>
      <c r="P620" s="100" t="s">
        <v>1998</v>
      </c>
      <c r="Q620" s="100" t="s">
        <v>1999</v>
      </c>
      <c r="R620" s="226" t="s">
        <v>1873</v>
      </c>
      <c r="S620" s="491" t="str">
        <f t="shared" si="19"/>
        <v>x</v>
      </c>
      <c r="T620" s="492">
        <f>IFERROR(VLOOKUP(F620,'Freq-Chan'!C:D,2,FALSE),"x")</f>
        <v>151.875</v>
      </c>
      <c r="U620" s="110" t="s">
        <v>541</v>
      </c>
      <c r="V620" s="110" t="str">
        <f t="shared" si="20"/>
        <v>FWL</v>
      </c>
      <c r="W620" s="110" t="s">
        <v>541</v>
      </c>
      <c r="X620" s="110" t="s">
        <v>541</v>
      </c>
      <c r="Y620" s="110" t="str">
        <f>IFERROR(VLOOKUP(F620,'Freq-Chan'!C:E,3,FALSE),"na")</f>
        <v>F1845</v>
      </c>
      <c r="Z620" s="110" t="s">
        <v>541</v>
      </c>
      <c r="AA620" s="110" t="s">
        <v>541</v>
      </c>
      <c r="AB620" s="110" t="s">
        <v>541</v>
      </c>
      <c r="AC620" s="10" t="s">
        <v>541</v>
      </c>
      <c r="AD620" s="10" t="s">
        <v>541</v>
      </c>
    </row>
    <row r="621" spans="1:30" x14ac:dyDescent="0.2">
      <c r="A621" s="110">
        <v>620</v>
      </c>
      <c r="B621" s="132">
        <v>41826</v>
      </c>
      <c r="C621" s="117">
        <v>1</v>
      </c>
      <c r="D621" s="103" t="s">
        <v>177</v>
      </c>
      <c r="E621" s="103" t="s">
        <v>0</v>
      </c>
      <c r="H621" s="103"/>
      <c r="I621" s="103">
        <v>33</v>
      </c>
      <c r="K621" s="103" t="s">
        <v>364</v>
      </c>
      <c r="L621" s="133"/>
      <c r="M621" s="134">
        <v>1.7361111111111112E-2</v>
      </c>
      <c r="N621" s="135" t="s">
        <v>1629</v>
      </c>
      <c r="O621" s="133" t="s">
        <v>1663</v>
      </c>
      <c r="P621" s="100" t="s">
        <v>1977</v>
      </c>
      <c r="Q621" s="100" t="s">
        <v>1999</v>
      </c>
      <c r="R621" s="226" t="s">
        <v>1873</v>
      </c>
      <c r="S621" s="491" t="str">
        <f t="shared" si="19"/>
        <v>x</v>
      </c>
      <c r="T621" s="492" t="str">
        <f>IFERROR(VLOOKUP(F621,'Freq-Chan'!C:D,2,FALSE),"x")</f>
        <v>x</v>
      </c>
      <c r="U621" s="110" t="s">
        <v>541</v>
      </c>
      <c r="V621" s="110" t="str">
        <f t="shared" si="20"/>
        <v>FWL</v>
      </c>
      <c r="W621" s="110" t="s">
        <v>541</v>
      </c>
      <c r="X621" s="110" t="s">
        <v>541</v>
      </c>
      <c r="Y621" s="110" t="str">
        <f>IFERROR(VLOOKUP(F621,'Freq-Chan'!C:E,3,FALSE),"na")</f>
        <v>na</v>
      </c>
      <c r="Z621" s="110" t="s">
        <v>541</v>
      </c>
      <c r="AA621" s="110" t="s">
        <v>541</v>
      </c>
      <c r="AB621" s="110" t="s">
        <v>541</v>
      </c>
      <c r="AC621" s="10" t="s">
        <v>541</v>
      </c>
      <c r="AD621" s="10" t="s">
        <v>541</v>
      </c>
    </row>
    <row r="622" spans="1:30" x14ac:dyDescent="0.2">
      <c r="A622" s="110">
        <v>621</v>
      </c>
      <c r="B622" s="132">
        <v>41826</v>
      </c>
      <c r="C622" s="117">
        <v>1</v>
      </c>
      <c r="D622" s="103" t="s">
        <v>2</v>
      </c>
      <c r="E622" s="103" t="s">
        <v>306</v>
      </c>
      <c r="F622" s="103">
        <v>875</v>
      </c>
      <c r="G622" s="103">
        <v>89</v>
      </c>
      <c r="H622" s="137" t="s">
        <v>1343</v>
      </c>
      <c r="I622" s="103">
        <v>87</v>
      </c>
      <c r="K622" s="103" t="s">
        <v>364</v>
      </c>
      <c r="L622" s="133"/>
      <c r="M622" s="134">
        <v>4.5833333333333337E-2</v>
      </c>
      <c r="N622" s="135" t="s">
        <v>1976</v>
      </c>
      <c r="O622" s="133" t="s">
        <v>803</v>
      </c>
      <c r="P622" s="100" t="s">
        <v>1998</v>
      </c>
      <c r="Q622" s="100" t="s">
        <v>1999</v>
      </c>
      <c r="R622" s="226" t="s">
        <v>1873</v>
      </c>
      <c r="S622" s="491" t="str">
        <f t="shared" si="19"/>
        <v>x</v>
      </c>
      <c r="T622" s="492">
        <f>IFERROR(VLOOKUP(F622,'Freq-Chan'!C:D,2,FALSE),"x")</f>
        <v>151.875</v>
      </c>
      <c r="U622" s="110" t="s">
        <v>541</v>
      </c>
      <c r="V622" s="110" t="str">
        <f t="shared" si="20"/>
        <v>FWL</v>
      </c>
      <c r="W622" s="110" t="s">
        <v>541</v>
      </c>
      <c r="X622" s="110" t="s">
        <v>541</v>
      </c>
      <c r="Y622" s="110" t="str">
        <f>IFERROR(VLOOKUP(F622,'Freq-Chan'!C:E,3,FALSE),"na")</f>
        <v>F1845</v>
      </c>
      <c r="Z622" s="110" t="s">
        <v>541</v>
      </c>
      <c r="AA622" s="110" t="s">
        <v>541</v>
      </c>
      <c r="AB622" s="110" t="s">
        <v>541</v>
      </c>
      <c r="AC622" s="10" t="s">
        <v>541</v>
      </c>
      <c r="AD622" s="10" t="s">
        <v>541</v>
      </c>
    </row>
    <row r="623" spans="1:30" x14ac:dyDescent="0.2">
      <c r="A623" s="110">
        <v>622</v>
      </c>
      <c r="B623" s="132">
        <v>41826</v>
      </c>
      <c r="C623" s="117">
        <v>1</v>
      </c>
      <c r="D623" s="103" t="s">
        <v>177</v>
      </c>
      <c r="E623" s="103" t="s">
        <v>0</v>
      </c>
      <c r="H623" s="103"/>
      <c r="I623" s="103">
        <v>33</v>
      </c>
      <c r="K623" s="103" t="s">
        <v>364</v>
      </c>
      <c r="L623" s="133"/>
      <c r="M623" s="134">
        <v>1.2499999999999999E-2</v>
      </c>
      <c r="N623" s="135" t="s">
        <v>2000</v>
      </c>
      <c r="O623" s="133" t="s">
        <v>803</v>
      </c>
      <c r="P623" s="100" t="s">
        <v>1977</v>
      </c>
      <c r="Q623" s="100" t="s">
        <v>1999</v>
      </c>
      <c r="R623" s="226" t="s">
        <v>1873</v>
      </c>
      <c r="S623" s="491" t="str">
        <f t="shared" si="19"/>
        <v>x</v>
      </c>
      <c r="T623" s="492" t="str">
        <f>IFERROR(VLOOKUP(F623,'Freq-Chan'!C:D,2,FALSE),"x")</f>
        <v>x</v>
      </c>
      <c r="U623" s="110" t="s">
        <v>541</v>
      </c>
      <c r="V623" s="110" t="str">
        <f t="shared" si="20"/>
        <v>FWL</v>
      </c>
      <c r="W623" s="110" t="s">
        <v>541</v>
      </c>
      <c r="X623" s="110" t="s">
        <v>541</v>
      </c>
      <c r="Y623" s="110" t="str">
        <f>IFERROR(VLOOKUP(F623,'Freq-Chan'!C:E,3,FALSE),"na")</f>
        <v>na</v>
      </c>
      <c r="Z623" s="110" t="s">
        <v>541</v>
      </c>
      <c r="AA623" s="110" t="s">
        <v>541</v>
      </c>
      <c r="AB623" s="110" t="s">
        <v>541</v>
      </c>
      <c r="AC623" s="10" t="s">
        <v>541</v>
      </c>
      <c r="AD623" s="10" t="s">
        <v>541</v>
      </c>
    </row>
    <row r="624" spans="1:30" x14ac:dyDescent="0.2">
      <c r="A624" s="110">
        <v>623</v>
      </c>
      <c r="B624" s="132">
        <v>41826</v>
      </c>
      <c r="C624" s="117">
        <v>1</v>
      </c>
      <c r="D624" s="103" t="s">
        <v>8</v>
      </c>
      <c r="E624" s="103" t="s">
        <v>306</v>
      </c>
      <c r="F624" s="103">
        <v>573</v>
      </c>
      <c r="G624" s="103">
        <v>94</v>
      </c>
      <c r="H624" s="137" t="s">
        <v>2001</v>
      </c>
      <c r="I624" s="103">
        <v>47</v>
      </c>
      <c r="K624" s="103" t="s">
        <v>364</v>
      </c>
      <c r="L624" s="133"/>
      <c r="M624" s="134">
        <v>5.1388888888888894E-2</v>
      </c>
      <c r="N624" s="135" t="s">
        <v>1639</v>
      </c>
      <c r="O624" s="133" t="s">
        <v>1663</v>
      </c>
      <c r="P624" s="100" t="s">
        <v>1998</v>
      </c>
      <c r="Q624" s="100" t="s">
        <v>1999</v>
      </c>
      <c r="R624" s="226" t="s">
        <v>1873</v>
      </c>
      <c r="S624" s="491" t="str">
        <f t="shared" si="19"/>
        <v>x</v>
      </c>
      <c r="T624" s="492">
        <f>IFERROR(VLOOKUP(F624,'Freq-Chan'!C:D,2,FALSE),"x")</f>
        <v>151.57300000000001</v>
      </c>
      <c r="U624" s="110" t="s">
        <v>541</v>
      </c>
      <c r="V624" s="110" t="str">
        <f t="shared" si="20"/>
        <v>FWL</v>
      </c>
      <c r="W624" s="110" t="s">
        <v>541</v>
      </c>
      <c r="X624" s="110" t="s">
        <v>541</v>
      </c>
      <c r="Y624" s="110" t="str">
        <f>IFERROR(VLOOKUP(F624,'Freq-Chan'!C:E,3,FALSE),"na")</f>
        <v>F1840</v>
      </c>
      <c r="Z624" s="110" t="s">
        <v>541</v>
      </c>
      <c r="AA624" s="110" t="s">
        <v>541</v>
      </c>
      <c r="AB624" s="110" t="s">
        <v>541</v>
      </c>
      <c r="AC624" s="10" t="s">
        <v>541</v>
      </c>
      <c r="AD624" s="10" t="s">
        <v>541</v>
      </c>
    </row>
    <row r="625" spans="1:30" x14ac:dyDescent="0.2">
      <c r="A625" s="110">
        <v>624</v>
      </c>
      <c r="B625" s="132">
        <v>41826</v>
      </c>
      <c r="C625" s="117">
        <v>1</v>
      </c>
      <c r="D625" s="103" t="s">
        <v>2</v>
      </c>
      <c r="E625" s="103" t="s">
        <v>306</v>
      </c>
      <c r="F625" s="103">
        <v>364</v>
      </c>
      <c r="G625" s="103">
        <v>49</v>
      </c>
      <c r="H625" s="137" t="s">
        <v>1344</v>
      </c>
      <c r="I625" s="103">
        <v>62</v>
      </c>
      <c r="K625" s="103" t="s">
        <v>364</v>
      </c>
      <c r="L625" s="133"/>
      <c r="M625" s="134">
        <v>4.7916666666666663E-2</v>
      </c>
      <c r="N625" s="135" t="s">
        <v>2002</v>
      </c>
      <c r="O625" s="133" t="s">
        <v>803</v>
      </c>
      <c r="P625" s="100" t="s">
        <v>1998</v>
      </c>
      <c r="Q625" s="100" t="s">
        <v>1999</v>
      </c>
      <c r="R625" s="226" t="s">
        <v>1873</v>
      </c>
      <c r="S625" s="491" t="str">
        <f t="shared" si="19"/>
        <v>x</v>
      </c>
      <c r="T625" s="492">
        <f>IFERROR(VLOOKUP(F625,'Freq-Chan'!C:D,2,FALSE),"x")</f>
        <v>151.364</v>
      </c>
      <c r="U625" s="110" t="s">
        <v>541</v>
      </c>
      <c r="V625" s="110" t="str">
        <f t="shared" si="20"/>
        <v>FWL</v>
      </c>
      <c r="W625" s="110" t="s">
        <v>541</v>
      </c>
      <c r="X625" s="110" t="s">
        <v>541</v>
      </c>
      <c r="Y625" s="110" t="str">
        <f>IFERROR(VLOOKUP(F625,'Freq-Chan'!C:E,3,FALSE),"na")</f>
        <v>F1845</v>
      </c>
      <c r="Z625" s="110" t="s">
        <v>541</v>
      </c>
      <c r="AA625" s="110" t="s">
        <v>541</v>
      </c>
      <c r="AB625" s="110" t="s">
        <v>541</v>
      </c>
      <c r="AC625" s="10" t="s">
        <v>541</v>
      </c>
      <c r="AD625" s="10" t="s">
        <v>541</v>
      </c>
    </row>
    <row r="626" spans="1:30" x14ac:dyDescent="0.2">
      <c r="A626" s="110">
        <v>625</v>
      </c>
      <c r="B626" s="132">
        <v>41826</v>
      </c>
      <c r="C626" s="117">
        <v>1</v>
      </c>
      <c r="D626" s="103" t="s">
        <v>177</v>
      </c>
      <c r="E626" s="103" t="s">
        <v>0</v>
      </c>
      <c r="H626" s="103"/>
      <c r="I626" s="103">
        <v>31</v>
      </c>
      <c r="K626" s="103" t="s">
        <v>364</v>
      </c>
      <c r="L626" s="133"/>
      <c r="M626" s="134">
        <v>1.1111111111111112E-2</v>
      </c>
      <c r="N626" s="135" t="s">
        <v>1644</v>
      </c>
      <c r="O626" s="133" t="s">
        <v>1663</v>
      </c>
      <c r="P626" s="100" t="s">
        <v>1977</v>
      </c>
      <c r="Q626" s="100" t="s">
        <v>1999</v>
      </c>
      <c r="R626" s="226" t="s">
        <v>1873</v>
      </c>
      <c r="S626" s="491" t="str">
        <f t="shared" si="19"/>
        <v>x</v>
      </c>
      <c r="T626" s="492" t="str">
        <f>IFERROR(VLOOKUP(F626,'Freq-Chan'!C:D,2,FALSE),"x")</f>
        <v>x</v>
      </c>
      <c r="U626" s="110" t="s">
        <v>541</v>
      </c>
      <c r="V626" s="110" t="str">
        <f t="shared" si="20"/>
        <v>FWL</v>
      </c>
      <c r="W626" s="110" t="s">
        <v>541</v>
      </c>
      <c r="X626" s="110" t="s">
        <v>541</v>
      </c>
      <c r="Y626" s="110" t="str">
        <f>IFERROR(VLOOKUP(F626,'Freq-Chan'!C:E,3,FALSE),"na")</f>
        <v>na</v>
      </c>
      <c r="Z626" s="110" t="s">
        <v>541</v>
      </c>
      <c r="AA626" s="110" t="s">
        <v>541</v>
      </c>
      <c r="AB626" s="110" t="s">
        <v>541</v>
      </c>
      <c r="AC626" s="10" t="s">
        <v>541</v>
      </c>
      <c r="AD626" s="10" t="s">
        <v>541</v>
      </c>
    </row>
    <row r="627" spans="1:30" x14ac:dyDescent="0.2">
      <c r="A627" s="110">
        <v>626</v>
      </c>
      <c r="B627" s="132">
        <v>41826</v>
      </c>
      <c r="C627" s="117">
        <v>1</v>
      </c>
      <c r="D627" s="103" t="s">
        <v>91</v>
      </c>
      <c r="E627" s="103" t="s">
        <v>798</v>
      </c>
      <c r="H627" s="103"/>
      <c r="J627" s="103">
        <v>29</v>
      </c>
      <c r="K627" s="103" t="s">
        <v>364</v>
      </c>
      <c r="L627" s="133"/>
      <c r="M627" s="134">
        <v>8.3333333333333332E-3</v>
      </c>
      <c r="N627" s="135" t="s">
        <v>2003</v>
      </c>
      <c r="O627" s="133" t="s">
        <v>1663</v>
      </c>
      <c r="P627" s="100" t="s">
        <v>1998</v>
      </c>
      <c r="Q627" s="100" t="s">
        <v>1999</v>
      </c>
      <c r="R627" s="226" t="s">
        <v>1873</v>
      </c>
      <c r="S627" s="491" t="str">
        <f t="shared" si="19"/>
        <v>x</v>
      </c>
      <c r="T627" s="492" t="str">
        <f>IFERROR(VLOOKUP(F627,'Freq-Chan'!C:D,2,FALSE),"x")</f>
        <v>x</v>
      </c>
      <c r="U627" s="110" t="s">
        <v>541</v>
      </c>
      <c r="V627" s="110" t="str">
        <f t="shared" si="20"/>
        <v>FWL</v>
      </c>
      <c r="W627" s="110" t="s">
        <v>541</v>
      </c>
      <c r="X627" s="110" t="s">
        <v>541</v>
      </c>
      <c r="Y627" s="110" t="str">
        <f>IFERROR(VLOOKUP(F627,'Freq-Chan'!C:E,3,FALSE),"na")</f>
        <v>na</v>
      </c>
      <c r="Z627" s="110" t="s">
        <v>541</v>
      </c>
      <c r="AA627" s="110" t="s">
        <v>541</v>
      </c>
      <c r="AB627" s="110" t="s">
        <v>541</v>
      </c>
      <c r="AC627" s="10" t="s">
        <v>541</v>
      </c>
      <c r="AD627" s="10" t="s">
        <v>541</v>
      </c>
    </row>
    <row r="628" spans="1:30" x14ac:dyDescent="0.2">
      <c r="A628" s="110">
        <v>627</v>
      </c>
      <c r="B628" s="132">
        <v>41826</v>
      </c>
      <c r="C628" s="117">
        <v>1</v>
      </c>
      <c r="D628" s="103" t="s">
        <v>177</v>
      </c>
      <c r="E628" s="103" t="s">
        <v>0</v>
      </c>
      <c r="H628" s="103"/>
      <c r="I628" s="103">
        <v>31</v>
      </c>
      <c r="K628" s="103" t="s">
        <v>364</v>
      </c>
      <c r="L628" s="133"/>
      <c r="M628" s="134">
        <v>1.3888888888888888E-2</v>
      </c>
      <c r="N628" s="135" t="s">
        <v>2004</v>
      </c>
      <c r="O628" s="133" t="s">
        <v>1663</v>
      </c>
      <c r="P628" s="100" t="s">
        <v>1977</v>
      </c>
      <c r="Q628" s="100" t="s">
        <v>1999</v>
      </c>
      <c r="R628" s="226" t="s">
        <v>1873</v>
      </c>
      <c r="S628" s="491" t="str">
        <f t="shared" si="19"/>
        <v>x</v>
      </c>
      <c r="T628" s="492" t="str">
        <f>IFERROR(VLOOKUP(F628,'Freq-Chan'!C:D,2,FALSE),"x")</f>
        <v>x</v>
      </c>
      <c r="U628" s="110" t="s">
        <v>541</v>
      </c>
      <c r="V628" s="110" t="str">
        <f t="shared" si="20"/>
        <v>FWL</v>
      </c>
      <c r="W628" s="110" t="s">
        <v>541</v>
      </c>
      <c r="X628" s="110" t="s">
        <v>541</v>
      </c>
      <c r="Y628" s="110" t="str">
        <f>IFERROR(VLOOKUP(F628,'Freq-Chan'!C:E,3,FALSE),"na")</f>
        <v>na</v>
      </c>
      <c r="Z628" s="110" t="s">
        <v>541</v>
      </c>
      <c r="AA628" s="110" t="s">
        <v>541</v>
      </c>
      <c r="AB628" s="110" t="s">
        <v>541</v>
      </c>
      <c r="AC628" s="10" t="s">
        <v>541</v>
      </c>
      <c r="AD628" s="10" t="s">
        <v>541</v>
      </c>
    </row>
    <row r="629" spans="1:30" x14ac:dyDescent="0.2">
      <c r="A629" s="110">
        <v>628</v>
      </c>
      <c r="B629" s="132">
        <v>41826</v>
      </c>
      <c r="C629" s="117">
        <v>1</v>
      </c>
      <c r="D629" s="103" t="s">
        <v>177</v>
      </c>
      <c r="E629" s="103" t="s">
        <v>0</v>
      </c>
      <c r="H629" s="103"/>
      <c r="K629" s="103" t="s">
        <v>364</v>
      </c>
      <c r="L629" s="133"/>
      <c r="M629" s="134">
        <v>2.4305555555555556E-2</v>
      </c>
      <c r="N629" s="135" t="s">
        <v>2005</v>
      </c>
      <c r="O629" s="133" t="s">
        <v>1663</v>
      </c>
      <c r="P629" s="100" t="s">
        <v>2006</v>
      </c>
      <c r="Q629" s="100" t="s">
        <v>1999</v>
      </c>
      <c r="R629" s="226" t="s">
        <v>1873</v>
      </c>
      <c r="S629" s="491" t="str">
        <f t="shared" si="19"/>
        <v>x</v>
      </c>
      <c r="T629" s="492" t="str">
        <f>IFERROR(VLOOKUP(F629,'Freq-Chan'!C:D,2,FALSE),"x")</f>
        <v>x</v>
      </c>
      <c r="U629" s="110" t="s">
        <v>541</v>
      </c>
      <c r="V629" s="110" t="str">
        <f t="shared" si="20"/>
        <v>FWL</v>
      </c>
      <c r="W629" s="110" t="s">
        <v>541</v>
      </c>
      <c r="X629" s="110" t="s">
        <v>541</v>
      </c>
      <c r="Y629" s="110" t="str">
        <f>IFERROR(VLOOKUP(F629,'Freq-Chan'!C:E,3,FALSE),"na")</f>
        <v>na</v>
      </c>
      <c r="Z629" s="110" t="s">
        <v>541</v>
      </c>
      <c r="AA629" s="110" t="s">
        <v>541</v>
      </c>
      <c r="AB629" s="110" t="s">
        <v>541</v>
      </c>
      <c r="AC629" s="10" t="s">
        <v>541</v>
      </c>
      <c r="AD629" s="10" t="s">
        <v>541</v>
      </c>
    </row>
    <row r="630" spans="1:30" x14ac:dyDescent="0.2">
      <c r="A630" s="110">
        <v>629</v>
      </c>
      <c r="B630" s="132">
        <v>41826</v>
      </c>
      <c r="C630" s="117">
        <v>1</v>
      </c>
      <c r="D630" s="103" t="s">
        <v>75</v>
      </c>
      <c r="E630" s="103" t="s">
        <v>798</v>
      </c>
      <c r="H630" s="103"/>
      <c r="J630" s="103">
        <v>18</v>
      </c>
      <c r="K630" s="103" t="s">
        <v>364</v>
      </c>
      <c r="L630" s="133"/>
      <c r="M630" s="134">
        <v>3.4722222222222224E-2</v>
      </c>
      <c r="N630" s="135" t="s">
        <v>2007</v>
      </c>
      <c r="O630" s="133" t="s">
        <v>1663</v>
      </c>
      <c r="P630" s="100" t="s">
        <v>1786</v>
      </c>
      <c r="Q630" s="100" t="s">
        <v>1999</v>
      </c>
      <c r="R630" s="226" t="s">
        <v>1873</v>
      </c>
      <c r="S630" s="491" t="str">
        <f t="shared" si="19"/>
        <v>x</v>
      </c>
      <c r="T630" s="492" t="str">
        <f>IFERROR(VLOOKUP(F630,'Freq-Chan'!C:D,2,FALSE),"x")</f>
        <v>x</v>
      </c>
      <c r="U630" s="110" t="s">
        <v>541</v>
      </c>
      <c r="V630" s="110" t="str">
        <f t="shared" si="20"/>
        <v>FWL</v>
      </c>
      <c r="W630" s="110" t="s">
        <v>541</v>
      </c>
      <c r="X630" s="110" t="s">
        <v>541</v>
      </c>
      <c r="Y630" s="110" t="str">
        <f>IFERROR(VLOOKUP(F630,'Freq-Chan'!C:E,3,FALSE),"na")</f>
        <v>na</v>
      </c>
      <c r="Z630" s="110" t="s">
        <v>541</v>
      </c>
      <c r="AA630" s="110" t="s">
        <v>541</v>
      </c>
      <c r="AB630" s="110" t="s">
        <v>541</v>
      </c>
      <c r="AC630" s="10" t="s">
        <v>541</v>
      </c>
      <c r="AD630" s="10" t="s">
        <v>541</v>
      </c>
    </row>
    <row r="631" spans="1:30" x14ac:dyDescent="0.2">
      <c r="A631" s="110">
        <v>630</v>
      </c>
      <c r="B631" s="132">
        <v>41826</v>
      </c>
      <c r="C631" s="117">
        <v>1</v>
      </c>
      <c r="D631" s="103" t="s">
        <v>2</v>
      </c>
      <c r="E631" s="103" t="s">
        <v>306</v>
      </c>
      <c r="F631" s="103">
        <v>755</v>
      </c>
      <c r="G631" s="103">
        <v>48</v>
      </c>
      <c r="H631" s="137" t="s">
        <v>1345</v>
      </c>
      <c r="I631" s="103">
        <v>63</v>
      </c>
      <c r="K631" s="103" t="s">
        <v>364</v>
      </c>
      <c r="L631" s="133"/>
      <c r="M631" s="134">
        <v>4.3055555555555562E-2</v>
      </c>
      <c r="N631" s="135" t="s">
        <v>2008</v>
      </c>
      <c r="O631" s="133" t="s">
        <v>1663</v>
      </c>
      <c r="P631" s="100" t="s">
        <v>2009</v>
      </c>
      <c r="Q631" s="100" t="s">
        <v>1999</v>
      </c>
      <c r="R631" s="226" t="s">
        <v>1873</v>
      </c>
      <c r="S631" s="491" t="str">
        <f t="shared" si="19"/>
        <v>x</v>
      </c>
      <c r="T631" s="492">
        <f>IFERROR(VLOOKUP(F631,'Freq-Chan'!C:D,2,FALSE),"x")</f>
        <v>151.755</v>
      </c>
      <c r="U631" s="110" t="s">
        <v>541</v>
      </c>
      <c r="V631" s="110" t="str">
        <f t="shared" si="20"/>
        <v>FWL</v>
      </c>
      <c r="W631" s="110" t="s">
        <v>541</v>
      </c>
      <c r="X631" s="110" t="s">
        <v>541</v>
      </c>
      <c r="Y631" s="110" t="str">
        <f>IFERROR(VLOOKUP(F631,'Freq-Chan'!C:E,3,FALSE),"na")</f>
        <v>F1845</v>
      </c>
      <c r="Z631" s="110" t="s">
        <v>541</v>
      </c>
      <c r="AA631" s="110" t="s">
        <v>541</v>
      </c>
      <c r="AB631" s="110" t="s">
        <v>541</v>
      </c>
      <c r="AC631" s="10" t="s">
        <v>541</v>
      </c>
      <c r="AD631" s="10" t="s">
        <v>541</v>
      </c>
    </row>
    <row r="632" spans="1:30" x14ac:dyDescent="0.2">
      <c r="A632" s="110">
        <v>631</v>
      </c>
      <c r="B632" s="132">
        <v>41826</v>
      </c>
      <c r="C632" s="117">
        <v>1</v>
      </c>
      <c r="D632" s="103" t="s">
        <v>2</v>
      </c>
      <c r="E632" s="103" t="s">
        <v>306</v>
      </c>
      <c r="F632" s="103">
        <v>364</v>
      </c>
      <c r="G632" s="103">
        <v>36</v>
      </c>
      <c r="H632" s="137" t="s">
        <v>1348</v>
      </c>
      <c r="I632" s="103">
        <v>79</v>
      </c>
      <c r="K632" s="103" t="s">
        <v>364</v>
      </c>
      <c r="L632" s="133"/>
      <c r="M632" s="134">
        <v>5.2083333333333336E-2</v>
      </c>
      <c r="N632" s="135" t="s">
        <v>1980</v>
      </c>
      <c r="O632" s="133" t="s">
        <v>803</v>
      </c>
      <c r="Q632" s="100" t="s">
        <v>1999</v>
      </c>
      <c r="R632" s="226" t="s">
        <v>1873</v>
      </c>
      <c r="S632" s="491" t="str">
        <f t="shared" si="19"/>
        <v>x</v>
      </c>
      <c r="T632" s="492">
        <f>IFERROR(VLOOKUP(F632,'Freq-Chan'!C:D,2,FALSE),"x")</f>
        <v>151.364</v>
      </c>
      <c r="U632" s="110" t="s">
        <v>541</v>
      </c>
      <c r="V632" s="110" t="str">
        <f t="shared" si="20"/>
        <v>FWL</v>
      </c>
      <c r="W632" s="110" t="s">
        <v>541</v>
      </c>
      <c r="X632" s="110" t="s">
        <v>541</v>
      </c>
      <c r="Y632" s="110" t="str">
        <f>IFERROR(VLOOKUP(F632,'Freq-Chan'!C:E,3,FALSE),"na")</f>
        <v>F1845</v>
      </c>
      <c r="Z632" s="110" t="s">
        <v>541</v>
      </c>
      <c r="AA632" s="110" t="s">
        <v>541</v>
      </c>
      <c r="AB632" s="110" t="s">
        <v>541</v>
      </c>
      <c r="AC632" s="10" t="s">
        <v>541</v>
      </c>
      <c r="AD632" s="10" t="s">
        <v>541</v>
      </c>
    </row>
    <row r="633" spans="1:30" x14ac:dyDescent="0.2">
      <c r="A633" s="110">
        <v>632</v>
      </c>
      <c r="B633" s="132">
        <v>41826</v>
      </c>
      <c r="C633" s="117">
        <v>1</v>
      </c>
      <c r="D633" s="103" t="s">
        <v>2</v>
      </c>
      <c r="E633" s="103" t="s">
        <v>306</v>
      </c>
      <c r="F633" s="103">
        <v>875</v>
      </c>
      <c r="G633" s="103">
        <v>80</v>
      </c>
      <c r="H633" s="137" t="s">
        <v>1358</v>
      </c>
      <c r="I633" s="103">
        <v>100</v>
      </c>
      <c r="K633" s="103" t="s">
        <v>364</v>
      </c>
      <c r="L633" s="133"/>
      <c r="M633" s="134">
        <v>4.8611111111111112E-2</v>
      </c>
      <c r="N633" s="135" t="s">
        <v>2010</v>
      </c>
      <c r="O633" s="133" t="s">
        <v>803</v>
      </c>
      <c r="Q633" s="100" t="s">
        <v>1999</v>
      </c>
      <c r="R633" s="226" t="s">
        <v>1873</v>
      </c>
      <c r="S633" s="491" t="str">
        <f t="shared" si="19"/>
        <v>x</v>
      </c>
      <c r="T633" s="492">
        <f>IFERROR(VLOOKUP(F633,'Freq-Chan'!C:D,2,FALSE),"x")</f>
        <v>151.875</v>
      </c>
      <c r="U633" s="110" t="s">
        <v>541</v>
      </c>
      <c r="V633" s="110" t="str">
        <f t="shared" si="20"/>
        <v>FWL</v>
      </c>
      <c r="W633" s="110" t="s">
        <v>541</v>
      </c>
      <c r="X633" s="110" t="s">
        <v>541</v>
      </c>
      <c r="Y633" s="110" t="str">
        <f>IFERROR(VLOOKUP(F633,'Freq-Chan'!C:E,3,FALSE),"na")</f>
        <v>F1845</v>
      </c>
      <c r="Z633" s="110" t="s">
        <v>541</v>
      </c>
      <c r="AA633" s="110" t="s">
        <v>541</v>
      </c>
      <c r="AB633" s="110" t="s">
        <v>541</v>
      </c>
      <c r="AC633" s="10" t="s">
        <v>541</v>
      </c>
      <c r="AD633" s="10" t="s">
        <v>541</v>
      </c>
    </row>
    <row r="634" spans="1:30" x14ac:dyDescent="0.2">
      <c r="A634" s="110">
        <v>633</v>
      </c>
      <c r="B634" s="132">
        <v>41826</v>
      </c>
      <c r="C634" s="117">
        <v>1</v>
      </c>
      <c r="D634" s="103" t="s">
        <v>2</v>
      </c>
      <c r="E634" s="103" t="s">
        <v>306</v>
      </c>
      <c r="F634" s="103">
        <v>364</v>
      </c>
      <c r="G634" s="103">
        <v>1</v>
      </c>
      <c r="H634" s="137" t="s">
        <v>1359</v>
      </c>
      <c r="I634" s="103">
        <v>95</v>
      </c>
      <c r="K634" s="103" t="s">
        <v>364</v>
      </c>
      <c r="L634" s="133"/>
      <c r="M634" s="134">
        <v>8.2638888888888887E-2</v>
      </c>
      <c r="N634" s="135" t="s">
        <v>2011</v>
      </c>
      <c r="O634" s="133" t="s">
        <v>1875</v>
      </c>
      <c r="P634" s="100" t="s">
        <v>2012</v>
      </c>
      <c r="Q634" s="100" t="s">
        <v>2013</v>
      </c>
      <c r="R634" s="226" t="s">
        <v>1873</v>
      </c>
      <c r="S634" s="491" t="str">
        <f t="shared" si="19"/>
        <v>x</v>
      </c>
      <c r="T634" s="492">
        <f>IFERROR(VLOOKUP(F634,'Freq-Chan'!C:D,2,FALSE),"x")</f>
        <v>151.364</v>
      </c>
      <c r="U634" s="110" t="s">
        <v>541</v>
      </c>
      <c r="V634" s="110" t="str">
        <f t="shared" si="20"/>
        <v>FWL</v>
      </c>
      <c r="W634" s="110" t="s">
        <v>541</v>
      </c>
      <c r="X634" s="110" t="s">
        <v>541</v>
      </c>
      <c r="Y634" s="110" t="str">
        <f>IFERROR(VLOOKUP(F634,'Freq-Chan'!C:E,3,FALSE),"na")</f>
        <v>F1845</v>
      </c>
      <c r="Z634" s="110" t="s">
        <v>541</v>
      </c>
      <c r="AA634" s="110" t="s">
        <v>541</v>
      </c>
      <c r="AB634" s="110" t="s">
        <v>541</v>
      </c>
      <c r="AC634" s="10" t="s">
        <v>541</v>
      </c>
      <c r="AD634" s="10" t="s">
        <v>541</v>
      </c>
    </row>
    <row r="635" spans="1:30" x14ac:dyDescent="0.2">
      <c r="A635" s="110">
        <v>634</v>
      </c>
      <c r="B635" s="132">
        <v>41826</v>
      </c>
      <c r="C635" s="117">
        <v>1</v>
      </c>
      <c r="D635" s="103" t="s">
        <v>2</v>
      </c>
      <c r="E635" s="103" t="s">
        <v>306</v>
      </c>
      <c r="F635" s="103">
        <v>364</v>
      </c>
      <c r="G635" s="103">
        <v>29</v>
      </c>
      <c r="H635" s="137" t="s">
        <v>1363</v>
      </c>
      <c r="I635" s="103">
        <v>70</v>
      </c>
      <c r="K635" s="103" t="s">
        <v>364</v>
      </c>
      <c r="L635" s="133"/>
      <c r="M635" s="134">
        <v>6.25E-2</v>
      </c>
      <c r="N635" s="135" t="s">
        <v>2014</v>
      </c>
      <c r="O635" s="133" t="s">
        <v>1875</v>
      </c>
      <c r="Q635" s="100" t="s">
        <v>2013</v>
      </c>
      <c r="R635" s="226" t="s">
        <v>1873</v>
      </c>
      <c r="S635" s="491" t="str">
        <f t="shared" si="19"/>
        <v>x</v>
      </c>
      <c r="T635" s="492">
        <f>IFERROR(VLOOKUP(F635,'Freq-Chan'!C:D,2,FALSE),"x")</f>
        <v>151.364</v>
      </c>
      <c r="U635" s="110" t="s">
        <v>541</v>
      </c>
      <c r="V635" s="110" t="str">
        <f t="shared" si="20"/>
        <v>FWL</v>
      </c>
      <c r="W635" s="110" t="s">
        <v>541</v>
      </c>
      <c r="X635" s="110" t="s">
        <v>541</v>
      </c>
      <c r="Y635" s="110" t="str">
        <f>IFERROR(VLOOKUP(F635,'Freq-Chan'!C:E,3,FALSE),"na")</f>
        <v>F1845</v>
      </c>
      <c r="Z635" s="110" t="s">
        <v>541</v>
      </c>
      <c r="AA635" s="110" t="s">
        <v>541</v>
      </c>
      <c r="AB635" s="110" t="s">
        <v>541</v>
      </c>
      <c r="AC635" s="10" t="s">
        <v>541</v>
      </c>
      <c r="AD635" s="10" t="s">
        <v>541</v>
      </c>
    </row>
    <row r="636" spans="1:30" x14ac:dyDescent="0.2">
      <c r="A636" s="110">
        <v>635</v>
      </c>
      <c r="B636" s="132">
        <v>41826</v>
      </c>
      <c r="C636" s="117">
        <v>1</v>
      </c>
      <c r="D636" s="103" t="s">
        <v>177</v>
      </c>
      <c r="E636" s="103" t="s">
        <v>0</v>
      </c>
      <c r="H636" s="103"/>
      <c r="I636" s="103">
        <v>33</v>
      </c>
      <c r="K636" s="103" t="s">
        <v>364</v>
      </c>
      <c r="L636" s="133"/>
      <c r="M636" s="134">
        <v>2.2916666666666669E-2</v>
      </c>
      <c r="N636" s="135" t="s">
        <v>2015</v>
      </c>
      <c r="O636" s="133" t="s">
        <v>1585</v>
      </c>
      <c r="Q636" s="100" t="s">
        <v>2013</v>
      </c>
      <c r="R636" s="226" t="s">
        <v>1873</v>
      </c>
      <c r="S636" s="491" t="str">
        <f t="shared" si="19"/>
        <v>x</v>
      </c>
      <c r="T636" s="492" t="str">
        <f>IFERROR(VLOOKUP(F636,'Freq-Chan'!C:D,2,FALSE),"x")</f>
        <v>x</v>
      </c>
      <c r="U636" s="110" t="s">
        <v>541</v>
      </c>
      <c r="V636" s="110" t="str">
        <f t="shared" si="20"/>
        <v>FWL</v>
      </c>
      <c r="W636" s="110" t="s">
        <v>541</v>
      </c>
      <c r="X636" s="110" t="s">
        <v>541</v>
      </c>
      <c r="Y636" s="110" t="str">
        <f>IFERROR(VLOOKUP(F636,'Freq-Chan'!C:E,3,FALSE),"na")</f>
        <v>na</v>
      </c>
      <c r="Z636" s="110" t="s">
        <v>541</v>
      </c>
      <c r="AA636" s="110" t="s">
        <v>541</v>
      </c>
      <c r="AB636" s="110" t="s">
        <v>541</v>
      </c>
      <c r="AC636" s="10" t="s">
        <v>541</v>
      </c>
      <c r="AD636" s="10" t="s">
        <v>541</v>
      </c>
    </row>
    <row r="637" spans="1:30" x14ac:dyDescent="0.2">
      <c r="A637" s="110">
        <v>636</v>
      </c>
      <c r="B637" s="132">
        <v>41826</v>
      </c>
      <c r="C637" s="117">
        <v>1</v>
      </c>
      <c r="D637" s="103" t="s">
        <v>2</v>
      </c>
      <c r="E637" s="103" t="s">
        <v>306</v>
      </c>
      <c r="F637" s="103">
        <v>875</v>
      </c>
      <c r="G637" s="103">
        <v>81</v>
      </c>
      <c r="H637" s="137" t="s">
        <v>1364</v>
      </c>
      <c r="I637" s="103">
        <v>62</v>
      </c>
      <c r="K637" s="103" t="s">
        <v>364</v>
      </c>
      <c r="L637" s="133"/>
      <c r="M637" s="134">
        <v>4.9305555555555554E-2</v>
      </c>
      <c r="N637" s="135" t="s">
        <v>2016</v>
      </c>
      <c r="O637" s="133" t="s">
        <v>1875</v>
      </c>
      <c r="Q637" s="100" t="s">
        <v>2013</v>
      </c>
      <c r="R637" s="226" t="s">
        <v>1873</v>
      </c>
      <c r="S637" s="491" t="str">
        <f t="shared" si="19"/>
        <v>x</v>
      </c>
      <c r="T637" s="492">
        <f>IFERROR(VLOOKUP(F637,'Freq-Chan'!C:D,2,FALSE),"x")</f>
        <v>151.875</v>
      </c>
      <c r="U637" s="110" t="s">
        <v>541</v>
      </c>
      <c r="V637" s="110" t="str">
        <f t="shared" si="20"/>
        <v>FWL</v>
      </c>
      <c r="W637" s="110" t="s">
        <v>541</v>
      </c>
      <c r="X637" s="110" t="s">
        <v>541</v>
      </c>
      <c r="Y637" s="110" t="str">
        <f>IFERROR(VLOOKUP(F637,'Freq-Chan'!C:E,3,FALSE),"na")</f>
        <v>F1845</v>
      </c>
      <c r="Z637" s="110" t="s">
        <v>541</v>
      </c>
      <c r="AA637" s="110" t="s">
        <v>541</v>
      </c>
      <c r="AB637" s="110" t="s">
        <v>541</v>
      </c>
      <c r="AC637" s="10" t="s">
        <v>541</v>
      </c>
      <c r="AD637" s="10" t="s">
        <v>541</v>
      </c>
    </row>
    <row r="638" spans="1:30" x14ac:dyDescent="0.2">
      <c r="A638" s="110">
        <v>637</v>
      </c>
      <c r="B638" s="132">
        <v>41826</v>
      </c>
      <c r="C638" s="117">
        <v>1</v>
      </c>
      <c r="D638" s="103" t="s">
        <v>177</v>
      </c>
      <c r="E638" s="103" t="s">
        <v>0</v>
      </c>
      <c r="H638" s="103"/>
      <c r="I638" s="103">
        <v>37</v>
      </c>
      <c r="K638" s="103" t="s">
        <v>364</v>
      </c>
      <c r="L638" s="133"/>
      <c r="M638" s="134">
        <v>2.1527777777777781E-2</v>
      </c>
      <c r="N638" s="137" t="s">
        <v>2017</v>
      </c>
      <c r="O638" s="133" t="s">
        <v>1585</v>
      </c>
      <c r="P638" s="100" t="s">
        <v>776</v>
      </c>
      <c r="Q638" s="100" t="s">
        <v>2013</v>
      </c>
      <c r="R638" s="226" t="s">
        <v>1873</v>
      </c>
      <c r="S638" s="491" t="str">
        <f t="shared" si="19"/>
        <v>x</v>
      </c>
      <c r="T638" s="492" t="str">
        <f>IFERROR(VLOOKUP(F638,'Freq-Chan'!C:D,2,FALSE),"x")</f>
        <v>x</v>
      </c>
      <c r="U638" s="110" t="s">
        <v>541</v>
      </c>
      <c r="V638" s="110" t="str">
        <f t="shared" si="20"/>
        <v>FWL</v>
      </c>
      <c r="W638" s="110" t="s">
        <v>541</v>
      </c>
      <c r="X638" s="110" t="s">
        <v>541</v>
      </c>
      <c r="Y638" s="110" t="str">
        <f>IFERROR(VLOOKUP(F638,'Freq-Chan'!C:E,3,FALSE),"na")</f>
        <v>na</v>
      </c>
      <c r="Z638" s="110" t="s">
        <v>541</v>
      </c>
      <c r="AA638" s="110" t="s">
        <v>541</v>
      </c>
      <c r="AB638" s="110" t="s">
        <v>541</v>
      </c>
      <c r="AC638" s="10" t="s">
        <v>541</v>
      </c>
      <c r="AD638" s="10" t="s">
        <v>541</v>
      </c>
    </row>
    <row r="639" spans="1:30" x14ac:dyDescent="0.2">
      <c r="A639" s="110">
        <v>638</v>
      </c>
      <c r="B639" s="132">
        <v>41826</v>
      </c>
      <c r="C639" s="117">
        <v>1</v>
      </c>
      <c r="D639" s="103" t="s">
        <v>177</v>
      </c>
      <c r="E639" s="103" t="s">
        <v>0</v>
      </c>
      <c r="H639" s="103"/>
      <c r="I639" s="103">
        <v>33</v>
      </c>
      <c r="K639" s="103" t="s">
        <v>364</v>
      </c>
      <c r="L639" s="133"/>
      <c r="M639" s="134">
        <v>1.6666666666666666E-2</v>
      </c>
      <c r="N639" s="137" t="s">
        <v>2018</v>
      </c>
      <c r="O639" s="133" t="s">
        <v>1585</v>
      </c>
      <c r="P639" s="100" t="s">
        <v>776</v>
      </c>
      <c r="Q639" s="100" t="s">
        <v>2013</v>
      </c>
      <c r="R639" s="226" t="s">
        <v>1873</v>
      </c>
      <c r="S639" s="491" t="str">
        <f t="shared" si="19"/>
        <v>x</v>
      </c>
      <c r="T639" s="492" t="str">
        <f>IFERROR(VLOOKUP(F639,'Freq-Chan'!C:D,2,FALSE),"x")</f>
        <v>x</v>
      </c>
      <c r="U639" s="110" t="s">
        <v>541</v>
      </c>
      <c r="V639" s="110" t="str">
        <f t="shared" si="20"/>
        <v>FWL</v>
      </c>
      <c r="W639" s="110" t="s">
        <v>541</v>
      </c>
      <c r="X639" s="110" t="s">
        <v>541</v>
      </c>
      <c r="Y639" s="110" t="str">
        <f>IFERROR(VLOOKUP(F639,'Freq-Chan'!C:E,3,FALSE),"na")</f>
        <v>na</v>
      </c>
      <c r="Z639" s="110" t="s">
        <v>541</v>
      </c>
      <c r="AA639" s="110" t="s">
        <v>541</v>
      </c>
      <c r="AB639" s="110" t="s">
        <v>541</v>
      </c>
      <c r="AC639" s="10" t="s">
        <v>541</v>
      </c>
      <c r="AD639" s="10" t="s">
        <v>541</v>
      </c>
    </row>
    <row r="640" spans="1:30" x14ac:dyDescent="0.2">
      <c r="A640" s="110">
        <v>639</v>
      </c>
      <c r="B640" s="132">
        <v>41826</v>
      </c>
      <c r="C640" s="117">
        <v>1</v>
      </c>
      <c r="D640" s="103" t="s">
        <v>2</v>
      </c>
      <c r="E640" s="103" t="s">
        <v>306</v>
      </c>
      <c r="F640" s="103">
        <v>875</v>
      </c>
      <c r="G640" s="103">
        <v>66</v>
      </c>
      <c r="H640" s="137" t="s">
        <v>1366</v>
      </c>
      <c r="I640" s="103">
        <v>60</v>
      </c>
      <c r="K640" s="103" t="s">
        <v>364</v>
      </c>
      <c r="L640" s="133"/>
      <c r="M640" s="134">
        <v>6.0416666666666667E-2</v>
      </c>
      <c r="N640" s="137" t="s">
        <v>2019</v>
      </c>
      <c r="O640" s="133" t="s">
        <v>1875</v>
      </c>
      <c r="P640" s="100" t="s">
        <v>2020</v>
      </c>
      <c r="Q640" s="100" t="s">
        <v>2021</v>
      </c>
      <c r="R640" s="226" t="s">
        <v>1873</v>
      </c>
      <c r="S640" s="491" t="str">
        <f t="shared" si="19"/>
        <v>x</v>
      </c>
      <c r="T640" s="492">
        <f>IFERROR(VLOOKUP(F640,'Freq-Chan'!C:D,2,FALSE),"x")</f>
        <v>151.875</v>
      </c>
      <c r="U640" s="110" t="s">
        <v>541</v>
      </c>
      <c r="V640" s="110" t="str">
        <f t="shared" si="20"/>
        <v>FWL</v>
      </c>
      <c r="W640" s="110" t="s">
        <v>541</v>
      </c>
      <c r="X640" s="110" t="s">
        <v>541</v>
      </c>
      <c r="Y640" s="110" t="str">
        <f>IFERROR(VLOOKUP(F640,'Freq-Chan'!C:E,3,FALSE),"na")</f>
        <v>F1845</v>
      </c>
      <c r="Z640" s="110" t="s">
        <v>541</v>
      </c>
      <c r="AA640" s="110" t="s">
        <v>541</v>
      </c>
      <c r="AB640" s="110" t="s">
        <v>541</v>
      </c>
      <c r="AC640" s="10" t="s">
        <v>541</v>
      </c>
      <c r="AD640" s="10" t="s">
        <v>541</v>
      </c>
    </row>
    <row r="641" spans="1:30" x14ac:dyDescent="0.2">
      <c r="A641" s="110">
        <v>640</v>
      </c>
      <c r="B641" s="132">
        <v>41826</v>
      </c>
      <c r="C641" s="117">
        <v>1</v>
      </c>
      <c r="D641" s="103" t="s">
        <v>2</v>
      </c>
      <c r="E641" s="103" t="s">
        <v>306</v>
      </c>
      <c r="F641" s="103">
        <v>364</v>
      </c>
      <c r="G641" s="103">
        <v>14</v>
      </c>
      <c r="H641" s="137" t="s">
        <v>1367</v>
      </c>
      <c r="I641" s="103">
        <v>78</v>
      </c>
      <c r="K641" s="103" t="s">
        <v>364</v>
      </c>
      <c r="L641" s="133"/>
      <c r="M641" s="134">
        <v>7.6388888888888895E-2</v>
      </c>
      <c r="N641" s="137" t="s">
        <v>2022</v>
      </c>
      <c r="O641" s="133" t="s">
        <v>1888</v>
      </c>
      <c r="P641" s="100" t="s">
        <v>2023</v>
      </c>
      <c r="Q641" s="100" t="s">
        <v>2021</v>
      </c>
      <c r="R641" s="226" t="s">
        <v>1873</v>
      </c>
      <c r="S641" s="491" t="str">
        <f t="shared" si="19"/>
        <v>x</v>
      </c>
      <c r="T641" s="492">
        <f>IFERROR(VLOOKUP(F641,'Freq-Chan'!C:D,2,FALSE),"x")</f>
        <v>151.364</v>
      </c>
      <c r="U641" s="110" t="s">
        <v>541</v>
      </c>
      <c r="V641" s="110" t="str">
        <f t="shared" si="20"/>
        <v>FWL</v>
      </c>
      <c r="W641" s="110" t="s">
        <v>541</v>
      </c>
      <c r="X641" s="110" t="s">
        <v>541</v>
      </c>
      <c r="Y641" s="110" t="str">
        <f>IFERROR(VLOOKUP(F641,'Freq-Chan'!C:E,3,FALSE),"na")</f>
        <v>F1845</v>
      </c>
      <c r="Z641" s="110" t="s">
        <v>541</v>
      </c>
      <c r="AA641" s="110" t="s">
        <v>541</v>
      </c>
      <c r="AB641" s="110" t="s">
        <v>541</v>
      </c>
      <c r="AC641" s="10" t="s">
        <v>541</v>
      </c>
      <c r="AD641" s="10" t="s">
        <v>541</v>
      </c>
    </row>
    <row r="642" spans="1:30" x14ac:dyDescent="0.2">
      <c r="A642" s="110">
        <v>641</v>
      </c>
      <c r="B642" s="132">
        <v>41826</v>
      </c>
      <c r="C642" s="117">
        <v>1</v>
      </c>
      <c r="D642" s="103" t="s">
        <v>2</v>
      </c>
      <c r="E642" s="103" t="s">
        <v>306</v>
      </c>
      <c r="F642" s="103">
        <v>875</v>
      </c>
      <c r="G642" s="103">
        <v>8</v>
      </c>
      <c r="H642" s="137" t="s">
        <v>1368</v>
      </c>
      <c r="I642" s="103">
        <v>89</v>
      </c>
      <c r="K642" s="103" t="s">
        <v>364</v>
      </c>
      <c r="L642" s="133"/>
      <c r="M642" s="134">
        <v>6.6666666666666666E-2</v>
      </c>
      <c r="N642" s="137" t="s">
        <v>2024</v>
      </c>
      <c r="O642" s="133" t="s">
        <v>1888</v>
      </c>
      <c r="Q642" s="100" t="s">
        <v>2021</v>
      </c>
      <c r="R642" s="226" t="s">
        <v>1873</v>
      </c>
      <c r="S642" s="491" t="str">
        <f t="shared" si="19"/>
        <v>x</v>
      </c>
      <c r="T642" s="492">
        <f>IFERROR(VLOOKUP(F642,'Freq-Chan'!C:D,2,FALSE),"x")</f>
        <v>151.875</v>
      </c>
      <c r="U642" s="110" t="s">
        <v>541</v>
      </c>
      <c r="V642" s="110" t="str">
        <f t="shared" si="20"/>
        <v>FWL</v>
      </c>
      <c r="W642" s="110" t="s">
        <v>541</v>
      </c>
      <c r="X642" s="110" t="s">
        <v>541</v>
      </c>
      <c r="Y642" s="110" t="str">
        <f>IFERROR(VLOOKUP(F642,'Freq-Chan'!C:E,3,FALSE),"na")</f>
        <v>F1845</v>
      </c>
      <c r="Z642" s="110" t="s">
        <v>541</v>
      </c>
      <c r="AA642" s="110" t="s">
        <v>541</v>
      </c>
      <c r="AB642" s="110" t="s">
        <v>541</v>
      </c>
      <c r="AC642" s="10" t="s">
        <v>541</v>
      </c>
      <c r="AD642" s="10" t="s">
        <v>541</v>
      </c>
    </row>
    <row r="643" spans="1:30" x14ac:dyDescent="0.2">
      <c r="A643" s="110">
        <v>642</v>
      </c>
      <c r="B643" s="132">
        <v>41826</v>
      </c>
      <c r="C643" s="117">
        <v>1</v>
      </c>
      <c r="D643" s="103" t="s">
        <v>2</v>
      </c>
      <c r="E643" s="103" t="s">
        <v>306</v>
      </c>
      <c r="F643" s="103">
        <v>364</v>
      </c>
      <c r="G643" s="103">
        <v>47</v>
      </c>
      <c r="H643" s="137" t="s">
        <v>1380</v>
      </c>
      <c r="I643" s="103">
        <v>74</v>
      </c>
      <c r="K643" s="103" t="s">
        <v>364</v>
      </c>
      <c r="L643" s="133"/>
      <c r="M643" s="134">
        <v>4.5138888888888888E-2</v>
      </c>
      <c r="N643" s="137" t="s">
        <v>1882</v>
      </c>
      <c r="O643" s="133" t="s">
        <v>803</v>
      </c>
      <c r="Q643" s="100" t="s">
        <v>2025</v>
      </c>
      <c r="R643" s="226" t="s">
        <v>1873</v>
      </c>
      <c r="S643" s="491" t="str">
        <f t="shared" ref="S643:S706" si="21">IF(IF(OR(L643=0,N643=0),"x",ROUND(N643-L643-(M643*24)/(24*60),10))&lt;0,0,IF(OR(L643=0,N643=0),"x",ROUND(N643-L643-(M643*24)/(24*60),10)))</f>
        <v>x</v>
      </c>
      <c r="T643" s="492">
        <f>IFERROR(VLOOKUP(F643,'Freq-Chan'!C:D,2,FALSE),"x")</f>
        <v>151.364</v>
      </c>
      <c r="U643" s="110" t="s">
        <v>541</v>
      </c>
      <c r="V643" s="110" t="str">
        <f t="shared" ref="V643:V706" si="22">IF(OR(C643=1,C643=2,C643=3),"FWL","NRD")</f>
        <v>FWL</v>
      </c>
      <c r="W643" s="110" t="s">
        <v>541</v>
      </c>
      <c r="X643" s="110" t="s">
        <v>541</v>
      </c>
      <c r="Y643" s="110" t="str">
        <f>IFERROR(VLOOKUP(F643,'Freq-Chan'!C:E,3,FALSE),"na")</f>
        <v>F1845</v>
      </c>
      <c r="Z643" s="110" t="s">
        <v>541</v>
      </c>
      <c r="AA643" s="110" t="s">
        <v>541</v>
      </c>
      <c r="AB643" s="110" t="s">
        <v>541</v>
      </c>
      <c r="AC643" s="10" t="s">
        <v>541</v>
      </c>
      <c r="AD643" s="10" t="s">
        <v>541</v>
      </c>
    </row>
    <row r="644" spans="1:30" x14ac:dyDescent="0.2">
      <c r="A644" s="110">
        <v>643</v>
      </c>
      <c r="B644" s="132">
        <v>41826</v>
      </c>
      <c r="C644" s="117">
        <v>1</v>
      </c>
      <c r="D644" s="103" t="s">
        <v>75</v>
      </c>
      <c r="E644" s="103" t="s">
        <v>798</v>
      </c>
      <c r="H644" s="103"/>
      <c r="J644" s="103">
        <v>26</v>
      </c>
      <c r="K644" s="103" t="s">
        <v>364</v>
      </c>
      <c r="L644" s="133"/>
      <c r="M644" s="134">
        <v>1.8749999999999999E-2</v>
      </c>
      <c r="N644" s="137" t="s">
        <v>2026</v>
      </c>
      <c r="O644" s="133" t="s">
        <v>803</v>
      </c>
      <c r="Q644" s="100" t="s">
        <v>2025</v>
      </c>
      <c r="R644" s="226" t="s">
        <v>1873</v>
      </c>
      <c r="S644" s="491" t="str">
        <f t="shared" si="21"/>
        <v>x</v>
      </c>
      <c r="T644" s="492" t="str">
        <f>IFERROR(VLOOKUP(F644,'Freq-Chan'!C:D,2,FALSE),"x")</f>
        <v>x</v>
      </c>
      <c r="U644" s="110" t="s">
        <v>541</v>
      </c>
      <c r="V644" s="110" t="str">
        <f t="shared" si="22"/>
        <v>FWL</v>
      </c>
      <c r="W644" s="110" t="s">
        <v>541</v>
      </c>
      <c r="X644" s="110" t="s">
        <v>541</v>
      </c>
      <c r="Y644" s="110" t="str">
        <f>IFERROR(VLOOKUP(F644,'Freq-Chan'!C:E,3,FALSE),"na")</f>
        <v>na</v>
      </c>
      <c r="Z644" s="110" t="s">
        <v>541</v>
      </c>
      <c r="AA644" s="110" t="s">
        <v>541</v>
      </c>
      <c r="AB644" s="110" t="s">
        <v>541</v>
      </c>
      <c r="AC644" s="10" t="s">
        <v>541</v>
      </c>
      <c r="AD644" s="10" t="s">
        <v>541</v>
      </c>
    </row>
    <row r="645" spans="1:30" s="291" customFormat="1" x14ac:dyDescent="0.2">
      <c r="A645" s="493">
        <v>644</v>
      </c>
      <c r="B645" s="283">
        <v>41826</v>
      </c>
      <c r="C645" s="284">
        <v>1</v>
      </c>
      <c r="D645" s="285" t="s">
        <v>2</v>
      </c>
      <c r="E645" s="285" t="s">
        <v>306</v>
      </c>
      <c r="F645" s="285">
        <v>875</v>
      </c>
      <c r="G645" s="285">
        <v>94</v>
      </c>
      <c r="H645" s="339" t="s">
        <v>1381</v>
      </c>
      <c r="I645" s="285">
        <v>69</v>
      </c>
      <c r="J645" s="285"/>
      <c r="K645" s="285" t="s">
        <v>364</v>
      </c>
      <c r="L645" s="286"/>
      <c r="M645" s="287">
        <v>4.5833333333333337E-2</v>
      </c>
      <c r="N645" s="339" t="s">
        <v>1581</v>
      </c>
      <c r="O645" s="286" t="s">
        <v>1888</v>
      </c>
      <c r="P645" s="289"/>
      <c r="Q645" s="289" t="s">
        <v>2025</v>
      </c>
      <c r="R645" s="290" t="s">
        <v>1873</v>
      </c>
      <c r="S645" s="494" t="str">
        <f t="shared" si="21"/>
        <v>x</v>
      </c>
      <c r="T645" s="495">
        <f>IFERROR(VLOOKUP(F645,'Freq-Chan'!C:D,2,FALSE),"x")</f>
        <v>151.875</v>
      </c>
      <c r="U645" s="493" t="s">
        <v>541</v>
      </c>
      <c r="V645" s="493" t="str">
        <f t="shared" si="22"/>
        <v>FWL</v>
      </c>
      <c r="W645" s="493" t="s">
        <v>541</v>
      </c>
      <c r="X645" s="493" t="s">
        <v>541</v>
      </c>
      <c r="Y645" s="493" t="str">
        <f>IFERROR(VLOOKUP(F645,'Freq-Chan'!C:E,3,FALSE),"na")</f>
        <v>F1845</v>
      </c>
      <c r="Z645" s="493" t="s">
        <v>541</v>
      </c>
      <c r="AA645" s="493" t="s">
        <v>541</v>
      </c>
      <c r="AB645" s="493" t="s">
        <v>541</v>
      </c>
      <c r="AC645" s="291" t="s">
        <v>541</v>
      </c>
      <c r="AD645" s="291" t="s">
        <v>541</v>
      </c>
    </row>
    <row r="646" spans="1:30" x14ac:dyDescent="0.2">
      <c r="A646" s="110">
        <v>645</v>
      </c>
      <c r="B646" s="132">
        <v>41826</v>
      </c>
      <c r="C646" s="117">
        <v>2</v>
      </c>
      <c r="D646" s="103" t="s">
        <v>2</v>
      </c>
      <c r="E646" s="103" t="s">
        <v>306</v>
      </c>
      <c r="F646" s="103">
        <v>784</v>
      </c>
      <c r="G646" s="103">
        <v>11</v>
      </c>
      <c r="H646" s="137" t="s">
        <v>1346</v>
      </c>
      <c r="I646" s="103">
        <v>78</v>
      </c>
      <c r="K646" s="103" t="s">
        <v>364</v>
      </c>
      <c r="L646" s="133"/>
      <c r="M646" s="134">
        <v>5.6250000000000001E-2</v>
      </c>
      <c r="N646" s="137" t="s">
        <v>1933</v>
      </c>
      <c r="O646" s="133" t="s">
        <v>803</v>
      </c>
      <c r="P646" s="100" t="s">
        <v>1998</v>
      </c>
      <c r="Q646" s="100" t="s">
        <v>2027</v>
      </c>
      <c r="R646" s="226" t="s">
        <v>1873</v>
      </c>
      <c r="S646" s="491" t="str">
        <f t="shared" si="21"/>
        <v>x</v>
      </c>
      <c r="T646" s="492">
        <f>IFERROR(VLOOKUP(F646,'Freq-Chan'!C:D,2,FALSE),"x")</f>
        <v>151.78399999999999</v>
      </c>
      <c r="U646" s="110" t="s">
        <v>541</v>
      </c>
      <c r="V646" s="110" t="str">
        <f t="shared" si="22"/>
        <v>FWL</v>
      </c>
      <c r="W646" s="110" t="s">
        <v>541</v>
      </c>
      <c r="X646" s="110" t="s">
        <v>541</v>
      </c>
      <c r="Y646" s="110" t="str">
        <f>IFERROR(VLOOKUP(F646,'Freq-Chan'!C:E,3,FALSE),"na")</f>
        <v>F1845</v>
      </c>
      <c r="Z646" s="110" t="s">
        <v>541</v>
      </c>
      <c r="AA646" s="110" t="s">
        <v>541</v>
      </c>
      <c r="AB646" s="110" t="s">
        <v>541</v>
      </c>
      <c r="AC646" s="10" t="s">
        <v>541</v>
      </c>
      <c r="AD646" s="10" t="s">
        <v>541</v>
      </c>
    </row>
    <row r="647" spans="1:30" x14ac:dyDescent="0.2">
      <c r="A647" s="110">
        <v>646</v>
      </c>
      <c r="B647" s="132">
        <v>41826</v>
      </c>
      <c r="C647" s="117">
        <v>2</v>
      </c>
      <c r="D647" s="103" t="s">
        <v>2</v>
      </c>
      <c r="E647" s="103" t="s">
        <v>306</v>
      </c>
      <c r="F647" s="103">
        <v>755</v>
      </c>
      <c r="G647" s="103">
        <v>78</v>
      </c>
      <c r="H647" s="137" t="s">
        <v>1347</v>
      </c>
      <c r="I647" s="103">
        <v>63</v>
      </c>
      <c r="K647" s="103" t="s">
        <v>364</v>
      </c>
      <c r="L647" s="133"/>
      <c r="M647" s="134">
        <v>3.888888888888889E-2</v>
      </c>
      <c r="N647" s="137" t="s">
        <v>2028</v>
      </c>
      <c r="O647" s="133" t="s">
        <v>803</v>
      </c>
      <c r="P647" s="100" t="s">
        <v>1786</v>
      </c>
      <c r="Q647" s="100" t="s">
        <v>2027</v>
      </c>
      <c r="R647" s="226" t="s">
        <v>1873</v>
      </c>
      <c r="S647" s="491" t="str">
        <f t="shared" si="21"/>
        <v>x</v>
      </c>
      <c r="T647" s="492">
        <f>IFERROR(VLOOKUP(F647,'Freq-Chan'!C:D,2,FALSE),"x")</f>
        <v>151.755</v>
      </c>
      <c r="U647" s="110" t="s">
        <v>541</v>
      </c>
      <c r="V647" s="110" t="str">
        <f t="shared" si="22"/>
        <v>FWL</v>
      </c>
      <c r="W647" s="110" t="s">
        <v>541</v>
      </c>
      <c r="X647" s="110" t="s">
        <v>541</v>
      </c>
      <c r="Y647" s="110" t="str">
        <f>IFERROR(VLOOKUP(F647,'Freq-Chan'!C:E,3,FALSE),"na")</f>
        <v>F1845</v>
      </c>
      <c r="Z647" s="110" t="s">
        <v>541</v>
      </c>
      <c r="AA647" s="110" t="s">
        <v>541</v>
      </c>
      <c r="AB647" s="110" t="s">
        <v>541</v>
      </c>
      <c r="AC647" s="10" t="s">
        <v>541</v>
      </c>
      <c r="AD647" s="10" t="s">
        <v>541</v>
      </c>
    </row>
    <row r="648" spans="1:30" x14ac:dyDescent="0.2">
      <c r="A648" s="110">
        <v>647</v>
      </c>
      <c r="B648" s="132">
        <v>41826</v>
      </c>
      <c r="C648" s="117">
        <v>2</v>
      </c>
      <c r="D648" s="103" t="s">
        <v>8</v>
      </c>
      <c r="E648" s="103" t="s">
        <v>306</v>
      </c>
      <c r="F648" s="103">
        <v>586</v>
      </c>
      <c r="G648" s="103">
        <v>83</v>
      </c>
      <c r="H648" s="137" t="s">
        <v>2029</v>
      </c>
      <c r="I648" s="103">
        <v>60</v>
      </c>
      <c r="K648" s="103" t="s">
        <v>364</v>
      </c>
      <c r="L648" s="133"/>
      <c r="M648" s="134">
        <v>5.8333333333333327E-2</v>
      </c>
      <c r="N648" s="137" t="s">
        <v>2030</v>
      </c>
      <c r="O648" s="133" t="s">
        <v>1663</v>
      </c>
      <c r="P648" s="100" t="s">
        <v>2031</v>
      </c>
      <c r="Q648" s="100" t="s">
        <v>2027</v>
      </c>
      <c r="R648" s="226" t="s">
        <v>1873</v>
      </c>
      <c r="S648" s="491" t="str">
        <f t="shared" si="21"/>
        <v>x</v>
      </c>
      <c r="T648" s="492">
        <f>IFERROR(VLOOKUP(F648,'Freq-Chan'!C:D,2,FALSE),"x")</f>
        <v>151.58600000000001</v>
      </c>
      <c r="U648" s="110" t="s">
        <v>541</v>
      </c>
      <c r="V648" s="110" t="str">
        <f t="shared" si="22"/>
        <v>FWL</v>
      </c>
      <c r="W648" s="110" t="s">
        <v>541</v>
      </c>
      <c r="X648" s="110" t="s">
        <v>541</v>
      </c>
      <c r="Y648" s="110" t="str">
        <f>IFERROR(VLOOKUP(F648,'Freq-Chan'!C:E,3,FALSE),"na")</f>
        <v>F1840</v>
      </c>
      <c r="Z648" s="110" t="s">
        <v>541</v>
      </c>
      <c r="AA648" s="110" t="s">
        <v>541</v>
      </c>
      <c r="AB648" s="110" t="s">
        <v>541</v>
      </c>
      <c r="AC648" s="10" t="s">
        <v>541</v>
      </c>
      <c r="AD648" s="10" t="s">
        <v>541</v>
      </c>
    </row>
    <row r="649" spans="1:30" x14ac:dyDescent="0.2">
      <c r="A649" s="110">
        <v>648</v>
      </c>
      <c r="B649" s="132">
        <v>41826</v>
      </c>
      <c r="C649" s="117">
        <v>2</v>
      </c>
      <c r="D649" s="103" t="s">
        <v>2</v>
      </c>
      <c r="E649" s="103" t="s">
        <v>306</v>
      </c>
      <c r="F649" s="103">
        <v>875</v>
      </c>
      <c r="G649" s="103">
        <v>51</v>
      </c>
      <c r="H649" s="137" t="s">
        <v>1349</v>
      </c>
      <c r="I649" s="103">
        <v>87</v>
      </c>
      <c r="K649" s="103" t="s">
        <v>364</v>
      </c>
      <c r="L649" s="133">
        <v>0.35833333333333334</v>
      </c>
      <c r="M649" s="134">
        <v>6.458333333333334E-2</v>
      </c>
      <c r="N649" s="137" t="s">
        <v>2032</v>
      </c>
      <c r="O649" s="133" t="s">
        <v>1663</v>
      </c>
      <c r="Q649" s="100" t="s">
        <v>2027</v>
      </c>
      <c r="R649" s="226" t="s">
        <v>1873</v>
      </c>
      <c r="S649" s="491">
        <f t="shared" si="21"/>
        <v>3.7847222E-3</v>
      </c>
      <c r="T649" s="492">
        <f>IFERROR(VLOOKUP(F649,'Freq-Chan'!C:D,2,FALSE),"x")</f>
        <v>151.875</v>
      </c>
      <c r="U649" s="110" t="s">
        <v>541</v>
      </c>
      <c r="V649" s="110" t="str">
        <f t="shared" si="22"/>
        <v>FWL</v>
      </c>
      <c r="W649" s="110" t="s">
        <v>541</v>
      </c>
      <c r="X649" s="110" t="s">
        <v>541</v>
      </c>
      <c r="Y649" s="110" t="str">
        <f>IFERROR(VLOOKUP(F649,'Freq-Chan'!C:E,3,FALSE),"na")</f>
        <v>F1845</v>
      </c>
      <c r="Z649" s="110" t="s">
        <v>541</v>
      </c>
      <c r="AA649" s="110" t="s">
        <v>541</v>
      </c>
      <c r="AB649" s="110" t="s">
        <v>541</v>
      </c>
      <c r="AC649" s="10" t="s">
        <v>541</v>
      </c>
      <c r="AD649" s="10" t="s">
        <v>541</v>
      </c>
    </row>
    <row r="650" spans="1:30" x14ac:dyDescent="0.2">
      <c r="A650" s="110">
        <v>649</v>
      </c>
      <c r="B650" s="132">
        <v>41826</v>
      </c>
      <c r="C650" s="117">
        <v>2</v>
      </c>
      <c r="D650" s="103" t="s">
        <v>2</v>
      </c>
      <c r="E650" s="103" t="s">
        <v>306</v>
      </c>
      <c r="F650" s="103">
        <v>875</v>
      </c>
      <c r="G650" s="103">
        <v>65</v>
      </c>
      <c r="H650" s="137" t="s">
        <v>1365</v>
      </c>
      <c r="I650" s="103">
        <v>91</v>
      </c>
      <c r="K650" s="103" t="s">
        <v>364</v>
      </c>
      <c r="L650" s="133"/>
      <c r="M650" s="134">
        <v>0.10833333333333334</v>
      </c>
      <c r="N650" s="137" t="s">
        <v>1770</v>
      </c>
      <c r="O650" s="133" t="s">
        <v>1888</v>
      </c>
      <c r="P650" s="100" t="s">
        <v>2033</v>
      </c>
      <c r="Q650" s="100" t="s">
        <v>2021</v>
      </c>
      <c r="R650" s="226" t="s">
        <v>1873</v>
      </c>
      <c r="S650" s="491" t="str">
        <f t="shared" si="21"/>
        <v>x</v>
      </c>
      <c r="T650" s="492">
        <f>IFERROR(VLOOKUP(F650,'Freq-Chan'!C:D,2,FALSE),"x")</f>
        <v>151.875</v>
      </c>
      <c r="U650" s="110" t="s">
        <v>541</v>
      </c>
      <c r="V650" s="110" t="str">
        <f t="shared" si="22"/>
        <v>FWL</v>
      </c>
      <c r="W650" s="110" t="s">
        <v>541</v>
      </c>
      <c r="X650" s="110" t="s">
        <v>541</v>
      </c>
      <c r="Y650" s="110" t="str">
        <f>IFERROR(VLOOKUP(F650,'Freq-Chan'!C:E,3,FALSE),"na")</f>
        <v>F1845</v>
      </c>
      <c r="Z650" s="110" t="s">
        <v>541</v>
      </c>
      <c r="AA650" s="110" t="s">
        <v>541</v>
      </c>
      <c r="AB650" s="110" t="s">
        <v>541</v>
      </c>
      <c r="AC650" s="10" t="s">
        <v>541</v>
      </c>
      <c r="AD650" s="10" t="s">
        <v>541</v>
      </c>
    </row>
    <row r="651" spans="1:30" s="291" customFormat="1" x14ac:dyDescent="0.2">
      <c r="A651" s="493">
        <v>650</v>
      </c>
      <c r="B651" s="283">
        <v>41826</v>
      </c>
      <c r="C651" s="284">
        <v>2</v>
      </c>
      <c r="D651" s="285" t="s">
        <v>2</v>
      </c>
      <c r="E651" s="285" t="s">
        <v>306</v>
      </c>
      <c r="F651" s="285">
        <v>364</v>
      </c>
      <c r="G651" s="285">
        <v>24</v>
      </c>
      <c r="H651" s="339" t="s">
        <v>1382</v>
      </c>
      <c r="I651" s="285">
        <v>87</v>
      </c>
      <c r="J651" s="285"/>
      <c r="K651" s="285" t="s">
        <v>364</v>
      </c>
      <c r="L651" s="286"/>
      <c r="M651" s="287">
        <v>9.0277777777777776E-2</v>
      </c>
      <c r="N651" s="288" t="s">
        <v>2034</v>
      </c>
      <c r="O651" s="286" t="s">
        <v>804</v>
      </c>
      <c r="P651" s="289"/>
      <c r="Q651" s="289" t="s">
        <v>2035</v>
      </c>
      <c r="R651" s="290" t="s">
        <v>1873</v>
      </c>
      <c r="S651" s="494" t="str">
        <f t="shared" si="21"/>
        <v>x</v>
      </c>
      <c r="T651" s="495">
        <f>IFERROR(VLOOKUP(F651,'Freq-Chan'!C:D,2,FALSE),"x")</f>
        <v>151.364</v>
      </c>
      <c r="U651" s="493" t="s">
        <v>541</v>
      </c>
      <c r="V651" s="493" t="str">
        <f t="shared" si="22"/>
        <v>FWL</v>
      </c>
      <c r="W651" s="493" t="s">
        <v>541</v>
      </c>
      <c r="X651" s="493" t="s">
        <v>541</v>
      </c>
      <c r="Y651" s="493" t="str">
        <f>IFERROR(VLOOKUP(F651,'Freq-Chan'!C:E,3,FALSE),"na")</f>
        <v>F1845</v>
      </c>
      <c r="Z651" s="493" t="s">
        <v>541</v>
      </c>
      <c r="AA651" s="493" t="s">
        <v>541</v>
      </c>
      <c r="AB651" s="493" t="s">
        <v>541</v>
      </c>
      <c r="AC651" s="291" t="s">
        <v>541</v>
      </c>
      <c r="AD651" s="291" t="s">
        <v>541</v>
      </c>
    </row>
    <row r="652" spans="1:30" x14ac:dyDescent="0.2">
      <c r="A652" s="110">
        <v>651</v>
      </c>
      <c r="B652" s="132">
        <v>41826</v>
      </c>
      <c r="C652" s="117">
        <v>3</v>
      </c>
      <c r="D652" s="103" t="s">
        <v>2</v>
      </c>
      <c r="E652" s="103" t="s">
        <v>306</v>
      </c>
      <c r="F652" s="103">
        <v>875</v>
      </c>
      <c r="G652" s="103">
        <v>60</v>
      </c>
      <c r="H652" s="137" t="s">
        <v>1351</v>
      </c>
      <c r="I652" s="103">
        <v>83</v>
      </c>
      <c r="K652" s="103" t="s">
        <v>364</v>
      </c>
      <c r="L652" s="133"/>
      <c r="M652" s="134">
        <v>6.9444444444444434E-2</v>
      </c>
      <c r="N652" s="137" t="s">
        <v>1637</v>
      </c>
      <c r="O652" s="133" t="s">
        <v>1888</v>
      </c>
      <c r="P652" s="100" t="s">
        <v>2036</v>
      </c>
      <c r="Q652" s="100" t="s">
        <v>2037</v>
      </c>
      <c r="R652" s="226" t="s">
        <v>2546</v>
      </c>
      <c r="S652" s="491" t="str">
        <f t="shared" si="21"/>
        <v>x</v>
      </c>
      <c r="T652" s="492">
        <f>IFERROR(VLOOKUP(F652,'Freq-Chan'!C:D,2,FALSE),"x")</f>
        <v>151.875</v>
      </c>
      <c r="U652" s="110" t="s">
        <v>541</v>
      </c>
      <c r="V652" s="110" t="str">
        <f t="shared" si="22"/>
        <v>FWL</v>
      </c>
      <c r="W652" s="110" t="s">
        <v>541</v>
      </c>
      <c r="X652" s="110" t="s">
        <v>541</v>
      </c>
      <c r="Y652" s="110" t="str">
        <f>IFERROR(VLOOKUP(F652,'Freq-Chan'!C:E,3,FALSE),"na")</f>
        <v>F1845</v>
      </c>
      <c r="Z652" s="110" t="s">
        <v>541</v>
      </c>
      <c r="AA652" s="110" t="s">
        <v>541</v>
      </c>
      <c r="AB652" s="110" t="s">
        <v>541</v>
      </c>
      <c r="AC652" s="10" t="s">
        <v>541</v>
      </c>
      <c r="AD652" s="10" t="s">
        <v>541</v>
      </c>
    </row>
    <row r="653" spans="1:30" x14ac:dyDescent="0.2">
      <c r="A653" s="110">
        <v>652</v>
      </c>
      <c r="B653" s="132">
        <v>41826</v>
      </c>
      <c r="C653" s="117">
        <v>3</v>
      </c>
      <c r="D653" s="103" t="s">
        <v>2</v>
      </c>
      <c r="E653" s="103" t="s">
        <v>306</v>
      </c>
      <c r="F653" s="103">
        <v>875</v>
      </c>
      <c r="G653" s="103">
        <v>5</v>
      </c>
      <c r="H653" s="137" t="s">
        <v>1352</v>
      </c>
      <c r="I653" s="103">
        <v>62</v>
      </c>
      <c r="K653" s="103" t="s">
        <v>364</v>
      </c>
      <c r="L653" s="133"/>
      <c r="M653" s="134">
        <v>6.805555555555555E-2</v>
      </c>
      <c r="N653" s="137" t="s">
        <v>2038</v>
      </c>
      <c r="O653" s="133" t="s">
        <v>802</v>
      </c>
      <c r="P653" s="100" t="s">
        <v>1786</v>
      </c>
      <c r="Q653" s="100" t="s">
        <v>2037</v>
      </c>
      <c r="R653" s="226" t="s">
        <v>2546</v>
      </c>
      <c r="S653" s="491" t="str">
        <f t="shared" si="21"/>
        <v>x</v>
      </c>
      <c r="T653" s="492">
        <f>IFERROR(VLOOKUP(F653,'Freq-Chan'!C:D,2,FALSE),"x")</f>
        <v>151.875</v>
      </c>
      <c r="U653" s="110" t="s">
        <v>541</v>
      </c>
      <c r="V653" s="110" t="str">
        <f t="shared" si="22"/>
        <v>FWL</v>
      </c>
      <c r="W653" s="110" t="s">
        <v>541</v>
      </c>
      <c r="X653" s="110" t="s">
        <v>541</v>
      </c>
      <c r="Y653" s="110" t="str">
        <f>IFERROR(VLOOKUP(F653,'Freq-Chan'!C:E,3,FALSE),"na")</f>
        <v>F1845</v>
      </c>
      <c r="Z653" s="110" t="s">
        <v>541</v>
      </c>
      <c r="AA653" s="110" t="s">
        <v>541</v>
      </c>
      <c r="AB653" s="110" t="s">
        <v>541</v>
      </c>
      <c r="AC653" s="10" t="s">
        <v>541</v>
      </c>
      <c r="AD653" s="10" t="s">
        <v>541</v>
      </c>
    </row>
    <row r="654" spans="1:30" x14ac:dyDescent="0.2">
      <c r="A654" s="110">
        <v>653</v>
      </c>
      <c r="B654" s="132">
        <v>41826</v>
      </c>
      <c r="C654" s="117">
        <v>3</v>
      </c>
      <c r="D654" s="103" t="s">
        <v>2</v>
      </c>
      <c r="E654" s="103" t="s">
        <v>306</v>
      </c>
      <c r="F654" s="103">
        <v>875</v>
      </c>
      <c r="G654" s="103">
        <v>79</v>
      </c>
      <c r="H654" s="137" t="s">
        <v>1353</v>
      </c>
      <c r="I654" s="103">
        <v>90</v>
      </c>
      <c r="K654" s="103" t="s">
        <v>364</v>
      </c>
      <c r="L654" s="133"/>
      <c r="M654" s="134">
        <v>7.9166666666666663E-2</v>
      </c>
      <c r="N654" s="137" t="s">
        <v>2003</v>
      </c>
      <c r="O654" s="133" t="s">
        <v>1888</v>
      </c>
      <c r="P654" s="100" t="s">
        <v>2039</v>
      </c>
      <c r="Q654" s="100" t="s">
        <v>2037</v>
      </c>
      <c r="R654" s="226" t="s">
        <v>2546</v>
      </c>
      <c r="S654" s="491" t="str">
        <f t="shared" si="21"/>
        <v>x</v>
      </c>
      <c r="T654" s="492">
        <f>IFERROR(VLOOKUP(F654,'Freq-Chan'!C:D,2,FALSE),"x")</f>
        <v>151.875</v>
      </c>
      <c r="U654" s="110" t="s">
        <v>541</v>
      </c>
      <c r="V654" s="110" t="str">
        <f t="shared" si="22"/>
        <v>FWL</v>
      </c>
      <c r="W654" s="110" t="s">
        <v>541</v>
      </c>
      <c r="X654" s="110" t="s">
        <v>541</v>
      </c>
      <c r="Y654" s="110" t="str">
        <f>IFERROR(VLOOKUP(F654,'Freq-Chan'!C:E,3,FALSE),"na")</f>
        <v>F1845</v>
      </c>
      <c r="Z654" s="110" t="s">
        <v>541</v>
      </c>
      <c r="AA654" s="110" t="s">
        <v>541</v>
      </c>
      <c r="AB654" s="110" t="s">
        <v>541</v>
      </c>
      <c r="AC654" s="10" t="s">
        <v>541</v>
      </c>
      <c r="AD654" s="10" t="s">
        <v>541</v>
      </c>
    </row>
    <row r="655" spans="1:30" x14ac:dyDescent="0.2">
      <c r="A655" s="110">
        <v>654</v>
      </c>
      <c r="B655" s="132">
        <v>41826</v>
      </c>
      <c r="C655" s="117">
        <v>3</v>
      </c>
      <c r="D655" s="103" t="s">
        <v>2</v>
      </c>
      <c r="E655" s="103" t="s">
        <v>306</v>
      </c>
      <c r="F655" s="103">
        <v>875</v>
      </c>
      <c r="G655" s="103">
        <v>45</v>
      </c>
      <c r="H655" s="137" t="s">
        <v>1354</v>
      </c>
      <c r="I655" s="103">
        <v>89</v>
      </c>
      <c r="K655" s="103" t="s">
        <v>364</v>
      </c>
      <c r="L655" s="133"/>
      <c r="M655" s="134">
        <v>8.3333333333333329E-2</v>
      </c>
      <c r="N655" s="137" t="s">
        <v>2008</v>
      </c>
      <c r="O655" s="133" t="s">
        <v>1888</v>
      </c>
      <c r="P655" s="100" t="s">
        <v>1998</v>
      </c>
      <c r="Q655" s="100" t="s">
        <v>2037</v>
      </c>
      <c r="R655" s="226" t="s">
        <v>2546</v>
      </c>
      <c r="S655" s="491" t="str">
        <f t="shared" si="21"/>
        <v>x</v>
      </c>
      <c r="T655" s="492">
        <f>IFERROR(VLOOKUP(F655,'Freq-Chan'!C:D,2,FALSE),"x")</f>
        <v>151.875</v>
      </c>
      <c r="U655" s="110" t="s">
        <v>541</v>
      </c>
      <c r="V655" s="110" t="str">
        <f t="shared" si="22"/>
        <v>FWL</v>
      </c>
      <c r="W655" s="110" t="s">
        <v>541</v>
      </c>
      <c r="X655" s="110" t="s">
        <v>541</v>
      </c>
      <c r="Y655" s="110" t="str">
        <f>IFERROR(VLOOKUP(F655,'Freq-Chan'!C:E,3,FALSE),"na")</f>
        <v>F1845</v>
      </c>
      <c r="Z655" s="110" t="s">
        <v>541</v>
      </c>
      <c r="AA655" s="110" t="s">
        <v>541</v>
      </c>
      <c r="AB655" s="110" t="s">
        <v>541</v>
      </c>
      <c r="AC655" s="10" t="s">
        <v>541</v>
      </c>
      <c r="AD655" s="10" t="s">
        <v>541</v>
      </c>
    </row>
    <row r="656" spans="1:30" x14ac:dyDescent="0.2">
      <c r="A656" s="110">
        <v>655</v>
      </c>
      <c r="B656" s="132">
        <v>41826</v>
      </c>
      <c r="C656" s="117">
        <v>3</v>
      </c>
      <c r="D656" s="103" t="s">
        <v>75</v>
      </c>
      <c r="E656" s="103" t="s">
        <v>798</v>
      </c>
      <c r="H656" s="103"/>
      <c r="J656" s="103">
        <v>42</v>
      </c>
      <c r="K656" s="103" t="s">
        <v>364</v>
      </c>
      <c r="L656" s="133"/>
      <c r="M656" s="134">
        <v>2.0833333333333332E-2</v>
      </c>
      <c r="N656" s="137" t="s">
        <v>1643</v>
      </c>
      <c r="O656" s="133" t="s">
        <v>1888</v>
      </c>
      <c r="P656" s="100" t="s">
        <v>1998</v>
      </c>
      <c r="Q656" s="100" t="s">
        <v>2037</v>
      </c>
      <c r="R656" s="226" t="s">
        <v>2546</v>
      </c>
      <c r="S656" s="491" t="str">
        <f t="shared" si="21"/>
        <v>x</v>
      </c>
      <c r="T656" s="492" t="str">
        <f>IFERROR(VLOOKUP(F656,'Freq-Chan'!C:D,2,FALSE),"x")</f>
        <v>x</v>
      </c>
      <c r="U656" s="110" t="s">
        <v>541</v>
      </c>
      <c r="V656" s="110" t="str">
        <f t="shared" si="22"/>
        <v>FWL</v>
      </c>
      <c r="W656" s="110" t="s">
        <v>541</v>
      </c>
      <c r="X656" s="110" t="s">
        <v>541</v>
      </c>
      <c r="Y656" s="110" t="str">
        <f>IFERROR(VLOOKUP(F656,'Freq-Chan'!C:E,3,FALSE),"na")</f>
        <v>na</v>
      </c>
      <c r="Z656" s="110" t="s">
        <v>541</v>
      </c>
      <c r="AA656" s="110" t="s">
        <v>541</v>
      </c>
      <c r="AB656" s="110" t="s">
        <v>541</v>
      </c>
      <c r="AC656" s="10" t="s">
        <v>541</v>
      </c>
      <c r="AD656" s="10" t="s">
        <v>541</v>
      </c>
    </row>
    <row r="657" spans="1:30" x14ac:dyDescent="0.2">
      <c r="A657" s="110">
        <v>656</v>
      </c>
      <c r="B657" s="132">
        <v>41826</v>
      </c>
      <c r="C657" s="117">
        <v>3</v>
      </c>
      <c r="D657" s="103" t="s">
        <v>88</v>
      </c>
      <c r="E657" s="103" t="s">
        <v>798</v>
      </c>
      <c r="H657" s="103"/>
      <c r="J657" s="103">
        <v>29</v>
      </c>
      <c r="K657" s="103" t="s">
        <v>364</v>
      </c>
      <c r="L657" s="133"/>
      <c r="M657" s="134">
        <v>2.0833333333333332E-2</v>
      </c>
      <c r="N657" s="137" t="s">
        <v>2040</v>
      </c>
      <c r="O657" s="133" t="s">
        <v>1888</v>
      </c>
      <c r="P657" s="100" t="s">
        <v>1998</v>
      </c>
      <c r="Q657" s="100" t="s">
        <v>2037</v>
      </c>
      <c r="R657" s="226" t="s">
        <v>2546</v>
      </c>
      <c r="S657" s="491" t="str">
        <f t="shared" si="21"/>
        <v>x</v>
      </c>
      <c r="T657" s="492" t="str">
        <f>IFERROR(VLOOKUP(F657,'Freq-Chan'!C:D,2,FALSE),"x")</f>
        <v>x</v>
      </c>
      <c r="U657" s="110" t="s">
        <v>541</v>
      </c>
      <c r="V657" s="110" t="str">
        <f t="shared" si="22"/>
        <v>FWL</v>
      </c>
      <c r="W657" s="110" t="s">
        <v>541</v>
      </c>
      <c r="X657" s="110" t="s">
        <v>541</v>
      </c>
      <c r="Y657" s="110" t="str">
        <f>IFERROR(VLOOKUP(F657,'Freq-Chan'!C:E,3,FALSE),"na")</f>
        <v>na</v>
      </c>
      <c r="Z657" s="110" t="s">
        <v>541</v>
      </c>
      <c r="AA657" s="110" t="s">
        <v>541</v>
      </c>
      <c r="AB657" s="110" t="s">
        <v>541</v>
      </c>
      <c r="AC657" s="10" t="s">
        <v>541</v>
      </c>
      <c r="AD657" s="10" t="s">
        <v>541</v>
      </c>
    </row>
    <row r="658" spans="1:30" x14ac:dyDescent="0.2">
      <c r="A658" s="110">
        <v>657</v>
      </c>
      <c r="B658" s="132">
        <v>41826</v>
      </c>
      <c r="C658" s="117">
        <v>3</v>
      </c>
      <c r="D658" s="103" t="s">
        <v>2</v>
      </c>
      <c r="E658" s="103" t="s">
        <v>306</v>
      </c>
      <c r="F658" s="103">
        <v>875</v>
      </c>
      <c r="G658" s="103">
        <v>21</v>
      </c>
      <c r="H658" s="137" t="s">
        <v>1355</v>
      </c>
      <c r="I658" s="103">
        <v>52</v>
      </c>
      <c r="K658" s="103" t="s">
        <v>364</v>
      </c>
      <c r="L658" s="133"/>
      <c r="M658" s="134">
        <v>7.2916666666666671E-2</v>
      </c>
      <c r="N658" s="137" t="s">
        <v>2041</v>
      </c>
      <c r="O658" s="133" t="s">
        <v>802</v>
      </c>
      <c r="P658" s="100" t="s">
        <v>2042</v>
      </c>
      <c r="Q658" s="100" t="s">
        <v>2037</v>
      </c>
      <c r="R658" s="226" t="s">
        <v>2546</v>
      </c>
      <c r="S658" s="491" t="str">
        <f t="shared" si="21"/>
        <v>x</v>
      </c>
      <c r="T658" s="492">
        <f>IFERROR(VLOOKUP(F658,'Freq-Chan'!C:D,2,FALSE),"x")</f>
        <v>151.875</v>
      </c>
      <c r="U658" s="110" t="s">
        <v>541</v>
      </c>
      <c r="V658" s="110" t="str">
        <f t="shared" si="22"/>
        <v>FWL</v>
      </c>
      <c r="W658" s="110" t="s">
        <v>541</v>
      </c>
      <c r="X658" s="110" t="s">
        <v>541</v>
      </c>
      <c r="Y658" s="110" t="str">
        <f>IFERROR(VLOOKUP(F658,'Freq-Chan'!C:E,3,FALSE),"na")</f>
        <v>F1845</v>
      </c>
      <c r="Z658" s="110" t="s">
        <v>541</v>
      </c>
      <c r="AA658" s="110" t="s">
        <v>541</v>
      </c>
      <c r="AB658" s="110" t="s">
        <v>541</v>
      </c>
      <c r="AC658" s="10" t="s">
        <v>541</v>
      </c>
      <c r="AD658" s="10" t="s">
        <v>541</v>
      </c>
    </row>
    <row r="659" spans="1:30" x14ac:dyDescent="0.2">
      <c r="A659" s="110">
        <v>658</v>
      </c>
      <c r="B659" s="132">
        <v>41826</v>
      </c>
      <c r="C659" s="117">
        <v>3</v>
      </c>
      <c r="D659" s="103" t="s">
        <v>177</v>
      </c>
      <c r="E659" s="103" t="s">
        <v>0</v>
      </c>
      <c r="H659" s="103"/>
      <c r="J659" s="103">
        <v>31</v>
      </c>
      <c r="K659" s="103" t="s">
        <v>364</v>
      </c>
      <c r="L659" s="133"/>
      <c r="M659" s="134">
        <v>2.0833333333333332E-2</v>
      </c>
      <c r="N659" s="137" t="s">
        <v>2043</v>
      </c>
      <c r="O659" s="133" t="s">
        <v>1888</v>
      </c>
      <c r="P659" s="100" t="s">
        <v>776</v>
      </c>
      <c r="Q659" s="100" t="s">
        <v>2037</v>
      </c>
      <c r="R659" s="226" t="s">
        <v>2546</v>
      </c>
      <c r="S659" s="491" t="str">
        <f t="shared" si="21"/>
        <v>x</v>
      </c>
      <c r="T659" s="492" t="str">
        <f>IFERROR(VLOOKUP(F659,'Freq-Chan'!C:D,2,FALSE),"x")</f>
        <v>x</v>
      </c>
      <c r="U659" s="110" t="s">
        <v>541</v>
      </c>
      <c r="V659" s="110" t="str">
        <f t="shared" si="22"/>
        <v>FWL</v>
      </c>
      <c r="W659" s="110" t="s">
        <v>541</v>
      </c>
      <c r="X659" s="110" t="s">
        <v>541</v>
      </c>
      <c r="Y659" s="110" t="str">
        <f>IFERROR(VLOOKUP(F659,'Freq-Chan'!C:E,3,FALSE),"na")</f>
        <v>na</v>
      </c>
      <c r="Z659" s="110" t="s">
        <v>541</v>
      </c>
      <c r="AA659" s="110" t="s">
        <v>541</v>
      </c>
      <c r="AB659" s="110" t="s">
        <v>541</v>
      </c>
      <c r="AC659" s="10" t="s">
        <v>541</v>
      </c>
      <c r="AD659" s="10" t="s">
        <v>541</v>
      </c>
    </row>
    <row r="660" spans="1:30" x14ac:dyDescent="0.2">
      <c r="A660" s="110">
        <v>659</v>
      </c>
      <c r="B660" s="132">
        <v>41826</v>
      </c>
      <c r="C660" s="117">
        <v>3</v>
      </c>
      <c r="D660" s="103" t="s">
        <v>88</v>
      </c>
      <c r="E660" s="103" t="s">
        <v>798</v>
      </c>
      <c r="H660" s="103"/>
      <c r="J660" s="103">
        <v>23</v>
      </c>
      <c r="K660" s="103" t="s">
        <v>364</v>
      </c>
      <c r="L660" s="133"/>
      <c r="M660" s="134">
        <v>3.125E-2</v>
      </c>
      <c r="N660" s="137" t="s">
        <v>2044</v>
      </c>
      <c r="O660" s="133" t="s">
        <v>1888</v>
      </c>
      <c r="Q660" s="100" t="s">
        <v>2037</v>
      </c>
      <c r="R660" s="226" t="s">
        <v>2546</v>
      </c>
      <c r="S660" s="491" t="str">
        <f t="shared" si="21"/>
        <v>x</v>
      </c>
      <c r="T660" s="492" t="str">
        <f>IFERROR(VLOOKUP(F660,'Freq-Chan'!C:D,2,FALSE),"x")</f>
        <v>x</v>
      </c>
      <c r="U660" s="110" t="s">
        <v>541</v>
      </c>
      <c r="V660" s="110" t="str">
        <f t="shared" si="22"/>
        <v>FWL</v>
      </c>
      <c r="W660" s="110" t="s">
        <v>541</v>
      </c>
      <c r="X660" s="110" t="s">
        <v>541</v>
      </c>
      <c r="Y660" s="110" t="str">
        <f>IFERROR(VLOOKUP(F660,'Freq-Chan'!C:E,3,FALSE),"na")</f>
        <v>na</v>
      </c>
      <c r="Z660" s="110" t="s">
        <v>541</v>
      </c>
      <c r="AA660" s="110" t="s">
        <v>541</v>
      </c>
      <c r="AB660" s="110" t="s">
        <v>541</v>
      </c>
      <c r="AC660" s="10" t="s">
        <v>541</v>
      </c>
      <c r="AD660" s="10" t="s">
        <v>541</v>
      </c>
    </row>
    <row r="661" spans="1:30" x14ac:dyDescent="0.2">
      <c r="A661" s="110">
        <v>660</v>
      </c>
      <c r="B661" s="132">
        <v>41826</v>
      </c>
      <c r="C661" s="117">
        <v>3</v>
      </c>
      <c r="D661" s="103" t="s">
        <v>88</v>
      </c>
      <c r="E661" s="103" t="s">
        <v>798</v>
      </c>
      <c r="H661" s="103"/>
      <c r="J661" s="103">
        <v>24</v>
      </c>
      <c r="K661" s="103" t="s">
        <v>364</v>
      </c>
      <c r="L661" s="133"/>
      <c r="M661" s="134">
        <v>1.9444444444444445E-2</v>
      </c>
      <c r="N661" s="137" t="s">
        <v>834</v>
      </c>
      <c r="O661" s="133" t="s">
        <v>1888</v>
      </c>
      <c r="Q661" s="100" t="s">
        <v>2037</v>
      </c>
      <c r="R661" s="226" t="s">
        <v>2546</v>
      </c>
      <c r="S661" s="491" t="str">
        <f t="shared" si="21"/>
        <v>x</v>
      </c>
      <c r="T661" s="492" t="str">
        <f>IFERROR(VLOOKUP(F661,'Freq-Chan'!C:D,2,FALSE),"x")</f>
        <v>x</v>
      </c>
      <c r="U661" s="110" t="s">
        <v>541</v>
      </c>
      <c r="V661" s="110" t="str">
        <f t="shared" si="22"/>
        <v>FWL</v>
      </c>
      <c r="W661" s="110" t="s">
        <v>541</v>
      </c>
      <c r="X661" s="110" t="s">
        <v>541</v>
      </c>
      <c r="Y661" s="110" t="str">
        <f>IFERROR(VLOOKUP(F661,'Freq-Chan'!C:E,3,FALSE),"na")</f>
        <v>na</v>
      </c>
      <c r="Z661" s="110" t="s">
        <v>541</v>
      </c>
      <c r="AA661" s="110" t="s">
        <v>541</v>
      </c>
      <c r="AB661" s="110" t="s">
        <v>541</v>
      </c>
      <c r="AC661" s="10" t="s">
        <v>541</v>
      </c>
      <c r="AD661" s="10" t="s">
        <v>541</v>
      </c>
    </row>
    <row r="662" spans="1:30" x14ac:dyDescent="0.2">
      <c r="A662" s="110">
        <v>661</v>
      </c>
      <c r="B662" s="132">
        <v>41826</v>
      </c>
      <c r="C662" s="117">
        <v>3</v>
      </c>
      <c r="D662" s="103" t="s">
        <v>88</v>
      </c>
      <c r="E662" s="103" t="s">
        <v>798</v>
      </c>
      <c r="H662" s="103"/>
      <c r="K662" s="103" t="s">
        <v>364</v>
      </c>
      <c r="L662" s="133"/>
      <c r="M662" s="134"/>
      <c r="N662" s="137" t="s">
        <v>2045</v>
      </c>
      <c r="O662" s="133" t="s">
        <v>1888</v>
      </c>
      <c r="P662" s="100" t="s">
        <v>2046</v>
      </c>
      <c r="Q662" s="100" t="s">
        <v>2037</v>
      </c>
      <c r="R662" s="226" t="s">
        <v>2546</v>
      </c>
      <c r="S662" s="491" t="str">
        <f t="shared" si="21"/>
        <v>x</v>
      </c>
      <c r="T662" s="492" t="str">
        <f>IFERROR(VLOOKUP(F662,'Freq-Chan'!C:D,2,FALSE),"x")</f>
        <v>x</v>
      </c>
      <c r="U662" s="110" t="s">
        <v>541</v>
      </c>
      <c r="V662" s="110" t="str">
        <f t="shared" si="22"/>
        <v>FWL</v>
      </c>
      <c r="W662" s="110" t="s">
        <v>541</v>
      </c>
      <c r="X662" s="110" t="s">
        <v>541</v>
      </c>
      <c r="Y662" s="110" t="str">
        <f>IFERROR(VLOOKUP(F662,'Freq-Chan'!C:E,3,FALSE),"na")</f>
        <v>na</v>
      </c>
      <c r="Z662" s="110" t="s">
        <v>541</v>
      </c>
      <c r="AA662" s="110" t="s">
        <v>541</v>
      </c>
      <c r="AB662" s="110" t="s">
        <v>541</v>
      </c>
      <c r="AC662" s="10" t="s">
        <v>541</v>
      </c>
      <c r="AD662" s="10" t="s">
        <v>541</v>
      </c>
    </row>
    <row r="663" spans="1:30" x14ac:dyDescent="0.2">
      <c r="A663" s="110">
        <v>662</v>
      </c>
      <c r="B663" s="132">
        <v>41826</v>
      </c>
      <c r="C663" s="117">
        <v>3</v>
      </c>
      <c r="D663" s="103" t="s">
        <v>88</v>
      </c>
      <c r="E663" s="103" t="s">
        <v>798</v>
      </c>
      <c r="H663" s="103"/>
      <c r="J663" s="103">
        <v>20</v>
      </c>
      <c r="K663" s="103" t="s">
        <v>364</v>
      </c>
      <c r="L663" s="133"/>
      <c r="M663" s="134">
        <v>1.9444444444444445E-2</v>
      </c>
      <c r="N663" s="137" t="s">
        <v>2047</v>
      </c>
      <c r="O663" s="133" t="s">
        <v>1888</v>
      </c>
      <c r="Q663" s="100" t="s">
        <v>2037</v>
      </c>
      <c r="R663" s="226" t="s">
        <v>2546</v>
      </c>
      <c r="S663" s="491" t="str">
        <f t="shared" si="21"/>
        <v>x</v>
      </c>
      <c r="T663" s="492" t="str">
        <f>IFERROR(VLOOKUP(F663,'Freq-Chan'!C:D,2,FALSE),"x")</f>
        <v>x</v>
      </c>
      <c r="U663" s="110" t="s">
        <v>541</v>
      </c>
      <c r="V663" s="110" t="str">
        <f t="shared" si="22"/>
        <v>FWL</v>
      </c>
      <c r="W663" s="110" t="s">
        <v>541</v>
      </c>
      <c r="X663" s="110" t="s">
        <v>541</v>
      </c>
      <c r="Y663" s="110" t="str">
        <f>IFERROR(VLOOKUP(F663,'Freq-Chan'!C:E,3,FALSE),"na")</f>
        <v>na</v>
      </c>
      <c r="Z663" s="110" t="s">
        <v>541</v>
      </c>
      <c r="AA663" s="110" t="s">
        <v>541</v>
      </c>
      <c r="AB663" s="110" t="s">
        <v>541</v>
      </c>
      <c r="AC663" s="10" t="s">
        <v>541</v>
      </c>
      <c r="AD663" s="10" t="s">
        <v>541</v>
      </c>
    </row>
    <row r="664" spans="1:30" x14ac:dyDescent="0.2">
      <c r="A664" s="110">
        <v>663</v>
      </c>
      <c r="B664" s="132">
        <v>41826</v>
      </c>
      <c r="C664" s="117">
        <v>3</v>
      </c>
      <c r="D664" s="103" t="s">
        <v>2</v>
      </c>
      <c r="E664" s="103" t="s">
        <v>306</v>
      </c>
      <c r="F664" s="103">
        <v>875</v>
      </c>
      <c r="G664" s="103">
        <v>53</v>
      </c>
      <c r="H664" s="137" t="s">
        <v>1356</v>
      </c>
      <c r="I664" s="103">
        <v>82</v>
      </c>
      <c r="K664" s="103" t="s">
        <v>364</v>
      </c>
      <c r="L664" s="133">
        <v>0.39861111111111108</v>
      </c>
      <c r="M664" s="134">
        <v>8.1250000000000003E-2</v>
      </c>
      <c r="N664" s="137" t="s">
        <v>1796</v>
      </c>
      <c r="O664" s="133" t="s">
        <v>1888</v>
      </c>
      <c r="Q664" s="100" t="s">
        <v>2037</v>
      </c>
      <c r="R664" s="226" t="s">
        <v>2546</v>
      </c>
      <c r="S664" s="491">
        <f t="shared" si="21"/>
        <v>3.5069443999999998E-3</v>
      </c>
      <c r="T664" s="492">
        <f>IFERROR(VLOOKUP(F664,'Freq-Chan'!C:D,2,FALSE),"x")</f>
        <v>151.875</v>
      </c>
      <c r="U664" s="110" t="s">
        <v>541</v>
      </c>
      <c r="V664" s="110" t="str">
        <f t="shared" si="22"/>
        <v>FWL</v>
      </c>
      <c r="W664" s="110" t="s">
        <v>541</v>
      </c>
      <c r="X664" s="110" t="s">
        <v>541</v>
      </c>
      <c r="Y664" s="110" t="str">
        <f>IFERROR(VLOOKUP(F664,'Freq-Chan'!C:E,3,FALSE),"na")</f>
        <v>F1845</v>
      </c>
      <c r="Z664" s="110" t="s">
        <v>541</v>
      </c>
      <c r="AA664" s="110" t="s">
        <v>541</v>
      </c>
      <c r="AB664" s="110" t="s">
        <v>541</v>
      </c>
      <c r="AC664" s="10" t="s">
        <v>541</v>
      </c>
      <c r="AD664" s="10" t="s">
        <v>541</v>
      </c>
    </row>
    <row r="665" spans="1:30" x14ac:dyDescent="0.2">
      <c r="A665" s="110">
        <v>664</v>
      </c>
      <c r="B665" s="132">
        <v>41826</v>
      </c>
      <c r="C665" s="117">
        <v>3</v>
      </c>
      <c r="D665" s="103" t="s">
        <v>177</v>
      </c>
      <c r="E665" s="103" t="s">
        <v>0</v>
      </c>
      <c r="H665" s="103"/>
      <c r="I665" s="103">
        <v>31</v>
      </c>
      <c r="K665" s="103" t="s">
        <v>364</v>
      </c>
      <c r="L665" s="133"/>
      <c r="M665" s="134">
        <v>3.125E-2</v>
      </c>
      <c r="N665" s="137" t="s">
        <v>1783</v>
      </c>
      <c r="O665" s="133" t="s">
        <v>804</v>
      </c>
      <c r="P665" s="100" t="s">
        <v>776</v>
      </c>
      <c r="Q665" s="100" t="s">
        <v>2035</v>
      </c>
      <c r="R665" s="226" t="s">
        <v>2546</v>
      </c>
      <c r="S665" s="491" t="str">
        <f t="shared" si="21"/>
        <v>x</v>
      </c>
      <c r="T665" s="492" t="str">
        <f>IFERROR(VLOOKUP(F665,'Freq-Chan'!C:D,2,FALSE),"x")</f>
        <v>x</v>
      </c>
      <c r="U665" s="110" t="s">
        <v>541</v>
      </c>
      <c r="V665" s="110" t="str">
        <f t="shared" si="22"/>
        <v>FWL</v>
      </c>
      <c r="W665" s="110" t="s">
        <v>541</v>
      </c>
      <c r="X665" s="110" t="s">
        <v>541</v>
      </c>
      <c r="Y665" s="110" t="str">
        <f>IFERROR(VLOOKUP(F665,'Freq-Chan'!C:E,3,FALSE),"na")</f>
        <v>na</v>
      </c>
      <c r="Z665" s="110" t="s">
        <v>541</v>
      </c>
      <c r="AA665" s="110" t="s">
        <v>541</v>
      </c>
      <c r="AB665" s="110" t="s">
        <v>541</v>
      </c>
      <c r="AC665" s="10" t="s">
        <v>541</v>
      </c>
      <c r="AD665" s="10" t="s">
        <v>541</v>
      </c>
    </row>
    <row r="666" spans="1:30" x14ac:dyDescent="0.2">
      <c r="A666" s="110">
        <v>665</v>
      </c>
      <c r="B666" s="132">
        <v>41826</v>
      </c>
      <c r="C666" s="117">
        <v>3</v>
      </c>
      <c r="D666" s="103" t="s">
        <v>2</v>
      </c>
      <c r="E666" s="103" t="s">
        <v>306</v>
      </c>
      <c r="F666" s="103">
        <v>364</v>
      </c>
      <c r="G666" s="103">
        <v>45</v>
      </c>
      <c r="H666" s="137" t="s">
        <v>1357</v>
      </c>
      <c r="I666" s="103">
        <v>73</v>
      </c>
      <c r="K666" s="103" t="s">
        <v>364</v>
      </c>
      <c r="L666" s="133">
        <v>0.5</v>
      </c>
      <c r="M666" s="134">
        <v>6.1805555555555558E-2</v>
      </c>
      <c r="N666" s="137" t="s">
        <v>2048</v>
      </c>
      <c r="O666" s="133" t="s">
        <v>376</v>
      </c>
      <c r="Q666" s="100" t="s">
        <v>2035</v>
      </c>
      <c r="R666" s="226" t="s">
        <v>2546</v>
      </c>
      <c r="S666" s="491">
        <f t="shared" si="21"/>
        <v>9.3865740999999996E-3</v>
      </c>
      <c r="T666" s="492">
        <f>IFERROR(VLOOKUP(F666,'Freq-Chan'!C:D,2,FALSE),"x")</f>
        <v>151.364</v>
      </c>
      <c r="U666" s="110" t="s">
        <v>541</v>
      </c>
      <c r="V666" s="110" t="str">
        <f t="shared" si="22"/>
        <v>FWL</v>
      </c>
      <c r="W666" s="110" t="s">
        <v>541</v>
      </c>
      <c r="X666" s="110" t="s">
        <v>541</v>
      </c>
      <c r="Y666" s="110" t="str">
        <f>IFERROR(VLOOKUP(F666,'Freq-Chan'!C:E,3,FALSE),"na")</f>
        <v>F1845</v>
      </c>
      <c r="Z666" s="110" t="s">
        <v>541</v>
      </c>
      <c r="AA666" s="110" t="s">
        <v>541</v>
      </c>
      <c r="AB666" s="110" t="s">
        <v>541</v>
      </c>
      <c r="AC666" s="10" t="s">
        <v>541</v>
      </c>
      <c r="AD666" s="10" t="s">
        <v>541</v>
      </c>
    </row>
    <row r="667" spans="1:30" x14ac:dyDescent="0.2">
      <c r="A667" s="110">
        <v>666</v>
      </c>
      <c r="B667" s="132">
        <v>41826</v>
      </c>
      <c r="C667" s="117">
        <v>3</v>
      </c>
      <c r="D667" s="103" t="s">
        <v>177</v>
      </c>
      <c r="E667" s="103" t="s">
        <v>0</v>
      </c>
      <c r="H667" s="103"/>
      <c r="I667" s="103">
        <v>35</v>
      </c>
      <c r="K667" s="103" t="s">
        <v>364</v>
      </c>
      <c r="L667" s="133"/>
      <c r="M667" s="134">
        <v>3.125E-2</v>
      </c>
      <c r="N667" s="137" t="s">
        <v>2049</v>
      </c>
      <c r="O667" s="133" t="s">
        <v>804</v>
      </c>
      <c r="P667" s="100" t="s">
        <v>776</v>
      </c>
      <c r="Q667" s="100" t="s">
        <v>2035</v>
      </c>
      <c r="R667" s="226" t="s">
        <v>2546</v>
      </c>
      <c r="S667" s="491" t="str">
        <f t="shared" si="21"/>
        <v>x</v>
      </c>
      <c r="T667" s="492" t="str">
        <f>IFERROR(VLOOKUP(F667,'Freq-Chan'!C:D,2,FALSE),"x")</f>
        <v>x</v>
      </c>
      <c r="U667" s="110" t="s">
        <v>541</v>
      </c>
      <c r="V667" s="110" t="str">
        <f t="shared" si="22"/>
        <v>FWL</v>
      </c>
      <c r="W667" s="110" t="s">
        <v>541</v>
      </c>
      <c r="X667" s="110" t="s">
        <v>541</v>
      </c>
      <c r="Y667" s="110" t="str">
        <f>IFERROR(VLOOKUP(F667,'Freq-Chan'!C:E,3,FALSE),"na")</f>
        <v>na</v>
      </c>
      <c r="Z667" s="110" t="s">
        <v>541</v>
      </c>
      <c r="AA667" s="110" t="s">
        <v>541</v>
      </c>
      <c r="AB667" s="110" t="s">
        <v>541</v>
      </c>
      <c r="AC667" s="10" t="s">
        <v>541</v>
      </c>
      <c r="AD667" s="10" t="s">
        <v>541</v>
      </c>
    </row>
    <row r="668" spans="1:30" x14ac:dyDescent="0.2">
      <c r="A668" s="110">
        <v>667</v>
      </c>
      <c r="B668" s="132">
        <v>41826</v>
      </c>
      <c r="C668" s="117">
        <v>3</v>
      </c>
      <c r="D668" s="103" t="s">
        <v>2</v>
      </c>
      <c r="E668" s="103" t="s">
        <v>306</v>
      </c>
      <c r="F668" s="103">
        <v>364</v>
      </c>
      <c r="G668" s="103">
        <v>34</v>
      </c>
      <c r="H668" s="137" t="s">
        <v>1360</v>
      </c>
      <c r="I668" s="103">
        <v>55</v>
      </c>
      <c r="K668" s="103" t="s">
        <v>364</v>
      </c>
      <c r="L668" s="133">
        <v>0.5493055555555556</v>
      </c>
      <c r="M668" s="134">
        <v>6.6666666666666666E-2</v>
      </c>
      <c r="N668" s="137" t="s">
        <v>2050</v>
      </c>
      <c r="O668" s="133" t="s">
        <v>804</v>
      </c>
      <c r="Q668" s="100" t="s">
        <v>2035</v>
      </c>
      <c r="R668" s="226" t="s">
        <v>2546</v>
      </c>
      <c r="S668" s="491">
        <f t="shared" si="21"/>
        <v>4.4444443999999998E-3</v>
      </c>
      <c r="T668" s="492">
        <f>IFERROR(VLOOKUP(F668,'Freq-Chan'!C:D,2,FALSE),"x")</f>
        <v>151.364</v>
      </c>
      <c r="U668" s="110" t="s">
        <v>541</v>
      </c>
      <c r="V668" s="110" t="str">
        <f t="shared" si="22"/>
        <v>FWL</v>
      </c>
      <c r="W668" s="110" t="s">
        <v>541</v>
      </c>
      <c r="X668" s="110" t="s">
        <v>541</v>
      </c>
      <c r="Y668" s="110" t="str">
        <f>IFERROR(VLOOKUP(F668,'Freq-Chan'!C:E,3,FALSE),"na")</f>
        <v>F1845</v>
      </c>
      <c r="Z668" s="110" t="s">
        <v>541</v>
      </c>
      <c r="AA668" s="110" t="s">
        <v>541</v>
      </c>
      <c r="AB668" s="110" t="s">
        <v>541</v>
      </c>
      <c r="AC668" s="10" t="s">
        <v>541</v>
      </c>
      <c r="AD668" s="10" t="s">
        <v>541</v>
      </c>
    </row>
    <row r="669" spans="1:30" x14ac:dyDescent="0.2">
      <c r="A669" s="110">
        <v>668</v>
      </c>
      <c r="B669" s="132">
        <v>41826</v>
      </c>
      <c r="C669" s="117">
        <v>3</v>
      </c>
      <c r="D669" s="103" t="s">
        <v>2</v>
      </c>
      <c r="E669" s="103" t="s">
        <v>306</v>
      </c>
      <c r="F669" s="103">
        <v>364</v>
      </c>
      <c r="G669" s="103">
        <v>27</v>
      </c>
      <c r="H669" s="137" t="s">
        <v>1361</v>
      </c>
      <c r="I669" s="103">
        <v>80</v>
      </c>
      <c r="K669" s="103" t="s">
        <v>364</v>
      </c>
      <c r="L669" s="133"/>
      <c r="M669" s="134">
        <v>8.1250000000000003E-2</v>
      </c>
      <c r="N669" s="137" t="s">
        <v>2051</v>
      </c>
      <c r="O669" s="133" t="s">
        <v>804</v>
      </c>
      <c r="Q669" s="100" t="s">
        <v>2035</v>
      </c>
      <c r="R669" s="226" t="s">
        <v>2546</v>
      </c>
      <c r="S669" s="491" t="str">
        <f t="shared" si="21"/>
        <v>x</v>
      </c>
      <c r="T669" s="492">
        <f>IFERROR(VLOOKUP(F669,'Freq-Chan'!C:D,2,FALSE),"x")</f>
        <v>151.364</v>
      </c>
      <c r="U669" s="110" t="s">
        <v>541</v>
      </c>
      <c r="V669" s="110" t="str">
        <f t="shared" si="22"/>
        <v>FWL</v>
      </c>
      <c r="W669" s="110" t="s">
        <v>541</v>
      </c>
      <c r="X669" s="110" t="s">
        <v>541</v>
      </c>
      <c r="Y669" s="110" t="str">
        <f>IFERROR(VLOOKUP(F669,'Freq-Chan'!C:E,3,FALSE),"na")</f>
        <v>F1845</v>
      </c>
      <c r="Z669" s="110" t="s">
        <v>541</v>
      </c>
      <c r="AA669" s="110" t="s">
        <v>541</v>
      </c>
      <c r="AB669" s="110" t="s">
        <v>541</v>
      </c>
      <c r="AC669" s="10" t="s">
        <v>541</v>
      </c>
      <c r="AD669" s="10" t="s">
        <v>541</v>
      </c>
    </row>
    <row r="670" spans="1:30" x14ac:dyDescent="0.2">
      <c r="A670" s="110">
        <v>669</v>
      </c>
      <c r="B670" s="132">
        <v>41826</v>
      </c>
      <c r="C670" s="117">
        <v>3</v>
      </c>
      <c r="D670" s="103" t="s">
        <v>2</v>
      </c>
      <c r="E670" s="103" t="s">
        <v>306</v>
      </c>
      <c r="F670" s="103">
        <v>364</v>
      </c>
      <c r="G670" s="103">
        <v>8</v>
      </c>
      <c r="H670" s="137" t="s">
        <v>1362</v>
      </c>
      <c r="I670" s="103">
        <v>69</v>
      </c>
      <c r="K670" s="103" t="s">
        <v>364</v>
      </c>
      <c r="L670" s="133">
        <v>0.58124999999999993</v>
      </c>
      <c r="M670" s="134">
        <v>5.6250000000000001E-2</v>
      </c>
      <c r="N670" s="137" t="s">
        <v>1661</v>
      </c>
      <c r="O670" s="133" t="s">
        <v>376</v>
      </c>
      <c r="Q670" s="100" t="s">
        <v>2035</v>
      </c>
      <c r="R670" s="226" t="s">
        <v>2546</v>
      </c>
      <c r="S670" s="491">
        <f t="shared" si="21"/>
        <v>1.8402778E-3</v>
      </c>
      <c r="T670" s="492">
        <f>IFERROR(VLOOKUP(F670,'Freq-Chan'!C:D,2,FALSE),"x")</f>
        <v>151.364</v>
      </c>
      <c r="U670" s="110" t="s">
        <v>541</v>
      </c>
      <c r="V670" s="110" t="str">
        <f t="shared" si="22"/>
        <v>FWL</v>
      </c>
      <c r="W670" s="110" t="s">
        <v>541</v>
      </c>
      <c r="X670" s="110" t="s">
        <v>541</v>
      </c>
      <c r="Y670" s="110" t="str">
        <f>IFERROR(VLOOKUP(F670,'Freq-Chan'!C:E,3,FALSE),"na")</f>
        <v>F1845</v>
      </c>
      <c r="Z670" s="110" t="s">
        <v>541</v>
      </c>
      <c r="AA670" s="110" t="s">
        <v>541</v>
      </c>
      <c r="AB670" s="110" t="s">
        <v>541</v>
      </c>
      <c r="AC670" s="10" t="s">
        <v>541</v>
      </c>
      <c r="AD670" s="10" t="s">
        <v>541</v>
      </c>
    </row>
    <row r="671" spans="1:30" x14ac:dyDescent="0.2">
      <c r="A671" s="110">
        <v>670</v>
      </c>
      <c r="B671" s="132">
        <v>41826</v>
      </c>
      <c r="C671" s="117">
        <v>3</v>
      </c>
      <c r="D671" s="103" t="s">
        <v>177</v>
      </c>
      <c r="E671" s="103" t="s">
        <v>0</v>
      </c>
      <c r="H671" s="103"/>
      <c r="I671" s="103">
        <v>32</v>
      </c>
      <c r="K671" s="103" t="s">
        <v>364</v>
      </c>
      <c r="L671" s="133"/>
      <c r="M671" s="134">
        <v>3.5416666666666666E-2</v>
      </c>
      <c r="N671" s="137" t="s">
        <v>903</v>
      </c>
      <c r="O671" s="133" t="s">
        <v>376</v>
      </c>
      <c r="P671" s="100" t="s">
        <v>776</v>
      </c>
      <c r="Q671" s="100" t="s">
        <v>2035</v>
      </c>
      <c r="R671" s="226" t="s">
        <v>2546</v>
      </c>
      <c r="S671" s="491" t="str">
        <f t="shared" si="21"/>
        <v>x</v>
      </c>
      <c r="T671" s="492" t="str">
        <f>IFERROR(VLOOKUP(F671,'Freq-Chan'!C:D,2,FALSE),"x")</f>
        <v>x</v>
      </c>
      <c r="U671" s="110" t="s">
        <v>541</v>
      </c>
      <c r="V671" s="110" t="str">
        <f t="shared" si="22"/>
        <v>FWL</v>
      </c>
      <c r="W671" s="110" t="s">
        <v>541</v>
      </c>
      <c r="X671" s="110" t="s">
        <v>541</v>
      </c>
      <c r="Y671" s="110" t="str">
        <f>IFERROR(VLOOKUP(F671,'Freq-Chan'!C:E,3,FALSE),"na")</f>
        <v>na</v>
      </c>
      <c r="Z671" s="110" t="s">
        <v>541</v>
      </c>
      <c r="AA671" s="110" t="s">
        <v>541</v>
      </c>
      <c r="AB671" s="110" t="s">
        <v>541</v>
      </c>
      <c r="AC671" s="10" t="s">
        <v>541</v>
      </c>
      <c r="AD671" s="10" t="s">
        <v>541</v>
      </c>
    </row>
    <row r="672" spans="1:30" x14ac:dyDescent="0.2">
      <c r="A672" s="110">
        <v>671</v>
      </c>
      <c r="B672" s="132">
        <v>41826</v>
      </c>
      <c r="C672" s="117">
        <v>3</v>
      </c>
      <c r="D672" s="103" t="s">
        <v>177</v>
      </c>
      <c r="E672" s="103" t="s">
        <v>0</v>
      </c>
      <c r="H672" s="103"/>
      <c r="I672" s="103">
        <v>35</v>
      </c>
      <c r="K672" s="103" t="s">
        <v>364</v>
      </c>
      <c r="L672" s="133"/>
      <c r="M672" s="134">
        <v>1.3888888888888888E-2</v>
      </c>
      <c r="N672" s="137" t="s">
        <v>2052</v>
      </c>
      <c r="O672" s="133" t="s">
        <v>1663</v>
      </c>
      <c r="P672" s="100" t="s">
        <v>2053</v>
      </c>
      <c r="Q672" s="100" t="s">
        <v>2037</v>
      </c>
      <c r="R672" s="226" t="s">
        <v>2546</v>
      </c>
      <c r="S672" s="491" t="str">
        <f t="shared" si="21"/>
        <v>x</v>
      </c>
      <c r="T672" s="492" t="str">
        <f>IFERROR(VLOOKUP(F672,'Freq-Chan'!C:D,2,FALSE),"x")</f>
        <v>x</v>
      </c>
      <c r="U672" s="110" t="s">
        <v>541</v>
      </c>
      <c r="V672" s="110" t="str">
        <f t="shared" si="22"/>
        <v>FWL</v>
      </c>
      <c r="W672" s="110" t="s">
        <v>541</v>
      </c>
      <c r="X672" s="110" t="s">
        <v>541</v>
      </c>
      <c r="Y672" s="110" t="str">
        <f>IFERROR(VLOOKUP(F672,'Freq-Chan'!C:E,3,FALSE),"na")</f>
        <v>na</v>
      </c>
      <c r="Z672" s="110" t="s">
        <v>541</v>
      </c>
      <c r="AA672" s="110" t="s">
        <v>541</v>
      </c>
      <c r="AB672" s="110" t="s">
        <v>541</v>
      </c>
      <c r="AC672" s="10" t="s">
        <v>541</v>
      </c>
      <c r="AD672" s="10" t="s">
        <v>541</v>
      </c>
    </row>
    <row r="673" spans="1:30" x14ac:dyDescent="0.2">
      <c r="A673" s="110">
        <v>672</v>
      </c>
      <c r="B673" s="132">
        <v>41826</v>
      </c>
      <c r="C673" s="117">
        <v>3</v>
      </c>
      <c r="D673" s="103" t="s">
        <v>75</v>
      </c>
      <c r="E673" s="103" t="s">
        <v>798</v>
      </c>
      <c r="H673" s="103"/>
      <c r="J673" s="103">
        <v>49</v>
      </c>
      <c r="K673" s="103" t="s">
        <v>364</v>
      </c>
      <c r="L673" s="133"/>
      <c r="M673" s="134">
        <v>1.7361111111111112E-2</v>
      </c>
      <c r="N673" s="137" t="s">
        <v>769</v>
      </c>
      <c r="O673" s="133" t="s">
        <v>1663</v>
      </c>
      <c r="Q673" s="100" t="s">
        <v>2037</v>
      </c>
      <c r="R673" s="226" t="s">
        <v>2546</v>
      </c>
      <c r="S673" s="491" t="str">
        <f t="shared" si="21"/>
        <v>x</v>
      </c>
      <c r="T673" s="492" t="str">
        <f>IFERROR(VLOOKUP(F673,'Freq-Chan'!C:D,2,FALSE),"x")</f>
        <v>x</v>
      </c>
      <c r="U673" s="110" t="s">
        <v>541</v>
      </c>
      <c r="V673" s="110" t="str">
        <f t="shared" si="22"/>
        <v>FWL</v>
      </c>
      <c r="W673" s="110" t="s">
        <v>541</v>
      </c>
      <c r="X673" s="110" t="s">
        <v>541</v>
      </c>
      <c r="Y673" s="110" t="str">
        <f>IFERROR(VLOOKUP(F673,'Freq-Chan'!C:E,3,FALSE),"na")</f>
        <v>na</v>
      </c>
      <c r="Z673" s="110" t="s">
        <v>541</v>
      </c>
      <c r="AA673" s="110" t="s">
        <v>541</v>
      </c>
      <c r="AB673" s="110" t="s">
        <v>541</v>
      </c>
      <c r="AC673" s="10" t="s">
        <v>541</v>
      </c>
      <c r="AD673" s="10" t="s">
        <v>541</v>
      </c>
    </row>
    <row r="674" spans="1:30" x14ac:dyDescent="0.2">
      <c r="A674" s="110">
        <v>673</v>
      </c>
      <c r="B674" s="132">
        <v>41826</v>
      </c>
      <c r="C674" s="117">
        <v>3</v>
      </c>
      <c r="D674" s="103" t="s">
        <v>2</v>
      </c>
      <c r="E674" s="103" t="s">
        <v>306</v>
      </c>
      <c r="F674" s="103">
        <v>875</v>
      </c>
      <c r="G674" s="103">
        <v>82</v>
      </c>
      <c r="H674" s="137" t="s">
        <v>1374</v>
      </c>
      <c r="I674" s="103">
        <v>82</v>
      </c>
      <c r="K674" s="103" t="s">
        <v>364</v>
      </c>
      <c r="L674" s="133">
        <v>0.77083333333333337</v>
      </c>
      <c r="M674" s="134">
        <v>5.2777777777777778E-2</v>
      </c>
      <c r="N674" s="137" t="s">
        <v>1581</v>
      </c>
      <c r="O674" s="133" t="s">
        <v>802</v>
      </c>
      <c r="P674" s="100" t="s">
        <v>2054</v>
      </c>
      <c r="Q674" s="100" t="s">
        <v>2037</v>
      </c>
      <c r="R674" s="226" t="s">
        <v>2546</v>
      </c>
      <c r="S674" s="491">
        <f t="shared" si="21"/>
        <v>3.287037E-3</v>
      </c>
      <c r="T674" s="492">
        <f>IFERROR(VLOOKUP(F674,'Freq-Chan'!C:D,2,FALSE),"x")</f>
        <v>151.875</v>
      </c>
      <c r="U674" s="110" t="s">
        <v>541</v>
      </c>
      <c r="V674" s="110" t="str">
        <f t="shared" si="22"/>
        <v>FWL</v>
      </c>
      <c r="W674" s="110" t="s">
        <v>541</v>
      </c>
      <c r="X674" s="110" t="s">
        <v>541</v>
      </c>
      <c r="Y674" s="110" t="str">
        <f>IFERROR(VLOOKUP(F674,'Freq-Chan'!C:E,3,FALSE),"na")</f>
        <v>F1845</v>
      </c>
      <c r="Z674" s="110" t="s">
        <v>541</v>
      </c>
      <c r="AA674" s="110" t="s">
        <v>541</v>
      </c>
      <c r="AB674" s="110" t="s">
        <v>541</v>
      </c>
      <c r="AC674" s="10" t="s">
        <v>541</v>
      </c>
      <c r="AD674" s="10" t="s">
        <v>541</v>
      </c>
    </row>
    <row r="675" spans="1:30" x14ac:dyDescent="0.2">
      <c r="A675" s="110">
        <v>674</v>
      </c>
      <c r="B675" s="132">
        <v>41826</v>
      </c>
      <c r="C675" s="117">
        <v>3</v>
      </c>
      <c r="D675" s="103" t="s">
        <v>177</v>
      </c>
      <c r="E675" s="103" t="s">
        <v>0</v>
      </c>
      <c r="F675" s="103">
        <v>917</v>
      </c>
      <c r="G675" s="103">
        <v>22</v>
      </c>
      <c r="H675" s="137" t="s">
        <v>1375</v>
      </c>
      <c r="I675" s="103">
        <v>39</v>
      </c>
      <c r="K675" s="103" t="s">
        <v>364</v>
      </c>
      <c r="L675" s="133"/>
      <c r="M675" s="134">
        <v>4.1666666666666664E-2</v>
      </c>
      <c r="N675" s="137" t="s">
        <v>1582</v>
      </c>
      <c r="O675" s="133" t="s">
        <v>802</v>
      </c>
      <c r="Q675" s="100" t="s">
        <v>2037</v>
      </c>
      <c r="R675" s="226" t="s">
        <v>2546</v>
      </c>
      <c r="S675" s="491" t="str">
        <f t="shared" si="21"/>
        <v>x</v>
      </c>
      <c r="T675" s="492">
        <f>IFERROR(VLOOKUP(F675,'Freq-Chan'!C:D,2,FALSE),"x")</f>
        <v>151.917</v>
      </c>
      <c r="U675" s="110" t="s">
        <v>541</v>
      </c>
      <c r="V675" s="110" t="str">
        <f t="shared" si="22"/>
        <v>FWL</v>
      </c>
      <c r="W675" s="110" t="s">
        <v>541</v>
      </c>
      <c r="X675" s="110" t="s">
        <v>541</v>
      </c>
      <c r="Y675" s="110" t="str">
        <f>IFERROR(VLOOKUP(F675,'Freq-Chan'!C:E,3,FALSE),"na")</f>
        <v>F1835</v>
      </c>
      <c r="Z675" s="110" t="s">
        <v>541</v>
      </c>
      <c r="AA675" s="110" t="s">
        <v>541</v>
      </c>
      <c r="AB675" s="110" t="s">
        <v>541</v>
      </c>
      <c r="AC675" s="10" t="s">
        <v>541</v>
      </c>
      <c r="AD675" s="10" t="s">
        <v>541</v>
      </c>
    </row>
    <row r="676" spans="1:30" x14ac:dyDescent="0.2">
      <c r="A676" s="110">
        <v>675</v>
      </c>
      <c r="B676" s="132">
        <v>41826</v>
      </c>
      <c r="C676" s="117">
        <v>3</v>
      </c>
      <c r="D676" s="103" t="s">
        <v>88</v>
      </c>
      <c r="E676" s="103" t="s">
        <v>798</v>
      </c>
      <c r="H676" s="103"/>
      <c r="J676" s="103">
        <v>22</v>
      </c>
      <c r="K676" s="103" t="s">
        <v>364</v>
      </c>
      <c r="L676" s="136"/>
      <c r="M676" s="134">
        <v>2.0833333333333332E-2</v>
      </c>
      <c r="N676" s="135" t="s">
        <v>2055</v>
      </c>
      <c r="O676" s="133" t="s">
        <v>802</v>
      </c>
      <c r="Q676" s="100" t="s">
        <v>2037</v>
      </c>
      <c r="R676" s="226" t="s">
        <v>2546</v>
      </c>
      <c r="S676" s="491" t="str">
        <f t="shared" si="21"/>
        <v>x</v>
      </c>
      <c r="T676" s="492" t="str">
        <f>IFERROR(VLOOKUP(F676,'Freq-Chan'!C:D,2,FALSE),"x")</f>
        <v>x</v>
      </c>
      <c r="U676" s="110" t="s">
        <v>541</v>
      </c>
      <c r="V676" s="110" t="str">
        <f t="shared" si="22"/>
        <v>FWL</v>
      </c>
      <c r="W676" s="110" t="s">
        <v>541</v>
      </c>
      <c r="X676" s="110" t="s">
        <v>541</v>
      </c>
      <c r="Y676" s="110" t="str">
        <f>IFERROR(VLOOKUP(F676,'Freq-Chan'!C:E,3,FALSE),"na")</f>
        <v>na</v>
      </c>
      <c r="Z676" s="110" t="s">
        <v>541</v>
      </c>
      <c r="AA676" s="110" t="s">
        <v>541</v>
      </c>
      <c r="AB676" s="110" t="s">
        <v>541</v>
      </c>
      <c r="AC676" s="10" t="s">
        <v>541</v>
      </c>
      <c r="AD676" s="10" t="s">
        <v>541</v>
      </c>
    </row>
    <row r="677" spans="1:30" x14ac:dyDescent="0.2">
      <c r="A677" s="110">
        <v>676</v>
      </c>
      <c r="B677" s="132">
        <v>41826</v>
      </c>
      <c r="C677" s="117">
        <v>3</v>
      </c>
      <c r="D677" s="103" t="s">
        <v>177</v>
      </c>
      <c r="E677" s="103" t="s">
        <v>0</v>
      </c>
      <c r="H677" s="103"/>
      <c r="I677" s="103">
        <v>32</v>
      </c>
      <c r="K677" s="103" t="s">
        <v>364</v>
      </c>
      <c r="L677" s="133"/>
      <c r="M677" s="134">
        <v>2.1527777777777781E-2</v>
      </c>
      <c r="N677" s="137" t="s">
        <v>2056</v>
      </c>
      <c r="O677" s="133" t="s">
        <v>75</v>
      </c>
      <c r="P677" s="100" t="s">
        <v>776</v>
      </c>
      <c r="Q677" s="100" t="s">
        <v>2021</v>
      </c>
      <c r="R677" s="226" t="s">
        <v>2546</v>
      </c>
      <c r="S677" s="491" t="str">
        <f t="shared" si="21"/>
        <v>x</v>
      </c>
      <c r="T677" s="492" t="str">
        <f>IFERROR(VLOOKUP(F677,'Freq-Chan'!C:D,2,FALSE),"x")</f>
        <v>x</v>
      </c>
      <c r="U677" s="110" t="s">
        <v>541</v>
      </c>
      <c r="V677" s="110" t="str">
        <f t="shared" si="22"/>
        <v>FWL</v>
      </c>
      <c r="W677" s="110" t="s">
        <v>541</v>
      </c>
      <c r="X677" s="110" t="s">
        <v>541</v>
      </c>
      <c r="Y677" s="110" t="str">
        <f>IFERROR(VLOOKUP(F677,'Freq-Chan'!C:E,3,FALSE),"na")</f>
        <v>na</v>
      </c>
      <c r="Z677" s="110" t="s">
        <v>541</v>
      </c>
      <c r="AA677" s="110" t="s">
        <v>541</v>
      </c>
      <c r="AB677" s="110" t="s">
        <v>541</v>
      </c>
      <c r="AC677" s="10" t="s">
        <v>541</v>
      </c>
      <c r="AD677" s="10" t="s">
        <v>541</v>
      </c>
    </row>
    <row r="678" spans="1:30" x14ac:dyDescent="0.2">
      <c r="A678" s="110">
        <v>677</v>
      </c>
      <c r="B678" s="132">
        <v>41826</v>
      </c>
      <c r="C678" s="117">
        <v>3</v>
      </c>
      <c r="D678" s="103" t="s">
        <v>2</v>
      </c>
      <c r="E678" s="103" t="s">
        <v>306</v>
      </c>
      <c r="F678" s="103">
        <v>875</v>
      </c>
      <c r="G678" s="103">
        <v>69</v>
      </c>
      <c r="H678" s="137" t="s">
        <v>1376</v>
      </c>
      <c r="I678" s="103">
        <v>64</v>
      </c>
      <c r="K678" s="103" t="s">
        <v>364</v>
      </c>
      <c r="L678" s="133">
        <v>0.86041666666666661</v>
      </c>
      <c r="M678" s="134">
        <v>4.1666666666666664E-2</v>
      </c>
      <c r="N678" s="137" t="s">
        <v>2057</v>
      </c>
      <c r="O678" s="133" t="s">
        <v>75</v>
      </c>
      <c r="Q678" s="100" t="s">
        <v>2021</v>
      </c>
      <c r="R678" s="226" t="s">
        <v>2546</v>
      </c>
      <c r="S678" s="491">
        <f t="shared" si="21"/>
        <v>2.7777778000000002E-3</v>
      </c>
      <c r="T678" s="492">
        <f>IFERROR(VLOOKUP(F678,'Freq-Chan'!C:D,2,FALSE),"x")</f>
        <v>151.875</v>
      </c>
      <c r="U678" s="110" t="s">
        <v>541</v>
      </c>
      <c r="V678" s="110" t="str">
        <f t="shared" si="22"/>
        <v>FWL</v>
      </c>
      <c r="W678" s="110" t="s">
        <v>541</v>
      </c>
      <c r="X678" s="110" t="s">
        <v>541</v>
      </c>
      <c r="Y678" s="110" t="str">
        <f>IFERROR(VLOOKUP(F678,'Freq-Chan'!C:E,3,FALSE),"na")</f>
        <v>F1845</v>
      </c>
      <c r="Z678" s="110" t="s">
        <v>541</v>
      </c>
      <c r="AA678" s="110" t="s">
        <v>541</v>
      </c>
      <c r="AB678" s="110" t="s">
        <v>541</v>
      </c>
      <c r="AC678" s="10" t="s">
        <v>541</v>
      </c>
      <c r="AD678" s="10" t="s">
        <v>541</v>
      </c>
    </row>
    <row r="679" spans="1:30" x14ac:dyDescent="0.2">
      <c r="A679" s="110">
        <v>678</v>
      </c>
      <c r="B679" s="132">
        <v>41826</v>
      </c>
      <c r="C679" s="117">
        <v>3</v>
      </c>
      <c r="D679" s="103" t="s">
        <v>177</v>
      </c>
      <c r="E679" s="103" t="s">
        <v>0</v>
      </c>
      <c r="H679" s="103"/>
      <c r="I679" s="103">
        <v>49</v>
      </c>
      <c r="K679" s="103" t="s">
        <v>364</v>
      </c>
      <c r="L679" s="136">
        <v>0.90138888888888891</v>
      </c>
      <c r="M679" s="134">
        <v>3.4027777777777775E-2</v>
      </c>
      <c r="N679" s="135" t="s">
        <v>2058</v>
      </c>
      <c r="O679" s="133" t="s">
        <v>75</v>
      </c>
      <c r="P679" s="100" t="s">
        <v>2059</v>
      </c>
      <c r="Q679" s="100" t="s">
        <v>2021</v>
      </c>
      <c r="R679" s="226" t="s">
        <v>2546</v>
      </c>
      <c r="S679" s="491">
        <f t="shared" si="21"/>
        <v>8.2175930000000002E-4</v>
      </c>
      <c r="T679" s="492" t="str">
        <f>IFERROR(VLOOKUP(F679,'Freq-Chan'!C:D,2,FALSE),"x")</f>
        <v>x</v>
      </c>
      <c r="U679" s="110" t="s">
        <v>541</v>
      </c>
      <c r="V679" s="110" t="str">
        <f t="shared" si="22"/>
        <v>FWL</v>
      </c>
      <c r="W679" s="110" t="s">
        <v>541</v>
      </c>
      <c r="X679" s="110" t="s">
        <v>541</v>
      </c>
      <c r="Y679" s="110" t="str">
        <f>IFERROR(VLOOKUP(F679,'Freq-Chan'!C:E,3,FALSE),"na")</f>
        <v>na</v>
      </c>
      <c r="Z679" s="110" t="s">
        <v>541</v>
      </c>
      <c r="AA679" s="110" t="s">
        <v>541</v>
      </c>
      <c r="AB679" s="110" t="s">
        <v>541</v>
      </c>
      <c r="AC679" s="10" t="s">
        <v>541</v>
      </c>
      <c r="AD679" s="10" t="s">
        <v>541</v>
      </c>
    </row>
    <row r="680" spans="1:30" x14ac:dyDescent="0.2">
      <c r="A680" s="110">
        <v>679</v>
      </c>
      <c r="B680" s="132">
        <v>41826</v>
      </c>
      <c r="C680" s="117">
        <v>3</v>
      </c>
      <c r="D680" s="103" t="s">
        <v>177</v>
      </c>
      <c r="E680" s="103" t="s">
        <v>0</v>
      </c>
      <c r="H680" s="103"/>
      <c r="I680" s="103">
        <v>31</v>
      </c>
      <c r="K680" s="103" t="s">
        <v>364</v>
      </c>
      <c r="L680" s="133"/>
      <c r="M680" s="134"/>
      <c r="N680" s="137" t="s">
        <v>793</v>
      </c>
      <c r="O680" s="133" t="s">
        <v>75</v>
      </c>
      <c r="P680" s="100" t="s">
        <v>2060</v>
      </c>
      <c r="Q680" s="100" t="s">
        <v>2021</v>
      </c>
      <c r="R680" s="226" t="s">
        <v>2546</v>
      </c>
      <c r="S680" s="491" t="str">
        <f t="shared" si="21"/>
        <v>x</v>
      </c>
      <c r="T680" s="492" t="str">
        <f>IFERROR(VLOOKUP(F680,'Freq-Chan'!C:D,2,FALSE),"x")</f>
        <v>x</v>
      </c>
      <c r="U680" s="110" t="s">
        <v>541</v>
      </c>
      <c r="V680" s="110" t="str">
        <f t="shared" si="22"/>
        <v>FWL</v>
      </c>
      <c r="W680" s="110" t="s">
        <v>541</v>
      </c>
      <c r="X680" s="110" t="s">
        <v>541</v>
      </c>
      <c r="Y680" s="110" t="str">
        <f>IFERROR(VLOOKUP(F680,'Freq-Chan'!C:E,3,FALSE),"na")</f>
        <v>na</v>
      </c>
      <c r="Z680" s="110" t="s">
        <v>541</v>
      </c>
      <c r="AA680" s="110" t="s">
        <v>541</v>
      </c>
      <c r="AB680" s="110" t="s">
        <v>541</v>
      </c>
      <c r="AC680" s="10" t="s">
        <v>541</v>
      </c>
      <c r="AD680" s="10" t="s">
        <v>541</v>
      </c>
    </row>
    <row r="681" spans="1:30" s="291" customFormat="1" x14ac:dyDescent="0.2">
      <c r="A681" s="493">
        <v>680</v>
      </c>
      <c r="B681" s="283">
        <v>41826</v>
      </c>
      <c r="C681" s="284">
        <v>3</v>
      </c>
      <c r="D681" s="285" t="s">
        <v>177</v>
      </c>
      <c r="E681" s="285" t="s">
        <v>0</v>
      </c>
      <c r="F681" s="285">
        <v>917</v>
      </c>
      <c r="G681" s="285">
        <v>64</v>
      </c>
      <c r="H681" s="339" t="s">
        <v>1377</v>
      </c>
      <c r="I681" s="285">
        <v>45</v>
      </c>
      <c r="J681" s="285"/>
      <c r="K681" s="285" t="s">
        <v>364</v>
      </c>
      <c r="L681" s="325">
        <v>0.9145833333333333</v>
      </c>
      <c r="M681" s="287">
        <v>6.0416666666666667E-2</v>
      </c>
      <c r="N681" s="288" t="s">
        <v>2061</v>
      </c>
      <c r="O681" s="286" t="s">
        <v>1875</v>
      </c>
      <c r="P681" s="289"/>
      <c r="Q681" s="289" t="s">
        <v>2021</v>
      </c>
      <c r="R681" s="290" t="s">
        <v>2546</v>
      </c>
      <c r="S681" s="494">
        <f t="shared" si="21"/>
        <v>3.8541666999999998E-3</v>
      </c>
      <c r="T681" s="495">
        <f>IFERROR(VLOOKUP(F681,'Freq-Chan'!C:D,2,FALSE),"x")</f>
        <v>151.917</v>
      </c>
      <c r="U681" s="493" t="s">
        <v>541</v>
      </c>
      <c r="V681" s="493" t="str">
        <f t="shared" si="22"/>
        <v>FWL</v>
      </c>
      <c r="W681" s="493" t="s">
        <v>541</v>
      </c>
      <c r="X681" s="493" t="s">
        <v>541</v>
      </c>
      <c r="Y681" s="493" t="str">
        <f>IFERROR(VLOOKUP(F681,'Freq-Chan'!C:E,3,FALSE),"na")</f>
        <v>F1835</v>
      </c>
      <c r="Z681" s="493" t="s">
        <v>541</v>
      </c>
      <c r="AA681" s="493" t="s">
        <v>541</v>
      </c>
      <c r="AB681" s="493" t="s">
        <v>541</v>
      </c>
      <c r="AC681" s="291" t="s">
        <v>541</v>
      </c>
      <c r="AD681" s="291" t="s">
        <v>541</v>
      </c>
    </row>
    <row r="682" spans="1:30" x14ac:dyDescent="0.2">
      <c r="A682" s="110">
        <v>681</v>
      </c>
      <c r="B682" s="132">
        <v>41827</v>
      </c>
      <c r="C682" s="117">
        <v>1</v>
      </c>
      <c r="D682" s="103" t="s">
        <v>2</v>
      </c>
      <c r="E682" s="103" t="s">
        <v>306</v>
      </c>
      <c r="F682" s="103">
        <v>875</v>
      </c>
      <c r="G682" s="103">
        <v>73</v>
      </c>
      <c r="H682" s="137" t="s">
        <v>1383</v>
      </c>
      <c r="I682" s="103">
        <v>76</v>
      </c>
      <c r="K682" s="103" t="s">
        <v>364</v>
      </c>
      <c r="L682" s="136"/>
      <c r="M682" s="134">
        <v>5.8333333333333327E-2</v>
      </c>
      <c r="N682" s="135" t="s">
        <v>2000</v>
      </c>
      <c r="O682" s="133" t="s">
        <v>1888</v>
      </c>
      <c r="P682" s="100" t="s">
        <v>1998</v>
      </c>
      <c r="Q682" s="100" t="s">
        <v>2488</v>
      </c>
      <c r="R682" s="226" t="s">
        <v>2546</v>
      </c>
      <c r="S682" s="491" t="str">
        <f t="shared" si="21"/>
        <v>x</v>
      </c>
      <c r="T682" s="492">
        <f>IFERROR(VLOOKUP(F682,'Freq-Chan'!C:D,2,FALSE),"x")</f>
        <v>151.875</v>
      </c>
      <c r="U682" s="110" t="s">
        <v>541</v>
      </c>
      <c r="V682" s="110" t="str">
        <f t="shared" si="22"/>
        <v>FWL</v>
      </c>
      <c r="W682" s="110" t="s">
        <v>541</v>
      </c>
      <c r="X682" s="110" t="s">
        <v>541</v>
      </c>
      <c r="Y682" s="110" t="str">
        <f>IFERROR(VLOOKUP(F682,'Freq-Chan'!C:E,3,FALSE),"na")</f>
        <v>F1845</v>
      </c>
      <c r="Z682" s="110" t="s">
        <v>541</v>
      </c>
      <c r="AA682" s="110" t="s">
        <v>541</v>
      </c>
      <c r="AB682" s="110" t="s">
        <v>541</v>
      </c>
      <c r="AC682" s="10" t="s">
        <v>541</v>
      </c>
      <c r="AD682" s="10" t="s">
        <v>541</v>
      </c>
    </row>
    <row r="683" spans="1:30" x14ac:dyDescent="0.2">
      <c r="A683" s="110">
        <v>682</v>
      </c>
      <c r="B683" s="132">
        <v>41827</v>
      </c>
      <c r="C683" s="117">
        <v>1</v>
      </c>
      <c r="D683" s="103" t="s">
        <v>2</v>
      </c>
      <c r="E683" s="103" t="s">
        <v>306</v>
      </c>
      <c r="F683" s="103">
        <v>364</v>
      </c>
      <c r="G683" s="103">
        <v>22</v>
      </c>
      <c r="H683" s="137" t="s">
        <v>1384</v>
      </c>
      <c r="I683" s="103">
        <v>81</v>
      </c>
      <c r="K683" s="103" t="s">
        <v>364</v>
      </c>
      <c r="L683" s="136"/>
      <c r="M683" s="134">
        <v>6.25E-2</v>
      </c>
      <c r="N683" s="135" t="s">
        <v>1787</v>
      </c>
      <c r="O683" s="133" t="s">
        <v>1888</v>
      </c>
      <c r="P683" s="100" t="s">
        <v>1998</v>
      </c>
      <c r="Q683" s="100" t="s">
        <v>2488</v>
      </c>
      <c r="R683" s="226" t="s">
        <v>2546</v>
      </c>
      <c r="S683" s="491" t="str">
        <f t="shared" si="21"/>
        <v>x</v>
      </c>
      <c r="T683" s="492">
        <f>IFERROR(VLOOKUP(F683,'Freq-Chan'!C:D,2,FALSE),"x")</f>
        <v>151.364</v>
      </c>
      <c r="U683" s="110" t="s">
        <v>541</v>
      </c>
      <c r="V683" s="110" t="str">
        <f t="shared" si="22"/>
        <v>FWL</v>
      </c>
      <c r="W683" s="110" t="s">
        <v>541</v>
      </c>
      <c r="X683" s="110" t="s">
        <v>541</v>
      </c>
      <c r="Y683" s="110" t="str">
        <f>IFERROR(VLOOKUP(F683,'Freq-Chan'!C:E,3,FALSE),"na")</f>
        <v>F1845</v>
      </c>
      <c r="Z683" s="110" t="s">
        <v>541</v>
      </c>
      <c r="AA683" s="110" t="s">
        <v>541</v>
      </c>
      <c r="AB683" s="110" t="s">
        <v>541</v>
      </c>
      <c r="AC683" s="10" t="s">
        <v>541</v>
      </c>
      <c r="AD683" s="10" t="s">
        <v>541</v>
      </c>
    </row>
    <row r="684" spans="1:30" x14ac:dyDescent="0.2">
      <c r="A684" s="110">
        <v>683</v>
      </c>
      <c r="B684" s="132">
        <v>41827</v>
      </c>
      <c r="C684" s="117">
        <v>1</v>
      </c>
      <c r="D684" s="103" t="s">
        <v>91</v>
      </c>
      <c r="E684" s="103" t="s">
        <v>798</v>
      </c>
      <c r="H684" s="103"/>
      <c r="J684" s="103">
        <v>29</v>
      </c>
      <c r="K684" s="103" t="s">
        <v>364</v>
      </c>
      <c r="L684" s="136"/>
      <c r="M684" s="134">
        <v>1.3888888888888888E-2</v>
      </c>
      <c r="N684" s="135" t="s">
        <v>1976</v>
      </c>
      <c r="O684" s="133" t="s">
        <v>1888</v>
      </c>
      <c r="P684" s="100" t="s">
        <v>1998</v>
      </c>
      <c r="Q684" s="100" t="s">
        <v>2488</v>
      </c>
      <c r="R684" s="226" t="s">
        <v>2546</v>
      </c>
      <c r="S684" s="491" t="str">
        <f t="shared" si="21"/>
        <v>x</v>
      </c>
      <c r="T684" s="492" t="str">
        <f>IFERROR(VLOOKUP(F684,'Freq-Chan'!C:D,2,FALSE),"x")</f>
        <v>x</v>
      </c>
      <c r="U684" s="110" t="s">
        <v>541</v>
      </c>
      <c r="V684" s="110" t="str">
        <f t="shared" si="22"/>
        <v>FWL</v>
      </c>
      <c r="W684" s="110" t="s">
        <v>541</v>
      </c>
      <c r="X684" s="110" t="s">
        <v>541</v>
      </c>
      <c r="Y684" s="110" t="str">
        <f>IFERROR(VLOOKUP(F684,'Freq-Chan'!C:E,3,FALSE),"na")</f>
        <v>na</v>
      </c>
      <c r="Z684" s="110" t="s">
        <v>541</v>
      </c>
      <c r="AA684" s="110" t="s">
        <v>541</v>
      </c>
      <c r="AB684" s="110" t="s">
        <v>541</v>
      </c>
      <c r="AC684" s="10" t="s">
        <v>541</v>
      </c>
      <c r="AD684" s="10" t="s">
        <v>541</v>
      </c>
    </row>
    <row r="685" spans="1:30" x14ac:dyDescent="0.2">
      <c r="A685" s="110">
        <v>684</v>
      </c>
      <c r="B685" s="132">
        <v>41827</v>
      </c>
      <c r="C685" s="117">
        <v>1</v>
      </c>
      <c r="D685" s="103" t="s">
        <v>2</v>
      </c>
      <c r="E685" s="103" t="s">
        <v>306</v>
      </c>
      <c r="F685" s="103">
        <v>875</v>
      </c>
      <c r="G685" s="103">
        <v>76</v>
      </c>
      <c r="H685" s="137" t="s">
        <v>1385</v>
      </c>
      <c r="I685" s="103">
        <v>50</v>
      </c>
      <c r="K685" s="103" t="s">
        <v>364</v>
      </c>
      <c r="L685" s="136"/>
      <c r="M685" s="134">
        <v>4.9305555555555554E-2</v>
      </c>
      <c r="N685" s="135" t="s">
        <v>1637</v>
      </c>
      <c r="O685" s="133" t="s">
        <v>1663</v>
      </c>
      <c r="P685" s="100" t="s">
        <v>2509</v>
      </c>
      <c r="Q685" s="100" t="s">
        <v>2488</v>
      </c>
      <c r="R685" s="226" t="s">
        <v>2546</v>
      </c>
      <c r="S685" s="491" t="str">
        <f t="shared" si="21"/>
        <v>x</v>
      </c>
      <c r="T685" s="492">
        <f>IFERROR(VLOOKUP(F685,'Freq-Chan'!C:D,2,FALSE),"x")</f>
        <v>151.875</v>
      </c>
      <c r="U685" s="110" t="s">
        <v>541</v>
      </c>
      <c r="V685" s="110" t="str">
        <f t="shared" si="22"/>
        <v>FWL</v>
      </c>
      <c r="W685" s="110" t="s">
        <v>541</v>
      </c>
      <c r="X685" s="110" t="s">
        <v>541</v>
      </c>
      <c r="Y685" s="110" t="str">
        <f>IFERROR(VLOOKUP(F685,'Freq-Chan'!C:E,3,FALSE),"na")</f>
        <v>F1845</v>
      </c>
      <c r="Z685" s="110" t="s">
        <v>541</v>
      </c>
      <c r="AA685" s="110" t="s">
        <v>541</v>
      </c>
      <c r="AB685" s="110" t="s">
        <v>541</v>
      </c>
      <c r="AC685" s="10" t="s">
        <v>541</v>
      </c>
      <c r="AD685" s="10" t="s">
        <v>541</v>
      </c>
    </row>
    <row r="686" spans="1:30" x14ac:dyDescent="0.2">
      <c r="A686" s="110">
        <v>685</v>
      </c>
      <c r="B686" s="132">
        <v>41827</v>
      </c>
      <c r="C686" s="117">
        <v>1</v>
      </c>
      <c r="D686" s="103" t="s">
        <v>2</v>
      </c>
      <c r="E686" s="103" t="s">
        <v>306</v>
      </c>
      <c r="F686" s="103">
        <v>364</v>
      </c>
      <c r="G686" s="103">
        <v>46</v>
      </c>
      <c r="H686" s="137" t="s">
        <v>1369</v>
      </c>
      <c r="I686" s="103">
        <v>50</v>
      </c>
      <c r="K686" s="103" t="s">
        <v>364</v>
      </c>
      <c r="L686" s="136"/>
      <c r="M686" s="134">
        <v>5.1388888888888894E-2</v>
      </c>
      <c r="N686" s="135" t="s">
        <v>1641</v>
      </c>
      <c r="O686" s="133" t="s">
        <v>1663</v>
      </c>
      <c r="P686" s="100" t="s">
        <v>1786</v>
      </c>
      <c r="Q686" s="100" t="s">
        <v>2488</v>
      </c>
      <c r="R686" s="226" t="s">
        <v>2546</v>
      </c>
      <c r="S686" s="491" t="str">
        <f t="shared" si="21"/>
        <v>x</v>
      </c>
      <c r="T686" s="492">
        <f>IFERROR(VLOOKUP(F686,'Freq-Chan'!C:D,2,FALSE),"x")</f>
        <v>151.364</v>
      </c>
      <c r="U686" s="110" t="s">
        <v>541</v>
      </c>
      <c r="V686" s="110" t="str">
        <f t="shared" si="22"/>
        <v>FWL</v>
      </c>
      <c r="W686" s="110" t="s">
        <v>541</v>
      </c>
      <c r="X686" s="110" t="s">
        <v>541</v>
      </c>
      <c r="Y686" s="110" t="str">
        <f>IFERROR(VLOOKUP(F686,'Freq-Chan'!C:E,3,FALSE),"na")</f>
        <v>F1845</v>
      </c>
      <c r="Z686" s="110" t="s">
        <v>541</v>
      </c>
      <c r="AA686" s="110" t="s">
        <v>541</v>
      </c>
      <c r="AB686" s="110" t="s">
        <v>541</v>
      </c>
      <c r="AC686" s="10" t="s">
        <v>541</v>
      </c>
      <c r="AD686" s="10" t="s">
        <v>541</v>
      </c>
    </row>
    <row r="687" spans="1:30" x14ac:dyDescent="0.2">
      <c r="A687" s="110">
        <v>686</v>
      </c>
      <c r="B687" s="132">
        <v>41827</v>
      </c>
      <c r="C687" s="117">
        <v>1</v>
      </c>
      <c r="D687" s="103" t="s">
        <v>2</v>
      </c>
      <c r="E687" s="103" t="s">
        <v>306</v>
      </c>
      <c r="F687" s="103">
        <v>875</v>
      </c>
      <c r="G687" s="103">
        <v>9</v>
      </c>
      <c r="H687" s="137" t="s">
        <v>1370</v>
      </c>
      <c r="I687" s="103">
        <v>62</v>
      </c>
      <c r="K687" s="103" t="s">
        <v>364</v>
      </c>
      <c r="L687" s="136"/>
      <c r="M687" s="134">
        <v>4.7222222222222221E-2</v>
      </c>
      <c r="N687" s="135" t="s">
        <v>2510</v>
      </c>
      <c r="O687" s="133" t="s">
        <v>1663</v>
      </c>
      <c r="P687" s="100" t="s">
        <v>2511</v>
      </c>
      <c r="Q687" s="100" t="s">
        <v>2488</v>
      </c>
      <c r="R687" s="226" t="s">
        <v>2546</v>
      </c>
      <c r="S687" s="491" t="str">
        <f t="shared" si="21"/>
        <v>x</v>
      </c>
      <c r="T687" s="492">
        <f>IFERROR(VLOOKUP(F687,'Freq-Chan'!C:D,2,FALSE),"x")</f>
        <v>151.875</v>
      </c>
      <c r="U687" s="110" t="s">
        <v>541</v>
      </c>
      <c r="V687" s="110" t="str">
        <f t="shared" si="22"/>
        <v>FWL</v>
      </c>
      <c r="W687" s="110" t="s">
        <v>541</v>
      </c>
      <c r="X687" s="110" t="s">
        <v>541</v>
      </c>
      <c r="Y687" s="110" t="str">
        <f>IFERROR(VLOOKUP(F687,'Freq-Chan'!C:E,3,FALSE),"na")</f>
        <v>F1845</v>
      </c>
      <c r="Z687" s="110" t="s">
        <v>541</v>
      </c>
      <c r="AA687" s="110" t="s">
        <v>541</v>
      </c>
      <c r="AB687" s="110" t="s">
        <v>541</v>
      </c>
      <c r="AC687" s="10" t="s">
        <v>541</v>
      </c>
      <c r="AD687" s="10" t="s">
        <v>541</v>
      </c>
    </row>
    <row r="688" spans="1:30" x14ac:dyDescent="0.2">
      <c r="A688" s="110">
        <v>687</v>
      </c>
      <c r="B688" s="132">
        <v>41827</v>
      </c>
      <c r="C688" s="117">
        <v>1</v>
      </c>
      <c r="D688" s="103" t="s">
        <v>91</v>
      </c>
      <c r="E688" s="103" t="s">
        <v>798</v>
      </c>
      <c r="H688" s="103"/>
      <c r="J688" s="103">
        <v>38</v>
      </c>
      <c r="K688" s="103" t="s">
        <v>364</v>
      </c>
      <c r="L688" s="133"/>
      <c r="M688" s="134">
        <v>2.0833333333333332E-2</v>
      </c>
      <c r="N688" s="137" t="s">
        <v>2512</v>
      </c>
      <c r="O688" s="133" t="s">
        <v>1532</v>
      </c>
      <c r="Q688" s="100" t="s">
        <v>2491</v>
      </c>
      <c r="R688" s="226" t="s">
        <v>2546</v>
      </c>
      <c r="S688" s="491" t="str">
        <f t="shared" si="21"/>
        <v>x</v>
      </c>
      <c r="T688" s="492" t="str">
        <f>IFERROR(VLOOKUP(F688,'Freq-Chan'!C:D,2,FALSE),"x")</f>
        <v>x</v>
      </c>
      <c r="U688" s="110" t="s">
        <v>541</v>
      </c>
      <c r="V688" s="110" t="str">
        <f t="shared" si="22"/>
        <v>FWL</v>
      </c>
      <c r="W688" s="110" t="s">
        <v>541</v>
      </c>
      <c r="X688" s="110" t="s">
        <v>541</v>
      </c>
      <c r="Y688" s="110" t="str">
        <f>IFERROR(VLOOKUP(F688,'Freq-Chan'!C:E,3,FALSE),"na")</f>
        <v>na</v>
      </c>
      <c r="Z688" s="110" t="s">
        <v>541</v>
      </c>
      <c r="AA688" s="110" t="s">
        <v>541</v>
      </c>
      <c r="AB688" s="110" t="s">
        <v>541</v>
      </c>
      <c r="AC688" s="10" t="s">
        <v>541</v>
      </c>
      <c r="AD688" s="10" t="s">
        <v>541</v>
      </c>
    </row>
    <row r="689" spans="1:30" x14ac:dyDescent="0.2">
      <c r="A689" s="110">
        <v>688</v>
      </c>
      <c r="B689" s="132">
        <v>41827</v>
      </c>
      <c r="C689" s="117">
        <v>1</v>
      </c>
      <c r="D689" s="103" t="s">
        <v>2</v>
      </c>
      <c r="E689" s="103" t="s">
        <v>306</v>
      </c>
      <c r="F689" s="103">
        <v>364</v>
      </c>
      <c r="G689" s="103">
        <v>35</v>
      </c>
      <c r="H689" s="137" t="s">
        <v>1395</v>
      </c>
      <c r="I689" s="103">
        <v>98</v>
      </c>
      <c r="K689" s="103" t="s">
        <v>364</v>
      </c>
      <c r="L689" s="136"/>
      <c r="M689" s="134">
        <v>6.9444444444444434E-2</v>
      </c>
      <c r="N689" s="135" t="s">
        <v>1924</v>
      </c>
      <c r="O689" s="133" t="s">
        <v>1532</v>
      </c>
      <c r="P689" s="100" t="s">
        <v>2513</v>
      </c>
      <c r="Q689" s="100" t="s">
        <v>2514</v>
      </c>
      <c r="R689" s="226" t="s">
        <v>2546</v>
      </c>
      <c r="S689" s="491" t="str">
        <f t="shared" si="21"/>
        <v>x</v>
      </c>
      <c r="T689" s="492">
        <f>IFERROR(VLOOKUP(F689,'Freq-Chan'!C:D,2,FALSE),"x")</f>
        <v>151.364</v>
      </c>
      <c r="U689" s="110" t="s">
        <v>541</v>
      </c>
      <c r="V689" s="110" t="str">
        <f t="shared" si="22"/>
        <v>FWL</v>
      </c>
      <c r="W689" s="110" t="s">
        <v>541</v>
      </c>
      <c r="X689" s="110" t="s">
        <v>541</v>
      </c>
      <c r="Y689" s="110" t="str">
        <f>IFERROR(VLOOKUP(F689,'Freq-Chan'!C:E,3,FALSE),"na")</f>
        <v>F1845</v>
      </c>
      <c r="Z689" s="110" t="s">
        <v>541</v>
      </c>
      <c r="AA689" s="110" t="s">
        <v>541</v>
      </c>
      <c r="AB689" s="110" t="s">
        <v>541</v>
      </c>
      <c r="AC689" s="10" t="s">
        <v>541</v>
      </c>
      <c r="AD689" s="10" t="s">
        <v>541</v>
      </c>
    </row>
    <row r="690" spans="1:30" s="291" customFormat="1" x14ac:dyDescent="0.2">
      <c r="A690" s="493">
        <v>689</v>
      </c>
      <c r="B690" s="283">
        <v>41827</v>
      </c>
      <c r="C690" s="284">
        <v>1</v>
      </c>
      <c r="D690" s="285" t="s">
        <v>2</v>
      </c>
      <c r="E690" s="285" t="s">
        <v>306</v>
      </c>
      <c r="F690" s="285">
        <v>875</v>
      </c>
      <c r="G690" s="285">
        <v>86</v>
      </c>
      <c r="H690" s="339" t="s">
        <v>1396</v>
      </c>
      <c r="I690" s="285">
        <v>78</v>
      </c>
      <c r="J690" s="285"/>
      <c r="K690" s="285" t="s">
        <v>364</v>
      </c>
      <c r="L690" s="286"/>
      <c r="M690" s="287">
        <v>4.5833333333333337E-2</v>
      </c>
      <c r="N690" s="339" t="s">
        <v>2515</v>
      </c>
      <c r="O690" s="286" t="s">
        <v>1532</v>
      </c>
      <c r="P690" s="289" t="s">
        <v>2516</v>
      </c>
      <c r="Q690" s="289" t="s">
        <v>2514</v>
      </c>
      <c r="R690" s="290" t="s">
        <v>2546</v>
      </c>
      <c r="S690" s="494" t="str">
        <f t="shared" si="21"/>
        <v>x</v>
      </c>
      <c r="T690" s="495">
        <f>IFERROR(VLOOKUP(F690,'Freq-Chan'!C:D,2,FALSE),"x")</f>
        <v>151.875</v>
      </c>
      <c r="U690" s="493" t="s">
        <v>541</v>
      </c>
      <c r="V690" s="493" t="str">
        <f t="shared" si="22"/>
        <v>FWL</v>
      </c>
      <c r="W690" s="493" t="s">
        <v>541</v>
      </c>
      <c r="X690" s="493" t="s">
        <v>541</v>
      </c>
      <c r="Y690" s="493" t="str">
        <f>IFERROR(VLOOKUP(F690,'Freq-Chan'!C:E,3,FALSE),"na")</f>
        <v>F1845</v>
      </c>
      <c r="Z690" s="493" t="s">
        <v>541</v>
      </c>
      <c r="AA690" s="493" t="s">
        <v>541</v>
      </c>
      <c r="AB690" s="493" t="s">
        <v>541</v>
      </c>
      <c r="AC690" s="291" t="s">
        <v>541</v>
      </c>
      <c r="AD690" s="291" t="s">
        <v>541</v>
      </c>
    </row>
    <row r="691" spans="1:30" x14ac:dyDescent="0.2">
      <c r="A691" s="110">
        <v>690</v>
      </c>
      <c r="B691" s="132">
        <v>41827</v>
      </c>
      <c r="C691" s="117">
        <v>2</v>
      </c>
      <c r="D691" s="103" t="s">
        <v>2</v>
      </c>
      <c r="E691" s="103" t="s">
        <v>306</v>
      </c>
      <c r="F691" s="103">
        <v>875</v>
      </c>
      <c r="G691" s="103">
        <v>58</v>
      </c>
      <c r="H691" s="137" t="s">
        <v>1371</v>
      </c>
      <c r="I691" s="103">
        <v>52</v>
      </c>
      <c r="K691" s="103" t="s">
        <v>364</v>
      </c>
      <c r="L691" s="133"/>
      <c r="M691" s="134">
        <v>6.25E-2</v>
      </c>
      <c r="N691" s="137" t="s">
        <v>2008</v>
      </c>
      <c r="O691" s="133" t="s">
        <v>1888</v>
      </c>
      <c r="P691" s="100" t="s">
        <v>2517</v>
      </c>
      <c r="Q691" s="100" t="s">
        <v>2488</v>
      </c>
      <c r="R691" s="226" t="s">
        <v>2546</v>
      </c>
      <c r="S691" s="491" t="str">
        <f t="shared" si="21"/>
        <v>x</v>
      </c>
      <c r="T691" s="492">
        <f>IFERROR(VLOOKUP(F691,'Freq-Chan'!C:D,2,FALSE),"x")</f>
        <v>151.875</v>
      </c>
      <c r="U691" s="110" t="s">
        <v>541</v>
      </c>
      <c r="V691" s="110" t="str">
        <f t="shared" si="22"/>
        <v>FWL</v>
      </c>
      <c r="W691" s="110" t="s">
        <v>541</v>
      </c>
      <c r="X691" s="110" t="s">
        <v>541</v>
      </c>
      <c r="Y691" s="110" t="str">
        <f>IFERROR(VLOOKUP(F691,'Freq-Chan'!C:E,3,FALSE),"na")</f>
        <v>F1845</v>
      </c>
      <c r="Z691" s="110" t="s">
        <v>541</v>
      </c>
      <c r="AA691" s="110" t="s">
        <v>541</v>
      </c>
      <c r="AB691" s="110" t="s">
        <v>541</v>
      </c>
      <c r="AC691" s="10" t="s">
        <v>541</v>
      </c>
      <c r="AD691" s="10" t="s">
        <v>541</v>
      </c>
    </row>
    <row r="692" spans="1:30" x14ac:dyDescent="0.2">
      <c r="A692" s="110">
        <v>691</v>
      </c>
      <c r="B692" s="132">
        <v>41827</v>
      </c>
      <c r="C692" s="117">
        <v>2</v>
      </c>
      <c r="D692" s="103" t="s">
        <v>2</v>
      </c>
      <c r="E692" s="103" t="s">
        <v>306</v>
      </c>
      <c r="F692" s="103">
        <v>364</v>
      </c>
      <c r="G692" s="103">
        <v>3</v>
      </c>
      <c r="H692" s="137" t="s">
        <v>1372</v>
      </c>
      <c r="I692" s="103">
        <v>62</v>
      </c>
      <c r="K692" s="103" t="s">
        <v>364</v>
      </c>
      <c r="L692" s="133"/>
      <c r="M692" s="134">
        <v>6.3888888888888884E-2</v>
      </c>
      <c r="N692" s="137" t="s">
        <v>2518</v>
      </c>
      <c r="O692" s="133" t="s">
        <v>1663</v>
      </c>
      <c r="P692" s="100" t="s">
        <v>1786</v>
      </c>
      <c r="Q692" s="100" t="s">
        <v>2488</v>
      </c>
      <c r="R692" s="226" t="s">
        <v>2546</v>
      </c>
      <c r="S692" s="491" t="str">
        <f t="shared" si="21"/>
        <v>x</v>
      </c>
      <c r="T692" s="492">
        <f>IFERROR(VLOOKUP(F692,'Freq-Chan'!C:D,2,FALSE),"x")</f>
        <v>151.364</v>
      </c>
      <c r="U692" s="110" t="s">
        <v>541</v>
      </c>
      <c r="V692" s="110" t="str">
        <f t="shared" si="22"/>
        <v>FWL</v>
      </c>
      <c r="W692" s="110" t="s">
        <v>541</v>
      </c>
      <c r="X692" s="110" t="s">
        <v>541</v>
      </c>
      <c r="Y692" s="110" t="str">
        <f>IFERROR(VLOOKUP(F692,'Freq-Chan'!C:E,3,FALSE),"na")</f>
        <v>F1845</v>
      </c>
      <c r="Z692" s="110" t="s">
        <v>541</v>
      </c>
      <c r="AA692" s="110" t="s">
        <v>541</v>
      </c>
      <c r="AB692" s="110" t="s">
        <v>541</v>
      </c>
      <c r="AC692" s="10" t="s">
        <v>541</v>
      </c>
      <c r="AD692" s="10" t="s">
        <v>541</v>
      </c>
    </row>
    <row r="693" spans="1:30" x14ac:dyDescent="0.2">
      <c r="A693" s="110">
        <v>692</v>
      </c>
      <c r="B693" s="132">
        <v>41827</v>
      </c>
      <c r="C693" s="117">
        <v>2</v>
      </c>
      <c r="D693" s="103" t="s">
        <v>91</v>
      </c>
      <c r="E693" s="103" t="s">
        <v>798</v>
      </c>
      <c r="H693" s="103"/>
      <c r="J693" s="103">
        <v>33</v>
      </c>
      <c r="K693" s="103" t="s">
        <v>364</v>
      </c>
      <c r="L693" s="133"/>
      <c r="M693" s="134">
        <v>1.8055555555555557E-2</v>
      </c>
      <c r="N693" s="137" t="s">
        <v>2519</v>
      </c>
      <c r="O693" s="133" t="s">
        <v>1663</v>
      </c>
      <c r="P693" s="100" t="s">
        <v>1998</v>
      </c>
      <c r="Q693" s="100" t="s">
        <v>2488</v>
      </c>
      <c r="R693" s="226" t="s">
        <v>2546</v>
      </c>
      <c r="S693" s="491" t="str">
        <f t="shared" si="21"/>
        <v>x</v>
      </c>
      <c r="T693" s="492" t="str">
        <f>IFERROR(VLOOKUP(F693,'Freq-Chan'!C:D,2,FALSE),"x")</f>
        <v>x</v>
      </c>
      <c r="U693" s="110" t="s">
        <v>541</v>
      </c>
      <c r="V693" s="110" t="str">
        <f t="shared" si="22"/>
        <v>FWL</v>
      </c>
      <c r="W693" s="110" t="s">
        <v>541</v>
      </c>
      <c r="X693" s="110" t="s">
        <v>541</v>
      </c>
      <c r="Y693" s="110" t="str">
        <f>IFERROR(VLOOKUP(F693,'Freq-Chan'!C:E,3,FALSE),"na")</f>
        <v>na</v>
      </c>
      <c r="Z693" s="110" t="s">
        <v>541</v>
      </c>
      <c r="AA693" s="110" t="s">
        <v>541</v>
      </c>
      <c r="AB693" s="110" t="s">
        <v>541</v>
      </c>
      <c r="AC693" s="10" t="s">
        <v>541</v>
      </c>
      <c r="AD693" s="10" t="s">
        <v>541</v>
      </c>
    </row>
    <row r="694" spans="1:30" x14ac:dyDescent="0.2">
      <c r="A694" s="110">
        <v>693</v>
      </c>
      <c r="B694" s="132">
        <v>41827</v>
      </c>
      <c r="C694" s="117">
        <v>2</v>
      </c>
      <c r="D694" s="103" t="s">
        <v>2</v>
      </c>
      <c r="E694" s="103" t="s">
        <v>306</v>
      </c>
      <c r="F694" s="103">
        <v>364</v>
      </c>
      <c r="G694" s="103">
        <v>2</v>
      </c>
      <c r="H694" s="137" t="s">
        <v>1373</v>
      </c>
      <c r="I694" s="103">
        <v>70</v>
      </c>
      <c r="K694" s="103" t="s">
        <v>364</v>
      </c>
      <c r="L694" s="133"/>
      <c r="M694" s="134">
        <v>5.8333333333333327E-2</v>
      </c>
      <c r="N694" s="137" t="s">
        <v>2520</v>
      </c>
      <c r="O694" s="133" t="s">
        <v>804</v>
      </c>
      <c r="Q694" s="100" t="s">
        <v>2491</v>
      </c>
      <c r="R694" s="226" t="s">
        <v>2546</v>
      </c>
      <c r="S694" s="491" t="str">
        <f t="shared" si="21"/>
        <v>x</v>
      </c>
      <c r="T694" s="492">
        <f>IFERROR(VLOOKUP(F694,'Freq-Chan'!C:D,2,FALSE),"x")</f>
        <v>151.364</v>
      </c>
      <c r="U694" s="110" t="s">
        <v>541</v>
      </c>
      <c r="V694" s="110" t="str">
        <f t="shared" si="22"/>
        <v>FWL</v>
      </c>
      <c r="W694" s="110" t="s">
        <v>541</v>
      </c>
      <c r="X694" s="110" t="s">
        <v>541</v>
      </c>
      <c r="Y694" s="110" t="str">
        <f>IFERROR(VLOOKUP(F694,'Freq-Chan'!C:E,3,FALSE),"na")</f>
        <v>F1845</v>
      </c>
      <c r="Z694" s="110" t="s">
        <v>541</v>
      </c>
      <c r="AA694" s="110" t="s">
        <v>541</v>
      </c>
      <c r="AB694" s="110" t="s">
        <v>541</v>
      </c>
      <c r="AC694" s="10" t="s">
        <v>541</v>
      </c>
      <c r="AD694" s="10" t="s">
        <v>541</v>
      </c>
    </row>
    <row r="695" spans="1:30" x14ac:dyDescent="0.2">
      <c r="A695" s="110">
        <v>694</v>
      </c>
      <c r="B695" s="132">
        <v>41827</v>
      </c>
      <c r="C695" s="117">
        <v>2</v>
      </c>
      <c r="D695" s="103" t="s">
        <v>2</v>
      </c>
      <c r="E695" s="103" t="s">
        <v>306</v>
      </c>
      <c r="F695" s="103">
        <v>364</v>
      </c>
      <c r="G695" s="103">
        <v>16</v>
      </c>
      <c r="H695" s="137" t="s">
        <v>1393</v>
      </c>
      <c r="I695" s="103">
        <v>73</v>
      </c>
      <c r="K695" s="103" t="s">
        <v>364</v>
      </c>
      <c r="L695" s="133">
        <v>0.53680555555555554</v>
      </c>
      <c r="M695" s="134">
        <v>4.6527777777777779E-2</v>
      </c>
      <c r="N695" s="137" t="s">
        <v>1577</v>
      </c>
      <c r="O695" s="133" t="s">
        <v>804</v>
      </c>
      <c r="Q695" s="100" t="s">
        <v>2491</v>
      </c>
      <c r="R695" s="226" t="s">
        <v>2546</v>
      </c>
      <c r="S695" s="491">
        <f t="shared" si="21"/>
        <v>2.6967593000000001E-3</v>
      </c>
      <c r="T695" s="492">
        <f>IFERROR(VLOOKUP(F695,'Freq-Chan'!C:D,2,FALSE),"x")</f>
        <v>151.364</v>
      </c>
      <c r="U695" s="110" t="s">
        <v>541</v>
      </c>
      <c r="V695" s="110" t="str">
        <f t="shared" si="22"/>
        <v>FWL</v>
      </c>
      <c r="W695" s="110" t="s">
        <v>541</v>
      </c>
      <c r="X695" s="110" t="s">
        <v>541</v>
      </c>
      <c r="Y695" s="110" t="str">
        <f>IFERROR(VLOOKUP(F695,'Freq-Chan'!C:E,3,FALSE),"na")</f>
        <v>F1845</v>
      </c>
      <c r="Z695" s="110" t="s">
        <v>541</v>
      </c>
      <c r="AA695" s="110" t="s">
        <v>541</v>
      </c>
      <c r="AB695" s="110" t="s">
        <v>541</v>
      </c>
      <c r="AC695" s="10" t="s">
        <v>541</v>
      </c>
      <c r="AD695" s="10" t="s">
        <v>541</v>
      </c>
    </row>
    <row r="696" spans="1:30" x14ac:dyDescent="0.2">
      <c r="A696" s="110">
        <v>695</v>
      </c>
      <c r="B696" s="132">
        <v>41827</v>
      </c>
      <c r="C696" s="117">
        <v>2</v>
      </c>
      <c r="D696" s="103" t="s">
        <v>2</v>
      </c>
      <c r="E696" s="103" t="s">
        <v>306</v>
      </c>
      <c r="F696" s="103">
        <v>364</v>
      </c>
      <c r="G696" s="103">
        <v>12</v>
      </c>
      <c r="H696" s="137" t="s">
        <v>1394</v>
      </c>
      <c r="I696" s="103">
        <v>87</v>
      </c>
      <c r="K696" s="103" t="s">
        <v>364</v>
      </c>
      <c r="L696" s="133"/>
      <c r="M696" s="134">
        <v>6.25E-2</v>
      </c>
      <c r="N696" s="137" t="s">
        <v>2521</v>
      </c>
      <c r="O696" s="133" t="s">
        <v>1532</v>
      </c>
      <c r="Q696" s="100" t="s">
        <v>2491</v>
      </c>
      <c r="R696" s="226" t="s">
        <v>2546</v>
      </c>
      <c r="S696" s="491" t="str">
        <f t="shared" si="21"/>
        <v>x</v>
      </c>
      <c r="T696" s="492">
        <f>IFERROR(VLOOKUP(F696,'Freq-Chan'!C:D,2,FALSE),"x")</f>
        <v>151.364</v>
      </c>
      <c r="U696" s="110" t="s">
        <v>541</v>
      </c>
      <c r="V696" s="110" t="str">
        <f t="shared" si="22"/>
        <v>FWL</v>
      </c>
      <c r="W696" s="110" t="s">
        <v>541</v>
      </c>
      <c r="X696" s="110" t="s">
        <v>541</v>
      </c>
      <c r="Y696" s="110" t="str">
        <f>IFERROR(VLOOKUP(F696,'Freq-Chan'!C:E,3,FALSE),"na")</f>
        <v>F1845</v>
      </c>
      <c r="Z696" s="110" t="s">
        <v>541</v>
      </c>
      <c r="AA696" s="110" t="s">
        <v>541</v>
      </c>
      <c r="AB696" s="110" t="s">
        <v>541</v>
      </c>
      <c r="AC696" s="10" t="s">
        <v>541</v>
      </c>
      <c r="AD696" s="10" t="s">
        <v>541</v>
      </c>
    </row>
    <row r="697" spans="1:30" s="291" customFormat="1" x14ac:dyDescent="0.2">
      <c r="A697" s="493">
        <v>696</v>
      </c>
      <c r="B697" s="283">
        <v>41827</v>
      </c>
      <c r="C697" s="284">
        <v>2</v>
      </c>
      <c r="D697" s="285" t="s">
        <v>8</v>
      </c>
      <c r="E697" s="285" t="s">
        <v>306</v>
      </c>
      <c r="F697" s="285">
        <v>573</v>
      </c>
      <c r="G697" s="285">
        <v>0</v>
      </c>
      <c r="H697" s="339" t="s">
        <v>2104</v>
      </c>
      <c r="I697" s="285">
        <v>42</v>
      </c>
      <c r="J697" s="285"/>
      <c r="K697" s="285" t="s">
        <v>364</v>
      </c>
      <c r="L697" s="286"/>
      <c r="M697" s="287">
        <v>7.4305555555555555E-2</v>
      </c>
      <c r="N697" s="339" t="s">
        <v>717</v>
      </c>
      <c r="O697" s="286" t="s">
        <v>376</v>
      </c>
      <c r="P697" s="289"/>
      <c r="Q697" s="289" t="s">
        <v>2491</v>
      </c>
      <c r="R697" s="290" t="s">
        <v>2546</v>
      </c>
      <c r="S697" s="494" t="str">
        <f t="shared" si="21"/>
        <v>x</v>
      </c>
      <c r="T697" s="495">
        <f>IFERROR(VLOOKUP(F697,'Freq-Chan'!C:D,2,FALSE),"x")</f>
        <v>151.57300000000001</v>
      </c>
      <c r="U697" s="493" t="s">
        <v>541</v>
      </c>
      <c r="V697" s="493" t="str">
        <f t="shared" si="22"/>
        <v>FWL</v>
      </c>
      <c r="W697" s="493" t="s">
        <v>541</v>
      </c>
      <c r="X697" s="493" t="s">
        <v>541</v>
      </c>
      <c r="Y697" s="493" t="str">
        <f>IFERROR(VLOOKUP(F697,'Freq-Chan'!C:E,3,FALSE),"na")</f>
        <v>F1840</v>
      </c>
      <c r="Z697" s="493" t="s">
        <v>541</v>
      </c>
      <c r="AA697" s="493" t="s">
        <v>541</v>
      </c>
      <c r="AB697" s="493" t="s">
        <v>541</v>
      </c>
      <c r="AC697" s="291" t="s">
        <v>541</v>
      </c>
      <c r="AD697" s="291" t="s">
        <v>541</v>
      </c>
    </row>
    <row r="698" spans="1:30" x14ac:dyDescent="0.2">
      <c r="A698" s="110">
        <v>697</v>
      </c>
      <c r="B698" s="132">
        <v>41827</v>
      </c>
      <c r="C698" s="117">
        <v>3</v>
      </c>
      <c r="D698" s="103" t="s">
        <v>2</v>
      </c>
      <c r="E698" s="103" t="s">
        <v>306</v>
      </c>
      <c r="F698" s="103">
        <v>875</v>
      </c>
      <c r="G698" s="103">
        <v>91</v>
      </c>
      <c r="H698" s="137" t="s">
        <v>1378</v>
      </c>
      <c r="I698" s="103">
        <v>66</v>
      </c>
      <c r="K698" s="103" t="s">
        <v>1032</v>
      </c>
      <c r="L698" s="133"/>
      <c r="M698" s="134">
        <v>4.8611111111111112E-2</v>
      </c>
      <c r="N698" s="137" t="s">
        <v>2522</v>
      </c>
      <c r="O698" s="133" t="s">
        <v>802</v>
      </c>
      <c r="P698" s="100" t="s">
        <v>1998</v>
      </c>
      <c r="Q698" s="100" t="s">
        <v>2503</v>
      </c>
      <c r="R698" s="226" t="s">
        <v>2546</v>
      </c>
      <c r="S698" s="491" t="str">
        <f t="shared" si="21"/>
        <v>x</v>
      </c>
      <c r="T698" s="492">
        <f>IFERROR(VLOOKUP(F698,'Freq-Chan'!C:D,2,FALSE),"x")</f>
        <v>151.875</v>
      </c>
      <c r="U698" s="110" t="s">
        <v>541</v>
      </c>
      <c r="V698" s="110" t="str">
        <f t="shared" si="22"/>
        <v>FWL</v>
      </c>
      <c r="W698" s="110" t="s">
        <v>541</v>
      </c>
      <c r="X698" s="110" t="s">
        <v>541</v>
      </c>
      <c r="Y698" s="110" t="str">
        <f>IFERROR(VLOOKUP(F698,'Freq-Chan'!C:E,3,FALSE),"na")</f>
        <v>F1845</v>
      </c>
      <c r="Z698" s="110" t="s">
        <v>541</v>
      </c>
      <c r="AA698" s="110" t="s">
        <v>541</v>
      </c>
      <c r="AB698" s="110" t="s">
        <v>541</v>
      </c>
      <c r="AC698" s="10" t="s">
        <v>541</v>
      </c>
      <c r="AD698" s="10" t="s">
        <v>541</v>
      </c>
    </row>
    <row r="699" spans="1:30" x14ac:dyDescent="0.2">
      <c r="A699" s="110">
        <v>698</v>
      </c>
      <c r="B699" s="132">
        <v>41827</v>
      </c>
      <c r="C699" s="117">
        <v>3</v>
      </c>
      <c r="D699" s="103" t="s">
        <v>2</v>
      </c>
      <c r="E699" s="103" t="s">
        <v>306</v>
      </c>
      <c r="F699" s="103">
        <v>875</v>
      </c>
      <c r="G699" s="103">
        <v>71</v>
      </c>
      <c r="H699" s="137" t="s">
        <v>1379</v>
      </c>
      <c r="I699" s="103">
        <v>78</v>
      </c>
      <c r="K699" s="103" t="s">
        <v>364</v>
      </c>
      <c r="L699" s="133"/>
      <c r="M699" s="134">
        <v>4.8611111111111112E-2</v>
      </c>
      <c r="N699" s="137" t="s">
        <v>1976</v>
      </c>
      <c r="O699" s="133" t="s">
        <v>803</v>
      </c>
      <c r="P699" s="100" t="s">
        <v>1998</v>
      </c>
      <c r="Q699" s="100" t="s">
        <v>2503</v>
      </c>
      <c r="R699" s="226" t="s">
        <v>2546</v>
      </c>
      <c r="S699" s="491" t="str">
        <f t="shared" si="21"/>
        <v>x</v>
      </c>
      <c r="T699" s="492">
        <f>IFERROR(VLOOKUP(F699,'Freq-Chan'!C:D,2,FALSE),"x")</f>
        <v>151.875</v>
      </c>
      <c r="U699" s="110" t="s">
        <v>541</v>
      </c>
      <c r="V699" s="110" t="str">
        <f t="shared" si="22"/>
        <v>FWL</v>
      </c>
      <c r="W699" s="110" t="s">
        <v>541</v>
      </c>
      <c r="X699" s="110" t="s">
        <v>541</v>
      </c>
      <c r="Y699" s="110" t="str">
        <f>IFERROR(VLOOKUP(F699,'Freq-Chan'!C:E,3,FALSE),"na")</f>
        <v>F1845</v>
      </c>
      <c r="Z699" s="110" t="s">
        <v>541</v>
      </c>
      <c r="AA699" s="110" t="s">
        <v>541</v>
      </c>
      <c r="AB699" s="110" t="s">
        <v>541</v>
      </c>
      <c r="AC699" s="10" t="s">
        <v>541</v>
      </c>
      <c r="AD699" s="10" t="s">
        <v>541</v>
      </c>
    </row>
    <row r="700" spans="1:30" x14ac:dyDescent="0.2">
      <c r="A700" s="110">
        <v>699</v>
      </c>
      <c r="B700" s="132">
        <v>41827</v>
      </c>
      <c r="C700" s="117">
        <v>3</v>
      </c>
      <c r="D700" s="103" t="s">
        <v>177</v>
      </c>
      <c r="E700" s="103" t="s">
        <v>0</v>
      </c>
      <c r="H700" s="103"/>
      <c r="I700" s="103">
        <v>35</v>
      </c>
      <c r="K700" s="103" t="s">
        <v>364</v>
      </c>
      <c r="L700" s="133"/>
      <c r="M700" s="134">
        <v>1.1805555555555555E-2</v>
      </c>
      <c r="N700" s="137" t="s">
        <v>2523</v>
      </c>
      <c r="O700" s="133" t="s">
        <v>802</v>
      </c>
      <c r="P700" s="100" t="s">
        <v>1977</v>
      </c>
      <c r="Q700" s="100" t="s">
        <v>2503</v>
      </c>
      <c r="R700" s="226" t="s">
        <v>2546</v>
      </c>
      <c r="S700" s="491" t="str">
        <f t="shared" si="21"/>
        <v>x</v>
      </c>
      <c r="T700" s="492" t="str">
        <f>IFERROR(VLOOKUP(F700,'Freq-Chan'!C:D,2,FALSE),"x")</f>
        <v>x</v>
      </c>
      <c r="U700" s="110" t="s">
        <v>541</v>
      </c>
      <c r="V700" s="110" t="str">
        <f t="shared" si="22"/>
        <v>FWL</v>
      </c>
      <c r="W700" s="110" t="s">
        <v>541</v>
      </c>
      <c r="X700" s="110" t="s">
        <v>541</v>
      </c>
      <c r="Y700" s="110" t="str">
        <f>IFERROR(VLOOKUP(F700,'Freq-Chan'!C:E,3,FALSE),"na")</f>
        <v>na</v>
      </c>
      <c r="Z700" s="110" t="s">
        <v>541</v>
      </c>
      <c r="AA700" s="110" t="s">
        <v>541</v>
      </c>
      <c r="AB700" s="110" t="s">
        <v>541</v>
      </c>
      <c r="AC700" s="10" t="s">
        <v>541</v>
      </c>
      <c r="AD700" s="10" t="s">
        <v>541</v>
      </c>
    </row>
    <row r="701" spans="1:30" x14ac:dyDescent="0.2">
      <c r="A701" s="110">
        <v>700</v>
      </c>
      <c r="B701" s="132">
        <v>41827</v>
      </c>
      <c r="C701" s="117">
        <v>3</v>
      </c>
      <c r="D701" s="103" t="s">
        <v>2</v>
      </c>
      <c r="E701" s="103" t="s">
        <v>306</v>
      </c>
      <c r="F701" s="103">
        <v>875</v>
      </c>
      <c r="G701" s="103">
        <v>16</v>
      </c>
      <c r="H701" s="137" t="s">
        <v>1386</v>
      </c>
      <c r="I701" s="103">
        <v>63</v>
      </c>
      <c r="K701" s="103" t="s">
        <v>1032</v>
      </c>
      <c r="L701" s="133"/>
      <c r="M701" s="134">
        <v>5.347222222222222E-2</v>
      </c>
      <c r="N701" s="137" t="s">
        <v>1978</v>
      </c>
      <c r="O701" s="133" t="s">
        <v>802</v>
      </c>
      <c r="P701" s="100" t="s">
        <v>2524</v>
      </c>
      <c r="Q701" s="100" t="s">
        <v>2503</v>
      </c>
      <c r="R701" s="226" t="s">
        <v>2546</v>
      </c>
      <c r="S701" s="491" t="str">
        <f t="shared" si="21"/>
        <v>x</v>
      </c>
      <c r="T701" s="492">
        <f>IFERROR(VLOOKUP(F701,'Freq-Chan'!C:D,2,FALSE),"x")</f>
        <v>151.875</v>
      </c>
      <c r="U701" s="110" t="s">
        <v>541</v>
      </c>
      <c r="V701" s="110" t="str">
        <f t="shared" si="22"/>
        <v>FWL</v>
      </c>
      <c r="W701" s="110" t="s">
        <v>541</v>
      </c>
      <c r="X701" s="110" t="s">
        <v>541</v>
      </c>
      <c r="Y701" s="110" t="str">
        <f>IFERROR(VLOOKUP(F701,'Freq-Chan'!C:E,3,FALSE),"na")</f>
        <v>F1845</v>
      </c>
      <c r="Z701" s="110" t="s">
        <v>541</v>
      </c>
      <c r="AA701" s="110" t="s">
        <v>541</v>
      </c>
      <c r="AB701" s="110" t="s">
        <v>541</v>
      </c>
      <c r="AC701" s="10" t="s">
        <v>541</v>
      </c>
      <c r="AD701" s="10" t="s">
        <v>541</v>
      </c>
    </row>
    <row r="702" spans="1:30" x14ac:dyDescent="0.2">
      <c r="A702" s="110">
        <v>701</v>
      </c>
      <c r="B702" s="132">
        <v>41827</v>
      </c>
      <c r="C702" s="117">
        <v>3</v>
      </c>
      <c r="D702" s="103" t="s">
        <v>177</v>
      </c>
      <c r="E702" s="103" t="s">
        <v>0</v>
      </c>
      <c r="H702" s="103"/>
      <c r="I702" s="103">
        <v>32</v>
      </c>
      <c r="K702" s="103" t="s">
        <v>364</v>
      </c>
      <c r="L702" s="133"/>
      <c r="M702" s="134">
        <v>1.6666666666666666E-2</v>
      </c>
      <c r="N702" s="137" t="s">
        <v>1779</v>
      </c>
      <c r="O702" s="133" t="s">
        <v>803</v>
      </c>
      <c r="P702" s="100" t="s">
        <v>1856</v>
      </c>
      <c r="Q702" s="100" t="s">
        <v>2503</v>
      </c>
      <c r="R702" s="226" t="s">
        <v>2546</v>
      </c>
      <c r="S702" s="491" t="str">
        <f t="shared" si="21"/>
        <v>x</v>
      </c>
      <c r="T702" s="492" t="str">
        <f>IFERROR(VLOOKUP(F702,'Freq-Chan'!C:D,2,FALSE),"x")</f>
        <v>x</v>
      </c>
      <c r="U702" s="110" t="s">
        <v>541</v>
      </c>
      <c r="V702" s="110" t="str">
        <f t="shared" si="22"/>
        <v>FWL</v>
      </c>
      <c r="W702" s="110" t="s">
        <v>541</v>
      </c>
      <c r="X702" s="110" t="s">
        <v>541</v>
      </c>
      <c r="Y702" s="110" t="str">
        <f>IFERROR(VLOOKUP(F702,'Freq-Chan'!C:E,3,FALSE),"na")</f>
        <v>na</v>
      </c>
      <c r="Z702" s="110" t="s">
        <v>541</v>
      </c>
      <c r="AA702" s="110" t="s">
        <v>541</v>
      </c>
      <c r="AB702" s="110" t="s">
        <v>541</v>
      </c>
      <c r="AC702" s="10" t="s">
        <v>541</v>
      </c>
      <c r="AD702" s="10" t="s">
        <v>541</v>
      </c>
    </row>
    <row r="703" spans="1:30" x14ac:dyDescent="0.2">
      <c r="A703" s="110">
        <v>702</v>
      </c>
      <c r="B703" s="132">
        <v>41827</v>
      </c>
      <c r="C703" s="117">
        <v>3</v>
      </c>
      <c r="D703" s="103" t="s">
        <v>2</v>
      </c>
      <c r="E703" s="103" t="s">
        <v>306</v>
      </c>
      <c r="H703" s="103"/>
      <c r="K703" s="103" t="s">
        <v>364</v>
      </c>
      <c r="L703" s="136">
        <v>0.30763888888888891</v>
      </c>
      <c r="M703" s="134"/>
      <c r="N703" s="135" t="s">
        <v>2525</v>
      </c>
      <c r="O703" s="136" t="s">
        <v>803</v>
      </c>
      <c r="P703" s="100" t="s">
        <v>2526</v>
      </c>
      <c r="Q703" s="100" t="s">
        <v>2503</v>
      </c>
      <c r="R703" s="226" t="s">
        <v>2546</v>
      </c>
      <c r="S703" s="491">
        <f t="shared" si="21"/>
        <v>2.7777778000000002E-3</v>
      </c>
      <c r="T703" s="492" t="str">
        <f>IFERROR(VLOOKUP(F703,'Freq-Chan'!C:D,2,FALSE),"x")</f>
        <v>x</v>
      </c>
      <c r="U703" s="110" t="s">
        <v>541</v>
      </c>
      <c r="V703" s="110" t="str">
        <f t="shared" si="22"/>
        <v>FWL</v>
      </c>
      <c r="W703" s="110" t="s">
        <v>541</v>
      </c>
      <c r="X703" s="110" t="s">
        <v>541</v>
      </c>
      <c r="Y703" s="110" t="str">
        <f>IFERROR(VLOOKUP(F703,'Freq-Chan'!C:E,3,FALSE),"na")</f>
        <v>na</v>
      </c>
      <c r="Z703" s="110" t="s">
        <v>541</v>
      </c>
      <c r="AA703" s="110" t="s">
        <v>541</v>
      </c>
      <c r="AB703" s="110" t="s">
        <v>541</v>
      </c>
      <c r="AC703" s="10" t="s">
        <v>541</v>
      </c>
      <c r="AD703" s="10" t="s">
        <v>541</v>
      </c>
    </row>
    <row r="704" spans="1:30" x14ac:dyDescent="0.2">
      <c r="A704" s="110">
        <v>703</v>
      </c>
      <c r="B704" s="132">
        <v>41827</v>
      </c>
      <c r="C704" s="117">
        <v>3</v>
      </c>
      <c r="D704" s="103" t="s">
        <v>2</v>
      </c>
      <c r="E704" s="103" t="s">
        <v>306</v>
      </c>
      <c r="F704" s="103">
        <v>364</v>
      </c>
      <c r="G704" s="103">
        <v>0</v>
      </c>
      <c r="H704" s="137" t="s">
        <v>1387</v>
      </c>
      <c r="I704" s="103">
        <v>67</v>
      </c>
      <c r="K704" s="103" t="s">
        <v>364</v>
      </c>
      <c r="L704" s="136">
        <v>0.34513888888888888</v>
      </c>
      <c r="M704" s="134">
        <v>5.486111111111111E-2</v>
      </c>
      <c r="N704" s="135" t="s">
        <v>1649</v>
      </c>
      <c r="O704" s="136" t="s">
        <v>802</v>
      </c>
      <c r="Q704" s="100" t="s">
        <v>2503</v>
      </c>
      <c r="R704" s="226" t="s">
        <v>2546</v>
      </c>
      <c r="S704" s="491">
        <f t="shared" si="21"/>
        <v>1.1689815000000001E-3</v>
      </c>
      <c r="T704" s="492">
        <f>IFERROR(VLOOKUP(F704,'Freq-Chan'!C:D,2,FALSE),"x")</f>
        <v>151.364</v>
      </c>
      <c r="U704" s="110" t="s">
        <v>541</v>
      </c>
      <c r="V704" s="110" t="str">
        <f t="shared" si="22"/>
        <v>FWL</v>
      </c>
      <c r="W704" s="110" t="s">
        <v>541</v>
      </c>
      <c r="X704" s="110" t="s">
        <v>541</v>
      </c>
      <c r="Y704" s="110" t="str">
        <f>IFERROR(VLOOKUP(F704,'Freq-Chan'!C:E,3,FALSE),"na")</f>
        <v>F1845</v>
      </c>
      <c r="Z704" s="110" t="s">
        <v>541</v>
      </c>
      <c r="AA704" s="110" t="s">
        <v>541</v>
      </c>
      <c r="AB704" s="110" t="s">
        <v>541</v>
      </c>
      <c r="AC704" s="10" t="s">
        <v>541</v>
      </c>
      <c r="AD704" s="10" t="s">
        <v>541</v>
      </c>
    </row>
    <row r="705" spans="1:30" x14ac:dyDescent="0.2">
      <c r="A705" s="110">
        <v>704</v>
      </c>
      <c r="B705" s="132">
        <v>41827</v>
      </c>
      <c r="C705" s="117">
        <v>3</v>
      </c>
      <c r="D705" s="103" t="s">
        <v>2</v>
      </c>
      <c r="E705" s="103" t="s">
        <v>306</v>
      </c>
      <c r="F705" s="103">
        <v>364</v>
      </c>
      <c r="G705" s="103">
        <v>41</v>
      </c>
      <c r="H705" s="137" t="s">
        <v>1388</v>
      </c>
      <c r="I705" s="103">
        <v>57</v>
      </c>
      <c r="K705" s="103" t="s">
        <v>364</v>
      </c>
      <c r="L705" s="133">
        <v>0.37638888888888888</v>
      </c>
      <c r="M705" s="134">
        <v>5.2083333333333336E-2</v>
      </c>
      <c r="N705" s="137" t="s">
        <v>2527</v>
      </c>
      <c r="O705" s="133" t="s">
        <v>803</v>
      </c>
      <c r="Q705" s="100" t="s">
        <v>2503</v>
      </c>
      <c r="R705" s="226" t="s">
        <v>2546</v>
      </c>
      <c r="S705" s="491">
        <f t="shared" si="21"/>
        <v>2.6041667E-3</v>
      </c>
      <c r="T705" s="492">
        <f>IFERROR(VLOOKUP(F705,'Freq-Chan'!C:D,2,FALSE),"x")</f>
        <v>151.364</v>
      </c>
      <c r="U705" s="110" t="s">
        <v>541</v>
      </c>
      <c r="V705" s="110" t="str">
        <f t="shared" si="22"/>
        <v>FWL</v>
      </c>
      <c r="W705" s="110" t="s">
        <v>541</v>
      </c>
      <c r="X705" s="110" t="s">
        <v>541</v>
      </c>
      <c r="Y705" s="110" t="str">
        <f>IFERROR(VLOOKUP(F705,'Freq-Chan'!C:E,3,FALSE),"na")</f>
        <v>F1845</v>
      </c>
      <c r="Z705" s="110" t="s">
        <v>541</v>
      </c>
      <c r="AA705" s="110" t="s">
        <v>541</v>
      </c>
      <c r="AB705" s="110" t="s">
        <v>541</v>
      </c>
      <c r="AC705" s="10" t="s">
        <v>541</v>
      </c>
      <c r="AD705" s="10" t="s">
        <v>541</v>
      </c>
    </row>
    <row r="706" spans="1:30" x14ac:dyDescent="0.2">
      <c r="A706" s="110">
        <v>705</v>
      </c>
      <c r="B706" s="132">
        <v>41827</v>
      </c>
      <c r="C706" s="117">
        <v>3</v>
      </c>
      <c r="D706" s="103" t="s">
        <v>2</v>
      </c>
      <c r="E706" s="103" t="s">
        <v>306</v>
      </c>
      <c r="F706" s="103">
        <v>875</v>
      </c>
      <c r="G706" s="103">
        <v>37</v>
      </c>
      <c r="H706" s="137" t="s">
        <v>1389</v>
      </c>
      <c r="I706" s="103">
        <v>72</v>
      </c>
      <c r="K706" s="103" t="s">
        <v>364</v>
      </c>
      <c r="L706" s="136">
        <v>0.48333333333333334</v>
      </c>
      <c r="M706" s="134">
        <v>9.0972222222222218E-2</v>
      </c>
      <c r="N706" s="135" t="s">
        <v>2528</v>
      </c>
      <c r="O706" s="136" t="s">
        <v>1875</v>
      </c>
      <c r="Q706" s="100" t="s">
        <v>2494</v>
      </c>
      <c r="R706" s="226" t="s">
        <v>2546</v>
      </c>
      <c r="S706" s="491">
        <f t="shared" si="21"/>
        <v>7.5115740999999996E-3</v>
      </c>
      <c r="T706" s="492">
        <f>IFERROR(VLOOKUP(F706,'Freq-Chan'!C:D,2,FALSE),"x")</f>
        <v>151.875</v>
      </c>
      <c r="U706" s="110" t="s">
        <v>541</v>
      </c>
      <c r="V706" s="110" t="str">
        <f t="shared" si="22"/>
        <v>FWL</v>
      </c>
      <c r="W706" s="110" t="s">
        <v>541</v>
      </c>
      <c r="X706" s="110" t="s">
        <v>541</v>
      </c>
      <c r="Y706" s="110" t="str">
        <f>IFERROR(VLOOKUP(F706,'Freq-Chan'!C:E,3,FALSE),"na")</f>
        <v>F1845</v>
      </c>
      <c r="Z706" s="110" t="s">
        <v>541</v>
      </c>
      <c r="AA706" s="110" t="s">
        <v>541</v>
      </c>
      <c r="AB706" s="110" t="s">
        <v>541</v>
      </c>
      <c r="AC706" s="10" t="s">
        <v>541</v>
      </c>
      <c r="AD706" s="10" t="s">
        <v>541</v>
      </c>
    </row>
    <row r="707" spans="1:30" x14ac:dyDescent="0.2">
      <c r="A707" s="110">
        <v>706</v>
      </c>
      <c r="B707" s="132">
        <v>41827</v>
      </c>
      <c r="C707" s="117">
        <v>3</v>
      </c>
      <c r="D707" s="103" t="s">
        <v>177</v>
      </c>
      <c r="E707" s="103" t="s">
        <v>0</v>
      </c>
      <c r="H707" s="103"/>
      <c r="I707" s="103">
        <v>33</v>
      </c>
      <c r="K707" s="103" t="s">
        <v>364</v>
      </c>
      <c r="L707" s="133"/>
      <c r="M707" s="134">
        <v>3.4027777777777775E-2</v>
      </c>
      <c r="N707" s="137" t="s">
        <v>2529</v>
      </c>
      <c r="O707" s="133" t="s">
        <v>1875</v>
      </c>
      <c r="P707" s="100" t="s">
        <v>2530</v>
      </c>
      <c r="Q707" s="100" t="s">
        <v>2494</v>
      </c>
      <c r="R707" s="226" t="s">
        <v>2546</v>
      </c>
      <c r="S707" s="491" t="str">
        <f t="shared" ref="S707:S770" si="23">IF(IF(OR(L707=0,N707=0),"x",ROUND(N707-L707-(M707*24)/(24*60),10))&lt;0,0,IF(OR(L707=0,N707=0),"x",ROUND(N707-L707-(M707*24)/(24*60),10)))</f>
        <v>x</v>
      </c>
      <c r="T707" s="492" t="str">
        <f>IFERROR(VLOOKUP(F707,'Freq-Chan'!C:D,2,FALSE),"x")</f>
        <v>x</v>
      </c>
      <c r="U707" s="110" t="s">
        <v>541</v>
      </c>
      <c r="V707" s="110" t="str">
        <f t="shared" ref="V707:V770" si="24">IF(OR(C707=1,C707=2,C707=3),"FWL","NRD")</f>
        <v>FWL</v>
      </c>
      <c r="W707" s="110" t="s">
        <v>541</v>
      </c>
      <c r="X707" s="110" t="s">
        <v>541</v>
      </c>
      <c r="Y707" s="110" t="str">
        <f>IFERROR(VLOOKUP(F707,'Freq-Chan'!C:E,3,FALSE),"na")</f>
        <v>na</v>
      </c>
      <c r="Z707" s="110" t="s">
        <v>541</v>
      </c>
      <c r="AA707" s="110" t="s">
        <v>541</v>
      </c>
      <c r="AB707" s="110" t="s">
        <v>541</v>
      </c>
      <c r="AC707" s="10" t="s">
        <v>541</v>
      </c>
      <c r="AD707" s="10" t="s">
        <v>541</v>
      </c>
    </row>
    <row r="708" spans="1:30" x14ac:dyDescent="0.2">
      <c r="A708" s="110">
        <v>707</v>
      </c>
      <c r="B708" s="132">
        <v>41827</v>
      </c>
      <c r="C708" s="117">
        <v>3</v>
      </c>
      <c r="D708" s="103" t="s">
        <v>177</v>
      </c>
      <c r="E708" s="103" t="s">
        <v>0</v>
      </c>
      <c r="H708" s="103"/>
      <c r="I708" s="103">
        <v>39</v>
      </c>
      <c r="K708" s="103" t="s">
        <v>364</v>
      </c>
      <c r="L708" s="136"/>
      <c r="M708" s="134">
        <v>2.4999999999999998E-2</v>
      </c>
      <c r="N708" s="135" t="s">
        <v>2531</v>
      </c>
      <c r="O708" s="136" t="s">
        <v>1875</v>
      </c>
      <c r="P708" s="100" t="s">
        <v>776</v>
      </c>
      <c r="Q708" s="100" t="s">
        <v>2494</v>
      </c>
      <c r="R708" s="226" t="s">
        <v>2546</v>
      </c>
      <c r="S708" s="491" t="str">
        <f t="shared" si="23"/>
        <v>x</v>
      </c>
      <c r="T708" s="492" t="str">
        <f>IFERROR(VLOOKUP(F708,'Freq-Chan'!C:D,2,FALSE),"x")</f>
        <v>x</v>
      </c>
      <c r="U708" s="110" t="s">
        <v>541</v>
      </c>
      <c r="V708" s="110" t="str">
        <f t="shared" si="24"/>
        <v>FWL</v>
      </c>
      <c r="W708" s="110" t="s">
        <v>541</v>
      </c>
      <c r="X708" s="110" t="s">
        <v>541</v>
      </c>
      <c r="Y708" s="110" t="str">
        <f>IFERROR(VLOOKUP(F708,'Freq-Chan'!C:E,3,FALSE),"na")</f>
        <v>na</v>
      </c>
      <c r="Z708" s="110" t="s">
        <v>541</v>
      </c>
      <c r="AA708" s="110" t="s">
        <v>541</v>
      </c>
      <c r="AB708" s="110" t="s">
        <v>541</v>
      </c>
      <c r="AC708" s="10" t="s">
        <v>541</v>
      </c>
      <c r="AD708" s="10" t="s">
        <v>541</v>
      </c>
    </row>
    <row r="709" spans="1:30" x14ac:dyDescent="0.2">
      <c r="A709" s="110">
        <v>708</v>
      </c>
      <c r="B709" s="132">
        <v>41827</v>
      </c>
      <c r="C709" s="117">
        <v>3</v>
      </c>
      <c r="D709" s="103" t="s">
        <v>2</v>
      </c>
      <c r="E709" s="103" t="s">
        <v>306</v>
      </c>
      <c r="F709" s="103">
        <v>364</v>
      </c>
      <c r="G709" s="103">
        <v>44</v>
      </c>
      <c r="H709" s="137" t="s">
        <v>1390</v>
      </c>
      <c r="I709" s="103">
        <v>84</v>
      </c>
      <c r="K709" s="103" t="s">
        <v>364</v>
      </c>
      <c r="L709" s="136">
        <v>0.50694444444444442</v>
      </c>
      <c r="M709" s="134">
        <v>9.6527777777777768E-2</v>
      </c>
      <c r="N709" s="135" t="s">
        <v>2532</v>
      </c>
      <c r="O709" s="136" t="s">
        <v>376</v>
      </c>
      <c r="P709" s="100" t="s">
        <v>2533</v>
      </c>
      <c r="Q709" s="100" t="s">
        <v>2494</v>
      </c>
      <c r="R709" s="226" t="s">
        <v>2546</v>
      </c>
      <c r="S709" s="491">
        <f t="shared" si="23"/>
        <v>4.6412036999999998E-3</v>
      </c>
      <c r="T709" s="492">
        <f>IFERROR(VLOOKUP(F709,'Freq-Chan'!C:D,2,FALSE),"x")</f>
        <v>151.364</v>
      </c>
      <c r="U709" s="110" t="s">
        <v>541</v>
      </c>
      <c r="V709" s="110" t="str">
        <f t="shared" si="24"/>
        <v>FWL</v>
      </c>
      <c r="W709" s="110" t="s">
        <v>541</v>
      </c>
      <c r="X709" s="110" t="s">
        <v>541</v>
      </c>
      <c r="Y709" s="110" t="str">
        <f>IFERROR(VLOOKUP(F709,'Freq-Chan'!C:E,3,FALSE),"na")</f>
        <v>F1845</v>
      </c>
      <c r="Z709" s="110" t="s">
        <v>541</v>
      </c>
      <c r="AA709" s="110" t="s">
        <v>541</v>
      </c>
      <c r="AB709" s="110" t="s">
        <v>541</v>
      </c>
      <c r="AC709" s="10" t="s">
        <v>541</v>
      </c>
      <c r="AD709" s="10" t="s">
        <v>541</v>
      </c>
    </row>
    <row r="710" spans="1:30" x14ac:dyDescent="0.2">
      <c r="A710" s="110">
        <v>709</v>
      </c>
      <c r="B710" s="132">
        <v>41827</v>
      </c>
      <c r="C710" s="117">
        <v>3</v>
      </c>
      <c r="D710" s="103" t="s">
        <v>2</v>
      </c>
      <c r="E710" s="103" t="s">
        <v>306</v>
      </c>
      <c r="F710" s="103">
        <v>875</v>
      </c>
      <c r="G710" s="103">
        <v>75</v>
      </c>
      <c r="H710" s="137" t="s">
        <v>1391</v>
      </c>
      <c r="I710" s="103">
        <v>55</v>
      </c>
      <c r="K710" s="103" t="s">
        <v>364</v>
      </c>
      <c r="L710" s="136"/>
      <c r="M710" s="134">
        <v>6.3194444444444442E-2</v>
      </c>
      <c r="N710" s="135" t="s">
        <v>2534</v>
      </c>
      <c r="O710" s="136" t="s">
        <v>1875</v>
      </c>
      <c r="Q710" s="100" t="s">
        <v>2494</v>
      </c>
      <c r="R710" s="226" t="s">
        <v>2546</v>
      </c>
      <c r="S710" s="491" t="str">
        <f t="shared" si="23"/>
        <v>x</v>
      </c>
      <c r="T710" s="492">
        <f>IFERROR(VLOOKUP(F710,'Freq-Chan'!C:D,2,FALSE),"x")</f>
        <v>151.875</v>
      </c>
      <c r="U710" s="110" t="s">
        <v>541</v>
      </c>
      <c r="V710" s="110" t="str">
        <f t="shared" si="24"/>
        <v>FWL</v>
      </c>
      <c r="W710" s="110" t="s">
        <v>541</v>
      </c>
      <c r="X710" s="110" t="s">
        <v>541</v>
      </c>
      <c r="Y710" s="110" t="str">
        <f>IFERROR(VLOOKUP(F710,'Freq-Chan'!C:E,3,FALSE),"na")</f>
        <v>F1845</v>
      </c>
      <c r="Z710" s="110" t="s">
        <v>541</v>
      </c>
      <c r="AA710" s="110" t="s">
        <v>541</v>
      </c>
      <c r="AB710" s="110" t="s">
        <v>541</v>
      </c>
      <c r="AC710" s="10" t="s">
        <v>541</v>
      </c>
      <c r="AD710" s="10" t="s">
        <v>541</v>
      </c>
    </row>
    <row r="711" spans="1:30" x14ac:dyDescent="0.2">
      <c r="A711" s="110">
        <v>710</v>
      </c>
      <c r="B711" s="132">
        <v>41827</v>
      </c>
      <c r="C711" s="117">
        <v>3</v>
      </c>
      <c r="D711" s="103" t="s">
        <v>177</v>
      </c>
      <c r="E711" s="103" t="s">
        <v>0</v>
      </c>
      <c r="H711" s="103"/>
      <c r="I711" s="103">
        <v>30</v>
      </c>
      <c r="K711" s="103" t="s">
        <v>364</v>
      </c>
      <c r="L711" s="133"/>
      <c r="M711" s="134">
        <v>3.3333333333333333E-2</v>
      </c>
      <c r="N711" s="137" t="s">
        <v>2535</v>
      </c>
      <c r="O711" s="133" t="s">
        <v>1875</v>
      </c>
      <c r="P711" s="100" t="s">
        <v>2536</v>
      </c>
      <c r="Q711" s="100" t="s">
        <v>2494</v>
      </c>
      <c r="R711" s="226" t="s">
        <v>2546</v>
      </c>
      <c r="S711" s="491" t="str">
        <f t="shared" si="23"/>
        <v>x</v>
      </c>
      <c r="T711" s="492" t="str">
        <f>IFERROR(VLOOKUP(F711,'Freq-Chan'!C:D,2,FALSE),"x")</f>
        <v>x</v>
      </c>
      <c r="U711" s="110" t="s">
        <v>541</v>
      </c>
      <c r="V711" s="110" t="str">
        <f t="shared" si="24"/>
        <v>FWL</v>
      </c>
      <c r="W711" s="110" t="s">
        <v>541</v>
      </c>
      <c r="X711" s="110" t="s">
        <v>541</v>
      </c>
      <c r="Y711" s="110" t="str">
        <f>IFERROR(VLOOKUP(F711,'Freq-Chan'!C:E,3,FALSE),"na")</f>
        <v>na</v>
      </c>
      <c r="Z711" s="110" t="s">
        <v>541</v>
      </c>
      <c r="AA711" s="110" t="s">
        <v>541</v>
      </c>
      <c r="AB711" s="110" t="s">
        <v>541</v>
      </c>
      <c r="AC711" s="10" t="s">
        <v>541</v>
      </c>
      <c r="AD711" s="10" t="s">
        <v>541</v>
      </c>
    </row>
    <row r="712" spans="1:30" x14ac:dyDescent="0.2">
      <c r="A712" s="110">
        <v>711</v>
      </c>
      <c r="B712" s="132">
        <v>41827</v>
      </c>
      <c r="C712" s="117">
        <v>3</v>
      </c>
      <c r="D712" s="103" t="s">
        <v>2</v>
      </c>
      <c r="E712" s="103" t="s">
        <v>306</v>
      </c>
      <c r="F712" s="103">
        <v>875</v>
      </c>
      <c r="G712" s="103">
        <v>92</v>
      </c>
      <c r="H712" s="137" t="s">
        <v>1398</v>
      </c>
      <c r="I712" s="103">
        <v>59</v>
      </c>
      <c r="K712" s="103" t="s">
        <v>364</v>
      </c>
      <c r="L712" s="136"/>
      <c r="M712" s="134">
        <v>3.7499999999999999E-2</v>
      </c>
      <c r="N712" s="135" t="s">
        <v>383</v>
      </c>
      <c r="O712" s="136" t="s">
        <v>1663</v>
      </c>
      <c r="Q712" s="100" t="s">
        <v>2503</v>
      </c>
      <c r="R712" s="226" t="s">
        <v>2546</v>
      </c>
      <c r="S712" s="491" t="str">
        <f t="shared" si="23"/>
        <v>x</v>
      </c>
      <c r="T712" s="492">
        <f>IFERROR(VLOOKUP(F712,'Freq-Chan'!C:D,2,FALSE),"x")</f>
        <v>151.875</v>
      </c>
      <c r="U712" s="110" t="s">
        <v>541</v>
      </c>
      <c r="V712" s="110" t="str">
        <f t="shared" si="24"/>
        <v>FWL</v>
      </c>
      <c r="W712" s="110" t="s">
        <v>541</v>
      </c>
      <c r="X712" s="110" t="s">
        <v>541</v>
      </c>
      <c r="Y712" s="110" t="str">
        <f>IFERROR(VLOOKUP(F712,'Freq-Chan'!C:E,3,FALSE),"na")</f>
        <v>F1845</v>
      </c>
      <c r="Z712" s="110" t="s">
        <v>541</v>
      </c>
      <c r="AA712" s="110" t="s">
        <v>541</v>
      </c>
      <c r="AB712" s="110" t="s">
        <v>541</v>
      </c>
      <c r="AC712" s="10" t="s">
        <v>541</v>
      </c>
      <c r="AD712" s="10" t="s">
        <v>541</v>
      </c>
    </row>
    <row r="713" spans="1:30" x14ac:dyDescent="0.2">
      <c r="A713" s="110">
        <v>712</v>
      </c>
      <c r="B713" s="132">
        <v>41827</v>
      </c>
      <c r="C713" s="117">
        <v>3</v>
      </c>
      <c r="D713" s="103" t="s">
        <v>2</v>
      </c>
      <c r="E713" s="103" t="s">
        <v>306</v>
      </c>
      <c r="F713" s="103">
        <v>875</v>
      </c>
      <c r="G713" s="103">
        <v>64</v>
      </c>
      <c r="H713" s="137" t="s">
        <v>1399</v>
      </c>
      <c r="I713" s="103">
        <v>91</v>
      </c>
      <c r="K713" s="103" t="s">
        <v>364</v>
      </c>
      <c r="L713" s="133">
        <v>0.80138888888888893</v>
      </c>
      <c r="M713" s="134">
        <v>9.1666666666666674E-2</v>
      </c>
      <c r="N713" s="137" t="s">
        <v>2537</v>
      </c>
      <c r="O713" s="133" t="s">
        <v>1875</v>
      </c>
      <c r="Q713" s="100" t="s">
        <v>2081</v>
      </c>
      <c r="R713" s="226" t="s">
        <v>2546</v>
      </c>
      <c r="S713" s="491">
        <f t="shared" si="23"/>
        <v>6.8055555999999998E-3</v>
      </c>
      <c r="T713" s="492">
        <f>IFERROR(VLOOKUP(F713,'Freq-Chan'!C:D,2,FALSE),"x")</f>
        <v>151.875</v>
      </c>
      <c r="U713" s="110" t="s">
        <v>541</v>
      </c>
      <c r="V713" s="110" t="str">
        <f t="shared" si="24"/>
        <v>FWL</v>
      </c>
      <c r="W713" s="110" t="s">
        <v>541</v>
      </c>
      <c r="X713" s="110" t="s">
        <v>541</v>
      </c>
      <c r="Y713" s="110" t="str">
        <f>IFERROR(VLOOKUP(F713,'Freq-Chan'!C:E,3,FALSE),"na")</f>
        <v>F1845</v>
      </c>
      <c r="Z713" s="110" t="s">
        <v>541</v>
      </c>
      <c r="AA713" s="110" t="s">
        <v>541</v>
      </c>
      <c r="AB713" s="110" t="s">
        <v>541</v>
      </c>
      <c r="AC713" s="10" t="s">
        <v>541</v>
      </c>
      <c r="AD713" s="10" t="s">
        <v>541</v>
      </c>
    </row>
    <row r="714" spans="1:30" x14ac:dyDescent="0.2">
      <c r="A714" s="110">
        <v>713</v>
      </c>
      <c r="B714" s="132">
        <v>41827</v>
      </c>
      <c r="C714" s="117">
        <v>3</v>
      </c>
      <c r="D714" s="103" t="s">
        <v>2</v>
      </c>
      <c r="E714" s="103" t="s">
        <v>306</v>
      </c>
      <c r="F714" s="103">
        <v>875</v>
      </c>
      <c r="G714" s="103">
        <v>0</v>
      </c>
      <c r="H714" s="137" t="s">
        <v>1400</v>
      </c>
      <c r="I714" s="103">
        <v>54</v>
      </c>
      <c r="K714" s="103" t="s">
        <v>364</v>
      </c>
      <c r="L714" s="133">
        <v>0.82430555555555562</v>
      </c>
      <c r="M714" s="134">
        <v>6.0416666666666667E-2</v>
      </c>
      <c r="N714" s="137" t="s">
        <v>2538</v>
      </c>
      <c r="O714" s="133" t="s">
        <v>804</v>
      </c>
      <c r="Q714" s="100" t="s">
        <v>2081</v>
      </c>
      <c r="R714" s="226" t="s">
        <v>2546</v>
      </c>
      <c r="S714" s="491">
        <f t="shared" si="23"/>
        <v>3.8541666999999998E-3</v>
      </c>
      <c r="T714" s="492">
        <f>IFERROR(VLOOKUP(F714,'Freq-Chan'!C:D,2,FALSE),"x")</f>
        <v>151.875</v>
      </c>
      <c r="U714" s="110" t="s">
        <v>541</v>
      </c>
      <c r="V714" s="110" t="str">
        <f t="shared" si="24"/>
        <v>FWL</v>
      </c>
      <c r="W714" s="110" t="s">
        <v>541</v>
      </c>
      <c r="X714" s="110" t="s">
        <v>541</v>
      </c>
      <c r="Y714" s="110" t="str">
        <f>IFERROR(VLOOKUP(F714,'Freq-Chan'!C:E,3,FALSE),"na")</f>
        <v>F1845</v>
      </c>
      <c r="Z714" s="110" t="s">
        <v>541</v>
      </c>
      <c r="AA714" s="110" t="s">
        <v>541</v>
      </c>
      <c r="AB714" s="110" t="s">
        <v>541</v>
      </c>
      <c r="AC714" s="10" t="s">
        <v>541</v>
      </c>
      <c r="AD714" s="10" t="s">
        <v>541</v>
      </c>
    </row>
    <row r="715" spans="1:30" x14ac:dyDescent="0.2">
      <c r="A715" s="110">
        <v>714</v>
      </c>
      <c r="B715" s="132">
        <v>41827</v>
      </c>
      <c r="C715" s="117">
        <v>3</v>
      </c>
      <c r="D715" s="103" t="s">
        <v>2</v>
      </c>
      <c r="E715" s="103" t="s">
        <v>306</v>
      </c>
      <c r="F715" s="103">
        <v>875</v>
      </c>
      <c r="G715" s="103">
        <v>33</v>
      </c>
      <c r="H715" s="137" t="s">
        <v>1401</v>
      </c>
      <c r="I715" s="103">
        <v>61</v>
      </c>
      <c r="K715" s="103" t="s">
        <v>364</v>
      </c>
      <c r="L715" s="136">
        <v>0.82500000000000007</v>
      </c>
      <c r="M715" s="134">
        <v>7.2222222222222229E-2</v>
      </c>
      <c r="N715" s="135" t="s">
        <v>2539</v>
      </c>
      <c r="O715" s="136" t="s">
        <v>1875</v>
      </c>
      <c r="Q715" s="100" t="s">
        <v>2081</v>
      </c>
      <c r="R715" s="226" t="s">
        <v>2546</v>
      </c>
      <c r="S715" s="491">
        <f t="shared" si="23"/>
        <v>7.8240740999999999E-3</v>
      </c>
      <c r="T715" s="492">
        <f>IFERROR(VLOOKUP(F715,'Freq-Chan'!C:D,2,FALSE),"x")</f>
        <v>151.875</v>
      </c>
      <c r="U715" s="110" t="s">
        <v>541</v>
      </c>
      <c r="V715" s="110" t="str">
        <f t="shared" si="24"/>
        <v>FWL</v>
      </c>
      <c r="W715" s="110" t="s">
        <v>541</v>
      </c>
      <c r="X715" s="110" t="s">
        <v>541</v>
      </c>
      <c r="Y715" s="110" t="str">
        <f>IFERROR(VLOOKUP(F715,'Freq-Chan'!C:E,3,FALSE),"na")</f>
        <v>F1845</v>
      </c>
      <c r="Z715" s="110" t="s">
        <v>541</v>
      </c>
      <c r="AA715" s="110" t="s">
        <v>541</v>
      </c>
      <c r="AB715" s="110" t="s">
        <v>541</v>
      </c>
      <c r="AC715" s="10" t="s">
        <v>541</v>
      </c>
      <c r="AD715" s="10" t="s">
        <v>541</v>
      </c>
    </row>
    <row r="716" spans="1:30" s="291" customFormat="1" x14ac:dyDescent="0.2">
      <c r="A716" s="493">
        <v>715</v>
      </c>
      <c r="B716" s="283">
        <v>41827</v>
      </c>
      <c r="C716" s="284">
        <v>3</v>
      </c>
      <c r="D716" s="285" t="s">
        <v>2</v>
      </c>
      <c r="E716" s="285" t="s">
        <v>306</v>
      </c>
      <c r="F716" s="285">
        <v>364</v>
      </c>
      <c r="G716" s="285">
        <v>5</v>
      </c>
      <c r="H716" s="339" t="s">
        <v>1402</v>
      </c>
      <c r="I716" s="285">
        <v>84</v>
      </c>
      <c r="J716" s="285"/>
      <c r="K716" s="285" t="s">
        <v>364</v>
      </c>
      <c r="L716" s="325"/>
      <c r="M716" s="287">
        <v>6.9444444444444434E-2</v>
      </c>
      <c r="N716" s="288" t="s">
        <v>2540</v>
      </c>
      <c r="O716" s="286" t="s">
        <v>1875</v>
      </c>
      <c r="P716" s="289"/>
      <c r="Q716" s="289" t="s">
        <v>2081</v>
      </c>
      <c r="R716" s="290" t="s">
        <v>2546</v>
      </c>
      <c r="S716" s="494" t="str">
        <f t="shared" si="23"/>
        <v>x</v>
      </c>
      <c r="T716" s="495">
        <f>IFERROR(VLOOKUP(F716,'Freq-Chan'!C:D,2,FALSE),"x")</f>
        <v>151.364</v>
      </c>
      <c r="U716" s="493" t="s">
        <v>541</v>
      </c>
      <c r="V716" s="493" t="str">
        <f t="shared" si="24"/>
        <v>FWL</v>
      </c>
      <c r="W716" s="493" t="s">
        <v>541</v>
      </c>
      <c r="X716" s="493" t="s">
        <v>541</v>
      </c>
      <c r="Y716" s="493" t="str">
        <f>IFERROR(VLOOKUP(F716,'Freq-Chan'!C:E,3,FALSE),"na")</f>
        <v>F1845</v>
      </c>
      <c r="Z716" s="493" t="s">
        <v>541</v>
      </c>
      <c r="AA716" s="493" t="s">
        <v>541</v>
      </c>
      <c r="AB716" s="493" t="s">
        <v>541</v>
      </c>
      <c r="AC716" s="291" t="s">
        <v>541</v>
      </c>
      <c r="AD716" s="291" t="s">
        <v>541</v>
      </c>
    </row>
    <row r="717" spans="1:30" x14ac:dyDescent="0.2">
      <c r="A717" s="110">
        <v>716</v>
      </c>
      <c r="B717" s="132">
        <v>41828</v>
      </c>
      <c r="C717" s="117">
        <v>1</v>
      </c>
      <c r="D717" s="103" t="s">
        <v>2</v>
      </c>
      <c r="E717" s="103" t="s">
        <v>306</v>
      </c>
      <c r="F717" s="103">
        <v>875</v>
      </c>
      <c r="G717" s="103">
        <v>52</v>
      </c>
      <c r="H717" s="137" t="s">
        <v>1405</v>
      </c>
      <c r="I717" s="103">
        <v>95</v>
      </c>
      <c r="K717" s="103" t="s">
        <v>364</v>
      </c>
      <c r="L717" s="136"/>
      <c r="M717" s="134">
        <v>7.0833333333333331E-2</v>
      </c>
      <c r="N717" s="135" t="s">
        <v>882</v>
      </c>
      <c r="O717" s="133" t="s">
        <v>1888</v>
      </c>
      <c r="P717" s="100" t="s">
        <v>2559</v>
      </c>
      <c r="Q717" s="100" t="s">
        <v>2551</v>
      </c>
      <c r="R717" s="226" t="s">
        <v>2604</v>
      </c>
      <c r="S717" s="491" t="str">
        <f t="shared" si="23"/>
        <v>x</v>
      </c>
      <c r="T717" s="492">
        <f>IFERROR(VLOOKUP(F717,'Freq-Chan'!C:D,2,FALSE),"x")</f>
        <v>151.875</v>
      </c>
      <c r="U717" s="110" t="s">
        <v>541</v>
      </c>
      <c r="V717" s="110" t="str">
        <f t="shared" si="24"/>
        <v>FWL</v>
      </c>
      <c r="W717" s="110" t="s">
        <v>541</v>
      </c>
      <c r="X717" s="110" t="s">
        <v>541</v>
      </c>
      <c r="Y717" s="110" t="str">
        <f>IFERROR(VLOOKUP(F717,'Freq-Chan'!C:E,3,FALSE),"na")</f>
        <v>F1845</v>
      </c>
      <c r="Z717" s="110" t="s">
        <v>541</v>
      </c>
      <c r="AA717" s="110" t="s">
        <v>541</v>
      </c>
      <c r="AB717" s="110" t="s">
        <v>541</v>
      </c>
      <c r="AC717" s="10" t="s">
        <v>541</v>
      </c>
      <c r="AD717" s="10" t="s">
        <v>541</v>
      </c>
    </row>
    <row r="718" spans="1:30" s="291" customFormat="1" x14ac:dyDescent="0.2">
      <c r="A718" s="493">
        <v>717</v>
      </c>
      <c r="B718" s="283">
        <v>41828</v>
      </c>
      <c r="C718" s="284">
        <v>1</v>
      </c>
      <c r="D718" s="285" t="s">
        <v>2</v>
      </c>
      <c r="E718" s="285" t="s">
        <v>306</v>
      </c>
      <c r="F718" s="285">
        <v>875</v>
      </c>
      <c r="G718" s="285">
        <v>25</v>
      </c>
      <c r="H718" s="339" t="s">
        <v>1406</v>
      </c>
      <c r="I718" s="285">
        <v>57</v>
      </c>
      <c r="J718" s="285"/>
      <c r="K718" s="285" t="s">
        <v>364</v>
      </c>
      <c r="L718" s="286">
        <v>0.84513888888888899</v>
      </c>
      <c r="M718" s="287">
        <v>4.5833333333333337E-2</v>
      </c>
      <c r="N718" s="339" t="s">
        <v>510</v>
      </c>
      <c r="O718" s="286" t="s">
        <v>1532</v>
      </c>
      <c r="P718" s="289"/>
      <c r="Q718" s="289" t="s">
        <v>2554</v>
      </c>
      <c r="R718" s="290" t="s">
        <v>2604</v>
      </c>
      <c r="S718" s="494">
        <f t="shared" si="23"/>
        <v>2.7083332999999999E-3</v>
      </c>
      <c r="T718" s="495">
        <f>IFERROR(VLOOKUP(F718,'Freq-Chan'!C:D,2,FALSE),"x")</f>
        <v>151.875</v>
      </c>
      <c r="U718" s="493" t="s">
        <v>541</v>
      </c>
      <c r="V718" s="493" t="str">
        <f t="shared" si="24"/>
        <v>FWL</v>
      </c>
      <c r="W718" s="493" t="s">
        <v>541</v>
      </c>
      <c r="X718" s="493" t="s">
        <v>541</v>
      </c>
      <c r="Y718" s="493" t="str">
        <f>IFERROR(VLOOKUP(F718,'Freq-Chan'!C:E,3,FALSE),"na")</f>
        <v>F1845</v>
      </c>
      <c r="Z718" s="493" t="s">
        <v>541</v>
      </c>
      <c r="AA718" s="493" t="s">
        <v>541</v>
      </c>
      <c r="AB718" s="493" t="s">
        <v>541</v>
      </c>
      <c r="AC718" s="291" t="s">
        <v>541</v>
      </c>
      <c r="AD718" s="291" t="s">
        <v>541</v>
      </c>
    </row>
    <row r="719" spans="1:30" x14ac:dyDescent="0.2">
      <c r="A719" s="110">
        <v>718</v>
      </c>
      <c r="B719" s="132">
        <v>41828</v>
      </c>
      <c r="C719" s="117">
        <v>2</v>
      </c>
      <c r="D719" s="103" t="s">
        <v>88</v>
      </c>
      <c r="E719" s="103" t="s">
        <v>798</v>
      </c>
      <c r="H719" s="103"/>
      <c r="J719" s="103">
        <v>28</v>
      </c>
      <c r="K719" s="103" t="s">
        <v>364</v>
      </c>
      <c r="L719" s="133"/>
      <c r="M719" s="134">
        <v>1.9444444444444445E-2</v>
      </c>
      <c r="N719" s="137" t="s">
        <v>396</v>
      </c>
      <c r="O719" s="133" t="s">
        <v>1875</v>
      </c>
      <c r="Q719" s="100" t="s">
        <v>2550</v>
      </c>
      <c r="R719" s="226" t="s">
        <v>2604</v>
      </c>
      <c r="S719" s="491" t="str">
        <f t="shared" si="23"/>
        <v>x</v>
      </c>
      <c r="T719" s="492" t="str">
        <f>IFERROR(VLOOKUP(F719,'Freq-Chan'!C:D,2,FALSE),"x")</f>
        <v>x</v>
      </c>
      <c r="U719" s="110" t="s">
        <v>541</v>
      </c>
      <c r="V719" s="110" t="str">
        <f t="shared" si="24"/>
        <v>FWL</v>
      </c>
      <c r="W719" s="110" t="s">
        <v>541</v>
      </c>
      <c r="X719" s="110" t="s">
        <v>541</v>
      </c>
      <c r="Y719" s="110" t="str">
        <f>IFERROR(VLOOKUP(F719,'Freq-Chan'!C:E,3,FALSE),"na")</f>
        <v>na</v>
      </c>
      <c r="Z719" s="110" t="s">
        <v>541</v>
      </c>
      <c r="AA719" s="110" t="s">
        <v>541</v>
      </c>
      <c r="AB719" s="110" t="s">
        <v>541</v>
      </c>
      <c r="AC719" s="10" t="s">
        <v>541</v>
      </c>
      <c r="AD719" s="10" t="s">
        <v>541</v>
      </c>
    </row>
    <row r="720" spans="1:30" x14ac:dyDescent="0.2">
      <c r="A720" s="110">
        <v>719</v>
      </c>
      <c r="B720" s="132">
        <v>41828</v>
      </c>
      <c r="C720" s="117">
        <v>2</v>
      </c>
      <c r="D720" s="103" t="s">
        <v>2</v>
      </c>
      <c r="E720" s="103" t="s">
        <v>306</v>
      </c>
      <c r="F720" s="103">
        <v>875</v>
      </c>
      <c r="G720" s="103">
        <v>17</v>
      </c>
      <c r="H720" s="137" t="s">
        <v>1392</v>
      </c>
      <c r="I720" s="103">
        <v>53</v>
      </c>
      <c r="K720" s="103" t="s">
        <v>364</v>
      </c>
      <c r="L720" s="136"/>
      <c r="M720" s="134">
        <v>5.5555555555555552E-2</v>
      </c>
      <c r="N720" s="135" t="s">
        <v>879</v>
      </c>
      <c r="O720" s="133" t="s">
        <v>1888</v>
      </c>
      <c r="Q720" s="100" t="s">
        <v>2560</v>
      </c>
      <c r="R720" s="226" t="s">
        <v>2604</v>
      </c>
      <c r="S720" s="491" t="str">
        <f t="shared" si="23"/>
        <v>x</v>
      </c>
      <c r="T720" s="492">
        <f>IFERROR(VLOOKUP(F720,'Freq-Chan'!C:D,2,FALSE),"x")</f>
        <v>151.875</v>
      </c>
      <c r="U720" s="110" t="s">
        <v>541</v>
      </c>
      <c r="V720" s="110" t="str">
        <f t="shared" si="24"/>
        <v>FWL</v>
      </c>
      <c r="W720" s="110" t="s">
        <v>541</v>
      </c>
      <c r="X720" s="110" t="s">
        <v>541</v>
      </c>
      <c r="Y720" s="110" t="str">
        <f>IFERROR(VLOOKUP(F720,'Freq-Chan'!C:E,3,FALSE),"na")</f>
        <v>F1845</v>
      </c>
      <c r="Z720" s="110" t="s">
        <v>541</v>
      </c>
      <c r="AA720" s="110" t="s">
        <v>541</v>
      </c>
      <c r="AB720" s="110" t="s">
        <v>541</v>
      </c>
      <c r="AC720" s="10" t="s">
        <v>541</v>
      </c>
      <c r="AD720" s="10" t="s">
        <v>541</v>
      </c>
    </row>
    <row r="721" spans="1:30" x14ac:dyDescent="0.2">
      <c r="A721" s="110">
        <v>720</v>
      </c>
      <c r="B721" s="132">
        <v>41828</v>
      </c>
      <c r="C721" s="117">
        <v>2</v>
      </c>
      <c r="D721" s="103" t="s">
        <v>2</v>
      </c>
      <c r="E721" s="103" t="s">
        <v>306</v>
      </c>
      <c r="F721" s="103">
        <v>364</v>
      </c>
      <c r="G721" s="103">
        <v>15</v>
      </c>
      <c r="H721" s="137" t="s">
        <v>1397</v>
      </c>
      <c r="I721" s="103">
        <v>64</v>
      </c>
      <c r="K721" s="103" t="s">
        <v>364</v>
      </c>
      <c r="L721" s="133">
        <v>0.77013888888888893</v>
      </c>
      <c r="M721" s="134">
        <v>5.486111111111111E-2</v>
      </c>
      <c r="N721" s="135" t="s">
        <v>2561</v>
      </c>
      <c r="O721" s="133" t="s">
        <v>1663</v>
      </c>
      <c r="P721" s="100" t="s">
        <v>2562</v>
      </c>
      <c r="Q721" s="100" t="s">
        <v>2560</v>
      </c>
      <c r="R721" s="226" t="s">
        <v>2604</v>
      </c>
      <c r="S721" s="491">
        <f t="shared" si="23"/>
        <v>4.6412036999999998E-3</v>
      </c>
      <c r="T721" s="492">
        <f>IFERROR(VLOOKUP(F721,'Freq-Chan'!C:D,2,FALSE),"x")</f>
        <v>151.364</v>
      </c>
      <c r="U721" s="110" t="s">
        <v>541</v>
      </c>
      <c r="V721" s="110" t="str">
        <f t="shared" si="24"/>
        <v>FWL</v>
      </c>
      <c r="W721" s="110" t="s">
        <v>541</v>
      </c>
      <c r="X721" s="110" t="s">
        <v>541</v>
      </c>
      <c r="Y721" s="110" t="str">
        <f>IFERROR(VLOOKUP(F721,'Freq-Chan'!C:E,3,FALSE),"na")</f>
        <v>F1845</v>
      </c>
      <c r="Z721" s="110" t="s">
        <v>541</v>
      </c>
      <c r="AA721" s="110" t="s">
        <v>541</v>
      </c>
      <c r="AB721" s="110" t="s">
        <v>541</v>
      </c>
      <c r="AC721" s="10" t="s">
        <v>541</v>
      </c>
      <c r="AD721" s="10" t="s">
        <v>541</v>
      </c>
    </row>
    <row r="722" spans="1:30" s="291" customFormat="1" x14ac:dyDescent="0.2">
      <c r="A722" s="493">
        <v>721</v>
      </c>
      <c r="B722" s="283">
        <v>41828</v>
      </c>
      <c r="C722" s="284">
        <v>2</v>
      </c>
      <c r="D722" s="285" t="s">
        <v>2</v>
      </c>
      <c r="E722" s="285" t="s">
        <v>306</v>
      </c>
      <c r="F722" s="285">
        <v>875</v>
      </c>
      <c r="G722" s="285">
        <v>44</v>
      </c>
      <c r="H722" s="339" t="s">
        <v>1407</v>
      </c>
      <c r="I722" s="285">
        <v>93</v>
      </c>
      <c r="J722" s="285"/>
      <c r="K722" s="285" t="s">
        <v>364</v>
      </c>
      <c r="L722" s="286"/>
      <c r="M722" s="287">
        <v>9.4444444444444442E-2</v>
      </c>
      <c r="N722" s="339" t="s">
        <v>2563</v>
      </c>
      <c r="O722" s="286" t="s">
        <v>804</v>
      </c>
      <c r="P722" s="289"/>
      <c r="Q722" s="289" t="s">
        <v>2554</v>
      </c>
      <c r="R722" s="290" t="s">
        <v>2604</v>
      </c>
      <c r="S722" s="494" t="str">
        <f t="shared" si="23"/>
        <v>x</v>
      </c>
      <c r="T722" s="495">
        <f>IFERROR(VLOOKUP(F722,'Freq-Chan'!C:D,2,FALSE),"x")</f>
        <v>151.875</v>
      </c>
      <c r="U722" s="493" t="s">
        <v>541</v>
      </c>
      <c r="V722" s="493" t="str">
        <f t="shared" si="24"/>
        <v>FWL</v>
      </c>
      <c r="W722" s="493" t="s">
        <v>541</v>
      </c>
      <c r="X722" s="493" t="s">
        <v>541</v>
      </c>
      <c r="Y722" s="493" t="str">
        <f>IFERROR(VLOOKUP(F722,'Freq-Chan'!C:E,3,FALSE),"na")</f>
        <v>F1845</v>
      </c>
      <c r="Z722" s="493" t="s">
        <v>541</v>
      </c>
      <c r="AA722" s="493" t="s">
        <v>541</v>
      </c>
      <c r="AB722" s="493" t="s">
        <v>541</v>
      </c>
      <c r="AC722" s="291" t="s">
        <v>541</v>
      </c>
      <c r="AD722" s="291" t="s">
        <v>541</v>
      </c>
    </row>
    <row r="723" spans="1:30" x14ac:dyDescent="0.2">
      <c r="A723" s="110">
        <v>722</v>
      </c>
      <c r="B723" s="132">
        <v>41828</v>
      </c>
      <c r="C723" s="117">
        <v>3</v>
      </c>
      <c r="D723" s="103" t="s">
        <v>2</v>
      </c>
      <c r="E723" s="103" t="s">
        <v>306</v>
      </c>
      <c r="F723" s="103">
        <v>364</v>
      </c>
      <c r="G723" s="103">
        <v>18</v>
      </c>
      <c r="H723" s="137" t="s">
        <v>1403</v>
      </c>
      <c r="I723" s="103">
        <v>81</v>
      </c>
      <c r="K723" s="103" t="s">
        <v>364</v>
      </c>
      <c r="L723" s="133">
        <v>0.36874999999999997</v>
      </c>
      <c r="M723" s="134">
        <v>4.7916666666666663E-2</v>
      </c>
      <c r="N723" s="137" t="s">
        <v>2047</v>
      </c>
      <c r="O723" s="133" t="s">
        <v>803</v>
      </c>
      <c r="Q723" s="100" t="s">
        <v>2551</v>
      </c>
      <c r="R723" s="226" t="s">
        <v>2604</v>
      </c>
      <c r="S723" s="491">
        <f t="shared" si="23"/>
        <v>2.6736110999999998E-3</v>
      </c>
      <c r="T723" s="492">
        <f>IFERROR(VLOOKUP(F723,'Freq-Chan'!C:D,2,FALSE),"x")</f>
        <v>151.364</v>
      </c>
      <c r="U723" s="110" t="s">
        <v>541</v>
      </c>
      <c r="V723" s="110" t="str">
        <f t="shared" si="24"/>
        <v>FWL</v>
      </c>
      <c r="W723" s="110" t="s">
        <v>541</v>
      </c>
      <c r="X723" s="110" t="s">
        <v>541</v>
      </c>
      <c r="Y723" s="110" t="str">
        <f>IFERROR(VLOOKUP(F723,'Freq-Chan'!C:E,3,FALSE),"na")</f>
        <v>F1845</v>
      </c>
      <c r="Z723" s="110" t="s">
        <v>541</v>
      </c>
      <c r="AA723" s="110" t="s">
        <v>541</v>
      </c>
      <c r="AB723" s="110" t="s">
        <v>541</v>
      </c>
      <c r="AC723" s="10" t="s">
        <v>541</v>
      </c>
      <c r="AD723" s="10" t="s">
        <v>541</v>
      </c>
    </row>
    <row r="724" spans="1:30" x14ac:dyDescent="0.2">
      <c r="A724" s="110">
        <v>723</v>
      </c>
      <c r="B724" s="132">
        <v>41828</v>
      </c>
      <c r="C724" s="117">
        <v>3</v>
      </c>
      <c r="D724" s="103" t="s">
        <v>2</v>
      </c>
      <c r="E724" s="103" t="s">
        <v>306</v>
      </c>
      <c r="F724" s="103">
        <v>875</v>
      </c>
      <c r="G724" s="103">
        <v>40</v>
      </c>
      <c r="H724" s="137" t="s">
        <v>1404</v>
      </c>
      <c r="I724" s="103">
        <v>82</v>
      </c>
      <c r="K724" s="103" t="s">
        <v>364</v>
      </c>
      <c r="L724" s="133"/>
      <c r="M724" s="134">
        <v>6.8749999999999992E-2</v>
      </c>
      <c r="N724" s="137" t="s">
        <v>842</v>
      </c>
      <c r="O724" s="133" t="s">
        <v>376</v>
      </c>
      <c r="P724" s="100" t="s">
        <v>2564</v>
      </c>
      <c r="Q724" s="100" t="s">
        <v>2560</v>
      </c>
      <c r="R724" s="226" t="s">
        <v>2604</v>
      </c>
      <c r="S724" s="491" t="str">
        <f t="shared" si="23"/>
        <v>x</v>
      </c>
      <c r="T724" s="492">
        <f>IFERROR(VLOOKUP(F724,'Freq-Chan'!C:D,2,FALSE),"x")</f>
        <v>151.875</v>
      </c>
      <c r="U724" s="110" t="s">
        <v>541</v>
      </c>
      <c r="V724" s="110" t="str">
        <f t="shared" si="24"/>
        <v>FWL</v>
      </c>
      <c r="W724" s="110" t="s">
        <v>541</v>
      </c>
      <c r="X724" s="110" t="s">
        <v>541</v>
      </c>
      <c r="Y724" s="110" t="str">
        <f>IFERROR(VLOOKUP(F724,'Freq-Chan'!C:E,3,FALSE),"na")</f>
        <v>F1845</v>
      </c>
      <c r="Z724" s="110" t="s">
        <v>541</v>
      </c>
      <c r="AA724" s="110" t="s">
        <v>541</v>
      </c>
      <c r="AB724" s="110" t="s">
        <v>541</v>
      </c>
      <c r="AC724" s="10" t="s">
        <v>541</v>
      </c>
      <c r="AD724" s="10" t="s">
        <v>541</v>
      </c>
    </row>
    <row r="725" spans="1:30" x14ac:dyDescent="0.2">
      <c r="A725" s="110">
        <v>724</v>
      </c>
      <c r="B725" s="132">
        <v>41828</v>
      </c>
      <c r="C725" s="117">
        <v>3</v>
      </c>
      <c r="D725" s="103" t="s">
        <v>2</v>
      </c>
      <c r="E725" s="103" t="s">
        <v>306</v>
      </c>
      <c r="F725" s="103">
        <v>364</v>
      </c>
      <c r="G725" s="103">
        <v>75</v>
      </c>
      <c r="H725" s="137" t="s">
        <v>1411</v>
      </c>
      <c r="I725" s="103">
        <v>55</v>
      </c>
      <c r="K725" s="103" t="s">
        <v>364</v>
      </c>
      <c r="L725" s="133">
        <v>0.6430555555555556</v>
      </c>
      <c r="M725" s="134">
        <v>4.1666666666666664E-2</v>
      </c>
      <c r="N725" s="137" t="s">
        <v>383</v>
      </c>
      <c r="O725" s="133" t="s">
        <v>803</v>
      </c>
      <c r="Q725" s="100" t="s">
        <v>2547</v>
      </c>
      <c r="R725" s="226" t="s">
        <v>2604</v>
      </c>
      <c r="S725" s="491">
        <f t="shared" si="23"/>
        <v>3.4722222000000001E-3</v>
      </c>
      <c r="T725" s="492">
        <f>IFERROR(VLOOKUP(F725,'Freq-Chan'!C:D,2,FALSE),"x")</f>
        <v>151.364</v>
      </c>
      <c r="U725" s="110" t="s">
        <v>541</v>
      </c>
      <c r="V725" s="110" t="str">
        <f t="shared" si="24"/>
        <v>FWL</v>
      </c>
      <c r="W725" s="110" t="s">
        <v>541</v>
      </c>
      <c r="X725" s="110" t="s">
        <v>541</v>
      </c>
      <c r="Y725" s="110" t="str">
        <f>IFERROR(VLOOKUP(F725,'Freq-Chan'!C:E,3,FALSE),"na")</f>
        <v>F1845</v>
      </c>
      <c r="Z725" s="110" t="s">
        <v>541</v>
      </c>
      <c r="AA725" s="110" t="s">
        <v>541</v>
      </c>
      <c r="AB725" s="110" t="s">
        <v>541</v>
      </c>
      <c r="AC725" s="10" t="s">
        <v>541</v>
      </c>
      <c r="AD725" s="10" t="s">
        <v>541</v>
      </c>
    </row>
    <row r="726" spans="1:30" x14ac:dyDescent="0.2">
      <c r="A726" s="110">
        <v>725</v>
      </c>
      <c r="B726" s="132">
        <v>41828</v>
      </c>
      <c r="C726" s="117">
        <v>3</v>
      </c>
      <c r="D726" s="103" t="s">
        <v>75</v>
      </c>
      <c r="E726" s="103" t="s">
        <v>798</v>
      </c>
      <c r="H726" s="103"/>
      <c r="J726" s="103">
        <v>21</v>
      </c>
      <c r="K726" s="103" t="s">
        <v>364</v>
      </c>
      <c r="L726" s="133"/>
      <c r="M726" s="134">
        <v>2.4305555555555556E-2</v>
      </c>
      <c r="N726" s="137" t="s">
        <v>2055</v>
      </c>
      <c r="O726" s="133" t="s">
        <v>802</v>
      </c>
      <c r="Q726" s="100" t="s">
        <v>2547</v>
      </c>
      <c r="R726" s="226" t="s">
        <v>2604</v>
      </c>
      <c r="S726" s="491" t="str">
        <f t="shared" si="23"/>
        <v>x</v>
      </c>
      <c r="T726" s="492" t="str">
        <f>IFERROR(VLOOKUP(F726,'Freq-Chan'!C:D,2,FALSE),"x")</f>
        <v>x</v>
      </c>
      <c r="U726" s="110" t="s">
        <v>541</v>
      </c>
      <c r="V726" s="110" t="str">
        <f t="shared" si="24"/>
        <v>FWL</v>
      </c>
      <c r="W726" s="110" t="s">
        <v>541</v>
      </c>
      <c r="X726" s="110" t="s">
        <v>541</v>
      </c>
      <c r="Y726" s="110" t="str">
        <f>IFERROR(VLOOKUP(F726,'Freq-Chan'!C:E,3,FALSE),"na")</f>
        <v>na</v>
      </c>
      <c r="Z726" s="110" t="s">
        <v>541</v>
      </c>
      <c r="AA726" s="110" t="s">
        <v>541</v>
      </c>
      <c r="AB726" s="110" t="s">
        <v>541</v>
      </c>
      <c r="AC726" s="10" t="s">
        <v>541</v>
      </c>
      <c r="AD726" s="10" t="s">
        <v>541</v>
      </c>
    </row>
    <row r="727" spans="1:30" x14ac:dyDescent="0.2">
      <c r="A727" s="110">
        <v>726</v>
      </c>
      <c r="B727" s="132">
        <v>41828</v>
      </c>
      <c r="C727" s="117">
        <v>3</v>
      </c>
      <c r="D727" s="103" t="s">
        <v>2</v>
      </c>
      <c r="E727" s="103" t="s">
        <v>306</v>
      </c>
      <c r="F727" s="103">
        <v>875</v>
      </c>
      <c r="G727" s="103">
        <v>6</v>
      </c>
      <c r="H727" s="137" t="s">
        <v>1412</v>
      </c>
      <c r="I727" s="103">
        <v>82</v>
      </c>
      <c r="K727" s="103" t="s">
        <v>364</v>
      </c>
      <c r="L727" s="133">
        <v>0.86319444444444438</v>
      </c>
      <c r="M727" s="134">
        <v>7.5694444444444439E-2</v>
      </c>
      <c r="N727" s="137" t="s">
        <v>2565</v>
      </c>
      <c r="O727" s="133" t="s">
        <v>376</v>
      </c>
      <c r="Q727" s="100" t="s">
        <v>2550</v>
      </c>
      <c r="R727" s="226" t="s">
        <v>2604</v>
      </c>
      <c r="S727" s="491">
        <f t="shared" si="23"/>
        <v>1.5162037000000001E-3</v>
      </c>
      <c r="T727" s="492">
        <f>IFERROR(VLOOKUP(F727,'Freq-Chan'!C:D,2,FALSE),"x")</f>
        <v>151.875</v>
      </c>
      <c r="U727" s="110" t="s">
        <v>541</v>
      </c>
      <c r="V727" s="110" t="str">
        <f t="shared" si="24"/>
        <v>FWL</v>
      </c>
      <c r="W727" s="110" t="s">
        <v>541</v>
      </c>
      <c r="X727" s="110" t="s">
        <v>541</v>
      </c>
      <c r="Y727" s="110" t="str">
        <f>IFERROR(VLOOKUP(F727,'Freq-Chan'!C:E,3,FALSE),"na")</f>
        <v>F1845</v>
      </c>
      <c r="Z727" s="110" t="s">
        <v>541</v>
      </c>
      <c r="AA727" s="110" t="s">
        <v>541</v>
      </c>
      <c r="AB727" s="110" t="s">
        <v>541</v>
      </c>
      <c r="AC727" s="10" t="s">
        <v>541</v>
      </c>
      <c r="AD727" s="10" t="s">
        <v>541</v>
      </c>
    </row>
    <row r="728" spans="1:30" s="291" customFormat="1" x14ac:dyDescent="0.2">
      <c r="A728" s="493">
        <v>727</v>
      </c>
      <c r="B728" s="283">
        <v>41828</v>
      </c>
      <c r="C728" s="284">
        <v>3</v>
      </c>
      <c r="D728" s="285" t="s">
        <v>2</v>
      </c>
      <c r="E728" s="285" t="s">
        <v>306</v>
      </c>
      <c r="F728" s="285">
        <v>364</v>
      </c>
      <c r="G728" s="285">
        <v>26</v>
      </c>
      <c r="H728" s="339" t="s">
        <v>1413</v>
      </c>
      <c r="I728" s="285">
        <v>83</v>
      </c>
      <c r="J728" s="285"/>
      <c r="K728" s="285" t="s">
        <v>365</v>
      </c>
      <c r="L728" s="286">
        <v>0.8930555555555556</v>
      </c>
      <c r="M728" s="287">
        <v>9.930555555555555E-2</v>
      </c>
      <c r="N728" s="339" t="s">
        <v>2566</v>
      </c>
      <c r="O728" s="286" t="s">
        <v>1875</v>
      </c>
      <c r="P728" s="289"/>
      <c r="Q728" s="289" t="s">
        <v>2550</v>
      </c>
      <c r="R728" s="290" t="s">
        <v>2604</v>
      </c>
      <c r="S728" s="494">
        <f t="shared" si="23"/>
        <v>3.9004629999999998E-3</v>
      </c>
      <c r="T728" s="495">
        <f>IFERROR(VLOOKUP(F728,'Freq-Chan'!C:D,2,FALSE),"x")</f>
        <v>151.364</v>
      </c>
      <c r="U728" s="493" t="s">
        <v>541</v>
      </c>
      <c r="V728" s="493" t="str">
        <f t="shared" si="24"/>
        <v>FWL</v>
      </c>
      <c r="W728" s="493" t="s">
        <v>541</v>
      </c>
      <c r="X728" s="493" t="s">
        <v>541</v>
      </c>
      <c r="Y728" s="493" t="str">
        <f>IFERROR(VLOOKUP(F728,'Freq-Chan'!C:E,3,FALSE),"na")</f>
        <v>F1845</v>
      </c>
      <c r="Z728" s="493" t="s">
        <v>541</v>
      </c>
      <c r="AA728" s="493" t="s">
        <v>541</v>
      </c>
      <c r="AB728" s="493" t="s">
        <v>541</v>
      </c>
      <c r="AC728" s="291" t="s">
        <v>541</v>
      </c>
      <c r="AD728" s="291" t="s">
        <v>541</v>
      </c>
    </row>
    <row r="729" spans="1:30" x14ac:dyDescent="0.2">
      <c r="A729" s="110">
        <v>728</v>
      </c>
      <c r="B729" s="132">
        <v>41829</v>
      </c>
      <c r="C729" s="117">
        <v>1</v>
      </c>
      <c r="D729" s="103" t="s">
        <v>2</v>
      </c>
      <c r="E729" s="103" t="s">
        <v>306</v>
      </c>
      <c r="F729" s="103">
        <v>364</v>
      </c>
      <c r="G729" s="103">
        <v>32</v>
      </c>
      <c r="H729" s="137" t="s">
        <v>1408</v>
      </c>
      <c r="I729" s="103">
        <v>96</v>
      </c>
      <c r="K729" s="103" t="s">
        <v>364</v>
      </c>
      <c r="L729" s="133"/>
      <c r="M729" s="134">
        <v>9.7916666666666666E-2</v>
      </c>
      <c r="N729" s="135" t="s">
        <v>2582</v>
      </c>
      <c r="O729" s="133" t="s">
        <v>1663</v>
      </c>
      <c r="P729" s="100" t="s">
        <v>1786</v>
      </c>
      <c r="Q729" s="100" t="s">
        <v>2567</v>
      </c>
      <c r="R729" s="226" t="s">
        <v>2604</v>
      </c>
      <c r="S729" s="491" t="str">
        <f t="shared" si="23"/>
        <v>x</v>
      </c>
      <c r="T729" s="492">
        <f>IFERROR(VLOOKUP(F729,'Freq-Chan'!C:D,2,FALSE),"x")</f>
        <v>151.364</v>
      </c>
      <c r="U729" s="110" t="s">
        <v>541</v>
      </c>
      <c r="V729" s="110" t="str">
        <f t="shared" si="24"/>
        <v>FWL</v>
      </c>
      <c r="W729" s="110" t="s">
        <v>541</v>
      </c>
      <c r="X729" s="110" t="s">
        <v>541</v>
      </c>
      <c r="Y729" s="110" t="str">
        <f>IFERROR(VLOOKUP(F729,'Freq-Chan'!C:E,3,FALSE),"na")</f>
        <v>F1845</v>
      </c>
      <c r="Z729" s="110" t="s">
        <v>541</v>
      </c>
      <c r="AA729" s="110" t="s">
        <v>541</v>
      </c>
      <c r="AB729" s="110" t="s">
        <v>541</v>
      </c>
      <c r="AC729" s="10" t="s">
        <v>541</v>
      </c>
      <c r="AD729" s="10" t="s">
        <v>541</v>
      </c>
    </row>
    <row r="730" spans="1:30" x14ac:dyDescent="0.2">
      <c r="A730" s="110">
        <v>729</v>
      </c>
      <c r="B730" s="132">
        <v>41829</v>
      </c>
      <c r="C730" s="117">
        <v>1</v>
      </c>
      <c r="D730" s="103" t="s">
        <v>90</v>
      </c>
      <c r="E730" s="103" t="s">
        <v>798</v>
      </c>
      <c r="H730" s="103"/>
      <c r="J730" s="103">
        <v>23</v>
      </c>
      <c r="K730" s="103" t="s">
        <v>364</v>
      </c>
      <c r="L730" s="133"/>
      <c r="M730" s="134">
        <v>4.5833333333333337E-2</v>
      </c>
      <c r="N730" s="137" t="s">
        <v>1630</v>
      </c>
      <c r="O730" s="133" t="s">
        <v>802</v>
      </c>
      <c r="Q730" s="100" t="s">
        <v>2567</v>
      </c>
      <c r="R730" s="226" t="s">
        <v>2604</v>
      </c>
      <c r="S730" s="491" t="str">
        <f t="shared" si="23"/>
        <v>x</v>
      </c>
      <c r="T730" s="492" t="str">
        <f>IFERROR(VLOOKUP(F730,'Freq-Chan'!C:D,2,FALSE),"x")</f>
        <v>x</v>
      </c>
      <c r="U730" s="110" t="s">
        <v>541</v>
      </c>
      <c r="V730" s="110" t="str">
        <f t="shared" si="24"/>
        <v>FWL</v>
      </c>
      <c r="W730" s="110" t="s">
        <v>541</v>
      </c>
      <c r="X730" s="110" t="s">
        <v>541</v>
      </c>
      <c r="Y730" s="110" t="str">
        <f>IFERROR(VLOOKUP(F730,'Freq-Chan'!C:E,3,FALSE),"na")</f>
        <v>na</v>
      </c>
      <c r="Z730" s="110" t="s">
        <v>541</v>
      </c>
      <c r="AA730" s="110" t="s">
        <v>541</v>
      </c>
      <c r="AB730" s="110" t="s">
        <v>541</v>
      </c>
      <c r="AC730" s="10" t="s">
        <v>541</v>
      </c>
      <c r="AD730" s="10" t="s">
        <v>541</v>
      </c>
    </row>
    <row r="731" spans="1:30" x14ac:dyDescent="0.2">
      <c r="A731" s="110">
        <v>730</v>
      </c>
      <c r="B731" s="132">
        <v>41829</v>
      </c>
      <c r="C731" s="117">
        <v>1</v>
      </c>
      <c r="D731" s="103" t="s">
        <v>2</v>
      </c>
      <c r="E731" s="103" t="s">
        <v>306</v>
      </c>
      <c r="F731" s="103">
        <v>875</v>
      </c>
      <c r="G731" s="103">
        <v>15</v>
      </c>
      <c r="H731" s="137" t="s">
        <v>1410</v>
      </c>
      <c r="I731" s="103">
        <v>89</v>
      </c>
      <c r="K731" s="103" t="s">
        <v>364</v>
      </c>
      <c r="L731" s="133"/>
      <c r="M731" s="134">
        <v>5.9027777777777783E-2</v>
      </c>
      <c r="N731" s="137" t="s">
        <v>2583</v>
      </c>
      <c r="O731" s="133" t="s">
        <v>1663</v>
      </c>
      <c r="P731" s="101"/>
      <c r="Q731" s="100" t="s">
        <v>2567</v>
      </c>
      <c r="R731" s="226" t="s">
        <v>2604</v>
      </c>
      <c r="S731" s="491" t="str">
        <f t="shared" si="23"/>
        <v>x</v>
      </c>
      <c r="T731" s="492">
        <f>IFERROR(VLOOKUP(F731,'Freq-Chan'!C:D,2,FALSE),"x")</f>
        <v>151.875</v>
      </c>
      <c r="U731" s="110" t="s">
        <v>541</v>
      </c>
      <c r="V731" s="110" t="str">
        <f t="shared" si="24"/>
        <v>FWL</v>
      </c>
      <c r="W731" s="110" t="s">
        <v>541</v>
      </c>
      <c r="X731" s="110" t="s">
        <v>541</v>
      </c>
      <c r="Y731" s="110" t="str">
        <f>IFERROR(VLOOKUP(F731,'Freq-Chan'!C:E,3,FALSE),"na")</f>
        <v>F1845</v>
      </c>
      <c r="Z731" s="110" t="s">
        <v>541</v>
      </c>
      <c r="AA731" s="110" t="s">
        <v>541</v>
      </c>
      <c r="AB731" s="110" t="s">
        <v>541</v>
      </c>
      <c r="AC731" s="10" t="s">
        <v>541</v>
      </c>
      <c r="AD731" s="10" t="s">
        <v>541</v>
      </c>
    </row>
    <row r="732" spans="1:30" x14ac:dyDescent="0.2">
      <c r="A732" s="110">
        <v>731</v>
      </c>
      <c r="B732" s="132">
        <v>41829</v>
      </c>
      <c r="C732" s="117">
        <v>1</v>
      </c>
      <c r="D732" s="103" t="s">
        <v>2</v>
      </c>
      <c r="E732" s="103" t="s">
        <v>306</v>
      </c>
      <c r="F732" s="103">
        <v>875</v>
      </c>
      <c r="G732" s="103">
        <v>56</v>
      </c>
      <c r="H732" s="137" t="s">
        <v>1420</v>
      </c>
      <c r="I732" s="103">
        <v>73</v>
      </c>
      <c r="K732" s="103" t="s">
        <v>364</v>
      </c>
      <c r="L732" s="133"/>
      <c r="M732" s="134">
        <v>4.9305555555555554E-2</v>
      </c>
      <c r="N732" s="137" t="s">
        <v>2584</v>
      </c>
      <c r="O732" s="133" t="s">
        <v>802</v>
      </c>
      <c r="Q732" s="100" t="s">
        <v>2567</v>
      </c>
      <c r="R732" s="226" t="s">
        <v>2604</v>
      </c>
      <c r="S732" s="491" t="str">
        <f t="shared" si="23"/>
        <v>x</v>
      </c>
      <c r="T732" s="492">
        <f>IFERROR(VLOOKUP(F732,'Freq-Chan'!C:D,2,FALSE),"x")</f>
        <v>151.875</v>
      </c>
      <c r="U732" s="110" t="s">
        <v>541</v>
      </c>
      <c r="V732" s="110" t="str">
        <f t="shared" si="24"/>
        <v>FWL</v>
      </c>
      <c r="W732" s="110" t="s">
        <v>541</v>
      </c>
      <c r="X732" s="110" t="s">
        <v>541</v>
      </c>
      <c r="Y732" s="110" t="str">
        <f>IFERROR(VLOOKUP(F732,'Freq-Chan'!C:E,3,FALSE),"na")</f>
        <v>F1845</v>
      </c>
      <c r="Z732" s="110" t="s">
        <v>541</v>
      </c>
      <c r="AA732" s="110" t="s">
        <v>541</v>
      </c>
      <c r="AB732" s="110" t="s">
        <v>541</v>
      </c>
      <c r="AC732" s="10" t="s">
        <v>541</v>
      </c>
      <c r="AD732" s="10" t="s">
        <v>541</v>
      </c>
    </row>
    <row r="733" spans="1:30" x14ac:dyDescent="0.2">
      <c r="A733" s="110">
        <v>732</v>
      </c>
      <c r="B733" s="132">
        <v>41829</v>
      </c>
      <c r="C733" s="117">
        <v>1</v>
      </c>
      <c r="D733" s="103" t="s">
        <v>2</v>
      </c>
      <c r="E733" s="103" t="s">
        <v>306</v>
      </c>
      <c r="F733" s="103">
        <v>875</v>
      </c>
      <c r="G733" s="103">
        <v>12</v>
      </c>
      <c r="H733" s="137" t="s">
        <v>1425</v>
      </c>
      <c r="I733" s="103">
        <v>90</v>
      </c>
      <c r="K733" s="103" t="s">
        <v>364</v>
      </c>
      <c r="L733" s="133"/>
      <c r="M733" s="134">
        <v>0.10416666666666667</v>
      </c>
      <c r="N733" s="137" t="s">
        <v>1903</v>
      </c>
      <c r="O733" s="133" t="s">
        <v>1663</v>
      </c>
      <c r="Q733" s="100" t="s">
        <v>2567</v>
      </c>
      <c r="R733" s="226" t="s">
        <v>2604</v>
      </c>
      <c r="S733" s="491" t="str">
        <f t="shared" si="23"/>
        <v>x</v>
      </c>
      <c r="T733" s="492">
        <f>IFERROR(VLOOKUP(F733,'Freq-Chan'!C:D,2,FALSE),"x")</f>
        <v>151.875</v>
      </c>
      <c r="U733" s="110" t="s">
        <v>541</v>
      </c>
      <c r="V733" s="110" t="str">
        <f t="shared" si="24"/>
        <v>FWL</v>
      </c>
      <c r="W733" s="110" t="s">
        <v>541</v>
      </c>
      <c r="X733" s="110" t="s">
        <v>541</v>
      </c>
      <c r="Y733" s="110" t="str">
        <f>IFERROR(VLOOKUP(F733,'Freq-Chan'!C:E,3,FALSE),"na")</f>
        <v>F1845</v>
      </c>
      <c r="Z733" s="110" t="s">
        <v>541</v>
      </c>
      <c r="AA733" s="110" t="s">
        <v>541</v>
      </c>
      <c r="AB733" s="110" t="s">
        <v>541</v>
      </c>
      <c r="AC733" s="10" t="s">
        <v>541</v>
      </c>
      <c r="AD733" s="10" t="s">
        <v>541</v>
      </c>
    </row>
    <row r="734" spans="1:30" x14ac:dyDescent="0.2">
      <c r="A734" s="110">
        <v>733</v>
      </c>
      <c r="B734" s="132">
        <v>41829</v>
      </c>
      <c r="C734" s="117">
        <v>1</v>
      </c>
      <c r="D734" s="103" t="s">
        <v>2</v>
      </c>
      <c r="E734" s="103" t="s">
        <v>306</v>
      </c>
      <c r="F734" s="103">
        <v>875</v>
      </c>
      <c r="G734" s="103">
        <v>30</v>
      </c>
      <c r="H734" s="137" t="s">
        <v>1427</v>
      </c>
      <c r="I734" s="103">
        <v>78</v>
      </c>
      <c r="K734" s="103" t="s">
        <v>364</v>
      </c>
      <c r="L734" s="133"/>
      <c r="M734" s="134">
        <v>5.2083333333333336E-2</v>
      </c>
      <c r="N734" s="137" t="s">
        <v>1911</v>
      </c>
      <c r="O734" s="133" t="s">
        <v>1532</v>
      </c>
      <c r="Q734" s="100" t="s">
        <v>2585</v>
      </c>
      <c r="R734" s="226" t="s">
        <v>2604</v>
      </c>
      <c r="S734" s="491" t="str">
        <f t="shared" si="23"/>
        <v>x</v>
      </c>
      <c r="T734" s="492">
        <f>IFERROR(VLOOKUP(F734,'Freq-Chan'!C:D,2,FALSE),"x")</f>
        <v>151.875</v>
      </c>
      <c r="U734" s="110" t="s">
        <v>541</v>
      </c>
      <c r="V734" s="110" t="str">
        <f t="shared" si="24"/>
        <v>FWL</v>
      </c>
      <c r="W734" s="110" t="s">
        <v>541</v>
      </c>
      <c r="X734" s="110" t="s">
        <v>541</v>
      </c>
      <c r="Y734" s="110" t="str">
        <f>IFERROR(VLOOKUP(F734,'Freq-Chan'!C:E,3,FALSE),"na")</f>
        <v>F1845</v>
      </c>
      <c r="Z734" s="110" t="s">
        <v>541</v>
      </c>
      <c r="AA734" s="110" t="s">
        <v>541</v>
      </c>
      <c r="AB734" s="110" t="s">
        <v>541</v>
      </c>
      <c r="AC734" s="10" t="s">
        <v>541</v>
      </c>
      <c r="AD734" s="10" t="s">
        <v>541</v>
      </c>
    </row>
    <row r="735" spans="1:30" x14ac:dyDescent="0.2">
      <c r="A735" s="110">
        <v>734</v>
      </c>
      <c r="B735" s="132">
        <v>41829</v>
      </c>
      <c r="C735" s="117">
        <v>1</v>
      </c>
      <c r="D735" s="103" t="s">
        <v>2</v>
      </c>
      <c r="E735" s="103" t="s">
        <v>306</v>
      </c>
      <c r="F735" s="103">
        <v>364</v>
      </c>
      <c r="G735" s="103">
        <v>38</v>
      </c>
      <c r="H735" s="137" t="s">
        <v>1428</v>
      </c>
      <c r="I735" s="103">
        <v>96</v>
      </c>
      <c r="K735" s="103" t="s">
        <v>364</v>
      </c>
      <c r="L735" s="133"/>
      <c r="M735" s="134">
        <v>6.25E-2</v>
      </c>
      <c r="N735" s="137" t="s">
        <v>1665</v>
      </c>
      <c r="O735" s="133" t="s">
        <v>1888</v>
      </c>
      <c r="Q735" s="100" t="s">
        <v>2573</v>
      </c>
      <c r="R735" s="226" t="s">
        <v>2604</v>
      </c>
      <c r="S735" s="491" t="str">
        <f t="shared" si="23"/>
        <v>x</v>
      </c>
      <c r="T735" s="492">
        <f>IFERROR(VLOOKUP(F735,'Freq-Chan'!C:D,2,FALSE),"x")</f>
        <v>151.364</v>
      </c>
      <c r="U735" s="110" t="s">
        <v>541</v>
      </c>
      <c r="V735" s="110" t="str">
        <f t="shared" si="24"/>
        <v>FWL</v>
      </c>
      <c r="W735" s="110" t="s">
        <v>541</v>
      </c>
      <c r="X735" s="110" t="s">
        <v>541</v>
      </c>
      <c r="Y735" s="110" t="str">
        <f>IFERROR(VLOOKUP(F735,'Freq-Chan'!C:E,3,FALSE),"na")</f>
        <v>F1845</v>
      </c>
      <c r="Z735" s="110" t="s">
        <v>541</v>
      </c>
      <c r="AA735" s="110" t="s">
        <v>541</v>
      </c>
      <c r="AB735" s="110" t="s">
        <v>541</v>
      </c>
      <c r="AC735" s="10" t="s">
        <v>541</v>
      </c>
      <c r="AD735" s="10" t="s">
        <v>541</v>
      </c>
    </row>
    <row r="736" spans="1:30" x14ac:dyDescent="0.2">
      <c r="A736" s="110">
        <v>735</v>
      </c>
      <c r="B736" s="132">
        <v>41829</v>
      </c>
      <c r="C736" s="117">
        <v>1</v>
      </c>
      <c r="D736" s="103" t="s">
        <v>2</v>
      </c>
      <c r="E736" s="103" t="s">
        <v>306</v>
      </c>
      <c r="F736" s="103">
        <v>364</v>
      </c>
      <c r="G736" s="103">
        <v>42</v>
      </c>
      <c r="H736" s="137" t="s">
        <v>1429</v>
      </c>
      <c r="I736" s="103">
        <v>54</v>
      </c>
      <c r="K736" s="103" t="s">
        <v>364</v>
      </c>
      <c r="L736" s="133"/>
      <c r="M736" s="134">
        <v>3.888888888888889E-2</v>
      </c>
      <c r="N736" s="137" t="s">
        <v>1667</v>
      </c>
      <c r="O736" s="133" t="s">
        <v>1663</v>
      </c>
      <c r="Q736" s="100" t="s">
        <v>2573</v>
      </c>
      <c r="R736" s="226" t="s">
        <v>2604</v>
      </c>
      <c r="S736" s="491" t="str">
        <f t="shared" si="23"/>
        <v>x</v>
      </c>
      <c r="T736" s="492">
        <f>IFERROR(VLOOKUP(F736,'Freq-Chan'!C:D,2,FALSE),"x")</f>
        <v>151.364</v>
      </c>
      <c r="U736" s="110" t="s">
        <v>541</v>
      </c>
      <c r="V736" s="110" t="str">
        <f t="shared" si="24"/>
        <v>FWL</v>
      </c>
      <c r="W736" s="110" t="s">
        <v>541</v>
      </c>
      <c r="X736" s="110" t="s">
        <v>541</v>
      </c>
      <c r="Y736" s="110" t="str">
        <f>IFERROR(VLOOKUP(F736,'Freq-Chan'!C:E,3,FALSE),"na")</f>
        <v>F1845</v>
      </c>
      <c r="Z736" s="110" t="s">
        <v>541</v>
      </c>
      <c r="AA736" s="110" t="s">
        <v>541</v>
      </c>
      <c r="AB736" s="110" t="s">
        <v>541</v>
      </c>
      <c r="AC736" s="10" t="s">
        <v>541</v>
      </c>
      <c r="AD736" s="10" t="s">
        <v>541</v>
      </c>
    </row>
    <row r="737" spans="1:30" x14ac:dyDescent="0.2">
      <c r="A737" s="110">
        <v>736</v>
      </c>
      <c r="B737" s="132">
        <v>41829</v>
      </c>
      <c r="C737" s="117">
        <v>1</v>
      </c>
      <c r="D737" s="103" t="s">
        <v>2</v>
      </c>
      <c r="E737" s="103" t="s">
        <v>306</v>
      </c>
      <c r="F737" s="103">
        <v>875</v>
      </c>
      <c r="G737" s="103">
        <v>90</v>
      </c>
      <c r="H737" s="137" t="s">
        <v>1430</v>
      </c>
      <c r="I737" s="103">
        <v>56</v>
      </c>
      <c r="K737" s="103" t="s">
        <v>364</v>
      </c>
      <c r="L737" s="133"/>
      <c r="M737" s="134">
        <v>4.027777777777778E-2</v>
      </c>
      <c r="N737" s="137" t="s">
        <v>1805</v>
      </c>
      <c r="O737" s="133" t="s">
        <v>1888</v>
      </c>
      <c r="Q737" s="100" t="s">
        <v>2573</v>
      </c>
      <c r="R737" s="226" t="s">
        <v>2604</v>
      </c>
      <c r="S737" s="491" t="str">
        <f t="shared" si="23"/>
        <v>x</v>
      </c>
      <c r="T737" s="492">
        <f>IFERROR(VLOOKUP(F737,'Freq-Chan'!C:D,2,FALSE),"x")</f>
        <v>151.875</v>
      </c>
      <c r="U737" s="110" t="s">
        <v>541</v>
      </c>
      <c r="V737" s="110" t="str">
        <f t="shared" si="24"/>
        <v>FWL</v>
      </c>
      <c r="W737" s="110" t="s">
        <v>541</v>
      </c>
      <c r="X737" s="110" t="s">
        <v>541</v>
      </c>
      <c r="Y737" s="110" t="str">
        <f>IFERROR(VLOOKUP(F737,'Freq-Chan'!C:E,3,FALSE),"na")</f>
        <v>F1845</v>
      </c>
      <c r="Z737" s="110" t="s">
        <v>541</v>
      </c>
      <c r="AA737" s="110" t="s">
        <v>541</v>
      </c>
      <c r="AB737" s="110" t="s">
        <v>541</v>
      </c>
      <c r="AC737" s="10" t="s">
        <v>541</v>
      </c>
      <c r="AD737" s="10" t="s">
        <v>541</v>
      </c>
    </row>
    <row r="738" spans="1:30" x14ac:dyDescent="0.2">
      <c r="A738" s="110">
        <v>737</v>
      </c>
      <c r="B738" s="132">
        <v>41829</v>
      </c>
      <c r="C738" s="117">
        <v>1</v>
      </c>
      <c r="D738" s="103" t="s">
        <v>177</v>
      </c>
      <c r="E738" s="103" t="s">
        <v>0</v>
      </c>
      <c r="H738" s="103"/>
      <c r="I738" s="103">
        <v>39</v>
      </c>
      <c r="K738" s="103" t="s">
        <v>364</v>
      </c>
      <c r="L738" s="133"/>
      <c r="M738" s="134">
        <v>3.6805555555555557E-2</v>
      </c>
      <c r="N738" s="137" t="s">
        <v>2586</v>
      </c>
      <c r="O738" s="133" t="s">
        <v>804</v>
      </c>
      <c r="P738" s="100" t="s">
        <v>776</v>
      </c>
      <c r="Q738" s="100" t="s">
        <v>2572</v>
      </c>
      <c r="R738" s="226" t="s">
        <v>2604</v>
      </c>
      <c r="S738" s="491" t="str">
        <f t="shared" si="23"/>
        <v>x</v>
      </c>
      <c r="T738" s="492" t="str">
        <f>IFERROR(VLOOKUP(F738,'Freq-Chan'!C:D,2,FALSE),"x")</f>
        <v>x</v>
      </c>
      <c r="U738" s="110" t="s">
        <v>541</v>
      </c>
      <c r="V738" s="110" t="str">
        <f t="shared" si="24"/>
        <v>FWL</v>
      </c>
      <c r="W738" s="110" t="s">
        <v>541</v>
      </c>
      <c r="X738" s="110" t="s">
        <v>541</v>
      </c>
      <c r="Y738" s="110" t="str">
        <f>IFERROR(VLOOKUP(F738,'Freq-Chan'!C:E,3,FALSE),"na")</f>
        <v>na</v>
      </c>
      <c r="Z738" s="110" t="s">
        <v>541</v>
      </c>
      <c r="AA738" s="110" t="s">
        <v>541</v>
      </c>
      <c r="AB738" s="110" t="s">
        <v>541</v>
      </c>
      <c r="AC738" s="10" t="s">
        <v>541</v>
      </c>
      <c r="AD738" s="10" t="s">
        <v>541</v>
      </c>
    </row>
    <row r="739" spans="1:30" s="291" customFormat="1" x14ac:dyDescent="0.2">
      <c r="A739" s="493">
        <v>738</v>
      </c>
      <c r="B739" s="283">
        <v>41829</v>
      </c>
      <c r="C739" s="284">
        <v>1</v>
      </c>
      <c r="D739" s="285" t="s">
        <v>2</v>
      </c>
      <c r="E739" s="285" t="s">
        <v>306</v>
      </c>
      <c r="F739" s="285">
        <v>875</v>
      </c>
      <c r="G739" s="285">
        <v>7</v>
      </c>
      <c r="H739" s="339" t="s">
        <v>1431</v>
      </c>
      <c r="I739" s="285">
        <v>64</v>
      </c>
      <c r="J739" s="285"/>
      <c r="K739" s="285" t="s">
        <v>364</v>
      </c>
      <c r="L739" s="286"/>
      <c r="M739" s="287">
        <v>3.9583333333333331E-2</v>
      </c>
      <c r="N739" s="339" t="s">
        <v>2587</v>
      </c>
      <c r="O739" s="286" t="s">
        <v>804</v>
      </c>
      <c r="P739" s="289"/>
      <c r="Q739" s="289" t="s">
        <v>2572</v>
      </c>
      <c r="R739" s="290" t="s">
        <v>2604</v>
      </c>
      <c r="S739" s="494" t="str">
        <f t="shared" si="23"/>
        <v>x</v>
      </c>
      <c r="T739" s="495">
        <f>IFERROR(VLOOKUP(F739,'Freq-Chan'!C:D,2,FALSE),"x")</f>
        <v>151.875</v>
      </c>
      <c r="U739" s="493" t="s">
        <v>541</v>
      </c>
      <c r="V739" s="493" t="str">
        <f t="shared" si="24"/>
        <v>FWL</v>
      </c>
      <c r="W739" s="493" t="s">
        <v>541</v>
      </c>
      <c r="X739" s="493" t="s">
        <v>541</v>
      </c>
      <c r="Y739" s="493" t="str">
        <f>IFERROR(VLOOKUP(F739,'Freq-Chan'!C:E,3,FALSE),"na")</f>
        <v>F1845</v>
      </c>
      <c r="Z739" s="493" t="s">
        <v>541</v>
      </c>
      <c r="AA739" s="493" t="s">
        <v>541</v>
      </c>
      <c r="AB739" s="493" t="s">
        <v>541</v>
      </c>
      <c r="AC739" s="291" t="s">
        <v>541</v>
      </c>
      <c r="AD739" s="291" t="s">
        <v>541</v>
      </c>
    </row>
    <row r="740" spans="1:30" x14ac:dyDescent="0.2">
      <c r="A740" s="110">
        <v>739</v>
      </c>
      <c r="B740" s="132">
        <v>41829</v>
      </c>
      <c r="C740" s="117">
        <v>2</v>
      </c>
      <c r="D740" s="103" t="s">
        <v>2</v>
      </c>
      <c r="E740" s="103" t="s">
        <v>306</v>
      </c>
      <c r="F740" s="103">
        <v>875</v>
      </c>
      <c r="G740" s="103">
        <v>23</v>
      </c>
      <c r="H740" s="137" t="s">
        <v>1409</v>
      </c>
      <c r="I740" s="103">
        <v>54</v>
      </c>
      <c r="K740" s="103" t="s">
        <v>364</v>
      </c>
      <c r="L740" s="133"/>
      <c r="M740" s="134">
        <v>4.027777777777778E-2</v>
      </c>
      <c r="N740" s="137" t="s">
        <v>1637</v>
      </c>
      <c r="O740" s="133" t="s">
        <v>802</v>
      </c>
      <c r="P740" s="100" t="s">
        <v>1998</v>
      </c>
      <c r="Q740" s="100" t="s">
        <v>2567</v>
      </c>
      <c r="R740" s="226" t="s">
        <v>2604</v>
      </c>
      <c r="S740" s="491" t="str">
        <f t="shared" si="23"/>
        <v>x</v>
      </c>
      <c r="T740" s="492">
        <f>IFERROR(VLOOKUP(F740,'Freq-Chan'!C:D,2,FALSE),"x")</f>
        <v>151.875</v>
      </c>
      <c r="U740" s="110" t="s">
        <v>541</v>
      </c>
      <c r="V740" s="110" t="str">
        <f t="shared" si="24"/>
        <v>FWL</v>
      </c>
      <c r="W740" s="110" t="s">
        <v>541</v>
      </c>
      <c r="X740" s="110" t="s">
        <v>541</v>
      </c>
      <c r="Y740" s="110" t="str">
        <f>IFERROR(VLOOKUP(F740,'Freq-Chan'!C:E,3,FALSE),"na")</f>
        <v>F1845</v>
      </c>
      <c r="Z740" s="110" t="s">
        <v>541</v>
      </c>
      <c r="AA740" s="110" t="s">
        <v>541</v>
      </c>
      <c r="AB740" s="110" t="s">
        <v>541</v>
      </c>
      <c r="AC740" s="10" t="s">
        <v>541</v>
      </c>
      <c r="AD740" s="10" t="s">
        <v>541</v>
      </c>
    </row>
    <row r="741" spans="1:30" x14ac:dyDescent="0.2">
      <c r="A741" s="110">
        <v>740</v>
      </c>
      <c r="B741" s="132">
        <v>41829</v>
      </c>
      <c r="C741" s="117">
        <v>2</v>
      </c>
      <c r="D741" s="103" t="s">
        <v>177</v>
      </c>
      <c r="E741" s="103" t="s">
        <v>0</v>
      </c>
      <c r="H741" s="103"/>
      <c r="I741" s="103">
        <v>31</v>
      </c>
      <c r="K741" s="103" t="s">
        <v>364</v>
      </c>
      <c r="L741" s="133"/>
      <c r="M741" s="134">
        <v>2.4305555555555556E-2</v>
      </c>
      <c r="N741" s="137" t="s">
        <v>1870</v>
      </c>
      <c r="O741" s="133" t="s">
        <v>1663</v>
      </c>
      <c r="Q741" s="100" t="s">
        <v>2567</v>
      </c>
      <c r="R741" s="226" t="s">
        <v>2604</v>
      </c>
      <c r="S741" s="491" t="str">
        <f t="shared" si="23"/>
        <v>x</v>
      </c>
      <c r="T741" s="492" t="str">
        <f>IFERROR(VLOOKUP(F741,'Freq-Chan'!C:D,2,FALSE),"x")</f>
        <v>x</v>
      </c>
      <c r="U741" s="110" t="s">
        <v>541</v>
      </c>
      <c r="V741" s="110" t="str">
        <f t="shared" si="24"/>
        <v>FWL</v>
      </c>
      <c r="W741" s="110" t="s">
        <v>541</v>
      </c>
      <c r="X741" s="110" t="s">
        <v>541</v>
      </c>
      <c r="Y741" s="110" t="str">
        <f>IFERROR(VLOOKUP(F741,'Freq-Chan'!C:E,3,FALSE),"na")</f>
        <v>na</v>
      </c>
      <c r="Z741" s="110" t="s">
        <v>541</v>
      </c>
      <c r="AA741" s="110" t="s">
        <v>541</v>
      </c>
      <c r="AB741" s="110" t="s">
        <v>541</v>
      </c>
      <c r="AC741" s="10" t="s">
        <v>541</v>
      </c>
      <c r="AD741" s="10" t="s">
        <v>541</v>
      </c>
    </row>
    <row r="742" spans="1:30" s="291" customFormat="1" x14ac:dyDescent="0.2">
      <c r="A742" s="493">
        <v>741</v>
      </c>
      <c r="B742" s="283">
        <v>41829</v>
      </c>
      <c r="C742" s="284">
        <v>2</v>
      </c>
      <c r="D742" s="285" t="s">
        <v>2</v>
      </c>
      <c r="E742" s="285" t="s">
        <v>306</v>
      </c>
      <c r="F742" s="285">
        <v>364</v>
      </c>
      <c r="G742" s="285">
        <v>9</v>
      </c>
      <c r="H742" s="339" t="s">
        <v>1426</v>
      </c>
      <c r="I742" s="285">
        <v>85</v>
      </c>
      <c r="J742" s="285"/>
      <c r="K742" s="285" t="s">
        <v>364</v>
      </c>
      <c r="L742" s="286"/>
      <c r="M742" s="287">
        <v>8.1944444444444445E-2</v>
      </c>
      <c r="N742" s="339" t="s">
        <v>2588</v>
      </c>
      <c r="O742" s="286" t="s">
        <v>1532</v>
      </c>
      <c r="P742" s="289"/>
      <c r="Q742" s="289" t="s">
        <v>2572</v>
      </c>
      <c r="R742" s="290" t="s">
        <v>2604</v>
      </c>
      <c r="S742" s="494" t="str">
        <f t="shared" si="23"/>
        <v>x</v>
      </c>
      <c r="T742" s="495">
        <f>IFERROR(VLOOKUP(F742,'Freq-Chan'!C:D,2,FALSE),"x")</f>
        <v>151.364</v>
      </c>
      <c r="U742" s="493" t="s">
        <v>541</v>
      </c>
      <c r="V742" s="493" t="str">
        <f t="shared" si="24"/>
        <v>FWL</v>
      </c>
      <c r="W742" s="493" t="s">
        <v>541</v>
      </c>
      <c r="X742" s="493" t="s">
        <v>541</v>
      </c>
      <c r="Y742" s="493" t="str">
        <f>IFERROR(VLOOKUP(F742,'Freq-Chan'!C:E,3,FALSE),"na")</f>
        <v>F1845</v>
      </c>
      <c r="Z742" s="493" t="s">
        <v>541</v>
      </c>
      <c r="AA742" s="493" t="s">
        <v>541</v>
      </c>
      <c r="AB742" s="493" t="s">
        <v>541</v>
      </c>
      <c r="AC742" s="291" t="s">
        <v>541</v>
      </c>
      <c r="AD742" s="291" t="s">
        <v>541</v>
      </c>
    </row>
    <row r="743" spans="1:30" x14ac:dyDescent="0.2">
      <c r="A743" s="110">
        <v>742</v>
      </c>
      <c r="B743" s="132">
        <v>41829</v>
      </c>
      <c r="C743" s="117">
        <v>3</v>
      </c>
      <c r="D743" s="103" t="s">
        <v>2</v>
      </c>
      <c r="E743" s="103" t="s">
        <v>306</v>
      </c>
      <c r="F743" s="103">
        <v>875</v>
      </c>
      <c r="G743" s="103">
        <v>70</v>
      </c>
      <c r="H743" s="137" t="s">
        <v>1421</v>
      </c>
      <c r="I743" s="103">
        <v>85</v>
      </c>
      <c r="K743" s="103" t="s">
        <v>364</v>
      </c>
      <c r="L743" s="133"/>
      <c r="M743" s="134">
        <v>5.2083333333333336E-2</v>
      </c>
      <c r="N743" s="137" t="s">
        <v>2589</v>
      </c>
      <c r="O743" s="133" t="s">
        <v>1888</v>
      </c>
      <c r="Q743" s="100" t="s">
        <v>2578</v>
      </c>
      <c r="R743" s="226" t="s">
        <v>2604</v>
      </c>
      <c r="S743" s="491" t="str">
        <f t="shared" si="23"/>
        <v>x</v>
      </c>
      <c r="T743" s="492">
        <f>IFERROR(VLOOKUP(F743,'Freq-Chan'!C:D,2,FALSE),"x")</f>
        <v>151.875</v>
      </c>
      <c r="U743" s="110" t="s">
        <v>541</v>
      </c>
      <c r="V743" s="110" t="str">
        <f t="shared" si="24"/>
        <v>FWL</v>
      </c>
      <c r="W743" s="110" t="s">
        <v>541</v>
      </c>
      <c r="X743" s="110" t="s">
        <v>541</v>
      </c>
      <c r="Y743" s="110" t="str">
        <f>IFERROR(VLOOKUP(F743,'Freq-Chan'!C:E,3,FALSE),"na")</f>
        <v>F1845</v>
      </c>
      <c r="Z743" s="110" t="s">
        <v>541</v>
      </c>
      <c r="AA743" s="110" t="s">
        <v>541</v>
      </c>
      <c r="AB743" s="110" t="s">
        <v>541</v>
      </c>
      <c r="AC743" s="10" t="s">
        <v>541</v>
      </c>
      <c r="AD743" s="10" t="s">
        <v>541</v>
      </c>
    </row>
    <row r="744" spans="1:30" x14ac:dyDescent="0.2">
      <c r="A744" s="110">
        <v>743</v>
      </c>
      <c r="B744" s="132">
        <v>41829</v>
      </c>
      <c r="C744" s="117">
        <v>3</v>
      </c>
      <c r="D744" s="103" t="s">
        <v>2</v>
      </c>
      <c r="E744" s="103" t="s">
        <v>306</v>
      </c>
      <c r="F744" s="103">
        <v>364</v>
      </c>
      <c r="G744" s="103">
        <v>28</v>
      </c>
      <c r="H744" s="137" t="s">
        <v>1422</v>
      </c>
      <c r="I744" s="103">
        <v>87</v>
      </c>
      <c r="K744" s="103" t="s">
        <v>364</v>
      </c>
      <c r="L744" s="133">
        <v>0.3444444444444445</v>
      </c>
      <c r="M744" s="134">
        <v>5.9722222222222225E-2</v>
      </c>
      <c r="N744" s="137" t="s">
        <v>2590</v>
      </c>
      <c r="O744" s="133" t="s">
        <v>803</v>
      </c>
      <c r="Q744" s="100" t="s">
        <v>2578</v>
      </c>
      <c r="R744" s="226" t="s">
        <v>2604</v>
      </c>
      <c r="S744" s="491">
        <f t="shared" si="23"/>
        <v>2.4768518999999998E-3</v>
      </c>
      <c r="T744" s="492">
        <f>IFERROR(VLOOKUP(F744,'Freq-Chan'!C:D,2,FALSE),"x")</f>
        <v>151.364</v>
      </c>
      <c r="U744" s="110" t="s">
        <v>541</v>
      </c>
      <c r="V744" s="110" t="str">
        <f t="shared" si="24"/>
        <v>FWL</v>
      </c>
      <c r="W744" s="110" t="s">
        <v>541</v>
      </c>
      <c r="X744" s="110" t="s">
        <v>541</v>
      </c>
      <c r="Y744" s="110" t="str">
        <f>IFERROR(VLOOKUP(F744,'Freq-Chan'!C:E,3,FALSE),"na")</f>
        <v>F1845</v>
      </c>
      <c r="Z744" s="110" t="s">
        <v>541</v>
      </c>
      <c r="AA744" s="110" t="s">
        <v>541</v>
      </c>
      <c r="AB744" s="110" t="s">
        <v>541</v>
      </c>
      <c r="AC744" s="10" t="s">
        <v>541</v>
      </c>
      <c r="AD744" s="10" t="s">
        <v>541</v>
      </c>
    </row>
    <row r="745" spans="1:30" x14ac:dyDescent="0.2">
      <c r="A745" s="110">
        <v>744</v>
      </c>
      <c r="B745" s="132">
        <v>41829</v>
      </c>
      <c r="C745" s="117">
        <v>3</v>
      </c>
      <c r="D745" s="103" t="s">
        <v>2</v>
      </c>
      <c r="E745" s="103" t="s">
        <v>306</v>
      </c>
      <c r="F745" s="103">
        <v>875</v>
      </c>
      <c r="G745" s="103">
        <v>72</v>
      </c>
      <c r="H745" s="137" t="s">
        <v>1423</v>
      </c>
      <c r="I745" s="103">
        <v>57</v>
      </c>
      <c r="K745" s="103" t="s">
        <v>364</v>
      </c>
      <c r="L745" s="133"/>
      <c r="M745" s="134">
        <v>6.8749999999999992E-2</v>
      </c>
      <c r="N745" s="137" t="s">
        <v>2591</v>
      </c>
      <c r="O745" s="133" t="s">
        <v>804</v>
      </c>
      <c r="Q745" s="100" t="s">
        <v>2579</v>
      </c>
      <c r="R745" s="226" t="s">
        <v>2604</v>
      </c>
      <c r="S745" s="491" t="str">
        <f t="shared" si="23"/>
        <v>x</v>
      </c>
      <c r="T745" s="492">
        <f>IFERROR(VLOOKUP(F745,'Freq-Chan'!C:D,2,FALSE),"x")</f>
        <v>151.875</v>
      </c>
      <c r="U745" s="110" t="s">
        <v>541</v>
      </c>
      <c r="V745" s="110" t="str">
        <f t="shared" si="24"/>
        <v>FWL</v>
      </c>
      <c r="W745" s="110" t="s">
        <v>541</v>
      </c>
      <c r="X745" s="110" t="s">
        <v>541</v>
      </c>
      <c r="Y745" s="110" t="str">
        <f>IFERROR(VLOOKUP(F745,'Freq-Chan'!C:E,3,FALSE),"na")</f>
        <v>F1845</v>
      </c>
      <c r="Z745" s="110" t="s">
        <v>541</v>
      </c>
      <c r="AA745" s="110" t="s">
        <v>541</v>
      </c>
      <c r="AB745" s="110" t="s">
        <v>541</v>
      </c>
      <c r="AC745" s="10" t="s">
        <v>541</v>
      </c>
      <c r="AD745" s="10" t="s">
        <v>541</v>
      </c>
    </row>
    <row r="746" spans="1:30" x14ac:dyDescent="0.2">
      <c r="A746" s="110">
        <v>745</v>
      </c>
      <c r="B746" s="132">
        <v>41829</v>
      </c>
      <c r="C746" s="117">
        <v>3</v>
      </c>
      <c r="D746" s="103" t="s">
        <v>2</v>
      </c>
      <c r="E746" s="103" t="s">
        <v>306</v>
      </c>
      <c r="F746" s="103">
        <v>875</v>
      </c>
      <c r="G746" s="103">
        <v>74</v>
      </c>
      <c r="H746" s="137" t="s">
        <v>1424</v>
      </c>
      <c r="I746" s="103">
        <v>62</v>
      </c>
      <c r="K746" s="103" t="s">
        <v>364</v>
      </c>
      <c r="L746" s="133"/>
      <c r="M746" s="134">
        <v>7.2916666666666671E-2</v>
      </c>
      <c r="N746" s="137" t="s">
        <v>2592</v>
      </c>
      <c r="O746" s="133" t="s">
        <v>376</v>
      </c>
      <c r="Q746" s="100" t="s">
        <v>2579</v>
      </c>
      <c r="R746" s="226" t="s">
        <v>2604</v>
      </c>
      <c r="S746" s="491" t="str">
        <f t="shared" si="23"/>
        <v>x</v>
      </c>
      <c r="T746" s="492">
        <f>IFERROR(VLOOKUP(F746,'Freq-Chan'!C:D,2,FALSE),"x")</f>
        <v>151.875</v>
      </c>
      <c r="U746" s="110" t="s">
        <v>541</v>
      </c>
      <c r="V746" s="110" t="str">
        <f t="shared" si="24"/>
        <v>FWL</v>
      </c>
      <c r="W746" s="110" t="s">
        <v>541</v>
      </c>
      <c r="X746" s="110" t="s">
        <v>541</v>
      </c>
      <c r="Y746" s="110" t="str">
        <f>IFERROR(VLOOKUP(F746,'Freq-Chan'!C:E,3,FALSE),"na")</f>
        <v>F1845</v>
      </c>
      <c r="Z746" s="110" t="s">
        <v>541</v>
      </c>
      <c r="AA746" s="110" t="s">
        <v>541</v>
      </c>
      <c r="AB746" s="110" t="s">
        <v>541</v>
      </c>
      <c r="AC746" s="10" t="s">
        <v>541</v>
      </c>
      <c r="AD746" s="10" t="s">
        <v>541</v>
      </c>
    </row>
    <row r="747" spans="1:30" x14ac:dyDescent="0.2">
      <c r="A747" s="110">
        <v>746</v>
      </c>
      <c r="B747" s="132">
        <v>41829</v>
      </c>
      <c r="C747" s="117">
        <v>3</v>
      </c>
      <c r="D747" s="103" t="s">
        <v>2</v>
      </c>
      <c r="E747" s="103" t="s">
        <v>306</v>
      </c>
      <c r="F747" s="103">
        <v>875</v>
      </c>
      <c r="G747" s="103">
        <v>99</v>
      </c>
      <c r="H747" s="137" t="s">
        <v>1414</v>
      </c>
      <c r="I747" s="103">
        <v>98</v>
      </c>
      <c r="K747" s="103" t="s">
        <v>364</v>
      </c>
      <c r="L747" s="133"/>
      <c r="M747" s="134">
        <v>8.8888888888888892E-2</v>
      </c>
      <c r="N747" s="137" t="s">
        <v>2593</v>
      </c>
      <c r="O747" s="133" t="s">
        <v>1532</v>
      </c>
      <c r="P747" s="100" t="s">
        <v>2594</v>
      </c>
      <c r="Q747" s="100" t="s">
        <v>2579</v>
      </c>
      <c r="R747" s="226" t="s">
        <v>2604</v>
      </c>
      <c r="S747" s="491" t="str">
        <f t="shared" si="23"/>
        <v>x</v>
      </c>
      <c r="T747" s="492">
        <f>IFERROR(VLOOKUP(F747,'Freq-Chan'!C:D,2,FALSE),"x")</f>
        <v>151.875</v>
      </c>
      <c r="U747" s="110" t="s">
        <v>541</v>
      </c>
      <c r="V747" s="110" t="str">
        <f t="shared" si="24"/>
        <v>FWL</v>
      </c>
      <c r="W747" s="110" t="s">
        <v>541</v>
      </c>
      <c r="X747" s="110" t="s">
        <v>541</v>
      </c>
      <c r="Y747" s="110" t="str">
        <f>IFERROR(VLOOKUP(F747,'Freq-Chan'!C:E,3,FALSE),"na")</f>
        <v>F1845</v>
      </c>
      <c r="Z747" s="110" t="s">
        <v>541</v>
      </c>
      <c r="AA747" s="110" t="s">
        <v>541</v>
      </c>
      <c r="AB747" s="110" t="s">
        <v>541</v>
      </c>
      <c r="AC747" s="10" t="s">
        <v>541</v>
      </c>
      <c r="AD747" s="10" t="s">
        <v>541</v>
      </c>
    </row>
    <row r="748" spans="1:30" x14ac:dyDescent="0.2">
      <c r="A748" s="110">
        <v>747</v>
      </c>
      <c r="B748" s="132">
        <v>41829</v>
      </c>
      <c r="C748" s="117">
        <v>3</v>
      </c>
      <c r="D748" s="103" t="s">
        <v>2</v>
      </c>
      <c r="E748" s="103" t="s">
        <v>306</v>
      </c>
      <c r="F748" s="103">
        <v>875</v>
      </c>
      <c r="G748" s="103">
        <v>43</v>
      </c>
      <c r="H748" s="137" t="s">
        <v>1415</v>
      </c>
      <c r="I748" s="103">
        <v>87</v>
      </c>
      <c r="K748" s="103" t="s">
        <v>364</v>
      </c>
      <c r="L748" s="133"/>
      <c r="M748" s="134">
        <v>7.2916666666666671E-2</v>
      </c>
      <c r="N748" s="137" t="s">
        <v>2600</v>
      </c>
      <c r="O748" s="133" t="s">
        <v>376</v>
      </c>
      <c r="Q748" s="100" t="s">
        <v>2579</v>
      </c>
      <c r="R748" s="226" t="s">
        <v>2604</v>
      </c>
      <c r="S748" s="491" t="str">
        <f t="shared" si="23"/>
        <v>x</v>
      </c>
      <c r="T748" s="492">
        <f>IFERROR(VLOOKUP(F748,'Freq-Chan'!C:D,2,FALSE),"x")</f>
        <v>151.875</v>
      </c>
      <c r="U748" s="110" t="s">
        <v>541</v>
      </c>
      <c r="V748" s="110" t="str">
        <f t="shared" si="24"/>
        <v>FWL</v>
      </c>
      <c r="W748" s="110" t="s">
        <v>541</v>
      </c>
      <c r="X748" s="110" t="s">
        <v>541</v>
      </c>
      <c r="Y748" s="110" t="str">
        <f>IFERROR(VLOOKUP(F748,'Freq-Chan'!C:E,3,FALSE),"na")</f>
        <v>F1845</v>
      </c>
      <c r="Z748" s="110" t="s">
        <v>541</v>
      </c>
      <c r="AA748" s="110" t="s">
        <v>541</v>
      </c>
      <c r="AB748" s="110" t="s">
        <v>541</v>
      </c>
      <c r="AC748" s="10" t="s">
        <v>541</v>
      </c>
      <c r="AD748" s="10" t="s">
        <v>541</v>
      </c>
    </row>
    <row r="749" spans="1:30" x14ac:dyDescent="0.2">
      <c r="A749" s="110">
        <v>748</v>
      </c>
      <c r="B749" s="132">
        <v>41829</v>
      </c>
      <c r="C749" s="117">
        <v>3</v>
      </c>
      <c r="D749" s="103" t="s">
        <v>177</v>
      </c>
      <c r="E749" s="103" t="s">
        <v>0</v>
      </c>
      <c r="H749" s="103"/>
      <c r="I749" s="103">
        <v>38</v>
      </c>
      <c r="K749" s="103" t="s">
        <v>364</v>
      </c>
      <c r="L749" s="133"/>
      <c r="M749" s="134">
        <v>1.6666666666666666E-2</v>
      </c>
      <c r="N749" s="137" t="s">
        <v>2595</v>
      </c>
      <c r="O749" s="133" t="s">
        <v>802</v>
      </c>
      <c r="P749" s="100" t="s">
        <v>776</v>
      </c>
      <c r="Q749" s="100" t="s">
        <v>2578</v>
      </c>
      <c r="R749" s="226" t="s">
        <v>2604</v>
      </c>
      <c r="S749" s="491" t="str">
        <f t="shared" si="23"/>
        <v>x</v>
      </c>
      <c r="T749" s="492" t="str">
        <f>IFERROR(VLOOKUP(F749,'Freq-Chan'!C:D,2,FALSE),"x")</f>
        <v>x</v>
      </c>
      <c r="U749" s="110" t="s">
        <v>541</v>
      </c>
      <c r="V749" s="110" t="str">
        <f t="shared" si="24"/>
        <v>FWL</v>
      </c>
      <c r="W749" s="110" t="s">
        <v>541</v>
      </c>
      <c r="X749" s="110" t="s">
        <v>541</v>
      </c>
      <c r="Y749" s="110" t="str">
        <f>IFERROR(VLOOKUP(F749,'Freq-Chan'!C:E,3,FALSE),"na")</f>
        <v>na</v>
      </c>
      <c r="Z749" s="110" t="s">
        <v>541</v>
      </c>
      <c r="AA749" s="110" t="s">
        <v>541</v>
      </c>
      <c r="AB749" s="110" t="s">
        <v>541</v>
      </c>
      <c r="AC749" s="10" t="s">
        <v>541</v>
      </c>
      <c r="AD749" s="10" t="s">
        <v>541</v>
      </c>
    </row>
    <row r="750" spans="1:30" x14ac:dyDescent="0.2">
      <c r="A750" s="110">
        <v>749</v>
      </c>
      <c r="B750" s="132">
        <v>41829</v>
      </c>
      <c r="C750" s="117">
        <v>3</v>
      </c>
      <c r="D750" s="103" t="s">
        <v>2</v>
      </c>
      <c r="E750" s="103" t="s">
        <v>306</v>
      </c>
      <c r="F750" s="103">
        <v>875</v>
      </c>
      <c r="G750" s="103">
        <v>11</v>
      </c>
      <c r="H750" s="137" t="s">
        <v>1416</v>
      </c>
      <c r="I750" s="103">
        <v>66</v>
      </c>
      <c r="K750" s="103" t="s">
        <v>364</v>
      </c>
      <c r="L750" s="133">
        <v>0.71180555555555547</v>
      </c>
      <c r="M750" s="134">
        <v>5.2777777777777778E-2</v>
      </c>
      <c r="N750" s="137" t="s">
        <v>2596</v>
      </c>
      <c r="O750" s="133" t="s">
        <v>802</v>
      </c>
      <c r="Q750" s="100" t="s">
        <v>2578</v>
      </c>
      <c r="R750" s="226" t="s">
        <v>2604</v>
      </c>
      <c r="S750" s="491">
        <f t="shared" si="23"/>
        <v>2.5925926000000001E-3</v>
      </c>
      <c r="T750" s="492">
        <f>IFERROR(VLOOKUP(F750,'Freq-Chan'!C:D,2,FALSE),"x")</f>
        <v>151.875</v>
      </c>
      <c r="U750" s="110" t="s">
        <v>541</v>
      </c>
      <c r="V750" s="110" t="str">
        <f t="shared" si="24"/>
        <v>FWL</v>
      </c>
      <c r="W750" s="110" t="s">
        <v>541</v>
      </c>
      <c r="X750" s="110" t="s">
        <v>541</v>
      </c>
      <c r="Y750" s="110" t="str">
        <f>IFERROR(VLOOKUP(F750,'Freq-Chan'!C:E,3,FALSE),"na")</f>
        <v>F1845</v>
      </c>
      <c r="Z750" s="110" t="s">
        <v>541</v>
      </c>
      <c r="AA750" s="110" t="s">
        <v>541</v>
      </c>
      <c r="AB750" s="110" t="s">
        <v>541</v>
      </c>
      <c r="AC750" s="10" t="s">
        <v>541</v>
      </c>
      <c r="AD750" s="10" t="s">
        <v>541</v>
      </c>
    </row>
    <row r="751" spans="1:30" x14ac:dyDescent="0.2">
      <c r="A751" s="110">
        <v>750</v>
      </c>
      <c r="B751" s="132">
        <v>41829</v>
      </c>
      <c r="C751" s="117">
        <v>3</v>
      </c>
      <c r="D751" s="103" t="s">
        <v>75</v>
      </c>
      <c r="E751" s="103" t="s">
        <v>798</v>
      </c>
      <c r="H751" s="103"/>
      <c r="J751" s="103">
        <v>37</v>
      </c>
      <c r="K751" s="103" t="s">
        <v>364</v>
      </c>
      <c r="L751" s="133"/>
      <c r="M751" s="134">
        <v>2.2222222222222223E-2</v>
      </c>
      <c r="N751" s="137" t="s">
        <v>719</v>
      </c>
      <c r="O751" s="133" t="s">
        <v>803</v>
      </c>
      <c r="Q751" s="100" t="s">
        <v>2578</v>
      </c>
      <c r="R751" s="226" t="s">
        <v>2604</v>
      </c>
      <c r="S751" s="491" t="str">
        <f t="shared" si="23"/>
        <v>x</v>
      </c>
      <c r="T751" s="492" t="str">
        <f>IFERROR(VLOOKUP(F751,'Freq-Chan'!C:D,2,FALSE),"x")</f>
        <v>x</v>
      </c>
      <c r="U751" s="110" t="s">
        <v>541</v>
      </c>
      <c r="V751" s="110" t="str">
        <f t="shared" si="24"/>
        <v>FWL</v>
      </c>
      <c r="W751" s="110" t="s">
        <v>541</v>
      </c>
      <c r="X751" s="110" t="s">
        <v>541</v>
      </c>
      <c r="Y751" s="110" t="str">
        <f>IFERROR(VLOOKUP(F751,'Freq-Chan'!C:E,3,FALSE),"na")</f>
        <v>na</v>
      </c>
      <c r="Z751" s="110" t="s">
        <v>541</v>
      </c>
      <c r="AA751" s="110" t="s">
        <v>541</v>
      </c>
      <c r="AB751" s="110" t="s">
        <v>541</v>
      </c>
      <c r="AC751" s="10" t="s">
        <v>541</v>
      </c>
      <c r="AD751" s="10" t="s">
        <v>541</v>
      </c>
    </row>
    <row r="752" spans="1:30" x14ac:dyDescent="0.2">
      <c r="A752" s="110">
        <v>751</v>
      </c>
      <c r="B752" s="132">
        <v>41829</v>
      </c>
      <c r="C752" s="117">
        <v>3</v>
      </c>
      <c r="D752" s="103" t="s">
        <v>2</v>
      </c>
      <c r="E752" s="103" t="s">
        <v>306</v>
      </c>
      <c r="H752" s="103"/>
      <c r="K752" s="103" t="s">
        <v>364</v>
      </c>
      <c r="L752" s="133">
        <v>0.82916666666666661</v>
      </c>
      <c r="M752" s="134"/>
      <c r="O752" s="133" t="s">
        <v>376</v>
      </c>
      <c r="P752" s="100" t="s">
        <v>2605</v>
      </c>
      <c r="Q752" s="100" t="s">
        <v>2585</v>
      </c>
      <c r="R752" s="226" t="s">
        <v>2604</v>
      </c>
      <c r="S752" s="491" t="str">
        <f t="shared" si="23"/>
        <v>x</v>
      </c>
      <c r="T752" s="492" t="str">
        <f>IFERROR(VLOOKUP(F752,'Freq-Chan'!C:D,2,FALSE),"x")</f>
        <v>x</v>
      </c>
      <c r="U752" s="110" t="s">
        <v>541</v>
      </c>
      <c r="V752" s="110" t="str">
        <f t="shared" si="24"/>
        <v>FWL</v>
      </c>
      <c r="W752" s="110" t="s">
        <v>541</v>
      </c>
      <c r="X752" s="110" t="s">
        <v>541</v>
      </c>
      <c r="Y752" s="110" t="str">
        <f>IFERROR(VLOOKUP(F752,'Freq-Chan'!C:E,3,FALSE),"na")</f>
        <v>na</v>
      </c>
      <c r="Z752" s="110" t="s">
        <v>541</v>
      </c>
      <c r="AA752" s="110" t="s">
        <v>541</v>
      </c>
      <c r="AB752" s="110" t="s">
        <v>541</v>
      </c>
      <c r="AC752" s="10" t="s">
        <v>541</v>
      </c>
      <c r="AD752" s="10" t="s">
        <v>541</v>
      </c>
    </row>
    <row r="753" spans="1:30" x14ac:dyDescent="0.2">
      <c r="A753" s="110">
        <v>752</v>
      </c>
      <c r="B753" s="132">
        <v>41829</v>
      </c>
      <c r="C753" s="117">
        <v>3</v>
      </c>
      <c r="D753" s="103" t="s">
        <v>88</v>
      </c>
      <c r="E753" s="103" t="s">
        <v>798</v>
      </c>
      <c r="H753" s="103"/>
      <c r="J753" s="103">
        <v>25</v>
      </c>
      <c r="K753" s="103" t="s">
        <v>364</v>
      </c>
      <c r="L753" s="133"/>
      <c r="M753" s="134">
        <v>3.2638888888888891E-2</v>
      </c>
      <c r="N753" s="137" t="s">
        <v>387</v>
      </c>
      <c r="O753" s="133" t="s">
        <v>376</v>
      </c>
      <c r="Q753" s="100" t="s">
        <v>2585</v>
      </c>
      <c r="R753" s="226" t="s">
        <v>2604</v>
      </c>
      <c r="S753" s="491" t="str">
        <f t="shared" si="23"/>
        <v>x</v>
      </c>
      <c r="T753" s="492" t="str">
        <f>IFERROR(VLOOKUP(F753,'Freq-Chan'!C:D,2,FALSE),"x")</f>
        <v>x</v>
      </c>
      <c r="U753" s="110" t="s">
        <v>541</v>
      </c>
      <c r="V753" s="110" t="str">
        <f t="shared" si="24"/>
        <v>FWL</v>
      </c>
      <c r="W753" s="110" t="s">
        <v>541</v>
      </c>
      <c r="X753" s="110" t="s">
        <v>541</v>
      </c>
      <c r="Y753" s="110" t="str">
        <f>IFERROR(VLOOKUP(F753,'Freq-Chan'!C:E,3,FALSE),"na")</f>
        <v>na</v>
      </c>
      <c r="Z753" s="110" t="s">
        <v>541</v>
      </c>
      <c r="AA753" s="110" t="s">
        <v>541</v>
      </c>
      <c r="AB753" s="110" t="s">
        <v>541</v>
      </c>
      <c r="AC753" s="10" t="s">
        <v>541</v>
      </c>
      <c r="AD753" s="10" t="s">
        <v>541</v>
      </c>
    </row>
    <row r="754" spans="1:30" x14ac:dyDescent="0.2">
      <c r="A754" s="110">
        <v>753</v>
      </c>
      <c r="B754" s="132">
        <v>41829</v>
      </c>
      <c r="C754" s="117">
        <v>3</v>
      </c>
      <c r="D754" s="103" t="s">
        <v>88</v>
      </c>
      <c r="E754" s="103" t="s">
        <v>798</v>
      </c>
      <c r="H754" s="103"/>
      <c r="K754" s="103" t="s">
        <v>364</v>
      </c>
      <c r="M754" s="134">
        <v>1.3888888888888888E-2</v>
      </c>
      <c r="N754" s="137" t="s">
        <v>2597</v>
      </c>
      <c r="O754" s="133" t="s">
        <v>376</v>
      </c>
      <c r="P754" s="100" t="s">
        <v>2606</v>
      </c>
      <c r="Q754" s="100" t="s">
        <v>2585</v>
      </c>
      <c r="R754" s="226" t="s">
        <v>2604</v>
      </c>
      <c r="S754" s="491" t="str">
        <f t="shared" si="23"/>
        <v>x</v>
      </c>
      <c r="T754" s="492" t="str">
        <f>IFERROR(VLOOKUP(F754,'Freq-Chan'!C:D,2,FALSE),"x")</f>
        <v>x</v>
      </c>
      <c r="U754" s="110" t="s">
        <v>541</v>
      </c>
      <c r="V754" s="110" t="str">
        <f t="shared" si="24"/>
        <v>FWL</v>
      </c>
      <c r="W754" s="110" t="s">
        <v>541</v>
      </c>
      <c r="X754" s="110" t="s">
        <v>541</v>
      </c>
      <c r="Y754" s="110" t="str">
        <f>IFERROR(VLOOKUP(F754,'Freq-Chan'!C:E,3,FALSE),"na")</f>
        <v>na</v>
      </c>
      <c r="Z754" s="110" t="s">
        <v>541</v>
      </c>
      <c r="AA754" s="110" t="s">
        <v>541</v>
      </c>
      <c r="AB754" s="110" t="s">
        <v>541</v>
      </c>
      <c r="AC754" s="10" t="s">
        <v>541</v>
      </c>
      <c r="AD754" s="10" t="s">
        <v>541</v>
      </c>
    </row>
    <row r="755" spans="1:30" x14ac:dyDescent="0.2">
      <c r="A755" s="110">
        <v>754</v>
      </c>
      <c r="B755" s="132">
        <v>41829</v>
      </c>
      <c r="C755" s="117">
        <v>3</v>
      </c>
      <c r="D755" s="103" t="s">
        <v>91</v>
      </c>
      <c r="E755" s="103" t="s">
        <v>798</v>
      </c>
      <c r="H755" s="103"/>
      <c r="J755" s="103">
        <v>34</v>
      </c>
      <c r="K755" s="103" t="s">
        <v>364</v>
      </c>
      <c r="L755" s="133"/>
      <c r="M755" s="134">
        <v>1.9444444444444445E-2</v>
      </c>
      <c r="N755" s="137" t="s">
        <v>2598</v>
      </c>
      <c r="O755" s="133" t="s">
        <v>376</v>
      </c>
      <c r="Q755" s="100" t="s">
        <v>2585</v>
      </c>
      <c r="R755" s="226" t="s">
        <v>2604</v>
      </c>
      <c r="S755" s="503" t="str">
        <f t="shared" si="23"/>
        <v>x</v>
      </c>
      <c r="T755" s="504" t="str">
        <f>IFERROR(VLOOKUP(F755,'Freq-Chan'!C:D,2,FALSE),"x")</f>
        <v>x</v>
      </c>
      <c r="U755" s="110" t="s">
        <v>541</v>
      </c>
      <c r="V755" s="110" t="str">
        <f t="shared" si="24"/>
        <v>FWL</v>
      </c>
      <c r="W755" s="110" t="s">
        <v>541</v>
      </c>
      <c r="X755" s="110" t="s">
        <v>541</v>
      </c>
      <c r="Y755" s="110" t="str">
        <f>IFERROR(VLOOKUP(F755,'Freq-Chan'!C:E,3,FALSE),"na")</f>
        <v>na</v>
      </c>
      <c r="Z755" s="110" t="s">
        <v>541</v>
      </c>
      <c r="AA755" s="110" t="s">
        <v>541</v>
      </c>
      <c r="AB755" s="110" t="s">
        <v>541</v>
      </c>
      <c r="AC755" s="10" t="s">
        <v>541</v>
      </c>
      <c r="AD755" s="10" t="s">
        <v>541</v>
      </c>
    </row>
    <row r="756" spans="1:30" x14ac:dyDescent="0.2">
      <c r="A756" s="110">
        <v>755</v>
      </c>
      <c r="B756" s="132">
        <v>41829</v>
      </c>
      <c r="C756" s="117">
        <v>3</v>
      </c>
      <c r="D756" s="103" t="s">
        <v>2</v>
      </c>
      <c r="E756" s="103" t="s">
        <v>306</v>
      </c>
      <c r="F756" s="103">
        <v>875</v>
      </c>
      <c r="G756" s="103">
        <v>42</v>
      </c>
      <c r="H756" s="137" t="s">
        <v>1417</v>
      </c>
      <c r="I756" s="103">
        <v>86</v>
      </c>
      <c r="K756" s="103" t="s">
        <v>364</v>
      </c>
      <c r="L756" s="133">
        <v>0.93055555555555547</v>
      </c>
      <c r="M756" s="134">
        <v>8.9583333333333334E-2</v>
      </c>
      <c r="N756" s="137" t="s">
        <v>2599</v>
      </c>
      <c r="O756" s="133" t="s">
        <v>376</v>
      </c>
      <c r="P756" s="100" t="s">
        <v>2603</v>
      </c>
      <c r="Q756" s="100" t="s">
        <v>2585</v>
      </c>
      <c r="R756" s="226" t="s">
        <v>2604</v>
      </c>
      <c r="S756" s="491">
        <f t="shared" si="23"/>
        <v>2.6736110999999998E-3</v>
      </c>
      <c r="T756" s="492">
        <f>IFERROR(VLOOKUP(F756,'Freq-Chan'!C:D,2,FALSE),"x")</f>
        <v>151.875</v>
      </c>
      <c r="U756" s="110" t="s">
        <v>541</v>
      </c>
      <c r="V756" s="110" t="str">
        <f t="shared" si="24"/>
        <v>FWL</v>
      </c>
      <c r="W756" s="110" t="s">
        <v>541</v>
      </c>
      <c r="X756" s="110" t="s">
        <v>541</v>
      </c>
      <c r="Y756" s="110" t="str">
        <f>IFERROR(VLOOKUP(F756,'Freq-Chan'!C:E,3,FALSE),"na")</f>
        <v>F1845</v>
      </c>
      <c r="Z756" s="110" t="s">
        <v>541</v>
      </c>
      <c r="AA756" s="110" t="s">
        <v>541</v>
      </c>
      <c r="AB756" s="110" t="s">
        <v>541</v>
      </c>
      <c r="AC756" s="10" t="s">
        <v>541</v>
      </c>
      <c r="AD756" s="10" t="s">
        <v>541</v>
      </c>
    </row>
    <row r="757" spans="1:30" s="291" customFormat="1" x14ac:dyDescent="0.2">
      <c r="A757" s="493">
        <v>756</v>
      </c>
      <c r="B757" s="283">
        <v>41829</v>
      </c>
      <c r="C757" s="284">
        <v>3</v>
      </c>
      <c r="D757" s="285" t="s">
        <v>2</v>
      </c>
      <c r="E757" s="285" t="s">
        <v>306</v>
      </c>
      <c r="F757" s="285"/>
      <c r="G757" s="285"/>
      <c r="H757" s="285"/>
      <c r="I757" s="285"/>
      <c r="J757" s="285"/>
      <c r="K757" s="285" t="s">
        <v>364</v>
      </c>
      <c r="L757" s="286">
        <v>0.96180555555555547</v>
      </c>
      <c r="M757" s="287"/>
      <c r="N757" s="339"/>
      <c r="O757" s="286" t="s">
        <v>376</v>
      </c>
      <c r="P757" s="289" t="s">
        <v>498</v>
      </c>
      <c r="Q757" s="289" t="s">
        <v>2585</v>
      </c>
      <c r="R757" s="290" t="s">
        <v>2604</v>
      </c>
      <c r="S757" s="494" t="str">
        <f t="shared" si="23"/>
        <v>x</v>
      </c>
      <c r="T757" s="495" t="str">
        <f>IFERROR(VLOOKUP(F757,'Freq-Chan'!C:D,2,FALSE),"x")</f>
        <v>x</v>
      </c>
      <c r="U757" s="493" t="s">
        <v>541</v>
      </c>
      <c r="V757" s="493" t="str">
        <f t="shared" si="24"/>
        <v>FWL</v>
      </c>
      <c r="W757" s="493" t="s">
        <v>541</v>
      </c>
      <c r="X757" s="493" t="s">
        <v>541</v>
      </c>
      <c r="Y757" s="493" t="str">
        <f>IFERROR(VLOOKUP(F757,'Freq-Chan'!C:E,3,FALSE),"na")</f>
        <v>na</v>
      </c>
      <c r="Z757" s="493" t="s">
        <v>541</v>
      </c>
      <c r="AA757" s="493" t="s">
        <v>541</v>
      </c>
      <c r="AB757" s="493" t="s">
        <v>541</v>
      </c>
      <c r="AC757" s="291" t="s">
        <v>541</v>
      </c>
      <c r="AD757" s="291" t="s">
        <v>541</v>
      </c>
    </row>
    <row r="758" spans="1:30" x14ac:dyDescent="0.2">
      <c r="A758" s="110">
        <v>757</v>
      </c>
      <c r="B758" s="132">
        <v>41830</v>
      </c>
      <c r="C758" s="117">
        <v>1</v>
      </c>
      <c r="D758" s="103" t="s">
        <v>2</v>
      </c>
      <c r="E758" s="103" t="s">
        <v>306</v>
      </c>
      <c r="F758" s="103">
        <v>875</v>
      </c>
      <c r="G758" s="103">
        <v>41</v>
      </c>
      <c r="H758" s="137" t="s">
        <v>1432</v>
      </c>
      <c r="I758" s="103">
        <v>73</v>
      </c>
      <c r="K758" s="103" t="s">
        <v>364</v>
      </c>
      <c r="L758" s="133"/>
      <c r="M758" s="134">
        <v>3.6805555555555557E-2</v>
      </c>
      <c r="N758" s="137" t="s">
        <v>2616</v>
      </c>
      <c r="O758" s="133" t="s">
        <v>803</v>
      </c>
      <c r="P758" s="100" t="s">
        <v>1786</v>
      </c>
      <c r="Q758" s="100" t="s">
        <v>2608</v>
      </c>
      <c r="R758" s="226" t="s">
        <v>2639</v>
      </c>
      <c r="S758" s="491" t="str">
        <f t="shared" si="23"/>
        <v>x</v>
      </c>
      <c r="T758" s="492">
        <f>IFERROR(VLOOKUP(F758,'Freq-Chan'!C:D,2,FALSE),"x")</f>
        <v>151.875</v>
      </c>
      <c r="U758" s="110" t="s">
        <v>541</v>
      </c>
      <c r="V758" s="110" t="str">
        <f t="shared" si="24"/>
        <v>FWL</v>
      </c>
      <c r="W758" s="110" t="s">
        <v>541</v>
      </c>
      <c r="X758" s="110" t="s">
        <v>541</v>
      </c>
      <c r="Y758" s="110" t="str">
        <f>IFERROR(VLOOKUP(F758,'Freq-Chan'!C:E,3,FALSE),"na")</f>
        <v>F1845</v>
      </c>
      <c r="Z758" s="110" t="s">
        <v>541</v>
      </c>
      <c r="AA758" s="110" t="s">
        <v>541</v>
      </c>
      <c r="AB758" s="110" t="s">
        <v>541</v>
      </c>
      <c r="AC758" s="10" t="s">
        <v>541</v>
      </c>
      <c r="AD758" s="10" t="s">
        <v>541</v>
      </c>
    </row>
    <row r="759" spans="1:30" x14ac:dyDescent="0.2">
      <c r="A759" s="110">
        <v>758</v>
      </c>
      <c r="B759" s="132">
        <v>41830</v>
      </c>
      <c r="C759" s="117">
        <v>1</v>
      </c>
      <c r="D759" s="103" t="s">
        <v>2</v>
      </c>
      <c r="E759" s="103" t="s">
        <v>306</v>
      </c>
      <c r="F759" s="103">
        <v>875</v>
      </c>
      <c r="G759" s="103">
        <v>54</v>
      </c>
      <c r="H759" s="137" t="s">
        <v>1433</v>
      </c>
      <c r="I759" s="103">
        <v>65</v>
      </c>
      <c r="K759" s="103" t="s">
        <v>364</v>
      </c>
      <c r="L759" s="133"/>
      <c r="M759" s="134">
        <v>5.5555555555555552E-2</v>
      </c>
      <c r="N759" s="137" t="s">
        <v>1902</v>
      </c>
      <c r="O759" s="133" t="s">
        <v>1663</v>
      </c>
      <c r="P759" s="100" t="s">
        <v>1998</v>
      </c>
      <c r="Q759" s="100" t="s">
        <v>2608</v>
      </c>
      <c r="R759" s="226" t="s">
        <v>2639</v>
      </c>
      <c r="S759" s="491" t="str">
        <f t="shared" si="23"/>
        <v>x</v>
      </c>
      <c r="T759" s="492">
        <f>IFERROR(VLOOKUP(F759,'Freq-Chan'!C:D,2,FALSE),"x")</f>
        <v>151.875</v>
      </c>
      <c r="U759" s="110" t="s">
        <v>541</v>
      </c>
      <c r="V759" s="110" t="str">
        <f t="shared" si="24"/>
        <v>FWL</v>
      </c>
      <c r="W759" s="110" t="s">
        <v>541</v>
      </c>
      <c r="X759" s="110" t="s">
        <v>541</v>
      </c>
      <c r="Y759" s="110" t="str">
        <f>IFERROR(VLOOKUP(F759,'Freq-Chan'!C:E,3,FALSE),"na")</f>
        <v>F1845</v>
      </c>
      <c r="Z759" s="110" t="s">
        <v>541</v>
      </c>
      <c r="AA759" s="110" t="s">
        <v>541</v>
      </c>
      <c r="AB759" s="110" t="s">
        <v>541</v>
      </c>
      <c r="AC759" s="10" t="s">
        <v>541</v>
      </c>
      <c r="AD759" s="10" t="s">
        <v>541</v>
      </c>
    </row>
    <row r="760" spans="1:30" x14ac:dyDescent="0.2">
      <c r="A760" s="110">
        <v>759</v>
      </c>
      <c r="B760" s="132">
        <v>41830</v>
      </c>
      <c r="C760" s="117">
        <v>1</v>
      </c>
      <c r="D760" s="103" t="s">
        <v>177</v>
      </c>
      <c r="E760" s="103" t="s">
        <v>0</v>
      </c>
      <c r="H760" s="103"/>
      <c r="I760" s="103">
        <v>30</v>
      </c>
      <c r="K760" s="103" t="s">
        <v>364</v>
      </c>
      <c r="L760" s="133"/>
      <c r="M760" s="134">
        <v>1.3888888888888888E-2</v>
      </c>
      <c r="N760" s="137" t="s">
        <v>1630</v>
      </c>
      <c r="O760" s="133" t="s">
        <v>1663</v>
      </c>
      <c r="P760" s="100" t="s">
        <v>1977</v>
      </c>
      <c r="Q760" s="100" t="s">
        <v>2608</v>
      </c>
      <c r="R760" s="226" t="s">
        <v>2639</v>
      </c>
      <c r="S760" s="491" t="str">
        <f t="shared" si="23"/>
        <v>x</v>
      </c>
      <c r="T760" s="492" t="str">
        <f>IFERROR(VLOOKUP(F760,'Freq-Chan'!C:D,2,FALSE),"x")</f>
        <v>x</v>
      </c>
      <c r="U760" s="110" t="s">
        <v>541</v>
      </c>
      <c r="V760" s="110" t="str">
        <f t="shared" si="24"/>
        <v>FWL</v>
      </c>
      <c r="W760" s="110" t="s">
        <v>541</v>
      </c>
      <c r="X760" s="110" t="s">
        <v>541</v>
      </c>
      <c r="Y760" s="110" t="str">
        <f>IFERROR(VLOOKUP(F760,'Freq-Chan'!C:E,3,FALSE),"na")</f>
        <v>na</v>
      </c>
      <c r="Z760" s="110" t="s">
        <v>541</v>
      </c>
      <c r="AA760" s="110" t="s">
        <v>541</v>
      </c>
      <c r="AB760" s="110" t="s">
        <v>541</v>
      </c>
      <c r="AC760" s="10" t="s">
        <v>541</v>
      </c>
      <c r="AD760" s="10" t="s">
        <v>541</v>
      </c>
    </row>
    <row r="761" spans="1:30" x14ac:dyDescent="0.2">
      <c r="A761" s="110">
        <v>760</v>
      </c>
      <c r="B761" s="132">
        <v>41830</v>
      </c>
      <c r="C761" s="117">
        <v>1</v>
      </c>
      <c r="D761" s="103" t="s">
        <v>88</v>
      </c>
      <c r="E761" s="103" t="s">
        <v>798</v>
      </c>
      <c r="H761" s="103"/>
      <c r="J761" s="103">
        <v>26</v>
      </c>
      <c r="K761" s="103" t="s">
        <v>364</v>
      </c>
      <c r="L761" s="133"/>
      <c r="M761" s="134">
        <v>2.7777777777777776E-2</v>
      </c>
      <c r="N761" s="137" t="s">
        <v>1631</v>
      </c>
      <c r="O761" s="133" t="s">
        <v>1663</v>
      </c>
      <c r="P761" s="100" t="s">
        <v>1998</v>
      </c>
      <c r="Q761" s="100" t="s">
        <v>2608</v>
      </c>
      <c r="R761" s="226" t="s">
        <v>2639</v>
      </c>
      <c r="S761" s="491" t="str">
        <f t="shared" si="23"/>
        <v>x</v>
      </c>
      <c r="T761" s="492" t="str">
        <f>IFERROR(VLOOKUP(F761,'Freq-Chan'!C:D,2,FALSE),"x")</f>
        <v>x</v>
      </c>
      <c r="U761" s="110" t="s">
        <v>541</v>
      </c>
      <c r="V761" s="110" t="str">
        <f t="shared" si="24"/>
        <v>FWL</v>
      </c>
      <c r="W761" s="110" t="s">
        <v>541</v>
      </c>
      <c r="X761" s="110" t="s">
        <v>541</v>
      </c>
      <c r="Y761" s="110" t="str">
        <f>IFERROR(VLOOKUP(F761,'Freq-Chan'!C:E,3,FALSE),"na")</f>
        <v>na</v>
      </c>
      <c r="Z761" s="110" t="s">
        <v>541</v>
      </c>
      <c r="AA761" s="110" t="s">
        <v>541</v>
      </c>
      <c r="AB761" s="110" t="s">
        <v>541</v>
      </c>
      <c r="AC761" s="10" t="s">
        <v>541</v>
      </c>
      <c r="AD761" s="10" t="s">
        <v>541</v>
      </c>
    </row>
    <row r="762" spans="1:30" x14ac:dyDescent="0.2">
      <c r="A762" s="110">
        <v>761</v>
      </c>
      <c r="B762" s="132">
        <v>41830</v>
      </c>
      <c r="C762" s="117">
        <v>1</v>
      </c>
      <c r="D762" s="103" t="s">
        <v>2</v>
      </c>
      <c r="E762" s="103" t="s">
        <v>306</v>
      </c>
      <c r="F762" s="103">
        <v>875</v>
      </c>
      <c r="G762" s="103">
        <v>4</v>
      </c>
      <c r="H762" s="137" t="s">
        <v>1442</v>
      </c>
      <c r="I762" s="103">
        <v>108</v>
      </c>
      <c r="K762" s="103" t="s">
        <v>1032</v>
      </c>
      <c r="L762" s="133">
        <v>0.31527777777777777</v>
      </c>
      <c r="M762" s="134">
        <v>7.3611111111111113E-2</v>
      </c>
      <c r="N762" s="137" t="s">
        <v>2638</v>
      </c>
      <c r="O762" s="133" t="s">
        <v>1663</v>
      </c>
      <c r="Q762" s="100" t="s">
        <v>2608</v>
      </c>
      <c r="R762" s="226" t="s">
        <v>2639</v>
      </c>
      <c r="S762" s="491">
        <f t="shared" si="23"/>
        <v>2.9398148000000001E-3</v>
      </c>
      <c r="T762" s="492">
        <f>IFERROR(VLOOKUP(F762,'Freq-Chan'!C:D,2,FALSE),"x")</f>
        <v>151.875</v>
      </c>
      <c r="U762" s="110" t="s">
        <v>541</v>
      </c>
      <c r="V762" s="110" t="str">
        <f t="shared" si="24"/>
        <v>FWL</v>
      </c>
      <c r="W762" s="110" t="s">
        <v>541</v>
      </c>
      <c r="X762" s="110" t="s">
        <v>541</v>
      </c>
      <c r="Y762" s="110" t="str">
        <f>IFERROR(VLOOKUP(F762,'Freq-Chan'!C:E,3,FALSE),"na")</f>
        <v>F1845</v>
      </c>
      <c r="Z762" s="110" t="s">
        <v>541</v>
      </c>
      <c r="AA762" s="110" t="s">
        <v>541</v>
      </c>
      <c r="AB762" s="110" t="s">
        <v>541</v>
      </c>
      <c r="AC762" s="10" t="s">
        <v>541</v>
      </c>
      <c r="AD762" s="10" t="s">
        <v>541</v>
      </c>
    </row>
    <row r="763" spans="1:30" s="291" customFormat="1" x14ac:dyDescent="0.2">
      <c r="A763" s="493">
        <v>762</v>
      </c>
      <c r="B763" s="283">
        <v>41830</v>
      </c>
      <c r="C763" s="284">
        <v>1</v>
      </c>
      <c r="D763" s="285" t="s">
        <v>2</v>
      </c>
      <c r="E763" s="285" t="s">
        <v>306</v>
      </c>
      <c r="F763" s="285">
        <v>875</v>
      </c>
      <c r="G763" s="285">
        <v>78</v>
      </c>
      <c r="H763" s="339" t="s">
        <v>1443</v>
      </c>
      <c r="I763" s="285">
        <v>52</v>
      </c>
      <c r="J763" s="285"/>
      <c r="K763" s="285" t="s">
        <v>364</v>
      </c>
      <c r="L763" s="286"/>
      <c r="M763" s="287">
        <v>5.1388888888888894E-2</v>
      </c>
      <c r="N763" s="339" t="s">
        <v>2617</v>
      </c>
      <c r="O763" s="286" t="s">
        <v>803</v>
      </c>
      <c r="P763" s="289"/>
      <c r="Q763" s="289" t="s">
        <v>2608</v>
      </c>
      <c r="R763" s="290" t="s">
        <v>2639</v>
      </c>
      <c r="S763" s="494" t="str">
        <f t="shared" si="23"/>
        <v>x</v>
      </c>
      <c r="T763" s="495">
        <f>IFERROR(VLOOKUP(F763,'Freq-Chan'!C:D,2,FALSE),"x")</f>
        <v>151.875</v>
      </c>
      <c r="U763" s="493" t="s">
        <v>541</v>
      </c>
      <c r="V763" s="493" t="str">
        <f t="shared" si="24"/>
        <v>FWL</v>
      </c>
      <c r="W763" s="493" t="s">
        <v>541</v>
      </c>
      <c r="X763" s="493" t="s">
        <v>541</v>
      </c>
      <c r="Y763" s="493" t="str">
        <f>IFERROR(VLOOKUP(F763,'Freq-Chan'!C:E,3,FALSE),"na")</f>
        <v>F1845</v>
      </c>
      <c r="Z763" s="493" t="s">
        <v>541</v>
      </c>
      <c r="AA763" s="493" t="s">
        <v>541</v>
      </c>
      <c r="AB763" s="493" t="s">
        <v>541</v>
      </c>
      <c r="AC763" s="291" t="s">
        <v>541</v>
      </c>
      <c r="AD763" s="291" t="s">
        <v>541</v>
      </c>
    </row>
    <row r="764" spans="1:30" x14ac:dyDescent="0.2">
      <c r="A764" s="110">
        <v>763</v>
      </c>
      <c r="B764" s="132">
        <v>41830</v>
      </c>
      <c r="C764" s="117">
        <v>2</v>
      </c>
      <c r="D764" s="103" t="s">
        <v>2</v>
      </c>
      <c r="E764" s="103" t="s">
        <v>306</v>
      </c>
      <c r="F764" s="103">
        <v>875</v>
      </c>
      <c r="G764" s="103">
        <v>28</v>
      </c>
      <c r="H764" s="137" t="s">
        <v>1434</v>
      </c>
      <c r="I764" s="103">
        <v>57</v>
      </c>
      <c r="K764" s="103" t="s">
        <v>364</v>
      </c>
      <c r="L764" s="133"/>
      <c r="M764" s="134">
        <v>4.3055555555555562E-2</v>
      </c>
      <c r="N764" s="137" t="s">
        <v>1637</v>
      </c>
      <c r="O764" s="133" t="s">
        <v>803</v>
      </c>
      <c r="P764" s="100" t="s">
        <v>1998</v>
      </c>
      <c r="Q764" s="100" t="s">
        <v>2618</v>
      </c>
      <c r="R764" s="226" t="s">
        <v>2639</v>
      </c>
      <c r="S764" s="491" t="str">
        <f t="shared" si="23"/>
        <v>x</v>
      </c>
      <c r="T764" s="492">
        <f>IFERROR(VLOOKUP(F764,'Freq-Chan'!C:D,2,FALSE),"x")</f>
        <v>151.875</v>
      </c>
      <c r="U764" s="110" t="s">
        <v>541</v>
      </c>
      <c r="V764" s="110" t="str">
        <f t="shared" si="24"/>
        <v>FWL</v>
      </c>
      <c r="W764" s="110" t="s">
        <v>541</v>
      </c>
      <c r="X764" s="110" t="s">
        <v>541</v>
      </c>
      <c r="Y764" s="110" t="str">
        <f>IFERROR(VLOOKUP(F764,'Freq-Chan'!C:E,3,FALSE),"na")</f>
        <v>F1845</v>
      </c>
      <c r="Z764" s="110" t="s">
        <v>541</v>
      </c>
      <c r="AA764" s="110" t="s">
        <v>541</v>
      </c>
      <c r="AB764" s="110" t="s">
        <v>541</v>
      </c>
      <c r="AC764" s="10" t="s">
        <v>541</v>
      </c>
      <c r="AD764" s="10" t="s">
        <v>541</v>
      </c>
    </row>
    <row r="765" spans="1:30" x14ac:dyDescent="0.2">
      <c r="A765" s="110">
        <v>764</v>
      </c>
      <c r="B765" s="132">
        <v>41830</v>
      </c>
      <c r="C765" s="117">
        <v>2</v>
      </c>
      <c r="D765" s="103" t="s">
        <v>2</v>
      </c>
      <c r="E765" s="103" t="s">
        <v>306</v>
      </c>
      <c r="F765" s="103">
        <v>364</v>
      </c>
      <c r="G765" s="103">
        <v>4</v>
      </c>
      <c r="H765" s="137" t="s">
        <v>1444</v>
      </c>
      <c r="I765" s="103">
        <v>63</v>
      </c>
      <c r="K765" s="103" t="s">
        <v>364</v>
      </c>
      <c r="L765" s="133"/>
      <c r="M765" s="134">
        <v>5.6250000000000001E-2</v>
      </c>
      <c r="N765" s="137" t="s">
        <v>2619</v>
      </c>
      <c r="O765" s="133" t="s">
        <v>1532</v>
      </c>
      <c r="Q765" s="100" t="s">
        <v>2620</v>
      </c>
      <c r="R765" s="226" t="s">
        <v>2639</v>
      </c>
      <c r="S765" s="491" t="str">
        <f t="shared" si="23"/>
        <v>x</v>
      </c>
      <c r="T765" s="492">
        <f>IFERROR(VLOOKUP(F765,'Freq-Chan'!C:D,2,FALSE),"x")</f>
        <v>151.364</v>
      </c>
      <c r="U765" s="110" t="s">
        <v>541</v>
      </c>
      <c r="V765" s="110" t="str">
        <f t="shared" si="24"/>
        <v>FWL</v>
      </c>
      <c r="W765" s="110" t="s">
        <v>541</v>
      </c>
      <c r="X765" s="110" t="s">
        <v>541</v>
      </c>
      <c r="Y765" s="110" t="str">
        <f>IFERROR(VLOOKUP(F765,'Freq-Chan'!C:E,3,FALSE),"na")</f>
        <v>F1845</v>
      </c>
      <c r="Z765" s="110" t="s">
        <v>541</v>
      </c>
      <c r="AA765" s="110" t="s">
        <v>541</v>
      </c>
      <c r="AB765" s="110" t="s">
        <v>541</v>
      </c>
      <c r="AC765" s="10" t="s">
        <v>541</v>
      </c>
      <c r="AD765" s="10" t="s">
        <v>541</v>
      </c>
    </row>
    <row r="766" spans="1:30" x14ac:dyDescent="0.2">
      <c r="A766" s="110">
        <v>765</v>
      </c>
      <c r="B766" s="132">
        <v>41830</v>
      </c>
      <c r="C766" s="117">
        <v>2</v>
      </c>
      <c r="D766" s="103" t="s">
        <v>8</v>
      </c>
      <c r="E766" s="103" t="s">
        <v>306</v>
      </c>
      <c r="F766" s="103">
        <v>586</v>
      </c>
      <c r="G766" s="103">
        <v>61</v>
      </c>
      <c r="H766" s="137" t="s">
        <v>2106</v>
      </c>
      <c r="I766" s="103">
        <v>44</v>
      </c>
      <c r="K766" s="103" t="s">
        <v>364</v>
      </c>
      <c r="L766" s="133"/>
      <c r="M766" s="134">
        <v>8.1944444444444445E-2</v>
      </c>
      <c r="N766" s="137" t="s">
        <v>2597</v>
      </c>
      <c r="O766" s="133" t="s">
        <v>1875</v>
      </c>
      <c r="Q766" s="100" t="s">
        <v>2612</v>
      </c>
      <c r="R766" s="226" t="s">
        <v>2639</v>
      </c>
      <c r="S766" s="491" t="str">
        <f t="shared" si="23"/>
        <v>x</v>
      </c>
      <c r="T766" s="492">
        <f>IFERROR(VLOOKUP(F766,'Freq-Chan'!C:D,2,FALSE),"x")</f>
        <v>151.58600000000001</v>
      </c>
      <c r="U766" s="110" t="s">
        <v>541</v>
      </c>
      <c r="V766" s="110" t="str">
        <f t="shared" si="24"/>
        <v>FWL</v>
      </c>
      <c r="W766" s="110" t="s">
        <v>541</v>
      </c>
      <c r="X766" s="110" t="s">
        <v>541</v>
      </c>
      <c r="Y766" s="110" t="str">
        <f>IFERROR(VLOOKUP(F766,'Freq-Chan'!C:E,3,FALSE),"na")</f>
        <v>F1840</v>
      </c>
      <c r="Z766" s="110" t="s">
        <v>541</v>
      </c>
      <c r="AA766" s="110" t="s">
        <v>541</v>
      </c>
      <c r="AB766" s="110" t="s">
        <v>541</v>
      </c>
      <c r="AC766" s="10" t="s">
        <v>541</v>
      </c>
      <c r="AD766" s="10" t="s">
        <v>541</v>
      </c>
    </row>
    <row r="767" spans="1:30" s="291" customFormat="1" x14ac:dyDescent="0.2">
      <c r="A767" s="493">
        <v>766</v>
      </c>
      <c r="B767" s="283">
        <v>41830</v>
      </c>
      <c r="C767" s="284">
        <v>2</v>
      </c>
      <c r="D767" s="285" t="s">
        <v>177</v>
      </c>
      <c r="E767" s="285" t="s">
        <v>0</v>
      </c>
      <c r="F767" s="285"/>
      <c r="G767" s="285"/>
      <c r="H767" s="285"/>
      <c r="I767" s="285">
        <v>35</v>
      </c>
      <c r="J767" s="285"/>
      <c r="K767" s="285" t="s">
        <v>364</v>
      </c>
      <c r="L767" s="286"/>
      <c r="M767" s="287">
        <v>2.4999999999999998E-2</v>
      </c>
      <c r="N767" s="339" t="s">
        <v>2621</v>
      </c>
      <c r="O767" s="286" t="s">
        <v>1532</v>
      </c>
      <c r="P767" s="289" t="s">
        <v>776</v>
      </c>
      <c r="Q767" s="289" t="s">
        <v>2612</v>
      </c>
      <c r="R767" s="290" t="s">
        <v>2639</v>
      </c>
      <c r="S767" s="494" t="str">
        <f t="shared" si="23"/>
        <v>x</v>
      </c>
      <c r="T767" s="495" t="str">
        <f>IFERROR(VLOOKUP(F767,'Freq-Chan'!C:D,2,FALSE),"x")</f>
        <v>x</v>
      </c>
      <c r="U767" s="493" t="s">
        <v>541</v>
      </c>
      <c r="V767" s="493" t="str">
        <f t="shared" si="24"/>
        <v>FWL</v>
      </c>
      <c r="W767" s="493" t="s">
        <v>541</v>
      </c>
      <c r="X767" s="493" t="s">
        <v>541</v>
      </c>
      <c r="Y767" s="493" t="str">
        <f>IFERROR(VLOOKUP(F767,'Freq-Chan'!C:E,3,FALSE),"na")</f>
        <v>na</v>
      </c>
      <c r="Z767" s="493" t="s">
        <v>541</v>
      </c>
      <c r="AA767" s="493" t="s">
        <v>541</v>
      </c>
      <c r="AB767" s="493" t="s">
        <v>541</v>
      </c>
      <c r="AC767" s="291" t="s">
        <v>541</v>
      </c>
      <c r="AD767" s="291" t="s">
        <v>541</v>
      </c>
    </row>
    <row r="768" spans="1:30" x14ac:dyDescent="0.2">
      <c r="A768" s="110">
        <v>767</v>
      </c>
      <c r="B768" s="132">
        <v>41830</v>
      </c>
      <c r="C768" s="117">
        <v>3</v>
      </c>
      <c r="D768" s="103" t="s">
        <v>2</v>
      </c>
      <c r="E768" s="103" t="s">
        <v>306</v>
      </c>
      <c r="F768" s="103">
        <v>875</v>
      </c>
      <c r="G768" s="103">
        <v>77</v>
      </c>
      <c r="H768" s="137" t="s">
        <v>1418</v>
      </c>
      <c r="I768" s="103">
        <v>85</v>
      </c>
      <c r="K768" s="103" t="s">
        <v>364</v>
      </c>
      <c r="L768" s="133"/>
      <c r="M768" s="134">
        <v>6.25E-2</v>
      </c>
      <c r="N768" s="137" t="s">
        <v>1635</v>
      </c>
      <c r="O768" s="133" t="s">
        <v>802</v>
      </c>
      <c r="P768" s="100" t="s">
        <v>1998</v>
      </c>
      <c r="Q768" s="100" t="s">
        <v>2611</v>
      </c>
      <c r="R768" s="226" t="s">
        <v>2639</v>
      </c>
      <c r="S768" s="491" t="str">
        <f t="shared" si="23"/>
        <v>x</v>
      </c>
      <c r="T768" s="492">
        <f>IFERROR(VLOOKUP(F768,'Freq-Chan'!C:D,2,FALSE),"x")</f>
        <v>151.875</v>
      </c>
      <c r="U768" s="110" t="s">
        <v>541</v>
      </c>
      <c r="V768" s="110" t="str">
        <f t="shared" si="24"/>
        <v>FWL</v>
      </c>
      <c r="W768" s="110" t="s">
        <v>541</v>
      </c>
      <c r="X768" s="110" t="s">
        <v>541</v>
      </c>
      <c r="Y768" s="110" t="str">
        <f>IFERROR(VLOOKUP(F768,'Freq-Chan'!C:E,3,FALSE),"na")</f>
        <v>F1845</v>
      </c>
      <c r="Z768" s="110" t="s">
        <v>541</v>
      </c>
      <c r="AA768" s="110" t="s">
        <v>541</v>
      </c>
      <c r="AB768" s="110" t="s">
        <v>541</v>
      </c>
      <c r="AC768" s="10" t="s">
        <v>541</v>
      </c>
      <c r="AD768" s="10" t="s">
        <v>541</v>
      </c>
    </row>
    <row r="769" spans="1:30" x14ac:dyDescent="0.2">
      <c r="A769" s="110">
        <v>768</v>
      </c>
      <c r="B769" s="132">
        <v>41830</v>
      </c>
      <c r="C769" s="117">
        <v>3</v>
      </c>
      <c r="D769" s="103" t="s">
        <v>2</v>
      </c>
      <c r="E769" s="103" t="s">
        <v>306</v>
      </c>
      <c r="F769" s="103">
        <v>875</v>
      </c>
      <c r="G769" s="103">
        <v>3</v>
      </c>
      <c r="H769" s="137" t="s">
        <v>1419</v>
      </c>
      <c r="I769" s="103">
        <v>55</v>
      </c>
      <c r="K769" s="103" t="s">
        <v>364</v>
      </c>
      <c r="L769" s="136"/>
      <c r="M769" s="134">
        <v>7.2916666666666671E-2</v>
      </c>
      <c r="N769" s="137" t="s">
        <v>1978</v>
      </c>
      <c r="O769" s="133" t="s">
        <v>1888</v>
      </c>
      <c r="P769" s="100" t="s">
        <v>1998</v>
      </c>
      <c r="Q769" s="100" t="s">
        <v>2611</v>
      </c>
      <c r="R769" s="226" t="s">
        <v>2639</v>
      </c>
      <c r="S769" s="491" t="str">
        <f t="shared" si="23"/>
        <v>x</v>
      </c>
      <c r="T769" s="492">
        <f>IFERROR(VLOOKUP(F769,'Freq-Chan'!C:D,2,FALSE),"x")</f>
        <v>151.875</v>
      </c>
      <c r="U769" s="110" t="s">
        <v>541</v>
      </c>
      <c r="V769" s="110" t="str">
        <f t="shared" si="24"/>
        <v>FWL</v>
      </c>
      <c r="W769" s="110" t="s">
        <v>541</v>
      </c>
      <c r="X769" s="110" t="s">
        <v>541</v>
      </c>
      <c r="Y769" s="110" t="str">
        <f>IFERROR(VLOOKUP(F769,'Freq-Chan'!C:E,3,FALSE),"na")</f>
        <v>F1845</v>
      </c>
      <c r="Z769" s="110" t="s">
        <v>541</v>
      </c>
      <c r="AA769" s="110" t="s">
        <v>541</v>
      </c>
      <c r="AB769" s="110" t="s">
        <v>541</v>
      </c>
      <c r="AC769" s="10" t="s">
        <v>541</v>
      </c>
      <c r="AD769" s="10" t="s">
        <v>541</v>
      </c>
    </row>
    <row r="770" spans="1:30" x14ac:dyDescent="0.2">
      <c r="A770" s="110">
        <v>769</v>
      </c>
      <c r="B770" s="132">
        <v>41830</v>
      </c>
      <c r="C770" s="117">
        <v>3</v>
      </c>
      <c r="D770" s="103" t="s">
        <v>2</v>
      </c>
      <c r="E770" s="103" t="s">
        <v>306</v>
      </c>
      <c r="F770" s="103">
        <v>364</v>
      </c>
      <c r="G770" s="103">
        <v>25</v>
      </c>
      <c r="H770" s="137" t="s">
        <v>1435</v>
      </c>
      <c r="I770" s="103">
        <v>64</v>
      </c>
      <c r="K770" s="103" t="s">
        <v>364</v>
      </c>
      <c r="L770" s="133"/>
      <c r="M770" s="134">
        <v>4.7916666666666663E-2</v>
      </c>
      <c r="N770" s="137" t="s">
        <v>2003</v>
      </c>
      <c r="O770" s="133" t="s">
        <v>1888</v>
      </c>
      <c r="P770" s="100" t="s">
        <v>1998</v>
      </c>
      <c r="Q770" s="100" t="s">
        <v>2611</v>
      </c>
      <c r="R770" s="226" t="s">
        <v>2639</v>
      </c>
      <c r="S770" s="491" t="str">
        <f t="shared" si="23"/>
        <v>x</v>
      </c>
      <c r="T770" s="492">
        <f>IFERROR(VLOOKUP(F770,'Freq-Chan'!C:D,2,FALSE),"x")</f>
        <v>151.364</v>
      </c>
      <c r="U770" s="110" t="s">
        <v>541</v>
      </c>
      <c r="V770" s="110" t="str">
        <f t="shared" si="24"/>
        <v>FWL</v>
      </c>
      <c r="W770" s="110" t="s">
        <v>541</v>
      </c>
      <c r="X770" s="110" t="s">
        <v>541</v>
      </c>
      <c r="Y770" s="110" t="str">
        <f>IFERROR(VLOOKUP(F770,'Freq-Chan'!C:E,3,FALSE),"na")</f>
        <v>F1845</v>
      </c>
      <c r="Z770" s="110" t="s">
        <v>541</v>
      </c>
      <c r="AA770" s="110" t="s">
        <v>541</v>
      </c>
      <c r="AB770" s="110" t="s">
        <v>541</v>
      </c>
      <c r="AC770" s="10" t="s">
        <v>541</v>
      </c>
      <c r="AD770" s="10" t="s">
        <v>541</v>
      </c>
    </row>
    <row r="771" spans="1:30" x14ac:dyDescent="0.2">
      <c r="A771" s="110">
        <v>770</v>
      </c>
      <c r="B771" s="132">
        <v>41830</v>
      </c>
      <c r="C771" s="117">
        <v>3</v>
      </c>
      <c r="D771" s="103" t="s">
        <v>2</v>
      </c>
      <c r="E771" s="103" t="s">
        <v>306</v>
      </c>
      <c r="F771" s="103">
        <v>364</v>
      </c>
      <c r="G771" s="103">
        <v>33</v>
      </c>
      <c r="H771" s="137" t="s">
        <v>1436</v>
      </c>
      <c r="I771" s="103">
        <v>71</v>
      </c>
      <c r="K771" s="103" t="s">
        <v>364</v>
      </c>
      <c r="L771" s="133"/>
      <c r="M771" s="134">
        <v>4.9305555555555554E-2</v>
      </c>
      <c r="N771" s="137" t="s">
        <v>2622</v>
      </c>
      <c r="O771" s="133" t="s">
        <v>802</v>
      </c>
      <c r="P771" s="100" t="s">
        <v>1786</v>
      </c>
      <c r="Q771" s="100" t="s">
        <v>2611</v>
      </c>
      <c r="R771" s="226" t="s">
        <v>2639</v>
      </c>
      <c r="S771" s="491" t="str">
        <f t="shared" ref="S771:S834" si="25">IF(IF(OR(L771=0,N771=0),"x",ROUND(N771-L771-(M771*24)/(24*60),10))&lt;0,0,IF(OR(L771=0,N771=0),"x",ROUND(N771-L771-(M771*24)/(24*60),10)))</f>
        <v>x</v>
      </c>
      <c r="T771" s="492">
        <f>IFERROR(VLOOKUP(F771,'Freq-Chan'!C:D,2,FALSE),"x")</f>
        <v>151.364</v>
      </c>
      <c r="U771" s="110" t="s">
        <v>541</v>
      </c>
      <c r="V771" s="110" t="str">
        <f t="shared" ref="V771:V834" si="26">IF(OR(C771=1,C771=2,C771=3),"FWL","NRD")</f>
        <v>FWL</v>
      </c>
      <c r="W771" s="110" t="s">
        <v>541</v>
      </c>
      <c r="X771" s="110" t="s">
        <v>541</v>
      </c>
      <c r="Y771" s="110" t="str">
        <f>IFERROR(VLOOKUP(F771,'Freq-Chan'!C:E,3,FALSE),"na")</f>
        <v>F1845</v>
      </c>
      <c r="Z771" s="110" t="s">
        <v>541</v>
      </c>
      <c r="AA771" s="110" t="s">
        <v>541</v>
      </c>
      <c r="AB771" s="110" t="s">
        <v>541</v>
      </c>
      <c r="AC771" s="10" t="s">
        <v>541</v>
      </c>
      <c r="AD771" s="10" t="s">
        <v>541</v>
      </c>
    </row>
    <row r="772" spans="1:30" x14ac:dyDescent="0.2">
      <c r="A772" s="110">
        <v>771</v>
      </c>
      <c r="B772" s="132">
        <v>41830</v>
      </c>
      <c r="C772" s="117">
        <v>3</v>
      </c>
      <c r="D772" s="103" t="s">
        <v>2</v>
      </c>
      <c r="E772" s="103" t="s">
        <v>306</v>
      </c>
      <c r="F772" s="103">
        <v>875</v>
      </c>
      <c r="G772" s="103">
        <v>18</v>
      </c>
      <c r="H772" s="137" t="s">
        <v>1437</v>
      </c>
      <c r="I772" s="103">
        <v>83</v>
      </c>
      <c r="K772" s="103" t="s">
        <v>364</v>
      </c>
      <c r="L772" s="133"/>
      <c r="M772" s="134">
        <v>8.4722222222222213E-2</v>
      </c>
      <c r="N772" s="137" t="s">
        <v>2623</v>
      </c>
      <c r="O772" s="133" t="s">
        <v>802</v>
      </c>
      <c r="P772" s="100" t="s">
        <v>1786</v>
      </c>
      <c r="Q772" s="100" t="s">
        <v>2611</v>
      </c>
      <c r="R772" s="226" t="s">
        <v>2639</v>
      </c>
      <c r="S772" s="491" t="str">
        <f t="shared" si="25"/>
        <v>x</v>
      </c>
      <c r="T772" s="492">
        <f>IFERROR(VLOOKUP(F772,'Freq-Chan'!C:D,2,FALSE),"x")</f>
        <v>151.875</v>
      </c>
      <c r="U772" s="110" t="s">
        <v>541</v>
      </c>
      <c r="V772" s="110" t="str">
        <f t="shared" si="26"/>
        <v>FWL</v>
      </c>
      <c r="W772" s="110" t="s">
        <v>541</v>
      </c>
      <c r="X772" s="110" t="s">
        <v>541</v>
      </c>
      <c r="Y772" s="110" t="str">
        <f>IFERROR(VLOOKUP(F772,'Freq-Chan'!C:E,3,FALSE),"na")</f>
        <v>F1845</v>
      </c>
      <c r="Z772" s="110" t="s">
        <v>541</v>
      </c>
      <c r="AA772" s="110" t="s">
        <v>541</v>
      </c>
      <c r="AB772" s="110" t="s">
        <v>541</v>
      </c>
      <c r="AC772" s="10" t="s">
        <v>541</v>
      </c>
      <c r="AD772" s="10" t="s">
        <v>541</v>
      </c>
    </row>
    <row r="773" spans="1:30" x14ac:dyDescent="0.2">
      <c r="A773" s="110">
        <v>772</v>
      </c>
      <c r="B773" s="132">
        <v>41830</v>
      </c>
      <c r="C773" s="117">
        <v>3</v>
      </c>
      <c r="D773" s="103" t="s">
        <v>2</v>
      </c>
      <c r="E773" s="103" t="s">
        <v>306</v>
      </c>
      <c r="F773" s="103">
        <v>364</v>
      </c>
      <c r="G773" s="103">
        <v>13</v>
      </c>
      <c r="H773" s="137" t="s">
        <v>1438</v>
      </c>
      <c r="I773" s="103">
        <v>63</v>
      </c>
      <c r="K773" s="103" t="s">
        <v>364</v>
      </c>
      <c r="L773" s="133"/>
      <c r="M773" s="134">
        <v>6.25E-2</v>
      </c>
      <c r="N773" s="137" t="s">
        <v>2624</v>
      </c>
      <c r="O773" s="133" t="s">
        <v>1888</v>
      </c>
      <c r="P773" s="100" t="s">
        <v>1786</v>
      </c>
      <c r="Q773" s="100" t="s">
        <v>2611</v>
      </c>
      <c r="R773" s="226" t="s">
        <v>2639</v>
      </c>
      <c r="S773" s="491" t="str">
        <f t="shared" si="25"/>
        <v>x</v>
      </c>
      <c r="T773" s="492">
        <f>IFERROR(VLOOKUP(F773,'Freq-Chan'!C:D,2,FALSE),"x")</f>
        <v>151.364</v>
      </c>
      <c r="U773" s="110" t="s">
        <v>541</v>
      </c>
      <c r="V773" s="110" t="str">
        <f t="shared" si="26"/>
        <v>FWL</v>
      </c>
      <c r="W773" s="110" t="s">
        <v>541</v>
      </c>
      <c r="X773" s="110" t="s">
        <v>541</v>
      </c>
      <c r="Y773" s="110" t="str">
        <f>IFERROR(VLOOKUP(F773,'Freq-Chan'!C:E,3,FALSE),"na")</f>
        <v>F1845</v>
      </c>
      <c r="Z773" s="110" t="s">
        <v>541</v>
      </c>
      <c r="AA773" s="110" t="s">
        <v>541</v>
      </c>
      <c r="AB773" s="110" t="s">
        <v>541</v>
      </c>
      <c r="AC773" s="10" t="s">
        <v>541</v>
      </c>
      <c r="AD773" s="10" t="s">
        <v>541</v>
      </c>
    </row>
    <row r="774" spans="1:30" x14ac:dyDescent="0.2">
      <c r="A774" s="110">
        <v>773</v>
      </c>
      <c r="B774" s="132">
        <v>41830</v>
      </c>
      <c r="C774" s="117">
        <v>3</v>
      </c>
      <c r="D774" s="103" t="s">
        <v>177</v>
      </c>
      <c r="E774" s="103" t="s">
        <v>0</v>
      </c>
      <c r="H774" s="103"/>
      <c r="I774" s="103">
        <v>35</v>
      </c>
      <c r="K774" s="103" t="s">
        <v>364</v>
      </c>
      <c r="L774" s="133"/>
      <c r="M774" s="134">
        <v>2.0833333333333332E-2</v>
      </c>
      <c r="N774" s="137" t="s">
        <v>2625</v>
      </c>
      <c r="O774" s="133" t="s">
        <v>802</v>
      </c>
      <c r="P774" s="100" t="s">
        <v>2626</v>
      </c>
      <c r="Q774" s="100" t="s">
        <v>2611</v>
      </c>
      <c r="R774" s="226" t="s">
        <v>2639</v>
      </c>
      <c r="S774" s="491" t="str">
        <f t="shared" si="25"/>
        <v>x</v>
      </c>
      <c r="T774" s="492" t="str">
        <f>IFERROR(VLOOKUP(F774,'Freq-Chan'!C:D,2,FALSE),"x")</f>
        <v>x</v>
      </c>
      <c r="U774" s="110" t="s">
        <v>541</v>
      </c>
      <c r="V774" s="110" t="str">
        <f t="shared" si="26"/>
        <v>FWL</v>
      </c>
      <c r="W774" s="110" t="s">
        <v>541</v>
      </c>
      <c r="X774" s="110" t="s">
        <v>541</v>
      </c>
      <c r="Y774" s="110" t="str">
        <f>IFERROR(VLOOKUP(F774,'Freq-Chan'!C:E,3,FALSE),"na")</f>
        <v>na</v>
      </c>
      <c r="Z774" s="110" t="s">
        <v>541</v>
      </c>
      <c r="AA774" s="110" t="s">
        <v>541</v>
      </c>
      <c r="AB774" s="110" t="s">
        <v>541</v>
      </c>
      <c r="AC774" s="10" t="s">
        <v>541</v>
      </c>
      <c r="AD774" s="10" t="s">
        <v>541</v>
      </c>
    </row>
    <row r="775" spans="1:30" x14ac:dyDescent="0.2">
      <c r="A775" s="110">
        <v>774</v>
      </c>
      <c r="B775" s="132">
        <v>41830</v>
      </c>
      <c r="C775" s="117">
        <v>3</v>
      </c>
      <c r="D775" s="103" t="s">
        <v>97</v>
      </c>
      <c r="E775" s="103" t="s">
        <v>798</v>
      </c>
      <c r="H775" s="103"/>
      <c r="J775" s="103">
        <v>26</v>
      </c>
      <c r="K775" s="103" t="s">
        <v>364</v>
      </c>
      <c r="L775" s="133"/>
      <c r="M775" s="134">
        <v>2.0833333333333332E-2</v>
      </c>
      <c r="N775" s="137" t="s">
        <v>1845</v>
      </c>
      <c r="O775" s="133" t="s">
        <v>1888</v>
      </c>
      <c r="P775" s="100" t="s">
        <v>2627</v>
      </c>
      <c r="Q775" s="100" t="s">
        <v>2611</v>
      </c>
      <c r="R775" s="226" t="s">
        <v>2639</v>
      </c>
      <c r="S775" s="491" t="str">
        <f t="shared" si="25"/>
        <v>x</v>
      </c>
      <c r="T775" s="492" t="str">
        <f>IFERROR(VLOOKUP(F775,'Freq-Chan'!C:D,2,FALSE),"x")</f>
        <v>x</v>
      </c>
      <c r="U775" s="110" t="s">
        <v>541</v>
      </c>
      <c r="V775" s="110" t="str">
        <f t="shared" si="26"/>
        <v>FWL</v>
      </c>
      <c r="W775" s="110" t="s">
        <v>541</v>
      </c>
      <c r="X775" s="110" t="s">
        <v>541</v>
      </c>
      <c r="Y775" s="110" t="str">
        <f>IFERROR(VLOOKUP(F775,'Freq-Chan'!C:E,3,FALSE),"na")</f>
        <v>na</v>
      </c>
      <c r="Z775" s="110" t="s">
        <v>541</v>
      </c>
      <c r="AA775" s="110" t="s">
        <v>541</v>
      </c>
      <c r="AB775" s="110" t="s">
        <v>541</v>
      </c>
      <c r="AC775" s="10" t="s">
        <v>541</v>
      </c>
      <c r="AD775" s="10" t="s">
        <v>541</v>
      </c>
    </row>
    <row r="776" spans="1:30" x14ac:dyDescent="0.2">
      <c r="A776" s="110">
        <v>775</v>
      </c>
      <c r="B776" s="132">
        <v>41830</v>
      </c>
      <c r="C776" s="117">
        <v>3</v>
      </c>
      <c r="D776" s="103" t="s">
        <v>2</v>
      </c>
      <c r="E776" s="103" t="s">
        <v>306</v>
      </c>
      <c r="H776" s="103"/>
      <c r="K776" s="103" t="s">
        <v>364</v>
      </c>
      <c r="L776" s="133"/>
      <c r="M776" s="134">
        <v>1.3888888888888888E-2</v>
      </c>
      <c r="N776" s="137" t="s">
        <v>2523</v>
      </c>
      <c r="O776" s="133"/>
      <c r="P776" s="100" t="s">
        <v>2628</v>
      </c>
      <c r="Q776" s="100" t="s">
        <v>2611</v>
      </c>
      <c r="R776" s="226" t="s">
        <v>2639</v>
      </c>
      <c r="S776" s="491" t="str">
        <f t="shared" si="25"/>
        <v>x</v>
      </c>
      <c r="T776" s="492" t="str">
        <f>IFERROR(VLOOKUP(F776,'Freq-Chan'!C:D,2,FALSE),"x")</f>
        <v>x</v>
      </c>
      <c r="U776" s="110" t="s">
        <v>541</v>
      </c>
      <c r="V776" s="110" t="str">
        <f t="shared" si="26"/>
        <v>FWL</v>
      </c>
      <c r="W776" s="110" t="s">
        <v>541</v>
      </c>
      <c r="X776" s="110" t="s">
        <v>541</v>
      </c>
      <c r="Y776" s="110" t="str">
        <f>IFERROR(VLOOKUP(F776,'Freq-Chan'!C:E,3,FALSE),"na")</f>
        <v>na</v>
      </c>
      <c r="Z776" s="110" t="s">
        <v>541</v>
      </c>
      <c r="AA776" s="110" t="s">
        <v>541</v>
      </c>
      <c r="AB776" s="110" t="s">
        <v>541</v>
      </c>
      <c r="AC776" s="10" t="s">
        <v>541</v>
      </c>
      <c r="AD776" s="10" t="s">
        <v>541</v>
      </c>
    </row>
    <row r="777" spans="1:30" x14ac:dyDescent="0.2">
      <c r="A777" s="110">
        <v>776</v>
      </c>
      <c r="B777" s="132">
        <v>41830</v>
      </c>
      <c r="C777" s="117">
        <v>3</v>
      </c>
      <c r="D777" s="103" t="s">
        <v>2</v>
      </c>
      <c r="E777" s="103" t="s">
        <v>306</v>
      </c>
      <c r="F777" s="103">
        <v>875</v>
      </c>
      <c r="G777" s="103">
        <v>26</v>
      </c>
      <c r="H777" s="137" t="s">
        <v>1439</v>
      </c>
      <c r="I777" s="103">
        <v>86</v>
      </c>
      <c r="K777" s="103" t="s">
        <v>364</v>
      </c>
      <c r="L777" s="133"/>
      <c r="M777" s="134">
        <v>7.6388888888888895E-2</v>
      </c>
      <c r="N777" s="137" t="s">
        <v>2629</v>
      </c>
      <c r="O777" s="133" t="s">
        <v>804</v>
      </c>
      <c r="Q777" s="100" t="s">
        <v>2630</v>
      </c>
      <c r="R777" s="226" t="s">
        <v>2639</v>
      </c>
      <c r="S777" s="491" t="str">
        <f t="shared" si="25"/>
        <v>x</v>
      </c>
      <c r="T777" s="492">
        <f>IFERROR(VLOOKUP(F777,'Freq-Chan'!C:D,2,FALSE),"x")</f>
        <v>151.875</v>
      </c>
      <c r="U777" s="110" t="s">
        <v>541</v>
      </c>
      <c r="V777" s="110" t="str">
        <f t="shared" si="26"/>
        <v>FWL</v>
      </c>
      <c r="W777" s="110" t="s">
        <v>541</v>
      </c>
      <c r="X777" s="110" t="s">
        <v>541</v>
      </c>
      <c r="Y777" s="110" t="str">
        <f>IFERROR(VLOOKUP(F777,'Freq-Chan'!C:E,3,FALSE),"na")</f>
        <v>F1845</v>
      </c>
      <c r="Z777" s="110" t="s">
        <v>541</v>
      </c>
      <c r="AA777" s="110" t="s">
        <v>541</v>
      </c>
      <c r="AB777" s="110" t="s">
        <v>541</v>
      </c>
      <c r="AC777" s="10" t="s">
        <v>541</v>
      </c>
      <c r="AD777" s="10" t="s">
        <v>541</v>
      </c>
    </row>
    <row r="778" spans="1:30" x14ac:dyDescent="0.2">
      <c r="A778" s="110">
        <v>777</v>
      </c>
      <c r="B778" s="132">
        <v>41830</v>
      </c>
      <c r="C778" s="117">
        <v>3</v>
      </c>
      <c r="D778" s="103" t="s">
        <v>177</v>
      </c>
      <c r="E778" s="103" t="s">
        <v>0</v>
      </c>
      <c r="H778" s="103"/>
      <c r="I778" s="103">
        <v>38</v>
      </c>
      <c r="K778" s="103" t="s">
        <v>364</v>
      </c>
      <c r="L778" s="133"/>
      <c r="M778" s="134">
        <v>3.4722222222222224E-2</v>
      </c>
      <c r="N778" s="137" t="s">
        <v>2631</v>
      </c>
      <c r="O778" s="133" t="s">
        <v>1875</v>
      </c>
      <c r="P778" s="100" t="s">
        <v>776</v>
      </c>
      <c r="Q778" s="100" t="s">
        <v>2630</v>
      </c>
      <c r="R778" s="226" t="s">
        <v>2639</v>
      </c>
      <c r="S778" s="491" t="str">
        <f t="shared" si="25"/>
        <v>x</v>
      </c>
      <c r="T778" s="492" t="str">
        <f>IFERROR(VLOOKUP(F778,'Freq-Chan'!C:D,2,FALSE),"x")</f>
        <v>x</v>
      </c>
      <c r="U778" s="110" t="s">
        <v>541</v>
      </c>
      <c r="V778" s="110" t="str">
        <f t="shared" si="26"/>
        <v>FWL</v>
      </c>
      <c r="W778" s="110" t="s">
        <v>541</v>
      </c>
      <c r="X778" s="110" t="s">
        <v>541</v>
      </c>
      <c r="Y778" s="110" t="str">
        <f>IFERROR(VLOOKUP(F778,'Freq-Chan'!C:E,3,FALSE),"na")</f>
        <v>na</v>
      </c>
      <c r="Z778" s="110" t="s">
        <v>541</v>
      </c>
      <c r="AA778" s="110" t="s">
        <v>541</v>
      </c>
      <c r="AB778" s="110" t="s">
        <v>541</v>
      </c>
      <c r="AC778" s="10" t="s">
        <v>541</v>
      </c>
      <c r="AD778" s="10" t="s">
        <v>541</v>
      </c>
    </row>
    <row r="779" spans="1:30" x14ac:dyDescent="0.2">
      <c r="A779" s="110">
        <v>778</v>
      </c>
      <c r="B779" s="132">
        <v>41830</v>
      </c>
      <c r="C779" s="117">
        <v>3</v>
      </c>
      <c r="D779" s="103" t="s">
        <v>97</v>
      </c>
      <c r="E779" s="103" t="s">
        <v>798</v>
      </c>
      <c r="H779" s="103"/>
      <c r="J779" s="103">
        <v>19</v>
      </c>
      <c r="K779" s="103" t="s">
        <v>364</v>
      </c>
      <c r="L779" s="133"/>
      <c r="M779" s="134">
        <v>1.3888888888888888E-2</v>
      </c>
      <c r="N779" s="137" t="s">
        <v>2632</v>
      </c>
      <c r="O779" s="133" t="s">
        <v>1875</v>
      </c>
      <c r="Q779" s="100" t="s">
        <v>2630</v>
      </c>
      <c r="R779" s="226" t="s">
        <v>2639</v>
      </c>
      <c r="S779" s="491" t="str">
        <f t="shared" si="25"/>
        <v>x</v>
      </c>
      <c r="T779" s="492" t="str">
        <f>IFERROR(VLOOKUP(F779,'Freq-Chan'!C:D,2,FALSE),"x")</f>
        <v>x</v>
      </c>
      <c r="U779" s="110" t="s">
        <v>541</v>
      </c>
      <c r="V779" s="110" t="str">
        <f t="shared" si="26"/>
        <v>FWL</v>
      </c>
      <c r="W779" s="110" t="s">
        <v>541</v>
      </c>
      <c r="X779" s="110" t="s">
        <v>541</v>
      </c>
      <c r="Y779" s="110" t="str">
        <f>IFERROR(VLOOKUP(F779,'Freq-Chan'!C:E,3,FALSE),"na")</f>
        <v>na</v>
      </c>
      <c r="Z779" s="110" t="s">
        <v>541</v>
      </c>
      <c r="AA779" s="110" t="s">
        <v>541</v>
      </c>
      <c r="AB779" s="110" t="s">
        <v>541</v>
      </c>
      <c r="AC779" s="10" t="s">
        <v>541</v>
      </c>
      <c r="AD779" s="10" t="s">
        <v>541</v>
      </c>
    </row>
    <row r="780" spans="1:30" x14ac:dyDescent="0.2">
      <c r="A780" s="110">
        <v>779</v>
      </c>
      <c r="B780" s="132">
        <v>41830</v>
      </c>
      <c r="C780" s="117">
        <v>3</v>
      </c>
      <c r="D780" s="103" t="s">
        <v>177</v>
      </c>
      <c r="E780" s="103" t="s">
        <v>0</v>
      </c>
      <c r="H780" s="103"/>
      <c r="I780" s="103">
        <v>30</v>
      </c>
      <c r="K780" s="103" t="s">
        <v>364</v>
      </c>
      <c r="L780" s="133"/>
      <c r="M780" s="134">
        <v>1.7361111111111112E-2</v>
      </c>
      <c r="N780" s="137" t="s">
        <v>2633</v>
      </c>
      <c r="O780" s="133" t="s">
        <v>803</v>
      </c>
      <c r="P780" s="100" t="s">
        <v>776</v>
      </c>
      <c r="Q780" s="100" t="s">
        <v>2615</v>
      </c>
      <c r="R780" s="226" t="s">
        <v>2639</v>
      </c>
      <c r="S780" s="491" t="str">
        <f t="shared" si="25"/>
        <v>x</v>
      </c>
      <c r="T780" s="492" t="str">
        <f>IFERROR(VLOOKUP(F780,'Freq-Chan'!C:D,2,FALSE),"x")</f>
        <v>x</v>
      </c>
      <c r="U780" s="110" t="s">
        <v>541</v>
      </c>
      <c r="V780" s="110" t="str">
        <f t="shared" si="26"/>
        <v>FWL</v>
      </c>
      <c r="W780" s="110" t="s">
        <v>541</v>
      </c>
      <c r="X780" s="110" t="s">
        <v>541</v>
      </c>
      <c r="Y780" s="110" t="str">
        <f>IFERROR(VLOOKUP(F780,'Freq-Chan'!C:E,3,FALSE),"na")</f>
        <v>na</v>
      </c>
      <c r="Z780" s="110" t="s">
        <v>541</v>
      </c>
      <c r="AA780" s="110" t="s">
        <v>541</v>
      </c>
      <c r="AB780" s="110" t="s">
        <v>541</v>
      </c>
      <c r="AC780" s="10" t="s">
        <v>541</v>
      </c>
      <c r="AD780" s="10" t="s">
        <v>541</v>
      </c>
    </row>
    <row r="781" spans="1:30" x14ac:dyDescent="0.2">
      <c r="A781" s="110">
        <v>780</v>
      </c>
      <c r="B781" s="132">
        <v>41830</v>
      </c>
      <c r="C781" s="117">
        <v>3</v>
      </c>
      <c r="D781" s="103" t="s">
        <v>2</v>
      </c>
      <c r="E781" s="103" t="s">
        <v>306</v>
      </c>
      <c r="F781" s="103">
        <v>875</v>
      </c>
      <c r="G781" s="103">
        <v>62</v>
      </c>
      <c r="H781" s="137" t="s">
        <v>1440</v>
      </c>
      <c r="I781" s="103">
        <v>63</v>
      </c>
      <c r="K781" s="103" t="s">
        <v>364</v>
      </c>
      <c r="L781" s="133">
        <v>0.65555555555555556</v>
      </c>
      <c r="M781" s="134">
        <v>4.0972222222222222E-2</v>
      </c>
      <c r="N781" s="137" t="s">
        <v>2634</v>
      </c>
      <c r="O781" s="133" t="s">
        <v>802</v>
      </c>
      <c r="Q781" s="100" t="s">
        <v>2615</v>
      </c>
      <c r="R781" s="226" t="s">
        <v>2639</v>
      </c>
      <c r="S781" s="491">
        <f t="shared" si="25"/>
        <v>2.0949074000000002E-3</v>
      </c>
      <c r="T781" s="492">
        <f>IFERROR(VLOOKUP(F781,'Freq-Chan'!C:D,2,FALSE),"x")</f>
        <v>151.875</v>
      </c>
      <c r="U781" s="110" t="s">
        <v>541</v>
      </c>
      <c r="V781" s="110" t="str">
        <f t="shared" si="26"/>
        <v>FWL</v>
      </c>
      <c r="W781" s="110" t="s">
        <v>541</v>
      </c>
      <c r="X781" s="110" t="s">
        <v>541</v>
      </c>
      <c r="Y781" s="110" t="str">
        <f>IFERROR(VLOOKUP(F781,'Freq-Chan'!C:E,3,FALSE),"na")</f>
        <v>F1845</v>
      </c>
      <c r="Z781" s="110" t="s">
        <v>541</v>
      </c>
      <c r="AA781" s="110" t="s">
        <v>541</v>
      </c>
      <c r="AB781" s="110" t="s">
        <v>541</v>
      </c>
      <c r="AC781" s="10" t="s">
        <v>541</v>
      </c>
      <c r="AD781" s="10" t="s">
        <v>541</v>
      </c>
    </row>
    <row r="782" spans="1:30" x14ac:dyDescent="0.2">
      <c r="A782" s="110">
        <v>781</v>
      </c>
      <c r="B782" s="132">
        <v>41830</v>
      </c>
      <c r="C782" s="117">
        <v>3</v>
      </c>
      <c r="D782" s="103" t="s">
        <v>97</v>
      </c>
      <c r="E782" s="103" t="s">
        <v>798</v>
      </c>
      <c r="H782" s="103"/>
      <c r="J782" s="103">
        <v>19</v>
      </c>
      <c r="K782" s="103" t="s">
        <v>364</v>
      </c>
      <c r="L782" s="133"/>
      <c r="M782" s="134">
        <v>2.7777777777777776E-2</v>
      </c>
      <c r="N782" s="137" t="s">
        <v>2561</v>
      </c>
      <c r="O782" s="133" t="s">
        <v>802</v>
      </c>
      <c r="Q782" s="100" t="s">
        <v>2615</v>
      </c>
      <c r="R782" s="226" t="s">
        <v>2639</v>
      </c>
      <c r="S782" s="491" t="str">
        <f t="shared" si="25"/>
        <v>x</v>
      </c>
      <c r="T782" s="492" t="str">
        <f>IFERROR(VLOOKUP(F782,'Freq-Chan'!C:D,2,FALSE),"x")</f>
        <v>x</v>
      </c>
      <c r="U782" s="110" t="s">
        <v>541</v>
      </c>
      <c r="V782" s="110" t="str">
        <f t="shared" si="26"/>
        <v>FWL</v>
      </c>
      <c r="W782" s="110" t="s">
        <v>541</v>
      </c>
      <c r="X782" s="110" t="s">
        <v>541</v>
      </c>
      <c r="Y782" s="110" t="str">
        <f>IFERROR(VLOOKUP(F782,'Freq-Chan'!C:E,3,FALSE),"na")</f>
        <v>na</v>
      </c>
      <c r="Z782" s="110" t="s">
        <v>541</v>
      </c>
      <c r="AA782" s="110" t="s">
        <v>541</v>
      </c>
      <c r="AB782" s="110" t="s">
        <v>541</v>
      </c>
      <c r="AC782" s="10" t="s">
        <v>541</v>
      </c>
      <c r="AD782" s="10" t="s">
        <v>541</v>
      </c>
    </row>
    <row r="783" spans="1:30" s="291" customFormat="1" x14ac:dyDescent="0.2">
      <c r="A783" s="493">
        <v>782</v>
      </c>
      <c r="B783" s="283">
        <v>41830</v>
      </c>
      <c r="C783" s="284">
        <v>3</v>
      </c>
      <c r="D783" s="285" t="s">
        <v>2</v>
      </c>
      <c r="E783" s="285" t="s">
        <v>306</v>
      </c>
      <c r="F783" s="285"/>
      <c r="G783" s="285"/>
      <c r="H783" s="285"/>
      <c r="I783" s="285"/>
      <c r="J783" s="285"/>
      <c r="K783" s="285" t="s">
        <v>364</v>
      </c>
      <c r="L783" s="286"/>
      <c r="M783" s="287"/>
      <c r="N783" s="339"/>
      <c r="O783" s="286" t="s">
        <v>376</v>
      </c>
      <c r="P783" s="289" t="s">
        <v>2635</v>
      </c>
      <c r="Q783" s="289" t="s">
        <v>2630</v>
      </c>
      <c r="R783" s="290" t="s">
        <v>2639</v>
      </c>
      <c r="S783" s="494" t="str">
        <f t="shared" si="25"/>
        <v>x</v>
      </c>
      <c r="T783" s="495" t="str">
        <f>IFERROR(VLOOKUP(F783,'Freq-Chan'!C:D,2,FALSE),"x")</f>
        <v>x</v>
      </c>
      <c r="U783" s="493" t="s">
        <v>541</v>
      </c>
      <c r="V783" s="493" t="str">
        <f t="shared" si="26"/>
        <v>FWL</v>
      </c>
      <c r="W783" s="493" t="s">
        <v>541</v>
      </c>
      <c r="X783" s="493" t="s">
        <v>541</v>
      </c>
      <c r="Y783" s="493" t="str">
        <f>IFERROR(VLOOKUP(F783,'Freq-Chan'!C:E,3,FALSE),"na")</f>
        <v>na</v>
      </c>
      <c r="Z783" s="493" t="s">
        <v>541</v>
      </c>
      <c r="AA783" s="493" t="s">
        <v>541</v>
      </c>
      <c r="AB783" s="493" t="s">
        <v>541</v>
      </c>
      <c r="AC783" s="291" t="s">
        <v>541</v>
      </c>
      <c r="AD783" s="291" t="s">
        <v>541</v>
      </c>
    </row>
    <row r="784" spans="1:30" s="314" customFormat="1" x14ac:dyDescent="0.2">
      <c r="A784" s="499">
        <v>783</v>
      </c>
      <c r="B784" s="294">
        <v>41831</v>
      </c>
      <c r="C784" s="295">
        <v>1</v>
      </c>
      <c r="D784" s="296" t="s">
        <v>177</v>
      </c>
      <c r="E784" s="296" t="s">
        <v>0</v>
      </c>
      <c r="F784" s="296">
        <v>917</v>
      </c>
      <c r="G784" s="296">
        <v>57</v>
      </c>
      <c r="H784" s="327" t="s">
        <v>1447</v>
      </c>
      <c r="I784" s="296">
        <v>49</v>
      </c>
      <c r="J784" s="296"/>
      <c r="K784" s="296" t="s">
        <v>364</v>
      </c>
      <c r="L784" s="297"/>
      <c r="M784" s="298">
        <v>4.0972222222222222E-2</v>
      </c>
      <c r="N784" s="327" t="s">
        <v>2590</v>
      </c>
      <c r="O784" s="297" t="s">
        <v>803</v>
      </c>
      <c r="P784" s="300"/>
      <c r="Q784" s="300" t="s">
        <v>2649</v>
      </c>
      <c r="R784" s="289" t="s">
        <v>2664</v>
      </c>
      <c r="S784" s="500" t="str">
        <f t="shared" si="25"/>
        <v>x</v>
      </c>
      <c r="T784" s="501">
        <f>IFERROR(VLOOKUP(F784,'Freq-Chan'!C:D,2,FALSE),"x")</f>
        <v>151.917</v>
      </c>
      <c r="U784" s="499" t="s">
        <v>541</v>
      </c>
      <c r="V784" s="499" t="str">
        <f t="shared" si="26"/>
        <v>FWL</v>
      </c>
      <c r="W784" s="499" t="s">
        <v>541</v>
      </c>
      <c r="X784" s="499" t="s">
        <v>541</v>
      </c>
      <c r="Y784" s="499" t="str">
        <f>IFERROR(VLOOKUP(F784,'Freq-Chan'!C:E,3,FALSE),"na")</f>
        <v>F1835</v>
      </c>
      <c r="Z784" s="499" t="s">
        <v>541</v>
      </c>
      <c r="AA784" s="499" t="s">
        <v>541</v>
      </c>
      <c r="AB784" s="499" t="s">
        <v>541</v>
      </c>
      <c r="AC784" s="314" t="s">
        <v>541</v>
      </c>
      <c r="AD784" s="314" t="s">
        <v>541</v>
      </c>
    </row>
    <row r="785" spans="1:30" x14ac:dyDescent="0.2">
      <c r="A785" s="110">
        <v>784</v>
      </c>
      <c r="B785" s="132">
        <v>41831</v>
      </c>
      <c r="C785" s="117">
        <v>2</v>
      </c>
      <c r="D785" s="103" t="s">
        <v>2</v>
      </c>
      <c r="E785" s="103" t="s">
        <v>306</v>
      </c>
      <c r="F785" s="103">
        <v>875</v>
      </c>
      <c r="G785" s="103">
        <v>67</v>
      </c>
      <c r="H785" s="137" t="s">
        <v>1445</v>
      </c>
      <c r="I785" s="103">
        <v>55</v>
      </c>
      <c r="K785" s="103" t="s">
        <v>364</v>
      </c>
      <c r="L785" s="133"/>
      <c r="M785" s="134">
        <v>3.888888888888889E-2</v>
      </c>
      <c r="N785" s="137" t="s">
        <v>1633</v>
      </c>
      <c r="O785" s="133" t="s">
        <v>803</v>
      </c>
      <c r="P785" s="100" t="s">
        <v>1786</v>
      </c>
      <c r="Q785" s="100" t="s">
        <v>2649</v>
      </c>
      <c r="R785" s="226" t="s">
        <v>2664</v>
      </c>
      <c r="S785" s="491" t="str">
        <f t="shared" si="25"/>
        <v>x</v>
      </c>
      <c r="T785" s="492">
        <f>IFERROR(VLOOKUP(F785,'Freq-Chan'!C:D,2,FALSE),"x")</f>
        <v>151.875</v>
      </c>
      <c r="U785" s="110" t="s">
        <v>541</v>
      </c>
      <c r="V785" s="110" t="str">
        <f t="shared" si="26"/>
        <v>FWL</v>
      </c>
      <c r="W785" s="110" t="s">
        <v>541</v>
      </c>
      <c r="X785" s="110" t="s">
        <v>541</v>
      </c>
      <c r="Y785" s="110" t="str">
        <f>IFERROR(VLOOKUP(F785,'Freq-Chan'!C:E,3,FALSE),"na")</f>
        <v>F1845</v>
      </c>
      <c r="Z785" s="110" t="s">
        <v>541</v>
      </c>
      <c r="AA785" s="110" t="s">
        <v>541</v>
      </c>
      <c r="AB785" s="110" t="s">
        <v>541</v>
      </c>
      <c r="AC785" s="10" t="s">
        <v>541</v>
      </c>
      <c r="AD785" s="10" t="s">
        <v>541</v>
      </c>
    </row>
    <row r="786" spans="1:30" x14ac:dyDescent="0.2">
      <c r="A786" s="110">
        <v>785</v>
      </c>
      <c r="B786" s="132">
        <v>41831</v>
      </c>
      <c r="C786" s="117">
        <v>2</v>
      </c>
      <c r="D786" s="103" t="s">
        <v>8</v>
      </c>
      <c r="E786" s="103" t="s">
        <v>306</v>
      </c>
      <c r="F786" s="103">
        <v>573</v>
      </c>
      <c r="G786" s="103">
        <v>33</v>
      </c>
      <c r="H786" s="137" t="s">
        <v>2107</v>
      </c>
      <c r="I786" s="103">
        <v>48</v>
      </c>
      <c r="K786" s="103" t="s">
        <v>364</v>
      </c>
      <c r="L786" s="133"/>
      <c r="M786" s="134">
        <v>4.3055555555555562E-2</v>
      </c>
      <c r="N786" s="137" t="s">
        <v>2522</v>
      </c>
      <c r="O786" s="133" t="s">
        <v>1663</v>
      </c>
      <c r="P786" s="100" t="s">
        <v>1786</v>
      </c>
      <c r="Q786" s="100" t="s">
        <v>2649</v>
      </c>
      <c r="R786" s="226" t="s">
        <v>2664</v>
      </c>
      <c r="S786" s="491" t="str">
        <f t="shared" si="25"/>
        <v>x</v>
      </c>
      <c r="T786" s="492">
        <f>IFERROR(VLOOKUP(F786,'Freq-Chan'!C:D,2,FALSE),"x")</f>
        <v>151.57300000000001</v>
      </c>
      <c r="U786" s="110" t="s">
        <v>541</v>
      </c>
      <c r="V786" s="110" t="str">
        <f t="shared" si="26"/>
        <v>FWL</v>
      </c>
      <c r="W786" s="110" t="s">
        <v>541</v>
      </c>
      <c r="X786" s="110" t="s">
        <v>541</v>
      </c>
      <c r="Y786" s="110" t="str">
        <f>IFERROR(VLOOKUP(F786,'Freq-Chan'!C:E,3,FALSE),"na")</f>
        <v>F1840</v>
      </c>
      <c r="Z786" s="110" t="s">
        <v>541</v>
      </c>
      <c r="AA786" s="110" t="s">
        <v>541</v>
      </c>
      <c r="AB786" s="110" t="s">
        <v>541</v>
      </c>
      <c r="AC786" s="10" t="s">
        <v>541</v>
      </c>
      <c r="AD786" s="10" t="s">
        <v>541</v>
      </c>
    </row>
    <row r="787" spans="1:30" x14ac:dyDescent="0.2">
      <c r="A787" s="110">
        <v>786</v>
      </c>
      <c r="B787" s="132">
        <v>41831</v>
      </c>
      <c r="C787" s="117">
        <v>2</v>
      </c>
      <c r="D787" s="103" t="s">
        <v>2</v>
      </c>
      <c r="E787" s="103" t="s">
        <v>306</v>
      </c>
      <c r="F787" s="103">
        <v>875</v>
      </c>
      <c r="G787" s="103">
        <v>47</v>
      </c>
      <c r="H787" s="137" t="s">
        <v>1446</v>
      </c>
      <c r="I787" s="103">
        <v>57</v>
      </c>
      <c r="K787" s="103" t="s">
        <v>364</v>
      </c>
      <c r="L787" s="133"/>
      <c r="M787" s="134">
        <v>3.6805555555555557E-2</v>
      </c>
      <c r="N787" s="137" t="s">
        <v>1635</v>
      </c>
      <c r="O787" s="133" t="s">
        <v>1663</v>
      </c>
      <c r="P787" s="100" t="s">
        <v>1786</v>
      </c>
      <c r="Q787" s="100" t="s">
        <v>2649</v>
      </c>
      <c r="R787" s="226" t="s">
        <v>2664</v>
      </c>
      <c r="S787" s="491" t="str">
        <f t="shared" si="25"/>
        <v>x</v>
      </c>
      <c r="T787" s="492">
        <f>IFERROR(VLOOKUP(F787,'Freq-Chan'!C:D,2,FALSE),"x")</f>
        <v>151.875</v>
      </c>
      <c r="U787" s="110" t="s">
        <v>541</v>
      </c>
      <c r="V787" s="110" t="str">
        <f t="shared" si="26"/>
        <v>FWL</v>
      </c>
      <c r="W787" s="110" t="s">
        <v>541</v>
      </c>
      <c r="X787" s="110" t="s">
        <v>541</v>
      </c>
      <c r="Y787" s="110" t="str">
        <f>IFERROR(VLOOKUP(F787,'Freq-Chan'!C:E,3,FALSE),"na")</f>
        <v>F1845</v>
      </c>
      <c r="Z787" s="110" t="s">
        <v>541</v>
      </c>
      <c r="AA787" s="110" t="s">
        <v>541</v>
      </c>
      <c r="AB787" s="110" t="s">
        <v>541</v>
      </c>
      <c r="AC787" s="10" t="s">
        <v>541</v>
      </c>
      <c r="AD787" s="10" t="s">
        <v>541</v>
      </c>
    </row>
    <row r="788" spans="1:30" s="291" customFormat="1" x14ac:dyDescent="0.2">
      <c r="A788" s="493">
        <v>787</v>
      </c>
      <c r="B788" s="283">
        <v>41831</v>
      </c>
      <c r="C788" s="284">
        <v>2</v>
      </c>
      <c r="D788" s="285" t="s">
        <v>2</v>
      </c>
      <c r="E788" s="285" t="s">
        <v>306</v>
      </c>
      <c r="F788" s="285">
        <v>364</v>
      </c>
      <c r="G788" s="285">
        <v>11</v>
      </c>
      <c r="H788" s="339" t="s">
        <v>1448</v>
      </c>
      <c r="I788" s="285">
        <v>78</v>
      </c>
      <c r="J788" s="285"/>
      <c r="K788" s="285" t="s">
        <v>364</v>
      </c>
      <c r="L788" s="286"/>
      <c r="M788" s="287">
        <v>4.8611111111111112E-2</v>
      </c>
      <c r="N788" s="339" t="s">
        <v>2650</v>
      </c>
      <c r="O788" s="286" t="s">
        <v>1663</v>
      </c>
      <c r="P788" s="289"/>
      <c r="Q788" s="289" t="s">
        <v>2649</v>
      </c>
      <c r="R788" s="290" t="s">
        <v>2664</v>
      </c>
      <c r="S788" s="494" t="str">
        <f t="shared" si="25"/>
        <v>x</v>
      </c>
      <c r="T788" s="495">
        <f>IFERROR(VLOOKUP(F788,'Freq-Chan'!C:D,2,FALSE),"x")</f>
        <v>151.364</v>
      </c>
      <c r="U788" s="493" t="s">
        <v>541</v>
      </c>
      <c r="V788" s="493" t="str">
        <f t="shared" si="26"/>
        <v>FWL</v>
      </c>
      <c r="W788" s="493" t="s">
        <v>541</v>
      </c>
      <c r="X788" s="493" t="s">
        <v>541</v>
      </c>
      <c r="Y788" s="493" t="str">
        <f>IFERROR(VLOOKUP(F788,'Freq-Chan'!C:E,3,FALSE),"na")</f>
        <v>F1845</v>
      </c>
      <c r="Z788" s="493" t="s">
        <v>541</v>
      </c>
      <c r="AA788" s="493" t="s">
        <v>541</v>
      </c>
      <c r="AB788" s="493" t="s">
        <v>541</v>
      </c>
      <c r="AC788" s="291" t="s">
        <v>541</v>
      </c>
      <c r="AD788" s="291" t="s">
        <v>541</v>
      </c>
    </row>
    <row r="789" spans="1:30" x14ac:dyDescent="0.2">
      <c r="A789" s="110">
        <v>788</v>
      </c>
      <c r="B789" s="132">
        <v>41831</v>
      </c>
      <c r="C789" s="117">
        <v>3</v>
      </c>
      <c r="D789" s="103" t="s">
        <v>2</v>
      </c>
      <c r="E789" s="103" t="s">
        <v>306</v>
      </c>
      <c r="F789" s="103">
        <v>875</v>
      </c>
      <c r="G789" s="103">
        <v>20</v>
      </c>
      <c r="H789" s="137" t="s">
        <v>1441</v>
      </c>
      <c r="I789" s="103">
        <v>53</v>
      </c>
      <c r="K789" s="103" t="s">
        <v>364</v>
      </c>
      <c r="L789" s="133"/>
      <c r="M789" s="134">
        <v>5.2777777777777778E-2</v>
      </c>
      <c r="N789" s="137" t="s">
        <v>2651</v>
      </c>
      <c r="O789" s="133" t="s">
        <v>802</v>
      </c>
      <c r="P789" s="100" t="s">
        <v>1998</v>
      </c>
      <c r="Q789" s="100" t="s">
        <v>2659</v>
      </c>
      <c r="R789" s="226" t="s">
        <v>2664</v>
      </c>
      <c r="S789" s="491" t="str">
        <f t="shared" si="25"/>
        <v>x</v>
      </c>
      <c r="T789" s="492">
        <f>IFERROR(VLOOKUP(F789,'Freq-Chan'!C:D,2,FALSE),"x")</f>
        <v>151.875</v>
      </c>
      <c r="U789" s="110" t="s">
        <v>541</v>
      </c>
      <c r="V789" s="110" t="str">
        <f t="shared" si="26"/>
        <v>FWL</v>
      </c>
      <c r="W789" s="110" t="s">
        <v>541</v>
      </c>
      <c r="X789" s="110" t="s">
        <v>541</v>
      </c>
      <c r="Y789" s="110" t="str">
        <f>IFERROR(VLOOKUP(F789,'Freq-Chan'!C:E,3,FALSE),"na")</f>
        <v>F1845</v>
      </c>
      <c r="Z789" s="110" t="s">
        <v>541</v>
      </c>
      <c r="AA789" s="110" t="s">
        <v>541</v>
      </c>
      <c r="AB789" s="110" t="s">
        <v>541</v>
      </c>
      <c r="AC789" s="10" t="s">
        <v>541</v>
      </c>
      <c r="AD789" s="10" t="s">
        <v>541</v>
      </c>
    </row>
    <row r="790" spans="1:30" x14ac:dyDescent="0.2">
      <c r="A790" s="110">
        <v>789</v>
      </c>
      <c r="B790" s="132">
        <v>41831</v>
      </c>
      <c r="C790" s="117">
        <v>3</v>
      </c>
      <c r="D790" s="103" t="s">
        <v>2</v>
      </c>
      <c r="E790" s="103" t="s">
        <v>306</v>
      </c>
      <c r="F790" s="103">
        <v>875</v>
      </c>
      <c r="G790" s="103">
        <v>83</v>
      </c>
      <c r="H790" s="137" t="s">
        <v>1449</v>
      </c>
      <c r="I790" s="103">
        <v>94</v>
      </c>
      <c r="K790" s="103" t="s">
        <v>364</v>
      </c>
      <c r="L790" s="133"/>
      <c r="M790" s="134">
        <v>7.0833333333333331E-2</v>
      </c>
      <c r="N790" s="137" t="s">
        <v>1633</v>
      </c>
      <c r="O790" s="133" t="s">
        <v>1888</v>
      </c>
      <c r="P790" s="100" t="s">
        <v>1786</v>
      </c>
      <c r="Q790" s="100" t="s">
        <v>2659</v>
      </c>
      <c r="R790" s="226" t="s">
        <v>2664</v>
      </c>
      <c r="S790" s="491" t="str">
        <f t="shared" si="25"/>
        <v>x</v>
      </c>
      <c r="T790" s="492">
        <f>IFERROR(VLOOKUP(F790,'Freq-Chan'!C:D,2,FALSE),"x")</f>
        <v>151.875</v>
      </c>
      <c r="U790" s="110" t="s">
        <v>541</v>
      </c>
      <c r="V790" s="110" t="str">
        <f t="shared" si="26"/>
        <v>FWL</v>
      </c>
      <c r="W790" s="110" t="s">
        <v>541</v>
      </c>
      <c r="X790" s="110" t="s">
        <v>541</v>
      </c>
      <c r="Y790" s="110" t="str">
        <f>IFERROR(VLOOKUP(F790,'Freq-Chan'!C:E,3,FALSE),"na")</f>
        <v>F1845</v>
      </c>
      <c r="Z790" s="110" t="s">
        <v>541</v>
      </c>
      <c r="AA790" s="110" t="s">
        <v>541</v>
      </c>
      <c r="AB790" s="110" t="s">
        <v>541</v>
      </c>
      <c r="AC790" s="10" t="s">
        <v>541</v>
      </c>
      <c r="AD790" s="10" t="s">
        <v>541</v>
      </c>
    </row>
    <row r="791" spans="1:30" x14ac:dyDescent="0.2">
      <c r="A791" s="110">
        <v>790</v>
      </c>
      <c r="B791" s="132">
        <v>41831</v>
      </c>
      <c r="C791" s="117">
        <v>3</v>
      </c>
      <c r="D791" s="103" t="s">
        <v>2</v>
      </c>
      <c r="E791" s="103" t="s">
        <v>306</v>
      </c>
      <c r="F791" s="103">
        <v>875</v>
      </c>
      <c r="G791" s="103">
        <v>85</v>
      </c>
      <c r="H791" s="137" t="s">
        <v>1450</v>
      </c>
      <c r="I791" s="103">
        <v>80</v>
      </c>
      <c r="K791" s="103" t="s">
        <v>364</v>
      </c>
      <c r="L791" s="133"/>
      <c r="M791" s="134">
        <v>6.6666666666666666E-2</v>
      </c>
      <c r="N791" s="137" t="s">
        <v>1789</v>
      </c>
      <c r="O791" s="133" t="s">
        <v>802</v>
      </c>
      <c r="P791" s="100" t="s">
        <v>1786</v>
      </c>
      <c r="Q791" s="100" t="s">
        <v>2659</v>
      </c>
      <c r="R791" s="226" t="s">
        <v>2664</v>
      </c>
      <c r="S791" s="491" t="str">
        <f t="shared" si="25"/>
        <v>x</v>
      </c>
      <c r="T791" s="492">
        <f>IFERROR(VLOOKUP(F791,'Freq-Chan'!C:D,2,FALSE),"x")</f>
        <v>151.875</v>
      </c>
      <c r="U791" s="110" t="s">
        <v>541</v>
      </c>
      <c r="V791" s="110" t="str">
        <f t="shared" si="26"/>
        <v>FWL</v>
      </c>
      <c r="W791" s="110" t="s">
        <v>541</v>
      </c>
      <c r="X791" s="110" t="s">
        <v>541</v>
      </c>
      <c r="Y791" s="110" t="str">
        <f>IFERROR(VLOOKUP(F791,'Freq-Chan'!C:E,3,FALSE),"na")</f>
        <v>F1845</v>
      </c>
      <c r="Z791" s="110" t="s">
        <v>541</v>
      </c>
      <c r="AA791" s="110" t="s">
        <v>541</v>
      </c>
      <c r="AB791" s="110" t="s">
        <v>541</v>
      </c>
      <c r="AC791" s="10" t="s">
        <v>541</v>
      </c>
      <c r="AD791" s="10" t="s">
        <v>541</v>
      </c>
    </row>
    <row r="792" spans="1:30" x14ac:dyDescent="0.2">
      <c r="A792" s="110">
        <v>791</v>
      </c>
      <c r="B792" s="132">
        <v>41831</v>
      </c>
      <c r="C792" s="117">
        <v>3</v>
      </c>
      <c r="D792" s="103" t="s">
        <v>2</v>
      </c>
      <c r="E792" s="103" t="s">
        <v>306</v>
      </c>
      <c r="F792" s="103">
        <v>875</v>
      </c>
      <c r="G792" s="103">
        <v>27</v>
      </c>
      <c r="H792" s="137" t="s">
        <v>1451</v>
      </c>
      <c r="I792" s="103">
        <v>63</v>
      </c>
      <c r="K792" s="103" t="s">
        <v>364</v>
      </c>
      <c r="L792" s="133">
        <v>0.34861111111111115</v>
      </c>
      <c r="M792" s="134">
        <v>5.5555555555555552E-2</v>
      </c>
      <c r="N792" s="137" t="s">
        <v>2652</v>
      </c>
      <c r="O792" s="133" t="s">
        <v>1888</v>
      </c>
      <c r="Q792" s="100" t="s">
        <v>2659</v>
      </c>
      <c r="R792" s="226" t="s">
        <v>2664</v>
      </c>
      <c r="S792" s="491">
        <f t="shared" si="25"/>
        <v>3.9351852E-3</v>
      </c>
      <c r="T792" s="492">
        <f>IFERROR(VLOOKUP(F792,'Freq-Chan'!C:D,2,FALSE),"x")</f>
        <v>151.875</v>
      </c>
      <c r="U792" s="110" t="s">
        <v>541</v>
      </c>
      <c r="V792" s="110" t="str">
        <f t="shared" si="26"/>
        <v>FWL</v>
      </c>
      <c r="W792" s="110" t="s">
        <v>541</v>
      </c>
      <c r="X792" s="110" t="s">
        <v>541</v>
      </c>
      <c r="Y792" s="110" t="str">
        <f>IFERROR(VLOOKUP(F792,'Freq-Chan'!C:E,3,FALSE),"na")</f>
        <v>F1845</v>
      </c>
      <c r="Z792" s="110" t="s">
        <v>541</v>
      </c>
      <c r="AA792" s="110" t="s">
        <v>541</v>
      </c>
      <c r="AB792" s="110" t="s">
        <v>541</v>
      </c>
      <c r="AC792" s="10" t="s">
        <v>541</v>
      </c>
      <c r="AD792" s="10" t="s">
        <v>541</v>
      </c>
    </row>
    <row r="793" spans="1:30" x14ac:dyDescent="0.2">
      <c r="A793" s="110">
        <v>792</v>
      </c>
      <c r="B793" s="132">
        <v>41831</v>
      </c>
      <c r="C793" s="117">
        <v>3</v>
      </c>
      <c r="D793" s="103" t="s">
        <v>97</v>
      </c>
      <c r="E793" s="103" t="s">
        <v>798</v>
      </c>
      <c r="H793" s="103"/>
      <c r="K793" s="103" t="s">
        <v>364</v>
      </c>
      <c r="L793" s="133"/>
      <c r="M793" s="134">
        <v>1.3888888888888888E-2</v>
      </c>
      <c r="N793" s="137" t="s">
        <v>2653</v>
      </c>
      <c r="O793" s="133" t="s">
        <v>1888</v>
      </c>
      <c r="P793" s="100" t="s">
        <v>2654</v>
      </c>
      <c r="Q793" s="100" t="s">
        <v>2659</v>
      </c>
      <c r="R793" s="226" t="s">
        <v>2664</v>
      </c>
      <c r="S793" s="491" t="str">
        <f t="shared" si="25"/>
        <v>x</v>
      </c>
      <c r="T793" s="492" t="str">
        <f>IFERROR(VLOOKUP(F793,'Freq-Chan'!C:D,2,FALSE),"x")</f>
        <v>x</v>
      </c>
      <c r="U793" s="110" t="s">
        <v>541</v>
      </c>
      <c r="V793" s="110" t="str">
        <f t="shared" si="26"/>
        <v>FWL</v>
      </c>
      <c r="W793" s="110" t="s">
        <v>541</v>
      </c>
      <c r="X793" s="110" t="s">
        <v>541</v>
      </c>
      <c r="Y793" s="110" t="str">
        <f>IFERROR(VLOOKUP(F793,'Freq-Chan'!C:E,3,FALSE),"na")</f>
        <v>na</v>
      </c>
      <c r="Z793" s="110" t="s">
        <v>541</v>
      </c>
      <c r="AA793" s="110" t="s">
        <v>541</v>
      </c>
      <c r="AB793" s="110" t="s">
        <v>541</v>
      </c>
      <c r="AC793" s="10" t="s">
        <v>541</v>
      </c>
      <c r="AD793" s="10" t="s">
        <v>541</v>
      </c>
    </row>
    <row r="794" spans="1:30" x14ac:dyDescent="0.2">
      <c r="A794" s="110">
        <v>793</v>
      </c>
      <c r="B794" s="132">
        <v>41831</v>
      </c>
      <c r="C794" s="117">
        <v>3</v>
      </c>
      <c r="D794" s="103" t="s">
        <v>2</v>
      </c>
      <c r="E794" s="103" t="s">
        <v>306</v>
      </c>
      <c r="F794" s="103">
        <v>875</v>
      </c>
      <c r="G794" s="103">
        <v>35</v>
      </c>
      <c r="H794" s="137" t="s">
        <v>1452</v>
      </c>
      <c r="I794" s="103">
        <v>64</v>
      </c>
      <c r="K794" s="103" t="s">
        <v>364</v>
      </c>
      <c r="L794" s="133"/>
      <c r="M794" s="134">
        <v>7.5694444444444439E-2</v>
      </c>
      <c r="N794" s="137" t="s">
        <v>900</v>
      </c>
      <c r="O794" s="133" t="s">
        <v>804</v>
      </c>
      <c r="Q794" s="100" t="s">
        <v>2659</v>
      </c>
      <c r="R794" s="226" t="s">
        <v>2664</v>
      </c>
      <c r="S794" s="491" t="str">
        <f t="shared" si="25"/>
        <v>x</v>
      </c>
      <c r="T794" s="492">
        <f>IFERROR(VLOOKUP(F794,'Freq-Chan'!C:D,2,FALSE),"x")</f>
        <v>151.875</v>
      </c>
      <c r="U794" s="110" t="s">
        <v>541</v>
      </c>
      <c r="V794" s="110" t="str">
        <f t="shared" si="26"/>
        <v>FWL</v>
      </c>
      <c r="W794" s="110" t="s">
        <v>541</v>
      </c>
      <c r="X794" s="110" t="s">
        <v>541</v>
      </c>
      <c r="Y794" s="110" t="str">
        <f>IFERROR(VLOOKUP(F794,'Freq-Chan'!C:E,3,FALSE),"na")</f>
        <v>F1845</v>
      </c>
      <c r="Z794" s="110" t="s">
        <v>541</v>
      </c>
      <c r="AA794" s="110" t="s">
        <v>541</v>
      </c>
      <c r="AB794" s="110" t="s">
        <v>541</v>
      </c>
      <c r="AC794" s="10" t="s">
        <v>541</v>
      </c>
      <c r="AD794" s="10" t="s">
        <v>541</v>
      </c>
    </row>
    <row r="795" spans="1:30" x14ac:dyDescent="0.2">
      <c r="A795" s="110">
        <v>794</v>
      </c>
      <c r="B795" s="132">
        <v>41831</v>
      </c>
      <c r="C795" s="117">
        <v>3</v>
      </c>
      <c r="D795" s="103" t="s">
        <v>177</v>
      </c>
      <c r="E795" s="103" t="s">
        <v>0</v>
      </c>
      <c r="H795" s="103"/>
      <c r="I795" s="103">
        <v>32</v>
      </c>
      <c r="K795" s="103" t="s">
        <v>364</v>
      </c>
      <c r="L795" s="136"/>
      <c r="M795" s="134">
        <v>2.0833333333333332E-2</v>
      </c>
      <c r="N795" s="137" t="s">
        <v>2629</v>
      </c>
      <c r="O795" s="133" t="s">
        <v>804</v>
      </c>
      <c r="P795" s="100" t="s">
        <v>776</v>
      </c>
      <c r="Q795" s="100" t="s">
        <v>2659</v>
      </c>
      <c r="R795" s="226" t="s">
        <v>2664</v>
      </c>
      <c r="S795" s="491" t="str">
        <f t="shared" si="25"/>
        <v>x</v>
      </c>
      <c r="T795" s="492" t="str">
        <f>IFERROR(VLOOKUP(F795,'Freq-Chan'!C:D,2,FALSE),"x")</f>
        <v>x</v>
      </c>
      <c r="U795" s="110" t="s">
        <v>541</v>
      </c>
      <c r="V795" s="110" t="str">
        <f t="shared" si="26"/>
        <v>FWL</v>
      </c>
      <c r="W795" s="110" t="s">
        <v>541</v>
      </c>
      <c r="X795" s="110" t="s">
        <v>541</v>
      </c>
      <c r="Y795" s="110" t="str">
        <f>IFERROR(VLOOKUP(F795,'Freq-Chan'!C:E,3,FALSE),"na")</f>
        <v>na</v>
      </c>
      <c r="Z795" s="110" t="s">
        <v>541</v>
      </c>
      <c r="AA795" s="110" t="s">
        <v>541</v>
      </c>
      <c r="AB795" s="110" t="s">
        <v>541</v>
      </c>
      <c r="AC795" s="10" t="s">
        <v>541</v>
      </c>
      <c r="AD795" s="10" t="s">
        <v>541</v>
      </c>
    </row>
    <row r="796" spans="1:30" x14ac:dyDescent="0.2">
      <c r="A796" s="110">
        <v>795</v>
      </c>
      <c r="B796" s="132">
        <v>41831</v>
      </c>
      <c r="C796" s="117">
        <v>3</v>
      </c>
      <c r="D796" s="103" t="s">
        <v>2</v>
      </c>
      <c r="E796" s="103" t="s">
        <v>306</v>
      </c>
      <c r="F796" s="103">
        <v>875</v>
      </c>
      <c r="G796" s="103">
        <v>61</v>
      </c>
      <c r="H796" s="137" t="s">
        <v>1453</v>
      </c>
      <c r="I796" s="103">
        <v>54</v>
      </c>
      <c r="K796" s="103" t="s">
        <v>364</v>
      </c>
      <c r="L796" s="133"/>
      <c r="M796" s="134">
        <v>3.8194444444444441E-2</v>
      </c>
      <c r="N796" s="137" t="s">
        <v>1935</v>
      </c>
      <c r="O796" s="133" t="s">
        <v>1532</v>
      </c>
      <c r="Q796" s="100" t="s">
        <v>2659</v>
      </c>
      <c r="R796" s="226" t="s">
        <v>2664</v>
      </c>
      <c r="S796" s="491" t="str">
        <f t="shared" si="25"/>
        <v>x</v>
      </c>
      <c r="T796" s="492">
        <f>IFERROR(VLOOKUP(F796,'Freq-Chan'!C:D,2,FALSE),"x")</f>
        <v>151.875</v>
      </c>
      <c r="U796" s="110" t="s">
        <v>541</v>
      </c>
      <c r="V796" s="110" t="str">
        <f t="shared" si="26"/>
        <v>FWL</v>
      </c>
      <c r="W796" s="110" t="s">
        <v>541</v>
      </c>
      <c r="X796" s="110" t="s">
        <v>541</v>
      </c>
      <c r="Y796" s="110" t="str">
        <f>IFERROR(VLOOKUP(F796,'Freq-Chan'!C:E,3,FALSE),"na")</f>
        <v>F1845</v>
      </c>
      <c r="Z796" s="110" t="s">
        <v>541</v>
      </c>
      <c r="AA796" s="110" t="s">
        <v>541</v>
      </c>
      <c r="AB796" s="110" t="s">
        <v>541</v>
      </c>
      <c r="AC796" s="10" t="s">
        <v>541</v>
      </c>
      <c r="AD796" s="10" t="s">
        <v>541</v>
      </c>
    </row>
    <row r="797" spans="1:30" x14ac:dyDescent="0.2">
      <c r="A797" s="110">
        <v>796</v>
      </c>
      <c r="B797" s="132">
        <v>41831</v>
      </c>
      <c r="C797" s="117">
        <v>3</v>
      </c>
      <c r="D797" s="103" t="s">
        <v>195</v>
      </c>
      <c r="E797" s="103" t="s">
        <v>798</v>
      </c>
      <c r="H797" s="103"/>
      <c r="J797" s="103">
        <v>15</v>
      </c>
      <c r="K797" s="103" t="s">
        <v>364</v>
      </c>
      <c r="L797" s="133"/>
      <c r="M797" s="134">
        <v>2.0833333333333332E-2</v>
      </c>
      <c r="N797" s="137" t="s">
        <v>1654</v>
      </c>
      <c r="O797" s="133" t="s">
        <v>1875</v>
      </c>
      <c r="P797" s="100" t="s">
        <v>81</v>
      </c>
      <c r="Q797" s="100" t="s">
        <v>2659</v>
      </c>
      <c r="R797" s="226" t="s">
        <v>2664</v>
      </c>
      <c r="S797" s="491" t="str">
        <f t="shared" si="25"/>
        <v>x</v>
      </c>
      <c r="T797" s="492" t="str">
        <f>IFERROR(VLOOKUP(F797,'Freq-Chan'!C:D,2,FALSE),"x")</f>
        <v>x</v>
      </c>
      <c r="U797" s="110" t="s">
        <v>541</v>
      </c>
      <c r="V797" s="110" t="str">
        <f t="shared" si="26"/>
        <v>FWL</v>
      </c>
      <c r="W797" s="110" t="s">
        <v>541</v>
      </c>
      <c r="X797" s="110" t="s">
        <v>541</v>
      </c>
      <c r="Y797" s="110" t="str">
        <f>IFERROR(VLOOKUP(F797,'Freq-Chan'!C:E,3,FALSE),"na")</f>
        <v>na</v>
      </c>
      <c r="Z797" s="110" t="s">
        <v>541</v>
      </c>
      <c r="AA797" s="110" t="s">
        <v>541</v>
      </c>
      <c r="AB797" s="110" t="s">
        <v>541</v>
      </c>
      <c r="AC797" s="10" t="s">
        <v>541</v>
      </c>
      <c r="AD797" s="10" t="s">
        <v>541</v>
      </c>
    </row>
    <row r="798" spans="1:30" x14ac:dyDescent="0.2">
      <c r="A798" s="110">
        <v>797</v>
      </c>
      <c r="B798" s="132">
        <v>41831</v>
      </c>
      <c r="C798" s="117">
        <v>3</v>
      </c>
      <c r="D798" s="103" t="s">
        <v>2</v>
      </c>
      <c r="E798" s="103" t="s">
        <v>306</v>
      </c>
      <c r="F798" s="103">
        <v>364</v>
      </c>
      <c r="G798" s="103">
        <v>43</v>
      </c>
      <c r="H798" s="137" t="s">
        <v>1454</v>
      </c>
      <c r="I798" s="103">
        <v>55</v>
      </c>
      <c r="K798" s="103" t="s">
        <v>364</v>
      </c>
      <c r="L798" s="133"/>
      <c r="M798" s="134">
        <v>4.9305555555555554E-2</v>
      </c>
      <c r="N798" s="137" t="s">
        <v>1937</v>
      </c>
      <c r="O798" s="133" t="s">
        <v>1532</v>
      </c>
      <c r="Q798" s="100" t="s">
        <v>2659</v>
      </c>
      <c r="R798" s="226" t="s">
        <v>2664</v>
      </c>
      <c r="S798" s="491" t="str">
        <f t="shared" si="25"/>
        <v>x</v>
      </c>
      <c r="T798" s="492">
        <f>IFERROR(VLOOKUP(F798,'Freq-Chan'!C:D,2,FALSE),"x")</f>
        <v>151.364</v>
      </c>
      <c r="U798" s="110" t="s">
        <v>541</v>
      </c>
      <c r="V798" s="110" t="str">
        <f t="shared" si="26"/>
        <v>FWL</v>
      </c>
      <c r="W798" s="110" t="s">
        <v>541</v>
      </c>
      <c r="X798" s="110" t="s">
        <v>541</v>
      </c>
      <c r="Y798" s="110" t="str">
        <f>IFERROR(VLOOKUP(F798,'Freq-Chan'!C:E,3,FALSE),"na")</f>
        <v>F1845</v>
      </c>
      <c r="Z798" s="110" t="s">
        <v>541</v>
      </c>
      <c r="AA798" s="110" t="s">
        <v>541</v>
      </c>
      <c r="AB798" s="110" t="s">
        <v>541</v>
      </c>
      <c r="AC798" s="10" t="s">
        <v>541</v>
      </c>
      <c r="AD798" s="10" t="s">
        <v>541</v>
      </c>
    </row>
    <row r="799" spans="1:30" x14ac:dyDescent="0.2">
      <c r="A799" s="110">
        <v>798</v>
      </c>
      <c r="B799" s="132">
        <v>41831</v>
      </c>
      <c r="C799" s="117">
        <v>3</v>
      </c>
      <c r="D799" s="103" t="s">
        <v>2</v>
      </c>
      <c r="E799" s="103" t="s">
        <v>306</v>
      </c>
      <c r="F799" s="103">
        <v>875</v>
      </c>
      <c r="G799" s="103">
        <v>22</v>
      </c>
      <c r="H799" s="137" t="s">
        <v>1455</v>
      </c>
      <c r="I799" s="103">
        <v>103</v>
      </c>
      <c r="K799" s="103" t="s">
        <v>364</v>
      </c>
      <c r="L799" s="133">
        <v>0.49236111111111108</v>
      </c>
      <c r="M799" s="134">
        <v>0.13055555555555556</v>
      </c>
      <c r="N799" s="137" t="s">
        <v>2655</v>
      </c>
      <c r="O799" s="133" t="s">
        <v>804</v>
      </c>
      <c r="Q799" s="100" t="s">
        <v>2659</v>
      </c>
      <c r="R799" s="226" t="s">
        <v>2664</v>
      </c>
      <c r="S799" s="491">
        <f t="shared" si="25"/>
        <v>2.76851852E-2</v>
      </c>
      <c r="T799" s="492">
        <f>IFERROR(VLOOKUP(F799,'Freq-Chan'!C:D,2,FALSE),"x")</f>
        <v>151.875</v>
      </c>
      <c r="U799" s="110" t="s">
        <v>541</v>
      </c>
      <c r="V799" s="110" t="str">
        <f t="shared" si="26"/>
        <v>FWL</v>
      </c>
      <c r="W799" s="110" t="s">
        <v>541</v>
      </c>
      <c r="X799" s="110" t="s">
        <v>541</v>
      </c>
      <c r="Y799" s="110" t="str">
        <f>IFERROR(VLOOKUP(F799,'Freq-Chan'!C:E,3,FALSE),"na")</f>
        <v>F1845</v>
      </c>
      <c r="Z799" s="110" t="s">
        <v>541</v>
      </c>
      <c r="AA799" s="110" t="s">
        <v>541</v>
      </c>
      <c r="AB799" s="110" t="s">
        <v>541</v>
      </c>
      <c r="AC799" s="10" t="s">
        <v>541</v>
      </c>
      <c r="AD799" s="10" t="s">
        <v>541</v>
      </c>
    </row>
    <row r="800" spans="1:30" x14ac:dyDescent="0.2">
      <c r="A800" s="110">
        <v>799</v>
      </c>
      <c r="B800" s="132">
        <v>41831</v>
      </c>
      <c r="C800" s="117">
        <v>3</v>
      </c>
      <c r="D800" s="103" t="s">
        <v>2</v>
      </c>
      <c r="E800" s="103" t="s">
        <v>306</v>
      </c>
      <c r="F800" s="103">
        <v>875</v>
      </c>
      <c r="G800" s="103">
        <v>38</v>
      </c>
      <c r="H800" s="137" t="s">
        <v>1464</v>
      </c>
      <c r="I800" s="103">
        <v>53</v>
      </c>
      <c r="K800" s="103" t="s">
        <v>364</v>
      </c>
      <c r="L800" s="133"/>
      <c r="M800" s="134">
        <v>4.0972222222222222E-2</v>
      </c>
      <c r="N800" s="137" t="s">
        <v>2656</v>
      </c>
      <c r="O800" s="133" t="s">
        <v>802</v>
      </c>
      <c r="Q800" s="100" t="s">
        <v>2659</v>
      </c>
      <c r="R800" s="226" t="s">
        <v>2664</v>
      </c>
      <c r="S800" s="491" t="str">
        <f t="shared" si="25"/>
        <v>x</v>
      </c>
      <c r="T800" s="492">
        <f>IFERROR(VLOOKUP(F800,'Freq-Chan'!C:D,2,FALSE),"x")</f>
        <v>151.875</v>
      </c>
      <c r="U800" s="110" t="s">
        <v>541</v>
      </c>
      <c r="V800" s="110" t="str">
        <f t="shared" si="26"/>
        <v>FWL</v>
      </c>
      <c r="W800" s="110" t="s">
        <v>541</v>
      </c>
      <c r="X800" s="110" t="s">
        <v>541</v>
      </c>
      <c r="Y800" s="110" t="str">
        <f>IFERROR(VLOOKUP(F800,'Freq-Chan'!C:E,3,FALSE),"na")</f>
        <v>F1845</v>
      </c>
      <c r="Z800" s="110" t="s">
        <v>541</v>
      </c>
      <c r="AA800" s="110" t="s">
        <v>541</v>
      </c>
      <c r="AB800" s="110" t="s">
        <v>541</v>
      </c>
      <c r="AC800" s="10" t="s">
        <v>541</v>
      </c>
      <c r="AD800" s="10" t="s">
        <v>541</v>
      </c>
    </row>
    <row r="801" spans="1:30" s="291" customFormat="1" x14ac:dyDescent="0.2">
      <c r="A801" s="493">
        <v>800</v>
      </c>
      <c r="B801" s="283">
        <v>41831</v>
      </c>
      <c r="C801" s="284">
        <v>3</v>
      </c>
      <c r="D801" s="285" t="s">
        <v>2</v>
      </c>
      <c r="E801" s="285" t="s">
        <v>306</v>
      </c>
      <c r="F801" s="285">
        <v>875</v>
      </c>
      <c r="G801" s="285">
        <v>19</v>
      </c>
      <c r="H801" s="339" t="s">
        <v>1465</v>
      </c>
      <c r="I801" s="285">
        <v>78</v>
      </c>
      <c r="J801" s="285"/>
      <c r="K801" s="285" t="s">
        <v>364</v>
      </c>
      <c r="L801" s="286"/>
      <c r="M801" s="287">
        <v>6.25E-2</v>
      </c>
      <c r="N801" s="339" t="s">
        <v>2657</v>
      </c>
      <c r="O801" s="286" t="s">
        <v>2658</v>
      </c>
      <c r="P801" s="289"/>
      <c r="Q801" s="289" t="s">
        <v>2659</v>
      </c>
      <c r="R801" s="290" t="s">
        <v>2664</v>
      </c>
      <c r="S801" s="494" t="str">
        <f t="shared" si="25"/>
        <v>x</v>
      </c>
      <c r="T801" s="495">
        <f>IFERROR(VLOOKUP(F801,'Freq-Chan'!C:D,2,FALSE),"x")</f>
        <v>151.875</v>
      </c>
      <c r="U801" s="493" t="s">
        <v>541</v>
      </c>
      <c r="V801" s="493" t="str">
        <f t="shared" si="26"/>
        <v>FWL</v>
      </c>
      <c r="W801" s="493" t="s">
        <v>541</v>
      </c>
      <c r="X801" s="493" t="s">
        <v>541</v>
      </c>
      <c r="Y801" s="493" t="str">
        <f>IFERROR(VLOOKUP(F801,'Freq-Chan'!C:E,3,FALSE),"na")</f>
        <v>F1845</v>
      </c>
      <c r="Z801" s="493" t="s">
        <v>541</v>
      </c>
      <c r="AA801" s="493" t="s">
        <v>541</v>
      </c>
      <c r="AB801" s="493" t="s">
        <v>541</v>
      </c>
      <c r="AC801" s="291" t="s">
        <v>541</v>
      </c>
      <c r="AD801" s="291" t="s">
        <v>541</v>
      </c>
    </row>
    <row r="802" spans="1:30" x14ac:dyDescent="0.2">
      <c r="A802" s="110">
        <v>801</v>
      </c>
      <c r="B802" s="132">
        <v>41832</v>
      </c>
      <c r="C802" s="117">
        <v>1</v>
      </c>
      <c r="D802" s="103" t="s">
        <v>2</v>
      </c>
      <c r="E802" s="103" t="s">
        <v>306</v>
      </c>
      <c r="F802" s="103">
        <v>875</v>
      </c>
      <c r="G802" s="103">
        <v>57</v>
      </c>
      <c r="H802" s="137" t="s">
        <v>1456</v>
      </c>
      <c r="I802" s="103">
        <v>66</v>
      </c>
      <c r="K802" s="103" t="s">
        <v>364</v>
      </c>
      <c r="L802" s="133"/>
      <c r="M802" s="134">
        <v>5.4166666666666669E-2</v>
      </c>
      <c r="N802" s="137" t="s">
        <v>1975</v>
      </c>
      <c r="O802" s="133" t="s">
        <v>1585</v>
      </c>
      <c r="P802" s="100" t="s">
        <v>1786</v>
      </c>
      <c r="Q802" s="100" t="s">
        <v>2677</v>
      </c>
      <c r="R802" s="226" t="s">
        <v>2696</v>
      </c>
      <c r="S802" s="491" t="str">
        <f t="shared" si="25"/>
        <v>x</v>
      </c>
      <c r="T802" s="492">
        <f>IFERROR(VLOOKUP(F802,'Freq-Chan'!C:D,2,FALSE),"x")</f>
        <v>151.875</v>
      </c>
      <c r="U802" s="110" t="s">
        <v>541</v>
      </c>
      <c r="V802" s="110" t="str">
        <f t="shared" si="26"/>
        <v>FWL</v>
      </c>
      <c r="W802" s="110" t="s">
        <v>541</v>
      </c>
      <c r="X802" s="110" t="s">
        <v>541</v>
      </c>
      <c r="Y802" s="110" t="str">
        <f>IFERROR(VLOOKUP(F802,'Freq-Chan'!C:E,3,FALSE),"na")</f>
        <v>F1845</v>
      </c>
      <c r="Z802" s="110" t="s">
        <v>541</v>
      </c>
      <c r="AA802" s="110" t="s">
        <v>541</v>
      </c>
      <c r="AB802" s="110" t="s">
        <v>541</v>
      </c>
      <c r="AC802" s="10" t="s">
        <v>541</v>
      </c>
      <c r="AD802" s="10" t="s">
        <v>541</v>
      </c>
    </row>
    <row r="803" spans="1:30" x14ac:dyDescent="0.2">
      <c r="A803" s="110">
        <v>802</v>
      </c>
      <c r="B803" s="132">
        <v>41832</v>
      </c>
      <c r="C803" s="117">
        <v>1</v>
      </c>
      <c r="D803" s="103" t="s">
        <v>177</v>
      </c>
      <c r="E803" s="103" t="s">
        <v>0</v>
      </c>
      <c r="H803" s="103"/>
      <c r="I803" s="103">
        <v>34</v>
      </c>
      <c r="K803" s="103" t="s">
        <v>364</v>
      </c>
      <c r="L803" s="133"/>
      <c r="M803" s="134">
        <v>3.1944444444444449E-2</v>
      </c>
      <c r="N803" s="137" t="s">
        <v>2685</v>
      </c>
      <c r="O803" s="133" t="s">
        <v>376</v>
      </c>
      <c r="Q803" s="100" t="s">
        <v>2677</v>
      </c>
      <c r="R803" s="226" t="s">
        <v>2696</v>
      </c>
      <c r="S803" s="491" t="str">
        <f t="shared" si="25"/>
        <v>x</v>
      </c>
      <c r="T803" s="492" t="str">
        <f>IFERROR(VLOOKUP(F803,'Freq-Chan'!C:D,2,FALSE),"x")</f>
        <v>x</v>
      </c>
      <c r="U803" s="110" t="s">
        <v>541</v>
      </c>
      <c r="V803" s="110" t="str">
        <f t="shared" si="26"/>
        <v>FWL</v>
      </c>
      <c r="W803" s="110" t="s">
        <v>541</v>
      </c>
      <c r="X803" s="110" t="s">
        <v>541</v>
      </c>
      <c r="Y803" s="110" t="str">
        <f>IFERROR(VLOOKUP(F803,'Freq-Chan'!C:E,3,FALSE),"na")</f>
        <v>na</v>
      </c>
      <c r="Z803" s="110" t="s">
        <v>541</v>
      </c>
      <c r="AA803" s="110" t="s">
        <v>541</v>
      </c>
      <c r="AB803" s="110" t="s">
        <v>541</v>
      </c>
      <c r="AC803" s="10" t="s">
        <v>541</v>
      </c>
      <c r="AD803" s="10" t="s">
        <v>541</v>
      </c>
    </row>
    <row r="804" spans="1:30" s="291" customFormat="1" x14ac:dyDescent="0.2">
      <c r="A804" s="493">
        <v>803</v>
      </c>
      <c r="B804" s="283">
        <v>41832</v>
      </c>
      <c r="C804" s="284">
        <v>1</v>
      </c>
      <c r="D804" s="285" t="s">
        <v>8</v>
      </c>
      <c r="E804" s="285" t="s">
        <v>306</v>
      </c>
      <c r="F804" s="285">
        <v>573</v>
      </c>
      <c r="G804" s="285">
        <v>69</v>
      </c>
      <c r="H804" s="339" t="s">
        <v>2105</v>
      </c>
      <c r="I804" s="285">
        <v>43</v>
      </c>
      <c r="J804" s="285"/>
      <c r="K804" s="285" t="s">
        <v>364</v>
      </c>
      <c r="L804" s="286"/>
      <c r="M804" s="287">
        <v>5.4166666666666669E-2</v>
      </c>
      <c r="N804" s="339" t="s">
        <v>508</v>
      </c>
      <c r="O804" s="286" t="s">
        <v>1663</v>
      </c>
      <c r="P804" s="289"/>
      <c r="Q804" s="289" t="s">
        <v>2677</v>
      </c>
      <c r="R804" s="290" t="s">
        <v>2696</v>
      </c>
      <c r="S804" s="494" t="str">
        <f t="shared" si="25"/>
        <v>x</v>
      </c>
      <c r="T804" s="495">
        <f>IFERROR(VLOOKUP(F804,'Freq-Chan'!C:D,2,FALSE),"x")</f>
        <v>151.57300000000001</v>
      </c>
      <c r="U804" s="493" t="s">
        <v>541</v>
      </c>
      <c r="V804" s="493" t="str">
        <f t="shared" si="26"/>
        <v>FWL</v>
      </c>
      <c r="W804" s="493" t="s">
        <v>541</v>
      </c>
      <c r="X804" s="493" t="s">
        <v>541</v>
      </c>
      <c r="Y804" s="493" t="str">
        <f>IFERROR(VLOOKUP(F804,'Freq-Chan'!C:E,3,FALSE),"na")</f>
        <v>F1840</v>
      </c>
      <c r="Z804" s="493" t="s">
        <v>541</v>
      </c>
      <c r="AA804" s="493" t="s">
        <v>541</v>
      </c>
      <c r="AB804" s="493" t="s">
        <v>541</v>
      </c>
      <c r="AC804" s="291" t="s">
        <v>541</v>
      </c>
      <c r="AD804" s="291" t="s">
        <v>541</v>
      </c>
    </row>
    <row r="805" spans="1:30" x14ac:dyDescent="0.2">
      <c r="A805" s="110">
        <v>804</v>
      </c>
      <c r="B805" s="132">
        <v>41832</v>
      </c>
      <c r="C805" s="117">
        <v>2</v>
      </c>
      <c r="D805" s="103" t="s">
        <v>177</v>
      </c>
      <c r="E805" s="103" t="s">
        <v>0</v>
      </c>
      <c r="H805" s="103"/>
      <c r="I805" s="103">
        <v>33</v>
      </c>
      <c r="K805" s="103" t="s">
        <v>364</v>
      </c>
      <c r="L805" s="133"/>
      <c r="M805" s="134">
        <v>1.8749999999999999E-2</v>
      </c>
      <c r="N805" s="137" t="s">
        <v>1641</v>
      </c>
      <c r="O805" s="133" t="s">
        <v>1585</v>
      </c>
      <c r="P805" s="100" t="s">
        <v>2686</v>
      </c>
      <c r="Q805" s="100" t="s">
        <v>2677</v>
      </c>
      <c r="R805" s="226" t="s">
        <v>2696</v>
      </c>
      <c r="S805" s="491" t="str">
        <f t="shared" si="25"/>
        <v>x</v>
      </c>
      <c r="T805" s="492" t="str">
        <f>IFERROR(VLOOKUP(F805,'Freq-Chan'!C:D,2,FALSE),"x")</f>
        <v>x</v>
      </c>
      <c r="U805" s="110" t="s">
        <v>541</v>
      </c>
      <c r="V805" s="110" t="str">
        <f t="shared" si="26"/>
        <v>FWL</v>
      </c>
      <c r="W805" s="110" t="s">
        <v>541</v>
      </c>
      <c r="X805" s="110" t="s">
        <v>541</v>
      </c>
      <c r="Y805" s="110" t="str">
        <f>IFERROR(VLOOKUP(F805,'Freq-Chan'!C:E,3,FALSE),"na")</f>
        <v>na</v>
      </c>
      <c r="Z805" s="110" t="s">
        <v>541</v>
      </c>
      <c r="AA805" s="110" t="s">
        <v>541</v>
      </c>
      <c r="AB805" s="110" t="s">
        <v>541</v>
      </c>
      <c r="AC805" s="10" t="s">
        <v>541</v>
      </c>
      <c r="AD805" s="10" t="s">
        <v>541</v>
      </c>
    </row>
    <row r="806" spans="1:30" s="291" customFormat="1" x14ac:dyDescent="0.2">
      <c r="A806" s="493">
        <v>805</v>
      </c>
      <c r="B806" s="283">
        <v>41832</v>
      </c>
      <c r="C806" s="284">
        <v>2</v>
      </c>
      <c r="D806" s="285" t="s">
        <v>177</v>
      </c>
      <c r="E806" s="285" t="s">
        <v>0</v>
      </c>
      <c r="F806" s="285"/>
      <c r="G806" s="285"/>
      <c r="H806" s="285"/>
      <c r="I806" s="285">
        <v>39</v>
      </c>
      <c r="J806" s="285"/>
      <c r="K806" s="285" t="s">
        <v>364</v>
      </c>
      <c r="L806" s="286"/>
      <c r="M806" s="287">
        <v>2.013888888888889E-2</v>
      </c>
      <c r="N806" s="339" t="s">
        <v>1911</v>
      </c>
      <c r="O806" s="286" t="s">
        <v>376</v>
      </c>
      <c r="P806" s="289" t="s">
        <v>776</v>
      </c>
      <c r="Q806" s="289" t="s">
        <v>2677</v>
      </c>
      <c r="R806" s="290" t="s">
        <v>2696</v>
      </c>
      <c r="S806" s="494" t="str">
        <f t="shared" si="25"/>
        <v>x</v>
      </c>
      <c r="T806" s="495" t="str">
        <f>IFERROR(VLOOKUP(F806,'Freq-Chan'!C:D,2,FALSE),"x")</f>
        <v>x</v>
      </c>
      <c r="U806" s="493" t="s">
        <v>541</v>
      </c>
      <c r="V806" s="493" t="str">
        <f t="shared" si="26"/>
        <v>FWL</v>
      </c>
      <c r="W806" s="493" t="s">
        <v>541</v>
      </c>
      <c r="X806" s="493" t="s">
        <v>541</v>
      </c>
      <c r="Y806" s="493" t="str">
        <f>IFERROR(VLOOKUP(F806,'Freq-Chan'!C:E,3,FALSE),"na")</f>
        <v>na</v>
      </c>
      <c r="Z806" s="493" t="s">
        <v>541</v>
      </c>
      <c r="AA806" s="493" t="s">
        <v>541</v>
      </c>
      <c r="AB806" s="493" t="s">
        <v>541</v>
      </c>
      <c r="AC806" s="291" t="s">
        <v>541</v>
      </c>
      <c r="AD806" s="291" t="s">
        <v>541</v>
      </c>
    </row>
    <row r="807" spans="1:30" x14ac:dyDescent="0.2">
      <c r="A807" s="110">
        <v>806</v>
      </c>
      <c r="B807" s="132">
        <v>41832</v>
      </c>
      <c r="C807" s="117">
        <v>3</v>
      </c>
      <c r="D807" s="103" t="s">
        <v>2</v>
      </c>
      <c r="E807" s="103" t="s">
        <v>306</v>
      </c>
      <c r="F807" s="103">
        <v>875</v>
      </c>
      <c r="G807" s="103">
        <v>55</v>
      </c>
      <c r="H807" s="137" t="s">
        <v>1466</v>
      </c>
      <c r="I807" s="103">
        <v>76</v>
      </c>
      <c r="K807" s="103" t="s">
        <v>364</v>
      </c>
      <c r="L807" s="133"/>
      <c r="M807" s="134">
        <v>4.7222222222222221E-2</v>
      </c>
      <c r="N807" s="137" t="s">
        <v>1644</v>
      </c>
      <c r="O807" s="133" t="s">
        <v>802</v>
      </c>
      <c r="P807" s="100" t="s">
        <v>1998</v>
      </c>
      <c r="Q807" s="100" t="s">
        <v>2684</v>
      </c>
      <c r="R807" s="226" t="s">
        <v>2696</v>
      </c>
      <c r="S807" s="491" t="str">
        <f t="shared" si="25"/>
        <v>x</v>
      </c>
      <c r="T807" s="492">
        <f>IFERROR(VLOOKUP(F807,'Freq-Chan'!C:D,2,FALSE),"x")</f>
        <v>151.875</v>
      </c>
      <c r="U807" s="110" t="s">
        <v>541</v>
      </c>
      <c r="V807" s="110" t="str">
        <f t="shared" si="26"/>
        <v>FWL</v>
      </c>
      <c r="W807" s="110" t="s">
        <v>541</v>
      </c>
      <c r="X807" s="110" t="s">
        <v>541</v>
      </c>
      <c r="Y807" s="110" t="str">
        <f>IFERROR(VLOOKUP(F807,'Freq-Chan'!C:E,3,FALSE),"na")</f>
        <v>F1845</v>
      </c>
      <c r="Z807" s="110" t="s">
        <v>541</v>
      </c>
      <c r="AA807" s="110" t="s">
        <v>541</v>
      </c>
      <c r="AB807" s="110" t="s">
        <v>541</v>
      </c>
      <c r="AC807" s="10" t="s">
        <v>541</v>
      </c>
      <c r="AD807" s="10" t="s">
        <v>541</v>
      </c>
    </row>
    <row r="808" spans="1:30" x14ac:dyDescent="0.2">
      <c r="A808" s="110">
        <v>807</v>
      </c>
      <c r="B808" s="132">
        <v>41832</v>
      </c>
      <c r="C808" s="117">
        <v>3</v>
      </c>
      <c r="D808" s="103" t="s">
        <v>2</v>
      </c>
      <c r="E808" s="103" t="s">
        <v>306</v>
      </c>
      <c r="F808" s="103">
        <v>875</v>
      </c>
      <c r="G808" s="103">
        <v>87</v>
      </c>
      <c r="H808" s="137" t="s">
        <v>1467</v>
      </c>
      <c r="I808" s="103">
        <v>82</v>
      </c>
      <c r="K808" s="103" t="s">
        <v>364</v>
      </c>
      <c r="L808" s="133"/>
      <c r="M808" s="134">
        <v>5.1388888888888894E-2</v>
      </c>
      <c r="N808" s="137" t="s">
        <v>2622</v>
      </c>
      <c r="O808" s="133" t="s">
        <v>803</v>
      </c>
      <c r="P808" s="100" t="s">
        <v>1998</v>
      </c>
      <c r="Q808" s="100" t="s">
        <v>2684</v>
      </c>
      <c r="R808" s="226" t="s">
        <v>2696</v>
      </c>
      <c r="S808" s="491" t="str">
        <f t="shared" si="25"/>
        <v>x</v>
      </c>
      <c r="T808" s="492">
        <f>IFERROR(VLOOKUP(F808,'Freq-Chan'!C:D,2,FALSE),"x")</f>
        <v>151.875</v>
      </c>
      <c r="U808" s="110" t="s">
        <v>541</v>
      </c>
      <c r="V808" s="110" t="str">
        <f t="shared" si="26"/>
        <v>FWL</v>
      </c>
      <c r="W808" s="110" t="s">
        <v>541</v>
      </c>
      <c r="X808" s="110" t="s">
        <v>541</v>
      </c>
      <c r="Y808" s="110" t="str">
        <f>IFERROR(VLOOKUP(F808,'Freq-Chan'!C:E,3,FALSE),"na")</f>
        <v>F1845</v>
      </c>
      <c r="Z808" s="110" t="s">
        <v>541</v>
      </c>
      <c r="AA808" s="110" t="s">
        <v>541</v>
      </c>
      <c r="AB808" s="110" t="s">
        <v>541</v>
      </c>
      <c r="AC808" s="10" t="s">
        <v>541</v>
      </c>
      <c r="AD808" s="10" t="s">
        <v>541</v>
      </c>
    </row>
    <row r="809" spans="1:30" x14ac:dyDescent="0.2">
      <c r="A809" s="110">
        <v>808</v>
      </c>
      <c r="B809" s="132">
        <v>41832</v>
      </c>
      <c r="C809" s="117">
        <v>3</v>
      </c>
      <c r="D809" s="103" t="s">
        <v>177</v>
      </c>
      <c r="E809" s="103" t="s">
        <v>0</v>
      </c>
      <c r="H809" s="103"/>
      <c r="I809" s="103">
        <v>32</v>
      </c>
      <c r="K809" s="103" t="s">
        <v>364</v>
      </c>
      <c r="L809" s="133"/>
      <c r="M809" s="134">
        <v>1.3888888888888888E-2</v>
      </c>
      <c r="N809" s="137" t="s">
        <v>2005</v>
      </c>
      <c r="O809" s="133" t="s">
        <v>802</v>
      </c>
      <c r="P809" s="100" t="s">
        <v>2687</v>
      </c>
      <c r="Q809" s="100" t="s">
        <v>2684</v>
      </c>
      <c r="R809" s="226" t="s">
        <v>2696</v>
      </c>
      <c r="S809" s="491" t="str">
        <f t="shared" si="25"/>
        <v>x</v>
      </c>
      <c r="T809" s="492" t="str">
        <f>IFERROR(VLOOKUP(F809,'Freq-Chan'!C:D,2,FALSE),"x")</f>
        <v>x</v>
      </c>
      <c r="U809" s="110" t="s">
        <v>541</v>
      </c>
      <c r="V809" s="110" t="str">
        <f t="shared" si="26"/>
        <v>FWL</v>
      </c>
      <c r="W809" s="110" t="s">
        <v>541</v>
      </c>
      <c r="X809" s="110" t="s">
        <v>541</v>
      </c>
      <c r="Y809" s="110" t="str">
        <f>IFERROR(VLOOKUP(F809,'Freq-Chan'!C:E,3,FALSE),"na")</f>
        <v>na</v>
      </c>
      <c r="Z809" s="110" t="s">
        <v>541</v>
      </c>
      <c r="AA809" s="110" t="s">
        <v>541</v>
      </c>
      <c r="AB809" s="110" t="s">
        <v>541</v>
      </c>
      <c r="AC809" s="10" t="s">
        <v>541</v>
      </c>
      <c r="AD809" s="10" t="s">
        <v>541</v>
      </c>
    </row>
    <row r="810" spans="1:30" x14ac:dyDescent="0.2">
      <c r="A810" s="110">
        <v>809</v>
      </c>
      <c r="B810" s="132">
        <v>41832</v>
      </c>
      <c r="C810" s="117">
        <v>3</v>
      </c>
      <c r="D810" s="103" t="s">
        <v>2</v>
      </c>
      <c r="E810" s="103" t="s">
        <v>306</v>
      </c>
      <c r="F810" s="103">
        <v>875</v>
      </c>
      <c r="G810" s="103">
        <v>34</v>
      </c>
      <c r="H810" s="137" t="s">
        <v>1468</v>
      </c>
      <c r="I810" s="103">
        <v>81</v>
      </c>
      <c r="K810" s="103" t="s">
        <v>364</v>
      </c>
      <c r="L810" s="133">
        <v>0.30624999999999997</v>
      </c>
      <c r="M810" s="134">
        <v>6.0416666666666667E-2</v>
      </c>
      <c r="N810" s="137" t="s">
        <v>2690</v>
      </c>
      <c r="O810" s="133" t="s">
        <v>802</v>
      </c>
      <c r="P810" s="100" t="s">
        <v>2688</v>
      </c>
      <c r="Q810" s="100" t="s">
        <v>2684</v>
      </c>
      <c r="R810" s="226" t="s">
        <v>2696</v>
      </c>
      <c r="S810" s="491">
        <f t="shared" si="25"/>
        <v>1.0763889E-3</v>
      </c>
      <c r="T810" s="492">
        <f>IFERROR(VLOOKUP(F810,'Freq-Chan'!C:D,2,FALSE),"x")</f>
        <v>151.875</v>
      </c>
      <c r="U810" s="110" t="s">
        <v>541</v>
      </c>
      <c r="V810" s="110" t="str">
        <f t="shared" si="26"/>
        <v>FWL</v>
      </c>
      <c r="W810" s="110" t="s">
        <v>541</v>
      </c>
      <c r="X810" s="110" t="s">
        <v>541</v>
      </c>
      <c r="Y810" s="110" t="str">
        <f>IFERROR(VLOOKUP(F810,'Freq-Chan'!C:E,3,FALSE),"na")</f>
        <v>F1845</v>
      </c>
      <c r="Z810" s="110" t="s">
        <v>541</v>
      </c>
      <c r="AA810" s="110" t="s">
        <v>541</v>
      </c>
      <c r="AB810" s="110" t="s">
        <v>541</v>
      </c>
      <c r="AC810" s="10" t="s">
        <v>541</v>
      </c>
      <c r="AD810" s="10" t="s">
        <v>541</v>
      </c>
    </row>
    <row r="811" spans="1:30" x14ac:dyDescent="0.2">
      <c r="A811" s="110">
        <v>810</v>
      </c>
      <c r="B811" s="132">
        <v>41832</v>
      </c>
      <c r="C811" s="117">
        <v>3</v>
      </c>
      <c r="D811" s="103" t="s">
        <v>2</v>
      </c>
      <c r="E811" s="103" t="s">
        <v>306</v>
      </c>
      <c r="F811" s="103">
        <v>875</v>
      </c>
      <c r="G811" s="103">
        <v>24</v>
      </c>
      <c r="H811" s="137" t="s">
        <v>1469</v>
      </c>
      <c r="I811" s="103">
        <v>74</v>
      </c>
      <c r="K811" s="103" t="s">
        <v>364</v>
      </c>
      <c r="L811" s="133">
        <v>0.3833333333333333</v>
      </c>
      <c r="M811" s="134">
        <v>3.888888888888889E-2</v>
      </c>
      <c r="N811" s="137" t="s">
        <v>2689</v>
      </c>
      <c r="O811" s="133" t="s">
        <v>803</v>
      </c>
      <c r="Q811" s="100" t="s">
        <v>2684</v>
      </c>
      <c r="R811" s="226" t="s">
        <v>2696</v>
      </c>
      <c r="S811" s="491">
        <f t="shared" si="25"/>
        <v>4.9074074000000001E-3</v>
      </c>
      <c r="T811" s="492">
        <f>IFERROR(VLOOKUP(F811,'Freq-Chan'!C:D,2,FALSE),"x")</f>
        <v>151.875</v>
      </c>
      <c r="U811" s="110" t="s">
        <v>541</v>
      </c>
      <c r="V811" s="110" t="str">
        <f t="shared" si="26"/>
        <v>FWL</v>
      </c>
      <c r="W811" s="110" t="s">
        <v>541</v>
      </c>
      <c r="X811" s="110" t="s">
        <v>541</v>
      </c>
      <c r="Y811" s="110" t="str">
        <f>IFERROR(VLOOKUP(F811,'Freq-Chan'!C:E,3,FALSE),"na")</f>
        <v>F1845</v>
      </c>
      <c r="Z811" s="110" t="s">
        <v>541</v>
      </c>
      <c r="AA811" s="110" t="s">
        <v>541</v>
      </c>
      <c r="AB811" s="110" t="s">
        <v>541</v>
      </c>
      <c r="AC811" s="10" t="s">
        <v>541</v>
      </c>
      <c r="AD811" s="10" t="s">
        <v>541</v>
      </c>
    </row>
    <row r="812" spans="1:30" x14ac:dyDescent="0.2">
      <c r="A812" s="110">
        <v>811</v>
      </c>
      <c r="B812" s="132">
        <v>41832</v>
      </c>
      <c r="C812" s="117">
        <v>3</v>
      </c>
      <c r="D812" s="103" t="s">
        <v>71</v>
      </c>
      <c r="E812" s="103" t="s">
        <v>306</v>
      </c>
      <c r="F812" s="103">
        <v>564</v>
      </c>
      <c r="G812" s="103">
        <v>63</v>
      </c>
      <c r="H812" s="137" t="s">
        <v>2295</v>
      </c>
      <c r="I812" s="103">
        <v>57</v>
      </c>
      <c r="K812" s="103" t="s">
        <v>364</v>
      </c>
      <c r="L812" s="133"/>
      <c r="M812" s="134">
        <v>5.9027777777777783E-2</v>
      </c>
      <c r="N812" s="137" t="s">
        <v>2691</v>
      </c>
      <c r="O812" s="133" t="s">
        <v>802</v>
      </c>
      <c r="Q812" s="100" t="s">
        <v>2684</v>
      </c>
      <c r="R812" s="226" t="s">
        <v>2696</v>
      </c>
      <c r="S812" s="491" t="str">
        <f t="shared" si="25"/>
        <v>x</v>
      </c>
      <c r="T812" s="492">
        <f>IFERROR(VLOOKUP(F812,'Freq-Chan'!C:D,2,FALSE),"x")</f>
        <v>151.56399999999999</v>
      </c>
      <c r="U812" s="110" t="s">
        <v>541</v>
      </c>
      <c r="V812" s="110" t="str">
        <f t="shared" si="26"/>
        <v>FWL</v>
      </c>
      <c r="W812" s="110" t="s">
        <v>541</v>
      </c>
      <c r="X812" s="110" t="s">
        <v>541</v>
      </c>
      <c r="Y812" s="110" t="str">
        <f>IFERROR(VLOOKUP(F812,'Freq-Chan'!C:E,3,FALSE),"na")</f>
        <v>F1840</v>
      </c>
      <c r="Z812" s="110" t="s">
        <v>541</v>
      </c>
      <c r="AA812" s="110" t="s">
        <v>541</v>
      </c>
      <c r="AB812" s="110" t="s">
        <v>541</v>
      </c>
      <c r="AC812" s="10" t="s">
        <v>541</v>
      </c>
      <c r="AD812" s="10" t="s">
        <v>541</v>
      </c>
    </row>
    <row r="813" spans="1:30" x14ac:dyDescent="0.2">
      <c r="A813" s="110">
        <v>812</v>
      </c>
      <c r="B813" s="132">
        <v>41832</v>
      </c>
      <c r="C813" s="117">
        <v>3</v>
      </c>
      <c r="D813" s="103" t="s">
        <v>2</v>
      </c>
      <c r="E813" s="103" t="s">
        <v>306</v>
      </c>
      <c r="F813" s="103">
        <v>875</v>
      </c>
      <c r="G813" s="103">
        <v>1</v>
      </c>
      <c r="H813" s="137" t="s">
        <v>1470</v>
      </c>
      <c r="I813" s="103">
        <v>50</v>
      </c>
      <c r="K813" s="103" t="s">
        <v>364</v>
      </c>
      <c r="L813" s="133"/>
      <c r="M813" s="134">
        <v>5.1388888888888894E-2</v>
      </c>
      <c r="N813" s="137" t="s">
        <v>1768</v>
      </c>
      <c r="O813" s="133" t="s">
        <v>1532</v>
      </c>
      <c r="Q813" s="100" t="s">
        <v>2684</v>
      </c>
      <c r="R813" s="226" t="s">
        <v>2696</v>
      </c>
      <c r="S813" s="491" t="str">
        <f t="shared" si="25"/>
        <v>x</v>
      </c>
      <c r="T813" s="492">
        <f>IFERROR(VLOOKUP(F813,'Freq-Chan'!C:D,2,FALSE),"x")</f>
        <v>151.875</v>
      </c>
      <c r="U813" s="110" t="s">
        <v>541</v>
      </c>
      <c r="V813" s="110" t="str">
        <f t="shared" si="26"/>
        <v>FWL</v>
      </c>
      <c r="W813" s="110" t="s">
        <v>541</v>
      </c>
      <c r="X813" s="110" t="s">
        <v>541</v>
      </c>
      <c r="Y813" s="110" t="str">
        <f>IFERROR(VLOOKUP(F813,'Freq-Chan'!C:E,3,FALSE),"na")</f>
        <v>F1845</v>
      </c>
      <c r="Z813" s="110" t="s">
        <v>541</v>
      </c>
      <c r="AA813" s="110" t="s">
        <v>541</v>
      </c>
      <c r="AB813" s="110" t="s">
        <v>541</v>
      </c>
      <c r="AC813" s="10" t="s">
        <v>541</v>
      </c>
      <c r="AD813" s="10" t="s">
        <v>541</v>
      </c>
    </row>
    <row r="814" spans="1:30" x14ac:dyDescent="0.2">
      <c r="A814" s="110">
        <v>813</v>
      </c>
      <c r="B814" s="132">
        <v>41832</v>
      </c>
      <c r="C814" s="117">
        <v>3</v>
      </c>
      <c r="D814" s="103" t="s">
        <v>177</v>
      </c>
      <c r="E814" s="103" t="s">
        <v>0</v>
      </c>
      <c r="H814" s="103"/>
      <c r="I814" s="103">
        <v>35</v>
      </c>
      <c r="K814" s="103" t="s">
        <v>364</v>
      </c>
      <c r="L814" s="133">
        <v>0.51250000000000007</v>
      </c>
      <c r="M814" s="134">
        <v>1.9444444444444445E-2</v>
      </c>
      <c r="N814" s="137" t="s">
        <v>2692</v>
      </c>
      <c r="O814" s="133" t="s">
        <v>1875</v>
      </c>
      <c r="Q814" s="100" t="s">
        <v>2684</v>
      </c>
      <c r="R814" s="226" t="s">
        <v>2696</v>
      </c>
      <c r="S814" s="491">
        <f t="shared" si="25"/>
        <v>6.6203703999999997E-3</v>
      </c>
      <c r="T814" s="492" t="str">
        <f>IFERROR(VLOOKUP(F814,'Freq-Chan'!C:D,2,FALSE),"x")</f>
        <v>x</v>
      </c>
      <c r="U814" s="110" t="s">
        <v>541</v>
      </c>
      <c r="V814" s="110" t="str">
        <f t="shared" si="26"/>
        <v>FWL</v>
      </c>
      <c r="W814" s="110" t="s">
        <v>541</v>
      </c>
      <c r="X814" s="110" t="s">
        <v>541</v>
      </c>
      <c r="Y814" s="110" t="str">
        <f>IFERROR(VLOOKUP(F814,'Freq-Chan'!C:E,3,FALSE),"na")</f>
        <v>na</v>
      </c>
      <c r="Z814" s="110" t="s">
        <v>541</v>
      </c>
      <c r="AA814" s="110" t="s">
        <v>541</v>
      </c>
      <c r="AB814" s="110" t="s">
        <v>541</v>
      </c>
      <c r="AC814" s="10" t="s">
        <v>541</v>
      </c>
      <c r="AD814" s="10" t="s">
        <v>541</v>
      </c>
    </row>
    <row r="815" spans="1:30" s="291" customFormat="1" x14ac:dyDescent="0.2">
      <c r="A815" s="493">
        <v>814</v>
      </c>
      <c r="B815" s="283">
        <v>41832</v>
      </c>
      <c r="C815" s="284">
        <v>3</v>
      </c>
      <c r="D815" s="285" t="s">
        <v>2</v>
      </c>
      <c r="E815" s="285" t="s">
        <v>306</v>
      </c>
      <c r="F815" s="285">
        <v>364</v>
      </c>
      <c r="G815" s="285">
        <v>20</v>
      </c>
      <c r="H815" s="339" t="s">
        <v>1471</v>
      </c>
      <c r="I815" s="285">
        <v>53</v>
      </c>
      <c r="J815" s="285"/>
      <c r="K815" s="285" t="s">
        <v>364</v>
      </c>
      <c r="L815" s="286"/>
      <c r="M815" s="287">
        <v>5.2083333333333336E-2</v>
      </c>
      <c r="N815" s="339" t="s">
        <v>2693</v>
      </c>
      <c r="O815" s="286" t="s">
        <v>1875</v>
      </c>
      <c r="P815" s="289"/>
      <c r="Q815" s="289" t="s">
        <v>2684</v>
      </c>
      <c r="R815" s="290" t="s">
        <v>2696</v>
      </c>
      <c r="S815" s="494" t="str">
        <f t="shared" si="25"/>
        <v>x</v>
      </c>
      <c r="T815" s="495">
        <f>IFERROR(VLOOKUP(F815,'Freq-Chan'!C:D,2,FALSE),"x")</f>
        <v>151.364</v>
      </c>
      <c r="U815" s="493" t="s">
        <v>541</v>
      </c>
      <c r="V815" s="493" t="str">
        <f t="shared" si="26"/>
        <v>FWL</v>
      </c>
      <c r="W815" s="493" t="s">
        <v>541</v>
      </c>
      <c r="X815" s="493" t="s">
        <v>541</v>
      </c>
      <c r="Y815" s="493" t="str">
        <f>IFERROR(VLOOKUP(F815,'Freq-Chan'!C:E,3,FALSE),"na")</f>
        <v>F1845</v>
      </c>
      <c r="Z815" s="493" t="s">
        <v>541</v>
      </c>
      <c r="AA815" s="493" t="s">
        <v>541</v>
      </c>
      <c r="AB815" s="493" t="s">
        <v>541</v>
      </c>
      <c r="AC815" s="291" t="s">
        <v>541</v>
      </c>
      <c r="AD815" s="291" t="s">
        <v>541</v>
      </c>
    </row>
    <row r="816" spans="1:30" s="291" customFormat="1" x14ac:dyDescent="0.2">
      <c r="A816" s="493">
        <v>815</v>
      </c>
      <c r="B816" s="283">
        <v>41832</v>
      </c>
      <c r="C816" s="284">
        <v>3</v>
      </c>
      <c r="D816" s="285" t="s">
        <v>97</v>
      </c>
      <c r="E816" s="285" t="s">
        <v>798</v>
      </c>
      <c r="F816" s="285"/>
      <c r="G816" s="285"/>
      <c r="H816" s="285"/>
      <c r="I816" s="285"/>
      <c r="J816" s="285">
        <v>24</v>
      </c>
      <c r="K816" s="285" t="s">
        <v>364</v>
      </c>
      <c r="L816" s="286"/>
      <c r="M816" s="287"/>
      <c r="N816" s="339" t="s">
        <v>2694</v>
      </c>
      <c r="O816" s="286" t="s">
        <v>1875</v>
      </c>
      <c r="P816" s="289" t="s">
        <v>2695</v>
      </c>
      <c r="Q816" s="289" t="s">
        <v>2684</v>
      </c>
      <c r="R816" s="290" t="s">
        <v>2696</v>
      </c>
      <c r="S816" s="494" t="str">
        <f t="shared" si="25"/>
        <v>x</v>
      </c>
      <c r="T816" s="495" t="str">
        <f>IFERROR(VLOOKUP(F816,'Freq-Chan'!C:D,2,FALSE),"x")</f>
        <v>x</v>
      </c>
      <c r="U816" s="493" t="s">
        <v>541</v>
      </c>
      <c r="V816" s="493" t="str">
        <f t="shared" si="26"/>
        <v>FWL</v>
      </c>
      <c r="W816" s="493" t="s">
        <v>541</v>
      </c>
      <c r="X816" s="493" t="s">
        <v>541</v>
      </c>
      <c r="Y816" s="493" t="str">
        <f>IFERROR(VLOOKUP(F816,'Freq-Chan'!C:E,3,FALSE),"na")</f>
        <v>na</v>
      </c>
      <c r="Z816" s="493" t="s">
        <v>541</v>
      </c>
      <c r="AA816" s="493" t="s">
        <v>541</v>
      </c>
      <c r="AB816" s="493" t="s">
        <v>541</v>
      </c>
      <c r="AC816" s="291" t="s">
        <v>541</v>
      </c>
      <c r="AD816" s="291" t="s">
        <v>541</v>
      </c>
    </row>
    <row r="817" spans="1:30" x14ac:dyDescent="0.2">
      <c r="A817" s="110">
        <v>816</v>
      </c>
      <c r="B817" s="132">
        <v>41833</v>
      </c>
      <c r="C817" s="117">
        <v>1</v>
      </c>
      <c r="D817" s="103" t="s">
        <v>2</v>
      </c>
      <c r="E817" s="103" t="s">
        <v>306</v>
      </c>
      <c r="F817" s="103">
        <v>875</v>
      </c>
      <c r="G817" s="103">
        <v>13</v>
      </c>
      <c r="H817" s="137" t="s">
        <v>1459</v>
      </c>
      <c r="I817" s="103">
        <v>50</v>
      </c>
      <c r="K817" s="103" t="s">
        <v>364</v>
      </c>
      <c r="L817" s="133"/>
      <c r="M817" s="134">
        <v>4.9305555555555554E-2</v>
      </c>
      <c r="N817" s="137" t="s">
        <v>1667</v>
      </c>
      <c r="O817" s="133" t="s">
        <v>802</v>
      </c>
      <c r="Q817" s="100" t="s">
        <v>2704</v>
      </c>
      <c r="R817" s="226" t="s">
        <v>2724</v>
      </c>
      <c r="S817" s="491" t="str">
        <f t="shared" si="25"/>
        <v>x</v>
      </c>
      <c r="T817" s="492">
        <f>IFERROR(VLOOKUP(F817,'Freq-Chan'!C:D,2,FALSE),"x")</f>
        <v>151.875</v>
      </c>
      <c r="U817" s="110" t="s">
        <v>541</v>
      </c>
      <c r="V817" s="110" t="str">
        <f t="shared" si="26"/>
        <v>FWL</v>
      </c>
      <c r="W817" s="110" t="s">
        <v>541</v>
      </c>
      <c r="X817" s="110" t="s">
        <v>541</v>
      </c>
      <c r="Y817" s="110" t="str">
        <f>IFERROR(VLOOKUP(F817,'Freq-Chan'!C:E,3,FALSE),"na")</f>
        <v>F1845</v>
      </c>
      <c r="Z817" s="110" t="s">
        <v>541</v>
      </c>
      <c r="AA817" s="110" t="s">
        <v>541</v>
      </c>
      <c r="AB817" s="110" t="s">
        <v>541</v>
      </c>
      <c r="AC817" s="10" t="s">
        <v>541</v>
      </c>
      <c r="AD817" s="10" t="s">
        <v>541</v>
      </c>
    </row>
    <row r="818" spans="1:30" s="291" customFormat="1" x14ac:dyDescent="0.2">
      <c r="A818" s="493">
        <v>817</v>
      </c>
      <c r="B818" s="283">
        <v>41833</v>
      </c>
      <c r="C818" s="284">
        <v>1</v>
      </c>
      <c r="D818" s="285" t="s">
        <v>177</v>
      </c>
      <c r="E818" s="285" t="s">
        <v>0</v>
      </c>
      <c r="F818" s="285"/>
      <c r="G818" s="285"/>
      <c r="H818" s="285"/>
      <c r="I818" s="285">
        <v>28</v>
      </c>
      <c r="J818" s="285"/>
      <c r="K818" s="285" t="s">
        <v>364</v>
      </c>
      <c r="L818" s="286"/>
      <c r="M818" s="287">
        <v>2.0833333333333332E-2</v>
      </c>
      <c r="N818" s="339" t="s">
        <v>2709</v>
      </c>
      <c r="O818" s="286" t="s">
        <v>803</v>
      </c>
      <c r="P818" s="289" t="s">
        <v>776</v>
      </c>
      <c r="Q818" s="289" t="s">
        <v>2704</v>
      </c>
      <c r="R818" s="290" t="s">
        <v>2724</v>
      </c>
      <c r="S818" s="494" t="str">
        <f t="shared" si="25"/>
        <v>x</v>
      </c>
      <c r="T818" s="495" t="str">
        <f>IFERROR(VLOOKUP(F818,'Freq-Chan'!C:D,2,FALSE),"x")</f>
        <v>x</v>
      </c>
      <c r="U818" s="493" t="s">
        <v>541</v>
      </c>
      <c r="V818" s="493" t="str">
        <f t="shared" si="26"/>
        <v>FWL</v>
      </c>
      <c r="W818" s="493" t="s">
        <v>541</v>
      </c>
      <c r="X818" s="493" t="s">
        <v>541</v>
      </c>
      <c r="Y818" s="493" t="str">
        <f>IFERROR(VLOOKUP(F818,'Freq-Chan'!C:E,3,FALSE),"na")</f>
        <v>na</v>
      </c>
      <c r="Z818" s="493" t="s">
        <v>541</v>
      </c>
      <c r="AA818" s="493" t="s">
        <v>541</v>
      </c>
      <c r="AB818" s="493" t="s">
        <v>541</v>
      </c>
      <c r="AC818" s="291" t="s">
        <v>541</v>
      </c>
      <c r="AD818" s="291" t="s">
        <v>541</v>
      </c>
    </row>
    <row r="819" spans="1:30" x14ac:dyDescent="0.2">
      <c r="A819" s="110">
        <v>818</v>
      </c>
      <c r="B819" s="132">
        <v>41833</v>
      </c>
      <c r="C819" s="117">
        <v>2</v>
      </c>
      <c r="D819" s="103" t="s">
        <v>2</v>
      </c>
      <c r="E819" s="103" t="s">
        <v>306</v>
      </c>
      <c r="F819" s="103">
        <v>875</v>
      </c>
      <c r="G819" s="103">
        <v>48</v>
      </c>
      <c r="H819" s="137" t="s">
        <v>1457</v>
      </c>
      <c r="I819" s="103">
        <v>64</v>
      </c>
      <c r="K819" s="103" t="s">
        <v>364</v>
      </c>
      <c r="L819" s="133"/>
      <c r="M819" s="134">
        <v>6.7361111111111108E-2</v>
      </c>
      <c r="N819" s="137" t="s">
        <v>1978</v>
      </c>
      <c r="O819" s="133" t="s">
        <v>803</v>
      </c>
      <c r="P819" s="100" t="s">
        <v>1786</v>
      </c>
      <c r="Q819" s="100" t="s">
        <v>2704</v>
      </c>
      <c r="R819" s="226" t="s">
        <v>2724</v>
      </c>
      <c r="S819" s="491" t="str">
        <f t="shared" si="25"/>
        <v>x</v>
      </c>
      <c r="T819" s="492">
        <f>IFERROR(VLOOKUP(F819,'Freq-Chan'!C:D,2,FALSE),"x")</f>
        <v>151.875</v>
      </c>
      <c r="U819" s="110" t="s">
        <v>541</v>
      </c>
      <c r="V819" s="110" t="str">
        <f t="shared" si="26"/>
        <v>FWL</v>
      </c>
      <c r="W819" s="110" t="s">
        <v>541</v>
      </c>
      <c r="X819" s="110" t="s">
        <v>541</v>
      </c>
      <c r="Y819" s="110" t="str">
        <f>IFERROR(VLOOKUP(F819,'Freq-Chan'!C:E,3,FALSE),"na")</f>
        <v>F1845</v>
      </c>
      <c r="Z819" s="110" t="s">
        <v>541</v>
      </c>
      <c r="AA819" s="110" t="s">
        <v>541</v>
      </c>
      <c r="AB819" s="110" t="s">
        <v>541</v>
      </c>
      <c r="AC819" s="10" t="s">
        <v>541</v>
      </c>
      <c r="AD819" s="10" t="s">
        <v>541</v>
      </c>
    </row>
    <row r="820" spans="1:30" x14ac:dyDescent="0.2">
      <c r="A820" s="110">
        <v>819</v>
      </c>
      <c r="B820" s="132">
        <v>41833</v>
      </c>
      <c r="C820" s="117">
        <v>2</v>
      </c>
      <c r="D820" s="103" t="s">
        <v>177</v>
      </c>
      <c r="E820" s="103" t="s">
        <v>0</v>
      </c>
      <c r="H820" s="103"/>
      <c r="I820" s="103">
        <v>34</v>
      </c>
      <c r="K820" s="103" t="s">
        <v>364</v>
      </c>
      <c r="L820" s="133"/>
      <c r="M820" s="134">
        <v>2.7777777777777776E-2</v>
      </c>
      <c r="N820" s="137" t="s">
        <v>2710</v>
      </c>
      <c r="O820" s="133" t="s">
        <v>1875</v>
      </c>
      <c r="P820" s="100" t="s">
        <v>2711</v>
      </c>
      <c r="Q820" s="100" t="s">
        <v>2704</v>
      </c>
      <c r="R820" s="226" t="s">
        <v>2724</v>
      </c>
      <c r="S820" s="491" t="str">
        <f t="shared" si="25"/>
        <v>x</v>
      </c>
      <c r="T820" s="492" t="str">
        <f>IFERROR(VLOOKUP(F820,'Freq-Chan'!C:D,2,FALSE),"x")</f>
        <v>x</v>
      </c>
      <c r="U820" s="110" t="s">
        <v>541</v>
      </c>
      <c r="V820" s="110" t="str">
        <f t="shared" si="26"/>
        <v>FWL</v>
      </c>
      <c r="W820" s="110" t="s">
        <v>541</v>
      </c>
      <c r="X820" s="110" t="s">
        <v>541</v>
      </c>
      <c r="Y820" s="110" t="str">
        <f>IFERROR(VLOOKUP(F820,'Freq-Chan'!C:E,3,FALSE),"na")</f>
        <v>na</v>
      </c>
      <c r="Z820" s="110" t="s">
        <v>541</v>
      </c>
      <c r="AA820" s="110" t="s">
        <v>541</v>
      </c>
      <c r="AB820" s="110" t="s">
        <v>541</v>
      </c>
      <c r="AC820" s="10" t="s">
        <v>541</v>
      </c>
      <c r="AD820" s="10" t="s">
        <v>541</v>
      </c>
    </row>
    <row r="821" spans="1:30" s="291" customFormat="1" x14ac:dyDescent="0.2">
      <c r="A821" s="493">
        <v>820</v>
      </c>
      <c r="B821" s="283">
        <v>41833</v>
      </c>
      <c r="C821" s="284">
        <v>2</v>
      </c>
      <c r="D821" s="285" t="s">
        <v>2</v>
      </c>
      <c r="E821" s="285" t="s">
        <v>306</v>
      </c>
      <c r="F821" s="285">
        <v>875</v>
      </c>
      <c r="G821" s="285">
        <v>39</v>
      </c>
      <c r="H821" s="339" t="s">
        <v>1458</v>
      </c>
      <c r="I821" s="285">
        <v>95</v>
      </c>
      <c r="J821" s="285"/>
      <c r="K821" s="285" t="s">
        <v>364</v>
      </c>
      <c r="L821" s="286">
        <v>0.66666666666666663</v>
      </c>
      <c r="M821" s="287">
        <v>5.6250000000000001E-2</v>
      </c>
      <c r="N821" s="339" t="s">
        <v>844</v>
      </c>
      <c r="O821" s="286" t="s">
        <v>803</v>
      </c>
      <c r="P821" s="289"/>
      <c r="Q821" s="289" t="s">
        <v>2704</v>
      </c>
      <c r="R821" s="290" t="s">
        <v>2724</v>
      </c>
      <c r="S821" s="494">
        <f t="shared" si="25"/>
        <v>3.9236111000000001E-3</v>
      </c>
      <c r="T821" s="495">
        <f>IFERROR(VLOOKUP(F821,'Freq-Chan'!C:D,2,FALSE),"x")</f>
        <v>151.875</v>
      </c>
      <c r="U821" s="493" t="s">
        <v>541</v>
      </c>
      <c r="V821" s="493" t="str">
        <f t="shared" si="26"/>
        <v>FWL</v>
      </c>
      <c r="W821" s="493" t="s">
        <v>541</v>
      </c>
      <c r="X821" s="493" t="s">
        <v>541</v>
      </c>
      <c r="Y821" s="493" t="str">
        <f>IFERROR(VLOOKUP(F821,'Freq-Chan'!C:E,3,FALSE),"na")</f>
        <v>F1845</v>
      </c>
      <c r="Z821" s="493" t="s">
        <v>541</v>
      </c>
      <c r="AA821" s="493" t="s">
        <v>541</v>
      </c>
      <c r="AB821" s="493" t="s">
        <v>541</v>
      </c>
      <c r="AC821" s="291" t="s">
        <v>541</v>
      </c>
      <c r="AD821" s="291" t="s">
        <v>541</v>
      </c>
    </row>
    <row r="822" spans="1:30" x14ac:dyDescent="0.2">
      <c r="A822" s="110">
        <v>821</v>
      </c>
      <c r="B822" s="132">
        <v>41833</v>
      </c>
      <c r="C822" s="117">
        <v>3</v>
      </c>
      <c r="D822" s="103" t="s">
        <v>2</v>
      </c>
      <c r="E822" s="103" t="s">
        <v>306</v>
      </c>
      <c r="F822" s="103">
        <v>875</v>
      </c>
      <c r="G822" s="103">
        <v>93</v>
      </c>
      <c r="H822" s="137" t="s">
        <v>1472</v>
      </c>
      <c r="I822" s="103">
        <v>83</v>
      </c>
      <c r="K822" s="103" t="s">
        <v>364</v>
      </c>
      <c r="L822" s="133"/>
      <c r="M822" s="134">
        <v>5.486111111111111E-2</v>
      </c>
      <c r="N822" s="137" t="s">
        <v>2712</v>
      </c>
      <c r="O822" s="133" t="s">
        <v>802</v>
      </c>
      <c r="P822" s="100" t="s">
        <v>1998</v>
      </c>
      <c r="Q822" s="100" t="s">
        <v>2701</v>
      </c>
      <c r="R822" s="226" t="s">
        <v>2724</v>
      </c>
      <c r="S822" s="491" t="str">
        <f t="shared" si="25"/>
        <v>x</v>
      </c>
      <c r="T822" s="492">
        <f>IFERROR(VLOOKUP(F822,'Freq-Chan'!C:D,2,FALSE),"x")</f>
        <v>151.875</v>
      </c>
      <c r="U822" s="110" t="s">
        <v>541</v>
      </c>
      <c r="V822" s="110" t="str">
        <f t="shared" si="26"/>
        <v>FWL</v>
      </c>
      <c r="W822" s="110" t="s">
        <v>541</v>
      </c>
      <c r="X822" s="110" t="s">
        <v>541</v>
      </c>
      <c r="Y822" s="110" t="str">
        <f>IFERROR(VLOOKUP(F822,'Freq-Chan'!C:E,3,FALSE),"na")</f>
        <v>F1845</v>
      </c>
      <c r="Z822" s="110" t="s">
        <v>541</v>
      </c>
      <c r="AA822" s="110" t="s">
        <v>541</v>
      </c>
      <c r="AB822" s="110" t="s">
        <v>541</v>
      </c>
      <c r="AC822" s="10" t="s">
        <v>541</v>
      </c>
      <c r="AD822" s="10" t="s">
        <v>541</v>
      </c>
    </row>
    <row r="823" spans="1:30" x14ac:dyDescent="0.2">
      <c r="A823" s="110">
        <v>822</v>
      </c>
      <c r="B823" s="132">
        <v>41833</v>
      </c>
      <c r="C823" s="117">
        <v>3</v>
      </c>
      <c r="D823" s="103" t="s">
        <v>2</v>
      </c>
      <c r="E823" s="103" t="s">
        <v>306</v>
      </c>
      <c r="F823" s="103">
        <v>875</v>
      </c>
      <c r="G823" s="103">
        <v>2</v>
      </c>
      <c r="H823" s="137" t="s">
        <v>1473</v>
      </c>
      <c r="I823" s="103">
        <v>87</v>
      </c>
      <c r="K823" s="103" t="s">
        <v>364</v>
      </c>
      <c r="L823" s="133"/>
      <c r="M823" s="134">
        <v>5.6250000000000001E-2</v>
      </c>
      <c r="N823" s="137" t="s">
        <v>2713</v>
      </c>
      <c r="O823" s="133" t="s">
        <v>1663</v>
      </c>
      <c r="P823" s="100" t="s">
        <v>1998</v>
      </c>
      <c r="Q823" s="100" t="s">
        <v>2701</v>
      </c>
      <c r="R823" s="226" t="s">
        <v>2724</v>
      </c>
      <c r="S823" s="491" t="str">
        <f t="shared" si="25"/>
        <v>x</v>
      </c>
      <c r="T823" s="492">
        <f>IFERROR(VLOOKUP(F823,'Freq-Chan'!C:D,2,FALSE),"x")</f>
        <v>151.875</v>
      </c>
      <c r="U823" s="110" t="s">
        <v>541</v>
      </c>
      <c r="V823" s="110" t="str">
        <f t="shared" si="26"/>
        <v>FWL</v>
      </c>
      <c r="W823" s="110" t="s">
        <v>541</v>
      </c>
      <c r="X823" s="110" t="s">
        <v>541</v>
      </c>
      <c r="Y823" s="110" t="str">
        <f>IFERROR(VLOOKUP(F823,'Freq-Chan'!C:E,3,FALSE),"na")</f>
        <v>F1845</v>
      </c>
      <c r="Z823" s="110" t="s">
        <v>541</v>
      </c>
      <c r="AA823" s="110" t="s">
        <v>541</v>
      </c>
      <c r="AB823" s="110" t="s">
        <v>541</v>
      </c>
      <c r="AC823" s="10" t="s">
        <v>541</v>
      </c>
      <c r="AD823" s="10" t="s">
        <v>541</v>
      </c>
    </row>
    <row r="824" spans="1:30" x14ac:dyDescent="0.2">
      <c r="A824" s="110">
        <v>823</v>
      </c>
      <c r="B824" s="132">
        <v>41833</v>
      </c>
      <c r="C824" s="117">
        <v>3</v>
      </c>
      <c r="D824" s="103" t="s">
        <v>2</v>
      </c>
      <c r="E824" s="103" t="s">
        <v>306</v>
      </c>
      <c r="F824" s="103">
        <v>875</v>
      </c>
      <c r="G824" s="103">
        <v>95</v>
      </c>
      <c r="H824" s="137" t="s">
        <v>1474</v>
      </c>
      <c r="I824" s="103">
        <v>79</v>
      </c>
      <c r="K824" s="103" t="s">
        <v>364</v>
      </c>
      <c r="L824" s="133"/>
      <c r="M824" s="134">
        <v>5.486111111111111E-2</v>
      </c>
      <c r="N824" s="137" t="s">
        <v>2714</v>
      </c>
      <c r="O824" s="133" t="s">
        <v>802</v>
      </c>
      <c r="P824" s="100" t="s">
        <v>1998</v>
      </c>
      <c r="Q824" s="100" t="s">
        <v>2701</v>
      </c>
      <c r="R824" s="226" t="s">
        <v>2724</v>
      </c>
      <c r="S824" s="491" t="str">
        <f t="shared" si="25"/>
        <v>x</v>
      </c>
      <c r="T824" s="492">
        <f>IFERROR(VLOOKUP(F824,'Freq-Chan'!C:D,2,FALSE),"x")</f>
        <v>151.875</v>
      </c>
      <c r="U824" s="110" t="s">
        <v>541</v>
      </c>
      <c r="V824" s="110" t="str">
        <f t="shared" si="26"/>
        <v>FWL</v>
      </c>
      <c r="W824" s="110" t="s">
        <v>541</v>
      </c>
      <c r="X824" s="110" t="s">
        <v>541</v>
      </c>
      <c r="Y824" s="110" t="str">
        <f>IFERROR(VLOOKUP(F824,'Freq-Chan'!C:E,3,FALSE),"na")</f>
        <v>F1845</v>
      </c>
      <c r="Z824" s="110" t="s">
        <v>541</v>
      </c>
      <c r="AA824" s="110" t="s">
        <v>541</v>
      </c>
      <c r="AB824" s="110" t="s">
        <v>541</v>
      </c>
      <c r="AC824" s="10" t="s">
        <v>541</v>
      </c>
      <c r="AD824" s="10" t="s">
        <v>541</v>
      </c>
    </row>
    <row r="825" spans="1:30" x14ac:dyDescent="0.2">
      <c r="A825" s="110">
        <v>824</v>
      </c>
      <c r="B825" s="132">
        <v>41833</v>
      </c>
      <c r="C825" s="117">
        <v>3</v>
      </c>
      <c r="D825" s="103" t="s">
        <v>2</v>
      </c>
      <c r="E825" s="103" t="s">
        <v>306</v>
      </c>
      <c r="F825" s="103">
        <v>875</v>
      </c>
      <c r="G825" s="103">
        <v>97</v>
      </c>
      <c r="H825" s="137" t="s">
        <v>1475</v>
      </c>
      <c r="I825" s="103">
        <v>80</v>
      </c>
      <c r="K825" s="103" t="s">
        <v>364</v>
      </c>
      <c r="L825" s="133"/>
      <c r="M825" s="134">
        <v>6.25E-2</v>
      </c>
      <c r="N825" s="137" t="s">
        <v>2715</v>
      </c>
      <c r="O825" s="133" t="s">
        <v>1663</v>
      </c>
      <c r="P825" s="100" t="s">
        <v>1998</v>
      </c>
      <c r="Q825" s="100" t="s">
        <v>2701</v>
      </c>
      <c r="R825" s="226" t="s">
        <v>2724</v>
      </c>
      <c r="S825" s="491" t="str">
        <f t="shared" si="25"/>
        <v>x</v>
      </c>
      <c r="T825" s="492">
        <f>IFERROR(VLOOKUP(F825,'Freq-Chan'!C:D,2,FALSE),"x")</f>
        <v>151.875</v>
      </c>
      <c r="U825" s="110" t="s">
        <v>541</v>
      </c>
      <c r="V825" s="110" t="str">
        <f t="shared" si="26"/>
        <v>FWL</v>
      </c>
      <c r="W825" s="110" t="s">
        <v>541</v>
      </c>
      <c r="X825" s="110" t="s">
        <v>541</v>
      </c>
      <c r="Y825" s="110" t="str">
        <f>IFERROR(VLOOKUP(F825,'Freq-Chan'!C:E,3,FALSE),"na")</f>
        <v>F1845</v>
      </c>
      <c r="Z825" s="110" t="s">
        <v>541</v>
      </c>
      <c r="AA825" s="110" t="s">
        <v>541</v>
      </c>
      <c r="AB825" s="110" t="s">
        <v>541</v>
      </c>
      <c r="AC825" s="10" t="s">
        <v>541</v>
      </c>
      <c r="AD825" s="10" t="s">
        <v>541</v>
      </c>
    </row>
    <row r="826" spans="1:30" x14ac:dyDescent="0.2">
      <c r="A826" s="110">
        <v>825</v>
      </c>
      <c r="B826" s="132">
        <v>41833</v>
      </c>
      <c r="C826" s="117">
        <v>3</v>
      </c>
      <c r="D826" s="103" t="s">
        <v>177</v>
      </c>
      <c r="E826" s="103" t="s">
        <v>0</v>
      </c>
      <c r="H826" s="103"/>
      <c r="I826" s="103">
        <v>40</v>
      </c>
      <c r="K826" s="103" t="s">
        <v>364</v>
      </c>
      <c r="L826" s="133"/>
      <c r="M826" s="134">
        <v>2.7777777777777776E-2</v>
      </c>
      <c r="N826" s="137" t="s">
        <v>2030</v>
      </c>
      <c r="O826" s="133" t="s">
        <v>1663</v>
      </c>
      <c r="P826" s="100" t="s">
        <v>2716</v>
      </c>
      <c r="Q826" s="100" t="s">
        <v>2701</v>
      </c>
      <c r="R826" s="226" t="s">
        <v>2724</v>
      </c>
      <c r="S826" s="491" t="str">
        <f t="shared" si="25"/>
        <v>x</v>
      </c>
      <c r="T826" s="492" t="str">
        <f>IFERROR(VLOOKUP(F826,'Freq-Chan'!C:D,2,FALSE),"x")</f>
        <v>x</v>
      </c>
      <c r="U826" s="110" t="s">
        <v>541</v>
      </c>
      <c r="V826" s="110" t="str">
        <f t="shared" si="26"/>
        <v>FWL</v>
      </c>
      <c r="W826" s="110" t="s">
        <v>541</v>
      </c>
      <c r="X826" s="110" t="s">
        <v>541</v>
      </c>
      <c r="Y826" s="110" t="str">
        <f>IFERROR(VLOOKUP(F826,'Freq-Chan'!C:E,3,FALSE),"na")</f>
        <v>na</v>
      </c>
      <c r="Z826" s="110" t="s">
        <v>541</v>
      </c>
      <c r="AA826" s="110" t="s">
        <v>541</v>
      </c>
      <c r="AB826" s="110" t="s">
        <v>541</v>
      </c>
      <c r="AC826" s="10" t="s">
        <v>541</v>
      </c>
      <c r="AD826" s="10" t="s">
        <v>541</v>
      </c>
    </row>
    <row r="827" spans="1:30" x14ac:dyDescent="0.2">
      <c r="A827" s="110">
        <v>826</v>
      </c>
      <c r="B827" s="132">
        <v>41833</v>
      </c>
      <c r="C827" s="117">
        <v>3</v>
      </c>
      <c r="D827" s="103" t="s">
        <v>97</v>
      </c>
      <c r="E827" s="103" t="s">
        <v>798</v>
      </c>
      <c r="H827" s="103"/>
      <c r="J827" s="103">
        <v>28</v>
      </c>
      <c r="K827" s="103" t="s">
        <v>364</v>
      </c>
      <c r="L827" s="133"/>
      <c r="M827" s="134">
        <v>1.3888888888888888E-2</v>
      </c>
      <c r="N827" s="137" t="s">
        <v>1646</v>
      </c>
      <c r="O827" s="133" t="s">
        <v>1663</v>
      </c>
      <c r="P827" s="100" t="s">
        <v>1998</v>
      </c>
      <c r="Q827" s="100" t="s">
        <v>2701</v>
      </c>
      <c r="R827" s="226" t="s">
        <v>2724</v>
      </c>
      <c r="S827" s="491" t="str">
        <f t="shared" si="25"/>
        <v>x</v>
      </c>
      <c r="T827" s="492" t="str">
        <f>IFERROR(VLOOKUP(F827,'Freq-Chan'!C:D,2,FALSE),"x")</f>
        <v>x</v>
      </c>
      <c r="U827" s="110" t="s">
        <v>541</v>
      </c>
      <c r="V827" s="110" t="str">
        <f t="shared" si="26"/>
        <v>FWL</v>
      </c>
      <c r="W827" s="110" t="s">
        <v>541</v>
      </c>
      <c r="X827" s="110" t="s">
        <v>541</v>
      </c>
      <c r="Y827" s="110" t="str">
        <f>IFERROR(VLOOKUP(F827,'Freq-Chan'!C:E,3,FALSE),"na")</f>
        <v>na</v>
      </c>
      <c r="Z827" s="110" t="s">
        <v>541</v>
      </c>
      <c r="AA827" s="110" t="s">
        <v>541</v>
      </c>
      <c r="AB827" s="110" t="s">
        <v>541</v>
      </c>
      <c r="AC827" s="10" t="s">
        <v>541</v>
      </c>
      <c r="AD827" s="10" t="s">
        <v>541</v>
      </c>
    </row>
    <row r="828" spans="1:30" x14ac:dyDescent="0.2">
      <c r="A828" s="110">
        <v>827</v>
      </c>
      <c r="B828" s="132">
        <v>41833</v>
      </c>
      <c r="C828" s="117">
        <v>3</v>
      </c>
      <c r="D828" s="132" t="s">
        <v>2</v>
      </c>
      <c r="E828" s="117" t="s">
        <v>306</v>
      </c>
      <c r="F828" s="103">
        <v>364</v>
      </c>
      <c r="G828" s="103">
        <v>37</v>
      </c>
      <c r="H828" s="137" t="s">
        <v>1476</v>
      </c>
      <c r="I828" s="103">
        <v>81</v>
      </c>
      <c r="K828" s="103" t="s">
        <v>364</v>
      </c>
      <c r="L828" s="133"/>
      <c r="M828" s="134">
        <v>4.7916666666666663E-2</v>
      </c>
      <c r="N828" s="137" t="s">
        <v>2717</v>
      </c>
      <c r="O828" s="133" t="s">
        <v>802</v>
      </c>
      <c r="P828" s="100" t="s">
        <v>1786</v>
      </c>
      <c r="Q828" s="100" t="s">
        <v>2701</v>
      </c>
      <c r="R828" s="226" t="s">
        <v>2724</v>
      </c>
      <c r="S828" s="491" t="str">
        <f t="shared" si="25"/>
        <v>x</v>
      </c>
      <c r="T828" s="492">
        <f>IFERROR(VLOOKUP(F828,'Freq-Chan'!C:D,2,FALSE),"x")</f>
        <v>151.364</v>
      </c>
      <c r="U828" s="110" t="s">
        <v>541</v>
      </c>
      <c r="V828" s="110" t="str">
        <f t="shared" si="26"/>
        <v>FWL</v>
      </c>
      <c r="W828" s="110" t="s">
        <v>541</v>
      </c>
      <c r="X828" s="110" t="s">
        <v>541</v>
      </c>
      <c r="Y828" s="110" t="str">
        <f>IFERROR(VLOOKUP(F828,'Freq-Chan'!C:E,3,FALSE),"na")</f>
        <v>F1845</v>
      </c>
      <c r="Z828" s="110" t="s">
        <v>541</v>
      </c>
      <c r="AA828" s="110" t="s">
        <v>541</v>
      </c>
      <c r="AB828" s="110" t="s">
        <v>541</v>
      </c>
      <c r="AC828" s="10" t="s">
        <v>541</v>
      </c>
      <c r="AD828" s="10" t="s">
        <v>541</v>
      </c>
    </row>
    <row r="829" spans="1:30" x14ac:dyDescent="0.2">
      <c r="A829" s="110">
        <v>828</v>
      </c>
      <c r="B829" s="132">
        <v>41833</v>
      </c>
      <c r="C829" s="117">
        <v>3</v>
      </c>
      <c r="D829" s="103" t="s">
        <v>2</v>
      </c>
      <c r="E829" s="103" t="s">
        <v>306</v>
      </c>
      <c r="F829" s="103">
        <v>364</v>
      </c>
      <c r="G829" s="103">
        <v>7</v>
      </c>
      <c r="H829" s="137" t="s">
        <v>1477</v>
      </c>
      <c r="I829" s="103">
        <v>55</v>
      </c>
      <c r="K829" s="103" t="s">
        <v>364</v>
      </c>
      <c r="L829" s="133"/>
      <c r="M829" s="134">
        <v>3.888888888888889E-2</v>
      </c>
      <c r="N829" s="137" t="s">
        <v>2718</v>
      </c>
      <c r="O829" s="133" t="s">
        <v>1663</v>
      </c>
      <c r="Q829" s="100" t="s">
        <v>2701</v>
      </c>
      <c r="R829" s="226" t="s">
        <v>2724</v>
      </c>
      <c r="S829" s="491" t="str">
        <f t="shared" si="25"/>
        <v>x</v>
      </c>
      <c r="T829" s="492">
        <f>IFERROR(VLOOKUP(F829,'Freq-Chan'!C:D,2,FALSE),"x")</f>
        <v>151.364</v>
      </c>
      <c r="U829" s="110" t="s">
        <v>541</v>
      </c>
      <c r="V829" s="110" t="str">
        <f t="shared" si="26"/>
        <v>FWL</v>
      </c>
      <c r="W829" s="110" t="s">
        <v>541</v>
      </c>
      <c r="X829" s="110" t="s">
        <v>541</v>
      </c>
      <c r="Y829" s="110" t="str">
        <f>IFERROR(VLOOKUP(F829,'Freq-Chan'!C:E,3,FALSE),"na")</f>
        <v>F1845</v>
      </c>
      <c r="Z829" s="110" t="s">
        <v>541</v>
      </c>
      <c r="AA829" s="110" t="s">
        <v>541</v>
      </c>
      <c r="AB829" s="110" t="s">
        <v>541</v>
      </c>
      <c r="AC829" s="10" t="s">
        <v>541</v>
      </c>
      <c r="AD829" s="10" t="s">
        <v>541</v>
      </c>
    </row>
    <row r="830" spans="1:30" x14ac:dyDescent="0.2">
      <c r="A830" s="110">
        <v>829</v>
      </c>
      <c r="B830" s="132">
        <v>41833</v>
      </c>
      <c r="C830" s="117">
        <v>3</v>
      </c>
      <c r="D830" s="103" t="s">
        <v>2</v>
      </c>
      <c r="E830" s="103" t="s">
        <v>306</v>
      </c>
      <c r="F830" s="103">
        <v>875</v>
      </c>
      <c r="G830" s="103">
        <v>31</v>
      </c>
      <c r="H830" s="137" t="s">
        <v>1478</v>
      </c>
      <c r="I830" s="103">
        <v>93</v>
      </c>
      <c r="K830" s="103" t="s">
        <v>364</v>
      </c>
      <c r="L830" s="133"/>
      <c r="M830" s="134">
        <v>5.7638888888888885E-2</v>
      </c>
      <c r="N830" s="137" t="s">
        <v>1656</v>
      </c>
      <c r="O830" s="133" t="s">
        <v>376</v>
      </c>
      <c r="P830" s="100" t="s">
        <v>2719</v>
      </c>
      <c r="Q830" s="100" t="s">
        <v>2701</v>
      </c>
      <c r="R830" s="226" t="s">
        <v>2724</v>
      </c>
      <c r="S830" s="491" t="str">
        <f t="shared" si="25"/>
        <v>x</v>
      </c>
      <c r="T830" s="492">
        <f>IFERROR(VLOOKUP(F830,'Freq-Chan'!C:D,2,FALSE),"x")</f>
        <v>151.875</v>
      </c>
      <c r="U830" s="110" t="s">
        <v>541</v>
      </c>
      <c r="V830" s="110" t="str">
        <f t="shared" si="26"/>
        <v>FWL</v>
      </c>
      <c r="W830" s="110" t="s">
        <v>541</v>
      </c>
      <c r="X830" s="110" t="s">
        <v>541</v>
      </c>
      <c r="Y830" s="110" t="str">
        <f>IFERROR(VLOOKUP(F830,'Freq-Chan'!C:E,3,FALSE),"na")</f>
        <v>F1845</v>
      </c>
      <c r="Z830" s="110" t="s">
        <v>541</v>
      </c>
      <c r="AA830" s="110" t="s">
        <v>541</v>
      </c>
      <c r="AB830" s="110" t="s">
        <v>541</v>
      </c>
      <c r="AC830" s="10" t="s">
        <v>541</v>
      </c>
      <c r="AD830" s="10" t="s">
        <v>541</v>
      </c>
    </row>
    <row r="831" spans="1:30" x14ac:dyDescent="0.2">
      <c r="A831" s="110">
        <v>830</v>
      </c>
      <c r="B831" s="132">
        <v>41833</v>
      </c>
      <c r="C831" s="117">
        <v>3</v>
      </c>
      <c r="D831" s="103" t="s">
        <v>91</v>
      </c>
      <c r="H831" s="103"/>
      <c r="J831" s="103">
        <v>34</v>
      </c>
      <c r="K831" s="103" t="s">
        <v>364</v>
      </c>
      <c r="L831" s="133"/>
      <c r="M831" s="134">
        <v>1.8749999999999999E-2</v>
      </c>
      <c r="N831" s="137" t="s">
        <v>2720</v>
      </c>
      <c r="O831" s="133" t="s">
        <v>1585</v>
      </c>
      <c r="Q831" s="100" t="s">
        <v>2701</v>
      </c>
      <c r="R831" s="226" t="s">
        <v>2724</v>
      </c>
      <c r="S831" s="491" t="str">
        <f t="shared" si="25"/>
        <v>x</v>
      </c>
      <c r="T831" s="492" t="str">
        <f>IFERROR(VLOOKUP(F831,'Freq-Chan'!C:D,2,FALSE),"x")</f>
        <v>x</v>
      </c>
      <c r="U831" s="110" t="s">
        <v>541</v>
      </c>
      <c r="V831" s="110" t="str">
        <f t="shared" si="26"/>
        <v>FWL</v>
      </c>
      <c r="W831" s="110" t="s">
        <v>541</v>
      </c>
      <c r="X831" s="110" t="s">
        <v>541</v>
      </c>
      <c r="Y831" s="110" t="str">
        <f>IFERROR(VLOOKUP(F831,'Freq-Chan'!C:E,3,FALSE),"na")</f>
        <v>na</v>
      </c>
      <c r="Z831" s="110" t="s">
        <v>541</v>
      </c>
      <c r="AA831" s="110" t="s">
        <v>541</v>
      </c>
      <c r="AB831" s="110" t="s">
        <v>541</v>
      </c>
      <c r="AC831" s="10" t="s">
        <v>541</v>
      </c>
      <c r="AD831" s="10" t="s">
        <v>541</v>
      </c>
    </row>
    <row r="832" spans="1:30" s="291" customFormat="1" x14ac:dyDescent="0.2">
      <c r="A832" s="493">
        <v>831</v>
      </c>
      <c r="B832" s="283">
        <v>41833</v>
      </c>
      <c r="C832" s="284">
        <v>3</v>
      </c>
      <c r="D832" s="285" t="s">
        <v>2</v>
      </c>
      <c r="E832" s="285" t="s">
        <v>306</v>
      </c>
      <c r="F832" s="285">
        <v>364</v>
      </c>
      <c r="G832" s="285">
        <v>17</v>
      </c>
      <c r="H832" s="339" t="s">
        <v>1479</v>
      </c>
      <c r="I832" s="285">
        <v>92</v>
      </c>
      <c r="J832" s="285"/>
      <c r="K832" s="285" t="s">
        <v>364</v>
      </c>
      <c r="L832" s="286">
        <v>0.91805555555555562</v>
      </c>
      <c r="M832" s="287">
        <v>0.10277777777777779</v>
      </c>
      <c r="N832" s="339" t="s">
        <v>2721</v>
      </c>
      <c r="O832" s="286" t="s">
        <v>1532</v>
      </c>
      <c r="P832" s="289" t="s">
        <v>2722</v>
      </c>
      <c r="Q832" s="289" t="s">
        <v>2701</v>
      </c>
      <c r="R832" s="290" t="s">
        <v>2724</v>
      </c>
      <c r="S832" s="494">
        <f t="shared" si="25"/>
        <v>3.8425925999999999E-3</v>
      </c>
      <c r="T832" s="495">
        <f>IFERROR(VLOOKUP(F832,'Freq-Chan'!C:D,2,FALSE),"x")</f>
        <v>151.364</v>
      </c>
      <c r="U832" s="493" t="s">
        <v>541</v>
      </c>
      <c r="V832" s="493" t="str">
        <f t="shared" si="26"/>
        <v>FWL</v>
      </c>
      <c r="W832" s="493" t="s">
        <v>541</v>
      </c>
      <c r="X832" s="493" t="s">
        <v>541</v>
      </c>
      <c r="Y832" s="493" t="str">
        <f>IFERROR(VLOOKUP(F832,'Freq-Chan'!C:E,3,FALSE),"na")</f>
        <v>F1845</v>
      </c>
      <c r="Z832" s="493" t="s">
        <v>541</v>
      </c>
      <c r="AA832" s="493" t="s">
        <v>541</v>
      </c>
      <c r="AB832" s="493" t="s">
        <v>541</v>
      </c>
      <c r="AC832" s="291" t="s">
        <v>541</v>
      </c>
      <c r="AD832" s="291" t="s">
        <v>541</v>
      </c>
    </row>
    <row r="833" spans="1:30" x14ac:dyDescent="0.2">
      <c r="A833" s="110">
        <v>832</v>
      </c>
      <c r="B833" s="132">
        <v>41834</v>
      </c>
      <c r="C833" s="117">
        <v>1</v>
      </c>
      <c r="D833" s="103" t="s">
        <v>2</v>
      </c>
      <c r="E833" s="103" t="s">
        <v>306</v>
      </c>
      <c r="H833" s="103"/>
      <c r="I833" s="103">
        <v>63</v>
      </c>
      <c r="K833" s="103" t="s">
        <v>364</v>
      </c>
      <c r="L833" s="133"/>
      <c r="M833" s="134">
        <v>1.7361111111111112E-2</v>
      </c>
      <c r="N833" s="137" t="s">
        <v>2003</v>
      </c>
      <c r="O833" s="133" t="s">
        <v>1663</v>
      </c>
      <c r="P833" s="100" t="s">
        <v>2735</v>
      </c>
      <c r="Q833" s="100" t="s">
        <v>2730</v>
      </c>
      <c r="R833" s="226" t="s">
        <v>2756</v>
      </c>
      <c r="S833" s="491" t="str">
        <f t="shared" si="25"/>
        <v>x</v>
      </c>
      <c r="T833" s="492" t="str">
        <f>IFERROR(VLOOKUP(F833,'Freq-Chan'!C:D,2,FALSE),"x")</f>
        <v>x</v>
      </c>
      <c r="U833" s="110" t="s">
        <v>541</v>
      </c>
      <c r="V833" s="110" t="str">
        <f t="shared" si="26"/>
        <v>FWL</v>
      </c>
      <c r="W833" s="110" t="s">
        <v>541</v>
      </c>
      <c r="X833" s="110" t="s">
        <v>541</v>
      </c>
      <c r="Y833" s="110" t="str">
        <f>IFERROR(VLOOKUP(F833,'Freq-Chan'!C:E,3,FALSE),"na")</f>
        <v>na</v>
      </c>
      <c r="Z833" s="110" t="s">
        <v>541</v>
      </c>
      <c r="AA833" s="110" t="s">
        <v>541</v>
      </c>
      <c r="AB833" s="110" t="s">
        <v>541</v>
      </c>
      <c r="AC833" s="10" t="s">
        <v>541</v>
      </c>
      <c r="AD833" s="10" t="s">
        <v>541</v>
      </c>
    </row>
    <row r="834" spans="1:30" x14ac:dyDescent="0.2">
      <c r="A834" s="110">
        <v>833</v>
      </c>
      <c r="B834" s="132">
        <v>41834</v>
      </c>
      <c r="C834" s="117">
        <v>1</v>
      </c>
      <c r="D834" s="103" t="s">
        <v>177</v>
      </c>
      <c r="E834" s="103" t="s">
        <v>0</v>
      </c>
      <c r="H834" s="103"/>
      <c r="I834" s="103">
        <v>39</v>
      </c>
      <c r="K834" s="103" t="s">
        <v>364</v>
      </c>
      <c r="L834" s="133"/>
      <c r="M834" s="134">
        <v>1.4583333333333332E-2</v>
      </c>
      <c r="N834" s="137" t="s">
        <v>2736</v>
      </c>
      <c r="O834" s="133" t="s">
        <v>1663</v>
      </c>
      <c r="P834" s="100" t="s">
        <v>2716</v>
      </c>
      <c r="Q834" s="100" t="s">
        <v>2730</v>
      </c>
      <c r="R834" s="226" t="s">
        <v>2756</v>
      </c>
      <c r="S834" s="491" t="str">
        <f t="shared" si="25"/>
        <v>x</v>
      </c>
      <c r="T834" s="492" t="str">
        <f>IFERROR(VLOOKUP(F834,'Freq-Chan'!C:D,2,FALSE),"x")</f>
        <v>x</v>
      </c>
      <c r="U834" s="110" t="s">
        <v>541</v>
      </c>
      <c r="V834" s="110" t="str">
        <f t="shared" si="26"/>
        <v>FWL</v>
      </c>
      <c r="W834" s="110" t="s">
        <v>541</v>
      </c>
      <c r="X834" s="110" t="s">
        <v>541</v>
      </c>
      <c r="Y834" s="110" t="str">
        <f>IFERROR(VLOOKUP(F834,'Freq-Chan'!C:E,3,FALSE),"na")</f>
        <v>na</v>
      </c>
      <c r="Z834" s="110" t="s">
        <v>541</v>
      </c>
      <c r="AA834" s="110" t="s">
        <v>541</v>
      </c>
      <c r="AB834" s="110" t="s">
        <v>541</v>
      </c>
      <c r="AC834" s="10" t="s">
        <v>541</v>
      </c>
      <c r="AD834" s="10" t="s">
        <v>541</v>
      </c>
    </row>
    <row r="835" spans="1:30" x14ac:dyDescent="0.2">
      <c r="A835" s="110">
        <v>834</v>
      </c>
      <c r="B835" s="132">
        <v>41834</v>
      </c>
      <c r="C835" s="117">
        <v>1</v>
      </c>
      <c r="D835" s="103" t="s">
        <v>177</v>
      </c>
      <c r="E835" s="103" t="s">
        <v>0</v>
      </c>
      <c r="H835" s="103"/>
      <c r="I835" s="103">
        <v>29</v>
      </c>
      <c r="K835" s="103" t="s">
        <v>364</v>
      </c>
      <c r="L835" s="133"/>
      <c r="M835" s="134">
        <v>1.3888888888888888E-2</v>
      </c>
      <c r="N835" s="137" t="s">
        <v>2737</v>
      </c>
      <c r="O835" s="133" t="s">
        <v>1663</v>
      </c>
      <c r="P835" s="100" t="s">
        <v>2738</v>
      </c>
      <c r="Q835" s="100" t="s">
        <v>2730</v>
      </c>
      <c r="R835" s="226" t="s">
        <v>2756</v>
      </c>
      <c r="S835" s="491" t="str">
        <f t="shared" ref="S835:S898" si="27">IF(IF(OR(L835=0,N835=0),"x",ROUND(N835-L835-(M835*24)/(24*60),10))&lt;0,0,IF(OR(L835=0,N835=0),"x",ROUND(N835-L835-(M835*24)/(24*60),10)))</f>
        <v>x</v>
      </c>
      <c r="T835" s="492" t="str">
        <f>IFERROR(VLOOKUP(F835,'Freq-Chan'!C:D,2,FALSE),"x")</f>
        <v>x</v>
      </c>
      <c r="U835" s="110" t="s">
        <v>541</v>
      </c>
      <c r="V835" s="110" t="str">
        <f t="shared" ref="V835:V898" si="28">IF(OR(C835=1,C835=2,C835=3),"FWL","NRD")</f>
        <v>FWL</v>
      </c>
      <c r="W835" s="110" t="s">
        <v>541</v>
      </c>
      <c r="X835" s="110" t="s">
        <v>541</v>
      </c>
      <c r="Y835" s="110" t="str">
        <f>IFERROR(VLOOKUP(F835,'Freq-Chan'!C:E,3,FALSE),"na")</f>
        <v>na</v>
      </c>
      <c r="Z835" s="110" t="s">
        <v>541</v>
      </c>
      <c r="AA835" s="110" t="s">
        <v>541</v>
      </c>
      <c r="AB835" s="110" t="s">
        <v>541</v>
      </c>
      <c r="AC835" s="10" t="s">
        <v>541</v>
      </c>
      <c r="AD835" s="10" t="s">
        <v>541</v>
      </c>
    </row>
    <row r="836" spans="1:30" x14ac:dyDescent="0.2">
      <c r="A836" s="110">
        <v>835</v>
      </c>
      <c r="B836" s="132">
        <v>41834</v>
      </c>
      <c r="C836" s="117">
        <v>1</v>
      </c>
      <c r="D836" s="103" t="s">
        <v>75</v>
      </c>
      <c r="E836" s="103" t="s">
        <v>798</v>
      </c>
      <c r="H836" s="103"/>
      <c r="J836" s="103">
        <v>36</v>
      </c>
      <c r="K836" s="103" t="s">
        <v>364</v>
      </c>
      <c r="L836" s="133"/>
      <c r="M836" s="134">
        <v>3.4722222222222224E-2</v>
      </c>
      <c r="N836" s="137" t="s">
        <v>2739</v>
      </c>
      <c r="O836" s="133" t="s">
        <v>1875</v>
      </c>
      <c r="P836" s="100" t="s">
        <v>2740</v>
      </c>
      <c r="Q836" s="100" t="s">
        <v>2730</v>
      </c>
      <c r="R836" s="226" t="s">
        <v>2756</v>
      </c>
      <c r="S836" s="491" t="str">
        <f t="shared" si="27"/>
        <v>x</v>
      </c>
      <c r="T836" s="492" t="str">
        <f>IFERROR(VLOOKUP(F836,'Freq-Chan'!C:D,2,FALSE),"x")</f>
        <v>x</v>
      </c>
      <c r="U836" s="110" t="s">
        <v>541</v>
      </c>
      <c r="V836" s="110" t="str">
        <f t="shared" si="28"/>
        <v>FWL</v>
      </c>
      <c r="W836" s="110" t="s">
        <v>541</v>
      </c>
      <c r="X836" s="110" t="s">
        <v>541</v>
      </c>
      <c r="Y836" s="110" t="str">
        <f>IFERROR(VLOOKUP(F836,'Freq-Chan'!C:E,3,FALSE),"na")</f>
        <v>na</v>
      </c>
      <c r="Z836" s="110" t="s">
        <v>541</v>
      </c>
      <c r="AA836" s="110" t="s">
        <v>541</v>
      </c>
      <c r="AB836" s="110" t="s">
        <v>541</v>
      </c>
      <c r="AC836" s="10" t="s">
        <v>541</v>
      </c>
      <c r="AD836" s="10" t="s">
        <v>541</v>
      </c>
    </row>
    <row r="837" spans="1:30" s="291" customFormat="1" x14ac:dyDescent="0.2">
      <c r="A837" s="493">
        <v>836</v>
      </c>
      <c r="B837" s="283">
        <v>41834</v>
      </c>
      <c r="C837" s="284">
        <v>1</v>
      </c>
      <c r="D837" s="285" t="s">
        <v>2</v>
      </c>
      <c r="E837" s="285" t="s">
        <v>306</v>
      </c>
      <c r="F837" s="285">
        <v>875</v>
      </c>
      <c r="G837" s="285">
        <v>36</v>
      </c>
      <c r="H837" s="339" t="s">
        <v>1460</v>
      </c>
      <c r="I837" s="285">
        <v>92</v>
      </c>
      <c r="J837" s="285"/>
      <c r="K837" s="285" t="s">
        <v>364</v>
      </c>
      <c r="L837" s="286">
        <v>0.75624999999999998</v>
      </c>
      <c r="M837" s="287">
        <v>6.5277777777777782E-2</v>
      </c>
      <c r="N837" s="339" t="s">
        <v>719</v>
      </c>
      <c r="O837" s="286" t="s">
        <v>1585</v>
      </c>
      <c r="P837" s="289"/>
      <c r="Q837" s="289" t="s">
        <v>2730</v>
      </c>
      <c r="R837" s="290" t="s">
        <v>2756</v>
      </c>
      <c r="S837" s="494">
        <f t="shared" si="27"/>
        <v>5.8564814999999999E-3</v>
      </c>
      <c r="T837" s="495">
        <f>IFERROR(VLOOKUP(F837,'Freq-Chan'!C:D,2,FALSE),"x")</f>
        <v>151.875</v>
      </c>
      <c r="U837" s="493" t="s">
        <v>541</v>
      </c>
      <c r="V837" s="493" t="str">
        <f t="shared" si="28"/>
        <v>FWL</v>
      </c>
      <c r="W837" s="493" t="s">
        <v>541</v>
      </c>
      <c r="X837" s="493" t="s">
        <v>541</v>
      </c>
      <c r="Y837" s="493" t="str">
        <f>IFERROR(VLOOKUP(F837,'Freq-Chan'!C:E,3,FALSE),"na")</f>
        <v>F1845</v>
      </c>
      <c r="Z837" s="493" t="s">
        <v>541</v>
      </c>
      <c r="AA837" s="493" t="s">
        <v>541</v>
      </c>
      <c r="AB837" s="493" t="s">
        <v>541</v>
      </c>
      <c r="AC837" s="291" t="s">
        <v>541</v>
      </c>
      <c r="AD837" s="291" t="s">
        <v>541</v>
      </c>
    </row>
    <row r="838" spans="1:30" x14ac:dyDescent="0.2">
      <c r="A838" s="110">
        <v>837</v>
      </c>
      <c r="B838" s="132">
        <v>41834</v>
      </c>
      <c r="C838" s="117">
        <v>2</v>
      </c>
      <c r="D838" s="103" t="s">
        <v>8</v>
      </c>
      <c r="E838" s="103" t="s">
        <v>306</v>
      </c>
      <c r="F838" s="103">
        <v>573</v>
      </c>
      <c r="G838" s="103">
        <v>32</v>
      </c>
      <c r="H838" s="137" t="s">
        <v>2108</v>
      </c>
      <c r="I838" s="103">
        <v>47</v>
      </c>
      <c r="K838" s="103" t="s">
        <v>364</v>
      </c>
      <c r="L838" s="133"/>
      <c r="M838" s="134">
        <v>5.6944444444444443E-2</v>
      </c>
      <c r="N838" s="137" t="s">
        <v>2656</v>
      </c>
      <c r="O838" s="133" t="s">
        <v>802</v>
      </c>
      <c r="Q838" s="100" t="s">
        <v>2727</v>
      </c>
      <c r="R838" s="226" t="s">
        <v>2756</v>
      </c>
      <c r="S838" s="491" t="str">
        <f t="shared" si="27"/>
        <v>x</v>
      </c>
      <c r="T838" s="492">
        <f>IFERROR(VLOOKUP(F838,'Freq-Chan'!C:D,2,FALSE),"x")</f>
        <v>151.57300000000001</v>
      </c>
      <c r="U838" s="110" t="s">
        <v>541</v>
      </c>
      <c r="V838" s="110" t="str">
        <f t="shared" si="28"/>
        <v>FWL</v>
      </c>
      <c r="W838" s="110" t="s">
        <v>541</v>
      </c>
      <c r="X838" s="110" t="s">
        <v>541</v>
      </c>
      <c r="Y838" s="110" t="str">
        <f>IFERROR(VLOOKUP(F838,'Freq-Chan'!C:E,3,FALSE),"na")</f>
        <v>F1840</v>
      </c>
      <c r="Z838" s="110" t="s">
        <v>541</v>
      </c>
      <c r="AA838" s="110" t="s">
        <v>541</v>
      </c>
      <c r="AB838" s="110" t="s">
        <v>541</v>
      </c>
      <c r="AC838" s="10" t="s">
        <v>541</v>
      </c>
      <c r="AD838" s="10" t="s">
        <v>541</v>
      </c>
    </row>
    <row r="839" spans="1:30" x14ac:dyDescent="0.2">
      <c r="A839" s="110">
        <v>838</v>
      </c>
      <c r="B839" s="132">
        <v>41834</v>
      </c>
      <c r="C839" s="117">
        <v>2</v>
      </c>
      <c r="D839" s="103" t="s">
        <v>2</v>
      </c>
      <c r="E839" s="103" t="s">
        <v>306</v>
      </c>
      <c r="F839" s="103">
        <v>364</v>
      </c>
      <c r="G839" s="103">
        <v>23</v>
      </c>
      <c r="H839" s="137" t="s">
        <v>1461</v>
      </c>
      <c r="I839" s="103">
        <v>79</v>
      </c>
      <c r="K839" s="103" t="s">
        <v>364</v>
      </c>
      <c r="L839" s="133">
        <v>0.88750000000000007</v>
      </c>
      <c r="M839" s="134">
        <v>6.458333333333334E-2</v>
      </c>
      <c r="N839" s="137" t="s">
        <v>1834</v>
      </c>
      <c r="O839" s="133" t="s">
        <v>1875</v>
      </c>
      <c r="Q839" s="100" t="s">
        <v>2727</v>
      </c>
      <c r="R839" s="226" t="s">
        <v>2756</v>
      </c>
      <c r="S839" s="491">
        <f t="shared" si="27"/>
        <v>5.1736111000000003E-3</v>
      </c>
      <c r="T839" s="492">
        <f>IFERROR(VLOOKUP(F839,'Freq-Chan'!C:D,2,FALSE),"x")</f>
        <v>151.364</v>
      </c>
      <c r="U839" s="110" t="s">
        <v>541</v>
      </c>
      <c r="V839" s="110" t="str">
        <f t="shared" si="28"/>
        <v>FWL</v>
      </c>
      <c r="W839" s="110" t="s">
        <v>541</v>
      </c>
      <c r="X839" s="110" t="s">
        <v>541</v>
      </c>
      <c r="Y839" s="110" t="str">
        <f>IFERROR(VLOOKUP(F839,'Freq-Chan'!C:E,3,FALSE),"na")</f>
        <v>F1845</v>
      </c>
      <c r="Z839" s="110" t="s">
        <v>541</v>
      </c>
      <c r="AA839" s="110" t="s">
        <v>541</v>
      </c>
      <c r="AB839" s="110" t="s">
        <v>541</v>
      </c>
      <c r="AC839" s="10" t="s">
        <v>541</v>
      </c>
      <c r="AD839" s="10" t="s">
        <v>541</v>
      </c>
    </row>
    <row r="840" spans="1:30" s="291" customFormat="1" x14ac:dyDescent="0.2">
      <c r="A840" s="493">
        <v>839</v>
      </c>
      <c r="B840" s="283">
        <v>41834</v>
      </c>
      <c r="C840" s="284">
        <v>2</v>
      </c>
      <c r="D840" s="285" t="s">
        <v>2</v>
      </c>
      <c r="E840" s="285" t="s">
        <v>306</v>
      </c>
      <c r="F840" s="285">
        <v>364</v>
      </c>
      <c r="G840" s="285">
        <v>19</v>
      </c>
      <c r="H840" s="339" t="s">
        <v>1462</v>
      </c>
      <c r="I840" s="285">
        <v>83</v>
      </c>
      <c r="J840" s="285"/>
      <c r="K840" s="285" t="s">
        <v>364</v>
      </c>
      <c r="L840" s="286"/>
      <c r="M840" s="287">
        <v>6.1111111111111116E-2</v>
      </c>
      <c r="N840" s="339" t="s">
        <v>2741</v>
      </c>
      <c r="O840" s="286" t="s">
        <v>1875</v>
      </c>
      <c r="P840" s="289"/>
      <c r="Q840" s="289" t="s">
        <v>2727</v>
      </c>
      <c r="R840" s="290" t="s">
        <v>2756</v>
      </c>
      <c r="S840" s="494" t="str">
        <f t="shared" si="27"/>
        <v>x</v>
      </c>
      <c r="T840" s="495">
        <f>IFERROR(VLOOKUP(F840,'Freq-Chan'!C:D,2,FALSE),"x")</f>
        <v>151.364</v>
      </c>
      <c r="U840" s="493" t="s">
        <v>541</v>
      </c>
      <c r="V840" s="493" t="str">
        <f t="shared" si="28"/>
        <v>FWL</v>
      </c>
      <c r="W840" s="493" t="s">
        <v>541</v>
      </c>
      <c r="X840" s="493" t="s">
        <v>541</v>
      </c>
      <c r="Y840" s="493" t="str">
        <f>IFERROR(VLOOKUP(F840,'Freq-Chan'!C:E,3,FALSE),"na")</f>
        <v>F1845</v>
      </c>
      <c r="Z840" s="493" t="s">
        <v>541</v>
      </c>
      <c r="AA840" s="493" t="s">
        <v>541</v>
      </c>
      <c r="AB840" s="493" t="s">
        <v>541</v>
      </c>
      <c r="AC840" s="291" t="s">
        <v>541</v>
      </c>
      <c r="AD840" s="291" t="s">
        <v>541</v>
      </c>
    </row>
    <row r="841" spans="1:30" x14ac:dyDescent="0.2">
      <c r="A841" s="110">
        <v>840</v>
      </c>
      <c r="B841" s="132">
        <v>41834</v>
      </c>
      <c r="C841" s="117">
        <v>3</v>
      </c>
      <c r="D841" s="103" t="s">
        <v>71</v>
      </c>
      <c r="E841" s="103" t="s">
        <v>306</v>
      </c>
      <c r="F841" s="103">
        <v>564</v>
      </c>
      <c r="G841" s="103">
        <v>66</v>
      </c>
      <c r="H841" s="137" t="s">
        <v>2296</v>
      </c>
      <c r="I841" s="103">
        <v>57</v>
      </c>
      <c r="K841" s="103" t="s">
        <v>364</v>
      </c>
      <c r="L841" s="133"/>
      <c r="M841" s="134">
        <v>6.7361111111111108E-2</v>
      </c>
      <c r="N841" s="137" t="s">
        <v>1635</v>
      </c>
      <c r="O841" s="133" t="s">
        <v>803</v>
      </c>
      <c r="P841" s="100" t="s">
        <v>1998</v>
      </c>
      <c r="Q841" s="100" t="s">
        <v>2734</v>
      </c>
      <c r="R841" s="226" t="s">
        <v>2756</v>
      </c>
      <c r="S841" s="491" t="str">
        <f t="shared" si="27"/>
        <v>x</v>
      </c>
      <c r="T841" s="492">
        <f>IFERROR(VLOOKUP(F841,'Freq-Chan'!C:D,2,FALSE),"x")</f>
        <v>151.56399999999999</v>
      </c>
      <c r="U841" s="110" t="s">
        <v>541</v>
      </c>
      <c r="V841" s="110" t="str">
        <f t="shared" si="28"/>
        <v>FWL</v>
      </c>
      <c r="W841" s="110" t="s">
        <v>541</v>
      </c>
      <c r="X841" s="110" t="s">
        <v>541</v>
      </c>
      <c r="Y841" s="110" t="str">
        <f>IFERROR(VLOOKUP(F841,'Freq-Chan'!C:E,3,FALSE),"na")</f>
        <v>F1840</v>
      </c>
      <c r="Z841" s="110" t="s">
        <v>541</v>
      </c>
      <c r="AA841" s="110" t="s">
        <v>541</v>
      </c>
      <c r="AB841" s="110" t="s">
        <v>541</v>
      </c>
      <c r="AC841" s="10" t="s">
        <v>541</v>
      </c>
      <c r="AD841" s="10" t="s">
        <v>541</v>
      </c>
    </row>
    <row r="842" spans="1:30" x14ac:dyDescent="0.2">
      <c r="A842" s="110">
        <v>841</v>
      </c>
      <c r="B842" s="132">
        <v>41834</v>
      </c>
      <c r="C842" s="117">
        <v>3</v>
      </c>
      <c r="D842" s="103" t="s">
        <v>195</v>
      </c>
      <c r="E842" s="103" t="s">
        <v>798</v>
      </c>
      <c r="H842" s="103"/>
      <c r="J842" s="103">
        <v>15</v>
      </c>
      <c r="K842" s="103" t="s">
        <v>364</v>
      </c>
      <c r="L842" s="133"/>
      <c r="M842" s="134">
        <v>1.7361111111111112E-2</v>
      </c>
      <c r="N842" s="137" t="s">
        <v>2742</v>
      </c>
      <c r="O842" s="133" t="s">
        <v>803</v>
      </c>
      <c r="Q842" s="100" t="s">
        <v>2734</v>
      </c>
      <c r="R842" s="226" t="s">
        <v>2756</v>
      </c>
      <c r="S842" s="491" t="str">
        <f t="shared" si="27"/>
        <v>x</v>
      </c>
      <c r="T842" s="492" t="str">
        <f>IFERROR(VLOOKUP(F842,'Freq-Chan'!C:D,2,FALSE),"x")</f>
        <v>x</v>
      </c>
      <c r="U842" s="110" t="s">
        <v>541</v>
      </c>
      <c r="V842" s="110" t="str">
        <f t="shared" si="28"/>
        <v>FWL</v>
      </c>
      <c r="W842" s="110" t="s">
        <v>541</v>
      </c>
      <c r="X842" s="110" t="s">
        <v>541</v>
      </c>
      <c r="Y842" s="110" t="str">
        <f>IFERROR(VLOOKUP(F842,'Freq-Chan'!C:E,3,FALSE),"na")</f>
        <v>na</v>
      </c>
      <c r="Z842" s="110" t="s">
        <v>541</v>
      </c>
      <c r="AA842" s="110" t="s">
        <v>541</v>
      </c>
      <c r="AB842" s="110" t="s">
        <v>541</v>
      </c>
      <c r="AC842" s="10" t="s">
        <v>541</v>
      </c>
      <c r="AD842" s="10" t="s">
        <v>541</v>
      </c>
    </row>
    <row r="843" spans="1:30" x14ac:dyDescent="0.2">
      <c r="A843" s="110">
        <v>842</v>
      </c>
      <c r="B843" s="132">
        <v>41834</v>
      </c>
      <c r="C843" s="117">
        <v>3</v>
      </c>
      <c r="D843" s="103" t="s">
        <v>88</v>
      </c>
      <c r="E843" s="103" t="s">
        <v>798</v>
      </c>
      <c r="H843" s="103"/>
      <c r="J843" s="103">
        <v>23</v>
      </c>
      <c r="K843" s="103" t="s">
        <v>364</v>
      </c>
      <c r="L843" s="133"/>
      <c r="M843" s="134">
        <v>1.3888888888888888E-2</v>
      </c>
      <c r="N843" s="137" t="s">
        <v>2743</v>
      </c>
      <c r="O843" s="133" t="s">
        <v>376</v>
      </c>
      <c r="P843" s="100" t="s">
        <v>2744</v>
      </c>
      <c r="Q843" s="100" t="s">
        <v>2734</v>
      </c>
      <c r="R843" s="226" t="s">
        <v>2756</v>
      </c>
      <c r="S843" s="491" t="str">
        <f t="shared" si="27"/>
        <v>x</v>
      </c>
      <c r="T843" s="492" t="str">
        <f>IFERROR(VLOOKUP(F843,'Freq-Chan'!C:D,2,FALSE),"x")</f>
        <v>x</v>
      </c>
      <c r="U843" s="110" t="s">
        <v>541</v>
      </c>
      <c r="V843" s="110" t="str">
        <f t="shared" si="28"/>
        <v>FWL</v>
      </c>
      <c r="W843" s="110" t="s">
        <v>541</v>
      </c>
      <c r="X843" s="110" t="s">
        <v>541</v>
      </c>
      <c r="Y843" s="110" t="str">
        <f>IFERROR(VLOOKUP(F843,'Freq-Chan'!C:E,3,FALSE),"na")</f>
        <v>na</v>
      </c>
      <c r="Z843" s="110" t="s">
        <v>541</v>
      </c>
      <c r="AA843" s="110" t="s">
        <v>541</v>
      </c>
      <c r="AB843" s="110" t="s">
        <v>541</v>
      </c>
      <c r="AC843" s="10" t="s">
        <v>541</v>
      </c>
      <c r="AD843" s="10" t="s">
        <v>541</v>
      </c>
    </row>
    <row r="844" spans="1:30" x14ac:dyDescent="0.2">
      <c r="A844" s="110">
        <v>843</v>
      </c>
      <c r="B844" s="132">
        <v>41834</v>
      </c>
      <c r="C844" s="117">
        <v>3</v>
      </c>
      <c r="D844" s="103" t="s">
        <v>75</v>
      </c>
      <c r="E844" s="103" t="s">
        <v>798</v>
      </c>
      <c r="H844" s="103"/>
      <c r="J844" s="103">
        <v>21</v>
      </c>
      <c r="K844" s="103" t="s">
        <v>364</v>
      </c>
      <c r="L844" s="133"/>
      <c r="M844" s="134">
        <v>1.4583333333333332E-2</v>
      </c>
      <c r="N844" s="137" t="s">
        <v>502</v>
      </c>
      <c r="O844" s="133" t="s">
        <v>376</v>
      </c>
      <c r="Q844" s="100" t="s">
        <v>2734</v>
      </c>
      <c r="R844" s="226" t="s">
        <v>2756</v>
      </c>
      <c r="S844" s="491" t="str">
        <f t="shared" si="27"/>
        <v>x</v>
      </c>
      <c r="T844" s="492" t="str">
        <f>IFERROR(VLOOKUP(F844,'Freq-Chan'!C:D,2,FALSE),"x")</f>
        <v>x</v>
      </c>
      <c r="U844" s="110" t="s">
        <v>541</v>
      </c>
      <c r="V844" s="110" t="str">
        <f t="shared" si="28"/>
        <v>FWL</v>
      </c>
      <c r="W844" s="110" t="s">
        <v>541</v>
      </c>
      <c r="X844" s="110" t="s">
        <v>541</v>
      </c>
      <c r="Y844" s="110" t="str">
        <f>IFERROR(VLOOKUP(F844,'Freq-Chan'!C:E,3,FALSE),"na")</f>
        <v>na</v>
      </c>
      <c r="Z844" s="110" t="s">
        <v>541</v>
      </c>
      <c r="AA844" s="110" t="s">
        <v>541</v>
      </c>
      <c r="AB844" s="110" t="s">
        <v>541</v>
      </c>
      <c r="AC844" s="10" t="s">
        <v>541</v>
      </c>
      <c r="AD844" s="10" t="s">
        <v>541</v>
      </c>
    </row>
    <row r="845" spans="1:30" x14ac:dyDescent="0.2">
      <c r="A845" s="110">
        <v>844</v>
      </c>
      <c r="B845" s="132">
        <v>41834</v>
      </c>
      <c r="C845" s="117">
        <v>3</v>
      </c>
      <c r="D845" s="103" t="s">
        <v>2</v>
      </c>
      <c r="E845" s="103" t="s">
        <v>306</v>
      </c>
      <c r="F845" s="103">
        <v>875</v>
      </c>
      <c r="G845" s="103">
        <v>32</v>
      </c>
      <c r="H845" s="137" t="s">
        <v>1480</v>
      </c>
      <c r="I845" s="103">
        <v>80</v>
      </c>
      <c r="K845" s="103" t="s">
        <v>364</v>
      </c>
      <c r="L845" s="133"/>
      <c r="M845" s="134">
        <v>4.8611111111111112E-2</v>
      </c>
      <c r="N845" s="137" t="s">
        <v>2745</v>
      </c>
      <c r="O845" s="133" t="s">
        <v>1663</v>
      </c>
      <c r="Q845" s="100" t="s">
        <v>2734</v>
      </c>
      <c r="R845" s="226" t="s">
        <v>2756</v>
      </c>
      <c r="S845" s="491" t="str">
        <f t="shared" si="27"/>
        <v>x</v>
      </c>
      <c r="T845" s="492">
        <f>IFERROR(VLOOKUP(F845,'Freq-Chan'!C:D,2,FALSE),"x")</f>
        <v>151.875</v>
      </c>
      <c r="U845" s="110" t="s">
        <v>541</v>
      </c>
      <c r="V845" s="110" t="str">
        <f t="shared" si="28"/>
        <v>FWL</v>
      </c>
      <c r="W845" s="110" t="s">
        <v>541</v>
      </c>
      <c r="X845" s="110" t="s">
        <v>541</v>
      </c>
      <c r="Y845" s="110" t="str">
        <f>IFERROR(VLOOKUP(F845,'Freq-Chan'!C:E,3,FALSE),"na")</f>
        <v>F1845</v>
      </c>
      <c r="Z845" s="110" t="s">
        <v>541</v>
      </c>
      <c r="AA845" s="110" t="s">
        <v>541</v>
      </c>
      <c r="AB845" s="110" t="s">
        <v>541</v>
      </c>
      <c r="AC845" s="10" t="s">
        <v>541</v>
      </c>
      <c r="AD845" s="10" t="s">
        <v>541</v>
      </c>
    </row>
    <row r="846" spans="1:30" x14ac:dyDescent="0.2">
      <c r="A846" s="110">
        <v>845</v>
      </c>
      <c r="B846" s="132">
        <v>41834</v>
      </c>
      <c r="C846" s="117">
        <v>3</v>
      </c>
      <c r="D846" s="103" t="s">
        <v>2</v>
      </c>
      <c r="E846" s="103" t="s">
        <v>306</v>
      </c>
      <c r="F846" s="103">
        <v>875</v>
      </c>
      <c r="G846" s="103">
        <v>98</v>
      </c>
      <c r="H846" s="137" t="s">
        <v>1481</v>
      </c>
      <c r="I846" s="103">
        <v>53</v>
      </c>
      <c r="K846" s="103" t="s">
        <v>364</v>
      </c>
      <c r="L846" s="133"/>
      <c r="M846" s="134">
        <v>2.7083333333333334E-2</v>
      </c>
      <c r="N846" s="137" t="s">
        <v>2746</v>
      </c>
      <c r="O846" s="133" t="s">
        <v>803</v>
      </c>
      <c r="Q846" s="100" t="s">
        <v>2734</v>
      </c>
      <c r="R846" s="226" t="s">
        <v>2756</v>
      </c>
      <c r="S846" s="491" t="str">
        <f t="shared" si="27"/>
        <v>x</v>
      </c>
      <c r="T846" s="492">
        <f>IFERROR(VLOOKUP(F846,'Freq-Chan'!C:D,2,FALSE),"x")</f>
        <v>151.875</v>
      </c>
      <c r="U846" s="110" t="s">
        <v>541</v>
      </c>
      <c r="V846" s="110" t="str">
        <f t="shared" si="28"/>
        <v>FWL</v>
      </c>
      <c r="W846" s="110" t="s">
        <v>541</v>
      </c>
      <c r="X846" s="110" t="s">
        <v>541</v>
      </c>
      <c r="Y846" s="110" t="str">
        <f>IFERROR(VLOOKUP(F846,'Freq-Chan'!C:E,3,FALSE),"na")</f>
        <v>F1845</v>
      </c>
      <c r="Z846" s="110" t="s">
        <v>541</v>
      </c>
      <c r="AA846" s="110" t="s">
        <v>541</v>
      </c>
      <c r="AB846" s="110" t="s">
        <v>541</v>
      </c>
      <c r="AC846" s="10" t="s">
        <v>541</v>
      </c>
      <c r="AD846" s="10" t="s">
        <v>541</v>
      </c>
    </row>
    <row r="847" spans="1:30" s="291" customFormat="1" x14ac:dyDescent="0.2">
      <c r="A847" s="493">
        <v>846</v>
      </c>
      <c r="B847" s="283">
        <v>41834</v>
      </c>
      <c r="C847" s="284">
        <v>3</v>
      </c>
      <c r="D847" s="285" t="s">
        <v>2</v>
      </c>
      <c r="E847" s="285" t="s">
        <v>306</v>
      </c>
      <c r="F847" s="285"/>
      <c r="G847" s="285"/>
      <c r="H847" s="285"/>
      <c r="I847" s="285">
        <v>87</v>
      </c>
      <c r="J847" s="285"/>
      <c r="K847" s="285" t="s">
        <v>364</v>
      </c>
      <c r="L847" s="286">
        <v>0.81041666666666667</v>
      </c>
      <c r="M847" s="287">
        <v>4.9999999999999996E-2</v>
      </c>
      <c r="N847" s="339" t="s">
        <v>2747</v>
      </c>
      <c r="O847" s="286" t="s">
        <v>555</v>
      </c>
      <c r="P847" s="289" t="s">
        <v>2748</v>
      </c>
      <c r="Q847" s="289" t="s">
        <v>2734</v>
      </c>
      <c r="R847" s="290" t="s">
        <v>2756</v>
      </c>
      <c r="S847" s="494">
        <f t="shared" si="27"/>
        <v>8.1944444000000005E-3</v>
      </c>
      <c r="T847" s="495" t="str">
        <f>IFERROR(VLOOKUP(F847,'Freq-Chan'!C:D,2,FALSE),"x")</f>
        <v>x</v>
      </c>
      <c r="U847" s="493" t="s">
        <v>541</v>
      </c>
      <c r="V847" s="493" t="str">
        <f t="shared" si="28"/>
        <v>FWL</v>
      </c>
      <c r="W847" s="493" t="s">
        <v>541</v>
      </c>
      <c r="X847" s="493" t="s">
        <v>541</v>
      </c>
      <c r="Y847" s="493" t="str">
        <f>IFERROR(VLOOKUP(F847,'Freq-Chan'!C:E,3,FALSE),"na")</f>
        <v>na</v>
      </c>
      <c r="Z847" s="493" t="s">
        <v>541</v>
      </c>
      <c r="AA847" s="493" t="s">
        <v>541</v>
      </c>
      <c r="AB847" s="493" t="s">
        <v>541</v>
      </c>
      <c r="AC847" s="291" t="s">
        <v>541</v>
      </c>
      <c r="AD847" s="291" t="s">
        <v>541</v>
      </c>
    </row>
    <row r="848" spans="1:30" x14ac:dyDescent="0.2">
      <c r="A848" s="110">
        <v>847</v>
      </c>
      <c r="B848" s="132">
        <v>41835</v>
      </c>
      <c r="C848" s="117">
        <v>1</v>
      </c>
      <c r="D848" s="103" t="s">
        <v>2</v>
      </c>
      <c r="E848" s="103" t="s">
        <v>306</v>
      </c>
      <c r="F848" s="103">
        <v>875</v>
      </c>
      <c r="G848" s="103">
        <v>49</v>
      </c>
      <c r="H848" s="137" t="s">
        <v>1463</v>
      </c>
      <c r="I848" s="103">
        <v>83</v>
      </c>
      <c r="K848" s="103" t="s">
        <v>1032</v>
      </c>
      <c r="L848" s="133"/>
      <c r="M848" s="134">
        <v>4.9999999999999996E-2</v>
      </c>
      <c r="N848" s="137" t="s">
        <v>2616</v>
      </c>
      <c r="O848" s="133" t="s">
        <v>802</v>
      </c>
      <c r="P848" s="100" t="s">
        <v>1786</v>
      </c>
      <c r="Q848" s="100" t="s">
        <v>2760</v>
      </c>
      <c r="R848" s="226" t="s">
        <v>2792</v>
      </c>
      <c r="S848" s="491" t="str">
        <f t="shared" si="27"/>
        <v>x</v>
      </c>
      <c r="T848" s="492">
        <f>IFERROR(VLOOKUP(F848,'Freq-Chan'!C:D,2,FALSE),"x")</f>
        <v>151.875</v>
      </c>
      <c r="U848" s="110" t="s">
        <v>541</v>
      </c>
      <c r="V848" s="110" t="str">
        <f t="shared" si="28"/>
        <v>FWL</v>
      </c>
      <c r="W848" s="110" t="s">
        <v>541</v>
      </c>
      <c r="X848" s="110" t="s">
        <v>541</v>
      </c>
      <c r="Y848" s="110" t="str">
        <f>IFERROR(VLOOKUP(F848,'Freq-Chan'!C:E,3,FALSE),"na")</f>
        <v>F1845</v>
      </c>
      <c r="Z848" s="110" t="s">
        <v>541</v>
      </c>
      <c r="AA848" s="110" t="s">
        <v>541</v>
      </c>
      <c r="AB848" s="110" t="s">
        <v>541</v>
      </c>
      <c r="AC848" s="10" t="s">
        <v>541</v>
      </c>
      <c r="AD848" s="10" t="s">
        <v>541</v>
      </c>
    </row>
    <row r="849" spans="1:30" s="291" customFormat="1" x14ac:dyDescent="0.2">
      <c r="A849" s="493">
        <v>848</v>
      </c>
      <c r="B849" s="283">
        <v>41835</v>
      </c>
      <c r="C849" s="284">
        <v>1</v>
      </c>
      <c r="D849" s="285" t="s">
        <v>2</v>
      </c>
      <c r="E849" s="285" t="s">
        <v>306</v>
      </c>
      <c r="F849" s="285">
        <v>875</v>
      </c>
      <c r="G849" s="285">
        <v>84</v>
      </c>
      <c r="H849" s="339" t="s">
        <v>1488</v>
      </c>
      <c r="I849" s="285">
        <v>86</v>
      </c>
      <c r="J849" s="285"/>
      <c r="K849" s="285" t="s">
        <v>364</v>
      </c>
      <c r="L849" s="286"/>
      <c r="M849" s="287">
        <v>4.1666666666666664E-2</v>
      </c>
      <c r="N849" s="339" t="s">
        <v>2771</v>
      </c>
      <c r="O849" s="286" t="s">
        <v>1532</v>
      </c>
      <c r="P849" s="289"/>
      <c r="Q849" s="289" t="s">
        <v>2760</v>
      </c>
      <c r="R849" s="290" t="s">
        <v>2792</v>
      </c>
      <c r="S849" s="494" t="str">
        <f t="shared" si="27"/>
        <v>x</v>
      </c>
      <c r="T849" s="495">
        <f>IFERROR(VLOOKUP(F849,'Freq-Chan'!C:D,2,FALSE),"x")</f>
        <v>151.875</v>
      </c>
      <c r="U849" s="493" t="s">
        <v>541</v>
      </c>
      <c r="V849" s="493" t="str">
        <f t="shared" si="28"/>
        <v>FWL</v>
      </c>
      <c r="W849" s="493" t="s">
        <v>541</v>
      </c>
      <c r="X849" s="493" t="s">
        <v>541</v>
      </c>
      <c r="Y849" s="493" t="str">
        <f>IFERROR(VLOOKUP(F849,'Freq-Chan'!C:E,3,FALSE),"na")</f>
        <v>F1845</v>
      </c>
      <c r="Z849" s="493" t="s">
        <v>541</v>
      </c>
      <c r="AA849" s="493" t="s">
        <v>541</v>
      </c>
      <c r="AB849" s="493" t="s">
        <v>541</v>
      </c>
      <c r="AC849" s="291" t="s">
        <v>541</v>
      </c>
      <c r="AD849" s="291" t="s">
        <v>541</v>
      </c>
    </row>
    <row r="850" spans="1:30" x14ac:dyDescent="0.2">
      <c r="A850" s="110">
        <v>849</v>
      </c>
      <c r="B850" s="132">
        <v>41835</v>
      </c>
      <c r="C850" s="117">
        <v>2</v>
      </c>
      <c r="D850" s="103" t="s">
        <v>8</v>
      </c>
      <c r="E850" s="103" t="s">
        <v>306</v>
      </c>
      <c r="F850" s="103">
        <v>586</v>
      </c>
      <c r="G850" s="103">
        <v>65</v>
      </c>
      <c r="H850" s="137" t="s">
        <v>2109</v>
      </c>
      <c r="I850" s="103">
        <v>48</v>
      </c>
      <c r="K850" s="103" t="s">
        <v>364</v>
      </c>
      <c r="L850" s="133"/>
      <c r="M850" s="134">
        <v>0.11319444444444444</v>
      </c>
      <c r="N850" s="137" t="s">
        <v>2772</v>
      </c>
      <c r="O850" s="133" t="s">
        <v>803</v>
      </c>
      <c r="Q850" s="100" t="s">
        <v>2760</v>
      </c>
      <c r="R850" s="226" t="s">
        <v>2792</v>
      </c>
      <c r="S850" s="491" t="str">
        <f t="shared" si="27"/>
        <v>x</v>
      </c>
      <c r="T850" s="492">
        <f>IFERROR(VLOOKUP(F850,'Freq-Chan'!C:D,2,FALSE),"x")</f>
        <v>151.58600000000001</v>
      </c>
      <c r="U850" s="110" t="s">
        <v>541</v>
      </c>
      <c r="V850" s="110" t="str">
        <f t="shared" si="28"/>
        <v>FWL</v>
      </c>
      <c r="W850" s="110" t="s">
        <v>541</v>
      </c>
      <c r="X850" s="110" t="s">
        <v>541</v>
      </c>
      <c r="Y850" s="110" t="str">
        <f>IFERROR(VLOOKUP(F850,'Freq-Chan'!C:E,3,FALSE),"na")</f>
        <v>F1840</v>
      </c>
      <c r="Z850" s="110" t="s">
        <v>541</v>
      </c>
      <c r="AA850" s="110" t="s">
        <v>541</v>
      </c>
      <c r="AB850" s="110" t="s">
        <v>541</v>
      </c>
      <c r="AC850" s="10" t="s">
        <v>541</v>
      </c>
      <c r="AD850" s="10" t="s">
        <v>541</v>
      </c>
    </row>
    <row r="851" spans="1:30" x14ac:dyDescent="0.2">
      <c r="A851" s="110">
        <v>850</v>
      </c>
      <c r="B851" s="132">
        <v>41835</v>
      </c>
      <c r="C851" s="117">
        <v>2</v>
      </c>
      <c r="D851" s="103" t="s">
        <v>8</v>
      </c>
      <c r="E851" s="103" t="s">
        <v>306</v>
      </c>
      <c r="F851" s="103">
        <v>586</v>
      </c>
      <c r="G851" s="103">
        <v>67</v>
      </c>
      <c r="H851" s="137" t="s">
        <v>2110</v>
      </c>
      <c r="I851" s="103">
        <v>52</v>
      </c>
      <c r="K851" s="103" t="s">
        <v>364</v>
      </c>
      <c r="L851" s="133"/>
      <c r="M851" s="134">
        <v>7.6388888888888895E-2</v>
      </c>
      <c r="N851" s="137" t="s">
        <v>1906</v>
      </c>
      <c r="O851" s="133" t="s">
        <v>555</v>
      </c>
      <c r="Q851" s="100" t="s">
        <v>2760</v>
      </c>
      <c r="R851" s="226" t="s">
        <v>2792</v>
      </c>
      <c r="S851" s="491" t="str">
        <f t="shared" si="27"/>
        <v>x</v>
      </c>
      <c r="T851" s="492">
        <f>IFERROR(VLOOKUP(F851,'Freq-Chan'!C:D,2,FALSE),"x")</f>
        <v>151.58600000000001</v>
      </c>
      <c r="U851" s="110" t="s">
        <v>541</v>
      </c>
      <c r="V851" s="110" t="str">
        <f t="shared" si="28"/>
        <v>FWL</v>
      </c>
      <c r="W851" s="110" t="s">
        <v>541</v>
      </c>
      <c r="X851" s="110" t="s">
        <v>541</v>
      </c>
      <c r="Y851" s="110" t="str">
        <f>IFERROR(VLOOKUP(F851,'Freq-Chan'!C:E,3,FALSE),"na")</f>
        <v>F1840</v>
      </c>
      <c r="Z851" s="110" t="s">
        <v>541</v>
      </c>
      <c r="AA851" s="110" t="s">
        <v>541</v>
      </c>
      <c r="AB851" s="110" t="s">
        <v>541</v>
      </c>
      <c r="AC851" s="10" t="s">
        <v>541</v>
      </c>
      <c r="AD851" s="10" t="s">
        <v>541</v>
      </c>
    </row>
    <row r="852" spans="1:30" x14ac:dyDescent="0.2">
      <c r="A852" s="110">
        <v>851</v>
      </c>
      <c r="B852" s="132">
        <v>41835</v>
      </c>
      <c r="C852" s="117">
        <v>2</v>
      </c>
      <c r="D852" s="103" t="s">
        <v>2</v>
      </c>
      <c r="E852" s="103" t="s">
        <v>306</v>
      </c>
      <c r="H852" s="103"/>
      <c r="I852" s="103">
        <v>62</v>
      </c>
      <c r="K852" s="103" t="s">
        <v>364</v>
      </c>
      <c r="L852" s="133">
        <v>0.55555555555555558</v>
      </c>
      <c r="M852" s="134">
        <v>2.0833333333333332E-2</v>
      </c>
      <c r="N852" s="137" t="s">
        <v>2773</v>
      </c>
      <c r="O852" s="133" t="s">
        <v>1532</v>
      </c>
      <c r="P852" s="100" t="s">
        <v>2774</v>
      </c>
      <c r="Q852" s="100" t="s">
        <v>2760</v>
      </c>
      <c r="R852" s="226" t="s">
        <v>2792</v>
      </c>
      <c r="S852" s="491">
        <f t="shared" si="27"/>
        <v>3.8194444000000001E-3</v>
      </c>
      <c r="T852" s="492" t="str">
        <f>IFERROR(VLOOKUP(F852,'Freq-Chan'!C:D,2,FALSE),"x")</f>
        <v>x</v>
      </c>
      <c r="U852" s="110" t="s">
        <v>541</v>
      </c>
      <c r="V852" s="110" t="str">
        <f t="shared" si="28"/>
        <v>FWL</v>
      </c>
      <c r="W852" s="110" t="s">
        <v>541</v>
      </c>
      <c r="X852" s="110" t="s">
        <v>541</v>
      </c>
      <c r="Y852" s="110" t="str">
        <f>IFERROR(VLOOKUP(F852,'Freq-Chan'!C:E,3,FALSE),"na")</f>
        <v>na</v>
      </c>
      <c r="Z852" s="110" t="s">
        <v>541</v>
      </c>
      <c r="AA852" s="110" t="s">
        <v>541</v>
      </c>
      <c r="AB852" s="110" t="s">
        <v>541</v>
      </c>
      <c r="AC852" s="10" t="s">
        <v>541</v>
      </c>
      <c r="AD852" s="10" t="s">
        <v>541</v>
      </c>
    </row>
    <row r="853" spans="1:30" x14ac:dyDescent="0.2">
      <c r="A853" s="110">
        <v>852</v>
      </c>
      <c r="B853" s="132">
        <v>41835</v>
      </c>
      <c r="C853" s="117">
        <v>2</v>
      </c>
      <c r="D853" s="103" t="s">
        <v>8</v>
      </c>
      <c r="E853" s="103" t="s">
        <v>306</v>
      </c>
      <c r="F853" s="103">
        <v>573</v>
      </c>
      <c r="G853" s="103">
        <v>7</v>
      </c>
      <c r="H853" s="137" t="s">
        <v>2111</v>
      </c>
      <c r="I853" s="103">
        <v>54</v>
      </c>
      <c r="K853" s="103" t="s">
        <v>364</v>
      </c>
      <c r="L853" s="133"/>
      <c r="M853" s="134">
        <v>5.5555555555555552E-2</v>
      </c>
      <c r="N853" s="137" t="s">
        <v>2746</v>
      </c>
      <c r="O853" s="133" t="s">
        <v>1663</v>
      </c>
      <c r="Q853" s="100" t="s">
        <v>2760</v>
      </c>
      <c r="R853" s="226" t="s">
        <v>2792</v>
      </c>
      <c r="S853" s="491" t="str">
        <f t="shared" si="27"/>
        <v>x</v>
      </c>
      <c r="T853" s="492">
        <f>IFERROR(VLOOKUP(F853,'Freq-Chan'!C:D,2,FALSE),"x")</f>
        <v>151.57300000000001</v>
      </c>
      <c r="U853" s="110" t="s">
        <v>541</v>
      </c>
      <c r="V853" s="110" t="str">
        <f t="shared" si="28"/>
        <v>FWL</v>
      </c>
      <c r="W853" s="110" t="s">
        <v>541</v>
      </c>
      <c r="X853" s="110" t="s">
        <v>541</v>
      </c>
      <c r="Y853" s="110" t="str">
        <f>IFERROR(VLOOKUP(F853,'Freq-Chan'!C:E,3,FALSE),"na")</f>
        <v>F1840</v>
      </c>
      <c r="Z853" s="110" t="s">
        <v>541</v>
      </c>
      <c r="AA853" s="110" t="s">
        <v>541</v>
      </c>
      <c r="AB853" s="110" t="s">
        <v>541</v>
      </c>
      <c r="AC853" s="10" t="s">
        <v>541</v>
      </c>
      <c r="AD853" s="10" t="s">
        <v>541</v>
      </c>
    </row>
    <row r="854" spans="1:30" x14ac:dyDescent="0.2">
      <c r="A854" s="110">
        <v>853</v>
      </c>
      <c r="B854" s="132">
        <v>41835</v>
      </c>
      <c r="C854" s="117">
        <v>2</v>
      </c>
      <c r="D854" s="103" t="s">
        <v>8</v>
      </c>
      <c r="E854" s="103" t="s">
        <v>306</v>
      </c>
      <c r="F854" s="103">
        <v>573</v>
      </c>
      <c r="G854" s="103">
        <v>21</v>
      </c>
      <c r="H854" s="137" t="s">
        <v>2112</v>
      </c>
      <c r="I854" s="103">
        <v>41</v>
      </c>
      <c r="K854" s="103" t="s">
        <v>364</v>
      </c>
      <c r="L854" s="133"/>
      <c r="M854" s="134">
        <v>4.0972222222222222E-2</v>
      </c>
      <c r="N854" s="137" t="s">
        <v>1807</v>
      </c>
      <c r="O854" s="133" t="s">
        <v>802</v>
      </c>
      <c r="Q854" s="100" t="s">
        <v>2760</v>
      </c>
      <c r="R854" s="226" t="s">
        <v>2792</v>
      </c>
      <c r="S854" s="491" t="str">
        <f t="shared" si="27"/>
        <v>x</v>
      </c>
      <c r="T854" s="492">
        <f>IFERROR(VLOOKUP(F854,'Freq-Chan'!C:D,2,FALSE),"x")</f>
        <v>151.57300000000001</v>
      </c>
      <c r="U854" s="110" t="s">
        <v>541</v>
      </c>
      <c r="V854" s="110" t="str">
        <f t="shared" si="28"/>
        <v>FWL</v>
      </c>
      <c r="W854" s="110" t="s">
        <v>541</v>
      </c>
      <c r="X854" s="110" t="s">
        <v>541</v>
      </c>
      <c r="Y854" s="110" t="str">
        <f>IFERROR(VLOOKUP(F854,'Freq-Chan'!C:E,3,FALSE),"na")</f>
        <v>F1840</v>
      </c>
      <c r="Z854" s="110" t="s">
        <v>541</v>
      </c>
      <c r="AA854" s="110" t="s">
        <v>541</v>
      </c>
      <c r="AB854" s="110" t="s">
        <v>541</v>
      </c>
      <c r="AC854" s="10" t="s">
        <v>541</v>
      </c>
      <c r="AD854" s="10" t="s">
        <v>541</v>
      </c>
    </row>
    <row r="855" spans="1:30" s="291" customFormat="1" x14ac:dyDescent="0.2">
      <c r="A855" s="493">
        <v>854</v>
      </c>
      <c r="B855" s="283">
        <v>41835</v>
      </c>
      <c r="C855" s="284">
        <v>2</v>
      </c>
      <c r="D855" s="285" t="s">
        <v>8</v>
      </c>
      <c r="E855" s="285" t="s">
        <v>306</v>
      </c>
      <c r="F855" s="285">
        <v>573</v>
      </c>
      <c r="G855" s="285">
        <v>64</v>
      </c>
      <c r="H855" s="339" t="s">
        <v>2113</v>
      </c>
      <c r="I855" s="285">
        <v>58</v>
      </c>
      <c r="J855" s="285"/>
      <c r="K855" s="285" t="s">
        <v>364</v>
      </c>
      <c r="L855" s="286"/>
      <c r="M855" s="287">
        <v>6.7361111111111108E-2</v>
      </c>
      <c r="N855" s="339" t="s">
        <v>1922</v>
      </c>
      <c r="O855" s="286" t="s">
        <v>376</v>
      </c>
      <c r="P855" s="289" t="s">
        <v>2775</v>
      </c>
      <c r="Q855" s="289" t="s">
        <v>2760</v>
      </c>
      <c r="R855" s="290" t="s">
        <v>2792</v>
      </c>
      <c r="S855" s="494" t="str">
        <f t="shared" si="27"/>
        <v>x</v>
      </c>
      <c r="T855" s="495">
        <f>IFERROR(VLOOKUP(F855,'Freq-Chan'!C:D,2,FALSE),"x")</f>
        <v>151.57300000000001</v>
      </c>
      <c r="U855" s="493" t="s">
        <v>541</v>
      </c>
      <c r="V855" s="493" t="str">
        <f t="shared" si="28"/>
        <v>FWL</v>
      </c>
      <c r="W855" s="493" t="s">
        <v>541</v>
      </c>
      <c r="X855" s="493" t="s">
        <v>541</v>
      </c>
      <c r="Y855" s="493" t="str">
        <f>IFERROR(VLOOKUP(F855,'Freq-Chan'!C:E,3,FALSE),"na")</f>
        <v>F1840</v>
      </c>
      <c r="Z855" s="493" t="s">
        <v>541</v>
      </c>
      <c r="AA855" s="493" t="s">
        <v>541</v>
      </c>
      <c r="AB855" s="493" t="s">
        <v>541</v>
      </c>
      <c r="AC855" s="291" t="s">
        <v>541</v>
      </c>
      <c r="AD855" s="291" t="s">
        <v>541</v>
      </c>
    </row>
    <row r="856" spans="1:30" x14ac:dyDescent="0.2">
      <c r="A856" s="110">
        <v>855</v>
      </c>
      <c r="B856" s="132">
        <v>41835</v>
      </c>
      <c r="C856" s="117">
        <v>3</v>
      </c>
      <c r="D856" s="103" t="s">
        <v>2</v>
      </c>
      <c r="E856" s="103" t="s">
        <v>306</v>
      </c>
      <c r="F856" s="103">
        <v>875</v>
      </c>
      <c r="G856" s="103">
        <v>68</v>
      </c>
      <c r="H856" s="137" t="s">
        <v>1482</v>
      </c>
      <c r="I856" s="103">
        <v>85</v>
      </c>
      <c r="K856" s="103" t="s">
        <v>364</v>
      </c>
      <c r="L856" s="133"/>
      <c r="M856" s="134">
        <v>5.5555555555555552E-2</v>
      </c>
      <c r="N856" s="137" t="s">
        <v>838</v>
      </c>
      <c r="O856" s="133" t="s">
        <v>1663</v>
      </c>
      <c r="P856" s="100" t="s">
        <v>1998</v>
      </c>
      <c r="Q856" s="100" t="s">
        <v>2790</v>
      </c>
      <c r="R856" s="226" t="s">
        <v>2792</v>
      </c>
      <c r="S856" s="491" t="str">
        <f t="shared" si="27"/>
        <v>x</v>
      </c>
      <c r="T856" s="492">
        <f>IFERROR(VLOOKUP(F856,'Freq-Chan'!C:D,2,FALSE),"x")</f>
        <v>151.875</v>
      </c>
      <c r="U856" s="110" t="s">
        <v>541</v>
      </c>
      <c r="V856" s="110" t="str">
        <f t="shared" si="28"/>
        <v>FWL</v>
      </c>
      <c r="W856" s="110" t="s">
        <v>541</v>
      </c>
      <c r="X856" s="110" t="s">
        <v>541</v>
      </c>
      <c r="Y856" s="110" t="str">
        <f>IFERROR(VLOOKUP(F856,'Freq-Chan'!C:E,3,FALSE),"na")</f>
        <v>F1845</v>
      </c>
      <c r="Z856" s="110" t="s">
        <v>541</v>
      </c>
      <c r="AA856" s="110" t="s">
        <v>541</v>
      </c>
      <c r="AB856" s="110" t="s">
        <v>541</v>
      </c>
      <c r="AC856" s="10" t="s">
        <v>541</v>
      </c>
      <c r="AD856" s="10" t="s">
        <v>541</v>
      </c>
    </row>
    <row r="857" spans="1:30" x14ac:dyDescent="0.2">
      <c r="A857" s="110">
        <v>856</v>
      </c>
      <c r="B857" s="132">
        <v>41835</v>
      </c>
      <c r="C857" s="117">
        <v>3</v>
      </c>
      <c r="D857" s="103" t="s">
        <v>177</v>
      </c>
      <c r="E857" s="103" t="s">
        <v>0</v>
      </c>
      <c r="H857" s="103"/>
      <c r="I857" s="103">
        <v>35</v>
      </c>
      <c r="K857" s="103" t="s">
        <v>364</v>
      </c>
      <c r="L857" s="133"/>
      <c r="M857" s="134">
        <v>1.3194444444444444E-2</v>
      </c>
      <c r="N857" s="137" t="s">
        <v>2776</v>
      </c>
      <c r="O857" s="133" t="s">
        <v>1663</v>
      </c>
      <c r="P857" s="100" t="s">
        <v>2686</v>
      </c>
      <c r="Q857" s="100" t="s">
        <v>2790</v>
      </c>
      <c r="R857" s="226" t="s">
        <v>2792</v>
      </c>
      <c r="S857" s="491" t="str">
        <f t="shared" si="27"/>
        <v>x</v>
      </c>
      <c r="T857" s="492" t="str">
        <f>IFERROR(VLOOKUP(F857,'Freq-Chan'!C:D,2,FALSE),"x")</f>
        <v>x</v>
      </c>
      <c r="U857" s="110" t="s">
        <v>541</v>
      </c>
      <c r="V857" s="110" t="str">
        <f t="shared" si="28"/>
        <v>FWL</v>
      </c>
      <c r="W857" s="110" t="s">
        <v>541</v>
      </c>
      <c r="X857" s="110" t="s">
        <v>541</v>
      </c>
      <c r="Y857" s="110" t="str">
        <f>IFERROR(VLOOKUP(F857,'Freq-Chan'!C:E,3,FALSE),"na")</f>
        <v>na</v>
      </c>
      <c r="Z857" s="110" t="s">
        <v>541</v>
      </c>
      <c r="AA857" s="110" t="s">
        <v>541</v>
      </c>
      <c r="AB857" s="110" t="s">
        <v>541</v>
      </c>
      <c r="AC857" s="10" t="s">
        <v>541</v>
      </c>
      <c r="AD857" s="10" t="s">
        <v>541</v>
      </c>
    </row>
    <row r="858" spans="1:30" x14ac:dyDescent="0.2">
      <c r="A858" s="110">
        <v>857</v>
      </c>
      <c r="B858" s="132">
        <v>41835</v>
      </c>
      <c r="C858" s="117">
        <v>3</v>
      </c>
      <c r="D858" s="103" t="s">
        <v>2</v>
      </c>
      <c r="E858" s="103" t="s">
        <v>306</v>
      </c>
      <c r="F858" s="103">
        <v>364</v>
      </c>
      <c r="G858" s="103">
        <v>39</v>
      </c>
      <c r="H858" s="137" t="s">
        <v>1483</v>
      </c>
      <c r="I858" s="103">
        <v>85</v>
      </c>
      <c r="K858" s="103" t="s">
        <v>1032</v>
      </c>
      <c r="L858" s="133"/>
      <c r="M858" s="134">
        <v>7.0833333333333331E-2</v>
      </c>
      <c r="N858" s="137" t="s">
        <v>1787</v>
      </c>
      <c r="O858" s="133" t="s">
        <v>1585</v>
      </c>
      <c r="P858" s="100" t="s">
        <v>1998</v>
      </c>
      <c r="Q858" s="100" t="s">
        <v>2790</v>
      </c>
      <c r="R858" s="226" t="s">
        <v>2792</v>
      </c>
      <c r="S858" s="491" t="str">
        <f t="shared" si="27"/>
        <v>x</v>
      </c>
      <c r="T858" s="492">
        <f>IFERROR(VLOOKUP(F858,'Freq-Chan'!C:D,2,FALSE),"x")</f>
        <v>151.364</v>
      </c>
      <c r="U858" s="110" t="s">
        <v>541</v>
      </c>
      <c r="V858" s="110" t="str">
        <f t="shared" si="28"/>
        <v>FWL</v>
      </c>
      <c r="W858" s="110" t="s">
        <v>541</v>
      </c>
      <c r="X858" s="110" t="s">
        <v>541</v>
      </c>
      <c r="Y858" s="110" t="str">
        <f>IFERROR(VLOOKUP(F858,'Freq-Chan'!C:E,3,FALSE),"na")</f>
        <v>F1845</v>
      </c>
      <c r="Z858" s="110" t="s">
        <v>541</v>
      </c>
      <c r="AA858" s="110" t="s">
        <v>541</v>
      </c>
      <c r="AB858" s="110" t="s">
        <v>541</v>
      </c>
      <c r="AC858" s="10" t="s">
        <v>541</v>
      </c>
      <c r="AD858" s="10" t="s">
        <v>541</v>
      </c>
    </row>
    <row r="859" spans="1:30" x14ac:dyDescent="0.2">
      <c r="A859" s="110">
        <v>858</v>
      </c>
      <c r="B859" s="132">
        <v>41835</v>
      </c>
      <c r="C859" s="117">
        <v>3</v>
      </c>
      <c r="D859" s="103" t="s">
        <v>177</v>
      </c>
      <c r="E859" s="103" t="s">
        <v>0</v>
      </c>
      <c r="F859" s="103">
        <v>917</v>
      </c>
      <c r="G859" s="103">
        <v>51</v>
      </c>
      <c r="H859" s="137" t="s">
        <v>1484</v>
      </c>
      <c r="I859" s="103">
        <v>47</v>
      </c>
      <c r="K859" s="103" t="s">
        <v>364</v>
      </c>
      <c r="L859" s="133"/>
      <c r="M859" s="134">
        <v>4.5833333333333337E-2</v>
      </c>
      <c r="N859" s="137" t="s">
        <v>1789</v>
      </c>
      <c r="O859" s="133" t="s">
        <v>1663</v>
      </c>
      <c r="P859" s="100" t="s">
        <v>1998</v>
      </c>
      <c r="Q859" s="100" t="s">
        <v>2790</v>
      </c>
      <c r="R859" s="226" t="s">
        <v>2792</v>
      </c>
      <c r="S859" s="491" t="str">
        <f t="shared" si="27"/>
        <v>x</v>
      </c>
      <c r="T859" s="492">
        <f>IFERROR(VLOOKUP(F859,'Freq-Chan'!C:D,2,FALSE),"x")</f>
        <v>151.917</v>
      </c>
      <c r="U859" s="110" t="s">
        <v>541</v>
      </c>
      <c r="V859" s="110" t="str">
        <f t="shared" si="28"/>
        <v>FWL</v>
      </c>
      <c r="W859" s="110" t="s">
        <v>541</v>
      </c>
      <c r="X859" s="110" t="s">
        <v>541</v>
      </c>
      <c r="Y859" s="110" t="str">
        <f>IFERROR(VLOOKUP(F859,'Freq-Chan'!C:E,3,FALSE),"na")</f>
        <v>F1835</v>
      </c>
      <c r="Z859" s="110" t="s">
        <v>541</v>
      </c>
      <c r="AA859" s="110" t="s">
        <v>541</v>
      </c>
      <c r="AB859" s="110" t="s">
        <v>541</v>
      </c>
      <c r="AC859" s="10" t="s">
        <v>541</v>
      </c>
      <c r="AD859" s="10" t="s">
        <v>541</v>
      </c>
    </row>
    <row r="860" spans="1:30" x14ac:dyDescent="0.2">
      <c r="A860" s="110">
        <v>859</v>
      </c>
      <c r="B860" s="132">
        <v>41835</v>
      </c>
      <c r="C860" s="117">
        <v>3</v>
      </c>
      <c r="D860" s="103" t="s">
        <v>177</v>
      </c>
      <c r="E860" s="103" t="s">
        <v>0</v>
      </c>
      <c r="H860" s="103"/>
      <c r="I860" s="103">
        <v>36</v>
      </c>
      <c r="K860" s="103" t="s">
        <v>364</v>
      </c>
      <c r="L860" s="133"/>
      <c r="M860" s="134">
        <v>1.4583333333333332E-2</v>
      </c>
      <c r="N860" s="137" t="s">
        <v>1641</v>
      </c>
      <c r="O860" s="133" t="s">
        <v>1585</v>
      </c>
      <c r="P860" s="100" t="s">
        <v>2687</v>
      </c>
      <c r="Q860" s="100" t="s">
        <v>2790</v>
      </c>
      <c r="R860" s="226" t="s">
        <v>2792</v>
      </c>
      <c r="S860" s="491" t="str">
        <f t="shared" si="27"/>
        <v>x</v>
      </c>
      <c r="T860" s="492" t="str">
        <f>IFERROR(VLOOKUP(F860,'Freq-Chan'!C:D,2,FALSE),"x")</f>
        <v>x</v>
      </c>
      <c r="U860" s="110" t="s">
        <v>541</v>
      </c>
      <c r="V860" s="110" t="str">
        <f t="shared" si="28"/>
        <v>FWL</v>
      </c>
      <c r="W860" s="110" t="s">
        <v>541</v>
      </c>
      <c r="X860" s="110" t="s">
        <v>541</v>
      </c>
      <c r="Y860" s="110" t="str">
        <f>IFERROR(VLOOKUP(F860,'Freq-Chan'!C:E,3,FALSE),"na")</f>
        <v>na</v>
      </c>
      <c r="Z860" s="110" t="s">
        <v>541</v>
      </c>
      <c r="AA860" s="110" t="s">
        <v>541</v>
      </c>
      <c r="AB860" s="110" t="s">
        <v>541</v>
      </c>
      <c r="AC860" s="10" t="s">
        <v>541</v>
      </c>
      <c r="AD860" s="10" t="s">
        <v>541</v>
      </c>
    </row>
    <row r="861" spans="1:30" x14ac:dyDescent="0.2">
      <c r="A861" s="110">
        <v>860</v>
      </c>
      <c r="B861" s="132">
        <v>41835</v>
      </c>
      <c r="C861" s="117">
        <v>3</v>
      </c>
      <c r="D861" s="103" t="s">
        <v>8</v>
      </c>
      <c r="E861" s="103" t="s">
        <v>306</v>
      </c>
      <c r="F861" s="103">
        <v>573</v>
      </c>
      <c r="G861" s="103">
        <v>73</v>
      </c>
      <c r="H861" s="137" t="s">
        <v>2099</v>
      </c>
      <c r="I861" s="103">
        <v>42</v>
      </c>
      <c r="K861" s="103" t="s">
        <v>364</v>
      </c>
      <c r="L861" s="133"/>
      <c r="M861" s="134">
        <v>6.8749999999999992E-2</v>
      </c>
      <c r="N861" s="137" t="s">
        <v>2510</v>
      </c>
      <c r="O861" s="133" t="s">
        <v>1585</v>
      </c>
      <c r="P861" s="100" t="s">
        <v>1786</v>
      </c>
      <c r="Q861" s="100" t="s">
        <v>2790</v>
      </c>
      <c r="R861" s="226" t="s">
        <v>2792</v>
      </c>
      <c r="S861" s="491" t="str">
        <f t="shared" si="27"/>
        <v>x</v>
      </c>
      <c r="T861" s="492">
        <f>IFERROR(VLOOKUP(F861,'Freq-Chan'!C:D,2,FALSE),"x")</f>
        <v>151.57300000000001</v>
      </c>
      <c r="U861" s="110" t="s">
        <v>541</v>
      </c>
      <c r="V861" s="110" t="str">
        <f t="shared" si="28"/>
        <v>FWL</v>
      </c>
      <c r="W861" s="110" t="s">
        <v>541</v>
      </c>
      <c r="X861" s="110" t="s">
        <v>541</v>
      </c>
      <c r="Y861" s="110" t="str">
        <f>IFERROR(VLOOKUP(F861,'Freq-Chan'!C:E,3,FALSE),"na")</f>
        <v>F1840</v>
      </c>
      <c r="Z861" s="110" t="s">
        <v>541</v>
      </c>
      <c r="AA861" s="110" t="s">
        <v>541</v>
      </c>
      <c r="AB861" s="110" t="s">
        <v>541</v>
      </c>
      <c r="AC861" s="10" t="s">
        <v>541</v>
      </c>
      <c r="AD861" s="10" t="s">
        <v>541</v>
      </c>
    </row>
    <row r="862" spans="1:30" x14ac:dyDescent="0.2">
      <c r="A862" s="110">
        <v>861</v>
      </c>
      <c r="B862" s="132">
        <v>41835</v>
      </c>
      <c r="C862" s="117">
        <v>3</v>
      </c>
      <c r="D862" s="103" t="s">
        <v>2</v>
      </c>
      <c r="E862" s="103" t="s">
        <v>306</v>
      </c>
      <c r="F862" s="103">
        <v>875</v>
      </c>
      <c r="G862" s="103">
        <v>63</v>
      </c>
      <c r="H862" s="137" t="s">
        <v>1486</v>
      </c>
      <c r="I862" s="103">
        <v>83</v>
      </c>
      <c r="K862" s="103" t="s">
        <v>364</v>
      </c>
      <c r="L862" s="133">
        <v>0.40069444444444446</v>
      </c>
      <c r="M862" s="134">
        <v>5.6944444444444443E-2</v>
      </c>
      <c r="N862" s="137" t="s">
        <v>2777</v>
      </c>
      <c r="O862" s="133" t="s">
        <v>1663</v>
      </c>
      <c r="Q862" s="100" t="s">
        <v>2790</v>
      </c>
      <c r="R862" s="226" t="s">
        <v>2792</v>
      </c>
      <c r="S862" s="491">
        <f t="shared" si="27"/>
        <v>3.2175925999999998E-3</v>
      </c>
      <c r="T862" s="492">
        <f>IFERROR(VLOOKUP(F862,'Freq-Chan'!C:D,2,FALSE),"x")</f>
        <v>151.875</v>
      </c>
      <c r="U862" s="110" t="s">
        <v>541</v>
      </c>
      <c r="V862" s="110" t="str">
        <f t="shared" si="28"/>
        <v>FWL</v>
      </c>
      <c r="W862" s="110" t="s">
        <v>541</v>
      </c>
      <c r="X862" s="110" t="s">
        <v>541</v>
      </c>
      <c r="Y862" s="110" t="str">
        <f>IFERROR(VLOOKUP(F862,'Freq-Chan'!C:E,3,FALSE),"na")</f>
        <v>F1845</v>
      </c>
      <c r="Z862" s="110" t="s">
        <v>541</v>
      </c>
      <c r="AA862" s="110" t="s">
        <v>541</v>
      </c>
      <c r="AB862" s="110" t="s">
        <v>541</v>
      </c>
      <c r="AC862" s="10" t="s">
        <v>541</v>
      </c>
      <c r="AD862" s="10" t="s">
        <v>541</v>
      </c>
    </row>
    <row r="863" spans="1:30" x14ac:dyDescent="0.2">
      <c r="A863" s="110">
        <v>862</v>
      </c>
      <c r="B863" s="132">
        <v>41835</v>
      </c>
      <c r="C863" s="117">
        <v>3</v>
      </c>
      <c r="D863" s="103" t="s">
        <v>97</v>
      </c>
      <c r="E863" s="103" t="s">
        <v>798</v>
      </c>
      <c r="H863" s="103"/>
      <c r="J863" s="103">
        <v>14</v>
      </c>
      <c r="K863" s="103" t="s">
        <v>364</v>
      </c>
      <c r="L863" s="133"/>
      <c r="M863" s="134">
        <v>2.0833333333333332E-2</v>
      </c>
      <c r="N863" s="137" t="s">
        <v>2754</v>
      </c>
      <c r="O863" s="133" t="s">
        <v>1663</v>
      </c>
      <c r="Q863" s="100" t="s">
        <v>2790</v>
      </c>
      <c r="R863" s="226" t="s">
        <v>2792</v>
      </c>
      <c r="S863" s="491" t="str">
        <f t="shared" si="27"/>
        <v>x</v>
      </c>
      <c r="T863" s="492" t="str">
        <f>IFERROR(VLOOKUP(F863,'Freq-Chan'!C:D,2,FALSE),"x")</f>
        <v>x</v>
      </c>
      <c r="U863" s="110" t="s">
        <v>541</v>
      </c>
      <c r="V863" s="110" t="str">
        <f t="shared" si="28"/>
        <v>FWL</v>
      </c>
      <c r="W863" s="110" t="s">
        <v>541</v>
      </c>
      <c r="X863" s="110" t="s">
        <v>541</v>
      </c>
      <c r="Y863" s="110" t="str">
        <f>IFERROR(VLOOKUP(F863,'Freq-Chan'!C:E,3,FALSE),"na")</f>
        <v>na</v>
      </c>
      <c r="Z863" s="110" t="s">
        <v>541</v>
      </c>
      <c r="AA863" s="110" t="s">
        <v>541</v>
      </c>
      <c r="AB863" s="110" t="s">
        <v>541</v>
      </c>
      <c r="AC863" s="10" t="s">
        <v>541</v>
      </c>
      <c r="AD863" s="10" t="s">
        <v>541</v>
      </c>
    </row>
    <row r="864" spans="1:30" x14ac:dyDescent="0.2">
      <c r="A864" s="110">
        <v>863</v>
      </c>
      <c r="B864" s="132">
        <v>41835</v>
      </c>
      <c r="C864" s="117">
        <v>3</v>
      </c>
      <c r="D864" s="103" t="s">
        <v>2</v>
      </c>
      <c r="E864" s="103" t="s">
        <v>306</v>
      </c>
      <c r="H864" s="103"/>
      <c r="I864" s="103">
        <v>76</v>
      </c>
      <c r="K864" s="103" t="s">
        <v>364</v>
      </c>
      <c r="L864" s="133"/>
      <c r="M864" s="134">
        <v>6.8749999999999992E-2</v>
      </c>
      <c r="N864" s="137" t="s">
        <v>2778</v>
      </c>
      <c r="O864" s="133" t="s">
        <v>1875</v>
      </c>
      <c r="P864" s="100" t="s">
        <v>2779</v>
      </c>
      <c r="Q864" s="100" t="s">
        <v>2790</v>
      </c>
      <c r="R864" s="226" t="s">
        <v>2792</v>
      </c>
      <c r="S864" s="491" t="str">
        <f t="shared" si="27"/>
        <v>x</v>
      </c>
      <c r="T864" s="492" t="str">
        <f>IFERROR(VLOOKUP(F864,'Freq-Chan'!C:D,2,FALSE),"x")</f>
        <v>x</v>
      </c>
      <c r="U864" s="110" t="s">
        <v>541</v>
      </c>
      <c r="V864" s="110" t="str">
        <f t="shared" si="28"/>
        <v>FWL</v>
      </c>
      <c r="W864" s="110" t="s">
        <v>541</v>
      </c>
      <c r="X864" s="110" t="s">
        <v>541</v>
      </c>
      <c r="Y864" s="110" t="str">
        <f>IFERROR(VLOOKUP(F864,'Freq-Chan'!C:E,3,FALSE),"na")</f>
        <v>na</v>
      </c>
      <c r="Z864" s="110" t="s">
        <v>541</v>
      </c>
      <c r="AA864" s="110" t="s">
        <v>541</v>
      </c>
      <c r="AB864" s="110" t="s">
        <v>541</v>
      </c>
      <c r="AC864" s="10" t="s">
        <v>541</v>
      </c>
      <c r="AD864" s="10" t="s">
        <v>541</v>
      </c>
    </row>
    <row r="865" spans="1:30" x14ac:dyDescent="0.2">
      <c r="A865" s="110">
        <v>864</v>
      </c>
      <c r="B865" s="132">
        <v>41835</v>
      </c>
      <c r="C865" s="117">
        <v>3</v>
      </c>
      <c r="D865" s="103" t="s">
        <v>2</v>
      </c>
      <c r="E865" s="103" t="s">
        <v>306</v>
      </c>
      <c r="F865" s="103">
        <v>364</v>
      </c>
      <c r="G865" s="103">
        <v>30</v>
      </c>
      <c r="H865" s="137" t="s">
        <v>1485</v>
      </c>
      <c r="I865" s="103">
        <v>81</v>
      </c>
      <c r="K865" s="103" t="s">
        <v>364</v>
      </c>
      <c r="L865" s="133">
        <v>0.57152777777777775</v>
      </c>
      <c r="M865" s="134">
        <v>5.6250000000000001E-2</v>
      </c>
      <c r="N865" s="137" t="s">
        <v>2780</v>
      </c>
      <c r="O865" s="133" t="s">
        <v>1875</v>
      </c>
      <c r="P865" s="100" t="s">
        <v>2781</v>
      </c>
      <c r="Q865" s="100" t="s">
        <v>2790</v>
      </c>
      <c r="R865" s="226" t="s">
        <v>2792</v>
      </c>
      <c r="S865" s="491">
        <f t="shared" si="27"/>
        <v>3.2291667000000001E-3</v>
      </c>
      <c r="T865" s="492">
        <f>IFERROR(VLOOKUP(F865,'Freq-Chan'!C:D,2,FALSE),"x")</f>
        <v>151.364</v>
      </c>
      <c r="U865" s="110" t="s">
        <v>541</v>
      </c>
      <c r="V865" s="110" t="str">
        <f t="shared" si="28"/>
        <v>FWL</v>
      </c>
      <c r="W865" s="110" t="s">
        <v>541</v>
      </c>
      <c r="X865" s="110" t="s">
        <v>541</v>
      </c>
      <c r="Y865" s="110" t="str">
        <f>IFERROR(VLOOKUP(F865,'Freq-Chan'!C:E,3,FALSE),"na")</f>
        <v>F1845</v>
      </c>
      <c r="Z865" s="110" t="s">
        <v>541</v>
      </c>
      <c r="AA865" s="110" t="s">
        <v>541</v>
      </c>
      <c r="AB865" s="110" t="s">
        <v>541</v>
      </c>
      <c r="AC865" s="10" t="s">
        <v>541</v>
      </c>
      <c r="AD865" s="10" t="s">
        <v>541</v>
      </c>
    </row>
    <row r="866" spans="1:30" x14ac:dyDescent="0.2">
      <c r="A866" s="110">
        <v>865</v>
      </c>
      <c r="B866" s="132">
        <v>41835</v>
      </c>
      <c r="C866" s="117">
        <v>3</v>
      </c>
      <c r="D866" s="103" t="s">
        <v>90</v>
      </c>
      <c r="E866" s="103" t="s">
        <v>798</v>
      </c>
      <c r="H866" s="103" t="s">
        <v>1719</v>
      </c>
      <c r="J866" s="103">
        <v>29</v>
      </c>
      <c r="K866" s="103" t="s">
        <v>364</v>
      </c>
      <c r="L866" s="133"/>
      <c r="M866" s="134">
        <v>3.888888888888889E-2</v>
      </c>
      <c r="N866" s="137" t="s">
        <v>1800</v>
      </c>
      <c r="O866" s="133" t="s">
        <v>1875</v>
      </c>
      <c r="P866" s="100" t="s">
        <v>2782</v>
      </c>
      <c r="Q866" s="100" t="s">
        <v>2790</v>
      </c>
      <c r="R866" s="226" t="s">
        <v>2792</v>
      </c>
      <c r="S866" s="491" t="str">
        <f t="shared" si="27"/>
        <v>x</v>
      </c>
      <c r="T866" s="492" t="str">
        <f>IFERROR(VLOOKUP(F866,'Freq-Chan'!C:D,2,FALSE),"x")</f>
        <v>x</v>
      </c>
      <c r="U866" s="110" t="s">
        <v>541</v>
      </c>
      <c r="V866" s="110" t="str">
        <f t="shared" si="28"/>
        <v>FWL</v>
      </c>
      <c r="W866" s="110" t="s">
        <v>541</v>
      </c>
      <c r="X866" s="110" t="s">
        <v>541</v>
      </c>
      <c r="Y866" s="110" t="str">
        <f>IFERROR(VLOOKUP(F866,'Freq-Chan'!C:E,3,FALSE),"na")</f>
        <v>na</v>
      </c>
      <c r="Z866" s="110" t="s">
        <v>541</v>
      </c>
      <c r="AA866" s="110" t="s">
        <v>541</v>
      </c>
      <c r="AB866" s="110" t="s">
        <v>541</v>
      </c>
      <c r="AC866" s="10" t="s">
        <v>541</v>
      </c>
      <c r="AD866" s="10" t="s">
        <v>541</v>
      </c>
    </row>
    <row r="867" spans="1:30" x14ac:dyDescent="0.2">
      <c r="A867" s="110">
        <v>866</v>
      </c>
      <c r="B867" s="132">
        <v>41835</v>
      </c>
      <c r="C867" s="117">
        <v>3</v>
      </c>
      <c r="D867" s="103" t="s">
        <v>2</v>
      </c>
      <c r="E867" s="103" t="s">
        <v>306</v>
      </c>
      <c r="F867" s="103">
        <v>364</v>
      </c>
      <c r="G867" s="103">
        <v>21</v>
      </c>
      <c r="H867" s="137" t="s">
        <v>1487</v>
      </c>
      <c r="I867" s="103">
        <v>82</v>
      </c>
      <c r="K867" s="103" t="s">
        <v>1032</v>
      </c>
      <c r="L867" s="133">
        <v>0.72013888888888899</v>
      </c>
      <c r="M867" s="134">
        <v>6.3194444444444442E-2</v>
      </c>
      <c r="N867" s="137" t="s">
        <v>2783</v>
      </c>
      <c r="O867" s="133" t="s">
        <v>1585</v>
      </c>
      <c r="P867" s="100" t="s">
        <v>2784</v>
      </c>
      <c r="Q867" s="100" t="s">
        <v>2790</v>
      </c>
      <c r="R867" s="226" t="s">
        <v>2792</v>
      </c>
      <c r="S867" s="491">
        <f t="shared" si="27"/>
        <v>3.1134258999999998E-3</v>
      </c>
      <c r="T867" s="492">
        <f>IFERROR(VLOOKUP(F867,'Freq-Chan'!C:D,2,FALSE),"x")</f>
        <v>151.364</v>
      </c>
      <c r="U867" s="110" t="s">
        <v>541</v>
      </c>
      <c r="V867" s="110" t="str">
        <f t="shared" si="28"/>
        <v>FWL</v>
      </c>
      <c r="W867" s="110" t="s">
        <v>541</v>
      </c>
      <c r="X867" s="110" t="s">
        <v>541</v>
      </c>
      <c r="Y867" s="110" t="str">
        <f>IFERROR(VLOOKUP(F867,'Freq-Chan'!C:E,3,FALSE),"na")</f>
        <v>F1845</v>
      </c>
      <c r="Z867" s="110" t="s">
        <v>541</v>
      </c>
      <c r="AA867" s="110" t="s">
        <v>541</v>
      </c>
      <c r="AB867" s="110" t="s">
        <v>541</v>
      </c>
      <c r="AC867" s="10" t="s">
        <v>541</v>
      </c>
      <c r="AD867" s="10" t="s">
        <v>541</v>
      </c>
    </row>
    <row r="868" spans="1:30" x14ac:dyDescent="0.2">
      <c r="A868" s="110">
        <v>867</v>
      </c>
      <c r="B868" s="132">
        <v>41835</v>
      </c>
      <c r="C868" s="117">
        <v>3</v>
      </c>
      <c r="D868" s="103" t="s">
        <v>8</v>
      </c>
      <c r="E868" s="103" t="s">
        <v>0</v>
      </c>
      <c r="H868" s="103"/>
      <c r="I868" s="103">
        <v>34</v>
      </c>
      <c r="K868" s="103" t="s">
        <v>364</v>
      </c>
      <c r="L868" s="133">
        <v>0.73055555555555562</v>
      </c>
      <c r="M868" s="134">
        <v>1.7361111111111112E-2</v>
      </c>
      <c r="N868" s="137" t="s">
        <v>2785</v>
      </c>
      <c r="O868" s="133" t="s">
        <v>1585</v>
      </c>
      <c r="P868" s="100" t="s">
        <v>776</v>
      </c>
      <c r="Q868" s="100" t="s">
        <v>2790</v>
      </c>
      <c r="R868" s="226" t="s">
        <v>2792</v>
      </c>
      <c r="S868" s="491">
        <f t="shared" si="27"/>
        <v>1.099537E-3</v>
      </c>
      <c r="T868" s="492" t="str">
        <f>IFERROR(VLOOKUP(F868,'Freq-Chan'!C:D,2,FALSE),"x")</f>
        <v>x</v>
      </c>
      <c r="U868" s="110" t="s">
        <v>541</v>
      </c>
      <c r="V868" s="110" t="str">
        <f t="shared" si="28"/>
        <v>FWL</v>
      </c>
      <c r="W868" s="110" t="s">
        <v>541</v>
      </c>
      <c r="X868" s="110" t="s">
        <v>541</v>
      </c>
      <c r="Y868" s="110" t="str">
        <f>IFERROR(VLOOKUP(F868,'Freq-Chan'!C:E,3,FALSE),"na")</f>
        <v>na</v>
      </c>
      <c r="Z868" s="110" t="s">
        <v>541</v>
      </c>
      <c r="AA868" s="110" t="s">
        <v>541</v>
      </c>
      <c r="AB868" s="110" t="s">
        <v>541</v>
      </c>
      <c r="AC868" s="10" t="s">
        <v>541</v>
      </c>
      <c r="AD868" s="10" t="s">
        <v>541</v>
      </c>
    </row>
    <row r="869" spans="1:30" x14ac:dyDescent="0.2">
      <c r="A869" s="110">
        <v>868</v>
      </c>
      <c r="B869" s="132">
        <v>41835</v>
      </c>
      <c r="C869" s="117">
        <v>3</v>
      </c>
      <c r="D869" s="103" t="s">
        <v>2</v>
      </c>
      <c r="E869" s="103" t="s">
        <v>306</v>
      </c>
      <c r="F869" s="103">
        <v>875</v>
      </c>
      <c r="G869" s="103">
        <v>29</v>
      </c>
      <c r="H869" s="137" t="s">
        <v>1494</v>
      </c>
      <c r="I869" s="103">
        <v>94</v>
      </c>
      <c r="K869" s="103" t="s">
        <v>1032</v>
      </c>
      <c r="L869" s="133">
        <v>0.76944444444444438</v>
      </c>
      <c r="M869" s="134">
        <v>6.9444444444444434E-2</v>
      </c>
      <c r="N869" s="137" t="s">
        <v>1807</v>
      </c>
      <c r="O869" s="133" t="s">
        <v>803</v>
      </c>
      <c r="Q869" s="100" t="s">
        <v>2790</v>
      </c>
      <c r="R869" s="226" t="s">
        <v>2792</v>
      </c>
      <c r="S869" s="491">
        <f t="shared" si="27"/>
        <v>3.7037036999999998E-3</v>
      </c>
      <c r="T869" s="492">
        <f>IFERROR(VLOOKUP(F869,'Freq-Chan'!C:D,2,FALSE),"x")</f>
        <v>151.875</v>
      </c>
      <c r="U869" s="110" t="s">
        <v>541</v>
      </c>
      <c r="V869" s="110" t="str">
        <f t="shared" si="28"/>
        <v>FWL</v>
      </c>
      <c r="W869" s="110" t="s">
        <v>541</v>
      </c>
      <c r="X869" s="110" t="s">
        <v>541</v>
      </c>
      <c r="Y869" s="110" t="str">
        <f>IFERROR(VLOOKUP(F869,'Freq-Chan'!C:E,3,FALSE),"na")</f>
        <v>F1845</v>
      </c>
      <c r="Z869" s="110" t="s">
        <v>541</v>
      </c>
      <c r="AA869" s="110" t="s">
        <v>541</v>
      </c>
      <c r="AB869" s="110" t="s">
        <v>541</v>
      </c>
      <c r="AC869" s="10" t="s">
        <v>541</v>
      </c>
      <c r="AD869" s="10" t="s">
        <v>541</v>
      </c>
    </row>
    <row r="870" spans="1:30" x14ac:dyDescent="0.2">
      <c r="A870" s="110">
        <v>869</v>
      </c>
      <c r="B870" s="132">
        <v>41835</v>
      </c>
      <c r="C870" s="117">
        <v>3</v>
      </c>
      <c r="D870" s="103" t="s">
        <v>71</v>
      </c>
      <c r="E870" s="103" t="s">
        <v>306</v>
      </c>
      <c r="F870" s="103">
        <v>534</v>
      </c>
      <c r="G870" s="103">
        <v>76</v>
      </c>
      <c r="H870" s="137" t="s">
        <v>2297</v>
      </c>
      <c r="I870" s="103">
        <v>56</v>
      </c>
      <c r="K870" s="103" t="s">
        <v>364</v>
      </c>
      <c r="L870" s="133">
        <v>0.76944444444444438</v>
      </c>
      <c r="M870" s="134">
        <v>3.888888888888889E-2</v>
      </c>
      <c r="N870" s="137" t="s">
        <v>2786</v>
      </c>
      <c r="O870" s="133" t="s">
        <v>803</v>
      </c>
      <c r="Q870" s="100" t="s">
        <v>2790</v>
      </c>
      <c r="R870" s="226" t="s">
        <v>2792</v>
      </c>
      <c r="S870" s="491">
        <f t="shared" si="27"/>
        <v>9.7685185000000001E-3</v>
      </c>
      <c r="T870" s="492">
        <f>IFERROR(VLOOKUP(F870,'Freq-Chan'!C:D,2,FALSE),"x")</f>
        <v>151.53399999999999</v>
      </c>
      <c r="U870" s="110" t="s">
        <v>541</v>
      </c>
      <c r="V870" s="110" t="str">
        <f t="shared" si="28"/>
        <v>FWL</v>
      </c>
      <c r="W870" s="110" t="s">
        <v>541</v>
      </c>
      <c r="X870" s="110" t="s">
        <v>541</v>
      </c>
      <c r="Y870" s="110" t="str">
        <f>IFERROR(VLOOKUP(F870,'Freq-Chan'!C:E,3,FALSE),"na")</f>
        <v>F1840</v>
      </c>
      <c r="Z870" s="110" t="s">
        <v>541</v>
      </c>
      <c r="AA870" s="110" t="s">
        <v>541</v>
      </c>
      <c r="AB870" s="110" t="s">
        <v>541</v>
      </c>
      <c r="AC870" s="10" t="s">
        <v>541</v>
      </c>
      <c r="AD870" s="10" t="s">
        <v>541</v>
      </c>
    </row>
    <row r="871" spans="1:30" x14ac:dyDescent="0.2">
      <c r="A871" s="110">
        <v>870</v>
      </c>
      <c r="B871" s="132">
        <v>41835</v>
      </c>
      <c r="C871" s="117">
        <v>3</v>
      </c>
      <c r="D871" s="103" t="s">
        <v>2</v>
      </c>
      <c r="E871" s="103" t="s">
        <v>306</v>
      </c>
      <c r="F871" s="103">
        <v>917</v>
      </c>
      <c r="G871" s="103">
        <v>56</v>
      </c>
      <c r="H871" s="137" t="s">
        <v>1495</v>
      </c>
      <c r="I871" s="103">
        <v>86</v>
      </c>
      <c r="K871" s="103" t="s">
        <v>364</v>
      </c>
      <c r="L871" s="133">
        <v>0.82986111111111116</v>
      </c>
      <c r="M871" s="134">
        <v>5.9722222222222225E-2</v>
      </c>
      <c r="N871" s="137" t="s">
        <v>2787</v>
      </c>
      <c r="O871" s="133" t="s">
        <v>555</v>
      </c>
      <c r="P871" s="100" t="s">
        <v>2788</v>
      </c>
      <c r="Q871" s="100" t="s">
        <v>2790</v>
      </c>
      <c r="R871" s="226" t="s">
        <v>2792</v>
      </c>
      <c r="S871" s="491">
        <f t="shared" si="27"/>
        <v>3.8657407000000001E-3</v>
      </c>
      <c r="T871" s="492">
        <f>IFERROR(VLOOKUP(F871,'Freq-Chan'!C:D,2,FALSE),"x")</f>
        <v>151.917</v>
      </c>
      <c r="U871" s="110" t="s">
        <v>541</v>
      </c>
      <c r="V871" s="110" t="str">
        <f t="shared" si="28"/>
        <v>FWL</v>
      </c>
      <c r="W871" s="110" t="s">
        <v>541</v>
      </c>
      <c r="X871" s="110" t="s">
        <v>541</v>
      </c>
      <c r="Y871" s="110" t="str">
        <f>IFERROR(VLOOKUP(F871,'Freq-Chan'!C:E,3,FALSE),"na")</f>
        <v>F1835</v>
      </c>
      <c r="Z871" s="110" t="s">
        <v>541</v>
      </c>
      <c r="AA871" s="110" t="s">
        <v>541</v>
      </c>
      <c r="AB871" s="110" t="s">
        <v>541</v>
      </c>
      <c r="AC871" s="10" t="s">
        <v>541</v>
      </c>
      <c r="AD871" s="10" t="s">
        <v>541</v>
      </c>
    </row>
    <row r="872" spans="1:30" s="291" customFormat="1" x14ac:dyDescent="0.2">
      <c r="A872" s="493">
        <v>871</v>
      </c>
      <c r="B872" s="283">
        <v>41835</v>
      </c>
      <c r="C872" s="284">
        <v>3</v>
      </c>
      <c r="D872" s="285" t="s">
        <v>97</v>
      </c>
      <c r="E872" s="285" t="s">
        <v>798</v>
      </c>
      <c r="F872" s="285"/>
      <c r="G872" s="285"/>
      <c r="H872" s="285"/>
      <c r="I872" s="285"/>
      <c r="J872" s="285">
        <v>15</v>
      </c>
      <c r="K872" s="285" t="s">
        <v>364</v>
      </c>
      <c r="L872" s="286"/>
      <c r="M872" s="287"/>
      <c r="N872" s="339"/>
      <c r="O872" s="286" t="s">
        <v>1875</v>
      </c>
      <c r="P872" s="289" t="s">
        <v>2789</v>
      </c>
      <c r="Q872" s="289" t="s">
        <v>2790</v>
      </c>
      <c r="R872" s="290" t="s">
        <v>2792</v>
      </c>
      <c r="S872" s="494" t="str">
        <f t="shared" si="27"/>
        <v>x</v>
      </c>
      <c r="T872" s="495" t="str">
        <f>IFERROR(VLOOKUP(F872,'Freq-Chan'!C:D,2,FALSE),"x")</f>
        <v>x</v>
      </c>
      <c r="U872" s="493" t="s">
        <v>541</v>
      </c>
      <c r="V872" s="493" t="str">
        <f t="shared" si="28"/>
        <v>FWL</v>
      </c>
      <c r="W872" s="493" t="s">
        <v>541</v>
      </c>
      <c r="X872" s="493" t="s">
        <v>541</v>
      </c>
      <c r="Y872" s="493" t="str">
        <f>IFERROR(VLOOKUP(F872,'Freq-Chan'!C:E,3,FALSE),"na")</f>
        <v>na</v>
      </c>
      <c r="Z872" s="493" t="s">
        <v>541</v>
      </c>
      <c r="AA872" s="493" t="s">
        <v>541</v>
      </c>
      <c r="AB872" s="493" t="s">
        <v>541</v>
      </c>
      <c r="AC872" s="291" t="s">
        <v>541</v>
      </c>
      <c r="AD872" s="291" t="s">
        <v>541</v>
      </c>
    </row>
    <row r="873" spans="1:30" x14ac:dyDescent="0.2">
      <c r="A873" s="110">
        <v>872</v>
      </c>
      <c r="B873" s="132">
        <v>41836</v>
      </c>
      <c r="C873" s="117">
        <v>1</v>
      </c>
      <c r="D873" s="103" t="s">
        <v>2</v>
      </c>
      <c r="E873" s="103" t="s">
        <v>306</v>
      </c>
      <c r="F873" s="103">
        <v>875</v>
      </c>
      <c r="G873" s="103">
        <v>88</v>
      </c>
      <c r="H873" s="137" t="s">
        <v>1489</v>
      </c>
      <c r="I873" s="103">
        <v>78</v>
      </c>
      <c r="K873" s="103" t="s">
        <v>364</v>
      </c>
      <c r="L873" s="133"/>
      <c r="M873" s="134">
        <v>5.6250000000000001E-2</v>
      </c>
      <c r="N873" s="137" t="s">
        <v>2810</v>
      </c>
      <c r="O873" s="133" t="s">
        <v>1663</v>
      </c>
      <c r="P873" s="100" t="s">
        <v>1998</v>
      </c>
      <c r="Q873" s="100" t="s">
        <v>2800</v>
      </c>
      <c r="R873" s="226" t="s">
        <v>2822</v>
      </c>
      <c r="S873" s="491" t="str">
        <f t="shared" si="27"/>
        <v>x</v>
      </c>
      <c r="T873" s="492">
        <f>IFERROR(VLOOKUP(F873,'Freq-Chan'!C:D,2,FALSE),"x")</f>
        <v>151.875</v>
      </c>
      <c r="U873" s="110" t="s">
        <v>541</v>
      </c>
      <c r="V873" s="110" t="str">
        <f t="shared" si="28"/>
        <v>FWL</v>
      </c>
      <c r="W873" s="110" t="s">
        <v>541</v>
      </c>
      <c r="X873" s="110" t="s">
        <v>541</v>
      </c>
      <c r="Y873" s="110" t="str">
        <f>IFERROR(VLOOKUP(F873,'Freq-Chan'!C:E,3,FALSE),"na")</f>
        <v>F1845</v>
      </c>
      <c r="Z873" s="110" t="s">
        <v>541</v>
      </c>
      <c r="AA873" s="110" t="s">
        <v>541</v>
      </c>
      <c r="AB873" s="110" t="s">
        <v>541</v>
      </c>
      <c r="AC873" s="10" t="s">
        <v>541</v>
      </c>
      <c r="AD873" s="10" t="s">
        <v>541</v>
      </c>
    </row>
    <row r="874" spans="1:30" x14ac:dyDescent="0.2">
      <c r="A874" s="110">
        <v>873</v>
      </c>
      <c r="B874" s="132">
        <v>41836</v>
      </c>
      <c r="C874" s="117">
        <v>1</v>
      </c>
      <c r="D874" s="103" t="s">
        <v>2</v>
      </c>
      <c r="E874" s="103" t="s">
        <v>306</v>
      </c>
      <c r="F874" s="103">
        <v>875</v>
      </c>
      <c r="G874" s="103">
        <v>46</v>
      </c>
      <c r="H874" s="137" t="s">
        <v>1490</v>
      </c>
      <c r="I874" s="103">
        <v>63</v>
      </c>
      <c r="K874" s="103" t="s">
        <v>364</v>
      </c>
      <c r="L874" s="133">
        <v>0.25833333333333336</v>
      </c>
      <c r="M874" s="134">
        <v>2.6388888888888889E-2</v>
      </c>
      <c r="N874" s="137" t="s">
        <v>2002</v>
      </c>
      <c r="O874" s="133" t="s">
        <v>803</v>
      </c>
      <c r="Q874" s="100" t="s">
        <v>2800</v>
      </c>
      <c r="R874" s="226" t="s">
        <v>2822</v>
      </c>
      <c r="S874" s="491">
        <f t="shared" si="27"/>
        <v>3.0324074000000001E-3</v>
      </c>
      <c r="T874" s="492">
        <f>IFERROR(VLOOKUP(F874,'Freq-Chan'!C:D,2,FALSE),"x")</f>
        <v>151.875</v>
      </c>
      <c r="U874" s="110" t="s">
        <v>541</v>
      </c>
      <c r="V874" s="110" t="str">
        <f t="shared" si="28"/>
        <v>FWL</v>
      </c>
      <c r="W874" s="110" t="s">
        <v>541</v>
      </c>
      <c r="X874" s="110" t="s">
        <v>541</v>
      </c>
      <c r="Y874" s="110" t="str">
        <f>IFERROR(VLOOKUP(F874,'Freq-Chan'!C:E,3,FALSE),"na")</f>
        <v>F1845</v>
      </c>
      <c r="Z874" s="110" t="s">
        <v>541</v>
      </c>
      <c r="AA874" s="110" t="s">
        <v>541</v>
      </c>
      <c r="AB874" s="110" t="s">
        <v>541</v>
      </c>
      <c r="AC874" s="10" t="s">
        <v>541</v>
      </c>
      <c r="AD874" s="10" t="s">
        <v>541</v>
      </c>
    </row>
    <row r="875" spans="1:30" x14ac:dyDescent="0.2">
      <c r="A875" s="110">
        <v>874</v>
      </c>
      <c r="B875" s="132">
        <v>41836</v>
      </c>
      <c r="C875" s="117">
        <v>1</v>
      </c>
      <c r="D875" s="103" t="s">
        <v>177</v>
      </c>
      <c r="E875" s="103" t="s">
        <v>0</v>
      </c>
      <c r="F875" s="103">
        <v>917</v>
      </c>
      <c r="G875" s="103">
        <v>83</v>
      </c>
      <c r="H875" s="137" t="s">
        <v>1491</v>
      </c>
      <c r="I875" s="103">
        <v>41</v>
      </c>
      <c r="K875" s="103" t="s">
        <v>364</v>
      </c>
      <c r="L875" s="133"/>
      <c r="M875" s="134">
        <v>5.347222222222222E-2</v>
      </c>
      <c r="N875" s="137" t="s">
        <v>2811</v>
      </c>
      <c r="O875" s="133" t="s">
        <v>1875</v>
      </c>
      <c r="Q875" s="100" t="s">
        <v>2800</v>
      </c>
      <c r="R875" s="226" t="s">
        <v>2822</v>
      </c>
      <c r="S875" s="491" t="str">
        <f t="shared" si="27"/>
        <v>x</v>
      </c>
      <c r="T875" s="492">
        <f>IFERROR(VLOOKUP(F875,'Freq-Chan'!C:D,2,FALSE),"x")</f>
        <v>151.917</v>
      </c>
      <c r="U875" s="110" t="s">
        <v>541</v>
      </c>
      <c r="V875" s="110" t="str">
        <f t="shared" si="28"/>
        <v>FWL</v>
      </c>
      <c r="W875" s="110" t="s">
        <v>541</v>
      </c>
      <c r="X875" s="110" t="s">
        <v>541</v>
      </c>
      <c r="Y875" s="110" t="str">
        <f>IFERROR(VLOOKUP(F875,'Freq-Chan'!C:E,3,FALSE),"na")</f>
        <v>F1835</v>
      </c>
      <c r="Z875" s="110" t="s">
        <v>541</v>
      </c>
      <c r="AA875" s="110" t="s">
        <v>541</v>
      </c>
      <c r="AB875" s="110" t="s">
        <v>541</v>
      </c>
      <c r="AC875" s="10" t="s">
        <v>541</v>
      </c>
      <c r="AD875" s="10" t="s">
        <v>541</v>
      </c>
    </row>
    <row r="876" spans="1:30" s="291" customFormat="1" x14ac:dyDescent="0.2">
      <c r="A876" s="493">
        <v>875</v>
      </c>
      <c r="B876" s="283">
        <v>41836</v>
      </c>
      <c r="C876" s="284">
        <v>1</v>
      </c>
      <c r="D876" s="285" t="s">
        <v>75</v>
      </c>
      <c r="E876" s="285" t="s">
        <v>798</v>
      </c>
      <c r="F876" s="285"/>
      <c r="G876" s="285"/>
      <c r="H876" s="285"/>
      <c r="I876" s="285"/>
      <c r="J876" s="285">
        <v>24</v>
      </c>
      <c r="K876" s="285" t="s">
        <v>364</v>
      </c>
      <c r="L876" s="286"/>
      <c r="M876" s="287">
        <v>2.4305555555555556E-2</v>
      </c>
      <c r="N876" s="339" t="s">
        <v>2812</v>
      </c>
      <c r="O876" s="286" t="s">
        <v>802</v>
      </c>
      <c r="P876" s="289"/>
      <c r="Q876" s="289" t="s">
        <v>2800</v>
      </c>
      <c r="R876" s="290" t="s">
        <v>2822</v>
      </c>
      <c r="S876" s="494" t="str">
        <f t="shared" si="27"/>
        <v>x</v>
      </c>
      <c r="T876" s="495" t="str">
        <f>IFERROR(VLOOKUP(F876,'Freq-Chan'!C:D,2,FALSE),"x")</f>
        <v>x</v>
      </c>
      <c r="U876" s="493" t="s">
        <v>541</v>
      </c>
      <c r="V876" s="493" t="str">
        <f t="shared" si="28"/>
        <v>FWL</v>
      </c>
      <c r="W876" s="493" t="s">
        <v>541</v>
      </c>
      <c r="X876" s="493" t="s">
        <v>541</v>
      </c>
      <c r="Y876" s="493" t="str">
        <f>IFERROR(VLOOKUP(F876,'Freq-Chan'!C:E,3,FALSE),"na")</f>
        <v>na</v>
      </c>
      <c r="Z876" s="493" t="s">
        <v>541</v>
      </c>
      <c r="AA876" s="493" t="s">
        <v>541</v>
      </c>
      <c r="AB876" s="493" t="s">
        <v>541</v>
      </c>
      <c r="AC876" s="291" t="s">
        <v>541</v>
      </c>
      <c r="AD876" s="291" t="s">
        <v>541</v>
      </c>
    </row>
    <row r="877" spans="1:30" x14ac:dyDescent="0.2">
      <c r="A877" s="110">
        <v>876</v>
      </c>
      <c r="B877" s="132">
        <v>41836</v>
      </c>
      <c r="C877" s="117">
        <v>2</v>
      </c>
      <c r="D877" s="103" t="s">
        <v>177</v>
      </c>
      <c r="E877" s="103" t="s">
        <v>0</v>
      </c>
      <c r="H877" s="103"/>
      <c r="I877" s="103">
        <v>33</v>
      </c>
      <c r="K877" s="103" t="s">
        <v>364</v>
      </c>
      <c r="L877" s="133"/>
      <c r="M877" s="134">
        <v>1.3888888888888888E-2</v>
      </c>
      <c r="N877" s="137" t="s">
        <v>1932</v>
      </c>
      <c r="O877" s="133" t="s">
        <v>803</v>
      </c>
      <c r="P877" s="100" t="s">
        <v>1977</v>
      </c>
      <c r="Q877" s="100" t="s">
        <v>2804</v>
      </c>
      <c r="R877" s="226" t="s">
        <v>2822</v>
      </c>
      <c r="S877" s="491" t="str">
        <f t="shared" si="27"/>
        <v>x</v>
      </c>
      <c r="T877" s="492" t="str">
        <f>IFERROR(VLOOKUP(F877,'Freq-Chan'!C:D,2,FALSE),"x")</f>
        <v>x</v>
      </c>
      <c r="U877" s="110" t="s">
        <v>541</v>
      </c>
      <c r="V877" s="110" t="str">
        <f t="shared" si="28"/>
        <v>FWL</v>
      </c>
      <c r="W877" s="110" t="s">
        <v>541</v>
      </c>
      <c r="X877" s="110" t="s">
        <v>541</v>
      </c>
      <c r="Y877" s="110" t="str">
        <f>IFERROR(VLOOKUP(F877,'Freq-Chan'!C:E,3,FALSE),"na")</f>
        <v>na</v>
      </c>
      <c r="Z877" s="110" t="s">
        <v>541</v>
      </c>
      <c r="AA877" s="110" t="s">
        <v>541</v>
      </c>
      <c r="AB877" s="110" t="s">
        <v>541</v>
      </c>
      <c r="AC877" s="10" t="s">
        <v>541</v>
      </c>
      <c r="AD877" s="10" t="s">
        <v>541</v>
      </c>
    </row>
    <row r="878" spans="1:30" x14ac:dyDescent="0.2">
      <c r="A878" s="110">
        <v>877</v>
      </c>
      <c r="B878" s="132">
        <v>41836</v>
      </c>
      <c r="C878" s="117">
        <v>2</v>
      </c>
      <c r="D878" s="103" t="s">
        <v>8</v>
      </c>
      <c r="E878" s="103" t="s">
        <v>306</v>
      </c>
      <c r="F878" s="103">
        <v>586</v>
      </c>
      <c r="G878" s="103">
        <v>41</v>
      </c>
      <c r="H878" s="137" t="s">
        <v>2114</v>
      </c>
      <c r="I878" s="103">
        <v>55</v>
      </c>
      <c r="K878" s="103" t="s">
        <v>364</v>
      </c>
      <c r="L878" s="133"/>
      <c r="M878" s="134">
        <v>6.1805555555555558E-2</v>
      </c>
      <c r="N878" s="137" t="s">
        <v>2813</v>
      </c>
      <c r="O878" s="133" t="s">
        <v>803</v>
      </c>
      <c r="P878" s="100" t="s">
        <v>1998</v>
      </c>
      <c r="Q878" s="100" t="s">
        <v>2804</v>
      </c>
      <c r="R878" s="226" t="s">
        <v>2822</v>
      </c>
      <c r="S878" s="491" t="str">
        <f t="shared" si="27"/>
        <v>x</v>
      </c>
      <c r="T878" s="492">
        <f>IFERROR(VLOOKUP(F878,'Freq-Chan'!C:D,2,FALSE),"x")</f>
        <v>151.58600000000001</v>
      </c>
      <c r="U878" s="110" t="s">
        <v>541</v>
      </c>
      <c r="V878" s="110" t="str">
        <f t="shared" si="28"/>
        <v>FWL</v>
      </c>
      <c r="W878" s="110" t="s">
        <v>541</v>
      </c>
      <c r="X878" s="110" t="s">
        <v>541</v>
      </c>
      <c r="Y878" s="110" t="str">
        <f>IFERROR(VLOOKUP(F878,'Freq-Chan'!C:E,3,FALSE),"na")</f>
        <v>F1840</v>
      </c>
      <c r="Z878" s="110" t="s">
        <v>541</v>
      </c>
      <c r="AA878" s="110" t="s">
        <v>541</v>
      </c>
      <c r="AB878" s="110" t="s">
        <v>541</v>
      </c>
      <c r="AC878" s="10" t="s">
        <v>541</v>
      </c>
      <c r="AD878" s="10" t="s">
        <v>541</v>
      </c>
    </row>
    <row r="879" spans="1:30" x14ac:dyDescent="0.2">
      <c r="A879" s="110">
        <v>878</v>
      </c>
      <c r="B879" s="132">
        <v>41836</v>
      </c>
      <c r="C879" s="117">
        <v>2</v>
      </c>
      <c r="D879" s="103" t="s">
        <v>71</v>
      </c>
      <c r="E879" s="103" t="s">
        <v>306</v>
      </c>
      <c r="F879" s="103">
        <v>564</v>
      </c>
      <c r="G879" s="103">
        <v>41</v>
      </c>
      <c r="H879" s="137" t="s">
        <v>2292</v>
      </c>
      <c r="I879" s="103">
        <v>65</v>
      </c>
      <c r="K879" s="103" t="s">
        <v>364</v>
      </c>
      <c r="L879" s="133"/>
      <c r="M879" s="134">
        <v>5.347222222222222E-2</v>
      </c>
      <c r="N879" s="137" t="s">
        <v>708</v>
      </c>
      <c r="O879" s="133" t="s">
        <v>1875</v>
      </c>
      <c r="P879" s="100" t="s">
        <v>2824</v>
      </c>
      <c r="Q879" s="100" t="s">
        <v>2804</v>
      </c>
      <c r="R879" s="226" t="s">
        <v>2822</v>
      </c>
      <c r="S879" s="491" t="str">
        <f t="shared" si="27"/>
        <v>x</v>
      </c>
      <c r="T879" s="492">
        <f>IFERROR(VLOOKUP(F879,'Freq-Chan'!C:D,2,FALSE),"x")</f>
        <v>151.56399999999999</v>
      </c>
      <c r="U879" s="110" t="s">
        <v>541</v>
      </c>
      <c r="V879" s="110" t="str">
        <f t="shared" si="28"/>
        <v>FWL</v>
      </c>
      <c r="W879" s="110" t="s">
        <v>541</v>
      </c>
      <c r="X879" s="110" t="s">
        <v>541</v>
      </c>
      <c r="Y879" s="110" t="str">
        <f>IFERROR(VLOOKUP(F879,'Freq-Chan'!C:E,3,FALSE),"na")</f>
        <v>F1840</v>
      </c>
      <c r="Z879" s="110" t="s">
        <v>541</v>
      </c>
      <c r="AA879" s="110" t="s">
        <v>541</v>
      </c>
      <c r="AB879" s="110" t="s">
        <v>541</v>
      </c>
      <c r="AC879" s="10" t="s">
        <v>541</v>
      </c>
      <c r="AD879" s="10" t="s">
        <v>541</v>
      </c>
    </row>
    <row r="880" spans="1:30" s="291" customFormat="1" x14ac:dyDescent="0.2">
      <c r="A880" s="493">
        <v>879</v>
      </c>
      <c r="B880" s="283">
        <v>41836</v>
      </c>
      <c r="C880" s="284">
        <v>2</v>
      </c>
      <c r="D880" s="285" t="s">
        <v>91</v>
      </c>
      <c r="E880" s="285" t="s">
        <v>798</v>
      </c>
      <c r="F880" s="285"/>
      <c r="G880" s="285"/>
      <c r="H880" s="285"/>
      <c r="I880" s="285"/>
      <c r="J880" s="285">
        <v>26</v>
      </c>
      <c r="K880" s="285" t="s">
        <v>364</v>
      </c>
      <c r="L880" s="286"/>
      <c r="M880" s="287">
        <v>1.0416666666666666E-2</v>
      </c>
      <c r="N880" s="339" t="s">
        <v>1581</v>
      </c>
      <c r="O880" s="286" t="s">
        <v>803</v>
      </c>
      <c r="P880" s="289"/>
      <c r="Q880" s="289" t="s">
        <v>2804</v>
      </c>
      <c r="R880" s="290" t="s">
        <v>2822</v>
      </c>
      <c r="S880" s="494" t="str">
        <f t="shared" si="27"/>
        <v>x</v>
      </c>
      <c r="T880" s="495" t="str">
        <f>IFERROR(VLOOKUP(F880,'Freq-Chan'!C:D,2,FALSE),"x")</f>
        <v>x</v>
      </c>
      <c r="U880" s="493" t="s">
        <v>541</v>
      </c>
      <c r="V880" s="493" t="str">
        <f t="shared" si="28"/>
        <v>FWL</v>
      </c>
      <c r="W880" s="493" t="s">
        <v>541</v>
      </c>
      <c r="X880" s="493" t="s">
        <v>541</v>
      </c>
      <c r="Y880" s="493" t="str">
        <f>IFERROR(VLOOKUP(F880,'Freq-Chan'!C:E,3,FALSE),"na")</f>
        <v>na</v>
      </c>
      <c r="Z880" s="493" t="s">
        <v>541</v>
      </c>
      <c r="AA880" s="493" t="s">
        <v>541</v>
      </c>
      <c r="AB880" s="493" t="s">
        <v>541</v>
      </c>
      <c r="AC880" s="291" t="s">
        <v>541</v>
      </c>
      <c r="AD880" s="291" t="s">
        <v>541</v>
      </c>
    </row>
    <row r="881" spans="1:30" x14ac:dyDescent="0.2">
      <c r="A881" s="110">
        <v>880</v>
      </c>
      <c r="B881" s="132">
        <v>41836</v>
      </c>
      <c r="C881" s="117">
        <v>3</v>
      </c>
      <c r="D881" s="103" t="s">
        <v>2</v>
      </c>
      <c r="E881" s="103" t="s">
        <v>306</v>
      </c>
      <c r="F881" s="103">
        <v>917</v>
      </c>
      <c r="G881" s="103">
        <v>59</v>
      </c>
      <c r="H881" s="137" t="s">
        <v>1496</v>
      </c>
      <c r="I881" s="103">
        <v>98</v>
      </c>
      <c r="K881" s="103" t="s">
        <v>364</v>
      </c>
      <c r="L881" s="133"/>
      <c r="M881" s="134">
        <v>0.12986111111111112</v>
      </c>
      <c r="N881" s="137" t="s">
        <v>1975</v>
      </c>
      <c r="O881" s="133" t="s">
        <v>1585</v>
      </c>
      <c r="P881" s="100" t="s">
        <v>2817</v>
      </c>
      <c r="Q881" s="100" t="s">
        <v>2798</v>
      </c>
      <c r="R881" s="226" t="s">
        <v>2822</v>
      </c>
      <c r="S881" s="491" t="str">
        <f t="shared" si="27"/>
        <v>x</v>
      </c>
      <c r="T881" s="492">
        <f>IFERROR(VLOOKUP(F881,'Freq-Chan'!C:D,2,FALSE),"x")</f>
        <v>151.917</v>
      </c>
      <c r="U881" s="110" t="s">
        <v>541</v>
      </c>
      <c r="V881" s="110" t="str">
        <f t="shared" si="28"/>
        <v>FWL</v>
      </c>
      <c r="W881" s="110" t="s">
        <v>541</v>
      </c>
      <c r="X881" s="110" t="s">
        <v>541</v>
      </c>
      <c r="Y881" s="110" t="str">
        <f>IFERROR(VLOOKUP(F881,'Freq-Chan'!C:E,3,FALSE),"na")</f>
        <v>F1835</v>
      </c>
      <c r="Z881" s="110" t="s">
        <v>541</v>
      </c>
      <c r="AA881" s="110" t="s">
        <v>541</v>
      </c>
      <c r="AB881" s="110" t="s">
        <v>541</v>
      </c>
      <c r="AC881" s="10" t="s">
        <v>541</v>
      </c>
      <c r="AD881" s="10" t="s">
        <v>541</v>
      </c>
    </row>
    <row r="882" spans="1:30" x14ac:dyDescent="0.2">
      <c r="A882" s="110">
        <v>881</v>
      </c>
      <c r="B882" s="132">
        <v>41836</v>
      </c>
      <c r="C882" s="117">
        <v>3</v>
      </c>
      <c r="D882" s="103" t="s">
        <v>177</v>
      </c>
      <c r="E882" s="103" t="s">
        <v>0</v>
      </c>
      <c r="H882" s="103"/>
      <c r="I882" s="103">
        <v>37</v>
      </c>
      <c r="K882" s="103" t="s">
        <v>364</v>
      </c>
      <c r="L882" s="133"/>
      <c r="M882" s="134">
        <v>1.8749999999999999E-2</v>
      </c>
      <c r="N882" s="137" t="s">
        <v>2814</v>
      </c>
      <c r="O882" s="133" t="s">
        <v>1532</v>
      </c>
      <c r="P882" s="100" t="s">
        <v>776</v>
      </c>
      <c r="Q882" s="100" t="s">
        <v>2798</v>
      </c>
      <c r="R882" s="226" t="s">
        <v>2822</v>
      </c>
      <c r="S882" s="491" t="str">
        <f t="shared" si="27"/>
        <v>x</v>
      </c>
      <c r="T882" s="492" t="str">
        <f>IFERROR(VLOOKUP(F882,'Freq-Chan'!C:D,2,FALSE),"x")</f>
        <v>x</v>
      </c>
      <c r="U882" s="110" t="s">
        <v>541</v>
      </c>
      <c r="V882" s="110" t="str">
        <f t="shared" si="28"/>
        <v>FWL</v>
      </c>
      <c r="W882" s="110" t="s">
        <v>541</v>
      </c>
      <c r="X882" s="110" t="s">
        <v>541</v>
      </c>
      <c r="Y882" s="110" t="str">
        <f>IFERROR(VLOOKUP(F882,'Freq-Chan'!C:E,3,FALSE),"na")</f>
        <v>na</v>
      </c>
      <c r="Z882" s="110" t="s">
        <v>541</v>
      </c>
      <c r="AA882" s="110" t="s">
        <v>541</v>
      </c>
      <c r="AB882" s="110" t="s">
        <v>541</v>
      </c>
      <c r="AC882" s="10" t="s">
        <v>541</v>
      </c>
      <c r="AD882" s="10" t="s">
        <v>541</v>
      </c>
    </row>
    <row r="883" spans="1:30" x14ac:dyDescent="0.2">
      <c r="A883" s="110">
        <v>882</v>
      </c>
      <c r="B883" s="132">
        <v>41836</v>
      </c>
      <c r="C883" s="117">
        <v>3</v>
      </c>
      <c r="D883" s="103" t="s">
        <v>2</v>
      </c>
      <c r="E883" s="103" t="s">
        <v>306</v>
      </c>
      <c r="F883" s="103">
        <v>917</v>
      </c>
      <c r="G883" s="103">
        <v>49</v>
      </c>
      <c r="H883" s="137" t="s">
        <v>1497</v>
      </c>
      <c r="I883" s="103">
        <v>51</v>
      </c>
      <c r="K883" s="103" t="s">
        <v>364</v>
      </c>
      <c r="L883" s="133"/>
      <c r="M883" s="134">
        <v>4.8611111111111112E-2</v>
      </c>
      <c r="N883" s="137" t="s">
        <v>2815</v>
      </c>
      <c r="O883" s="133" t="s">
        <v>1532</v>
      </c>
      <c r="Q883" s="100" t="s">
        <v>2798</v>
      </c>
      <c r="R883" s="226" t="s">
        <v>2822</v>
      </c>
      <c r="S883" s="491" t="str">
        <f t="shared" si="27"/>
        <v>x</v>
      </c>
      <c r="T883" s="492">
        <f>IFERROR(VLOOKUP(F883,'Freq-Chan'!C:D,2,FALSE),"x")</f>
        <v>151.917</v>
      </c>
      <c r="U883" s="110" t="s">
        <v>541</v>
      </c>
      <c r="V883" s="110" t="str">
        <f t="shared" si="28"/>
        <v>FWL</v>
      </c>
      <c r="W883" s="110" t="s">
        <v>541</v>
      </c>
      <c r="X883" s="110" t="s">
        <v>541</v>
      </c>
      <c r="Y883" s="110" t="str">
        <f>IFERROR(VLOOKUP(F883,'Freq-Chan'!C:E,3,FALSE),"na")</f>
        <v>F1835</v>
      </c>
      <c r="Z883" s="110" t="s">
        <v>541</v>
      </c>
      <c r="AA883" s="110" t="s">
        <v>541</v>
      </c>
      <c r="AB883" s="110" t="s">
        <v>541</v>
      </c>
      <c r="AC883" s="10" t="s">
        <v>541</v>
      </c>
      <c r="AD883" s="10" t="s">
        <v>541</v>
      </c>
    </row>
    <row r="884" spans="1:30" x14ac:dyDescent="0.2">
      <c r="A884" s="110">
        <v>883</v>
      </c>
      <c r="B884" s="132">
        <v>41836</v>
      </c>
      <c r="C884" s="117">
        <v>3</v>
      </c>
      <c r="D884" s="103" t="s">
        <v>75</v>
      </c>
      <c r="E884" s="103" t="s">
        <v>798</v>
      </c>
      <c r="H884" s="103"/>
      <c r="J884" s="103">
        <v>26</v>
      </c>
      <c r="K884" s="103" t="s">
        <v>364</v>
      </c>
      <c r="L884" s="133"/>
      <c r="M884" s="134">
        <v>9.7222222222222224E-3</v>
      </c>
      <c r="N884" s="137" t="s">
        <v>2816</v>
      </c>
      <c r="O884" s="133" t="s">
        <v>1663</v>
      </c>
      <c r="Q884" s="100" t="s">
        <v>2798</v>
      </c>
      <c r="R884" s="226" t="s">
        <v>2822</v>
      </c>
      <c r="S884" s="491" t="str">
        <f t="shared" si="27"/>
        <v>x</v>
      </c>
      <c r="T884" s="492" t="str">
        <f>IFERROR(VLOOKUP(F884,'Freq-Chan'!C:D,2,FALSE),"x")</f>
        <v>x</v>
      </c>
      <c r="U884" s="110" t="s">
        <v>541</v>
      </c>
      <c r="V884" s="110" t="str">
        <f t="shared" si="28"/>
        <v>FWL</v>
      </c>
      <c r="W884" s="110" t="s">
        <v>541</v>
      </c>
      <c r="X884" s="110" t="s">
        <v>541</v>
      </c>
      <c r="Y884" s="110" t="str">
        <f>IFERROR(VLOOKUP(F884,'Freq-Chan'!C:E,3,FALSE),"na")</f>
        <v>na</v>
      </c>
      <c r="Z884" s="110" t="s">
        <v>541</v>
      </c>
      <c r="AA884" s="110" t="s">
        <v>541</v>
      </c>
      <c r="AB884" s="110" t="s">
        <v>541</v>
      </c>
      <c r="AC884" s="10" t="s">
        <v>541</v>
      </c>
      <c r="AD884" s="10" t="s">
        <v>541</v>
      </c>
    </row>
    <row r="885" spans="1:30" s="291" customFormat="1" x14ac:dyDescent="0.2">
      <c r="A885" s="493">
        <v>884</v>
      </c>
      <c r="B885" s="283">
        <v>41836</v>
      </c>
      <c r="C885" s="284">
        <v>3</v>
      </c>
      <c r="D885" s="285" t="s">
        <v>2</v>
      </c>
      <c r="E885" s="285" t="s">
        <v>306</v>
      </c>
      <c r="F885" s="285">
        <v>917</v>
      </c>
      <c r="G885" s="285">
        <v>63</v>
      </c>
      <c r="H885" s="339" t="s">
        <v>1498</v>
      </c>
      <c r="I885" s="285">
        <v>83</v>
      </c>
      <c r="J885" s="285"/>
      <c r="K885" s="285" t="s">
        <v>364</v>
      </c>
      <c r="L885" s="286">
        <v>0.96805555555555556</v>
      </c>
      <c r="M885" s="287">
        <v>0.12222222222222223</v>
      </c>
      <c r="N885" s="339" t="s">
        <v>2601</v>
      </c>
      <c r="O885" s="286" t="s">
        <v>555</v>
      </c>
      <c r="P885" s="289" t="s">
        <v>2818</v>
      </c>
      <c r="Q885" s="289" t="s">
        <v>2798</v>
      </c>
      <c r="R885" s="290" t="s">
        <v>2822</v>
      </c>
      <c r="S885" s="494">
        <f t="shared" si="27"/>
        <v>8.3796296000000006E-3</v>
      </c>
      <c r="T885" s="495">
        <f>IFERROR(VLOOKUP(F885,'Freq-Chan'!C:D,2,FALSE),"x")</f>
        <v>151.917</v>
      </c>
      <c r="U885" s="493" t="s">
        <v>541</v>
      </c>
      <c r="V885" s="493" t="str">
        <f t="shared" si="28"/>
        <v>FWL</v>
      </c>
      <c r="W885" s="493" t="s">
        <v>541</v>
      </c>
      <c r="X885" s="493" t="s">
        <v>541</v>
      </c>
      <c r="Y885" s="493" t="str">
        <f>IFERROR(VLOOKUP(F885,'Freq-Chan'!C:E,3,FALSE),"na")</f>
        <v>F1835</v>
      </c>
      <c r="Z885" s="493" t="s">
        <v>541</v>
      </c>
      <c r="AA885" s="493" t="s">
        <v>541</v>
      </c>
      <c r="AB885" s="493" t="s">
        <v>541</v>
      </c>
      <c r="AC885" s="291" t="s">
        <v>541</v>
      </c>
      <c r="AD885" s="291" t="s">
        <v>541</v>
      </c>
    </row>
    <row r="886" spans="1:30" x14ac:dyDescent="0.2">
      <c r="A886" s="110">
        <v>885</v>
      </c>
      <c r="B886" s="132">
        <v>41837</v>
      </c>
      <c r="C886" s="117">
        <v>1</v>
      </c>
      <c r="D886" s="103" t="s">
        <v>2</v>
      </c>
      <c r="E886" s="103" t="s">
        <v>306</v>
      </c>
      <c r="F886" s="103">
        <v>875</v>
      </c>
      <c r="G886" s="103">
        <v>14</v>
      </c>
      <c r="H886" s="137" t="s">
        <v>1492</v>
      </c>
      <c r="I886" s="103">
        <v>63</v>
      </c>
      <c r="K886" s="103" t="s">
        <v>364</v>
      </c>
      <c r="L886" s="133"/>
      <c r="M886" s="134">
        <v>4.1666666666666664E-2</v>
      </c>
      <c r="N886" s="137" t="s">
        <v>1630</v>
      </c>
      <c r="O886" s="133" t="s">
        <v>1663</v>
      </c>
      <c r="P886" s="100" t="s">
        <v>2843</v>
      </c>
      <c r="Q886" s="100" t="s">
        <v>2831</v>
      </c>
      <c r="R886" s="226" t="s">
        <v>2864</v>
      </c>
      <c r="S886" s="491" t="str">
        <f t="shared" si="27"/>
        <v>x</v>
      </c>
      <c r="T886" s="492">
        <f>IFERROR(VLOOKUP(F886,'Freq-Chan'!C:D,2,FALSE),"x")</f>
        <v>151.875</v>
      </c>
      <c r="U886" s="110" t="s">
        <v>541</v>
      </c>
      <c r="V886" s="110" t="str">
        <f t="shared" si="28"/>
        <v>FWL</v>
      </c>
      <c r="W886" s="110" t="s">
        <v>541</v>
      </c>
      <c r="X886" s="110" t="s">
        <v>541</v>
      </c>
      <c r="Y886" s="110" t="str">
        <f>IFERROR(VLOOKUP(F886,'Freq-Chan'!C:E,3,FALSE),"na")</f>
        <v>F1845</v>
      </c>
      <c r="Z886" s="110" t="s">
        <v>541</v>
      </c>
      <c r="AA886" s="110" t="s">
        <v>541</v>
      </c>
      <c r="AB886" s="110" t="s">
        <v>541</v>
      </c>
      <c r="AC886" s="10" t="s">
        <v>541</v>
      </c>
      <c r="AD886" s="10" t="s">
        <v>541</v>
      </c>
    </row>
    <row r="887" spans="1:30" x14ac:dyDescent="0.2">
      <c r="A887" s="110">
        <v>886</v>
      </c>
      <c r="B887" s="132">
        <v>41837</v>
      </c>
      <c r="C887" s="117">
        <v>1</v>
      </c>
      <c r="D887" s="103" t="s">
        <v>2</v>
      </c>
      <c r="E887" s="103" t="s">
        <v>306</v>
      </c>
      <c r="F887" s="103">
        <v>875</v>
      </c>
      <c r="G887" s="103">
        <v>59</v>
      </c>
      <c r="H887" s="137" t="s">
        <v>1493</v>
      </c>
      <c r="I887" s="103">
        <v>80</v>
      </c>
      <c r="K887" s="103" t="s">
        <v>364</v>
      </c>
      <c r="L887" s="133"/>
      <c r="M887" s="134">
        <v>5.347222222222222E-2</v>
      </c>
      <c r="N887" s="137" t="s">
        <v>2838</v>
      </c>
      <c r="O887" s="133" t="s">
        <v>1585</v>
      </c>
      <c r="P887" s="100" t="s">
        <v>2844</v>
      </c>
      <c r="Q887" s="100" t="s">
        <v>2831</v>
      </c>
      <c r="R887" s="226" t="s">
        <v>2864</v>
      </c>
      <c r="S887" s="491" t="str">
        <f t="shared" si="27"/>
        <v>x</v>
      </c>
      <c r="T887" s="492">
        <f>IFERROR(VLOOKUP(F887,'Freq-Chan'!C:D,2,FALSE),"x")</f>
        <v>151.875</v>
      </c>
      <c r="U887" s="110" t="s">
        <v>541</v>
      </c>
      <c r="V887" s="110" t="str">
        <f t="shared" si="28"/>
        <v>FWL</v>
      </c>
      <c r="W887" s="110" t="s">
        <v>541</v>
      </c>
      <c r="X887" s="110" t="s">
        <v>541</v>
      </c>
      <c r="Y887" s="110" t="str">
        <f>IFERROR(VLOOKUP(F887,'Freq-Chan'!C:E,3,FALSE),"na")</f>
        <v>F1845</v>
      </c>
      <c r="Z887" s="110" t="s">
        <v>541</v>
      </c>
      <c r="AA887" s="110" t="s">
        <v>541</v>
      </c>
      <c r="AB887" s="110" t="s">
        <v>541</v>
      </c>
      <c r="AC887" s="10" t="s">
        <v>541</v>
      </c>
      <c r="AD887" s="10" t="s">
        <v>541</v>
      </c>
    </row>
    <row r="888" spans="1:30" x14ac:dyDescent="0.2">
      <c r="A888" s="110">
        <v>887</v>
      </c>
      <c r="B888" s="132">
        <v>41837</v>
      </c>
      <c r="C888" s="117">
        <v>1</v>
      </c>
      <c r="D888" s="103" t="s">
        <v>8</v>
      </c>
      <c r="E888" s="103" t="s">
        <v>306</v>
      </c>
      <c r="F888" s="103">
        <v>573</v>
      </c>
      <c r="G888" s="103">
        <v>29</v>
      </c>
      <c r="H888" s="137" t="s">
        <v>2115</v>
      </c>
      <c r="I888" s="103">
        <v>55</v>
      </c>
      <c r="K888" s="103" t="s">
        <v>364</v>
      </c>
      <c r="L888" s="133"/>
      <c r="M888" s="134">
        <v>5.7638888888888885E-2</v>
      </c>
      <c r="N888" s="137" t="s">
        <v>2839</v>
      </c>
      <c r="O888" s="133" t="s">
        <v>1585</v>
      </c>
      <c r="Q888" s="100" t="s">
        <v>2831</v>
      </c>
      <c r="R888" s="226" t="s">
        <v>2864</v>
      </c>
      <c r="S888" s="491" t="str">
        <f t="shared" si="27"/>
        <v>x</v>
      </c>
      <c r="T888" s="492">
        <f>IFERROR(VLOOKUP(F888,'Freq-Chan'!C:D,2,FALSE),"x")</f>
        <v>151.57300000000001</v>
      </c>
      <c r="U888" s="110" t="s">
        <v>541</v>
      </c>
      <c r="V888" s="110" t="str">
        <f t="shared" si="28"/>
        <v>FWL</v>
      </c>
      <c r="W888" s="110" t="s">
        <v>541</v>
      </c>
      <c r="X888" s="110" t="s">
        <v>541</v>
      </c>
      <c r="Y888" s="110" t="str">
        <f>IFERROR(VLOOKUP(F888,'Freq-Chan'!C:E,3,FALSE),"na")</f>
        <v>F1840</v>
      </c>
      <c r="Z888" s="110" t="s">
        <v>541</v>
      </c>
      <c r="AA888" s="110" t="s">
        <v>541</v>
      </c>
      <c r="AB888" s="110" t="s">
        <v>541</v>
      </c>
      <c r="AC888" s="10" t="s">
        <v>541</v>
      </c>
      <c r="AD888" s="10" t="s">
        <v>541</v>
      </c>
    </row>
    <row r="889" spans="1:30" x14ac:dyDescent="0.2">
      <c r="A889" s="110">
        <v>888</v>
      </c>
      <c r="B889" s="132">
        <v>41837</v>
      </c>
      <c r="C889" s="117">
        <v>1</v>
      </c>
      <c r="D889" s="103" t="s">
        <v>8</v>
      </c>
      <c r="E889" s="103" t="s">
        <v>306</v>
      </c>
      <c r="F889" s="103">
        <v>364</v>
      </c>
      <c r="G889" s="103">
        <v>40</v>
      </c>
      <c r="H889" s="137" t="s">
        <v>2116</v>
      </c>
      <c r="I889" s="103">
        <v>56</v>
      </c>
      <c r="K889" s="103" t="s">
        <v>364</v>
      </c>
      <c r="L889" s="133"/>
      <c r="M889" s="134">
        <v>5.2777777777777778E-2</v>
      </c>
      <c r="N889" s="137" t="s">
        <v>2840</v>
      </c>
      <c r="O889" s="133" t="s">
        <v>1663</v>
      </c>
      <c r="P889" s="100" t="s">
        <v>2845</v>
      </c>
      <c r="Q889" s="100" t="s">
        <v>2831</v>
      </c>
      <c r="R889" s="226" t="s">
        <v>2864</v>
      </c>
      <c r="S889" s="491" t="str">
        <f t="shared" si="27"/>
        <v>x</v>
      </c>
      <c r="T889" s="492">
        <f>IFERROR(VLOOKUP(F889,'Freq-Chan'!C:D,2,FALSE),"x")</f>
        <v>151.364</v>
      </c>
      <c r="U889" s="110" t="s">
        <v>541</v>
      </c>
      <c r="V889" s="110" t="str">
        <f t="shared" si="28"/>
        <v>FWL</v>
      </c>
      <c r="W889" s="110" t="s">
        <v>541</v>
      </c>
      <c r="X889" s="110" t="s">
        <v>541</v>
      </c>
      <c r="Y889" s="110" t="str">
        <f>IFERROR(VLOOKUP(F889,'Freq-Chan'!C:E,3,FALSE),"na")</f>
        <v>F1845</v>
      </c>
      <c r="Z889" s="110" t="s">
        <v>541</v>
      </c>
      <c r="AA889" s="110" t="s">
        <v>541</v>
      </c>
      <c r="AB889" s="110" t="s">
        <v>541</v>
      </c>
      <c r="AC889" s="10" t="s">
        <v>541</v>
      </c>
      <c r="AD889" s="10" t="s">
        <v>541</v>
      </c>
    </row>
    <row r="890" spans="1:30" x14ac:dyDescent="0.2">
      <c r="A890" s="110">
        <v>889</v>
      </c>
      <c r="B890" s="132">
        <v>41837</v>
      </c>
      <c r="C890" s="117">
        <v>1</v>
      </c>
      <c r="D890" s="103" t="s">
        <v>177</v>
      </c>
      <c r="E890" s="103" t="s">
        <v>0</v>
      </c>
      <c r="H890" s="103"/>
      <c r="I890" s="103">
        <v>31</v>
      </c>
      <c r="K890" s="103" t="s">
        <v>364</v>
      </c>
      <c r="L890" s="133"/>
      <c r="M890" s="134">
        <v>1.0416666666666666E-2</v>
      </c>
      <c r="N890" s="137" t="s">
        <v>2841</v>
      </c>
      <c r="O890" s="133" t="s">
        <v>1663</v>
      </c>
      <c r="P890" s="100" t="s">
        <v>776</v>
      </c>
      <c r="Q890" s="100" t="s">
        <v>2831</v>
      </c>
      <c r="R890" s="226" t="s">
        <v>2864</v>
      </c>
      <c r="S890" s="491" t="str">
        <f t="shared" si="27"/>
        <v>x</v>
      </c>
      <c r="T890" s="492" t="str">
        <f>IFERROR(VLOOKUP(F890,'Freq-Chan'!C:D,2,FALSE),"x")</f>
        <v>x</v>
      </c>
      <c r="U890" s="110" t="s">
        <v>541</v>
      </c>
      <c r="V890" s="110" t="str">
        <f t="shared" si="28"/>
        <v>FWL</v>
      </c>
      <c r="W890" s="110" t="s">
        <v>541</v>
      </c>
      <c r="X890" s="110" t="s">
        <v>541</v>
      </c>
      <c r="Y890" s="110" t="str">
        <f>IFERROR(VLOOKUP(F890,'Freq-Chan'!C:E,3,FALSE),"na")</f>
        <v>na</v>
      </c>
      <c r="Z890" s="110" t="s">
        <v>541</v>
      </c>
      <c r="AA890" s="110" t="s">
        <v>541</v>
      </c>
      <c r="AB890" s="110" t="s">
        <v>541</v>
      </c>
      <c r="AC890" s="10" t="s">
        <v>541</v>
      </c>
      <c r="AD890" s="10" t="s">
        <v>541</v>
      </c>
    </row>
    <row r="891" spans="1:30" s="291" customFormat="1" x14ac:dyDescent="0.2">
      <c r="A891" s="493">
        <v>890</v>
      </c>
      <c r="B891" s="283">
        <v>41837</v>
      </c>
      <c r="C891" s="284">
        <v>1</v>
      </c>
      <c r="D891" s="285" t="s">
        <v>91</v>
      </c>
      <c r="E891" s="285" t="s">
        <v>798</v>
      </c>
      <c r="F891" s="285"/>
      <c r="G891" s="285"/>
      <c r="H891" s="285"/>
      <c r="I891" s="285"/>
      <c r="J891" s="285">
        <v>14</v>
      </c>
      <c r="K891" s="285" t="s">
        <v>364</v>
      </c>
      <c r="L891" s="286"/>
      <c r="M891" s="287">
        <v>1.2499999999999999E-2</v>
      </c>
      <c r="N891" s="339" t="s">
        <v>2842</v>
      </c>
      <c r="O891" s="286" t="s">
        <v>376</v>
      </c>
      <c r="P891" s="289"/>
      <c r="Q891" s="289" t="s">
        <v>2831</v>
      </c>
      <c r="R891" s="290" t="s">
        <v>2864</v>
      </c>
      <c r="S891" s="494" t="str">
        <f t="shared" si="27"/>
        <v>x</v>
      </c>
      <c r="T891" s="495" t="str">
        <f>IFERROR(VLOOKUP(F891,'Freq-Chan'!C:D,2,FALSE),"x")</f>
        <v>x</v>
      </c>
      <c r="U891" s="493" t="s">
        <v>541</v>
      </c>
      <c r="V891" s="493" t="str">
        <f t="shared" si="28"/>
        <v>FWL</v>
      </c>
      <c r="W891" s="493" t="s">
        <v>541</v>
      </c>
      <c r="X891" s="493" t="s">
        <v>541</v>
      </c>
      <c r="Y891" s="493" t="str">
        <f>IFERROR(VLOOKUP(F891,'Freq-Chan'!C:E,3,FALSE),"na")</f>
        <v>na</v>
      </c>
      <c r="Z891" s="493" t="s">
        <v>541</v>
      </c>
      <c r="AA891" s="493" t="s">
        <v>541</v>
      </c>
      <c r="AB891" s="493" t="s">
        <v>541</v>
      </c>
      <c r="AC891" s="291" t="s">
        <v>541</v>
      </c>
      <c r="AD891" s="291" t="s">
        <v>541</v>
      </c>
    </row>
    <row r="892" spans="1:30" x14ac:dyDescent="0.2">
      <c r="A892" s="110">
        <v>891</v>
      </c>
      <c r="B892" s="132">
        <v>41837</v>
      </c>
      <c r="C892" s="117">
        <v>2</v>
      </c>
      <c r="D892" s="103" t="s">
        <v>71</v>
      </c>
      <c r="E892" s="103" t="s">
        <v>306</v>
      </c>
      <c r="F892" s="103">
        <v>564</v>
      </c>
      <c r="G892" s="103">
        <v>49</v>
      </c>
      <c r="H892" s="137" t="s">
        <v>2293</v>
      </c>
      <c r="I892" s="103">
        <v>67</v>
      </c>
      <c r="K892" s="103" t="s">
        <v>364</v>
      </c>
      <c r="L892" s="133"/>
      <c r="M892" s="134">
        <v>4.3055555555555562E-2</v>
      </c>
      <c r="N892" s="137" t="s">
        <v>2778</v>
      </c>
      <c r="O892" s="133" t="s">
        <v>1532</v>
      </c>
      <c r="P892" s="100" t="s">
        <v>2740</v>
      </c>
      <c r="Q892" s="100" t="s">
        <v>2834</v>
      </c>
      <c r="R892" s="226" t="s">
        <v>2864</v>
      </c>
      <c r="S892" s="491" t="str">
        <f t="shared" si="27"/>
        <v>x</v>
      </c>
      <c r="T892" s="492">
        <f>IFERROR(VLOOKUP(F892,'Freq-Chan'!C:D,2,FALSE),"x")</f>
        <v>151.56399999999999</v>
      </c>
      <c r="U892" s="110" t="s">
        <v>541</v>
      </c>
      <c r="V892" s="110" t="str">
        <f t="shared" si="28"/>
        <v>FWL</v>
      </c>
      <c r="W892" s="110" t="s">
        <v>541</v>
      </c>
      <c r="X892" s="110" t="s">
        <v>541</v>
      </c>
      <c r="Y892" s="110" t="str">
        <f>IFERROR(VLOOKUP(F892,'Freq-Chan'!C:E,3,FALSE),"na")</f>
        <v>F1840</v>
      </c>
      <c r="Z892" s="110" t="s">
        <v>541</v>
      </c>
      <c r="AA892" s="110" t="s">
        <v>541</v>
      </c>
      <c r="AB892" s="110" t="s">
        <v>541</v>
      </c>
      <c r="AC892" s="10" t="s">
        <v>541</v>
      </c>
      <c r="AD892" s="10" t="s">
        <v>541</v>
      </c>
    </row>
    <row r="893" spans="1:30" x14ac:dyDescent="0.2">
      <c r="A893" s="110">
        <v>892</v>
      </c>
      <c r="B893" s="132">
        <v>41837</v>
      </c>
      <c r="C893" s="117">
        <v>2</v>
      </c>
      <c r="D893" s="103" t="s">
        <v>177</v>
      </c>
      <c r="E893" s="103" t="s">
        <v>0</v>
      </c>
      <c r="H893" s="103"/>
      <c r="I893" s="103">
        <v>37</v>
      </c>
      <c r="K893" s="103" t="s">
        <v>364</v>
      </c>
      <c r="L893" s="133"/>
      <c r="M893" s="134">
        <v>2.0833333333333332E-2</v>
      </c>
      <c r="N893" s="137" t="s">
        <v>2019</v>
      </c>
      <c r="O893" s="133" t="s">
        <v>1532</v>
      </c>
      <c r="P893" s="100" t="s">
        <v>776</v>
      </c>
      <c r="Q893" s="100" t="s">
        <v>2834</v>
      </c>
      <c r="R893" s="226" t="s">
        <v>2864</v>
      </c>
      <c r="S893" s="491" t="str">
        <f t="shared" si="27"/>
        <v>x</v>
      </c>
      <c r="T893" s="492" t="str">
        <f>IFERROR(VLOOKUP(F893,'Freq-Chan'!C:D,2,FALSE),"x")</f>
        <v>x</v>
      </c>
      <c r="U893" s="110" t="s">
        <v>541</v>
      </c>
      <c r="V893" s="110" t="str">
        <f t="shared" si="28"/>
        <v>FWL</v>
      </c>
      <c r="W893" s="110" t="s">
        <v>541</v>
      </c>
      <c r="X893" s="110" t="s">
        <v>541</v>
      </c>
      <c r="Y893" s="110" t="str">
        <f>IFERROR(VLOOKUP(F893,'Freq-Chan'!C:E,3,FALSE),"na")</f>
        <v>na</v>
      </c>
      <c r="Z893" s="110" t="s">
        <v>541</v>
      </c>
      <c r="AA893" s="110" t="s">
        <v>541</v>
      </c>
      <c r="AB893" s="110" t="s">
        <v>541</v>
      </c>
      <c r="AC893" s="10" t="s">
        <v>541</v>
      </c>
      <c r="AD893" s="10" t="s">
        <v>541</v>
      </c>
    </row>
    <row r="894" spans="1:30" x14ac:dyDescent="0.2">
      <c r="A894" s="110">
        <v>893</v>
      </c>
      <c r="B894" s="132">
        <v>41837</v>
      </c>
      <c r="C894" s="117">
        <v>2</v>
      </c>
      <c r="D894" s="103" t="s">
        <v>177</v>
      </c>
      <c r="E894" s="103" t="s">
        <v>0</v>
      </c>
      <c r="H894" s="103"/>
      <c r="I894" s="103">
        <v>39</v>
      </c>
      <c r="K894" s="103" t="s">
        <v>364</v>
      </c>
      <c r="L894" s="133"/>
      <c r="M894" s="134">
        <v>2.1527777777777781E-2</v>
      </c>
      <c r="N894" s="137" t="s">
        <v>2561</v>
      </c>
      <c r="O894" s="133" t="s">
        <v>803</v>
      </c>
      <c r="P894" s="100" t="s">
        <v>776</v>
      </c>
      <c r="Q894" s="100" t="s">
        <v>2834</v>
      </c>
      <c r="R894" s="226" t="s">
        <v>2864</v>
      </c>
      <c r="S894" s="491" t="str">
        <f t="shared" si="27"/>
        <v>x</v>
      </c>
      <c r="T894" s="492" t="str">
        <f>IFERROR(VLOOKUP(F894,'Freq-Chan'!C:D,2,FALSE),"x")</f>
        <v>x</v>
      </c>
      <c r="U894" s="110" t="s">
        <v>541</v>
      </c>
      <c r="V894" s="110" t="str">
        <f t="shared" si="28"/>
        <v>FWL</v>
      </c>
      <c r="W894" s="110" t="s">
        <v>541</v>
      </c>
      <c r="X894" s="110" t="s">
        <v>541</v>
      </c>
      <c r="Y894" s="110" t="str">
        <f>IFERROR(VLOOKUP(F894,'Freq-Chan'!C:E,3,FALSE),"na")</f>
        <v>na</v>
      </c>
      <c r="Z894" s="110" t="s">
        <v>541</v>
      </c>
      <c r="AA894" s="110" t="s">
        <v>541</v>
      </c>
      <c r="AB894" s="110" t="s">
        <v>541</v>
      </c>
      <c r="AC894" s="10" t="s">
        <v>541</v>
      </c>
      <c r="AD894" s="10" t="s">
        <v>541</v>
      </c>
    </row>
    <row r="895" spans="1:30" x14ac:dyDescent="0.2">
      <c r="A895" s="110">
        <v>894</v>
      </c>
      <c r="B895" s="132">
        <v>41837</v>
      </c>
      <c r="C895" s="117">
        <v>2</v>
      </c>
      <c r="D895" s="103" t="s">
        <v>88</v>
      </c>
      <c r="E895" s="103" t="s">
        <v>798</v>
      </c>
      <c r="H895" s="103"/>
      <c r="J895" s="103">
        <v>30</v>
      </c>
      <c r="K895" s="103" t="s">
        <v>364</v>
      </c>
      <c r="L895" s="133"/>
      <c r="M895" s="134">
        <v>1.3888888888888888E-2</v>
      </c>
      <c r="N895" s="137" t="s">
        <v>2846</v>
      </c>
      <c r="O895" s="133" t="s">
        <v>376</v>
      </c>
      <c r="Q895" s="100" t="s">
        <v>2834</v>
      </c>
      <c r="R895" s="226" t="s">
        <v>2864</v>
      </c>
      <c r="S895" s="491" t="str">
        <f t="shared" si="27"/>
        <v>x</v>
      </c>
      <c r="T895" s="492" t="str">
        <f>IFERROR(VLOOKUP(F895,'Freq-Chan'!C:D,2,FALSE),"x")</f>
        <v>x</v>
      </c>
      <c r="U895" s="110" t="s">
        <v>541</v>
      </c>
      <c r="V895" s="110" t="str">
        <f t="shared" si="28"/>
        <v>FWL</v>
      </c>
      <c r="W895" s="110" t="s">
        <v>541</v>
      </c>
      <c r="X895" s="110" t="s">
        <v>541</v>
      </c>
      <c r="Y895" s="110" t="str">
        <f>IFERROR(VLOOKUP(F895,'Freq-Chan'!C:E,3,FALSE),"na")</f>
        <v>na</v>
      </c>
      <c r="Z895" s="110" t="s">
        <v>541</v>
      </c>
      <c r="AA895" s="110" t="s">
        <v>541</v>
      </c>
      <c r="AB895" s="110" t="s">
        <v>541</v>
      </c>
      <c r="AC895" s="10" t="s">
        <v>541</v>
      </c>
      <c r="AD895" s="10" t="s">
        <v>541</v>
      </c>
    </row>
    <row r="896" spans="1:30" s="291" customFormat="1" x14ac:dyDescent="0.2">
      <c r="A896" s="493">
        <v>895</v>
      </c>
      <c r="B896" s="283">
        <v>41837</v>
      </c>
      <c r="C896" s="284">
        <v>2</v>
      </c>
      <c r="D896" s="285" t="s">
        <v>8</v>
      </c>
      <c r="E896" s="285" t="s">
        <v>306</v>
      </c>
      <c r="F896" s="285">
        <v>586</v>
      </c>
      <c r="G896" s="285">
        <v>32</v>
      </c>
      <c r="H896" s="339" t="s">
        <v>2117</v>
      </c>
      <c r="I896" s="285">
        <v>53</v>
      </c>
      <c r="J896" s="285"/>
      <c r="K896" s="285" t="s">
        <v>364</v>
      </c>
      <c r="L896" s="286"/>
      <c r="M896" s="287">
        <v>9.3055555555555558E-2</v>
      </c>
      <c r="N896" s="339" t="s">
        <v>2058</v>
      </c>
      <c r="O896" s="286" t="s">
        <v>555</v>
      </c>
      <c r="P896" s="289" t="s">
        <v>2847</v>
      </c>
      <c r="Q896" s="289" t="s">
        <v>2834</v>
      </c>
      <c r="R896" s="290" t="s">
        <v>2864</v>
      </c>
      <c r="S896" s="494" t="str">
        <f t="shared" si="27"/>
        <v>x</v>
      </c>
      <c r="T896" s="495">
        <f>IFERROR(VLOOKUP(F896,'Freq-Chan'!C:D,2,FALSE),"x")</f>
        <v>151.58600000000001</v>
      </c>
      <c r="U896" s="493" t="s">
        <v>541</v>
      </c>
      <c r="V896" s="493" t="str">
        <f t="shared" si="28"/>
        <v>FWL</v>
      </c>
      <c r="W896" s="493" t="s">
        <v>541</v>
      </c>
      <c r="X896" s="493" t="s">
        <v>541</v>
      </c>
      <c r="Y896" s="493" t="str">
        <f>IFERROR(VLOOKUP(F896,'Freq-Chan'!C:E,3,FALSE),"na")</f>
        <v>F1840</v>
      </c>
      <c r="Z896" s="493" t="s">
        <v>541</v>
      </c>
      <c r="AA896" s="493" t="s">
        <v>541</v>
      </c>
      <c r="AB896" s="493" t="s">
        <v>541</v>
      </c>
      <c r="AC896" s="291" t="s">
        <v>541</v>
      </c>
      <c r="AD896" s="291" t="s">
        <v>541</v>
      </c>
    </row>
    <row r="897" spans="1:30" x14ac:dyDescent="0.2">
      <c r="A897" s="110">
        <v>896</v>
      </c>
      <c r="B897" s="132">
        <v>41837</v>
      </c>
      <c r="C897" s="117">
        <v>3</v>
      </c>
      <c r="D897" s="103" t="s">
        <v>2</v>
      </c>
      <c r="E897" s="103" t="s">
        <v>306</v>
      </c>
      <c r="F897" s="103">
        <v>917</v>
      </c>
      <c r="G897" s="103">
        <v>62</v>
      </c>
      <c r="H897" s="137" t="s">
        <v>1499</v>
      </c>
      <c r="I897" s="103">
        <v>75</v>
      </c>
      <c r="K897" s="103" t="s">
        <v>364</v>
      </c>
      <c r="L897" s="133"/>
      <c r="M897" s="134">
        <v>4.7222222222222221E-2</v>
      </c>
      <c r="N897" s="137" t="s">
        <v>2848</v>
      </c>
      <c r="O897" s="133" t="s">
        <v>802</v>
      </c>
      <c r="P897" s="100" t="s">
        <v>1786</v>
      </c>
      <c r="Q897" s="100" t="s">
        <v>2826</v>
      </c>
      <c r="R897" s="226" t="s">
        <v>2864</v>
      </c>
      <c r="S897" s="491" t="str">
        <f t="shared" si="27"/>
        <v>x</v>
      </c>
      <c r="T897" s="492">
        <f>IFERROR(VLOOKUP(F897,'Freq-Chan'!C:D,2,FALSE),"x")</f>
        <v>151.917</v>
      </c>
      <c r="U897" s="110" t="s">
        <v>541</v>
      </c>
      <c r="V897" s="110" t="str">
        <f t="shared" si="28"/>
        <v>FWL</v>
      </c>
      <c r="W897" s="110" t="s">
        <v>541</v>
      </c>
      <c r="X897" s="110" t="s">
        <v>541</v>
      </c>
      <c r="Y897" s="110" t="str">
        <f>IFERROR(VLOOKUP(F897,'Freq-Chan'!C:E,3,FALSE),"na")</f>
        <v>F1835</v>
      </c>
      <c r="Z897" s="110" t="s">
        <v>541</v>
      </c>
      <c r="AA897" s="110" t="s">
        <v>541</v>
      </c>
      <c r="AB897" s="110" t="s">
        <v>541</v>
      </c>
      <c r="AC897" s="10" t="s">
        <v>541</v>
      </c>
      <c r="AD897" s="10" t="s">
        <v>541</v>
      </c>
    </row>
    <row r="898" spans="1:30" x14ac:dyDescent="0.2">
      <c r="A898" s="110">
        <v>897</v>
      </c>
      <c r="B898" s="132">
        <v>41837</v>
      </c>
      <c r="C898" s="117">
        <v>3</v>
      </c>
      <c r="D898" s="103" t="s">
        <v>177</v>
      </c>
      <c r="E898" s="103" t="s">
        <v>0</v>
      </c>
      <c r="H898" s="103"/>
      <c r="I898" s="103">
        <v>32</v>
      </c>
      <c r="K898" s="103" t="s">
        <v>364</v>
      </c>
      <c r="L898" s="133"/>
      <c r="M898" s="134">
        <v>1.5277777777777777E-2</v>
      </c>
      <c r="N898" s="137" t="s">
        <v>2849</v>
      </c>
      <c r="O898" s="133" t="s">
        <v>802</v>
      </c>
      <c r="P898" s="100" t="s">
        <v>2687</v>
      </c>
      <c r="Q898" s="100" t="s">
        <v>2826</v>
      </c>
      <c r="R898" s="226" t="s">
        <v>2864</v>
      </c>
      <c r="S898" s="491" t="str">
        <f t="shared" si="27"/>
        <v>x</v>
      </c>
      <c r="T898" s="492" t="str">
        <f>IFERROR(VLOOKUP(F898,'Freq-Chan'!C:D,2,FALSE),"x")</f>
        <v>x</v>
      </c>
      <c r="U898" s="110" t="s">
        <v>541</v>
      </c>
      <c r="V898" s="110" t="str">
        <f t="shared" si="28"/>
        <v>FWL</v>
      </c>
      <c r="W898" s="110" t="s">
        <v>541</v>
      </c>
      <c r="X898" s="110" t="s">
        <v>541</v>
      </c>
      <c r="Y898" s="110" t="str">
        <f>IFERROR(VLOOKUP(F898,'Freq-Chan'!C:E,3,FALSE),"na")</f>
        <v>na</v>
      </c>
      <c r="Z898" s="110" t="s">
        <v>541</v>
      </c>
      <c r="AA898" s="110" t="s">
        <v>541</v>
      </c>
      <c r="AB898" s="110" t="s">
        <v>541</v>
      </c>
      <c r="AC898" s="10" t="s">
        <v>541</v>
      </c>
      <c r="AD898" s="10" t="s">
        <v>541</v>
      </c>
    </row>
    <row r="899" spans="1:30" x14ac:dyDescent="0.2">
      <c r="A899" s="110">
        <v>898</v>
      </c>
      <c r="B899" s="132">
        <v>41837</v>
      </c>
      <c r="C899" s="117">
        <v>3</v>
      </c>
      <c r="D899" s="103" t="s">
        <v>75</v>
      </c>
      <c r="E899" s="103" t="s">
        <v>798</v>
      </c>
      <c r="H899" s="103"/>
      <c r="J899" s="103">
        <v>32</v>
      </c>
      <c r="K899" s="103" t="s">
        <v>364</v>
      </c>
      <c r="L899" s="133"/>
      <c r="M899" s="134">
        <v>1.7361111111111112E-2</v>
      </c>
      <c r="N899" s="137" t="s">
        <v>2616</v>
      </c>
      <c r="O899" s="133" t="s">
        <v>802</v>
      </c>
      <c r="P899" s="100" t="s">
        <v>1786</v>
      </c>
      <c r="Q899" s="100" t="s">
        <v>2826</v>
      </c>
      <c r="R899" s="226" t="s">
        <v>2864</v>
      </c>
      <c r="S899" s="491" t="str">
        <f t="shared" ref="S899:S962" si="29">IF(IF(OR(L899=0,N899=0),"x",ROUND(N899-L899-(M899*24)/(24*60),10))&lt;0,0,IF(OR(L899=0,N899=0),"x",ROUND(N899-L899-(M899*24)/(24*60),10)))</f>
        <v>x</v>
      </c>
      <c r="T899" s="492" t="str">
        <f>IFERROR(VLOOKUP(F899,'Freq-Chan'!C:D,2,FALSE),"x")</f>
        <v>x</v>
      </c>
      <c r="U899" s="110" t="s">
        <v>541</v>
      </c>
      <c r="V899" s="110" t="str">
        <f t="shared" ref="V899:V962" si="30">IF(OR(C899=1,C899=2,C899=3),"FWL","NRD")</f>
        <v>FWL</v>
      </c>
      <c r="W899" s="110" t="s">
        <v>541</v>
      </c>
      <c r="X899" s="110" t="s">
        <v>541</v>
      </c>
      <c r="Y899" s="110" t="str">
        <f>IFERROR(VLOOKUP(F899,'Freq-Chan'!C:E,3,FALSE),"na")</f>
        <v>na</v>
      </c>
      <c r="Z899" s="110" t="s">
        <v>541</v>
      </c>
      <c r="AA899" s="110" t="s">
        <v>541</v>
      </c>
      <c r="AB899" s="110" t="s">
        <v>541</v>
      </c>
      <c r="AC899" s="10" t="s">
        <v>541</v>
      </c>
      <c r="AD899" s="10" t="s">
        <v>541</v>
      </c>
    </row>
    <row r="900" spans="1:30" x14ac:dyDescent="0.2">
      <c r="A900" s="110">
        <v>899</v>
      </c>
      <c r="B900" s="132">
        <v>41837</v>
      </c>
      <c r="C900" s="117">
        <v>3</v>
      </c>
      <c r="D900" s="103" t="s">
        <v>177</v>
      </c>
      <c r="E900" s="103" t="s">
        <v>0</v>
      </c>
      <c r="H900" s="103"/>
      <c r="I900" s="103">
        <v>31</v>
      </c>
      <c r="K900" s="103" t="s">
        <v>364</v>
      </c>
      <c r="L900" s="133"/>
      <c r="M900" s="134">
        <v>1.8055555555555557E-2</v>
      </c>
      <c r="N900" s="137" t="s">
        <v>1629</v>
      </c>
      <c r="O900" s="133" t="s">
        <v>802</v>
      </c>
      <c r="P900" s="100" t="s">
        <v>2686</v>
      </c>
      <c r="Q900" s="100" t="s">
        <v>2826</v>
      </c>
      <c r="R900" s="226" t="s">
        <v>2864</v>
      </c>
      <c r="S900" s="491" t="str">
        <f t="shared" si="29"/>
        <v>x</v>
      </c>
      <c r="T900" s="492" t="str">
        <f>IFERROR(VLOOKUP(F900,'Freq-Chan'!C:D,2,FALSE),"x")</f>
        <v>x</v>
      </c>
      <c r="U900" s="110" t="s">
        <v>541</v>
      </c>
      <c r="V900" s="110" t="str">
        <f t="shared" si="30"/>
        <v>FWL</v>
      </c>
      <c r="W900" s="110" t="s">
        <v>541</v>
      </c>
      <c r="X900" s="110" t="s">
        <v>541</v>
      </c>
      <c r="Y900" s="110" t="str">
        <f>IFERROR(VLOOKUP(F900,'Freq-Chan'!C:E,3,FALSE),"na")</f>
        <v>na</v>
      </c>
      <c r="Z900" s="110" t="s">
        <v>541</v>
      </c>
      <c r="AA900" s="110" t="s">
        <v>541</v>
      </c>
      <c r="AB900" s="110" t="s">
        <v>541</v>
      </c>
      <c r="AC900" s="10" t="s">
        <v>541</v>
      </c>
      <c r="AD900" s="10" t="s">
        <v>541</v>
      </c>
    </row>
    <row r="901" spans="1:30" x14ac:dyDescent="0.2">
      <c r="A901" s="110">
        <v>900</v>
      </c>
      <c r="B901" s="132">
        <v>41837</v>
      </c>
      <c r="C901" s="117">
        <v>3</v>
      </c>
      <c r="D901" s="103" t="s">
        <v>2</v>
      </c>
      <c r="E901" s="103" t="s">
        <v>306</v>
      </c>
      <c r="F901" s="103">
        <v>917</v>
      </c>
      <c r="G901" s="103">
        <v>28</v>
      </c>
      <c r="H901" s="137" t="s">
        <v>1500</v>
      </c>
      <c r="I901" s="103">
        <v>65</v>
      </c>
      <c r="K901" s="103" t="s">
        <v>364</v>
      </c>
      <c r="L901" s="133">
        <v>0.30486111111111108</v>
      </c>
      <c r="M901" s="134">
        <v>5.2083333333333336E-2</v>
      </c>
      <c r="N901" s="137" t="s">
        <v>2690</v>
      </c>
      <c r="O901" s="133" t="s">
        <v>803</v>
      </c>
      <c r="Q901" s="100" t="s">
        <v>2826</v>
      </c>
      <c r="R901" s="226" t="s">
        <v>2864</v>
      </c>
      <c r="S901" s="491">
        <f t="shared" si="29"/>
        <v>2.6041667E-3</v>
      </c>
      <c r="T901" s="492">
        <f>IFERROR(VLOOKUP(F901,'Freq-Chan'!C:D,2,FALSE),"x")</f>
        <v>151.917</v>
      </c>
      <c r="U901" s="110" t="s">
        <v>541</v>
      </c>
      <c r="V901" s="110" t="str">
        <f t="shared" si="30"/>
        <v>FWL</v>
      </c>
      <c r="W901" s="110" t="s">
        <v>541</v>
      </c>
      <c r="X901" s="110" t="s">
        <v>541</v>
      </c>
      <c r="Y901" s="110" t="str">
        <f>IFERROR(VLOOKUP(F901,'Freq-Chan'!C:E,3,FALSE),"na")</f>
        <v>F1835</v>
      </c>
      <c r="Z901" s="110" t="s">
        <v>541</v>
      </c>
      <c r="AA901" s="110" t="s">
        <v>541</v>
      </c>
      <c r="AB901" s="110" t="s">
        <v>541</v>
      </c>
      <c r="AC901" s="10" t="s">
        <v>541</v>
      </c>
      <c r="AD901" s="10" t="s">
        <v>541</v>
      </c>
    </row>
    <row r="902" spans="1:30" x14ac:dyDescent="0.2">
      <c r="A902" s="110">
        <v>901</v>
      </c>
      <c r="B902" s="132">
        <v>41837</v>
      </c>
      <c r="C902" s="117">
        <v>3</v>
      </c>
      <c r="D902" s="103" t="s">
        <v>2</v>
      </c>
      <c r="E902" s="103" t="s">
        <v>306</v>
      </c>
      <c r="F902" s="103">
        <v>917</v>
      </c>
      <c r="G902" s="103">
        <v>46</v>
      </c>
      <c r="H902" s="137" t="s">
        <v>1501</v>
      </c>
      <c r="I902" s="103">
        <v>91</v>
      </c>
      <c r="K902" s="103" t="s">
        <v>365</v>
      </c>
      <c r="L902" s="133">
        <v>0.3576388888888889</v>
      </c>
      <c r="M902" s="134">
        <v>7.3611111111111113E-2</v>
      </c>
      <c r="N902" s="137" t="s">
        <v>2850</v>
      </c>
      <c r="O902" s="133" t="s">
        <v>802</v>
      </c>
      <c r="Q902" s="100" t="s">
        <v>2826</v>
      </c>
      <c r="R902" s="226" t="s">
        <v>2864</v>
      </c>
      <c r="S902" s="491">
        <f t="shared" si="29"/>
        <v>3.6342593E-3</v>
      </c>
      <c r="T902" s="492">
        <f>IFERROR(VLOOKUP(F902,'Freq-Chan'!C:D,2,FALSE),"x")</f>
        <v>151.917</v>
      </c>
      <c r="U902" s="110" t="s">
        <v>541</v>
      </c>
      <c r="V902" s="110" t="str">
        <f t="shared" si="30"/>
        <v>FWL</v>
      </c>
      <c r="W902" s="110" t="s">
        <v>541</v>
      </c>
      <c r="X902" s="110" t="s">
        <v>541</v>
      </c>
      <c r="Y902" s="110" t="str">
        <f>IFERROR(VLOOKUP(F902,'Freq-Chan'!C:E,3,FALSE),"na")</f>
        <v>F1835</v>
      </c>
      <c r="Z902" s="110" t="s">
        <v>541</v>
      </c>
      <c r="AA902" s="110" t="s">
        <v>541</v>
      </c>
      <c r="AB902" s="110" t="s">
        <v>541</v>
      </c>
      <c r="AC902" s="10" t="s">
        <v>541</v>
      </c>
      <c r="AD902" s="10" t="s">
        <v>541</v>
      </c>
    </row>
    <row r="903" spans="1:30" x14ac:dyDescent="0.2">
      <c r="A903" s="110">
        <v>902</v>
      </c>
      <c r="B903" s="132">
        <v>41837</v>
      </c>
      <c r="C903" s="117">
        <v>3</v>
      </c>
      <c r="D903" s="103" t="s">
        <v>88</v>
      </c>
      <c r="E903" s="103" t="s">
        <v>798</v>
      </c>
      <c r="H903" s="103"/>
      <c r="J903" s="103">
        <v>13</v>
      </c>
      <c r="K903" s="103" t="s">
        <v>364</v>
      </c>
      <c r="L903" s="133"/>
      <c r="M903" s="134">
        <v>2.0833333333333332E-2</v>
      </c>
      <c r="N903" s="137" t="s">
        <v>508</v>
      </c>
      <c r="O903" s="133" t="s">
        <v>1585</v>
      </c>
      <c r="Q903" s="100" t="s">
        <v>2826</v>
      </c>
      <c r="R903" s="226" t="s">
        <v>2864</v>
      </c>
      <c r="S903" s="491" t="str">
        <f t="shared" si="29"/>
        <v>x</v>
      </c>
      <c r="T903" s="492" t="str">
        <f>IFERROR(VLOOKUP(F903,'Freq-Chan'!C:D,2,FALSE),"x")</f>
        <v>x</v>
      </c>
      <c r="U903" s="110" t="s">
        <v>541</v>
      </c>
      <c r="V903" s="110" t="str">
        <f t="shared" si="30"/>
        <v>FWL</v>
      </c>
      <c r="W903" s="110" t="s">
        <v>541</v>
      </c>
      <c r="X903" s="110" t="s">
        <v>541</v>
      </c>
      <c r="Y903" s="110" t="str">
        <f>IFERROR(VLOOKUP(F903,'Freq-Chan'!C:E,3,FALSE),"na")</f>
        <v>na</v>
      </c>
      <c r="Z903" s="110" t="s">
        <v>541</v>
      </c>
      <c r="AA903" s="110" t="s">
        <v>541</v>
      </c>
      <c r="AB903" s="110" t="s">
        <v>541</v>
      </c>
      <c r="AC903" s="10" t="s">
        <v>541</v>
      </c>
      <c r="AD903" s="10" t="s">
        <v>541</v>
      </c>
    </row>
    <row r="904" spans="1:30" x14ac:dyDescent="0.2">
      <c r="A904" s="110">
        <v>903</v>
      </c>
      <c r="B904" s="132">
        <v>41837</v>
      </c>
      <c r="C904" s="117">
        <v>3</v>
      </c>
      <c r="D904" s="103" t="s">
        <v>2</v>
      </c>
      <c r="E904" s="103" t="s">
        <v>306</v>
      </c>
      <c r="F904" s="103">
        <v>917</v>
      </c>
      <c r="G904" s="103">
        <v>90</v>
      </c>
      <c r="H904" s="137" t="s">
        <v>1506</v>
      </c>
      <c r="I904" s="103">
        <v>78</v>
      </c>
      <c r="K904" s="103" t="s">
        <v>364</v>
      </c>
      <c r="L904" s="133"/>
      <c r="M904" s="134">
        <v>5.8333333333333327E-2</v>
      </c>
      <c r="N904" s="137" t="s">
        <v>1968</v>
      </c>
      <c r="O904" s="133" t="s">
        <v>802</v>
      </c>
      <c r="Q904" s="100" t="s">
        <v>2826</v>
      </c>
      <c r="R904" s="226" t="s">
        <v>2864</v>
      </c>
      <c r="S904" s="491" t="str">
        <f t="shared" si="29"/>
        <v>x</v>
      </c>
      <c r="T904" s="492">
        <f>IFERROR(VLOOKUP(F904,'Freq-Chan'!C:D,2,FALSE),"x")</f>
        <v>151.917</v>
      </c>
      <c r="U904" s="110" t="s">
        <v>541</v>
      </c>
      <c r="V904" s="110" t="str">
        <f t="shared" si="30"/>
        <v>FWL</v>
      </c>
      <c r="W904" s="110" t="s">
        <v>541</v>
      </c>
      <c r="X904" s="110" t="s">
        <v>541</v>
      </c>
      <c r="Y904" s="110" t="str">
        <f>IFERROR(VLOOKUP(F904,'Freq-Chan'!C:E,3,FALSE),"na")</f>
        <v>F1835</v>
      </c>
      <c r="Z904" s="110" t="s">
        <v>541</v>
      </c>
      <c r="AA904" s="110" t="s">
        <v>541</v>
      </c>
      <c r="AB904" s="110" t="s">
        <v>541</v>
      </c>
      <c r="AC904" s="10" t="s">
        <v>541</v>
      </c>
      <c r="AD904" s="10" t="s">
        <v>541</v>
      </c>
    </row>
    <row r="905" spans="1:30" x14ac:dyDescent="0.2">
      <c r="A905" s="110">
        <v>904</v>
      </c>
      <c r="B905" s="132">
        <v>41837</v>
      </c>
      <c r="C905" s="117">
        <v>3</v>
      </c>
      <c r="D905" s="103" t="s">
        <v>88</v>
      </c>
      <c r="E905" s="103" t="s">
        <v>798</v>
      </c>
      <c r="H905" s="103"/>
      <c r="J905" s="103">
        <v>21</v>
      </c>
      <c r="K905" s="103" t="s">
        <v>364</v>
      </c>
      <c r="L905" s="133"/>
      <c r="M905" s="134">
        <v>1.6666666666666666E-2</v>
      </c>
      <c r="N905" s="137" t="s">
        <v>2851</v>
      </c>
      <c r="O905" s="133" t="s">
        <v>1585</v>
      </c>
      <c r="Q905" s="100" t="s">
        <v>2826</v>
      </c>
      <c r="R905" s="226" t="s">
        <v>2864</v>
      </c>
      <c r="S905" s="491" t="str">
        <f t="shared" si="29"/>
        <v>x</v>
      </c>
      <c r="T905" s="492" t="str">
        <f>IFERROR(VLOOKUP(F905,'Freq-Chan'!C:D,2,FALSE),"x")</f>
        <v>x</v>
      </c>
      <c r="U905" s="110" t="s">
        <v>541</v>
      </c>
      <c r="V905" s="110" t="str">
        <f t="shared" si="30"/>
        <v>FWL</v>
      </c>
      <c r="W905" s="110" t="s">
        <v>541</v>
      </c>
      <c r="X905" s="110" t="s">
        <v>541</v>
      </c>
      <c r="Y905" s="110" t="str">
        <f>IFERROR(VLOOKUP(F905,'Freq-Chan'!C:E,3,FALSE),"na")</f>
        <v>na</v>
      </c>
      <c r="Z905" s="110" t="s">
        <v>541</v>
      </c>
      <c r="AA905" s="110" t="s">
        <v>541</v>
      </c>
      <c r="AB905" s="110" t="s">
        <v>541</v>
      </c>
      <c r="AC905" s="10" t="s">
        <v>541</v>
      </c>
      <c r="AD905" s="10" t="s">
        <v>541</v>
      </c>
    </row>
    <row r="906" spans="1:30" x14ac:dyDescent="0.2">
      <c r="A906" s="110">
        <v>905</v>
      </c>
      <c r="B906" s="132">
        <v>41837</v>
      </c>
      <c r="C906" s="117">
        <v>3</v>
      </c>
      <c r="D906" s="103" t="s">
        <v>88</v>
      </c>
      <c r="E906" s="103" t="s">
        <v>798</v>
      </c>
      <c r="H906" s="103"/>
      <c r="J906" s="103">
        <v>33</v>
      </c>
      <c r="K906" s="103" t="s">
        <v>364</v>
      </c>
      <c r="L906" s="136"/>
      <c r="M906" s="134">
        <v>2.1527777777777781E-2</v>
      </c>
      <c r="N906" s="137" t="s">
        <v>1574</v>
      </c>
      <c r="O906" s="133" t="s">
        <v>1585</v>
      </c>
      <c r="Q906" s="100" t="s">
        <v>2826</v>
      </c>
      <c r="R906" s="226" t="s">
        <v>2864</v>
      </c>
      <c r="S906" s="491" t="str">
        <f t="shared" si="29"/>
        <v>x</v>
      </c>
      <c r="T906" s="492" t="str">
        <f>IFERROR(VLOOKUP(F906,'Freq-Chan'!C:D,2,FALSE),"x")</f>
        <v>x</v>
      </c>
      <c r="U906" s="110" t="s">
        <v>541</v>
      </c>
      <c r="V906" s="110" t="str">
        <f t="shared" si="30"/>
        <v>FWL</v>
      </c>
      <c r="W906" s="110" t="s">
        <v>541</v>
      </c>
      <c r="X906" s="110" t="s">
        <v>541</v>
      </c>
      <c r="Y906" s="110" t="str">
        <f>IFERROR(VLOOKUP(F906,'Freq-Chan'!C:E,3,FALSE),"na")</f>
        <v>na</v>
      </c>
      <c r="Z906" s="110" t="s">
        <v>541</v>
      </c>
      <c r="AA906" s="110" t="s">
        <v>541</v>
      </c>
      <c r="AB906" s="110" t="s">
        <v>541</v>
      </c>
      <c r="AC906" s="10" t="s">
        <v>541</v>
      </c>
      <c r="AD906" s="10" t="s">
        <v>541</v>
      </c>
    </row>
    <row r="907" spans="1:30" x14ac:dyDescent="0.2">
      <c r="A907" s="110">
        <v>906</v>
      </c>
      <c r="B907" s="132">
        <v>41837</v>
      </c>
      <c r="C907" s="117">
        <v>3</v>
      </c>
      <c r="D907" s="103" t="s">
        <v>97</v>
      </c>
      <c r="E907" s="103" t="s">
        <v>798</v>
      </c>
      <c r="H907" s="103"/>
      <c r="J907" s="103">
        <v>16</v>
      </c>
      <c r="K907" s="103" t="s">
        <v>364</v>
      </c>
      <c r="L907" s="133"/>
      <c r="M907" s="134">
        <v>1.7361111111111112E-2</v>
      </c>
      <c r="N907" s="137" t="s">
        <v>2852</v>
      </c>
      <c r="O907" s="133" t="s">
        <v>1585</v>
      </c>
      <c r="Q907" s="100" t="s">
        <v>2826</v>
      </c>
      <c r="R907" s="226" t="s">
        <v>2864</v>
      </c>
      <c r="S907" s="491" t="str">
        <f t="shared" si="29"/>
        <v>x</v>
      </c>
      <c r="T907" s="492" t="str">
        <f>IFERROR(VLOOKUP(F907,'Freq-Chan'!C:D,2,FALSE),"x")</f>
        <v>x</v>
      </c>
      <c r="U907" s="110" t="s">
        <v>541</v>
      </c>
      <c r="V907" s="110" t="str">
        <f t="shared" si="30"/>
        <v>FWL</v>
      </c>
      <c r="W907" s="110" t="s">
        <v>541</v>
      </c>
      <c r="X907" s="110" t="s">
        <v>541</v>
      </c>
      <c r="Y907" s="110" t="str">
        <f>IFERROR(VLOOKUP(F907,'Freq-Chan'!C:E,3,FALSE),"na")</f>
        <v>na</v>
      </c>
      <c r="Z907" s="110" t="s">
        <v>541</v>
      </c>
      <c r="AA907" s="110" t="s">
        <v>541</v>
      </c>
      <c r="AB907" s="110" t="s">
        <v>541</v>
      </c>
      <c r="AC907" s="10" t="s">
        <v>541</v>
      </c>
      <c r="AD907" s="10" t="s">
        <v>541</v>
      </c>
    </row>
    <row r="908" spans="1:30" x14ac:dyDescent="0.2">
      <c r="A908" s="110">
        <v>907</v>
      </c>
      <c r="B908" s="132">
        <v>41837</v>
      </c>
      <c r="C908" s="117">
        <v>3</v>
      </c>
      <c r="D908" s="103" t="s">
        <v>88</v>
      </c>
      <c r="E908" s="103" t="s">
        <v>798</v>
      </c>
      <c r="H908" s="103"/>
      <c r="J908" s="103">
        <v>24</v>
      </c>
      <c r="K908" s="103" t="s">
        <v>364</v>
      </c>
      <c r="L908" s="133"/>
      <c r="M908" s="134">
        <v>1.9444444444444445E-2</v>
      </c>
      <c r="N908" s="137" t="s">
        <v>2561</v>
      </c>
      <c r="O908" s="133" t="s">
        <v>1585</v>
      </c>
      <c r="Q908" s="100" t="s">
        <v>2826</v>
      </c>
      <c r="R908" s="226" t="s">
        <v>2864</v>
      </c>
      <c r="S908" s="491" t="str">
        <f t="shared" si="29"/>
        <v>x</v>
      </c>
      <c r="T908" s="492" t="str">
        <f>IFERROR(VLOOKUP(F908,'Freq-Chan'!C:D,2,FALSE),"x")</f>
        <v>x</v>
      </c>
      <c r="U908" s="110" t="s">
        <v>541</v>
      </c>
      <c r="V908" s="110" t="str">
        <f t="shared" si="30"/>
        <v>FWL</v>
      </c>
      <c r="W908" s="110" t="s">
        <v>541</v>
      </c>
      <c r="X908" s="110" t="s">
        <v>541</v>
      </c>
      <c r="Y908" s="110" t="str">
        <f>IFERROR(VLOOKUP(F908,'Freq-Chan'!C:E,3,FALSE),"na")</f>
        <v>na</v>
      </c>
      <c r="Z908" s="110" t="s">
        <v>541</v>
      </c>
      <c r="AA908" s="110" t="s">
        <v>541</v>
      </c>
      <c r="AB908" s="110" t="s">
        <v>541</v>
      </c>
      <c r="AC908" s="10" t="s">
        <v>541</v>
      </c>
      <c r="AD908" s="10" t="s">
        <v>541</v>
      </c>
    </row>
    <row r="909" spans="1:30" x14ac:dyDescent="0.2">
      <c r="A909" s="110">
        <v>908</v>
      </c>
      <c r="B909" s="132">
        <v>41837</v>
      </c>
      <c r="C909" s="117">
        <v>3</v>
      </c>
      <c r="D909" s="103" t="s">
        <v>71</v>
      </c>
      <c r="E909" s="103" t="s">
        <v>306</v>
      </c>
      <c r="F909" s="103">
        <v>534</v>
      </c>
      <c r="G909" s="103">
        <v>75</v>
      </c>
      <c r="H909" s="137" t="s">
        <v>2298</v>
      </c>
      <c r="I909" s="103">
        <v>69</v>
      </c>
      <c r="K909" s="103" t="s">
        <v>364</v>
      </c>
      <c r="L909" s="133">
        <v>0.81666666666666676</v>
      </c>
      <c r="M909" s="134">
        <v>5.2083333333333336E-2</v>
      </c>
      <c r="N909" s="137" t="s">
        <v>2657</v>
      </c>
      <c r="O909" s="133" t="s">
        <v>1532</v>
      </c>
      <c r="P909" s="100" t="s">
        <v>2857</v>
      </c>
      <c r="Q909" s="100" t="s">
        <v>2826</v>
      </c>
      <c r="R909" s="226" t="s">
        <v>2864</v>
      </c>
      <c r="S909" s="491">
        <f t="shared" si="29"/>
        <v>3.2986110999999999E-3</v>
      </c>
      <c r="T909" s="492">
        <f>IFERROR(VLOOKUP(F909,'Freq-Chan'!C:D,2,FALSE),"x")</f>
        <v>151.53399999999999</v>
      </c>
      <c r="U909" s="110" t="s">
        <v>541</v>
      </c>
      <c r="V909" s="110" t="str">
        <f t="shared" si="30"/>
        <v>FWL</v>
      </c>
      <c r="W909" s="110" t="s">
        <v>541</v>
      </c>
      <c r="X909" s="110" t="s">
        <v>541</v>
      </c>
      <c r="Y909" s="110" t="str">
        <f>IFERROR(VLOOKUP(F909,'Freq-Chan'!C:E,3,FALSE),"na")</f>
        <v>F1840</v>
      </c>
      <c r="Z909" s="110" t="s">
        <v>541</v>
      </c>
      <c r="AA909" s="110" t="s">
        <v>541</v>
      </c>
      <c r="AB909" s="110" t="s">
        <v>541</v>
      </c>
      <c r="AC909" s="10" t="s">
        <v>541</v>
      </c>
      <c r="AD909" s="10" t="s">
        <v>541</v>
      </c>
    </row>
    <row r="910" spans="1:30" x14ac:dyDescent="0.2">
      <c r="A910" s="110">
        <v>909</v>
      </c>
      <c r="B910" s="132">
        <v>41837</v>
      </c>
      <c r="C910" s="117">
        <v>3</v>
      </c>
      <c r="D910" s="103" t="s">
        <v>75</v>
      </c>
      <c r="E910" s="103" t="s">
        <v>798</v>
      </c>
      <c r="H910" s="103"/>
      <c r="J910" s="103">
        <v>20</v>
      </c>
      <c r="K910" s="103" t="s">
        <v>364</v>
      </c>
      <c r="L910" s="133"/>
      <c r="M910" s="134">
        <v>4.1666666666666664E-2</v>
      </c>
      <c r="N910" s="137" t="s">
        <v>848</v>
      </c>
      <c r="O910" s="133" t="s">
        <v>1532</v>
      </c>
      <c r="Q910" s="100" t="s">
        <v>2826</v>
      </c>
      <c r="R910" s="226" t="s">
        <v>2864</v>
      </c>
      <c r="S910" s="491" t="str">
        <f t="shared" si="29"/>
        <v>x</v>
      </c>
      <c r="T910" s="492" t="str">
        <f>IFERROR(VLOOKUP(F910,'Freq-Chan'!C:D,2,FALSE),"x")</f>
        <v>x</v>
      </c>
      <c r="U910" s="110" t="s">
        <v>541</v>
      </c>
      <c r="V910" s="110" t="str">
        <f t="shared" si="30"/>
        <v>FWL</v>
      </c>
      <c r="W910" s="110" t="s">
        <v>541</v>
      </c>
      <c r="X910" s="110" t="s">
        <v>541</v>
      </c>
      <c r="Y910" s="110" t="str">
        <f>IFERROR(VLOOKUP(F910,'Freq-Chan'!C:E,3,FALSE),"na")</f>
        <v>na</v>
      </c>
      <c r="Z910" s="110" t="s">
        <v>541</v>
      </c>
      <c r="AA910" s="110" t="s">
        <v>541</v>
      </c>
      <c r="AB910" s="110" t="s">
        <v>541</v>
      </c>
      <c r="AC910" s="10" t="s">
        <v>541</v>
      </c>
      <c r="AD910" s="10" t="s">
        <v>541</v>
      </c>
    </row>
    <row r="911" spans="1:30" x14ac:dyDescent="0.2">
      <c r="A911" s="110">
        <v>910</v>
      </c>
      <c r="B911" s="132">
        <v>41837</v>
      </c>
      <c r="C911" s="117">
        <v>3</v>
      </c>
      <c r="D911" s="103" t="s">
        <v>97</v>
      </c>
      <c r="E911" s="103" t="s">
        <v>798</v>
      </c>
      <c r="H911" s="103"/>
      <c r="J911" s="103">
        <v>21</v>
      </c>
      <c r="K911" s="103" t="s">
        <v>364</v>
      </c>
      <c r="L911" s="133"/>
      <c r="M911" s="134">
        <v>1.5972222222222224E-2</v>
      </c>
      <c r="N911" s="137" t="s">
        <v>2853</v>
      </c>
      <c r="O911" s="133" t="s">
        <v>1532</v>
      </c>
      <c r="Q911" s="100" t="s">
        <v>2826</v>
      </c>
      <c r="R911" s="226" t="s">
        <v>2864</v>
      </c>
      <c r="S911" s="491" t="str">
        <f t="shared" si="29"/>
        <v>x</v>
      </c>
      <c r="T911" s="492" t="str">
        <f>IFERROR(VLOOKUP(F911,'Freq-Chan'!C:D,2,FALSE),"x")</f>
        <v>x</v>
      </c>
      <c r="U911" s="110" t="s">
        <v>541</v>
      </c>
      <c r="V911" s="110" t="str">
        <f t="shared" si="30"/>
        <v>FWL</v>
      </c>
      <c r="W911" s="110" t="s">
        <v>541</v>
      </c>
      <c r="X911" s="110" t="s">
        <v>541</v>
      </c>
      <c r="Y911" s="110" t="str">
        <f>IFERROR(VLOOKUP(F911,'Freq-Chan'!C:E,3,FALSE),"na")</f>
        <v>na</v>
      </c>
      <c r="Z911" s="110" t="s">
        <v>541</v>
      </c>
      <c r="AA911" s="110" t="s">
        <v>541</v>
      </c>
      <c r="AB911" s="110" t="s">
        <v>541</v>
      </c>
      <c r="AC911" s="10" t="s">
        <v>541</v>
      </c>
      <c r="AD911" s="10" t="s">
        <v>541</v>
      </c>
    </row>
    <row r="912" spans="1:30" x14ac:dyDescent="0.2">
      <c r="A912" s="110">
        <v>911</v>
      </c>
      <c r="B912" s="132">
        <v>41837</v>
      </c>
      <c r="C912" s="117">
        <v>3</v>
      </c>
      <c r="D912" s="103" t="s">
        <v>177</v>
      </c>
      <c r="E912" s="103" t="s">
        <v>0</v>
      </c>
      <c r="H912" s="103"/>
      <c r="I912" s="103">
        <v>33</v>
      </c>
      <c r="K912" s="103" t="s">
        <v>364</v>
      </c>
      <c r="L912" s="133">
        <v>0.8618055555555556</v>
      </c>
      <c r="M912" s="134">
        <v>1.7361111111111112E-2</v>
      </c>
      <c r="N912" s="137" t="s">
        <v>2854</v>
      </c>
      <c r="O912" s="133" t="s">
        <v>1532</v>
      </c>
      <c r="P912" s="100" t="s">
        <v>776</v>
      </c>
      <c r="Q912" s="100" t="s">
        <v>2826</v>
      </c>
      <c r="R912" s="226" t="s">
        <v>2864</v>
      </c>
      <c r="S912" s="491">
        <f t="shared" si="29"/>
        <v>1.099537E-3</v>
      </c>
      <c r="T912" s="492" t="str">
        <f>IFERROR(VLOOKUP(F912,'Freq-Chan'!C:D,2,FALSE),"x")</f>
        <v>x</v>
      </c>
      <c r="U912" s="110" t="s">
        <v>541</v>
      </c>
      <c r="V912" s="110" t="str">
        <f t="shared" si="30"/>
        <v>FWL</v>
      </c>
      <c r="W912" s="110" t="s">
        <v>541</v>
      </c>
      <c r="X912" s="110" t="s">
        <v>541</v>
      </c>
      <c r="Y912" s="110" t="str">
        <f>IFERROR(VLOOKUP(F912,'Freq-Chan'!C:E,3,FALSE),"na")</f>
        <v>na</v>
      </c>
      <c r="Z912" s="110" t="s">
        <v>541</v>
      </c>
      <c r="AA912" s="110" t="s">
        <v>541</v>
      </c>
      <c r="AB912" s="110" t="s">
        <v>541</v>
      </c>
      <c r="AC912" s="10" t="s">
        <v>541</v>
      </c>
      <c r="AD912" s="10" t="s">
        <v>541</v>
      </c>
    </row>
    <row r="913" spans="1:30" x14ac:dyDescent="0.2">
      <c r="A913" s="110">
        <v>912</v>
      </c>
      <c r="B913" s="132">
        <v>41837</v>
      </c>
      <c r="C913" s="117">
        <v>3</v>
      </c>
      <c r="D913" s="103" t="s">
        <v>71</v>
      </c>
      <c r="E913" s="103" t="s">
        <v>306</v>
      </c>
      <c r="H913" s="103"/>
      <c r="I913" s="103">
        <v>63</v>
      </c>
      <c r="K913" s="103" t="s">
        <v>364</v>
      </c>
      <c r="L913" s="133"/>
      <c r="M913" s="134">
        <v>3.2638888888888891E-2</v>
      </c>
      <c r="N913" s="137" t="s">
        <v>2058</v>
      </c>
      <c r="O913" s="133" t="s">
        <v>1532</v>
      </c>
      <c r="Q913" s="100" t="s">
        <v>2826</v>
      </c>
      <c r="R913" s="226" t="s">
        <v>2864</v>
      </c>
      <c r="S913" s="491" t="str">
        <f t="shared" si="29"/>
        <v>x</v>
      </c>
      <c r="T913" s="492" t="str">
        <f>IFERROR(VLOOKUP(F913,'Freq-Chan'!C:D,2,FALSE),"x")</f>
        <v>x</v>
      </c>
      <c r="U913" s="110" t="s">
        <v>541</v>
      </c>
      <c r="V913" s="110" t="str">
        <f t="shared" si="30"/>
        <v>FWL</v>
      </c>
      <c r="W913" s="110" t="s">
        <v>541</v>
      </c>
      <c r="X913" s="110" t="s">
        <v>541</v>
      </c>
      <c r="Y913" s="110" t="str">
        <f>IFERROR(VLOOKUP(F913,'Freq-Chan'!C:E,3,FALSE),"na")</f>
        <v>na</v>
      </c>
      <c r="Z913" s="110" t="s">
        <v>541</v>
      </c>
      <c r="AA913" s="110" t="s">
        <v>541</v>
      </c>
      <c r="AB913" s="110" t="s">
        <v>541</v>
      </c>
      <c r="AC913" s="10" t="s">
        <v>541</v>
      </c>
      <c r="AD913" s="10" t="s">
        <v>541</v>
      </c>
    </row>
    <row r="914" spans="1:30" x14ac:dyDescent="0.2">
      <c r="A914" s="110">
        <v>913</v>
      </c>
      <c r="B914" s="132">
        <v>41837</v>
      </c>
      <c r="C914" s="117">
        <v>3</v>
      </c>
      <c r="D914" s="103" t="s">
        <v>177</v>
      </c>
      <c r="E914" s="103" t="s">
        <v>0</v>
      </c>
      <c r="H914" s="103"/>
      <c r="I914" s="103">
        <v>35</v>
      </c>
      <c r="K914" s="103" t="s">
        <v>364</v>
      </c>
      <c r="L914" s="133"/>
      <c r="M914" s="134">
        <v>3.125E-2</v>
      </c>
      <c r="N914" s="137" t="s">
        <v>2855</v>
      </c>
      <c r="O914" s="133" t="s">
        <v>1532</v>
      </c>
      <c r="P914" s="100" t="s">
        <v>776</v>
      </c>
      <c r="Q914" s="100" t="s">
        <v>2826</v>
      </c>
      <c r="R914" s="226" t="s">
        <v>2864</v>
      </c>
      <c r="S914" s="491" t="str">
        <f t="shared" si="29"/>
        <v>x</v>
      </c>
      <c r="T914" s="492" t="str">
        <f>IFERROR(VLOOKUP(F914,'Freq-Chan'!C:D,2,FALSE),"x")</f>
        <v>x</v>
      </c>
      <c r="U914" s="110" t="s">
        <v>541</v>
      </c>
      <c r="V914" s="110" t="str">
        <f t="shared" si="30"/>
        <v>FWL</v>
      </c>
      <c r="W914" s="110" t="s">
        <v>541</v>
      </c>
      <c r="X914" s="110" t="s">
        <v>541</v>
      </c>
      <c r="Y914" s="110" t="str">
        <f>IFERROR(VLOOKUP(F914,'Freq-Chan'!C:E,3,FALSE),"na")</f>
        <v>na</v>
      </c>
      <c r="Z914" s="110" t="s">
        <v>541</v>
      </c>
      <c r="AA914" s="110" t="s">
        <v>541</v>
      </c>
      <c r="AB914" s="110" t="s">
        <v>541</v>
      </c>
      <c r="AC914" s="10" t="s">
        <v>541</v>
      </c>
      <c r="AD914" s="10" t="s">
        <v>541</v>
      </c>
    </row>
    <row r="915" spans="1:30" x14ac:dyDescent="0.2">
      <c r="A915" s="110">
        <v>914</v>
      </c>
      <c r="B915" s="132">
        <v>41837</v>
      </c>
      <c r="C915" s="117">
        <v>3</v>
      </c>
      <c r="D915" s="103" t="s">
        <v>70</v>
      </c>
      <c r="E915" s="103" t="s">
        <v>306</v>
      </c>
      <c r="F915" s="103">
        <v>596</v>
      </c>
      <c r="G915" s="103">
        <v>10</v>
      </c>
      <c r="H915" s="137" t="s">
        <v>2861</v>
      </c>
      <c r="I915" s="103">
        <v>43</v>
      </c>
      <c r="K915" s="103" t="s">
        <v>364</v>
      </c>
      <c r="L915" s="133">
        <v>0.90763888888888899</v>
      </c>
      <c r="M915" s="134">
        <v>5.486111111111111E-2</v>
      </c>
      <c r="N915" s="137" t="s">
        <v>2856</v>
      </c>
      <c r="O915" s="133" t="s">
        <v>1875</v>
      </c>
      <c r="Q915" s="100" t="s">
        <v>2826</v>
      </c>
      <c r="R915" s="226" t="s">
        <v>2864</v>
      </c>
      <c r="S915" s="491">
        <f t="shared" si="29"/>
        <v>2.1307870400000001E-2</v>
      </c>
      <c r="T915" s="492">
        <f>IFERROR(VLOOKUP(F915,'Freq-Chan'!C:D,2,FALSE),"x")</f>
        <v>151.596</v>
      </c>
      <c r="U915" s="110" t="s">
        <v>541</v>
      </c>
      <c r="V915" s="110" t="str">
        <f t="shared" si="30"/>
        <v>FWL</v>
      </c>
      <c r="W915" s="110" t="s">
        <v>541</v>
      </c>
      <c r="X915" s="110" t="s">
        <v>541</v>
      </c>
      <c r="Y915" s="110" t="str">
        <f>IFERROR(VLOOKUP(F915,'Freq-Chan'!C:E,3,FALSE),"na")</f>
        <v>F1835</v>
      </c>
      <c r="Z915" s="110" t="s">
        <v>541</v>
      </c>
      <c r="AA915" s="110" t="s">
        <v>541</v>
      </c>
      <c r="AB915" s="110" t="s">
        <v>541</v>
      </c>
      <c r="AC915" s="10" t="s">
        <v>541</v>
      </c>
      <c r="AD915" s="10" t="s">
        <v>541</v>
      </c>
    </row>
    <row r="916" spans="1:30" s="291" customFormat="1" x14ac:dyDescent="0.2">
      <c r="A916" s="493">
        <v>915</v>
      </c>
      <c r="B916" s="283">
        <v>41837</v>
      </c>
      <c r="C916" s="284">
        <v>3</v>
      </c>
      <c r="D916" s="285" t="s">
        <v>75</v>
      </c>
      <c r="E916" s="285" t="s">
        <v>798</v>
      </c>
      <c r="F916" s="285"/>
      <c r="G916" s="285"/>
      <c r="H916" s="285"/>
      <c r="I916" s="285"/>
      <c r="J916" s="285">
        <v>28</v>
      </c>
      <c r="K916" s="285" t="s">
        <v>364</v>
      </c>
      <c r="L916" s="286"/>
      <c r="M916" s="287">
        <v>1.8749999999999999E-2</v>
      </c>
      <c r="N916" s="339" t="s">
        <v>2858</v>
      </c>
      <c r="O916" s="286" t="s">
        <v>1532</v>
      </c>
      <c r="P916" s="289"/>
      <c r="Q916" s="289" t="s">
        <v>2826</v>
      </c>
      <c r="R916" s="290" t="s">
        <v>2864</v>
      </c>
      <c r="S916" s="494" t="str">
        <f t="shared" si="29"/>
        <v>x</v>
      </c>
      <c r="T916" s="495" t="str">
        <f>IFERROR(VLOOKUP(F916,'Freq-Chan'!C:D,2,FALSE),"x")</f>
        <v>x</v>
      </c>
      <c r="U916" s="493" t="s">
        <v>541</v>
      </c>
      <c r="V916" s="493" t="str">
        <f t="shared" si="30"/>
        <v>FWL</v>
      </c>
      <c r="W916" s="493" t="s">
        <v>541</v>
      </c>
      <c r="X916" s="493" t="s">
        <v>541</v>
      </c>
      <c r="Y916" s="493" t="str">
        <f>IFERROR(VLOOKUP(F916,'Freq-Chan'!C:E,3,FALSE),"na")</f>
        <v>na</v>
      </c>
      <c r="Z916" s="493" t="s">
        <v>541</v>
      </c>
      <c r="AA916" s="493" t="s">
        <v>541</v>
      </c>
      <c r="AB916" s="493" t="s">
        <v>541</v>
      </c>
      <c r="AC916" s="291" t="s">
        <v>541</v>
      </c>
      <c r="AD916" s="291" t="s">
        <v>541</v>
      </c>
    </row>
    <row r="917" spans="1:30" s="314" customFormat="1" x14ac:dyDescent="0.2">
      <c r="A917" s="499">
        <v>916</v>
      </c>
      <c r="B917" s="294">
        <v>41838</v>
      </c>
      <c r="C917" s="295">
        <v>1</v>
      </c>
      <c r="D917" s="296" t="s">
        <v>2</v>
      </c>
      <c r="E917" s="296" t="s">
        <v>306</v>
      </c>
      <c r="F917" s="296">
        <v>917</v>
      </c>
      <c r="G917" s="296">
        <v>30</v>
      </c>
      <c r="H917" s="296" t="s">
        <v>1502</v>
      </c>
      <c r="I917" s="296">
        <v>91</v>
      </c>
      <c r="J917" s="296"/>
      <c r="K917" s="296" t="s">
        <v>1032</v>
      </c>
      <c r="L917" s="297"/>
      <c r="M917" s="298">
        <v>4.5138888888888888E-2</v>
      </c>
      <c r="N917" s="327" t="s">
        <v>2881</v>
      </c>
      <c r="O917" s="297" t="s">
        <v>1888</v>
      </c>
      <c r="P917" s="300" t="s">
        <v>2882</v>
      </c>
      <c r="Q917" s="300" t="s">
        <v>2872</v>
      </c>
      <c r="R917" s="301" t="s">
        <v>2914</v>
      </c>
      <c r="S917" s="500" t="str">
        <f t="shared" si="29"/>
        <v>x</v>
      </c>
      <c r="T917" s="501">
        <f>IFERROR(VLOOKUP(F917,'Freq-Chan'!C:D,2,FALSE),"x")</f>
        <v>151.917</v>
      </c>
      <c r="U917" s="499" t="s">
        <v>541</v>
      </c>
      <c r="V917" s="499" t="str">
        <f t="shared" si="30"/>
        <v>FWL</v>
      </c>
      <c r="W917" s="499" t="s">
        <v>541</v>
      </c>
      <c r="X917" s="499" t="s">
        <v>541</v>
      </c>
      <c r="Y917" s="499" t="str">
        <f>IFERROR(VLOOKUP(F917,'Freq-Chan'!C:E,3,FALSE),"na")</f>
        <v>F1835</v>
      </c>
      <c r="Z917" s="499" t="s">
        <v>541</v>
      </c>
      <c r="AA917" s="499" t="s">
        <v>541</v>
      </c>
      <c r="AB917" s="499" t="s">
        <v>541</v>
      </c>
      <c r="AC917" s="314" t="s">
        <v>541</v>
      </c>
      <c r="AD917" s="314" t="s">
        <v>541</v>
      </c>
    </row>
    <row r="918" spans="1:30" x14ac:dyDescent="0.2">
      <c r="A918" s="110">
        <v>917</v>
      </c>
      <c r="B918" s="132">
        <v>41838</v>
      </c>
      <c r="C918" s="117">
        <v>2</v>
      </c>
      <c r="D918" s="103" t="s">
        <v>8</v>
      </c>
      <c r="E918" s="103" t="s">
        <v>306</v>
      </c>
      <c r="F918" s="103">
        <v>586</v>
      </c>
      <c r="G918" s="103">
        <v>5</v>
      </c>
      <c r="H918" s="103" t="s">
        <v>2118</v>
      </c>
      <c r="I918" s="103">
        <v>44</v>
      </c>
      <c r="K918" s="103" t="s">
        <v>364</v>
      </c>
      <c r="L918" s="133"/>
      <c r="M918" s="134">
        <v>4.8611111111111112E-2</v>
      </c>
      <c r="N918" s="137" t="s">
        <v>2616</v>
      </c>
      <c r="O918" s="133" t="s">
        <v>802</v>
      </c>
      <c r="P918" s="100" t="s">
        <v>2883</v>
      </c>
      <c r="Q918" s="100" t="s">
        <v>2872</v>
      </c>
      <c r="R918" s="312" t="s">
        <v>2914</v>
      </c>
      <c r="S918" s="491" t="str">
        <f t="shared" si="29"/>
        <v>x</v>
      </c>
      <c r="T918" s="492">
        <f>IFERROR(VLOOKUP(F918,'Freq-Chan'!C:D,2,FALSE),"x")</f>
        <v>151.58600000000001</v>
      </c>
      <c r="U918" s="110" t="s">
        <v>541</v>
      </c>
      <c r="V918" s="110" t="str">
        <f t="shared" si="30"/>
        <v>FWL</v>
      </c>
      <c r="W918" s="110" t="s">
        <v>541</v>
      </c>
      <c r="X918" s="110" t="s">
        <v>541</v>
      </c>
      <c r="Y918" s="110" t="str">
        <f>IFERROR(VLOOKUP(F918,'Freq-Chan'!C:E,3,FALSE),"na")</f>
        <v>F1840</v>
      </c>
      <c r="Z918" s="110" t="s">
        <v>541</v>
      </c>
      <c r="AA918" s="110" t="s">
        <v>541</v>
      </c>
      <c r="AB918" s="110" t="s">
        <v>541</v>
      </c>
      <c r="AC918" s="10" t="s">
        <v>541</v>
      </c>
      <c r="AD918" s="10" t="s">
        <v>541</v>
      </c>
    </row>
    <row r="919" spans="1:30" x14ac:dyDescent="0.2">
      <c r="A919" s="110">
        <v>918</v>
      </c>
      <c r="B919" s="132">
        <v>41838</v>
      </c>
      <c r="C919" s="117">
        <v>2</v>
      </c>
      <c r="D919" s="103" t="s">
        <v>8</v>
      </c>
      <c r="E919" s="103" t="s">
        <v>306</v>
      </c>
      <c r="F919" s="103">
        <v>586</v>
      </c>
      <c r="G919" s="103">
        <v>10</v>
      </c>
      <c r="H919" s="103" t="s">
        <v>2119</v>
      </c>
      <c r="I919" s="103">
        <v>48</v>
      </c>
      <c r="K919" s="103" t="s">
        <v>364</v>
      </c>
      <c r="L919" s="133"/>
      <c r="M919" s="134">
        <v>5.0694444444444452E-2</v>
      </c>
      <c r="N919" s="137" t="s">
        <v>2651</v>
      </c>
      <c r="O919" s="133" t="s">
        <v>802</v>
      </c>
      <c r="P919" s="100" t="s">
        <v>1998</v>
      </c>
      <c r="Q919" s="100" t="s">
        <v>2872</v>
      </c>
      <c r="R919" s="100" t="s">
        <v>2914</v>
      </c>
      <c r="S919" s="503" t="str">
        <f t="shared" si="29"/>
        <v>x</v>
      </c>
      <c r="T919" s="492">
        <f>IFERROR(VLOOKUP(F919,'Freq-Chan'!C:D,2,FALSE),"x")</f>
        <v>151.58600000000001</v>
      </c>
      <c r="U919" s="110" t="s">
        <v>541</v>
      </c>
      <c r="V919" s="110" t="str">
        <f t="shared" si="30"/>
        <v>FWL</v>
      </c>
      <c r="W919" s="110" t="s">
        <v>541</v>
      </c>
      <c r="X919" s="110" t="s">
        <v>541</v>
      </c>
      <c r="Y919" s="110" t="str">
        <f>IFERROR(VLOOKUP(F919,'Freq-Chan'!C:E,3,FALSE),"na")</f>
        <v>F1840</v>
      </c>
      <c r="Z919" s="110" t="s">
        <v>541</v>
      </c>
      <c r="AA919" s="110" t="s">
        <v>541</v>
      </c>
      <c r="AB919" s="110" t="s">
        <v>541</v>
      </c>
      <c r="AC919" s="10" t="s">
        <v>541</v>
      </c>
      <c r="AD919" s="10" t="s">
        <v>541</v>
      </c>
    </row>
    <row r="920" spans="1:30" x14ac:dyDescent="0.2">
      <c r="A920" s="110">
        <v>919</v>
      </c>
      <c r="B920" s="132">
        <v>41838</v>
      </c>
      <c r="C920" s="117">
        <v>2</v>
      </c>
      <c r="D920" s="103" t="s">
        <v>8</v>
      </c>
      <c r="E920" s="103" t="s">
        <v>306</v>
      </c>
      <c r="F920" s="103">
        <v>573</v>
      </c>
      <c r="G920" s="103">
        <v>43</v>
      </c>
      <c r="H920" s="103" t="s">
        <v>2120</v>
      </c>
      <c r="I920" s="103">
        <v>57</v>
      </c>
      <c r="K920" s="103" t="s">
        <v>364</v>
      </c>
      <c r="L920" s="133"/>
      <c r="M920" s="134">
        <v>5.6250000000000001E-2</v>
      </c>
      <c r="N920" s="137" t="s">
        <v>2522</v>
      </c>
      <c r="O920" s="133" t="s">
        <v>802</v>
      </c>
      <c r="P920" s="100" t="s">
        <v>1998</v>
      </c>
      <c r="Q920" s="100" t="s">
        <v>2872</v>
      </c>
      <c r="R920" s="100" t="s">
        <v>2914</v>
      </c>
      <c r="S920" s="491" t="str">
        <f t="shared" si="29"/>
        <v>x</v>
      </c>
      <c r="T920" s="492">
        <f>IFERROR(VLOOKUP(F920,'Freq-Chan'!C:D,2,FALSE),"x")</f>
        <v>151.57300000000001</v>
      </c>
      <c r="U920" s="110" t="s">
        <v>541</v>
      </c>
      <c r="V920" s="110" t="str">
        <f t="shared" si="30"/>
        <v>FWL</v>
      </c>
      <c r="W920" s="110" t="s">
        <v>541</v>
      </c>
      <c r="X920" s="110" t="s">
        <v>541</v>
      </c>
      <c r="Y920" s="110" t="str">
        <f>IFERROR(VLOOKUP(F920,'Freq-Chan'!C:E,3,FALSE),"na")</f>
        <v>F1840</v>
      </c>
      <c r="Z920" s="110" t="s">
        <v>541</v>
      </c>
      <c r="AA920" s="110" t="s">
        <v>541</v>
      </c>
      <c r="AB920" s="110" t="s">
        <v>541</v>
      </c>
      <c r="AC920" s="10" t="s">
        <v>541</v>
      </c>
      <c r="AD920" s="10" t="s">
        <v>541</v>
      </c>
    </row>
    <row r="921" spans="1:30" s="291" customFormat="1" x14ac:dyDescent="0.2">
      <c r="A921" s="493">
        <v>920</v>
      </c>
      <c r="B921" s="283">
        <v>41838</v>
      </c>
      <c r="C921" s="284">
        <v>2</v>
      </c>
      <c r="D921" s="285" t="s">
        <v>88</v>
      </c>
      <c r="E921" s="285" t="s">
        <v>798</v>
      </c>
      <c r="F921" s="285"/>
      <c r="G921" s="285"/>
      <c r="H921" s="285"/>
      <c r="I921" s="285"/>
      <c r="J921" s="285">
        <v>26</v>
      </c>
      <c r="K921" s="285" t="s">
        <v>364</v>
      </c>
      <c r="L921" s="286"/>
      <c r="M921" s="287">
        <v>2.7777777777777776E-2</v>
      </c>
      <c r="N921" s="339" t="s">
        <v>1995</v>
      </c>
      <c r="O921" s="286" t="s">
        <v>1888</v>
      </c>
      <c r="P921" s="289"/>
      <c r="Q921" s="289" t="s">
        <v>2872</v>
      </c>
      <c r="R921" s="290" t="s">
        <v>2914</v>
      </c>
      <c r="S921" s="494" t="str">
        <f t="shared" si="29"/>
        <v>x</v>
      </c>
      <c r="T921" s="495" t="str">
        <f>IFERROR(VLOOKUP(F921,'Freq-Chan'!C:D,2,FALSE),"x")</f>
        <v>x</v>
      </c>
      <c r="U921" s="493" t="s">
        <v>541</v>
      </c>
      <c r="V921" s="493" t="str">
        <f t="shared" si="30"/>
        <v>FWL</v>
      </c>
      <c r="W921" s="493" t="s">
        <v>541</v>
      </c>
      <c r="X921" s="493" t="s">
        <v>541</v>
      </c>
      <c r="Y921" s="493" t="str">
        <f>IFERROR(VLOOKUP(F921,'Freq-Chan'!C:E,3,FALSE),"na")</f>
        <v>na</v>
      </c>
      <c r="Z921" s="493" t="s">
        <v>541</v>
      </c>
      <c r="AA921" s="493" t="s">
        <v>541</v>
      </c>
      <c r="AB921" s="493" t="s">
        <v>541</v>
      </c>
      <c r="AC921" s="291" t="s">
        <v>541</v>
      </c>
      <c r="AD921" s="291" t="s">
        <v>541</v>
      </c>
    </row>
    <row r="922" spans="1:30" x14ac:dyDescent="0.2">
      <c r="A922" s="110">
        <v>921</v>
      </c>
      <c r="B922" s="132">
        <v>41838</v>
      </c>
      <c r="C922" s="117">
        <v>3</v>
      </c>
      <c r="D922" s="103" t="s">
        <v>2</v>
      </c>
      <c r="E922" s="103" t="s">
        <v>306</v>
      </c>
      <c r="F922" s="103">
        <v>917</v>
      </c>
      <c r="G922" s="103">
        <v>20</v>
      </c>
      <c r="H922" s="103" t="s">
        <v>1507</v>
      </c>
      <c r="I922" s="103">
        <v>84</v>
      </c>
      <c r="K922" s="103" t="s">
        <v>364</v>
      </c>
      <c r="L922" s="133"/>
      <c r="M922" s="134">
        <v>0.10347222222222223</v>
      </c>
      <c r="N922" s="137" t="s">
        <v>2651</v>
      </c>
      <c r="O922" s="133" t="s">
        <v>1585</v>
      </c>
      <c r="P922" s="100" t="s">
        <v>2884</v>
      </c>
      <c r="Q922" s="100" t="s">
        <v>2879</v>
      </c>
      <c r="R922" s="100" t="s">
        <v>2914</v>
      </c>
      <c r="S922" s="491" t="str">
        <f t="shared" si="29"/>
        <v>x</v>
      </c>
      <c r="T922" s="492">
        <f>IFERROR(VLOOKUP(F922,'Freq-Chan'!C:D,2,FALSE),"x")</f>
        <v>151.917</v>
      </c>
      <c r="U922" s="110" t="s">
        <v>541</v>
      </c>
      <c r="V922" s="110" t="str">
        <f t="shared" si="30"/>
        <v>FWL</v>
      </c>
      <c r="W922" s="110" t="s">
        <v>541</v>
      </c>
      <c r="X922" s="110" t="s">
        <v>541</v>
      </c>
      <c r="Y922" s="110" t="str">
        <f>IFERROR(VLOOKUP(F922,'Freq-Chan'!C:E,3,FALSE),"na")</f>
        <v>F1835</v>
      </c>
      <c r="Z922" s="110" t="s">
        <v>541</v>
      </c>
      <c r="AA922" s="110" t="s">
        <v>541</v>
      </c>
      <c r="AB922" s="110" t="s">
        <v>541</v>
      </c>
      <c r="AC922" s="10" t="s">
        <v>541</v>
      </c>
      <c r="AD922" s="10" t="s">
        <v>541</v>
      </c>
    </row>
    <row r="923" spans="1:30" x14ac:dyDescent="0.2">
      <c r="A923" s="110">
        <v>922</v>
      </c>
      <c r="B923" s="132">
        <v>41838</v>
      </c>
      <c r="C923" s="117">
        <v>3</v>
      </c>
      <c r="D923" s="103" t="s">
        <v>2</v>
      </c>
      <c r="E923" s="103" t="s">
        <v>306</v>
      </c>
      <c r="F923" s="103">
        <v>917</v>
      </c>
      <c r="G923" s="103">
        <v>25</v>
      </c>
      <c r="H923" s="103" t="s">
        <v>1508</v>
      </c>
      <c r="I923" s="103">
        <v>55</v>
      </c>
      <c r="K923" s="103" t="s">
        <v>364</v>
      </c>
      <c r="L923" s="133"/>
      <c r="M923" s="134">
        <v>4.1666666666666664E-2</v>
      </c>
      <c r="N923" s="137" t="s">
        <v>2522</v>
      </c>
      <c r="O923" s="133" t="s">
        <v>1663</v>
      </c>
      <c r="P923" s="100" t="s">
        <v>2885</v>
      </c>
      <c r="Q923" s="100" t="s">
        <v>2879</v>
      </c>
      <c r="R923" s="100" t="s">
        <v>2914</v>
      </c>
      <c r="S923" s="491" t="str">
        <f t="shared" si="29"/>
        <v>x</v>
      </c>
      <c r="T923" s="492">
        <f>IFERROR(VLOOKUP(F923,'Freq-Chan'!C:D,2,FALSE),"x")</f>
        <v>151.917</v>
      </c>
      <c r="U923" s="110" t="s">
        <v>541</v>
      </c>
      <c r="V923" s="110" t="str">
        <f t="shared" si="30"/>
        <v>FWL</v>
      </c>
      <c r="W923" s="110" t="s">
        <v>541</v>
      </c>
      <c r="X923" s="110" t="s">
        <v>541</v>
      </c>
      <c r="Y923" s="110" t="str">
        <f>IFERROR(VLOOKUP(F923,'Freq-Chan'!C:E,3,FALSE),"na")</f>
        <v>F1835</v>
      </c>
      <c r="Z923" s="110" t="s">
        <v>541</v>
      </c>
      <c r="AA923" s="110" t="s">
        <v>541</v>
      </c>
      <c r="AB923" s="110" t="s">
        <v>541</v>
      </c>
      <c r="AC923" s="10" t="s">
        <v>541</v>
      </c>
      <c r="AD923" s="10" t="s">
        <v>541</v>
      </c>
    </row>
    <row r="924" spans="1:30" x14ac:dyDescent="0.2">
      <c r="A924" s="110">
        <v>923</v>
      </c>
      <c r="B924" s="132">
        <v>41838</v>
      </c>
      <c r="C924" s="117">
        <v>3</v>
      </c>
      <c r="D924" s="103" t="s">
        <v>2</v>
      </c>
      <c r="E924" s="103" t="s">
        <v>306</v>
      </c>
      <c r="F924" s="103">
        <v>596</v>
      </c>
      <c r="G924" s="103">
        <v>22</v>
      </c>
      <c r="H924" s="103" t="s">
        <v>1509</v>
      </c>
      <c r="I924" s="103">
        <v>51</v>
      </c>
      <c r="K924" s="103" t="s">
        <v>364</v>
      </c>
      <c r="L924" s="133">
        <v>0.27777777777777779</v>
      </c>
      <c r="M924" s="134">
        <v>3.9583333333333331E-2</v>
      </c>
      <c r="N924" s="137" t="s">
        <v>2772</v>
      </c>
      <c r="O924" s="133" t="s">
        <v>1585</v>
      </c>
      <c r="P924" s="100" t="s">
        <v>2886</v>
      </c>
      <c r="Q924" s="100" t="s">
        <v>2879</v>
      </c>
      <c r="R924" s="100" t="s">
        <v>2914</v>
      </c>
      <c r="S924" s="491">
        <f t="shared" si="29"/>
        <v>2.78125E-2</v>
      </c>
      <c r="T924" s="492">
        <f>IFERROR(VLOOKUP(F924,'Freq-Chan'!C:D,2,FALSE),"x")</f>
        <v>151.596</v>
      </c>
      <c r="U924" s="110" t="s">
        <v>541</v>
      </c>
      <c r="V924" s="110" t="str">
        <f t="shared" si="30"/>
        <v>FWL</v>
      </c>
      <c r="W924" s="110" t="s">
        <v>541</v>
      </c>
      <c r="X924" s="110" t="s">
        <v>541</v>
      </c>
      <c r="Y924" s="110" t="str">
        <f>IFERROR(VLOOKUP(F924,'Freq-Chan'!C:E,3,FALSE),"na")</f>
        <v>F1835</v>
      </c>
      <c r="Z924" s="110" t="s">
        <v>541</v>
      </c>
      <c r="AA924" s="110" t="s">
        <v>541</v>
      </c>
      <c r="AB924" s="110" t="s">
        <v>541</v>
      </c>
      <c r="AC924" s="10" t="s">
        <v>541</v>
      </c>
      <c r="AD924" s="10" t="s">
        <v>541</v>
      </c>
    </row>
    <row r="925" spans="1:30" x14ac:dyDescent="0.2">
      <c r="A925" s="110">
        <v>924</v>
      </c>
      <c r="B925" s="132">
        <v>41838</v>
      </c>
      <c r="C925" s="117">
        <v>3</v>
      </c>
      <c r="D925" s="103" t="s">
        <v>70</v>
      </c>
      <c r="E925" s="103" t="s">
        <v>306</v>
      </c>
      <c r="F925" s="103">
        <v>596</v>
      </c>
      <c r="G925" s="103">
        <v>19</v>
      </c>
      <c r="H925" s="137" t="s">
        <v>2887</v>
      </c>
      <c r="I925" s="103">
        <v>44</v>
      </c>
      <c r="K925" s="103" t="s">
        <v>364</v>
      </c>
      <c r="L925" s="133">
        <v>0.27013888888888887</v>
      </c>
      <c r="M925" s="134">
        <v>4.8611111111111112E-2</v>
      </c>
      <c r="N925" s="137" t="s">
        <v>2888</v>
      </c>
      <c r="O925" s="133" t="s">
        <v>1585</v>
      </c>
      <c r="Q925" s="100" t="s">
        <v>2879</v>
      </c>
      <c r="R925" s="100" t="s">
        <v>2914</v>
      </c>
      <c r="S925" s="491">
        <f t="shared" si="29"/>
        <v>3.8078703700000001E-2</v>
      </c>
      <c r="T925" s="492">
        <f>IFERROR(VLOOKUP(F925,'Freq-Chan'!C:D,2,FALSE),"x")</f>
        <v>151.596</v>
      </c>
      <c r="U925" s="110" t="s">
        <v>541</v>
      </c>
      <c r="V925" s="110" t="str">
        <f t="shared" si="30"/>
        <v>FWL</v>
      </c>
      <c r="W925" s="110" t="s">
        <v>541</v>
      </c>
      <c r="X925" s="110" t="s">
        <v>541</v>
      </c>
      <c r="Y925" s="110" t="str">
        <f>IFERROR(VLOOKUP(F925,'Freq-Chan'!C:E,3,FALSE),"na")</f>
        <v>F1835</v>
      </c>
      <c r="Z925" s="110" t="s">
        <v>541</v>
      </c>
      <c r="AA925" s="110" t="s">
        <v>541</v>
      </c>
      <c r="AB925" s="110" t="s">
        <v>541</v>
      </c>
      <c r="AC925" s="10" t="s">
        <v>541</v>
      </c>
      <c r="AD925" s="10" t="s">
        <v>541</v>
      </c>
    </row>
    <row r="926" spans="1:30" x14ac:dyDescent="0.2">
      <c r="A926" s="110">
        <v>925</v>
      </c>
      <c r="B926" s="132">
        <v>41838</v>
      </c>
      <c r="C926" s="117">
        <v>3</v>
      </c>
      <c r="D926" s="103" t="s">
        <v>90</v>
      </c>
      <c r="E926" s="103" t="s">
        <v>798</v>
      </c>
      <c r="H926" s="103" t="s">
        <v>1719</v>
      </c>
      <c r="J926" s="103">
        <v>33</v>
      </c>
      <c r="K926" s="103" t="s">
        <v>364</v>
      </c>
      <c r="L926" s="133"/>
      <c r="M926" s="134">
        <v>3.125E-2</v>
      </c>
      <c r="N926" s="137" t="s">
        <v>2889</v>
      </c>
      <c r="O926" s="133" t="s">
        <v>1663</v>
      </c>
      <c r="P926" s="100" t="s">
        <v>2890</v>
      </c>
      <c r="Q926" s="100" t="s">
        <v>2879</v>
      </c>
      <c r="R926" s="100" t="s">
        <v>2914</v>
      </c>
      <c r="S926" s="491" t="str">
        <f t="shared" si="29"/>
        <v>x</v>
      </c>
      <c r="T926" s="492" t="str">
        <f>IFERROR(VLOOKUP(F926,'Freq-Chan'!C:D,2,FALSE),"x")</f>
        <v>x</v>
      </c>
      <c r="U926" s="110" t="s">
        <v>541</v>
      </c>
      <c r="V926" s="110" t="str">
        <f t="shared" si="30"/>
        <v>FWL</v>
      </c>
      <c r="W926" s="110" t="s">
        <v>541</v>
      </c>
      <c r="X926" s="110" t="s">
        <v>541</v>
      </c>
      <c r="Y926" s="110" t="str">
        <f>IFERROR(VLOOKUP(F926,'Freq-Chan'!C:E,3,FALSE),"na")</f>
        <v>na</v>
      </c>
      <c r="Z926" s="110" t="s">
        <v>541</v>
      </c>
      <c r="AA926" s="110" t="s">
        <v>541</v>
      </c>
      <c r="AB926" s="110" t="s">
        <v>541</v>
      </c>
      <c r="AC926" s="10" t="s">
        <v>541</v>
      </c>
      <c r="AD926" s="10" t="s">
        <v>541</v>
      </c>
    </row>
    <row r="927" spans="1:30" x14ac:dyDescent="0.2">
      <c r="A927" s="110">
        <v>926</v>
      </c>
      <c r="B927" s="132">
        <v>41838</v>
      </c>
      <c r="C927" s="117">
        <v>3</v>
      </c>
      <c r="D927" s="103" t="s">
        <v>177</v>
      </c>
      <c r="E927" s="103" t="s">
        <v>0</v>
      </c>
      <c r="H927" s="103"/>
      <c r="I927" s="103">
        <v>38</v>
      </c>
      <c r="K927" s="103" t="s">
        <v>364</v>
      </c>
      <c r="L927" s="133"/>
      <c r="M927" s="134">
        <v>1.0416666666666666E-2</v>
      </c>
      <c r="N927" s="137" t="s">
        <v>2892</v>
      </c>
      <c r="O927" s="133" t="s">
        <v>1663</v>
      </c>
      <c r="P927" s="100" t="s">
        <v>776</v>
      </c>
      <c r="Q927" s="100" t="s">
        <v>2879</v>
      </c>
      <c r="R927" s="100" t="s">
        <v>2914</v>
      </c>
      <c r="S927" s="491" t="str">
        <f t="shared" si="29"/>
        <v>x</v>
      </c>
      <c r="T927" s="492" t="str">
        <f>IFERROR(VLOOKUP(F927,'Freq-Chan'!C:D,2,FALSE),"x")</f>
        <v>x</v>
      </c>
      <c r="U927" s="110" t="s">
        <v>541</v>
      </c>
      <c r="V927" s="110" t="str">
        <f t="shared" si="30"/>
        <v>FWL</v>
      </c>
      <c r="W927" s="110" t="s">
        <v>541</v>
      </c>
      <c r="X927" s="110" t="s">
        <v>541</v>
      </c>
      <c r="Y927" s="110" t="str">
        <f>IFERROR(VLOOKUP(F927,'Freq-Chan'!C:E,3,FALSE),"na")</f>
        <v>na</v>
      </c>
      <c r="Z927" s="110" t="s">
        <v>541</v>
      </c>
      <c r="AA927" s="110" t="s">
        <v>541</v>
      </c>
      <c r="AB927" s="110" t="s">
        <v>541</v>
      </c>
      <c r="AC927" s="10" t="s">
        <v>541</v>
      </c>
      <c r="AD927" s="10" t="s">
        <v>541</v>
      </c>
    </row>
    <row r="928" spans="1:30" x14ac:dyDescent="0.2">
      <c r="A928" s="110">
        <v>927</v>
      </c>
      <c r="B928" s="132">
        <v>41838</v>
      </c>
      <c r="C928" s="117">
        <v>3</v>
      </c>
      <c r="D928" s="103" t="s">
        <v>177</v>
      </c>
      <c r="E928" s="103" t="s">
        <v>0</v>
      </c>
      <c r="F928" s="103">
        <v>917</v>
      </c>
      <c r="G928" s="103">
        <v>37</v>
      </c>
      <c r="H928" s="103" t="s">
        <v>1510</v>
      </c>
      <c r="I928" s="103">
        <v>41</v>
      </c>
      <c r="K928" s="103" t="s">
        <v>364</v>
      </c>
      <c r="L928" s="133"/>
      <c r="M928" s="134">
        <v>3.9583333333333331E-2</v>
      </c>
      <c r="N928" s="137" t="s">
        <v>2891</v>
      </c>
      <c r="O928" s="133" t="s">
        <v>376</v>
      </c>
      <c r="P928" s="100" t="s">
        <v>2893</v>
      </c>
      <c r="Q928" s="100" t="s">
        <v>2894</v>
      </c>
      <c r="R928" s="100" t="s">
        <v>2914</v>
      </c>
      <c r="S928" s="491" t="str">
        <f t="shared" si="29"/>
        <v>x</v>
      </c>
      <c r="T928" s="492">
        <f>IFERROR(VLOOKUP(F928,'Freq-Chan'!C:D,2,FALSE),"x")</f>
        <v>151.917</v>
      </c>
      <c r="U928" s="110" t="s">
        <v>541</v>
      </c>
      <c r="V928" s="110" t="str">
        <f t="shared" si="30"/>
        <v>FWL</v>
      </c>
      <c r="W928" s="110" t="s">
        <v>541</v>
      </c>
      <c r="X928" s="110" t="s">
        <v>541</v>
      </c>
      <c r="Y928" s="110" t="str">
        <f>IFERROR(VLOOKUP(F928,'Freq-Chan'!C:E,3,FALSE),"na")</f>
        <v>F1835</v>
      </c>
      <c r="Z928" s="110" t="s">
        <v>541</v>
      </c>
      <c r="AA928" s="110" t="s">
        <v>541</v>
      </c>
      <c r="AB928" s="110" t="s">
        <v>541</v>
      </c>
      <c r="AC928" s="10" t="s">
        <v>541</v>
      </c>
      <c r="AD928" s="10" t="s">
        <v>541</v>
      </c>
    </row>
    <row r="929" spans="1:30" x14ac:dyDescent="0.2">
      <c r="A929" s="110">
        <v>928</v>
      </c>
      <c r="B929" s="132">
        <v>41838</v>
      </c>
      <c r="C929" s="117">
        <v>3</v>
      </c>
      <c r="D929" s="103" t="s">
        <v>2</v>
      </c>
      <c r="E929" s="103" t="s">
        <v>306</v>
      </c>
      <c r="F929" s="103">
        <v>917</v>
      </c>
      <c r="G929" s="103">
        <v>0</v>
      </c>
      <c r="H929" s="103" t="s">
        <v>1511</v>
      </c>
      <c r="I929" s="103">
        <v>87</v>
      </c>
      <c r="K929" s="103" t="s">
        <v>365</v>
      </c>
      <c r="L929" s="133"/>
      <c r="M929" s="134">
        <v>4.7916666666666663E-2</v>
      </c>
      <c r="N929" s="137" t="s">
        <v>2895</v>
      </c>
      <c r="O929" s="133" t="s">
        <v>555</v>
      </c>
      <c r="P929" s="100" t="s">
        <v>2896</v>
      </c>
      <c r="Q929" s="100" t="s">
        <v>2894</v>
      </c>
      <c r="R929" s="100" t="s">
        <v>2914</v>
      </c>
      <c r="S929" s="491" t="str">
        <f t="shared" si="29"/>
        <v>x</v>
      </c>
      <c r="T929" s="492">
        <f>IFERROR(VLOOKUP(F929,'Freq-Chan'!C:D,2,FALSE),"x")</f>
        <v>151.917</v>
      </c>
      <c r="U929" s="110" t="s">
        <v>541</v>
      </c>
      <c r="V929" s="110" t="str">
        <f t="shared" si="30"/>
        <v>FWL</v>
      </c>
      <c r="W929" s="110" t="s">
        <v>541</v>
      </c>
      <c r="X929" s="110" t="s">
        <v>541</v>
      </c>
      <c r="Y929" s="110" t="str">
        <f>IFERROR(VLOOKUP(F929,'Freq-Chan'!C:E,3,FALSE),"na")</f>
        <v>F1835</v>
      </c>
      <c r="Z929" s="110" t="s">
        <v>541</v>
      </c>
      <c r="AA929" s="110" t="s">
        <v>541</v>
      </c>
      <c r="AB929" s="110" t="s">
        <v>541</v>
      </c>
      <c r="AC929" s="10" t="s">
        <v>541</v>
      </c>
      <c r="AD929" s="10" t="s">
        <v>541</v>
      </c>
    </row>
    <row r="930" spans="1:30" x14ac:dyDescent="0.2">
      <c r="A930" s="110">
        <v>929</v>
      </c>
      <c r="B930" s="132">
        <v>41838</v>
      </c>
      <c r="C930" s="117">
        <v>3</v>
      </c>
      <c r="D930" s="103" t="s">
        <v>177</v>
      </c>
      <c r="E930" s="103" t="s">
        <v>0</v>
      </c>
      <c r="H930" s="103"/>
      <c r="I930" s="103">
        <v>32</v>
      </c>
      <c r="K930" s="103" t="s">
        <v>364</v>
      </c>
      <c r="L930" s="133"/>
      <c r="M930" s="134">
        <v>2.0833333333333332E-2</v>
      </c>
      <c r="N930" s="137" t="s">
        <v>2592</v>
      </c>
      <c r="O930" s="133" t="s">
        <v>376</v>
      </c>
      <c r="P930" s="100" t="s">
        <v>776</v>
      </c>
      <c r="Q930" s="100" t="s">
        <v>2894</v>
      </c>
      <c r="R930" s="100" t="s">
        <v>2914</v>
      </c>
      <c r="S930" s="491" t="str">
        <f t="shared" si="29"/>
        <v>x</v>
      </c>
      <c r="T930" s="492" t="str">
        <f>IFERROR(VLOOKUP(F930,'Freq-Chan'!C:D,2,FALSE),"x")</f>
        <v>x</v>
      </c>
      <c r="U930" s="110" t="s">
        <v>541</v>
      </c>
      <c r="V930" s="110" t="str">
        <f t="shared" si="30"/>
        <v>FWL</v>
      </c>
      <c r="W930" s="110" t="s">
        <v>541</v>
      </c>
      <c r="X930" s="110" t="s">
        <v>541</v>
      </c>
      <c r="Y930" s="110" t="str">
        <f>IFERROR(VLOOKUP(F930,'Freq-Chan'!C:E,3,FALSE),"na")</f>
        <v>na</v>
      </c>
      <c r="Z930" s="110" t="s">
        <v>541</v>
      </c>
      <c r="AA930" s="110" t="s">
        <v>541</v>
      </c>
      <c r="AB930" s="110" t="s">
        <v>541</v>
      </c>
      <c r="AC930" s="10" t="s">
        <v>541</v>
      </c>
      <c r="AD930" s="10" t="s">
        <v>541</v>
      </c>
    </row>
    <row r="931" spans="1:30" x14ac:dyDescent="0.2">
      <c r="A931" s="110">
        <v>930</v>
      </c>
      <c r="B931" s="132">
        <v>41838</v>
      </c>
      <c r="C931" s="117">
        <v>3</v>
      </c>
      <c r="D931" s="103" t="s">
        <v>88</v>
      </c>
      <c r="E931" s="103" t="s">
        <v>798</v>
      </c>
      <c r="H931" s="103"/>
      <c r="J931" s="103">
        <v>31</v>
      </c>
      <c r="K931" s="103" t="s">
        <v>364</v>
      </c>
      <c r="L931" s="133"/>
      <c r="M931" s="134">
        <v>1.2499999999999999E-2</v>
      </c>
      <c r="N931" s="137" t="s">
        <v>2897</v>
      </c>
      <c r="O931" s="133" t="s">
        <v>376</v>
      </c>
      <c r="Q931" s="100" t="s">
        <v>2894</v>
      </c>
      <c r="R931" s="100" t="s">
        <v>2914</v>
      </c>
      <c r="S931" s="491" t="str">
        <f t="shared" si="29"/>
        <v>x</v>
      </c>
      <c r="T931" s="492" t="str">
        <f>IFERROR(VLOOKUP(F931,'Freq-Chan'!C:D,2,FALSE),"x")</f>
        <v>x</v>
      </c>
      <c r="U931" s="110" t="s">
        <v>541</v>
      </c>
      <c r="V931" s="110" t="str">
        <f t="shared" si="30"/>
        <v>FWL</v>
      </c>
      <c r="W931" s="110" t="s">
        <v>541</v>
      </c>
      <c r="X931" s="110" t="s">
        <v>541</v>
      </c>
      <c r="Y931" s="110" t="str">
        <f>IFERROR(VLOOKUP(F931,'Freq-Chan'!C:E,3,FALSE),"na")</f>
        <v>na</v>
      </c>
      <c r="Z931" s="110" t="s">
        <v>541</v>
      </c>
      <c r="AA931" s="110" t="s">
        <v>541</v>
      </c>
      <c r="AB931" s="110" t="s">
        <v>541</v>
      </c>
      <c r="AC931" s="10" t="s">
        <v>541</v>
      </c>
      <c r="AD931" s="10" t="s">
        <v>541</v>
      </c>
    </row>
    <row r="932" spans="1:30" x14ac:dyDescent="0.2">
      <c r="A932" s="110">
        <v>931</v>
      </c>
      <c r="B932" s="132">
        <v>41838</v>
      </c>
      <c r="C932" s="117">
        <v>3</v>
      </c>
      <c r="D932" s="103" t="s">
        <v>97</v>
      </c>
      <c r="E932" s="103" t="s">
        <v>798</v>
      </c>
      <c r="H932" s="103"/>
      <c r="J932" s="103">
        <v>16</v>
      </c>
      <c r="K932" s="103" t="s">
        <v>364</v>
      </c>
      <c r="L932" s="133"/>
      <c r="M932" s="134">
        <v>2.013888888888889E-2</v>
      </c>
      <c r="N932" s="137" t="s">
        <v>842</v>
      </c>
      <c r="O932" s="133" t="s">
        <v>555</v>
      </c>
      <c r="Q932" s="100" t="s">
        <v>2894</v>
      </c>
      <c r="R932" s="100" t="s">
        <v>2914</v>
      </c>
      <c r="S932" s="491" t="str">
        <f t="shared" si="29"/>
        <v>x</v>
      </c>
      <c r="T932" s="492" t="str">
        <f>IFERROR(VLOOKUP(F932,'Freq-Chan'!C:D,2,FALSE),"x")</f>
        <v>x</v>
      </c>
      <c r="U932" s="110" t="s">
        <v>541</v>
      </c>
      <c r="V932" s="110" t="str">
        <f t="shared" si="30"/>
        <v>FWL</v>
      </c>
      <c r="W932" s="110" t="s">
        <v>541</v>
      </c>
      <c r="X932" s="110" t="s">
        <v>541</v>
      </c>
      <c r="Y932" s="110" t="str">
        <f>IFERROR(VLOOKUP(F932,'Freq-Chan'!C:E,3,FALSE),"na")</f>
        <v>na</v>
      </c>
      <c r="Z932" s="110" t="s">
        <v>541</v>
      </c>
      <c r="AA932" s="110" t="s">
        <v>541</v>
      </c>
      <c r="AB932" s="110" t="s">
        <v>541</v>
      </c>
      <c r="AC932" s="10" t="s">
        <v>541</v>
      </c>
      <c r="AD932" s="10" t="s">
        <v>541</v>
      </c>
    </row>
    <row r="933" spans="1:30" x14ac:dyDescent="0.2">
      <c r="A933" s="110">
        <v>932</v>
      </c>
      <c r="B933" s="132">
        <v>41838</v>
      </c>
      <c r="C933" s="117">
        <v>3</v>
      </c>
      <c r="D933" s="103" t="s">
        <v>75</v>
      </c>
      <c r="E933" s="103" t="s">
        <v>798</v>
      </c>
      <c r="H933" s="103"/>
      <c r="J933" s="103">
        <v>20</v>
      </c>
      <c r="K933" s="103" t="s">
        <v>364</v>
      </c>
      <c r="L933" s="133"/>
      <c r="M933" s="134">
        <v>3.0555555555555555E-2</v>
      </c>
      <c r="N933" s="137" t="s">
        <v>2019</v>
      </c>
      <c r="O933" s="133" t="s">
        <v>555</v>
      </c>
      <c r="Q933" s="100" t="s">
        <v>2894</v>
      </c>
      <c r="R933" s="100" t="s">
        <v>2914</v>
      </c>
      <c r="S933" s="491" t="str">
        <f t="shared" si="29"/>
        <v>x</v>
      </c>
      <c r="T933" s="492" t="str">
        <f>IFERROR(VLOOKUP(F933,'Freq-Chan'!C:D,2,FALSE),"x")</f>
        <v>x</v>
      </c>
      <c r="U933" s="110" t="s">
        <v>541</v>
      </c>
      <c r="V933" s="110" t="str">
        <f t="shared" si="30"/>
        <v>FWL</v>
      </c>
      <c r="W933" s="110" t="s">
        <v>541</v>
      </c>
      <c r="X933" s="110" t="s">
        <v>541</v>
      </c>
      <c r="Y933" s="110" t="str">
        <f>IFERROR(VLOOKUP(F933,'Freq-Chan'!C:E,3,FALSE),"na")</f>
        <v>na</v>
      </c>
      <c r="Z933" s="110" t="s">
        <v>541</v>
      </c>
      <c r="AA933" s="110" t="s">
        <v>541</v>
      </c>
      <c r="AB933" s="110" t="s">
        <v>541</v>
      </c>
      <c r="AC933" s="10" t="s">
        <v>541</v>
      </c>
      <c r="AD933" s="10" t="s">
        <v>541</v>
      </c>
    </row>
    <row r="934" spans="1:30" x14ac:dyDescent="0.2">
      <c r="A934" s="110">
        <v>933</v>
      </c>
      <c r="B934" s="132">
        <v>41838</v>
      </c>
      <c r="C934" s="117">
        <v>3</v>
      </c>
      <c r="D934" s="103" t="s">
        <v>88</v>
      </c>
      <c r="E934" s="103" t="s">
        <v>798</v>
      </c>
      <c r="H934" s="103"/>
      <c r="J934" s="103">
        <v>21</v>
      </c>
      <c r="K934" s="103" t="s">
        <v>364</v>
      </c>
      <c r="L934" s="133"/>
      <c r="M934" s="134">
        <v>1.3888888888888888E-2</v>
      </c>
      <c r="N934" s="137" t="s">
        <v>2898</v>
      </c>
      <c r="O934" s="133" t="s">
        <v>376</v>
      </c>
      <c r="Q934" s="100" t="s">
        <v>2894</v>
      </c>
      <c r="R934" s="100" t="s">
        <v>2914</v>
      </c>
      <c r="S934" s="491" t="str">
        <f t="shared" si="29"/>
        <v>x</v>
      </c>
      <c r="T934" s="492" t="str">
        <f>IFERROR(VLOOKUP(F934,'Freq-Chan'!C:D,2,FALSE),"x")</f>
        <v>x</v>
      </c>
      <c r="U934" s="110" t="s">
        <v>541</v>
      </c>
      <c r="V934" s="110" t="str">
        <f t="shared" si="30"/>
        <v>FWL</v>
      </c>
      <c r="W934" s="110" t="s">
        <v>541</v>
      </c>
      <c r="X934" s="110" t="s">
        <v>541</v>
      </c>
      <c r="Y934" s="110" t="str">
        <f>IFERROR(VLOOKUP(F934,'Freq-Chan'!C:E,3,FALSE),"na")</f>
        <v>na</v>
      </c>
      <c r="Z934" s="110" t="s">
        <v>541</v>
      </c>
      <c r="AA934" s="110" t="s">
        <v>541</v>
      </c>
      <c r="AB934" s="110" t="s">
        <v>541</v>
      </c>
      <c r="AC934" s="10" t="s">
        <v>541</v>
      </c>
      <c r="AD934" s="10" t="s">
        <v>541</v>
      </c>
    </row>
    <row r="935" spans="1:30" x14ac:dyDescent="0.2">
      <c r="A935" s="110">
        <v>934</v>
      </c>
      <c r="B935" s="132">
        <v>41838</v>
      </c>
      <c r="C935" s="117">
        <v>3</v>
      </c>
      <c r="D935" s="103" t="s">
        <v>2</v>
      </c>
      <c r="E935" s="103" t="s">
        <v>306</v>
      </c>
      <c r="F935" s="103">
        <v>917</v>
      </c>
      <c r="G935" s="103">
        <v>67</v>
      </c>
      <c r="H935" s="103" t="s">
        <v>1512</v>
      </c>
      <c r="I935" s="103">
        <v>64</v>
      </c>
      <c r="K935" s="103" t="s">
        <v>364</v>
      </c>
      <c r="L935" s="136">
        <v>0.60069444444444442</v>
      </c>
      <c r="M935" s="134">
        <v>3.5416666666666666E-2</v>
      </c>
      <c r="N935" s="137" t="s">
        <v>2899</v>
      </c>
      <c r="O935" s="133" t="s">
        <v>376</v>
      </c>
      <c r="Q935" s="100" t="s">
        <v>2894</v>
      </c>
      <c r="R935" s="100" t="s">
        <v>2914</v>
      </c>
      <c r="S935" s="491">
        <f t="shared" si="29"/>
        <v>2.1875000000000002E-3</v>
      </c>
      <c r="T935" s="492">
        <f>IFERROR(VLOOKUP(F935,'Freq-Chan'!C:D,2,FALSE),"x")</f>
        <v>151.917</v>
      </c>
      <c r="U935" s="110" t="s">
        <v>541</v>
      </c>
      <c r="V935" s="110" t="str">
        <f t="shared" si="30"/>
        <v>FWL</v>
      </c>
      <c r="W935" s="110" t="s">
        <v>541</v>
      </c>
      <c r="X935" s="110" t="s">
        <v>541</v>
      </c>
      <c r="Y935" s="110" t="str">
        <f>IFERROR(VLOOKUP(F935,'Freq-Chan'!C:E,3,FALSE),"na")</f>
        <v>F1835</v>
      </c>
      <c r="Z935" s="110" t="s">
        <v>541</v>
      </c>
      <c r="AA935" s="110" t="s">
        <v>541</v>
      </c>
      <c r="AB935" s="110" t="s">
        <v>541</v>
      </c>
      <c r="AC935" s="10" t="s">
        <v>541</v>
      </c>
      <c r="AD935" s="10" t="s">
        <v>541</v>
      </c>
    </row>
    <row r="936" spans="1:30" x14ac:dyDescent="0.2">
      <c r="A936" s="110">
        <v>935</v>
      </c>
      <c r="B936" s="132">
        <v>41838</v>
      </c>
      <c r="C936" s="117">
        <v>3</v>
      </c>
      <c r="D936" s="103" t="s">
        <v>177</v>
      </c>
      <c r="E936" s="103" t="s">
        <v>0</v>
      </c>
      <c r="H936" s="103"/>
      <c r="K936" s="103" t="s">
        <v>364</v>
      </c>
      <c r="L936" s="133"/>
      <c r="M936" s="134">
        <v>4.8611111111111112E-3</v>
      </c>
      <c r="N936" s="137" t="s">
        <v>1578</v>
      </c>
      <c r="O936" s="133" t="s">
        <v>803</v>
      </c>
      <c r="P936" s="100" t="s">
        <v>2900</v>
      </c>
      <c r="Q936" s="100" t="s">
        <v>2879</v>
      </c>
      <c r="R936" s="100" t="s">
        <v>2914</v>
      </c>
      <c r="S936" s="491" t="str">
        <f t="shared" si="29"/>
        <v>x</v>
      </c>
      <c r="T936" s="492" t="str">
        <f>IFERROR(VLOOKUP(F936,'Freq-Chan'!C:D,2,FALSE),"x")</f>
        <v>x</v>
      </c>
      <c r="U936" s="110" t="s">
        <v>541</v>
      </c>
      <c r="V936" s="110" t="str">
        <f t="shared" si="30"/>
        <v>FWL</v>
      </c>
      <c r="W936" s="110" t="s">
        <v>541</v>
      </c>
      <c r="X936" s="110" t="s">
        <v>541</v>
      </c>
      <c r="Y936" s="110" t="str">
        <f>IFERROR(VLOOKUP(F936,'Freq-Chan'!C:E,3,FALSE),"na")</f>
        <v>na</v>
      </c>
      <c r="Z936" s="110" t="s">
        <v>541</v>
      </c>
      <c r="AA936" s="110" t="s">
        <v>541</v>
      </c>
      <c r="AB936" s="110" t="s">
        <v>541</v>
      </c>
      <c r="AC936" s="10" t="s">
        <v>541</v>
      </c>
      <c r="AD936" s="10" t="s">
        <v>541</v>
      </c>
    </row>
    <row r="937" spans="1:30" x14ac:dyDescent="0.2">
      <c r="A937" s="110">
        <v>936</v>
      </c>
      <c r="B937" s="132">
        <v>41838</v>
      </c>
      <c r="C937" s="117">
        <v>3</v>
      </c>
      <c r="D937" s="103" t="s">
        <v>75</v>
      </c>
      <c r="E937" s="103" t="s">
        <v>798</v>
      </c>
      <c r="H937" s="103"/>
      <c r="J937" s="103">
        <v>30</v>
      </c>
      <c r="K937" s="103" t="s">
        <v>364</v>
      </c>
      <c r="L937" s="133"/>
      <c r="M937" s="134">
        <v>8.3333333333333332E-3</v>
      </c>
      <c r="N937" s="137" t="s">
        <v>1784</v>
      </c>
      <c r="O937" s="133" t="s">
        <v>1663</v>
      </c>
      <c r="Q937" s="100" t="s">
        <v>2879</v>
      </c>
      <c r="R937" s="100" t="s">
        <v>2914</v>
      </c>
      <c r="S937" s="491" t="str">
        <f t="shared" si="29"/>
        <v>x</v>
      </c>
      <c r="T937" s="492" t="str">
        <f>IFERROR(VLOOKUP(F937,'Freq-Chan'!C:D,2,FALSE),"x")</f>
        <v>x</v>
      </c>
      <c r="U937" s="110" t="s">
        <v>541</v>
      </c>
      <c r="V937" s="110" t="str">
        <f t="shared" si="30"/>
        <v>FWL</v>
      </c>
      <c r="W937" s="110" t="s">
        <v>541</v>
      </c>
      <c r="X937" s="110" t="s">
        <v>541</v>
      </c>
      <c r="Y937" s="110" t="str">
        <f>IFERROR(VLOOKUP(F937,'Freq-Chan'!C:E,3,FALSE),"na")</f>
        <v>na</v>
      </c>
      <c r="Z937" s="110" t="s">
        <v>541</v>
      </c>
      <c r="AA937" s="110" t="s">
        <v>541</v>
      </c>
      <c r="AB937" s="110" t="s">
        <v>541</v>
      </c>
      <c r="AC937" s="10" t="s">
        <v>541</v>
      </c>
      <c r="AD937" s="10" t="s">
        <v>541</v>
      </c>
    </row>
    <row r="938" spans="1:30" x14ac:dyDescent="0.2">
      <c r="A938" s="110">
        <v>937</v>
      </c>
      <c r="B938" s="132">
        <v>41838</v>
      </c>
      <c r="C938" s="117">
        <v>3</v>
      </c>
      <c r="D938" s="103" t="s">
        <v>88</v>
      </c>
      <c r="E938" s="103" t="s">
        <v>798</v>
      </c>
      <c r="H938" s="103"/>
      <c r="J938" s="103">
        <v>34</v>
      </c>
      <c r="K938" s="103" t="s">
        <v>364</v>
      </c>
      <c r="L938" s="133"/>
      <c r="M938" s="134">
        <v>2.2916666666666669E-2</v>
      </c>
      <c r="N938" s="137" t="s">
        <v>1851</v>
      </c>
      <c r="O938" s="133" t="s">
        <v>1663</v>
      </c>
      <c r="Q938" s="100" t="s">
        <v>2879</v>
      </c>
      <c r="R938" s="100" t="s">
        <v>2914</v>
      </c>
      <c r="S938" s="491" t="str">
        <f t="shared" si="29"/>
        <v>x</v>
      </c>
      <c r="T938" s="492" t="str">
        <f>IFERROR(VLOOKUP(F938,'Freq-Chan'!C:D,2,FALSE),"x")</f>
        <v>x</v>
      </c>
      <c r="U938" s="110" t="s">
        <v>541</v>
      </c>
      <c r="V938" s="110" t="str">
        <f t="shared" si="30"/>
        <v>FWL</v>
      </c>
      <c r="W938" s="110" t="s">
        <v>541</v>
      </c>
      <c r="X938" s="110" t="s">
        <v>541</v>
      </c>
      <c r="Y938" s="110" t="str">
        <f>IFERROR(VLOOKUP(F938,'Freq-Chan'!C:E,3,FALSE),"na")</f>
        <v>na</v>
      </c>
      <c r="Z938" s="110" t="s">
        <v>541</v>
      </c>
      <c r="AA938" s="110" t="s">
        <v>541</v>
      </c>
      <c r="AB938" s="110" t="s">
        <v>541</v>
      </c>
      <c r="AC938" s="10" t="s">
        <v>541</v>
      </c>
      <c r="AD938" s="10" t="s">
        <v>541</v>
      </c>
    </row>
    <row r="939" spans="1:30" x14ac:dyDescent="0.2">
      <c r="A939" s="110">
        <v>938</v>
      </c>
      <c r="B939" s="132">
        <v>41838</v>
      </c>
      <c r="C939" s="117">
        <v>3</v>
      </c>
      <c r="D939" s="103" t="s">
        <v>2</v>
      </c>
      <c r="E939" s="103" t="s">
        <v>306</v>
      </c>
      <c r="F939" s="103">
        <v>917</v>
      </c>
      <c r="G939" s="103">
        <v>21</v>
      </c>
      <c r="H939" s="103" t="s">
        <v>1513</v>
      </c>
      <c r="I939" s="103">
        <v>56</v>
      </c>
      <c r="K939" s="103" t="s">
        <v>364</v>
      </c>
      <c r="L939" s="133"/>
      <c r="M939" s="134">
        <v>2.7777777777777776E-2</v>
      </c>
      <c r="N939" s="137" t="s">
        <v>2901</v>
      </c>
      <c r="O939" s="133" t="s">
        <v>1663</v>
      </c>
      <c r="P939" s="100" t="s">
        <v>2902</v>
      </c>
      <c r="Q939" s="100" t="s">
        <v>2879</v>
      </c>
      <c r="R939" s="100" t="s">
        <v>2914</v>
      </c>
      <c r="S939" s="491" t="str">
        <f t="shared" si="29"/>
        <v>x</v>
      </c>
      <c r="T939" s="492">
        <f>IFERROR(VLOOKUP(F939,'Freq-Chan'!C:D,2,FALSE),"x")</f>
        <v>151.917</v>
      </c>
      <c r="U939" s="110" t="s">
        <v>541</v>
      </c>
      <c r="V939" s="110" t="str">
        <f t="shared" si="30"/>
        <v>FWL</v>
      </c>
      <c r="W939" s="110" t="s">
        <v>541</v>
      </c>
      <c r="X939" s="110" t="s">
        <v>541</v>
      </c>
      <c r="Y939" s="110" t="str">
        <f>IFERROR(VLOOKUP(F939,'Freq-Chan'!C:E,3,FALSE),"na")</f>
        <v>F1835</v>
      </c>
      <c r="Z939" s="110" t="s">
        <v>541</v>
      </c>
      <c r="AA939" s="110" t="s">
        <v>541</v>
      </c>
      <c r="AB939" s="110" t="s">
        <v>541</v>
      </c>
      <c r="AC939" s="10" t="s">
        <v>541</v>
      </c>
      <c r="AD939" s="10" t="s">
        <v>541</v>
      </c>
    </row>
    <row r="940" spans="1:30" x14ac:dyDescent="0.2">
      <c r="A940" s="110">
        <v>939</v>
      </c>
      <c r="B940" s="132">
        <v>41838</v>
      </c>
      <c r="C940" s="117">
        <v>3</v>
      </c>
      <c r="D940" s="103" t="s">
        <v>88</v>
      </c>
      <c r="E940" s="103" t="s">
        <v>798</v>
      </c>
      <c r="H940" s="103"/>
      <c r="J940" s="103">
        <v>24</v>
      </c>
      <c r="K940" s="103" t="s">
        <v>364</v>
      </c>
      <c r="L940" s="133"/>
      <c r="M940" s="134">
        <v>3.2638888888888891E-2</v>
      </c>
      <c r="N940" s="137" t="s">
        <v>2903</v>
      </c>
      <c r="O940" s="133" t="s">
        <v>372</v>
      </c>
      <c r="Q940" s="100" t="s">
        <v>2904</v>
      </c>
      <c r="R940" s="100" t="s">
        <v>2914</v>
      </c>
      <c r="S940" s="491" t="str">
        <f t="shared" si="29"/>
        <v>x</v>
      </c>
      <c r="T940" s="492" t="str">
        <f>IFERROR(VLOOKUP(F940,'Freq-Chan'!C:D,2,FALSE),"x")</f>
        <v>x</v>
      </c>
      <c r="U940" s="110" t="s">
        <v>541</v>
      </c>
      <c r="V940" s="110" t="str">
        <f t="shared" si="30"/>
        <v>FWL</v>
      </c>
      <c r="W940" s="110" t="s">
        <v>541</v>
      </c>
      <c r="X940" s="110" t="s">
        <v>541</v>
      </c>
      <c r="Y940" s="110" t="str">
        <f>IFERROR(VLOOKUP(F940,'Freq-Chan'!C:E,3,FALSE),"na")</f>
        <v>na</v>
      </c>
      <c r="Z940" s="110" t="s">
        <v>541</v>
      </c>
      <c r="AA940" s="110" t="s">
        <v>541</v>
      </c>
      <c r="AB940" s="110" t="s">
        <v>541</v>
      </c>
      <c r="AC940" s="10" t="s">
        <v>541</v>
      </c>
      <c r="AD940" s="10" t="s">
        <v>541</v>
      </c>
    </row>
    <row r="941" spans="1:30" x14ac:dyDescent="0.2">
      <c r="A941" s="110">
        <v>940</v>
      </c>
      <c r="B941" s="132">
        <v>41838</v>
      </c>
      <c r="C941" s="117">
        <v>3</v>
      </c>
      <c r="D941" s="103" t="s">
        <v>8</v>
      </c>
      <c r="E941" s="103" t="s">
        <v>306</v>
      </c>
      <c r="F941" s="103">
        <v>573</v>
      </c>
      <c r="G941" s="103">
        <v>5</v>
      </c>
      <c r="H941" s="103" t="s">
        <v>2125</v>
      </c>
      <c r="I941" s="103">
        <v>56</v>
      </c>
      <c r="K941" s="103" t="s">
        <v>364</v>
      </c>
      <c r="L941" s="133">
        <v>0.85486111111111107</v>
      </c>
      <c r="M941" s="134">
        <v>4.8611111111111112E-2</v>
      </c>
      <c r="N941" s="137" t="s">
        <v>2905</v>
      </c>
      <c r="O941" s="133" t="s">
        <v>372</v>
      </c>
      <c r="P941" s="100" t="s">
        <v>2906</v>
      </c>
      <c r="Q941" s="100" t="s">
        <v>2904</v>
      </c>
      <c r="R941" s="100" t="s">
        <v>2914</v>
      </c>
      <c r="S941" s="491">
        <f t="shared" si="29"/>
        <v>8.2175926000000003E-3</v>
      </c>
      <c r="T941" s="492">
        <f>IFERROR(VLOOKUP(F941,'Freq-Chan'!C:D,2,FALSE),"x")</f>
        <v>151.57300000000001</v>
      </c>
      <c r="U941" s="110" t="s">
        <v>541</v>
      </c>
      <c r="V941" s="110" t="str">
        <f t="shared" si="30"/>
        <v>FWL</v>
      </c>
      <c r="W941" s="110" t="s">
        <v>541</v>
      </c>
      <c r="X941" s="110" t="s">
        <v>541</v>
      </c>
      <c r="Y941" s="110" t="str">
        <f>IFERROR(VLOOKUP(F941,'Freq-Chan'!C:E,3,FALSE),"na")</f>
        <v>F1840</v>
      </c>
      <c r="Z941" s="110" t="s">
        <v>541</v>
      </c>
      <c r="AA941" s="110" t="s">
        <v>541</v>
      </c>
      <c r="AB941" s="110" t="s">
        <v>541</v>
      </c>
      <c r="AC941" s="10" t="s">
        <v>541</v>
      </c>
      <c r="AD941" s="10" t="s">
        <v>541</v>
      </c>
    </row>
    <row r="942" spans="1:30" x14ac:dyDescent="0.2">
      <c r="A942" s="110">
        <v>941</v>
      </c>
      <c r="B942" s="132">
        <v>41838</v>
      </c>
      <c r="C942" s="117">
        <v>3</v>
      </c>
      <c r="D942" s="103" t="s">
        <v>2</v>
      </c>
      <c r="E942" s="103" t="s">
        <v>306</v>
      </c>
      <c r="F942" s="103">
        <v>917</v>
      </c>
      <c r="G942" s="103">
        <v>71</v>
      </c>
      <c r="H942" s="103" t="s">
        <v>1518</v>
      </c>
      <c r="I942" s="103">
        <v>55</v>
      </c>
      <c r="K942" s="103" t="s">
        <v>364</v>
      </c>
      <c r="L942" s="133">
        <v>0.85625000000000007</v>
      </c>
      <c r="M942" s="134">
        <v>5.1388888888888894E-2</v>
      </c>
      <c r="N942" s="137" t="s">
        <v>1853</v>
      </c>
      <c r="O942" s="133" t="s">
        <v>804</v>
      </c>
      <c r="P942" s="100" t="s">
        <v>2915</v>
      </c>
      <c r="Q942" s="100" t="s">
        <v>2904</v>
      </c>
      <c r="R942" s="100" t="s">
        <v>2914</v>
      </c>
      <c r="S942" s="491">
        <f t="shared" si="29"/>
        <v>4.6990740999999997E-3</v>
      </c>
      <c r="T942" s="492">
        <f>IFERROR(VLOOKUP(F942,'Freq-Chan'!C:D,2,FALSE),"x")</f>
        <v>151.917</v>
      </c>
      <c r="U942" s="110" t="s">
        <v>541</v>
      </c>
      <c r="V942" s="110" t="str">
        <f t="shared" si="30"/>
        <v>FWL</v>
      </c>
      <c r="W942" s="110" t="s">
        <v>541</v>
      </c>
      <c r="X942" s="110" t="s">
        <v>541</v>
      </c>
      <c r="Y942" s="110" t="str">
        <f>IFERROR(VLOOKUP(F942,'Freq-Chan'!C:E,3,FALSE),"na")</f>
        <v>F1835</v>
      </c>
      <c r="Z942" s="110" t="s">
        <v>541</v>
      </c>
      <c r="AA942" s="110" t="s">
        <v>541</v>
      </c>
      <c r="AB942" s="110" t="s">
        <v>541</v>
      </c>
      <c r="AC942" s="10" t="s">
        <v>541</v>
      </c>
      <c r="AD942" s="10" t="s">
        <v>541</v>
      </c>
    </row>
    <row r="943" spans="1:30" x14ac:dyDescent="0.2">
      <c r="A943" s="110">
        <v>942</v>
      </c>
      <c r="B943" s="132">
        <v>41838</v>
      </c>
      <c r="C943" s="117">
        <v>3</v>
      </c>
      <c r="D943" s="103" t="s">
        <v>177</v>
      </c>
      <c r="E943" s="103" t="s">
        <v>0</v>
      </c>
      <c r="H943" s="103"/>
      <c r="I943" s="103">
        <v>35</v>
      </c>
      <c r="K943" s="103" t="s">
        <v>364</v>
      </c>
      <c r="L943" s="133">
        <v>0.88750000000000007</v>
      </c>
      <c r="M943" s="134">
        <v>1.7361111111111112E-2</v>
      </c>
      <c r="N943" s="137" t="s">
        <v>2907</v>
      </c>
      <c r="O943" s="133" t="s">
        <v>804</v>
      </c>
      <c r="P943" s="100" t="s">
        <v>776</v>
      </c>
      <c r="Q943" s="100" t="s">
        <v>2904</v>
      </c>
      <c r="R943" s="100" t="s">
        <v>2914</v>
      </c>
      <c r="S943" s="491">
        <f t="shared" si="29"/>
        <v>4.050926E-4</v>
      </c>
      <c r="T943" s="492" t="str">
        <f>IFERROR(VLOOKUP(F943,'Freq-Chan'!C:D,2,FALSE),"x")</f>
        <v>x</v>
      </c>
      <c r="U943" s="110" t="s">
        <v>541</v>
      </c>
      <c r="V943" s="110" t="str">
        <f t="shared" si="30"/>
        <v>FWL</v>
      </c>
      <c r="W943" s="110" t="s">
        <v>541</v>
      </c>
      <c r="X943" s="110" t="s">
        <v>541</v>
      </c>
      <c r="Y943" s="110" t="str">
        <f>IFERROR(VLOOKUP(F943,'Freq-Chan'!C:E,3,FALSE),"na")</f>
        <v>na</v>
      </c>
      <c r="Z943" s="110" t="s">
        <v>541</v>
      </c>
      <c r="AA943" s="110" t="s">
        <v>541</v>
      </c>
      <c r="AB943" s="110" t="s">
        <v>541</v>
      </c>
      <c r="AC943" s="10" t="s">
        <v>541</v>
      </c>
      <c r="AD943" s="10" t="s">
        <v>541</v>
      </c>
    </row>
    <row r="944" spans="1:30" x14ac:dyDescent="0.2">
      <c r="A944" s="110">
        <v>943</v>
      </c>
      <c r="B944" s="132">
        <v>41838</v>
      </c>
      <c r="C944" s="117">
        <v>3</v>
      </c>
      <c r="D944" s="103" t="s">
        <v>75</v>
      </c>
      <c r="E944" s="103" t="s">
        <v>798</v>
      </c>
      <c r="H944" s="103"/>
      <c r="J944" s="103">
        <v>28</v>
      </c>
      <c r="K944" s="103" t="s">
        <v>364</v>
      </c>
      <c r="L944" s="133"/>
      <c r="M944" s="134">
        <v>2.361111111111111E-2</v>
      </c>
      <c r="N944" s="137" t="s">
        <v>2908</v>
      </c>
      <c r="O944" s="133" t="s">
        <v>372</v>
      </c>
      <c r="Q944" s="100" t="s">
        <v>2904</v>
      </c>
      <c r="R944" s="100" t="s">
        <v>2914</v>
      </c>
      <c r="S944" s="491" t="str">
        <f t="shared" si="29"/>
        <v>x</v>
      </c>
      <c r="T944" s="492" t="str">
        <f>IFERROR(VLOOKUP(F944,'Freq-Chan'!C:D,2,FALSE),"x")</f>
        <v>x</v>
      </c>
      <c r="U944" s="110" t="s">
        <v>541</v>
      </c>
      <c r="V944" s="110" t="str">
        <f t="shared" si="30"/>
        <v>FWL</v>
      </c>
      <c r="W944" s="110" t="s">
        <v>541</v>
      </c>
      <c r="X944" s="110" t="s">
        <v>541</v>
      </c>
      <c r="Y944" s="110" t="str">
        <f>IFERROR(VLOOKUP(F944,'Freq-Chan'!C:E,3,FALSE),"na")</f>
        <v>na</v>
      </c>
      <c r="Z944" s="110" t="s">
        <v>541</v>
      </c>
      <c r="AA944" s="110" t="s">
        <v>541</v>
      </c>
      <c r="AB944" s="110" t="s">
        <v>541</v>
      </c>
      <c r="AC944" s="10" t="s">
        <v>541</v>
      </c>
      <c r="AD944" s="10" t="s">
        <v>541</v>
      </c>
    </row>
    <row r="945" spans="1:30" x14ac:dyDescent="0.2">
      <c r="A945" s="110">
        <v>944</v>
      </c>
      <c r="B945" s="132">
        <v>41838</v>
      </c>
      <c r="C945" s="117">
        <v>3</v>
      </c>
      <c r="D945" s="103" t="s">
        <v>88</v>
      </c>
      <c r="E945" s="103" t="s">
        <v>798</v>
      </c>
      <c r="H945" s="103"/>
      <c r="J945" s="103">
        <v>23</v>
      </c>
      <c r="K945" s="103" t="s">
        <v>364</v>
      </c>
      <c r="L945" s="133"/>
      <c r="M945" s="134">
        <v>2.0833333333333332E-2</v>
      </c>
      <c r="N945" s="137" t="s">
        <v>2909</v>
      </c>
      <c r="O945" s="133" t="s">
        <v>372</v>
      </c>
      <c r="Q945" s="100" t="s">
        <v>2904</v>
      </c>
      <c r="R945" s="100" t="s">
        <v>2914</v>
      </c>
      <c r="S945" s="491" t="str">
        <f t="shared" si="29"/>
        <v>x</v>
      </c>
      <c r="T945" s="492" t="str">
        <f>IFERROR(VLOOKUP(F945,'Freq-Chan'!C:D,2,FALSE),"x")</f>
        <v>x</v>
      </c>
      <c r="U945" s="110" t="s">
        <v>541</v>
      </c>
      <c r="V945" s="110" t="str">
        <f t="shared" si="30"/>
        <v>FWL</v>
      </c>
      <c r="W945" s="110" t="s">
        <v>541</v>
      </c>
      <c r="X945" s="110" t="s">
        <v>541</v>
      </c>
      <c r="Y945" s="110" t="str">
        <f>IFERROR(VLOOKUP(F945,'Freq-Chan'!C:E,3,FALSE),"na")</f>
        <v>na</v>
      </c>
      <c r="Z945" s="110" t="s">
        <v>541</v>
      </c>
      <c r="AA945" s="110" t="s">
        <v>541</v>
      </c>
      <c r="AB945" s="110" t="s">
        <v>541</v>
      </c>
      <c r="AC945" s="10" t="s">
        <v>541</v>
      </c>
      <c r="AD945" s="10" t="s">
        <v>541</v>
      </c>
    </row>
    <row r="946" spans="1:30" s="291" customFormat="1" x14ac:dyDescent="0.2">
      <c r="A946" s="493">
        <v>945</v>
      </c>
      <c r="B946" s="283">
        <v>41838</v>
      </c>
      <c r="C946" s="284">
        <v>3</v>
      </c>
      <c r="D946" s="285" t="s">
        <v>88</v>
      </c>
      <c r="E946" s="285" t="s">
        <v>798</v>
      </c>
      <c r="F946" s="285"/>
      <c r="G946" s="285"/>
      <c r="H946" s="285"/>
      <c r="I946" s="285"/>
      <c r="J946" s="285">
        <v>23</v>
      </c>
      <c r="K946" s="285" t="s">
        <v>364</v>
      </c>
      <c r="L946" s="286">
        <v>0.96458333333333324</v>
      </c>
      <c r="M946" s="287">
        <v>3.125E-2</v>
      </c>
      <c r="N946" s="339" t="s">
        <v>2910</v>
      </c>
      <c r="O946" s="286" t="s">
        <v>372</v>
      </c>
      <c r="P946" s="289" t="s">
        <v>2911</v>
      </c>
      <c r="Q946" s="289" t="s">
        <v>2904</v>
      </c>
      <c r="R946" s="290" t="s">
        <v>2914</v>
      </c>
      <c r="S946" s="494">
        <f t="shared" si="29"/>
        <v>1.7361110000000001E-4</v>
      </c>
      <c r="T946" s="495" t="str">
        <f>IFERROR(VLOOKUP(F946,'Freq-Chan'!C:D,2,FALSE),"x")</f>
        <v>x</v>
      </c>
      <c r="U946" s="493" t="s">
        <v>541</v>
      </c>
      <c r="V946" s="493" t="str">
        <f t="shared" si="30"/>
        <v>FWL</v>
      </c>
      <c r="W946" s="493" t="s">
        <v>541</v>
      </c>
      <c r="X946" s="493" t="s">
        <v>541</v>
      </c>
      <c r="Y946" s="493" t="str">
        <f>IFERROR(VLOOKUP(F946,'Freq-Chan'!C:E,3,FALSE),"na")</f>
        <v>na</v>
      </c>
      <c r="Z946" s="493" t="s">
        <v>541</v>
      </c>
      <c r="AA946" s="493" t="s">
        <v>541</v>
      </c>
      <c r="AB946" s="493" t="s">
        <v>541</v>
      </c>
      <c r="AC946" s="291" t="s">
        <v>541</v>
      </c>
      <c r="AD946" s="291" t="s">
        <v>541</v>
      </c>
    </row>
    <row r="947" spans="1:30" x14ac:dyDescent="0.2">
      <c r="A947" s="110">
        <v>946</v>
      </c>
      <c r="B947" s="505">
        <v>41839</v>
      </c>
      <c r="C947" s="110">
        <v>1</v>
      </c>
      <c r="D947" s="110" t="s">
        <v>71</v>
      </c>
      <c r="E947" s="110" t="s">
        <v>306</v>
      </c>
      <c r="F947" s="110">
        <v>534</v>
      </c>
      <c r="G947" s="110">
        <v>8</v>
      </c>
      <c r="H947" s="110"/>
      <c r="I947" s="110">
        <v>54</v>
      </c>
      <c r="J947" s="110"/>
      <c r="K947" s="110" t="s">
        <v>364</v>
      </c>
      <c r="L947" s="146">
        <v>0.51736111111111105</v>
      </c>
      <c r="M947" s="146">
        <v>3.0555555555555555E-2</v>
      </c>
      <c r="N947" s="146">
        <v>0.52152777777777781</v>
      </c>
      <c r="O947" s="110" t="s">
        <v>804</v>
      </c>
      <c r="P947" s="110" t="s">
        <v>2929</v>
      </c>
      <c r="Q947" s="10" t="s">
        <v>2919</v>
      </c>
      <c r="R947" s="312" t="s">
        <v>2956</v>
      </c>
      <c r="S947" s="503">
        <f t="shared" si="29"/>
        <v>3.6574073999999998E-3</v>
      </c>
      <c r="T947" s="498">
        <f>IFERROR(VLOOKUP(F947,'Freq-Chan'!C:D,2,FALSE),"x")</f>
        <v>151.53399999999999</v>
      </c>
      <c r="U947" s="110" t="s">
        <v>541</v>
      </c>
      <c r="V947" s="110" t="str">
        <f t="shared" si="30"/>
        <v>FWL</v>
      </c>
      <c r="W947" s="110" t="s">
        <v>541</v>
      </c>
      <c r="X947" s="110" t="s">
        <v>541</v>
      </c>
      <c r="Y947" s="110" t="str">
        <f>IFERROR(VLOOKUP(F947,'Freq-Chan'!C:E,3,FALSE),"na")</f>
        <v>F1840</v>
      </c>
      <c r="Z947" s="110" t="s">
        <v>541</v>
      </c>
      <c r="AA947" s="110" t="s">
        <v>541</v>
      </c>
      <c r="AB947" s="110" t="s">
        <v>541</v>
      </c>
      <c r="AC947" s="10" t="s">
        <v>541</v>
      </c>
      <c r="AD947" s="10" t="s">
        <v>541</v>
      </c>
    </row>
    <row r="948" spans="1:30" x14ac:dyDescent="0.2">
      <c r="A948" s="110">
        <v>947</v>
      </c>
      <c r="B948" s="505">
        <v>41839</v>
      </c>
      <c r="C948" s="117">
        <v>1</v>
      </c>
      <c r="D948" s="103" t="s">
        <v>8</v>
      </c>
      <c r="E948" s="103" t="s">
        <v>306</v>
      </c>
      <c r="F948" s="103">
        <v>586</v>
      </c>
      <c r="G948" s="103">
        <v>52</v>
      </c>
      <c r="H948" s="103" t="s">
        <v>2121</v>
      </c>
      <c r="I948" s="103">
        <v>48</v>
      </c>
      <c r="K948" s="103" t="s">
        <v>364</v>
      </c>
      <c r="L948" s="133"/>
      <c r="M948" s="134">
        <v>5.1388888888888894E-2</v>
      </c>
      <c r="N948" s="137" t="s">
        <v>2930</v>
      </c>
      <c r="O948" s="133" t="s">
        <v>803</v>
      </c>
      <c r="Q948" s="100" t="s">
        <v>2921</v>
      </c>
      <c r="R948" s="226" t="s">
        <v>2956</v>
      </c>
      <c r="S948" s="491" t="str">
        <f t="shared" si="29"/>
        <v>x</v>
      </c>
      <c r="T948" s="492">
        <f>IFERROR(VLOOKUP(F948,'Freq-Chan'!C:D,2,FALSE),"x")</f>
        <v>151.58600000000001</v>
      </c>
      <c r="U948" s="110" t="s">
        <v>541</v>
      </c>
      <c r="V948" s="110" t="str">
        <f t="shared" si="30"/>
        <v>FWL</v>
      </c>
      <c r="W948" s="110" t="s">
        <v>541</v>
      </c>
      <c r="X948" s="110" t="s">
        <v>541</v>
      </c>
      <c r="Y948" s="110" t="str">
        <f>IFERROR(VLOOKUP(F948,'Freq-Chan'!C:E,3,FALSE),"na")</f>
        <v>F1840</v>
      </c>
      <c r="Z948" s="110" t="s">
        <v>541</v>
      </c>
      <c r="AA948" s="110" t="s">
        <v>541</v>
      </c>
      <c r="AB948" s="110" t="s">
        <v>541</v>
      </c>
      <c r="AC948" s="10" t="s">
        <v>541</v>
      </c>
      <c r="AD948" s="10" t="s">
        <v>541</v>
      </c>
    </row>
    <row r="949" spans="1:30" s="291" customFormat="1" x14ac:dyDescent="0.2">
      <c r="A949" s="493">
        <v>948</v>
      </c>
      <c r="B949" s="506">
        <v>41839</v>
      </c>
      <c r="C949" s="284">
        <v>1</v>
      </c>
      <c r="D949" s="285" t="s">
        <v>2</v>
      </c>
      <c r="E949" s="285" t="s">
        <v>306</v>
      </c>
      <c r="F949" s="285">
        <v>364</v>
      </c>
      <c r="G949" s="285">
        <v>48</v>
      </c>
      <c r="H949" s="285" t="s">
        <v>1503</v>
      </c>
      <c r="I949" s="285">
        <v>86</v>
      </c>
      <c r="J949" s="285"/>
      <c r="K949" s="285" t="s">
        <v>365</v>
      </c>
      <c r="L949" s="286"/>
      <c r="M949" s="287">
        <v>9.7916666666666666E-2</v>
      </c>
      <c r="N949" s="339" t="s">
        <v>1851</v>
      </c>
      <c r="O949" s="286" t="s">
        <v>2931</v>
      </c>
      <c r="P949" s="289"/>
      <c r="Q949" s="289" t="s">
        <v>2921</v>
      </c>
      <c r="R949" s="290" t="s">
        <v>2956</v>
      </c>
      <c r="S949" s="494" t="str">
        <f t="shared" si="29"/>
        <v>x</v>
      </c>
      <c r="T949" s="495">
        <f>IFERROR(VLOOKUP(F949,'Freq-Chan'!C:D,2,FALSE),"x")</f>
        <v>151.364</v>
      </c>
      <c r="U949" s="493" t="s">
        <v>541</v>
      </c>
      <c r="V949" s="493" t="str">
        <f t="shared" si="30"/>
        <v>FWL</v>
      </c>
      <c r="W949" s="493" t="s">
        <v>541</v>
      </c>
      <c r="X949" s="493" t="s">
        <v>541</v>
      </c>
      <c r="Y949" s="493" t="str">
        <f>IFERROR(VLOOKUP(F949,'Freq-Chan'!C:E,3,FALSE),"na")</f>
        <v>F1845</v>
      </c>
      <c r="Z949" s="493" t="s">
        <v>541</v>
      </c>
      <c r="AA949" s="493" t="s">
        <v>541</v>
      </c>
      <c r="AB949" s="493" t="s">
        <v>541</v>
      </c>
      <c r="AC949" s="291" t="s">
        <v>541</v>
      </c>
      <c r="AD949" s="291" t="s">
        <v>541</v>
      </c>
    </row>
    <row r="950" spans="1:30" s="314" customFormat="1" x14ac:dyDescent="0.2">
      <c r="A950" s="499">
        <v>949</v>
      </c>
      <c r="B950" s="507">
        <v>41839</v>
      </c>
      <c r="C950" s="295">
        <v>2</v>
      </c>
      <c r="D950" s="296" t="s">
        <v>71</v>
      </c>
      <c r="E950" s="296" t="s">
        <v>306</v>
      </c>
      <c r="F950" s="296"/>
      <c r="G950" s="296"/>
      <c r="H950" s="296"/>
      <c r="I950" s="296">
        <v>58</v>
      </c>
      <c r="J950" s="296"/>
      <c r="K950" s="296"/>
      <c r="L950" s="297"/>
      <c r="M950" s="298">
        <v>2.4305555555555556E-2</v>
      </c>
      <c r="N950" s="327" t="s">
        <v>2932</v>
      </c>
      <c r="O950" s="297" t="s">
        <v>2931</v>
      </c>
      <c r="P950" s="300" t="s">
        <v>2947</v>
      </c>
      <c r="Q950" s="300" t="s">
        <v>2957</v>
      </c>
      <c r="R950" s="301" t="s">
        <v>2956</v>
      </c>
      <c r="S950" s="500" t="str">
        <f t="shared" si="29"/>
        <v>x</v>
      </c>
      <c r="T950" s="501" t="str">
        <f>IFERROR(VLOOKUP(F950,'Freq-Chan'!C:D,2,FALSE),"x")</f>
        <v>x</v>
      </c>
      <c r="U950" s="499" t="s">
        <v>541</v>
      </c>
      <c r="V950" s="499" t="str">
        <f t="shared" si="30"/>
        <v>FWL</v>
      </c>
      <c r="W950" s="499" t="s">
        <v>541</v>
      </c>
      <c r="X950" s="499" t="s">
        <v>541</v>
      </c>
      <c r="Y950" s="499" t="str">
        <f>IFERROR(VLOOKUP(F950,'Freq-Chan'!C:E,3,FALSE),"na")</f>
        <v>na</v>
      </c>
      <c r="Z950" s="499" t="s">
        <v>541</v>
      </c>
      <c r="AA950" s="499" t="s">
        <v>541</v>
      </c>
      <c r="AB950" s="499" t="s">
        <v>541</v>
      </c>
      <c r="AC950" s="314" t="s">
        <v>541</v>
      </c>
      <c r="AD950" s="314" t="s">
        <v>541</v>
      </c>
    </row>
    <row r="951" spans="1:30" x14ac:dyDescent="0.2">
      <c r="A951" s="110">
        <v>950</v>
      </c>
      <c r="B951" s="505">
        <v>41839</v>
      </c>
      <c r="C951" s="117">
        <v>3</v>
      </c>
      <c r="D951" s="103" t="s">
        <v>88</v>
      </c>
      <c r="E951" s="103" t="s">
        <v>798</v>
      </c>
      <c r="H951" s="103"/>
      <c r="J951" s="103">
        <v>27</v>
      </c>
      <c r="K951" s="103" t="s">
        <v>364</v>
      </c>
      <c r="L951" s="133"/>
      <c r="M951" s="134">
        <v>1.3888888888888888E-2</v>
      </c>
      <c r="N951" s="137" t="s">
        <v>2933</v>
      </c>
      <c r="O951" s="133" t="s">
        <v>803</v>
      </c>
      <c r="Q951" s="100" t="s">
        <v>2921</v>
      </c>
      <c r="R951" s="312" t="s">
        <v>2956</v>
      </c>
      <c r="S951" s="503" t="str">
        <f t="shared" si="29"/>
        <v>x</v>
      </c>
      <c r="T951" s="492" t="str">
        <f>IFERROR(VLOOKUP(F951,'Freq-Chan'!C:D,2,FALSE),"x")</f>
        <v>x</v>
      </c>
      <c r="U951" s="110" t="s">
        <v>541</v>
      </c>
      <c r="V951" s="110" t="str">
        <f t="shared" si="30"/>
        <v>FWL</v>
      </c>
      <c r="W951" s="110" t="s">
        <v>541</v>
      </c>
      <c r="X951" s="110" t="s">
        <v>541</v>
      </c>
      <c r="Y951" s="110" t="str">
        <f>IFERROR(VLOOKUP(F951,'Freq-Chan'!C:E,3,FALSE),"na")</f>
        <v>na</v>
      </c>
      <c r="Z951" s="110" t="s">
        <v>541</v>
      </c>
      <c r="AA951" s="110" t="s">
        <v>541</v>
      </c>
      <c r="AB951" s="110" t="s">
        <v>541</v>
      </c>
      <c r="AC951" s="10" t="s">
        <v>541</v>
      </c>
      <c r="AD951" s="10" t="s">
        <v>541</v>
      </c>
    </row>
    <row r="952" spans="1:30" x14ac:dyDescent="0.2">
      <c r="A952" s="110">
        <v>951</v>
      </c>
      <c r="B952" s="505">
        <v>41839</v>
      </c>
      <c r="C952" s="117">
        <v>3</v>
      </c>
      <c r="D952" s="103" t="s">
        <v>88</v>
      </c>
      <c r="E952" s="103" t="s">
        <v>798</v>
      </c>
      <c r="H952" s="103"/>
      <c r="J952" s="103">
        <v>22</v>
      </c>
      <c r="K952" s="103" t="s">
        <v>364</v>
      </c>
      <c r="L952" s="133"/>
      <c r="M952" s="134">
        <v>1.2499999999999999E-2</v>
      </c>
      <c r="N952" s="137" t="s">
        <v>2934</v>
      </c>
      <c r="O952" s="133" t="s">
        <v>1663</v>
      </c>
      <c r="Q952" s="100" t="s">
        <v>2921</v>
      </c>
      <c r="R952" s="226" t="s">
        <v>2956</v>
      </c>
      <c r="S952" s="503" t="str">
        <f t="shared" si="29"/>
        <v>x</v>
      </c>
      <c r="T952" s="492" t="str">
        <f>IFERROR(VLOOKUP(F952,'Freq-Chan'!C:D,2,FALSE),"x")</f>
        <v>x</v>
      </c>
      <c r="U952" s="110" t="s">
        <v>541</v>
      </c>
      <c r="V952" s="110" t="str">
        <f t="shared" si="30"/>
        <v>FWL</v>
      </c>
      <c r="W952" s="110" t="s">
        <v>541</v>
      </c>
      <c r="X952" s="110" t="s">
        <v>541</v>
      </c>
      <c r="Y952" s="110" t="str">
        <f>IFERROR(VLOOKUP(F952,'Freq-Chan'!C:E,3,FALSE),"na")</f>
        <v>na</v>
      </c>
      <c r="Z952" s="110" t="s">
        <v>541</v>
      </c>
      <c r="AA952" s="110" t="s">
        <v>541</v>
      </c>
      <c r="AB952" s="110" t="s">
        <v>541</v>
      </c>
      <c r="AC952" s="10" t="s">
        <v>541</v>
      </c>
      <c r="AD952" s="10" t="s">
        <v>541</v>
      </c>
    </row>
    <row r="953" spans="1:30" x14ac:dyDescent="0.2">
      <c r="A953" s="110">
        <v>952</v>
      </c>
      <c r="B953" s="505">
        <v>41839</v>
      </c>
      <c r="C953" s="117">
        <v>3</v>
      </c>
      <c r="D953" s="103" t="s">
        <v>177</v>
      </c>
      <c r="E953" s="103" t="s">
        <v>0</v>
      </c>
      <c r="F953" s="103">
        <v>917</v>
      </c>
      <c r="G953" s="103">
        <v>78</v>
      </c>
      <c r="H953" s="103" t="s">
        <v>1519</v>
      </c>
      <c r="I953" s="103">
        <v>48</v>
      </c>
      <c r="K953" s="103" t="s">
        <v>364</v>
      </c>
      <c r="L953" s="133"/>
      <c r="M953" s="134">
        <v>4.9305555555555554E-2</v>
      </c>
      <c r="N953" s="137" t="s">
        <v>2935</v>
      </c>
      <c r="O953" s="133" t="s">
        <v>1888</v>
      </c>
      <c r="P953" s="100" t="s">
        <v>2936</v>
      </c>
      <c r="Q953" s="100" t="s">
        <v>2937</v>
      </c>
      <c r="R953" s="226" t="s">
        <v>2956</v>
      </c>
      <c r="S953" s="503" t="str">
        <f t="shared" si="29"/>
        <v>x</v>
      </c>
      <c r="T953" s="492">
        <f>IFERROR(VLOOKUP(F953,'Freq-Chan'!C:D,2,FALSE),"x")</f>
        <v>151.917</v>
      </c>
      <c r="U953" s="110" t="s">
        <v>541</v>
      </c>
      <c r="V953" s="110" t="str">
        <f t="shared" si="30"/>
        <v>FWL</v>
      </c>
      <c r="W953" s="110" t="s">
        <v>541</v>
      </c>
      <c r="X953" s="110" t="s">
        <v>541</v>
      </c>
      <c r="Y953" s="110" t="str">
        <f>IFERROR(VLOOKUP(F953,'Freq-Chan'!C:E,3,FALSE),"na")</f>
        <v>F1835</v>
      </c>
      <c r="Z953" s="110" t="s">
        <v>541</v>
      </c>
      <c r="AA953" s="110" t="s">
        <v>541</v>
      </c>
      <c r="AB953" s="110" t="s">
        <v>541</v>
      </c>
      <c r="AC953" s="10" t="s">
        <v>541</v>
      </c>
      <c r="AD953" s="10" t="s">
        <v>541</v>
      </c>
    </row>
    <row r="954" spans="1:30" x14ac:dyDescent="0.2">
      <c r="A954" s="110">
        <v>953</v>
      </c>
      <c r="B954" s="505">
        <v>41839</v>
      </c>
      <c r="C954" s="117">
        <v>3</v>
      </c>
      <c r="D954" s="103" t="s">
        <v>8</v>
      </c>
      <c r="E954" s="103" t="s">
        <v>306</v>
      </c>
      <c r="F954" s="103">
        <v>586</v>
      </c>
      <c r="G954" s="103">
        <v>87</v>
      </c>
      <c r="H954" s="103" t="s">
        <v>2100</v>
      </c>
      <c r="I954" s="103">
        <v>46</v>
      </c>
      <c r="K954" s="103" t="s">
        <v>364</v>
      </c>
      <c r="L954" s="133"/>
      <c r="M954" s="134">
        <v>7.9861111111111105E-2</v>
      </c>
      <c r="N954" s="137" t="s">
        <v>903</v>
      </c>
      <c r="O954" s="133" t="s">
        <v>372</v>
      </c>
      <c r="P954" s="100" t="s">
        <v>2938</v>
      </c>
      <c r="Q954" s="100" t="s">
        <v>2937</v>
      </c>
      <c r="R954" s="226" t="s">
        <v>2956</v>
      </c>
      <c r="S954" s="503" t="str">
        <f t="shared" si="29"/>
        <v>x</v>
      </c>
      <c r="T954" s="492">
        <f>IFERROR(VLOOKUP(F954,'Freq-Chan'!C:D,2,FALSE),"x")</f>
        <v>151.58600000000001</v>
      </c>
      <c r="U954" s="110" t="s">
        <v>541</v>
      </c>
      <c r="V954" s="110" t="str">
        <f t="shared" si="30"/>
        <v>FWL</v>
      </c>
      <c r="W954" s="110" t="s">
        <v>541</v>
      </c>
      <c r="X954" s="110" t="s">
        <v>541</v>
      </c>
      <c r="Y954" s="110" t="str">
        <f>IFERROR(VLOOKUP(F954,'Freq-Chan'!C:E,3,FALSE),"na")</f>
        <v>F1840</v>
      </c>
      <c r="Z954" s="110" t="s">
        <v>541</v>
      </c>
      <c r="AA954" s="110" t="s">
        <v>541</v>
      </c>
      <c r="AB954" s="110" t="s">
        <v>541</v>
      </c>
      <c r="AC954" s="10" t="s">
        <v>541</v>
      </c>
      <c r="AD954" s="10" t="s">
        <v>541</v>
      </c>
    </row>
    <row r="955" spans="1:30" x14ac:dyDescent="0.2">
      <c r="A955" s="110">
        <v>954</v>
      </c>
      <c r="B955" s="505">
        <v>41839</v>
      </c>
      <c r="C955" s="117">
        <v>3</v>
      </c>
      <c r="D955" s="103" t="s">
        <v>71</v>
      </c>
      <c r="E955" s="103" t="s">
        <v>306</v>
      </c>
      <c r="H955" s="103"/>
      <c r="I955" s="103">
        <v>67</v>
      </c>
      <c r="K955" s="103" t="s">
        <v>364</v>
      </c>
      <c r="L955" s="133"/>
      <c r="M955" s="134">
        <v>2.361111111111111E-2</v>
      </c>
      <c r="N955" s="137" t="s">
        <v>2710</v>
      </c>
      <c r="O955" s="133" t="s">
        <v>1888</v>
      </c>
      <c r="P955" s="100" t="s">
        <v>2947</v>
      </c>
      <c r="Q955" s="100" t="s">
        <v>2937</v>
      </c>
      <c r="R955" s="226" t="s">
        <v>2956</v>
      </c>
      <c r="S955" s="503" t="str">
        <f t="shared" si="29"/>
        <v>x</v>
      </c>
      <c r="T955" s="492" t="str">
        <f>IFERROR(VLOOKUP(F955,'Freq-Chan'!C:D,2,FALSE),"x")</f>
        <v>x</v>
      </c>
      <c r="U955" s="110" t="s">
        <v>541</v>
      </c>
      <c r="V955" s="110" t="str">
        <f t="shared" si="30"/>
        <v>FWL</v>
      </c>
      <c r="W955" s="110" t="s">
        <v>541</v>
      </c>
      <c r="X955" s="110" t="s">
        <v>541</v>
      </c>
      <c r="Y955" s="110" t="str">
        <f>IFERROR(VLOOKUP(F955,'Freq-Chan'!C:E,3,FALSE),"na")</f>
        <v>na</v>
      </c>
      <c r="Z955" s="110" t="s">
        <v>541</v>
      </c>
      <c r="AA955" s="110" t="s">
        <v>541</v>
      </c>
      <c r="AB955" s="110" t="s">
        <v>541</v>
      </c>
      <c r="AC955" s="10" t="s">
        <v>541</v>
      </c>
      <c r="AD955" s="10" t="s">
        <v>541</v>
      </c>
    </row>
    <row r="956" spans="1:30" x14ac:dyDescent="0.2">
      <c r="A956" s="110">
        <v>955</v>
      </c>
      <c r="B956" s="505">
        <v>41839</v>
      </c>
      <c r="C956" s="117">
        <v>3</v>
      </c>
      <c r="D956" s="103" t="s">
        <v>8</v>
      </c>
      <c r="E956" s="103" t="s">
        <v>306</v>
      </c>
      <c r="F956" s="103">
        <v>573</v>
      </c>
      <c r="G956" s="103">
        <v>71</v>
      </c>
      <c r="H956" s="103" t="s">
        <v>2101</v>
      </c>
      <c r="I956" s="103">
        <v>49</v>
      </c>
      <c r="K956" s="103" t="s">
        <v>364</v>
      </c>
      <c r="L956" s="133">
        <v>0.58958333333333335</v>
      </c>
      <c r="M956" s="134">
        <v>5.6250000000000001E-2</v>
      </c>
      <c r="N956" s="137" t="s">
        <v>2939</v>
      </c>
      <c r="O956" s="133" t="s">
        <v>1888</v>
      </c>
      <c r="Q956" s="100" t="s">
        <v>2937</v>
      </c>
      <c r="R956" s="226" t="s">
        <v>2956</v>
      </c>
      <c r="S956" s="503">
        <f t="shared" si="29"/>
        <v>3.2291667000000001E-3</v>
      </c>
      <c r="T956" s="492">
        <f>IFERROR(VLOOKUP(F956,'Freq-Chan'!C:D,2,FALSE),"x")</f>
        <v>151.57300000000001</v>
      </c>
      <c r="U956" s="110" t="s">
        <v>541</v>
      </c>
      <c r="V956" s="110" t="str">
        <f t="shared" si="30"/>
        <v>FWL</v>
      </c>
      <c r="W956" s="110" t="s">
        <v>541</v>
      </c>
      <c r="X956" s="110" t="s">
        <v>541</v>
      </c>
      <c r="Y956" s="110" t="str">
        <f>IFERROR(VLOOKUP(F956,'Freq-Chan'!C:E,3,FALSE),"na")</f>
        <v>F1840</v>
      </c>
      <c r="Z956" s="110" t="s">
        <v>541</v>
      </c>
      <c r="AA956" s="110" t="s">
        <v>541</v>
      </c>
      <c r="AB956" s="110" t="s">
        <v>541</v>
      </c>
      <c r="AC956" s="10" t="s">
        <v>541</v>
      </c>
      <c r="AD956" s="10" t="s">
        <v>541</v>
      </c>
    </row>
    <row r="957" spans="1:30" x14ac:dyDescent="0.2">
      <c r="A957" s="110">
        <v>956</v>
      </c>
      <c r="B957" s="505">
        <v>41839</v>
      </c>
      <c r="C957" s="117">
        <v>3</v>
      </c>
      <c r="D957" s="103" t="s">
        <v>2</v>
      </c>
      <c r="E957" s="103" t="s">
        <v>306</v>
      </c>
      <c r="F957" s="103">
        <v>917</v>
      </c>
      <c r="G957" s="103">
        <v>27</v>
      </c>
      <c r="H957" s="103" t="s">
        <v>2940</v>
      </c>
      <c r="I957" s="103">
        <v>65</v>
      </c>
      <c r="K957" s="103" t="s">
        <v>1032</v>
      </c>
      <c r="L957" s="133">
        <v>0.61944444444444446</v>
      </c>
      <c r="M957" s="134">
        <v>8.8888888888888892E-2</v>
      </c>
      <c r="N957" s="137" t="s">
        <v>1966</v>
      </c>
      <c r="O957" s="133" t="s">
        <v>372</v>
      </c>
      <c r="P957" s="100" t="s">
        <v>2941</v>
      </c>
      <c r="Q957" s="100" t="s">
        <v>2937</v>
      </c>
      <c r="R957" s="226" t="s">
        <v>2956</v>
      </c>
      <c r="S957" s="503">
        <f t="shared" si="29"/>
        <v>2.6851852000000002E-3</v>
      </c>
      <c r="T957" s="492">
        <f>IFERROR(VLOOKUP(F957,'Freq-Chan'!C:D,2,FALSE),"x")</f>
        <v>151.917</v>
      </c>
      <c r="U957" s="110" t="s">
        <v>541</v>
      </c>
      <c r="V957" s="110" t="str">
        <f t="shared" si="30"/>
        <v>FWL</v>
      </c>
      <c r="W957" s="110" t="s">
        <v>541</v>
      </c>
      <c r="X957" s="110" t="s">
        <v>541</v>
      </c>
      <c r="Y957" s="110" t="str">
        <f>IFERROR(VLOOKUP(F957,'Freq-Chan'!C:E,3,FALSE),"na")</f>
        <v>F1835</v>
      </c>
      <c r="Z957" s="110" t="s">
        <v>541</v>
      </c>
      <c r="AA957" s="110" t="s">
        <v>541</v>
      </c>
      <c r="AB957" s="110" t="s">
        <v>541</v>
      </c>
      <c r="AC957" s="10" t="s">
        <v>541</v>
      </c>
      <c r="AD957" s="10" t="s">
        <v>541</v>
      </c>
    </row>
    <row r="958" spans="1:30" x14ac:dyDescent="0.2">
      <c r="A958" s="110">
        <v>957</v>
      </c>
      <c r="B958" s="505">
        <v>41839</v>
      </c>
      <c r="C958" s="117">
        <v>3</v>
      </c>
      <c r="D958" s="103" t="s">
        <v>70</v>
      </c>
      <c r="E958" s="103" t="s">
        <v>306</v>
      </c>
      <c r="F958" s="103">
        <v>596</v>
      </c>
      <c r="G958" s="103">
        <v>79</v>
      </c>
      <c r="H958" s="137" t="s">
        <v>2942</v>
      </c>
      <c r="I958" s="103">
        <v>45</v>
      </c>
      <c r="K958" s="103" t="s">
        <v>365</v>
      </c>
      <c r="L958" s="133">
        <v>0.65069444444444446</v>
      </c>
      <c r="M958" s="134">
        <v>5.9027777777777783E-2</v>
      </c>
      <c r="N958" s="137" t="s">
        <v>1986</v>
      </c>
      <c r="O958" s="133" t="s">
        <v>1888</v>
      </c>
      <c r="Q958" s="100" t="s">
        <v>2937</v>
      </c>
      <c r="R958" s="226" t="s">
        <v>2956</v>
      </c>
      <c r="S958" s="503">
        <f t="shared" si="29"/>
        <v>2.6099536999999999E-2</v>
      </c>
      <c r="T958" s="492">
        <f>IFERROR(VLOOKUP(F958,'Freq-Chan'!C:D,2,FALSE),"x")</f>
        <v>151.596</v>
      </c>
      <c r="U958" s="110" t="s">
        <v>541</v>
      </c>
      <c r="V958" s="110" t="str">
        <f t="shared" si="30"/>
        <v>FWL</v>
      </c>
      <c r="W958" s="110" t="s">
        <v>541</v>
      </c>
      <c r="X958" s="110" t="s">
        <v>541</v>
      </c>
      <c r="Y958" s="110" t="str">
        <f>IFERROR(VLOOKUP(F958,'Freq-Chan'!C:E,3,FALSE),"na")</f>
        <v>F1835</v>
      </c>
      <c r="Z958" s="110" t="s">
        <v>541</v>
      </c>
      <c r="AA958" s="110" t="s">
        <v>541</v>
      </c>
      <c r="AB958" s="110" t="s">
        <v>541</v>
      </c>
      <c r="AC958" s="10" t="s">
        <v>541</v>
      </c>
      <c r="AD958" s="10" t="s">
        <v>541</v>
      </c>
    </row>
    <row r="959" spans="1:30" x14ac:dyDescent="0.2">
      <c r="A959" s="110">
        <v>958</v>
      </c>
      <c r="B959" s="505">
        <v>41839</v>
      </c>
      <c r="C959" s="117">
        <v>3</v>
      </c>
      <c r="D959" s="103" t="s">
        <v>2</v>
      </c>
      <c r="E959" s="103" t="s">
        <v>306</v>
      </c>
      <c r="F959" s="103">
        <v>917</v>
      </c>
      <c r="G959" s="103">
        <v>19</v>
      </c>
      <c r="H959" s="103" t="s">
        <v>2943</v>
      </c>
      <c r="I959" s="103">
        <v>69</v>
      </c>
      <c r="K959" s="103" t="s">
        <v>1032</v>
      </c>
      <c r="L959" s="133"/>
      <c r="M959" s="134">
        <v>6.1111111111111116E-2</v>
      </c>
      <c r="N959" s="137" t="s">
        <v>2840</v>
      </c>
      <c r="O959" s="133" t="s">
        <v>1888</v>
      </c>
      <c r="P959" s="100" t="s">
        <v>2944</v>
      </c>
      <c r="Q959" s="100" t="s">
        <v>2937</v>
      </c>
      <c r="R959" s="226" t="s">
        <v>2956</v>
      </c>
      <c r="S959" s="503" t="str">
        <f t="shared" si="29"/>
        <v>x</v>
      </c>
      <c r="T959" s="492">
        <f>IFERROR(VLOOKUP(F959,'Freq-Chan'!C:D,2,FALSE),"x")</f>
        <v>151.917</v>
      </c>
      <c r="U959" s="110" t="s">
        <v>541</v>
      </c>
      <c r="V959" s="110" t="str">
        <f t="shared" si="30"/>
        <v>FWL</v>
      </c>
      <c r="W959" s="110" t="s">
        <v>541</v>
      </c>
      <c r="X959" s="110" t="s">
        <v>541</v>
      </c>
      <c r="Y959" s="110" t="str">
        <f>IFERROR(VLOOKUP(F959,'Freq-Chan'!C:E,3,FALSE),"na")</f>
        <v>F1835</v>
      </c>
      <c r="Z959" s="110" t="s">
        <v>541</v>
      </c>
      <c r="AA959" s="110" t="s">
        <v>541</v>
      </c>
      <c r="AB959" s="110" t="s">
        <v>541</v>
      </c>
      <c r="AC959" s="10" t="s">
        <v>541</v>
      </c>
      <c r="AD959" s="10" t="s">
        <v>541</v>
      </c>
    </row>
    <row r="960" spans="1:30" x14ac:dyDescent="0.2">
      <c r="A960" s="110">
        <v>959</v>
      </c>
      <c r="B960" s="505">
        <v>41839</v>
      </c>
      <c r="C960" s="117">
        <v>3</v>
      </c>
      <c r="D960" s="103" t="s">
        <v>75</v>
      </c>
      <c r="E960" s="103" t="s">
        <v>798</v>
      </c>
      <c r="H960" s="103"/>
      <c r="J960" s="103">
        <v>37</v>
      </c>
      <c r="K960" s="103" t="s">
        <v>364</v>
      </c>
      <c r="M960" s="134">
        <v>1.8749999999999999E-2</v>
      </c>
      <c r="N960" s="137" t="s">
        <v>2946</v>
      </c>
      <c r="O960" s="133" t="s">
        <v>804</v>
      </c>
      <c r="Q960" s="100" t="s">
        <v>2928</v>
      </c>
      <c r="R960" s="226" t="s">
        <v>2956</v>
      </c>
      <c r="S960" s="503" t="str">
        <f t="shared" si="29"/>
        <v>x</v>
      </c>
      <c r="T960" s="492" t="str">
        <f>IFERROR(VLOOKUP(F960,'Freq-Chan'!C:D,2,FALSE),"x")</f>
        <v>x</v>
      </c>
      <c r="U960" s="110" t="s">
        <v>541</v>
      </c>
      <c r="V960" s="110" t="str">
        <f t="shared" si="30"/>
        <v>FWL</v>
      </c>
      <c r="W960" s="110" t="s">
        <v>541</v>
      </c>
      <c r="X960" s="110" t="s">
        <v>541</v>
      </c>
      <c r="Y960" s="110" t="str">
        <f>IFERROR(VLOOKUP(F960,'Freq-Chan'!C:E,3,FALSE),"na")</f>
        <v>na</v>
      </c>
      <c r="Z960" s="110" t="s">
        <v>541</v>
      </c>
      <c r="AA960" s="110" t="s">
        <v>541</v>
      </c>
      <c r="AB960" s="110" t="s">
        <v>541</v>
      </c>
      <c r="AC960" s="10" t="s">
        <v>541</v>
      </c>
      <c r="AD960" s="10" t="s">
        <v>541</v>
      </c>
    </row>
    <row r="961" spans="1:30" x14ac:dyDescent="0.2">
      <c r="A961" s="110">
        <v>960</v>
      </c>
      <c r="B961" s="505">
        <v>41839</v>
      </c>
      <c r="C961" s="117">
        <v>3</v>
      </c>
      <c r="D961" s="103" t="s">
        <v>71</v>
      </c>
      <c r="E961" s="103" t="s">
        <v>306</v>
      </c>
      <c r="H961" s="103"/>
      <c r="I961" s="103">
        <v>63</v>
      </c>
      <c r="K961" s="103" t="s">
        <v>364</v>
      </c>
      <c r="L961" s="133">
        <v>0.74583333333333324</v>
      </c>
      <c r="M961" s="134">
        <v>3.2638888888888891E-2</v>
      </c>
      <c r="N961" s="137" t="s">
        <v>2945</v>
      </c>
      <c r="O961" s="133" t="s">
        <v>804</v>
      </c>
      <c r="P961" s="100" t="s">
        <v>2947</v>
      </c>
      <c r="Q961" s="100" t="s">
        <v>2928</v>
      </c>
      <c r="R961" s="226" t="s">
        <v>2956</v>
      </c>
      <c r="S961" s="503">
        <f t="shared" si="29"/>
        <v>8.4490740000000002E-4</v>
      </c>
      <c r="T961" s="492" t="str">
        <f>IFERROR(VLOOKUP(F961,'Freq-Chan'!C:D,2,FALSE),"x")</f>
        <v>x</v>
      </c>
      <c r="U961" s="110" t="s">
        <v>541</v>
      </c>
      <c r="V961" s="110" t="str">
        <f t="shared" si="30"/>
        <v>FWL</v>
      </c>
      <c r="W961" s="110" t="s">
        <v>541</v>
      </c>
      <c r="X961" s="110" t="s">
        <v>541</v>
      </c>
      <c r="Y961" s="110" t="str">
        <f>IFERROR(VLOOKUP(F961,'Freq-Chan'!C:E,3,FALSE),"na")</f>
        <v>na</v>
      </c>
      <c r="Z961" s="110" t="s">
        <v>541</v>
      </c>
      <c r="AA961" s="110" t="s">
        <v>541</v>
      </c>
      <c r="AB961" s="110" t="s">
        <v>541</v>
      </c>
      <c r="AC961" s="10" t="s">
        <v>541</v>
      </c>
      <c r="AD961" s="10" t="s">
        <v>541</v>
      </c>
    </row>
    <row r="962" spans="1:30" x14ac:dyDescent="0.2">
      <c r="A962" s="110">
        <v>961</v>
      </c>
      <c r="B962" s="505">
        <v>41839</v>
      </c>
      <c r="C962" s="117">
        <v>3</v>
      </c>
      <c r="D962" s="103" t="s">
        <v>8</v>
      </c>
      <c r="E962" s="103" t="s">
        <v>306</v>
      </c>
      <c r="F962" s="103">
        <v>586</v>
      </c>
      <c r="G962" s="103">
        <v>16</v>
      </c>
      <c r="H962" s="103"/>
      <c r="I962" s="103">
        <v>57</v>
      </c>
      <c r="K962" s="103" t="s">
        <v>364</v>
      </c>
      <c r="L962" s="133"/>
      <c r="M962" s="134">
        <v>5.1388888888888894E-2</v>
      </c>
      <c r="N962" s="137" t="s">
        <v>2948</v>
      </c>
      <c r="O962" s="133" t="s">
        <v>555</v>
      </c>
      <c r="P962" s="100" t="s">
        <v>2949</v>
      </c>
      <c r="Q962" s="100" t="s">
        <v>2928</v>
      </c>
      <c r="R962" s="226" t="s">
        <v>2956</v>
      </c>
      <c r="S962" s="503" t="str">
        <f t="shared" si="29"/>
        <v>x</v>
      </c>
      <c r="T962" s="492">
        <f>IFERROR(VLOOKUP(F962,'Freq-Chan'!C:D,2,FALSE),"x")</f>
        <v>151.58600000000001</v>
      </c>
      <c r="U962" s="110" t="s">
        <v>541</v>
      </c>
      <c r="V962" s="110" t="str">
        <f t="shared" si="30"/>
        <v>FWL</v>
      </c>
      <c r="W962" s="110" t="s">
        <v>541</v>
      </c>
      <c r="X962" s="110" t="s">
        <v>541</v>
      </c>
      <c r="Y962" s="110" t="str">
        <f>IFERROR(VLOOKUP(F962,'Freq-Chan'!C:E,3,FALSE),"na")</f>
        <v>F1840</v>
      </c>
      <c r="Z962" s="110" t="s">
        <v>541</v>
      </c>
      <c r="AA962" s="110" t="s">
        <v>541</v>
      </c>
      <c r="AB962" s="110" t="s">
        <v>541</v>
      </c>
      <c r="AC962" s="10" t="s">
        <v>541</v>
      </c>
      <c r="AD962" s="10" t="s">
        <v>541</v>
      </c>
    </row>
    <row r="963" spans="1:30" x14ac:dyDescent="0.2">
      <c r="A963" s="110">
        <v>962</v>
      </c>
      <c r="B963" s="505">
        <v>41839</v>
      </c>
      <c r="C963" s="117">
        <v>3</v>
      </c>
      <c r="D963" s="103" t="s">
        <v>88</v>
      </c>
      <c r="E963" s="103" t="s">
        <v>798</v>
      </c>
      <c r="H963" s="103"/>
      <c r="J963" s="103">
        <v>21</v>
      </c>
      <c r="K963" s="103" t="s">
        <v>364</v>
      </c>
      <c r="L963" s="133">
        <v>0.78194444444444444</v>
      </c>
      <c r="M963" s="134">
        <v>6.9444444444444441E-3</v>
      </c>
      <c r="N963" s="137" t="s">
        <v>2950</v>
      </c>
      <c r="O963" s="133" t="s">
        <v>555</v>
      </c>
      <c r="Q963" s="100" t="s">
        <v>2928</v>
      </c>
      <c r="R963" s="226" t="s">
        <v>2956</v>
      </c>
      <c r="S963" s="503">
        <f t="shared" ref="S963:S1026" si="31">IF(IF(OR(L963=0,N963=0),"x",ROUND(N963-L963-(M963*24)/(24*60),10))&lt;0,0,IF(OR(L963=0,N963=0),"x",ROUND(N963-L963-(M963*24)/(24*60),10)))</f>
        <v>4.0509259000000002E-3</v>
      </c>
      <c r="T963" s="492" t="str">
        <f>IFERROR(VLOOKUP(F963,'Freq-Chan'!C:D,2,FALSE),"x")</f>
        <v>x</v>
      </c>
      <c r="U963" s="110" t="s">
        <v>541</v>
      </c>
      <c r="V963" s="110" t="str">
        <f t="shared" ref="V963:V1026" si="32">IF(OR(C963=1,C963=2,C963=3),"FWL","NRD")</f>
        <v>FWL</v>
      </c>
      <c r="W963" s="110" t="s">
        <v>541</v>
      </c>
      <c r="X963" s="110" t="s">
        <v>541</v>
      </c>
      <c r="Y963" s="110" t="str">
        <f>IFERROR(VLOOKUP(F963,'Freq-Chan'!C:E,3,FALSE),"na")</f>
        <v>na</v>
      </c>
      <c r="Z963" s="110" t="s">
        <v>541</v>
      </c>
      <c r="AA963" s="110" t="s">
        <v>541</v>
      </c>
      <c r="AB963" s="110" t="s">
        <v>541</v>
      </c>
      <c r="AC963" s="10" t="s">
        <v>541</v>
      </c>
      <c r="AD963" s="10" t="s">
        <v>541</v>
      </c>
    </row>
    <row r="964" spans="1:30" s="291" customFormat="1" x14ac:dyDescent="0.2">
      <c r="A964" s="493">
        <v>963</v>
      </c>
      <c r="B964" s="506">
        <v>41839</v>
      </c>
      <c r="C964" s="284">
        <v>3</v>
      </c>
      <c r="D964" s="285" t="s">
        <v>2</v>
      </c>
      <c r="E964" s="285" t="s">
        <v>306</v>
      </c>
      <c r="F964" s="285">
        <v>917</v>
      </c>
      <c r="G964" s="285">
        <v>29</v>
      </c>
      <c r="H964" s="285" t="s">
        <v>2951</v>
      </c>
      <c r="I964" s="285">
        <v>50</v>
      </c>
      <c r="J964" s="285"/>
      <c r="K964" s="285" t="s">
        <v>1032</v>
      </c>
      <c r="L964" s="286"/>
      <c r="M964" s="287">
        <v>5.7638888888888885E-2</v>
      </c>
      <c r="N964" s="339" t="s">
        <v>2538</v>
      </c>
      <c r="O964" s="286" t="s">
        <v>804</v>
      </c>
      <c r="P964" s="289" t="s">
        <v>2952</v>
      </c>
      <c r="Q964" s="289" t="s">
        <v>2928</v>
      </c>
      <c r="R964" s="290" t="s">
        <v>2956</v>
      </c>
      <c r="S964" s="508" t="str">
        <f t="shared" si="31"/>
        <v>x</v>
      </c>
      <c r="T964" s="495">
        <f>IFERROR(VLOOKUP(F964,'Freq-Chan'!C:D,2,FALSE),"x")</f>
        <v>151.917</v>
      </c>
      <c r="U964" s="493" t="s">
        <v>541</v>
      </c>
      <c r="V964" s="493" t="str">
        <f t="shared" si="32"/>
        <v>FWL</v>
      </c>
      <c r="W964" s="493" t="s">
        <v>541</v>
      </c>
      <c r="X964" s="493" t="s">
        <v>541</v>
      </c>
      <c r="Y964" s="493" t="str">
        <f>IFERROR(VLOOKUP(F964,'Freq-Chan'!C:E,3,FALSE),"na")</f>
        <v>F1835</v>
      </c>
      <c r="Z964" s="493" t="s">
        <v>541</v>
      </c>
      <c r="AA964" s="493" t="s">
        <v>541</v>
      </c>
      <c r="AB964" s="493" t="s">
        <v>541</v>
      </c>
      <c r="AC964" s="291" t="s">
        <v>541</v>
      </c>
      <c r="AD964" s="291" t="s">
        <v>541</v>
      </c>
    </row>
    <row r="965" spans="1:30" x14ac:dyDescent="0.2">
      <c r="A965" s="110">
        <v>964</v>
      </c>
      <c r="B965" s="505">
        <v>41840</v>
      </c>
      <c r="C965" s="117">
        <v>1</v>
      </c>
      <c r="D965" s="103" t="s">
        <v>2</v>
      </c>
      <c r="E965" s="103" t="s">
        <v>306</v>
      </c>
      <c r="F965" s="103">
        <v>917</v>
      </c>
      <c r="G965" s="103">
        <v>98</v>
      </c>
      <c r="H965" s="103" t="s">
        <v>1504</v>
      </c>
      <c r="I965" s="103">
        <v>82</v>
      </c>
      <c r="K965" s="103" t="s">
        <v>364</v>
      </c>
      <c r="L965" s="133">
        <v>0.65069444444444446</v>
      </c>
      <c r="M965" s="134">
        <v>7.8472222222222221E-2</v>
      </c>
      <c r="N965" s="137" t="s">
        <v>767</v>
      </c>
      <c r="O965" s="133" t="s">
        <v>804</v>
      </c>
      <c r="P965" s="100" t="s">
        <v>3192</v>
      </c>
      <c r="Q965" s="100" t="s">
        <v>3161</v>
      </c>
      <c r="R965" s="226" t="s">
        <v>3196</v>
      </c>
      <c r="S965" s="491">
        <f t="shared" si="31"/>
        <v>5.6365740999999997E-3</v>
      </c>
      <c r="T965" s="492">
        <f>IFERROR(VLOOKUP(F965,'Freq-Chan'!C:D,2,FALSE),"x")</f>
        <v>151.917</v>
      </c>
      <c r="U965" s="110" t="s">
        <v>541</v>
      </c>
      <c r="V965" s="110" t="str">
        <f t="shared" si="32"/>
        <v>FWL</v>
      </c>
      <c r="W965" s="110" t="s">
        <v>541</v>
      </c>
      <c r="X965" s="110" t="s">
        <v>541</v>
      </c>
      <c r="Y965" s="110" t="str">
        <f>IFERROR(VLOOKUP(F965,'Freq-Chan'!C:E,3,FALSE),"na")</f>
        <v>F1835</v>
      </c>
      <c r="Z965" s="110" t="s">
        <v>541</v>
      </c>
      <c r="AA965" s="110" t="s">
        <v>541</v>
      </c>
      <c r="AB965" s="110" t="s">
        <v>541</v>
      </c>
      <c r="AC965" s="10" t="s">
        <v>541</v>
      </c>
      <c r="AD965" s="10" t="s">
        <v>541</v>
      </c>
    </row>
    <row r="966" spans="1:30" x14ac:dyDescent="0.2">
      <c r="A966" s="110">
        <v>965</v>
      </c>
      <c r="B966" s="505">
        <v>41840</v>
      </c>
      <c r="C966" s="117">
        <v>1</v>
      </c>
      <c r="D966" s="103" t="s">
        <v>71</v>
      </c>
      <c r="E966" s="103" t="s">
        <v>306</v>
      </c>
      <c r="H966" s="103"/>
      <c r="I966" s="103">
        <v>63</v>
      </c>
      <c r="K966" s="103" t="s">
        <v>364</v>
      </c>
      <c r="L966" s="133"/>
      <c r="M966" s="134">
        <v>2.0833333333333332E-2</v>
      </c>
      <c r="N966" s="137" t="s">
        <v>849</v>
      </c>
      <c r="O966" s="133" t="s">
        <v>804</v>
      </c>
      <c r="P966" s="100" t="s">
        <v>3165</v>
      </c>
      <c r="Q966" s="100" t="s">
        <v>3161</v>
      </c>
      <c r="R966" s="226" t="s">
        <v>3196</v>
      </c>
      <c r="S966" s="491" t="str">
        <f t="shared" si="31"/>
        <v>x</v>
      </c>
      <c r="T966" s="492" t="str">
        <f>IFERROR(VLOOKUP(F966,'Freq-Chan'!C:D,2,FALSE),"x")</f>
        <v>x</v>
      </c>
      <c r="U966" s="110" t="s">
        <v>541</v>
      </c>
      <c r="V966" s="110" t="str">
        <f t="shared" si="32"/>
        <v>FWL</v>
      </c>
      <c r="W966" s="110" t="s">
        <v>541</v>
      </c>
      <c r="X966" s="110" t="s">
        <v>541</v>
      </c>
      <c r="Y966" s="110" t="str">
        <f>IFERROR(VLOOKUP(F966,'Freq-Chan'!C:E,3,FALSE),"na")</f>
        <v>na</v>
      </c>
      <c r="Z966" s="110" t="s">
        <v>541</v>
      </c>
      <c r="AA966" s="110" t="s">
        <v>541</v>
      </c>
      <c r="AB966" s="110" t="s">
        <v>541</v>
      </c>
      <c r="AC966" s="10" t="s">
        <v>541</v>
      </c>
      <c r="AD966" s="10" t="s">
        <v>541</v>
      </c>
    </row>
    <row r="967" spans="1:30" s="291" customFormat="1" x14ac:dyDescent="0.2">
      <c r="A967" s="493">
        <v>966</v>
      </c>
      <c r="B967" s="506">
        <v>41840</v>
      </c>
      <c r="C967" s="284">
        <v>1</v>
      </c>
      <c r="D967" s="285" t="s">
        <v>70</v>
      </c>
      <c r="E967" s="285" t="s">
        <v>306</v>
      </c>
      <c r="F967" s="285"/>
      <c r="G967" s="285"/>
      <c r="H967" s="285"/>
      <c r="I967" s="285">
        <v>51</v>
      </c>
      <c r="J967" s="285"/>
      <c r="K967" s="285" t="s">
        <v>1032</v>
      </c>
      <c r="L967" s="286"/>
      <c r="M967" s="287">
        <v>2.361111111111111E-2</v>
      </c>
      <c r="N967" s="339" t="s">
        <v>3166</v>
      </c>
      <c r="O967" s="286" t="s">
        <v>555</v>
      </c>
      <c r="P967" s="289" t="s">
        <v>3165</v>
      </c>
      <c r="Q967" s="289" t="s">
        <v>3161</v>
      </c>
      <c r="R967" s="290" t="s">
        <v>3196</v>
      </c>
      <c r="S967" s="494" t="str">
        <f t="shared" si="31"/>
        <v>x</v>
      </c>
      <c r="T967" s="495" t="str">
        <f>IFERROR(VLOOKUP(F967,'Freq-Chan'!C:D,2,FALSE),"x")</f>
        <v>x</v>
      </c>
      <c r="U967" s="493" t="s">
        <v>541</v>
      </c>
      <c r="V967" s="493" t="str">
        <f t="shared" si="32"/>
        <v>FWL</v>
      </c>
      <c r="W967" s="493" t="s">
        <v>541</v>
      </c>
      <c r="X967" s="493" t="s">
        <v>541</v>
      </c>
      <c r="Y967" s="493" t="str">
        <f>IFERROR(VLOOKUP(F967,'Freq-Chan'!C:E,3,FALSE),"na")</f>
        <v>na</v>
      </c>
      <c r="Z967" s="493" t="s">
        <v>541</v>
      </c>
      <c r="AA967" s="493" t="s">
        <v>541</v>
      </c>
      <c r="AB967" s="493" t="s">
        <v>541</v>
      </c>
      <c r="AC967" s="291" t="s">
        <v>541</v>
      </c>
      <c r="AD967" s="291" t="s">
        <v>541</v>
      </c>
    </row>
    <row r="968" spans="1:30" x14ac:dyDescent="0.2">
      <c r="A968" s="110">
        <v>967</v>
      </c>
      <c r="B968" s="132">
        <v>41840</v>
      </c>
      <c r="C968" s="117">
        <v>2</v>
      </c>
      <c r="D968" s="103" t="s">
        <v>8</v>
      </c>
      <c r="E968" s="103" t="s">
        <v>306</v>
      </c>
      <c r="F968" s="103">
        <v>573</v>
      </c>
      <c r="G968" s="103">
        <v>8</v>
      </c>
      <c r="H968" s="103" t="s">
        <v>2130</v>
      </c>
      <c r="I968" s="103">
        <v>44</v>
      </c>
      <c r="K968" s="103" t="s">
        <v>364</v>
      </c>
      <c r="L968" s="133"/>
      <c r="M968" s="134">
        <v>5.2777777777777778E-2</v>
      </c>
      <c r="N968" s="137" t="s">
        <v>3167</v>
      </c>
      <c r="O968" s="133" t="s">
        <v>555</v>
      </c>
      <c r="Q968" s="100" t="s">
        <v>3159</v>
      </c>
      <c r="R968" s="226" t="s">
        <v>3196</v>
      </c>
      <c r="S968" s="491" t="str">
        <f t="shared" si="31"/>
        <v>x</v>
      </c>
      <c r="T968" s="492">
        <f>IFERROR(VLOOKUP(F968,'Freq-Chan'!C:D,2,FALSE),"x")</f>
        <v>151.57300000000001</v>
      </c>
      <c r="U968" s="110" t="s">
        <v>541</v>
      </c>
      <c r="V968" s="110" t="str">
        <f t="shared" si="32"/>
        <v>FWL</v>
      </c>
      <c r="W968" s="110" t="s">
        <v>541</v>
      </c>
      <c r="X968" s="110" t="s">
        <v>541</v>
      </c>
      <c r="Y968" s="110" t="str">
        <f>IFERROR(VLOOKUP(F968,'Freq-Chan'!C:E,3,FALSE),"na")</f>
        <v>F1840</v>
      </c>
      <c r="Z968" s="110" t="s">
        <v>541</v>
      </c>
      <c r="AA968" s="110" t="s">
        <v>541</v>
      </c>
      <c r="AB968" s="110" t="s">
        <v>541</v>
      </c>
      <c r="AC968" s="10" t="s">
        <v>541</v>
      </c>
      <c r="AD968" s="10" t="s">
        <v>541</v>
      </c>
    </row>
    <row r="969" spans="1:30" x14ac:dyDescent="0.2">
      <c r="A969" s="110">
        <v>968</v>
      </c>
      <c r="B969" s="132">
        <v>41840</v>
      </c>
      <c r="C969" s="117">
        <v>2</v>
      </c>
      <c r="D969" s="103" t="s">
        <v>8</v>
      </c>
      <c r="E969" s="103" t="s">
        <v>306</v>
      </c>
      <c r="F969" s="103">
        <v>586</v>
      </c>
      <c r="G969" s="103">
        <v>93</v>
      </c>
      <c r="H969" s="103" t="s">
        <v>2122</v>
      </c>
      <c r="I969" s="103">
        <v>51</v>
      </c>
      <c r="K969" s="103" t="s">
        <v>364</v>
      </c>
      <c r="L969" s="133"/>
      <c r="M969" s="134">
        <v>4.2361111111111106E-2</v>
      </c>
      <c r="N969" s="137" t="s">
        <v>3168</v>
      </c>
      <c r="O969" s="133" t="s">
        <v>555</v>
      </c>
      <c r="Q969" s="100" t="s">
        <v>3159</v>
      </c>
      <c r="R969" s="226" t="s">
        <v>3196</v>
      </c>
      <c r="S969" s="491" t="str">
        <f t="shared" si="31"/>
        <v>x</v>
      </c>
      <c r="T969" s="492">
        <f>IFERROR(VLOOKUP(F969,'Freq-Chan'!C:D,2,FALSE),"x")</f>
        <v>151.58600000000001</v>
      </c>
      <c r="U969" s="110" t="s">
        <v>541</v>
      </c>
      <c r="V969" s="110" t="str">
        <f t="shared" si="32"/>
        <v>FWL</v>
      </c>
      <c r="W969" s="110" t="s">
        <v>541</v>
      </c>
      <c r="X969" s="110" t="s">
        <v>541</v>
      </c>
      <c r="Y969" s="110" t="str">
        <f>IFERROR(VLOOKUP(F969,'Freq-Chan'!C:E,3,FALSE),"na")</f>
        <v>F1840</v>
      </c>
      <c r="Z969" s="110" t="s">
        <v>541</v>
      </c>
      <c r="AA969" s="110" t="s">
        <v>541</v>
      </c>
      <c r="AB969" s="110" t="s">
        <v>541</v>
      </c>
      <c r="AC969" s="10" t="s">
        <v>541</v>
      </c>
      <c r="AD969" s="10" t="s">
        <v>541</v>
      </c>
    </row>
    <row r="970" spans="1:30" s="291" customFormat="1" x14ac:dyDescent="0.2">
      <c r="A970" s="493">
        <v>969</v>
      </c>
      <c r="B970" s="283">
        <v>41840</v>
      </c>
      <c r="C970" s="284">
        <v>2</v>
      </c>
      <c r="D970" s="285" t="s">
        <v>71</v>
      </c>
      <c r="E970" s="285" t="s">
        <v>306</v>
      </c>
      <c r="F970" s="285">
        <v>564</v>
      </c>
      <c r="G970" s="285">
        <v>44</v>
      </c>
      <c r="H970" s="285" t="s">
        <v>2294</v>
      </c>
      <c r="I970" s="285">
        <v>63</v>
      </c>
      <c r="J970" s="285"/>
      <c r="K970" s="285" t="s">
        <v>364</v>
      </c>
      <c r="L970" s="286"/>
      <c r="M970" s="287">
        <v>4.4444444444444446E-2</v>
      </c>
      <c r="N970" s="339" t="s">
        <v>2901</v>
      </c>
      <c r="O970" s="286" t="s">
        <v>555</v>
      </c>
      <c r="P970" s="289"/>
      <c r="Q970" s="289" t="s">
        <v>3159</v>
      </c>
      <c r="R970" s="290" t="s">
        <v>3196</v>
      </c>
      <c r="S970" s="494" t="str">
        <f t="shared" si="31"/>
        <v>x</v>
      </c>
      <c r="T970" s="495">
        <f>IFERROR(VLOOKUP(F970,'Freq-Chan'!C:D,2,FALSE),"x")</f>
        <v>151.56399999999999</v>
      </c>
      <c r="U970" s="493" t="s">
        <v>541</v>
      </c>
      <c r="V970" s="493" t="str">
        <f t="shared" si="32"/>
        <v>FWL</v>
      </c>
      <c r="W970" s="493" t="s">
        <v>541</v>
      </c>
      <c r="X970" s="493" t="s">
        <v>541</v>
      </c>
      <c r="Y970" s="493" t="str">
        <f>IFERROR(VLOOKUP(F970,'Freq-Chan'!C:E,3,FALSE),"na")</f>
        <v>F1840</v>
      </c>
      <c r="Z970" s="493" t="s">
        <v>541</v>
      </c>
      <c r="AA970" s="493" t="s">
        <v>541</v>
      </c>
      <c r="AB970" s="493" t="s">
        <v>541</v>
      </c>
      <c r="AC970" s="291" t="s">
        <v>541</v>
      </c>
      <c r="AD970" s="291" t="s">
        <v>541</v>
      </c>
    </row>
    <row r="971" spans="1:30" x14ac:dyDescent="0.2">
      <c r="A971" s="110">
        <v>970</v>
      </c>
      <c r="B971" s="132">
        <v>41840</v>
      </c>
      <c r="C971" s="117">
        <v>3</v>
      </c>
      <c r="D971" s="103" t="s">
        <v>71</v>
      </c>
      <c r="E971" s="103" t="s">
        <v>306</v>
      </c>
      <c r="F971" s="103">
        <v>564</v>
      </c>
      <c r="G971" s="103">
        <v>51</v>
      </c>
      <c r="H971" s="103" t="s">
        <v>2299</v>
      </c>
      <c r="I971" s="103">
        <v>61</v>
      </c>
      <c r="K971" s="103" t="s">
        <v>364</v>
      </c>
      <c r="L971" s="133">
        <v>0.4069444444444445</v>
      </c>
      <c r="M971" s="134">
        <v>4.3055555555555562E-2</v>
      </c>
      <c r="N971" s="137" t="s">
        <v>3169</v>
      </c>
      <c r="O971" s="133" t="s">
        <v>555</v>
      </c>
      <c r="P971" s="100" t="s">
        <v>3170</v>
      </c>
      <c r="Q971" s="100" t="s">
        <v>3161</v>
      </c>
      <c r="R971" s="226" t="s">
        <v>3196</v>
      </c>
      <c r="S971" s="491">
        <f t="shared" si="31"/>
        <v>4.1435185000000003E-3</v>
      </c>
      <c r="T971" s="492">
        <f>IFERROR(VLOOKUP(F971,'Freq-Chan'!C:D,2,FALSE),"x")</f>
        <v>151.56399999999999</v>
      </c>
      <c r="U971" s="110" t="s">
        <v>541</v>
      </c>
      <c r="V971" s="110" t="str">
        <f t="shared" si="32"/>
        <v>FWL</v>
      </c>
      <c r="W971" s="110" t="s">
        <v>541</v>
      </c>
      <c r="X971" s="110" t="s">
        <v>541</v>
      </c>
      <c r="Y971" s="110" t="str">
        <f>IFERROR(VLOOKUP(F971,'Freq-Chan'!C:E,3,FALSE),"na")</f>
        <v>F1840</v>
      </c>
      <c r="Z971" s="110" t="s">
        <v>541</v>
      </c>
      <c r="AA971" s="110" t="s">
        <v>541</v>
      </c>
      <c r="AB971" s="110" t="s">
        <v>541</v>
      </c>
      <c r="AC971" s="10" t="s">
        <v>541</v>
      </c>
      <c r="AD971" s="10" t="s">
        <v>541</v>
      </c>
    </row>
    <row r="972" spans="1:30" x14ac:dyDescent="0.2">
      <c r="A972" s="110">
        <v>971</v>
      </c>
      <c r="B972" s="132">
        <v>41840</v>
      </c>
      <c r="C972" s="117">
        <v>3</v>
      </c>
      <c r="D972" s="103" t="s">
        <v>70</v>
      </c>
      <c r="E972" s="103" t="s">
        <v>306</v>
      </c>
      <c r="F972" s="103">
        <v>596</v>
      </c>
      <c r="G972" s="103">
        <v>40</v>
      </c>
      <c r="H972" s="137" t="s">
        <v>3150</v>
      </c>
      <c r="I972" s="103">
        <v>43</v>
      </c>
      <c r="K972" s="103" t="s">
        <v>365</v>
      </c>
      <c r="L972" s="133"/>
      <c r="M972" s="134">
        <v>7.6388888888888895E-2</v>
      </c>
      <c r="N972" s="137" t="s">
        <v>3171</v>
      </c>
      <c r="O972" s="133" t="s">
        <v>2931</v>
      </c>
      <c r="Q972" s="100" t="s">
        <v>2956</v>
      </c>
      <c r="R972" s="226" t="s">
        <v>3196</v>
      </c>
      <c r="S972" s="491" t="str">
        <f t="shared" si="31"/>
        <v>x</v>
      </c>
      <c r="T972" s="492">
        <f>IFERROR(VLOOKUP(F972,'Freq-Chan'!C:D,2,FALSE),"x")</f>
        <v>151.596</v>
      </c>
      <c r="U972" s="110" t="s">
        <v>541</v>
      </c>
      <c r="V972" s="110" t="str">
        <f t="shared" si="32"/>
        <v>FWL</v>
      </c>
      <c r="W972" s="110" t="s">
        <v>541</v>
      </c>
      <c r="X972" s="110" t="s">
        <v>541</v>
      </c>
      <c r="Y972" s="110" t="str">
        <f>IFERROR(VLOOKUP(F972,'Freq-Chan'!C:E,3,FALSE),"na")</f>
        <v>F1835</v>
      </c>
      <c r="Z972" s="110" t="s">
        <v>541</v>
      </c>
      <c r="AA972" s="110" t="s">
        <v>541</v>
      </c>
      <c r="AB972" s="110" t="s">
        <v>541</v>
      </c>
      <c r="AC972" s="10" t="s">
        <v>541</v>
      </c>
      <c r="AD972" s="10" t="s">
        <v>541</v>
      </c>
    </row>
    <row r="973" spans="1:30" x14ac:dyDescent="0.2">
      <c r="A973" s="110">
        <v>972</v>
      </c>
      <c r="B973" s="132">
        <v>41840</v>
      </c>
      <c r="C973" s="117">
        <v>3</v>
      </c>
      <c r="D973" s="103" t="s">
        <v>70</v>
      </c>
      <c r="E973" s="103" t="s">
        <v>306</v>
      </c>
      <c r="H973" s="103"/>
      <c r="I973" s="103">
        <v>41</v>
      </c>
      <c r="K973" s="103" t="s">
        <v>365</v>
      </c>
      <c r="L973" s="133"/>
      <c r="M973" s="134">
        <v>2.2222222222222223E-2</v>
      </c>
      <c r="N973" s="137" t="s">
        <v>2593</v>
      </c>
      <c r="O973" s="133" t="s">
        <v>1888</v>
      </c>
      <c r="Q973" s="100" t="s">
        <v>2956</v>
      </c>
      <c r="R973" s="226" t="s">
        <v>3196</v>
      </c>
      <c r="S973" s="491" t="str">
        <f t="shared" si="31"/>
        <v>x</v>
      </c>
      <c r="T973" s="492" t="str">
        <f>IFERROR(VLOOKUP(F973,'Freq-Chan'!C:D,2,FALSE),"x")</f>
        <v>x</v>
      </c>
      <c r="U973" s="110" t="s">
        <v>541</v>
      </c>
      <c r="V973" s="110" t="str">
        <f t="shared" si="32"/>
        <v>FWL</v>
      </c>
      <c r="W973" s="110" t="s">
        <v>541</v>
      </c>
      <c r="X973" s="110" t="s">
        <v>541</v>
      </c>
      <c r="Y973" s="110" t="str">
        <f>IFERROR(VLOOKUP(F973,'Freq-Chan'!C:E,3,FALSE),"na")</f>
        <v>na</v>
      </c>
      <c r="Z973" s="110" t="s">
        <v>541</v>
      </c>
      <c r="AA973" s="110" t="s">
        <v>541</v>
      </c>
      <c r="AB973" s="110" t="s">
        <v>541</v>
      </c>
      <c r="AC973" s="10" t="s">
        <v>541</v>
      </c>
      <c r="AD973" s="10" t="s">
        <v>541</v>
      </c>
    </row>
    <row r="974" spans="1:30" x14ac:dyDescent="0.2">
      <c r="A974" s="110">
        <v>973</v>
      </c>
      <c r="B974" s="132">
        <v>41840</v>
      </c>
      <c r="C974" s="117">
        <v>3</v>
      </c>
      <c r="D974" s="103" t="s">
        <v>2</v>
      </c>
      <c r="E974" s="103" t="s">
        <v>306</v>
      </c>
      <c r="F974" s="103">
        <v>917</v>
      </c>
      <c r="G974" s="103">
        <v>61</v>
      </c>
      <c r="H974" s="103" t="s">
        <v>3172</v>
      </c>
      <c r="I974" s="103">
        <v>69</v>
      </c>
      <c r="K974" s="103" t="s">
        <v>364</v>
      </c>
      <c r="L974" s="133"/>
      <c r="M974" s="134">
        <v>9.2361111111111116E-2</v>
      </c>
      <c r="N974" s="137" t="s">
        <v>3173</v>
      </c>
      <c r="O974" s="133" t="s">
        <v>372</v>
      </c>
      <c r="P974" s="100" t="s">
        <v>3174</v>
      </c>
      <c r="Q974" s="100" t="s">
        <v>2956</v>
      </c>
      <c r="R974" s="226" t="s">
        <v>3196</v>
      </c>
      <c r="S974" s="491" t="str">
        <f t="shared" si="31"/>
        <v>x</v>
      </c>
      <c r="T974" s="492">
        <f>IFERROR(VLOOKUP(F974,'Freq-Chan'!C:D,2,FALSE),"x")</f>
        <v>151.917</v>
      </c>
      <c r="U974" s="110" t="s">
        <v>541</v>
      </c>
      <c r="V974" s="110" t="str">
        <f t="shared" si="32"/>
        <v>FWL</v>
      </c>
      <c r="W974" s="110" t="s">
        <v>541</v>
      </c>
      <c r="X974" s="110" t="s">
        <v>541</v>
      </c>
      <c r="Y974" s="110" t="str">
        <f>IFERROR(VLOOKUP(F974,'Freq-Chan'!C:E,3,FALSE),"na")</f>
        <v>F1835</v>
      </c>
      <c r="Z974" s="110" t="s">
        <v>541</v>
      </c>
      <c r="AA974" s="110" t="s">
        <v>541</v>
      </c>
      <c r="AB974" s="110" t="s">
        <v>541</v>
      </c>
      <c r="AC974" s="10" t="s">
        <v>541</v>
      </c>
      <c r="AD974" s="10" t="s">
        <v>541</v>
      </c>
    </row>
    <row r="975" spans="1:30" x14ac:dyDescent="0.2">
      <c r="A975" s="110">
        <v>974</v>
      </c>
      <c r="B975" s="132">
        <v>41840</v>
      </c>
      <c r="C975" s="117">
        <v>3</v>
      </c>
      <c r="D975" s="103" t="s">
        <v>2</v>
      </c>
      <c r="E975" s="103" t="s">
        <v>306</v>
      </c>
      <c r="F975" s="103">
        <v>917</v>
      </c>
      <c r="G975" s="103">
        <v>11</v>
      </c>
      <c r="H975" s="103" t="s">
        <v>3175</v>
      </c>
      <c r="I975" s="103">
        <v>65</v>
      </c>
      <c r="K975" s="103" t="s">
        <v>364</v>
      </c>
      <c r="L975" s="133"/>
      <c r="M975" s="134">
        <v>9.0972222222222218E-2</v>
      </c>
      <c r="N975" s="137" t="s">
        <v>3176</v>
      </c>
      <c r="O975" s="133" t="s">
        <v>2931</v>
      </c>
      <c r="P975" s="100" t="s">
        <v>3177</v>
      </c>
      <c r="Q975" s="100" t="s">
        <v>2956</v>
      </c>
      <c r="R975" s="226" t="s">
        <v>3196</v>
      </c>
      <c r="S975" s="491" t="str">
        <f t="shared" si="31"/>
        <v>x</v>
      </c>
      <c r="T975" s="492">
        <f>IFERROR(VLOOKUP(F975,'Freq-Chan'!C:D,2,FALSE),"x")</f>
        <v>151.917</v>
      </c>
      <c r="U975" s="110" t="s">
        <v>541</v>
      </c>
      <c r="V975" s="110" t="str">
        <f t="shared" si="32"/>
        <v>FWL</v>
      </c>
      <c r="W975" s="110" t="s">
        <v>541</v>
      </c>
      <c r="X975" s="110" t="s">
        <v>541</v>
      </c>
      <c r="Y975" s="110" t="str">
        <f>IFERROR(VLOOKUP(F975,'Freq-Chan'!C:E,3,FALSE),"na")</f>
        <v>F1835</v>
      </c>
      <c r="Z975" s="110" t="s">
        <v>541</v>
      </c>
      <c r="AA975" s="110" t="s">
        <v>541</v>
      </c>
      <c r="AB975" s="110" t="s">
        <v>541</v>
      </c>
      <c r="AC975" s="10" t="s">
        <v>541</v>
      </c>
      <c r="AD975" s="10" t="s">
        <v>541</v>
      </c>
    </row>
    <row r="976" spans="1:30" x14ac:dyDescent="0.2">
      <c r="A976" s="110">
        <v>975</v>
      </c>
      <c r="B976" s="132">
        <v>41840</v>
      </c>
      <c r="C976" s="117">
        <v>3</v>
      </c>
      <c r="D976" s="103" t="s">
        <v>70</v>
      </c>
      <c r="E976" s="103" t="s">
        <v>306</v>
      </c>
      <c r="H976" s="103"/>
      <c r="I976" s="103">
        <v>45</v>
      </c>
      <c r="K976" s="103" t="s">
        <v>1032</v>
      </c>
      <c r="L976" s="133"/>
      <c r="M976" s="134">
        <v>1.5972222222222224E-2</v>
      </c>
      <c r="N976" s="137" t="s">
        <v>3178</v>
      </c>
      <c r="O976" s="133" t="s">
        <v>2931</v>
      </c>
      <c r="P976" s="100" t="s">
        <v>3179</v>
      </c>
      <c r="Q976" s="100" t="s">
        <v>2956</v>
      </c>
      <c r="R976" s="226" t="s">
        <v>3196</v>
      </c>
      <c r="S976" s="491" t="str">
        <f t="shared" si="31"/>
        <v>x</v>
      </c>
      <c r="T976" s="492" t="str">
        <f>IFERROR(VLOOKUP(F976,'Freq-Chan'!C:D,2,FALSE),"x")</f>
        <v>x</v>
      </c>
      <c r="U976" s="110" t="s">
        <v>541</v>
      </c>
      <c r="V976" s="110" t="str">
        <f t="shared" si="32"/>
        <v>FWL</v>
      </c>
      <c r="W976" s="110" t="s">
        <v>541</v>
      </c>
      <c r="X976" s="110" t="s">
        <v>541</v>
      </c>
      <c r="Y976" s="110" t="str">
        <f>IFERROR(VLOOKUP(F976,'Freq-Chan'!C:E,3,FALSE),"na")</f>
        <v>na</v>
      </c>
      <c r="Z976" s="110" t="s">
        <v>541</v>
      </c>
      <c r="AA976" s="110" t="s">
        <v>541</v>
      </c>
      <c r="AB976" s="110" t="s">
        <v>541</v>
      </c>
      <c r="AC976" s="10" t="s">
        <v>541</v>
      </c>
      <c r="AD976" s="10" t="s">
        <v>541</v>
      </c>
    </row>
    <row r="977" spans="1:30" x14ac:dyDescent="0.2">
      <c r="A977" s="110">
        <v>976</v>
      </c>
      <c r="B977" s="132">
        <v>41840</v>
      </c>
      <c r="C977" s="117">
        <v>3</v>
      </c>
      <c r="D977" s="103" t="s">
        <v>70</v>
      </c>
      <c r="E977" s="103" t="s">
        <v>306</v>
      </c>
      <c r="H977" s="103"/>
      <c r="K977" s="103" t="s">
        <v>1032</v>
      </c>
      <c r="L977" s="133"/>
      <c r="M977" s="134">
        <v>1.7361111111111112E-2</v>
      </c>
      <c r="N977" s="137" t="s">
        <v>3180</v>
      </c>
      <c r="O977" s="133" t="s">
        <v>372</v>
      </c>
      <c r="P977" s="100" t="s">
        <v>3266</v>
      </c>
      <c r="Q977" s="100" t="s">
        <v>2956</v>
      </c>
      <c r="R977" s="226" t="s">
        <v>3196</v>
      </c>
      <c r="S977" s="491" t="str">
        <f t="shared" si="31"/>
        <v>x</v>
      </c>
      <c r="T977" s="492" t="str">
        <f>IFERROR(VLOOKUP(F977,'Freq-Chan'!C:D,2,FALSE),"x")</f>
        <v>x</v>
      </c>
      <c r="U977" s="110" t="s">
        <v>541</v>
      </c>
      <c r="V977" s="110" t="str">
        <f t="shared" si="32"/>
        <v>FWL</v>
      </c>
      <c r="W977" s="110" t="s">
        <v>541</v>
      </c>
      <c r="X977" s="110" t="s">
        <v>541</v>
      </c>
      <c r="Y977" s="110" t="str">
        <f>IFERROR(VLOOKUP(F977,'Freq-Chan'!C:E,3,FALSE),"na")</f>
        <v>na</v>
      </c>
      <c r="Z977" s="110" t="s">
        <v>541</v>
      </c>
      <c r="AA977" s="110" t="s">
        <v>541</v>
      </c>
      <c r="AB977" s="110" t="s">
        <v>541</v>
      </c>
      <c r="AC977" s="10" t="s">
        <v>541</v>
      </c>
      <c r="AD977" s="10" t="s">
        <v>541</v>
      </c>
    </row>
    <row r="978" spans="1:30" x14ac:dyDescent="0.2">
      <c r="A978" s="110">
        <v>977</v>
      </c>
      <c r="B978" s="132">
        <v>41840</v>
      </c>
      <c r="C978" s="117">
        <v>3</v>
      </c>
      <c r="D978" s="103" t="s">
        <v>2</v>
      </c>
      <c r="E978" s="103" t="s">
        <v>306</v>
      </c>
      <c r="F978" s="103">
        <v>917</v>
      </c>
      <c r="G978" s="103">
        <v>41</v>
      </c>
      <c r="H978" s="103" t="s">
        <v>3193</v>
      </c>
      <c r="I978" s="103">
        <v>98</v>
      </c>
      <c r="K978" s="103" t="s">
        <v>365</v>
      </c>
      <c r="L978" s="133">
        <v>0.68055555555555547</v>
      </c>
      <c r="M978" s="134">
        <v>7.5694444444444439E-2</v>
      </c>
      <c r="N978" s="137" t="s">
        <v>3182</v>
      </c>
      <c r="O978" s="133" t="s">
        <v>1888</v>
      </c>
      <c r="P978" s="100" t="s">
        <v>3195</v>
      </c>
      <c r="Q978" s="100" t="s">
        <v>2956</v>
      </c>
      <c r="R978" s="226" t="s">
        <v>3196</v>
      </c>
      <c r="S978" s="491">
        <f t="shared" si="31"/>
        <v>1.19328704E-2</v>
      </c>
      <c r="T978" s="492">
        <f>IFERROR(VLOOKUP(F978,'Freq-Chan'!C:D,2,FALSE),"x")</f>
        <v>151.917</v>
      </c>
      <c r="U978" s="110" t="s">
        <v>541</v>
      </c>
      <c r="V978" s="110" t="str">
        <f t="shared" si="32"/>
        <v>FWL</v>
      </c>
      <c r="W978" s="110" t="s">
        <v>541</v>
      </c>
      <c r="X978" s="110" t="s">
        <v>541</v>
      </c>
      <c r="Y978" s="110" t="str">
        <f>IFERROR(VLOOKUP(F978,'Freq-Chan'!C:E,3,FALSE),"na")</f>
        <v>F1835</v>
      </c>
      <c r="Z978" s="110" t="s">
        <v>541</v>
      </c>
      <c r="AA978" s="110" t="s">
        <v>541</v>
      </c>
      <c r="AB978" s="110" t="s">
        <v>541</v>
      </c>
      <c r="AC978" s="10" t="s">
        <v>541</v>
      </c>
      <c r="AD978" s="10" t="s">
        <v>541</v>
      </c>
    </row>
    <row r="979" spans="1:30" x14ac:dyDescent="0.2">
      <c r="A979" s="110">
        <v>978</v>
      </c>
      <c r="B979" s="132">
        <v>41840</v>
      </c>
      <c r="C979" s="117">
        <v>3</v>
      </c>
      <c r="D979" s="103" t="s">
        <v>70</v>
      </c>
      <c r="E979" s="103" t="s">
        <v>306</v>
      </c>
      <c r="H979" s="103"/>
      <c r="I979" s="103">
        <v>46</v>
      </c>
      <c r="K979" s="103" t="s">
        <v>365</v>
      </c>
      <c r="L979" s="133"/>
      <c r="M979" s="134">
        <v>3.1944444444444449E-2</v>
      </c>
      <c r="N979" s="137" t="s">
        <v>3183</v>
      </c>
      <c r="O979" s="133" t="s">
        <v>1663</v>
      </c>
      <c r="P979" s="100" t="s">
        <v>3194</v>
      </c>
      <c r="Q979" s="100" t="s">
        <v>3160</v>
      </c>
      <c r="R979" s="226" t="s">
        <v>3196</v>
      </c>
      <c r="S979" s="491" t="str">
        <f t="shared" si="31"/>
        <v>x</v>
      </c>
      <c r="T979" s="492" t="str">
        <f>IFERROR(VLOOKUP(F979,'Freq-Chan'!C:D,2,FALSE),"x")</f>
        <v>x</v>
      </c>
      <c r="U979" s="110" t="s">
        <v>541</v>
      </c>
      <c r="V979" s="110" t="str">
        <f t="shared" si="32"/>
        <v>FWL</v>
      </c>
      <c r="W979" s="110" t="s">
        <v>541</v>
      </c>
      <c r="X979" s="110" t="s">
        <v>541</v>
      </c>
      <c r="Y979" s="110" t="str">
        <f>IFERROR(VLOOKUP(F979,'Freq-Chan'!C:E,3,FALSE),"na")</f>
        <v>na</v>
      </c>
      <c r="Z979" s="110" t="s">
        <v>541</v>
      </c>
      <c r="AA979" s="110" t="s">
        <v>541</v>
      </c>
      <c r="AB979" s="110" t="s">
        <v>541</v>
      </c>
      <c r="AC979" s="10" t="s">
        <v>541</v>
      </c>
      <c r="AD979" s="10" t="s">
        <v>541</v>
      </c>
    </row>
    <row r="980" spans="1:30" x14ac:dyDescent="0.2">
      <c r="A980" s="110">
        <v>979</v>
      </c>
      <c r="B980" s="132">
        <v>41840</v>
      </c>
      <c r="C980" s="117">
        <v>3</v>
      </c>
      <c r="D980" s="103" t="s">
        <v>70</v>
      </c>
      <c r="E980" s="103" t="s">
        <v>306</v>
      </c>
      <c r="H980" s="103"/>
      <c r="I980" s="103">
        <v>45</v>
      </c>
      <c r="K980" s="103" t="s">
        <v>1032</v>
      </c>
      <c r="L980" s="133"/>
      <c r="M980" s="134">
        <v>1.3888888888888888E-2</v>
      </c>
      <c r="N980" s="137" t="s">
        <v>3184</v>
      </c>
      <c r="O980" s="133" t="s">
        <v>1663</v>
      </c>
      <c r="Q980" s="100" t="s">
        <v>3160</v>
      </c>
      <c r="R980" s="226" t="s">
        <v>3196</v>
      </c>
      <c r="S980" s="491" t="str">
        <f t="shared" si="31"/>
        <v>x</v>
      </c>
      <c r="T980" s="492" t="str">
        <f>IFERROR(VLOOKUP(F980,'Freq-Chan'!C:D,2,FALSE),"x")</f>
        <v>x</v>
      </c>
      <c r="U980" s="110" t="s">
        <v>541</v>
      </c>
      <c r="V980" s="110" t="str">
        <f t="shared" si="32"/>
        <v>FWL</v>
      </c>
      <c r="W980" s="110" t="s">
        <v>541</v>
      </c>
      <c r="X980" s="110" t="s">
        <v>541</v>
      </c>
      <c r="Y980" s="110" t="str">
        <f>IFERROR(VLOOKUP(F980,'Freq-Chan'!C:E,3,FALSE),"na")</f>
        <v>na</v>
      </c>
      <c r="Z980" s="110" t="s">
        <v>541</v>
      </c>
      <c r="AA980" s="110" t="s">
        <v>541</v>
      </c>
      <c r="AB980" s="110" t="s">
        <v>541</v>
      </c>
      <c r="AC980" s="10" t="s">
        <v>541</v>
      </c>
      <c r="AD980" s="10" t="s">
        <v>541</v>
      </c>
    </row>
    <row r="981" spans="1:30" x14ac:dyDescent="0.2">
      <c r="A981" s="110">
        <v>980</v>
      </c>
      <c r="B981" s="132">
        <v>41840</v>
      </c>
      <c r="C981" s="117">
        <v>3</v>
      </c>
      <c r="D981" s="103" t="s">
        <v>70</v>
      </c>
      <c r="E981" s="103" t="s">
        <v>306</v>
      </c>
      <c r="H981" s="103"/>
      <c r="I981" s="103">
        <v>41</v>
      </c>
      <c r="K981" s="103" t="s">
        <v>365</v>
      </c>
      <c r="L981" s="133">
        <v>0.74375000000000002</v>
      </c>
      <c r="M981" s="134">
        <v>1.5277777777777777E-2</v>
      </c>
      <c r="N981" s="137" t="s">
        <v>3185</v>
      </c>
      <c r="O981" s="133" t="s">
        <v>803</v>
      </c>
      <c r="Q981" s="100" t="s">
        <v>3160</v>
      </c>
      <c r="R981" s="226" t="s">
        <v>3196</v>
      </c>
      <c r="S981" s="491">
        <f t="shared" si="31"/>
        <v>3.9120370000000002E-3</v>
      </c>
      <c r="T981" s="492" t="str">
        <f>IFERROR(VLOOKUP(F981,'Freq-Chan'!C:D,2,FALSE),"x")</f>
        <v>x</v>
      </c>
      <c r="U981" s="110" t="s">
        <v>541</v>
      </c>
      <c r="V981" s="110" t="str">
        <f t="shared" si="32"/>
        <v>FWL</v>
      </c>
      <c r="W981" s="110" t="s">
        <v>541</v>
      </c>
      <c r="X981" s="110" t="s">
        <v>541</v>
      </c>
      <c r="Y981" s="110" t="str">
        <f>IFERROR(VLOOKUP(F981,'Freq-Chan'!C:E,3,FALSE),"na")</f>
        <v>na</v>
      </c>
      <c r="Z981" s="110" t="s">
        <v>541</v>
      </c>
      <c r="AA981" s="110" t="s">
        <v>541</v>
      </c>
      <c r="AB981" s="110" t="s">
        <v>541</v>
      </c>
      <c r="AC981" s="10" t="s">
        <v>541</v>
      </c>
      <c r="AD981" s="10" t="s">
        <v>541</v>
      </c>
    </row>
    <row r="982" spans="1:30" x14ac:dyDescent="0.2">
      <c r="A982" s="110">
        <v>981</v>
      </c>
      <c r="B982" s="132">
        <v>41840</v>
      </c>
      <c r="C982" s="117">
        <v>3</v>
      </c>
      <c r="D982" s="103" t="s">
        <v>2</v>
      </c>
      <c r="E982" s="103" t="s">
        <v>306</v>
      </c>
      <c r="F982" s="103">
        <v>917</v>
      </c>
      <c r="G982" s="103">
        <v>95</v>
      </c>
      <c r="H982" s="103" t="s">
        <v>3181</v>
      </c>
      <c r="I982" s="103">
        <v>56</v>
      </c>
      <c r="K982" s="103" t="s">
        <v>1032</v>
      </c>
      <c r="L982" s="133">
        <v>0.7402777777777777</v>
      </c>
      <c r="M982" s="134">
        <v>2.9166666666666664E-2</v>
      </c>
      <c r="N982" s="137" t="s">
        <v>367</v>
      </c>
      <c r="O982" s="133" t="s">
        <v>803</v>
      </c>
      <c r="Q982" s="100" t="s">
        <v>3160</v>
      </c>
      <c r="R982" s="226" t="s">
        <v>3196</v>
      </c>
      <c r="S982" s="491">
        <f t="shared" si="31"/>
        <v>5.7638888999999999E-3</v>
      </c>
      <c r="T982" s="492">
        <f>IFERROR(VLOOKUP(F982,'Freq-Chan'!C:D,2,FALSE),"x")</f>
        <v>151.917</v>
      </c>
      <c r="U982" s="110" t="s">
        <v>541</v>
      </c>
      <c r="V982" s="110" t="str">
        <f t="shared" si="32"/>
        <v>FWL</v>
      </c>
      <c r="W982" s="110" t="s">
        <v>541</v>
      </c>
      <c r="X982" s="110" t="s">
        <v>541</v>
      </c>
      <c r="Y982" s="110" t="str">
        <f>IFERROR(VLOOKUP(F982,'Freq-Chan'!C:E,3,FALSE),"na")</f>
        <v>F1835</v>
      </c>
      <c r="Z982" s="110" t="s">
        <v>541</v>
      </c>
      <c r="AA982" s="110" t="s">
        <v>541</v>
      </c>
      <c r="AB982" s="110" t="s">
        <v>541</v>
      </c>
      <c r="AC982" s="10" t="s">
        <v>541</v>
      </c>
      <c r="AD982" s="10" t="s">
        <v>541</v>
      </c>
    </row>
    <row r="983" spans="1:30" x14ac:dyDescent="0.2">
      <c r="A983" s="110">
        <v>982</v>
      </c>
      <c r="B983" s="132">
        <v>41840</v>
      </c>
      <c r="C983" s="117">
        <v>3</v>
      </c>
      <c r="D983" s="103" t="s">
        <v>8</v>
      </c>
      <c r="E983" s="103" t="s">
        <v>306</v>
      </c>
      <c r="H983" s="103"/>
      <c r="K983" s="103" t="s">
        <v>364</v>
      </c>
      <c r="L983" s="133"/>
      <c r="M983" s="134">
        <v>1.2499999999999999E-2</v>
      </c>
      <c r="N983" s="137" t="s">
        <v>3186</v>
      </c>
      <c r="O983" s="133" t="s">
        <v>1663</v>
      </c>
      <c r="P983" s="100" t="s">
        <v>3187</v>
      </c>
      <c r="Q983" s="100" t="s">
        <v>3160</v>
      </c>
      <c r="R983" s="226" t="s">
        <v>3196</v>
      </c>
      <c r="S983" s="491" t="str">
        <f t="shared" si="31"/>
        <v>x</v>
      </c>
      <c r="T983" s="492" t="str">
        <f>IFERROR(VLOOKUP(F983,'Freq-Chan'!C:D,2,FALSE),"x")</f>
        <v>x</v>
      </c>
      <c r="U983" s="110" t="s">
        <v>541</v>
      </c>
      <c r="V983" s="110" t="str">
        <f t="shared" si="32"/>
        <v>FWL</v>
      </c>
      <c r="W983" s="110" t="s">
        <v>541</v>
      </c>
      <c r="X983" s="110" t="s">
        <v>541</v>
      </c>
      <c r="Y983" s="110" t="str">
        <f>IFERROR(VLOOKUP(F983,'Freq-Chan'!C:E,3,FALSE),"na")</f>
        <v>na</v>
      </c>
      <c r="Z983" s="110" t="s">
        <v>541</v>
      </c>
      <c r="AA983" s="110" t="s">
        <v>541</v>
      </c>
      <c r="AB983" s="110" t="s">
        <v>541</v>
      </c>
      <c r="AC983" s="10" t="s">
        <v>541</v>
      </c>
      <c r="AD983" s="10" t="s">
        <v>541</v>
      </c>
    </row>
    <row r="984" spans="1:30" x14ac:dyDescent="0.2">
      <c r="A984" s="110">
        <v>983</v>
      </c>
      <c r="B984" s="132">
        <v>41840</v>
      </c>
      <c r="C984" s="117">
        <v>3</v>
      </c>
      <c r="D984" s="103" t="s">
        <v>2</v>
      </c>
      <c r="E984" s="103" t="s">
        <v>306</v>
      </c>
      <c r="F984" s="103">
        <v>917</v>
      </c>
      <c r="G984" s="103">
        <v>76</v>
      </c>
      <c r="H984" s="103" t="s">
        <v>3188</v>
      </c>
      <c r="I984" s="103">
        <v>76</v>
      </c>
      <c r="K984" s="103" t="s">
        <v>364</v>
      </c>
      <c r="L984" s="133">
        <v>0.81527777777777777</v>
      </c>
      <c r="M984" s="134">
        <v>6.8749999999999992E-2</v>
      </c>
      <c r="N984" s="137" t="s">
        <v>3189</v>
      </c>
      <c r="O984" s="133" t="s">
        <v>803</v>
      </c>
      <c r="Q984" s="100" t="s">
        <v>3160</v>
      </c>
      <c r="R984" s="226" t="s">
        <v>3196</v>
      </c>
      <c r="S984" s="491">
        <f t="shared" si="31"/>
        <v>3.0208333000000002E-3</v>
      </c>
      <c r="T984" s="492">
        <f>IFERROR(VLOOKUP(F984,'Freq-Chan'!C:D,2,FALSE),"x")</f>
        <v>151.917</v>
      </c>
      <c r="U984" s="110" t="s">
        <v>541</v>
      </c>
      <c r="V984" s="110" t="str">
        <f t="shared" si="32"/>
        <v>FWL</v>
      </c>
      <c r="W984" s="110" t="s">
        <v>541</v>
      </c>
      <c r="X984" s="110" t="s">
        <v>541</v>
      </c>
      <c r="Y984" s="110" t="str">
        <f>IFERROR(VLOOKUP(F984,'Freq-Chan'!C:E,3,FALSE),"na")</f>
        <v>F1835</v>
      </c>
      <c r="Z984" s="110" t="s">
        <v>541</v>
      </c>
      <c r="AA984" s="110" t="s">
        <v>541</v>
      </c>
      <c r="AB984" s="110" t="s">
        <v>541</v>
      </c>
      <c r="AC984" s="10" t="s">
        <v>541</v>
      </c>
      <c r="AD984" s="10" t="s">
        <v>541</v>
      </c>
    </row>
    <row r="985" spans="1:30" x14ac:dyDescent="0.2">
      <c r="A985" s="110">
        <v>984</v>
      </c>
      <c r="B985" s="132">
        <v>41840</v>
      </c>
      <c r="C985" s="117">
        <v>3</v>
      </c>
      <c r="D985" s="103" t="s">
        <v>70</v>
      </c>
      <c r="E985" s="103" t="s">
        <v>306</v>
      </c>
      <c r="H985" s="103"/>
      <c r="I985" s="103">
        <v>43</v>
      </c>
      <c r="K985" s="103" t="s">
        <v>365</v>
      </c>
      <c r="L985" s="133"/>
      <c r="M985" s="134">
        <v>1.5277777777777777E-2</v>
      </c>
      <c r="N985" s="137" t="s">
        <v>1890</v>
      </c>
      <c r="O985" s="133" t="s">
        <v>803</v>
      </c>
      <c r="Q985" s="100" t="s">
        <v>3160</v>
      </c>
      <c r="R985" s="226" t="s">
        <v>3196</v>
      </c>
      <c r="S985" s="491" t="str">
        <f t="shared" si="31"/>
        <v>x</v>
      </c>
      <c r="T985" s="492" t="str">
        <f>IFERROR(VLOOKUP(F985,'Freq-Chan'!C:D,2,FALSE),"x")</f>
        <v>x</v>
      </c>
      <c r="U985" s="110" t="s">
        <v>541</v>
      </c>
      <c r="V985" s="110" t="str">
        <f t="shared" si="32"/>
        <v>FWL</v>
      </c>
      <c r="W985" s="110" t="s">
        <v>541</v>
      </c>
      <c r="X985" s="110" t="s">
        <v>541</v>
      </c>
      <c r="Y985" s="110" t="str">
        <f>IFERROR(VLOOKUP(F985,'Freq-Chan'!C:E,3,FALSE),"na")</f>
        <v>na</v>
      </c>
      <c r="Z985" s="110" t="s">
        <v>541</v>
      </c>
      <c r="AA985" s="110" t="s">
        <v>541</v>
      </c>
      <c r="AB985" s="110" t="s">
        <v>541</v>
      </c>
      <c r="AC985" s="10" t="s">
        <v>541</v>
      </c>
      <c r="AD985" s="10" t="s">
        <v>541</v>
      </c>
    </row>
    <row r="986" spans="1:30" s="291" customFormat="1" x14ac:dyDescent="0.2">
      <c r="A986" s="493">
        <v>985</v>
      </c>
      <c r="B986" s="283">
        <v>41840</v>
      </c>
      <c r="C986" s="284">
        <v>3</v>
      </c>
      <c r="D986" s="285" t="s">
        <v>177</v>
      </c>
      <c r="E986" s="285" t="s">
        <v>0</v>
      </c>
      <c r="F986" s="285"/>
      <c r="G986" s="285"/>
      <c r="H986" s="285"/>
      <c r="I986" s="285">
        <v>34</v>
      </c>
      <c r="J986" s="285"/>
      <c r="K986" s="285" t="s">
        <v>364</v>
      </c>
      <c r="L986" s="286"/>
      <c r="M986" s="287">
        <v>1.3888888888888888E-2</v>
      </c>
      <c r="N986" s="339" t="s">
        <v>2657</v>
      </c>
      <c r="O986" s="286" t="s">
        <v>803</v>
      </c>
      <c r="P986" s="289" t="s">
        <v>776</v>
      </c>
      <c r="Q986" s="289" t="s">
        <v>3160</v>
      </c>
      <c r="R986" s="290" t="s">
        <v>3196</v>
      </c>
      <c r="S986" s="494" t="str">
        <f t="shared" si="31"/>
        <v>x</v>
      </c>
      <c r="T986" s="495" t="str">
        <f>IFERROR(VLOOKUP(F986,'Freq-Chan'!C:D,2,FALSE),"x")</f>
        <v>x</v>
      </c>
      <c r="U986" s="493" t="s">
        <v>541</v>
      </c>
      <c r="V986" s="493" t="str">
        <f t="shared" si="32"/>
        <v>FWL</v>
      </c>
      <c r="W986" s="493" t="s">
        <v>541</v>
      </c>
      <c r="X986" s="493" t="s">
        <v>541</v>
      </c>
      <c r="Y986" s="493" t="str">
        <f>IFERROR(VLOOKUP(F986,'Freq-Chan'!C:E,3,FALSE),"na")</f>
        <v>na</v>
      </c>
      <c r="Z986" s="493" t="s">
        <v>541</v>
      </c>
      <c r="AA986" s="493" t="s">
        <v>541</v>
      </c>
      <c r="AB986" s="493" t="s">
        <v>541</v>
      </c>
      <c r="AC986" s="291" t="s">
        <v>541</v>
      </c>
      <c r="AD986" s="291" t="s">
        <v>541</v>
      </c>
    </row>
    <row r="987" spans="1:30" x14ac:dyDescent="0.2">
      <c r="A987" s="110">
        <v>986</v>
      </c>
      <c r="B987" s="132">
        <v>41841</v>
      </c>
      <c r="C987" s="117">
        <v>1</v>
      </c>
      <c r="D987" s="103" t="s">
        <v>177</v>
      </c>
      <c r="E987" s="103" t="s">
        <v>0</v>
      </c>
      <c r="H987" s="103"/>
      <c r="I987" s="103">
        <v>34</v>
      </c>
      <c r="K987" s="103" t="s">
        <v>364</v>
      </c>
      <c r="L987" s="133"/>
      <c r="M987" s="134">
        <v>1.7361111111111112E-2</v>
      </c>
      <c r="N987" s="137" t="s">
        <v>2653</v>
      </c>
      <c r="O987" s="133" t="s">
        <v>804</v>
      </c>
      <c r="P987" s="100" t="s">
        <v>776</v>
      </c>
      <c r="Q987" s="100" t="s">
        <v>3202</v>
      </c>
      <c r="R987" s="226" t="s">
        <v>3234</v>
      </c>
      <c r="S987" s="491" t="str">
        <f t="shared" si="31"/>
        <v>x</v>
      </c>
      <c r="T987" s="492" t="str">
        <f>IFERROR(VLOOKUP(F987,'Freq-Chan'!C:D,2,FALSE),"x")</f>
        <v>x</v>
      </c>
      <c r="U987" s="110" t="s">
        <v>541</v>
      </c>
      <c r="V987" s="110" t="str">
        <f t="shared" si="32"/>
        <v>FWL</v>
      </c>
      <c r="W987" s="110" t="s">
        <v>541</v>
      </c>
      <c r="X987" s="110" t="s">
        <v>541</v>
      </c>
      <c r="Y987" s="110" t="str">
        <f>IFERROR(VLOOKUP(F987,'Freq-Chan'!C:E,3,FALSE),"na")</f>
        <v>na</v>
      </c>
      <c r="Z987" s="110" t="s">
        <v>541</v>
      </c>
      <c r="AA987" s="110" t="s">
        <v>541</v>
      </c>
      <c r="AB987" s="110" t="s">
        <v>541</v>
      </c>
      <c r="AC987" s="10" t="s">
        <v>541</v>
      </c>
      <c r="AD987" s="10" t="s">
        <v>541</v>
      </c>
    </row>
    <row r="988" spans="1:30" x14ac:dyDescent="0.2">
      <c r="A988" s="110">
        <v>987</v>
      </c>
      <c r="B988" s="132">
        <v>41841</v>
      </c>
      <c r="C988" s="117">
        <v>1</v>
      </c>
      <c r="D988" s="103" t="s">
        <v>70</v>
      </c>
      <c r="E988" s="103" t="s">
        <v>306</v>
      </c>
      <c r="F988" s="103">
        <v>596</v>
      </c>
      <c r="G988" s="103">
        <v>45</v>
      </c>
      <c r="H988" s="137" t="s">
        <v>3147</v>
      </c>
      <c r="I988" s="103">
        <v>44</v>
      </c>
      <c r="K988" s="103" t="s">
        <v>365</v>
      </c>
      <c r="L988" s="133"/>
      <c r="M988" s="134">
        <v>3.888888888888889E-2</v>
      </c>
      <c r="N988" s="137" t="s">
        <v>3205</v>
      </c>
      <c r="O988" s="133" t="s">
        <v>1663</v>
      </c>
      <c r="Q988" s="100" t="s">
        <v>3202</v>
      </c>
      <c r="R988" s="226" t="s">
        <v>3234</v>
      </c>
      <c r="S988" s="491" t="str">
        <f t="shared" si="31"/>
        <v>x</v>
      </c>
      <c r="T988" s="492">
        <f>IFERROR(VLOOKUP(F988,'Freq-Chan'!C:D,2,FALSE),"x")</f>
        <v>151.596</v>
      </c>
      <c r="U988" s="110" t="s">
        <v>541</v>
      </c>
      <c r="V988" s="110" t="str">
        <f t="shared" si="32"/>
        <v>FWL</v>
      </c>
      <c r="W988" s="110" t="s">
        <v>541</v>
      </c>
      <c r="X988" s="110" t="s">
        <v>541</v>
      </c>
      <c r="Y988" s="110" t="str">
        <f>IFERROR(VLOOKUP(F988,'Freq-Chan'!C:E,3,FALSE),"na")</f>
        <v>F1835</v>
      </c>
      <c r="Z988" s="110" t="s">
        <v>541</v>
      </c>
      <c r="AA988" s="110" t="s">
        <v>541</v>
      </c>
      <c r="AB988" s="110" t="s">
        <v>541</v>
      </c>
      <c r="AC988" s="10" t="s">
        <v>541</v>
      </c>
      <c r="AD988" s="10" t="s">
        <v>541</v>
      </c>
    </row>
    <row r="989" spans="1:30" x14ac:dyDescent="0.2">
      <c r="A989" s="110">
        <v>988</v>
      </c>
      <c r="B989" s="132">
        <v>41841</v>
      </c>
      <c r="C989" s="117">
        <v>1</v>
      </c>
      <c r="D989" s="103" t="s">
        <v>177</v>
      </c>
      <c r="E989" s="103" t="s">
        <v>0</v>
      </c>
      <c r="F989" s="103">
        <v>917</v>
      </c>
      <c r="G989" s="103">
        <v>38</v>
      </c>
      <c r="H989" s="103" t="s">
        <v>1505</v>
      </c>
      <c r="I989" s="103">
        <v>40</v>
      </c>
      <c r="K989" s="103" t="s">
        <v>364</v>
      </c>
      <c r="L989" s="133"/>
      <c r="M989" s="134">
        <v>4.8611111111111112E-2</v>
      </c>
      <c r="N989" s="137" t="s">
        <v>639</v>
      </c>
      <c r="O989" s="133" t="s">
        <v>803</v>
      </c>
      <c r="Q989" s="100" t="s">
        <v>3200</v>
      </c>
      <c r="R989" s="226" t="s">
        <v>3234</v>
      </c>
      <c r="S989" s="491" t="str">
        <f t="shared" si="31"/>
        <v>x</v>
      </c>
      <c r="T989" s="492">
        <f>IFERROR(VLOOKUP(F989,'Freq-Chan'!C:D,2,FALSE),"x")</f>
        <v>151.917</v>
      </c>
      <c r="U989" s="110" t="s">
        <v>541</v>
      </c>
      <c r="V989" s="110" t="str">
        <f t="shared" si="32"/>
        <v>FWL</v>
      </c>
      <c r="W989" s="110" t="s">
        <v>541</v>
      </c>
      <c r="X989" s="110" t="s">
        <v>541</v>
      </c>
      <c r="Y989" s="110" t="str">
        <f>IFERROR(VLOOKUP(F989,'Freq-Chan'!C:E,3,FALSE),"na")</f>
        <v>F1835</v>
      </c>
      <c r="Z989" s="110" t="s">
        <v>541</v>
      </c>
      <c r="AA989" s="110" t="s">
        <v>541</v>
      </c>
      <c r="AB989" s="110" t="s">
        <v>541</v>
      </c>
      <c r="AC989" s="10" t="s">
        <v>541</v>
      </c>
      <c r="AD989" s="10" t="s">
        <v>541</v>
      </c>
    </row>
    <row r="990" spans="1:30" x14ac:dyDescent="0.2">
      <c r="A990" s="110">
        <v>989</v>
      </c>
      <c r="B990" s="132">
        <v>41841</v>
      </c>
      <c r="C990" s="117">
        <v>1</v>
      </c>
      <c r="D990" s="103" t="s">
        <v>70</v>
      </c>
      <c r="E990" s="103" t="s">
        <v>306</v>
      </c>
      <c r="H990" s="103"/>
      <c r="I990" s="103">
        <v>46</v>
      </c>
      <c r="K990" s="103" t="s">
        <v>1032</v>
      </c>
      <c r="L990" s="133"/>
      <c r="M990" s="134">
        <v>2.0833333333333332E-2</v>
      </c>
      <c r="N990" s="137" t="s">
        <v>2932</v>
      </c>
      <c r="O990" s="133" t="s">
        <v>555</v>
      </c>
      <c r="Q990" s="100" t="s">
        <v>3200</v>
      </c>
      <c r="R990" s="226" t="s">
        <v>3234</v>
      </c>
      <c r="S990" s="491" t="str">
        <f t="shared" si="31"/>
        <v>x</v>
      </c>
      <c r="T990" s="492" t="str">
        <f>IFERROR(VLOOKUP(F990,'Freq-Chan'!C:D,2,FALSE),"x")</f>
        <v>x</v>
      </c>
      <c r="U990" s="110" t="s">
        <v>541</v>
      </c>
      <c r="V990" s="110" t="str">
        <f t="shared" si="32"/>
        <v>FWL</v>
      </c>
      <c r="W990" s="110" t="s">
        <v>541</v>
      </c>
      <c r="X990" s="110" t="s">
        <v>541</v>
      </c>
      <c r="Y990" s="110" t="str">
        <f>IFERROR(VLOOKUP(F990,'Freq-Chan'!C:E,3,FALSE),"na")</f>
        <v>na</v>
      </c>
      <c r="Z990" s="110" t="s">
        <v>541</v>
      </c>
      <c r="AA990" s="110" t="s">
        <v>541</v>
      </c>
      <c r="AB990" s="110" t="s">
        <v>541</v>
      </c>
      <c r="AC990" s="10" t="s">
        <v>541</v>
      </c>
      <c r="AD990" s="10" t="s">
        <v>541</v>
      </c>
    </row>
    <row r="991" spans="1:30" s="291" customFormat="1" x14ac:dyDescent="0.2">
      <c r="A991" s="493">
        <v>990</v>
      </c>
      <c r="B991" s="283">
        <v>41841</v>
      </c>
      <c r="C991" s="284">
        <v>1</v>
      </c>
      <c r="D991" s="285" t="s">
        <v>70</v>
      </c>
      <c r="E991" s="285" t="s">
        <v>306</v>
      </c>
      <c r="F991" s="285"/>
      <c r="G991" s="285"/>
      <c r="H991" s="285"/>
      <c r="I991" s="285">
        <v>44</v>
      </c>
      <c r="J991" s="285"/>
      <c r="K991" s="285" t="s">
        <v>1032</v>
      </c>
      <c r="L991" s="286"/>
      <c r="M991" s="287">
        <v>1.7361111111111112E-2</v>
      </c>
      <c r="N991" s="339" t="s">
        <v>3206</v>
      </c>
      <c r="O991" s="286" t="s">
        <v>555</v>
      </c>
      <c r="P991" s="289"/>
      <c r="Q991" s="289" t="s">
        <v>3200</v>
      </c>
      <c r="R991" s="290" t="s">
        <v>3234</v>
      </c>
      <c r="S991" s="494" t="str">
        <f t="shared" si="31"/>
        <v>x</v>
      </c>
      <c r="T991" s="495" t="str">
        <f>IFERROR(VLOOKUP(F991,'Freq-Chan'!C:D,2,FALSE),"x")</f>
        <v>x</v>
      </c>
      <c r="U991" s="493" t="s">
        <v>541</v>
      </c>
      <c r="V991" s="493" t="str">
        <f t="shared" si="32"/>
        <v>FWL</v>
      </c>
      <c r="W991" s="493" t="s">
        <v>541</v>
      </c>
      <c r="X991" s="493" t="s">
        <v>541</v>
      </c>
      <c r="Y991" s="493" t="str">
        <f>IFERROR(VLOOKUP(F991,'Freq-Chan'!C:E,3,FALSE),"na")</f>
        <v>na</v>
      </c>
      <c r="Z991" s="493" t="s">
        <v>541</v>
      </c>
      <c r="AA991" s="493" t="s">
        <v>541</v>
      </c>
      <c r="AB991" s="493" t="s">
        <v>541</v>
      </c>
      <c r="AC991" s="291" t="s">
        <v>541</v>
      </c>
      <c r="AD991" s="291" t="s">
        <v>541</v>
      </c>
    </row>
    <row r="992" spans="1:30" s="314" customFormat="1" x14ac:dyDescent="0.2">
      <c r="A992" s="499">
        <v>991</v>
      </c>
      <c r="B992" s="294">
        <v>41841</v>
      </c>
      <c r="C992" s="295">
        <v>2</v>
      </c>
      <c r="D992" s="296" t="s">
        <v>71</v>
      </c>
      <c r="E992" s="296" t="s">
        <v>306</v>
      </c>
      <c r="F992" s="296">
        <v>534</v>
      </c>
      <c r="G992" s="296">
        <v>95</v>
      </c>
      <c r="H992" s="296" t="s">
        <v>2300</v>
      </c>
      <c r="I992" s="296">
        <v>65</v>
      </c>
      <c r="J992" s="296"/>
      <c r="K992" s="296" t="s">
        <v>364</v>
      </c>
      <c r="L992" s="297">
        <v>0.625</v>
      </c>
      <c r="M992" s="298">
        <v>4.5833333333333337E-2</v>
      </c>
      <c r="N992" s="327" t="s">
        <v>1662</v>
      </c>
      <c r="O992" s="297" t="s">
        <v>555</v>
      </c>
      <c r="P992" s="300"/>
      <c r="Q992" s="300" t="s">
        <v>3201</v>
      </c>
      <c r="R992" s="301" t="s">
        <v>3234</v>
      </c>
      <c r="S992" s="500">
        <f t="shared" si="31"/>
        <v>4.7916666999999998E-3</v>
      </c>
      <c r="T992" s="501">
        <f>IFERROR(VLOOKUP(F992,'Freq-Chan'!C:D,2,FALSE),"x")</f>
        <v>151.53399999999999</v>
      </c>
      <c r="U992" s="499" t="s">
        <v>541</v>
      </c>
      <c r="V992" s="499" t="str">
        <f t="shared" si="32"/>
        <v>FWL</v>
      </c>
      <c r="W992" s="499" t="s">
        <v>541</v>
      </c>
      <c r="X992" s="499" t="s">
        <v>541</v>
      </c>
      <c r="Y992" s="499" t="str">
        <f>IFERROR(VLOOKUP(F992,'Freq-Chan'!C:E,3,FALSE),"na")</f>
        <v>F1840</v>
      </c>
      <c r="Z992" s="499" t="s">
        <v>541</v>
      </c>
      <c r="AA992" s="499" t="s">
        <v>541</v>
      </c>
      <c r="AB992" s="499" t="s">
        <v>541</v>
      </c>
      <c r="AC992" s="314" t="s">
        <v>541</v>
      </c>
      <c r="AD992" s="314" t="s">
        <v>541</v>
      </c>
    </row>
    <row r="993" spans="1:30" x14ac:dyDescent="0.2">
      <c r="A993" s="110">
        <v>992</v>
      </c>
      <c r="B993" s="132">
        <v>41841</v>
      </c>
      <c r="C993" s="117">
        <v>3</v>
      </c>
      <c r="D993" s="103" t="s">
        <v>2</v>
      </c>
      <c r="E993" s="103" t="s">
        <v>306</v>
      </c>
      <c r="F993" s="103">
        <v>917</v>
      </c>
      <c r="G993" s="103">
        <v>47</v>
      </c>
      <c r="H993" s="103" t="s">
        <v>3207</v>
      </c>
      <c r="I993" s="103">
        <v>87</v>
      </c>
      <c r="K993" s="103" t="s">
        <v>1032</v>
      </c>
      <c r="L993" s="133">
        <v>0.34513888888888888</v>
      </c>
      <c r="M993" s="134">
        <v>0.10277777777777779</v>
      </c>
      <c r="N993" s="137" t="s">
        <v>3208</v>
      </c>
      <c r="O993" s="133" t="s">
        <v>555</v>
      </c>
      <c r="Q993" s="100" t="s">
        <v>3201</v>
      </c>
      <c r="R993" s="226" t="s">
        <v>3234</v>
      </c>
      <c r="S993" s="491">
        <f t="shared" si="31"/>
        <v>3.8425925999999999E-3</v>
      </c>
      <c r="T993" s="492">
        <f>IFERROR(VLOOKUP(F993,'Freq-Chan'!C:D,2,FALSE),"x")</f>
        <v>151.917</v>
      </c>
      <c r="U993" s="110" t="s">
        <v>541</v>
      </c>
      <c r="V993" s="110" t="str">
        <f t="shared" si="32"/>
        <v>FWL</v>
      </c>
      <c r="W993" s="110" t="s">
        <v>541</v>
      </c>
      <c r="X993" s="110" t="s">
        <v>541</v>
      </c>
      <c r="Y993" s="110" t="str">
        <f>IFERROR(VLOOKUP(F993,'Freq-Chan'!C:E,3,FALSE),"na")</f>
        <v>F1835</v>
      </c>
      <c r="Z993" s="110" t="s">
        <v>541</v>
      </c>
      <c r="AA993" s="110" t="s">
        <v>541</v>
      </c>
      <c r="AB993" s="110" t="s">
        <v>541</v>
      </c>
      <c r="AC993" s="10" t="s">
        <v>541</v>
      </c>
      <c r="AD993" s="10" t="s">
        <v>541</v>
      </c>
    </row>
    <row r="994" spans="1:30" x14ac:dyDescent="0.2">
      <c r="A994" s="110">
        <v>993</v>
      </c>
      <c r="B994" s="132">
        <v>41841</v>
      </c>
      <c r="C994" s="117">
        <v>3</v>
      </c>
      <c r="D994" s="103" t="s">
        <v>70</v>
      </c>
      <c r="E994" s="103" t="s">
        <v>306</v>
      </c>
      <c r="F994" s="103">
        <v>515</v>
      </c>
      <c r="G994" s="103">
        <v>74</v>
      </c>
      <c r="H994" s="137" t="s">
        <v>3151</v>
      </c>
      <c r="I994" s="103">
        <v>45</v>
      </c>
      <c r="K994" s="103" t="s">
        <v>1032</v>
      </c>
      <c r="L994" s="133">
        <v>0.40486111111111112</v>
      </c>
      <c r="M994" s="134">
        <v>2.7083333333333334E-2</v>
      </c>
      <c r="N994" s="137" t="s">
        <v>3209</v>
      </c>
      <c r="O994" s="133" t="s">
        <v>803</v>
      </c>
      <c r="Q994" s="100" t="s">
        <v>3201</v>
      </c>
      <c r="R994" s="226" t="s">
        <v>3234</v>
      </c>
      <c r="S994" s="491">
        <f t="shared" si="31"/>
        <v>4.4097221999999997E-3</v>
      </c>
      <c r="T994" s="492">
        <f>IFERROR(VLOOKUP(F994,'Freq-Chan'!C:D,2,FALSE),"x")</f>
        <v>151.51499999999999</v>
      </c>
      <c r="U994" s="110" t="s">
        <v>541</v>
      </c>
      <c r="V994" s="110" t="str">
        <f t="shared" si="32"/>
        <v>FWL</v>
      </c>
      <c r="W994" s="110" t="s">
        <v>541</v>
      </c>
      <c r="X994" s="110" t="s">
        <v>541</v>
      </c>
      <c r="Y994" s="110" t="str">
        <f>IFERROR(VLOOKUP(F994,'Freq-Chan'!C:E,3,FALSE),"na")</f>
        <v>F1835</v>
      </c>
      <c r="Z994" s="110" t="s">
        <v>541</v>
      </c>
      <c r="AA994" s="110" t="s">
        <v>541</v>
      </c>
      <c r="AB994" s="110" t="s">
        <v>541</v>
      </c>
      <c r="AC994" s="10" t="s">
        <v>541</v>
      </c>
      <c r="AD994" s="10" t="s">
        <v>541</v>
      </c>
    </row>
    <row r="995" spans="1:30" x14ac:dyDescent="0.2">
      <c r="A995" s="110">
        <v>994</v>
      </c>
      <c r="B995" s="132">
        <v>41841</v>
      </c>
      <c r="C995" s="117">
        <v>3</v>
      </c>
      <c r="D995" s="103" t="s">
        <v>70</v>
      </c>
      <c r="E995" s="103" t="s">
        <v>306</v>
      </c>
      <c r="I995" s="103">
        <v>47</v>
      </c>
      <c r="K995" s="103" t="s">
        <v>1032</v>
      </c>
      <c r="L995" s="133">
        <v>0.4465277777777778</v>
      </c>
      <c r="M995" s="134">
        <v>1.6666666666666666E-2</v>
      </c>
      <c r="N995" s="137" t="s">
        <v>3210</v>
      </c>
      <c r="O995" s="133" t="s">
        <v>803</v>
      </c>
      <c r="Q995" s="100" t="s">
        <v>3201</v>
      </c>
      <c r="R995" s="226" t="s">
        <v>3234</v>
      </c>
      <c r="S995" s="491">
        <f t="shared" si="31"/>
        <v>1.8055555999999999E-3</v>
      </c>
      <c r="T995" s="492" t="str">
        <f>IFERROR(VLOOKUP(F995,'Freq-Chan'!C:D,2,FALSE),"x")</f>
        <v>x</v>
      </c>
      <c r="U995" s="110" t="s">
        <v>541</v>
      </c>
      <c r="V995" s="110" t="str">
        <f t="shared" si="32"/>
        <v>FWL</v>
      </c>
      <c r="W995" s="110" t="s">
        <v>541</v>
      </c>
      <c r="X995" s="110" t="s">
        <v>541</v>
      </c>
      <c r="Y995" s="110" t="str">
        <f>IFERROR(VLOOKUP(F995,'Freq-Chan'!C:E,3,FALSE),"na")</f>
        <v>na</v>
      </c>
      <c r="Z995" s="110" t="s">
        <v>541</v>
      </c>
      <c r="AA995" s="110" t="s">
        <v>541</v>
      </c>
      <c r="AB995" s="110" t="s">
        <v>541</v>
      </c>
      <c r="AC995" s="10" t="s">
        <v>541</v>
      </c>
      <c r="AD995" s="10" t="s">
        <v>541</v>
      </c>
    </row>
    <row r="996" spans="1:30" x14ac:dyDescent="0.2">
      <c r="A996" s="110">
        <v>995</v>
      </c>
      <c r="B996" s="132">
        <v>41841</v>
      </c>
      <c r="C996" s="117">
        <v>3</v>
      </c>
      <c r="D996" s="103" t="s">
        <v>2</v>
      </c>
      <c r="E996" s="103" t="s">
        <v>306</v>
      </c>
      <c r="F996" s="103">
        <v>917</v>
      </c>
      <c r="G996" s="103">
        <v>31</v>
      </c>
      <c r="H996" s="137" t="s">
        <v>3211</v>
      </c>
      <c r="I996" s="103">
        <v>52</v>
      </c>
      <c r="K996" s="103" t="s">
        <v>1032</v>
      </c>
      <c r="L996" s="133"/>
      <c r="M996" s="134">
        <v>9.6527777777777768E-2</v>
      </c>
      <c r="N996" s="137" t="s">
        <v>3212</v>
      </c>
      <c r="O996" s="133" t="s">
        <v>2931</v>
      </c>
      <c r="Q996" s="100" t="s">
        <v>3196</v>
      </c>
      <c r="R996" s="226" t="s">
        <v>3234</v>
      </c>
      <c r="S996" s="491" t="str">
        <f t="shared" si="31"/>
        <v>x</v>
      </c>
      <c r="T996" s="492">
        <f>IFERROR(VLOOKUP(F996,'Freq-Chan'!C:D,2,FALSE),"x")</f>
        <v>151.917</v>
      </c>
      <c r="U996" s="110" t="s">
        <v>541</v>
      </c>
      <c r="V996" s="110" t="str">
        <f t="shared" si="32"/>
        <v>FWL</v>
      </c>
      <c r="W996" s="110" t="s">
        <v>541</v>
      </c>
      <c r="X996" s="110" t="s">
        <v>541</v>
      </c>
      <c r="Y996" s="110" t="str">
        <f>IFERROR(VLOOKUP(F996,'Freq-Chan'!C:E,3,FALSE),"na")</f>
        <v>F1835</v>
      </c>
      <c r="Z996" s="110" t="s">
        <v>541</v>
      </c>
      <c r="AA996" s="110" t="s">
        <v>541</v>
      </c>
      <c r="AB996" s="110" t="s">
        <v>541</v>
      </c>
      <c r="AC996" s="10" t="s">
        <v>541</v>
      </c>
      <c r="AD996" s="10" t="s">
        <v>541</v>
      </c>
    </row>
    <row r="997" spans="1:30" x14ac:dyDescent="0.2">
      <c r="A997" s="110">
        <v>996</v>
      </c>
      <c r="B997" s="132">
        <v>41841</v>
      </c>
      <c r="C997" s="117">
        <v>3</v>
      </c>
      <c r="D997" s="103" t="s">
        <v>177</v>
      </c>
      <c r="E997" s="103" t="s">
        <v>0</v>
      </c>
      <c r="I997" s="103">
        <v>32</v>
      </c>
      <c r="K997" s="103" t="s">
        <v>364</v>
      </c>
      <c r="L997" s="133"/>
      <c r="M997" s="134">
        <v>2.5694444444444447E-2</v>
      </c>
      <c r="N997" s="137" t="s">
        <v>2778</v>
      </c>
      <c r="O997" s="133" t="s">
        <v>1888</v>
      </c>
      <c r="P997" s="100" t="s">
        <v>776</v>
      </c>
      <c r="Q997" s="100" t="s">
        <v>3196</v>
      </c>
      <c r="R997" s="226" t="s">
        <v>3234</v>
      </c>
      <c r="S997" s="491" t="str">
        <f t="shared" si="31"/>
        <v>x</v>
      </c>
      <c r="T997" s="492" t="str">
        <f>IFERROR(VLOOKUP(F997,'Freq-Chan'!C:D,2,FALSE),"x")</f>
        <v>x</v>
      </c>
      <c r="U997" s="110" t="s">
        <v>541</v>
      </c>
      <c r="V997" s="110" t="str">
        <f t="shared" si="32"/>
        <v>FWL</v>
      </c>
      <c r="W997" s="110" t="s">
        <v>541</v>
      </c>
      <c r="X997" s="110" t="s">
        <v>541</v>
      </c>
      <c r="Y997" s="110" t="str">
        <f>IFERROR(VLOOKUP(F997,'Freq-Chan'!C:E,3,FALSE),"na")</f>
        <v>na</v>
      </c>
      <c r="Z997" s="110" t="s">
        <v>541</v>
      </c>
      <c r="AA997" s="110" t="s">
        <v>541</v>
      </c>
      <c r="AB997" s="110" t="s">
        <v>541</v>
      </c>
      <c r="AC997" s="10" t="s">
        <v>541</v>
      </c>
      <c r="AD997" s="10" t="s">
        <v>541</v>
      </c>
    </row>
    <row r="998" spans="1:30" x14ac:dyDescent="0.2">
      <c r="A998" s="110">
        <v>997</v>
      </c>
      <c r="B998" s="132">
        <v>41841</v>
      </c>
      <c r="C998" s="117">
        <v>3</v>
      </c>
      <c r="D998" s="103" t="s">
        <v>2</v>
      </c>
      <c r="E998" s="103" t="s">
        <v>306</v>
      </c>
      <c r="F998" s="103">
        <v>917</v>
      </c>
      <c r="G998" s="103">
        <v>14</v>
      </c>
      <c r="H998" s="137" t="s">
        <v>3213</v>
      </c>
      <c r="I998" s="103">
        <v>88</v>
      </c>
      <c r="K998" s="103" t="s">
        <v>364</v>
      </c>
      <c r="L998" s="133">
        <v>0.57708333333333328</v>
      </c>
      <c r="M998" s="134">
        <v>7.1527777777777787E-2</v>
      </c>
      <c r="N998" s="137" t="s">
        <v>1661</v>
      </c>
      <c r="O998" s="133" t="s">
        <v>1888</v>
      </c>
      <c r="P998" s="100" t="s">
        <v>3264</v>
      </c>
      <c r="Q998" s="100" t="s">
        <v>3196</v>
      </c>
      <c r="R998" s="226" t="s">
        <v>3234</v>
      </c>
      <c r="S998" s="491">
        <f t="shared" si="31"/>
        <v>5.7523148E-3</v>
      </c>
      <c r="T998" s="492">
        <f>IFERROR(VLOOKUP(F998,'Freq-Chan'!C:D,2,FALSE),"x")</f>
        <v>151.917</v>
      </c>
      <c r="U998" s="110" t="s">
        <v>541</v>
      </c>
      <c r="V998" s="110" t="str">
        <f t="shared" si="32"/>
        <v>FWL</v>
      </c>
      <c r="W998" s="110" t="s">
        <v>541</v>
      </c>
      <c r="X998" s="110" t="s">
        <v>541</v>
      </c>
      <c r="Y998" s="110" t="str">
        <f>IFERROR(VLOOKUP(F998,'Freq-Chan'!C:E,3,FALSE),"na")</f>
        <v>F1835</v>
      </c>
      <c r="Z998" s="110" t="s">
        <v>541</v>
      </c>
      <c r="AA998" s="110" t="s">
        <v>541</v>
      </c>
      <c r="AB998" s="110" t="s">
        <v>541</v>
      </c>
      <c r="AC998" s="10" t="s">
        <v>541</v>
      </c>
      <c r="AD998" s="10" t="s">
        <v>541</v>
      </c>
    </row>
    <row r="999" spans="1:30" x14ac:dyDescent="0.2">
      <c r="A999" s="110">
        <v>998</v>
      </c>
      <c r="B999" s="132">
        <v>41841</v>
      </c>
      <c r="C999" s="117">
        <v>3</v>
      </c>
      <c r="D999" s="103" t="s">
        <v>2</v>
      </c>
      <c r="E999" s="103" t="s">
        <v>306</v>
      </c>
      <c r="F999" s="103">
        <v>917</v>
      </c>
      <c r="G999" s="103">
        <v>86</v>
      </c>
      <c r="H999" s="137" t="s">
        <v>3214</v>
      </c>
      <c r="I999" s="103">
        <v>60</v>
      </c>
      <c r="K999" s="103" t="s">
        <v>364</v>
      </c>
      <c r="L999" s="133">
        <v>0.5805555555555556</v>
      </c>
      <c r="M999" s="134">
        <v>7.7777777777777779E-2</v>
      </c>
      <c r="N999" s="137" t="s">
        <v>2019</v>
      </c>
      <c r="O999" s="133" t="s">
        <v>372</v>
      </c>
      <c r="P999" s="100" t="s">
        <v>3265</v>
      </c>
      <c r="Q999" s="100" t="s">
        <v>3196</v>
      </c>
      <c r="R999" s="226" t="s">
        <v>3234</v>
      </c>
      <c r="S999" s="491">
        <f t="shared" si="31"/>
        <v>7.0370370000000003E-3</v>
      </c>
      <c r="T999" s="492">
        <f>IFERROR(VLOOKUP(F999,'Freq-Chan'!C:D,2,FALSE),"x")</f>
        <v>151.917</v>
      </c>
      <c r="U999" s="110" t="s">
        <v>541</v>
      </c>
      <c r="V999" s="110" t="str">
        <f t="shared" si="32"/>
        <v>FWL</v>
      </c>
      <c r="W999" s="110" t="s">
        <v>541</v>
      </c>
      <c r="X999" s="110" t="s">
        <v>541</v>
      </c>
      <c r="Y999" s="110" t="str">
        <f>IFERROR(VLOOKUP(F999,'Freq-Chan'!C:E,3,FALSE),"na")</f>
        <v>F1835</v>
      </c>
      <c r="Z999" s="110" t="s">
        <v>541</v>
      </c>
      <c r="AA999" s="110" t="s">
        <v>541</v>
      </c>
      <c r="AB999" s="110" t="s">
        <v>541</v>
      </c>
      <c r="AC999" s="10" t="s">
        <v>541</v>
      </c>
      <c r="AD999" s="10" t="s">
        <v>541</v>
      </c>
    </row>
    <row r="1000" spans="1:30" x14ac:dyDescent="0.2">
      <c r="A1000" s="110">
        <v>999</v>
      </c>
      <c r="B1000" s="132">
        <v>41841</v>
      </c>
      <c r="C1000" s="117">
        <v>3</v>
      </c>
      <c r="D1000" s="103" t="s">
        <v>177</v>
      </c>
      <c r="E1000" s="103" t="s">
        <v>0</v>
      </c>
      <c r="I1000" s="103">
        <v>36</v>
      </c>
      <c r="K1000" s="103" t="s">
        <v>364</v>
      </c>
      <c r="L1000" s="133"/>
      <c r="M1000" s="134">
        <v>2.0833333333333332E-2</v>
      </c>
      <c r="N1000" s="137" t="s">
        <v>3215</v>
      </c>
      <c r="O1000" s="133" t="s">
        <v>372</v>
      </c>
      <c r="P1000" s="100" t="s">
        <v>776</v>
      </c>
      <c r="Q1000" s="100" t="s">
        <v>3196</v>
      </c>
      <c r="R1000" s="226" t="s">
        <v>3234</v>
      </c>
      <c r="S1000" s="491" t="str">
        <f t="shared" si="31"/>
        <v>x</v>
      </c>
      <c r="T1000" s="492" t="str">
        <f>IFERROR(VLOOKUP(F1000,'Freq-Chan'!C:D,2,FALSE),"x")</f>
        <v>x</v>
      </c>
      <c r="U1000" s="110" t="s">
        <v>541</v>
      </c>
      <c r="V1000" s="110" t="str">
        <f t="shared" si="32"/>
        <v>FWL</v>
      </c>
      <c r="W1000" s="110" t="s">
        <v>541</v>
      </c>
      <c r="X1000" s="110" t="s">
        <v>541</v>
      </c>
      <c r="Y1000" s="110" t="str">
        <f>IFERROR(VLOOKUP(F1000,'Freq-Chan'!C:E,3,FALSE),"na")</f>
        <v>na</v>
      </c>
      <c r="Z1000" s="110" t="s">
        <v>541</v>
      </c>
      <c r="AA1000" s="110" t="s">
        <v>541</v>
      </c>
      <c r="AB1000" s="110" t="s">
        <v>541</v>
      </c>
      <c r="AC1000" s="10" t="s">
        <v>541</v>
      </c>
      <c r="AD1000" s="10" t="s">
        <v>541</v>
      </c>
    </row>
    <row r="1001" spans="1:30" x14ac:dyDescent="0.2">
      <c r="A1001" s="110">
        <v>1000</v>
      </c>
      <c r="B1001" s="132">
        <v>41841</v>
      </c>
      <c r="C1001" s="117">
        <v>3</v>
      </c>
      <c r="D1001" s="103" t="s">
        <v>70</v>
      </c>
      <c r="E1001" s="103" t="s">
        <v>306</v>
      </c>
      <c r="H1001" s="103"/>
      <c r="I1001" s="103">
        <v>43</v>
      </c>
      <c r="K1001" s="103" t="s">
        <v>365</v>
      </c>
      <c r="L1001" s="133">
        <v>0.79861111111111116</v>
      </c>
      <c r="M1001" s="134">
        <v>3.125E-2</v>
      </c>
      <c r="N1001" s="137" t="s">
        <v>905</v>
      </c>
      <c r="O1001" s="133" t="s">
        <v>804</v>
      </c>
      <c r="P1001" s="100" t="s">
        <v>3216</v>
      </c>
      <c r="Q1001" s="100" t="s">
        <v>3202</v>
      </c>
      <c r="R1001" s="226" t="s">
        <v>3234</v>
      </c>
      <c r="S1001" s="491">
        <f t="shared" si="31"/>
        <v>1.5625000000000001E-3</v>
      </c>
      <c r="T1001" s="492" t="str">
        <f>IFERROR(VLOOKUP(F1001,'Freq-Chan'!C:D,2,FALSE),"x")</f>
        <v>x</v>
      </c>
      <c r="U1001" s="110" t="s">
        <v>541</v>
      </c>
      <c r="V1001" s="110" t="str">
        <f t="shared" si="32"/>
        <v>FWL</v>
      </c>
      <c r="W1001" s="110" t="s">
        <v>541</v>
      </c>
      <c r="X1001" s="110" t="s">
        <v>541</v>
      </c>
      <c r="Y1001" s="110" t="str">
        <f>IFERROR(VLOOKUP(F1001,'Freq-Chan'!C:E,3,FALSE),"na")</f>
        <v>na</v>
      </c>
      <c r="Z1001" s="110" t="s">
        <v>541</v>
      </c>
      <c r="AA1001" s="110" t="s">
        <v>541</v>
      </c>
      <c r="AB1001" s="110" t="s">
        <v>541</v>
      </c>
      <c r="AC1001" s="10" t="s">
        <v>541</v>
      </c>
      <c r="AD1001" s="10" t="s">
        <v>541</v>
      </c>
    </row>
    <row r="1002" spans="1:30" s="291" customFormat="1" x14ac:dyDescent="0.2">
      <c r="A1002" s="493">
        <v>1001</v>
      </c>
      <c r="B1002" s="283">
        <v>41841</v>
      </c>
      <c r="C1002" s="284">
        <v>3</v>
      </c>
      <c r="D1002" s="285" t="s">
        <v>75</v>
      </c>
      <c r="E1002" s="285" t="s">
        <v>798</v>
      </c>
      <c r="F1002" s="285"/>
      <c r="G1002" s="285"/>
      <c r="H1002" s="285"/>
      <c r="I1002" s="285"/>
      <c r="J1002" s="285">
        <v>18</v>
      </c>
      <c r="K1002" s="285" t="s">
        <v>364</v>
      </c>
      <c r="L1002" s="286"/>
      <c r="M1002" s="287">
        <v>3.8194444444444441E-2</v>
      </c>
      <c r="N1002" s="339" t="s">
        <v>1854</v>
      </c>
      <c r="O1002" s="286" t="s">
        <v>1663</v>
      </c>
      <c r="P1002" s="289"/>
      <c r="Q1002" s="289" t="s">
        <v>3202</v>
      </c>
      <c r="R1002" s="290" t="s">
        <v>3234</v>
      </c>
      <c r="S1002" s="494" t="str">
        <f t="shared" si="31"/>
        <v>x</v>
      </c>
      <c r="T1002" s="495" t="str">
        <f>IFERROR(VLOOKUP(F1002,'Freq-Chan'!C:D,2,FALSE),"x")</f>
        <v>x</v>
      </c>
      <c r="U1002" s="493" t="s">
        <v>541</v>
      </c>
      <c r="V1002" s="493" t="str">
        <f t="shared" si="32"/>
        <v>FWL</v>
      </c>
      <c r="W1002" s="493" t="s">
        <v>541</v>
      </c>
      <c r="X1002" s="493" t="s">
        <v>541</v>
      </c>
      <c r="Y1002" s="493" t="str">
        <f>IFERROR(VLOOKUP(F1002,'Freq-Chan'!C:E,3,FALSE),"na")</f>
        <v>na</v>
      </c>
      <c r="Z1002" s="493" t="s">
        <v>541</v>
      </c>
      <c r="AA1002" s="493" t="s">
        <v>541</v>
      </c>
      <c r="AB1002" s="493" t="s">
        <v>541</v>
      </c>
      <c r="AC1002" s="291" t="s">
        <v>541</v>
      </c>
      <c r="AD1002" s="291" t="s">
        <v>541</v>
      </c>
    </row>
    <row r="1003" spans="1:30" x14ac:dyDescent="0.2">
      <c r="A1003" s="110">
        <v>1002</v>
      </c>
      <c r="B1003" s="132">
        <v>41842</v>
      </c>
      <c r="C1003" s="117">
        <v>1</v>
      </c>
      <c r="D1003" s="103" t="s">
        <v>70</v>
      </c>
      <c r="E1003" s="103" t="s">
        <v>306</v>
      </c>
      <c r="F1003" s="103">
        <v>515</v>
      </c>
      <c r="G1003" s="103">
        <v>81</v>
      </c>
      <c r="H1003" s="137" t="s">
        <v>3148</v>
      </c>
      <c r="I1003" s="103">
        <v>48</v>
      </c>
      <c r="K1003" s="103" t="s">
        <v>365</v>
      </c>
      <c r="L1003" s="133"/>
      <c r="M1003" s="134">
        <v>2.6388888888888889E-2</v>
      </c>
      <c r="N1003" s="137" t="s">
        <v>900</v>
      </c>
      <c r="O1003" s="133" t="s">
        <v>804</v>
      </c>
      <c r="Q1003" s="100" t="s">
        <v>3223</v>
      </c>
      <c r="R1003" s="226" t="s">
        <v>3262</v>
      </c>
      <c r="S1003" s="491" t="str">
        <f t="shared" si="31"/>
        <v>x</v>
      </c>
      <c r="T1003" s="492">
        <f>IFERROR(VLOOKUP(F1003,'Freq-Chan'!C:D,2,FALSE),"x")</f>
        <v>151.51499999999999</v>
      </c>
      <c r="U1003" s="110" t="s">
        <v>541</v>
      </c>
      <c r="V1003" s="110" t="str">
        <f t="shared" si="32"/>
        <v>FWL</v>
      </c>
      <c r="W1003" s="110" t="s">
        <v>541</v>
      </c>
      <c r="X1003" s="110" t="s">
        <v>541</v>
      </c>
      <c r="Y1003" s="110" t="str">
        <f>IFERROR(VLOOKUP(F1003,'Freq-Chan'!C:E,3,FALSE),"na")</f>
        <v>F1835</v>
      </c>
      <c r="Z1003" s="110" t="s">
        <v>541</v>
      </c>
      <c r="AA1003" s="110" t="s">
        <v>541</v>
      </c>
      <c r="AB1003" s="110" t="s">
        <v>541</v>
      </c>
      <c r="AC1003" s="10" t="s">
        <v>541</v>
      </c>
      <c r="AD1003" s="10" t="s">
        <v>541</v>
      </c>
    </row>
    <row r="1004" spans="1:30" x14ac:dyDescent="0.2">
      <c r="A1004" s="110">
        <v>1003</v>
      </c>
      <c r="B1004" s="132">
        <v>41842</v>
      </c>
      <c r="C1004" s="117">
        <v>1</v>
      </c>
      <c r="D1004" s="103" t="s">
        <v>70</v>
      </c>
      <c r="E1004" s="103" t="s">
        <v>306</v>
      </c>
      <c r="H1004" s="103"/>
      <c r="I1004" s="103">
        <v>48</v>
      </c>
      <c r="K1004" s="103" t="s">
        <v>365</v>
      </c>
      <c r="L1004" s="133"/>
      <c r="M1004" s="134">
        <v>2.0833333333333332E-2</v>
      </c>
      <c r="N1004" s="137" t="s">
        <v>3225</v>
      </c>
      <c r="O1004" s="133" t="s">
        <v>804</v>
      </c>
      <c r="Q1004" s="100" t="s">
        <v>3223</v>
      </c>
      <c r="R1004" s="226" t="s">
        <v>3262</v>
      </c>
      <c r="S1004" s="491" t="str">
        <f t="shared" si="31"/>
        <v>x</v>
      </c>
      <c r="T1004" s="492" t="str">
        <f>IFERROR(VLOOKUP(F1004,'Freq-Chan'!C:D,2,FALSE),"x")</f>
        <v>x</v>
      </c>
      <c r="U1004" s="110" t="s">
        <v>541</v>
      </c>
      <c r="V1004" s="110" t="str">
        <f t="shared" si="32"/>
        <v>FWL</v>
      </c>
      <c r="W1004" s="110" t="s">
        <v>541</v>
      </c>
      <c r="X1004" s="110" t="s">
        <v>541</v>
      </c>
      <c r="Y1004" s="110" t="str">
        <f>IFERROR(VLOOKUP(F1004,'Freq-Chan'!C:E,3,FALSE),"na")</f>
        <v>na</v>
      </c>
      <c r="Z1004" s="110" t="s">
        <v>541</v>
      </c>
      <c r="AA1004" s="110" t="s">
        <v>541</v>
      </c>
      <c r="AB1004" s="110" t="s">
        <v>541</v>
      </c>
      <c r="AC1004" s="10" t="s">
        <v>541</v>
      </c>
      <c r="AD1004" s="10" t="s">
        <v>541</v>
      </c>
    </row>
    <row r="1005" spans="1:30" x14ac:dyDescent="0.2">
      <c r="A1005" s="110">
        <v>1004</v>
      </c>
      <c r="B1005" s="132">
        <v>41842</v>
      </c>
      <c r="C1005" s="117">
        <v>1</v>
      </c>
      <c r="D1005" s="103" t="s">
        <v>70</v>
      </c>
      <c r="E1005" s="103" t="s">
        <v>306</v>
      </c>
      <c r="H1005" s="103"/>
      <c r="I1005" s="103">
        <v>44</v>
      </c>
      <c r="K1005" s="103" t="s">
        <v>365</v>
      </c>
      <c r="L1005" s="133"/>
      <c r="M1005" s="134">
        <v>3.0555555555555555E-2</v>
      </c>
      <c r="N1005" s="137" t="s">
        <v>2693</v>
      </c>
      <c r="O1005" s="133" t="s">
        <v>2931</v>
      </c>
      <c r="Q1005" s="100" t="s">
        <v>3260</v>
      </c>
      <c r="R1005" s="226" t="s">
        <v>3262</v>
      </c>
      <c r="S1005" s="491" t="str">
        <f t="shared" si="31"/>
        <v>x</v>
      </c>
      <c r="T1005" s="492" t="str">
        <f>IFERROR(VLOOKUP(F1005,'Freq-Chan'!C:D,2,FALSE),"x")</f>
        <v>x</v>
      </c>
      <c r="U1005" s="110" t="s">
        <v>541</v>
      </c>
      <c r="V1005" s="110" t="str">
        <f t="shared" si="32"/>
        <v>FWL</v>
      </c>
      <c r="W1005" s="110" t="s">
        <v>541</v>
      </c>
      <c r="X1005" s="110" t="s">
        <v>541</v>
      </c>
      <c r="Y1005" s="110" t="str">
        <f>IFERROR(VLOOKUP(F1005,'Freq-Chan'!C:E,3,FALSE),"na")</f>
        <v>na</v>
      </c>
      <c r="Z1005" s="110" t="s">
        <v>541</v>
      </c>
      <c r="AA1005" s="110" t="s">
        <v>541</v>
      </c>
      <c r="AB1005" s="110" t="s">
        <v>541</v>
      </c>
      <c r="AC1005" s="10" t="s">
        <v>541</v>
      </c>
      <c r="AD1005" s="10" t="s">
        <v>541</v>
      </c>
    </row>
    <row r="1006" spans="1:30" x14ac:dyDescent="0.2">
      <c r="A1006" s="110">
        <v>1005</v>
      </c>
      <c r="B1006" s="132">
        <v>41842</v>
      </c>
      <c r="C1006" s="117">
        <v>1</v>
      </c>
      <c r="D1006" s="103" t="s">
        <v>91</v>
      </c>
      <c r="E1006" s="103" t="s">
        <v>798</v>
      </c>
      <c r="H1006" s="103"/>
      <c r="J1006" s="103">
        <v>30</v>
      </c>
      <c r="K1006" s="103" t="s">
        <v>364</v>
      </c>
      <c r="L1006" s="133"/>
      <c r="M1006" s="134">
        <v>1.5277777777777777E-2</v>
      </c>
      <c r="N1006" s="137" t="s">
        <v>2019</v>
      </c>
      <c r="O1006" s="133" t="s">
        <v>1888</v>
      </c>
      <c r="Q1006" s="100" t="s">
        <v>3260</v>
      </c>
      <c r="R1006" s="226" t="s">
        <v>3262</v>
      </c>
      <c r="S1006" s="491" t="str">
        <f t="shared" si="31"/>
        <v>x</v>
      </c>
      <c r="T1006" s="492" t="str">
        <f>IFERROR(VLOOKUP(F1006,'Freq-Chan'!C:D,2,FALSE),"x")</f>
        <v>x</v>
      </c>
      <c r="U1006" s="110" t="s">
        <v>541</v>
      </c>
      <c r="V1006" s="110" t="str">
        <f t="shared" si="32"/>
        <v>FWL</v>
      </c>
      <c r="W1006" s="110" t="s">
        <v>541</v>
      </c>
      <c r="X1006" s="110" t="s">
        <v>541</v>
      </c>
      <c r="Y1006" s="110" t="str">
        <f>IFERROR(VLOOKUP(F1006,'Freq-Chan'!C:E,3,FALSE),"na")</f>
        <v>na</v>
      </c>
      <c r="Z1006" s="110" t="s">
        <v>541</v>
      </c>
      <c r="AA1006" s="110" t="s">
        <v>541</v>
      </c>
      <c r="AB1006" s="110" t="s">
        <v>541</v>
      </c>
      <c r="AC1006" s="10" t="s">
        <v>541</v>
      </c>
      <c r="AD1006" s="10" t="s">
        <v>541</v>
      </c>
    </row>
    <row r="1007" spans="1:30" x14ac:dyDescent="0.2">
      <c r="A1007" s="110">
        <v>1006</v>
      </c>
      <c r="B1007" s="132">
        <v>41842</v>
      </c>
      <c r="C1007" s="117">
        <v>1</v>
      </c>
      <c r="D1007" s="103" t="s">
        <v>70</v>
      </c>
      <c r="E1007" s="103" t="s">
        <v>306</v>
      </c>
      <c r="H1007" s="103"/>
      <c r="I1007" s="103">
        <v>44</v>
      </c>
      <c r="K1007" s="103" t="s">
        <v>364</v>
      </c>
      <c r="L1007" s="133">
        <v>0.62083333333333335</v>
      </c>
      <c r="M1007" s="134">
        <v>4.1666666666666664E-2</v>
      </c>
      <c r="N1007" s="137" t="s">
        <v>1966</v>
      </c>
      <c r="O1007" s="133" t="s">
        <v>2931</v>
      </c>
      <c r="Q1007" s="100" t="s">
        <v>3260</v>
      </c>
      <c r="R1007" s="226" t="s">
        <v>3262</v>
      </c>
      <c r="S1007" s="491">
        <f t="shared" si="31"/>
        <v>2.0833332999999998E-3</v>
      </c>
      <c r="T1007" s="492" t="str">
        <f>IFERROR(VLOOKUP(F1007,'Freq-Chan'!C:D,2,FALSE),"x")</f>
        <v>x</v>
      </c>
      <c r="U1007" s="110" t="s">
        <v>541</v>
      </c>
      <c r="V1007" s="110" t="str">
        <f t="shared" si="32"/>
        <v>FWL</v>
      </c>
      <c r="W1007" s="110" t="s">
        <v>541</v>
      </c>
      <c r="X1007" s="110" t="s">
        <v>541</v>
      </c>
      <c r="Y1007" s="110" t="str">
        <f>IFERROR(VLOOKUP(F1007,'Freq-Chan'!C:E,3,FALSE),"na")</f>
        <v>na</v>
      </c>
      <c r="Z1007" s="110" t="s">
        <v>541</v>
      </c>
      <c r="AA1007" s="110" t="s">
        <v>541</v>
      </c>
      <c r="AB1007" s="110" t="s">
        <v>541</v>
      </c>
      <c r="AC1007" s="10" t="s">
        <v>541</v>
      </c>
      <c r="AD1007" s="10" t="s">
        <v>541</v>
      </c>
    </row>
    <row r="1008" spans="1:30" x14ac:dyDescent="0.2">
      <c r="A1008" s="110">
        <v>1007</v>
      </c>
      <c r="B1008" s="132">
        <v>41842</v>
      </c>
      <c r="C1008" s="117">
        <v>1</v>
      </c>
      <c r="D1008" s="103" t="s">
        <v>70</v>
      </c>
      <c r="E1008" s="103" t="s">
        <v>306</v>
      </c>
      <c r="H1008" s="103"/>
      <c r="I1008" s="103">
        <v>45</v>
      </c>
      <c r="K1008" s="103" t="s">
        <v>365</v>
      </c>
      <c r="L1008" s="133"/>
      <c r="M1008" s="134">
        <v>2.4999999999999998E-2</v>
      </c>
      <c r="N1008" s="137" t="s">
        <v>2634</v>
      </c>
      <c r="O1008" s="133" t="s">
        <v>372</v>
      </c>
      <c r="Q1008" s="100" t="s">
        <v>3260</v>
      </c>
      <c r="R1008" s="226" t="s">
        <v>3262</v>
      </c>
      <c r="S1008" s="491" t="str">
        <f t="shared" si="31"/>
        <v>x</v>
      </c>
      <c r="T1008" s="492" t="str">
        <f>IFERROR(VLOOKUP(F1008,'Freq-Chan'!C:D,2,FALSE),"x")</f>
        <v>x</v>
      </c>
      <c r="U1008" s="110" t="s">
        <v>541</v>
      </c>
      <c r="V1008" s="110" t="str">
        <f t="shared" si="32"/>
        <v>FWL</v>
      </c>
      <c r="W1008" s="110" t="s">
        <v>541</v>
      </c>
      <c r="X1008" s="110" t="s">
        <v>541</v>
      </c>
      <c r="Y1008" s="110" t="str">
        <f>IFERROR(VLOOKUP(F1008,'Freq-Chan'!C:E,3,FALSE),"na")</f>
        <v>na</v>
      </c>
      <c r="Z1008" s="110" t="s">
        <v>541</v>
      </c>
      <c r="AA1008" s="110" t="s">
        <v>541</v>
      </c>
      <c r="AB1008" s="110" t="s">
        <v>541</v>
      </c>
      <c r="AC1008" s="10" t="s">
        <v>541</v>
      </c>
      <c r="AD1008" s="10" t="s">
        <v>541</v>
      </c>
    </row>
    <row r="1009" spans="1:30" x14ac:dyDescent="0.2">
      <c r="A1009" s="110">
        <v>1008</v>
      </c>
      <c r="B1009" s="132">
        <v>41842</v>
      </c>
      <c r="C1009" s="117">
        <v>1</v>
      </c>
      <c r="D1009" s="103" t="s">
        <v>70</v>
      </c>
      <c r="E1009" s="103" t="s">
        <v>306</v>
      </c>
      <c r="H1009" s="103"/>
      <c r="I1009" s="103">
        <v>46</v>
      </c>
      <c r="K1009" s="103" t="s">
        <v>364</v>
      </c>
      <c r="L1009" s="133"/>
      <c r="M1009" s="134">
        <v>1.9444444444444445E-2</v>
      </c>
      <c r="N1009" s="137" t="s">
        <v>3226</v>
      </c>
      <c r="O1009" s="133" t="s">
        <v>1888</v>
      </c>
      <c r="Q1009" s="100" t="s">
        <v>3260</v>
      </c>
      <c r="R1009" s="226" t="s">
        <v>3262</v>
      </c>
      <c r="S1009" s="491" t="str">
        <f t="shared" si="31"/>
        <v>x</v>
      </c>
      <c r="T1009" s="492" t="str">
        <f>IFERROR(VLOOKUP(F1009,'Freq-Chan'!C:D,2,FALSE),"x")</f>
        <v>x</v>
      </c>
      <c r="U1009" s="110" t="s">
        <v>541</v>
      </c>
      <c r="V1009" s="110" t="str">
        <f t="shared" si="32"/>
        <v>FWL</v>
      </c>
      <c r="W1009" s="110" t="s">
        <v>541</v>
      </c>
      <c r="X1009" s="110" t="s">
        <v>541</v>
      </c>
      <c r="Y1009" s="110" t="str">
        <f>IFERROR(VLOOKUP(F1009,'Freq-Chan'!C:E,3,FALSE),"na")</f>
        <v>na</v>
      </c>
      <c r="Z1009" s="110" t="s">
        <v>541</v>
      </c>
      <c r="AA1009" s="110" t="s">
        <v>541</v>
      </c>
      <c r="AB1009" s="110" t="s">
        <v>541</v>
      </c>
      <c r="AC1009" s="10" t="s">
        <v>541</v>
      </c>
      <c r="AD1009" s="10" t="s">
        <v>541</v>
      </c>
    </row>
    <row r="1010" spans="1:30" x14ac:dyDescent="0.2">
      <c r="A1010" s="110">
        <v>1009</v>
      </c>
      <c r="B1010" s="132">
        <v>41842</v>
      </c>
      <c r="C1010" s="117">
        <v>1</v>
      </c>
      <c r="D1010" s="103" t="s">
        <v>71</v>
      </c>
      <c r="E1010" s="103" t="s">
        <v>306</v>
      </c>
      <c r="H1010" s="103"/>
      <c r="I1010" s="103">
        <v>63</v>
      </c>
      <c r="K1010" s="103" t="s">
        <v>364</v>
      </c>
      <c r="L1010" s="133"/>
      <c r="M1010" s="134">
        <v>3.5416666666666666E-2</v>
      </c>
      <c r="N1010" s="137" t="s">
        <v>3227</v>
      </c>
      <c r="O1010" s="133" t="s">
        <v>1888</v>
      </c>
      <c r="Q1010" s="100" t="s">
        <v>3260</v>
      </c>
      <c r="R1010" s="226" t="s">
        <v>3262</v>
      </c>
      <c r="S1010" s="491" t="str">
        <f t="shared" si="31"/>
        <v>x</v>
      </c>
      <c r="T1010" s="492" t="str">
        <f>IFERROR(VLOOKUP(F1010,'Freq-Chan'!C:D,2,FALSE),"x")</f>
        <v>x</v>
      </c>
      <c r="U1010" s="110" t="s">
        <v>541</v>
      </c>
      <c r="V1010" s="110" t="str">
        <f t="shared" si="32"/>
        <v>FWL</v>
      </c>
      <c r="W1010" s="110" t="s">
        <v>541</v>
      </c>
      <c r="X1010" s="110" t="s">
        <v>541</v>
      </c>
      <c r="Y1010" s="110" t="str">
        <f>IFERROR(VLOOKUP(F1010,'Freq-Chan'!C:E,3,FALSE),"na")</f>
        <v>na</v>
      </c>
      <c r="Z1010" s="110" t="s">
        <v>541</v>
      </c>
      <c r="AA1010" s="110" t="s">
        <v>541</v>
      </c>
      <c r="AB1010" s="110" t="s">
        <v>541</v>
      </c>
      <c r="AC1010" s="10" t="s">
        <v>541</v>
      </c>
      <c r="AD1010" s="10" t="s">
        <v>541</v>
      </c>
    </row>
    <row r="1011" spans="1:30" x14ac:dyDescent="0.2">
      <c r="A1011" s="110">
        <v>1010</v>
      </c>
      <c r="B1011" s="132">
        <v>41842</v>
      </c>
      <c r="C1011" s="117">
        <v>1</v>
      </c>
      <c r="D1011" s="103" t="s">
        <v>71</v>
      </c>
      <c r="E1011" s="103" t="s">
        <v>306</v>
      </c>
      <c r="H1011" s="103"/>
      <c r="I1011" s="103">
        <v>61</v>
      </c>
      <c r="K1011" s="103" t="s">
        <v>364</v>
      </c>
      <c r="L1011" s="133"/>
      <c r="M1011" s="134">
        <v>3.9583333333333331E-2</v>
      </c>
      <c r="N1011" s="137" t="s">
        <v>1832</v>
      </c>
      <c r="O1011" s="133" t="s">
        <v>1888</v>
      </c>
      <c r="P1011" s="100" t="s">
        <v>3228</v>
      </c>
      <c r="Q1011" s="100" t="s">
        <v>3260</v>
      </c>
      <c r="R1011" s="226" t="s">
        <v>3262</v>
      </c>
      <c r="S1011" s="491" t="str">
        <f t="shared" si="31"/>
        <v>x</v>
      </c>
      <c r="T1011" s="492" t="str">
        <f>IFERROR(VLOOKUP(F1011,'Freq-Chan'!C:D,2,FALSE),"x")</f>
        <v>x</v>
      </c>
      <c r="U1011" s="110" t="s">
        <v>541</v>
      </c>
      <c r="V1011" s="110" t="str">
        <f t="shared" si="32"/>
        <v>FWL</v>
      </c>
      <c r="W1011" s="110" t="s">
        <v>541</v>
      </c>
      <c r="X1011" s="110" t="s">
        <v>541</v>
      </c>
      <c r="Y1011" s="110" t="str">
        <f>IFERROR(VLOOKUP(F1011,'Freq-Chan'!C:E,3,FALSE),"na")</f>
        <v>na</v>
      </c>
      <c r="Z1011" s="110" t="s">
        <v>541</v>
      </c>
      <c r="AA1011" s="110" t="s">
        <v>541</v>
      </c>
      <c r="AB1011" s="110" t="s">
        <v>541</v>
      </c>
      <c r="AC1011" s="10" t="s">
        <v>541</v>
      </c>
      <c r="AD1011" s="10" t="s">
        <v>541</v>
      </c>
    </row>
    <row r="1012" spans="1:30" x14ac:dyDescent="0.2">
      <c r="A1012" s="110">
        <v>1011</v>
      </c>
      <c r="B1012" s="132">
        <v>41842</v>
      </c>
      <c r="C1012" s="117">
        <v>1</v>
      </c>
      <c r="D1012" s="103" t="s">
        <v>70</v>
      </c>
      <c r="E1012" s="103" t="s">
        <v>306</v>
      </c>
      <c r="H1012" s="103"/>
      <c r="I1012" s="103">
        <v>45</v>
      </c>
      <c r="K1012" s="103" t="s">
        <v>365</v>
      </c>
      <c r="L1012" s="133"/>
      <c r="M1012" s="134">
        <v>1.8055555555555557E-2</v>
      </c>
      <c r="N1012" s="137" t="s">
        <v>904</v>
      </c>
      <c r="O1012" s="133" t="s">
        <v>555</v>
      </c>
      <c r="Q1012" s="100" t="s">
        <v>3222</v>
      </c>
      <c r="R1012" s="226" t="s">
        <v>3262</v>
      </c>
      <c r="S1012" s="491" t="str">
        <f t="shared" si="31"/>
        <v>x</v>
      </c>
      <c r="T1012" s="492" t="str">
        <f>IFERROR(VLOOKUP(F1012,'Freq-Chan'!C:D,2,FALSE),"x")</f>
        <v>x</v>
      </c>
      <c r="U1012" s="110" t="s">
        <v>541</v>
      </c>
      <c r="V1012" s="110" t="str">
        <f t="shared" si="32"/>
        <v>FWL</v>
      </c>
      <c r="W1012" s="110" t="s">
        <v>541</v>
      </c>
      <c r="X1012" s="110" t="s">
        <v>541</v>
      </c>
      <c r="Y1012" s="110" t="str">
        <f>IFERROR(VLOOKUP(F1012,'Freq-Chan'!C:E,3,FALSE),"na")</f>
        <v>na</v>
      </c>
      <c r="Z1012" s="110" t="s">
        <v>541</v>
      </c>
      <c r="AA1012" s="110" t="s">
        <v>541</v>
      </c>
      <c r="AB1012" s="110" t="s">
        <v>541</v>
      </c>
      <c r="AC1012" s="10" t="s">
        <v>541</v>
      </c>
      <c r="AD1012" s="10" t="s">
        <v>541</v>
      </c>
    </row>
    <row r="1013" spans="1:30" x14ac:dyDescent="0.2">
      <c r="A1013" s="110">
        <v>1012</v>
      </c>
      <c r="B1013" s="132">
        <v>41842</v>
      </c>
      <c r="C1013" s="117">
        <v>1</v>
      </c>
      <c r="D1013" s="103" t="s">
        <v>70</v>
      </c>
      <c r="E1013" s="103" t="s">
        <v>306</v>
      </c>
      <c r="H1013" s="103"/>
      <c r="I1013" s="103">
        <v>43</v>
      </c>
      <c r="K1013" s="103" t="s">
        <v>365</v>
      </c>
      <c r="L1013" s="133">
        <v>0.75416666666666676</v>
      </c>
      <c r="M1013" s="134">
        <v>1.6666666666666666E-2</v>
      </c>
      <c r="N1013" s="137" t="s">
        <v>1889</v>
      </c>
      <c r="O1013" s="133" t="s">
        <v>803</v>
      </c>
      <c r="Q1013" s="100" t="s">
        <v>3222</v>
      </c>
      <c r="R1013" s="226" t="s">
        <v>3262</v>
      </c>
      <c r="S1013" s="491">
        <f t="shared" si="31"/>
        <v>1.1111110999999999E-3</v>
      </c>
      <c r="T1013" s="492" t="str">
        <f>IFERROR(VLOOKUP(F1013,'Freq-Chan'!C:D,2,FALSE),"x")</f>
        <v>x</v>
      </c>
      <c r="U1013" s="110" t="s">
        <v>541</v>
      </c>
      <c r="V1013" s="110" t="str">
        <f t="shared" si="32"/>
        <v>FWL</v>
      </c>
      <c r="W1013" s="110" t="s">
        <v>541</v>
      </c>
      <c r="X1013" s="110" t="s">
        <v>541</v>
      </c>
      <c r="Y1013" s="110" t="str">
        <f>IFERROR(VLOOKUP(F1013,'Freq-Chan'!C:E,3,FALSE),"na")</f>
        <v>na</v>
      </c>
      <c r="Z1013" s="110" t="s">
        <v>541</v>
      </c>
      <c r="AA1013" s="110" t="s">
        <v>541</v>
      </c>
      <c r="AB1013" s="110" t="s">
        <v>541</v>
      </c>
      <c r="AC1013" s="10" t="s">
        <v>541</v>
      </c>
      <c r="AD1013" s="10" t="s">
        <v>541</v>
      </c>
    </row>
    <row r="1014" spans="1:30" x14ac:dyDescent="0.2">
      <c r="A1014" s="110">
        <v>1013</v>
      </c>
      <c r="B1014" s="132">
        <v>41842</v>
      </c>
      <c r="C1014" s="117">
        <v>1</v>
      </c>
      <c r="D1014" s="103" t="s">
        <v>70</v>
      </c>
      <c r="E1014" s="103" t="s">
        <v>306</v>
      </c>
      <c r="H1014" s="103"/>
      <c r="I1014" s="103">
        <v>45</v>
      </c>
      <c r="K1014" s="103" t="s">
        <v>1032</v>
      </c>
      <c r="L1014" s="133">
        <v>0.75416666666666676</v>
      </c>
      <c r="M1014" s="134">
        <v>1.5277777777777777E-2</v>
      </c>
      <c r="N1014" s="137" t="s">
        <v>3229</v>
      </c>
      <c r="O1014" s="133" t="s">
        <v>803</v>
      </c>
      <c r="Q1014" s="100" t="s">
        <v>3222</v>
      </c>
      <c r="R1014" s="226" t="s">
        <v>3262</v>
      </c>
      <c r="S1014" s="491">
        <f t="shared" si="31"/>
        <v>1.8287036999999999E-3</v>
      </c>
      <c r="T1014" s="492" t="str">
        <f>IFERROR(VLOOKUP(F1014,'Freq-Chan'!C:D,2,FALSE),"x")</f>
        <v>x</v>
      </c>
      <c r="U1014" s="110" t="s">
        <v>541</v>
      </c>
      <c r="V1014" s="110" t="str">
        <f t="shared" si="32"/>
        <v>FWL</v>
      </c>
      <c r="W1014" s="110" t="s">
        <v>541</v>
      </c>
      <c r="X1014" s="110" t="s">
        <v>541</v>
      </c>
      <c r="Y1014" s="110" t="str">
        <f>IFERROR(VLOOKUP(F1014,'Freq-Chan'!C:E,3,FALSE),"na")</f>
        <v>na</v>
      </c>
      <c r="Z1014" s="110" t="s">
        <v>541</v>
      </c>
      <c r="AA1014" s="110" t="s">
        <v>541</v>
      </c>
      <c r="AB1014" s="110" t="s">
        <v>541</v>
      </c>
      <c r="AC1014" s="10" t="s">
        <v>541</v>
      </c>
      <c r="AD1014" s="10" t="s">
        <v>541</v>
      </c>
    </row>
    <row r="1015" spans="1:30" x14ac:dyDescent="0.2">
      <c r="A1015" s="110">
        <v>1014</v>
      </c>
      <c r="B1015" s="132">
        <v>41842</v>
      </c>
      <c r="C1015" s="117">
        <v>1</v>
      </c>
      <c r="D1015" s="103" t="s">
        <v>72</v>
      </c>
      <c r="E1015" s="103" t="s">
        <v>306</v>
      </c>
      <c r="F1015" s="103">
        <v>325</v>
      </c>
      <c r="G1015" s="103">
        <v>94</v>
      </c>
      <c r="H1015" s="103" t="s">
        <v>3230</v>
      </c>
      <c r="I1015" s="103">
        <v>55</v>
      </c>
      <c r="K1015" s="103" t="s">
        <v>364</v>
      </c>
      <c r="L1015" s="133">
        <v>0.76944444444444438</v>
      </c>
      <c r="M1015" s="134">
        <v>7.013888888888889E-2</v>
      </c>
      <c r="N1015" s="137" t="s">
        <v>3231</v>
      </c>
      <c r="O1015" s="133" t="s">
        <v>803</v>
      </c>
      <c r="Q1015" s="100" t="s">
        <v>3222</v>
      </c>
      <c r="R1015" s="226" t="s">
        <v>3262</v>
      </c>
      <c r="S1015" s="491">
        <f t="shared" si="31"/>
        <v>7.8587963E-3</v>
      </c>
      <c r="T1015" s="492">
        <f>IFERROR(VLOOKUP(F1015,'Freq-Chan'!C:D,2,FALSE),"x")</f>
        <v>151.32499999999999</v>
      </c>
      <c r="U1015" s="110" t="s">
        <v>541</v>
      </c>
      <c r="V1015" s="110" t="str">
        <f t="shared" si="32"/>
        <v>FWL</v>
      </c>
      <c r="W1015" s="110" t="s">
        <v>541</v>
      </c>
      <c r="X1015" s="110" t="s">
        <v>541</v>
      </c>
      <c r="Y1015" s="110" t="str">
        <f>IFERROR(VLOOKUP(F1015,'Freq-Chan'!C:E,3,FALSE),"na")</f>
        <v>F1840</v>
      </c>
      <c r="Z1015" s="110" t="s">
        <v>541</v>
      </c>
      <c r="AA1015" s="110" t="s">
        <v>541</v>
      </c>
      <c r="AB1015" s="110" t="s">
        <v>541</v>
      </c>
      <c r="AC1015" s="10" t="s">
        <v>541</v>
      </c>
      <c r="AD1015" s="10" t="s">
        <v>541</v>
      </c>
    </row>
    <row r="1016" spans="1:30" x14ac:dyDescent="0.2">
      <c r="A1016" s="110">
        <v>1015</v>
      </c>
      <c r="B1016" s="132">
        <v>41842</v>
      </c>
      <c r="C1016" s="117">
        <v>1</v>
      </c>
      <c r="D1016" s="103" t="s">
        <v>70</v>
      </c>
      <c r="E1016" s="103" t="s">
        <v>306</v>
      </c>
      <c r="H1016" s="103"/>
      <c r="I1016" s="103">
        <v>44</v>
      </c>
      <c r="K1016" s="103" t="s">
        <v>1032</v>
      </c>
      <c r="L1016" s="133"/>
      <c r="M1016" s="134">
        <v>1.1111111111111112E-2</v>
      </c>
      <c r="N1016" s="137" t="s">
        <v>3232</v>
      </c>
      <c r="O1016" s="133" t="s">
        <v>803</v>
      </c>
      <c r="Q1016" s="100" t="s">
        <v>3222</v>
      </c>
      <c r="R1016" s="226" t="s">
        <v>3262</v>
      </c>
      <c r="S1016" s="491" t="str">
        <f t="shared" si="31"/>
        <v>x</v>
      </c>
      <c r="T1016" s="492" t="str">
        <f>IFERROR(VLOOKUP(F1016,'Freq-Chan'!C:D,2,FALSE),"x")</f>
        <v>x</v>
      </c>
      <c r="U1016" s="110" t="s">
        <v>541</v>
      </c>
      <c r="V1016" s="110" t="str">
        <f t="shared" si="32"/>
        <v>FWL</v>
      </c>
      <c r="W1016" s="110" t="s">
        <v>541</v>
      </c>
      <c r="X1016" s="110" t="s">
        <v>541</v>
      </c>
      <c r="Y1016" s="110" t="str">
        <f>IFERROR(VLOOKUP(F1016,'Freq-Chan'!C:E,3,FALSE),"na")</f>
        <v>na</v>
      </c>
      <c r="Z1016" s="110" t="s">
        <v>541</v>
      </c>
      <c r="AA1016" s="110" t="s">
        <v>541</v>
      </c>
      <c r="AB1016" s="110" t="s">
        <v>541</v>
      </c>
      <c r="AC1016" s="10" t="s">
        <v>541</v>
      </c>
      <c r="AD1016" s="10" t="s">
        <v>541</v>
      </c>
    </row>
    <row r="1017" spans="1:30" s="291" customFormat="1" x14ac:dyDescent="0.2">
      <c r="A1017" s="493">
        <v>1016</v>
      </c>
      <c r="B1017" s="283">
        <v>41842</v>
      </c>
      <c r="C1017" s="284">
        <v>1</v>
      </c>
      <c r="D1017" s="285" t="s">
        <v>177</v>
      </c>
      <c r="E1017" s="285" t="s">
        <v>0</v>
      </c>
      <c r="F1017" s="285"/>
      <c r="G1017" s="285"/>
      <c r="H1017" s="285"/>
      <c r="I1017" s="285">
        <v>34</v>
      </c>
      <c r="J1017" s="285"/>
      <c r="K1017" s="285" t="s">
        <v>364</v>
      </c>
      <c r="L1017" s="286"/>
      <c r="M1017" s="287">
        <v>1.0416666666666666E-2</v>
      </c>
      <c r="N1017" s="339" t="s">
        <v>3233</v>
      </c>
      <c r="O1017" s="286" t="s">
        <v>803</v>
      </c>
      <c r="P1017" s="289" t="s">
        <v>776</v>
      </c>
      <c r="Q1017" s="289" t="s">
        <v>3222</v>
      </c>
      <c r="R1017" s="290" t="s">
        <v>3262</v>
      </c>
      <c r="S1017" s="494" t="str">
        <f t="shared" si="31"/>
        <v>x</v>
      </c>
      <c r="T1017" s="495" t="str">
        <f>IFERROR(VLOOKUP(F1017,'Freq-Chan'!C:D,2,FALSE),"x")</f>
        <v>x</v>
      </c>
      <c r="U1017" s="493" t="s">
        <v>541</v>
      </c>
      <c r="V1017" s="493" t="str">
        <f t="shared" si="32"/>
        <v>FWL</v>
      </c>
      <c r="W1017" s="493" t="s">
        <v>541</v>
      </c>
      <c r="X1017" s="493" t="s">
        <v>541</v>
      </c>
      <c r="Y1017" s="493" t="str">
        <f>IFERROR(VLOOKUP(F1017,'Freq-Chan'!C:E,3,FALSE),"na")</f>
        <v>na</v>
      </c>
      <c r="Z1017" s="493" t="s">
        <v>541</v>
      </c>
      <c r="AA1017" s="493" t="s">
        <v>541</v>
      </c>
      <c r="AB1017" s="493" t="s">
        <v>541</v>
      </c>
      <c r="AC1017" s="291" t="s">
        <v>541</v>
      </c>
      <c r="AD1017" s="291" t="s">
        <v>541</v>
      </c>
    </row>
    <row r="1018" spans="1:30" x14ac:dyDescent="0.2">
      <c r="A1018" s="110">
        <v>1017</v>
      </c>
      <c r="B1018" s="132">
        <v>41842</v>
      </c>
      <c r="C1018" s="117">
        <v>2</v>
      </c>
      <c r="D1018" s="103" t="s">
        <v>71</v>
      </c>
      <c r="E1018" s="103" t="s">
        <v>306</v>
      </c>
      <c r="F1018" s="103">
        <v>564</v>
      </c>
      <c r="G1018" s="103">
        <v>6</v>
      </c>
      <c r="H1018" s="103" t="s">
        <v>2303</v>
      </c>
      <c r="I1018" s="103">
        <v>59</v>
      </c>
      <c r="K1018" s="103" t="s">
        <v>364</v>
      </c>
      <c r="L1018" s="133"/>
      <c r="M1018" s="134">
        <v>3.4722222222222224E-2</v>
      </c>
      <c r="N1018" s="137" t="s">
        <v>3210</v>
      </c>
      <c r="O1018" s="133" t="s">
        <v>1663</v>
      </c>
      <c r="Q1018" s="100" t="s">
        <v>3223</v>
      </c>
      <c r="R1018" s="226" t="s">
        <v>3262</v>
      </c>
      <c r="S1018" s="491" t="str">
        <f t="shared" si="31"/>
        <v>x</v>
      </c>
      <c r="T1018" s="492">
        <f>IFERROR(VLOOKUP(F1018,'Freq-Chan'!C:D,2,FALSE),"x")</f>
        <v>151.56399999999999</v>
      </c>
      <c r="U1018" s="110" t="s">
        <v>541</v>
      </c>
      <c r="V1018" s="110" t="str">
        <f t="shared" si="32"/>
        <v>FWL</v>
      </c>
      <c r="W1018" s="110" t="s">
        <v>541</v>
      </c>
      <c r="X1018" s="110" t="s">
        <v>541</v>
      </c>
      <c r="Y1018" s="110" t="str">
        <f>IFERROR(VLOOKUP(F1018,'Freq-Chan'!C:E,3,FALSE),"na")</f>
        <v>F1840</v>
      </c>
      <c r="Z1018" s="110" t="s">
        <v>541</v>
      </c>
      <c r="AA1018" s="110" t="s">
        <v>541</v>
      </c>
      <c r="AB1018" s="110" t="s">
        <v>541</v>
      </c>
      <c r="AC1018" s="10" t="s">
        <v>541</v>
      </c>
      <c r="AD1018" s="10" t="s">
        <v>541</v>
      </c>
    </row>
    <row r="1019" spans="1:30" x14ac:dyDescent="0.2">
      <c r="A1019" s="110">
        <v>1018</v>
      </c>
      <c r="B1019" s="132">
        <v>41842</v>
      </c>
      <c r="C1019" s="117">
        <v>2</v>
      </c>
      <c r="D1019" s="103" t="s">
        <v>8</v>
      </c>
      <c r="E1019" s="103" t="s">
        <v>306</v>
      </c>
      <c r="F1019" s="103">
        <v>573</v>
      </c>
      <c r="G1019" s="103">
        <v>96</v>
      </c>
      <c r="H1019" s="103" t="s">
        <v>2123</v>
      </c>
      <c r="I1019" s="103">
        <v>48</v>
      </c>
      <c r="K1019" s="103" t="s">
        <v>364</v>
      </c>
      <c r="L1019" s="133"/>
      <c r="M1019" s="134">
        <v>0.10416666666666667</v>
      </c>
      <c r="N1019" s="137" t="s">
        <v>1830</v>
      </c>
      <c r="O1019" s="133" t="s">
        <v>2931</v>
      </c>
      <c r="Q1019" s="100" t="s">
        <v>3234</v>
      </c>
      <c r="R1019" s="226" t="s">
        <v>3262</v>
      </c>
      <c r="S1019" s="491" t="str">
        <f t="shared" si="31"/>
        <v>x</v>
      </c>
      <c r="T1019" s="492">
        <f>IFERROR(VLOOKUP(F1019,'Freq-Chan'!C:D,2,FALSE),"x")</f>
        <v>151.57300000000001</v>
      </c>
      <c r="U1019" s="110" t="s">
        <v>541</v>
      </c>
      <c r="V1019" s="110" t="str">
        <f t="shared" si="32"/>
        <v>FWL</v>
      </c>
      <c r="W1019" s="110" t="s">
        <v>541</v>
      </c>
      <c r="X1019" s="110" t="s">
        <v>541</v>
      </c>
      <c r="Y1019" s="110" t="str">
        <f>IFERROR(VLOOKUP(F1019,'Freq-Chan'!C:E,3,FALSE),"na")</f>
        <v>F1840</v>
      </c>
      <c r="Z1019" s="110" t="s">
        <v>541</v>
      </c>
      <c r="AA1019" s="110" t="s">
        <v>541</v>
      </c>
      <c r="AB1019" s="110" t="s">
        <v>541</v>
      </c>
      <c r="AC1019" s="10" t="s">
        <v>541</v>
      </c>
      <c r="AD1019" s="10" t="s">
        <v>541</v>
      </c>
    </row>
    <row r="1020" spans="1:30" x14ac:dyDescent="0.2">
      <c r="A1020" s="110">
        <v>1019</v>
      </c>
      <c r="B1020" s="132">
        <v>41842</v>
      </c>
      <c r="C1020" s="117">
        <v>2</v>
      </c>
      <c r="D1020" s="103" t="s">
        <v>71</v>
      </c>
      <c r="E1020" s="103" t="s">
        <v>306</v>
      </c>
      <c r="F1020" s="103">
        <v>534</v>
      </c>
      <c r="G1020" s="103">
        <v>62</v>
      </c>
      <c r="H1020" s="103" t="s">
        <v>2302</v>
      </c>
      <c r="I1020" s="103">
        <v>62</v>
      </c>
      <c r="K1020" s="103" t="s">
        <v>364</v>
      </c>
      <c r="L1020" s="133">
        <v>0.54861111111111105</v>
      </c>
      <c r="M1020" s="134">
        <v>6.8749999999999992E-2</v>
      </c>
      <c r="N1020" s="137" t="s">
        <v>2050</v>
      </c>
      <c r="O1020" s="133" t="s">
        <v>1888</v>
      </c>
      <c r="P1020" s="100" t="s">
        <v>3235</v>
      </c>
      <c r="Q1020" s="100" t="s">
        <v>3234</v>
      </c>
      <c r="R1020" s="226" t="s">
        <v>3262</v>
      </c>
      <c r="S1020" s="491">
        <f t="shared" si="31"/>
        <v>5.1041667000000001E-3</v>
      </c>
      <c r="T1020" s="492">
        <f>IFERROR(VLOOKUP(F1020,'Freq-Chan'!C:D,2,FALSE),"x")</f>
        <v>151.53399999999999</v>
      </c>
      <c r="U1020" s="110" t="s">
        <v>541</v>
      </c>
      <c r="V1020" s="110" t="str">
        <f t="shared" si="32"/>
        <v>FWL</v>
      </c>
      <c r="W1020" s="110" t="s">
        <v>541</v>
      </c>
      <c r="X1020" s="110" t="s">
        <v>541</v>
      </c>
      <c r="Y1020" s="110" t="str">
        <f>IFERROR(VLOOKUP(F1020,'Freq-Chan'!C:E,3,FALSE),"na")</f>
        <v>F1840</v>
      </c>
      <c r="Z1020" s="110" t="s">
        <v>541</v>
      </c>
      <c r="AA1020" s="110" t="s">
        <v>541</v>
      </c>
      <c r="AB1020" s="110" t="s">
        <v>541</v>
      </c>
      <c r="AC1020" s="10" t="s">
        <v>541</v>
      </c>
      <c r="AD1020" s="10" t="s">
        <v>541</v>
      </c>
    </row>
    <row r="1021" spans="1:30" x14ac:dyDescent="0.2">
      <c r="A1021" s="110">
        <v>1020</v>
      </c>
      <c r="B1021" s="132">
        <v>41842</v>
      </c>
      <c r="C1021" s="117">
        <v>2</v>
      </c>
      <c r="D1021" s="103" t="s">
        <v>8</v>
      </c>
      <c r="E1021" s="103" t="s">
        <v>306</v>
      </c>
      <c r="F1021" s="103">
        <v>586</v>
      </c>
      <c r="G1021" s="103">
        <v>59</v>
      </c>
      <c r="H1021" s="103" t="s">
        <v>2124</v>
      </c>
      <c r="I1021" s="103">
        <v>51</v>
      </c>
      <c r="K1021" s="103" t="s">
        <v>364</v>
      </c>
      <c r="L1021" s="133"/>
      <c r="M1021" s="134">
        <v>5.6944444444444443E-2</v>
      </c>
      <c r="N1021" s="137" t="s">
        <v>3236</v>
      </c>
      <c r="O1021" s="133" t="s">
        <v>372</v>
      </c>
      <c r="Q1021" s="100" t="s">
        <v>3234</v>
      </c>
      <c r="R1021" s="226" t="s">
        <v>3262</v>
      </c>
      <c r="S1021" s="491" t="str">
        <f t="shared" si="31"/>
        <v>x</v>
      </c>
      <c r="T1021" s="492">
        <f>IFERROR(VLOOKUP(F1021,'Freq-Chan'!C:D,2,FALSE),"x")</f>
        <v>151.58600000000001</v>
      </c>
      <c r="U1021" s="110" t="s">
        <v>541</v>
      </c>
      <c r="V1021" s="110" t="str">
        <f t="shared" si="32"/>
        <v>FWL</v>
      </c>
      <c r="W1021" s="110" t="s">
        <v>541</v>
      </c>
      <c r="X1021" s="110" t="s">
        <v>541</v>
      </c>
      <c r="Y1021" s="110" t="str">
        <f>IFERROR(VLOOKUP(F1021,'Freq-Chan'!C:E,3,FALSE),"na")</f>
        <v>F1840</v>
      </c>
      <c r="Z1021" s="110" t="s">
        <v>541</v>
      </c>
      <c r="AA1021" s="110" t="s">
        <v>541</v>
      </c>
      <c r="AB1021" s="110" t="s">
        <v>541</v>
      </c>
      <c r="AC1021" s="10" t="s">
        <v>541</v>
      </c>
      <c r="AD1021" s="10" t="s">
        <v>541</v>
      </c>
    </row>
    <row r="1022" spans="1:30" x14ac:dyDescent="0.2">
      <c r="A1022" s="110">
        <v>1021</v>
      </c>
      <c r="B1022" s="132">
        <v>41842</v>
      </c>
      <c r="C1022" s="117">
        <v>2</v>
      </c>
      <c r="D1022" s="103" t="s">
        <v>8</v>
      </c>
      <c r="E1022" s="103" t="s">
        <v>306</v>
      </c>
      <c r="F1022" s="103">
        <v>573</v>
      </c>
      <c r="G1022" s="103">
        <v>24</v>
      </c>
      <c r="H1022" s="103" t="s">
        <v>2133</v>
      </c>
      <c r="I1022" s="103">
        <v>60</v>
      </c>
      <c r="K1022" s="103" t="s">
        <v>364</v>
      </c>
      <c r="L1022" s="133">
        <v>0.69374999999999998</v>
      </c>
      <c r="M1022" s="134">
        <v>4.8611111111111112E-2</v>
      </c>
      <c r="N1022" s="137" t="s">
        <v>3237</v>
      </c>
      <c r="O1022" s="133" t="s">
        <v>1888</v>
      </c>
      <c r="P1022" s="100" t="s">
        <v>3238</v>
      </c>
      <c r="Q1022" s="100" t="s">
        <v>3234</v>
      </c>
      <c r="R1022" s="226" t="s">
        <v>3262</v>
      </c>
      <c r="S1022" s="491">
        <f t="shared" si="31"/>
        <v>3.3564814999999999E-3</v>
      </c>
      <c r="T1022" s="492">
        <f>IFERROR(VLOOKUP(F1022,'Freq-Chan'!C:D,2,FALSE),"x")</f>
        <v>151.57300000000001</v>
      </c>
      <c r="U1022" s="110" t="s">
        <v>541</v>
      </c>
      <c r="V1022" s="110" t="str">
        <f t="shared" si="32"/>
        <v>FWL</v>
      </c>
      <c r="W1022" s="110" t="s">
        <v>541</v>
      </c>
      <c r="X1022" s="110" t="s">
        <v>541</v>
      </c>
      <c r="Y1022" s="110" t="str">
        <f>IFERROR(VLOOKUP(F1022,'Freq-Chan'!C:E,3,FALSE),"na")</f>
        <v>F1840</v>
      </c>
      <c r="Z1022" s="110" t="s">
        <v>541</v>
      </c>
      <c r="AA1022" s="110" t="s">
        <v>541</v>
      </c>
      <c r="AB1022" s="110" t="s">
        <v>541</v>
      </c>
      <c r="AC1022" s="10" t="s">
        <v>541</v>
      </c>
      <c r="AD1022" s="10" t="s">
        <v>541</v>
      </c>
    </row>
    <row r="1023" spans="1:30" x14ac:dyDescent="0.2">
      <c r="A1023" s="110">
        <v>1022</v>
      </c>
      <c r="B1023" s="132">
        <v>41842</v>
      </c>
      <c r="C1023" s="117">
        <v>2</v>
      </c>
      <c r="D1023" s="103" t="s">
        <v>71</v>
      </c>
      <c r="E1023" s="103" t="s">
        <v>306</v>
      </c>
      <c r="H1023" s="103"/>
      <c r="I1023" s="103">
        <v>58</v>
      </c>
      <c r="K1023" s="103" t="s">
        <v>364</v>
      </c>
      <c r="L1023" s="133">
        <v>0.72013888888888899</v>
      </c>
      <c r="M1023" s="134">
        <v>2.0833333333333332E-2</v>
      </c>
      <c r="N1023" s="137" t="s">
        <v>3239</v>
      </c>
      <c r="O1023" s="133" t="s">
        <v>803</v>
      </c>
      <c r="Q1023" s="100" t="s">
        <v>3224</v>
      </c>
      <c r="R1023" s="226" t="s">
        <v>3262</v>
      </c>
      <c r="S1023" s="491">
        <f t="shared" si="31"/>
        <v>1.7361111000000001E-3</v>
      </c>
      <c r="T1023" s="492" t="str">
        <f>IFERROR(VLOOKUP(F1023,'Freq-Chan'!C:D,2,FALSE),"x")</f>
        <v>x</v>
      </c>
      <c r="U1023" s="110" t="s">
        <v>541</v>
      </c>
      <c r="V1023" s="110" t="str">
        <f t="shared" si="32"/>
        <v>FWL</v>
      </c>
      <c r="W1023" s="110" t="s">
        <v>541</v>
      </c>
      <c r="X1023" s="110" t="s">
        <v>541</v>
      </c>
      <c r="Y1023" s="110" t="str">
        <f>IFERROR(VLOOKUP(F1023,'Freq-Chan'!C:E,3,FALSE),"na")</f>
        <v>na</v>
      </c>
      <c r="Z1023" s="110" t="s">
        <v>541</v>
      </c>
      <c r="AA1023" s="110" t="s">
        <v>541</v>
      </c>
      <c r="AB1023" s="110" t="s">
        <v>541</v>
      </c>
      <c r="AC1023" s="10" t="s">
        <v>541</v>
      </c>
      <c r="AD1023" s="10" t="s">
        <v>541</v>
      </c>
    </row>
    <row r="1024" spans="1:30" x14ac:dyDescent="0.2">
      <c r="A1024" s="110">
        <v>1023</v>
      </c>
      <c r="B1024" s="132">
        <v>41842</v>
      </c>
      <c r="C1024" s="117">
        <v>2</v>
      </c>
      <c r="D1024" s="103" t="s">
        <v>71</v>
      </c>
      <c r="E1024" s="103" t="s">
        <v>306</v>
      </c>
      <c r="I1024" s="103">
        <v>61</v>
      </c>
      <c r="K1024" s="103" t="s">
        <v>364</v>
      </c>
      <c r="L1024" s="133"/>
      <c r="M1024" s="134">
        <v>1.0416666666666666E-2</v>
      </c>
      <c r="N1024" s="137" t="s">
        <v>2812</v>
      </c>
      <c r="O1024" s="133" t="s">
        <v>803</v>
      </c>
      <c r="Q1024" s="100" t="s">
        <v>3224</v>
      </c>
      <c r="R1024" s="226" t="s">
        <v>3262</v>
      </c>
      <c r="S1024" s="491" t="str">
        <f t="shared" si="31"/>
        <v>x</v>
      </c>
      <c r="T1024" s="492" t="str">
        <f>IFERROR(VLOOKUP(F1024,'Freq-Chan'!C:D,2,FALSE),"x")</f>
        <v>x</v>
      </c>
      <c r="U1024" s="110" t="s">
        <v>541</v>
      </c>
      <c r="V1024" s="110" t="str">
        <f t="shared" si="32"/>
        <v>FWL</v>
      </c>
      <c r="W1024" s="110" t="s">
        <v>541</v>
      </c>
      <c r="X1024" s="110" t="s">
        <v>541</v>
      </c>
      <c r="Y1024" s="110" t="str">
        <f>IFERROR(VLOOKUP(F1024,'Freq-Chan'!C:E,3,FALSE),"na")</f>
        <v>na</v>
      </c>
      <c r="Z1024" s="110" t="s">
        <v>541</v>
      </c>
      <c r="AA1024" s="110" t="s">
        <v>541</v>
      </c>
      <c r="AB1024" s="110" t="s">
        <v>541</v>
      </c>
      <c r="AC1024" s="10" t="s">
        <v>541</v>
      </c>
      <c r="AD1024" s="10" t="s">
        <v>541</v>
      </c>
    </row>
    <row r="1025" spans="1:30" x14ac:dyDescent="0.2">
      <c r="A1025" s="110">
        <v>1024</v>
      </c>
      <c r="B1025" s="132">
        <v>41842</v>
      </c>
      <c r="C1025" s="117">
        <v>2</v>
      </c>
      <c r="D1025" s="103" t="s">
        <v>71</v>
      </c>
      <c r="E1025" s="103" t="s">
        <v>306</v>
      </c>
      <c r="H1025" s="103"/>
      <c r="I1025" s="103">
        <v>58</v>
      </c>
      <c r="K1025" s="103" t="s">
        <v>364</v>
      </c>
      <c r="L1025" s="133"/>
      <c r="M1025" s="134">
        <v>2.8472222222222222E-2</v>
      </c>
      <c r="N1025" s="137" t="s">
        <v>3186</v>
      </c>
      <c r="O1025" s="133" t="s">
        <v>803</v>
      </c>
      <c r="Q1025" s="100" t="s">
        <v>3224</v>
      </c>
      <c r="R1025" s="226" t="s">
        <v>3262</v>
      </c>
      <c r="S1025" s="491" t="str">
        <f t="shared" si="31"/>
        <v>x</v>
      </c>
      <c r="T1025" s="492" t="str">
        <f>IFERROR(VLOOKUP(F1025,'Freq-Chan'!C:D,2,FALSE),"x")</f>
        <v>x</v>
      </c>
      <c r="U1025" s="110" t="s">
        <v>541</v>
      </c>
      <c r="V1025" s="110" t="str">
        <f t="shared" si="32"/>
        <v>FWL</v>
      </c>
      <c r="W1025" s="110" t="s">
        <v>541</v>
      </c>
      <c r="X1025" s="110" t="s">
        <v>541</v>
      </c>
      <c r="Y1025" s="110" t="str">
        <f>IFERROR(VLOOKUP(F1025,'Freq-Chan'!C:E,3,FALSE),"na")</f>
        <v>na</v>
      </c>
      <c r="Z1025" s="110" t="s">
        <v>541</v>
      </c>
      <c r="AA1025" s="110" t="s">
        <v>541</v>
      </c>
      <c r="AB1025" s="110" t="s">
        <v>541</v>
      </c>
      <c r="AC1025" s="10" t="s">
        <v>541</v>
      </c>
      <c r="AD1025" s="10" t="s">
        <v>541</v>
      </c>
    </row>
    <row r="1026" spans="1:30" x14ac:dyDescent="0.2">
      <c r="A1026" s="110">
        <v>1025</v>
      </c>
      <c r="B1026" s="132">
        <v>41842</v>
      </c>
      <c r="C1026" s="117">
        <v>2</v>
      </c>
      <c r="D1026" s="103" t="s">
        <v>8</v>
      </c>
      <c r="E1026" s="103" t="s">
        <v>306</v>
      </c>
      <c r="F1026" s="103">
        <v>586</v>
      </c>
      <c r="G1026" s="103">
        <v>72</v>
      </c>
      <c r="H1026" s="103" t="s">
        <v>2131</v>
      </c>
      <c r="I1026" s="103">
        <v>49</v>
      </c>
      <c r="K1026" s="103" t="s">
        <v>364</v>
      </c>
      <c r="L1026" s="133"/>
      <c r="M1026" s="134">
        <v>4.5138888888888888E-2</v>
      </c>
      <c r="N1026" s="137" t="s">
        <v>1773</v>
      </c>
      <c r="O1026" s="133" t="s">
        <v>555</v>
      </c>
      <c r="Q1026" s="100" t="s">
        <v>3224</v>
      </c>
      <c r="R1026" s="226" t="s">
        <v>3262</v>
      </c>
      <c r="S1026" s="491" t="str">
        <f t="shared" si="31"/>
        <v>x</v>
      </c>
      <c r="T1026" s="492">
        <f>IFERROR(VLOOKUP(F1026,'Freq-Chan'!C:D,2,FALSE),"x")</f>
        <v>151.58600000000001</v>
      </c>
      <c r="U1026" s="110" t="s">
        <v>541</v>
      </c>
      <c r="V1026" s="110" t="str">
        <f t="shared" si="32"/>
        <v>FWL</v>
      </c>
      <c r="W1026" s="110" t="s">
        <v>541</v>
      </c>
      <c r="X1026" s="110" t="s">
        <v>541</v>
      </c>
      <c r="Y1026" s="110" t="str">
        <f>IFERROR(VLOOKUP(F1026,'Freq-Chan'!C:E,3,FALSE),"na")</f>
        <v>F1840</v>
      </c>
      <c r="Z1026" s="110" t="s">
        <v>541</v>
      </c>
      <c r="AA1026" s="110" t="s">
        <v>541</v>
      </c>
      <c r="AB1026" s="110" t="s">
        <v>541</v>
      </c>
      <c r="AC1026" s="10" t="s">
        <v>541</v>
      </c>
      <c r="AD1026" s="10" t="s">
        <v>541</v>
      </c>
    </row>
    <row r="1027" spans="1:30" x14ac:dyDescent="0.2">
      <c r="A1027" s="110">
        <v>1026</v>
      </c>
      <c r="B1027" s="132">
        <v>41842</v>
      </c>
      <c r="C1027" s="117">
        <v>2</v>
      </c>
      <c r="D1027" s="103" t="s">
        <v>8</v>
      </c>
      <c r="E1027" s="103" t="s">
        <v>306</v>
      </c>
      <c r="F1027" s="103">
        <v>586</v>
      </c>
      <c r="G1027" s="103">
        <v>53</v>
      </c>
      <c r="H1027" s="103" t="s">
        <v>2132</v>
      </c>
      <c r="I1027" s="103">
        <v>52</v>
      </c>
      <c r="K1027" s="103" t="s">
        <v>364</v>
      </c>
      <c r="L1027" s="133"/>
      <c r="M1027" s="134">
        <v>3.2638888888888891E-2</v>
      </c>
      <c r="N1027" s="137" t="s">
        <v>905</v>
      </c>
      <c r="O1027" s="133" t="s">
        <v>555</v>
      </c>
      <c r="Q1027" s="100" t="s">
        <v>3224</v>
      </c>
      <c r="R1027" s="226" t="s">
        <v>3262</v>
      </c>
      <c r="S1027" s="491" t="str">
        <f t="shared" ref="S1027:S1090" si="33">IF(IF(OR(L1027=0,N1027=0),"x",ROUND(N1027-L1027-(M1027*24)/(24*60),10))&lt;0,0,IF(OR(L1027=0,N1027=0),"x",ROUND(N1027-L1027-(M1027*24)/(24*60),10)))</f>
        <v>x</v>
      </c>
      <c r="T1027" s="492">
        <f>IFERROR(VLOOKUP(F1027,'Freq-Chan'!C:D,2,FALSE),"x")</f>
        <v>151.58600000000001</v>
      </c>
      <c r="U1027" s="110" t="s">
        <v>541</v>
      </c>
      <c r="V1027" s="110" t="str">
        <f t="shared" ref="V1027:V1090" si="34">IF(OR(C1027=1,C1027=2,C1027=3),"FWL","NRD")</f>
        <v>FWL</v>
      </c>
      <c r="W1027" s="110" t="s">
        <v>541</v>
      </c>
      <c r="X1027" s="110" t="s">
        <v>541</v>
      </c>
      <c r="Y1027" s="110" t="str">
        <f>IFERROR(VLOOKUP(F1027,'Freq-Chan'!C:E,3,FALSE),"na")</f>
        <v>F1840</v>
      </c>
      <c r="Z1027" s="110" t="s">
        <v>541</v>
      </c>
      <c r="AA1027" s="110" t="s">
        <v>541</v>
      </c>
      <c r="AB1027" s="110" t="s">
        <v>541</v>
      </c>
      <c r="AC1027" s="10" t="s">
        <v>541</v>
      </c>
      <c r="AD1027" s="10" t="s">
        <v>541</v>
      </c>
    </row>
    <row r="1028" spans="1:30" x14ac:dyDescent="0.2">
      <c r="A1028" s="110">
        <v>1027</v>
      </c>
      <c r="B1028" s="132">
        <v>41842</v>
      </c>
      <c r="C1028" s="117">
        <v>2</v>
      </c>
      <c r="D1028" s="103" t="s">
        <v>71</v>
      </c>
      <c r="E1028" s="103" t="s">
        <v>306</v>
      </c>
      <c r="H1028" s="103"/>
      <c r="I1028" s="103">
        <v>59</v>
      </c>
      <c r="K1028" s="103" t="s">
        <v>364</v>
      </c>
      <c r="L1028" s="133"/>
      <c r="M1028" s="134">
        <v>2.0833333333333332E-2</v>
      </c>
      <c r="N1028" s="137" t="s">
        <v>3240</v>
      </c>
      <c r="O1028" s="133" t="s">
        <v>803</v>
      </c>
      <c r="Q1028" s="100" t="s">
        <v>3224</v>
      </c>
      <c r="R1028" s="226" t="s">
        <v>3262</v>
      </c>
      <c r="S1028" s="491" t="str">
        <f t="shared" si="33"/>
        <v>x</v>
      </c>
      <c r="T1028" s="492" t="str">
        <f>IFERROR(VLOOKUP(F1028,'Freq-Chan'!C:D,2,FALSE),"x")</f>
        <v>x</v>
      </c>
      <c r="U1028" s="110" t="s">
        <v>541</v>
      </c>
      <c r="V1028" s="110" t="str">
        <f t="shared" si="34"/>
        <v>FWL</v>
      </c>
      <c r="W1028" s="110" t="s">
        <v>541</v>
      </c>
      <c r="X1028" s="110" t="s">
        <v>541</v>
      </c>
      <c r="Y1028" s="110" t="str">
        <f>IFERROR(VLOOKUP(F1028,'Freq-Chan'!C:E,3,FALSE),"na")</f>
        <v>na</v>
      </c>
      <c r="Z1028" s="110" t="s">
        <v>541</v>
      </c>
      <c r="AA1028" s="110" t="s">
        <v>541</v>
      </c>
      <c r="AB1028" s="110" t="s">
        <v>541</v>
      </c>
      <c r="AC1028" s="10" t="s">
        <v>541</v>
      </c>
      <c r="AD1028" s="10" t="s">
        <v>541</v>
      </c>
    </row>
    <row r="1029" spans="1:30" x14ac:dyDescent="0.2">
      <c r="A1029" s="110">
        <v>1028</v>
      </c>
      <c r="B1029" s="132">
        <v>41842</v>
      </c>
      <c r="C1029" s="117">
        <v>2</v>
      </c>
      <c r="D1029" s="103" t="s">
        <v>8</v>
      </c>
      <c r="E1029" s="103" t="s">
        <v>306</v>
      </c>
      <c r="F1029" s="103">
        <v>586</v>
      </c>
      <c r="G1029" s="103">
        <v>20</v>
      </c>
      <c r="H1029" s="103" t="s">
        <v>2134</v>
      </c>
      <c r="I1029" s="103">
        <v>47</v>
      </c>
      <c r="K1029" s="103" t="s">
        <v>364</v>
      </c>
      <c r="L1029" s="133"/>
      <c r="M1029" s="134">
        <v>2.9861111111111113E-2</v>
      </c>
      <c r="N1029" s="137" t="s">
        <v>3241</v>
      </c>
      <c r="O1029" s="133" t="s">
        <v>555</v>
      </c>
      <c r="Q1029" s="100" t="s">
        <v>3224</v>
      </c>
      <c r="R1029" s="226" t="s">
        <v>3262</v>
      </c>
      <c r="S1029" s="491" t="str">
        <f t="shared" si="33"/>
        <v>x</v>
      </c>
      <c r="T1029" s="492">
        <f>IFERROR(VLOOKUP(F1029,'Freq-Chan'!C:D,2,FALSE),"x")</f>
        <v>151.58600000000001</v>
      </c>
      <c r="U1029" s="110" t="s">
        <v>541</v>
      </c>
      <c r="V1029" s="110" t="str">
        <f t="shared" si="34"/>
        <v>FWL</v>
      </c>
      <c r="W1029" s="110" t="s">
        <v>541</v>
      </c>
      <c r="X1029" s="110" t="s">
        <v>541</v>
      </c>
      <c r="Y1029" s="110" t="str">
        <f>IFERROR(VLOOKUP(F1029,'Freq-Chan'!C:E,3,FALSE),"na")</f>
        <v>F1840</v>
      </c>
      <c r="Z1029" s="110" t="s">
        <v>541</v>
      </c>
      <c r="AA1029" s="110" t="s">
        <v>541</v>
      </c>
      <c r="AB1029" s="110" t="s">
        <v>541</v>
      </c>
      <c r="AC1029" s="10" t="s">
        <v>541</v>
      </c>
      <c r="AD1029" s="10" t="s">
        <v>541</v>
      </c>
    </row>
    <row r="1030" spans="1:30" x14ac:dyDescent="0.2">
      <c r="A1030" s="110">
        <v>1029</v>
      </c>
      <c r="B1030" s="132">
        <v>41842</v>
      </c>
      <c r="C1030" s="117">
        <v>2</v>
      </c>
      <c r="D1030" s="103" t="s">
        <v>8</v>
      </c>
      <c r="E1030" s="103" t="s">
        <v>306</v>
      </c>
      <c r="F1030" s="103">
        <v>573</v>
      </c>
      <c r="G1030" s="103">
        <v>17</v>
      </c>
      <c r="H1030" s="103" t="s">
        <v>2135</v>
      </c>
      <c r="I1030" s="103">
        <v>55</v>
      </c>
      <c r="K1030" s="103" t="s">
        <v>364</v>
      </c>
      <c r="L1030" s="133"/>
      <c r="M1030" s="134">
        <v>3.6111111111111115E-2</v>
      </c>
      <c r="N1030" s="137" t="s">
        <v>3242</v>
      </c>
      <c r="O1030" s="133" t="s">
        <v>555</v>
      </c>
      <c r="Q1030" s="100" t="s">
        <v>3224</v>
      </c>
      <c r="R1030" s="226" t="s">
        <v>3262</v>
      </c>
      <c r="S1030" s="491" t="str">
        <f t="shared" si="33"/>
        <v>x</v>
      </c>
      <c r="T1030" s="492">
        <f>IFERROR(VLOOKUP(F1030,'Freq-Chan'!C:D,2,FALSE),"x")</f>
        <v>151.57300000000001</v>
      </c>
      <c r="U1030" s="110" t="s">
        <v>541</v>
      </c>
      <c r="V1030" s="110" t="str">
        <f t="shared" si="34"/>
        <v>FWL</v>
      </c>
      <c r="W1030" s="110" t="s">
        <v>541</v>
      </c>
      <c r="X1030" s="110" t="s">
        <v>541</v>
      </c>
      <c r="Y1030" s="110" t="str">
        <f>IFERROR(VLOOKUP(F1030,'Freq-Chan'!C:E,3,FALSE),"na")</f>
        <v>F1840</v>
      </c>
      <c r="Z1030" s="110" t="s">
        <v>541</v>
      </c>
      <c r="AA1030" s="110" t="s">
        <v>541</v>
      </c>
      <c r="AB1030" s="110" t="s">
        <v>541</v>
      </c>
      <c r="AC1030" s="10" t="s">
        <v>541</v>
      </c>
      <c r="AD1030" s="10" t="s">
        <v>541</v>
      </c>
    </row>
    <row r="1031" spans="1:30" s="291" customFormat="1" x14ac:dyDescent="0.2">
      <c r="A1031" s="493">
        <v>1030</v>
      </c>
      <c r="B1031" s="283">
        <v>41842</v>
      </c>
      <c r="C1031" s="284">
        <v>2</v>
      </c>
      <c r="D1031" s="285" t="s">
        <v>8</v>
      </c>
      <c r="E1031" s="285" t="s">
        <v>306</v>
      </c>
      <c r="F1031" s="285">
        <v>573</v>
      </c>
      <c r="G1031" s="285">
        <v>54</v>
      </c>
      <c r="H1031" s="285" t="s">
        <v>2136</v>
      </c>
      <c r="I1031" s="285">
        <v>56</v>
      </c>
      <c r="J1031" s="285"/>
      <c r="K1031" s="285" t="s">
        <v>364</v>
      </c>
      <c r="L1031" s="286"/>
      <c r="M1031" s="287">
        <v>4.0972222222222222E-2</v>
      </c>
      <c r="N1031" s="339" t="s">
        <v>1852</v>
      </c>
      <c r="O1031" s="286" t="s">
        <v>555</v>
      </c>
      <c r="P1031" s="289"/>
      <c r="Q1031" s="289" t="s">
        <v>3224</v>
      </c>
      <c r="R1031" s="290" t="s">
        <v>3262</v>
      </c>
      <c r="S1031" s="494" t="str">
        <f t="shared" si="33"/>
        <v>x</v>
      </c>
      <c r="T1031" s="495">
        <f>IFERROR(VLOOKUP(F1031,'Freq-Chan'!C:D,2,FALSE),"x")</f>
        <v>151.57300000000001</v>
      </c>
      <c r="U1031" s="493" t="s">
        <v>541</v>
      </c>
      <c r="V1031" s="493" t="str">
        <f t="shared" si="34"/>
        <v>FWL</v>
      </c>
      <c r="W1031" s="493" t="s">
        <v>541</v>
      </c>
      <c r="X1031" s="493" t="s">
        <v>541</v>
      </c>
      <c r="Y1031" s="493" t="str">
        <f>IFERROR(VLOOKUP(F1031,'Freq-Chan'!C:E,3,FALSE),"na")</f>
        <v>F1840</v>
      </c>
      <c r="Z1031" s="493" t="s">
        <v>541</v>
      </c>
      <c r="AA1031" s="493" t="s">
        <v>541</v>
      </c>
      <c r="AB1031" s="493" t="s">
        <v>541</v>
      </c>
      <c r="AC1031" s="291" t="s">
        <v>541</v>
      </c>
      <c r="AD1031" s="291" t="s">
        <v>541</v>
      </c>
    </row>
    <row r="1032" spans="1:30" x14ac:dyDescent="0.2">
      <c r="A1032" s="110">
        <v>1031</v>
      </c>
      <c r="B1032" s="132">
        <v>41842</v>
      </c>
      <c r="C1032" s="117">
        <v>3</v>
      </c>
      <c r="D1032" s="103" t="s">
        <v>70</v>
      </c>
      <c r="E1032" s="103" t="s">
        <v>306</v>
      </c>
      <c r="F1032" s="103">
        <v>515</v>
      </c>
      <c r="G1032" s="103">
        <v>65</v>
      </c>
      <c r="H1032" s="137" t="s">
        <v>3152</v>
      </c>
      <c r="I1032" s="103">
        <v>46</v>
      </c>
      <c r="K1032" s="103" t="s">
        <v>364</v>
      </c>
      <c r="L1032" s="133">
        <v>0.37777777777777777</v>
      </c>
      <c r="M1032" s="134">
        <v>5.8333333333333327E-2</v>
      </c>
      <c r="N1032" s="137" t="s">
        <v>3243</v>
      </c>
      <c r="O1032" s="133" t="s">
        <v>555</v>
      </c>
      <c r="Q1032" s="100" t="s">
        <v>3224</v>
      </c>
      <c r="R1032" s="226" t="s">
        <v>3262</v>
      </c>
      <c r="S1032" s="491">
        <f t="shared" si="33"/>
        <v>1.8055555999999999E-3</v>
      </c>
      <c r="T1032" s="492">
        <f>IFERROR(VLOOKUP(F1032,'Freq-Chan'!C:D,2,FALSE),"x")</f>
        <v>151.51499999999999</v>
      </c>
      <c r="U1032" s="110" t="s">
        <v>541</v>
      </c>
      <c r="V1032" s="110" t="str">
        <f t="shared" si="34"/>
        <v>FWL</v>
      </c>
      <c r="W1032" s="110" t="s">
        <v>541</v>
      </c>
      <c r="X1032" s="110" t="s">
        <v>541</v>
      </c>
      <c r="Y1032" s="110" t="str">
        <f>IFERROR(VLOOKUP(F1032,'Freq-Chan'!C:E,3,FALSE),"na")</f>
        <v>F1835</v>
      </c>
      <c r="Z1032" s="110" t="s">
        <v>541</v>
      </c>
      <c r="AA1032" s="110" t="s">
        <v>541</v>
      </c>
      <c r="AB1032" s="110" t="s">
        <v>541</v>
      </c>
      <c r="AC1032" s="10" t="s">
        <v>541</v>
      </c>
      <c r="AD1032" s="10" t="s">
        <v>541</v>
      </c>
    </row>
    <row r="1033" spans="1:30" x14ac:dyDescent="0.2">
      <c r="A1033" s="110">
        <v>1032</v>
      </c>
      <c r="B1033" s="132">
        <v>41842</v>
      </c>
      <c r="C1033" s="117">
        <v>3</v>
      </c>
      <c r="D1033" s="103" t="s">
        <v>70</v>
      </c>
      <c r="E1033" s="103" t="s">
        <v>306</v>
      </c>
      <c r="F1033" s="103">
        <v>515</v>
      </c>
      <c r="G1033" s="103">
        <v>29</v>
      </c>
      <c r="H1033" s="137" t="s">
        <v>3153</v>
      </c>
      <c r="I1033" s="103">
        <v>42</v>
      </c>
      <c r="K1033" s="103" t="s">
        <v>365</v>
      </c>
      <c r="L1033" s="133">
        <v>0.37777777777777777</v>
      </c>
      <c r="M1033" s="134">
        <v>4.9999999999999996E-2</v>
      </c>
      <c r="N1033" s="137" t="s">
        <v>3253</v>
      </c>
      <c r="O1033" s="133" t="s">
        <v>555</v>
      </c>
      <c r="Q1033" s="100" t="s">
        <v>3224</v>
      </c>
      <c r="R1033" s="226" t="s">
        <v>3262</v>
      </c>
      <c r="S1033" s="491">
        <f t="shared" si="33"/>
        <v>6.8055555999999998E-3</v>
      </c>
      <c r="T1033" s="492">
        <f>IFERROR(VLOOKUP(F1033,'Freq-Chan'!C:D,2,FALSE),"x")</f>
        <v>151.51499999999999</v>
      </c>
      <c r="U1033" s="110" t="s">
        <v>541</v>
      </c>
      <c r="V1033" s="110" t="str">
        <f t="shared" si="34"/>
        <v>FWL</v>
      </c>
      <c r="W1033" s="110" t="s">
        <v>541</v>
      </c>
      <c r="X1033" s="110" t="s">
        <v>541</v>
      </c>
      <c r="Y1033" s="110" t="str">
        <f>IFERROR(VLOOKUP(F1033,'Freq-Chan'!C:E,3,FALSE),"na")</f>
        <v>F1835</v>
      </c>
      <c r="Z1033" s="110" t="s">
        <v>541</v>
      </c>
      <c r="AA1033" s="110" t="s">
        <v>541</v>
      </c>
      <c r="AB1033" s="110" t="s">
        <v>541</v>
      </c>
      <c r="AC1033" s="10" t="s">
        <v>541</v>
      </c>
      <c r="AD1033" s="10" t="s">
        <v>541</v>
      </c>
    </row>
    <row r="1034" spans="1:30" x14ac:dyDescent="0.2">
      <c r="A1034" s="110">
        <v>1033</v>
      </c>
      <c r="B1034" s="132">
        <v>41842</v>
      </c>
      <c r="C1034" s="117">
        <v>3</v>
      </c>
      <c r="D1034" s="103" t="s">
        <v>70</v>
      </c>
      <c r="E1034" s="103" t="s">
        <v>306</v>
      </c>
      <c r="H1034" s="103"/>
      <c r="I1034" s="103">
        <v>45</v>
      </c>
      <c r="K1034" s="103" t="s">
        <v>1032</v>
      </c>
      <c r="L1034" s="133">
        <v>0.39652777777777781</v>
      </c>
      <c r="M1034" s="134">
        <v>2.013888888888889E-2</v>
      </c>
      <c r="N1034" s="137" t="s">
        <v>3244</v>
      </c>
      <c r="O1034" s="133" t="s">
        <v>803</v>
      </c>
      <c r="Q1034" s="100" t="s">
        <v>3224</v>
      </c>
      <c r="R1034" s="226" t="s">
        <v>3262</v>
      </c>
      <c r="S1034" s="491">
        <f t="shared" si="33"/>
        <v>2.4421296000000001E-3</v>
      </c>
      <c r="T1034" s="492" t="str">
        <f>IFERROR(VLOOKUP(F1034,'Freq-Chan'!C:D,2,FALSE),"x")</f>
        <v>x</v>
      </c>
      <c r="U1034" s="110" t="s">
        <v>541</v>
      </c>
      <c r="V1034" s="110" t="str">
        <f t="shared" si="34"/>
        <v>FWL</v>
      </c>
      <c r="W1034" s="110" t="s">
        <v>541</v>
      </c>
      <c r="X1034" s="110" t="s">
        <v>541</v>
      </c>
      <c r="Y1034" s="110" t="str">
        <f>IFERROR(VLOOKUP(F1034,'Freq-Chan'!C:E,3,FALSE),"na")</f>
        <v>na</v>
      </c>
      <c r="Z1034" s="110" t="s">
        <v>541</v>
      </c>
      <c r="AA1034" s="110" t="s">
        <v>541</v>
      </c>
      <c r="AB1034" s="110" t="s">
        <v>541</v>
      </c>
      <c r="AC1034" s="10" t="s">
        <v>541</v>
      </c>
      <c r="AD1034" s="10" t="s">
        <v>541</v>
      </c>
    </row>
    <row r="1035" spans="1:30" x14ac:dyDescent="0.2">
      <c r="A1035" s="110">
        <v>1034</v>
      </c>
      <c r="B1035" s="132">
        <v>41842</v>
      </c>
      <c r="C1035" s="117">
        <v>3</v>
      </c>
      <c r="D1035" s="103" t="s">
        <v>2</v>
      </c>
      <c r="E1035" s="103" t="s">
        <v>306</v>
      </c>
      <c r="H1035" s="103"/>
      <c r="I1035" s="103">
        <v>71</v>
      </c>
      <c r="K1035" s="103" t="s">
        <v>1032</v>
      </c>
      <c r="L1035" s="133"/>
      <c r="M1035" s="134">
        <v>7.7083333333333337E-2</v>
      </c>
      <c r="N1035" s="137" t="s">
        <v>3245</v>
      </c>
      <c r="O1035" s="133" t="s">
        <v>555</v>
      </c>
      <c r="P1035" s="100" t="s">
        <v>3267</v>
      </c>
      <c r="Q1035" s="100" t="s">
        <v>3224</v>
      </c>
      <c r="R1035" s="226" t="s">
        <v>3262</v>
      </c>
      <c r="S1035" s="491" t="str">
        <f t="shared" si="33"/>
        <v>x</v>
      </c>
      <c r="T1035" s="492" t="str">
        <f>IFERROR(VLOOKUP(F1035,'Freq-Chan'!C:D,2,FALSE),"x")</f>
        <v>x</v>
      </c>
      <c r="U1035" s="110" t="s">
        <v>541</v>
      </c>
      <c r="V1035" s="110" t="str">
        <f t="shared" si="34"/>
        <v>FWL</v>
      </c>
      <c r="W1035" s="110" t="s">
        <v>541</v>
      </c>
      <c r="X1035" s="110" t="s">
        <v>541</v>
      </c>
      <c r="Y1035" s="110" t="str">
        <f>IFERROR(VLOOKUP(F1035,'Freq-Chan'!C:E,3,FALSE),"na")</f>
        <v>na</v>
      </c>
      <c r="Z1035" s="110" t="s">
        <v>541</v>
      </c>
      <c r="AA1035" s="110" t="s">
        <v>541</v>
      </c>
      <c r="AB1035" s="110" t="s">
        <v>541</v>
      </c>
      <c r="AC1035" s="10" t="s">
        <v>541</v>
      </c>
      <c r="AD1035" s="10" t="s">
        <v>541</v>
      </c>
    </row>
    <row r="1036" spans="1:30" x14ac:dyDescent="0.2">
      <c r="A1036" s="110">
        <v>1035</v>
      </c>
      <c r="B1036" s="132">
        <v>41842</v>
      </c>
      <c r="C1036" s="117">
        <v>3</v>
      </c>
      <c r="D1036" s="103" t="s">
        <v>70</v>
      </c>
      <c r="E1036" s="103" t="s">
        <v>306</v>
      </c>
      <c r="H1036" s="103"/>
      <c r="I1036" s="103">
        <v>46</v>
      </c>
      <c r="K1036" s="103" t="s">
        <v>365</v>
      </c>
      <c r="L1036" s="133"/>
      <c r="M1036" s="134">
        <v>1.8749999999999999E-2</v>
      </c>
      <c r="N1036" s="137" t="s">
        <v>2018</v>
      </c>
      <c r="O1036" s="133" t="s">
        <v>803</v>
      </c>
      <c r="Q1036" s="100" t="s">
        <v>3224</v>
      </c>
      <c r="R1036" s="226" t="s">
        <v>3262</v>
      </c>
      <c r="S1036" s="491" t="str">
        <f t="shared" si="33"/>
        <v>x</v>
      </c>
      <c r="T1036" s="492" t="str">
        <f>IFERROR(VLOOKUP(F1036,'Freq-Chan'!C:D,2,FALSE),"x")</f>
        <v>x</v>
      </c>
      <c r="U1036" s="110" t="s">
        <v>541</v>
      </c>
      <c r="V1036" s="110" t="str">
        <f t="shared" si="34"/>
        <v>FWL</v>
      </c>
      <c r="W1036" s="110" t="s">
        <v>541</v>
      </c>
      <c r="X1036" s="110" t="s">
        <v>541</v>
      </c>
      <c r="Y1036" s="110" t="str">
        <f>IFERROR(VLOOKUP(F1036,'Freq-Chan'!C:E,3,FALSE),"na")</f>
        <v>na</v>
      </c>
      <c r="Z1036" s="110" t="s">
        <v>541</v>
      </c>
      <c r="AA1036" s="110" t="s">
        <v>541</v>
      </c>
      <c r="AB1036" s="110" t="s">
        <v>541</v>
      </c>
      <c r="AC1036" s="10" t="s">
        <v>541</v>
      </c>
      <c r="AD1036" s="10" t="s">
        <v>541</v>
      </c>
    </row>
    <row r="1037" spans="1:30" x14ac:dyDescent="0.2">
      <c r="A1037" s="110">
        <v>1036</v>
      </c>
      <c r="B1037" s="132">
        <v>41842</v>
      </c>
      <c r="C1037" s="117">
        <v>3</v>
      </c>
      <c r="D1037" s="103" t="s">
        <v>75</v>
      </c>
      <c r="E1037" s="103" t="s">
        <v>798</v>
      </c>
      <c r="H1037" s="103"/>
      <c r="J1037" s="103">
        <v>23</v>
      </c>
      <c r="K1037" s="103" t="s">
        <v>364</v>
      </c>
      <c r="L1037" s="133">
        <v>0.5708333333333333</v>
      </c>
      <c r="M1037" s="134">
        <v>1.3888888888888888E-2</v>
      </c>
      <c r="N1037" s="137" t="s">
        <v>3246</v>
      </c>
      <c r="O1037" s="133" t="s">
        <v>555</v>
      </c>
      <c r="Q1037" s="100" t="s">
        <v>3224</v>
      </c>
      <c r="R1037" s="226" t="s">
        <v>3262</v>
      </c>
      <c r="S1037" s="491">
        <f t="shared" si="33"/>
        <v>6.0185185000000002E-3</v>
      </c>
      <c r="T1037" s="492" t="str">
        <f>IFERROR(VLOOKUP(F1037,'Freq-Chan'!C:D,2,FALSE),"x")</f>
        <v>x</v>
      </c>
      <c r="U1037" s="110" t="s">
        <v>541</v>
      </c>
      <c r="V1037" s="110" t="str">
        <f t="shared" si="34"/>
        <v>FWL</v>
      </c>
      <c r="W1037" s="110" t="s">
        <v>541</v>
      </c>
      <c r="X1037" s="110" t="s">
        <v>541</v>
      </c>
      <c r="Y1037" s="110" t="str">
        <f>IFERROR(VLOOKUP(F1037,'Freq-Chan'!C:E,3,FALSE),"na")</f>
        <v>na</v>
      </c>
      <c r="Z1037" s="110" t="s">
        <v>541</v>
      </c>
      <c r="AA1037" s="110" t="s">
        <v>541</v>
      </c>
      <c r="AB1037" s="110" t="s">
        <v>541</v>
      </c>
      <c r="AC1037" s="10" t="s">
        <v>541</v>
      </c>
      <c r="AD1037" s="10" t="s">
        <v>541</v>
      </c>
    </row>
    <row r="1038" spans="1:30" x14ac:dyDescent="0.2">
      <c r="A1038" s="110">
        <v>1037</v>
      </c>
      <c r="B1038" s="132">
        <v>41842</v>
      </c>
      <c r="C1038" s="117">
        <v>3</v>
      </c>
      <c r="D1038" s="103" t="s">
        <v>71</v>
      </c>
      <c r="E1038" s="103" t="s">
        <v>306</v>
      </c>
      <c r="H1038" s="103"/>
      <c r="I1038" s="103">
        <v>54</v>
      </c>
      <c r="K1038" s="103" t="s">
        <v>364</v>
      </c>
      <c r="L1038" s="133"/>
      <c r="M1038" s="134">
        <v>1.3888888888888888E-2</v>
      </c>
      <c r="N1038" s="137" t="s">
        <v>2939</v>
      </c>
      <c r="O1038" s="133" t="s">
        <v>1663</v>
      </c>
      <c r="P1038" s="100" t="s">
        <v>3247</v>
      </c>
      <c r="Q1038" s="100" t="s">
        <v>3223</v>
      </c>
      <c r="R1038" s="226" t="s">
        <v>3262</v>
      </c>
      <c r="S1038" s="491" t="str">
        <f t="shared" si="33"/>
        <v>x</v>
      </c>
      <c r="T1038" s="492" t="str">
        <f>IFERROR(VLOOKUP(F1038,'Freq-Chan'!C:D,2,FALSE),"x")</f>
        <v>x</v>
      </c>
      <c r="U1038" s="110" t="s">
        <v>541</v>
      </c>
      <c r="V1038" s="110" t="str">
        <f t="shared" si="34"/>
        <v>FWL</v>
      </c>
      <c r="W1038" s="110" t="s">
        <v>541</v>
      </c>
      <c r="X1038" s="110" t="s">
        <v>541</v>
      </c>
      <c r="Y1038" s="110" t="str">
        <f>IFERROR(VLOOKUP(F1038,'Freq-Chan'!C:E,3,FALSE),"na")</f>
        <v>na</v>
      </c>
      <c r="Z1038" s="110" t="s">
        <v>541</v>
      </c>
      <c r="AA1038" s="110" t="s">
        <v>541</v>
      </c>
      <c r="AB1038" s="110" t="s">
        <v>541</v>
      </c>
      <c r="AC1038" s="10" t="s">
        <v>541</v>
      </c>
      <c r="AD1038" s="10" t="s">
        <v>541</v>
      </c>
    </row>
    <row r="1039" spans="1:30" x14ac:dyDescent="0.2">
      <c r="A1039" s="110">
        <v>1038</v>
      </c>
      <c r="B1039" s="132">
        <v>41842</v>
      </c>
      <c r="C1039" s="117">
        <v>3</v>
      </c>
      <c r="D1039" s="103" t="s">
        <v>70</v>
      </c>
      <c r="E1039" s="103" t="s">
        <v>306</v>
      </c>
      <c r="H1039" s="103"/>
      <c r="I1039" s="103">
        <v>46</v>
      </c>
      <c r="K1039" s="103" t="s">
        <v>1032</v>
      </c>
      <c r="L1039" s="133"/>
      <c r="M1039" s="134">
        <v>1.3888888888888888E-2</v>
      </c>
      <c r="N1039" s="137" t="s">
        <v>2600</v>
      </c>
      <c r="O1039" s="133" t="s">
        <v>804</v>
      </c>
      <c r="P1039" s="100" t="s">
        <v>3247</v>
      </c>
      <c r="Q1039" s="100" t="s">
        <v>3223</v>
      </c>
      <c r="R1039" s="226" t="s">
        <v>3262</v>
      </c>
      <c r="S1039" s="491" t="str">
        <f t="shared" si="33"/>
        <v>x</v>
      </c>
      <c r="T1039" s="492" t="str">
        <f>IFERROR(VLOOKUP(F1039,'Freq-Chan'!C:D,2,FALSE),"x")</f>
        <v>x</v>
      </c>
      <c r="U1039" s="110" t="s">
        <v>541</v>
      </c>
      <c r="V1039" s="110" t="str">
        <f t="shared" si="34"/>
        <v>FWL</v>
      </c>
      <c r="W1039" s="110" t="s">
        <v>541</v>
      </c>
      <c r="X1039" s="110" t="s">
        <v>541</v>
      </c>
      <c r="Y1039" s="110" t="str">
        <f>IFERROR(VLOOKUP(F1039,'Freq-Chan'!C:E,3,FALSE),"na")</f>
        <v>na</v>
      </c>
      <c r="Z1039" s="110" t="s">
        <v>541</v>
      </c>
      <c r="AA1039" s="110" t="s">
        <v>541</v>
      </c>
      <c r="AB1039" s="110" t="s">
        <v>541</v>
      </c>
      <c r="AC1039" s="10" t="s">
        <v>541</v>
      </c>
      <c r="AD1039" s="10" t="s">
        <v>541</v>
      </c>
    </row>
    <row r="1040" spans="1:30" x14ac:dyDescent="0.2">
      <c r="A1040" s="110">
        <v>1039</v>
      </c>
      <c r="B1040" s="132">
        <v>41842</v>
      </c>
      <c r="C1040" s="117">
        <v>3</v>
      </c>
      <c r="D1040" s="103" t="s">
        <v>70</v>
      </c>
      <c r="E1040" s="103" t="s">
        <v>306</v>
      </c>
      <c r="H1040" s="103"/>
      <c r="I1040" s="103">
        <v>50</v>
      </c>
      <c r="K1040" s="103" t="s">
        <v>365</v>
      </c>
      <c r="L1040" s="133"/>
      <c r="M1040" s="134">
        <v>6.9444444444444441E-3</v>
      </c>
      <c r="N1040" s="137" t="s">
        <v>1664</v>
      </c>
      <c r="O1040" s="133" t="s">
        <v>804</v>
      </c>
      <c r="Q1040" s="100" t="s">
        <v>3223</v>
      </c>
      <c r="R1040" s="226" t="s">
        <v>3262</v>
      </c>
      <c r="S1040" s="491" t="str">
        <f t="shared" si="33"/>
        <v>x</v>
      </c>
      <c r="T1040" s="492" t="str">
        <f>IFERROR(VLOOKUP(F1040,'Freq-Chan'!C:D,2,FALSE),"x")</f>
        <v>x</v>
      </c>
      <c r="U1040" s="110" t="s">
        <v>541</v>
      </c>
      <c r="V1040" s="110" t="str">
        <f t="shared" si="34"/>
        <v>FWL</v>
      </c>
      <c r="W1040" s="110" t="s">
        <v>541</v>
      </c>
      <c r="X1040" s="110" t="s">
        <v>541</v>
      </c>
      <c r="Y1040" s="110" t="str">
        <f>IFERROR(VLOOKUP(F1040,'Freq-Chan'!C:E,3,FALSE),"na")</f>
        <v>na</v>
      </c>
      <c r="Z1040" s="110" t="s">
        <v>541</v>
      </c>
      <c r="AA1040" s="110" t="s">
        <v>541</v>
      </c>
      <c r="AB1040" s="110" t="s">
        <v>541</v>
      </c>
      <c r="AC1040" s="10" t="s">
        <v>541</v>
      </c>
      <c r="AD1040" s="10" t="s">
        <v>541</v>
      </c>
    </row>
    <row r="1041" spans="1:30" x14ac:dyDescent="0.2">
      <c r="A1041" s="110">
        <v>1040</v>
      </c>
      <c r="B1041" s="132">
        <v>41842</v>
      </c>
      <c r="C1041" s="117">
        <v>3</v>
      </c>
      <c r="D1041" s="103" t="s">
        <v>70</v>
      </c>
      <c r="E1041" s="103" t="s">
        <v>306</v>
      </c>
      <c r="H1041" s="103"/>
      <c r="I1041" s="103">
        <v>43</v>
      </c>
      <c r="K1041" s="103" t="s">
        <v>1032</v>
      </c>
      <c r="L1041" s="133"/>
      <c r="M1041" s="134">
        <v>1.0416666666666666E-2</v>
      </c>
      <c r="N1041" s="137" t="s">
        <v>3248</v>
      </c>
      <c r="O1041" s="133" t="s">
        <v>804</v>
      </c>
      <c r="Q1041" s="100" t="s">
        <v>3223</v>
      </c>
      <c r="R1041" s="226" t="s">
        <v>3262</v>
      </c>
      <c r="S1041" s="491" t="str">
        <f t="shared" si="33"/>
        <v>x</v>
      </c>
      <c r="T1041" s="492" t="str">
        <f>IFERROR(VLOOKUP(F1041,'Freq-Chan'!C:D,2,FALSE),"x")</f>
        <v>x</v>
      </c>
      <c r="U1041" s="110" t="s">
        <v>541</v>
      </c>
      <c r="V1041" s="110" t="str">
        <f t="shared" si="34"/>
        <v>FWL</v>
      </c>
      <c r="W1041" s="110" t="s">
        <v>541</v>
      </c>
      <c r="X1041" s="110" t="s">
        <v>541</v>
      </c>
      <c r="Y1041" s="110" t="str">
        <f>IFERROR(VLOOKUP(F1041,'Freq-Chan'!C:E,3,FALSE),"na")</f>
        <v>na</v>
      </c>
      <c r="Z1041" s="110" t="s">
        <v>541</v>
      </c>
      <c r="AA1041" s="110" t="s">
        <v>541</v>
      </c>
      <c r="AB1041" s="110" t="s">
        <v>541</v>
      </c>
      <c r="AC1041" s="10" t="s">
        <v>541</v>
      </c>
      <c r="AD1041" s="10" t="s">
        <v>541</v>
      </c>
    </row>
    <row r="1042" spans="1:30" x14ac:dyDescent="0.2">
      <c r="A1042" s="110">
        <v>1041</v>
      </c>
      <c r="B1042" s="132">
        <v>41842</v>
      </c>
      <c r="C1042" s="117">
        <v>3</v>
      </c>
      <c r="D1042" s="103" t="s">
        <v>70</v>
      </c>
      <c r="E1042" s="103" t="s">
        <v>306</v>
      </c>
      <c r="H1042" s="103"/>
      <c r="I1042" s="103">
        <v>45</v>
      </c>
      <c r="K1042" s="103" t="s">
        <v>1032</v>
      </c>
      <c r="L1042" s="133"/>
      <c r="M1042" s="134">
        <v>1.0416666666666666E-2</v>
      </c>
      <c r="N1042" s="137" t="s">
        <v>3249</v>
      </c>
      <c r="O1042" s="133" t="s">
        <v>1663</v>
      </c>
      <c r="Q1042" s="100" t="s">
        <v>3223</v>
      </c>
      <c r="R1042" s="226" t="s">
        <v>3262</v>
      </c>
      <c r="S1042" s="491" t="str">
        <f t="shared" si="33"/>
        <v>x</v>
      </c>
      <c r="T1042" s="492" t="str">
        <f>IFERROR(VLOOKUP(F1042,'Freq-Chan'!C:D,2,FALSE),"x")</f>
        <v>x</v>
      </c>
      <c r="U1042" s="110" t="s">
        <v>541</v>
      </c>
      <c r="V1042" s="110" t="str">
        <f t="shared" si="34"/>
        <v>FWL</v>
      </c>
      <c r="W1042" s="110" t="s">
        <v>541</v>
      </c>
      <c r="X1042" s="110" t="s">
        <v>541</v>
      </c>
      <c r="Y1042" s="110" t="str">
        <f>IFERROR(VLOOKUP(F1042,'Freq-Chan'!C:E,3,FALSE),"na")</f>
        <v>na</v>
      </c>
      <c r="Z1042" s="110" t="s">
        <v>541</v>
      </c>
      <c r="AA1042" s="110" t="s">
        <v>541</v>
      </c>
      <c r="AB1042" s="110" t="s">
        <v>541</v>
      </c>
      <c r="AC1042" s="10" t="s">
        <v>541</v>
      </c>
      <c r="AD1042" s="10" t="s">
        <v>541</v>
      </c>
    </row>
    <row r="1043" spans="1:30" x14ac:dyDescent="0.2">
      <c r="A1043" s="110">
        <v>1042</v>
      </c>
      <c r="B1043" s="132">
        <v>41842</v>
      </c>
      <c r="C1043" s="117">
        <v>3</v>
      </c>
      <c r="D1043" s="103" t="s">
        <v>70</v>
      </c>
      <c r="E1043" s="103" t="s">
        <v>306</v>
      </c>
      <c r="H1043" s="103"/>
      <c r="I1043" s="103">
        <v>44</v>
      </c>
      <c r="K1043" s="103" t="s">
        <v>1032</v>
      </c>
      <c r="L1043" s="133"/>
      <c r="M1043" s="134">
        <v>1.5972222222222224E-2</v>
      </c>
      <c r="N1043" s="137" t="s">
        <v>3250</v>
      </c>
      <c r="O1043" s="133" t="s">
        <v>1663</v>
      </c>
      <c r="Q1043" s="100" t="s">
        <v>3223</v>
      </c>
      <c r="R1043" s="226" t="s">
        <v>3262</v>
      </c>
      <c r="S1043" s="491" t="str">
        <f t="shared" si="33"/>
        <v>x</v>
      </c>
      <c r="T1043" s="492" t="str">
        <f>IFERROR(VLOOKUP(F1043,'Freq-Chan'!C:D,2,FALSE),"x")</f>
        <v>x</v>
      </c>
      <c r="U1043" s="110" t="s">
        <v>541</v>
      </c>
      <c r="V1043" s="110" t="str">
        <f t="shared" si="34"/>
        <v>FWL</v>
      </c>
      <c r="W1043" s="110" t="s">
        <v>541</v>
      </c>
      <c r="X1043" s="110" t="s">
        <v>541</v>
      </c>
      <c r="Y1043" s="110" t="str">
        <f>IFERROR(VLOOKUP(F1043,'Freq-Chan'!C:E,3,FALSE),"na")</f>
        <v>na</v>
      </c>
      <c r="Z1043" s="110" t="s">
        <v>541</v>
      </c>
      <c r="AA1043" s="110" t="s">
        <v>541</v>
      </c>
      <c r="AB1043" s="110" t="s">
        <v>541</v>
      </c>
      <c r="AC1043" s="10" t="s">
        <v>541</v>
      </c>
      <c r="AD1043" s="10" t="s">
        <v>541</v>
      </c>
    </row>
    <row r="1044" spans="1:30" x14ac:dyDescent="0.2">
      <c r="A1044" s="110">
        <v>1043</v>
      </c>
      <c r="B1044" s="132">
        <v>41842</v>
      </c>
      <c r="C1044" s="117">
        <v>3</v>
      </c>
      <c r="D1044" s="103" t="s">
        <v>70</v>
      </c>
      <c r="E1044" s="103" t="s">
        <v>306</v>
      </c>
      <c r="H1044" s="103"/>
      <c r="I1044" s="103">
        <v>46</v>
      </c>
      <c r="K1044" s="103" t="s">
        <v>365</v>
      </c>
      <c r="L1044" s="133"/>
      <c r="M1044" s="134">
        <v>1.0416666666666666E-2</v>
      </c>
      <c r="N1044" s="137" t="s">
        <v>3251</v>
      </c>
      <c r="O1044" s="133" t="s">
        <v>1663</v>
      </c>
      <c r="Q1044" s="100" t="s">
        <v>3223</v>
      </c>
      <c r="R1044" s="226" t="s">
        <v>3262</v>
      </c>
      <c r="S1044" s="491" t="str">
        <f t="shared" si="33"/>
        <v>x</v>
      </c>
      <c r="T1044" s="492" t="str">
        <f>IFERROR(VLOOKUP(F1044,'Freq-Chan'!C:D,2,FALSE),"x")</f>
        <v>x</v>
      </c>
      <c r="U1044" s="110" t="s">
        <v>541</v>
      </c>
      <c r="V1044" s="110" t="str">
        <f t="shared" si="34"/>
        <v>FWL</v>
      </c>
      <c r="W1044" s="110" t="s">
        <v>541</v>
      </c>
      <c r="X1044" s="110" t="s">
        <v>541</v>
      </c>
      <c r="Y1044" s="110" t="str">
        <f>IFERROR(VLOOKUP(F1044,'Freq-Chan'!C:E,3,FALSE),"na")</f>
        <v>na</v>
      </c>
      <c r="Z1044" s="110" t="s">
        <v>541</v>
      </c>
      <c r="AA1044" s="110" t="s">
        <v>541</v>
      </c>
      <c r="AB1044" s="110" t="s">
        <v>541</v>
      </c>
      <c r="AC1044" s="10" t="s">
        <v>541</v>
      </c>
      <c r="AD1044" s="10" t="s">
        <v>541</v>
      </c>
    </row>
    <row r="1045" spans="1:30" x14ac:dyDescent="0.2">
      <c r="A1045" s="110">
        <v>1044</v>
      </c>
      <c r="B1045" s="132">
        <v>41842</v>
      </c>
      <c r="C1045" s="117">
        <v>3</v>
      </c>
      <c r="D1045" s="103" t="s">
        <v>88</v>
      </c>
      <c r="E1045" s="103" t="s">
        <v>798</v>
      </c>
      <c r="H1045" s="103"/>
      <c r="J1045" s="103">
        <v>19</v>
      </c>
      <c r="K1045" s="103" t="s">
        <v>364</v>
      </c>
      <c r="L1045" s="133"/>
      <c r="M1045" s="134">
        <v>6.9444444444444441E-3</v>
      </c>
      <c r="N1045" s="137" t="s">
        <v>3252</v>
      </c>
      <c r="O1045" s="133" t="s">
        <v>804</v>
      </c>
      <c r="Q1045" s="100" t="s">
        <v>3223</v>
      </c>
      <c r="R1045" s="226" t="s">
        <v>3262</v>
      </c>
      <c r="S1045" s="491" t="str">
        <f t="shared" si="33"/>
        <v>x</v>
      </c>
      <c r="T1045" s="492" t="str">
        <f>IFERROR(VLOOKUP(F1045,'Freq-Chan'!C:D,2,FALSE),"x")</f>
        <v>x</v>
      </c>
      <c r="U1045" s="110" t="s">
        <v>541</v>
      </c>
      <c r="V1045" s="110" t="str">
        <f t="shared" si="34"/>
        <v>FWL</v>
      </c>
      <c r="W1045" s="110" t="s">
        <v>541</v>
      </c>
      <c r="X1045" s="110" t="s">
        <v>541</v>
      </c>
      <c r="Y1045" s="110" t="str">
        <f>IFERROR(VLOOKUP(F1045,'Freq-Chan'!C:E,3,FALSE),"na")</f>
        <v>na</v>
      </c>
      <c r="Z1045" s="110" t="s">
        <v>541</v>
      </c>
      <c r="AA1045" s="110" t="s">
        <v>541</v>
      </c>
      <c r="AB1045" s="110" t="s">
        <v>541</v>
      </c>
      <c r="AC1045" s="10" t="s">
        <v>541</v>
      </c>
      <c r="AD1045" s="10" t="s">
        <v>541</v>
      </c>
    </row>
    <row r="1046" spans="1:30" s="291" customFormat="1" x14ac:dyDescent="0.2">
      <c r="A1046" s="493">
        <v>1045</v>
      </c>
      <c r="B1046" s="283">
        <v>41842</v>
      </c>
      <c r="C1046" s="284">
        <v>3</v>
      </c>
      <c r="D1046" s="285" t="s">
        <v>71</v>
      </c>
      <c r="E1046" s="285" t="s">
        <v>306</v>
      </c>
      <c r="F1046" s="285"/>
      <c r="G1046" s="285"/>
      <c r="H1046" s="285"/>
      <c r="I1046" s="285">
        <v>58</v>
      </c>
      <c r="J1046" s="285"/>
      <c r="K1046" s="285" t="s">
        <v>364</v>
      </c>
      <c r="L1046" s="286">
        <v>0.82847222222222217</v>
      </c>
      <c r="M1046" s="287">
        <v>1.0416666666666666E-2</v>
      </c>
      <c r="N1046" s="339" t="s">
        <v>2932</v>
      </c>
      <c r="O1046" s="286" t="s">
        <v>1663</v>
      </c>
      <c r="P1046" s="289"/>
      <c r="Q1046" s="289" t="s">
        <v>3223</v>
      </c>
      <c r="R1046" s="290" t="s">
        <v>3262</v>
      </c>
      <c r="S1046" s="494">
        <f t="shared" si="33"/>
        <v>1.2152777999999999E-3</v>
      </c>
      <c r="T1046" s="495" t="str">
        <f>IFERROR(VLOOKUP(F1046,'Freq-Chan'!C:D,2,FALSE),"x")</f>
        <v>x</v>
      </c>
      <c r="U1046" s="493" t="s">
        <v>541</v>
      </c>
      <c r="V1046" s="493" t="str">
        <f t="shared" si="34"/>
        <v>FWL</v>
      </c>
      <c r="W1046" s="493" t="s">
        <v>541</v>
      </c>
      <c r="X1046" s="493" t="s">
        <v>541</v>
      </c>
      <c r="Y1046" s="493" t="str">
        <f>IFERROR(VLOOKUP(F1046,'Freq-Chan'!C:E,3,FALSE),"na")</f>
        <v>na</v>
      </c>
      <c r="Z1046" s="493" t="s">
        <v>541</v>
      </c>
      <c r="AA1046" s="493" t="s">
        <v>541</v>
      </c>
      <c r="AB1046" s="493" t="s">
        <v>541</v>
      </c>
      <c r="AC1046" s="291" t="s">
        <v>541</v>
      </c>
      <c r="AD1046" s="291" t="s">
        <v>541</v>
      </c>
    </row>
    <row r="1047" spans="1:30" x14ac:dyDescent="0.2">
      <c r="A1047" s="110">
        <v>1046</v>
      </c>
      <c r="B1047" s="132">
        <v>41843</v>
      </c>
      <c r="C1047" s="117">
        <v>1</v>
      </c>
      <c r="D1047" s="103" t="s">
        <v>70</v>
      </c>
      <c r="E1047" s="103" t="s">
        <v>306</v>
      </c>
      <c r="F1047" s="103">
        <v>596</v>
      </c>
      <c r="G1047" s="103">
        <v>78</v>
      </c>
      <c r="H1047" s="137" t="s">
        <v>3149</v>
      </c>
      <c r="I1047" s="103">
        <v>45</v>
      </c>
      <c r="K1047" s="103" t="s">
        <v>365</v>
      </c>
      <c r="L1047" s="133">
        <v>0.35555555555555557</v>
      </c>
      <c r="M1047" s="134">
        <v>3.3333333333333333E-2</v>
      </c>
      <c r="N1047" s="137" t="s">
        <v>3277</v>
      </c>
      <c r="O1047" s="133" t="s">
        <v>555</v>
      </c>
      <c r="Q1047" s="100" t="s">
        <v>3269</v>
      </c>
      <c r="R1047" s="226" t="s">
        <v>3320</v>
      </c>
      <c r="S1047" s="491">
        <f t="shared" si="33"/>
        <v>2.2222221999999999E-3</v>
      </c>
      <c r="T1047" s="492">
        <f>IFERROR(VLOOKUP(F1047,'Freq-Chan'!C:D,2,FALSE),"x")</f>
        <v>151.596</v>
      </c>
      <c r="U1047" s="110" t="s">
        <v>541</v>
      </c>
      <c r="V1047" s="110" t="str">
        <f t="shared" si="34"/>
        <v>FWL</v>
      </c>
      <c r="W1047" s="110" t="s">
        <v>541</v>
      </c>
      <c r="X1047" s="110" t="s">
        <v>541</v>
      </c>
      <c r="Y1047" s="110" t="str">
        <f>IFERROR(VLOOKUP(F1047,'Freq-Chan'!C:E,3,FALSE),"na")</f>
        <v>F1835</v>
      </c>
      <c r="Z1047" s="110" t="s">
        <v>541</v>
      </c>
      <c r="AA1047" s="110" t="s">
        <v>541</v>
      </c>
      <c r="AB1047" s="110" t="s">
        <v>541</v>
      </c>
      <c r="AC1047" s="10" t="s">
        <v>541</v>
      </c>
      <c r="AD1047" s="10" t="s">
        <v>541</v>
      </c>
    </row>
    <row r="1048" spans="1:30" x14ac:dyDescent="0.2">
      <c r="A1048" s="110">
        <v>1047</v>
      </c>
      <c r="B1048" s="132">
        <v>41843</v>
      </c>
      <c r="C1048" s="117">
        <v>1</v>
      </c>
      <c r="D1048" s="103" t="s">
        <v>70</v>
      </c>
      <c r="E1048" s="103" t="s">
        <v>306</v>
      </c>
      <c r="I1048" s="103">
        <v>40</v>
      </c>
      <c r="K1048" s="103" t="s">
        <v>364</v>
      </c>
      <c r="L1048" s="133"/>
      <c r="M1048" s="134">
        <v>1.8749999999999999E-2</v>
      </c>
      <c r="N1048" s="137" t="s">
        <v>3322</v>
      </c>
      <c r="O1048" s="133" t="s">
        <v>555</v>
      </c>
      <c r="Q1048" s="100" t="s">
        <v>3269</v>
      </c>
      <c r="R1048" s="226" t="s">
        <v>3320</v>
      </c>
      <c r="S1048" s="491" t="str">
        <f t="shared" si="33"/>
        <v>x</v>
      </c>
      <c r="T1048" s="492" t="str">
        <f>IFERROR(VLOOKUP(F1048,'Freq-Chan'!C:D,2,FALSE),"x")</f>
        <v>x</v>
      </c>
      <c r="U1048" s="110" t="s">
        <v>541</v>
      </c>
      <c r="V1048" s="110" t="str">
        <f t="shared" si="34"/>
        <v>FWL</v>
      </c>
      <c r="W1048" s="110" t="s">
        <v>541</v>
      </c>
      <c r="X1048" s="110" t="s">
        <v>541</v>
      </c>
      <c r="Y1048" s="110" t="str">
        <f>IFERROR(VLOOKUP(F1048,'Freq-Chan'!C:E,3,FALSE),"na")</f>
        <v>na</v>
      </c>
      <c r="Z1048" s="110" t="s">
        <v>541</v>
      </c>
      <c r="AA1048" s="110" t="s">
        <v>541</v>
      </c>
      <c r="AB1048" s="110" t="s">
        <v>541</v>
      </c>
      <c r="AC1048" s="10" t="s">
        <v>541</v>
      </c>
      <c r="AD1048" s="10" t="s">
        <v>541</v>
      </c>
    </row>
    <row r="1049" spans="1:30" x14ac:dyDescent="0.2">
      <c r="A1049" s="110">
        <v>1048</v>
      </c>
      <c r="B1049" s="132">
        <v>41843</v>
      </c>
      <c r="C1049" s="117">
        <v>1</v>
      </c>
      <c r="D1049" s="103" t="s">
        <v>70</v>
      </c>
      <c r="E1049" s="103" t="s">
        <v>306</v>
      </c>
      <c r="F1049" s="103">
        <v>596</v>
      </c>
      <c r="G1049" s="103">
        <v>76</v>
      </c>
      <c r="H1049" s="137" t="s">
        <v>2958</v>
      </c>
      <c r="I1049" s="103">
        <v>42</v>
      </c>
      <c r="K1049" s="103" t="s">
        <v>365</v>
      </c>
      <c r="L1049" s="133">
        <v>0.43055555555555558</v>
      </c>
      <c r="M1049" s="134">
        <v>4.5138888888888888E-2</v>
      </c>
      <c r="N1049" s="137" t="s">
        <v>3278</v>
      </c>
      <c r="O1049" s="133" t="s">
        <v>555</v>
      </c>
      <c r="Q1049" s="100" t="s">
        <v>3269</v>
      </c>
      <c r="R1049" s="226" t="s">
        <v>3320</v>
      </c>
      <c r="S1049" s="491">
        <f t="shared" si="33"/>
        <v>2.7199073999999998E-3</v>
      </c>
      <c r="T1049" s="492">
        <f>IFERROR(VLOOKUP(F1049,'Freq-Chan'!C:D,2,FALSE),"x")</f>
        <v>151.596</v>
      </c>
      <c r="U1049" s="110" t="s">
        <v>541</v>
      </c>
      <c r="V1049" s="110" t="str">
        <f t="shared" si="34"/>
        <v>FWL</v>
      </c>
      <c r="W1049" s="110" t="s">
        <v>541</v>
      </c>
      <c r="X1049" s="110" t="s">
        <v>541</v>
      </c>
      <c r="Y1049" s="110" t="str">
        <f>IFERROR(VLOOKUP(F1049,'Freq-Chan'!C:E,3,FALSE),"na")</f>
        <v>F1835</v>
      </c>
      <c r="Z1049" s="110" t="s">
        <v>541</v>
      </c>
      <c r="AA1049" s="110" t="s">
        <v>541</v>
      </c>
      <c r="AB1049" s="110" t="s">
        <v>541</v>
      </c>
      <c r="AC1049" s="10" t="s">
        <v>541</v>
      </c>
      <c r="AD1049" s="10" t="s">
        <v>541</v>
      </c>
    </row>
    <row r="1050" spans="1:30" x14ac:dyDescent="0.2">
      <c r="A1050" s="110">
        <v>1049</v>
      </c>
      <c r="B1050" s="132">
        <v>41843</v>
      </c>
      <c r="C1050" s="117">
        <v>1</v>
      </c>
      <c r="D1050" s="103" t="s">
        <v>70</v>
      </c>
      <c r="E1050" s="103" t="s">
        <v>306</v>
      </c>
      <c r="I1050" s="103">
        <v>42</v>
      </c>
      <c r="K1050" s="103" t="s">
        <v>365</v>
      </c>
      <c r="L1050" s="133"/>
      <c r="M1050" s="134">
        <v>1.3194444444444444E-2</v>
      </c>
      <c r="N1050" s="137" t="s">
        <v>3279</v>
      </c>
      <c r="O1050" s="133" t="s">
        <v>1888</v>
      </c>
      <c r="Q1050" s="100" t="s">
        <v>3262</v>
      </c>
      <c r="R1050" s="226" t="s">
        <v>3320</v>
      </c>
      <c r="S1050" s="491" t="str">
        <f t="shared" si="33"/>
        <v>x</v>
      </c>
      <c r="T1050" s="492" t="str">
        <f>IFERROR(VLOOKUP(F1050,'Freq-Chan'!C:D,2,FALSE),"x")</f>
        <v>x</v>
      </c>
      <c r="U1050" s="110" t="s">
        <v>541</v>
      </c>
      <c r="V1050" s="110" t="str">
        <f t="shared" si="34"/>
        <v>FWL</v>
      </c>
      <c r="W1050" s="110" t="s">
        <v>541</v>
      </c>
      <c r="X1050" s="110" t="s">
        <v>541</v>
      </c>
      <c r="Y1050" s="110" t="str">
        <f>IFERROR(VLOOKUP(F1050,'Freq-Chan'!C:E,3,FALSE),"na")</f>
        <v>na</v>
      </c>
      <c r="Z1050" s="110" t="s">
        <v>541</v>
      </c>
      <c r="AA1050" s="110" t="s">
        <v>541</v>
      </c>
      <c r="AB1050" s="110" t="s">
        <v>541</v>
      </c>
      <c r="AC1050" s="10" t="s">
        <v>541</v>
      </c>
      <c r="AD1050" s="10" t="s">
        <v>541</v>
      </c>
    </row>
    <row r="1051" spans="1:30" x14ac:dyDescent="0.2">
      <c r="A1051" s="110">
        <v>1050</v>
      </c>
      <c r="B1051" s="132">
        <v>41843</v>
      </c>
      <c r="C1051" s="117">
        <v>1</v>
      </c>
      <c r="D1051" s="103" t="s">
        <v>70</v>
      </c>
      <c r="E1051" s="103" t="s">
        <v>306</v>
      </c>
      <c r="I1051" s="103">
        <v>45</v>
      </c>
      <c r="K1051" s="103" t="s">
        <v>365</v>
      </c>
      <c r="L1051" s="133"/>
      <c r="M1051" s="134">
        <v>1.5972222222222224E-2</v>
      </c>
      <c r="N1051" s="137" t="s">
        <v>3280</v>
      </c>
      <c r="O1051" s="133" t="s">
        <v>1888</v>
      </c>
      <c r="Q1051" s="100" t="s">
        <v>3262</v>
      </c>
      <c r="R1051" s="226" t="s">
        <v>3320</v>
      </c>
      <c r="S1051" s="491" t="str">
        <f t="shared" si="33"/>
        <v>x</v>
      </c>
      <c r="T1051" s="492" t="str">
        <f>IFERROR(VLOOKUP(F1051,'Freq-Chan'!C:D,2,FALSE),"x")</f>
        <v>x</v>
      </c>
      <c r="U1051" s="110" t="s">
        <v>541</v>
      </c>
      <c r="V1051" s="110" t="str">
        <f t="shared" si="34"/>
        <v>FWL</v>
      </c>
      <c r="W1051" s="110" t="s">
        <v>541</v>
      </c>
      <c r="X1051" s="110" t="s">
        <v>541</v>
      </c>
      <c r="Y1051" s="110" t="str">
        <f>IFERROR(VLOOKUP(F1051,'Freq-Chan'!C:E,3,FALSE),"na")</f>
        <v>na</v>
      </c>
      <c r="Z1051" s="110" t="s">
        <v>541</v>
      </c>
      <c r="AA1051" s="110" t="s">
        <v>541</v>
      </c>
      <c r="AB1051" s="110" t="s">
        <v>541</v>
      </c>
      <c r="AC1051" s="10" t="s">
        <v>541</v>
      </c>
      <c r="AD1051" s="10" t="s">
        <v>541</v>
      </c>
    </row>
    <row r="1052" spans="1:30" x14ac:dyDescent="0.2">
      <c r="A1052" s="110">
        <v>1051</v>
      </c>
      <c r="B1052" s="132">
        <v>41843</v>
      </c>
      <c r="C1052" s="117">
        <v>1</v>
      </c>
      <c r="D1052" s="103" t="s">
        <v>71</v>
      </c>
      <c r="E1052" s="103" t="s">
        <v>306</v>
      </c>
      <c r="F1052" s="103">
        <v>564</v>
      </c>
      <c r="G1052" s="103">
        <v>5</v>
      </c>
      <c r="H1052" s="137" t="s">
        <v>2305</v>
      </c>
      <c r="I1052" s="103">
        <v>62</v>
      </c>
      <c r="K1052" s="103" t="s">
        <v>364</v>
      </c>
      <c r="L1052" s="133"/>
      <c r="M1052" s="134">
        <v>5.6250000000000001E-2</v>
      </c>
      <c r="N1052" s="137" t="s">
        <v>3281</v>
      </c>
      <c r="O1052" s="133" t="s">
        <v>1888</v>
      </c>
      <c r="P1052" s="100" t="s">
        <v>3282</v>
      </c>
      <c r="Q1052" s="100" t="s">
        <v>3262</v>
      </c>
      <c r="R1052" s="226" t="s">
        <v>3320</v>
      </c>
      <c r="S1052" s="491" t="str">
        <f t="shared" si="33"/>
        <v>x</v>
      </c>
      <c r="T1052" s="492">
        <f>IFERROR(VLOOKUP(F1052,'Freq-Chan'!C:D,2,FALSE),"x")</f>
        <v>151.56399999999999</v>
      </c>
      <c r="U1052" s="110" t="s">
        <v>541</v>
      </c>
      <c r="V1052" s="110" t="str">
        <f t="shared" si="34"/>
        <v>FWL</v>
      </c>
      <c r="W1052" s="110" t="s">
        <v>541</v>
      </c>
      <c r="X1052" s="110" t="s">
        <v>541</v>
      </c>
      <c r="Y1052" s="110" t="str">
        <f>IFERROR(VLOOKUP(F1052,'Freq-Chan'!C:E,3,FALSE),"na")</f>
        <v>F1840</v>
      </c>
      <c r="Z1052" s="110" t="s">
        <v>541</v>
      </c>
      <c r="AA1052" s="110" t="s">
        <v>541</v>
      </c>
      <c r="AB1052" s="110" t="s">
        <v>541</v>
      </c>
      <c r="AC1052" s="10" t="s">
        <v>541</v>
      </c>
      <c r="AD1052" s="10" t="s">
        <v>541</v>
      </c>
    </row>
    <row r="1053" spans="1:30" x14ac:dyDescent="0.2">
      <c r="A1053" s="110">
        <v>1052</v>
      </c>
      <c r="B1053" s="132">
        <v>41843</v>
      </c>
      <c r="C1053" s="117">
        <v>1</v>
      </c>
      <c r="D1053" s="103" t="s">
        <v>70</v>
      </c>
      <c r="E1053" s="103" t="s">
        <v>306</v>
      </c>
      <c r="I1053" s="103">
        <v>44</v>
      </c>
      <c r="K1053" s="103" t="s">
        <v>1032</v>
      </c>
      <c r="L1053" s="133"/>
      <c r="M1053" s="134">
        <v>1.8055555555555557E-2</v>
      </c>
      <c r="N1053" s="137" t="s">
        <v>1576</v>
      </c>
      <c r="O1053" s="133" t="s">
        <v>1888</v>
      </c>
      <c r="Q1053" s="100" t="s">
        <v>3262</v>
      </c>
      <c r="R1053" s="226" t="s">
        <v>3320</v>
      </c>
      <c r="S1053" s="491" t="str">
        <f t="shared" si="33"/>
        <v>x</v>
      </c>
      <c r="T1053" s="492" t="str">
        <f>IFERROR(VLOOKUP(F1053,'Freq-Chan'!C:D,2,FALSE),"x")</f>
        <v>x</v>
      </c>
      <c r="U1053" s="110" t="s">
        <v>541</v>
      </c>
      <c r="V1053" s="110" t="str">
        <f t="shared" si="34"/>
        <v>FWL</v>
      </c>
      <c r="W1053" s="110" t="s">
        <v>541</v>
      </c>
      <c r="X1053" s="110" t="s">
        <v>541</v>
      </c>
      <c r="Y1053" s="110" t="str">
        <f>IFERROR(VLOOKUP(F1053,'Freq-Chan'!C:E,3,FALSE),"na")</f>
        <v>na</v>
      </c>
      <c r="Z1053" s="110" t="s">
        <v>541</v>
      </c>
      <c r="AA1053" s="110" t="s">
        <v>541</v>
      </c>
      <c r="AB1053" s="110" t="s">
        <v>541</v>
      </c>
      <c r="AC1053" s="10" t="s">
        <v>541</v>
      </c>
      <c r="AD1053" s="10" t="s">
        <v>541</v>
      </c>
    </row>
    <row r="1054" spans="1:30" x14ac:dyDescent="0.2">
      <c r="A1054" s="110">
        <v>1053</v>
      </c>
      <c r="B1054" s="132">
        <v>41843</v>
      </c>
      <c r="C1054" s="117">
        <v>1</v>
      </c>
      <c r="D1054" s="103" t="s">
        <v>8</v>
      </c>
      <c r="E1054" s="103" t="s">
        <v>306</v>
      </c>
      <c r="F1054" s="103">
        <v>573</v>
      </c>
      <c r="G1054" s="103">
        <v>67</v>
      </c>
      <c r="H1054" s="137" t="s">
        <v>2137</v>
      </c>
      <c r="I1054" s="103">
        <v>46</v>
      </c>
      <c r="K1054" s="103" t="s">
        <v>364</v>
      </c>
      <c r="L1054" s="133"/>
      <c r="M1054" s="134">
        <v>4.2361111111111106E-2</v>
      </c>
      <c r="N1054" s="137" t="s">
        <v>2520</v>
      </c>
      <c r="O1054" s="133" t="s">
        <v>372</v>
      </c>
      <c r="P1054" s="100" t="s">
        <v>3283</v>
      </c>
      <c r="Q1054" s="100" t="s">
        <v>3262</v>
      </c>
      <c r="R1054" s="226" t="s">
        <v>3320</v>
      </c>
      <c r="S1054" s="491" t="str">
        <f t="shared" si="33"/>
        <v>x</v>
      </c>
      <c r="T1054" s="492">
        <f>IFERROR(VLOOKUP(F1054,'Freq-Chan'!C:D,2,FALSE),"x")</f>
        <v>151.57300000000001</v>
      </c>
      <c r="U1054" s="110" t="s">
        <v>541</v>
      </c>
      <c r="V1054" s="110" t="str">
        <f t="shared" si="34"/>
        <v>FWL</v>
      </c>
      <c r="W1054" s="110" t="s">
        <v>541</v>
      </c>
      <c r="X1054" s="110" t="s">
        <v>541</v>
      </c>
      <c r="Y1054" s="110" t="str">
        <f>IFERROR(VLOOKUP(F1054,'Freq-Chan'!C:E,3,FALSE),"na")</f>
        <v>F1840</v>
      </c>
      <c r="Z1054" s="110" t="s">
        <v>541</v>
      </c>
      <c r="AA1054" s="110" t="s">
        <v>541</v>
      </c>
      <c r="AB1054" s="110" t="s">
        <v>541</v>
      </c>
      <c r="AC1054" s="10" t="s">
        <v>541</v>
      </c>
      <c r="AD1054" s="10" t="s">
        <v>541</v>
      </c>
    </row>
    <row r="1055" spans="1:30" x14ac:dyDescent="0.2">
      <c r="A1055" s="110">
        <v>1054</v>
      </c>
      <c r="B1055" s="132">
        <v>41843</v>
      </c>
      <c r="C1055" s="117">
        <v>1</v>
      </c>
      <c r="D1055" s="103" t="s">
        <v>2</v>
      </c>
      <c r="E1055" s="103" t="s">
        <v>306</v>
      </c>
      <c r="F1055" s="103">
        <v>917</v>
      </c>
      <c r="G1055" s="103">
        <v>35</v>
      </c>
      <c r="H1055" s="137" t="s">
        <v>1514</v>
      </c>
      <c r="I1055" s="103">
        <v>51</v>
      </c>
      <c r="K1055" s="103" t="s">
        <v>1032</v>
      </c>
      <c r="L1055" s="133"/>
      <c r="M1055" s="134">
        <v>4.7222222222222221E-2</v>
      </c>
      <c r="N1055" s="137" t="s">
        <v>3284</v>
      </c>
      <c r="O1055" s="133" t="s">
        <v>1888</v>
      </c>
      <c r="P1055" s="100" t="s">
        <v>3285</v>
      </c>
      <c r="Q1055" s="100" t="s">
        <v>3262</v>
      </c>
      <c r="R1055" s="226" t="s">
        <v>3320</v>
      </c>
      <c r="S1055" s="491" t="str">
        <f t="shared" si="33"/>
        <v>x</v>
      </c>
      <c r="T1055" s="492">
        <f>IFERROR(VLOOKUP(F1055,'Freq-Chan'!C:D,2,FALSE),"x")</f>
        <v>151.917</v>
      </c>
      <c r="U1055" s="110" t="s">
        <v>541</v>
      </c>
      <c r="V1055" s="110" t="str">
        <f t="shared" si="34"/>
        <v>FWL</v>
      </c>
      <c r="W1055" s="110" t="s">
        <v>541</v>
      </c>
      <c r="X1055" s="110" t="s">
        <v>541</v>
      </c>
      <c r="Y1055" s="110" t="str">
        <f>IFERROR(VLOOKUP(F1055,'Freq-Chan'!C:E,3,FALSE),"na")</f>
        <v>F1835</v>
      </c>
      <c r="Z1055" s="110" t="s">
        <v>541</v>
      </c>
      <c r="AA1055" s="110" t="s">
        <v>541</v>
      </c>
      <c r="AB1055" s="110" t="s">
        <v>541</v>
      </c>
      <c r="AC1055" s="10" t="s">
        <v>541</v>
      </c>
      <c r="AD1055" s="10" t="s">
        <v>541</v>
      </c>
    </row>
    <row r="1056" spans="1:30" x14ac:dyDescent="0.2">
      <c r="A1056" s="110">
        <v>1055</v>
      </c>
      <c r="B1056" s="132">
        <v>41843</v>
      </c>
      <c r="C1056" s="117">
        <v>1</v>
      </c>
      <c r="D1056" s="103" t="s">
        <v>70</v>
      </c>
      <c r="E1056" s="103" t="s">
        <v>306</v>
      </c>
      <c r="I1056" s="103">
        <v>43</v>
      </c>
      <c r="K1056" s="103" t="s">
        <v>365</v>
      </c>
      <c r="L1056" s="133"/>
      <c r="M1056" s="134">
        <v>2.8472222222222222E-2</v>
      </c>
      <c r="N1056" s="137" t="s">
        <v>3286</v>
      </c>
      <c r="O1056" s="133" t="s">
        <v>1888</v>
      </c>
      <c r="Q1056" s="100" t="s">
        <v>3262</v>
      </c>
      <c r="R1056" s="226" t="s">
        <v>3320</v>
      </c>
      <c r="S1056" s="491" t="str">
        <f t="shared" si="33"/>
        <v>x</v>
      </c>
      <c r="T1056" s="492" t="str">
        <f>IFERROR(VLOOKUP(F1056,'Freq-Chan'!C:D,2,FALSE),"x")</f>
        <v>x</v>
      </c>
      <c r="U1056" s="110" t="s">
        <v>541</v>
      </c>
      <c r="V1056" s="110" t="str">
        <f t="shared" si="34"/>
        <v>FWL</v>
      </c>
      <c r="W1056" s="110" t="s">
        <v>541</v>
      </c>
      <c r="X1056" s="110" t="s">
        <v>541</v>
      </c>
      <c r="Y1056" s="110" t="str">
        <f>IFERROR(VLOOKUP(F1056,'Freq-Chan'!C:E,3,FALSE),"na")</f>
        <v>na</v>
      </c>
      <c r="Z1056" s="110" t="s">
        <v>541</v>
      </c>
      <c r="AA1056" s="110" t="s">
        <v>541</v>
      </c>
      <c r="AB1056" s="110" t="s">
        <v>541</v>
      </c>
      <c r="AC1056" s="10" t="s">
        <v>541</v>
      </c>
      <c r="AD1056" s="10" t="s">
        <v>541</v>
      </c>
    </row>
    <row r="1057" spans="1:30" x14ac:dyDescent="0.2">
      <c r="A1057" s="110">
        <v>1056</v>
      </c>
      <c r="B1057" s="132">
        <v>41843</v>
      </c>
      <c r="C1057" s="117">
        <v>1</v>
      </c>
      <c r="D1057" s="103" t="s">
        <v>70</v>
      </c>
      <c r="E1057" s="103" t="s">
        <v>306</v>
      </c>
      <c r="I1057" s="103">
        <v>46</v>
      </c>
      <c r="K1057" s="103" t="s">
        <v>365</v>
      </c>
      <c r="L1057" s="133"/>
      <c r="M1057" s="134">
        <v>3.1944444444444449E-2</v>
      </c>
      <c r="N1057" s="137" t="s">
        <v>2050</v>
      </c>
      <c r="O1057" s="133" t="s">
        <v>372</v>
      </c>
      <c r="Q1057" s="100" t="s">
        <v>3262</v>
      </c>
      <c r="R1057" s="226" t="s">
        <v>3320</v>
      </c>
      <c r="S1057" s="491" t="str">
        <f t="shared" si="33"/>
        <v>x</v>
      </c>
      <c r="T1057" s="492" t="str">
        <f>IFERROR(VLOOKUP(F1057,'Freq-Chan'!C:D,2,FALSE),"x")</f>
        <v>x</v>
      </c>
      <c r="U1057" s="110" t="s">
        <v>541</v>
      </c>
      <c r="V1057" s="110" t="str">
        <f t="shared" si="34"/>
        <v>FWL</v>
      </c>
      <c r="W1057" s="110" t="s">
        <v>541</v>
      </c>
      <c r="X1057" s="110" t="s">
        <v>541</v>
      </c>
      <c r="Y1057" s="110" t="str">
        <f>IFERROR(VLOOKUP(F1057,'Freq-Chan'!C:E,3,FALSE),"na")</f>
        <v>na</v>
      </c>
      <c r="Z1057" s="110" t="s">
        <v>541</v>
      </c>
      <c r="AA1057" s="110" t="s">
        <v>541</v>
      </c>
      <c r="AB1057" s="110" t="s">
        <v>541</v>
      </c>
      <c r="AC1057" s="10" t="s">
        <v>541</v>
      </c>
      <c r="AD1057" s="10" t="s">
        <v>541</v>
      </c>
    </row>
    <row r="1058" spans="1:30" x14ac:dyDescent="0.2">
      <c r="A1058" s="110">
        <v>1057</v>
      </c>
      <c r="B1058" s="132">
        <v>41843</v>
      </c>
      <c r="C1058" s="117">
        <v>1</v>
      </c>
      <c r="D1058" s="103" t="s">
        <v>8</v>
      </c>
      <c r="E1058" s="103" t="s">
        <v>306</v>
      </c>
      <c r="F1058" s="103">
        <v>573</v>
      </c>
      <c r="G1058" s="103">
        <v>90</v>
      </c>
      <c r="H1058" s="137" t="s">
        <v>2138</v>
      </c>
      <c r="I1058" s="103">
        <v>56</v>
      </c>
      <c r="K1058" s="103" t="s">
        <v>364</v>
      </c>
      <c r="L1058" s="133">
        <v>0.56388888888888888</v>
      </c>
      <c r="M1058" s="134">
        <v>3.8194444444444441E-2</v>
      </c>
      <c r="N1058" s="137" t="s">
        <v>3287</v>
      </c>
      <c r="O1058" s="133" t="s">
        <v>372</v>
      </c>
      <c r="Q1058" s="100" t="s">
        <v>3262</v>
      </c>
      <c r="R1058" s="226" t="s">
        <v>3320</v>
      </c>
      <c r="S1058" s="491">
        <f t="shared" si="33"/>
        <v>3.5300926000000001E-3</v>
      </c>
      <c r="T1058" s="492">
        <f>IFERROR(VLOOKUP(F1058,'Freq-Chan'!C:D,2,FALSE),"x")</f>
        <v>151.57300000000001</v>
      </c>
      <c r="U1058" s="110" t="s">
        <v>541</v>
      </c>
      <c r="V1058" s="110" t="str">
        <f t="shared" si="34"/>
        <v>FWL</v>
      </c>
      <c r="W1058" s="110" t="s">
        <v>541</v>
      </c>
      <c r="X1058" s="110" t="s">
        <v>541</v>
      </c>
      <c r="Y1058" s="110" t="str">
        <f>IFERROR(VLOOKUP(F1058,'Freq-Chan'!C:E,3,FALSE),"na")</f>
        <v>F1840</v>
      </c>
      <c r="Z1058" s="110" t="s">
        <v>541</v>
      </c>
      <c r="AA1058" s="110" t="s">
        <v>541</v>
      </c>
      <c r="AB1058" s="110" t="s">
        <v>541</v>
      </c>
      <c r="AC1058" s="10" t="s">
        <v>541</v>
      </c>
      <c r="AD1058" s="10" t="s">
        <v>541</v>
      </c>
    </row>
    <row r="1059" spans="1:30" x14ac:dyDescent="0.2">
      <c r="A1059" s="110">
        <v>1058</v>
      </c>
      <c r="B1059" s="132">
        <v>41843</v>
      </c>
      <c r="C1059" s="117">
        <v>1</v>
      </c>
      <c r="D1059" s="103" t="s">
        <v>8</v>
      </c>
      <c r="E1059" s="103" t="s">
        <v>306</v>
      </c>
      <c r="F1059" s="103">
        <v>586</v>
      </c>
      <c r="G1059" s="103">
        <v>38</v>
      </c>
      <c r="H1059" s="137" t="s">
        <v>2140</v>
      </c>
      <c r="I1059" s="103">
        <v>46</v>
      </c>
      <c r="K1059" s="103" t="s">
        <v>364</v>
      </c>
      <c r="L1059" s="133">
        <v>0.5708333333333333</v>
      </c>
      <c r="M1059" s="134">
        <v>4.1666666666666664E-2</v>
      </c>
      <c r="N1059" s="137" t="s">
        <v>3258</v>
      </c>
      <c r="O1059" s="133" t="s">
        <v>1888</v>
      </c>
      <c r="Q1059" s="100" t="s">
        <v>3262</v>
      </c>
      <c r="R1059" s="226" t="s">
        <v>3320</v>
      </c>
      <c r="S1059" s="491">
        <f t="shared" si="33"/>
        <v>2.0833332999999998E-3</v>
      </c>
      <c r="T1059" s="492">
        <f>IFERROR(VLOOKUP(F1059,'Freq-Chan'!C:D,2,FALSE),"x")</f>
        <v>151.58600000000001</v>
      </c>
      <c r="U1059" s="110" t="s">
        <v>541</v>
      </c>
      <c r="V1059" s="110" t="str">
        <f t="shared" si="34"/>
        <v>FWL</v>
      </c>
      <c r="W1059" s="110" t="s">
        <v>541</v>
      </c>
      <c r="X1059" s="110" t="s">
        <v>541</v>
      </c>
      <c r="Y1059" s="110" t="str">
        <f>IFERROR(VLOOKUP(F1059,'Freq-Chan'!C:E,3,FALSE),"na")</f>
        <v>F1840</v>
      </c>
      <c r="Z1059" s="110" t="s">
        <v>541</v>
      </c>
      <c r="AA1059" s="110" t="s">
        <v>541</v>
      </c>
      <c r="AB1059" s="110" t="s">
        <v>541</v>
      </c>
      <c r="AC1059" s="10" t="s">
        <v>541</v>
      </c>
      <c r="AD1059" s="10" t="s">
        <v>541</v>
      </c>
    </row>
    <row r="1060" spans="1:30" x14ac:dyDescent="0.2">
      <c r="A1060" s="110">
        <v>1059</v>
      </c>
      <c r="B1060" s="132">
        <v>41843</v>
      </c>
      <c r="C1060" s="117">
        <v>1</v>
      </c>
      <c r="D1060" s="103" t="s">
        <v>70</v>
      </c>
      <c r="E1060" s="103" t="s">
        <v>306</v>
      </c>
      <c r="H1060" s="103"/>
      <c r="I1060" s="103">
        <v>46</v>
      </c>
      <c r="K1060" s="103" t="s">
        <v>364</v>
      </c>
      <c r="L1060" s="133">
        <v>0.57361111111111118</v>
      </c>
      <c r="M1060" s="134">
        <v>2.8472222222222222E-2</v>
      </c>
      <c r="N1060" s="137" t="s">
        <v>1984</v>
      </c>
      <c r="O1060" s="133" t="s">
        <v>1888</v>
      </c>
      <c r="Q1060" s="100" t="s">
        <v>3262</v>
      </c>
      <c r="R1060" s="226" t="s">
        <v>3320</v>
      </c>
      <c r="S1060" s="491">
        <f t="shared" si="33"/>
        <v>2.1990740000000001E-4</v>
      </c>
      <c r="T1060" s="492" t="str">
        <f>IFERROR(VLOOKUP(F1060,'Freq-Chan'!C:D,2,FALSE),"x")</f>
        <v>x</v>
      </c>
      <c r="U1060" s="110" t="s">
        <v>541</v>
      </c>
      <c r="V1060" s="110" t="str">
        <f t="shared" si="34"/>
        <v>FWL</v>
      </c>
      <c r="W1060" s="110" t="s">
        <v>541</v>
      </c>
      <c r="X1060" s="110" t="s">
        <v>541</v>
      </c>
      <c r="Y1060" s="110" t="str">
        <f>IFERROR(VLOOKUP(F1060,'Freq-Chan'!C:E,3,FALSE),"na")</f>
        <v>na</v>
      </c>
      <c r="Z1060" s="110" t="s">
        <v>541</v>
      </c>
      <c r="AA1060" s="110" t="s">
        <v>541</v>
      </c>
      <c r="AB1060" s="110" t="s">
        <v>541</v>
      </c>
      <c r="AC1060" s="10" t="s">
        <v>541</v>
      </c>
      <c r="AD1060" s="10" t="s">
        <v>541</v>
      </c>
    </row>
    <row r="1061" spans="1:30" x14ac:dyDescent="0.2">
      <c r="A1061" s="110">
        <v>1060</v>
      </c>
      <c r="B1061" s="132">
        <v>41843</v>
      </c>
      <c r="C1061" s="117">
        <v>1</v>
      </c>
      <c r="D1061" s="103" t="s">
        <v>70</v>
      </c>
      <c r="E1061" s="103" t="s">
        <v>306</v>
      </c>
      <c r="H1061" s="103"/>
      <c r="I1061" s="103">
        <v>44</v>
      </c>
      <c r="K1061" s="103" t="s">
        <v>1032</v>
      </c>
      <c r="L1061" s="133">
        <v>0.5756944444444444</v>
      </c>
      <c r="M1061" s="134">
        <v>2.1527777777777781E-2</v>
      </c>
      <c r="N1061" s="137" t="s">
        <v>3246</v>
      </c>
      <c r="O1061" s="133" t="s">
        <v>1888</v>
      </c>
      <c r="Q1061" s="100" t="s">
        <v>3262</v>
      </c>
      <c r="R1061" s="226" t="s">
        <v>3320</v>
      </c>
      <c r="S1061" s="491">
        <f t="shared" si="33"/>
        <v>1.0300926E-3</v>
      </c>
      <c r="T1061" s="492" t="str">
        <f>IFERROR(VLOOKUP(F1061,'Freq-Chan'!C:D,2,FALSE),"x")</f>
        <v>x</v>
      </c>
      <c r="U1061" s="110" t="s">
        <v>541</v>
      </c>
      <c r="V1061" s="110" t="str">
        <f t="shared" si="34"/>
        <v>FWL</v>
      </c>
      <c r="W1061" s="110" t="s">
        <v>541</v>
      </c>
      <c r="X1061" s="110" t="s">
        <v>541</v>
      </c>
      <c r="Y1061" s="110" t="str">
        <f>IFERROR(VLOOKUP(F1061,'Freq-Chan'!C:E,3,FALSE),"na")</f>
        <v>na</v>
      </c>
      <c r="Z1061" s="110" t="s">
        <v>541</v>
      </c>
      <c r="AA1061" s="110" t="s">
        <v>541</v>
      </c>
      <c r="AB1061" s="110" t="s">
        <v>541</v>
      </c>
      <c r="AC1061" s="10" t="s">
        <v>541</v>
      </c>
      <c r="AD1061" s="10" t="s">
        <v>541</v>
      </c>
    </row>
    <row r="1062" spans="1:30" x14ac:dyDescent="0.2">
      <c r="A1062" s="110">
        <v>1061</v>
      </c>
      <c r="B1062" s="132">
        <v>41843</v>
      </c>
      <c r="C1062" s="117">
        <v>1</v>
      </c>
      <c r="D1062" s="103" t="s">
        <v>70</v>
      </c>
      <c r="E1062" s="103" t="s">
        <v>306</v>
      </c>
      <c r="H1062" s="103"/>
      <c r="I1062" s="103">
        <v>44</v>
      </c>
      <c r="K1062" s="103" t="s">
        <v>365</v>
      </c>
      <c r="L1062" s="133"/>
      <c r="M1062" s="134">
        <v>1.5972222222222224E-2</v>
      </c>
      <c r="N1062" s="137" t="s">
        <v>3288</v>
      </c>
      <c r="O1062" s="133" t="s">
        <v>1888</v>
      </c>
      <c r="Q1062" s="100" t="s">
        <v>3262</v>
      </c>
      <c r="R1062" s="226" t="s">
        <v>3320</v>
      </c>
      <c r="S1062" s="491" t="str">
        <f t="shared" si="33"/>
        <v>x</v>
      </c>
      <c r="T1062" s="492" t="str">
        <f>IFERROR(VLOOKUP(F1062,'Freq-Chan'!C:D,2,FALSE),"x")</f>
        <v>x</v>
      </c>
      <c r="U1062" s="110" t="s">
        <v>541</v>
      </c>
      <c r="V1062" s="110" t="str">
        <f t="shared" si="34"/>
        <v>FWL</v>
      </c>
      <c r="W1062" s="110" t="s">
        <v>541</v>
      </c>
      <c r="X1062" s="110" t="s">
        <v>541</v>
      </c>
      <c r="Y1062" s="110" t="str">
        <f>IFERROR(VLOOKUP(F1062,'Freq-Chan'!C:E,3,FALSE),"na")</f>
        <v>na</v>
      </c>
      <c r="Z1062" s="110" t="s">
        <v>541</v>
      </c>
      <c r="AA1062" s="110" t="s">
        <v>541</v>
      </c>
      <c r="AB1062" s="110" t="s">
        <v>541</v>
      </c>
      <c r="AC1062" s="10" t="s">
        <v>541</v>
      </c>
      <c r="AD1062" s="10" t="s">
        <v>541</v>
      </c>
    </row>
    <row r="1063" spans="1:30" x14ac:dyDescent="0.2">
      <c r="A1063" s="110">
        <v>1062</v>
      </c>
      <c r="B1063" s="132">
        <v>41843</v>
      </c>
      <c r="C1063" s="117">
        <v>1</v>
      </c>
      <c r="D1063" s="103" t="s">
        <v>71</v>
      </c>
      <c r="E1063" s="103" t="s">
        <v>306</v>
      </c>
      <c r="F1063" s="103">
        <v>534</v>
      </c>
      <c r="G1063" s="103">
        <v>64</v>
      </c>
      <c r="H1063" s="103" t="s">
        <v>2304</v>
      </c>
      <c r="I1063" s="103">
        <v>58</v>
      </c>
      <c r="K1063" s="103" t="s">
        <v>364</v>
      </c>
      <c r="L1063" s="133">
        <v>0.65902777777777777</v>
      </c>
      <c r="M1063" s="134">
        <v>4.7916666666666663E-2</v>
      </c>
      <c r="N1063" s="137" t="s">
        <v>3289</v>
      </c>
      <c r="O1063" s="133" t="s">
        <v>372</v>
      </c>
      <c r="Q1063" s="100" t="s">
        <v>3262</v>
      </c>
      <c r="R1063" s="226" t="s">
        <v>3320</v>
      </c>
      <c r="S1063" s="491">
        <f t="shared" si="33"/>
        <v>3.3680556000000002E-3</v>
      </c>
      <c r="T1063" s="492">
        <f>IFERROR(VLOOKUP(F1063,'Freq-Chan'!C:D,2,FALSE),"x")</f>
        <v>151.53399999999999</v>
      </c>
      <c r="U1063" s="110" t="s">
        <v>541</v>
      </c>
      <c r="V1063" s="110" t="str">
        <f t="shared" si="34"/>
        <v>FWL</v>
      </c>
      <c r="W1063" s="110" t="s">
        <v>541</v>
      </c>
      <c r="X1063" s="110" t="s">
        <v>541</v>
      </c>
      <c r="Y1063" s="110" t="str">
        <f>IFERROR(VLOOKUP(F1063,'Freq-Chan'!C:E,3,FALSE),"na")</f>
        <v>F1840</v>
      </c>
      <c r="Z1063" s="110" t="s">
        <v>541</v>
      </c>
      <c r="AA1063" s="110" t="s">
        <v>541</v>
      </c>
      <c r="AB1063" s="110" t="s">
        <v>541</v>
      </c>
      <c r="AC1063" s="10" t="s">
        <v>541</v>
      </c>
      <c r="AD1063" s="10" t="s">
        <v>541</v>
      </c>
    </row>
    <row r="1064" spans="1:30" x14ac:dyDescent="0.2">
      <c r="A1064" s="110">
        <v>1063</v>
      </c>
      <c r="B1064" s="132">
        <v>41843</v>
      </c>
      <c r="C1064" s="117">
        <v>1</v>
      </c>
      <c r="D1064" s="103" t="s">
        <v>70</v>
      </c>
      <c r="E1064" s="103" t="s">
        <v>306</v>
      </c>
      <c r="H1064" s="103"/>
      <c r="K1064" s="103" t="s">
        <v>365</v>
      </c>
      <c r="L1064" s="133"/>
      <c r="M1064" s="134">
        <v>1.7361111111111112E-2</v>
      </c>
      <c r="N1064" s="137" t="s">
        <v>2783</v>
      </c>
      <c r="O1064" s="133" t="s">
        <v>803</v>
      </c>
      <c r="P1064" s="100" t="s">
        <v>3290</v>
      </c>
      <c r="Q1064" s="100" t="s">
        <v>3271</v>
      </c>
      <c r="R1064" s="226" t="s">
        <v>3320</v>
      </c>
      <c r="S1064" s="491" t="str">
        <f t="shared" si="33"/>
        <v>x</v>
      </c>
      <c r="T1064" s="492" t="str">
        <f>IFERROR(VLOOKUP(F1064,'Freq-Chan'!C:D,2,FALSE),"x")</f>
        <v>x</v>
      </c>
      <c r="U1064" s="110" t="s">
        <v>541</v>
      </c>
      <c r="V1064" s="110" t="str">
        <f t="shared" si="34"/>
        <v>FWL</v>
      </c>
      <c r="W1064" s="110" t="s">
        <v>541</v>
      </c>
      <c r="X1064" s="110" t="s">
        <v>541</v>
      </c>
      <c r="Y1064" s="110" t="str">
        <f>IFERROR(VLOOKUP(F1064,'Freq-Chan'!C:E,3,FALSE),"na")</f>
        <v>na</v>
      </c>
      <c r="Z1064" s="110" t="s">
        <v>541</v>
      </c>
      <c r="AA1064" s="110" t="s">
        <v>541</v>
      </c>
      <c r="AB1064" s="110" t="s">
        <v>541</v>
      </c>
      <c r="AC1064" s="10" t="s">
        <v>541</v>
      </c>
      <c r="AD1064" s="10" t="s">
        <v>541</v>
      </c>
    </row>
    <row r="1065" spans="1:30" x14ac:dyDescent="0.2">
      <c r="A1065" s="110">
        <v>1064</v>
      </c>
      <c r="B1065" s="132">
        <v>41843</v>
      </c>
      <c r="C1065" s="117">
        <v>1</v>
      </c>
      <c r="D1065" s="103" t="s">
        <v>70</v>
      </c>
      <c r="E1065" s="103" t="s">
        <v>306</v>
      </c>
      <c r="H1065" s="103"/>
      <c r="I1065" s="103">
        <v>41</v>
      </c>
      <c r="K1065" s="103" t="s">
        <v>365</v>
      </c>
      <c r="L1065" s="133"/>
      <c r="M1065" s="134">
        <v>1.9444444444444445E-2</v>
      </c>
      <c r="N1065" s="137" t="s">
        <v>2783</v>
      </c>
      <c r="O1065" s="133" t="s">
        <v>804</v>
      </c>
      <c r="Q1065" s="100" t="s">
        <v>3271</v>
      </c>
      <c r="R1065" s="226" t="s">
        <v>3320</v>
      </c>
      <c r="S1065" s="491" t="str">
        <f t="shared" si="33"/>
        <v>x</v>
      </c>
      <c r="T1065" s="492" t="str">
        <f>IFERROR(VLOOKUP(F1065,'Freq-Chan'!C:D,2,FALSE),"x")</f>
        <v>x</v>
      </c>
      <c r="U1065" s="110" t="s">
        <v>541</v>
      </c>
      <c r="V1065" s="110" t="str">
        <f t="shared" si="34"/>
        <v>FWL</v>
      </c>
      <c r="W1065" s="110" t="s">
        <v>541</v>
      </c>
      <c r="X1065" s="110" t="s">
        <v>541</v>
      </c>
      <c r="Y1065" s="110" t="str">
        <f>IFERROR(VLOOKUP(F1065,'Freq-Chan'!C:E,3,FALSE),"na")</f>
        <v>na</v>
      </c>
      <c r="Z1065" s="110" t="s">
        <v>541</v>
      </c>
      <c r="AA1065" s="110" t="s">
        <v>541</v>
      </c>
      <c r="AB1065" s="110" t="s">
        <v>541</v>
      </c>
      <c r="AC1065" s="10" t="s">
        <v>541</v>
      </c>
      <c r="AD1065" s="10" t="s">
        <v>541</v>
      </c>
    </row>
    <row r="1066" spans="1:30" x14ac:dyDescent="0.2">
      <c r="A1066" s="110">
        <v>1065</v>
      </c>
      <c r="B1066" s="132">
        <v>41843</v>
      </c>
      <c r="C1066" s="117">
        <v>1</v>
      </c>
      <c r="D1066" s="103" t="s">
        <v>70</v>
      </c>
      <c r="E1066" s="103" t="s">
        <v>306</v>
      </c>
      <c r="H1066" s="103"/>
      <c r="I1066" s="103">
        <v>41</v>
      </c>
      <c r="K1066" s="103" t="s">
        <v>1032</v>
      </c>
      <c r="L1066" s="133"/>
      <c r="M1066" s="134">
        <v>1.5972222222222224E-2</v>
      </c>
      <c r="N1066" s="137" t="s">
        <v>504</v>
      </c>
      <c r="O1066" s="133" t="s">
        <v>804</v>
      </c>
      <c r="Q1066" s="100" t="s">
        <v>3271</v>
      </c>
      <c r="R1066" s="226" t="s">
        <v>3320</v>
      </c>
      <c r="S1066" s="491" t="str">
        <f t="shared" si="33"/>
        <v>x</v>
      </c>
      <c r="T1066" s="492" t="str">
        <f>IFERROR(VLOOKUP(F1066,'Freq-Chan'!C:D,2,FALSE),"x")</f>
        <v>x</v>
      </c>
      <c r="U1066" s="110" t="s">
        <v>541</v>
      </c>
      <c r="V1066" s="110" t="str">
        <f t="shared" si="34"/>
        <v>FWL</v>
      </c>
      <c r="W1066" s="110" t="s">
        <v>541</v>
      </c>
      <c r="X1066" s="110" t="s">
        <v>541</v>
      </c>
      <c r="Y1066" s="110" t="str">
        <f>IFERROR(VLOOKUP(F1066,'Freq-Chan'!C:E,3,FALSE),"na")</f>
        <v>na</v>
      </c>
      <c r="Z1066" s="110" t="s">
        <v>541</v>
      </c>
      <c r="AA1066" s="110" t="s">
        <v>541</v>
      </c>
      <c r="AB1066" s="110" t="s">
        <v>541</v>
      </c>
      <c r="AC1066" s="10" t="s">
        <v>541</v>
      </c>
      <c r="AD1066" s="10" t="s">
        <v>541</v>
      </c>
    </row>
    <row r="1067" spans="1:30" x14ac:dyDescent="0.2">
      <c r="A1067" s="110">
        <v>1066</v>
      </c>
      <c r="B1067" s="132">
        <v>41843</v>
      </c>
      <c r="C1067" s="117">
        <v>1</v>
      </c>
      <c r="D1067" s="103" t="s">
        <v>70</v>
      </c>
      <c r="E1067" s="103" t="s">
        <v>306</v>
      </c>
      <c r="H1067" s="103"/>
      <c r="I1067" s="103">
        <v>43</v>
      </c>
      <c r="K1067" s="103" t="s">
        <v>1032</v>
      </c>
      <c r="L1067" s="133"/>
      <c r="M1067" s="134">
        <v>1.2499999999999999E-2</v>
      </c>
      <c r="N1067" s="137" t="s">
        <v>2746</v>
      </c>
      <c r="O1067" s="133" t="s">
        <v>803</v>
      </c>
      <c r="Q1067" s="100" t="s">
        <v>3271</v>
      </c>
      <c r="R1067" s="226" t="s">
        <v>3320</v>
      </c>
      <c r="S1067" s="491" t="str">
        <f t="shared" si="33"/>
        <v>x</v>
      </c>
      <c r="T1067" s="492" t="str">
        <f>IFERROR(VLOOKUP(F1067,'Freq-Chan'!C:D,2,FALSE),"x")</f>
        <v>x</v>
      </c>
      <c r="U1067" s="110" t="s">
        <v>541</v>
      </c>
      <c r="V1067" s="110" t="str">
        <f t="shared" si="34"/>
        <v>FWL</v>
      </c>
      <c r="W1067" s="110" t="s">
        <v>541</v>
      </c>
      <c r="X1067" s="110" t="s">
        <v>541</v>
      </c>
      <c r="Y1067" s="110" t="str">
        <f>IFERROR(VLOOKUP(F1067,'Freq-Chan'!C:E,3,FALSE),"na")</f>
        <v>na</v>
      </c>
      <c r="Z1067" s="110" t="s">
        <v>541</v>
      </c>
      <c r="AA1067" s="110" t="s">
        <v>541</v>
      </c>
      <c r="AB1067" s="110" t="s">
        <v>541</v>
      </c>
      <c r="AC1067" s="10" t="s">
        <v>541</v>
      </c>
      <c r="AD1067" s="10" t="s">
        <v>541</v>
      </c>
    </row>
    <row r="1068" spans="1:30" x14ac:dyDescent="0.2">
      <c r="A1068" s="110">
        <v>1067</v>
      </c>
      <c r="B1068" s="132">
        <v>41843</v>
      </c>
      <c r="C1068" s="117">
        <v>1</v>
      </c>
      <c r="D1068" s="103" t="s">
        <v>70</v>
      </c>
      <c r="E1068" s="103" t="s">
        <v>306</v>
      </c>
      <c r="H1068" s="103"/>
      <c r="I1068" s="103">
        <v>43</v>
      </c>
      <c r="K1068" s="103" t="s">
        <v>1032</v>
      </c>
      <c r="L1068" s="133"/>
      <c r="M1068" s="134">
        <v>1.3194444444444444E-2</v>
      </c>
      <c r="N1068" s="137" t="s">
        <v>2948</v>
      </c>
      <c r="O1068" s="133" t="s">
        <v>804</v>
      </c>
      <c r="Q1068" s="100" t="s">
        <v>3271</v>
      </c>
      <c r="R1068" s="226" t="s">
        <v>3320</v>
      </c>
      <c r="S1068" s="491" t="str">
        <f t="shared" si="33"/>
        <v>x</v>
      </c>
      <c r="T1068" s="492" t="str">
        <f>IFERROR(VLOOKUP(F1068,'Freq-Chan'!C:D,2,FALSE),"x")</f>
        <v>x</v>
      </c>
      <c r="U1068" s="110" t="s">
        <v>541</v>
      </c>
      <c r="V1068" s="110" t="str">
        <f t="shared" si="34"/>
        <v>FWL</v>
      </c>
      <c r="W1068" s="110" t="s">
        <v>541</v>
      </c>
      <c r="X1068" s="110" t="s">
        <v>541</v>
      </c>
      <c r="Y1068" s="110" t="str">
        <f>IFERROR(VLOOKUP(F1068,'Freq-Chan'!C:E,3,FALSE),"na")</f>
        <v>na</v>
      </c>
      <c r="Z1068" s="110" t="s">
        <v>541</v>
      </c>
      <c r="AA1068" s="110" t="s">
        <v>541</v>
      </c>
      <c r="AB1068" s="110" t="s">
        <v>541</v>
      </c>
      <c r="AC1068" s="10" t="s">
        <v>541</v>
      </c>
      <c r="AD1068" s="10" t="s">
        <v>541</v>
      </c>
    </row>
    <row r="1069" spans="1:30" s="291" customFormat="1" x14ac:dyDescent="0.2">
      <c r="A1069" s="493">
        <v>1068</v>
      </c>
      <c r="B1069" s="283">
        <v>41843</v>
      </c>
      <c r="C1069" s="284">
        <v>1</v>
      </c>
      <c r="D1069" s="285" t="s">
        <v>2</v>
      </c>
      <c r="E1069" s="285" t="s">
        <v>306</v>
      </c>
      <c r="F1069" s="285">
        <v>917</v>
      </c>
      <c r="G1069" s="285">
        <v>92</v>
      </c>
      <c r="H1069" s="285" t="s">
        <v>1515</v>
      </c>
      <c r="I1069" s="285">
        <v>66</v>
      </c>
      <c r="J1069" s="285"/>
      <c r="K1069" s="285" t="s">
        <v>364</v>
      </c>
      <c r="L1069" s="286"/>
      <c r="M1069" s="287">
        <v>5.347222222222222E-2</v>
      </c>
      <c r="N1069" s="339" t="s">
        <v>2561</v>
      </c>
      <c r="O1069" s="286" t="s">
        <v>803</v>
      </c>
      <c r="P1069" s="289" t="s">
        <v>3291</v>
      </c>
      <c r="Q1069" s="289" t="s">
        <v>3271</v>
      </c>
      <c r="R1069" s="290" t="s">
        <v>3320</v>
      </c>
      <c r="S1069" s="494" t="str">
        <f t="shared" si="33"/>
        <v>x</v>
      </c>
      <c r="T1069" s="495">
        <f>IFERROR(VLOOKUP(F1069,'Freq-Chan'!C:D,2,FALSE),"x")</f>
        <v>151.917</v>
      </c>
      <c r="U1069" s="493" t="s">
        <v>541</v>
      </c>
      <c r="V1069" s="493" t="str">
        <f t="shared" si="34"/>
        <v>FWL</v>
      </c>
      <c r="W1069" s="493" t="s">
        <v>541</v>
      </c>
      <c r="X1069" s="493" t="s">
        <v>541</v>
      </c>
      <c r="Y1069" s="493" t="str">
        <f>IFERROR(VLOOKUP(F1069,'Freq-Chan'!C:E,3,FALSE),"na")</f>
        <v>F1835</v>
      </c>
      <c r="Z1069" s="493" t="s">
        <v>541</v>
      </c>
      <c r="AA1069" s="493" t="s">
        <v>541</v>
      </c>
      <c r="AB1069" s="493" t="s">
        <v>541</v>
      </c>
      <c r="AC1069" s="291" t="s">
        <v>541</v>
      </c>
      <c r="AD1069" s="291" t="s">
        <v>541</v>
      </c>
    </row>
    <row r="1070" spans="1:30" x14ac:dyDescent="0.2">
      <c r="A1070" s="110">
        <v>1069</v>
      </c>
      <c r="B1070" s="132">
        <v>41843</v>
      </c>
      <c r="C1070" s="117">
        <v>2</v>
      </c>
      <c r="D1070" s="103" t="s">
        <v>70</v>
      </c>
      <c r="E1070" s="103" t="s">
        <v>306</v>
      </c>
      <c r="F1070" s="103">
        <v>515</v>
      </c>
      <c r="G1070" s="103">
        <v>23</v>
      </c>
      <c r="H1070" s="137" t="s">
        <v>3154</v>
      </c>
      <c r="I1070" s="103">
        <v>43</v>
      </c>
      <c r="K1070" s="103" t="s">
        <v>365</v>
      </c>
      <c r="L1070" s="133"/>
      <c r="M1070" s="134">
        <v>3.5416666666666666E-2</v>
      </c>
      <c r="N1070" s="137" t="s">
        <v>1571</v>
      </c>
      <c r="O1070" s="133" t="s">
        <v>1663</v>
      </c>
      <c r="Q1070" s="100" t="s">
        <v>3273</v>
      </c>
      <c r="R1070" s="226" t="s">
        <v>3320</v>
      </c>
      <c r="S1070" s="491" t="str">
        <f t="shared" si="33"/>
        <v>x</v>
      </c>
      <c r="T1070" s="492">
        <f>IFERROR(VLOOKUP(F1070,'Freq-Chan'!C:D,2,FALSE),"x")</f>
        <v>151.51499999999999</v>
      </c>
      <c r="U1070" s="110" t="s">
        <v>541</v>
      </c>
      <c r="V1070" s="110" t="str">
        <f t="shared" si="34"/>
        <v>FWL</v>
      </c>
      <c r="W1070" s="110" t="s">
        <v>541</v>
      </c>
      <c r="X1070" s="110" t="s">
        <v>541</v>
      </c>
      <c r="Y1070" s="110" t="str">
        <f>IFERROR(VLOOKUP(F1070,'Freq-Chan'!C:E,3,FALSE),"na")</f>
        <v>F1835</v>
      </c>
      <c r="Z1070" s="110" t="s">
        <v>541</v>
      </c>
      <c r="AA1070" s="110" t="s">
        <v>541</v>
      </c>
      <c r="AB1070" s="110" t="s">
        <v>541</v>
      </c>
      <c r="AC1070" s="10" t="s">
        <v>541</v>
      </c>
      <c r="AD1070" s="10" t="s">
        <v>541</v>
      </c>
    </row>
    <row r="1071" spans="1:30" x14ac:dyDescent="0.2">
      <c r="A1071" s="110">
        <v>1070</v>
      </c>
      <c r="B1071" s="132">
        <v>41843</v>
      </c>
      <c r="C1071" s="117">
        <v>2</v>
      </c>
      <c r="D1071" s="103" t="s">
        <v>8</v>
      </c>
      <c r="E1071" s="103" t="s">
        <v>306</v>
      </c>
      <c r="F1071" s="103">
        <v>573</v>
      </c>
      <c r="G1071" s="103">
        <v>44</v>
      </c>
      <c r="H1071" s="103" t="s">
        <v>2141</v>
      </c>
      <c r="I1071" s="103">
        <v>52</v>
      </c>
      <c r="K1071" s="103" t="s">
        <v>364</v>
      </c>
      <c r="L1071" s="133"/>
      <c r="M1071" s="134">
        <v>3.7499999999999999E-2</v>
      </c>
      <c r="N1071" s="137" t="s">
        <v>3292</v>
      </c>
      <c r="O1071" s="133" t="s">
        <v>1663</v>
      </c>
      <c r="Q1071" s="100" t="s">
        <v>3273</v>
      </c>
      <c r="R1071" s="226" t="s">
        <v>3320</v>
      </c>
      <c r="S1071" s="491" t="str">
        <f t="shared" si="33"/>
        <v>x</v>
      </c>
      <c r="T1071" s="492">
        <f>IFERROR(VLOOKUP(F1071,'Freq-Chan'!C:D,2,FALSE),"x")</f>
        <v>151.57300000000001</v>
      </c>
      <c r="U1071" s="110" t="s">
        <v>541</v>
      </c>
      <c r="V1071" s="110" t="str">
        <f t="shared" si="34"/>
        <v>FWL</v>
      </c>
      <c r="W1071" s="110" t="s">
        <v>541</v>
      </c>
      <c r="X1071" s="110" t="s">
        <v>541</v>
      </c>
      <c r="Y1071" s="110" t="str">
        <f>IFERROR(VLOOKUP(F1071,'Freq-Chan'!C:E,3,FALSE),"na")</f>
        <v>F1840</v>
      </c>
      <c r="Z1071" s="110" t="s">
        <v>541</v>
      </c>
      <c r="AA1071" s="110" t="s">
        <v>541</v>
      </c>
      <c r="AB1071" s="110" t="s">
        <v>541</v>
      </c>
      <c r="AC1071" s="10" t="s">
        <v>541</v>
      </c>
      <c r="AD1071" s="10" t="s">
        <v>541</v>
      </c>
    </row>
    <row r="1072" spans="1:30" x14ac:dyDescent="0.2">
      <c r="A1072" s="110">
        <v>1071</v>
      </c>
      <c r="B1072" s="132">
        <v>41843</v>
      </c>
      <c r="C1072" s="117">
        <v>2</v>
      </c>
      <c r="D1072" s="103" t="s">
        <v>8</v>
      </c>
      <c r="E1072" s="103" t="s">
        <v>306</v>
      </c>
      <c r="F1072" s="103">
        <v>573</v>
      </c>
      <c r="G1072" s="103">
        <v>15</v>
      </c>
      <c r="H1072" s="103" t="s">
        <v>2139</v>
      </c>
      <c r="I1072" s="103">
        <v>55</v>
      </c>
      <c r="K1072" s="103" t="s">
        <v>364</v>
      </c>
      <c r="L1072" s="133"/>
      <c r="M1072" s="134">
        <v>3.8194444444444441E-2</v>
      </c>
      <c r="N1072" s="137" t="s">
        <v>3293</v>
      </c>
      <c r="O1072" s="133" t="s">
        <v>1663</v>
      </c>
      <c r="Q1072" s="100" t="s">
        <v>3273</v>
      </c>
      <c r="R1072" s="226" t="s">
        <v>3320</v>
      </c>
      <c r="S1072" s="491" t="str">
        <f t="shared" si="33"/>
        <v>x</v>
      </c>
      <c r="T1072" s="492">
        <f>IFERROR(VLOOKUP(F1072,'Freq-Chan'!C:D,2,FALSE),"x")</f>
        <v>151.57300000000001</v>
      </c>
      <c r="U1072" s="110" t="s">
        <v>541</v>
      </c>
      <c r="V1072" s="110" t="str">
        <f t="shared" si="34"/>
        <v>FWL</v>
      </c>
      <c r="W1072" s="110" t="s">
        <v>541</v>
      </c>
      <c r="X1072" s="110" t="s">
        <v>541</v>
      </c>
      <c r="Y1072" s="110" t="str">
        <f>IFERROR(VLOOKUP(F1072,'Freq-Chan'!C:E,3,FALSE),"na")</f>
        <v>F1840</v>
      </c>
      <c r="Z1072" s="110" t="s">
        <v>541</v>
      </c>
      <c r="AA1072" s="110" t="s">
        <v>541</v>
      </c>
      <c r="AB1072" s="110" t="s">
        <v>541</v>
      </c>
      <c r="AC1072" s="10" t="s">
        <v>541</v>
      </c>
      <c r="AD1072" s="10" t="s">
        <v>541</v>
      </c>
    </row>
    <row r="1073" spans="1:30" x14ac:dyDescent="0.2">
      <c r="A1073" s="110">
        <v>1072</v>
      </c>
      <c r="B1073" s="132">
        <v>41843</v>
      </c>
      <c r="C1073" s="117">
        <v>2</v>
      </c>
      <c r="D1073" s="103" t="s">
        <v>70</v>
      </c>
      <c r="E1073" s="103" t="s">
        <v>306</v>
      </c>
      <c r="H1073" s="103"/>
      <c r="I1073" s="103">
        <v>43</v>
      </c>
      <c r="K1073" s="103" t="s">
        <v>365</v>
      </c>
      <c r="L1073" s="133"/>
      <c r="M1073" s="134">
        <v>2.2222222222222223E-2</v>
      </c>
      <c r="N1073" s="137" t="s">
        <v>3294</v>
      </c>
      <c r="O1073" s="133" t="s">
        <v>1663</v>
      </c>
      <c r="Q1073" s="100" t="s">
        <v>3273</v>
      </c>
      <c r="R1073" s="226" t="s">
        <v>3320</v>
      </c>
      <c r="S1073" s="491" t="str">
        <f t="shared" si="33"/>
        <v>x</v>
      </c>
      <c r="T1073" s="492" t="str">
        <f>IFERROR(VLOOKUP(F1073,'Freq-Chan'!C:D,2,FALSE),"x")</f>
        <v>x</v>
      </c>
      <c r="U1073" s="110" t="s">
        <v>541</v>
      </c>
      <c r="V1073" s="110" t="str">
        <f t="shared" si="34"/>
        <v>FWL</v>
      </c>
      <c r="W1073" s="110" t="s">
        <v>541</v>
      </c>
      <c r="X1073" s="110" t="s">
        <v>541</v>
      </c>
      <c r="Y1073" s="110" t="str">
        <f>IFERROR(VLOOKUP(F1073,'Freq-Chan'!C:E,3,FALSE),"na")</f>
        <v>na</v>
      </c>
      <c r="Z1073" s="110" t="s">
        <v>541</v>
      </c>
      <c r="AA1073" s="110" t="s">
        <v>541</v>
      </c>
      <c r="AB1073" s="110" t="s">
        <v>541</v>
      </c>
      <c r="AC1073" s="10" t="s">
        <v>541</v>
      </c>
      <c r="AD1073" s="10" t="s">
        <v>541</v>
      </c>
    </row>
    <row r="1074" spans="1:30" s="291" customFormat="1" x14ac:dyDescent="0.2">
      <c r="A1074" s="493">
        <v>1073</v>
      </c>
      <c r="B1074" s="283">
        <v>41843</v>
      </c>
      <c r="C1074" s="284">
        <v>2</v>
      </c>
      <c r="D1074" s="285" t="s">
        <v>71</v>
      </c>
      <c r="E1074" s="285" t="s">
        <v>306</v>
      </c>
      <c r="F1074" s="285">
        <v>534</v>
      </c>
      <c r="G1074" s="285">
        <v>43</v>
      </c>
      <c r="H1074" s="285" t="s">
        <v>2310</v>
      </c>
      <c r="I1074" s="285">
        <v>62</v>
      </c>
      <c r="J1074" s="285"/>
      <c r="K1074" s="285" t="s">
        <v>364</v>
      </c>
      <c r="L1074" s="286"/>
      <c r="M1074" s="287">
        <v>4.7222222222222221E-2</v>
      </c>
      <c r="N1074" s="339" t="s">
        <v>880</v>
      </c>
      <c r="O1074" s="286" t="s">
        <v>804</v>
      </c>
      <c r="P1074" s="289" t="s">
        <v>3295</v>
      </c>
      <c r="Q1074" s="289" t="s">
        <v>3296</v>
      </c>
      <c r="R1074" s="290" t="s">
        <v>3320</v>
      </c>
      <c r="S1074" s="494" t="str">
        <f t="shared" si="33"/>
        <v>x</v>
      </c>
      <c r="T1074" s="495">
        <f>IFERROR(VLOOKUP(F1074,'Freq-Chan'!C:D,2,FALSE),"x")</f>
        <v>151.53399999999999</v>
      </c>
      <c r="U1074" s="493" t="s">
        <v>541</v>
      </c>
      <c r="V1074" s="493" t="str">
        <f t="shared" si="34"/>
        <v>FWL</v>
      </c>
      <c r="W1074" s="493" t="s">
        <v>541</v>
      </c>
      <c r="X1074" s="493" t="s">
        <v>541</v>
      </c>
      <c r="Y1074" s="493" t="str">
        <f>IFERROR(VLOOKUP(F1074,'Freq-Chan'!C:E,3,FALSE),"na")</f>
        <v>F1840</v>
      </c>
      <c r="Z1074" s="493" t="s">
        <v>541</v>
      </c>
      <c r="AA1074" s="493" t="s">
        <v>541</v>
      </c>
      <c r="AB1074" s="493" t="s">
        <v>541</v>
      </c>
      <c r="AC1074" s="291" t="s">
        <v>541</v>
      </c>
      <c r="AD1074" s="291" t="s">
        <v>541</v>
      </c>
    </row>
    <row r="1075" spans="1:30" x14ac:dyDescent="0.2">
      <c r="A1075" s="110">
        <v>1074</v>
      </c>
      <c r="B1075" s="132">
        <v>41843</v>
      </c>
      <c r="C1075" s="117">
        <v>3</v>
      </c>
      <c r="D1075" s="103" t="s">
        <v>70</v>
      </c>
      <c r="E1075" s="103" t="s">
        <v>306</v>
      </c>
      <c r="F1075" s="103">
        <v>515</v>
      </c>
      <c r="G1075" s="103">
        <v>75</v>
      </c>
      <c r="H1075" s="137" t="s">
        <v>2960</v>
      </c>
      <c r="I1075" s="103">
        <v>44</v>
      </c>
      <c r="K1075" s="103" t="s">
        <v>1032</v>
      </c>
      <c r="L1075" s="133">
        <v>0.35069444444444442</v>
      </c>
      <c r="M1075" s="134">
        <v>3.125E-2</v>
      </c>
      <c r="N1075" s="137" t="s">
        <v>3297</v>
      </c>
      <c r="O1075" s="133" t="s">
        <v>803</v>
      </c>
      <c r="Q1075" s="100" t="s">
        <v>3296</v>
      </c>
      <c r="R1075" s="226" t="s">
        <v>3320</v>
      </c>
      <c r="S1075" s="491">
        <f t="shared" si="33"/>
        <v>2.9513889E-3</v>
      </c>
      <c r="T1075" s="492">
        <f>IFERROR(VLOOKUP(F1075,'Freq-Chan'!C:D,2,FALSE),"x")</f>
        <v>151.51499999999999</v>
      </c>
      <c r="U1075" s="110" t="s">
        <v>541</v>
      </c>
      <c r="V1075" s="110" t="str">
        <f t="shared" si="34"/>
        <v>FWL</v>
      </c>
      <c r="W1075" s="110" t="s">
        <v>541</v>
      </c>
      <c r="X1075" s="110" t="s">
        <v>541</v>
      </c>
      <c r="Y1075" s="110" t="str">
        <f>IFERROR(VLOOKUP(F1075,'Freq-Chan'!C:E,3,FALSE),"na")</f>
        <v>F1835</v>
      </c>
      <c r="Z1075" s="110" t="s">
        <v>541</v>
      </c>
      <c r="AA1075" s="110" t="s">
        <v>541</v>
      </c>
      <c r="AB1075" s="110" t="s">
        <v>541</v>
      </c>
      <c r="AC1075" s="10" t="s">
        <v>541</v>
      </c>
      <c r="AD1075" s="10" t="s">
        <v>541</v>
      </c>
    </row>
    <row r="1076" spans="1:30" x14ac:dyDescent="0.2">
      <c r="A1076" s="110">
        <v>1075</v>
      </c>
      <c r="B1076" s="132">
        <v>41843</v>
      </c>
      <c r="C1076" s="117">
        <v>3</v>
      </c>
      <c r="D1076" s="103" t="s">
        <v>70</v>
      </c>
      <c r="E1076" s="103" t="s">
        <v>306</v>
      </c>
      <c r="F1076" s="103">
        <v>515</v>
      </c>
      <c r="G1076" s="103">
        <v>19</v>
      </c>
      <c r="H1076" s="137" t="s">
        <v>2961</v>
      </c>
      <c r="I1076" s="103">
        <v>46</v>
      </c>
      <c r="K1076" s="103" t="s">
        <v>1032</v>
      </c>
      <c r="L1076" s="133">
        <v>0.36041666666666666</v>
      </c>
      <c r="M1076" s="134">
        <v>4.0972222222222222E-2</v>
      </c>
      <c r="N1076" s="137" t="s">
        <v>2032</v>
      </c>
      <c r="O1076" s="133" t="s">
        <v>803</v>
      </c>
      <c r="Q1076" s="100" t="s">
        <v>3296</v>
      </c>
      <c r="R1076" s="226" t="s">
        <v>3320</v>
      </c>
      <c r="S1076" s="491">
        <f t="shared" si="33"/>
        <v>2.0949074000000002E-3</v>
      </c>
      <c r="T1076" s="492">
        <f>IFERROR(VLOOKUP(F1076,'Freq-Chan'!C:D,2,FALSE),"x")</f>
        <v>151.51499999999999</v>
      </c>
      <c r="U1076" s="110" t="s">
        <v>541</v>
      </c>
      <c r="V1076" s="110" t="str">
        <f t="shared" si="34"/>
        <v>FWL</v>
      </c>
      <c r="W1076" s="110" t="s">
        <v>541</v>
      </c>
      <c r="X1076" s="110" t="s">
        <v>541</v>
      </c>
      <c r="Y1076" s="110" t="str">
        <f>IFERROR(VLOOKUP(F1076,'Freq-Chan'!C:E,3,FALSE),"na")</f>
        <v>F1835</v>
      </c>
      <c r="Z1076" s="110" t="s">
        <v>541</v>
      </c>
      <c r="AA1076" s="110" t="s">
        <v>541</v>
      </c>
      <c r="AB1076" s="110" t="s">
        <v>541</v>
      </c>
      <c r="AC1076" s="10" t="s">
        <v>541</v>
      </c>
      <c r="AD1076" s="10" t="s">
        <v>541</v>
      </c>
    </row>
    <row r="1077" spans="1:30" x14ac:dyDescent="0.2">
      <c r="A1077" s="110">
        <v>1076</v>
      </c>
      <c r="B1077" s="132">
        <v>41843</v>
      </c>
      <c r="C1077" s="117">
        <v>3</v>
      </c>
      <c r="D1077" s="103" t="s">
        <v>70</v>
      </c>
      <c r="E1077" s="103" t="s">
        <v>306</v>
      </c>
      <c r="H1077" s="103"/>
      <c r="I1077" s="103">
        <v>45</v>
      </c>
      <c r="K1077" s="103" t="s">
        <v>365</v>
      </c>
      <c r="L1077" s="133"/>
      <c r="M1077" s="134">
        <v>1.5277777777777777E-2</v>
      </c>
      <c r="N1077" s="137" t="s">
        <v>3298</v>
      </c>
      <c r="O1077" s="133" t="s">
        <v>804</v>
      </c>
      <c r="P1077" s="100" t="s">
        <v>3299</v>
      </c>
      <c r="Q1077" s="100" t="s">
        <v>3296</v>
      </c>
      <c r="R1077" s="226" t="s">
        <v>3320</v>
      </c>
      <c r="S1077" s="491" t="str">
        <f t="shared" si="33"/>
        <v>x</v>
      </c>
      <c r="T1077" s="492" t="str">
        <f>IFERROR(VLOOKUP(F1077,'Freq-Chan'!C:D,2,FALSE),"x")</f>
        <v>x</v>
      </c>
      <c r="U1077" s="110" t="s">
        <v>541</v>
      </c>
      <c r="V1077" s="110" t="str">
        <f t="shared" si="34"/>
        <v>FWL</v>
      </c>
      <c r="W1077" s="110" t="s">
        <v>541</v>
      </c>
      <c r="X1077" s="110" t="s">
        <v>541</v>
      </c>
      <c r="Y1077" s="110" t="str">
        <f>IFERROR(VLOOKUP(F1077,'Freq-Chan'!C:E,3,FALSE),"na")</f>
        <v>na</v>
      </c>
      <c r="Z1077" s="110" t="s">
        <v>541</v>
      </c>
      <c r="AA1077" s="110" t="s">
        <v>541</v>
      </c>
      <c r="AB1077" s="110" t="s">
        <v>541</v>
      </c>
      <c r="AC1077" s="10" t="s">
        <v>541</v>
      </c>
      <c r="AD1077" s="10" t="s">
        <v>541</v>
      </c>
    </row>
    <row r="1078" spans="1:30" x14ac:dyDescent="0.2">
      <c r="A1078" s="110">
        <v>1077</v>
      </c>
      <c r="B1078" s="132">
        <v>41843</v>
      </c>
      <c r="C1078" s="117">
        <v>3</v>
      </c>
      <c r="D1078" s="103" t="s">
        <v>75</v>
      </c>
      <c r="E1078" s="103" t="s">
        <v>798</v>
      </c>
      <c r="H1078" s="103"/>
      <c r="J1078" s="103">
        <v>31</v>
      </c>
      <c r="K1078" s="103" t="s">
        <v>364</v>
      </c>
      <c r="L1078" s="133"/>
      <c r="M1078" s="134">
        <v>2.4305555555555556E-2</v>
      </c>
      <c r="N1078" s="137" t="s">
        <v>3294</v>
      </c>
      <c r="O1078" s="133" t="s">
        <v>803</v>
      </c>
      <c r="Q1078" s="100" t="s">
        <v>3296</v>
      </c>
      <c r="R1078" s="226" t="s">
        <v>3320</v>
      </c>
      <c r="S1078" s="491" t="str">
        <f t="shared" si="33"/>
        <v>x</v>
      </c>
      <c r="T1078" s="492" t="str">
        <f>IFERROR(VLOOKUP(F1078,'Freq-Chan'!C:D,2,FALSE),"x")</f>
        <v>x</v>
      </c>
      <c r="U1078" s="110" t="s">
        <v>541</v>
      </c>
      <c r="V1078" s="110" t="str">
        <f t="shared" si="34"/>
        <v>FWL</v>
      </c>
      <c r="W1078" s="110" t="s">
        <v>541</v>
      </c>
      <c r="X1078" s="110" t="s">
        <v>541</v>
      </c>
      <c r="Y1078" s="110" t="str">
        <f>IFERROR(VLOOKUP(F1078,'Freq-Chan'!C:E,3,FALSE),"na")</f>
        <v>na</v>
      </c>
      <c r="Z1078" s="110" t="s">
        <v>541</v>
      </c>
      <c r="AA1078" s="110" t="s">
        <v>541</v>
      </c>
      <c r="AB1078" s="110" t="s">
        <v>541</v>
      </c>
      <c r="AC1078" s="10" t="s">
        <v>541</v>
      </c>
      <c r="AD1078" s="10" t="s">
        <v>541</v>
      </c>
    </row>
    <row r="1079" spans="1:30" x14ac:dyDescent="0.2">
      <c r="A1079" s="110">
        <v>1078</v>
      </c>
      <c r="B1079" s="132">
        <v>41843</v>
      </c>
      <c r="C1079" s="117">
        <v>3</v>
      </c>
      <c r="D1079" s="103" t="s">
        <v>70</v>
      </c>
      <c r="E1079" s="103" t="s">
        <v>306</v>
      </c>
      <c r="H1079" s="103"/>
      <c r="I1079" s="103">
        <v>42</v>
      </c>
      <c r="K1079" s="103" t="s">
        <v>1032</v>
      </c>
      <c r="L1079" s="133"/>
      <c r="M1079" s="134">
        <v>1.5277777777777777E-2</v>
      </c>
      <c r="N1079" s="137" t="s">
        <v>3244</v>
      </c>
      <c r="O1079" s="133" t="s">
        <v>804</v>
      </c>
      <c r="P1079" s="100" t="s">
        <v>3300</v>
      </c>
      <c r="Q1079" s="100" t="s">
        <v>3296</v>
      </c>
      <c r="R1079" s="226" t="s">
        <v>3320</v>
      </c>
      <c r="S1079" s="491" t="str">
        <f t="shared" si="33"/>
        <v>x</v>
      </c>
      <c r="T1079" s="492" t="str">
        <f>IFERROR(VLOOKUP(F1079,'Freq-Chan'!C:D,2,FALSE),"x")</f>
        <v>x</v>
      </c>
      <c r="U1079" s="110" t="s">
        <v>541</v>
      </c>
      <c r="V1079" s="110" t="str">
        <f t="shared" si="34"/>
        <v>FWL</v>
      </c>
      <c r="W1079" s="110" t="s">
        <v>541</v>
      </c>
      <c r="X1079" s="110" t="s">
        <v>541</v>
      </c>
      <c r="Y1079" s="110" t="str">
        <f>IFERROR(VLOOKUP(F1079,'Freq-Chan'!C:E,3,FALSE),"na")</f>
        <v>na</v>
      </c>
      <c r="Z1079" s="110" t="s">
        <v>541</v>
      </c>
      <c r="AA1079" s="110" t="s">
        <v>541</v>
      </c>
      <c r="AB1079" s="110" t="s">
        <v>541</v>
      </c>
      <c r="AC1079" s="10" t="s">
        <v>541</v>
      </c>
      <c r="AD1079" s="10" t="s">
        <v>541</v>
      </c>
    </row>
    <row r="1080" spans="1:30" x14ac:dyDescent="0.2">
      <c r="A1080" s="110">
        <v>1079</v>
      </c>
      <c r="B1080" s="132">
        <v>41843</v>
      </c>
      <c r="C1080" s="117">
        <v>3</v>
      </c>
      <c r="D1080" s="103" t="s">
        <v>8</v>
      </c>
      <c r="E1080" s="103" t="s">
        <v>306</v>
      </c>
      <c r="F1080" s="103">
        <v>573</v>
      </c>
      <c r="G1080" s="103">
        <v>39</v>
      </c>
      <c r="H1080" s="103" t="s">
        <v>2126</v>
      </c>
      <c r="I1080" s="103">
        <v>55</v>
      </c>
      <c r="K1080" s="103" t="s">
        <v>364</v>
      </c>
      <c r="L1080" s="133"/>
      <c r="M1080" s="134">
        <v>3.9583333333333331E-2</v>
      </c>
      <c r="N1080" s="137" t="s">
        <v>1796</v>
      </c>
      <c r="O1080" s="133" t="s">
        <v>804</v>
      </c>
      <c r="Q1080" s="100" t="s">
        <v>3296</v>
      </c>
      <c r="R1080" s="226" t="s">
        <v>3320</v>
      </c>
      <c r="S1080" s="491" t="str">
        <f t="shared" si="33"/>
        <v>x</v>
      </c>
      <c r="T1080" s="492">
        <f>IFERROR(VLOOKUP(F1080,'Freq-Chan'!C:D,2,FALSE),"x")</f>
        <v>151.57300000000001</v>
      </c>
      <c r="U1080" s="110" t="s">
        <v>541</v>
      </c>
      <c r="V1080" s="110" t="str">
        <f t="shared" si="34"/>
        <v>FWL</v>
      </c>
      <c r="W1080" s="110" t="s">
        <v>541</v>
      </c>
      <c r="X1080" s="110" t="s">
        <v>541</v>
      </c>
      <c r="Y1080" s="110" t="str">
        <f>IFERROR(VLOOKUP(F1080,'Freq-Chan'!C:E,3,FALSE),"na")</f>
        <v>F1840</v>
      </c>
      <c r="Z1080" s="110" t="s">
        <v>541</v>
      </c>
      <c r="AA1080" s="110" t="s">
        <v>541</v>
      </c>
      <c r="AB1080" s="110" t="s">
        <v>541</v>
      </c>
      <c r="AC1080" s="10" t="s">
        <v>541</v>
      </c>
      <c r="AD1080" s="10" t="s">
        <v>541</v>
      </c>
    </row>
    <row r="1081" spans="1:30" x14ac:dyDescent="0.2">
      <c r="A1081" s="110">
        <v>1080</v>
      </c>
      <c r="B1081" s="132">
        <v>41843</v>
      </c>
      <c r="C1081" s="117">
        <v>3</v>
      </c>
      <c r="D1081" s="103" t="s">
        <v>70</v>
      </c>
      <c r="E1081" s="103" t="s">
        <v>306</v>
      </c>
      <c r="H1081" s="103"/>
      <c r="I1081" s="103">
        <v>45</v>
      </c>
      <c r="K1081" s="103" t="s">
        <v>365</v>
      </c>
      <c r="L1081" s="133">
        <v>0.40347222222222223</v>
      </c>
      <c r="M1081" s="134">
        <v>1.0416666666666666E-2</v>
      </c>
      <c r="N1081" s="137" t="s">
        <v>2892</v>
      </c>
      <c r="O1081" s="133" t="s">
        <v>803</v>
      </c>
      <c r="Q1081" s="100" t="s">
        <v>3296</v>
      </c>
      <c r="R1081" s="226" t="s">
        <v>3320</v>
      </c>
      <c r="S1081" s="491">
        <f t="shared" si="33"/>
        <v>5.2083330000000005E-4</v>
      </c>
      <c r="T1081" s="492" t="str">
        <f>IFERROR(VLOOKUP(F1081,'Freq-Chan'!C:D,2,FALSE),"x")</f>
        <v>x</v>
      </c>
      <c r="U1081" s="110" t="s">
        <v>541</v>
      </c>
      <c r="V1081" s="110" t="str">
        <f t="shared" si="34"/>
        <v>FWL</v>
      </c>
      <c r="W1081" s="110" t="s">
        <v>541</v>
      </c>
      <c r="X1081" s="110" t="s">
        <v>541</v>
      </c>
      <c r="Y1081" s="110" t="str">
        <f>IFERROR(VLOOKUP(F1081,'Freq-Chan'!C:E,3,FALSE),"na")</f>
        <v>na</v>
      </c>
      <c r="Z1081" s="110" t="s">
        <v>541</v>
      </c>
      <c r="AA1081" s="110" t="s">
        <v>541</v>
      </c>
      <c r="AB1081" s="110" t="s">
        <v>541</v>
      </c>
      <c r="AC1081" s="10" t="s">
        <v>541</v>
      </c>
      <c r="AD1081" s="10" t="s">
        <v>541</v>
      </c>
    </row>
    <row r="1082" spans="1:30" x14ac:dyDescent="0.2">
      <c r="A1082" s="110">
        <v>1081</v>
      </c>
      <c r="B1082" s="132">
        <v>41843</v>
      </c>
      <c r="C1082" s="117">
        <v>3</v>
      </c>
      <c r="D1082" s="103" t="s">
        <v>88</v>
      </c>
      <c r="E1082" s="103" t="s">
        <v>798</v>
      </c>
      <c r="H1082" s="103"/>
      <c r="J1082" s="103">
        <v>16</v>
      </c>
      <c r="K1082" s="103" t="s">
        <v>364</v>
      </c>
      <c r="L1082" s="133"/>
      <c r="M1082" s="134">
        <v>1.7361111111111112E-2</v>
      </c>
      <c r="N1082" s="137" t="s">
        <v>3301</v>
      </c>
      <c r="O1082" s="133" t="s">
        <v>803</v>
      </c>
      <c r="Q1082" s="100" t="s">
        <v>3296</v>
      </c>
      <c r="R1082" s="226" t="s">
        <v>3320</v>
      </c>
      <c r="S1082" s="491" t="str">
        <f t="shared" si="33"/>
        <v>x</v>
      </c>
      <c r="T1082" s="492" t="str">
        <f>IFERROR(VLOOKUP(F1082,'Freq-Chan'!C:D,2,FALSE),"x")</f>
        <v>x</v>
      </c>
      <c r="U1082" s="110" t="s">
        <v>541</v>
      </c>
      <c r="V1082" s="110" t="str">
        <f t="shared" si="34"/>
        <v>FWL</v>
      </c>
      <c r="W1082" s="110" t="s">
        <v>541</v>
      </c>
      <c r="X1082" s="110" t="s">
        <v>541</v>
      </c>
      <c r="Y1082" s="110" t="str">
        <f>IFERROR(VLOOKUP(F1082,'Freq-Chan'!C:E,3,FALSE),"na")</f>
        <v>na</v>
      </c>
      <c r="Z1082" s="110" t="s">
        <v>541</v>
      </c>
      <c r="AA1082" s="110" t="s">
        <v>541</v>
      </c>
      <c r="AB1082" s="110" t="s">
        <v>541</v>
      </c>
      <c r="AC1082" s="10" t="s">
        <v>541</v>
      </c>
      <c r="AD1082" s="10" t="s">
        <v>541</v>
      </c>
    </row>
    <row r="1083" spans="1:30" x14ac:dyDescent="0.2">
      <c r="A1083" s="110">
        <v>1082</v>
      </c>
      <c r="B1083" s="132">
        <v>41843</v>
      </c>
      <c r="C1083" s="117">
        <v>3</v>
      </c>
      <c r="D1083" s="103" t="s">
        <v>70</v>
      </c>
      <c r="E1083" s="103" t="s">
        <v>306</v>
      </c>
      <c r="H1083" s="103"/>
      <c r="I1083" s="103">
        <v>45</v>
      </c>
      <c r="K1083" s="103" t="s">
        <v>365</v>
      </c>
      <c r="L1083" s="133">
        <v>0.4291666666666667</v>
      </c>
      <c r="M1083" s="134">
        <v>9.7222222222222224E-3</v>
      </c>
      <c r="N1083" s="137" t="s">
        <v>890</v>
      </c>
      <c r="O1083" s="133" t="s">
        <v>803</v>
      </c>
      <c r="Q1083" s="100" t="s">
        <v>3296</v>
      </c>
      <c r="R1083" s="226" t="s">
        <v>3320</v>
      </c>
      <c r="S1083" s="491">
        <f t="shared" si="33"/>
        <v>1.2268519E-3</v>
      </c>
      <c r="T1083" s="492" t="str">
        <f>IFERROR(VLOOKUP(F1083,'Freq-Chan'!C:D,2,FALSE),"x")</f>
        <v>x</v>
      </c>
      <c r="U1083" s="110" t="s">
        <v>541</v>
      </c>
      <c r="V1083" s="110" t="str">
        <f t="shared" si="34"/>
        <v>FWL</v>
      </c>
      <c r="W1083" s="110" t="s">
        <v>541</v>
      </c>
      <c r="X1083" s="110" t="s">
        <v>541</v>
      </c>
      <c r="Y1083" s="110" t="str">
        <f>IFERROR(VLOOKUP(F1083,'Freq-Chan'!C:E,3,FALSE),"na")</f>
        <v>na</v>
      </c>
      <c r="Z1083" s="110" t="s">
        <v>541</v>
      </c>
      <c r="AA1083" s="110" t="s">
        <v>541</v>
      </c>
      <c r="AB1083" s="110" t="s">
        <v>541</v>
      </c>
      <c r="AC1083" s="10" t="s">
        <v>541</v>
      </c>
      <c r="AD1083" s="10" t="s">
        <v>541</v>
      </c>
    </row>
    <row r="1084" spans="1:30" x14ac:dyDescent="0.2">
      <c r="A1084" s="110">
        <v>1083</v>
      </c>
      <c r="B1084" s="132">
        <v>41843</v>
      </c>
      <c r="C1084" s="117">
        <v>3</v>
      </c>
      <c r="D1084" s="103" t="s">
        <v>70</v>
      </c>
      <c r="E1084" s="103" t="s">
        <v>306</v>
      </c>
      <c r="H1084" s="103"/>
      <c r="I1084" s="103">
        <v>46</v>
      </c>
      <c r="K1084" s="103" t="s">
        <v>365</v>
      </c>
      <c r="L1084" s="133">
        <v>0.4291666666666667</v>
      </c>
      <c r="M1084" s="134">
        <v>9.7222222222222224E-3</v>
      </c>
      <c r="N1084" s="137" t="s">
        <v>890</v>
      </c>
      <c r="O1084" s="133" t="s">
        <v>804</v>
      </c>
      <c r="Q1084" s="100" t="s">
        <v>3296</v>
      </c>
      <c r="R1084" s="226" t="s">
        <v>3320</v>
      </c>
      <c r="S1084" s="491">
        <f t="shared" si="33"/>
        <v>1.2268519E-3</v>
      </c>
      <c r="T1084" s="492" t="str">
        <f>IFERROR(VLOOKUP(F1084,'Freq-Chan'!C:D,2,FALSE),"x")</f>
        <v>x</v>
      </c>
      <c r="U1084" s="110" t="s">
        <v>541</v>
      </c>
      <c r="V1084" s="110" t="str">
        <f t="shared" si="34"/>
        <v>FWL</v>
      </c>
      <c r="W1084" s="110" t="s">
        <v>541</v>
      </c>
      <c r="X1084" s="110" t="s">
        <v>541</v>
      </c>
      <c r="Y1084" s="110" t="str">
        <f>IFERROR(VLOOKUP(F1084,'Freq-Chan'!C:E,3,FALSE),"na")</f>
        <v>na</v>
      </c>
      <c r="Z1084" s="110" t="s">
        <v>541</v>
      </c>
      <c r="AA1084" s="110" t="s">
        <v>541</v>
      </c>
      <c r="AB1084" s="110" t="s">
        <v>541</v>
      </c>
      <c r="AC1084" s="10" t="s">
        <v>541</v>
      </c>
      <c r="AD1084" s="10" t="s">
        <v>541</v>
      </c>
    </row>
    <row r="1085" spans="1:30" x14ac:dyDescent="0.2">
      <c r="A1085" s="110">
        <v>1084</v>
      </c>
      <c r="B1085" s="132">
        <v>41843</v>
      </c>
      <c r="C1085" s="117">
        <v>3</v>
      </c>
      <c r="D1085" s="103" t="s">
        <v>70</v>
      </c>
      <c r="E1085" s="103" t="s">
        <v>306</v>
      </c>
      <c r="H1085" s="103"/>
      <c r="I1085" s="103">
        <v>43</v>
      </c>
      <c r="K1085" s="103" t="s">
        <v>365</v>
      </c>
      <c r="L1085" s="133"/>
      <c r="M1085" s="134">
        <v>1.3194444444444444E-2</v>
      </c>
      <c r="N1085" s="137" t="s">
        <v>1576</v>
      </c>
      <c r="O1085" s="133" t="s">
        <v>803</v>
      </c>
      <c r="Q1085" s="100" t="s">
        <v>3296</v>
      </c>
      <c r="R1085" s="226" t="s">
        <v>3320</v>
      </c>
      <c r="S1085" s="491" t="str">
        <f t="shared" si="33"/>
        <v>x</v>
      </c>
      <c r="T1085" s="492" t="str">
        <f>IFERROR(VLOOKUP(F1085,'Freq-Chan'!C:D,2,FALSE),"x")</f>
        <v>x</v>
      </c>
      <c r="U1085" s="110" t="s">
        <v>541</v>
      </c>
      <c r="V1085" s="110" t="str">
        <f t="shared" si="34"/>
        <v>FWL</v>
      </c>
      <c r="W1085" s="110" t="s">
        <v>541</v>
      </c>
      <c r="X1085" s="110" t="s">
        <v>541</v>
      </c>
      <c r="Y1085" s="110" t="str">
        <f>IFERROR(VLOOKUP(F1085,'Freq-Chan'!C:E,3,FALSE),"na")</f>
        <v>na</v>
      </c>
      <c r="Z1085" s="110" t="s">
        <v>541</v>
      </c>
      <c r="AA1085" s="110" t="s">
        <v>541</v>
      </c>
      <c r="AB1085" s="110" t="s">
        <v>541</v>
      </c>
      <c r="AC1085" s="10" t="s">
        <v>541</v>
      </c>
      <c r="AD1085" s="10" t="s">
        <v>541</v>
      </c>
    </row>
    <row r="1086" spans="1:30" x14ac:dyDescent="0.2">
      <c r="A1086" s="110">
        <v>1085</v>
      </c>
      <c r="B1086" s="132">
        <v>41843</v>
      </c>
      <c r="C1086" s="117">
        <v>3</v>
      </c>
      <c r="D1086" s="103" t="s">
        <v>70</v>
      </c>
      <c r="E1086" s="103" t="s">
        <v>306</v>
      </c>
      <c r="H1086" s="103"/>
      <c r="I1086" s="103">
        <v>44</v>
      </c>
      <c r="K1086" s="103" t="s">
        <v>365</v>
      </c>
      <c r="L1086" s="133"/>
      <c r="M1086" s="134">
        <v>1.0416666666666666E-2</v>
      </c>
      <c r="N1086" s="137" t="s">
        <v>3302</v>
      </c>
      <c r="O1086" s="133" t="s">
        <v>804</v>
      </c>
      <c r="Q1086" s="100" t="s">
        <v>3296</v>
      </c>
      <c r="R1086" s="226" t="s">
        <v>3320</v>
      </c>
      <c r="S1086" s="491" t="str">
        <f t="shared" si="33"/>
        <v>x</v>
      </c>
      <c r="T1086" s="492" t="str">
        <f>IFERROR(VLOOKUP(F1086,'Freq-Chan'!C:D,2,FALSE),"x")</f>
        <v>x</v>
      </c>
      <c r="U1086" s="110" t="s">
        <v>541</v>
      </c>
      <c r="V1086" s="110" t="str">
        <f t="shared" si="34"/>
        <v>FWL</v>
      </c>
      <c r="W1086" s="110" t="s">
        <v>541</v>
      </c>
      <c r="X1086" s="110" t="s">
        <v>541</v>
      </c>
      <c r="Y1086" s="110" t="str">
        <f>IFERROR(VLOOKUP(F1086,'Freq-Chan'!C:E,3,FALSE),"na")</f>
        <v>na</v>
      </c>
      <c r="Z1086" s="110" t="s">
        <v>541</v>
      </c>
      <c r="AA1086" s="110" t="s">
        <v>541</v>
      </c>
      <c r="AB1086" s="110" t="s">
        <v>541</v>
      </c>
      <c r="AC1086" s="10" t="s">
        <v>541</v>
      </c>
      <c r="AD1086" s="10" t="s">
        <v>541</v>
      </c>
    </row>
    <row r="1087" spans="1:30" x14ac:dyDescent="0.2">
      <c r="A1087" s="110">
        <v>1086</v>
      </c>
      <c r="B1087" s="132">
        <v>41843</v>
      </c>
      <c r="C1087" s="117">
        <v>3</v>
      </c>
      <c r="D1087" s="103" t="s">
        <v>8</v>
      </c>
      <c r="E1087" s="103" t="s">
        <v>306</v>
      </c>
      <c r="F1087" s="103">
        <v>573</v>
      </c>
      <c r="G1087" s="103">
        <v>63</v>
      </c>
      <c r="H1087" s="103" t="s">
        <v>2127</v>
      </c>
      <c r="I1087" s="103">
        <v>49</v>
      </c>
      <c r="K1087" s="103" t="s">
        <v>364</v>
      </c>
      <c r="L1087" s="133"/>
      <c r="M1087" s="134">
        <v>4.4444444444444446E-2</v>
      </c>
      <c r="N1087" s="137" t="s">
        <v>2017</v>
      </c>
      <c r="O1087" s="133" t="s">
        <v>804</v>
      </c>
      <c r="Q1087" s="100" t="s">
        <v>3296</v>
      </c>
      <c r="R1087" s="226" t="s">
        <v>3320</v>
      </c>
      <c r="S1087" s="491" t="str">
        <f t="shared" si="33"/>
        <v>x</v>
      </c>
      <c r="T1087" s="492">
        <f>IFERROR(VLOOKUP(F1087,'Freq-Chan'!C:D,2,FALSE),"x")</f>
        <v>151.57300000000001</v>
      </c>
      <c r="U1087" s="110" t="s">
        <v>541</v>
      </c>
      <c r="V1087" s="110" t="str">
        <f t="shared" si="34"/>
        <v>FWL</v>
      </c>
      <c r="W1087" s="110" t="s">
        <v>541</v>
      </c>
      <c r="X1087" s="110" t="s">
        <v>541</v>
      </c>
      <c r="Y1087" s="110" t="str">
        <f>IFERROR(VLOOKUP(F1087,'Freq-Chan'!C:E,3,FALSE),"na")</f>
        <v>F1840</v>
      </c>
      <c r="Z1087" s="110" t="s">
        <v>541</v>
      </c>
      <c r="AA1087" s="110" t="s">
        <v>541</v>
      </c>
      <c r="AB1087" s="110" t="s">
        <v>541</v>
      </c>
      <c r="AC1087" s="10" t="s">
        <v>541</v>
      </c>
      <c r="AD1087" s="10" t="s">
        <v>541</v>
      </c>
    </row>
    <row r="1088" spans="1:30" x14ac:dyDescent="0.2">
      <c r="A1088" s="110">
        <v>1087</v>
      </c>
      <c r="B1088" s="132">
        <v>41843</v>
      </c>
      <c r="C1088" s="117">
        <v>3</v>
      </c>
      <c r="D1088" s="103" t="s">
        <v>70</v>
      </c>
      <c r="E1088" s="103" t="s">
        <v>306</v>
      </c>
      <c r="H1088" s="103"/>
      <c r="I1088" s="103">
        <v>43</v>
      </c>
      <c r="K1088" s="103" t="s">
        <v>365</v>
      </c>
      <c r="L1088" s="133"/>
      <c r="M1088" s="134">
        <v>1.2499999999999999E-2</v>
      </c>
      <c r="N1088" s="137" t="s">
        <v>3303</v>
      </c>
      <c r="O1088" s="133" t="s">
        <v>804</v>
      </c>
      <c r="Q1088" s="100" t="s">
        <v>3296</v>
      </c>
      <c r="R1088" s="226" t="s">
        <v>3320</v>
      </c>
      <c r="S1088" s="491" t="str">
        <f t="shared" si="33"/>
        <v>x</v>
      </c>
      <c r="T1088" s="492" t="str">
        <f>IFERROR(VLOOKUP(F1088,'Freq-Chan'!C:D,2,FALSE),"x")</f>
        <v>x</v>
      </c>
      <c r="U1088" s="110" t="s">
        <v>541</v>
      </c>
      <c r="V1088" s="110" t="str">
        <f t="shared" si="34"/>
        <v>FWL</v>
      </c>
      <c r="W1088" s="110" t="s">
        <v>541</v>
      </c>
      <c r="X1088" s="110" t="s">
        <v>541</v>
      </c>
      <c r="Y1088" s="110" t="str">
        <f>IFERROR(VLOOKUP(F1088,'Freq-Chan'!C:E,3,FALSE),"na")</f>
        <v>na</v>
      </c>
      <c r="Z1088" s="110" t="s">
        <v>541</v>
      </c>
      <c r="AA1088" s="110" t="s">
        <v>541</v>
      </c>
      <c r="AB1088" s="110" t="s">
        <v>541</v>
      </c>
      <c r="AC1088" s="10" t="s">
        <v>541</v>
      </c>
      <c r="AD1088" s="10" t="s">
        <v>541</v>
      </c>
    </row>
    <row r="1089" spans="1:30" x14ac:dyDescent="0.2">
      <c r="A1089" s="110">
        <v>1088</v>
      </c>
      <c r="B1089" s="132">
        <v>41843</v>
      </c>
      <c r="C1089" s="117">
        <v>3</v>
      </c>
      <c r="D1089" s="103" t="s">
        <v>2</v>
      </c>
      <c r="E1089" s="103" t="s">
        <v>306</v>
      </c>
      <c r="F1089" s="103">
        <v>917</v>
      </c>
      <c r="G1089" s="103">
        <v>58</v>
      </c>
      <c r="H1089" s="103" t="s">
        <v>3304</v>
      </c>
      <c r="I1089" s="103">
        <v>65</v>
      </c>
      <c r="K1089" s="103" t="s">
        <v>364</v>
      </c>
      <c r="L1089" s="133">
        <v>0.53333333333333333</v>
      </c>
      <c r="M1089" s="134">
        <v>5.9027777777777783E-2</v>
      </c>
      <c r="N1089" s="137" t="s">
        <v>3305</v>
      </c>
      <c r="O1089" s="133" t="s">
        <v>803</v>
      </c>
      <c r="Q1089" s="100" t="s">
        <v>3296</v>
      </c>
      <c r="R1089" s="226" t="s">
        <v>3320</v>
      </c>
      <c r="S1089" s="491">
        <f t="shared" si="33"/>
        <v>2.4884259000000001E-3</v>
      </c>
      <c r="T1089" s="492">
        <f>IFERROR(VLOOKUP(F1089,'Freq-Chan'!C:D,2,FALSE),"x")</f>
        <v>151.917</v>
      </c>
      <c r="U1089" s="110" t="s">
        <v>541</v>
      </c>
      <c r="V1089" s="110" t="str">
        <f t="shared" si="34"/>
        <v>FWL</v>
      </c>
      <c r="W1089" s="110" t="s">
        <v>541</v>
      </c>
      <c r="X1089" s="110" t="s">
        <v>541</v>
      </c>
      <c r="Y1089" s="110" t="str">
        <f>IFERROR(VLOOKUP(F1089,'Freq-Chan'!C:E,3,FALSE),"na")</f>
        <v>F1835</v>
      </c>
      <c r="Z1089" s="110" t="s">
        <v>541</v>
      </c>
      <c r="AA1089" s="110" t="s">
        <v>541</v>
      </c>
      <c r="AB1089" s="110" t="s">
        <v>541</v>
      </c>
      <c r="AC1089" s="10" t="s">
        <v>541</v>
      </c>
      <c r="AD1089" s="10" t="s">
        <v>541</v>
      </c>
    </row>
    <row r="1090" spans="1:30" x14ac:dyDescent="0.2">
      <c r="A1090" s="110">
        <v>1089</v>
      </c>
      <c r="B1090" s="132">
        <v>41843</v>
      </c>
      <c r="C1090" s="103">
        <v>3</v>
      </c>
      <c r="D1090" s="103" t="s">
        <v>8</v>
      </c>
      <c r="E1090" s="103" t="s">
        <v>306</v>
      </c>
      <c r="F1090" s="103">
        <v>586</v>
      </c>
      <c r="G1090" s="103">
        <v>57</v>
      </c>
      <c r="H1090" s="137" t="s">
        <v>2103</v>
      </c>
      <c r="I1090" s="103">
        <v>52</v>
      </c>
      <c r="K1090" s="103" t="s">
        <v>364</v>
      </c>
      <c r="L1090" s="134">
        <v>0.55347222222222225</v>
      </c>
      <c r="M1090" s="134">
        <v>3.6111111111111115E-2</v>
      </c>
      <c r="N1090" s="137" t="s">
        <v>3316</v>
      </c>
      <c r="O1090" s="103" t="s">
        <v>803</v>
      </c>
      <c r="Q1090" s="100" t="s">
        <v>3296</v>
      </c>
      <c r="R1090" s="226" t="s">
        <v>3320</v>
      </c>
      <c r="S1090" s="491">
        <f t="shared" si="33"/>
        <v>2.8703703999999998E-3</v>
      </c>
      <c r="T1090" s="492">
        <f>IFERROR(VLOOKUP(F1090,'Freq-Chan'!C:D,2,FALSE),"x")</f>
        <v>151.58600000000001</v>
      </c>
      <c r="U1090" s="110" t="s">
        <v>541</v>
      </c>
      <c r="V1090" s="110" t="str">
        <f t="shared" si="34"/>
        <v>FWL</v>
      </c>
      <c r="W1090" s="110" t="s">
        <v>541</v>
      </c>
      <c r="X1090" s="110" t="s">
        <v>541</v>
      </c>
      <c r="Y1090" s="110" t="str">
        <f>IFERROR(VLOOKUP(F1090,'Freq-Chan'!C:E,3,FALSE),"na")</f>
        <v>F1840</v>
      </c>
      <c r="Z1090" s="110" t="s">
        <v>541</v>
      </c>
      <c r="AA1090" s="110" t="s">
        <v>541</v>
      </c>
      <c r="AB1090" s="110" t="s">
        <v>541</v>
      </c>
      <c r="AC1090" s="10" t="s">
        <v>541</v>
      </c>
      <c r="AD1090" s="10" t="s">
        <v>541</v>
      </c>
    </row>
    <row r="1091" spans="1:30" x14ac:dyDescent="0.2">
      <c r="A1091" s="110">
        <v>1090</v>
      </c>
      <c r="B1091" s="132">
        <v>41843</v>
      </c>
      <c r="C1091" s="117">
        <v>3</v>
      </c>
      <c r="D1091" s="103" t="s">
        <v>71</v>
      </c>
      <c r="E1091" s="103" t="s">
        <v>306</v>
      </c>
      <c r="F1091" s="103">
        <v>564</v>
      </c>
      <c r="G1091" s="103">
        <v>35</v>
      </c>
      <c r="H1091" s="103" t="s">
        <v>2301</v>
      </c>
      <c r="I1091" s="103">
        <v>57</v>
      </c>
      <c r="K1091" s="103" t="s">
        <v>364</v>
      </c>
      <c r="L1091" s="133"/>
      <c r="M1091" s="134">
        <v>4.027777777777778E-2</v>
      </c>
      <c r="N1091" s="137" t="s">
        <v>1800</v>
      </c>
      <c r="O1091" s="133" t="s">
        <v>555</v>
      </c>
      <c r="P1091" s="100" t="s">
        <v>3317</v>
      </c>
      <c r="Q1091" s="100" t="s">
        <v>3306</v>
      </c>
      <c r="R1091" s="226" t="s">
        <v>3320</v>
      </c>
      <c r="S1091" s="491" t="str">
        <f t="shared" ref="S1091:S1154" si="35">IF(IF(OR(L1091=0,N1091=0),"x",ROUND(N1091-L1091-(M1091*24)/(24*60),10))&lt;0,0,IF(OR(L1091=0,N1091=0),"x",ROUND(N1091-L1091-(M1091*24)/(24*60),10)))</f>
        <v>x</v>
      </c>
      <c r="T1091" s="492">
        <f>IFERROR(VLOOKUP(F1091,'Freq-Chan'!C:D,2,FALSE),"x")</f>
        <v>151.56399999999999</v>
      </c>
      <c r="U1091" s="110" t="s">
        <v>541</v>
      </c>
      <c r="V1091" s="110" t="str">
        <f t="shared" ref="V1091:V1154" si="36">IF(OR(C1091=1,C1091=2,C1091=3),"FWL","NRD")</f>
        <v>FWL</v>
      </c>
      <c r="W1091" s="110" t="s">
        <v>541</v>
      </c>
      <c r="X1091" s="110" t="s">
        <v>541</v>
      </c>
      <c r="Y1091" s="110" t="str">
        <f>IFERROR(VLOOKUP(F1091,'Freq-Chan'!C:E,3,FALSE),"na")</f>
        <v>F1840</v>
      </c>
      <c r="Z1091" s="110" t="s">
        <v>541</v>
      </c>
      <c r="AA1091" s="110" t="s">
        <v>541</v>
      </c>
      <c r="AB1091" s="110" t="s">
        <v>541</v>
      </c>
      <c r="AC1091" s="10" t="s">
        <v>541</v>
      </c>
      <c r="AD1091" s="10" t="s">
        <v>541</v>
      </c>
    </row>
    <row r="1092" spans="1:30" x14ac:dyDescent="0.2">
      <c r="A1092" s="110">
        <v>1091</v>
      </c>
      <c r="B1092" s="132">
        <v>41843</v>
      </c>
      <c r="C1092" s="117">
        <v>3</v>
      </c>
      <c r="D1092" s="103" t="s">
        <v>71</v>
      </c>
      <c r="E1092" s="103" t="s">
        <v>306</v>
      </c>
      <c r="F1092" s="103">
        <v>534</v>
      </c>
      <c r="G1092" s="103">
        <v>32</v>
      </c>
      <c r="H1092" s="103" t="s">
        <v>2306</v>
      </c>
      <c r="I1092" s="103">
        <v>57</v>
      </c>
      <c r="K1092" s="103" t="s">
        <v>364</v>
      </c>
      <c r="L1092" s="133"/>
      <c r="M1092" s="134">
        <v>3.888888888888889E-2</v>
      </c>
      <c r="N1092" s="137" t="s">
        <v>3307</v>
      </c>
      <c r="O1092" s="133" t="s">
        <v>555</v>
      </c>
      <c r="P1092" s="100" t="s">
        <v>3317</v>
      </c>
      <c r="Q1092" s="100" t="s">
        <v>3306</v>
      </c>
      <c r="R1092" s="226" t="s">
        <v>3320</v>
      </c>
      <c r="S1092" s="491" t="str">
        <f t="shared" si="35"/>
        <v>x</v>
      </c>
      <c r="T1092" s="492">
        <f>IFERROR(VLOOKUP(F1092,'Freq-Chan'!C:D,2,FALSE),"x")</f>
        <v>151.53399999999999</v>
      </c>
      <c r="U1092" s="110" t="s">
        <v>541</v>
      </c>
      <c r="V1092" s="110" t="str">
        <f t="shared" si="36"/>
        <v>FWL</v>
      </c>
      <c r="W1092" s="110" t="s">
        <v>541</v>
      </c>
      <c r="X1092" s="110" t="s">
        <v>541</v>
      </c>
      <c r="Y1092" s="110" t="str">
        <f>IFERROR(VLOOKUP(F1092,'Freq-Chan'!C:E,3,FALSE),"na")</f>
        <v>F1840</v>
      </c>
      <c r="Z1092" s="110" t="s">
        <v>541</v>
      </c>
      <c r="AA1092" s="110" t="s">
        <v>541</v>
      </c>
      <c r="AB1092" s="110" t="s">
        <v>541</v>
      </c>
      <c r="AC1092" s="10" t="s">
        <v>541</v>
      </c>
      <c r="AD1092" s="10" t="s">
        <v>541</v>
      </c>
    </row>
    <row r="1093" spans="1:30" x14ac:dyDescent="0.2">
      <c r="A1093" s="110">
        <v>1092</v>
      </c>
      <c r="B1093" s="132">
        <v>41843</v>
      </c>
      <c r="C1093" s="117">
        <v>3</v>
      </c>
      <c r="D1093" s="103" t="s">
        <v>70</v>
      </c>
      <c r="E1093" s="103" t="s">
        <v>306</v>
      </c>
      <c r="H1093" s="103"/>
      <c r="I1093" s="103">
        <v>45</v>
      </c>
      <c r="K1093" s="103" t="s">
        <v>364</v>
      </c>
      <c r="L1093" s="133"/>
      <c r="M1093" s="134">
        <v>1.7361111111111112E-2</v>
      </c>
      <c r="N1093" s="137" t="s">
        <v>1939</v>
      </c>
      <c r="O1093" s="133" t="s">
        <v>1663</v>
      </c>
      <c r="Q1093" s="100" t="s">
        <v>3306</v>
      </c>
      <c r="R1093" s="226" t="s">
        <v>3320</v>
      </c>
      <c r="S1093" s="491" t="str">
        <f t="shared" si="35"/>
        <v>x</v>
      </c>
      <c r="T1093" s="492" t="str">
        <f>IFERROR(VLOOKUP(F1093,'Freq-Chan'!C:D,2,FALSE),"x")</f>
        <v>x</v>
      </c>
      <c r="U1093" s="110" t="s">
        <v>541</v>
      </c>
      <c r="V1093" s="110" t="str">
        <f t="shared" si="36"/>
        <v>FWL</v>
      </c>
      <c r="W1093" s="110" t="s">
        <v>541</v>
      </c>
      <c r="X1093" s="110" t="s">
        <v>541</v>
      </c>
      <c r="Y1093" s="110" t="str">
        <f>IFERROR(VLOOKUP(F1093,'Freq-Chan'!C:E,3,FALSE),"na")</f>
        <v>na</v>
      </c>
      <c r="Z1093" s="110" t="s">
        <v>541</v>
      </c>
      <c r="AA1093" s="110" t="s">
        <v>541</v>
      </c>
      <c r="AB1093" s="110" t="s">
        <v>541</v>
      </c>
      <c r="AC1093" s="10" t="s">
        <v>541</v>
      </c>
      <c r="AD1093" s="10" t="s">
        <v>541</v>
      </c>
    </row>
    <row r="1094" spans="1:30" x14ac:dyDescent="0.2">
      <c r="A1094" s="110">
        <v>1093</v>
      </c>
      <c r="B1094" s="132">
        <v>41843</v>
      </c>
      <c r="C1094" s="117">
        <v>3</v>
      </c>
      <c r="D1094" s="103" t="s">
        <v>71</v>
      </c>
      <c r="E1094" s="103" t="s">
        <v>306</v>
      </c>
      <c r="H1094" s="103"/>
      <c r="I1094" s="103">
        <v>67</v>
      </c>
      <c r="K1094" s="103" t="s">
        <v>364</v>
      </c>
      <c r="L1094" s="133"/>
      <c r="M1094" s="134">
        <v>1.8055555555555557E-2</v>
      </c>
      <c r="N1094" s="137" t="s">
        <v>3308</v>
      </c>
      <c r="O1094" s="133" t="s">
        <v>1663</v>
      </c>
      <c r="Q1094" s="100" t="s">
        <v>3306</v>
      </c>
      <c r="R1094" s="226" t="s">
        <v>3320</v>
      </c>
      <c r="S1094" s="491" t="str">
        <f t="shared" si="35"/>
        <v>x</v>
      </c>
      <c r="T1094" s="492" t="str">
        <f>IFERROR(VLOOKUP(F1094,'Freq-Chan'!C:D,2,FALSE),"x")</f>
        <v>x</v>
      </c>
      <c r="U1094" s="110" t="s">
        <v>541</v>
      </c>
      <c r="V1094" s="110" t="str">
        <f t="shared" si="36"/>
        <v>FWL</v>
      </c>
      <c r="W1094" s="110" t="s">
        <v>541</v>
      </c>
      <c r="X1094" s="110" t="s">
        <v>541</v>
      </c>
      <c r="Y1094" s="110" t="str">
        <f>IFERROR(VLOOKUP(F1094,'Freq-Chan'!C:E,3,FALSE),"na")</f>
        <v>na</v>
      </c>
      <c r="Z1094" s="110" t="s">
        <v>541</v>
      </c>
      <c r="AA1094" s="110" t="s">
        <v>541</v>
      </c>
      <c r="AB1094" s="110" t="s">
        <v>541</v>
      </c>
      <c r="AC1094" s="10" t="s">
        <v>541</v>
      </c>
      <c r="AD1094" s="10" t="s">
        <v>541</v>
      </c>
    </row>
    <row r="1095" spans="1:30" x14ac:dyDescent="0.2">
      <c r="A1095" s="110">
        <v>1094</v>
      </c>
      <c r="B1095" s="132">
        <v>41843</v>
      </c>
      <c r="C1095" s="117">
        <v>3</v>
      </c>
      <c r="D1095" s="103" t="s">
        <v>70</v>
      </c>
      <c r="E1095" s="103" t="s">
        <v>306</v>
      </c>
      <c r="H1095" s="103"/>
      <c r="I1095" s="103">
        <v>41</v>
      </c>
      <c r="K1095" s="103" t="s">
        <v>364</v>
      </c>
      <c r="L1095" s="133">
        <v>0.61249999999999993</v>
      </c>
      <c r="M1095" s="134">
        <v>1.4583333333333332E-2</v>
      </c>
      <c r="N1095" s="137" t="s">
        <v>3309</v>
      </c>
      <c r="O1095" s="133" t="s">
        <v>1663</v>
      </c>
      <c r="Q1095" s="100" t="s">
        <v>3306</v>
      </c>
      <c r="R1095" s="226" t="s">
        <v>3320</v>
      </c>
      <c r="S1095" s="491">
        <f t="shared" si="35"/>
        <v>1.1458333000000001E-3</v>
      </c>
      <c r="T1095" s="492" t="str">
        <f>IFERROR(VLOOKUP(F1095,'Freq-Chan'!C:D,2,FALSE),"x")</f>
        <v>x</v>
      </c>
      <c r="U1095" s="110" t="s">
        <v>541</v>
      </c>
      <c r="V1095" s="110" t="str">
        <f t="shared" si="36"/>
        <v>FWL</v>
      </c>
      <c r="W1095" s="110" t="s">
        <v>541</v>
      </c>
      <c r="X1095" s="110" t="s">
        <v>541</v>
      </c>
      <c r="Y1095" s="110" t="str">
        <f>IFERROR(VLOOKUP(F1095,'Freq-Chan'!C:E,3,FALSE),"na")</f>
        <v>na</v>
      </c>
      <c r="Z1095" s="110" t="s">
        <v>541</v>
      </c>
      <c r="AA1095" s="110" t="s">
        <v>541</v>
      </c>
      <c r="AB1095" s="110" t="s">
        <v>541</v>
      </c>
      <c r="AC1095" s="10" t="s">
        <v>541</v>
      </c>
      <c r="AD1095" s="10" t="s">
        <v>541</v>
      </c>
    </row>
    <row r="1096" spans="1:30" x14ac:dyDescent="0.2">
      <c r="A1096" s="110">
        <v>1095</v>
      </c>
      <c r="B1096" s="132">
        <v>41843</v>
      </c>
      <c r="C1096" s="117">
        <v>3</v>
      </c>
      <c r="D1096" s="103" t="s">
        <v>8</v>
      </c>
      <c r="E1096" s="103" t="s">
        <v>306</v>
      </c>
      <c r="F1096" s="103">
        <v>573</v>
      </c>
      <c r="G1096" s="103">
        <v>12</v>
      </c>
      <c r="H1096" s="103" t="s">
        <v>2102</v>
      </c>
      <c r="I1096" s="103">
        <v>46</v>
      </c>
      <c r="K1096" s="103" t="s">
        <v>364</v>
      </c>
      <c r="L1096" s="133">
        <v>0.64652777777777781</v>
      </c>
      <c r="M1096" s="134">
        <v>3.3333333333333333E-2</v>
      </c>
      <c r="N1096" s="137" t="s">
        <v>3310</v>
      </c>
      <c r="O1096" s="133" t="s">
        <v>555</v>
      </c>
      <c r="P1096" s="100" t="s">
        <v>3317</v>
      </c>
      <c r="Q1096" s="100" t="s">
        <v>3306</v>
      </c>
      <c r="R1096" s="226" t="s">
        <v>3320</v>
      </c>
      <c r="S1096" s="491">
        <f t="shared" si="35"/>
        <v>1.5277778E-3</v>
      </c>
      <c r="T1096" s="492">
        <f>IFERROR(VLOOKUP(F1096,'Freq-Chan'!C:D,2,FALSE),"x")</f>
        <v>151.57300000000001</v>
      </c>
      <c r="U1096" s="110" t="s">
        <v>541</v>
      </c>
      <c r="V1096" s="110" t="str">
        <f t="shared" si="36"/>
        <v>FWL</v>
      </c>
      <c r="W1096" s="110" t="s">
        <v>541</v>
      </c>
      <c r="X1096" s="110" t="s">
        <v>541</v>
      </c>
      <c r="Y1096" s="110" t="str">
        <f>IFERROR(VLOOKUP(F1096,'Freq-Chan'!C:E,3,FALSE),"na")</f>
        <v>F1840</v>
      </c>
      <c r="Z1096" s="110" t="s">
        <v>541</v>
      </c>
      <c r="AA1096" s="110" t="s">
        <v>541</v>
      </c>
      <c r="AB1096" s="110" t="s">
        <v>541</v>
      </c>
      <c r="AC1096" s="10" t="s">
        <v>541</v>
      </c>
      <c r="AD1096" s="10" t="s">
        <v>541</v>
      </c>
    </row>
    <row r="1097" spans="1:30" x14ac:dyDescent="0.2">
      <c r="A1097" s="110">
        <v>1096</v>
      </c>
      <c r="B1097" s="132">
        <v>41843</v>
      </c>
      <c r="C1097" s="117">
        <v>3</v>
      </c>
      <c r="D1097" s="103" t="s">
        <v>8</v>
      </c>
      <c r="E1097" s="103" t="s">
        <v>306</v>
      </c>
      <c r="F1097" s="103">
        <v>573</v>
      </c>
      <c r="G1097" s="103">
        <v>46</v>
      </c>
      <c r="H1097" s="103" t="s">
        <v>2145</v>
      </c>
      <c r="I1097" s="103">
        <v>53</v>
      </c>
      <c r="K1097" s="103" t="s">
        <v>364</v>
      </c>
      <c r="L1097" s="133"/>
      <c r="M1097" s="134">
        <v>3.2638888888888891E-2</v>
      </c>
      <c r="N1097" s="137" t="s">
        <v>3311</v>
      </c>
      <c r="O1097" s="133" t="s">
        <v>555</v>
      </c>
      <c r="P1097" s="100" t="s">
        <v>3317</v>
      </c>
      <c r="Q1097" s="100" t="s">
        <v>3306</v>
      </c>
      <c r="R1097" s="226" t="s">
        <v>3320</v>
      </c>
      <c r="S1097" s="491" t="str">
        <f t="shared" si="35"/>
        <v>x</v>
      </c>
      <c r="T1097" s="492">
        <f>IFERROR(VLOOKUP(F1097,'Freq-Chan'!C:D,2,FALSE),"x")</f>
        <v>151.57300000000001</v>
      </c>
      <c r="U1097" s="110" t="s">
        <v>541</v>
      </c>
      <c r="V1097" s="110" t="str">
        <f t="shared" si="36"/>
        <v>FWL</v>
      </c>
      <c r="W1097" s="110" t="s">
        <v>541</v>
      </c>
      <c r="X1097" s="110" t="s">
        <v>541</v>
      </c>
      <c r="Y1097" s="110" t="str">
        <f>IFERROR(VLOOKUP(F1097,'Freq-Chan'!C:E,3,FALSE),"na")</f>
        <v>F1840</v>
      </c>
      <c r="Z1097" s="110" t="s">
        <v>541</v>
      </c>
      <c r="AA1097" s="110" t="s">
        <v>541</v>
      </c>
      <c r="AB1097" s="110" t="s">
        <v>541</v>
      </c>
      <c r="AC1097" s="10" t="s">
        <v>541</v>
      </c>
      <c r="AD1097" s="10" t="s">
        <v>541</v>
      </c>
    </row>
    <row r="1098" spans="1:30" x14ac:dyDescent="0.2">
      <c r="A1098" s="110">
        <v>1097</v>
      </c>
      <c r="B1098" s="132">
        <v>41843</v>
      </c>
      <c r="C1098" s="117">
        <v>3</v>
      </c>
      <c r="D1098" s="103" t="s">
        <v>70</v>
      </c>
      <c r="E1098" s="103" t="s">
        <v>306</v>
      </c>
      <c r="H1098" s="103"/>
      <c r="I1098" s="103">
        <v>46</v>
      </c>
      <c r="K1098" s="103" t="s">
        <v>364</v>
      </c>
      <c r="L1098" s="133"/>
      <c r="M1098" s="134">
        <v>1.8749999999999999E-2</v>
      </c>
      <c r="N1098" s="137" t="s">
        <v>3312</v>
      </c>
      <c r="O1098" s="133" t="s">
        <v>555</v>
      </c>
      <c r="Q1098" s="100" t="s">
        <v>3306</v>
      </c>
      <c r="R1098" s="226" t="s">
        <v>3320</v>
      </c>
      <c r="S1098" s="491" t="str">
        <f t="shared" si="35"/>
        <v>x</v>
      </c>
      <c r="T1098" s="492" t="str">
        <f>IFERROR(VLOOKUP(F1098,'Freq-Chan'!C:D,2,FALSE),"x")</f>
        <v>x</v>
      </c>
      <c r="U1098" s="110" t="s">
        <v>541</v>
      </c>
      <c r="V1098" s="110" t="str">
        <f t="shared" si="36"/>
        <v>FWL</v>
      </c>
      <c r="W1098" s="110" t="s">
        <v>541</v>
      </c>
      <c r="X1098" s="110" t="s">
        <v>541</v>
      </c>
      <c r="Y1098" s="110" t="str">
        <f>IFERROR(VLOOKUP(F1098,'Freq-Chan'!C:E,3,FALSE),"na")</f>
        <v>na</v>
      </c>
      <c r="Z1098" s="110" t="s">
        <v>541</v>
      </c>
      <c r="AA1098" s="110" t="s">
        <v>541</v>
      </c>
      <c r="AB1098" s="110" t="s">
        <v>541</v>
      </c>
      <c r="AC1098" s="10" t="s">
        <v>541</v>
      </c>
      <c r="AD1098" s="10" t="s">
        <v>541</v>
      </c>
    </row>
    <row r="1099" spans="1:30" x14ac:dyDescent="0.2">
      <c r="A1099" s="110">
        <v>1098</v>
      </c>
      <c r="B1099" s="132">
        <v>41843</v>
      </c>
      <c r="C1099" s="117">
        <v>3</v>
      </c>
      <c r="D1099" s="103" t="s">
        <v>88</v>
      </c>
      <c r="E1099" s="103" t="s">
        <v>798</v>
      </c>
      <c r="H1099" s="103"/>
      <c r="J1099" s="103">
        <v>37</v>
      </c>
      <c r="K1099" s="103" t="s">
        <v>364</v>
      </c>
      <c r="L1099" s="133"/>
      <c r="M1099" s="134">
        <v>1.4583333333333332E-2</v>
      </c>
      <c r="N1099" s="137" t="s">
        <v>1851</v>
      </c>
      <c r="O1099" s="133" t="s">
        <v>1663</v>
      </c>
      <c r="Q1099" s="100" t="s">
        <v>3306</v>
      </c>
      <c r="R1099" s="226" t="s">
        <v>3320</v>
      </c>
      <c r="S1099" s="491" t="str">
        <f t="shared" si="35"/>
        <v>x</v>
      </c>
      <c r="T1099" s="492" t="str">
        <f>IFERROR(VLOOKUP(F1099,'Freq-Chan'!C:D,2,FALSE),"x")</f>
        <v>x</v>
      </c>
      <c r="U1099" s="110" t="s">
        <v>541</v>
      </c>
      <c r="V1099" s="110" t="str">
        <f t="shared" si="36"/>
        <v>FWL</v>
      </c>
      <c r="W1099" s="110" t="s">
        <v>541</v>
      </c>
      <c r="X1099" s="110" t="s">
        <v>541</v>
      </c>
      <c r="Y1099" s="110" t="str">
        <f>IFERROR(VLOOKUP(F1099,'Freq-Chan'!C:E,3,FALSE),"na")</f>
        <v>na</v>
      </c>
      <c r="Z1099" s="110" t="s">
        <v>541</v>
      </c>
      <c r="AA1099" s="110" t="s">
        <v>541</v>
      </c>
      <c r="AB1099" s="110" t="s">
        <v>541</v>
      </c>
      <c r="AC1099" s="10" t="s">
        <v>541</v>
      </c>
      <c r="AD1099" s="10" t="s">
        <v>541</v>
      </c>
    </row>
    <row r="1100" spans="1:30" x14ac:dyDescent="0.2">
      <c r="A1100" s="110">
        <v>1099</v>
      </c>
      <c r="B1100" s="132">
        <v>41843</v>
      </c>
      <c r="C1100" s="117">
        <v>3</v>
      </c>
      <c r="D1100" s="103" t="s">
        <v>70</v>
      </c>
      <c r="E1100" s="103" t="s">
        <v>306</v>
      </c>
      <c r="H1100" s="103"/>
      <c r="I1100" s="103">
        <v>48</v>
      </c>
      <c r="K1100" s="103" t="s">
        <v>364</v>
      </c>
      <c r="L1100" s="133">
        <v>0.67569444444444438</v>
      </c>
      <c r="M1100" s="134">
        <v>1.3888888888888888E-2</v>
      </c>
      <c r="N1100" s="137" t="s">
        <v>1986</v>
      </c>
      <c r="O1100" s="133" t="s">
        <v>1663</v>
      </c>
      <c r="Q1100" s="100" t="s">
        <v>3306</v>
      </c>
      <c r="R1100" s="226" t="s">
        <v>3320</v>
      </c>
      <c r="S1100" s="491">
        <f t="shared" si="35"/>
        <v>1.8518518999999999E-3</v>
      </c>
      <c r="T1100" s="492" t="str">
        <f>IFERROR(VLOOKUP(F1100,'Freq-Chan'!C:D,2,FALSE),"x")</f>
        <v>x</v>
      </c>
      <c r="U1100" s="110" t="s">
        <v>541</v>
      </c>
      <c r="V1100" s="110" t="str">
        <f t="shared" si="36"/>
        <v>FWL</v>
      </c>
      <c r="W1100" s="110" t="s">
        <v>541</v>
      </c>
      <c r="X1100" s="110" t="s">
        <v>541</v>
      </c>
      <c r="Y1100" s="110" t="str">
        <f>IFERROR(VLOOKUP(F1100,'Freq-Chan'!C:E,3,FALSE),"na")</f>
        <v>na</v>
      </c>
      <c r="Z1100" s="110" t="s">
        <v>541</v>
      </c>
      <c r="AA1100" s="110" t="s">
        <v>541</v>
      </c>
      <c r="AB1100" s="110" t="s">
        <v>541</v>
      </c>
      <c r="AC1100" s="10" t="s">
        <v>541</v>
      </c>
      <c r="AD1100" s="10" t="s">
        <v>541</v>
      </c>
    </row>
    <row r="1101" spans="1:30" x14ac:dyDescent="0.2">
      <c r="A1101" s="110">
        <v>1100</v>
      </c>
      <c r="B1101" s="132">
        <v>41843</v>
      </c>
      <c r="C1101" s="117">
        <v>3</v>
      </c>
      <c r="D1101" s="103" t="s">
        <v>70</v>
      </c>
      <c r="E1101" s="103" t="s">
        <v>306</v>
      </c>
      <c r="H1101" s="103"/>
      <c r="I1101" s="103">
        <v>49</v>
      </c>
      <c r="K1101" s="103" t="s">
        <v>364</v>
      </c>
      <c r="L1101" s="133"/>
      <c r="M1101" s="134">
        <v>2.4305555555555556E-2</v>
      </c>
      <c r="N1101" s="137" t="s">
        <v>3313</v>
      </c>
      <c r="O1101" s="133" t="s">
        <v>1663</v>
      </c>
      <c r="Q1101" s="100" t="s">
        <v>3306</v>
      </c>
      <c r="R1101" s="226" t="s">
        <v>3320</v>
      </c>
      <c r="S1101" s="491" t="str">
        <f t="shared" si="35"/>
        <v>x</v>
      </c>
      <c r="T1101" s="492" t="str">
        <f>IFERROR(VLOOKUP(F1101,'Freq-Chan'!C:D,2,FALSE),"x")</f>
        <v>x</v>
      </c>
      <c r="U1101" s="110" t="s">
        <v>541</v>
      </c>
      <c r="V1101" s="110" t="str">
        <f t="shared" si="36"/>
        <v>FWL</v>
      </c>
      <c r="W1101" s="110" t="s">
        <v>541</v>
      </c>
      <c r="X1101" s="110" t="s">
        <v>541</v>
      </c>
      <c r="Y1101" s="110" t="str">
        <f>IFERROR(VLOOKUP(F1101,'Freq-Chan'!C:E,3,FALSE),"na")</f>
        <v>na</v>
      </c>
      <c r="Z1101" s="110" t="s">
        <v>541</v>
      </c>
      <c r="AA1101" s="110" t="s">
        <v>541</v>
      </c>
      <c r="AB1101" s="110" t="s">
        <v>541</v>
      </c>
      <c r="AC1101" s="10" t="s">
        <v>541</v>
      </c>
      <c r="AD1101" s="10" t="s">
        <v>541</v>
      </c>
    </row>
    <row r="1102" spans="1:30" x14ac:dyDescent="0.2">
      <c r="A1102" s="110">
        <v>1101</v>
      </c>
      <c r="B1102" s="132">
        <v>41843</v>
      </c>
      <c r="C1102" s="117">
        <v>3</v>
      </c>
      <c r="D1102" s="103" t="s">
        <v>70</v>
      </c>
      <c r="E1102" s="103" t="s">
        <v>306</v>
      </c>
      <c r="H1102" s="103"/>
      <c r="I1102" s="103">
        <v>46</v>
      </c>
      <c r="K1102" s="103" t="s">
        <v>364</v>
      </c>
      <c r="L1102" s="133"/>
      <c r="M1102" s="134">
        <v>1.6666666666666666E-2</v>
      </c>
      <c r="N1102" s="137" t="s">
        <v>880</v>
      </c>
      <c r="O1102" s="133" t="s">
        <v>555</v>
      </c>
      <c r="Q1102" s="100" t="s">
        <v>3306</v>
      </c>
      <c r="R1102" s="226" t="s">
        <v>3320</v>
      </c>
      <c r="S1102" s="491" t="str">
        <f t="shared" si="35"/>
        <v>x</v>
      </c>
      <c r="T1102" s="492" t="str">
        <f>IFERROR(VLOOKUP(F1102,'Freq-Chan'!C:D,2,FALSE),"x")</f>
        <v>x</v>
      </c>
      <c r="U1102" s="110" t="s">
        <v>541</v>
      </c>
      <c r="V1102" s="110" t="str">
        <f t="shared" si="36"/>
        <v>FWL</v>
      </c>
      <c r="W1102" s="110" t="s">
        <v>541</v>
      </c>
      <c r="X1102" s="110" t="s">
        <v>541</v>
      </c>
      <c r="Y1102" s="110" t="str">
        <f>IFERROR(VLOOKUP(F1102,'Freq-Chan'!C:E,3,FALSE),"na")</f>
        <v>na</v>
      </c>
      <c r="Z1102" s="110" t="s">
        <v>541</v>
      </c>
      <c r="AA1102" s="110" t="s">
        <v>541</v>
      </c>
      <c r="AB1102" s="110" t="s">
        <v>541</v>
      </c>
      <c r="AC1102" s="10" t="s">
        <v>541</v>
      </c>
      <c r="AD1102" s="10" t="s">
        <v>541</v>
      </c>
    </row>
    <row r="1103" spans="1:30" x14ac:dyDescent="0.2">
      <c r="A1103" s="110">
        <v>1102</v>
      </c>
      <c r="B1103" s="132">
        <v>41843</v>
      </c>
      <c r="C1103" s="117">
        <v>3</v>
      </c>
      <c r="D1103" s="103" t="s">
        <v>70</v>
      </c>
      <c r="E1103" s="103" t="s">
        <v>306</v>
      </c>
      <c r="H1103" s="103"/>
      <c r="I1103" s="103">
        <v>46</v>
      </c>
      <c r="K1103" s="103" t="s">
        <v>364</v>
      </c>
      <c r="L1103" s="133"/>
      <c r="M1103" s="134">
        <v>1.5972222222222224E-2</v>
      </c>
      <c r="N1103" s="137" t="s">
        <v>2596</v>
      </c>
      <c r="O1103" s="133" t="s">
        <v>1663</v>
      </c>
      <c r="Q1103" s="100" t="s">
        <v>3306</v>
      </c>
      <c r="R1103" s="226" t="s">
        <v>3320</v>
      </c>
      <c r="S1103" s="491" t="str">
        <f t="shared" si="35"/>
        <v>x</v>
      </c>
      <c r="T1103" s="492" t="str">
        <f>IFERROR(VLOOKUP(F1103,'Freq-Chan'!C:D,2,FALSE),"x")</f>
        <v>x</v>
      </c>
      <c r="U1103" s="110" t="s">
        <v>541</v>
      </c>
      <c r="V1103" s="110" t="str">
        <f t="shared" si="36"/>
        <v>FWL</v>
      </c>
      <c r="W1103" s="110" t="s">
        <v>541</v>
      </c>
      <c r="X1103" s="110" t="s">
        <v>541</v>
      </c>
      <c r="Y1103" s="110" t="str">
        <f>IFERROR(VLOOKUP(F1103,'Freq-Chan'!C:E,3,FALSE),"na")</f>
        <v>na</v>
      </c>
      <c r="Z1103" s="110" t="s">
        <v>541</v>
      </c>
      <c r="AA1103" s="110" t="s">
        <v>541</v>
      </c>
      <c r="AB1103" s="110" t="s">
        <v>541</v>
      </c>
      <c r="AC1103" s="10" t="s">
        <v>541</v>
      </c>
      <c r="AD1103" s="10" t="s">
        <v>541</v>
      </c>
    </row>
    <row r="1104" spans="1:30" x14ac:dyDescent="0.2">
      <c r="A1104" s="110">
        <v>1103</v>
      </c>
      <c r="B1104" s="132">
        <v>41843</v>
      </c>
      <c r="C1104" s="117">
        <v>3</v>
      </c>
      <c r="D1104" s="103" t="s">
        <v>70</v>
      </c>
      <c r="E1104" s="103" t="s">
        <v>306</v>
      </c>
      <c r="H1104" s="103"/>
      <c r="I1104" s="103">
        <v>46</v>
      </c>
      <c r="K1104" s="103" t="s">
        <v>364</v>
      </c>
      <c r="L1104" s="133"/>
      <c r="M1104" s="134">
        <v>1.3888888888888888E-2</v>
      </c>
      <c r="N1104" s="137" t="s">
        <v>1914</v>
      </c>
      <c r="O1104" s="133" t="s">
        <v>1663</v>
      </c>
      <c r="Q1104" s="100" t="s">
        <v>3306</v>
      </c>
      <c r="R1104" s="226" t="s">
        <v>3320</v>
      </c>
      <c r="S1104" s="491" t="str">
        <f t="shared" si="35"/>
        <v>x</v>
      </c>
      <c r="T1104" s="492" t="str">
        <f>IFERROR(VLOOKUP(F1104,'Freq-Chan'!C:D,2,FALSE),"x")</f>
        <v>x</v>
      </c>
      <c r="U1104" s="110" t="s">
        <v>541</v>
      </c>
      <c r="V1104" s="110" t="str">
        <f t="shared" si="36"/>
        <v>FWL</v>
      </c>
      <c r="W1104" s="110" t="s">
        <v>541</v>
      </c>
      <c r="X1104" s="110" t="s">
        <v>541</v>
      </c>
      <c r="Y1104" s="110" t="str">
        <f>IFERROR(VLOOKUP(F1104,'Freq-Chan'!C:E,3,FALSE),"na")</f>
        <v>na</v>
      </c>
      <c r="Z1104" s="110" t="s">
        <v>541</v>
      </c>
      <c r="AA1104" s="110" t="s">
        <v>541</v>
      </c>
      <c r="AB1104" s="110" t="s">
        <v>541</v>
      </c>
      <c r="AC1104" s="10" t="s">
        <v>541</v>
      </c>
      <c r="AD1104" s="10" t="s">
        <v>541</v>
      </c>
    </row>
    <row r="1105" spans="1:30" x14ac:dyDescent="0.2">
      <c r="A1105" s="110">
        <v>1104</v>
      </c>
      <c r="B1105" s="132">
        <v>41843</v>
      </c>
      <c r="C1105" s="117">
        <v>3</v>
      </c>
      <c r="D1105" s="103" t="s">
        <v>88</v>
      </c>
      <c r="E1105" s="103" t="s">
        <v>798</v>
      </c>
      <c r="H1105" s="103"/>
      <c r="J1105" s="103">
        <v>28</v>
      </c>
      <c r="K1105" s="103" t="s">
        <v>364</v>
      </c>
      <c r="L1105" s="133"/>
      <c r="M1105" s="134">
        <v>1.9444444444444445E-2</v>
      </c>
      <c r="N1105" s="137" t="s">
        <v>3314</v>
      </c>
      <c r="O1105" s="133" t="s">
        <v>555</v>
      </c>
      <c r="Q1105" s="100" t="s">
        <v>3306</v>
      </c>
      <c r="R1105" s="226" t="s">
        <v>3320</v>
      </c>
      <c r="S1105" s="491" t="str">
        <f t="shared" si="35"/>
        <v>x</v>
      </c>
      <c r="T1105" s="492" t="str">
        <f>IFERROR(VLOOKUP(F1105,'Freq-Chan'!C:D,2,FALSE),"x")</f>
        <v>x</v>
      </c>
      <c r="U1105" s="110" t="s">
        <v>541</v>
      </c>
      <c r="V1105" s="110" t="str">
        <f t="shared" si="36"/>
        <v>FWL</v>
      </c>
      <c r="W1105" s="110" t="s">
        <v>541</v>
      </c>
      <c r="X1105" s="110" t="s">
        <v>541</v>
      </c>
      <c r="Y1105" s="110" t="str">
        <f>IFERROR(VLOOKUP(F1105,'Freq-Chan'!C:E,3,FALSE),"na")</f>
        <v>na</v>
      </c>
      <c r="Z1105" s="110" t="s">
        <v>541</v>
      </c>
      <c r="AA1105" s="110" t="s">
        <v>541</v>
      </c>
      <c r="AB1105" s="110" t="s">
        <v>541</v>
      </c>
      <c r="AC1105" s="10" t="s">
        <v>541</v>
      </c>
      <c r="AD1105" s="10" t="s">
        <v>541</v>
      </c>
    </row>
    <row r="1106" spans="1:30" x14ac:dyDescent="0.2">
      <c r="A1106" s="110">
        <v>1105</v>
      </c>
      <c r="B1106" s="132">
        <v>41843</v>
      </c>
      <c r="C1106" s="117">
        <v>3</v>
      </c>
      <c r="D1106" s="103" t="s">
        <v>71</v>
      </c>
      <c r="E1106" s="103" t="s">
        <v>306</v>
      </c>
      <c r="H1106" s="103"/>
      <c r="I1106" s="103">
        <v>62</v>
      </c>
      <c r="K1106" s="103" t="s">
        <v>364</v>
      </c>
      <c r="L1106" s="133">
        <v>0.7597222222222223</v>
      </c>
      <c r="M1106" s="134">
        <v>1.8749999999999999E-2</v>
      </c>
      <c r="N1106" s="137" t="s">
        <v>2543</v>
      </c>
      <c r="O1106" s="133" t="s">
        <v>1663</v>
      </c>
      <c r="Q1106" s="100" t="s">
        <v>3306</v>
      </c>
      <c r="R1106" s="226" t="s">
        <v>3320</v>
      </c>
      <c r="S1106" s="491">
        <f t="shared" si="35"/>
        <v>1.0763889E-3</v>
      </c>
      <c r="T1106" s="492" t="str">
        <f>IFERROR(VLOOKUP(F1106,'Freq-Chan'!C:D,2,FALSE),"x")</f>
        <v>x</v>
      </c>
      <c r="U1106" s="110" t="s">
        <v>541</v>
      </c>
      <c r="V1106" s="110" t="str">
        <f t="shared" si="36"/>
        <v>FWL</v>
      </c>
      <c r="W1106" s="110" t="s">
        <v>541</v>
      </c>
      <c r="X1106" s="110" t="s">
        <v>541</v>
      </c>
      <c r="Y1106" s="110" t="str">
        <f>IFERROR(VLOOKUP(F1106,'Freq-Chan'!C:E,3,FALSE),"na")</f>
        <v>na</v>
      </c>
      <c r="Z1106" s="110" t="s">
        <v>541</v>
      </c>
      <c r="AA1106" s="110" t="s">
        <v>541</v>
      </c>
      <c r="AB1106" s="110" t="s">
        <v>541</v>
      </c>
      <c r="AC1106" s="10" t="s">
        <v>541</v>
      </c>
      <c r="AD1106" s="10" t="s">
        <v>541</v>
      </c>
    </row>
    <row r="1107" spans="1:30" x14ac:dyDescent="0.2">
      <c r="A1107" s="110">
        <v>1106</v>
      </c>
      <c r="B1107" s="132">
        <v>41843</v>
      </c>
      <c r="C1107" s="117">
        <v>3</v>
      </c>
      <c r="D1107" s="103" t="s">
        <v>70</v>
      </c>
      <c r="E1107" s="103" t="s">
        <v>306</v>
      </c>
      <c r="H1107" s="103"/>
      <c r="I1107" s="103">
        <v>46</v>
      </c>
      <c r="K1107" s="103" t="s">
        <v>1032</v>
      </c>
      <c r="L1107" s="133">
        <v>0.77013888888888893</v>
      </c>
      <c r="M1107" s="134">
        <v>2.013888888888889E-2</v>
      </c>
      <c r="N1107" s="137" t="s">
        <v>504</v>
      </c>
      <c r="O1107" s="133" t="s">
        <v>555</v>
      </c>
      <c r="Q1107" s="100" t="s">
        <v>3306</v>
      </c>
      <c r="R1107" s="226" t="s">
        <v>3320</v>
      </c>
      <c r="S1107" s="491">
        <f t="shared" si="35"/>
        <v>1.0532407E-3</v>
      </c>
      <c r="T1107" s="492" t="str">
        <f>IFERROR(VLOOKUP(F1107,'Freq-Chan'!C:D,2,FALSE),"x")</f>
        <v>x</v>
      </c>
      <c r="U1107" s="110" t="s">
        <v>541</v>
      </c>
      <c r="V1107" s="110" t="str">
        <f t="shared" si="36"/>
        <v>FWL</v>
      </c>
      <c r="W1107" s="110" t="s">
        <v>541</v>
      </c>
      <c r="X1107" s="110" t="s">
        <v>541</v>
      </c>
      <c r="Y1107" s="110" t="str">
        <f>IFERROR(VLOOKUP(F1107,'Freq-Chan'!C:E,3,FALSE),"na")</f>
        <v>na</v>
      </c>
      <c r="Z1107" s="110" t="s">
        <v>541</v>
      </c>
      <c r="AA1107" s="110" t="s">
        <v>541</v>
      </c>
      <c r="AB1107" s="110" t="s">
        <v>541</v>
      </c>
      <c r="AC1107" s="10" t="s">
        <v>541</v>
      </c>
      <c r="AD1107" s="10" t="s">
        <v>541</v>
      </c>
    </row>
    <row r="1108" spans="1:30" x14ac:dyDescent="0.2">
      <c r="A1108" s="110">
        <v>1107</v>
      </c>
      <c r="B1108" s="132">
        <v>41843</v>
      </c>
      <c r="C1108" s="117">
        <v>3</v>
      </c>
      <c r="D1108" s="103" t="s">
        <v>70</v>
      </c>
      <c r="E1108" s="103" t="s">
        <v>306</v>
      </c>
      <c r="H1108" s="103"/>
      <c r="I1108" s="103">
        <v>56</v>
      </c>
      <c r="K1108" s="103" t="s">
        <v>364</v>
      </c>
      <c r="L1108" s="133"/>
      <c r="M1108" s="134">
        <v>2.0833333333333332E-2</v>
      </c>
      <c r="N1108" s="137" t="s">
        <v>3315</v>
      </c>
      <c r="O1108" s="133" t="s">
        <v>555</v>
      </c>
      <c r="Q1108" s="100" t="s">
        <v>3306</v>
      </c>
      <c r="R1108" s="226" t="s">
        <v>3320</v>
      </c>
      <c r="S1108" s="491" t="str">
        <f t="shared" si="35"/>
        <v>x</v>
      </c>
      <c r="T1108" s="492" t="str">
        <f>IFERROR(VLOOKUP(F1108,'Freq-Chan'!C:D,2,FALSE),"x")</f>
        <v>x</v>
      </c>
      <c r="U1108" s="110" t="s">
        <v>541</v>
      </c>
      <c r="V1108" s="110" t="str">
        <f t="shared" si="36"/>
        <v>FWL</v>
      </c>
      <c r="W1108" s="110" t="s">
        <v>541</v>
      </c>
      <c r="X1108" s="110" t="s">
        <v>541</v>
      </c>
      <c r="Y1108" s="110" t="str">
        <f>IFERROR(VLOOKUP(F1108,'Freq-Chan'!C:E,3,FALSE),"na")</f>
        <v>na</v>
      </c>
      <c r="Z1108" s="110" t="s">
        <v>541</v>
      </c>
      <c r="AA1108" s="110" t="s">
        <v>541</v>
      </c>
      <c r="AB1108" s="110" t="s">
        <v>541</v>
      </c>
      <c r="AC1108" s="10" t="s">
        <v>541</v>
      </c>
      <c r="AD1108" s="10" t="s">
        <v>541</v>
      </c>
    </row>
    <row r="1109" spans="1:30" x14ac:dyDescent="0.2">
      <c r="A1109" s="110">
        <v>1108</v>
      </c>
      <c r="B1109" s="132">
        <v>41843</v>
      </c>
      <c r="C1109" s="117">
        <v>3</v>
      </c>
      <c r="D1109" s="103" t="s">
        <v>8</v>
      </c>
      <c r="E1109" s="103" t="s">
        <v>306</v>
      </c>
      <c r="F1109" s="103">
        <v>573</v>
      </c>
      <c r="G1109" s="103">
        <v>85</v>
      </c>
      <c r="H1109" s="103" t="s">
        <v>2128</v>
      </c>
      <c r="I1109" s="103">
        <v>54</v>
      </c>
      <c r="K1109" s="103" t="s">
        <v>364</v>
      </c>
      <c r="L1109" s="133"/>
      <c r="M1109" s="134">
        <v>3.2638888888888891E-2</v>
      </c>
      <c r="N1109" s="137" t="s">
        <v>647</v>
      </c>
      <c r="O1109" s="133" t="s">
        <v>555</v>
      </c>
      <c r="P1109" s="100" t="s">
        <v>3317</v>
      </c>
      <c r="Q1109" s="100" t="s">
        <v>3306</v>
      </c>
      <c r="R1109" s="226" t="s">
        <v>3320</v>
      </c>
      <c r="S1109" s="491" t="str">
        <f t="shared" si="35"/>
        <v>x</v>
      </c>
      <c r="T1109" s="492">
        <f>IFERROR(VLOOKUP(F1109,'Freq-Chan'!C:D,2,FALSE),"x")</f>
        <v>151.57300000000001</v>
      </c>
      <c r="U1109" s="110" t="s">
        <v>541</v>
      </c>
      <c r="V1109" s="110" t="str">
        <f t="shared" si="36"/>
        <v>FWL</v>
      </c>
      <c r="W1109" s="110" t="s">
        <v>541</v>
      </c>
      <c r="X1109" s="110" t="s">
        <v>541</v>
      </c>
      <c r="Y1109" s="110" t="str">
        <f>IFERROR(VLOOKUP(F1109,'Freq-Chan'!C:E,3,FALSE),"na")</f>
        <v>F1840</v>
      </c>
      <c r="Z1109" s="110" t="s">
        <v>541</v>
      </c>
      <c r="AA1109" s="110" t="s">
        <v>541</v>
      </c>
      <c r="AB1109" s="110" t="s">
        <v>541</v>
      </c>
      <c r="AC1109" s="10" t="s">
        <v>541</v>
      </c>
      <c r="AD1109" s="10" t="s">
        <v>541</v>
      </c>
    </row>
    <row r="1110" spans="1:30" s="291" customFormat="1" x14ac:dyDescent="0.2">
      <c r="A1110" s="493">
        <v>1109</v>
      </c>
      <c r="B1110" s="283">
        <v>41843</v>
      </c>
      <c r="C1110" s="284">
        <v>3</v>
      </c>
      <c r="D1110" s="285" t="s">
        <v>71</v>
      </c>
      <c r="E1110" s="285" t="s">
        <v>306</v>
      </c>
      <c r="F1110" s="285"/>
      <c r="G1110" s="285"/>
      <c r="H1110" s="285"/>
      <c r="I1110" s="285">
        <v>61</v>
      </c>
      <c r="J1110" s="285"/>
      <c r="K1110" s="285" t="s">
        <v>364</v>
      </c>
      <c r="L1110" s="286"/>
      <c r="M1110" s="287">
        <v>1.5277777777777777E-2</v>
      </c>
      <c r="N1110" s="339" t="s">
        <v>3241</v>
      </c>
      <c r="O1110" s="286" t="s">
        <v>555</v>
      </c>
      <c r="P1110" s="289"/>
      <c r="Q1110" s="289" t="s">
        <v>3306</v>
      </c>
      <c r="R1110" s="290" t="s">
        <v>3320</v>
      </c>
      <c r="S1110" s="494" t="str">
        <f t="shared" si="35"/>
        <v>x</v>
      </c>
      <c r="T1110" s="495" t="str">
        <f>IFERROR(VLOOKUP(F1110,'Freq-Chan'!C:D,2,FALSE),"x")</f>
        <v>x</v>
      </c>
      <c r="U1110" s="493" t="s">
        <v>541</v>
      </c>
      <c r="V1110" s="493" t="str">
        <f t="shared" si="36"/>
        <v>FWL</v>
      </c>
      <c r="W1110" s="493" t="s">
        <v>541</v>
      </c>
      <c r="X1110" s="493" t="s">
        <v>541</v>
      </c>
      <c r="Y1110" s="493" t="str">
        <f>IFERROR(VLOOKUP(F1110,'Freq-Chan'!C:E,3,FALSE),"na")</f>
        <v>na</v>
      </c>
      <c r="Z1110" s="493" t="s">
        <v>541</v>
      </c>
      <c r="AA1110" s="493" t="s">
        <v>541</v>
      </c>
      <c r="AB1110" s="493" t="s">
        <v>541</v>
      </c>
      <c r="AC1110" s="291" t="s">
        <v>541</v>
      </c>
      <c r="AD1110" s="291" t="s">
        <v>541</v>
      </c>
    </row>
    <row r="1111" spans="1:30" x14ac:dyDescent="0.2">
      <c r="A1111" s="110">
        <v>1110</v>
      </c>
      <c r="B1111" s="132">
        <v>41844</v>
      </c>
      <c r="C1111" s="117">
        <v>1</v>
      </c>
      <c r="D1111" s="103" t="s">
        <v>70</v>
      </c>
      <c r="E1111" s="103" t="s">
        <v>306</v>
      </c>
      <c r="F1111" s="103">
        <v>596</v>
      </c>
      <c r="G1111" s="103">
        <v>63</v>
      </c>
      <c r="H1111" s="103" t="s">
        <v>2959</v>
      </c>
      <c r="I1111" s="103">
        <v>43</v>
      </c>
      <c r="K1111" s="103" t="s">
        <v>365</v>
      </c>
      <c r="L1111" s="133"/>
      <c r="M1111" s="134">
        <v>4.1666666666666664E-2</v>
      </c>
      <c r="N1111" s="137" t="s">
        <v>3330</v>
      </c>
      <c r="O1111" s="133" t="s">
        <v>555</v>
      </c>
      <c r="Q1111" s="100" t="s">
        <v>3331</v>
      </c>
      <c r="R1111" s="226" t="s">
        <v>3367</v>
      </c>
      <c r="S1111" s="491" t="str">
        <f t="shared" si="35"/>
        <v>x</v>
      </c>
      <c r="T1111" s="492">
        <f>IFERROR(VLOOKUP(F1111,'Freq-Chan'!C:D,2,FALSE),"x")</f>
        <v>151.596</v>
      </c>
      <c r="U1111" s="110" t="s">
        <v>541</v>
      </c>
      <c r="V1111" s="110" t="str">
        <f t="shared" si="36"/>
        <v>FWL</v>
      </c>
      <c r="W1111" s="110" t="s">
        <v>541</v>
      </c>
      <c r="X1111" s="110" t="s">
        <v>541</v>
      </c>
      <c r="Y1111" s="110" t="str">
        <f>IFERROR(VLOOKUP(F1111,'Freq-Chan'!C:E,3,FALSE),"na")</f>
        <v>F1835</v>
      </c>
      <c r="Z1111" s="110" t="s">
        <v>541</v>
      </c>
      <c r="AA1111" s="110" t="s">
        <v>541</v>
      </c>
      <c r="AB1111" s="110" t="s">
        <v>541</v>
      </c>
      <c r="AC1111" s="10" t="s">
        <v>541</v>
      </c>
      <c r="AD1111" s="10" t="s">
        <v>541</v>
      </c>
    </row>
    <row r="1112" spans="1:30" x14ac:dyDescent="0.2">
      <c r="A1112" s="110">
        <v>1111</v>
      </c>
      <c r="B1112" s="132">
        <v>41844</v>
      </c>
      <c r="C1112" s="117">
        <v>1</v>
      </c>
      <c r="D1112" s="103" t="s">
        <v>2</v>
      </c>
      <c r="E1112" s="103" t="s">
        <v>306</v>
      </c>
      <c r="F1112" s="103">
        <v>917</v>
      </c>
      <c r="G1112" s="103">
        <v>4</v>
      </c>
      <c r="H1112" s="103" t="s">
        <v>1516</v>
      </c>
      <c r="I1112" s="103">
        <v>60</v>
      </c>
      <c r="K1112" s="103" t="s">
        <v>364</v>
      </c>
      <c r="L1112" s="133"/>
      <c r="M1112" s="134">
        <v>4.6527777777777779E-2</v>
      </c>
      <c r="N1112" s="137" t="s">
        <v>2933</v>
      </c>
      <c r="O1112" s="133" t="s">
        <v>555</v>
      </c>
      <c r="Q1112" s="100" t="s">
        <v>3331</v>
      </c>
      <c r="R1112" s="226" t="s">
        <v>3367</v>
      </c>
      <c r="S1112" s="491" t="str">
        <f t="shared" si="35"/>
        <v>x</v>
      </c>
      <c r="T1112" s="492">
        <f>IFERROR(VLOOKUP(F1112,'Freq-Chan'!C:D,2,FALSE),"x")</f>
        <v>151.917</v>
      </c>
      <c r="U1112" s="110" t="s">
        <v>541</v>
      </c>
      <c r="V1112" s="110" t="str">
        <f t="shared" si="36"/>
        <v>FWL</v>
      </c>
      <c r="W1112" s="110" t="s">
        <v>541</v>
      </c>
      <c r="X1112" s="110" t="s">
        <v>541</v>
      </c>
      <c r="Y1112" s="110" t="str">
        <f>IFERROR(VLOOKUP(F1112,'Freq-Chan'!C:E,3,FALSE),"na")</f>
        <v>F1835</v>
      </c>
      <c r="Z1112" s="110" t="s">
        <v>541</v>
      </c>
      <c r="AA1112" s="110" t="s">
        <v>541</v>
      </c>
      <c r="AB1112" s="110" t="s">
        <v>541</v>
      </c>
      <c r="AC1112" s="10" t="s">
        <v>541</v>
      </c>
      <c r="AD1112" s="10" t="s">
        <v>541</v>
      </c>
    </row>
    <row r="1113" spans="1:30" x14ac:dyDescent="0.2">
      <c r="A1113" s="110">
        <v>1112</v>
      </c>
      <c r="B1113" s="132">
        <v>41844</v>
      </c>
      <c r="C1113" s="117">
        <v>1</v>
      </c>
      <c r="D1113" s="103" t="s">
        <v>70</v>
      </c>
      <c r="E1113" s="103" t="s">
        <v>306</v>
      </c>
      <c r="F1113" s="103">
        <v>596</v>
      </c>
      <c r="G1113" s="103">
        <v>55</v>
      </c>
      <c r="H1113" s="137" t="s">
        <v>3146</v>
      </c>
      <c r="I1113" s="103">
        <v>47</v>
      </c>
      <c r="K1113" s="103" t="s">
        <v>1032</v>
      </c>
      <c r="L1113" s="133"/>
      <c r="M1113" s="134">
        <v>2.7777777777777776E-2</v>
      </c>
      <c r="N1113" s="137" t="s">
        <v>3332</v>
      </c>
      <c r="O1113" s="133" t="s">
        <v>555</v>
      </c>
      <c r="Q1113" s="100" t="s">
        <v>3331</v>
      </c>
      <c r="R1113" s="226" t="s">
        <v>3367</v>
      </c>
      <c r="S1113" s="491" t="str">
        <f t="shared" si="35"/>
        <v>x</v>
      </c>
      <c r="T1113" s="492">
        <f>IFERROR(VLOOKUP(F1113,'Freq-Chan'!C:D,2,FALSE),"x")</f>
        <v>151.596</v>
      </c>
      <c r="U1113" s="110" t="s">
        <v>541</v>
      </c>
      <c r="V1113" s="110" t="str">
        <f t="shared" si="36"/>
        <v>FWL</v>
      </c>
      <c r="W1113" s="110" t="s">
        <v>541</v>
      </c>
      <c r="X1113" s="110" t="s">
        <v>541</v>
      </c>
      <c r="Y1113" s="110" t="str">
        <f>IFERROR(VLOOKUP(F1113,'Freq-Chan'!C:E,3,FALSE),"na")</f>
        <v>F1835</v>
      </c>
      <c r="Z1113" s="110" t="s">
        <v>541</v>
      </c>
      <c r="AA1113" s="110" t="s">
        <v>541</v>
      </c>
      <c r="AB1113" s="110" t="s">
        <v>541</v>
      </c>
      <c r="AC1113" s="10" t="s">
        <v>541</v>
      </c>
      <c r="AD1113" s="10" t="s">
        <v>541</v>
      </c>
    </row>
    <row r="1114" spans="1:30" x14ac:dyDescent="0.2">
      <c r="A1114" s="110">
        <v>1113</v>
      </c>
      <c r="B1114" s="132">
        <v>41844</v>
      </c>
      <c r="C1114" s="117">
        <v>1</v>
      </c>
      <c r="D1114" s="103" t="s">
        <v>70</v>
      </c>
      <c r="E1114" s="103" t="s">
        <v>306</v>
      </c>
      <c r="F1114" s="103">
        <v>596</v>
      </c>
      <c r="G1114" s="103">
        <v>57</v>
      </c>
      <c r="H1114" s="137" t="s">
        <v>2969</v>
      </c>
      <c r="I1114" s="103">
        <v>47</v>
      </c>
      <c r="K1114" s="103" t="s">
        <v>365</v>
      </c>
      <c r="L1114" s="133"/>
      <c r="M1114" s="134">
        <v>2.9166666666666664E-2</v>
      </c>
      <c r="N1114" s="137" t="s">
        <v>3253</v>
      </c>
      <c r="O1114" s="133" t="s">
        <v>1663</v>
      </c>
      <c r="Q1114" s="100" t="s">
        <v>3331</v>
      </c>
      <c r="R1114" s="226" t="s">
        <v>3367</v>
      </c>
      <c r="S1114" s="491" t="str">
        <f t="shared" si="35"/>
        <v>x</v>
      </c>
      <c r="T1114" s="492">
        <f>IFERROR(VLOOKUP(F1114,'Freq-Chan'!C:D,2,FALSE),"x")</f>
        <v>151.596</v>
      </c>
      <c r="U1114" s="110" t="s">
        <v>541</v>
      </c>
      <c r="V1114" s="110" t="str">
        <f t="shared" si="36"/>
        <v>FWL</v>
      </c>
      <c r="W1114" s="110" t="s">
        <v>541</v>
      </c>
      <c r="X1114" s="110" t="s">
        <v>541</v>
      </c>
      <c r="Y1114" s="110" t="str">
        <f>IFERROR(VLOOKUP(F1114,'Freq-Chan'!C:E,3,FALSE),"na")</f>
        <v>F1835</v>
      </c>
      <c r="Z1114" s="110" t="s">
        <v>541</v>
      </c>
      <c r="AA1114" s="110" t="s">
        <v>541</v>
      </c>
      <c r="AB1114" s="110" t="s">
        <v>541</v>
      </c>
      <c r="AC1114" s="10" t="s">
        <v>541</v>
      </c>
      <c r="AD1114" s="10" t="s">
        <v>541</v>
      </c>
    </row>
    <row r="1115" spans="1:30" x14ac:dyDescent="0.2">
      <c r="A1115" s="110">
        <v>1114</v>
      </c>
      <c r="B1115" s="132">
        <v>41844</v>
      </c>
      <c r="C1115" s="117">
        <v>1</v>
      </c>
      <c r="D1115" s="103" t="s">
        <v>70</v>
      </c>
      <c r="E1115" s="103" t="s">
        <v>306</v>
      </c>
      <c r="I1115" s="103">
        <v>43</v>
      </c>
      <c r="K1115" s="103" t="s">
        <v>364</v>
      </c>
      <c r="L1115" s="133"/>
      <c r="M1115" s="134">
        <v>1.7361111111111112E-2</v>
      </c>
      <c r="N1115" s="137" t="s">
        <v>1571</v>
      </c>
      <c r="O1115" s="133" t="s">
        <v>1663</v>
      </c>
      <c r="Q1115" s="100" t="s">
        <v>3331</v>
      </c>
      <c r="R1115" s="226" t="s">
        <v>3367</v>
      </c>
      <c r="S1115" s="491" t="str">
        <f t="shared" si="35"/>
        <v>x</v>
      </c>
      <c r="T1115" s="492" t="str">
        <f>IFERROR(VLOOKUP(F1115,'Freq-Chan'!C:D,2,FALSE),"x")</f>
        <v>x</v>
      </c>
      <c r="U1115" s="110" t="s">
        <v>541</v>
      </c>
      <c r="V1115" s="110" t="str">
        <f t="shared" si="36"/>
        <v>FWL</v>
      </c>
      <c r="W1115" s="110" t="s">
        <v>541</v>
      </c>
      <c r="X1115" s="110" t="s">
        <v>541</v>
      </c>
      <c r="Y1115" s="110" t="str">
        <f>IFERROR(VLOOKUP(F1115,'Freq-Chan'!C:E,3,FALSE),"na")</f>
        <v>na</v>
      </c>
      <c r="Z1115" s="110" t="s">
        <v>541</v>
      </c>
      <c r="AA1115" s="110" t="s">
        <v>541</v>
      </c>
      <c r="AB1115" s="110" t="s">
        <v>541</v>
      </c>
      <c r="AC1115" s="10" t="s">
        <v>541</v>
      </c>
      <c r="AD1115" s="10" t="s">
        <v>541</v>
      </c>
    </row>
    <row r="1116" spans="1:30" x14ac:dyDescent="0.2">
      <c r="A1116" s="110">
        <v>1115</v>
      </c>
      <c r="B1116" s="132">
        <v>41844</v>
      </c>
      <c r="C1116" s="117">
        <v>1</v>
      </c>
      <c r="D1116" s="103" t="s">
        <v>70</v>
      </c>
      <c r="E1116" s="103" t="s">
        <v>306</v>
      </c>
      <c r="I1116" s="103">
        <v>43</v>
      </c>
      <c r="K1116" s="103" t="s">
        <v>364</v>
      </c>
      <c r="L1116" s="133"/>
      <c r="M1116" s="134">
        <v>1.3888888888888888E-2</v>
      </c>
      <c r="N1116" s="137" t="s">
        <v>3333</v>
      </c>
      <c r="O1116" s="133" t="s">
        <v>1663</v>
      </c>
      <c r="Q1116" s="100" t="s">
        <v>3331</v>
      </c>
      <c r="R1116" s="226" t="s">
        <v>3367</v>
      </c>
      <c r="S1116" s="491" t="str">
        <f t="shared" si="35"/>
        <v>x</v>
      </c>
      <c r="T1116" s="492" t="str">
        <f>IFERROR(VLOOKUP(F1116,'Freq-Chan'!C:D,2,FALSE),"x")</f>
        <v>x</v>
      </c>
      <c r="U1116" s="110" t="s">
        <v>541</v>
      </c>
      <c r="V1116" s="110" t="str">
        <f t="shared" si="36"/>
        <v>FWL</v>
      </c>
      <c r="W1116" s="110" t="s">
        <v>541</v>
      </c>
      <c r="X1116" s="110" t="s">
        <v>541</v>
      </c>
      <c r="Y1116" s="110" t="str">
        <f>IFERROR(VLOOKUP(F1116,'Freq-Chan'!C:E,3,FALSE),"na")</f>
        <v>na</v>
      </c>
      <c r="Z1116" s="110" t="s">
        <v>541</v>
      </c>
      <c r="AA1116" s="110" t="s">
        <v>541</v>
      </c>
      <c r="AB1116" s="110" t="s">
        <v>541</v>
      </c>
      <c r="AC1116" s="10" t="s">
        <v>541</v>
      </c>
      <c r="AD1116" s="10" t="s">
        <v>541</v>
      </c>
    </row>
    <row r="1117" spans="1:30" x14ac:dyDescent="0.2">
      <c r="A1117" s="110">
        <v>1116</v>
      </c>
      <c r="B1117" s="132">
        <v>41844</v>
      </c>
      <c r="C1117" s="117">
        <v>1</v>
      </c>
      <c r="D1117" s="103" t="s">
        <v>70</v>
      </c>
      <c r="E1117" s="103" t="s">
        <v>306</v>
      </c>
      <c r="H1117" s="103"/>
      <c r="I1117" s="103">
        <v>40</v>
      </c>
      <c r="K1117" s="103" t="s">
        <v>364</v>
      </c>
      <c r="L1117" s="133"/>
      <c r="M1117" s="134">
        <v>1.1805555555555555E-2</v>
      </c>
      <c r="N1117" s="137" t="s">
        <v>2689</v>
      </c>
      <c r="O1117" s="133" t="s">
        <v>1663</v>
      </c>
      <c r="Q1117" s="100" t="s">
        <v>3331</v>
      </c>
      <c r="R1117" s="226" t="s">
        <v>3367</v>
      </c>
      <c r="S1117" s="491" t="str">
        <f t="shared" si="35"/>
        <v>x</v>
      </c>
      <c r="T1117" s="492" t="str">
        <f>IFERROR(VLOOKUP(F1117,'Freq-Chan'!C:D,2,FALSE),"x")</f>
        <v>x</v>
      </c>
      <c r="U1117" s="110" t="s">
        <v>541</v>
      </c>
      <c r="V1117" s="110" t="str">
        <f t="shared" si="36"/>
        <v>FWL</v>
      </c>
      <c r="W1117" s="110" t="s">
        <v>541</v>
      </c>
      <c r="X1117" s="110" t="s">
        <v>541</v>
      </c>
      <c r="Y1117" s="110" t="str">
        <f>IFERROR(VLOOKUP(F1117,'Freq-Chan'!C:E,3,FALSE),"na")</f>
        <v>na</v>
      </c>
      <c r="Z1117" s="110" t="s">
        <v>541</v>
      </c>
      <c r="AA1117" s="110" t="s">
        <v>541</v>
      </c>
      <c r="AB1117" s="110" t="s">
        <v>541</v>
      </c>
      <c r="AC1117" s="10" t="s">
        <v>541</v>
      </c>
      <c r="AD1117" s="10" t="s">
        <v>541</v>
      </c>
    </row>
    <row r="1118" spans="1:30" x14ac:dyDescent="0.2">
      <c r="A1118" s="110">
        <v>1117</v>
      </c>
      <c r="B1118" s="132">
        <v>41844</v>
      </c>
      <c r="C1118" s="117">
        <v>1</v>
      </c>
      <c r="D1118" s="103" t="s">
        <v>70</v>
      </c>
      <c r="E1118" s="103" t="s">
        <v>306</v>
      </c>
      <c r="H1118" s="103"/>
      <c r="I1118" s="103">
        <v>45</v>
      </c>
      <c r="K1118" s="103" t="s">
        <v>364</v>
      </c>
      <c r="L1118" s="133"/>
      <c r="M1118" s="134">
        <v>1.1111111111111112E-2</v>
      </c>
      <c r="N1118" s="137" t="s">
        <v>3334</v>
      </c>
      <c r="O1118" s="133" t="s">
        <v>1663</v>
      </c>
      <c r="Q1118" s="100" t="s">
        <v>3331</v>
      </c>
      <c r="R1118" s="226" t="s">
        <v>3367</v>
      </c>
      <c r="S1118" s="491" t="str">
        <f t="shared" si="35"/>
        <v>x</v>
      </c>
      <c r="T1118" s="492" t="str">
        <f>IFERROR(VLOOKUP(F1118,'Freq-Chan'!C:D,2,FALSE),"x")</f>
        <v>x</v>
      </c>
      <c r="U1118" s="110" t="s">
        <v>541</v>
      </c>
      <c r="V1118" s="110" t="str">
        <f t="shared" si="36"/>
        <v>FWL</v>
      </c>
      <c r="W1118" s="110" t="s">
        <v>541</v>
      </c>
      <c r="X1118" s="110" t="s">
        <v>541</v>
      </c>
      <c r="Y1118" s="110" t="str">
        <f>IFERROR(VLOOKUP(F1118,'Freq-Chan'!C:E,3,FALSE),"na")</f>
        <v>na</v>
      </c>
      <c r="Z1118" s="110" t="s">
        <v>541</v>
      </c>
      <c r="AA1118" s="110" t="s">
        <v>541</v>
      </c>
      <c r="AB1118" s="110" t="s">
        <v>541</v>
      </c>
      <c r="AC1118" s="10" t="s">
        <v>541</v>
      </c>
      <c r="AD1118" s="10" t="s">
        <v>541</v>
      </c>
    </row>
    <row r="1119" spans="1:30" x14ac:dyDescent="0.2">
      <c r="A1119" s="110">
        <v>1118</v>
      </c>
      <c r="B1119" s="132">
        <v>41844</v>
      </c>
      <c r="C1119" s="117">
        <v>1</v>
      </c>
      <c r="D1119" s="103" t="s">
        <v>70</v>
      </c>
      <c r="E1119" s="103" t="s">
        <v>306</v>
      </c>
      <c r="H1119" s="103"/>
      <c r="I1119" s="103">
        <v>41</v>
      </c>
      <c r="K1119" s="103" t="s">
        <v>364</v>
      </c>
      <c r="L1119" s="133"/>
      <c r="M1119" s="134">
        <v>9.7222222222222224E-3</v>
      </c>
      <c r="N1119" s="137" t="s">
        <v>2691</v>
      </c>
      <c r="O1119" s="133" t="s">
        <v>1663</v>
      </c>
      <c r="Q1119" s="100" t="s">
        <v>3331</v>
      </c>
      <c r="R1119" s="226" t="s">
        <v>3367</v>
      </c>
      <c r="S1119" s="491" t="str">
        <f t="shared" si="35"/>
        <v>x</v>
      </c>
      <c r="T1119" s="492" t="str">
        <f>IFERROR(VLOOKUP(F1119,'Freq-Chan'!C:D,2,FALSE),"x")</f>
        <v>x</v>
      </c>
      <c r="U1119" s="110" t="s">
        <v>541</v>
      </c>
      <c r="V1119" s="110" t="str">
        <f t="shared" si="36"/>
        <v>FWL</v>
      </c>
      <c r="W1119" s="110" t="s">
        <v>541</v>
      </c>
      <c r="X1119" s="110" t="s">
        <v>541</v>
      </c>
      <c r="Y1119" s="110" t="str">
        <f>IFERROR(VLOOKUP(F1119,'Freq-Chan'!C:E,3,FALSE),"na")</f>
        <v>na</v>
      </c>
      <c r="Z1119" s="110" t="s">
        <v>541</v>
      </c>
      <c r="AA1119" s="110" t="s">
        <v>541</v>
      </c>
      <c r="AB1119" s="110" t="s">
        <v>541</v>
      </c>
      <c r="AC1119" s="10" t="s">
        <v>541</v>
      </c>
      <c r="AD1119" s="10" t="s">
        <v>541</v>
      </c>
    </row>
    <row r="1120" spans="1:30" x14ac:dyDescent="0.2">
      <c r="A1120" s="110">
        <v>1119</v>
      </c>
      <c r="B1120" s="132">
        <v>41844</v>
      </c>
      <c r="C1120" s="117">
        <v>1</v>
      </c>
      <c r="D1120" s="103" t="s">
        <v>70</v>
      </c>
      <c r="E1120" s="103" t="s">
        <v>306</v>
      </c>
      <c r="H1120" s="103"/>
      <c r="I1120" s="103">
        <v>44</v>
      </c>
      <c r="K1120" s="103" t="s">
        <v>364</v>
      </c>
      <c r="L1120" s="133"/>
      <c r="M1120" s="134">
        <v>1.2499999999999999E-2</v>
      </c>
      <c r="N1120" s="137" t="s">
        <v>3292</v>
      </c>
      <c r="O1120" s="133" t="s">
        <v>1663</v>
      </c>
      <c r="Q1120" s="100" t="s">
        <v>3331</v>
      </c>
      <c r="R1120" s="226" t="s">
        <v>3367</v>
      </c>
      <c r="S1120" s="491" t="str">
        <f t="shared" si="35"/>
        <v>x</v>
      </c>
      <c r="T1120" s="492" t="str">
        <f>IFERROR(VLOOKUP(F1120,'Freq-Chan'!C:D,2,FALSE),"x")</f>
        <v>x</v>
      </c>
      <c r="U1120" s="110" t="s">
        <v>541</v>
      </c>
      <c r="V1120" s="110" t="str">
        <f t="shared" si="36"/>
        <v>FWL</v>
      </c>
      <c r="W1120" s="110" t="s">
        <v>541</v>
      </c>
      <c r="X1120" s="110" t="s">
        <v>541</v>
      </c>
      <c r="Y1120" s="110" t="str">
        <f>IFERROR(VLOOKUP(F1120,'Freq-Chan'!C:E,3,FALSE),"na")</f>
        <v>na</v>
      </c>
      <c r="Z1120" s="110" t="s">
        <v>541</v>
      </c>
      <c r="AA1120" s="110" t="s">
        <v>541</v>
      </c>
      <c r="AB1120" s="110" t="s">
        <v>541</v>
      </c>
      <c r="AC1120" s="10" t="s">
        <v>541</v>
      </c>
      <c r="AD1120" s="10" t="s">
        <v>541</v>
      </c>
    </row>
    <row r="1121" spans="1:30" x14ac:dyDescent="0.2">
      <c r="A1121" s="110">
        <v>1120</v>
      </c>
      <c r="B1121" s="132">
        <v>41844</v>
      </c>
      <c r="C1121" s="117">
        <v>1</v>
      </c>
      <c r="D1121" s="103" t="s">
        <v>70</v>
      </c>
      <c r="E1121" s="103" t="s">
        <v>306</v>
      </c>
      <c r="H1121" s="103"/>
      <c r="I1121" s="103">
        <v>49</v>
      </c>
      <c r="K1121" s="103" t="s">
        <v>364</v>
      </c>
      <c r="L1121" s="133"/>
      <c r="M1121" s="134">
        <v>1.6666666666666666E-2</v>
      </c>
      <c r="N1121" s="137" t="s">
        <v>2777</v>
      </c>
      <c r="O1121" s="133" t="s">
        <v>555</v>
      </c>
      <c r="Q1121" s="100" t="s">
        <v>3331</v>
      </c>
      <c r="R1121" s="226" t="s">
        <v>3367</v>
      </c>
      <c r="S1121" s="491" t="str">
        <f t="shared" si="35"/>
        <v>x</v>
      </c>
      <c r="T1121" s="492" t="str">
        <f>IFERROR(VLOOKUP(F1121,'Freq-Chan'!C:D,2,FALSE),"x")</f>
        <v>x</v>
      </c>
      <c r="U1121" s="110" t="s">
        <v>541</v>
      </c>
      <c r="V1121" s="110" t="str">
        <f t="shared" si="36"/>
        <v>FWL</v>
      </c>
      <c r="W1121" s="110" t="s">
        <v>541</v>
      </c>
      <c r="X1121" s="110" t="s">
        <v>541</v>
      </c>
      <c r="Y1121" s="110" t="str">
        <f>IFERROR(VLOOKUP(F1121,'Freq-Chan'!C:E,3,FALSE),"na")</f>
        <v>na</v>
      </c>
      <c r="Z1121" s="110" t="s">
        <v>541</v>
      </c>
      <c r="AA1121" s="110" t="s">
        <v>541</v>
      </c>
      <c r="AB1121" s="110" t="s">
        <v>541</v>
      </c>
      <c r="AC1121" s="10" t="s">
        <v>541</v>
      </c>
      <c r="AD1121" s="10" t="s">
        <v>541</v>
      </c>
    </row>
    <row r="1122" spans="1:30" x14ac:dyDescent="0.2">
      <c r="A1122" s="110">
        <v>1121</v>
      </c>
      <c r="B1122" s="132">
        <v>41844</v>
      </c>
      <c r="C1122" s="117">
        <v>1</v>
      </c>
      <c r="D1122" s="103" t="s">
        <v>70</v>
      </c>
      <c r="E1122" s="103" t="s">
        <v>306</v>
      </c>
      <c r="H1122" s="103"/>
      <c r="I1122" s="103">
        <v>40</v>
      </c>
      <c r="K1122" s="103" t="s">
        <v>364</v>
      </c>
      <c r="L1122" s="133"/>
      <c r="M1122" s="134">
        <v>1.7361111111111112E-2</v>
      </c>
      <c r="N1122" s="137" t="s">
        <v>2839</v>
      </c>
      <c r="O1122" s="133" t="s">
        <v>555</v>
      </c>
      <c r="Q1122" s="100" t="s">
        <v>3331</v>
      </c>
      <c r="R1122" s="226" t="s">
        <v>3367</v>
      </c>
      <c r="S1122" s="491" t="str">
        <f t="shared" si="35"/>
        <v>x</v>
      </c>
      <c r="T1122" s="492" t="str">
        <f>IFERROR(VLOOKUP(F1122,'Freq-Chan'!C:D,2,FALSE),"x")</f>
        <v>x</v>
      </c>
      <c r="U1122" s="110" t="s">
        <v>541</v>
      </c>
      <c r="V1122" s="110" t="str">
        <f t="shared" si="36"/>
        <v>FWL</v>
      </c>
      <c r="W1122" s="110" t="s">
        <v>541</v>
      </c>
      <c r="X1122" s="110" t="s">
        <v>541</v>
      </c>
      <c r="Y1122" s="110" t="str">
        <f>IFERROR(VLOOKUP(F1122,'Freq-Chan'!C:E,3,FALSE),"na")</f>
        <v>na</v>
      </c>
      <c r="Z1122" s="110" t="s">
        <v>541</v>
      </c>
      <c r="AA1122" s="110" t="s">
        <v>541</v>
      </c>
      <c r="AB1122" s="110" t="s">
        <v>541</v>
      </c>
      <c r="AC1122" s="10" t="s">
        <v>541</v>
      </c>
      <c r="AD1122" s="10" t="s">
        <v>541</v>
      </c>
    </row>
    <row r="1123" spans="1:30" x14ac:dyDescent="0.2">
      <c r="A1123" s="110">
        <v>1122</v>
      </c>
      <c r="B1123" s="132">
        <v>41844</v>
      </c>
      <c r="C1123" s="117">
        <v>1</v>
      </c>
      <c r="D1123" s="103" t="s">
        <v>8</v>
      </c>
      <c r="E1123" s="103" t="s">
        <v>306</v>
      </c>
      <c r="F1123" s="103">
        <v>586</v>
      </c>
      <c r="G1123" s="103">
        <v>7</v>
      </c>
      <c r="H1123" s="103" t="s">
        <v>2142</v>
      </c>
      <c r="I1123" s="103">
        <v>48</v>
      </c>
      <c r="K1123" s="103" t="s">
        <v>364</v>
      </c>
      <c r="L1123" s="133"/>
      <c r="M1123" s="134">
        <v>4.3055555555555562E-2</v>
      </c>
      <c r="N1123" s="137" t="s">
        <v>2718</v>
      </c>
      <c r="O1123" s="133" t="s">
        <v>1663</v>
      </c>
      <c r="Q1123" s="100" t="s">
        <v>3331</v>
      </c>
      <c r="R1123" s="226" t="s">
        <v>3367</v>
      </c>
      <c r="S1123" s="491" t="str">
        <f t="shared" si="35"/>
        <v>x</v>
      </c>
      <c r="T1123" s="492">
        <f>IFERROR(VLOOKUP(F1123,'Freq-Chan'!C:D,2,FALSE),"x")</f>
        <v>151.58600000000001</v>
      </c>
      <c r="U1123" s="110" t="s">
        <v>541</v>
      </c>
      <c r="V1123" s="110" t="str">
        <f t="shared" si="36"/>
        <v>FWL</v>
      </c>
      <c r="W1123" s="110" t="s">
        <v>541</v>
      </c>
      <c r="X1123" s="110" t="s">
        <v>541</v>
      </c>
      <c r="Y1123" s="110" t="str">
        <f>IFERROR(VLOOKUP(F1123,'Freq-Chan'!C:E,3,FALSE),"na")</f>
        <v>F1840</v>
      </c>
      <c r="Z1123" s="110" t="s">
        <v>541</v>
      </c>
      <c r="AA1123" s="110" t="s">
        <v>541</v>
      </c>
      <c r="AB1123" s="110" t="s">
        <v>541</v>
      </c>
      <c r="AC1123" s="10" t="s">
        <v>541</v>
      </c>
      <c r="AD1123" s="10" t="s">
        <v>541</v>
      </c>
    </row>
    <row r="1124" spans="1:30" x14ac:dyDescent="0.2">
      <c r="A1124" s="110">
        <v>1123</v>
      </c>
      <c r="B1124" s="132">
        <v>41844</v>
      </c>
      <c r="C1124" s="117">
        <v>1</v>
      </c>
      <c r="D1124" s="103" t="s">
        <v>70</v>
      </c>
      <c r="E1124" s="103" t="s">
        <v>306</v>
      </c>
      <c r="H1124" s="103"/>
      <c r="I1124" s="103">
        <v>46</v>
      </c>
      <c r="K1124" s="103" t="s">
        <v>364</v>
      </c>
      <c r="L1124" s="133"/>
      <c r="M1124" s="134">
        <v>1.1111111111111112E-2</v>
      </c>
      <c r="N1124" s="137" t="s">
        <v>1783</v>
      </c>
      <c r="O1124" s="133" t="s">
        <v>1663</v>
      </c>
      <c r="Q1124" s="100" t="s">
        <v>3331</v>
      </c>
      <c r="R1124" s="226" t="s">
        <v>3367</v>
      </c>
      <c r="S1124" s="491" t="str">
        <f t="shared" si="35"/>
        <v>x</v>
      </c>
      <c r="T1124" s="492" t="str">
        <f>IFERROR(VLOOKUP(F1124,'Freq-Chan'!C:D,2,FALSE),"x")</f>
        <v>x</v>
      </c>
      <c r="U1124" s="110" t="s">
        <v>541</v>
      </c>
      <c r="V1124" s="110" t="str">
        <f t="shared" si="36"/>
        <v>FWL</v>
      </c>
      <c r="W1124" s="110" t="s">
        <v>541</v>
      </c>
      <c r="X1124" s="110" t="s">
        <v>541</v>
      </c>
      <c r="Y1124" s="110" t="str">
        <f>IFERROR(VLOOKUP(F1124,'Freq-Chan'!C:E,3,FALSE),"na")</f>
        <v>na</v>
      </c>
      <c r="Z1124" s="110" t="s">
        <v>541</v>
      </c>
      <c r="AA1124" s="110" t="s">
        <v>541</v>
      </c>
      <c r="AB1124" s="110" t="s">
        <v>541</v>
      </c>
      <c r="AC1124" s="10" t="s">
        <v>541</v>
      </c>
      <c r="AD1124" s="10" t="s">
        <v>541</v>
      </c>
    </row>
    <row r="1125" spans="1:30" x14ac:dyDescent="0.2">
      <c r="A1125" s="110">
        <v>1124</v>
      </c>
      <c r="B1125" s="132">
        <v>41844</v>
      </c>
      <c r="C1125" s="117">
        <v>1</v>
      </c>
      <c r="D1125" s="103" t="s">
        <v>70</v>
      </c>
      <c r="E1125" s="103" t="s">
        <v>306</v>
      </c>
      <c r="H1125" s="103"/>
      <c r="I1125" s="103">
        <v>45</v>
      </c>
      <c r="K1125" s="103" t="s">
        <v>1032</v>
      </c>
      <c r="L1125" s="133"/>
      <c r="M1125" s="134">
        <v>1.8055555555555557E-2</v>
      </c>
      <c r="N1125" s="137" t="s">
        <v>3335</v>
      </c>
      <c r="O1125" s="133" t="s">
        <v>1663</v>
      </c>
      <c r="Q1125" s="100" t="s">
        <v>3331</v>
      </c>
      <c r="R1125" s="226" t="s">
        <v>3367</v>
      </c>
      <c r="S1125" s="491" t="str">
        <f t="shared" si="35"/>
        <v>x</v>
      </c>
      <c r="T1125" s="492" t="str">
        <f>IFERROR(VLOOKUP(F1125,'Freq-Chan'!C:D,2,FALSE),"x")</f>
        <v>x</v>
      </c>
      <c r="U1125" s="110" t="s">
        <v>541</v>
      </c>
      <c r="V1125" s="110" t="str">
        <f t="shared" si="36"/>
        <v>FWL</v>
      </c>
      <c r="W1125" s="110" t="s">
        <v>541</v>
      </c>
      <c r="X1125" s="110" t="s">
        <v>541</v>
      </c>
      <c r="Y1125" s="110" t="str">
        <f>IFERROR(VLOOKUP(F1125,'Freq-Chan'!C:E,3,FALSE),"na")</f>
        <v>na</v>
      </c>
      <c r="Z1125" s="110" t="s">
        <v>541</v>
      </c>
      <c r="AA1125" s="110" t="s">
        <v>541</v>
      </c>
      <c r="AB1125" s="110" t="s">
        <v>541</v>
      </c>
      <c r="AC1125" s="10" t="s">
        <v>541</v>
      </c>
      <c r="AD1125" s="10" t="s">
        <v>541</v>
      </c>
    </row>
    <row r="1126" spans="1:30" x14ac:dyDescent="0.2">
      <c r="A1126" s="110">
        <v>1125</v>
      </c>
      <c r="B1126" s="132">
        <v>41844</v>
      </c>
      <c r="C1126" s="117">
        <v>1</v>
      </c>
      <c r="D1126" s="103" t="s">
        <v>70</v>
      </c>
      <c r="E1126" s="103" t="s">
        <v>306</v>
      </c>
      <c r="H1126" s="103"/>
      <c r="I1126" s="103">
        <v>47</v>
      </c>
      <c r="K1126" s="103" t="s">
        <v>365</v>
      </c>
      <c r="L1126" s="133"/>
      <c r="M1126" s="134">
        <v>1.5972222222222224E-2</v>
      </c>
      <c r="N1126" s="137" t="s">
        <v>3279</v>
      </c>
      <c r="O1126" s="133" t="s">
        <v>555</v>
      </c>
      <c r="P1126" s="99"/>
      <c r="Q1126" s="100" t="s">
        <v>3331</v>
      </c>
      <c r="R1126" s="226" t="s">
        <v>3367</v>
      </c>
      <c r="S1126" s="491" t="str">
        <f t="shared" si="35"/>
        <v>x</v>
      </c>
      <c r="T1126" s="492" t="str">
        <f>IFERROR(VLOOKUP(F1126,'Freq-Chan'!C:D,2,FALSE),"x")</f>
        <v>x</v>
      </c>
      <c r="U1126" s="110" t="s">
        <v>541</v>
      </c>
      <c r="V1126" s="110" t="str">
        <f t="shared" si="36"/>
        <v>FWL</v>
      </c>
      <c r="W1126" s="110" t="s">
        <v>541</v>
      </c>
      <c r="X1126" s="110" t="s">
        <v>541</v>
      </c>
      <c r="Y1126" s="110" t="str">
        <f>IFERROR(VLOOKUP(F1126,'Freq-Chan'!C:E,3,FALSE),"na")</f>
        <v>na</v>
      </c>
      <c r="Z1126" s="110" t="s">
        <v>541</v>
      </c>
      <c r="AA1126" s="110" t="s">
        <v>541</v>
      </c>
      <c r="AB1126" s="110" t="s">
        <v>541</v>
      </c>
      <c r="AC1126" s="10" t="s">
        <v>541</v>
      </c>
      <c r="AD1126" s="10" t="s">
        <v>541</v>
      </c>
    </row>
    <row r="1127" spans="1:30" x14ac:dyDescent="0.2">
      <c r="A1127" s="110">
        <v>1126</v>
      </c>
      <c r="B1127" s="132">
        <v>41844</v>
      </c>
      <c r="C1127" s="117">
        <v>1</v>
      </c>
      <c r="D1127" s="103" t="s">
        <v>70</v>
      </c>
      <c r="E1127" s="103" t="s">
        <v>306</v>
      </c>
      <c r="H1127" s="103"/>
      <c r="I1127" s="103">
        <v>44</v>
      </c>
      <c r="K1127" s="103" t="s">
        <v>365</v>
      </c>
      <c r="L1127" s="133"/>
      <c r="M1127" s="134">
        <v>1.5972222222222224E-2</v>
      </c>
      <c r="N1127" s="137" t="s">
        <v>3280</v>
      </c>
      <c r="O1127" s="133" t="s">
        <v>555</v>
      </c>
      <c r="Q1127" s="100" t="s">
        <v>3331</v>
      </c>
      <c r="R1127" s="226" t="s">
        <v>3367</v>
      </c>
      <c r="S1127" s="491" t="str">
        <f t="shared" si="35"/>
        <v>x</v>
      </c>
      <c r="T1127" s="492" t="str">
        <f>IFERROR(VLOOKUP(F1127,'Freq-Chan'!C:D,2,FALSE),"x")</f>
        <v>x</v>
      </c>
      <c r="U1127" s="110" t="s">
        <v>541</v>
      </c>
      <c r="V1127" s="110" t="str">
        <f t="shared" si="36"/>
        <v>FWL</v>
      </c>
      <c r="W1127" s="110" t="s">
        <v>541</v>
      </c>
      <c r="X1127" s="110" t="s">
        <v>541</v>
      </c>
      <c r="Y1127" s="110" t="str">
        <f>IFERROR(VLOOKUP(F1127,'Freq-Chan'!C:E,3,FALSE),"na")</f>
        <v>na</v>
      </c>
      <c r="Z1127" s="110" t="s">
        <v>541</v>
      </c>
      <c r="AA1127" s="110" t="s">
        <v>541</v>
      </c>
      <c r="AB1127" s="110" t="s">
        <v>541</v>
      </c>
      <c r="AC1127" s="10" t="s">
        <v>541</v>
      </c>
      <c r="AD1127" s="10" t="s">
        <v>541</v>
      </c>
    </row>
    <row r="1128" spans="1:30" x14ac:dyDescent="0.2">
      <c r="A1128" s="110">
        <v>1127</v>
      </c>
      <c r="B1128" s="132">
        <v>41844</v>
      </c>
      <c r="C1128" s="117">
        <v>1</v>
      </c>
      <c r="D1128" s="103" t="s">
        <v>70</v>
      </c>
      <c r="E1128" s="103" t="s">
        <v>306</v>
      </c>
      <c r="H1128" s="103"/>
      <c r="I1128" s="103">
        <v>46</v>
      </c>
      <c r="K1128" s="103" t="s">
        <v>365</v>
      </c>
      <c r="L1128" s="133"/>
      <c r="M1128" s="134">
        <v>1.3194444444444444E-2</v>
      </c>
      <c r="N1128" s="137" t="s">
        <v>1576</v>
      </c>
      <c r="O1128" s="133" t="s">
        <v>555</v>
      </c>
      <c r="Q1128" s="100" t="s">
        <v>3331</v>
      </c>
      <c r="R1128" s="226" t="s">
        <v>3367</v>
      </c>
      <c r="S1128" s="491" t="str">
        <f t="shared" si="35"/>
        <v>x</v>
      </c>
      <c r="T1128" s="492" t="str">
        <f>IFERROR(VLOOKUP(F1128,'Freq-Chan'!C:D,2,FALSE),"x")</f>
        <v>x</v>
      </c>
      <c r="U1128" s="110" t="s">
        <v>541</v>
      </c>
      <c r="V1128" s="110" t="str">
        <f t="shared" si="36"/>
        <v>FWL</v>
      </c>
      <c r="W1128" s="110" t="s">
        <v>541</v>
      </c>
      <c r="X1128" s="110" t="s">
        <v>541</v>
      </c>
      <c r="Y1128" s="110" t="str">
        <f>IFERROR(VLOOKUP(F1128,'Freq-Chan'!C:E,3,FALSE),"na")</f>
        <v>na</v>
      </c>
      <c r="Z1128" s="110" t="s">
        <v>541</v>
      </c>
      <c r="AA1128" s="110" t="s">
        <v>541</v>
      </c>
      <c r="AB1128" s="110" t="s">
        <v>541</v>
      </c>
      <c r="AC1128" s="10" t="s">
        <v>541</v>
      </c>
      <c r="AD1128" s="10" t="s">
        <v>541</v>
      </c>
    </row>
    <row r="1129" spans="1:30" x14ac:dyDescent="0.2">
      <c r="A1129" s="110">
        <v>1128</v>
      </c>
      <c r="B1129" s="132">
        <v>41844</v>
      </c>
      <c r="C1129" s="117">
        <v>1</v>
      </c>
      <c r="D1129" s="103" t="s">
        <v>71</v>
      </c>
      <c r="E1129" s="103" t="s">
        <v>306</v>
      </c>
      <c r="F1129" s="103">
        <v>564</v>
      </c>
      <c r="G1129" s="103">
        <v>14</v>
      </c>
      <c r="H1129" s="103" t="s">
        <v>2312</v>
      </c>
      <c r="I1129" s="103">
        <v>56</v>
      </c>
      <c r="K1129" s="103" t="s">
        <v>364</v>
      </c>
      <c r="L1129" s="133"/>
      <c r="M1129" s="134">
        <v>3.888888888888889E-2</v>
      </c>
      <c r="N1129" s="137" t="s">
        <v>1574</v>
      </c>
      <c r="O1129" s="133" t="s">
        <v>804</v>
      </c>
      <c r="Q1129" s="100" t="s">
        <v>3338</v>
      </c>
      <c r="R1129" s="226" t="s">
        <v>3367</v>
      </c>
      <c r="S1129" s="491" t="str">
        <f t="shared" si="35"/>
        <v>x</v>
      </c>
      <c r="T1129" s="492">
        <f>IFERROR(VLOOKUP(F1129,'Freq-Chan'!C:D,2,FALSE),"x")</f>
        <v>151.56399999999999</v>
      </c>
      <c r="U1129" s="110" t="s">
        <v>541</v>
      </c>
      <c r="V1129" s="110" t="str">
        <f t="shared" si="36"/>
        <v>FWL</v>
      </c>
      <c r="W1129" s="110" t="s">
        <v>541</v>
      </c>
      <c r="X1129" s="110" t="s">
        <v>541</v>
      </c>
      <c r="Y1129" s="110" t="str">
        <f>IFERROR(VLOOKUP(F1129,'Freq-Chan'!C:E,3,FALSE),"na")</f>
        <v>F1840</v>
      </c>
      <c r="Z1129" s="110" t="s">
        <v>541</v>
      </c>
      <c r="AA1129" s="110" t="s">
        <v>541</v>
      </c>
      <c r="AB1129" s="110" t="s">
        <v>541</v>
      </c>
      <c r="AC1129" s="10" t="s">
        <v>541</v>
      </c>
      <c r="AD1129" s="10" t="s">
        <v>541</v>
      </c>
    </row>
    <row r="1130" spans="1:30" x14ac:dyDescent="0.2">
      <c r="A1130" s="110">
        <v>1129</v>
      </c>
      <c r="B1130" s="132">
        <v>41844</v>
      </c>
      <c r="C1130" s="117">
        <v>1</v>
      </c>
      <c r="D1130" s="103" t="s">
        <v>71</v>
      </c>
      <c r="E1130" s="103" t="s">
        <v>306</v>
      </c>
      <c r="H1130" s="103"/>
      <c r="I1130" s="103">
        <v>59</v>
      </c>
      <c r="K1130" s="103" t="s">
        <v>364</v>
      </c>
      <c r="L1130" s="133">
        <v>0.7402777777777777</v>
      </c>
      <c r="M1130" s="134">
        <v>3.8194444444444441E-2</v>
      </c>
      <c r="N1130" s="137" t="s">
        <v>3336</v>
      </c>
      <c r="O1130" s="133" t="s">
        <v>804</v>
      </c>
      <c r="P1130" s="100" t="s">
        <v>3337</v>
      </c>
      <c r="Q1130" s="100" t="s">
        <v>3338</v>
      </c>
      <c r="R1130" s="226" t="s">
        <v>3367</v>
      </c>
      <c r="S1130" s="491">
        <f t="shared" si="35"/>
        <v>9.0856480999999996E-3</v>
      </c>
      <c r="T1130" s="492" t="str">
        <f>IFERROR(VLOOKUP(F1130,'Freq-Chan'!C:D,2,FALSE),"x")</f>
        <v>x</v>
      </c>
      <c r="U1130" s="110" t="s">
        <v>541</v>
      </c>
      <c r="V1130" s="110" t="str">
        <f t="shared" si="36"/>
        <v>FWL</v>
      </c>
      <c r="W1130" s="110" t="s">
        <v>541</v>
      </c>
      <c r="X1130" s="110" t="s">
        <v>541</v>
      </c>
      <c r="Y1130" s="110" t="str">
        <f>IFERROR(VLOOKUP(F1130,'Freq-Chan'!C:E,3,FALSE),"na")</f>
        <v>na</v>
      </c>
      <c r="Z1130" s="110" t="s">
        <v>541</v>
      </c>
      <c r="AA1130" s="110" t="s">
        <v>541</v>
      </c>
      <c r="AB1130" s="110" t="s">
        <v>541</v>
      </c>
      <c r="AC1130" s="10" t="s">
        <v>541</v>
      </c>
      <c r="AD1130" s="10" t="s">
        <v>541</v>
      </c>
    </row>
    <row r="1131" spans="1:30" x14ac:dyDescent="0.2">
      <c r="A1131" s="110">
        <v>1130</v>
      </c>
      <c r="B1131" s="132">
        <v>41844</v>
      </c>
      <c r="C1131" s="117">
        <v>1</v>
      </c>
      <c r="D1131" s="103" t="s">
        <v>71</v>
      </c>
      <c r="E1131" s="103" t="s">
        <v>306</v>
      </c>
      <c r="H1131" s="103"/>
      <c r="I1131" s="103">
        <v>60</v>
      </c>
      <c r="K1131" s="103" t="s">
        <v>364</v>
      </c>
      <c r="L1131" s="133">
        <v>0.74791666666666667</v>
      </c>
      <c r="M1131" s="134">
        <v>4.027777777777778E-2</v>
      </c>
      <c r="N1131" s="137" t="s">
        <v>3339</v>
      </c>
      <c r="O1131" s="133" t="s">
        <v>804</v>
      </c>
      <c r="Q1131" s="100" t="s">
        <v>3338</v>
      </c>
      <c r="R1131" s="226" t="s">
        <v>3367</v>
      </c>
      <c r="S1131" s="491">
        <f t="shared" si="35"/>
        <v>2.8009259E-3</v>
      </c>
      <c r="T1131" s="492" t="str">
        <f>IFERROR(VLOOKUP(F1131,'Freq-Chan'!C:D,2,FALSE),"x")</f>
        <v>x</v>
      </c>
      <c r="U1131" s="110" t="s">
        <v>541</v>
      </c>
      <c r="V1131" s="110" t="str">
        <f t="shared" si="36"/>
        <v>FWL</v>
      </c>
      <c r="W1131" s="110" t="s">
        <v>541</v>
      </c>
      <c r="X1131" s="110" t="s">
        <v>541</v>
      </c>
      <c r="Y1131" s="110" t="str">
        <f>IFERROR(VLOOKUP(F1131,'Freq-Chan'!C:E,3,FALSE),"na")</f>
        <v>na</v>
      </c>
      <c r="Z1131" s="110" t="s">
        <v>541</v>
      </c>
      <c r="AA1131" s="110" t="s">
        <v>541</v>
      </c>
      <c r="AB1131" s="110" t="s">
        <v>541</v>
      </c>
      <c r="AC1131" s="10" t="s">
        <v>541</v>
      </c>
      <c r="AD1131" s="10" t="s">
        <v>541</v>
      </c>
    </row>
    <row r="1132" spans="1:30" s="291" customFormat="1" x14ac:dyDescent="0.2">
      <c r="A1132" s="493">
        <v>1131</v>
      </c>
      <c r="B1132" s="283">
        <v>41844</v>
      </c>
      <c r="C1132" s="284">
        <v>1</v>
      </c>
      <c r="D1132" s="285" t="s">
        <v>8</v>
      </c>
      <c r="E1132" s="285" t="s">
        <v>306</v>
      </c>
      <c r="F1132" s="285">
        <v>573</v>
      </c>
      <c r="G1132" s="285">
        <v>19</v>
      </c>
      <c r="H1132" s="285" t="s">
        <v>2144</v>
      </c>
      <c r="I1132" s="285">
        <v>58</v>
      </c>
      <c r="J1132" s="285"/>
      <c r="K1132" s="285" t="s">
        <v>364</v>
      </c>
      <c r="L1132" s="286"/>
      <c r="M1132" s="287">
        <v>4.2361111111111106E-2</v>
      </c>
      <c r="N1132" s="339" t="s">
        <v>3340</v>
      </c>
      <c r="O1132" s="286" t="s">
        <v>803</v>
      </c>
      <c r="P1132" s="289"/>
      <c r="Q1132" s="289" t="s">
        <v>3338</v>
      </c>
      <c r="R1132" s="290" t="s">
        <v>3367</v>
      </c>
      <c r="S1132" s="494" t="str">
        <f t="shared" si="35"/>
        <v>x</v>
      </c>
      <c r="T1132" s="495">
        <f>IFERROR(VLOOKUP(F1132,'Freq-Chan'!C:D,2,FALSE),"x")</f>
        <v>151.57300000000001</v>
      </c>
      <c r="U1132" s="493" t="s">
        <v>541</v>
      </c>
      <c r="V1132" s="493" t="str">
        <f t="shared" si="36"/>
        <v>FWL</v>
      </c>
      <c r="W1132" s="493" t="s">
        <v>541</v>
      </c>
      <c r="X1132" s="493" t="s">
        <v>541</v>
      </c>
      <c r="Y1132" s="493" t="str">
        <f>IFERROR(VLOOKUP(F1132,'Freq-Chan'!C:E,3,FALSE),"na")</f>
        <v>F1840</v>
      </c>
      <c r="Z1132" s="493" t="s">
        <v>541</v>
      </c>
      <c r="AA1132" s="493" t="s">
        <v>541</v>
      </c>
      <c r="AB1132" s="493" t="s">
        <v>541</v>
      </c>
      <c r="AC1132" s="291" t="s">
        <v>541</v>
      </c>
      <c r="AD1132" s="291" t="s">
        <v>541</v>
      </c>
    </row>
    <row r="1133" spans="1:30" x14ac:dyDescent="0.2">
      <c r="A1133" s="110">
        <v>1132</v>
      </c>
      <c r="B1133" s="132">
        <v>41844</v>
      </c>
      <c r="C1133" s="117">
        <v>2</v>
      </c>
      <c r="D1133" s="103" t="s">
        <v>71</v>
      </c>
      <c r="E1133" s="103" t="s">
        <v>306</v>
      </c>
      <c r="F1133" s="103">
        <v>564</v>
      </c>
      <c r="G1133" s="103">
        <v>20</v>
      </c>
      <c r="H1133" s="103" t="s">
        <v>2311</v>
      </c>
      <c r="I1133" s="103">
        <v>65</v>
      </c>
      <c r="K1133" s="103" t="s">
        <v>364</v>
      </c>
      <c r="L1133" s="133"/>
      <c r="M1133" s="134">
        <v>5.2083333333333336E-2</v>
      </c>
      <c r="N1133" s="137" t="s">
        <v>842</v>
      </c>
      <c r="O1133" s="133" t="s">
        <v>1663</v>
      </c>
      <c r="Q1133" s="100" t="s">
        <v>3323</v>
      </c>
      <c r="R1133" s="226" t="s">
        <v>3367</v>
      </c>
      <c r="S1133" s="491" t="str">
        <f t="shared" si="35"/>
        <v>x</v>
      </c>
      <c r="T1133" s="492">
        <f>IFERROR(VLOOKUP(F1133,'Freq-Chan'!C:D,2,FALSE),"x")</f>
        <v>151.56399999999999</v>
      </c>
      <c r="U1133" s="110" t="s">
        <v>541</v>
      </c>
      <c r="V1133" s="110" t="str">
        <f t="shared" si="36"/>
        <v>FWL</v>
      </c>
      <c r="W1133" s="110" t="s">
        <v>541</v>
      </c>
      <c r="X1133" s="110" t="s">
        <v>541</v>
      </c>
      <c r="Y1133" s="110" t="str">
        <f>IFERROR(VLOOKUP(F1133,'Freq-Chan'!C:E,3,FALSE),"na")</f>
        <v>F1840</v>
      </c>
      <c r="Z1133" s="110" t="s">
        <v>541</v>
      </c>
      <c r="AA1133" s="110" t="s">
        <v>541</v>
      </c>
      <c r="AB1133" s="110" t="s">
        <v>541</v>
      </c>
      <c r="AC1133" s="10" t="s">
        <v>541</v>
      </c>
      <c r="AD1133" s="10" t="s">
        <v>541</v>
      </c>
    </row>
    <row r="1134" spans="1:30" x14ac:dyDescent="0.2">
      <c r="A1134" s="110">
        <v>1133</v>
      </c>
      <c r="B1134" s="132">
        <v>41844</v>
      </c>
      <c r="C1134" s="117">
        <v>2</v>
      </c>
      <c r="D1134" s="103" t="s">
        <v>71</v>
      </c>
      <c r="E1134" s="103" t="s">
        <v>306</v>
      </c>
      <c r="H1134" s="103"/>
      <c r="I1134" s="103">
        <v>57</v>
      </c>
      <c r="K1134" s="103" t="s">
        <v>364</v>
      </c>
      <c r="L1134" s="133"/>
      <c r="M1134" s="134">
        <v>1.5277777777777777E-2</v>
      </c>
      <c r="N1134" s="137" t="s">
        <v>1803</v>
      </c>
      <c r="O1134" s="133" t="s">
        <v>803</v>
      </c>
      <c r="Q1134" s="100" t="s">
        <v>3328</v>
      </c>
      <c r="R1134" s="226" t="s">
        <v>3367</v>
      </c>
      <c r="S1134" s="491" t="str">
        <f t="shared" si="35"/>
        <v>x</v>
      </c>
      <c r="T1134" s="492" t="str">
        <f>IFERROR(VLOOKUP(F1134,'Freq-Chan'!C:D,2,FALSE),"x")</f>
        <v>x</v>
      </c>
      <c r="U1134" s="110" t="s">
        <v>541</v>
      </c>
      <c r="V1134" s="110" t="str">
        <f t="shared" si="36"/>
        <v>FWL</v>
      </c>
      <c r="W1134" s="110" t="s">
        <v>541</v>
      </c>
      <c r="X1134" s="110" t="s">
        <v>541</v>
      </c>
      <c r="Y1134" s="110" t="str">
        <f>IFERROR(VLOOKUP(F1134,'Freq-Chan'!C:E,3,FALSE),"na")</f>
        <v>na</v>
      </c>
      <c r="Z1134" s="110" t="s">
        <v>541</v>
      </c>
      <c r="AA1134" s="110" t="s">
        <v>541</v>
      </c>
      <c r="AB1134" s="110" t="s">
        <v>541</v>
      </c>
      <c r="AC1134" s="10" t="s">
        <v>541</v>
      </c>
      <c r="AD1134" s="10" t="s">
        <v>541</v>
      </c>
    </row>
    <row r="1135" spans="1:30" x14ac:dyDescent="0.2">
      <c r="A1135" s="110">
        <v>1134</v>
      </c>
      <c r="B1135" s="132">
        <v>41844</v>
      </c>
      <c r="C1135" s="117">
        <v>2</v>
      </c>
      <c r="D1135" s="103" t="s">
        <v>8</v>
      </c>
      <c r="E1135" s="103" t="s">
        <v>306</v>
      </c>
      <c r="F1135" s="103">
        <v>573</v>
      </c>
      <c r="G1135" s="103">
        <v>87</v>
      </c>
      <c r="H1135" s="103" t="s">
        <v>2143</v>
      </c>
      <c r="I1135" s="103">
        <v>47</v>
      </c>
      <c r="K1135" s="103" t="s">
        <v>364</v>
      </c>
      <c r="L1135" s="133"/>
      <c r="M1135" s="134">
        <v>4.3750000000000004E-2</v>
      </c>
      <c r="N1135" s="137" t="s">
        <v>3341</v>
      </c>
      <c r="O1135" s="133" t="s">
        <v>804</v>
      </c>
      <c r="Q1135" s="100" t="s">
        <v>3328</v>
      </c>
      <c r="R1135" s="226" t="s">
        <v>3367</v>
      </c>
      <c r="S1135" s="491" t="str">
        <f t="shared" si="35"/>
        <v>x</v>
      </c>
      <c r="T1135" s="492">
        <f>IFERROR(VLOOKUP(F1135,'Freq-Chan'!C:D,2,FALSE),"x")</f>
        <v>151.57300000000001</v>
      </c>
      <c r="U1135" s="110" t="s">
        <v>541</v>
      </c>
      <c r="V1135" s="110" t="str">
        <f t="shared" si="36"/>
        <v>FWL</v>
      </c>
      <c r="W1135" s="110" t="s">
        <v>541</v>
      </c>
      <c r="X1135" s="110" t="s">
        <v>541</v>
      </c>
      <c r="Y1135" s="110" t="str">
        <f>IFERROR(VLOOKUP(F1135,'Freq-Chan'!C:E,3,FALSE),"na")</f>
        <v>F1840</v>
      </c>
      <c r="Z1135" s="110" t="s">
        <v>541</v>
      </c>
      <c r="AA1135" s="110" t="s">
        <v>541</v>
      </c>
      <c r="AB1135" s="110" t="s">
        <v>541</v>
      </c>
      <c r="AC1135" s="10" t="s">
        <v>541</v>
      </c>
      <c r="AD1135" s="10" t="s">
        <v>541</v>
      </c>
    </row>
    <row r="1136" spans="1:30" s="291" customFormat="1" x14ac:dyDescent="0.2">
      <c r="A1136" s="493">
        <v>1135</v>
      </c>
      <c r="B1136" s="283">
        <v>41844</v>
      </c>
      <c r="C1136" s="284">
        <v>2</v>
      </c>
      <c r="D1136" s="285" t="s">
        <v>71</v>
      </c>
      <c r="E1136" s="285" t="s">
        <v>306</v>
      </c>
      <c r="F1136" s="285"/>
      <c r="G1136" s="285"/>
      <c r="H1136" s="285"/>
      <c r="I1136" s="285">
        <v>57</v>
      </c>
      <c r="J1136" s="285"/>
      <c r="K1136" s="285" t="s">
        <v>364</v>
      </c>
      <c r="L1136" s="286"/>
      <c r="M1136" s="287">
        <v>3.4722222222222224E-2</v>
      </c>
      <c r="N1136" s="339" t="s">
        <v>1582</v>
      </c>
      <c r="O1136" s="286" t="s">
        <v>804</v>
      </c>
      <c r="P1136" s="289"/>
      <c r="Q1136" s="289" t="s">
        <v>3328</v>
      </c>
      <c r="R1136" s="290" t="s">
        <v>3367</v>
      </c>
      <c r="S1136" s="494" t="str">
        <f t="shared" si="35"/>
        <v>x</v>
      </c>
      <c r="T1136" s="495" t="str">
        <f>IFERROR(VLOOKUP(F1136,'Freq-Chan'!C:D,2,FALSE),"x")</f>
        <v>x</v>
      </c>
      <c r="U1136" s="493" t="s">
        <v>541</v>
      </c>
      <c r="V1136" s="493" t="str">
        <f t="shared" si="36"/>
        <v>FWL</v>
      </c>
      <c r="W1136" s="493" t="s">
        <v>541</v>
      </c>
      <c r="X1136" s="493" t="s">
        <v>541</v>
      </c>
      <c r="Y1136" s="493" t="str">
        <f>IFERROR(VLOOKUP(F1136,'Freq-Chan'!C:E,3,FALSE),"na")</f>
        <v>na</v>
      </c>
      <c r="Z1136" s="493" t="s">
        <v>541</v>
      </c>
      <c r="AA1136" s="493" t="s">
        <v>541</v>
      </c>
      <c r="AB1136" s="493" t="s">
        <v>541</v>
      </c>
      <c r="AC1136" s="291" t="s">
        <v>541</v>
      </c>
      <c r="AD1136" s="291" t="s">
        <v>541</v>
      </c>
    </row>
    <row r="1137" spans="1:30" x14ac:dyDescent="0.2">
      <c r="A1137" s="110">
        <v>1136</v>
      </c>
      <c r="B1137" s="132">
        <v>41844</v>
      </c>
      <c r="C1137" s="117">
        <v>3</v>
      </c>
      <c r="D1137" s="103" t="s">
        <v>70</v>
      </c>
      <c r="E1137" s="103" t="s">
        <v>306</v>
      </c>
      <c r="H1137" s="103"/>
      <c r="K1137" s="103" t="s">
        <v>364</v>
      </c>
      <c r="L1137" s="133">
        <v>0.3298611111111111</v>
      </c>
      <c r="M1137" s="134">
        <v>1.4583333333333332E-2</v>
      </c>
      <c r="N1137" s="137" t="s">
        <v>3342</v>
      </c>
      <c r="O1137" s="133" t="s">
        <v>803</v>
      </c>
      <c r="P1137" s="100" t="s">
        <v>3343</v>
      </c>
      <c r="Q1137" s="100" t="s">
        <v>3328</v>
      </c>
      <c r="R1137" s="226" t="s">
        <v>3367</v>
      </c>
      <c r="S1137" s="491">
        <f t="shared" si="35"/>
        <v>3.9236111000000001E-3</v>
      </c>
      <c r="T1137" s="492" t="str">
        <f>IFERROR(VLOOKUP(F1137,'Freq-Chan'!C:D,2,FALSE),"x")</f>
        <v>x</v>
      </c>
      <c r="U1137" s="110" t="s">
        <v>541</v>
      </c>
      <c r="V1137" s="110" t="str">
        <f t="shared" si="36"/>
        <v>FWL</v>
      </c>
      <c r="W1137" s="110" t="s">
        <v>541</v>
      </c>
      <c r="X1137" s="110" t="s">
        <v>541</v>
      </c>
      <c r="Y1137" s="110" t="str">
        <f>IFERROR(VLOOKUP(F1137,'Freq-Chan'!C:E,3,FALSE),"na")</f>
        <v>na</v>
      </c>
      <c r="Z1137" s="110" t="s">
        <v>541</v>
      </c>
      <c r="AA1137" s="110" t="s">
        <v>541</v>
      </c>
      <c r="AB1137" s="110" t="s">
        <v>541</v>
      </c>
      <c r="AC1137" s="10" t="s">
        <v>541</v>
      </c>
      <c r="AD1137" s="10" t="s">
        <v>541</v>
      </c>
    </row>
    <row r="1138" spans="1:30" x14ac:dyDescent="0.2">
      <c r="A1138" s="110">
        <v>1137</v>
      </c>
      <c r="B1138" s="132">
        <v>41844</v>
      </c>
      <c r="C1138" s="117">
        <v>3</v>
      </c>
      <c r="D1138" s="103" t="s">
        <v>70</v>
      </c>
      <c r="E1138" s="103" t="s">
        <v>306</v>
      </c>
      <c r="F1138" s="103">
        <v>515</v>
      </c>
      <c r="G1138" s="103">
        <v>94</v>
      </c>
      <c r="H1138" s="103" t="s">
        <v>2962</v>
      </c>
      <c r="I1138" s="103">
        <v>47</v>
      </c>
      <c r="K1138" s="103" t="s">
        <v>365</v>
      </c>
      <c r="L1138" s="133">
        <v>0.35069444444444442</v>
      </c>
      <c r="M1138" s="134">
        <v>4.8611111111111112E-2</v>
      </c>
      <c r="N1138" s="137" t="s">
        <v>3344</v>
      </c>
      <c r="O1138" s="133" t="s">
        <v>804</v>
      </c>
      <c r="Q1138" s="100" t="s">
        <v>3328</v>
      </c>
      <c r="R1138" s="226" t="s">
        <v>3367</v>
      </c>
      <c r="S1138" s="491">
        <f t="shared" si="35"/>
        <v>0</v>
      </c>
      <c r="T1138" s="492">
        <f>IFERROR(VLOOKUP(F1138,'Freq-Chan'!C:D,2,FALSE),"x")</f>
        <v>151.51499999999999</v>
      </c>
      <c r="U1138" s="110" t="s">
        <v>541</v>
      </c>
      <c r="V1138" s="110" t="str">
        <f t="shared" si="36"/>
        <v>FWL</v>
      </c>
      <c r="W1138" s="110" t="s">
        <v>541</v>
      </c>
      <c r="X1138" s="110" t="s">
        <v>541</v>
      </c>
      <c r="Y1138" s="110" t="str">
        <f>IFERROR(VLOOKUP(F1138,'Freq-Chan'!C:E,3,FALSE),"na")</f>
        <v>F1835</v>
      </c>
      <c r="Z1138" s="110" t="s">
        <v>541</v>
      </c>
      <c r="AA1138" s="110" t="s">
        <v>541</v>
      </c>
      <c r="AB1138" s="110" t="s">
        <v>541</v>
      </c>
      <c r="AC1138" s="10" t="s">
        <v>541</v>
      </c>
      <c r="AD1138" s="10" t="s">
        <v>541</v>
      </c>
    </row>
    <row r="1139" spans="1:30" x14ac:dyDescent="0.2">
      <c r="A1139" s="110">
        <v>1138</v>
      </c>
      <c r="B1139" s="132">
        <v>41844</v>
      </c>
      <c r="C1139" s="117">
        <v>3</v>
      </c>
      <c r="D1139" s="103" t="s">
        <v>70</v>
      </c>
      <c r="E1139" s="103" t="s">
        <v>306</v>
      </c>
      <c r="F1139" s="103">
        <v>596</v>
      </c>
      <c r="G1139" s="103">
        <v>61</v>
      </c>
      <c r="H1139" s="103" t="s">
        <v>2963</v>
      </c>
      <c r="I1139" s="103">
        <v>42</v>
      </c>
      <c r="K1139" s="103" t="s">
        <v>365</v>
      </c>
      <c r="L1139" s="133"/>
      <c r="M1139" s="134">
        <v>4.1666666666666664E-2</v>
      </c>
      <c r="N1139" s="137" t="s">
        <v>3345</v>
      </c>
      <c r="O1139" s="133" t="s">
        <v>804</v>
      </c>
      <c r="Q1139" s="100" t="s">
        <v>3328</v>
      </c>
      <c r="R1139" s="226" t="s">
        <v>3367</v>
      </c>
      <c r="S1139" s="491" t="str">
        <f t="shared" si="35"/>
        <v>x</v>
      </c>
      <c r="T1139" s="492">
        <f>IFERROR(VLOOKUP(F1139,'Freq-Chan'!C:D,2,FALSE),"x")</f>
        <v>151.596</v>
      </c>
      <c r="U1139" s="110" t="s">
        <v>541</v>
      </c>
      <c r="V1139" s="110" t="str">
        <f t="shared" si="36"/>
        <v>FWL</v>
      </c>
      <c r="W1139" s="110" t="s">
        <v>541</v>
      </c>
      <c r="X1139" s="110" t="s">
        <v>541</v>
      </c>
      <c r="Y1139" s="110" t="str">
        <f>IFERROR(VLOOKUP(F1139,'Freq-Chan'!C:E,3,FALSE),"na")</f>
        <v>F1835</v>
      </c>
      <c r="Z1139" s="110" t="s">
        <v>541</v>
      </c>
      <c r="AA1139" s="110" t="s">
        <v>541</v>
      </c>
      <c r="AB1139" s="110" t="s">
        <v>541</v>
      </c>
      <c r="AC1139" s="10" t="s">
        <v>541</v>
      </c>
      <c r="AD1139" s="10" t="s">
        <v>541</v>
      </c>
    </row>
    <row r="1140" spans="1:30" x14ac:dyDescent="0.2">
      <c r="A1140" s="110">
        <v>1139</v>
      </c>
      <c r="B1140" s="132">
        <v>41844</v>
      </c>
      <c r="C1140" s="117">
        <v>3</v>
      </c>
      <c r="D1140" s="103" t="s">
        <v>70</v>
      </c>
      <c r="E1140" s="103" t="s">
        <v>306</v>
      </c>
      <c r="H1140" s="103"/>
      <c r="K1140" s="103" t="s">
        <v>364</v>
      </c>
      <c r="L1140" s="133"/>
      <c r="M1140" s="134"/>
      <c r="O1140" s="133"/>
      <c r="P1140" s="100" t="s">
        <v>3346</v>
      </c>
      <c r="Q1140" s="100" t="s">
        <v>3328</v>
      </c>
      <c r="R1140" s="226" t="s">
        <v>3367</v>
      </c>
      <c r="S1140" s="491" t="str">
        <f t="shared" si="35"/>
        <v>x</v>
      </c>
      <c r="T1140" s="492" t="str">
        <f>IFERROR(VLOOKUP(F1140,'Freq-Chan'!C:D,2,FALSE),"x")</f>
        <v>x</v>
      </c>
      <c r="U1140" s="110" t="s">
        <v>541</v>
      </c>
      <c r="V1140" s="110" t="str">
        <f t="shared" si="36"/>
        <v>FWL</v>
      </c>
      <c r="W1140" s="110" t="s">
        <v>541</v>
      </c>
      <c r="X1140" s="110" t="s">
        <v>541</v>
      </c>
      <c r="Y1140" s="110" t="str">
        <f>IFERROR(VLOOKUP(F1140,'Freq-Chan'!C:E,3,FALSE),"na")</f>
        <v>na</v>
      </c>
      <c r="Z1140" s="110" t="s">
        <v>541</v>
      </c>
      <c r="AA1140" s="110" t="s">
        <v>541</v>
      </c>
      <c r="AB1140" s="110" t="s">
        <v>541</v>
      </c>
      <c r="AC1140" s="10" t="s">
        <v>541</v>
      </c>
      <c r="AD1140" s="10" t="s">
        <v>541</v>
      </c>
    </row>
    <row r="1141" spans="1:30" x14ac:dyDescent="0.2">
      <c r="A1141" s="110">
        <v>1140</v>
      </c>
      <c r="B1141" s="132">
        <v>41844</v>
      </c>
      <c r="C1141" s="117">
        <v>3</v>
      </c>
      <c r="D1141" s="103" t="s">
        <v>70</v>
      </c>
      <c r="E1141" s="103" t="s">
        <v>306</v>
      </c>
      <c r="H1141" s="103"/>
      <c r="I1141" s="103">
        <v>41</v>
      </c>
      <c r="K1141" s="103" t="s">
        <v>1032</v>
      </c>
      <c r="L1141" s="133"/>
      <c r="M1141" s="134">
        <v>2.7777777777777776E-2</v>
      </c>
      <c r="N1141" s="137" t="s">
        <v>3277</v>
      </c>
      <c r="O1141" s="133" t="s">
        <v>804</v>
      </c>
      <c r="Q1141" s="100" t="s">
        <v>3328</v>
      </c>
      <c r="R1141" s="226" t="s">
        <v>3367</v>
      </c>
      <c r="S1141" s="491" t="str">
        <f t="shared" si="35"/>
        <v>x</v>
      </c>
      <c r="T1141" s="492" t="str">
        <f>IFERROR(VLOOKUP(F1141,'Freq-Chan'!C:D,2,FALSE),"x")</f>
        <v>x</v>
      </c>
      <c r="U1141" s="110" t="s">
        <v>541</v>
      </c>
      <c r="V1141" s="110" t="str">
        <f t="shared" si="36"/>
        <v>FWL</v>
      </c>
      <c r="W1141" s="110" t="s">
        <v>541</v>
      </c>
      <c r="X1141" s="110" t="s">
        <v>541</v>
      </c>
      <c r="Y1141" s="110" t="str">
        <f>IFERROR(VLOOKUP(F1141,'Freq-Chan'!C:E,3,FALSE),"na")</f>
        <v>na</v>
      </c>
      <c r="Z1141" s="110" t="s">
        <v>541</v>
      </c>
      <c r="AA1141" s="110" t="s">
        <v>541</v>
      </c>
      <c r="AB1141" s="110" t="s">
        <v>541</v>
      </c>
      <c r="AC1141" s="10" t="s">
        <v>541</v>
      </c>
      <c r="AD1141" s="10" t="s">
        <v>541</v>
      </c>
    </row>
    <row r="1142" spans="1:30" x14ac:dyDescent="0.2">
      <c r="A1142" s="110">
        <v>1141</v>
      </c>
      <c r="B1142" s="132">
        <v>41844</v>
      </c>
      <c r="C1142" s="117">
        <v>3</v>
      </c>
      <c r="D1142" s="103" t="s">
        <v>71</v>
      </c>
      <c r="E1142" s="103" t="s">
        <v>306</v>
      </c>
      <c r="F1142" s="103">
        <v>534</v>
      </c>
      <c r="G1142" s="103">
        <v>28</v>
      </c>
      <c r="H1142" s="103" t="s">
        <v>2308</v>
      </c>
      <c r="I1142" s="103">
        <v>61</v>
      </c>
      <c r="K1142" s="103" t="s">
        <v>364</v>
      </c>
      <c r="L1142" s="133">
        <v>0.35347222222222219</v>
      </c>
      <c r="M1142" s="134">
        <v>4.7222222222222221E-2</v>
      </c>
      <c r="N1142" s="137" t="s">
        <v>2650</v>
      </c>
      <c r="O1142" s="133" t="s">
        <v>803</v>
      </c>
      <c r="Q1142" s="100" t="s">
        <v>3328</v>
      </c>
      <c r="R1142" s="226" t="s">
        <v>3367</v>
      </c>
      <c r="S1142" s="491">
        <f t="shared" si="35"/>
        <v>5.4629630000000004E-3</v>
      </c>
      <c r="T1142" s="492">
        <f>IFERROR(VLOOKUP(F1142,'Freq-Chan'!C:D,2,FALSE),"x")</f>
        <v>151.53399999999999</v>
      </c>
      <c r="U1142" s="110" t="s">
        <v>541</v>
      </c>
      <c r="V1142" s="110" t="str">
        <f t="shared" si="36"/>
        <v>FWL</v>
      </c>
      <c r="W1142" s="110" t="s">
        <v>541</v>
      </c>
      <c r="X1142" s="110" t="s">
        <v>541</v>
      </c>
      <c r="Y1142" s="110" t="str">
        <f>IFERROR(VLOOKUP(F1142,'Freq-Chan'!C:E,3,FALSE),"na")</f>
        <v>F1840</v>
      </c>
      <c r="Z1142" s="110" t="s">
        <v>541</v>
      </c>
      <c r="AA1142" s="110" t="s">
        <v>541</v>
      </c>
      <c r="AB1142" s="110" t="s">
        <v>541</v>
      </c>
      <c r="AC1142" s="10" t="s">
        <v>541</v>
      </c>
      <c r="AD1142" s="10" t="s">
        <v>541</v>
      </c>
    </row>
    <row r="1143" spans="1:30" x14ac:dyDescent="0.2">
      <c r="A1143" s="110">
        <v>1142</v>
      </c>
      <c r="B1143" s="132">
        <v>41844</v>
      </c>
      <c r="C1143" s="117">
        <v>3</v>
      </c>
      <c r="D1143" s="103" t="s">
        <v>70</v>
      </c>
      <c r="E1143" s="103" t="s">
        <v>306</v>
      </c>
      <c r="H1143" s="103"/>
      <c r="I1143" s="103">
        <v>42</v>
      </c>
      <c r="K1143" s="103" t="s">
        <v>1032</v>
      </c>
      <c r="L1143" s="133"/>
      <c r="M1143" s="134">
        <v>1.9444444444444445E-2</v>
      </c>
      <c r="N1143" s="137" t="s">
        <v>3347</v>
      </c>
      <c r="O1143" s="133" t="s">
        <v>803</v>
      </c>
      <c r="Q1143" s="100" t="s">
        <v>3328</v>
      </c>
      <c r="R1143" s="226" t="s">
        <v>3367</v>
      </c>
      <c r="S1143" s="491" t="str">
        <f t="shared" si="35"/>
        <v>x</v>
      </c>
      <c r="T1143" s="492" t="str">
        <f>IFERROR(VLOOKUP(F1143,'Freq-Chan'!C:D,2,FALSE),"x")</f>
        <v>x</v>
      </c>
      <c r="U1143" s="110" t="s">
        <v>541</v>
      </c>
      <c r="V1143" s="110" t="str">
        <f t="shared" si="36"/>
        <v>FWL</v>
      </c>
      <c r="W1143" s="110" t="s">
        <v>541</v>
      </c>
      <c r="X1143" s="110" t="s">
        <v>541</v>
      </c>
      <c r="Y1143" s="110" t="str">
        <f>IFERROR(VLOOKUP(F1143,'Freq-Chan'!C:E,3,FALSE),"na")</f>
        <v>na</v>
      </c>
      <c r="Z1143" s="110" t="s">
        <v>541</v>
      </c>
      <c r="AA1143" s="110" t="s">
        <v>541</v>
      </c>
      <c r="AB1143" s="110" t="s">
        <v>541</v>
      </c>
      <c r="AC1143" s="10" t="s">
        <v>541</v>
      </c>
      <c r="AD1143" s="10" t="s">
        <v>541</v>
      </c>
    </row>
    <row r="1144" spans="1:30" x14ac:dyDescent="0.2">
      <c r="A1144" s="110">
        <v>1143</v>
      </c>
      <c r="B1144" s="132">
        <v>41844</v>
      </c>
      <c r="C1144" s="117">
        <v>3</v>
      </c>
      <c r="D1144" s="103" t="s">
        <v>71</v>
      </c>
      <c r="E1144" s="103" t="s">
        <v>306</v>
      </c>
      <c r="F1144" s="103">
        <v>564</v>
      </c>
      <c r="G1144" s="103">
        <v>86</v>
      </c>
      <c r="H1144" s="103" t="s">
        <v>2307</v>
      </c>
      <c r="I1144" s="103">
        <v>57</v>
      </c>
      <c r="K1144" s="103" t="s">
        <v>364</v>
      </c>
      <c r="L1144" s="133"/>
      <c r="M1144" s="134">
        <v>4.5833333333333337E-2</v>
      </c>
      <c r="N1144" s="137" t="s">
        <v>3348</v>
      </c>
      <c r="O1144" s="133" t="s">
        <v>803</v>
      </c>
      <c r="Q1144" s="100" t="s">
        <v>3328</v>
      </c>
      <c r="R1144" s="226" t="s">
        <v>3367</v>
      </c>
      <c r="S1144" s="491" t="str">
        <f t="shared" si="35"/>
        <v>x</v>
      </c>
      <c r="T1144" s="492">
        <f>IFERROR(VLOOKUP(F1144,'Freq-Chan'!C:D,2,FALSE),"x")</f>
        <v>151.56399999999999</v>
      </c>
      <c r="U1144" s="110" t="s">
        <v>541</v>
      </c>
      <c r="V1144" s="110" t="str">
        <f t="shared" si="36"/>
        <v>FWL</v>
      </c>
      <c r="W1144" s="110" t="s">
        <v>541</v>
      </c>
      <c r="X1144" s="110" t="s">
        <v>541</v>
      </c>
      <c r="Y1144" s="110" t="str">
        <f>IFERROR(VLOOKUP(F1144,'Freq-Chan'!C:E,3,FALSE),"na")</f>
        <v>F1840</v>
      </c>
      <c r="Z1144" s="110" t="s">
        <v>541</v>
      </c>
      <c r="AA1144" s="110" t="s">
        <v>541</v>
      </c>
      <c r="AB1144" s="110" t="s">
        <v>541</v>
      </c>
      <c r="AC1144" s="10" t="s">
        <v>541</v>
      </c>
      <c r="AD1144" s="10" t="s">
        <v>541</v>
      </c>
    </row>
    <row r="1145" spans="1:30" x14ac:dyDescent="0.2">
      <c r="A1145" s="110">
        <v>1144</v>
      </c>
      <c r="B1145" s="132">
        <v>41844</v>
      </c>
      <c r="C1145" s="117">
        <v>3</v>
      </c>
      <c r="D1145" s="103" t="s">
        <v>70</v>
      </c>
      <c r="E1145" s="103" t="s">
        <v>306</v>
      </c>
      <c r="H1145" s="103"/>
      <c r="I1145" s="103">
        <v>47</v>
      </c>
      <c r="K1145" s="103" t="s">
        <v>365</v>
      </c>
      <c r="L1145" s="133"/>
      <c r="M1145" s="134">
        <v>1.9444444444444445E-2</v>
      </c>
      <c r="N1145" s="137" t="s">
        <v>3349</v>
      </c>
      <c r="O1145" s="133" t="s">
        <v>803</v>
      </c>
      <c r="P1145" s="100" t="s">
        <v>3350</v>
      </c>
      <c r="Q1145" s="100" t="s">
        <v>3328</v>
      </c>
      <c r="R1145" s="226" t="s">
        <v>3367</v>
      </c>
      <c r="S1145" s="491" t="str">
        <f t="shared" si="35"/>
        <v>x</v>
      </c>
      <c r="T1145" s="492" t="str">
        <f>IFERROR(VLOOKUP(F1145,'Freq-Chan'!C:D,2,FALSE),"x")</f>
        <v>x</v>
      </c>
      <c r="U1145" s="110" t="s">
        <v>541</v>
      </c>
      <c r="V1145" s="110" t="str">
        <f t="shared" si="36"/>
        <v>FWL</v>
      </c>
      <c r="W1145" s="110" t="s">
        <v>541</v>
      </c>
      <c r="X1145" s="110" t="s">
        <v>541</v>
      </c>
      <c r="Y1145" s="110" t="str">
        <f>IFERROR(VLOOKUP(F1145,'Freq-Chan'!C:E,3,FALSE),"na")</f>
        <v>na</v>
      </c>
      <c r="Z1145" s="110" t="s">
        <v>541</v>
      </c>
      <c r="AA1145" s="110" t="s">
        <v>541</v>
      </c>
      <c r="AB1145" s="110" t="s">
        <v>541</v>
      </c>
      <c r="AC1145" s="10" t="s">
        <v>541</v>
      </c>
      <c r="AD1145" s="10" t="s">
        <v>541</v>
      </c>
    </row>
    <row r="1146" spans="1:30" x14ac:dyDescent="0.2">
      <c r="A1146" s="110">
        <v>1145</v>
      </c>
      <c r="B1146" s="132">
        <v>41844</v>
      </c>
      <c r="C1146" s="117">
        <v>3</v>
      </c>
      <c r="D1146" s="103" t="s">
        <v>70</v>
      </c>
      <c r="E1146" s="103" t="s">
        <v>306</v>
      </c>
      <c r="H1146" s="103"/>
      <c r="I1146" s="103">
        <v>45</v>
      </c>
      <c r="K1146" s="103" t="s">
        <v>365</v>
      </c>
      <c r="L1146" s="133"/>
      <c r="M1146" s="134">
        <v>1.8749999999999999E-2</v>
      </c>
      <c r="N1146" s="137" t="s">
        <v>3351</v>
      </c>
      <c r="O1146" s="133" t="s">
        <v>803</v>
      </c>
      <c r="Q1146" s="100" t="s">
        <v>3328</v>
      </c>
      <c r="R1146" s="226" t="s">
        <v>3367</v>
      </c>
      <c r="S1146" s="491" t="str">
        <f t="shared" si="35"/>
        <v>x</v>
      </c>
      <c r="T1146" s="492" t="str">
        <f>IFERROR(VLOOKUP(F1146,'Freq-Chan'!C:D,2,FALSE),"x")</f>
        <v>x</v>
      </c>
      <c r="U1146" s="110" t="s">
        <v>541</v>
      </c>
      <c r="V1146" s="110" t="str">
        <f t="shared" si="36"/>
        <v>FWL</v>
      </c>
      <c r="W1146" s="110" t="s">
        <v>541</v>
      </c>
      <c r="X1146" s="110" t="s">
        <v>541</v>
      </c>
      <c r="Y1146" s="110" t="str">
        <f>IFERROR(VLOOKUP(F1146,'Freq-Chan'!C:E,3,FALSE),"na")</f>
        <v>na</v>
      </c>
      <c r="Z1146" s="110" t="s">
        <v>541</v>
      </c>
      <c r="AA1146" s="110" t="s">
        <v>541</v>
      </c>
      <c r="AB1146" s="110" t="s">
        <v>541</v>
      </c>
      <c r="AC1146" s="10" t="s">
        <v>541</v>
      </c>
      <c r="AD1146" s="10" t="s">
        <v>541</v>
      </c>
    </row>
    <row r="1147" spans="1:30" x14ac:dyDescent="0.2">
      <c r="A1147" s="110">
        <v>1146</v>
      </c>
      <c r="B1147" s="132">
        <v>41844</v>
      </c>
      <c r="C1147" s="117">
        <v>3</v>
      </c>
      <c r="D1147" s="103" t="s">
        <v>70</v>
      </c>
      <c r="E1147" s="103" t="s">
        <v>306</v>
      </c>
      <c r="H1147" s="103"/>
      <c r="I1147" s="103">
        <v>44</v>
      </c>
      <c r="K1147" s="103" t="s">
        <v>365</v>
      </c>
      <c r="L1147" s="133"/>
      <c r="M1147" s="134">
        <v>1.7361111111111112E-2</v>
      </c>
      <c r="N1147" s="137" t="s">
        <v>3244</v>
      </c>
      <c r="O1147" s="133" t="s">
        <v>804</v>
      </c>
      <c r="Q1147" s="100" t="s">
        <v>3328</v>
      </c>
      <c r="R1147" s="226" t="s">
        <v>3367</v>
      </c>
      <c r="S1147" s="491" t="str">
        <f t="shared" si="35"/>
        <v>x</v>
      </c>
      <c r="T1147" s="492" t="str">
        <f>IFERROR(VLOOKUP(F1147,'Freq-Chan'!C:D,2,FALSE),"x")</f>
        <v>x</v>
      </c>
      <c r="U1147" s="110" t="s">
        <v>541</v>
      </c>
      <c r="V1147" s="110" t="str">
        <f t="shared" si="36"/>
        <v>FWL</v>
      </c>
      <c r="W1147" s="110" t="s">
        <v>541</v>
      </c>
      <c r="X1147" s="110" t="s">
        <v>541</v>
      </c>
      <c r="Y1147" s="110" t="str">
        <f>IFERROR(VLOOKUP(F1147,'Freq-Chan'!C:E,3,FALSE),"na")</f>
        <v>na</v>
      </c>
      <c r="Z1147" s="110" t="s">
        <v>541</v>
      </c>
      <c r="AA1147" s="110" t="s">
        <v>541</v>
      </c>
      <c r="AB1147" s="110" t="s">
        <v>541</v>
      </c>
      <c r="AC1147" s="10" t="s">
        <v>541</v>
      </c>
      <c r="AD1147" s="10" t="s">
        <v>541</v>
      </c>
    </row>
    <row r="1148" spans="1:30" x14ac:dyDescent="0.2">
      <c r="A1148" s="110">
        <v>1147</v>
      </c>
      <c r="B1148" s="132">
        <v>41844</v>
      </c>
      <c r="C1148" s="117">
        <v>3</v>
      </c>
      <c r="D1148" s="103" t="s">
        <v>70</v>
      </c>
      <c r="E1148" s="103" t="s">
        <v>306</v>
      </c>
      <c r="H1148" s="103"/>
      <c r="I1148" s="103">
        <v>45</v>
      </c>
      <c r="K1148" s="103" t="s">
        <v>365</v>
      </c>
      <c r="L1148" s="133"/>
      <c r="M1148" s="134">
        <v>2.0833333333333332E-2</v>
      </c>
      <c r="N1148" s="137" t="s">
        <v>3352</v>
      </c>
      <c r="O1148" s="133" t="s">
        <v>803</v>
      </c>
      <c r="Q1148" s="100" t="s">
        <v>3328</v>
      </c>
      <c r="R1148" s="226" t="s">
        <v>3367</v>
      </c>
      <c r="S1148" s="491" t="str">
        <f t="shared" si="35"/>
        <v>x</v>
      </c>
      <c r="T1148" s="492" t="str">
        <f>IFERROR(VLOOKUP(F1148,'Freq-Chan'!C:D,2,FALSE),"x")</f>
        <v>x</v>
      </c>
      <c r="U1148" s="110" t="s">
        <v>541</v>
      </c>
      <c r="V1148" s="110" t="str">
        <f t="shared" si="36"/>
        <v>FWL</v>
      </c>
      <c r="W1148" s="110" t="s">
        <v>541</v>
      </c>
      <c r="X1148" s="110" t="s">
        <v>541</v>
      </c>
      <c r="Y1148" s="110" t="str">
        <f>IFERROR(VLOOKUP(F1148,'Freq-Chan'!C:E,3,FALSE),"na")</f>
        <v>na</v>
      </c>
      <c r="Z1148" s="110" t="s">
        <v>541</v>
      </c>
      <c r="AA1148" s="110" t="s">
        <v>541</v>
      </c>
      <c r="AB1148" s="110" t="s">
        <v>541</v>
      </c>
      <c r="AC1148" s="10" t="s">
        <v>541</v>
      </c>
      <c r="AD1148" s="10" t="s">
        <v>541</v>
      </c>
    </row>
    <row r="1149" spans="1:30" x14ac:dyDescent="0.2">
      <c r="A1149" s="110">
        <v>1148</v>
      </c>
      <c r="B1149" s="132">
        <v>41844</v>
      </c>
      <c r="C1149" s="117">
        <v>3</v>
      </c>
      <c r="D1149" s="103" t="s">
        <v>70</v>
      </c>
      <c r="E1149" s="103" t="s">
        <v>306</v>
      </c>
      <c r="H1149" s="103"/>
      <c r="I1149" s="103">
        <v>44</v>
      </c>
      <c r="K1149" s="103" t="s">
        <v>365</v>
      </c>
      <c r="L1149" s="133"/>
      <c r="M1149" s="134">
        <v>1.8055555555555557E-2</v>
      </c>
      <c r="N1149" s="137" t="s">
        <v>1796</v>
      </c>
      <c r="O1149" s="133" t="s">
        <v>804</v>
      </c>
      <c r="Q1149" s="100" t="s">
        <v>3328</v>
      </c>
      <c r="R1149" s="226" t="s">
        <v>3367</v>
      </c>
      <c r="S1149" s="491" t="str">
        <f t="shared" si="35"/>
        <v>x</v>
      </c>
      <c r="T1149" s="492" t="str">
        <f>IFERROR(VLOOKUP(F1149,'Freq-Chan'!C:D,2,FALSE),"x")</f>
        <v>x</v>
      </c>
      <c r="U1149" s="110" t="s">
        <v>541</v>
      </c>
      <c r="V1149" s="110" t="str">
        <f t="shared" si="36"/>
        <v>FWL</v>
      </c>
      <c r="W1149" s="110" t="s">
        <v>541</v>
      </c>
      <c r="X1149" s="110" t="s">
        <v>541</v>
      </c>
      <c r="Y1149" s="110" t="str">
        <f>IFERROR(VLOOKUP(F1149,'Freq-Chan'!C:E,3,FALSE),"na")</f>
        <v>na</v>
      </c>
      <c r="Z1149" s="110" t="s">
        <v>541</v>
      </c>
      <c r="AA1149" s="110" t="s">
        <v>541</v>
      </c>
      <c r="AB1149" s="110" t="s">
        <v>541</v>
      </c>
      <c r="AC1149" s="10" t="s">
        <v>541</v>
      </c>
      <c r="AD1149" s="10" t="s">
        <v>541</v>
      </c>
    </row>
    <row r="1150" spans="1:30" x14ac:dyDescent="0.2">
      <c r="A1150" s="110">
        <v>1149</v>
      </c>
      <c r="B1150" s="132">
        <v>41844</v>
      </c>
      <c r="C1150" s="117">
        <v>3</v>
      </c>
      <c r="D1150" s="103" t="s">
        <v>177</v>
      </c>
      <c r="E1150" s="103" t="s">
        <v>0</v>
      </c>
      <c r="F1150" s="103">
        <v>917</v>
      </c>
      <c r="G1150" s="103">
        <v>24</v>
      </c>
      <c r="H1150" s="103" t="s">
        <v>3353</v>
      </c>
      <c r="I1150" s="103">
        <v>47</v>
      </c>
      <c r="K1150" s="103" t="s">
        <v>364</v>
      </c>
      <c r="L1150" s="133"/>
      <c r="M1150" s="134">
        <v>3.125E-2</v>
      </c>
      <c r="N1150" s="137" t="s">
        <v>2777</v>
      </c>
      <c r="O1150" s="133" t="s">
        <v>803</v>
      </c>
      <c r="Q1150" s="100" t="s">
        <v>3328</v>
      </c>
      <c r="R1150" s="226" t="s">
        <v>3367</v>
      </c>
      <c r="S1150" s="491" t="str">
        <f t="shared" si="35"/>
        <v>x</v>
      </c>
      <c r="T1150" s="492">
        <f>IFERROR(VLOOKUP(F1150,'Freq-Chan'!C:D,2,FALSE),"x")</f>
        <v>151.917</v>
      </c>
      <c r="U1150" s="110" t="s">
        <v>541</v>
      </c>
      <c r="V1150" s="110" t="str">
        <f t="shared" si="36"/>
        <v>FWL</v>
      </c>
      <c r="W1150" s="110" t="s">
        <v>541</v>
      </c>
      <c r="X1150" s="110" t="s">
        <v>541</v>
      </c>
      <c r="Y1150" s="110" t="str">
        <f>IFERROR(VLOOKUP(F1150,'Freq-Chan'!C:E,3,FALSE),"na")</f>
        <v>F1835</v>
      </c>
      <c r="Z1150" s="110" t="s">
        <v>541</v>
      </c>
      <c r="AA1150" s="110" t="s">
        <v>541</v>
      </c>
      <c r="AB1150" s="110" t="s">
        <v>541</v>
      </c>
      <c r="AC1150" s="10" t="s">
        <v>541</v>
      </c>
      <c r="AD1150" s="10" t="s">
        <v>541</v>
      </c>
    </row>
    <row r="1151" spans="1:30" x14ac:dyDescent="0.2">
      <c r="A1151" s="110">
        <v>1150</v>
      </c>
      <c r="B1151" s="132">
        <v>41844</v>
      </c>
      <c r="C1151" s="117">
        <v>3</v>
      </c>
      <c r="D1151" s="103" t="s">
        <v>70</v>
      </c>
      <c r="E1151" s="103" t="s">
        <v>306</v>
      </c>
      <c r="H1151" s="103"/>
      <c r="I1151" s="103">
        <v>46</v>
      </c>
      <c r="K1151" s="103" t="s">
        <v>365</v>
      </c>
      <c r="L1151" s="133"/>
      <c r="M1151" s="134">
        <v>1.8055555555555557E-2</v>
      </c>
      <c r="N1151" s="137" t="s">
        <v>2839</v>
      </c>
      <c r="O1151" s="133" t="s">
        <v>804</v>
      </c>
      <c r="Q1151" s="100" t="s">
        <v>3328</v>
      </c>
      <c r="R1151" s="226" t="s">
        <v>3367</v>
      </c>
      <c r="S1151" s="491" t="str">
        <f t="shared" si="35"/>
        <v>x</v>
      </c>
      <c r="T1151" s="492" t="str">
        <f>IFERROR(VLOOKUP(F1151,'Freq-Chan'!C:D,2,FALSE),"x")</f>
        <v>x</v>
      </c>
      <c r="U1151" s="110" t="s">
        <v>541</v>
      </c>
      <c r="V1151" s="110" t="str">
        <f t="shared" si="36"/>
        <v>FWL</v>
      </c>
      <c r="W1151" s="110" t="s">
        <v>541</v>
      </c>
      <c r="X1151" s="110" t="s">
        <v>541</v>
      </c>
      <c r="Y1151" s="110" t="str">
        <f>IFERROR(VLOOKUP(F1151,'Freq-Chan'!C:E,3,FALSE),"na")</f>
        <v>na</v>
      </c>
      <c r="Z1151" s="110" t="s">
        <v>541</v>
      </c>
      <c r="AA1151" s="110" t="s">
        <v>541</v>
      </c>
      <c r="AB1151" s="110" t="s">
        <v>541</v>
      </c>
      <c r="AC1151" s="10" t="s">
        <v>541</v>
      </c>
      <c r="AD1151" s="10" t="s">
        <v>541</v>
      </c>
    </row>
    <row r="1152" spans="1:30" x14ac:dyDescent="0.2">
      <c r="A1152" s="110">
        <v>1151</v>
      </c>
      <c r="B1152" s="132">
        <v>41844</v>
      </c>
      <c r="C1152" s="117">
        <v>3</v>
      </c>
      <c r="D1152" s="103" t="s">
        <v>70</v>
      </c>
      <c r="E1152" s="103" t="s">
        <v>306</v>
      </c>
      <c r="H1152" s="103"/>
      <c r="I1152" s="103">
        <v>44</v>
      </c>
      <c r="K1152" s="103" t="s">
        <v>365</v>
      </c>
      <c r="L1152" s="133">
        <v>0.42569444444444443</v>
      </c>
      <c r="M1152" s="134">
        <v>2.4305555555555556E-2</v>
      </c>
      <c r="N1152" s="137" t="s">
        <v>3354</v>
      </c>
      <c r="O1152" s="133" t="s">
        <v>804</v>
      </c>
      <c r="Q1152" s="100" t="s">
        <v>3328</v>
      </c>
      <c r="R1152" s="226" t="s">
        <v>3367</v>
      </c>
      <c r="S1152" s="491">
        <f t="shared" si="35"/>
        <v>1.6782406999999999E-3</v>
      </c>
      <c r="T1152" s="492" t="str">
        <f>IFERROR(VLOOKUP(F1152,'Freq-Chan'!C:D,2,FALSE),"x")</f>
        <v>x</v>
      </c>
      <c r="U1152" s="110" t="s">
        <v>541</v>
      </c>
      <c r="V1152" s="110" t="str">
        <f t="shared" si="36"/>
        <v>FWL</v>
      </c>
      <c r="W1152" s="110" t="s">
        <v>541</v>
      </c>
      <c r="X1152" s="110" t="s">
        <v>541</v>
      </c>
      <c r="Y1152" s="110" t="str">
        <f>IFERROR(VLOOKUP(F1152,'Freq-Chan'!C:E,3,FALSE),"na")</f>
        <v>na</v>
      </c>
      <c r="Z1152" s="110" t="s">
        <v>541</v>
      </c>
      <c r="AA1152" s="110" t="s">
        <v>541</v>
      </c>
      <c r="AB1152" s="110" t="s">
        <v>541</v>
      </c>
      <c r="AC1152" s="10" t="s">
        <v>541</v>
      </c>
      <c r="AD1152" s="10" t="s">
        <v>541</v>
      </c>
    </row>
    <row r="1153" spans="1:30" x14ac:dyDescent="0.2">
      <c r="A1153" s="110">
        <v>1152</v>
      </c>
      <c r="B1153" s="132">
        <v>41844</v>
      </c>
      <c r="C1153" s="117">
        <v>3</v>
      </c>
      <c r="D1153" s="103" t="s">
        <v>70</v>
      </c>
      <c r="E1153" s="103" t="s">
        <v>306</v>
      </c>
      <c r="H1153" s="103"/>
      <c r="I1153" s="103">
        <v>44</v>
      </c>
      <c r="K1153" s="103" t="s">
        <v>365</v>
      </c>
      <c r="L1153" s="133"/>
      <c r="M1153" s="134">
        <v>1.9444444444444445E-2</v>
      </c>
      <c r="N1153" s="137" t="s">
        <v>3355</v>
      </c>
      <c r="O1153" s="133" t="s">
        <v>803</v>
      </c>
      <c r="Q1153" s="100" t="s">
        <v>3328</v>
      </c>
      <c r="R1153" s="226" t="s">
        <v>3367</v>
      </c>
      <c r="S1153" s="491" t="str">
        <f t="shared" si="35"/>
        <v>x</v>
      </c>
      <c r="T1153" s="492" t="str">
        <f>IFERROR(VLOOKUP(F1153,'Freq-Chan'!C:D,2,FALSE),"x")</f>
        <v>x</v>
      </c>
      <c r="U1153" s="110" t="s">
        <v>541</v>
      </c>
      <c r="V1153" s="110" t="str">
        <f t="shared" si="36"/>
        <v>FWL</v>
      </c>
      <c r="W1153" s="110" t="s">
        <v>541</v>
      </c>
      <c r="X1153" s="110" t="s">
        <v>541</v>
      </c>
      <c r="Y1153" s="110" t="str">
        <f>IFERROR(VLOOKUP(F1153,'Freq-Chan'!C:E,3,FALSE),"na")</f>
        <v>na</v>
      </c>
      <c r="Z1153" s="110" t="s">
        <v>541</v>
      </c>
      <c r="AA1153" s="110" t="s">
        <v>541</v>
      </c>
      <c r="AB1153" s="110" t="s">
        <v>541</v>
      </c>
      <c r="AC1153" s="10" t="s">
        <v>541</v>
      </c>
      <c r="AD1153" s="10" t="s">
        <v>541</v>
      </c>
    </row>
    <row r="1154" spans="1:30" x14ac:dyDescent="0.2">
      <c r="A1154" s="110">
        <v>1153</v>
      </c>
      <c r="B1154" s="132">
        <v>41844</v>
      </c>
      <c r="C1154" s="117">
        <v>3</v>
      </c>
      <c r="D1154" s="103" t="s">
        <v>70</v>
      </c>
      <c r="E1154" s="103" t="s">
        <v>306</v>
      </c>
      <c r="H1154" s="103"/>
      <c r="I1154" s="103">
        <v>47</v>
      </c>
      <c r="K1154" s="103" t="s">
        <v>365</v>
      </c>
      <c r="L1154" s="133"/>
      <c r="M1154" s="134">
        <v>1.9444444444444445E-2</v>
      </c>
      <c r="N1154" s="137" t="s">
        <v>2935</v>
      </c>
      <c r="O1154" s="133" t="s">
        <v>1888</v>
      </c>
      <c r="Q1154" s="100" t="s">
        <v>3356</v>
      </c>
      <c r="R1154" s="226" t="s">
        <v>3367</v>
      </c>
      <c r="S1154" s="491" t="str">
        <f t="shared" si="35"/>
        <v>x</v>
      </c>
      <c r="T1154" s="492" t="str">
        <f>IFERROR(VLOOKUP(F1154,'Freq-Chan'!C:D,2,FALSE),"x")</f>
        <v>x</v>
      </c>
      <c r="U1154" s="110" t="s">
        <v>541</v>
      </c>
      <c r="V1154" s="110" t="str">
        <f t="shared" si="36"/>
        <v>FWL</v>
      </c>
      <c r="W1154" s="110" t="s">
        <v>541</v>
      </c>
      <c r="X1154" s="110" t="s">
        <v>541</v>
      </c>
      <c r="Y1154" s="110" t="str">
        <f>IFERROR(VLOOKUP(F1154,'Freq-Chan'!C:E,3,FALSE),"na")</f>
        <v>na</v>
      </c>
      <c r="Z1154" s="110" t="s">
        <v>541</v>
      </c>
      <c r="AA1154" s="110" t="s">
        <v>541</v>
      </c>
      <c r="AB1154" s="110" t="s">
        <v>541</v>
      </c>
      <c r="AC1154" s="10" t="s">
        <v>541</v>
      </c>
      <c r="AD1154" s="10" t="s">
        <v>541</v>
      </c>
    </row>
    <row r="1155" spans="1:30" x14ac:dyDescent="0.2">
      <c r="A1155" s="110">
        <v>1154</v>
      </c>
      <c r="B1155" s="132">
        <v>41844</v>
      </c>
      <c r="C1155" s="117">
        <v>3</v>
      </c>
      <c r="D1155" s="103" t="s">
        <v>70</v>
      </c>
      <c r="E1155" s="103" t="s">
        <v>306</v>
      </c>
      <c r="H1155" s="103"/>
      <c r="I1155" s="103">
        <v>44</v>
      </c>
      <c r="K1155" s="103" t="s">
        <v>1032</v>
      </c>
      <c r="L1155" s="133"/>
      <c r="M1155" s="134">
        <v>2.0833333333333332E-2</v>
      </c>
      <c r="N1155" s="137" t="s">
        <v>3357</v>
      </c>
      <c r="O1155" s="133" t="s">
        <v>1888</v>
      </c>
      <c r="Q1155" s="100" t="s">
        <v>3356</v>
      </c>
      <c r="R1155" s="226" t="s">
        <v>3367</v>
      </c>
      <c r="S1155" s="491" t="str">
        <f t="shared" ref="S1155:S1218" si="37">IF(IF(OR(L1155=0,N1155=0),"x",ROUND(N1155-L1155-(M1155*24)/(24*60),10))&lt;0,0,IF(OR(L1155=0,N1155=0),"x",ROUND(N1155-L1155-(M1155*24)/(24*60),10)))</f>
        <v>x</v>
      </c>
      <c r="T1155" s="492" t="str">
        <f>IFERROR(VLOOKUP(F1155,'Freq-Chan'!C:D,2,FALSE),"x")</f>
        <v>x</v>
      </c>
      <c r="U1155" s="110" t="s">
        <v>541</v>
      </c>
      <c r="V1155" s="110" t="str">
        <f t="shared" ref="V1155:V1218" si="38">IF(OR(C1155=1,C1155=2,C1155=3),"FWL","NRD")</f>
        <v>FWL</v>
      </c>
      <c r="W1155" s="110" t="s">
        <v>541</v>
      </c>
      <c r="X1155" s="110" t="s">
        <v>541</v>
      </c>
      <c r="Y1155" s="110" t="str">
        <f>IFERROR(VLOOKUP(F1155,'Freq-Chan'!C:E,3,FALSE),"na")</f>
        <v>na</v>
      </c>
      <c r="Z1155" s="110" t="s">
        <v>541</v>
      </c>
      <c r="AA1155" s="110" t="s">
        <v>541</v>
      </c>
      <c r="AB1155" s="110" t="s">
        <v>541</v>
      </c>
      <c r="AC1155" s="10" t="s">
        <v>541</v>
      </c>
      <c r="AD1155" s="10" t="s">
        <v>541</v>
      </c>
    </row>
    <row r="1156" spans="1:30" x14ac:dyDescent="0.2">
      <c r="A1156" s="110">
        <v>1155</v>
      </c>
      <c r="B1156" s="132">
        <v>41844</v>
      </c>
      <c r="C1156" s="117">
        <v>3</v>
      </c>
      <c r="D1156" s="103" t="s">
        <v>71</v>
      </c>
      <c r="E1156" s="103" t="s">
        <v>306</v>
      </c>
      <c r="F1156" s="103">
        <v>534</v>
      </c>
      <c r="G1156" s="103">
        <v>72</v>
      </c>
      <c r="H1156" s="103" t="s">
        <v>2309</v>
      </c>
      <c r="I1156" s="103">
        <v>65</v>
      </c>
      <c r="K1156" s="103" t="s">
        <v>364</v>
      </c>
      <c r="L1156" s="133"/>
      <c r="M1156" s="134">
        <v>4.4444444444444446E-2</v>
      </c>
      <c r="N1156" s="137" t="s">
        <v>1935</v>
      </c>
      <c r="O1156" s="133" t="s">
        <v>1888</v>
      </c>
      <c r="Q1156" s="100" t="s">
        <v>3356</v>
      </c>
      <c r="R1156" s="226" t="s">
        <v>3367</v>
      </c>
      <c r="S1156" s="491" t="str">
        <f t="shared" si="37"/>
        <v>x</v>
      </c>
      <c r="T1156" s="492">
        <f>IFERROR(VLOOKUP(F1156,'Freq-Chan'!C:D,2,FALSE),"x")</f>
        <v>151.53399999999999</v>
      </c>
      <c r="U1156" s="110" t="s">
        <v>541</v>
      </c>
      <c r="V1156" s="110" t="str">
        <f t="shared" si="38"/>
        <v>FWL</v>
      </c>
      <c r="W1156" s="110" t="s">
        <v>541</v>
      </c>
      <c r="X1156" s="110" t="s">
        <v>541</v>
      </c>
      <c r="Y1156" s="110" t="str">
        <f>IFERROR(VLOOKUP(F1156,'Freq-Chan'!C:E,3,FALSE),"na")</f>
        <v>F1840</v>
      </c>
      <c r="Z1156" s="110" t="s">
        <v>541</v>
      </c>
      <c r="AA1156" s="110" t="s">
        <v>541</v>
      </c>
      <c r="AB1156" s="110" t="s">
        <v>541</v>
      </c>
      <c r="AC1156" s="10" t="s">
        <v>541</v>
      </c>
      <c r="AD1156" s="10" t="s">
        <v>541</v>
      </c>
    </row>
    <row r="1157" spans="1:30" x14ac:dyDescent="0.2">
      <c r="A1157" s="110">
        <v>1156</v>
      </c>
      <c r="B1157" s="132">
        <v>41844</v>
      </c>
      <c r="C1157" s="117">
        <v>3</v>
      </c>
      <c r="D1157" s="103" t="s">
        <v>71</v>
      </c>
      <c r="E1157" s="103" t="s">
        <v>306</v>
      </c>
      <c r="F1157" s="103">
        <v>534</v>
      </c>
      <c r="G1157" s="103">
        <v>4</v>
      </c>
      <c r="H1157" s="103" t="s">
        <v>2315</v>
      </c>
      <c r="I1157" s="103">
        <v>62</v>
      </c>
      <c r="K1157" s="103" t="s">
        <v>364</v>
      </c>
      <c r="L1157" s="133"/>
      <c r="M1157" s="134">
        <v>4.7916666666666663E-2</v>
      </c>
      <c r="N1157" s="137" t="s">
        <v>2692</v>
      </c>
      <c r="O1157" s="133" t="s">
        <v>372</v>
      </c>
      <c r="Q1157" s="100" t="s">
        <v>3356</v>
      </c>
      <c r="R1157" s="226" t="s">
        <v>3367</v>
      </c>
      <c r="S1157" s="491" t="str">
        <f t="shared" si="37"/>
        <v>x</v>
      </c>
      <c r="T1157" s="492">
        <f>IFERROR(VLOOKUP(F1157,'Freq-Chan'!C:D,2,FALSE),"x")</f>
        <v>151.53399999999999</v>
      </c>
      <c r="U1157" s="110" t="s">
        <v>541</v>
      </c>
      <c r="V1157" s="110" t="str">
        <f t="shared" si="38"/>
        <v>FWL</v>
      </c>
      <c r="W1157" s="110" t="s">
        <v>541</v>
      </c>
      <c r="X1157" s="110" t="s">
        <v>541</v>
      </c>
      <c r="Y1157" s="110" t="str">
        <f>IFERROR(VLOOKUP(F1157,'Freq-Chan'!C:E,3,FALSE),"na")</f>
        <v>F1840</v>
      </c>
      <c r="Z1157" s="110" t="s">
        <v>541</v>
      </c>
      <c r="AA1157" s="110" t="s">
        <v>541</v>
      </c>
      <c r="AB1157" s="110" t="s">
        <v>541</v>
      </c>
      <c r="AC1157" s="10" t="s">
        <v>541</v>
      </c>
      <c r="AD1157" s="10" t="s">
        <v>541</v>
      </c>
    </row>
    <row r="1158" spans="1:30" x14ac:dyDescent="0.2">
      <c r="A1158" s="110">
        <v>1157</v>
      </c>
      <c r="B1158" s="132">
        <v>41844</v>
      </c>
      <c r="C1158" s="117">
        <v>3</v>
      </c>
      <c r="D1158" s="103" t="s">
        <v>75</v>
      </c>
      <c r="E1158" s="103" t="s">
        <v>798</v>
      </c>
      <c r="H1158" s="103"/>
      <c r="J1158" s="103">
        <v>17</v>
      </c>
      <c r="K1158" s="103" t="s">
        <v>364</v>
      </c>
      <c r="L1158" s="133"/>
      <c r="M1158" s="134">
        <v>1.6666666666666666E-2</v>
      </c>
      <c r="N1158" s="137" t="s">
        <v>3254</v>
      </c>
      <c r="O1158" s="133" t="s">
        <v>1888</v>
      </c>
      <c r="Q1158" s="100" t="s">
        <v>3356</v>
      </c>
      <c r="R1158" s="226" t="s">
        <v>3367</v>
      </c>
      <c r="S1158" s="491" t="str">
        <f t="shared" si="37"/>
        <v>x</v>
      </c>
      <c r="T1158" s="492" t="str">
        <f>IFERROR(VLOOKUP(F1158,'Freq-Chan'!C:D,2,FALSE),"x")</f>
        <v>x</v>
      </c>
      <c r="U1158" s="110" t="s">
        <v>541</v>
      </c>
      <c r="V1158" s="110" t="str">
        <f t="shared" si="38"/>
        <v>FWL</v>
      </c>
      <c r="W1158" s="110" t="s">
        <v>541</v>
      </c>
      <c r="X1158" s="110" t="s">
        <v>541</v>
      </c>
      <c r="Y1158" s="110" t="str">
        <f>IFERROR(VLOOKUP(F1158,'Freq-Chan'!C:E,3,FALSE),"na")</f>
        <v>na</v>
      </c>
      <c r="Z1158" s="110" t="s">
        <v>541</v>
      </c>
      <c r="AA1158" s="110" t="s">
        <v>541</v>
      </c>
      <c r="AB1158" s="110" t="s">
        <v>541</v>
      </c>
      <c r="AC1158" s="10" t="s">
        <v>541</v>
      </c>
      <c r="AD1158" s="10" t="s">
        <v>541</v>
      </c>
    </row>
    <row r="1159" spans="1:30" x14ac:dyDescent="0.2">
      <c r="A1159" s="110">
        <v>1158</v>
      </c>
      <c r="B1159" s="132">
        <v>41844</v>
      </c>
      <c r="C1159" s="117">
        <v>3</v>
      </c>
      <c r="D1159" s="103" t="s">
        <v>8</v>
      </c>
      <c r="E1159" s="103" t="s">
        <v>306</v>
      </c>
      <c r="F1159" s="103">
        <v>586</v>
      </c>
      <c r="G1159" s="103">
        <v>1</v>
      </c>
      <c r="H1159" s="103" t="s">
        <v>2152</v>
      </c>
      <c r="I1159" s="103">
        <v>56</v>
      </c>
      <c r="K1159" s="103" t="s">
        <v>364</v>
      </c>
      <c r="L1159" s="133"/>
      <c r="M1159" s="134">
        <v>3.9583333333333331E-2</v>
      </c>
      <c r="N1159" s="137" t="s">
        <v>3358</v>
      </c>
      <c r="O1159" s="133" t="s">
        <v>372</v>
      </c>
      <c r="Q1159" s="100" t="s">
        <v>3356</v>
      </c>
      <c r="R1159" s="226" t="s">
        <v>3367</v>
      </c>
      <c r="S1159" s="491" t="str">
        <f t="shared" si="37"/>
        <v>x</v>
      </c>
      <c r="T1159" s="492">
        <f>IFERROR(VLOOKUP(F1159,'Freq-Chan'!C:D,2,FALSE),"x")</f>
        <v>151.58600000000001</v>
      </c>
      <c r="U1159" s="110" t="s">
        <v>541</v>
      </c>
      <c r="V1159" s="110" t="str">
        <f t="shared" si="38"/>
        <v>FWL</v>
      </c>
      <c r="W1159" s="110" t="s">
        <v>541</v>
      </c>
      <c r="X1159" s="110" t="s">
        <v>541</v>
      </c>
      <c r="Y1159" s="110" t="str">
        <f>IFERROR(VLOOKUP(F1159,'Freq-Chan'!C:E,3,FALSE),"na")</f>
        <v>F1840</v>
      </c>
      <c r="Z1159" s="110" t="s">
        <v>541</v>
      </c>
      <c r="AA1159" s="110" t="s">
        <v>541</v>
      </c>
      <c r="AB1159" s="110" t="s">
        <v>541</v>
      </c>
      <c r="AC1159" s="10" t="s">
        <v>541</v>
      </c>
      <c r="AD1159" s="10" t="s">
        <v>541</v>
      </c>
    </row>
    <row r="1160" spans="1:30" x14ac:dyDescent="0.2">
      <c r="A1160" s="110">
        <v>1159</v>
      </c>
      <c r="B1160" s="132">
        <v>41844</v>
      </c>
      <c r="C1160" s="117">
        <v>3</v>
      </c>
      <c r="D1160" s="103" t="s">
        <v>71</v>
      </c>
      <c r="E1160" s="103" t="s">
        <v>306</v>
      </c>
      <c r="H1160" s="103"/>
      <c r="I1160" s="103">
        <v>61</v>
      </c>
      <c r="K1160" s="103" t="s">
        <v>364</v>
      </c>
      <c r="L1160" s="133"/>
      <c r="M1160" s="134">
        <v>1.6666666666666666E-2</v>
      </c>
      <c r="N1160" s="137" t="s">
        <v>3359</v>
      </c>
      <c r="O1160" s="133" t="s">
        <v>555</v>
      </c>
      <c r="Q1160" s="100" t="s">
        <v>3323</v>
      </c>
      <c r="R1160" s="226" t="s">
        <v>3367</v>
      </c>
      <c r="S1160" s="491" t="str">
        <f t="shared" si="37"/>
        <v>x</v>
      </c>
      <c r="T1160" s="492" t="str">
        <f>IFERROR(VLOOKUP(F1160,'Freq-Chan'!C:D,2,FALSE),"x")</f>
        <v>x</v>
      </c>
      <c r="U1160" s="110" t="s">
        <v>541</v>
      </c>
      <c r="V1160" s="110" t="str">
        <f t="shared" si="38"/>
        <v>FWL</v>
      </c>
      <c r="W1160" s="110" t="s">
        <v>541</v>
      </c>
      <c r="X1160" s="110" t="s">
        <v>541</v>
      </c>
      <c r="Y1160" s="110" t="str">
        <f>IFERROR(VLOOKUP(F1160,'Freq-Chan'!C:E,3,FALSE),"na")</f>
        <v>na</v>
      </c>
      <c r="Z1160" s="110" t="s">
        <v>541</v>
      </c>
      <c r="AA1160" s="110" t="s">
        <v>541</v>
      </c>
      <c r="AB1160" s="110" t="s">
        <v>541</v>
      </c>
      <c r="AC1160" s="10" t="s">
        <v>541</v>
      </c>
      <c r="AD1160" s="10" t="s">
        <v>541</v>
      </c>
    </row>
    <row r="1161" spans="1:30" x14ac:dyDescent="0.2">
      <c r="A1161" s="110">
        <v>1160</v>
      </c>
      <c r="B1161" s="132">
        <v>41844</v>
      </c>
      <c r="C1161" s="117">
        <v>3</v>
      </c>
      <c r="D1161" s="103" t="s">
        <v>71</v>
      </c>
      <c r="E1161" s="103" t="s">
        <v>306</v>
      </c>
      <c r="H1161" s="103"/>
      <c r="I1161" s="103">
        <v>59</v>
      </c>
      <c r="K1161" s="103" t="s">
        <v>364</v>
      </c>
      <c r="L1161" s="133"/>
      <c r="M1161" s="134">
        <v>1.6666666666666666E-2</v>
      </c>
      <c r="N1161" s="137" t="s">
        <v>2783</v>
      </c>
      <c r="O1161" s="133" t="s">
        <v>555</v>
      </c>
      <c r="Q1161" s="100" t="s">
        <v>3323</v>
      </c>
      <c r="R1161" s="226" t="s">
        <v>3367</v>
      </c>
      <c r="S1161" s="491" t="str">
        <f t="shared" si="37"/>
        <v>x</v>
      </c>
      <c r="T1161" s="492" t="str">
        <f>IFERROR(VLOOKUP(F1161,'Freq-Chan'!C:D,2,FALSE),"x")</f>
        <v>x</v>
      </c>
      <c r="U1161" s="110" t="s">
        <v>541</v>
      </c>
      <c r="V1161" s="110" t="str">
        <f t="shared" si="38"/>
        <v>FWL</v>
      </c>
      <c r="W1161" s="110" t="s">
        <v>541</v>
      </c>
      <c r="X1161" s="110" t="s">
        <v>541</v>
      </c>
      <c r="Y1161" s="110" t="str">
        <f>IFERROR(VLOOKUP(F1161,'Freq-Chan'!C:E,3,FALSE),"na")</f>
        <v>na</v>
      </c>
      <c r="Z1161" s="110" t="s">
        <v>541</v>
      </c>
      <c r="AA1161" s="110" t="s">
        <v>541</v>
      </c>
      <c r="AB1161" s="110" t="s">
        <v>541</v>
      </c>
      <c r="AC1161" s="10" t="s">
        <v>541</v>
      </c>
      <c r="AD1161" s="10" t="s">
        <v>541</v>
      </c>
    </row>
    <row r="1162" spans="1:30" x14ac:dyDescent="0.2">
      <c r="A1162" s="110">
        <v>1161</v>
      </c>
      <c r="B1162" s="132">
        <v>41844</v>
      </c>
      <c r="C1162" s="117">
        <v>3</v>
      </c>
      <c r="D1162" s="103" t="s">
        <v>75</v>
      </c>
      <c r="E1162" s="103" t="s">
        <v>798</v>
      </c>
      <c r="H1162" s="103"/>
      <c r="J1162" s="103">
        <v>53</v>
      </c>
      <c r="K1162" s="103" t="s">
        <v>364</v>
      </c>
      <c r="L1162" s="133"/>
      <c r="M1162" s="134">
        <v>3.1944444444444449E-2</v>
      </c>
      <c r="N1162" s="137" t="s">
        <v>1915</v>
      </c>
      <c r="O1162" s="133" t="s">
        <v>1663</v>
      </c>
      <c r="Q1162" s="100" t="s">
        <v>3323</v>
      </c>
      <c r="R1162" s="226" t="s">
        <v>3367</v>
      </c>
      <c r="S1162" s="491" t="str">
        <f t="shared" si="37"/>
        <v>x</v>
      </c>
      <c r="T1162" s="492" t="str">
        <f>IFERROR(VLOOKUP(F1162,'Freq-Chan'!C:D,2,FALSE),"x")</f>
        <v>x</v>
      </c>
      <c r="U1162" s="110" t="s">
        <v>541</v>
      </c>
      <c r="V1162" s="110" t="str">
        <f t="shared" si="38"/>
        <v>FWL</v>
      </c>
      <c r="W1162" s="110" t="s">
        <v>541</v>
      </c>
      <c r="X1162" s="110" t="s">
        <v>541</v>
      </c>
      <c r="Y1162" s="110" t="str">
        <f>IFERROR(VLOOKUP(F1162,'Freq-Chan'!C:E,3,FALSE),"na")</f>
        <v>na</v>
      </c>
      <c r="Z1162" s="110" t="s">
        <v>541</v>
      </c>
      <c r="AA1162" s="110" t="s">
        <v>541</v>
      </c>
      <c r="AB1162" s="110" t="s">
        <v>541</v>
      </c>
      <c r="AC1162" s="10" t="s">
        <v>541</v>
      </c>
      <c r="AD1162" s="10" t="s">
        <v>541</v>
      </c>
    </row>
    <row r="1163" spans="1:30" x14ac:dyDescent="0.2">
      <c r="A1163" s="110">
        <v>1162</v>
      </c>
      <c r="B1163" s="132">
        <v>41844</v>
      </c>
      <c r="C1163" s="117">
        <v>3</v>
      </c>
      <c r="D1163" s="103" t="s">
        <v>177</v>
      </c>
      <c r="E1163" s="103" t="s">
        <v>0</v>
      </c>
      <c r="F1163" s="103">
        <v>917</v>
      </c>
      <c r="G1163" s="103">
        <v>33</v>
      </c>
      <c r="H1163" s="103" t="s">
        <v>3360</v>
      </c>
      <c r="I1163" s="103">
        <v>49</v>
      </c>
      <c r="K1163" s="103" t="s">
        <v>364</v>
      </c>
      <c r="L1163" s="133"/>
      <c r="M1163" s="134">
        <v>3.5416666666666666E-2</v>
      </c>
      <c r="N1163" s="137" t="s">
        <v>3361</v>
      </c>
      <c r="O1163" s="133" t="s">
        <v>1663</v>
      </c>
      <c r="Q1163" s="100" t="s">
        <v>3323</v>
      </c>
      <c r="R1163" s="226" t="s">
        <v>3367</v>
      </c>
      <c r="S1163" s="491" t="str">
        <f t="shared" si="37"/>
        <v>x</v>
      </c>
      <c r="T1163" s="492">
        <f>IFERROR(VLOOKUP(F1163,'Freq-Chan'!C:D,2,FALSE),"x")</f>
        <v>151.917</v>
      </c>
      <c r="U1163" s="110" t="s">
        <v>541</v>
      </c>
      <c r="V1163" s="110" t="str">
        <f t="shared" si="38"/>
        <v>FWL</v>
      </c>
      <c r="W1163" s="110" t="s">
        <v>541</v>
      </c>
      <c r="X1163" s="110" t="s">
        <v>541</v>
      </c>
      <c r="Y1163" s="110" t="str">
        <f>IFERROR(VLOOKUP(F1163,'Freq-Chan'!C:E,3,FALSE),"na")</f>
        <v>F1835</v>
      </c>
      <c r="Z1163" s="110" t="s">
        <v>541</v>
      </c>
      <c r="AA1163" s="110" t="s">
        <v>541</v>
      </c>
      <c r="AB1163" s="110" t="s">
        <v>541</v>
      </c>
      <c r="AC1163" s="10" t="s">
        <v>541</v>
      </c>
      <c r="AD1163" s="10" t="s">
        <v>541</v>
      </c>
    </row>
    <row r="1164" spans="1:30" x14ac:dyDescent="0.2">
      <c r="A1164" s="110">
        <v>1163</v>
      </c>
      <c r="B1164" s="132">
        <v>41844</v>
      </c>
      <c r="C1164" s="117">
        <v>3</v>
      </c>
      <c r="D1164" s="103" t="s">
        <v>71</v>
      </c>
      <c r="E1164" s="103" t="s">
        <v>306</v>
      </c>
      <c r="H1164" s="103"/>
      <c r="I1164" s="103">
        <v>61</v>
      </c>
      <c r="K1164" s="103" t="s">
        <v>364</v>
      </c>
      <c r="L1164" s="133"/>
      <c r="M1164" s="134">
        <v>2.2222222222222223E-2</v>
      </c>
      <c r="N1164" s="137" t="s">
        <v>3362</v>
      </c>
      <c r="O1164" s="133" t="s">
        <v>1663</v>
      </c>
      <c r="Q1164" s="100" t="s">
        <v>3323</v>
      </c>
      <c r="R1164" s="226" t="s">
        <v>3367</v>
      </c>
      <c r="S1164" s="491" t="str">
        <f t="shared" si="37"/>
        <v>x</v>
      </c>
      <c r="T1164" s="492" t="str">
        <f>IFERROR(VLOOKUP(F1164,'Freq-Chan'!C:D,2,FALSE),"x")</f>
        <v>x</v>
      </c>
      <c r="U1164" s="110" t="s">
        <v>541</v>
      </c>
      <c r="V1164" s="110" t="str">
        <f t="shared" si="38"/>
        <v>FWL</v>
      </c>
      <c r="W1164" s="110" t="s">
        <v>541</v>
      </c>
      <c r="X1164" s="110" t="s">
        <v>541</v>
      </c>
      <c r="Y1164" s="110" t="str">
        <f>IFERROR(VLOOKUP(F1164,'Freq-Chan'!C:E,3,FALSE),"na")</f>
        <v>na</v>
      </c>
      <c r="Z1164" s="110" t="s">
        <v>541</v>
      </c>
      <c r="AA1164" s="110" t="s">
        <v>541</v>
      </c>
      <c r="AB1164" s="110" t="s">
        <v>541</v>
      </c>
      <c r="AC1164" s="10" t="s">
        <v>541</v>
      </c>
      <c r="AD1164" s="10" t="s">
        <v>541</v>
      </c>
    </row>
    <row r="1165" spans="1:30" x14ac:dyDescent="0.2">
      <c r="A1165" s="110">
        <v>1164</v>
      </c>
      <c r="B1165" s="132">
        <v>41844</v>
      </c>
      <c r="C1165" s="117">
        <v>3</v>
      </c>
      <c r="D1165" s="103" t="s">
        <v>8</v>
      </c>
      <c r="E1165" s="103" t="s">
        <v>306</v>
      </c>
      <c r="F1165" s="103">
        <v>586</v>
      </c>
      <c r="G1165" s="103">
        <v>99</v>
      </c>
      <c r="H1165" s="103" t="s">
        <v>2129</v>
      </c>
      <c r="I1165" s="103">
        <v>48</v>
      </c>
      <c r="K1165" s="103" t="s">
        <v>364</v>
      </c>
      <c r="L1165" s="133"/>
      <c r="M1165" s="134">
        <v>8.3333333333333329E-2</v>
      </c>
      <c r="N1165" s="137" t="s">
        <v>3363</v>
      </c>
      <c r="O1165" s="133" t="s">
        <v>555</v>
      </c>
      <c r="P1165" s="100" t="s">
        <v>3364</v>
      </c>
      <c r="Q1165" s="100" t="s">
        <v>3323</v>
      </c>
      <c r="R1165" s="226" t="s">
        <v>3367</v>
      </c>
      <c r="S1165" s="491" t="str">
        <f t="shared" si="37"/>
        <v>x</v>
      </c>
      <c r="T1165" s="492">
        <f>IFERROR(VLOOKUP(F1165,'Freq-Chan'!C:D,2,FALSE),"x")</f>
        <v>151.58600000000001</v>
      </c>
      <c r="U1165" s="110" t="s">
        <v>541</v>
      </c>
      <c r="V1165" s="110" t="str">
        <f t="shared" si="38"/>
        <v>FWL</v>
      </c>
      <c r="W1165" s="110" t="s">
        <v>541</v>
      </c>
      <c r="X1165" s="110" t="s">
        <v>541</v>
      </c>
      <c r="Y1165" s="110" t="str">
        <f>IFERROR(VLOOKUP(F1165,'Freq-Chan'!C:E,3,FALSE),"na")</f>
        <v>F1840</v>
      </c>
      <c r="Z1165" s="110" t="s">
        <v>541</v>
      </c>
      <c r="AA1165" s="110" t="s">
        <v>541</v>
      </c>
      <c r="AB1165" s="110" t="s">
        <v>541</v>
      </c>
      <c r="AC1165" s="10" t="s">
        <v>541</v>
      </c>
      <c r="AD1165" s="10" t="s">
        <v>541</v>
      </c>
    </row>
    <row r="1166" spans="1:30" x14ac:dyDescent="0.2">
      <c r="A1166" s="110">
        <v>1165</v>
      </c>
      <c r="B1166" s="132">
        <v>41844</v>
      </c>
      <c r="C1166" s="117">
        <v>3</v>
      </c>
      <c r="D1166" s="103" t="s">
        <v>71</v>
      </c>
      <c r="E1166" s="103" t="s">
        <v>306</v>
      </c>
      <c r="H1166" s="103"/>
      <c r="I1166" s="103">
        <v>66</v>
      </c>
      <c r="K1166" s="103" t="s">
        <v>364</v>
      </c>
      <c r="L1166" s="133"/>
      <c r="M1166" s="134">
        <v>1.5277777777777777E-2</v>
      </c>
      <c r="N1166" s="137" t="s">
        <v>715</v>
      </c>
      <c r="O1166" s="133" t="s">
        <v>555</v>
      </c>
      <c r="Q1166" s="100" t="s">
        <v>3323</v>
      </c>
      <c r="R1166" s="226" t="s">
        <v>3367</v>
      </c>
      <c r="S1166" s="491" t="str">
        <f t="shared" si="37"/>
        <v>x</v>
      </c>
      <c r="T1166" s="492" t="str">
        <f>IFERROR(VLOOKUP(F1166,'Freq-Chan'!C:D,2,FALSE),"x")</f>
        <v>x</v>
      </c>
      <c r="U1166" s="110" t="s">
        <v>541</v>
      </c>
      <c r="V1166" s="110" t="str">
        <f t="shared" si="38"/>
        <v>FWL</v>
      </c>
      <c r="W1166" s="110" t="s">
        <v>541</v>
      </c>
      <c r="X1166" s="110" t="s">
        <v>541</v>
      </c>
      <c r="Y1166" s="110" t="str">
        <f>IFERROR(VLOOKUP(F1166,'Freq-Chan'!C:E,3,FALSE),"na")</f>
        <v>na</v>
      </c>
      <c r="Z1166" s="110" t="s">
        <v>541</v>
      </c>
      <c r="AA1166" s="110" t="s">
        <v>541</v>
      </c>
      <c r="AB1166" s="110" t="s">
        <v>541</v>
      </c>
      <c r="AC1166" s="10" t="s">
        <v>541</v>
      </c>
      <c r="AD1166" s="10" t="s">
        <v>541</v>
      </c>
    </row>
    <row r="1167" spans="1:30" s="291" customFormat="1" x14ac:dyDescent="0.2">
      <c r="A1167" s="493">
        <v>1166</v>
      </c>
      <c r="B1167" s="283">
        <v>41844</v>
      </c>
      <c r="C1167" s="284">
        <v>3</v>
      </c>
      <c r="D1167" s="285" t="s">
        <v>71</v>
      </c>
      <c r="E1167" s="285" t="s">
        <v>306</v>
      </c>
      <c r="F1167" s="285"/>
      <c r="G1167" s="285"/>
      <c r="H1167" s="285"/>
      <c r="I1167" s="285">
        <v>63</v>
      </c>
      <c r="J1167" s="285"/>
      <c r="K1167" s="285" t="s">
        <v>364</v>
      </c>
      <c r="L1167" s="286"/>
      <c r="M1167" s="287">
        <v>1.4583333333333332E-2</v>
      </c>
      <c r="N1167" s="339" t="s">
        <v>3365</v>
      </c>
      <c r="O1167" s="286" t="s">
        <v>555</v>
      </c>
      <c r="P1167" s="289"/>
      <c r="Q1167" s="289" t="s">
        <v>3323</v>
      </c>
      <c r="R1167" s="290" t="s">
        <v>3367</v>
      </c>
      <c r="S1167" s="494" t="str">
        <f t="shared" si="37"/>
        <v>x</v>
      </c>
      <c r="T1167" s="495" t="str">
        <f>IFERROR(VLOOKUP(F1167,'Freq-Chan'!C:D,2,FALSE),"x")</f>
        <v>x</v>
      </c>
      <c r="U1167" s="493" t="s">
        <v>541</v>
      </c>
      <c r="V1167" s="493" t="str">
        <f t="shared" si="38"/>
        <v>FWL</v>
      </c>
      <c r="W1167" s="493" t="s">
        <v>541</v>
      </c>
      <c r="X1167" s="493" t="s">
        <v>541</v>
      </c>
      <c r="Y1167" s="493" t="str">
        <f>IFERROR(VLOOKUP(F1167,'Freq-Chan'!C:E,3,FALSE),"na")</f>
        <v>na</v>
      </c>
      <c r="Z1167" s="493" t="s">
        <v>541</v>
      </c>
      <c r="AA1167" s="493" t="s">
        <v>541</v>
      </c>
      <c r="AB1167" s="493" t="s">
        <v>541</v>
      </c>
      <c r="AC1167" s="291" t="s">
        <v>541</v>
      </c>
      <c r="AD1167" s="291" t="s">
        <v>541</v>
      </c>
    </row>
    <row r="1168" spans="1:30" x14ac:dyDescent="0.2">
      <c r="A1168" s="110">
        <v>1167</v>
      </c>
      <c r="B1168" s="132">
        <v>41845</v>
      </c>
      <c r="C1168" s="117">
        <v>1</v>
      </c>
      <c r="D1168" s="103" t="s">
        <v>70</v>
      </c>
      <c r="E1168" s="103" t="s">
        <v>306</v>
      </c>
      <c r="F1168" s="103">
        <v>596</v>
      </c>
      <c r="G1168" s="103">
        <v>72</v>
      </c>
      <c r="H1168" s="103" t="s">
        <v>2970</v>
      </c>
      <c r="I1168" s="103">
        <v>42</v>
      </c>
      <c r="K1168" s="103" t="s">
        <v>364</v>
      </c>
      <c r="L1168" s="133"/>
      <c r="M1168" s="134">
        <v>6.0416666666666667E-2</v>
      </c>
      <c r="N1168" s="137" t="s">
        <v>3379</v>
      </c>
      <c r="O1168" s="133" t="s">
        <v>1663</v>
      </c>
      <c r="Q1168" s="100" t="s">
        <v>3369</v>
      </c>
      <c r="R1168" s="226" t="s">
        <v>3409</v>
      </c>
      <c r="S1168" s="491" t="str">
        <f t="shared" si="37"/>
        <v>x</v>
      </c>
      <c r="T1168" s="492">
        <f>IFERROR(VLOOKUP(F1168,'Freq-Chan'!C:D,2,FALSE),"x")</f>
        <v>151.596</v>
      </c>
      <c r="U1168" s="110" t="s">
        <v>541</v>
      </c>
      <c r="V1168" s="110" t="str">
        <f t="shared" si="38"/>
        <v>FWL</v>
      </c>
      <c r="W1168" s="110" t="s">
        <v>541</v>
      </c>
      <c r="X1168" s="110" t="s">
        <v>541</v>
      </c>
      <c r="Y1168" s="110" t="str">
        <f>IFERROR(VLOOKUP(F1168,'Freq-Chan'!C:E,3,FALSE),"na")</f>
        <v>F1835</v>
      </c>
      <c r="Z1168" s="110" t="s">
        <v>541</v>
      </c>
      <c r="AA1168" s="110" t="s">
        <v>541</v>
      </c>
      <c r="AB1168" s="110" t="s">
        <v>541</v>
      </c>
      <c r="AC1168" s="10" t="s">
        <v>541</v>
      </c>
      <c r="AD1168" s="10" t="s">
        <v>541</v>
      </c>
    </row>
    <row r="1169" spans="1:30" x14ac:dyDescent="0.2">
      <c r="A1169" s="110">
        <v>1168</v>
      </c>
      <c r="B1169" s="132">
        <v>41845</v>
      </c>
      <c r="C1169" s="117">
        <v>1</v>
      </c>
      <c r="D1169" s="103" t="s">
        <v>70</v>
      </c>
      <c r="E1169" s="103" t="s">
        <v>306</v>
      </c>
      <c r="F1169" s="103">
        <v>515</v>
      </c>
      <c r="G1169" s="103">
        <v>92</v>
      </c>
      <c r="H1169" s="103" t="s">
        <v>2972</v>
      </c>
      <c r="I1169" s="103">
        <v>42</v>
      </c>
      <c r="K1169" s="103" t="s">
        <v>364</v>
      </c>
      <c r="L1169" s="133"/>
      <c r="M1169" s="134">
        <v>4.6527777777777779E-2</v>
      </c>
      <c r="N1169" s="137" t="s">
        <v>3380</v>
      </c>
      <c r="O1169" s="133" t="s">
        <v>1663</v>
      </c>
      <c r="Q1169" s="100" t="s">
        <v>3369</v>
      </c>
      <c r="R1169" s="226" t="s">
        <v>3409</v>
      </c>
      <c r="S1169" s="491" t="str">
        <f t="shared" si="37"/>
        <v>x</v>
      </c>
      <c r="T1169" s="492">
        <f>IFERROR(VLOOKUP(F1169,'Freq-Chan'!C:D,2,FALSE),"x")</f>
        <v>151.51499999999999</v>
      </c>
      <c r="U1169" s="110" t="s">
        <v>541</v>
      </c>
      <c r="V1169" s="110" t="str">
        <f t="shared" si="38"/>
        <v>FWL</v>
      </c>
      <c r="W1169" s="110" t="s">
        <v>541</v>
      </c>
      <c r="X1169" s="110" t="s">
        <v>541</v>
      </c>
      <c r="Y1169" s="110" t="str">
        <f>IFERROR(VLOOKUP(F1169,'Freq-Chan'!C:E,3,FALSE),"na")</f>
        <v>F1835</v>
      </c>
      <c r="Z1169" s="110" t="s">
        <v>541</v>
      </c>
      <c r="AA1169" s="110" t="s">
        <v>541</v>
      </c>
      <c r="AB1169" s="110" t="s">
        <v>541</v>
      </c>
      <c r="AC1169" s="10" t="s">
        <v>541</v>
      </c>
      <c r="AD1169" s="10" t="s">
        <v>541</v>
      </c>
    </row>
    <row r="1170" spans="1:30" x14ac:dyDescent="0.2">
      <c r="A1170" s="110">
        <v>1169</v>
      </c>
      <c r="B1170" s="132">
        <v>41845</v>
      </c>
      <c r="C1170" s="117">
        <v>1</v>
      </c>
      <c r="D1170" s="103" t="s">
        <v>70</v>
      </c>
      <c r="E1170" s="103" t="s">
        <v>306</v>
      </c>
      <c r="H1170" s="103"/>
      <c r="I1170" s="103">
        <v>46</v>
      </c>
      <c r="K1170" s="103" t="s">
        <v>365</v>
      </c>
      <c r="L1170" s="133"/>
      <c r="M1170" s="134">
        <v>9.0277777777777787E-3</v>
      </c>
      <c r="N1170" s="137" t="s">
        <v>3381</v>
      </c>
      <c r="O1170" s="133" t="s">
        <v>803</v>
      </c>
      <c r="Q1170" s="100" t="s">
        <v>3369</v>
      </c>
      <c r="R1170" s="226" t="s">
        <v>3409</v>
      </c>
      <c r="S1170" s="491" t="str">
        <f t="shared" si="37"/>
        <v>x</v>
      </c>
      <c r="T1170" s="492" t="str">
        <f>IFERROR(VLOOKUP(F1170,'Freq-Chan'!C:D,2,FALSE),"x")</f>
        <v>x</v>
      </c>
      <c r="U1170" s="110" t="s">
        <v>541</v>
      </c>
      <c r="V1170" s="110" t="str">
        <f t="shared" si="38"/>
        <v>FWL</v>
      </c>
      <c r="W1170" s="110" t="s">
        <v>541</v>
      </c>
      <c r="X1170" s="110" t="s">
        <v>541</v>
      </c>
      <c r="Y1170" s="110" t="str">
        <f>IFERROR(VLOOKUP(F1170,'Freq-Chan'!C:E,3,FALSE),"na")</f>
        <v>na</v>
      </c>
      <c r="Z1170" s="110" t="s">
        <v>541</v>
      </c>
      <c r="AA1170" s="110" t="s">
        <v>541</v>
      </c>
      <c r="AB1170" s="110" t="s">
        <v>541</v>
      </c>
      <c r="AC1170" s="10" t="s">
        <v>541</v>
      </c>
      <c r="AD1170" s="10" t="s">
        <v>541</v>
      </c>
    </row>
    <row r="1171" spans="1:30" x14ac:dyDescent="0.2">
      <c r="A1171" s="110">
        <v>1170</v>
      </c>
      <c r="B1171" s="132">
        <v>41845</v>
      </c>
      <c r="C1171" s="117">
        <v>1</v>
      </c>
      <c r="D1171" s="103" t="s">
        <v>70</v>
      </c>
      <c r="E1171" s="103" t="s">
        <v>306</v>
      </c>
      <c r="H1171" s="103"/>
      <c r="I1171" s="103">
        <v>42</v>
      </c>
      <c r="K1171" s="103" t="s">
        <v>1032</v>
      </c>
      <c r="L1171" s="133"/>
      <c r="M1171" s="134">
        <v>1.6666666666666666E-2</v>
      </c>
      <c r="N1171" s="137" t="s">
        <v>3381</v>
      </c>
      <c r="O1171" s="133" t="s">
        <v>803</v>
      </c>
      <c r="Q1171" s="100" t="s">
        <v>3369</v>
      </c>
      <c r="R1171" s="226" t="s">
        <v>3409</v>
      </c>
      <c r="S1171" s="491" t="str">
        <f t="shared" si="37"/>
        <v>x</v>
      </c>
      <c r="T1171" s="492" t="str">
        <f>IFERROR(VLOOKUP(F1171,'Freq-Chan'!C:D,2,FALSE),"x")</f>
        <v>x</v>
      </c>
      <c r="U1171" s="110" t="s">
        <v>541</v>
      </c>
      <c r="V1171" s="110" t="str">
        <f t="shared" si="38"/>
        <v>FWL</v>
      </c>
      <c r="W1171" s="110" t="s">
        <v>541</v>
      </c>
      <c r="X1171" s="110" t="s">
        <v>541</v>
      </c>
      <c r="Y1171" s="110" t="str">
        <f>IFERROR(VLOOKUP(F1171,'Freq-Chan'!C:E,3,FALSE),"na")</f>
        <v>na</v>
      </c>
      <c r="Z1171" s="110" t="s">
        <v>541</v>
      </c>
      <c r="AA1171" s="110" t="s">
        <v>541</v>
      </c>
      <c r="AB1171" s="110" t="s">
        <v>541</v>
      </c>
      <c r="AC1171" s="10" t="s">
        <v>541</v>
      </c>
      <c r="AD1171" s="10" t="s">
        <v>541</v>
      </c>
    </row>
    <row r="1172" spans="1:30" x14ac:dyDescent="0.2">
      <c r="A1172" s="110">
        <v>1171</v>
      </c>
      <c r="B1172" s="132">
        <v>41845</v>
      </c>
      <c r="C1172" s="117">
        <v>1</v>
      </c>
      <c r="D1172" s="103" t="s">
        <v>70</v>
      </c>
      <c r="E1172" s="103" t="s">
        <v>306</v>
      </c>
      <c r="H1172" s="103"/>
      <c r="I1172" s="103">
        <v>42</v>
      </c>
      <c r="K1172" s="103" t="s">
        <v>365</v>
      </c>
      <c r="L1172" s="133"/>
      <c r="M1172" s="134">
        <v>1.2499999999999999E-2</v>
      </c>
      <c r="N1172" s="137" t="s">
        <v>2650</v>
      </c>
      <c r="O1172" s="133" t="s">
        <v>1663</v>
      </c>
      <c r="Q1172" s="100" t="s">
        <v>3369</v>
      </c>
      <c r="R1172" s="226" t="s">
        <v>3409</v>
      </c>
      <c r="S1172" s="491" t="str">
        <f t="shared" si="37"/>
        <v>x</v>
      </c>
      <c r="T1172" s="492" t="str">
        <f>IFERROR(VLOOKUP(F1172,'Freq-Chan'!C:D,2,FALSE),"x")</f>
        <v>x</v>
      </c>
      <c r="U1172" s="110" t="s">
        <v>541</v>
      </c>
      <c r="V1172" s="110" t="str">
        <f t="shared" si="38"/>
        <v>FWL</v>
      </c>
      <c r="W1172" s="110" t="s">
        <v>541</v>
      </c>
      <c r="X1172" s="110" t="s">
        <v>541</v>
      </c>
      <c r="Y1172" s="110" t="str">
        <f>IFERROR(VLOOKUP(F1172,'Freq-Chan'!C:E,3,FALSE),"na")</f>
        <v>na</v>
      </c>
      <c r="Z1172" s="110" t="s">
        <v>541</v>
      </c>
      <c r="AA1172" s="110" t="s">
        <v>541</v>
      </c>
      <c r="AB1172" s="110" t="s">
        <v>541</v>
      </c>
      <c r="AC1172" s="10" t="s">
        <v>541</v>
      </c>
      <c r="AD1172" s="10" t="s">
        <v>541</v>
      </c>
    </row>
    <row r="1173" spans="1:30" x14ac:dyDescent="0.2">
      <c r="A1173" s="110">
        <v>1172</v>
      </c>
      <c r="B1173" s="132">
        <v>41845</v>
      </c>
      <c r="C1173" s="117">
        <v>1</v>
      </c>
      <c r="D1173" s="103" t="s">
        <v>70</v>
      </c>
      <c r="E1173" s="103" t="s">
        <v>306</v>
      </c>
      <c r="H1173" s="103"/>
      <c r="I1173" s="103">
        <v>45</v>
      </c>
      <c r="K1173" s="103" t="s">
        <v>1032</v>
      </c>
      <c r="L1173" s="133"/>
      <c r="M1173" s="134">
        <v>1.9444444444444445E-2</v>
      </c>
      <c r="N1173" s="137" t="s">
        <v>2933</v>
      </c>
      <c r="O1173" s="133" t="s">
        <v>803</v>
      </c>
      <c r="Q1173" s="100" t="s">
        <v>3369</v>
      </c>
      <c r="R1173" s="226" t="s">
        <v>3409</v>
      </c>
      <c r="S1173" s="491" t="str">
        <f t="shared" si="37"/>
        <v>x</v>
      </c>
      <c r="T1173" s="492" t="str">
        <f>IFERROR(VLOOKUP(F1173,'Freq-Chan'!C:D,2,FALSE),"x")</f>
        <v>x</v>
      </c>
      <c r="U1173" s="110" t="s">
        <v>541</v>
      </c>
      <c r="V1173" s="110" t="str">
        <f t="shared" si="38"/>
        <v>FWL</v>
      </c>
      <c r="W1173" s="110" t="s">
        <v>541</v>
      </c>
      <c r="X1173" s="110" t="s">
        <v>541</v>
      </c>
      <c r="Y1173" s="110" t="str">
        <f>IFERROR(VLOOKUP(F1173,'Freq-Chan'!C:E,3,FALSE),"na")</f>
        <v>na</v>
      </c>
      <c r="Z1173" s="110" t="s">
        <v>541</v>
      </c>
      <c r="AA1173" s="110" t="s">
        <v>541</v>
      </c>
      <c r="AB1173" s="110" t="s">
        <v>541</v>
      </c>
      <c r="AC1173" s="10" t="s">
        <v>541</v>
      </c>
      <c r="AD1173" s="10" t="s">
        <v>541</v>
      </c>
    </row>
    <row r="1174" spans="1:30" x14ac:dyDescent="0.2">
      <c r="A1174" s="110">
        <v>1173</v>
      </c>
      <c r="B1174" s="132">
        <v>41845</v>
      </c>
      <c r="C1174" s="117">
        <v>1</v>
      </c>
      <c r="D1174" s="103" t="s">
        <v>70</v>
      </c>
      <c r="E1174" s="103" t="s">
        <v>306</v>
      </c>
      <c r="H1174" s="103"/>
      <c r="I1174" s="103">
        <v>47</v>
      </c>
      <c r="K1174" s="103" t="s">
        <v>1032</v>
      </c>
      <c r="L1174" s="133"/>
      <c r="M1174" s="134">
        <v>1.5277777777777777E-2</v>
      </c>
      <c r="N1174" s="137" t="s">
        <v>2737</v>
      </c>
      <c r="O1174" s="133" t="s">
        <v>1663</v>
      </c>
      <c r="Q1174" s="100" t="s">
        <v>3369</v>
      </c>
      <c r="R1174" s="226" t="s">
        <v>3409</v>
      </c>
      <c r="S1174" s="491" t="str">
        <f t="shared" si="37"/>
        <v>x</v>
      </c>
      <c r="T1174" s="492" t="str">
        <f>IFERROR(VLOOKUP(F1174,'Freq-Chan'!C:D,2,FALSE),"x")</f>
        <v>x</v>
      </c>
      <c r="U1174" s="110" t="s">
        <v>541</v>
      </c>
      <c r="V1174" s="110" t="str">
        <f t="shared" si="38"/>
        <v>FWL</v>
      </c>
      <c r="W1174" s="110" t="s">
        <v>541</v>
      </c>
      <c r="X1174" s="110" t="s">
        <v>541</v>
      </c>
      <c r="Y1174" s="110" t="str">
        <f>IFERROR(VLOOKUP(F1174,'Freq-Chan'!C:E,3,FALSE),"na")</f>
        <v>na</v>
      </c>
      <c r="Z1174" s="110" t="s">
        <v>541</v>
      </c>
      <c r="AA1174" s="110" t="s">
        <v>541</v>
      </c>
      <c r="AB1174" s="110" t="s">
        <v>541</v>
      </c>
      <c r="AC1174" s="10" t="s">
        <v>541</v>
      </c>
      <c r="AD1174" s="10" t="s">
        <v>541</v>
      </c>
    </row>
    <row r="1175" spans="1:30" x14ac:dyDescent="0.2">
      <c r="A1175" s="110">
        <v>1174</v>
      </c>
      <c r="B1175" s="132">
        <v>41845</v>
      </c>
      <c r="C1175" s="117">
        <v>1</v>
      </c>
      <c r="D1175" s="103" t="s">
        <v>70</v>
      </c>
      <c r="E1175" s="103" t="s">
        <v>306</v>
      </c>
      <c r="H1175" s="103"/>
      <c r="I1175" s="103">
        <v>44</v>
      </c>
      <c r="K1175" s="103" t="s">
        <v>365</v>
      </c>
      <c r="L1175" s="136"/>
      <c r="M1175" s="134">
        <v>1.3888888888888888E-2</v>
      </c>
      <c r="N1175" s="137" t="s">
        <v>3382</v>
      </c>
      <c r="O1175" s="133" t="s">
        <v>1663</v>
      </c>
      <c r="Q1175" s="100" t="s">
        <v>3369</v>
      </c>
      <c r="R1175" s="226" t="s">
        <v>3409</v>
      </c>
      <c r="S1175" s="491" t="str">
        <f t="shared" si="37"/>
        <v>x</v>
      </c>
      <c r="T1175" s="492" t="str">
        <f>IFERROR(VLOOKUP(F1175,'Freq-Chan'!C:D,2,FALSE),"x")</f>
        <v>x</v>
      </c>
      <c r="U1175" s="110" t="s">
        <v>541</v>
      </c>
      <c r="V1175" s="110" t="str">
        <f t="shared" si="38"/>
        <v>FWL</v>
      </c>
      <c r="W1175" s="110" t="s">
        <v>541</v>
      </c>
      <c r="X1175" s="110" t="s">
        <v>541</v>
      </c>
      <c r="Y1175" s="110" t="str">
        <f>IFERROR(VLOOKUP(F1175,'Freq-Chan'!C:E,3,FALSE),"na")</f>
        <v>na</v>
      </c>
      <c r="Z1175" s="110" t="s">
        <v>541</v>
      </c>
      <c r="AA1175" s="110" t="s">
        <v>541</v>
      </c>
      <c r="AB1175" s="110" t="s">
        <v>541</v>
      </c>
      <c r="AC1175" s="10" t="s">
        <v>541</v>
      </c>
      <c r="AD1175" s="10" t="s">
        <v>541</v>
      </c>
    </row>
    <row r="1176" spans="1:30" x14ac:dyDescent="0.2">
      <c r="A1176" s="110">
        <v>1175</v>
      </c>
      <c r="B1176" s="132">
        <v>41845</v>
      </c>
      <c r="C1176" s="117">
        <v>1</v>
      </c>
      <c r="D1176" s="103" t="s">
        <v>70</v>
      </c>
      <c r="E1176" s="103" t="s">
        <v>306</v>
      </c>
      <c r="H1176" s="103"/>
      <c r="I1176" s="103">
        <v>40</v>
      </c>
      <c r="K1176" s="103" t="s">
        <v>365</v>
      </c>
      <c r="L1176" s="133"/>
      <c r="M1176" s="134">
        <v>1.2499999999999999E-2</v>
      </c>
      <c r="N1176" s="137" t="s">
        <v>3169</v>
      </c>
      <c r="O1176" s="133" t="s">
        <v>1663</v>
      </c>
      <c r="Q1176" s="100" t="s">
        <v>3369</v>
      </c>
      <c r="R1176" s="226" t="s">
        <v>3409</v>
      </c>
      <c r="S1176" s="491" t="str">
        <f t="shared" si="37"/>
        <v>x</v>
      </c>
      <c r="T1176" s="492" t="str">
        <f>IFERROR(VLOOKUP(F1176,'Freq-Chan'!C:D,2,FALSE),"x")</f>
        <v>x</v>
      </c>
      <c r="U1176" s="110" t="s">
        <v>541</v>
      </c>
      <c r="V1176" s="110" t="str">
        <f t="shared" si="38"/>
        <v>FWL</v>
      </c>
      <c r="W1176" s="110" t="s">
        <v>541</v>
      </c>
      <c r="X1176" s="110" t="s">
        <v>541</v>
      </c>
      <c r="Y1176" s="110" t="str">
        <f>IFERROR(VLOOKUP(F1176,'Freq-Chan'!C:E,3,FALSE),"na")</f>
        <v>na</v>
      </c>
      <c r="Z1176" s="110" t="s">
        <v>541</v>
      </c>
      <c r="AA1176" s="110" t="s">
        <v>541</v>
      </c>
      <c r="AB1176" s="110" t="s">
        <v>541</v>
      </c>
      <c r="AC1176" s="10" t="s">
        <v>541</v>
      </c>
      <c r="AD1176" s="10" t="s">
        <v>541</v>
      </c>
    </row>
    <row r="1177" spans="1:30" x14ac:dyDescent="0.2">
      <c r="A1177" s="110">
        <v>1176</v>
      </c>
      <c r="B1177" s="132">
        <v>41845</v>
      </c>
      <c r="C1177" s="117">
        <v>1</v>
      </c>
      <c r="D1177" s="103" t="s">
        <v>70</v>
      </c>
      <c r="E1177" s="103" t="s">
        <v>306</v>
      </c>
      <c r="H1177" s="103"/>
      <c r="I1177" s="103">
        <v>43</v>
      </c>
      <c r="K1177" s="103" t="s">
        <v>365</v>
      </c>
      <c r="L1177" s="133"/>
      <c r="M1177" s="134">
        <v>1.3194444444444444E-2</v>
      </c>
      <c r="N1177" s="137" t="s">
        <v>3383</v>
      </c>
      <c r="O1177" s="133" t="s">
        <v>1663</v>
      </c>
      <c r="Q1177" s="100" t="s">
        <v>3369</v>
      </c>
      <c r="R1177" s="226" t="s">
        <v>3409</v>
      </c>
      <c r="S1177" s="491" t="str">
        <f t="shared" si="37"/>
        <v>x</v>
      </c>
      <c r="T1177" s="492" t="str">
        <f>IFERROR(VLOOKUP(F1177,'Freq-Chan'!C:D,2,FALSE),"x")</f>
        <v>x</v>
      </c>
      <c r="U1177" s="110" t="s">
        <v>541</v>
      </c>
      <c r="V1177" s="110" t="str">
        <f t="shared" si="38"/>
        <v>FWL</v>
      </c>
      <c r="W1177" s="110" t="s">
        <v>541</v>
      </c>
      <c r="X1177" s="110" t="s">
        <v>541</v>
      </c>
      <c r="Y1177" s="110" t="str">
        <f>IFERROR(VLOOKUP(F1177,'Freq-Chan'!C:E,3,FALSE),"na")</f>
        <v>na</v>
      </c>
      <c r="Z1177" s="110" t="s">
        <v>541</v>
      </c>
      <c r="AA1177" s="110" t="s">
        <v>541</v>
      </c>
      <c r="AB1177" s="110" t="s">
        <v>541</v>
      </c>
      <c r="AC1177" s="10" t="s">
        <v>541</v>
      </c>
      <c r="AD1177" s="10" t="s">
        <v>541</v>
      </c>
    </row>
    <row r="1178" spans="1:30" x14ac:dyDescent="0.2">
      <c r="A1178" s="110">
        <v>1177</v>
      </c>
      <c r="B1178" s="132">
        <v>41845</v>
      </c>
      <c r="C1178" s="117">
        <v>1</v>
      </c>
      <c r="D1178" s="103" t="s">
        <v>70</v>
      </c>
      <c r="E1178" s="103" t="s">
        <v>306</v>
      </c>
      <c r="H1178" s="103"/>
      <c r="I1178" s="103">
        <v>46</v>
      </c>
      <c r="K1178" s="103" t="s">
        <v>365</v>
      </c>
      <c r="L1178" s="133"/>
      <c r="M1178" s="134">
        <v>9.7222222222222224E-3</v>
      </c>
      <c r="N1178" s="135" t="s">
        <v>3384</v>
      </c>
      <c r="O1178" s="133" t="s">
        <v>1663</v>
      </c>
      <c r="Q1178" s="100" t="s">
        <v>3369</v>
      </c>
      <c r="R1178" s="226" t="s">
        <v>3409</v>
      </c>
      <c r="S1178" s="491" t="str">
        <f t="shared" si="37"/>
        <v>x</v>
      </c>
      <c r="T1178" s="492" t="str">
        <f>IFERROR(VLOOKUP(F1178,'Freq-Chan'!C:D,2,FALSE),"x")</f>
        <v>x</v>
      </c>
      <c r="U1178" s="110" t="s">
        <v>541</v>
      </c>
      <c r="V1178" s="110" t="str">
        <f t="shared" si="38"/>
        <v>FWL</v>
      </c>
      <c r="W1178" s="110" t="s">
        <v>541</v>
      </c>
      <c r="X1178" s="110" t="s">
        <v>541</v>
      </c>
      <c r="Y1178" s="110" t="str">
        <f>IFERROR(VLOOKUP(F1178,'Freq-Chan'!C:E,3,FALSE),"na")</f>
        <v>na</v>
      </c>
      <c r="Z1178" s="110" t="s">
        <v>541</v>
      </c>
      <c r="AA1178" s="110" t="s">
        <v>541</v>
      </c>
      <c r="AB1178" s="110" t="s">
        <v>541</v>
      </c>
      <c r="AC1178" s="10" t="s">
        <v>541</v>
      </c>
      <c r="AD1178" s="10" t="s">
        <v>541</v>
      </c>
    </row>
    <row r="1179" spans="1:30" x14ac:dyDescent="0.2">
      <c r="A1179" s="110">
        <v>1178</v>
      </c>
      <c r="B1179" s="132">
        <v>41845</v>
      </c>
      <c r="C1179" s="117">
        <v>1</v>
      </c>
      <c r="D1179" s="103" t="s">
        <v>70</v>
      </c>
      <c r="E1179" s="103" t="s">
        <v>306</v>
      </c>
      <c r="H1179" s="103"/>
      <c r="I1179" s="103">
        <v>45</v>
      </c>
      <c r="K1179" s="103" t="s">
        <v>1032</v>
      </c>
      <c r="L1179" s="133"/>
      <c r="M1179" s="134">
        <v>9.7222222222222224E-3</v>
      </c>
      <c r="N1179" s="137" t="s">
        <v>3384</v>
      </c>
      <c r="O1179" s="133" t="s">
        <v>1663</v>
      </c>
      <c r="Q1179" s="100" t="s">
        <v>3369</v>
      </c>
      <c r="R1179" s="226" t="s">
        <v>3409</v>
      </c>
      <c r="S1179" s="491" t="str">
        <f t="shared" si="37"/>
        <v>x</v>
      </c>
      <c r="T1179" s="492" t="str">
        <f>IFERROR(VLOOKUP(F1179,'Freq-Chan'!C:D,2,FALSE),"x")</f>
        <v>x</v>
      </c>
      <c r="U1179" s="110" t="s">
        <v>541</v>
      </c>
      <c r="V1179" s="110" t="str">
        <f t="shared" si="38"/>
        <v>FWL</v>
      </c>
      <c r="W1179" s="110" t="s">
        <v>541</v>
      </c>
      <c r="X1179" s="110" t="s">
        <v>541</v>
      </c>
      <c r="Y1179" s="110" t="str">
        <f>IFERROR(VLOOKUP(F1179,'Freq-Chan'!C:E,3,FALSE),"na")</f>
        <v>na</v>
      </c>
      <c r="Z1179" s="110" t="s">
        <v>541</v>
      </c>
      <c r="AA1179" s="110" t="s">
        <v>541</v>
      </c>
      <c r="AB1179" s="110" t="s">
        <v>541</v>
      </c>
      <c r="AC1179" s="10" t="s">
        <v>541</v>
      </c>
      <c r="AD1179" s="10" t="s">
        <v>541</v>
      </c>
    </row>
    <row r="1180" spans="1:30" x14ac:dyDescent="0.2">
      <c r="A1180" s="110">
        <v>1179</v>
      </c>
      <c r="B1180" s="132">
        <v>41845</v>
      </c>
      <c r="C1180" s="117">
        <v>1</v>
      </c>
      <c r="D1180" s="103" t="s">
        <v>70</v>
      </c>
      <c r="E1180" s="103" t="s">
        <v>306</v>
      </c>
      <c r="H1180" s="103"/>
      <c r="I1180" s="103">
        <v>44</v>
      </c>
      <c r="K1180" s="103" t="s">
        <v>365</v>
      </c>
      <c r="L1180" s="133"/>
      <c r="M1180" s="134">
        <v>1.1111111111111112E-2</v>
      </c>
      <c r="N1180" s="137" t="s">
        <v>3385</v>
      </c>
      <c r="O1180" s="133" t="s">
        <v>1663</v>
      </c>
      <c r="Q1180" s="100" t="s">
        <v>3369</v>
      </c>
      <c r="R1180" s="226" t="s">
        <v>3409</v>
      </c>
      <c r="S1180" s="491" t="str">
        <f t="shared" si="37"/>
        <v>x</v>
      </c>
      <c r="T1180" s="492" t="str">
        <f>IFERROR(VLOOKUP(F1180,'Freq-Chan'!C:D,2,FALSE),"x")</f>
        <v>x</v>
      </c>
      <c r="U1180" s="110" t="s">
        <v>541</v>
      </c>
      <c r="V1180" s="110" t="str">
        <f t="shared" si="38"/>
        <v>FWL</v>
      </c>
      <c r="W1180" s="110" t="s">
        <v>541</v>
      </c>
      <c r="X1180" s="110" t="s">
        <v>541</v>
      </c>
      <c r="Y1180" s="110" t="str">
        <f>IFERROR(VLOOKUP(F1180,'Freq-Chan'!C:E,3,FALSE),"na")</f>
        <v>na</v>
      </c>
      <c r="Z1180" s="110" t="s">
        <v>541</v>
      </c>
      <c r="AA1180" s="110" t="s">
        <v>541</v>
      </c>
      <c r="AB1180" s="110" t="s">
        <v>541</v>
      </c>
      <c r="AC1180" s="10" t="s">
        <v>541</v>
      </c>
      <c r="AD1180" s="10" t="s">
        <v>541</v>
      </c>
    </row>
    <row r="1181" spans="1:30" x14ac:dyDescent="0.2">
      <c r="A1181" s="110">
        <v>1180</v>
      </c>
      <c r="B1181" s="132">
        <v>41845</v>
      </c>
      <c r="C1181" s="117">
        <v>1</v>
      </c>
      <c r="D1181" s="103" t="s">
        <v>70</v>
      </c>
      <c r="E1181" s="103" t="s">
        <v>306</v>
      </c>
      <c r="H1181" s="103"/>
      <c r="I1181" s="103">
        <v>45</v>
      </c>
      <c r="K1181" s="103" t="s">
        <v>365</v>
      </c>
      <c r="L1181" s="133"/>
      <c r="M1181" s="134">
        <v>1.1805555555555555E-2</v>
      </c>
      <c r="N1181" s="137" t="s">
        <v>2934</v>
      </c>
      <c r="O1181" s="133" t="s">
        <v>1663</v>
      </c>
      <c r="Q1181" s="100" t="s">
        <v>3369</v>
      </c>
      <c r="R1181" s="226" t="s">
        <v>3409</v>
      </c>
      <c r="S1181" s="491" t="str">
        <f t="shared" si="37"/>
        <v>x</v>
      </c>
      <c r="T1181" s="492" t="str">
        <f>IFERROR(VLOOKUP(F1181,'Freq-Chan'!C:D,2,FALSE),"x")</f>
        <v>x</v>
      </c>
      <c r="U1181" s="110" t="s">
        <v>541</v>
      </c>
      <c r="V1181" s="110" t="str">
        <f t="shared" si="38"/>
        <v>FWL</v>
      </c>
      <c r="W1181" s="110" t="s">
        <v>541</v>
      </c>
      <c r="X1181" s="110" t="s">
        <v>541</v>
      </c>
      <c r="Y1181" s="110" t="str">
        <f>IFERROR(VLOOKUP(F1181,'Freq-Chan'!C:E,3,FALSE),"na")</f>
        <v>na</v>
      </c>
      <c r="Z1181" s="110" t="s">
        <v>541</v>
      </c>
      <c r="AA1181" s="110" t="s">
        <v>541</v>
      </c>
      <c r="AB1181" s="110" t="s">
        <v>541</v>
      </c>
      <c r="AC1181" s="10" t="s">
        <v>541</v>
      </c>
      <c r="AD1181" s="10" t="s">
        <v>541</v>
      </c>
    </row>
    <row r="1182" spans="1:30" x14ac:dyDescent="0.2">
      <c r="A1182" s="110">
        <v>1181</v>
      </c>
      <c r="B1182" s="132">
        <v>41845</v>
      </c>
      <c r="C1182" s="117">
        <v>1</v>
      </c>
      <c r="D1182" s="103" t="s">
        <v>70</v>
      </c>
      <c r="E1182" s="103" t="s">
        <v>306</v>
      </c>
      <c r="H1182" s="103"/>
      <c r="I1182" s="103">
        <v>41</v>
      </c>
      <c r="K1182" s="103" t="s">
        <v>1032</v>
      </c>
      <c r="L1182" s="133"/>
      <c r="M1182" s="134">
        <v>1.3888888888888888E-2</v>
      </c>
      <c r="N1182" s="137" t="s">
        <v>3386</v>
      </c>
      <c r="O1182" s="133" t="s">
        <v>1663</v>
      </c>
      <c r="Q1182" s="100" t="s">
        <v>3369</v>
      </c>
      <c r="R1182" s="226" t="s">
        <v>3409</v>
      </c>
      <c r="S1182" s="491" t="str">
        <f t="shared" si="37"/>
        <v>x</v>
      </c>
      <c r="T1182" s="492" t="str">
        <f>IFERROR(VLOOKUP(F1182,'Freq-Chan'!C:D,2,FALSE),"x")</f>
        <v>x</v>
      </c>
      <c r="U1182" s="110" t="s">
        <v>541</v>
      </c>
      <c r="V1182" s="110" t="str">
        <f t="shared" si="38"/>
        <v>FWL</v>
      </c>
      <c r="W1182" s="110" t="s">
        <v>541</v>
      </c>
      <c r="X1182" s="110" t="s">
        <v>541</v>
      </c>
      <c r="Y1182" s="110" t="str">
        <f>IFERROR(VLOOKUP(F1182,'Freq-Chan'!C:E,3,FALSE),"na")</f>
        <v>na</v>
      </c>
      <c r="Z1182" s="110" t="s">
        <v>541</v>
      </c>
      <c r="AA1182" s="110" t="s">
        <v>541</v>
      </c>
      <c r="AB1182" s="110" t="s">
        <v>541</v>
      </c>
      <c r="AC1182" s="10" t="s">
        <v>541</v>
      </c>
      <c r="AD1182" s="10" t="s">
        <v>541</v>
      </c>
    </row>
    <row r="1183" spans="1:30" x14ac:dyDescent="0.2">
      <c r="A1183" s="110">
        <v>1182</v>
      </c>
      <c r="B1183" s="132">
        <v>41845</v>
      </c>
      <c r="C1183" s="117">
        <v>1</v>
      </c>
      <c r="D1183" s="103" t="s">
        <v>2</v>
      </c>
      <c r="E1183" s="103" t="s">
        <v>306</v>
      </c>
      <c r="F1183" s="103">
        <v>917</v>
      </c>
      <c r="G1183" s="103">
        <v>54</v>
      </c>
      <c r="H1183" s="103" t="s">
        <v>1517</v>
      </c>
      <c r="I1183" s="103">
        <v>57</v>
      </c>
      <c r="K1183" s="103" t="s">
        <v>1032</v>
      </c>
      <c r="L1183" s="133"/>
      <c r="M1183" s="134">
        <v>3.888888888888889E-2</v>
      </c>
      <c r="N1183" s="137" t="s">
        <v>1799</v>
      </c>
      <c r="O1183" s="133" t="s">
        <v>803</v>
      </c>
      <c r="P1183" s="100" t="s">
        <v>3387</v>
      </c>
      <c r="Q1183" s="100" t="s">
        <v>3369</v>
      </c>
      <c r="R1183" s="226" t="s">
        <v>3409</v>
      </c>
      <c r="S1183" s="491" t="str">
        <f t="shared" si="37"/>
        <v>x</v>
      </c>
      <c r="T1183" s="492">
        <f>IFERROR(VLOOKUP(F1183,'Freq-Chan'!C:D,2,FALSE),"x")</f>
        <v>151.917</v>
      </c>
      <c r="U1183" s="110" t="s">
        <v>541</v>
      </c>
      <c r="V1183" s="110" t="str">
        <f t="shared" si="38"/>
        <v>FWL</v>
      </c>
      <c r="W1183" s="110" t="s">
        <v>541</v>
      </c>
      <c r="X1183" s="110" t="s">
        <v>541</v>
      </c>
      <c r="Y1183" s="110" t="str">
        <f>IFERROR(VLOOKUP(F1183,'Freq-Chan'!C:E,3,FALSE),"na")</f>
        <v>F1835</v>
      </c>
      <c r="Z1183" s="110" t="s">
        <v>541</v>
      </c>
      <c r="AA1183" s="110" t="s">
        <v>541</v>
      </c>
      <c r="AB1183" s="110" t="s">
        <v>541</v>
      </c>
      <c r="AC1183" s="10" t="s">
        <v>541</v>
      </c>
      <c r="AD1183" s="10" t="s">
        <v>541</v>
      </c>
    </row>
    <row r="1184" spans="1:30" x14ac:dyDescent="0.2">
      <c r="A1184" s="110">
        <v>1183</v>
      </c>
      <c r="B1184" s="132">
        <v>41845</v>
      </c>
      <c r="C1184" s="117">
        <v>1</v>
      </c>
      <c r="D1184" s="103" t="s">
        <v>8</v>
      </c>
      <c r="E1184" s="103" t="s">
        <v>306</v>
      </c>
      <c r="F1184" s="103">
        <v>573</v>
      </c>
      <c r="G1184" s="103">
        <v>9</v>
      </c>
      <c r="H1184" s="103" t="s">
        <v>2149</v>
      </c>
      <c r="I1184" s="103">
        <v>54</v>
      </c>
      <c r="K1184" s="103" t="s">
        <v>364</v>
      </c>
      <c r="L1184" s="133"/>
      <c r="M1184" s="134">
        <v>5.9722222222222225E-2</v>
      </c>
      <c r="N1184" s="137" t="s">
        <v>1852</v>
      </c>
      <c r="O1184" s="133" t="s">
        <v>555</v>
      </c>
      <c r="Q1184" s="100" t="s">
        <v>3371</v>
      </c>
      <c r="R1184" s="226" t="s">
        <v>3409</v>
      </c>
      <c r="S1184" s="491" t="str">
        <f t="shared" si="37"/>
        <v>x</v>
      </c>
      <c r="T1184" s="492">
        <f>IFERROR(VLOOKUP(F1184,'Freq-Chan'!C:D,2,FALSE),"x")</f>
        <v>151.57300000000001</v>
      </c>
      <c r="U1184" s="110" t="s">
        <v>541</v>
      </c>
      <c r="V1184" s="110" t="str">
        <f t="shared" si="38"/>
        <v>FWL</v>
      </c>
      <c r="W1184" s="110" t="s">
        <v>541</v>
      </c>
      <c r="X1184" s="110" t="s">
        <v>541</v>
      </c>
      <c r="Y1184" s="110" t="str">
        <f>IFERROR(VLOOKUP(F1184,'Freq-Chan'!C:E,3,FALSE),"na")</f>
        <v>F1840</v>
      </c>
      <c r="Z1184" s="110" t="s">
        <v>541</v>
      </c>
      <c r="AA1184" s="110" t="s">
        <v>541</v>
      </c>
      <c r="AB1184" s="110" t="s">
        <v>541</v>
      </c>
      <c r="AC1184" s="10" t="s">
        <v>541</v>
      </c>
      <c r="AD1184" s="10" t="s">
        <v>541</v>
      </c>
    </row>
    <row r="1185" spans="1:30" s="291" customFormat="1" x14ac:dyDescent="0.2">
      <c r="A1185" s="493">
        <v>1184</v>
      </c>
      <c r="B1185" s="283">
        <v>41845</v>
      </c>
      <c r="C1185" s="284">
        <v>1</v>
      </c>
      <c r="D1185" s="285" t="s">
        <v>71</v>
      </c>
      <c r="E1185" s="285" t="s">
        <v>306</v>
      </c>
      <c r="F1185" s="285"/>
      <c r="G1185" s="285"/>
      <c r="H1185" s="285"/>
      <c r="I1185" s="285">
        <v>62</v>
      </c>
      <c r="J1185" s="285"/>
      <c r="K1185" s="285" t="s">
        <v>1032</v>
      </c>
      <c r="L1185" s="286"/>
      <c r="M1185" s="287">
        <v>2.013888888888889E-2</v>
      </c>
      <c r="N1185" s="339" t="s">
        <v>2537</v>
      </c>
      <c r="O1185" s="286" t="s">
        <v>373</v>
      </c>
      <c r="P1185" s="289" t="s">
        <v>3388</v>
      </c>
      <c r="Q1185" s="289" t="s">
        <v>3371</v>
      </c>
      <c r="R1185" s="290" t="s">
        <v>3409</v>
      </c>
      <c r="S1185" s="494" t="str">
        <f t="shared" si="37"/>
        <v>x</v>
      </c>
      <c r="T1185" s="495" t="str">
        <f>IFERROR(VLOOKUP(F1185,'Freq-Chan'!C:D,2,FALSE),"x")</f>
        <v>x</v>
      </c>
      <c r="U1185" s="493" t="s">
        <v>541</v>
      </c>
      <c r="V1185" s="493" t="str">
        <f t="shared" si="38"/>
        <v>FWL</v>
      </c>
      <c r="W1185" s="493" t="s">
        <v>541</v>
      </c>
      <c r="X1185" s="493" t="s">
        <v>541</v>
      </c>
      <c r="Y1185" s="493" t="str">
        <f>IFERROR(VLOOKUP(F1185,'Freq-Chan'!C:E,3,FALSE),"na")</f>
        <v>na</v>
      </c>
      <c r="Z1185" s="493" t="s">
        <v>541</v>
      </c>
      <c r="AA1185" s="493" t="s">
        <v>541</v>
      </c>
      <c r="AB1185" s="493" t="s">
        <v>541</v>
      </c>
      <c r="AC1185" s="291" t="s">
        <v>541</v>
      </c>
      <c r="AD1185" s="291" t="s">
        <v>541</v>
      </c>
    </row>
    <row r="1186" spans="1:30" x14ac:dyDescent="0.2">
      <c r="A1186" s="110">
        <v>1185</v>
      </c>
      <c r="B1186" s="132">
        <v>41845</v>
      </c>
      <c r="C1186" s="117">
        <v>2</v>
      </c>
      <c r="D1186" s="103" t="s">
        <v>71</v>
      </c>
      <c r="E1186" s="103" t="s">
        <v>306</v>
      </c>
      <c r="F1186" s="103">
        <v>564</v>
      </c>
      <c r="G1186" s="103">
        <v>30</v>
      </c>
      <c r="H1186" s="103" t="s">
        <v>2313</v>
      </c>
      <c r="I1186" s="103">
        <v>57</v>
      </c>
      <c r="K1186" s="103" t="s">
        <v>364</v>
      </c>
      <c r="L1186" s="133"/>
      <c r="M1186" s="134">
        <v>3.3333333333333333E-2</v>
      </c>
      <c r="N1186" s="137" t="s">
        <v>2527</v>
      </c>
      <c r="O1186" s="133" t="s">
        <v>803</v>
      </c>
      <c r="Q1186" s="100" t="s">
        <v>3373</v>
      </c>
      <c r="R1186" s="226" t="s">
        <v>3409</v>
      </c>
      <c r="S1186" s="491" t="str">
        <f t="shared" si="37"/>
        <v>x</v>
      </c>
      <c r="T1186" s="492">
        <f>IFERROR(VLOOKUP(F1186,'Freq-Chan'!C:D,2,FALSE),"x")</f>
        <v>151.56399999999999</v>
      </c>
      <c r="U1186" s="110" t="s">
        <v>541</v>
      </c>
      <c r="V1186" s="110" t="str">
        <f t="shared" si="38"/>
        <v>FWL</v>
      </c>
      <c r="W1186" s="110" t="s">
        <v>541</v>
      </c>
      <c r="X1186" s="110" t="s">
        <v>541</v>
      </c>
      <c r="Y1186" s="110" t="str">
        <f>IFERROR(VLOOKUP(F1186,'Freq-Chan'!C:E,3,FALSE),"na")</f>
        <v>F1840</v>
      </c>
      <c r="Z1186" s="110" t="s">
        <v>541</v>
      </c>
      <c r="AA1186" s="110" t="s">
        <v>541</v>
      </c>
      <c r="AB1186" s="110" t="s">
        <v>541</v>
      </c>
      <c r="AC1186" s="10" t="s">
        <v>541</v>
      </c>
      <c r="AD1186" s="10" t="s">
        <v>541</v>
      </c>
    </row>
    <row r="1187" spans="1:30" x14ac:dyDescent="0.2">
      <c r="A1187" s="110">
        <v>1186</v>
      </c>
      <c r="B1187" s="132">
        <v>41845</v>
      </c>
      <c r="C1187" s="117">
        <v>2</v>
      </c>
      <c r="D1187" s="103" t="s">
        <v>71</v>
      </c>
      <c r="E1187" s="103" t="s">
        <v>306</v>
      </c>
      <c r="F1187" s="103">
        <v>534</v>
      </c>
      <c r="G1187" s="103">
        <v>17</v>
      </c>
      <c r="H1187" s="103" t="s">
        <v>2314</v>
      </c>
      <c r="I1187" s="103">
        <v>64</v>
      </c>
      <c r="K1187" s="103" t="s">
        <v>364</v>
      </c>
      <c r="L1187" s="133"/>
      <c r="M1187" s="134">
        <v>4.7222222222222221E-2</v>
      </c>
      <c r="N1187" s="137" t="s">
        <v>1796</v>
      </c>
      <c r="O1187" s="133" t="s">
        <v>1663</v>
      </c>
      <c r="Q1187" s="100" t="s">
        <v>3373</v>
      </c>
      <c r="R1187" s="226" t="s">
        <v>3409</v>
      </c>
      <c r="S1187" s="491" t="str">
        <f t="shared" si="37"/>
        <v>x</v>
      </c>
      <c r="T1187" s="492">
        <f>IFERROR(VLOOKUP(F1187,'Freq-Chan'!C:D,2,FALSE),"x")</f>
        <v>151.53399999999999</v>
      </c>
      <c r="U1187" s="110" t="s">
        <v>541</v>
      </c>
      <c r="V1187" s="110" t="str">
        <f t="shared" si="38"/>
        <v>FWL</v>
      </c>
      <c r="W1187" s="110" t="s">
        <v>541</v>
      </c>
      <c r="X1187" s="110" t="s">
        <v>541</v>
      </c>
      <c r="Y1187" s="110" t="str">
        <f>IFERROR(VLOOKUP(F1187,'Freq-Chan'!C:E,3,FALSE),"na")</f>
        <v>F1840</v>
      </c>
      <c r="Z1187" s="110" t="s">
        <v>541</v>
      </c>
      <c r="AA1187" s="110" t="s">
        <v>541</v>
      </c>
      <c r="AB1187" s="110" t="s">
        <v>541</v>
      </c>
      <c r="AC1187" s="10" t="s">
        <v>541</v>
      </c>
      <c r="AD1187" s="10" t="s">
        <v>541</v>
      </c>
    </row>
    <row r="1188" spans="1:30" x14ac:dyDescent="0.2">
      <c r="A1188" s="110">
        <v>1187</v>
      </c>
      <c r="B1188" s="132">
        <v>41845</v>
      </c>
      <c r="C1188" s="117">
        <v>2</v>
      </c>
      <c r="D1188" s="103" t="s">
        <v>71</v>
      </c>
      <c r="E1188" s="103" t="s">
        <v>306</v>
      </c>
      <c r="F1188" s="103">
        <v>564</v>
      </c>
      <c r="G1188" s="103">
        <v>68</v>
      </c>
      <c r="H1188" s="103"/>
      <c r="I1188" s="103">
        <v>62</v>
      </c>
      <c r="K1188" s="103" t="s">
        <v>364</v>
      </c>
      <c r="L1188" s="133"/>
      <c r="M1188" s="134">
        <v>5.6250000000000001E-2</v>
      </c>
      <c r="N1188" s="137" t="s">
        <v>3389</v>
      </c>
      <c r="O1188" s="133" t="s">
        <v>376</v>
      </c>
      <c r="P1188" s="100" t="s">
        <v>3503</v>
      </c>
      <c r="Q1188" s="100" t="s">
        <v>3371</v>
      </c>
      <c r="R1188" s="226" t="s">
        <v>3409</v>
      </c>
      <c r="S1188" s="491" t="str">
        <f t="shared" si="37"/>
        <v>x</v>
      </c>
      <c r="T1188" s="492">
        <f>IFERROR(VLOOKUP(F1188,'Freq-Chan'!C:D,2,FALSE),"x")</f>
        <v>151.56399999999999</v>
      </c>
      <c r="U1188" s="110" t="s">
        <v>541</v>
      </c>
      <c r="V1188" s="110" t="str">
        <f t="shared" si="38"/>
        <v>FWL</v>
      </c>
      <c r="W1188" s="110" t="s">
        <v>541</v>
      </c>
      <c r="X1188" s="110" t="s">
        <v>541</v>
      </c>
      <c r="Y1188" s="110" t="str">
        <f>IFERROR(VLOOKUP(F1188,'Freq-Chan'!C:E,3,FALSE),"na")</f>
        <v>F1840</v>
      </c>
      <c r="Z1188" s="110" t="s">
        <v>541</v>
      </c>
      <c r="AA1188" s="110" t="s">
        <v>541</v>
      </c>
      <c r="AB1188" s="110" t="s">
        <v>541</v>
      </c>
      <c r="AC1188" s="10" t="s">
        <v>541</v>
      </c>
      <c r="AD1188" s="10" t="s">
        <v>541</v>
      </c>
    </row>
    <row r="1189" spans="1:30" x14ac:dyDescent="0.2">
      <c r="A1189" s="110">
        <v>1188</v>
      </c>
      <c r="B1189" s="132">
        <v>41845</v>
      </c>
      <c r="C1189" s="117">
        <v>2</v>
      </c>
      <c r="D1189" s="103" t="s">
        <v>71</v>
      </c>
      <c r="E1189" s="103" t="s">
        <v>306</v>
      </c>
      <c r="F1189" s="103">
        <v>534</v>
      </c>
      <c r="G1189" s="103">
        <v>71</v>
      </c>
      <c r="H1189" s="103" t="s">
        <v>2317</v>
      </c>
      <c r="I1189" s="103">
        <v>59</v>
      </c>
      <c r="K1189" s="103" t="s">
        <v>364</v>
      </c>
      <c r="L1189" s="133">
        <v>0.73611111111111116</v>
      </c>
      <c r="M1189" s="134">
        <v>3.6111111111111115E-2</v>
      </c>
      <c r="N1189" s="137" t="s">
        <v>3390</v>
      </c>
      <c r="O1189" s="133" t="s">
        <v>373</v>
      </c>
      <c r="Q1189" s="100" t="s">
        <v>3371</v>
      </c>
      <c r="R1189" s="226" t="s">
        <v>3409</v>
      </c>
      <c r="S1189" s="491">
        <f t="shared" si="37"/>
        <v>2.09259259E-2</v>
      </c>
      <c r="T1189" s="492">
        <f>IFERROR(VLOOKUP(F1189,'Freq-Chan'!C:D,2,FALSE),"x")</f>
        <v>151.53399999999999</v>
      </c>
      <c r="U1189" s="110" t="s">
        <v>541</v>
      </c>
      <c r="V1189" s="110" t="str">
        <f t="shared" si="38"/>
        <v>FWL</v>
      </c>
      <c r="W1189" s="110" t="s">
        <v>541</v>
      </c>
      <c r="X1189" s="110" t="s">
        <v>541</v>
      </c>
      <c r="Y1189" s="110" t="str">
        <f>IFERROR(VLOOKUP(F1189,'Freq-Chan'!C:E,3,FALSE),"na")</f>
        <v>F1840</v>
      </c>
      <c r="Z1189" s="110" t="s">
        <v>541</v>
      </c>
      <c r="AA1189" s="110" t="s">
        <v>541</v>
      </c>
      <c r="AB1189" s="110" t="s">
        <v>541</v>
      </c>
      <c r="AC1189" s="10" t="s">
        <v>541</v>
      </c>
      <c r="AD1189" s="10" t="s">
        <v>541</v>
      </c>
    </row>
    <row r="1190" spans="1:30" x14ac:dyDescent="0.2">
      <c r="A1190" s="110">
        <v>1189</v>
      </c>
      <c r="B1190" s="132">
        <v>41845</v>
      </c>
      <c r="C1190" s="117">
        <v>2</v>
      </c>
      <c r="D1190" s="103" t="s">
        <v>70</v>
      </c>
      <c r="E1190" s="103" t="s">
        <v>306</v>
      </c>
      <c r="H1190" s="103"/>
      <c r="I1190" s="103">
        <v>44</v>
      </c>
      <c r="K1190" s="103" t="s">
        <v>364</v>
      </c>
      <c r="L1190" s="133"/>
      <c r="M1190" s="134">
        <v>2.7777777777777776E-2</v>
      </c>
      <c r="N1190" s="137" t="s">
        <v>3314</v>
      </c>
      <c r="O1190" s="133" t="s">
        <v>373</v>
      </c>
      <c r="P1190" s="100" t="s">
        <v>3394</v>
      </c>
      <c r="Q1190" s="100" t="s">
        <v>3371</v>
      </c>
      <c r="R1190" s="226" t="s">
        <v>3409</v>
      </c>
      <c r="S1190" s="491" t="str">
        <f t="shared" si="37"/>
        <v>x</v>
      </c>
      <c r="T1190" s="492" t="str">
        <f>IFERROR(VLOOKUP(F1190,'Freq-Chan'!C:D,2,FALSE),"x")</f>
        <v>x</v>
      </c>
      <c r="U1190" s="110" t="s">
        <v>541</v>
      </c>
      <c r="V1190" s="110" t="str">
        <f t="shared" si="38"/>
        <v>FWL</v>
      </c>
      <c r="W1190" s="110" t="s">
        <v>541</v>
      </c>
      <c r="X1190" s="110" t="s">
        <v>541</v>
      </c>
      <c r="Y1190" s="110" t="str">
        <f>IFERROR(VLOOKUP(F1190,'Freq-Chan'!C:E,3,FALSE),"na")</f>
        <v>na</v>
      </c>
      <c r="Z1190" s="110" t="s">
        <v>541</v>
      </c>
      <c r="AA1190" s="110" t="s">
        <v>541</v>
      </c>
      <c r="AB1190" s="110" t="s">
        <v>541</v>
      </c>
      <c r="AC1190" s="10" t="s">
        <v>541</v>
      </c>
      <c r="AD1190" s="10" t="s">
        <v>541</v>
      </c>
    </row>
    <row r="1191" spans="1:30" x14ac:dyDescent="0.2">
      <c r="A1191" s="110">
        <v>1190</v>
      </c>
      <c r="B1191" s="132">
        <v>41845</v>
      </c>
      <c r="C1191" s="117">
        <v>2</v>
      </c>
      <c r="D1191" s="103" t="s">
        <v>71</v>
      </c>
      <c r="E1191" s="103" t="s">
        <v>306</v>
      </c>
      <c r="F1191" s="103">
        <v>534</v>
      </c>
      <c r="G1191" s="103">
        <v>63</v>
      </c>
      <c r="H1191" s="103" t="s">
        <v>2318</v>
      </c>
      <c r="I1191" s="103">
        <v>59</v>
      </c>
      <c r="K1191" s="103" t="s">
        <v>364</v>
      </c>
      <c r="L1191" s="133"/>
      <c r="M1191" s="134">
        <v>4.4444444444444446E-2</v>
      </c>
      <c r="N1191" s="137" t="s">
        <v>3391</v>
      </c>
      <c r="O1191" s="133" t="s">
        <v>373</v>
      </c>
      <c r="P1191" s="100" t="s">
        <v>3394</v>
      </c>
      <c r="Q1191" s="100" t="s">
        <v>3371</v>
      </c>
      <c r="R1191" s="226" t="s">
        <v>3409</v>
      </c>
      <c r="S1191" s="491" t="str">
        <f t="shared" si="37"/>
        <v>x</v>
      </c>
      <c r="T1191" s="492">
        <f>IFERROR(VLOOKUP(F1191,'Freq-Chan'!C:D,2,FALSE),"x")</f>
        <v>151.53399999999999</v>
      </c>
      <c r="U1191" s="110" t="s">
        <v>541</v>
      </c>
      <c r="V1191" s="110" t="str">
        <f t="shared" si="38"/>
        <v>FWL</v>
      </c>
      <c r="W1191" s="110" t="s">
        <v>541</v>
      </c>
      <c r="X1191" s="110" t="s">
        <v>541</v>
      </c>
      <c r="Y1191" s="110" t="str">
        <f>IFERROR(VLOOKUP(F1191,'Freq-Chan'!C:E,3,FALSE),"na")</f>
        <v>F1840</v>
      </c>
      <c r="Z1191" s="110" t="s">
        <v>541</v>
      </c>
      <c r="AA1191" s="110" t="s">
        <v>541</v>
      </c>
      <c r="AB1191" s="110" t="s">
        <v>541</v>
      </c>
      <c r="AC1191" s="10" t="s">
        <v>541</v>
      </c>
      <c r="AD1191" s="10" t="s">
        <v>541</v>
      </c>
    </row>
    <row r="1192" spans="1:30" x14ac:dyDescent="0.2">
      <c r="A1192" s="110">
        <v>1191</v>
      </c>
      <c r="B1192" s="132">
        <v>41845</v>
      </c>
      <c r="C1192" s="117">
        <v>2</v>
      </c>
      <c r="D1192" s="103" t="s">
        <v>8</v>
      </c>
      <c r="E1192" s="103" t="s">
        <v>306</v>
      </c>
      <c r="F1192" s="103">
        <v>325</v>
      </c>
      <c r="G1192" s="103">
        <v>92</v>
      </c>
      <c r="H1192" s="103" t="s">
        <v>2209</v>
      </c>
      <c r="I1192" s="103">
        <v>58</v>
      </c>
      <c r="K1192" s="103" t="s">
        <v>364</v>
      </c>
      <c r="L1192" s="133"/>
      <c r="M1192" s="134">
        <v>6.1111111111111116E-2</v>
      </c>
      <c r="N1192" s="137" t="s">
        <v>2539</v>
      </c>
      <c r="O1192" s="133" t="s">
        <v>373</v>
      </c>
      <c r="P1192" s="100" t="s">
        <v>3917</v>
      </c>
      <c r="Q1192" s="100" t="s">
        <v>3371</v>
      </c>
      <c r="R1192" s="226" t="s">
        <v>3409</v>
      </c>
      <c r="S1192" s="491" t="str">
        <f t="shared" si="37"/>
        <v>x</v>
      </c>
      <c r="T1192" s="492">
        <f>IFERROR(VLOOKUP(F1192,'Freq-Chan'!C:D,2,FALSE),"x")</f>
        <v>151.32499999999999</v>
      </c>
      <c r="U1192" s="110" t="s">
        <v>541</v>
      </c>
      <c r="V1192" s="110" t="str">
        <f t="shared" si="38"/>
        <v>FWL</v>
      </c>
      <c r="W1192" s="110" t="s">
        <v>541</v>
      </c>
      <c r="X1192" s="110" t="s">
        <v>541</v>
      </c>
      <c r="Y1192" s="110" t="str">
        <f>IFERROR(VLOOKUP(F1192,'Freq-Chan'!C:E,3,FALSE),"na")</f>
        <v>F1840</v>
      </c>
      <c r="Z1192" s="110" t="s">
        <v>541</v>
      </c>
      <c r="AA1192" s="110" t="s">
        <v>541</v>
      </c>
      <c r="AB1192" s="110" t="s">
        <v>541</v>
      </c>
      <c r="AC1192" s="10" t="s">
        <v>541</v>
      </c>
      <c r="AD1192" s="10" t="s">
        <v>541</v>
      </c>
    </row>
    <row r="1193" spans="1:30" s="291" customFormat="1" x14ac:dyDescent="0.2">
      <c r="A1193" s="493">
        <v>1192</v>
      </c>
      <c r="B1193" s="283">
        <v>41845</v>
      </c>
      <c r="C1193" s="284">
        <v>2</v>
      </c>
      <c r="D1193" s="285" t="s">
        <v>70</v>
      </c>
      <c r="E1193" s="285" t="s">
        <v>306</v>
      </c>
      <c r="F1193" s="285"/>
      <c r="G1193" s="285"/>
      <c r="H1193" s="285"/>
      <c r="I1193" s="285">
        <v>47</v>
      </c>
      <c r="J1193" s="285"/>
      <c r="K1193" s="285" t="s">
        <v>364</v>
      </c>
      <c r="L1193" s="286">
        <v>0.83333333333333337</v>
      </c>
      <c r="M1193" s="287">
        <v>1.5972222222222224E-2</v>
      </c>
      <c r="N1193" s="339" t="s">
        <v>3393</v>
      </c>
      <c r="O1193" s="286" t="s">
        <v>373</v>
      </c>
      <c r="P1193" s="289"/>
      <c r="Q1193" s="289" t="s">
        <v>3371</v>
      </c>
      <c r="R1193" s="290" t="s">
        <v>3409</v>
      </c>
      <c r="S1193" s="494">
        <f t="shared" si="37"/>
        <v>1.8171296E-3</v>
      </c>
      <c r="T1193" s="495" t="str">
        <f>IFERROR(VLOOKUP(F1193,'Freq-Chan'!C:D,2,FALSE),"x")</f>
        <v>x</v>
      </c>
      <c r="U1193" s="493" t="s">
        <v>541</v>
      </c>
      <c r="V1193" s="493" t="str">
        <f t="shared" si="38"/>
        <v>FWL</v>
      </c>
      <c r="W1193" s="493" t="s">
        <v>541</v>
      </c>
      <c r="X1193" s="493" t="s">
        <v>541</v>
      </c>
      <c r="Y1193" s="493" t="str">
        <f>IFERROR(VLOOKUP(F1193,'Freq-Chan'!C:E,3,FALSE),"na")</f>
        <v>na</v>
      </c>
      <c r="Z1193" s="493" t="s">
        <v>541</v>
      </c>
      <c r="AA1193" s="493" t="s">
        <v>541</v>
      </c>
      <c r="AB1193" s="493" t="s">
        <v>541</v>
      </c>
      <c r="AC1193" s="291" t="s">
        <v>541</v>
      </c>
      <c r="AD1193" s="291" t="s">
        <v>541</v>
      </c>
    </row>
    <row r="1194" spans="1:30" x14ac:dyDescent="0.2">
      <c r="A1194" s="110">
        <v>1193</v>
      </c>
      <c r="B1194" s="132">
        <v>41845</v>
      </c>
      <c r="C1194" s="117">
        <v>3</v>
      </c>
      <c r="D1194" s="103" t="s">
        <v>71</v>
      </c>
      <c r="E1194" s="103" t="s">
        <v>306</v>
      </c>
      <c r="F1194" s="103">
        <v>534</v>
      </c>
      <c r="G1194" s="103">
        <v>78</v>
      </c>
      <c r="H1194" s="103" t="s">
        <v>2324</v>
      </c>
      <c r="I1194" s="103">
        <v>57</v>
      </c>
      <c r="K1194" s="103" t="s">
        <v>364</v>
      </c>
      <c r="L1194" s="133">
        <v>0.34861111111111115</v>
      </c>
      <c r="M1194" s="134">
        <v>3.4722222222222224E-2</v>
      </c>
      <c r="N1194" s="137" t="s">
        <v>3345</v>
      </c>
      <c r="O1194" s="133" t="s">
        <v>555</v>
      </c>
      <c r="Q1194" s="100" t="s">
        <v>3376</v>
      </c>
      <c r="R1194" s="226" t="s">
        <v>3409</v>
      </c>
      <c r="S1194" s="491">
        <f t="shared" si="37"/>
        <v>6.3657406999999997E-3</v>
      </c>
      <c r="T1194" s="492">
        <f>IFERROR(VLOOKUP(F1194,'Freq-Chan'!C:D,2,FALSE),"x")</f>
        <v>151.53399999999999</v>
      </c>
      <c r="U1194" s="110" t="s">
        <v>541</v>
      </c>
      <c r="V1194" s="110" t="str">
        <f t="shared" si="38"/>
        <v>FWL</v>
      </c>
      <c r="W1194" s="110" t="s">
        <v>541</v>
      </c>
      <c r="X1194" s="110" t="s">
        <v>541</v>
      </c>
      <c r="Y1194" s="110" t="str">
        <f>IFERROR(VLOOKUP(F1194,'Freq-Chan'!C:E,3,FALSE),"na")</f>
        <v>F1840</v>
      </c>
      <c r="Z1194" s="110" t="s">
        <v>541</v>
      </c>
      <c r="AA1194" s="110" t="s">
        <v>541</v>
      </c>
      <c r="AB1194" s="110" t="s">
        <v>541</v>
      </c>
      <c r="AC1194" s="10" t="s">
        <v>541</v>
      </c>
      <c r="AD1194" s="10" t="s">
        <v>541</v>
      </c>
    </row>
    <row r="1195" spans="1:30" x14ac:dyDescent="0.2">
      <c r="A1195" s="110">
        <v>1194</v>
      </c>
      <c r="B1195" s="132">
        <v>41845</v>
      </c>
      <c r="C1195" s="117">
        <v>3</v>
      </c>
      <c r="D1195" s="103" t="s">
        <v>70</v>
      </c>
      <c r="E1195" s="103" t="s">
        <v>306</v>
      </c>
      <c r="F1195" s="103">
        <v>596</v>
      </c>
      <c r="G1195" s="103">
        <v>95</v>
      </c>
      <c r="H1195" s="103" t="s">
        <v>2964</v>
      </c>
      <c r="I1195" s="103">
        <v>46</v>
      </c>
      <c r="K1195" s="103" t="s">
        <v>1032</v>
      </c>
      <c r="L1195" s="133">
        <v>0.34861111111111115</v>
      </c>
      <c r="M1195" s="134">
        <v>3.4027777777777775E-2</v>
      </c>
      <c r="N1195" s="137" t="s">
        <v>3395</v>
      </c>
      <c r="O1195" s="133" t="s">
        <v>555</v>
      </c>
      <c r="Q1195" s="100" t="s">
        <v>3376</v>
      </c>
      <c r="R1195" s="226" t="s">
        <v>3409</v>
      </c>
      <c r="S1195" s="491">
        <f t="shared" si="37"/>
        <v>7.7662037E-3</v>
      </c>
      <c r="T1195" s="492">
        <f>IFERROR(VLOOKUP(F1195,'Freq-Chan'!C:D,2,FALSE),"x")</f>
        <v>151.596</v>
      </c>
      <c r="U1195" s="110" t="s">
        <v>541</v>
      </c>
      <c r="V1195" s="110" t="str">
        <f t="shared" si="38"/>
        <v>FWL</v>
      </c>
      <c r="W1195" s="110" t="s">
        <v>541</v>
      </c>
      <c r="X1195" s="110" t="s">
        <v>541</v>
      </c>
      <c r="Y1195" s="110" t="str">
        <f>IFERROR(VLOOKUP(F1195,'Freq-Chan'!C:E,3,FALSE),"na")</f>
        <v>F1835</v>
      </c>
      <c r="Z1195" s="110" t="s">
        <v>541</v>
      </c>
      <c r="AA1195" s="110" t="s">
        <v>541</v>
      </c>
      <c r="AB1195" s="110" t="s">
        <v>541</v>
      </c>
      <c r="AC1195" s="10" t="s">
        <v>541</v>
      </c>
      <c r="AD1195" s="10" t="s">
        <v>541</v>
      </c>
    </row>
    <row r="1196" spans="1:30" x14ac:dyDescent="0.2">
      <c r="A1196" s="110">
        <v>1195</v>
      </c>
      <c r="B1196" s="132">
        <v>41845</v>
      </c>
      <c r="C1196" s="117">
        <v>3</v>
      </c>
      <c r="D1196" s="103" t="s">
        <v>70</v>
      </c>
      <c r="E1196" s="103" t="s">
        <v>306</v>
      </c>
      <c r="F1196" s="103">
        <v>596</v>
      </c>
      <c r="G1196" s="103">
        <v>37</v>
      </c>
      <c r="H1196" s="103" t="s">
        <v>2965</v>
      </c>
      <c r="I1196" s="103">
        <v>50</v>
      </c>
      <c r="K1196" s="103" t="s">
        <v>1032</v>
      </c>
      <c r="L1196" s="133">
        <v>0.36874999999999997</v>
      </c>
      <c r="M1196" s="134">
        <v>3.6111111111111115E-2</v>
      </c>
      <c r="N1196" s="137" t="s">
        <v>2933</v>
      </c>
      <c r="O1196" s="133" t="s">
        <v>555</v>
      </c>
      <c r="Q1196" s="100" t="s">
        <v>3376</v>
      </c>
      <c r="R1196" s="226" t="s">
        <v>3409</v>
      </c>
      <c r="S1196" s="491">
        <f t="shared" si="37"/>
        <v>3.5648148000000002E-3</v>
      </c>
      <c r="T1196" s="492">
        <f>IFERROR(VLOOKUP(F1196,'Freq-Chan'!C:D,2,FALSE),"x")</f>
        <v>151.596</v>
      </c>
      <c r="U1196" s="110" t="s">
        <v>541</v>
      </c>
      <c r="V1196" s="110" t="str">
        <f t="shared" si="38"/>
        <v>FWL</v>
      </c>
      <c r="W1196" s="110" t="s">
        <v>541</v>
      </c>
      <c r="X1196" s="110" t="s">
        <v>541</v>
      </c>
      <c r="Y1196" s="110" t="str">
        <f>IFERROR(VLOOKUP(F1196,'Freq-Chan'!C:E,3,FALSE),"na")</f>
        <v>F1835</v>
      </c>
      <c r="Z1196" s="110" t="s">
        <v>541</v>
      </c>
      <c r="AA1196" s="110" t="s">
        <v>541</v>
      </c>
      <c r="AB1196" s="110" t="s">
        <v>541</v>
      </c>
      <c r="AC1196" s="10" t="s">
        <v>541</v>
      </c>
      <c r="AD1196" s="10" t="s">
        <v>541</v>
      </c>
    </row>
    <row r="1197" spans="1:30" x14ac:dyDescent="0.2">
      <c r="A1197" s="110">
        <v>1196</v>
      </c>
      <c r="B1197" s="132">
        <v>41845</v>
      </c>
      <c r="C1197" s="117">
        <v>3</v>
      </c>
      <c r="D1197" s="103" t="s">
        <v>70</v>
      </c>
      <c r="E1197" s="103" t="s">
        <v>306</v>
      </c>
      <c r="F1197" s="103">
        <v>596</v>
      </c>
      <c r="G1197" s="103">
        <v>17</v>
      </c>
      <c r="H1197" s="103" t="s">
        <v>2967</v>
      </c>
      <c r="I1197" s="103">
        <v>44</v>
      </c>
      <c r="K1197" s="103" t="s">
        <v>1032</v>
      </c>
      <c r="L1197" s="133">
        <v>0.36944444444444446</v>
      </c>
      <c r="M1197" s="134">
        <v>4.3750000000000004E-2</v>
      </c>
      <c r="N1197" s="137" t="s">
        <v>3396</v>
      </c>
      <c r="O1197" s="133" t="s">
        <v>555</v>
      </c>
      <c r="Q1197" s="100" t="s">
        <v>3376</v>
      </c>
      <c r="R1197" s="226" t="s">
        <v>3409</v>
      </c>
      <c r="S1197" s="491">
        <f t="shared" si="37"/>
        <v>4.8263888999999999E-3</v>
      </c>
      <c r="T1197" s="492">
        <f>IFERROR(VLOOKUP(F1197,'Freq-Chan'!C:D,2,FALSE),"x")</f>
        <v>151.596</v>
      </c>
      <c r="U1197" s="110" t="s">
        <v>541</v>
      </c>
      <c r="V1197" s="110" t="str">
        <f t="shared" si="38"/>
        <v>FWL</v>
      </c>
      <c r="W1197" s="110" t="s">
        <v>541</v>
      </c>
      <c r="X1197" s="110" t="s">
        <v>541</v>
      </c>
      <c r="Y1197" s="110" t="str">
        <f>IFERROR(VLOOKUP(F1197,'Freq-Chan'!C:E,3,FALSE),"na")</f>
        <v>F1835</v>
      </c>
      <c r="Z1197" s="110" t="s">
        <v>541</v>
      </c>
      <c r="AA1197" s="110" t="s">
        <v>541</v>
      </c>
      <c r="AB1197" s="110" t="s">
        <v>541</v>
      </c>
      <c r="AC1197" s="10" t="s">
        <v>541</v>
      </c>
      <c r="AD1197" s="10" t="s">
        <v>541</v>
      </c>
    </row>
    <row r="1198" spans="1:30" x14ac:dyDescent="0.2">
      <c r="A1198" s="110">
        <v>1197</v>
      </c>
      <c r="B1198" s="132">
        <v>41845</v>
      </c>
      <c r="C1198" s="117">
        <v>3</v>
      </c>
      <c r="D1198" s="103" t="s">
        <v>70</v>
      </c>
      <c r="E1198" s="103" t="s">
        <v>306</v>
      </c>
      <c r="H1198" s="103"/>
      <c r="I1198" s="103">
        <v>49</v>
      </c>
      <c r="K1198" s="103" t="s">
        <v>1032</v>
      </c>
      <c r="L1198" s="133"/>
      <c r="M1198" s="134">
        <v>1.4583333333333332E-2</v>
      </c>
      <c r="N1198" s="137" t="s">
        <v>3349</v>
      </c>
      <c r="O1198" s="133" t="s">
        <v>804</v>
      </c>
      <c r="P1198" s="100" t="s">
        <v>3397</v>
      </c>
      <c r="Q1198" s="100" t="s">
        <v>3376</v>
      </c>
      <c r="R1198" s="226" t="s">
        <v>3409</v>
      </c>
      <c r="S1198" s="491" t="str">
        <f t="shared" si="37"/>
        <v>x</v>
      </c>
      <c r="T1198" s="492" t="str">
        <f>IFERROR(VLOOKUP(F1198,'Freq-Chan'!C:D,2,FALSE),"x")</f>
        <v>x</v>
      </c>
      <c r="U1198" s="110" t="s">
        <v>541</v>
      </c>
      <c r="V1198" s="110" t="str">
        <f t="shared" si="38"/>
        <v>FWL</v>
      </c>
      <c r="W1198" s="110" t="s">
        <v>541</v>
      </c>
      <c r="X1198" s="110" t="s">
        <v>541</v>
      </c>
      <c r="Y1198" s="110" t="str">
        <f>IFERROR(VLOOKUP(F1198,'Freq-Chan'!C:E,3,FALSE),"na")</f>
        <v>na</v>
      </c>
      <c r="Z1198" s="110" t="s">
        <v>541</v>
      </c>
      <c r="AA1198" s="110" t="s">
        <v>541</v>
      </c>
      <c r="AB1198" s="110" t="s">
        <v>541</v>
      </c>
      <c r="AC1198" s="10" t="s">
        <v>541</v>
      </c>
      <c r="AD1198" s="10" t="s">
        <v>541</v>
      </c>
    </row>
    <row r="1199" spans="1:30" x14ac:dyDescent="0.2">
      <c r="A1199" s="110">
        <v>1198</v>
      </c>
      <c r="B1199" s="132">
        <v>41845</v>
      </c>
      <c r="C1199" s="117">
        <v>3</v>
      </c>
      <c r="D1199" s="103" t="s">
        <v>70</v>
      </c>
      <c r="E1199" s="103" t="s">
        <v>306</v>
      </c>
      <c r="H1199" s="103"/>
      <c r="I1199" s="103">
        <v>49</v>
      </c>
      <c r="K1199" s="103" t="s">
        <v>365</v>
      </c>
      <c r="L1199" s="133"/>
      <c r="M1199" s="134">
        <v>2.013888888888889E-2</v>
      </c>
      <c r="N1199" s="137" t="s">
        <v>835</v>
      </c>
      <c r="O1199" s="133" t="s">
        <v>804</v>
      </c>
      <c r="Q1199" s="100" t="s">
        <v>3376</v>
      </c>
      <c r="R1199" s="226" t="s">
        <v>3409</v>
      </c>
      <c r="S1199" s="491" t="str">
        <f t="shared" si="37"/>
        <v>x</v>
      </c>
      <c r="T1199" s="492" t="str">
        <f>IFERROR(VLOOKUP(F1199,'Freq-Chan'!C:D,2,FALSE),"x")</f>
        <v>x</v>
      </c>
      <c r="U1199" s="110" t="s">
        <v>541</v>
      </c>
      <c r="V1199" s="110" t="str">
        <f t="shared" si="38"/>
        <v>FWL</v>
      </c>
      <c r="W1199" s="110" t="s">
        <v>541</v>
      </c>
      <c r="X1199" s="110" t="s">
        <v>541</v>
      </c>
      <c r="Y1199" s="110" t="str">
        <f>IFERROR(VLOOKUP(F1199,'Freq-Chan'!C:E,3,FALSE),"na")</f>
        <v>na</v>
      </c>
      <c r="Z1199" s="110" t="s">
        <v>541</v>
      </c>
      <c r="AA1199" s="110" t="s">
        <v>541</v>
      </c>
      <c r="AB1199" s="110" t="s">
        <v>541</v>
      </c>
      <c r="AC1199" s="10" t="s">
        <v>541</v>
      </c>
      <c r="AD1199" s="10" t="s">
        <v>541</v>
      </c>
    </row>
    <row r="1200" spans="1:30" x14ac:dyDescent="0.2">
      <c r="A1200" s="110">
        <v>1199</v>
      </c>
      <c r="B1200" s="132">
        <v>41845</v>
      </c>
      <c r="C1200" s="117">
        <v>3</v>
      </c>
      <c r="D1200" s="103" t="s">
        <v>70</v>
      </c>
      <c r="E1200" s="103" t="s">
        <v>306</v>
      </c>
      <c r="H1200" s="103"/>
      <c r="I1200" s="103">
        <v>48</v>
      </c>
      <c r="K1200" s="103" t="s">
        <v>1032</v>
      </c>
      <c r="L1200" s="133"/>
      <c r="M1200" s="134">
        <v>2.6388888888888889E-2</v>
      </c>
      <c r="N1200" s="137" t="s">
        <v>2527</v>
      </c>
      <c r="O1200" s="133" t="s">
        <v>555</v>
      </c>
      <c r="Q1200" s="100" t="s">
        <v>3376</v>
      </c>
      <c r="R1200" s="226" t="s">
        <v>3409</v>
      </c>
      <c r="S1200" s="491" t="str">
        <f t="shared" si="37"/>
        <v>x</v>
      </c>
      <c r="T1200" s="492" t="str">
        <f>IFERROR(VLOOKUP(F1200,'Freq-Chan'!C:D,2,FALSE),"x")</f>
        <v>x</v>
      </c>
      <c r="U1200" s="110" t="s">
        <v>541</v>
      </c>
      <c r="V1200" s="110" t="str">
        <f t="shared" si="38"/>
        <v>FWL</v>
      </c>
      <c r="W1200" s="110" t="s">
        <v>541</v>
      </c>
      <c r="X1200" s="110" t="s">
        <v>541</v>
      </c>
      <c r="Y1200" s="110" t="str">
        <f>IFERROR(VLOOKUP(F1200,'Freq-Chan'!C:E,3,FALSE),"na")</f>
        <v>na</v>
      </c>
      <c r="Z1200" s="110" t="s">
        <v>541</v>
      </c>
      <c r="AA1200" s="110" t="s">
        <v>541</v>
      </c>
      <c r="AB1200" s="110" t="s">
        <v>541</v>
      </c>
      <c r="AC1200" s="10" t="s">
        <v>541</v>
      </c>
      <c r="AD1200" s="10" t="s">
        <v>541</v>
      </c>
    </row>
    <row r="1201" spans="1:30" x14ac:dyDescent="0.2">
      <c r="A1201" s="110">
        <v>1200</v>
      </c>
      <c r="B1201" s="132">
        <v>41845</v>
      </c>
      <c r="C1201" s="117">
        <v>3</v>
      </c>
      <c r="D1201" s="103" t="s">
        <v>70</v>
      </c>
      <c r="E1201" s="103" t="s">
        <v>306</v>
      </c>
      <c r="H1201" s="103"/>
      <c r="I1201" s="103">
        <v>48</v>
      </c>
      <c r="K1201" s="103" t="s">
        <v>365</v>
      </c>
      <c r="L1201" s="133"/>
      <c r="M1201" s="134">
        <v>1.9444444444444445E-2</v>
      </c>
      <c r="N1201" s="137" t="s">
        <v>3243</v>
      </c>
      <c r="O1201" s="133" t="s">
        <v>555</v>
      </c>
      <c r="Q1201" s="100" t="s">
        <v>3376</v>
      </c>
      <c r="R1201" s="226" t="s">
        <v>3409</v>
      </c>
      <c r="S1201" s="491" t="str">
        <f t="shared" si="37"/>
        <v>x</v>
      </c>
      <c r="T1201" s="492" t="str">
        <f>IFERROR(VLOOKUP(F1201,'Freq-Chan'!C:D,2,FALSE),"x")</f>
        <v>x</v>
      </c>
      <c r="U1201" s="110" t="s">
        <v>541</v>
      </c>
      <c r="V1201" s="110" t="str">
        <f t="shared" si="38"/>
        <v>FWL</v>
      </c>
      <c r="W1201" s="110" t="s">
        <v>541</v>
      </c>
      <c r="X1201" s="110" t="s">
        <v>541</v>
      </c>
      <c r="Y1201" s="110" t="str">
        <f>IFERROR(VLOOKUP(F1201,'Freq-Chan'!C:E,3,FALSE),"na")</f>
        <v>na</v>
      </c>
      <c r="Z1201" s="110" t="s">
        <v>541</v>
      </c>
      <c r="AA1201" s="110" t="s">
        <v>541</v>
      </c>
      <c r="AB1201" s="110" t="s">
        <v>541</v>
      </c>
      <c r="AC1201" s="10" t="s">
        <v>541</v>
      </c>
      <c r="AD1201" s="10" t="s">
        <v>541</v>
      </c>
    </row>
    <row r="1202" spans="1:30" x14ac:dyDescent="0.2">
      <c r="A1202" s="110">
        <v>1201</v>
      </c>
      <c r="B1202" s="132">
        <v>41845</v>
      </c>
      <c r="C1202" s="117">
        <v>3</v>
      </c>
      <c r="D1202" s="103" t="s">
        <v>70</v>
      </c>
      <c r="E1202" s="103" t="s">
        <v>306</v>
      </c>
      <c r="H1202" s="103"/>
      <c r="I1202" s="103">
        <v>48</v>
      </c>
      <c r="K1202" s="103" t="s">
        <v>365</v>
      </c>
      <c r="L1202" s="133">
        <v>0.38125000000000003</v>
      </c>
      <c r="M1202" s="134">
        <v>3.1944444444444449E-2</v>
      </c>
      <c r="N1202" s="137" t="s">
        <v>3398</v>
      </c>
      <c r="O1202" s="133" t="s">
        <v>373</v>
      </c>
      <c r="Q1202" s="100" t="s">
        <v>3376</v>
      </c>
      <c r="R1202" s="226" t="s">
        <v>3409</v>
      </c>
      <c r="S1202" s="491">
        <f t="shared" si="37"/>
        <v>2.2453704000000001E-3</v>
      </c>
      <c r="T1202" s="492" t="str">
        <f>IFERROR(VLOOKUP(F1202,'Freq-Chan'!C:D,2,FALSE),"x")</f>
        <v>x</v>
      </c>
      <c r="U1202" s="110" t="s">
        <v>541</v>
      </c>
      <c r="V1202" s="110" t="str">
        <f t="shared" si="38"/>
        <v>FWL</v>
      </c>
      <c r="W1202" s="110" t="s">
        <v>541</v>
      </c>
      <c r="X1202" s="110" t="s">
        <v>541</v>
      </c>
      <c r="Y1202" s="110" t="str">
        <f>IFERROR(VLOOKUP(F1202,'Freq-Chan'!C:E,3,FALSE),"na")</f>
        <v>na</v>
      </c>
      <c r="Z1202" s="110" t="s">
        <v>541</v>
      </c>
      <c r="AA1202" s="110" t="s">
        <v>541</v>
      </c>
      <c r="AB1202" s="110" t="s">
        <v>541</v>
      </c>
      <c r="AC1202" s="10" t="s">
        <v>541</v>
      </c>
      <c r="AD1202" s="10" t="s">
        <v>541</v>
      </c>
    </row>
    <row r="1203" spans="1:30" x14ac:dyDescent="0.2">
      <c r="A1203" s="110">
        <v>1202</v>
      </c>
      <c r="B1203" s="132">
        <v>41845</v>
      </c>
      <c r="C1203" s="117">
        <v>3</v>
      </c>
      <c r="D1203" s="103" t="s">
        <v>70</v>
      </c>
      <c r="E1203" s="103" t="s">
        <v>306</v>
      </c>
      <c r="H1203" s="103"/>
      <c r="I1203" s="103">
        <v>45</v>
      </c>
      <c r="K1203" s="103" t="s">
        <v>365</v>
      </c>
      <c r="L1203" s="133"/>
      <c r="M1203" s="134">
        <v>1.5277777777777777E-2</v>
      </c>
      <c r="N1203" s="137" t="s">
        <v>3399</v>
      </c>
      <c r="O1203" s="133" t="s">
        <v>555</v>
      </c>
      <c r="Q1203" s="100" t="s">
        <v>3376</v>
      </c>
      <c r="R1203" s="226" t="s">
        <v>3409</v>
      </c>
      <c r="S1203" s="491" t="str">
        <f t="shared" si="37"/>
        <v>x</v>
      </c>
      <c r="T1203" s="492" t="str">
        <f>IFERROR(VLOOKUP(F1203,'Freq-Chan'!C:D,2,FALSE),"x")</f>
        <v>x</v>
      </c>
      <c r="U1203" s="110" t="s">
        <v>541</v>
      </c>
      <c r="V1203" s="110" t="str">
        <f t="shared" si="38"/>
        <v>FWL</v>
      </c>
      <c r="W1203" s="110" t="s">
        <v>541</v>
      </c>
      <c r="X1203" s="110" t="s">
        <v>541</v>
      </c>
      <c r="Y1203" s="110" t="str">
        <f>IFERROR(VLOOKUP(F1203,'Freq-Chan'!C:E,3,FALSE),"na")</f>
        <v>na</v>
      </c>
      <c r="Z1203" s="110" t="s">
        <v>541</v>
      </c>
      <c r="AA1203" s="110" t="s">
        <v>541</v>
      </c>
      <c r="AB1203" s="110" t="s">
        <v>541</v>
      </c>
      <c r="AC1203" s="10" t="s">
        <v>541</v>
      </c>
      <c r="AD1203" s="10" t="s">
        <v>541</v>
      </c>
    </row>
    <row r="1204" spans="1:30" x14ac:dyDescent="0.2">
      <c r="A1204" s="110">
        <v>1203</v>
      </c>
      <c r="B1204" s="132">
        <v>41845</v>
      </c>
      <c r="C1204" s="117">
        <v>3</v>
      </c>
      <c r="D1204" s="103" t="s">
        <v>70</v>
      </c>
      <c r="E1204" s="103" t="s">
        <v>306</v>
      </c>
      <c r="H1204" s="103"/>
      <c r="I1204" s="103">
        <v>50</v>
      </c>
      <c r="K1204" s="103" t="s">
        <v>365</v>
      </c>
      <c r="L1204" s="133">
        <v>0.38263888888888892</v>
      </c>
      <c r="M1204" s="134">
        <v>2.2222222222222223E-2</v>
      </c>
      <c r="N1204" s="137" t="s">
        <v>3400</v>
      </c>
      <c r="O1204" s="133" t="s">
        <v>555</v>
      </c>
      <c r="Q1204" s="100" t="s">
        <v>3376</v>
      </c>
      <c r="R1204" s="226" t="s">
        <v>3409</v>
      </c>
      <c r="S1204" s="491">
        <f t="shared" si="37"/>
        <v>1.7129630000000001E-3</v>
      </c>
      <c r="T1204" s="492" t="str">
        <f>IFERROR(VLOOKUP(F1204,'Freq-Chan'!C:D,2,FALSE),"x")</f>
        <v>x</v>
      </c>
      <c r="U1204" s="110" t="s">
        <v>541</v>
      </c>
      <c r="V1204" s="110" t="str">
        <f t="shared" si="38"/>
        <v>FWL</v>
      </c>
      <c r="W1204" s="110" t="s">
        <v>541</v>
      </c>
      <c r="X1204" s="110" t="s">
        <v>541</v>
      </c>
      <c r="Y1204" s="110" t="str">
        <f>IFERROR(VLOOKUP(F1204,'Freq-Chan'!C:E,3,FALSE),"na")</f>
        <v>na</v>
      </c>
      <c r="Z1204" s="110" t="s">
        <v>541</v>
      </c>
      <c r="AA1204" s="110" t="s">
        <v>541</v>
      </c>
      <c r="AB1204" s="110" t="s">
        <v>541</v>
      </c>
      <c r="AC1204" s="10" t="s">
        <v>541</v>
      </c>
      <c r="AD1204" s="10" t="s">
        <v>541</v>
      </c>
    </row>
    <row r="1205" spans="1:30" x14ac:dyDescent="0.2">
      <c r="A1205" s="110">
        <v>1204</v>
      </c>
      <c r="B1205" s="132">
        <v>41845</v>
      </c>
      <c r="C1205" s="117">
        <v>3</v>
      </c>
      <c r="D1205" s="103" t="s">
        <v>70</v>
      </c>
      <c r="E1205" s="103" t="s">
        <v>306</v>
      </c>
      <c r="H1205" s="103"/>
      <c r="I1205" s="103">
        <v>50</v>
      </c>
      <c r="K1205" s="103" t="s">
        <v>365</v>
      </c>
      <c r="L1205" s="133">
        <v>0.39305555555555555</v>
      </c>
      <c r="M1205" s="134">
        <v>1.7361111111111112E-2</v>
      </c>
      <c r="N1205" s="137" t="s">
        <v>3401</v>
      </c>
      <c r="O1205" s="133" t="s">
        <v>555</v>
      </c>
      <c r="Q1205" s="100" t="s">
        <v>3376</v>
      </c>
      <c r="R1205" s="226" t="s">
        <v>3409</v>
      </c>
      <c r="S1205" s="491">
        <f t="shared" si="37"/>
        <v>1.7939815E-3</v>
      </c>
      <c r="T1205" s="492" t="str">
        <f>IFERROR(VLOOKUP(F1205,'Freq-Chan'!C:D,2,FALSE),"x")</f>
        <v>x</v>
      </c>
      <c r="U1205" s="110" t="s">
        <v>541</v>
      </c>
      <c r="V1205" s="110" t="str">
        <f t="shared" si="38"/>
        <v>FWL</v>
      </c>
      <c r="W1205" s="110" t="s">
        <v>541</v>
      </c>
      <c r="X1205" s="110" t="s">
        <v>541</v>
      </c>
      <c r="Y1205" s="110" t="str">
        <f>IFERROR(VLOOKUP(F1205,'Freq-Chan'!C:E,3,FALSE),"na")</f>
        <v>na</v>
      </c>
      <c r="Z1205" s="110" t="s">
        <v>541</v>
      </c>
      <c r="AA1205" s="110" t="s">
        <v>541</v>
      </c>
      <c r="AB1205" s="110" t="s">
        <v>541</v>
      </c>
      <c r="AC1205" s="10" t="s">
        <v>541</v>
      </c>
      <c r="AD1205" s="10" t="s">
        <v>541</v>
      </c>
    </row>
    <row r="1206" spans="1:30" x14ac:dyDescent="0.2">
      <c r="A1206" s="110">
        <v>1205</v>
      </c>
      <c r="B1206" s="132">
        <v>41845</v>
      </c>
      <c r="C1206" s="117">
        <v>3</v>
      </c>
      <c r="D1206" s="103" t="s">
        <v>70</v>
      </c>
      <c r="E1206" s="103" t="s">
        <v>306</v>
      </c>
      <c r="H1206" s="103"/>
      <c r="I1206" s="103">
        <v>51</v>
      </c>
      <c r="K1206" s="103" t="s">
        <v>1032</v>
      </c>
      <c r="L1206" s="133">
        <v>0.3979166666666667</v>
      </c>
      <c r="M1206" s="134">
        <v>2.4999999999999998E-2</v>
      </c>
      <c r="N1206" s="137" t="s">
        <v>3402</v>
      </c>
      <c r="O1206" s="133" t="s">
        <v>555</v>
      </c>
      <c r="Q1206" s="100" t="s">
        <v>3376</v>
      </c>
      <c r="R1206" s="226" t="s">
        <v>3409</v>
      </c>
      <c r="S1206" s="491">
        <f t="shared" si="37"/>
        <v>2.777778E-4</v>
      </c>
      <c r="T1206" s="492" t="str">
        <f>IFERROR(VLOOKUP(F1206,'Freq-Chan'!C:D,2,FALSE),"x")</f>
        <v>x</v>
      </c>
      <c r="U1206" s="110" t="s">
        <v>541</v>
      </c>
      <c r="V1206" s="110" t="str">
        <f t="shared" si="38"/>
        <v>FWL</v>
      </c>
      <c r="W1206" s="110" t="s">
        <v>541</v>
      </c>
      <c r="X1206" s="110" t="s">
        <v>541</v>
      </c>
      <c r="Y1206" s="110" t="str">
        <f>IFERROR(VLOOKUP(F1206,'Freq-Chan'!C:E,3,FALSE),"na")</f>
        <v>na</v>
      </c>
      <c r="Z1206" s="110" t="s">
        <v>541</v>
      </c>
      <c r="AA1206" s="110" t="s">
        <v>541</v>
      </c>
      <c r="AB1206" s="110" t="s">
        <v>541</v>
      </c>
      <c r="AC1206" s="10" t="s">
        <v>541</v>
      </c>
      <c r="AD1206" s="10" t="s">
        <v>541</v>
      </c>
    </row>
    <row r="1207" spans="1:30" x14ac:dyDescent="0.2">
      <c r="A1207" s="110">
        <v>1206</v>
      </c>
      <c r="B1207" s="132">
        <v>41845</v>
      </c>
      <c r="C1207" s="117">
        <v>3</v>
      </c>
      <c r="D1207" s="103" t="s">
        <v>70</v>
      </c>
      <c r="E1207" s="103" t="s">
        <v>306</v>
      </c>
      <c r="H1207" s="103"/>
      <c r="I1207" s="103">
        <v>48</v>
      </c>
      <c r="K1207" s="103" t="s">
        <v>1032</v>
      </c>
      <c r="L1207" s="133">
        <v>0.39930555555555558</v>
      </c>
      <c r="M1207" s="134">
        <v>1.8055555555555557E-2</v>
      </c>
      <c r="N1207" s="137" t="s">
        <v>3352</v>
      </c>
      <c r="O1207" s="133" t="s">
        <v>804</v>
      </c>
      <c r="Q1207" s="100" t="s">
        <v>3376</v>
      </c>
      <c r="R1207" s="226" t="s">
        <v>3409</v>
      </c>
      <c r="S1207" s="491">
        <f t="shared" si="37"/>
        <v>3.9351849999999999E-4</v>
      </c>
      <c r="T1207" s="492" t="str">
        <f>IFERROR(VLOOKUP(F1207,'Freq-Chan'!C:D,2,FALSE),"x")</f>
        <v>x</v>
      </c>
      <c r="U1207" s="110" t="s">
        <v>541</v>
      </c>
      <c r="V1207" s="110" t="str">
        <f t="shared" si="38"/>
        <v>FWL</v>
      </c>
      <c r="W1207" s="110" t="s">
        <v>541</v>
      </c>
      <c r="X1207" s="110" t="s">
        <v>541</v>
      </c>
      <c r="Y1207" s="110" t="str">
        <f>IFERROR(VLOOKUP(F1207,'Freq-Chan'!C:E,3,FALSE),"na")</f>
        <v>na</v>
      </c>
      <c r="Z1207" s="110" t="s">
        <v>541</v>
      </c>
      <c r="AA1207" s="110" t="s">
        <v>541</v>
      </c>
      <c r="AB1207" s="110" t="s">
        <v>541</v>
      </c>
      <c r="AC1207" s="10" t="s">
        <v>541</v>
      </c>
      <c r="AD1207" s="10" t="s">
        <v>541</v>
      </c>
    </row>
    <row r="1208" spans="1:30" x14ac:dyDescent="0.2">
      <c r="A1208" s="110">
        <v>1207</v>
      </c>
      <c r="B1208" s="132">
        <v>41845</v>
      </c>
      <c r="C1208" s="117">
        <v>3</v>
      </c>
      <c r="D1208" s="103" t="s">
        <v>70</v>
      </c>
      <c r="E1208" s="103" t="s">
        <v>306</v>
      </c>
      <c r="H1208" s="103"/>
      <c r="I1208" s="103">
        <v>50</v>
      </c>
      <c r="K1208" s="103" t="s">
        <v>1032</v>
      </c>
      <c r="L1208" s="133"/>
      <c r="M1208" s="134">
        <v>1.5972222222222224E-2</v>
      </c>
      <c r="N1208" s="135" t="s">
        <v>3403</v>
      </c>
      <c r="O1208" s="133" t="s">
        <v>804</v>
      </c>
      <c r="Q1208" s="100" t="s">
        <v>3376</v>
      </c>
      <c r="R1208" s="226" t="s">
        <v>3409</v>
      </c>
      <c r="S1208" s="491" t="str">
        <f t="shared" si="37"/>
        <v>x</v>
      </c>
      <c r="T1208" s="492" t="str">
        <f>IFERROR(VLOOKUP(F1208,'Freq-Chan'!C:D,2,FALSE),"x")</f>
        <v>x</v>
      </c>
      <c r="U1208" s="110" t="s">
        <v>541</v>
      </c>
      <c r="V1208" s="110" t="str">
        <f t="shared" si="38"/>
        <v>FWL</v>
      </c>
      <c r="W1208" s="110" t="s">
        <v>541</v>
      </c>
      <c r="X1208" s="110" t="s">
        <v>541</v>
      </c>
      <c r="Y1208" s="110" t="str">
        <f>IFERROR(VLOOKUP(F1208,'Freq-Chan'!C:E,3,FALSE),"na")</f>
        <v>na</v>
      </c>
      <c r="Z1208" s="110" t="s">
        <v>541</v>
      </c>
      <c r="AA1208" s="110" t="s">
        <v>541</v>
      </c>
      <c r="AB1208" s="110" t="s">
        <v>541</v>
      </c>
      <c r="AC1208" s="10" t="s">
        <v>541</v>
      </c>
      <c r="AD1208" s="10" t="s">
        <v>541</v>
      </c>
    </row>
    <row r="1209" spans="1:30" x14ac:dyDescent="0.2">
      <c r="A1209" s="110">
        <v>1208</v>
      </c>
      <c r="B1209" s="132">
        <v>41845</v>
      </c>
      <c r="C1209" s="117">
        <v>3</v>
      </c>
      <c r="D1209" s="103" t="s">
        <v>70</v>
      </c>
      <c r="E1209" s="103" t="s">
        <v>306</v>
      </c>
      <c r="H1209" s="103"/>
      <c r="I1209" s="103">
        <v>47</v>
      </c>
      <c r="K1209" s="103" t="s">
        <v>1032</v>
      </c>
      <c r="L1209" s="133"/>
      <c r="M1209" s="134">
        <v>1.8749999999999999E-2</v>
      </c>
      <c r="N1209" s="137" t="s">
        <v>3404</v>
      </c>
      <c r="O1209" s="133" t="s">
        <v>804</v>
      </c>
      <c r="Q1209" s="100" t="s">
        <v>3376</v>
      </c>
      <c r="R1209" s="226" t="s">
        <v>3409</v>
      </c>
      <c r="S1209" s="491" t="str">
        <f t="shared" si="37"/>
        <v>x</v>
      </c>
      <c r="T1209" s="492" t="str">
        <f>IFERROR(VLOOKUP(F1209,'Freq-Chan'!C:D,2,FALSE),"x")</f>
        <v>x</v>
      </c>
      <c r="U1209" s="110" t="s">
        <v>541</v>
      </c>
      <c r="V1209" s="110" t="str">
        <f t="shared" si="38"/>
        <v>FWL</v>
      </c>
      <c r="W1209" s="110" t="s">
        <v>541</v>
      </c>
      <c r="X1209" s="110" t="s">
        <v>541</v>
      </c>
      <c r="Y1209" s="110" t="str">
        <f>IFERROR(VLOOKUP(F1209,'Freq-Chan'!C:E,3,FALSE),"na")</f>
        <v>na</v>
      </c>
      <c r="Z1209" s="110" t="s">
        <v>541</v>
      </c>
      <c r="AA1209" s="110" t="s">
        <v>541</v>
      </c>
      <c r="AB1209" s="110" t="s">
        <v>541</v>
      </c>
      <c r="AC1209" s="10" t="s">
        <v>541</v>
      </c>
      <c r="AD1209" s="10" t="s">
        <v>541</v>
      </c>
    </row>
    <row r="1210" spans="1:30" x14ac:dyDescent="0.2">
      <c r="A1210" s="110">
        <v>1209</v>
      </c>
      <c r="B1210" s="132">
        <v>41845</v>
      </c>
      <c r="C1210" s="117">
        <v>3</v>
      </c>
      <c r="D1210" s="103" t="s">
        <v>71</v>
      </c>
      <c r="E1210" s="103" t="s">
        <v>306</v>
      </c>
      <c r="F1210" s="103">
        <v>534</v>
      </c>
      <c r="G1210" s="103">
        <v>94</v>
      </c>
      <c r="H1210" s="103" t="s">
        <v>2316</v>
      </c>
      <c r="I1210" s="103">
        <v>56</v>
      </c>
      <c r="K1210" s="103" t="s">
        <v>364</v>
      </c>
      <c r="L1210" s="133"/>
      <c r="M1210" s="134">
        <v>5.2777777777777778E-2</v>
      </c>
      <c r="N1210" s="137" t="s">
        <v>3405</v>
      </c>
      <c r="O1210" s="133" t="s">
        <v>372</v>
      </c>
      <c r="Q1210" s="100" t="s">
        <v>3367</v>
      </c>
      <c r="R1210" s="226" t="s">
        <v>3409</v>
      </c>
      <c r="S1210" s="491" t="str">
        <f t="shared" si="37"/>
        <v>x</v>
      </c>
      <c r="T1210" s="492">
        <f>IFERROR(VLOOKUP(F1210,'Freq-Chan'!C:D,2,FALSE),"x")</f>
        <v>151.53399999999999</v>
      </c>
      <c r="U1210" s="110" t="s">
        <v>541</v>
      </c>
      <c r="V1210" s="110" t="str">
        <f t="shared" si="38"/>
        <v>FWL</v>
      </c>
      <c r="W1210" s="110" t="s">
        <v>541</v>
      </c>
      <c r="X1210" s="110" t="s">
        <v>541</v>
      </c>
      <c r="Y1210" s="110" t="str">
        <f>IFERROR(VLOOKUP(F1210,'Freq-Chan'!C:E,3,FALSE),"na")</f>
        <v>F1840</v>
      </c>
      <c r="Z1210" s="110" t="s">
        <v>541</v>
      </c>
      <c r="AA1210" s="110" t="s">
        <v>541</v>
      </c>
      <c r="AB1210" s="110" t="s">
        <v>541</v>
      </c>
      <c r="AC1210" s="10" t="s">
        <v>541</v>
      </c>
      <c r="AD1210" s="10" t="s">
        <v>541</v>
      </c>
    </row>
    <row r="1211" spans="1:30" x14ac:dyDescent="0.2">
      <c r="A1211" s="110">
        <v>1210</v>
      </c>
      <c r="B1211" s="132">
        <v>41845</v>
      </c>
      <c r="C1211" s="117">
        <v>3</v>
      </c>
      <c r="D1211" s="103" t="s">
        <v>2</v>
      </c>
      <c r="E1211" s="103" t="s">
        <v>306</v>
      </c>
      <c r="F1211" s="103">
        <v>917</v>
      </c>
      <c r="G1211" s="103">
        <v>65</v>
      </c>
      <c r="H1211" s="103" t="s">
        <v>3406</v>
      </c>
      <c r="I1211" s="103">
        <v>59</v>
      </c>
      <c r="K1211" s="103" t="s">
        <v>364</v>
      </c>
      <c r="L1211" s="133">
        <v>0.77083333333333337</v>
      </c>
      <c r="M1211" s="134">
        <v>5.4166666666666669E-2</v>
      </c>
      <c r="N1211" s="137" t="s">
        <v>3341</v>
      </c>
      <c r="O1211" s="133" t="s">
        <v>1585</v>
      </c>
      <c r="Q1211" s="100" t="s">
        <v>3378</v>
      </c>
      <c r="R1211" s="226" t="s">
        <v>3409</v>
      </c>
      <c r="S1211" s="491">
        <f t="shared" si="37"/>
        <v>4.6527777999999997E-3</v>
      </c>
      <c r="T1211" s="492">
        <f>IFERROR(VLOOKUP(F1211,'Freq-Chan'!C:D,2,FALSE),"x")</f>
        <v>151.917</v>
      </c>
      <c r="U1211" s="110" t="s">
        <v>541</v>
      </c>
      <c r="V1211" s="110" t="str">
        <f t="shared" si="38"/>
        <v>FWL</v>
      </c>
      <c r="W1211" s="110" t="s">
        <v>541</v>
      </c>
      <c r="X1211" s="110" t="s">
        <v>541</v>
      </c>
      <c r="Y1211" s="110" t="str">
        <f>IFERROR(VLOOKUP(F1211,'Freq-Chan'!C:E,3,FALSE),"na")</f>
        <v>F1835</v>
      </c>
      <c r="Z1211" s="110" t="s">
        <v>541</v>
      </c>
      <c r="AA1211" s="110" t="s">
        <v>541</v>
      </c>
      <c r="AB1211" s="110" t="s">
        <v>541</v>
      </c>
      <c r="AC1211" s="10" t="s">
        <v>541</v>
      </c>
      <c r="AD1211" s="10" t="s">
        <v>541</v>
      </c>
    </row>
    <row r="1212" spans="1:30" s="291" customFormat="1" x14ac:dyDescent="0.2">
      <c r="A1212" s="493">
        <v>1211</v>
      </c>
      <c r="B1212" s="283">
        <v>41845</v>
      </c>
      <c r="C1212" s="284">
        <v>3</v>
      </c>
      <c r="D1212" s="285" t="s">
        <v>71</v>
      </c>
      <c r="E1212" s="285" t="s">
        <v>306</v>
      </c>
      <c r="F1212" s="285"/>
      <c r="G1212" s="285"/>
      <c r="H1212" s="285"/>
      <c r="I1212" s="285">
        <v>63</v>
      </c>
      <c r="J1212" s="285"/>
      <c r="K1212" s="285" t="s">
        <v>364</v>
      </c>
      <c r="L1212" s="286">
        <v>0.7944444444444444</v>
      </c>
      <c r="M1212" s="287">
        <v>1.6666666666666666E-2</v>
      </c>
      <c r="N1212" s="339" t="s">
        <v>3407</v>
      </c>
      <c r="O1212" s="286" t="s">
        <v>376</v>
      </c>
      <c r="P1212" s="289"/>
      <c r="Q1212" s="289" t="s">
        <v>3378</v>
      </c>
      <c r="R1212" s="290" t="s">
        <v>3444</v>
      </c>
      <c r="S1212" s="494">
        <f t="shared" si="37"/>
        <v>3.8888888999999999E-3</v>
      </c>
      <c r="T1212" s="495" t="str">
        <f>IFERROR(VLOOKUP(F1212,'Freq-Chan'!C:D,2,FALSE),"x")</f>
        <v>x</v>
      </c>
      <c r="U1212" s="493" t="s">
        <v>541</v>
      </c>
      <c r="V1212" s="493" t="str">
        <f t="shared" si="38"/>
        <v>FWL</v>
      </c>
      <c r="W1212" s="493" t="s">
        <v>541</v>
      </c>
      <c r="X1212" s="493" t="s">
        <v>541</v>
      </c>
      <c r="Y1212" s="493" t="str">
        <f>IFERROR(VLOOKUP(F1212,'Freq-Chan'!C:E,3,FALSE),"na")</f>
        <v>na</v>
      </c>
      <c r="Z1212" s="493" t="s">
        <v>541</v>
      </c>
      <c r="AA1212" s="493" t="s">
        <v>541</v>
      </c>
      <c r="AB1212" s="493" t="s">
        <v>541</v>
      </c>
      <c r="AC1212" s="291" t="s">
        <v>541</v>
      </c>
      <c r="AD1212" s="291" t="s">
        <v>541</v>
      </c>
    </row>
    <row r="1213" spans="1:30" x14ac:dyDescent="0.2">
      <c r="A1213" s="110">
        <v>1212</v>
      </c>
      <c r="B1213" s="132">
        <v>41846</v>
      </c>
      <c r="C1213" s="117">
        <v>1</v>
      </c>
      <c r="D1213" s="103" t="s">
        <v>70</v>
      </c>
      <c r="E1213" s="103" t="s">
        <v>306</v>
      </c>
      <c r="F1213" s="103">
        <v>515</v>
      </c>
      <c r="G1213" s="103">
        <v>70</v>
      </c>
      <c r="H1213" s="103" t="s">
        <v>2973</v>
      </c>
      <c r="I1213" s="103">
        <v>43</v>
      </c>
      <c r="K1213" s="103" t="s">
        <v>365</v>
      </c>
      <c r="L1213" s="133"/>
      <c r="M1213" s="134">
        <v>4.7222222222222221E-2</v>
      </c>
      <c r="N1213" s="137" t="s">
        <v>3447</v>
      </c>
      <c r="O1213" s="133" t="s">
        <v>1585</v>
      </c>
      <c r="Q1213" s="100" t="s">
        <v>3414</v>
      </c>
      <c r="R1213" s="226" t="s">
        <v>3454</v>
      </c>
      <c r="S1213" s="491" t="str">
        <f t="shared" si="37"/>
        <v>x</v>
      </c>
      <c r="T1213" s="492">
        <f>IFERROR(VLOOKUP(F1213,'Freq-Chan'!C:D,2,FALSE),"x")</f>
        <v>151.51499999999999</v>
      </c>
      <c r="U1213" s="110" t="s">
        <v>541</v>
      </c>
      <c r="V1213" s="110" t="str">
        <f t="shared" si="38"/>
        <v>FWL</v>
      </c>
      <c r="W1213" s="110" t="s">
        <v>541</v>
      </c>
      <c r="X1213" s="110" t="s">
        <v>541</v>
      </c>
      <c r="Y1213" s="110" t="str">
        <f>IFERROR(VLOOKUP(F1213,'Freq-Chan'!C:E,3,FALSE),"na")</f>
        <v>F1835</v>
      </c>
      <c r="Z1213" s="110" t="s">
        <v>541</v>
      </c>
      <c r="AA1213" s="110" t="s">
        <v>541</v>
      </c>
      <c r="AB1213" s="110" t="s">
        <v>541</v>
      </c>
      <c r="AC1213" s="10" t="s">
        <v>541</v>
      </c>
      <c r="AD1213" s="10" t="s">
        <v>541</v>
      </c>
    </row>
    <row r="1214" spans="1:30" x14ac:dyDescent="0.2">
      <c r="A1214" s="110">
        <v>1213</v>
      </c>
      <c r="B1214" s="132">
        <v>41846</v>
      </c>
      <c r="C1214" s="117">
        <v>1</v>
      </c>
      <c r="D1214" s="103" t="s">
        <v>70</v>
      </c>
      <c r="E1214" s="103" t="s">
        <v>306</v>
      </c>
      <c r="F1214" s="103">
        <v>596</v>
      </c>
      <c r="G1214" s="103">
        <v>70</v>
      </c>
      <c r="H1214" s="103" t="s">
        <v>2974</v>
      </c>
      <c r="I1214" s="103">
        <v>46</v>
      </c>
      <c r="K1214" s="103" t="s">
        <v>365</v>
      </c>
      <c r="L1214" s="133"/>
      <c r="M1214" s="134">
        <v>4.5138888888888888E-2</v>
      </c>
      <c r="N1214" s="137" t="s">
        <v>3386</v>
      </c>
      <c r="O1214" s="133" t="s">
        <v>1888</v>
      </c>
      <c r="Q1214" s="100" t="s">
        <v>3414</v>
      </c>
      <c r="R1214" s="226" t="s">
        <v>3454</v>
      </c>
      <c r="S1214" s="491" t="str">
        <f t="shared" si="37"/>
        <v>x</v>
      </c>
      <c r="T1214" s="492">
        <f>IFERROR(VLOOKUP(F1214,'Freq-Chan'!C:D,2,FALSE),"x")</f>
        <v>151.596</v>
      </c>
      <c r="U1214" s="110" t="s">
        <v>541</v>
      </c>
      <c r="V1214" s="110" t="str">
        <f t="shared" si="38"/>
        <v>FWL</v>
      </c>
      <c r="W1214" s="110" t="s">
        <v>541</v>
      </c>
      <c r="X1214" s="110" t="s">
        <v>541</v>
      </c>
      <c r="Y1214" s="110" t="str">
        <f>IFERROR(VLOOKUP(F1214,'Freq-Chan'!C:E,3,FALSE),"na")</f>
        <v>F1835</v>
      </c>
      <c r="Z1214" s="110" t="s">
        <v>541</v>
      </c>
      <c r="AA1214" s="110" t="s">
        <v>541</v>
      </c>
      <c r="AB1214" s="110" t="s">
        <v>541</v>
      </c>
      <c r="AC1214" s="10" t="s">
        <v>541</v>
      </c>
      <c r="AD1214" s="10" t="s">
        <v>541</v>
      </c>
    </row>
    <row r="1215" spans="1:30" x14ac:dyDescent="0.2">
      <c r="A1215" s="110">
        <v>1214</v>
      </c>
      <c r="B1215" s="132">
        <v>41846</v>
      </c>
      <c r="C1215" s="117">
        <v>1</v>
      </c>
      <c r="D1215" s="103" t="s">
        <v>70</v>
      </c>
      <c r="E1215" s="103" t="s">
        <v>306</v>
      </c>
      <c r="F1215" s="103">
        <v>596</v>
      </c>
      <c r="G1215" s="103">
        <v>18</v>
      </c>
      <c r="H1215" s="103" t="s">
        <v>2975</v>
      </c>
      <c r="I1215" s="103">
        <v>51</v>
      </c>
      <c r="K1215" s="103" t="s">
        <v>1032</v>
      </c>
      <c r="L1215" s="133">
        <v>0.43402777777777773</v>
      </c>
      <c r="M1215" s="134">
        <v>4.0972222222222222E-2</v>
      </c>
      <c r="N1215" s="137" t="s">
        <v>3424</v>
      </c>
      <c r="O1215" s="133" t="s">
        <v>1888</v>
      </c>
      <c r="Q1215" s="100" t="s">
        <v>3414</v>
      </c>
      <c r="R1215" s="226" t="s">
        <v>3454</v>
      </c>
      <c r="S1215" s="491">
        <f t="shared" si="37"/>
        <v>2.0949074000000002E-3</v>
      </c>
      <c r="T1215" s="492">
        <f>IFERROR(VLOOKUP(F1215,'Freq-Chan'!C:D,2,FALSE),"x")</f>
        <v>151.596</v>
      </c>
      <c r="U1215" s="110" t="s">
        <v>541</v>
      </c>
      <c r="V1215" s="110" t="str">
        <f t="shared" si="38"/>
        <v>FWL</v>
      </c>
      <c r="W1215" s="110" t="s">
        <v>541</v>
      </c>
      <c r="X1215" s="110" t="s">
        <v>541</v>
      </c>
      <c r="Y1215" s="110" t="str">
        <f>IFERROR(VLOOKUP(F1215,'Freq-Chan'!C:E,3,FALSE),"na")</f>
        <v>F1835</v>
      </c>
      <c r="Z1215" s="110" t="s">
        <v>541</v>
      </c>
      <c r="AA1215" s="110" t="s">
        <v>541</v>
      </c>
      <c r="AB1215" s="110" t="s">
        <v>541</v>
      </c>
      <c r="AC1215" s="10" t="s">
        <v>541</v>
      </c>
      <c r="AD1215" s="10" t="s">
        <v>541</v>
      </c>
    </row>
    <row r="1216" spans="1:30" x14ac:dyDescent="0.2">
      <c r="A1216" s="110">
        <v>1215</v>
      </c>
      <c r="B1216" s="132">
        <v>41846</v>
      </c>
      <c r="C1216" s="117">
        <v>1</v>
      </c>
      <c r="D1216" s="103" t="s">
        <v>70</v>
      </c>
      <c r="E1216" s="103" t="s">
        <v>306</v>
      </c>
      <c r="F1216" s="103">
        <v>515</v>
      </c>
      <c r="G1216" s="103">
        <v>8</v>
      </c>
      <c r="H1216" s="103" t="s">
        <v>2976</v>
      </c>
      <c r="I1216" s="103">
        <v>52</v>
      </c>
      <c r="K1216" s="103" t="s">
        <v>1032</v>
      </c>
      <c r="L1216" s="133">
        <v>0.44027777777777777</v>
      </c>
      <c r="M1216" s="134">
        <v>4.3055555555555562E-2</v>
      </c>
      <c r="N1216" s="137" t="s">
        <v>3425</v>
      </c>
      <c r="O1216" s="133" t="s">
        <v>1585</v>
      </c>
      <c r="Q1216" s="100" t="s">
        <v>3414</v>
      </c>
      <c r="R1216" s="226" t="s">
        <v>3454</v>
      </c>
      <c r="S1216" s="491">
        <f t="shared" si="37"/>
        <v>2.0601852E-3</v>
      </c>
      <c r="T1216" s="492">
        <f>IFERROR(VLOOKUP(F1216,'Freq-Chan'!C:D,2,FALSE),"x")</f>
        <v>151.51499999999999</v>
      </c>
      <c r="U1216" s="110" t="s">
        <v>541</v>
      </c>
      <c r="V1216" s="110" t="str">
        <f t="shared" si="38"/>
        <v>FWL</v>
      </c>
      <c r="W1216" s="110" t="s">
        <v>541</v>
      </c>
      <c r="X1216" s="110" t="s">
        <v>541</v>
      </c>
      <c r="Y1216" s="110" t="str">
        <f>IFERROR(VLOOKUP(F1216,'Freq-Chan'!C:E,3,FALSE),"na")</f>
        <v>F1835</v>
      </c>
      <c r="Z1216" s="110" t="s">
        <v>541</v>
      </c>
      <c r="AA1216" s="110" t="s">
        <v>541</v>
      </c>
      <c r="AB1216" s="110" t="s">
        <v>541</v>
      </c>
      <c r="AC1216" s="10" t="s">
        <v>541</v>
      </c>
      <c r="AD1216" s="10" t="s">
        <v>541</v>
      </c>
    </row>
    <row r="1217" spans="1:30" x14ac:dyDescent="0.2">
      <c r="A1217" s="110">
        <v>1216</v>
      </c>
      <c r="B1217" s="132">
        <v>41846</v>
      </c>
      <c r="C1217" s="117">
        <v>1</v>
      </c>
      <c r="D1217" s="103" t="s">
        <v>70</v>
      </c>
      <c r="E1217" s="103" t="s">
        <v>306</v>
      </c>
      <c r="F1217" s="103">
        <v>596</v>
      </c>
      <c r="G1217" s="103">
        <v>44</v>
      </c>
      <c r="H1217" s="103" t="s">
        <v>2977</v>
      </c>
      <c r="I1217" s="103">
        <v>47</v>
      </c>
      <c r="K1217" s="103" t="s">
        <v>1032</v>
      </c>
      <c r="L1217" s="133"/>
      <c r="M1217" s="134">
        <v>3.888888888888889E-2</v>
      </c>
      <c r="N1217" s="137" t="s">
        <v>3426</v>
      </c>
      <c r="O1217" s="133" t="s">
        <v>372</v>
      </c>
      <c r="Q1217" s="100" t="s">
        <v>3409</v>
      </c>
      <c r="R1217" s="226" t="s">
        <v>3454</v>
      </c>
      <c r="S1217" s="491" t="str">
        <f t="shared" si="37"/>
        <v>x</v>
      </c>
      <c r="T1217" s="492">
        <f>IFERROR(VLOOKUP(F1217,'Freq-Chan'!C:D,2,FALSE),"x")</f>
        <v>151.596</v>
      </c>
      <c r="U1217" s="110" t="s">
        <v>541</v>
      </c>
      <c r="V1217" s="110" t="str">
        <f t="shared" si="38"/>
        <v>FWL</v>
      </c>
      <c r="W1217" s="110" t="s">
        <v>541</v>
      </c>
      <c r="X1217" s="110" t="s">
        <v>541</v>
      </c>
      <c r="Y1217" s="110" t="str">
        <f>IFERROR(VLOOKUP(F1217,'Freq-Chan'!C:E,3,FALSE),"na")</f>
        <v>F1835</v>
      </c>
      <c r="Z1217" s="110" t="s">
        <v>541</v>
      </c>
      <c r="AA1217" s="110" t="s">
        <v>541</v>
      </c>
      <c r="AB1217" s="110" t="s">
        <v>541</v>
      </c>
      <c r="AC1217" s="10" t="s">
        <v>541</v>
      </c>
      <c r="AD1217" s="10" t="s">
        <v>541</v>
      </c>
    </row>
    <row r="1218" spans="1:30" x14ac:dyDescent="0.2">
      <c r="A1218" s="110">
        <v>1217</v>
      </c>
      <c r="B1218" s="132">
        <v>41846</v>
      </c>
      <c r="C1218" s="117">
        <v>1</v>
      </c>
      <c r="D1218" s="103" t="s">
        <v>70</v>
      </c>
      <c r="E1218" s="103" t="s">
        <v>306</v>
      </c>
      <c r="H1218" s="103"/>
      <c r="I1218" s="103">
        <v>43</v>
      </c>
      <c r="K1218" s="103" t="s">
        <v>365</v>
      </c>
      <c r="L1218" s="133"/>
      <c r="M1218" s="134">
        <v>1.6666666666666666E-2</v>
      </c>
      <c r="N1218" s="137" t="s">
        <v>501</v>
      </c>
      <c r="O1218" s="133" t="s">
        <v>372</v>
      </c>
      <c r="Q1218" s="100" t="s">
        <v>3409</v>
      </c>
      <c r="R1218" s="226" t="s">
        <v>3454</v>
      </c>
      <c r="S1218" s="491" t="str">
        <f t="shared" si="37"/>
        <v>x</v>
      </c>
      <c r="T1218" s="492" t="str">
        <f>IFERROR(VLOOKUP(F1218,'Freq-Chan'!C:D,2,FALSE),"x")</f>
        <v>x</v>
      </c>
      <c r="U1218" s="110" t="s">
        <v>541</v>
      </c>
      <c r="V1218" s="110" t="str">
        <f t="shared" si="38"/>
        <v>FWL</v>
      </c>
      <c r="W1218" s="110" t="s">
        <v>541</v>
      </c>
      <c r="X1218" s="110" t="s">
        <v>541</v>
      </c>
      <c r="Y1218" s="110" t="str">
        <f>IFERROR(VLOOKUP(F1218,'Freq-Chan'!C:E,3,FALSE),"na")</f>
        <v>na</v>
      </c>
      <c r="Z1218" s="110" t="s">
        <v>541</v>
      </c>
      <c r="AA1218" s="110" t="s">
        <v>541</v>
      </c>
      <c r="AB1218" s="110" t="s">
        <v>541</v>
      </c>
      <c r="AC1218" s="10" t="s">
        <v>541</v>
      </c>
      <c r="AD1218" s="10" t="s">
        <v>541</v>
      </c>
    </row>
    <row r="1219" spans="1:30" x14ac:dyDescent="0.2">
      <c r="A1219" s="110">
        <v>1218</v>
      </c>
      <c r="B1219" s="132">
        <v>41846</v>
      </c>
      <c r="C1219" s="117">
        <v>1</v>
      </c>
      <c r="D1219" s="103" t="s">
        <v>70</v>
      </c>
      <c r="E1219" s="103" t="s">
        <v>306</v>
      </c>
      <c r="H1219" s="103"/>
      <c r="I1219" s="103">
        <v>42</v>
      </c>
      <c r="K1219" s="103" t="s">
        <v>365</v>
      </c>
      <c r="L1219" s="133"/>
      <c r="M1219" s="134">
        <v>2.013888888888889E-2</v>
      </c>
      <c r="N1219" s="137" t="s">
        <v>2693</v>
      </c>
      <c r="O1219" s="133" t="s">
        <v>3431</v>
      </c>
      <c r="Q1219" s="100" t="s">
        <v>3409</v>
      </c>
      <c r="R1219" s="226" t="s">
        <v>3454</v>
      </c>
      <c r="S1219" s="491" t="str">
        <f t="shared" ref="S1219:S1282" si="39">IF(IF(OR(L1219=0,N1219=0),"x",ROUND(N1219-L1219-(M1219*24)/(24*60),10))&lt;0,0,IF(OR(L1219=0,N1219=0),"x",ROUND(N1219-L1219-(M1219*24)/(24*60),10)))</f>
        <v>x</v>
      </c>
      <c r="T1219" s="492" t="str">
        <f>IFERROR(VLOOKUP(F1219,'Freq-Chan'!C:D,2,FALSE),"x")</f>
        <v>x</v>
      </c>
      <c r="U1219" s="110" t="s">
        <v>541</v>
      </c>
      <c r="V1219" s="110" t="str">
        <f t="shared" ref="V1219:V1282" si="40">IF(OR(C1219=1,C1219=2,C1219=3),"FWL","NRD")</f>
        <v>FWL</v>
      </c>
      <c r="W1219" s="110" t="s">
        <v>541</v>
      </c>
      <c r="X1219" s="110" t="s">
        <v>541</v>
      </c>
      <c r="Y1219" s="110" t="str">
        <f>IFERROR(VLOOKUP(F1219,'Freq-Chan'!C:E,3,FALSE),"na")</f>
        <v>na</v>
      </c>
      <c r="Z1219" s="110" t="s">
        <v>541</v>
      </c>
      <c r="AA1219" s="110" t="s">
        <v>541</v>
      </c>
      <c r="AB1219" s="110" t="s">
        <v>541</v>
      </c>
      <c r="AC1219" s="10" t="s">
        <v>541</v>
      </c>
      <c r="AD1219" s="10" t="s">
        <v>541</v>
      </c>
    </row>
    <row r="1220" spans="1:30" x14ac:dyDescent="0.2">
      <c r="A1220" s="110">
        <v>1219</v>
      </c>
      <c r="B1220" s="132">
        <v>41846</v>
      </c>
      <c r="C1220" s="117">
        <v>1</v>
      </c>
      <c r="D1220" s="103" t="s">
        <v>70</v>
      </c>
      <c r="E1220" s="103" t="s">
        <v>306</v>
      </c>
      <c r="H1220" s="103"/>
      <c r="I1220" s="103">
        <v>41</v>
      </c>
      <c r="K1220" s="103" t="s">
        <v>364</v>
      </c>
      <c r="L1220" s="133"/>
      <c r="M1220" s="134">
        <v>2.013888888888889E-2</v>
      </c>
      <c r="N1220" s="137" t="s">
        <v>2693</v>
      </c>
      <c r="O1220" s="133" t="s">
        <v>3431</v>
      </c>
      <c r="Q1220" s="100" t="s">
        <v>3409</v>
      </c>
      <c r="R1220" s="226" t="s">
        <v>3454</v>
      </c>
      <c r="S1220" s="491" t="str">
        <f t="shared" si="39"/>
        <v>x</v>
      </c>
      <c r="T1220" s="492" t="str">
        <f>IFERROR(VLOOKUP(F1220,'Freq-Chan'!C:D,2,FALSE),"x")</f>
        <v>x</v>
      </c>
      <c r="U1220" s="110" t="s">
        <v>541</v>
      </c>
      <c r="V1220" s="110" t="str">
        <f t="shared" si="40"/>
        <v>FWL</v>
      </c>
      <c r="W1220" s="110" t="s">
        <v>541</v>
      </c>
      <c r="X1220" s="110" t="s">
        <v>541</v>
      </c>
      <c r="Y1220" s="110" t="str">
        <f>IFERROR(VLOOKUP(F1220,'Freq-Chan'!C:E,3,FALSE),"na")</f>
        <v>na</v>
      </c>
      <c r="Z1220" s="110" t="s">
        <v>541</v>
      </c>
      <c r="AA1220" s="110" t="s">
        <v>541</v>
      </c>
      <c r="AB1220" s="110" t="s">
        <v>541</v>
      </c>
      <c r="AC1220" s="10" t="s">
        <v>541</v>
      </c>
      <c r="AD1220" s="10" t="s">
        <v>541</v>
      </c>
    </row>
    <row r="1221" spans="1:30" x14ac:dyDescent="0.2">
      <c r="A1221" s="110">
        <v>1220</v>
      </c>
      <c r="B1221" s="132">
        <v>41846</v>
      </c>
      <c r="C1221" s="117">
        <v>1</v>
      </c>
      <c r="D1221" s="103" t="s">
        <v>70</v>
      </c>
      <c r="E1221" s="103" t="s">
        <v>306</v>
      </c>
      <c r="H1221" s="103"/>
      <c r="I1221" s="103">
        <v>47</v>
      </c>
      <c r="K1221" s="103" t="s">
        <v>1032</v>
      </c>
      <c r="L1221" s="133"/>
      <c r="M1221" s="134">
        <v>2.2916666666666669E-2</v>
      </c>
      <c r="N1221" s="137" t="s">
        <v>1874</v>
      </c>
      <c r="O1221" s="133" t="s">
        <v>3431</v>
      </c>
      <c r="Q1221" s="100" t="s">
        <v>3409</v>
      </c>
      <c r="R1221" s="226" t="s">
        <v>3454</v>
      </c>
      <c r="S1221" s="491" t="str">
        <f t="shared" si="39"/>
        <v>x</v>
      </c>
      <c r="T1221" s="492" t="str">
        <f>IFERROR(VLOOKUP(F1221,'Freq-Chan'!C:D,2,FALSE),"x")</f>
        <v>x</v>
      </c>
      <c r="U1221" s="110" t="s">
        <v>541</v>
      </c>
      <c r="V1221" s="110" t="str">
        <f t="shared" si="40"/>
        <v>FWL</v>
      </c>
      <c r="W1221" s="110" t="s">
        <v>541</v>
      </c>
      <c r="X1221" s="110" t="s">
        <v>541</v>
      </c>
      <c r="Y1221" s="110" t="str">
        <f>IFERROR(VLOOKUP(F1221,'Freq-Chan'!C:E,3,FALSE),"na")</f>
        <v>na</v>
      </c>
      <c r="Z1221" s="110" t="s">
        <v>541</v>
      </c>
      <c r="AA1221" s="110" t="s">
        <v>541</v>
      </c>
      <c r="AB1221" s="110" t="s">
        <v>541</v>
      </c>
      <c r="AC1221" s="10" t="s">
        <v>541</v>
      </c>
      <c r="AD1221" s="10" t="s">
        <v>541</v>
      </c>
    </row>
    <row r="1222" spans="1:30" x14ac:dyDescent="0.2">
      <c r="A1222" s="110">
        <v>1221</v>
      </c>
      <c r="B1222" s="132">
        <v>41846</v>
      </c>
      <c r="C1222" s="117">
        <v>1</v>
      </c>
      <c r="D1222" s="103" t="s">
        <v>70</v>
      </c>
      <c r="E1222" s="103" t="s">
        <v>306</v>
      </c>
      <c r="H1222" s="103"/>
      <c r="I1222" s="103">
        <v>48</v>
      </c>
      <c r="K1222" s="103" t="s">
        <v>1032</v>
      </c>
      <c r="L1222" s="133"/>
      <c r="M1222" s="134">
        <v>1.5972222222222224E-2</v>
      </c>
      <c r="N1222" s="137" t="s">
        <v>3256</v>
      </c>
      <c r="O1222" s="133" t="s">
        <v>3431</v>
      </c>
      <c r="P1222" s="100" t="s">
        <v>3443</v>
      </c>
      <c r="Q1222" s="100" t="s">
        <v>3409</v>
      </c>
      <c r="R1222" s="226" t="s">
        <v>3454</v>
      </c>
      <c r="S1222" s="491" t="str">
        <f t="shared" si="39"/>
        <v>x</v>
      </c>
      <c r="T1222" s="492" t="str">
        <f>IFERROR(VLOOKUP(F1222,'Freq-Chan'!C:D,2,FALSE),"x")</f>
        <v>x</v>
      </c>
      <c r="U1222" s="110" t="s">
        <v>541</v>
      </c>
      <c r="V1222" s="110" t="str">
        <f t="shared" si="40"/>
        <v>FWL</v>
      </c>
      <c r="W1222" s="110" t="s">
        <v>541</v>
      </c>
      <c r="X1222" s="110" t="s">
        <v>541</v>
      </c>
      <c r="Y1222" s="110" t="str">
        <f>IFERROR(VLOOKUP(F1222,'Freq-Chan'!C:E,3,FALSE),"na")</f>
        <v>na</v>
      </c>
      <c r="Z1222" s="110" t="s">
        <v>541</v>
      </c>
      <c r="AA1222" s="110" t="s">
        <v>541</v>
      </c>
      <c r="AB1222" s="110" t="s">
        <v>541</v>
      </c>
      <c r="AC1222" s="10" t="s">
        <v>541</v>
      </c>
      <c r="AD1222" s="10" t="s">
        <v>541</v>
      </c>
    </row>
    <row r="1223" spans="1:30" x14ac:dyDescent="0.2">
      <c r="A1223" s="110">
        <v>1222</v>
      </c>
      <c r="B1223" s="132">
        <v>41846</v>
      </c>
      <c r="C1223" s="117">
        <v>1</v>
      </c>
      <c r="D1223" s="103" t="s">
        <v>70</v>
      </c>
      <c r="E1223" s="103" t="s">
        <v>306</v>
      </c>
      <c r="H1223" s="103"/>
      <c r="I1223" s="103">
        <v>44</v>
      </c>
      <c r="K1223" s="103" t="s">
        <v>1032</v>
      </c>
      <c r="L1223" s="133"/>
      <c r="M1223" s="134">
        <v>1.4583333333333332E-2</v>
      </c>
      <c r="N1223" s="137" t="s">
        <v>3427</v>
      </c>
      <c r="O1223" s="133" t="s">
        <v>3431</v>
      </c>
      <c r="Q1223" s="100" t="s">
        <v>3409</v>
      </c>
      <c r="R1223" s="226" t="s">
        <v>3454</v>
      </c>
      <c r="S1223" s="491" t="str">
        <f t="shared" si="39"/>
        <v>x</v>
      </c>
      <c r="T1223" s="492" t="str">
        <f>IFERROR(VLOOKUP(F1223,'Freq-Chan'!C:D,2,FALSE),"x")</f>
        <v>x</v>
      </c>
      <c r="U1223" s="110" t="s">
        <v>541</v>
      </c>
      <c r="V1223" s="110" t="str">
        <f t="shared" si="40"/>
        <v>FWL</v>
      </c>
      <c r="W1223" s="110" t="s">
        <v>541</v>
      </c>
      <c r="X1223" s="110" t="s">
        <v>541</v>
      </c>
      <c r="Y1223" s="110" t="str">
        <f>IFERROR(VLOOKUP(F1223,'Freq-Chan'!C:E,3,FALSE),"na")</f>
        <v>na</v>
      </c>
      <c r="Z1223" s="110" t="s">
        <v>541</v>
      </c>
      <c r="AA1223" s="110" t="s">
        <v>541</v>
      </c>
      <c r="AB1223" s="110" t="s">
        <v>541</v>
      </c>
      <c r="AC1223" s="10" t="s">
        <v>541</v>
      </c>
      <c r="AD1223" s="10" t="s">
        <v>541</v>
      </c>
    </row>
    <row r="1224" spans="1:30" x14ac:dyDescent="0.2">
      <c r="A1224" s="110">
        <v>1223</v>
      </c>
      <c r="B1224" s="132">
        <v>41846</v>
      </c>
      <c r="C1224" s="117">
        <v>1</v>
      </c>
      <c r="D1224" s="103" t="s">
        <v>70</v>
      </c>
      <c r="E1224" s="103" t="s">
        <v>306</v>
      </c>
      <c r="H1224" s="103"/>
      <c r="I1224" s="103">
        <v>43</v>
      </c>
      <c r="K1224" s="103" t="s">
        <v>365</v>
      </c>
      <c r="L1224" s="133"/>
      <c r="M1224" s="134">
        <v>1.9444444444444445E-2</v>
      </c>
      <c r="N1224" s="137" t="s">
        <v>3428</v>
      </c>
      <c r="O1224" s="133" t="s">
        <v>3431</v>
      </c>
      <c r="Q1224" s="100" t="s">
        <v>3409</v>
      </c>
      <c r="R1224" s="226" t="s">
        <v>3454</v>
      </c>
      <c r="S1224" s="491" t="str">
        <f t="shared" si="39"/>
        <v>x</v>
      </c>
      <c r="T1224" s="492" t="str">
        <f>IFERROR(VLOOKUP(F1224,'Freq-Chan'!C:D,2,FALSE),"x")</f>
        <v>x</v>
      </c>
      <c r="U1224" s="110" t="s">
        <v>541</v>
      </c>
      <c r="V1224" s="110" t="str">
        <f t="shared" si="40"/>
        <v>FWL</v>
      </c>
      <c r="W1224" s="110" t="s">
        <v>541</v>
      </c>
      <c r="X1224" s="110" t="s">
        <v>541</v>
      </c>
      <c r="Y1224" s="110" t="str">
        <f>IFERROR(VLOOKUP(F1224,'Freq-Chan'!C:E,3,FALSE),"na")</f>
        <v>na</v>
      </c>
      <c r="Z1224" s="110" t="s">
        <v>541</v>
      </c>
      <c r="AA1224" s="110" t="s">
        <v>541</v>
      </c>
      <c r="AB1224" s="110" t="s">
        <v>541</v>
      </c>
      <c r="AC1224" s="10" t="s">
        <v>541</v>
      </c>
      <c r="AD1224" s="10" t="s">
        <v>541</v>
      </c>
    </row>
    <row r="1225" spans="1:30" x14ac:dyDescent="0.2">
      <c r="A1225" s="110">
        <v>1224</v>
      </c>
      <c r="B1225" s="132">
        <v>41846</v>
      </c>
      <c r="C1225" s="117">
        <v>1</v>
      </c>
      <c r="D1225" s="103" t="s">
        <v>70</v>
      </c>
      <c r="E1225" s="103" t="s">
        <v>306</v>
      </c>
      <c r="H1225" s="103"/>
      <c r="I1225" s="103">
        <v>50</v>
      </c>
      <c r="K1225" s="103" t="s">
        <v>365</v>
      </c>
      <c r="L1225" s="133">
        <v>0.52847222222222223</v>
      </c>
      <c r="M1225" s="134">
        <v>2.2916666666666669E-2</v>
      </c>
      <c r="N1225" s="137" t="s">
        <v>3429</v>
      </c>
      <c r="O1225" s="133" t="s">
        <v>3431</v>
      </c>
      <c r="Q1225" s="100" t="s">
        <v>3409</v>
      </c>
      <c r="R1225" s="226" t="s">
        <v>3454</v>
      </c>
      <c r="S1225" s="491">
        <f t="shared" si="39"/>
        <v>1.0069444E-3</v>
      </c>
      <c r="T1225" s="492" t="str">
        <f>IFERROR(VLOOKUP(F1225,'Freq-Chan'!C:D,2,FALSE),"x")</f>
        <v>x</v>
      </c>
      <c r="U1225" s="110" t="s">
        <v>541</v>
      </c>
      <c r="V1225" s="110" t="str">
        <f t="shared" si="40"/>
        <v>FWL</v>
      </c>
      <c r="W1225" s="110" t="s">
        <v>541</v>
      </c>
      <c r="X1225" s="110" t="s">
        <v>541</v>
      </c>
      <c r="Y1225" s="110" t="str">
        <f>IFERROR(VLOOKUP(F1225,'Freq-Chan'!C:E,3,FALSE),"na")</f>
        <v>na</v>
      </c>
      <c r="Z1225" s="110" t="s">
        <v>541</v>
      </c>
      <c r="AA1225" s="110" t="s">
        <v>541</v>
      </c>
      <c r="AB1225" s="110" t="s">
        <v>541</v>
      </c>
      <c r="AC1225" s="10" t="s">
        <v>541</v>
      </c>
      <c r="AD1225" s="10" t="s">
        <v>541</v>
      </c>
    </row>
    <row r="1226" spans="1:30" x14ac:dyDescent="0.2">
      <c r="A1226" s="110">
        <v>1225</v>
      </c>
      <c r="B1226" s="132">
        <v>41846</v>
      </c>
      <c r="C1226" s="117">
        <v>1</v>
      </c>
      <c r="D1226" s="103" t="s">
        <v>70</v>
      </c>
      <c r="E1226" s="103" t="s">
        <v>306</v>
      </c>
      <c r="H1226" s="103"/>
      <c r="I1226" s="103">
        <v>45</v>
      </c>
      <c r="K1226" s="103" t="s">
        <v>1032</v>
      </c>
      <c r="L1226" s="133"/>
      <c r="M1226" s="134">
        <v>2.013888888888889E-2</v>
      </c>
      <c r="N1226" s="137" t="s">
        <v>2710</v>
      </c>
      <c r="O1226" s="133" t="s">
        <v>3431</v>
      </c>
      <c r="Q1226" s="100" t="s">
        <v>3409</v>
      </c>
      <c r="R1226" s="226" t="s">
        <v>3454</v>
      </c>
      <c r="S1226" s="491" t="str">
        <f t="shared" si="39"/>
        <v>x</v>
      </c>
      <c r="T1226" s="492" t="str">
        <f>IFERROR(VLOOKUP(F1226,'Freq-Chan'!C:D,2,FALSE),"x")</f>
        <v>x</v>
      </c>
      <c r="U1226" s="110" t="s">
        <v>541</v>
      </c>
      <c r="V1226" s="110" t="str">
        <f t="shared" si="40"/>
        <v>FWL</v>
      </c>
      <c r="W1226" s="110" t="s">
        <v>541</v>
      </c>
      <c r="X1226" s="110" t="s">
        <v>541</v>
      </c>
      <c r="Y1226" s="110" t="str">
        <f>IFERROR(VLOOKUP(F1226,'Freq-Chan'!C:E,3,FALSE),"na")</f>
        <v>na</v>
      </c>
      <c r="Z1226" s="110" t="s">
        <v>541</v>
      </c>
      <c r="AA1226" s="110" t="s">
        <v>541</v>
      </c>
      <c r="AB1226" s="110" t="s">
        <v>541</v>
      </c>
      <c r="AC1226" s="10" t="s">
        <v>541</v>
      </c>
      <c r="AD1226" s="10" t="s">
        <v>541</v>
      </c>
    </row>
    <row r="1227" spans="1:30" x14ac:dyDescent="0.2">
      <c r="A1227" s="110">
        <v>1226</v>
      </c>
      <c r="B1227" s="132">
        <v>41846</v>
      </c>
      <c r="C1227" s="117">
        <v>1</v>
      </c>
      <c r="D1227" s="103" t="s">
        <v>70</v>
      </c>
      <c r="E1227" s="103" t="s">
        <v>306</v>
      </c>
      <c r="H1227" s="103"/>
      <c r="I1227" s="103">
        <v>46</v>
      </c>
      <c r="K1227" s="103" t="s">
        <v>1032</v>
      </c>
      <c r="L1227" s="133"/>
      <c r="M1227" s="134">
        <v>2.7083333333333334E-2</v>
      </c>
      <c r="N1227" s="137" t="s">
        <v>2898</v>
      </c>
      <c r="O1227" s="133" t="s">
        <v>3431</v>
      </c>
      <c r="Q1227" s="100" t="s">
        <v>3409</v>
      </c>
      <c r="R1227" s="226" t="s">
        <v>3454</v>
      </c>
      <c r="S1227" s="491" t="str">
        <f t="shared" si="39"/>
        <v>x</v>
      </c>
      <c r="T1227" s="492" t="str">
        <f>IFERROR(VLOOKUP(F1227,'Freq-Chan'!C:D,2,FALSE),"x")</f>
        <v>x</v>
      </c>
      <c r="U1227" s="110" t="s">
        <v>541</v>
      </c>
      <c r="V1227" s="110" t="str">
        <f t="shared" si="40"/>
        <v>FWL</v>
      </c>
      <c r="W1227" s="110" t="s">
        <v>541</v>
      </c>
      <c r="X1227" s="110" t="s">
        <v>541</v>
      </c>
      <c r="Y1227" s="110" t="str">
        <f>IFERROR(VLOOKUP(F1227,'Freq-Chan'!C:E,3,FALSE),"na")</f>
        <v>na</v>
      </c>
      <c r="Z1227" s="110" t="s">
        <v>541</v>
      </c>
      <c r="AA1227" s="110" t="s">
        <v>541</v>
      </c>
      <c r="AB1227" s="110" t="s">
        <v>541</v>
      </c>
      <c r="AC1227" s="10" t="s">
        <v>541</v>
      </c>
      <c r="AD1227" s="10" t="s">
        <v>541</v>
      </c>
    </row>
    <row r="1228" spans="1:30" x14ac:dyDescent="0.2">
      <c r="A1228" s="110">
        <v>1227</v>
      </c>
      <c r="B1228" s="132">
        <v>41846</v>
      </c>
      <c r="C1228" s="117">
        <v>1</v>
      </c>
      <c r="D1228" s="103" t="s">
        <v>71</v>
      </c>
      <c r="E1228" s="103" t="s">
        <v>306</v>
      </c>
      <c r="F1228" s="103">
        <v>534</v>
      </c>
      <c r="G1228" s="103">
        <v>9</v>
      </c>
      <c r="H1228" s="103" t="s">
        <v>2320</v>
      </c>
      <c r="I1228" s="103">
        <v>61</v>
      </c>
      <c r="K1228" s="103" t="s">
        <v>364</v>
      </c>
      <c r="L1228" s="133">
        <v>0.64374999999999993</v>
      </c>
      <c r="M1228" s="134">
        <v>3.6805555555555557E-2</v>
      </c>
      <c r="N1228" s="137" t="s">
        <v>383</v>
      </c>
      <c r="O1228" s="133" t="s">
        <v>372</v>
      </c>
      <c r="Q1228" s="100" t="s">
        <v>3409</v>
      </c>
      <c r="R1228" s="226" t="s">
        <v>3454</v>
      </c>
      <c r="S1228" s="491">
        <f t="shared" si="39"/>
        <v>2.8587962999999999E-3</v>
      </c>
      <c r="T1228" s="492">
        <f>IFERROR(VLOOKUP(F1228,'Freq-Chan'!C:D,2,FALSE),"x")</f>
        <v>151.53399999999999</v>
      </c>
      <c r="U1228" s="110" t="s">
        <v>541</v>
      </c>
      <c r="V1228" s="110" t="str">
        <f t="shared" si="40"/>
        <v>FWL</v>
      </c>
      <c r="W1228" s="110" t="s">
        <v>541</v>
      </c>
      <c r="X1228" s="110" t="s">
        <v>541</v>
      </c>
      <c r="Y1228" s="110" t="str">
        <f>IFERROR(VLOOKUP(F1228,'Freq-Chan'!C:E,3,FALSE),"na")</f>
        <v>F1840</v>
      </c>
      <c r="Z1228" s="110" t="s">
        <v>541</v>
      </c>
      <c r="AA1228" s="110" t="s">
        <v>541</v>
      </c>
      <c r="AB1228" s="110" t="s">
        <v>541</v>
      </c>
      <c r="AC1228" s="10" t="s">
        <v>541</v>
      </c>
      <c r="AD1228" s="10" t="s">
        <v>541</v>
      </c>
    </row>
    <row r="1229" spans="1:30" x14ac:dyDescent="0.2">
      <c r="A1229" s="110">
        <v>1228</v>
      </c>
      <c r="B1229" s="132">
        <v>41846</v>
      </c>
      <c r="C1229" s="117">
        <v>1</v>
      </c>
      <c r="D1229" s="103" t="s">
        <v>71</v>
      </c>
      <c r="E1229" s="103" t="s">
        <v>306</v>
      </c>
      <c r="F1229" s="103">
        <v>534</v>
      </c>
      <c r="G1229" s="103">
        <v>12</v>
      </c>
      <c r="H1229" s="103" t="s">
        <v>2327</v>
      </c>
      <c r="I1229" s="103">
        <v>56</v>
      </c>
      <c r="K1229" s="103" t="s">
        <v>364</v>
      </c>
      <c r="L1229" s="133"/>
      <c r="M1229" s="134">
        <v>3.4027777777777775E-2</v>
      </c>
      <c r="N1229" s="137" t="s">
        <v>3313</v>
      </c>
      <c r="O1229" s="133" t="s">
        <v>372</v>
      </c>
      <c r="Q1229" s="100" t="s">
        <v>3409</v>
      </c>
      <c r="R1229" s="226" t="s">
        <v>3454</v>
      </c>
      <c r="S1229" s="491" t="str">
        <f t="shared" si="39"/>
        <v>x</v>
      </c>
      <c r="T1229" s="492">
        <f>IFERROR(VLOOKUP(F1229,'Freq-Chan'!C:D,2,FALSE),"x")</f>
        <v>151.53399999999999</v>
      </c>
      <c r="U1229" s="110" t="s">
        <v>541</v>
      </c>
      <c r="V1229" s="110" t="str">
        <f t="shared" si="40"/>
        <v>FWL</v>
      </c>
      <c r="W1229" s="110" t="s">
        <v>541</v>
      </c>
      <c r="X1229" s="110" t="s">
        <v>541</v>
      </c>
      <c r="Y1229" s="110" t="str">
        <f>IFERROR(VLOOKUP(F1229,'Freq-Chan'!C:E,3,FALSE),"na")</f>
        <v>F1840</v>
      </c>
      <c r="Z1229" s="110" t="s">
        <v>541</v>
      </c>
      <c r="AA1229" s="110" t="s">
        <v>541</v>
      </c>
      <c r="AB1229" s="110" t="s">
        <v>541</v>
      </c>
      <c r="AC1229" s="10" t="s">
        <v>541</v>
      </c>
      <c r="AD1229" s="10" t="s">
        <v>541</v>
      </c>
    </row>
    <row r="1230" spans="1:30" s="291" customFormat="1" x14ac:dyDescent="0.2">
      <c r="A1230" s="493">
        <v>1229</v>
      </c>
      <c r="B1230" s="283">
        <v>41846</v>
      </c>
      <c r="C1230" s="284">
        <v>1</v>
      </c>
      <c r="D1230" s="285" t="s">
        <v>71</v>
      </c>
      <c r="E1230" s="285" t="s">
        <v>306</v>
      </c>
      <c r="F1230" s="285">
        <v>564</v>
      </c>
      <c r="G1230" s="285">
        <v>37</v>
      </c>
      <c r="H1230" s="285" t="s">
        <v>2328</v>
      </c>
      <c r="I1230" s="285">
        <v>65</v>
      </c>
      <c r="J1230" s="285"/>
      <c r="K1230" s="285" t="s">
        <v>364</v>
      </c>
      <c r="L1230" s="286"/>
      <c r="M1230" s="287">
        <v>8.2638888888888887E-2</v>
      </c>
      <c r="N1230" s="339" t="s">
        <v>3430</v>
      </c>
      <c r="O1230" s="286" t="s">
        <v>555</v>
      </c>
      <c r="P1230" s="289"/>
      <c r="Q1230" s="289" t="s">
        <v>3423</v>
      </c>
      <c r="R1230" s="290" t="s">
        <v>3454</v>
      </c>
      <c r="S1230" s="494" t="str">
        <f t="shared" si="39"/>
        <v>x</v>
      </c>
      <c r="T1230" s="495">
        <f>IFERROR(VLOOKUP(F1230,'Freq-Chan'!C:D,2,FALSE),"x")</f>
        <v>151.56399999999999</v>
      </c>
      <c r="U1230" s="493" t="s">
        <v>541</v>
      </c>
      <c r="V1230" s="493" t="str">
        <f t="shared" si="40"/>
        <v>FWL</v>
      </c>
      <c r="W1230" s="493" t="s">
        <v>541</v>
      </c>
      <c r="X1230" s="493" t="s">
        <v>541</v>
      </c>
      <c r="Y1230" s="493" t="str">
        <f>IFERROR(VLOOKUP(F1230,'Freq-Chan'!C:E,3,FALSE),"na")</f>
        <v>F1840</v>
      </c>
      <c r="Z1230" s="493" t="s">
        <v>541</v>
      </c>
      <c r="AA1230" s="493" t="s">
        <v>541</v>
      </c>
      <c r="AB1230" s="493" t="s">
        <v>541</v>
      </c>
      <c r="AC1230" s="291" t="s">
        <v>541</v>
      </c>
      <c r="AD1230" s="291" t="s">
        <v>541</v>
      </c>
    </row>
    <row r="1231" spans="1:30" x14ac:dyDescent="0.2">
      <c r="A1231" s="110">
        <v>1230</v>
      </c>
      <c r="B1231" s="132">
        <v>41846</v>
      </c>
      <c r="C1231" s="117">
        <v>2</v>
      </c>
      <c r="D1231" s="103" t="s">
        <v>71</v>
      </c>
      <c r="E1231" s="103" t="s">
        <v>306</v>
      </c>
      <c r="F1231" s="103">
        <v>564</v>
      </c>
      <c r="G1231" s="103">
        <v>95</v>
      </c>
      <c r="H1231" s="103" t="s">
        <v>2319</v>
      </c>
      <c r="I1231" s="103">
        <v>61</v>
      </c>
      <c r="K1231" s="103" t="s">
        <v>364</v>
      </c>
      <c r="L1231" s="133"/>
      <c r="M1231" s="134">
        <v>5.486111111111111E-2</v>
      </c>
      <c r="N1231" s="137" t="s">
        <v>2010</v>
      </c>
      <c r="O1231" s="133" t="s">
        <v>1888</v>
      </c>
      <c r="Q1231" s="100" t="s">
        <v>3418</v>
      </c>
      <c r="R1231" s="226" t="s">
        <v>3454</v>
      </c>
      <c r="S1231" s="491" t="str">
        <f t="shared" si="39"/>
        <v>x</v>
      </c>
      <c r="T1231" s="492">
        <f>IFERROR(VLOOKUP(F1231,'Freq-Chan'!C:D,2,FALSE),"x")</f>
        <v>151.56399999999999</v>
      </c>
      <c r="U1231" s="110" t="s">
        <v>541</v>
      </c>
      <c r="V1231" s="110" t="str">
        <f t="shared" si="40"/>
        <v>FWL</v>
      </c>
      <c r="W1231" s="110" t="s">
        <v>541</v>
      </c>
      <c r="X1231" s="110" t="s">
        <v>541</v>
      </c>
      <c r="Y1231" s="110" t="str">
        <f>IFERROR(VLOOKUP(F1231,'Freq-Chan'!C:E,3,FALSE),"na")</f>
        <v>F1840</v>
      </c>
      <c r="Z1231" s="110" t="s">
        <v>541</v>
      </c>
      <c r="AA1231" s="110" t="s">
        <v>541</v>
      </c>
      <c r="AB1231" s="110" t="s">
        <v>541</v>
      </c>
      <c r="AC1231" s="10" t="s">
        <v>541</v>
      </c>
      <c r="AD1231" s="10" t="s">
        <v>541</v>
      </c>
    </row>
    <row r="1232" spans="1:30" x14ac:dyDescent="0.2">
      <c r="A1232" s="110">
        <v>1231</v>
      </c>
      <c r="B1232" s="132">
        <v>41846</v>
      </c>
      <c r="C1232" s="117">
        <v>2</v>
      </c>
      <c r="D1232" s="103" t="s">
        <v>88</v>
      </c>
      <c r="E1232" s="103" t="s">
        <v>798</v>
      </c>
      <c r="H1232" s="103"/>
      <c r="J1232" s="103">
        <v>33</v>
      </c>
      <c r="K1232" s="103" t="s">
        <v>364</v>
      </c>
      <c r="L1232" s="133"/>
      <c r="M1232" s="134">
        <v>2.7777777777777776E-2</v>
      </c>
      <c r="N1232" s="137" t="s">
        <v>3305</v>
      </c>
      <c r="O1232" s="133" t="s">
        <v>372</v>
      </c>
      <c r="Q1232" s="100" t="s">
        <v>3419</v>
      </c>
      <c r="R1232" s="226" t="s">
        <v>3454</v>
      </c>
      <c r="S1232" s="491" t="str">
        <f t="shared" si="39"/>
        <v>x</v>
      </c>
      <c r="T1232" s="492" t="str">
        <f>IFERROR(VLOOKUP(F1232,'Freq-Chan'!C:D,2,FALSE),"x")</f>
        <v>x</v>
      </c>
      <c r="U1232" s="110" t="s">
        <v>541</v>
      </c>
      <c r="V1232" s="110" t="str">
        <f t="shared" si="40"/>
        <v>FWL</v>
      </c>
      <c r="W1232" s="110" t="s">
        <v>541</v>
      </c>
      <c r="X1232" s="110" t="s">
        <v>541</v>
      </c>
      <c r="Y1232" s="110" t="str">
        <f>IFERROR(VLOOKUP(F1232,'Freq-Chan'!C:E,3,FALSE),"na")</f>
        <v>na</v>
      </c>
      <c r="Z1232" s="110" t="s">
        <v>541</v>
      </c>
      <c r="AA1232" s="110" t="s">
        <v>541</v>
      </c>
      <c r="AB1232" s="110" t="s">
        <v>541</v>
      </c>
      <c r="AC1232" s="10" t="s">
        <v>541</v>
      </c>
      <c r="AD1232" s="10" t="s">
        <v>541</v>
      </c>
    </row>
    <row r="1233" spans="1:30" x14ac:dyDescent="0.2">
      <c r="A1233" s="110">
        <v>1232</v>
      </c>
      <c r="B1233" s="132">
        <v>41846</v>
      </c>
      <c r="C1233" s="117">
        <v>2</v>
      </c>
      <c r="D1233" s="103" t="s">
        <v>88</v>
      </c>
      <c r="E1233" s="103" t="s">
        <v>798</v>
      </c>
      <c r="H1233" s="103"/>
      <c r="J1233" s="103">
        <v>34</v>
      </c>
      <c r="K1233" s="103" t="s">
        <v>364</v>
      </c>
      <c r="L1233" s="133"/>
      <c r="M1233" s="134">
        <v>2.361111111111111E-2</v>
      </c>
      <c r="N1233" s="137" t="s">
        <v>3433</v>
      </c>
      <c r="O1233" s="133" t="s">
        <v>372</v>
      </c>
      <c r="Q1233" s="100" t="s">
        <v>3419</v>
      </c>
      <c r="R1233" s="226" t="s">
        <v>3454</v>
      </c>
      <c r="S1233" s="491" t="str">
        <f t="shared" si="39"/>
        <v>x</v>
      </c>
      <c r="T1233" s="492" t="str">
        <f>IFERROR(VLOOKUP(F1233,'Freq-Chan'!C:D,2,FALSE),"x")</f>
        <v>x</v>
      </c>
      <c r="U1233" s="110" t="s">
        <v>541</v>
      </c>
      <c r="V1233" s="110" t="str">
        <f t="shared" si="40"/>
        <v>FWL</v>
      </c>
      <c r="W1233" s="110" t="s">
        <v>541</v>
      </c>
      <c r="X1233" s="110" t="s">
        <v>541</v>
      </c>
      <c r="Y1233" s="110" t="str">
        <f>IFERROR(VLOOKUP(F1233,'Freq-Chan'!C:E,3,FALSE),"na")</f>
        <v>na</v>
      </c>
      <c r="Z1233" s="110" t="s">
        <v>541</v>
      </c>
      <c r="AA1233" s="110" t="s">
        <v>541</v>
      </c>
      <c r="AB1233" s="110" t="s">
        <v>541</v>
      </c>
      <c r="AC1233" s="10" t="s">
        <v>541</v>
      </c>
      <c r="AD1233" s="10" t="s">
        <v>541</v>
      </c>
    </row>
    <row r="1234" spans="1:30" x14ac:dyDescent="0.2">
      <c r="A1234" s="110">
        <v>1233</v>
      </c>
      <c r="B1234" s="132">
        <v>41846</v>
      </c>
      <c r="C1234" s="117">
        <v>2</v>
      </c>
      <c r="D1234" s="103" t="s">
        <v>8</v>
      </c>
      <c r="E1234" s="103" t="s">
        <v>306</v>
      </c>
      <c r="F1234" s="103">
        <v>573</v>
      </c>
      <c r="G1234" s="103">
        <v>56</v>
      </c>
      <c r="H1234" s="103" t="s">
        <v>2150</v>
      </c>
      <c r="I1234" s="103">
        <v>58</v>
      </c>
      <c r="K1234" s="103" t="s">
        <v>364</v>
      </c>
      <c r="L1234" s="133"/>
      <c r="M1234" s="134">
        <v>4.5138888888888888E-2</v>
      </c>
      <c r="N1234" s="137" t="s">
        <v>3432</v>
      </c>
      <c r="O1234" s="133" t="s">
        <v>3431</v>
      </c>
      <c r="Q1234" s="100" t="s">
        <v>3419</v>
      </c>
      <c r="R1234" s="226" t="s">
        <v>3454</v>
      </c>
      <c r="S1234" s="491" t="str">
        <f t="shared" si="39"/>
        <v>x</v>
      </c>
      <c r="T1234" s="492">
        <f>IFERROR(VLOOKUP(F1234,'Freq-Chan'!C:D,2,FALSE),"x")</f>
        <v>151.57300000000001</v>
      </c>
      <c r="U1234" s="110" t="s">
        <v>541</v>
      </c>
      <c r="V1234" s="110" t="str">
        <f t="shared" si="40"/>
        <v>FWL</v>
      </c>
      <c r="W1234" s="110" t="s">
        <v>541</v>
      </c>
      <c r="X1234" s="110" t="s">
        <v>541</v>
      </c>
      <c r="Y1234" s="110" t="str">
        <f>IFERROR(VLOOKUP(F1234,'Freq-Chan'!C:E,3,FALSE),"na")</f>
        <v>F1840</v>
      </c>
      <c r="Z1234" s="110" t="s">
        <v>541</v>
      </c>
      <c r="AA1234" s="110" t="s">
        <v>541</v>
      </c>
      <c r="AB1234" s="110" t="s">
        <v>541</v>
      </c>
      <c r="AC1234" s="10" t="s">
        <v>541</v>
      </c>
      <c r="AD1234" s="10" t="s">
        <v>541</v>
      </c>
    </row>
    <row r="1235" spans="1:30" x14ac:dyDescent="0.2">
      <c r="A1235" s="110">
        <v>1234</v>
      </c>
      <c r="B1235" s="132">
        <v>41846</v>
      </c>
      <c r="C1235" s="117">
        <v>2</v>
      </c>
      <c r="D1235" s="103" t="s">
        <v>8</v>
      </c>
      <c r="E1235" s="103" t="s">
        <v>306</v>
      </c>
      <c r="F1235" s="103">
        <v>573</v>
      </c>
      <c r="G1235" s="103">
        <v>65</v>
      </c>
      <c r="H1235" s="103" t="s">
        <v>2151</v>
      </c>
      <c r="I1235" s="103">
        <v>48</v>
      </c>
      <c r="K1235" s="103" t="s">
        <v>364</v>
      </c>
      <c r="L1235" s="133">
        <v>0.70000000000000007</v>
      </c>
      <c r="M1235" s="134">
        <v>5.8333333333333327E-2</v>
      </c>
      <c r="N1235" s="137" t="s">
        <v>1832</v>
      </c>
      <c r="O1235" s="133" t="s">
        <v>372</v>
      </c>
      <c r="Q1235" s="100" t="s">
        <v>3419</v>
      </c>
      <c r="R1235" s="226" t="s">
        <v>3454</v>
      </c>
      <c r="S1235" s="491">
        <f t="shared" si="39"/>
        <v>5.2777778000000003E-3</v>
      </c>
      <c r="T1235" s="492">
        <f>IFERROR(VLOOKUP(F1235,'Freq-Chan'!C:D,2,FALSE),"x")</f>
        <v>151.57300000000001</v>
      </c>
      <c r="U1235" s="110" t="s">
        <v>541</v>
      </c>
      <c r="V1235" s="110" t="str">
        <f t="shared" si="40"/>
        <v>FWL</v>
      </c>
      <c r="W1235" s="110" t="s">
        <v>541</v>
      </c>
      <c r="X1235" s="110" t="s">
        <v>541</v>
      </c>
      <c r="Y1235" s="110" t="str">
        <f>IFERROR(VLOOKUP(F1235,'Freq-Chan'!C:E,3,FALSE),"na")</f>
        <v>F1840</v>
      </c>
      <c r="Z1235" s="110" t="s">
        <v>541</v>
      </c>
      <c r="AA1235" s="110" t="s">
        <v>541</v>
      </c>
      <c r="AB1235" s="110" t="s">
        <v>541</v>
      </c>
      <c r="AC1235" s="10" t="s">
        <v>541</v>
      </c>
      <c r="AD1235" s="10" t="s">
        <v>541</v>
      </c>
    </row>
    <row r="1236" spans="1:30" x14ac:dyDescent="0.2">
      <c r="A1236" s="110">
        <v>1235</v>
      </c>
      <c r="B1236" s="132">
        <v>41846</v>
      </c>
      <c r="C1236" s="117">
        <v>2</v>
      </c>
      <c r="D1236" s="103" t="s">
        <v>71</v>
      </c>
      <c r="E1236" s="103" t="s">
        <v>306</v>
      </c>
      <c r="H1236" s="103"/>
      <c r="I1236" s="103">
        <v>58</v>
      </c>
      <c r="K1236" s="103" t="s">
        <v>364</v>
      </c>
      <c r="L1236" s="133">
        <v>0.79027777777777775</v>
      </c>
      <c r="M1236" s="134">
        <v>2.013888888888889E-2</v>
      </c>
      <c r="N1236" s="137" t="s">
        <v>3434</v>
      </c>
      <c r="O1236" s="133" t="s">
        <v>555</v>
      </c>
      <c r="Q1236" s="100" t="s">
        <v>3423</v>
      </c>
      <c r="R1236" s="226" t="s">
        <v>3454</v>
      </c>
      <c r="S1236" s="491">
        <f t="shared" si="39"/>
        <v>2.4421296000000001E-3</v>
      </c>
      <c r="T1236" s="492" t="str">
        <f>IFERROR(VLOOKUP(F1236,'Freq-Chan'!C:D,2,FALSE),"x")</f>
        <v>x</v>
      </c>
      <c r="U1236" s="110" t="s">
        <v>541</v>
      </c>
      <c r="V1236" s="110" t="str">
        <f t="shared" si="40"/>
        <v>FWL</v>
      </c>
      <c r="W1236" s="110" t="s">
        <v>541</v>
      </c>
      <c r="X1236" s="110" t="s">
        <v>541</v>
      </c>
      <c r="Y1236" s="110" t="str">
        <f>IFERROR(VLOOKUP(F1236,'Freq-Chan'!C:E,3,FALSE),"na")</f>
        <v>na</v>
      </c>
      <c r="Z1236" s="110" t="s">
        <v>541</v>
      </c>
      <c r="AA1236" s="110" t="s">
        <v>541</v>
      </c>
      <c r="AB1236" s="110" t="s">
        <v>541</v>
      </c>
      <c r="AC1236" s="10" t="s">
        <v>541</v>
      </c>
      <c r="AD1236" s="10" t="s">
        <v>541</v>
      </c>
    </row>
    <row r="1237" spans="1:30" x14ac:dyDescent="0.2">
      <c r="A1237" s="110">
        <v>1236</v>
      </c>
      <c r="B1237" s="132">
        <v>41846</v>
      </c>
      <c r="C1237" s="117">
        <v>2</v>
      </c>
      <c r="D1237" s="103" t="s">
        <v>70</v>
      </c>
      <c r="E1237" s="103" t="s">
        <v>306</v>
      </c>
      <c r="F1237" s="103">
        <v>515</v>
      </c>
      <c r="G1237" s="103">
        <v>16</v>
      </c>
      <c r="H1237" s="103" t="s">
        <v>2978</v>
      </c>
      <c r="I1237" s="103">
        <v>46</v>
      </c>
      <c r="K1237" s="103" t="s">
        <v>365</v>
      </c>
      <c r="L1237" s="133"/>
      <c r="M1237" s="134">
        <v>6.458333333333334E-2</v>
      </c>
      <c r="N1237" s="137" t="s">
        <v>3407</v>
      </c>
      <c r="O1237" s="133" t="s">
        <v>376</v>
      </c>
      <c r="Q1237" s="100" t="s">
        <v>3423</v>
      </c>
      <c r="R1237" s="226" t="s">
        <v>3454</v>
      </c>
      <c r="S1237" s="491" t="str">
        <f t="shared" si="39"/>
        <v>x</v>
      </c>
      <c r="T1237" s="492">
        <f>IFERROR(VLOOKUP(F1237,'Freq-Chan'!C:D,2,FALSE),"x")</f>
        <v>151.51499999999999</v>
      </c>
      <c r="U1237" s="110" t="s">
        <v>541</v>
      </c>
      <c r="V1237" s="110" t="str">
        <f t="shared" si="40"/>
        <v>FWL</v>
      </c>
      <c r="W1237" s="110" t="s">
        <v>541</v>
      </c>
      <c r="X1237" s="110" t="s">
        <v>541</v>
      </c>
      <c r="Y1237" s="110" t="str">
        <f>IFERROR(VLOOKUP(F1237,'Freq-Chan'!C:E,3,FALSE),"na")</f>
        <v>F1835</v>
      </c>
      <c r="Z1237" s="110" t="s">
        <v>541</v>
      </c>
      <c r="AA1237" s="110" t="s">
        <v>541</v>
      </c>
      <c r="AB1237" s="110" t="s">
        <v>541</v>
      </c>
      <c r="AC1237" s="10" t="s">
        <v>541</v>
      </c>
      <c r="AD1237" s="10" t="s">
        <v>541</v>
      </c>
    </row>
    <row r="1238" spans="1:30" x14ac:dyDescent="0.2">
      <c r="A1238" s="110">
        <v>1237</v>
      </c>
      <c r="B1238" s="132">
        <v>41846</v>
      </c>
      <c r="C1238" s="117">
        <v>2</v>
      </c>
      <c r="D1238" s="103" t="s">
        <v>70</v>
      </c>
      <c r="E1238" s="103" t="s">
        <v>306</v>
      </c>
      <c r="F1238" s="103">
        <v>515</v>
      </c>
      <c r="G1238" s="103">
        <v>11</v>
      </c>
      <c r="H1238" s="103" t="s">
        <v>2979</v>
      </c>
      <c r="I1238" s="103">
        <v>48</v>
      </c>
      <c r="K1238" s="103" t="s">
        <v>1032</v>
      </c>
      <c r="L1238" s="133"/>
      <c r="M1238" s="134">
        <v>4.3750000000000004E-2</v>
      </c>
      <c r="N1238" s="137" t="s">
        <v>647</v>
      </c>
      <c r="O1238" s="133" t="s">
        <v>376</v>
      </c>
      <c r="Q1238" s="100" t="s">
        <v>3423</v>
      </c>
      <c r="R1238" s="226" t="s">
        <v>3454</v>
      </c>
      <c r="S1238" s="491" t="str">
        <f t="shared" si="39"/>
        <v>x</v>
      </c>
      <c r="T1238" s="492">
        <f>IFERROR(VLOOKUP(F1238,'Freq-Chan'!C:D,2,FALSE),"x")</f>
        <v>151.51499999999999</v>
      </c>
      <c r="U1238" s="110" t="s">
        <v>541</v>
      </c>
      <c r="V1238" s="110" t="str">
        <f t="shared" si="40"/>
        <v>FWL</v>
      </c>
      <c r="W1238" s="110" t="s">
        <v>541</v>
      </c>
      <c r="X1238" s="110" t="s">
        <v>541</v>
      </c>
      <c r="Y1238" s="110" t="str">
        <f>IFERROR(VLOOKUP(F1238,'Freq-Chan'!C:E,3,FALSE),"na")</f>
        <v>F1835</v>
      </c>
      <c r="Z1238" s="110" t="s">
        <v>541</v>
      </c>
      <c r="AA1238" s="110" t="s">
        <v>541</v>
      </c>
      <c r="AB1238" s="110" t="s">
        <v>541</v>
      </c>
      <c r="AC1238" s="10" t="s">
        <v>541</v>
      </c>
      <c r="AD1238" s="10" t="s">
        <v>541</v>
      </c>
    </row>
    <row r="1239" spans="1:30" x14ac:dyDescent="0.2">
      <c r="A1239" s="110">
        <v>1238</v>
      </c>
      <c r="B1239" s="132">
        <v>41846</v>
      </c>
      <c r="C1239" s="117">
        <v>2</v>
      </c>
      <c r="D1239" s="103" t="s">
        <v>70</v>
      </c>
      <c r="E1239" s="103" t="s">
        <v>306</v>
      </c>
      <c r="H1239" s="103"/>
      <c r="I1239" s="103">
        <v>49</v>
      </c>
      <c r="K1239" s="103" t="s">
        <v>364</v>
      </c>
      <c r="L1239" s="133"/>
      <c r="M1239" s="134">
        <v>1.7361111111111112E-2</v>
      </c>
      <c r="N1239" s="137" t="s">
        <v>3435</v>
      </c>
      <c r="O1239" s="133" t="s">
        <v>555</v>
      </c>
      <c r="Q1239" s="100" t="s">
        <v>3423</v>
      </c>
      <c r="R1239" s="226" t="s">
        <v>3454</v>
      </c>
      <c r="S1239" s="491" t="str">
        <f t="shared" si="39"/>
        <v>x</v>
      </c>
      <c r="T1239" s="492" t="str">
        <f>IFERROR(VLOOKUP(F1239,'Freq-Chan'!C:D,2,FALSE),"x")</f>
        <v>x</v>
      </c>
      <c r="U1239" s="110" t="s">
        <v>541</v>
      </c>
      <c r="V1239" s="110" t="str">
        <f t="shared" si="40"/>
        <v>FWL</v>
      </c>
      <c r="W1239" s="110" t="s">
        <v>541</v>
      </c>
      <c r="X1239" s="110" t="s">
        <v>541</v>
      </c>
      <c r="Y1239" s="110" t="str">
        <f>IFERROR(VLOOKUP(F1239,'Freq-Chan'!C:E,3,FALSE),"na")</f>
        <v>na</v>
      </c>
      <c r="Z1239" s="110" t="s">
        <v>541</v>
      </c>
      <c r="AA1239" s="110" t="s">
        <v>541</v>
      </c>
      <c r="AB1239" s="110" t="s">
        <v>541</v>
      </c>
      <c r="AC1239" s="10" t="s">
        <v>541</v>
      </c>
      <c r="AD1239" s="10" t="s">
        <v>541</v>
      </c>
    </row>
    <row r="1240" spans="1:30" s="291" customFormat="1" x14ac:dyDescent="0.2">
      <c r="A1240" s="493">
        <v>1239</v>
      </c>
      <c r="B1240" s="283">
        <v>41846</v>
      </c>
      <c r="C1240" s="284">
        <v>2</v>
      </c>
      <c r="D1240" s="285" t="s">
        <v>70</v>
      </c>
      <c r="E1240" s="285" t="s">
        <v>306</v>
      </c>
      <c r="F1240" s="285"/>
      <c r="G1240" s="285"/>
      <c r="H1240" s="285"/>
      <c r="I1240" s="285">
        <v>67</v>
      </c>
      <c r="J1240" s="285"/>
      <c r="K1240" s="285" t="s">
        <v>364</v>
      </c>
      <c r="L1240" s="286"/>
      <c r="M1240" s="287">
        <v>1.6666666666666666E-2</v>
      </c>
      <c r="N1240" s="339" t="s">
        <v>3436</v>
      </c>
      <c r="O1240" s="286" t="s">
        <v>555</v>
      </c>
      <c r="P1240" s="289"/>
      <c r="Q1240" s="289" t="s">
        <v>3423</v>
      </c>
      <c r="R1240" s="290" t="s">
        <v>3454</v>
      </c>
      <c r="S1240" s="494" t="str">
        <f t="shared" si="39"/>
        <v>x</v>
      </c>
      <c r="T1240" s="495" t="str">
        <f>IFERROR(VLOOKUP(F1240,'Freq-Chan'!C:D,2,FALSE),"x")</f>
        <v>x</v>
      </c>
      <c r="U1240" s="493" t="s">
        <v>541</v>
      </c>
      <c r="V1240" s="493" t="str">
        <f t="shared" si="40"/>
        <v>FWL</v>
      </c>
      <c r="W1240" s="493" t="s">
        <v>541</v>
      </c>
      <c r="X1240" s="493" t="s">
        <v>541</v>
      </c>
      <c r="Y1240" s="493" t="str">
        <f>IFERROR(VLOOKUP(F1240,'Freq-Chan'!C:E,3,FALSE),"na")</f>
        <v>na</v>
      </c>
      <c r="Z1240" s="493" t="s">
        <v>541</v>
      </c>
      <c r="AA1240" s="493" t="s">
        <v>541</v>
      </c>
      <c r="AB1240" s="493" t="s">
        <v>541</v>
      </c>
      <c r="AC1240" s="291" t="s">
        <v>541</v>
      </c>
      <c r="AD1240" s="291" t="s">
        <v>541</v>
      </c>
    </row>
    <row r="1241" spans="1:30" x14ac:dyDescent="0.2">
      <c r="A1241" s="110">
        <v>1240</v>
      </c>
      <c r="B1241" s="132">
        <v>41846</v>
      </c>
      <c r="C1241" s="117">
        <v>3</v>
      </c>
      <c r="D1241" s="103" t="s">
        <v>70</v>
      </c>
      <c r="E1241" s="103" t="s">
        <v>306</v>
      </c>
      <c r="F1241" s="103">
        <v>596</v>
      </c>
      <c r="G1241" s="103">
        <v>4</v>
      </c>
      <c r="H1241" s="103" t="s">
        <v>2968</v>
      </c>
      <c r="I1241" s="103">
        <v>42</v>
      </c>
      <c r="K1241" s="103" t="s">
        <v>364</v>
      </c>
      <c r="L1241" s="133">
        <v>0.34652777777777777</v>
      </c>
      <c r="M1241" s="134">
        <v>4.1666666666666664E-2</v>
      </c>
      <c r="N1241" s="137" t="s">
        <v>3445</v>
      </c>
      <c r="O1241" s="133" t="s">
        <v>555</v>
      </c>
      <c r="Q1241" s="100" t="s">
        <v>3442</v>
      </c>
      <c r="R1241" s="226" t="s">
        <v>3454</v>
      </c>
      <c r="S1241" s="491">
        <f t="shared" si="39"/>
        <v>3.4722222000000001E-3</v>
      </c>
      <c r="T1241" s="492">
        <f>IFERROR(VLOOKUP(F1241,'Freq-Chan'!C:D,2,FALSE),"x")</f>
        <v>151.596</v>
      </c>
      <c r="U1241" s="110" t="s">
        <v>541</v>
      </c>
      <c r="V1241" s="110" t="str">
        <f t="shared" si="40"/>
        <v>FWL</v>
      </c>
      <c r="W1241" s="110" t="s">
        <v>541</v>
      </c>
      <c r="X1241" s="110" t="s">
        <v>541</v>
      </c>
      <c r="Y1241" s="110" t="str">
        <f>IFERROR(VLOOKUP(F1241,'Freq-Chan'!C:E,3,FALSE),"na")</f>
        <v>F1835</v>
      </c>
      <c r="Z1241" s="110" t="s">
        <v>541</v>
      </c>
      <c r="AA1241" s="110" t="s">
        <v>541</v>
      </c>
      <c r="AB1241" s="110" t="s">
        <v>541</v>
      </c>
      <c r="AC1241" s="10" t="s">
        <v>541</v>
      </c>
      <c r="AD1241" s="10" t="s">
        <v>541</v>
      </c>
    </row>
    <row r="1242" spans="1:30" x14ac:dyDescent="0.2">
      <c r="A1242" s="110">
        <v>1241</v>
      </c>
      <c r="B1242" s="132">
        <v>41846</v>
      </c>
      <c r="C1242" s="117">
        <v>3</v>
      </c>
      <c r="D1242" s="103" t="s">
        <v>70</v>
      </c>
      <c r="E1242" s="103" t="s">
        <v>306</v>
      </c>
      <c r="F1242" s="103">
        <v>596</v>
      </c>
      <c r="G1242" s="103">
        <v>46</v>
      </c>
      <c r="H1242" s="103" t="s">
        <v>2966</v>
      </c>
      <c r="I1242" s="103">
        <v>48</v>
      </c>
      <c r="K1242" s="103" t="s">
        <v>364</v>
      </c>
      <c r="L1242" s="133">
        <v>0.35694444444444445</v>
      </c>
      <c r="M1242" s="134">
        <v>5.4166666666666669E-2</v>
      </c>
      <c r="N1242" s="137" t="s">
        <v>3446</v>
      </c>
      <c r="O1242" s="133" t="s">
        <v>555</v>
      </c>
      <c r="Q1242" s="100" t="s">
        <v>3442</v>
      </c>
      <c r="R1242" s="226" t="s">
        <v>3454</v>
      </c>
      <c r="S1242" s="491">
        <f t="shared" si="39"/>
        <v>2.5694443999999999E-3</v>
      </c>
      <c r="T1242" s="492">
        <f>IFERROR(VLOOKUP(F1242,'Freq-Chan'!C:D,2,FALSE),"x")</f>
        <v>151.596</v>
      </c>
      <c r="U1242" s="110" t="s">
        <v>541</v>
      </c>
      <c r="V1242" s="110" t="str">
        <f t="shared" si="40"/>
        <v>FWL</v>
      </c>
      <c r="W1242" s="110" t="s">
        <v>541</v>
      </c>
      <c r="X1242" s="110" t="s">
        <v>541</v>
      </c>
      <c r="Y1242" s="110" t="str">
        <f>IFERROR(VLOOKUP(F1242,'Freq-Chan'!C:E,3,FALSE),"na")</f>
        <v>F1835</v>
      </c>
      <c r="Z1242" s="110" t="s">
        <v>541</v>
      </c>
      <c r="AA1242" s="110" t="s">
        <v>541</v>
      </c>
      <c r="AB1242" s="110" t="s">
        <v>541</v>
      </c>
      <c r="AC1242" s="10" t="s">
        <v>541</v>
      </c>
      <c r="AD1242" s="10" t="s">
        <v>541</v>
      </c>
    </row>
    <row r="1243" spans="1:30" x14ac:dyDescent="0.2">
      <c r="A1243" s="110">
        <v>1242</v>
      </c>
      <c r="B1243" s="132">
        <v>41846</v>
      </c>
      <c r="C1243" s="117">
        <v>3</v>
      </c>
      <c r="D1243" s="103" t="s">
        <v>70</v>
      </c>
      <c r="E1243" s="103" t="s">
        <v>306</v>
      </c>
      <c r="F1243" s="103">
        <v>596</v>
      </c>
      <c r="G1243" s="103">
        <v>14</v>
      </c>
      <c r="H1243" s="103" t="s">
        <v>2971</v>
      </c>
      <c r="I1243" s="103">
        <v>49</v>
      </c>
      <c r="K1243" s="103" t="s">
        <v>364</v>
      </c>
      <c r="L1243" s="133"/>
      <c r="M1243" s="134">
        <v>4.0972222222222222E-2</v>
      </c>
      <c r="N1243" s="137" t="s">
        <v>3298</v>
      </c>
      <c r="O1243" s="133" t="s">
        <v>376</v>
      </c>
      <c r="Q1243" s="100" t="s">
        <v>3442</v>
      </c>
      <c r="R1243" s="226" t="s">
        <v>3454</v>
      </c>
      <c r="S1243" s="491" t="str">
        <f t="shared" si="39"/>
        <v>x</v>
      </c>
      <c r="T1243" s="492">
        <f>IFERROR(VLOOKUP(F1243,'Freq-Chan'!C:D,2,FALSE),"x")</f>
        <v>151.596</v>
      </c>
      <c r="U1243" s="110" t="s">
        <v>541</v>
      </c>
      <c r="V1243" s="110" t="str">
        <f t="shared" si="40"/>
        <v>FWL</v>
      </c>
      <c r="W1243" s="110" t="s">
        <v>541</v>
      </c>
      <c r="X1243" s="110" t="s">
        <v>541</v>
      </c>
      <c r="Y1243" s="110" t="str">
        <f>IFERROR(VLOOKUP(F1243,'Freq-Chan'!C:E,3,FALSE),"na")</f>
        <v>F1835</v>
      </c>
      <c r="Z1243" s="110" t="s">
        <v>541</v>
      </c>
      <c r="AA1243" s="110" t="s">
        <v>541</v>
      </c>
      <c r="AB1243" s="110" t="s">
        <v>541</v>
      </c>
      <c r="AC1243" s="10" t="s">
        <v>541</v>
      </c>
      <c r="AD1243" s="10" t="s">
        <v>541</v>
      </c>
    </row>
    <row r="1244" spans="1:30" x14ac:dyDescent="0.2">
      <c r="A1244" s="110">
        <v>1243</v>
      </c>
      <c r="B1244" s="132">
        <v>41846</v>
      </c>
      <c r="C1244" s="117">
        <v>3</v>
      </c>
      <c r="D1244" s="103" t="s">
        <v>70</v>
      </c>
      <c r="E1244" s="103" t="s">
        <v>306</v>
      </c>
      <c r="H1244" s="103"/>
      <c r="I1244" s="103">
        <v>48</v>
      </c>
      <c r="K1244" s="103" t="s">
        <v>1032</v>
      </c>
      <c r="L1244" s="133"/>
      <c r="M1244" s="134">
        <v>2.4305555555555556E-2</v>
      </c>
      <c r="N1244" s="137" t="s">
        <v>3448</v>
      </c>
      <c r="O1244" s="133" t="s">
        <v>376</v>
      </c>
      <c r="Q1244" s="100" t="s">
        <v>3442</v>
      </c>
      <c r="R1244" s="226" t="s">
        <v>3454</v>
      </c>
      <c r="S1244" s="491" t="str">
        <f t="shared" si="39"/>
        <v>x</v>
      </c>
      <c r="T1244" s="492" t="str">
        <f>IFERROR(VLOOKUP(F1244,'Freq-Chan'!C:D,2,FALSE),"x")</f>
        <v>x</v>
      </c>
      <c r="U1244" s="110" t="s">
        <v>541</v>
      </c>
      <c r="V1244" s="110" t="str">
        <f t="shared" si="40"/>
        <v>FWL</v>
      </c>
      <c r="W1244" s="110" t="s">
        <v>541</v>
      </c>
      <c r="X1244" s="110" t="s">
        <v>541</v>
      </c>
      <c r="Y1244" s="110" t="str">
        <f>IFERROR(VLOOKUP(F1244,'Freq-Chan'!C:E,3,FALSE),"na")</f>
        <v>na</v>
      </c>
      <c r="Z1244" s="110" t="s">
        <v>541</v>
      </c>
      <c r="AA1244" s="110" t="s">
        <v>541</v>
      </c>
      <c r="AB1244" s="110" t="s">
        <v>541</v>
      </c>
      <c r="AC1244" s="10" t="s">
        <v>541</v>
      </c>
      <c r="AD1244" s="10" t="s">
        <v>541</v>
      </c>
    </row>
    <row r="1245" spans="1:30" x14ac:dyDescent="0.2">
      <c r="A1245" s="110">
        <v>1244</v>
      </c>
      <c r="B1245" s="132">
        <v>41846</v>
      </c>
      <c r="C1245" s="117">
        <v>3</v>
      </c>
      <c r="D1245" s="103" t="s">
        <v>70</v>
      </c>
      <c r="E1245" s="103" t="s">
        <v>306</v>
      </c>
      <c r="H1245" s="103"/>
      <c r="I1245" s="103">
        <v>47</v>
      </c>
      <c r="K1245" s="103" t="s">
        <v>364</v>
      </c>
      <c r="L1245" s="133"/>
      <c r="M1245" s="134">
        <v>2.2916666666666669E-2</v>
      </c>
      <c r="N1245" s="137" t="s">
        <v>3449</v>
      </c>
      <c r="O1245" s="133" t="s">
        <v>376</v>
      </c>
      <c r="Q1245" s="100" t="s">
        <v>3442</v>
      </c>
      <c r="R1245" s="226" t="s">
        <v>3454</v>
      </c>
      <c r="S1245" s="491" t="str">
        <f t="shared" si="39"/>
        <v>x</v>
      </c>
      <c r="T1245" s="492" t="str">
        <f>IFERROR(VLOOKUP(F1245,'Freq-Chan'!C:D,2,FALSE),"x")</f>
        <v>x</v>
      </c>
      <c r="U1245" s="110" t="s">
        <v>541</v>
      </c>
      <c r="V1245" s="110" t="str">
        <f t="shared" si="40"/>
        <v>FWL</v>
      </c>
      <c r="W1245" s="110" t="s">
        <v>541</v>
      </c>
      <c r="X1245" s="110" t="s">
        <v>541</v>
      </c>
      <c r="Y1245" s="110" t="str">
        <f>IFERROR(VLOOKUP(F1245,'Freq-Chan'!C:E,3,FALSE),"na")</f>
        <v>na</v>
      </c>
      <c r="Z1245" s="110" t="s">
        <v>541</v>
      </c>
      <c r="AA1245" s="110" t="s">
        <v>541</v>
      </c>
      <c r="AB1245" s="110" t="s">
        <v>541</v>
      </c>
      <c r="AC1245" s="10" t="s">
        <v>541</v>
      </c>
      <c r="AD1245" s="10" t="s">
        <v>541</v>
      </c>
    </row>
    <row r="1246" spans="1:30" x14ac:dyDescent="0.2">
      <c r="A1246" s="110">
        <v>1245</v>
      </c>
      <c r="B1246" s="132">
        <v>41846</v>
      </c>
      <c r="C1246" s="117">
        <v>3</v>
      </c>
      <c r="D1246" s="103" t="s">
        <v>70</v>
      </c>
      <c r="E1246" s="103" t="s">
        <v>306</v>
      </c>
      <c r="H1246" s="103"/>
      <c r="I1246" s="103">
        <v>43</v>
      </c>
      <c r="K1246" s="103" t="s">
        <v>364</v>
      </c>
      <c r="L1246" s="133"/>
      <c r="M1246" s="134">
        <v>1.2499999999999999E-2</v>
      </c>
      <c r="N1246" s="137" t="s">
        <v>3253</v>
      </c>
      <c r="O1246" s="133" t="s">
        <v>555</v>
      </c>
      <c r="Q1246" s="100" t="s">
        <v>3442</v>
      </c>
      <c r="R1246" s="226" t="s">
        <v>3454</v>
      </c>
      <c r="S1246" s="491" t="str">
        <f t="shared" si="39"/>
        <v>x</v>
      </c>
      <c r="T1246" s="492" t="str">
        <f>IFERROR(VLOOKUP(F1246,'Freq-Chan'!C:D,2,FALSE),"x")</f>
        <v>x</v>
      </c>
      <c r="U1246" s="110" t="s">
        <v>541</v>
      </c>
      <c r="V1246" s="110" t="str">
        <f t="shared" si="40"/>
        <v>FWL</v>
      </c>
      <c r="W1246" s="110" t="s">
        <v>541</v>
      </c>
      <c r="X1246" s="110" t="s">
        <v>541</v>
      </c>
      <c r="Y1246" s="110" t="str">
        <f>IFERROR(VLOOKUP(F1246,'Freq-Chan'!C:E,3,FALSE),"na")</f>
        <v>na</v>
      </c>
      <c r="Z1246" s="110" t="s">
        <v>541</v>
      </c>
      <c r="AA1246" s="110" t="s">
        <v>541</v>
      </c>
      <c r="AB1246" s="110" t="s">
        <v>541</v>
      </c>
      <c r="AC1246" s="10" t="s">
        <v>541</v>
      </c>
      <c r="AD1246" s="10" t="s">
        <v>541</v>
      </c>
    </row>
    <row r="1247" spans="1:30" x14ac:dyDescent="0.2">
      <c r="A1247" s="110">
        <v>1246</v>
      </c>
      <c r="B1247" s="132">
        <v>41846</v>
      </c>
      <c r="C1247" s="117">
        <v>3</v>
      </c>
      <c r="D1247" s="103" t="s">
        <v>70</v>
      </c>
      <c r="E1247" s="103" t="s">
        <v>306</v>
      </c>
      <c r="H1247" s="103"/>
      <c r="I1247" s="103">
        <v>51</v>
      </c>
      <c r="K1247" s="103" t="s">
        <v>364</v>
      </c>
      <c r="L1247" s="133"/>
      <c r="M1247" s="134">
        <v>1.5277777777777777E-2</v>
      </c>
      <c r="N1247" s="137" t="s">
        <v>3450</v>
      </c>
      <c r="O1247" s="133" t="s">
        <v>555</v>
      </c>
      <c r="Q1247" s="100" t="s">
        <v>3442</v>
      </c>
      <c r="R1247" s="226" t="s">
        <v>3454</v>
      </c>
      <c r="S1247" s="491" t="str">
        <f t="shared" si="39"/>
        <v>x</v>
      </c>
      <c r="T1247" s="492" t="str">
        <f>IFERROR(VLOOKUP(F1247,'Freq-Chan'!C:D,2,FALSE),"x")</f>
        <v>x</v>
      </c>
      <c r="U1247" s="110" t="s">
        <v>541</v>
      </c>
      <c r="V1247" s="110" t="str">
        <f t="shared" si="40"/>
        <v>FWL</v>
      </c>
      <c r="W1247" s="110" t="s">
        <v>541</v>
      </c>
      <c r="X1247" s="110" t="s">
        <v>541</v>
      </c>
      <c r="Y1247" s="110" t="str">
        <f>IFERROR(VLOOKUP(F1247,'Freq-Chan'!C:E,3,FALSE),"na")</f>
        <v>na</v>
      </c>
      <c r="Z1247" s="110" t="s">
        <v>541</v>
      </c>
      <c r="AA1247" s="110" t="s">
        <v>541</v>
      </c>
      <c r="AB1247" s="110" t="s">
        <v>541</v>
      </c>
      <c r="AC1247" s="10" t="s">
        <v>541</v>
      </c>
      <c r="AD1247" s="10" t="s">
        <v>541</v>
      </c>
    </row>
    <row r="1248" spans="1:30" x14ac:dyDescent="0.2">
      <c r="A1248" s="110">
        <v>1247</v>
      </c>
      <c r="B1248" s="132">
        <v>41846</v>
      </c>
      <c r="C1248" s="117">
        <v>3</v>
      </c>
      <c r="D1248" s="103" t="s">
        <v>70</v>
      </c>
      <c r="E1248" s="103" t="s">
        <v>306</v>
      </c>
      <c r="H1248" s="103"/>
      <c r="I1248" s="103">
        <v>46</v>
      </c>
      <c r="K1248" s="103" t="s">
        <v>364</v>
      </c>
      <c r="L1248" s="133"/>
      <c r="M1248" s="134">
        <v>1.5972222222222224E-2</v>
      </c>
      <c r="N1248" s="137" t="s">
        <v>1571</v>
      </c>
      <c r="O1248" s="133" t="s">
        <v>555</v>
      </c>
      <c r="Q1248" s="100" t="s">
        <v>3442</v>
      </c>
      <c r="R1248" s="226" t="s">
        <v>3454</v>
      </c>
      <c r="S1248" s="491" t="str">
        <f t="shared" si="39"/>
        <v>x</v>
      </c>
      <c r="T1248" s="492" t="str">
        <f>IFERROR(VLOOKUP(F1248,'Freq-Chan'!C:D,2,FALSE),"x")</f>
        <v>x</v>
      </c>
      <c r="U1248" s="110" t="s">
        <v>541</v>
      </c>
      <c r="V1248" s="110" t="str">
        <f t="shared" si="40"/>
        <v>FWL</v>
      </c>
      <c r="W1248" s="110" t="s">
        <v>541</v>
      </c>
      <c r="X1248" s="110" t="s">
        <v>541</v>
      </c>
      <c r="Y1248" s="110" t="str">
        <f>IFERROR(VLOOKUP(F1248,'Freq-Chan'!C:E,3,FALSE),"na")</f>
        <v>na</v>
      </c>
      <c r="Z1248" s="110" t="s">
        <v>541</v>
      </c>
      <c r="AA1248" s="110" t="s">
        <v>541</v>
      </c>
      <c r="AB1248" s="110" t="s">
        <v>541</v>
      </c>
      <c r="AC1248" s="10" t="s">
        <v>541</v>
      </c>
      <c r="AD1248" s="10" t="s">
        <v>541</v>
      </c>
    </row>
    <row r="1249" spans="1:30" x14ac:dyDescent="0.2">
      <c r="A1249" s="110">
        <v>1248</v>
      </c>
      <c r="B1249" s="132">
        <v>41846</v>
      </c>
      <c r="C1249" s="117">
        <v>3</v>
      </c>
      <c r="D1249" s="103" t="s">
        <v>70</v>
      </c>
      <c r="E1249" s="103" t="s">
        <v>306</v>
      </c>
      <c r="H1249" s="103"/>
      <c r="I1249" s="103">
        <v>45</v>
      </c>
      <c r="K1249" s="103" t="s">
        <v>364</v>
      </c>
      <c r="L1249" s="133"/>
      <c r="M1249" s="134">
        <v>1.3888888888888888E-2</v>
      </c>
      <c r="N1249" s="137" t="s">
        <v>3451</v>
      </c>
      <c r="O1249" s="133" t="s">
        <v>555</v>
      </c>
      <c r="Q1249" s="100" t="s">
        <v>3442</v>
      </c>
      <c r="R1249" s="226" t="s">
        <v>3454</v>
      </c>
      <c r="S1249" s="491" t="str">
        <f t="shared" si="39"/>
        <v>x</v>
      </c>
      <c r="T1249" s="492" t="str">
        <f>IFERROR(VLOOKUP(F1249,'Freq-Chan'!C:D,2,FALSE),"x")</f>
        <v>x</v>
      </c>
      <c r="U1249" s="110" t="s">
        <v>541</v>
      </c>
      <c r="V1249" s="110" t="str">
        <f t="shared" si="40"/>
        <v>FWL</v>
      </c>
      <c r="W1249" s="110" t="s">
        <v>541</v>
      </c>
      <c r="X1249" s="110" t="s">
        <v>541</v>
      </c>
      <c r="Y1249" s="110" t="str">
        <f>IFERROR(VLOOKUP(F1249,'Freq-Chan'!C:E,3,FALSE),"na")</f>
        <v>na</v>
      </c>
      <c r="Z1249" s="110" t="s">
        <v>541</v>
      </c>
      <c r="AA1249" s="110" t="s">
        <v>541</v>
      </c>
      <c r="AB1249" s="110" t="s">
        <v>541</v>
      </c>
      <c r="AC1249" s="10" t="s">
        <v>541</v>
      </c>
      <c r="AD1249" s="10" t="s">
        <v>541</v>
      </c>
    </row>
    <row r="1250" spans="1:30" x14ac:dyDescent="0.2">
      <c r="A1250" s="110">
        <v>1249</v>
      </c>
      <c r="B1250" s="132">
        <v>41846</v>
      </c>
      <c r="C1250" s="117">
        <v>3</v>
      </c>
      <c r="D1250" s="103" t="s">
        <v>70</v>
      </c>
      <c r="E1250" s="103" t="s">
        <v>306</v>
      </c>
      <c r="H1250" s="103"/>
      <c r="I1250" s="103">
        <v>50</v>
      </c>
      <c r="K1250" s="103" t="s">
        <v>364</v>
      </c>
      <c r="L1250" s="133"/>
      <c r="M1250" s="134">
        <v>1.3888888888888888E-2</v>
      </c>
      <c r="N1250" s="137" t="s">
        <v>3333</v>
      </c>
      <c r="O1250" s="133" t="s">
        <v>555</v>
      </c>
      <c r="Q1250" s="100" t="s">
        <v>3442</v>
      </c>
      <c r="R1250" s="226" t="s">
        <v>3454</v>
      </c>
      <c r="S1250" s="491" t="str">
        <f t="shared" si="39"/>
        <v>x</v>
      </c>
      <c r="T1250" s="492" t="str">
        <f>IFERROR(VLOOKUP(F1250,'Freq-Chan'!C:D,2,FALSE),"x")</f>
        <v>x</v>
      </c>
      <c r="U1250" s="110" t="s">
        <v>541</v>
      </c>
      <c r="V1250" s="110" t="str">
        <f t="shared" si="40"/>
        <v>FWL</v>
      </c>
      <c r="W1250" s="110" t="s">
        <v>541</v>
      </c>
      <c r="X1250" s="110" t="s">
        <v>541</v>
      </c>
      <c r="Y1250" s="110" t="str">
        <f>IFERROR(VLOOKUP(F1250,'Freq-Chan'!C:E,3,FALSE),"na")</f>
        <v>na</v>
      </c>
      <c r="Z1250" s="110" t="s">
        <v>541</v>
      </c>
      <c r="AA1250" s="110" t="s">
        <v>541</v>
      </c>
      <c r="AB1250" s="110" t="s">
        <v>541</v>
      </c>
      <c r="AC1250" s="10" t="s">
        <v>541</v>
      </c>
      <c r="AD1250" s="10" t="s">
        <v>541</v>
      </c>
    </row>
    <row r="1251" spans="1:30" x14ac:dyDescent="0.2">
      <c r="A1251" s="110">
        <v>1250</v>
      </c>
      <c r="B1251" s="132">
        <v>41846</v>
      </c>
      <c r="C1251" s="117">
        <v>3</v>
      </c>
      <c r="D1251" s="103" t="s">
        <v>70</v>
      </c>
      <c r="E1251" s="103" t="s">
        <v>306</v>
      </c>
      <c r="H1251" s="103"/>
      <c r="I1251" s="103">
        <v>47</v>
      </c>
      <c r="K1251" s="103" t="s">
        <v>364</v>
      </c>
      <c r="L1251" s="133"/>
      <c r="M1251" s="134">
        <v>1.4583333333333332E-2</v>
      </c>
      <c r="N1251" s="137" t="s">
        <v>2689</v>
      </c>
      <c r="O1251" s="133" t="s">
        <v>555</v>
      </c>
      <c r="Q1251" s="100" t="s">
        <v>3442</v>
      </c>
      <c r="R1251" s="226" t="s">
        <v>3454</v>
      </c>
      <c r="S1251" s="491" t="str">
        <f t="shared" si="39"/>
        <v>x</v>
      </c>
      <c r="T1251" s="492" t="str">
        <f>IFERROR(VLOOKUP(F1251,'Freq-Chan'!C:D,2,FALSE),"x")</f>
        <v>x</v>
      </c>
      <c r="U1251" s="110" t="s">
        <v>541</v>
      </c>
      <c r="V1251" s="110" t="str">
        <f t="shared" si="40"/>
        <v>FWL</v>
      </c>
      <c r="W1251" s="110" t="s">
        <v>541</v>
      </c>
      <c r="X1251" s="110" t="s">
        <v>541</v>
      </c>
      <c r="Y1251" s="110" t="str">
        <f>IFERROR(VLOOKUP(F1251,'Freq-Chan'!C:E,3,FALSE),"na")</f>
        <v>na</v>
      </c>
      <c r="Z1251" s="110" t="s">
        <v>541</v>
      </c>
      <c r="AA1251" s="110" t="s">
        <v>541</v>
      </c>
      <c r="AB1251" s="110" t="s">
        <v>541</v>
      </c>
      <c r="AC1251" s="10" t="s">
        <v>541</v>
      </c>
      <c r="AD1251" s="10" t="s">
        <v>541</v>
      </c>
    </row>
    <row r="1252" spans="1:30" x14ac:dyDescent="0.2">
      <c r="A1252" s="110">
        <v>1251</v>
      </c>
      <c r="B1252" s="132">
        <v>41846</v>
      </c>
      <c r="C1252" s="117">
        <v>3</v>
      </c>
      <c r="D1252" s="103" t="s">
        <v>70</v>
      </c>
      <c r="E1252" s="103" t="s">
        <v>306</v>
      </c>
      <c r="H1252" s="103"/>
      <c r="I1252" s="103">
        <v>45</v>
      </c>
      <c r="K1252" s="103" t="s">
        <v>364</v>
      </c>
      <c r="L1252" s="133"/>
      <c r="M1252" s="134">
        <v>1.4583333333333332E-2</v>
      </c>
      <c r="N1252" s="137" t="s">
        <v>3334</v>
      </c>
      <c r="O1252" s="133" t="s">
        <v>555</v>
      </c>
      <c r="Q1252" s="100" t="s">
        <v>3442</v>
      </c>
      <c r="R1252" s="226" t="s">
        <v>3454</v>
      </c>
      <c r="S1252" s="491" t="str">
        <f t="shared" si="39"/>
        <v>x</v>
      </c>
      <c r="T1252" s="492" t="str">
        <f>IFERROR(VLOOKUP(F1252,'Freq-Chan'!C:D,2,FALSE),"x")</f>
        <v>x</v>
      </c>
      <c r="U1252" s="110" t="s">
        <v>541</v>
      </c>
      <c r="V1252" s="110" t="str">
        <f t="shared" si="40"/>
        <v>FWL</v>
      </c>
      <c r="W1252" s="110" t="s">
        <v>541</v>
      </c>
      <c r="X1252" s="110" t="s">
        <v>541</v>
      </c>
      <c r="Y1252" s="110" t="str">
        <f>IFERROR(VLOOKUP(F1252,'Freq-Chan'!C:E,3,FALSE),"na")</f>
        <v>na</v>
      </c>
      <c r="Z1252" s="110" t="s">
        <v>541</v>
      </c>
      <c r="AA1252" s="110" t="s">
        <v>541</v>
      </c>
      <c r="AB1252" s="110" t="s">
        <v>541</v>
      </c>
      <c r="AC1252" s="10" t="s">
        <v>541</v>
      </c>
      <c r="AD1252" s="10" t="s">
        <v>541</v>
      </c>
    </row>
    <row r="1253" spans="1:30" x14ac:dyDescent="0.2">
      <c r="A1253" s="110">
        <v>1252</v>
      </c>
      <c r="B1253" s="132">
        <v>41846</v>
      </c>
      <c r="C1253" s="117">
        <v>3</v>
      </c>
      <c r="D1253" s="103" t="s">
        <v>70</v>
      </c>
      <c r="E1253" s="103" t="s">
        <v>306</v>
      </c>
      <c r="H1253" s="103"/>
      <c r="I1253" s="103">
        <v>51</v>
      </c>
      <c r="K1253" s="103" t="s">
        <v>364</v>
      </c>
      <c r="L1253" s="133"/>
      <c r="M1253" s="134">
        <v>1.5972222222222224E-2</v>
      </c>
      <c r="N1253" s="137" t="s">
        <v>2691</v>
      </c>
      <c r="O1253" s="133" t="s">
        <v>555</v>
      </c>
      <c r="Q1253" s="100" t="s">
        <v>3442</v>
      </c>
      <c r="R1253" s="226" t="s">
        <v>3454</v>
      </c>
      <c r="S1253" s="491" t="str">
        <f t="shared" si="39"/>
        <v>x</v>
      </c>
      <c r="T1253" s="492" t="str">
        <f>IFERROR(VLOOKUP(F1253,'Freq-Chan'!C:D,2,FALSE),"x")</f>
        <v>x</v>
      </c>
      <c r="U1253" s="110" t="s">
        <v>541</v>
      </c>
      <c r="V1253" s="110" t="str">
        <f t="shared" si="40"/>
        <v>FWL</v>
      </c>
      <c r="W1253" s="110" t="s">
        <v>541</v>
      </c>
      <c r="X1253" s="110" t="s">
        <v>541</v>
      </c>
      <c r="Y1253" s="110" t="str">
        <f>IFERROR(VLOOKUP(F1253,'Freq-Chan'!C:E,3,FALSE),"na")</f>
        <v>na</v>
      </c>
      <c r="Z1253" s="110" t="s">
        <v>541</v>
      </c>
      <c r="AA1253" s="110" t="s">
        <v>541</v>
      </c>
      <c r="AB1253" s="110" t="s">
        <v>541</v>
      </c>
      <c r="AC1253" s="10" t="s">
        <v>541</v>
      </c>
      <c r="AD1253" s="10" t="s">
        <v>541</v>
      </c>
    </row>
    <row r="1254" spans="1:30" x14ac:dyDescent="0.2">
      <c r="A1254" s="110">
        <v>1253</v>
      </c>
      <c r="B1254" s="132">
        <v>41846</v>
      </c>
      <c r="C1254" s="117">
        <v>3</v>
      </c>
      <c r="D1254" s="103" t="s">
        <v>70</v>
      </c>
      <c r="E1254" s="103" t="s">
        <v>306</v>
      </c>
      <c r="H1254" s="103"/>
      <c r="I1254" s="103">
        <v>47</v>
      </c>
      <c r="K1254" s="103" t="s">
        <v>364</v>
      </c>
      <c r="L1254" s="133"/>
      <c r="M1254" s="134">
        <v>1.4583333333333332E-2</v>
      </c>
      <c r="N1254" s="137" t="s">
        <v>3292</v>
      </c>
      <c r="O1254" s="133" t="s">
        <v>555</v>
      </c>
      <c r="Q1254" s="100" t="s">
        <v>3442</v>
      </c>
      <c r="R1254" s="226" t="s">
        <v>3454</v>
      </c>
      <c r="S1254" s="491" t="str">
        <f t="shared" si="39"/>
        <v>x</v>
      </c>
      <c r="T1254" s="492" t="str">
        <f>IFERROR(VLOOKUP(F1254,'Freq-Chan'!C:D,2,FALSE),"x")</f>
        <v>x</v>
      </c>
      <c r="U1254" s="110" t="s">
        <v>541</v>
      </c>
      <c r="V1254" s="110" t="str">
        <f t="shared" si="40"/>
        <v>FWL</v>
      </c>
      <c r="W1254" s="110" t="s">
        <v>541</v>
      </c>
      <c r="X1254" s="110" t="s">
        <v>541</v>
      </c>
      <c r="Y1254" s="110" t="str">
        <f>IFERROR(VLOOKUP(F1254,'Freq-Chan'!C:E,3,FALSE),"na")</f>
        <v>na</v>
      </c>
      <c r="Z1254" s="110" t="s">
        <v>541</v>
      </c>
      <c r="AA1254" s="110" t="s">
        <v>541</v>
      </c>
      <c r="AB1254" s="110" t="s">
        <v>541</v>
      </c>
      <c r="AC1254" s="10" t="s">
        <v>541</v>
      </c>
      <c r="AD1254" s="10" t="s">
        <v>541</v>
      </c>
    </row>
    <row r="1255" spans="1:30" x14ac:dyDescent="0.2">
      <c r="A1255" s="110">
        <v>1254</v>
      </c>
      <c r="B1255" s="132">
        <v>41846</v>
      </c>
      <c r="C1255" s="117">
        <v>3</v>
      </c>
      <c r="D1255" s="103" t="s">
        <v>70</v>
      </c>
      <c r="E1255" s="103" t="s">
        <v>306</v>
      </c>
      <c r="H1255" s="103"/>
      <c r="I1255" s="103">
        <v>49</v>
      </c>
      <c r="K1255" s="103" t="s">
        <v>1032</v>
      </c>
      <c r="L1255" s="133">
        <v>0.39097222222222222</v>
      </c>
      <c r="M1255" s="134">
        <v>1.5277777777777777E-2</v>
      </c>
      <c r="N1255" s="137" t="s">
        <v>3452</v>
      </c>
      <c r="O1255" s="133" t="s">
        <v>555</v>
      </c>
      <c r="Q1255" s="100" t="s">
        <v>3442</v>
      </c>
      <c r="R1255" s="226" t="s">
        <v>3454</v>
      </c>
      <c r="S1255" s="491">
        <f t="shared" si="39"/>
        <v>4.3981480000000002E-4</v>
      </c>
      <c r="T1255" s="492" t="str">
        <f>IFERROR(VLOOKUP(F1255,'Freq-Chan'!C:D,2,FALSE),"x")</f>
        <v>x</v>
      </c>
      <c r="U1255" s="110" t="s">
        <v>541</v>
      </c>
      <c r="V1255" s="110" t="str">
        <f t="shared" si="40"/>
        <v>FWL</v>
      </c>
      <c r="W1255" s="110" t="s">
        <v>541</v>
      </c>
      <c r="X1255" s="110" t="s">
        <v>541</v>
      </c>
      <c r="Y1255" s="110" t="str">
        <f>IFERROR(VLOOKUP(F1255,'Freq-Chan'!C:E,3,FALSE),"na")</f>
        <v>na</v>
      </c>
      <c r="Z1255" s="110" t="s">
        <v>541</v>
      </c>
      <c r="AA1255" s="110" t="s">
        <v>541</v>
      </c>
      <c r="AB1255" s="110" t="s">
        <v>541</v>
      </c>
      <c r="AC1255" s="10" t="s">
        <v>541</v>
      </c>
      <c r="AD1255" s="10" t="s">
        <v>541</v>
      </c>
    </row>
    <row r="1256" spans="1:30" x14ac:dyDescent="0.2">
      <c r="A1256" s="110">
        <v>1255</v>
      </c>
      <c r="B1256" s="132">
        <v>41846</v>
      </c>
      <c r="C1256" s="117">
        <v>3</v>
      </c>
      <c r="D1256" s="103" t="s">
        <v>70</v>
      </c>
      <c r="E1256" s="103" t="s">
        <v>306</v>
      </c>
      <c r="F1256" s="103">
        <v>515</v>
      </c>
      <c r="G1256" s="103">
        <v>2</v>
      </c>
      <c r="H1256" s="103" t="s">
        <v>2983</v>
      </c>
      <c r="I1256" s="103">
        <v>46</v>
      </c>
      <c r="K1256" s="103" t="s">
        <v>1032</v>
      </c>
      <c r="L1256" s="133"/>
      <c r="M1256" s="134">
        <v>2.9861111111111113E-2</v>
      </c>
      <c r="N1256" s="137" t="s">
        <v>2048</v>
      </c>
      <c r="O1256" s="133" t="s">
        <v>555</v>
      </c>
      <c r="Q1256" s="100" t="s">
        <v>3442</v>
      </c>
      <c r="R1256" s="226" t="s">
        <v>3454</v>
      </c>
      <c r="S1256" s="491" t="str">
        <f t="shared" si="39"/>
        <v>x</v>
      </c>
      <c r="T1256" s="492">
        <f>IFERROR(VLOOKUP(F1256,'Freq-Chan'!C:D,2,FALSE),"x")</f>
        <v>151.51499999999999</v>
      </c>
      <c r="U1256" s="110" t="s">
        <v>541</v>
      </c>
      <c r="V1256" s="110" t="str">
        <f t="shared" si="40"/>
        <v>FWL</v>
      </c>
      <c r="W1256" s="110" t="s">
        <v>541</v>
      </c>
      <c r="X1256" s="110" t="s">
        <v>541</v>
      </c>
      <c r="Y1256" s="110" t="str">
        <f>IFERROR(VLOOKUP(F1256,'Freq-Chan'!C:E,3,FALSE),"na")</f>
        <v>F1835</v>
      </c>
      <c r="Z1256" s="110" t="s">
        <v>541</v>
      </c>
      <c r="AA1256" s="110" t="s">
        <v>541</v>
      </c>
      <c r="AB1256" s="110" t="s">
        <v>541</v>
      </c>
      <c r="AC1256" s="10" t="s">
        <v>541</v>
      </c>
      <c r="AD1256" s="10" t="s">
        <v>541</v>
      </c>
    </row>
    <row r="1257" spans="1:30" x14ac:dyDescent="0.2">
      <c r="A1257" s="110">
        <v>1256</v>
      </c>
      <c r="B1257" s="132">
        <v>41846</v>
      </c>
      <c r="C1257" s="117">
        <v>3</v>
      </c>
      <c r="D1257" s="103" t="s">
        <v>70</v>
      </c>
      <c r="E1257" s="103" t="s">
        <v>306</v>
      </c>
      <c r="F1257" s="103">
        <v>515</v>
      </c>
      <c r="G1257" s="103">
        <v>38</v>
      </c>
      <c r="H1257" s="103" t="s">
        <v>2984</v>
      </c>
      <c r="I1257" s="103">
        <v>48</v>
      </c>
      <c r="K1257" s="103" t="s">
        <v>364</v>
      </c>
      <c r="L1257" s="133"/>
      <c r="M1257" s="134">
        <v>3.3333333333333333E-2</v>
      </c>
      <c r="N1257" s="137" t="s">
        <v>2532</v>
      </c>
      <c r="O1257" s="133" t="s">
        <v>555</v>
      </c>
      <c r="Q1257" s="100" t="s">
        <v>3442</v>
      </c>
      <c r="R1257" s="226" t="s">
        <v>3454</v>
      </c>
      <c r="S1257" s="491" t="str">
        <f t="shared" si="39"/>
        <v>x</v>
      </c>
      <c r="T1257" s="492">
        <f>IFERROR(VLOOKUP(F1257,'Freq-Chan'!C:D,2,FALSE),"x")</f>
        <v>151.51499999999999</v>
      </c>
      <c r="U1257" s="110" t="s">
        <v>541</v>
      </c>
      <c r="V1257" s="110" t="str">
        <f t="shared" si="40"/>
        <v>FWL</v>
      </c>
      <c r="W1257" s="110" t="s">
        <v>541</v>
      </c>
      <c r="X1257" s="110" t="s">
        <v>541</v>
      </c>
      <c r="Y1257" s="110" t="str">
        <f>IFERROR(VLOOKUP(F1257,'Freq-Chan'!C:E,3,FALSE),"na")</f>
        <v>F1835</v>
      </c>
      <c r="Z1257" s="110" t="s">
        <v>541</v>
      </c>
      <c r="AA1257" s="110" t="s">
        <v>541</v>
      </c>
      <c r="AB1257" s="110" t="s">
        <v>541</v>
      </c>
      <c r="AC1257" s="10" t="s">
        <v>541</v>
      </c>
      <c r="AD1257" s="10" t="s">
        <v>541</v>
      </c>
    </row>
    <row r="1258" spans="1:30" x14ac:dyDescent="0.2">
      <c r="A1258" s="110">
        <v>1257</v>
      </c>
      <c r="B1258" s="132">
        <v>41846</v>
      </c>
      <c r="C1258" s="117">
        <v>3</v>
      </c>
      <c r="D1258" s="103" t="s">
        <v>71</v>
      </c>
      <c r="E1258" s="103" t="s">
        <v>306</v>
      </c>
      <c r="F1258" s="103">
        <v>534</v>
      </c>
      <c r="G1258" s="103">
        <v>96</v>
      </c>
      <c r="H1258" s="103"/>
      <c r="I1258" s="103">
        <v>57</v>
      </c>
      <c r="K1258" s="103" t="s">
        <v>364</v>
      </c>
      <c r="L1258" s="133"/>
      <c r="M1258" s="134">
        <v>4.9999999999999996E-2</v>
      </c>
      <c r="N1258" s="137" t="s">
        <v>3426</v>
      </c>
      <c r="O1258" s="133" t="s">
        <v>376</v>
      </c>
      <c r="P1258" s="100" t="s">
        <v>3503</v>
      </c>
      <c r="Q1258" s="100" t="s">
        <v>3442</v>
      </c>
      <c r="R1258" s="226" t="s">
        <v>3454</v>
      </c>
      <c r="S1258" s="491" t="str">
        <f t="shared" si="39"/>
        <v>x</v>
      </c>
      <c r="T1258" s="492">
        <f>IFERROR(VLOOKUP(F1258,'Freq-Chan'!C:D,2,FALSE),"x")</f>
        <v>151.53399999999999</v>
      </c>
      <c r="U1258" s="110" t="s">
        <v>541</v>
      </c>
      <c r="V1258" s="110" t="str">
        <f t="shared" si="40"/>
        <v>FWL</v>
      </c>
      <c r="W1258" s="110" t="s">
        <v>541</v>
      </c>
      <c r="X1258" s="110" t="s">
        <v>541</v>
      </c>
      <c r="Y1258" s="110" t="str">
        <f>IFERROR(VLOOKUP(F1258,'Freq-Chan'!C:E,3,FALSE),"na")</f>
        <v>F1840</v>
      </c>
      <c r="Z1258" s="110" t="s">
        <v>541</v>
      </c>
      <c r="AA1258" s="110" t="s">
        <v>541</v>
      </c>
      <c r="AB1258" s="110" t="s">
        <v>541</v>
      </c>
      <c r="AC1258" s="10" t="s">
        <v>541</v>
      </c>
      <c r="AD1258" s="10" t="s">
        <v>541</v>
      </c>
    </row>
    <row r="1259" spans="1:30" x14ac:dyDescent="0.2">
      <c r="A1259" s="110">
        <v>1258</v>
      </c>
      <c r="B1259" s="132">
        <v>41846</v>
      </c>
      <c r="C1259" s="117">
        <v>3</v>
      </c>
      <c r="D1259" s="103" t="s">
        <v>88</v>
      </c>
      <c r="E1259" s="103" t="s">
        <v>798</v>
      </c>
      <c r="H1259" s="103"/>
      <c r="J1259" s="103">
        <v>33</v>
      </c>
      <c r="K1259" s="103" t="s">
        <v>364</v>
      </c>
      <c r="L1259" s="133"/>
      <c r="M1259" s="134">
        <v>1.2499999999999999E-2</v>
      </c>
      <c r="N1259" s="137" t="s">
        <v>1848</v>
      </c>
      <c r="O1259" s="133" t="s">
        <v>376</v>
      </c>
      <c r="Q1259" s="100" t="s">
        <v>3442</v>
      </c>
      <c r="R1259" s="226" t="s">
        <v>3454</v>
      </c>
      <c r="S1259" s="491" t="str">
        <f t="shared" si="39"/>
        <v>x</v>
      </c>
      <c r="T1259" s="492" t="str">
        <f>IFERROR(VLOOKUP(F1259,'Freq-Chan'!C:D,2,FALSE),"x")</f>
        <v>x</v>
      </c>
      <c r="U1259" s="110" t="s">
        <v>541</v>
      </c>
      <c r="V1259" s="110" t="str">
        <f t="shared" si="40"/>
        <v>FWL</v>
      </c>
      <c r="W1259" s="110" t="s">
        <v>541</v>
      </c>
      <c r="X1259" s="110" t="s">
        <v>541</v>
      </c>
      <c r="Y1259" s="110" t="str">
        <f>IFERROR(VLOOKUP(F1259,'Freq-Chan'!C:E,3,FALSE),"na")</f>
        <v>na</v>
      </c>
      <c r="Z1259" s="110" t="s">
        <v>541</v>
      </c>
      <c r="AA1259" s="110" t="s">
        <v>541</v>
      </c>
      <c r="AB1259" s="110" t="s">
        <v>541</v>
      </c>
      <c r="AC1259" s="10" t="s">
        <v>541</v>
      </c>
      <c r="AD1259" s="10" t="s">
        <v>541</v>
      </c>
    </row>
    <row r="1260" spans="1:30" x14ac:dyDescent="0.2">
      <c r="A1260" s="110">
        <v>1259</v>
      </c>
      <c r="B1260" s="132">
        <v>41846</v>
      </c>
      <c r="C1260" s="117">
        <v>3</v>
      </c>
      <c r="D1260" s="103" t="s">
        <v>8</v>
      </c>
      <c r="E1260" s="103" t="s">
        <v>306</v>
      </c>
      <c r="F1260" s="103">
        <v>325</v>
      </c>
      <c r="G1260" s="103">
        <v>45</v>
      </c>
      <c r="H1260" s="103" t="s">
        <v>2210</v>
      </c>
      <c r="I1260" s="103">
        <v>57</v>
      </c>
      <c r="K1260" s="103" t="s">
        <v>364</v>
      </c>
      <c r="L1260" s="133"/>
      <c r="M1260" s="134">
        <v>7.4305555555555555E-2</v>
      </c>
      <c r="N1260" s="137" t="s">
        <v>2024</v>
      </c>
      <c r="O1260" s="133" t="s">
        <v>1888</v>
      </c>
      <c r="P1260" s="100" t="s">
        <v>3918</v>
      </c>
      <c r="Q1260" s="100" t="s">
        <v>3414</v>
      </c>
      <c r="R1260" s="226" t="s">
        <v>3454</v>
      </c>
      <c r="S1260" s="491" t="str">
        <f t="shared" si="39"/>
        <v>x</v>
      </c>
      <c r="T1260" s="492">
        <f>IFERROR(VLOOKUP(F1260,'Freq-Chan'!C:D,2,FALSE),"x")</f>
        <v>151.32499999999999</v>
      </c>
      <c r="U1260" s="110" t="s">
        <v>541</v>
      </c>
      <c r="V1260" s="110" t="str">
        <f t="shared" si="40"/>
        <v>FWL</v>
      </c>
      <c r="W1260" s="110" t="s">
        <v>541</v>
      </c>
      <c r="X1260" s="110" t="s">
        <v>541</v>
      </c>
      <c r="Y1260" s="110" t="str">
        <f>IFERROR(VLOOKUP(F1260,'Freq-Chan'!C:E,3,FALSE),"na")</f>
        <v>F1840</v>
      </c>
      <c r="Z1260" s="110" t="s">
        <v>541</v>
      </c>
      <c r="AA1260" s="110" t="s">
        <v>541</v>
      </c>
      <c r="AB1260" s="110" t="s">
        <v>541</v>
      </c>
      <c r="AC1260" s="10" t="s">
        <v>541</v>
      </c>
      <c r="AD1260" s="10" t="s">
        <v>541</v>
      </c>
    </row>
    <row r="1261" spans="1:30" x14ac:dyDescent="0.2">
      <c r="A1261" s="110">
        <v>1260</v>
      </c>
      <c r="B1261" s="132">
        <v>41846</v>
      </c>
      <c r="C1261" s="117">
        <v>3</v>
      </c>
      <c r="D1261" s="103" t="s">
        <v>8</v>
      </c>
      <c r="E1261" s="103" t="s">
        <v>306</v>
      </c>
      <c r="F1261" s="103">
        <v>586</v>
      </c>
      <c r="G1261" s="103">
        <v>90</v>
      </c>
      <c r="H1261" s="103" t="s">
        <v>2146</v>
      </c>
      <c r="I1261" s="103">
        <v>48</v>
      </c>
      <c r="K1261" s="103" t="s">
        <v>364</v>
      </c>
      <c r="L1261" s="133"/>
      <c r="M1261" s="134">
        <v>5.6250000000000001E-2</v>
      </c>
      <c r="N1261" s="135" t="s">
        <v>1578</v>
      </c>
      <c r="O1261" s="133" t="s">
        <v>1585</v>
      </c>
      <c r="P1261" s="100" t="s">
        <v>3437</v>
      </c>
      <c r="Q1261" s="100" t="s">
        <v>3414</v>
      </c>
      <c r="R1261" s="226" t="s">
        <v>3454</v>
      </c>
      <c r="S1261" s="491" t="str">
        <f t="shared" si="39"/>
        <v>x</v>
      </c>
      <c r="T1261" s="492">
        <f>IFERROR(VLOOKUP(F1261,'Freq-Chan'!C:D,2,FALSE),"x")</f>
        <v>151.58600000000001</v>
      </c>
      <c r="U1261" s="110" t="s">
        <v>541</v>
      </c>
      <c r="V1261" s="110" t="str">
        <f t="shared" si="40"/>
        <v>FWL</v>
      </c>
      <c r="W1261" s="110" t="s">
        <v>541</v>
      </c>
      <c r="X1261" s="110" t="s">
        <v>541</v>
      </c>
      <c r="Y1261" s="110" t="str">
        <f>IFERROR(VLOOKUP(F1261,'Freq-Chan'!C:E,3,FALSE),"na")</f>
        <v>F1840</v>
      </c>
      <c r="Z1261" s="110" t="s">
        <v>541</v>
      </c>
      <c r="AA1261" s="110" t="s">
        <v>541</v>
      </c>
      <c r="AB1261" s="110" t="s">
        <v>541</v>
      </c>
      <c r="AC1261" s="10" t="s">
        <v>541</v>
      </c>
      <c r="AD1261" s="10" t="s">
        <v>541</v>
      </c>
    </row>
    <row r="1262" spans="1:30" x14ac:dyDescent="0.2">
      <c r="A1262" s="110">
        <v>1261</v>
      </c>
      <c r="B1262" s="132">
        <v>41846</v>
      </c>
      <c r="C1262" s="117">
        <v>3</v>
      </c>
      <c r="D1262" s="103" t="s">
        <v>71</v>
      </c>
      <c r="E1262" s="103" t="s">
        <v>306</v>
      </c>
      <c r="F1262" s="103">
        <v>564</v>
      </c>
      <c r="G1262" s="103">
        <v>38</v>
      </c>
      <c r="H1262" s="103" t="s">
        <v>2321</v>
      </c>
      <c r="I1262" s="103">
        <v>59</v>
      </c>
      <c r="K1262" s="103" t="s">
        <v>364</v>
      </c>
      <c r="L1262" s="133">
        <v>0.64652777777777781</v>
      </c>
      <c r="M1262" s="134">
        <v>5.4166666666666669E-2</v>
      </c>
      <c r="N1262" s="137" t="s">
        <v>3311</v>
      </c>
      <c r="O1262" s="133" t="s">
        <v>1888</v>
      </c>
      <c r="Q1262" s="100" t="s">
        <v>3414</v>
      </c>
      <c r="R1262" s="226" t="s">
        <v>3454</v>
      </c>
      <c r="S1262" s="491">
        <f t="shared" si="39"/>
        <v>3.9583333000000002E-3</v>
      </c>
      <c r="T1262" s="492">
        <f>IFERROR(VLOOKUP(F1262,'Freq-Chan'!C:D,2,FALSE),"x")</f>
        <v>151.56399999999999</v>
      </c>
      <c r="U1262" s="110" t="s">
        <v>541</v>
      </c>
      <c r="V1262" s="110" t="str">
        <f t="shared" si="40"/>
        <v>FWL</v>
      </c>
      <c r="W1262" s="110" t="s">
        <v>541</v>
      </c>
      <c r="X1262" s="110" t="s">
        <v>541</v>
      </c>
      <c r="Y1262" s="110" t="str">
        <f>IFERROR(VLOOKUP(F1262,'Freq-Chan'!C:E,3,FALSE),"na")</f>
        <v>F1840</v>
      </c>
      <c r="Z1262" s="110" t="s">
        <v>541</v>
      </c>
      <c r="AA1262" s="110" t="s">
        <v>541</v>
      </c>
      <c r="AB1262" s="110" t="s">
        <v>541</v>
      </c>
      <c r="AC1262" s="10" t="s">
        <v>541</v>
      </c>
      <c r="AD1262" s="10" t="s">
        <v>541</v>
      </c>
    </row>
    <row r="1263" spans="1:30" x14ac:dyDescent="0.2">
      <c r="A1263" s="110">
        <v>1262</v>
      </c>
      <c r="B1263" s="132">
        <v>41846</v>
      </c>
      <c r="C1263" s="117">
        <v>3</v>
      </c>
      <c r="D1263" s="103" t="s">
        <v>70</v>
      </c>
      <c r="E1263" s="103" t="s">
        <v>306</v>
      </c>
      <c r="F1263" s="103">
        <v>596</v>
      </c>
      <c r="G1263" s="103">
        <v>34</v>
      </c>
      <c r="H1263" s="103" t="s">
        <v>2985</v>
      </c>
      <c r="I1263" s="103">
        <v>46</v>
      </c>
      <c r="K1263" s="103" t="s">
        <v>365</v>
      </c>
      <c r="L1263" s="133"/>
      <c r="M1263" s="134">
        <v>3.6805555555555557E-2</v>
      </c>
      <c r="N1263" s="137" t="s">
        <v>367</v>
      </c>
      <c r="O1263" s="133" t="s">
        <v>1888</v>
      </c>
      <c r="Q1263" s="100" t="s">
        <v>3414</v>
      </c>
      <c r="R1263" s="226" t="s">
        <v>3454</v>
      </c>
      <c r="S1263" s="491" t="str">
        <f t="shared" si="39"/>
        <v>x</v>
      </c>
      <c r="T1263" s="492">
        <f>IFERROR(VLOOKUP(F1263,'Freq-Chan'!C:D,2,FALSE),"x")</f>
        <v>151.596</v>
      </c>
      <c r="U1263" s="110" t="s">
        <v>541</v>
      </c>
      <c r="V1263" s="110" t="str">
        <f t="shared" si="40"/>
        <v>FWL</v>
      </c>
      <c r="W1263" s="110" t="s">
        <v>541</v>
      </c>
      <c r="X1263" s="110" t="s">
        <v>541</v>
      </c>
      <c r="Y1263" s="110" t="str">
        <f>IFERROR(VLOOKUP(F1263,'Freq-Chan'!C:E,3,FALSE),"na")</f>
        <v>F1835</v>
      </c>
      <c r="Z1263" s="110" t="s">
        <v>541</v>
      </c>
      <c r="AA1263" s="110" t="s">
        <v>541</v>
      </c>
      <c r="AB1263" s="110" t="s">
        <v>541</v>
      </c>
      <c r="AC1263" s="10" t="s">
        <v>541</v>
      </c>
      <c r="AD1263" s="10" t="s">
        <v>541</v>
      </c>
    </row>
    <row r="1264" spans="1:30" x14ac:dyDescent="0.2">
      <c r="A1264" s="110">
        <v>1263</v>
      </c>
      <c r="B1264" s="132">
        <v>41846</v>
      </c>
      <c r="C1264" s="117">
        <v>3</v>
      </c>
      <c r="D1264" s="103" t="s">
        <v>70</v>
      </c>
      <c r="E1264" s="103" t="s">
        <v>306</v>
      </c>
      <c r="F1264" s="103">
        <v>515</v>
      </c>
      <c r="G1264" s="103">
        <v>64</v>
      </c>
      <c r="H1264" s="103" t="s">
        <v>2986</v>
      </c>
      <c r="I1264" s="103">
        <v>49</v>
      </c>
      <c r="K1264" s="103" t="s">
        <v>1032</v>
      </c>
      <c r="L1264" s="133"/>
      <c r="M1264" s="134">
        <v>5.347222222222222E-2</v>
      </c>
      <c r="N1264" s="137" t="s">
        <v>904</v>
      </c>
      <c r="O1264" s="133" t="s">
        <v>1888</v>
      </c>
      <c r="Q1264" s="100" t="s">
        <v>3414</v>
      </c>
      <c r="R1264" s="226" t="s">
        <v>3454</v>
      </c>
      <c r="S1264" s="491" t="str">
        <f t="shared" si="39"/>
        <v>x</v>
      </c>
      <c r="T1264" s="492">
        <f>IFERROR(VLOOKUP(F1264,'Freq-Chan'!C:D,2,FALSE),"x")</f>
        <v>151.51499999999999</v>
      </c>
      <c r="U1264" s="110" t="s">
        <v>541</v>
      </c>
      <c r="V1264" s="110" t="str">
        <f t="shared" si="40"/>
        <v>FWL</v>
      </c>
      <c r="W1264" s="110" t="s">
        <v>541</v>
      </c>
      <c r="X1264" s="110" t="s">
        <v>541</v>
      </c>
      <c r="Y1264" s="110" t="str">
        <f>IFERROR(VLOOKUP(F1264,'Freq-Chan'!C:E,3,FALSE),"na")</f>
        <v>F1835</v>
      </c>
      <c r="Z1264" s="110" t="s">
        <v>541</v>
      </c>
      <c r="AA1264" s="110" t="s">
        <v>541</v>
      </c>
      <c r="AB1264" s="110" t="s">
        <v>541</v>
      </c>
      <c r="AC1264" s="10" t="s">
        <v>541</v>
      </c>
      <c r="AD1264" s="10" t="s">
        <v>541</v>
      </c>
    </row>
    <row r="1265" spans="1:30" s="291" customFormat="1" x14ac:dyDescent="0.2">
      <c r="A1265" s="493">
        <v>1264</v>
      </c>
      <c r="B1265" s="283">
        <v>41846</v>
      </c>
      <c r="C1265" s="284">
        <v>3</v>
      </c>
      <c r="D1265" s="285" t="s">
        <v>70</v>
      </c>
      <c r="E1265" s="285" t="s">
        <v>306</v>
      </c>
      <c r="F1265" s="285">
        <v>515</v>
      </c>
      <c r="G1265" s="285">
        <v>76</v>
      </c>
      <c r="H1265" s="285" t="s">
        <v>2987</v>
      </c>
      <c r="I1265" s="285">
        <v>50</v>
      </c>
      <c r="J1265" s="285"/>
      <c r="K1265" s="285" t="s">
        <v>364</v>
      </c>
      <c r="L1265" s="286"/>
      <c r="M1265" s="287">
        <v>4.2361111111111106E-2</v>
      </c>
      <c r="N1265" s="339" t="s">
        <v>3339</v>
      </c>
      <c r="O1265" s="286" t="s">
        <v>1585</v>
      </c>
      <c r="P1265" s="289"/>
      <c r="Q1265" s="289" t="s">
        <v>3414</v>
      </c>
      <c r="R1265" s="290" t="s">
        <v>3454</v>
      </c>
      <c r="S1265" s="494" t="str">
        <f t="shared" si="39"/>
        <v>x</v>
      </c>
      <c r="T1265" s="495">
        <f>IFERROR(VLOOKUP(F1265,'Freq-Chan'!C:D,2,FALSE),"x")</f>
        <v>151.51499999999999</v>
      </c>
      <c r="U1265" s="493" t="s">
        <v>541</v>
      </c>
      <c r="V1265" s="493" t="str">
        <f t="shared" si="40"/>
        <v>FWL</v>
      </c>
      <c r="W1265" s="493" t="s">
        <v>541</v>
      </c>
      <c r="X1265" s="493" t="s">
        <v>541</v>
      </c>
      <c r="Y1265" s="493" t="str">
        <f>IFERROR(VLOOKUP(F1265,'Freq-Chan'!C:E,3,FALSE),"na")</f>
        <v>F1835</v>
      </c>
      <c r="Z1265" s="493" t="s">
        <v>541</v>
      </c>
      <c r="AA1265" s="493" t="s">
        <v>541</v>
      </c>
      <c r="AB1265" s="493" t="s">
        <v>541</v>
      </c>
      <c r="AC1265" s="291" t="s">
        <v>541</v>
      </c>
      <c r="AD1265" s="291" t="s">
        <v>541</v>
      </c>
    </row>
    <row r="1266" spans="1:30" x14ac:dyDescent="0.2">
      <c r="A1266" s="110">
        <v>1265</v>
      </c>
      <c r="B1266" s="132">
        <v>41847</v>
      </c>
      <c r="C1266" s="117">
        <v>1</v>
      </c>
      <c r="D1266" s="103" t="s">
        <v>70</v>
      </c>
      <c r="E1266" s="103" t="s">
        <v>306</v>
      </c>
      <c r="F1266" s="103">
        <v>596</v>
      </c>
      <c r="G1266" s="103">
        <v>81</v>
      </c>
      <c r="H1266" s="103" t="s">
        <v>2980</v>
      </c>
      <c r="I1266" s="103">
        <v>48</v>
      </c>
      <c r="K1266" s="103" t="s">
        <v>364</v>
      </c>
      <c r="L1266" s="133"/>
      <c r="M1266" s="134">
        <v>4.1666666666666664E-2</v>
      </c>
      <c r="N1266" s="137" t="s">
        <v>3467</v>
      </c>
      <c r="O1266" s="133" t="s">
        <v>1585</v>
      </c>
      <c r="Q1266" s="100" t="s">
        <v>3468</v>
      </c>
      <c r="R1266" s="226" t="s">
        <v>3501</v>
      </c>
      <c r="S1266" s="491" t="str">
        <f t="shared" si="39"/>
        <v>x</v>
      </c>
      <c r="T1266" s="492">
        <f>IFERROR(VLOOKUP(F1266,'Freq-Chan'!C:D,2,FALSE),"x")</f>
        <v>151.596</v>
      </c>
      <c r="U1266" s="110" t="s">
        <v>541</v>
      </c>
      <c r="V1266" s="110" t="str">
        <f t="shared" si="40"/>
        <v>FWL</v>
      </c>
      <c r="W1266" s="110" t="s">
        <v>541</v>
      </c>
      <c r="X1266" s="110" t="s">
        <v>541</v>
      </c>
      <c r="Y1266" s="110" t="str">
        <f>IFERROR(VLOOKUP(F1266,'Freq-Chan'!C:E,3,FALSE),"na")</f>
        <v>F1835</v>
      </c>
      <c r="Z1266" s="110" t="s">
        <v>541</v>
      </c>
      <c r="AA1266" s="110" t="s">
        <v>541</v>
      </c>
      <c r="AB1266" s="110" t="s">
        <v>541</v>
      </c>
      <c r="AC1266" s="10" t="s">
        <v>541</v>
      </c>
      <c r="AD1266" s="10" t="s">
        <v>541</v>
      </c>
    </row>
    <row r="1267" spans="1:30" x14ac:dyDescent="0.2">
      <c r="A1267" s="110">
        <v>1266</v>
      </c>
      <c r="B1267" s="132">
        <v>41847</v>
      </c>
      <c r="C1267" s="117">
        <v>1</v>
      </c>
      <c r="D1267" s="103" t="s">
        <v>70</v>
      </c>
      <c r="E1267" s="103" t="s">
        <v>306</v>
      </c>
      <c r="H1267" s="103"/>
      <c r="I1267" s="103">
        <v>40</v>
      </c>
      <c r="K1267" s="103" t="s">
        <v>364</v>
      </c>
      <c r="L1267" s="133"/>
      <c r="M1267" s="134">
        <v>2.4305555555555556E-2</v>
      </c>
      <c r="N1267" s="137" t="s">
        <v>3449</v>
      </c>
      <c r="O1267" s="133" t="s">
        <v>1888</v>
      </c>
      <c r="Q1267" s="100" t="s">
        <v>3468</v>
      </c>
      <c r="R1267" s="226" t="s">
        <v>3501</v>
      </c>
      <c r="S1267" s="491" t="str">
        <f t="shared" si="39"/>
        <v>x</v>
      </c>
      <c r="T1267" s="492" t="str">
        <f>IFERROR(VLOOKUP(F1267,'Freq-Chan'!C:D,2,FALSE),"x")</f>
        <v>x</v>
      </c>
      <c r="U1267" s="110" t="s">
        <v>541</v>
      </c>
      <c r="V1267" s="110" t="str">
        <f t="shared" si="40"/>
        <v>FWL</v>
      </c>
      <c r="W1267" s="110" t="s">
        <v>541</v>
      </c>
      <c r="X1267" s="110" t="s">
        <v>541</v>
      </c>
      <c r="Y1267" s="110" t="str">
        <f>IFERROR(VLOOKUP(F1267,'Freq-Chan'!C:E,3,FALSE),"na")</f>
        <v>na</v>
      </c>
      <c r="Z1267" s="110" t="s">
        <v>541</v>
      </c>
      <c r="AA1267" s="110" t="s">
        <v>541</v>
      </c>
      <c r="AB1267" s="110" t="s">
        <v>541</v>
      </c>
      <c r="AC1267" s="10" t="s">
        <v>541</v>
      </c>
      <c r="AD1267" s="10" t="s">
        <v>541</v>
      </c>
    </row>
    <row r="1268" spans="1:30" x14ac:dyDescent="0.2">
      <c r="A1268" s="110">
        <v>1267</v>
      </c>
      <c r="B1268" s="132">
        <v>41847</v>
      </c>
      <c r="C1268" s="117">
        <v>1</v>
      </c>
      <c r="D1268" s="103" t="s">
        <v>70</v>
      </c>
      <c r="E1268" s="103" t="s">
        <v>306</v>
      </c>
      <c r="F1268" s="103">
        <v>515</v>
      </c>
      <c r="G1268" s="103">
        <v>44</v>
      </c>
      <c r="H1268" s="103" t="s">
        <v>2981</v>
      </c>
      <c r="I1268" s="103">
        <v>48</v>
      </c>
      <c r="K1268" s="103" t="s">
        <v>364</v>
      </c>
      <c r="L1268" s="133"/>
      <c r="M1268" s="134">
        <v>4.5833333333333337E-2</v>
      </c>
      <c r="N1268" s="137" t="s">
        <v>3469</v>
      </c>
      <c r="O1268" s="133" t="s">
        <v>1888</v>
      </c>
      <c r="Q1268" s="100" t="s">
        <v>3468</v>
      </c>
      <c r="R1268" s="226" t="s">
        <v>3501</v>
      </c>
      <c r="S1268" s="491" t="str">
        <f t="shared" si="39"/>
        <v>x</v>
      </c>
      <c r="T1268" s="492">
        <f>IFERROR(VLOOKUP(F1268,'Freq-Chan'!C:D,2,FALSE),"x")</f>
        <v>151.51499999999999</v>
      </c>
      <c r="U1268" s="110" t="s">
        <v>541</v>
      </c>
      <c r="V1268" s="110" t="str">
        <f t="shared" si="40"/>
        <v>FWL</v>
      </c>
      <c r="W1268" s="110" t="s">
        <v>541</v>
      </c>
      <c r="X1268" s="110" t="s">
        <v>541</v>
      </c>
      <c r="Y1268" s="110" t="str">
        <f>IFERROR(VLOOKUP(F1268,'Freq-Chan'!C:E,3,FALSE),"na")</f>
        <v>F1835</v>
      </c>
      <c r="Z1268" s="110" t="s">
        <v>541</v>
      </c>
      <c r="AA1268" s="110" t="s">
        <v>541</v>
      </c>
      <c r="AB1268" s="110" t="s">
        <v>541</v>
      </c>
      <c r="AC1268" s="10" t="s">
        <v>541</v>
      </c>
      <c r="AD1268" s="10" t="s">
        <v>541</v>
      </c>
    </row>
    <row r="1269" spans="1:30" x14ac:dyDescent="0.2">
      <c r="A1269" s="110">
        <v>1268</v>
      </c>
      <c r="B1269" s="132">
        <v>41847</v>
      </c>
      <c r="C1269" s="117">
        <v>1</v>
      </c>
      <c r="D1269" s="103" t="s">
        <v>70</v>
      </c>
      <c r="E1269" s="103" t="s">
        <v>306</v>
      </c>
      <c r="F1269" s="103">
        <v>596</v>
      </c>
      <c r="G1269" s="103">
        <v>20</v>
      </c>
      <c r="H1269" s="103" t="s">
        <v>2982</v>
      </c>
      <c r="I1269" s="103">
        <v>49</v>
      </c>
      <c r="K1269" s="103" t="s">
        <v>365</v>
      </c>
      <c r="L1269" s="133"/>
      <c r="M1269" s="134">
        <v>3.6111111111111115E-2</v>
      </c>
      <c r="N1269" s="137" t="s">
        <v>3470</v>
      </c>
      <c r="O1269" s="133" t="s">
        <v>1585</v>
      </c>
      <c r="Q1269" s="100" t="s">
        <v>3468</v>
      </c>
      <c r="R1269" s="226" t="s">
        <v>3501</v>
      </c>
      <c r="S1269" s="491" t="str">
        <f t="shared" si="39"/>
        <v>x</v>
      </c>
      <c r="T1269" s="492">
        <f>IFERROR(VLOOKUP(F1269,'Freq-Chan'!C:D,2,FALSE),"x")</f>
        <v>151.596</v>
      </c>
      <c r="U1269" s="110" t="s">
        <v>541</v>
      </c>
      <c r="V1269" s="110" t="str">
        <f t="shared" si="40"/>
        <v>FWL</v>
      </c>
      <c r="W1269" s="110" t="s">
        <v>541</v>
      </c>
      <c r="X1269" s="110" t="s">
        <v>541</v>
      </c>
      <c r="Y1269" s="110" t="str">
        <f>IFERROR(VLOOKUP(F1269,'Freq-Chan'!C:E,3,FALSE),"na")</f>
        <v>F1835</v>
      </c>
      <c r="Z1269" s="110" t="s">
        <v>541</v>
      </c>
      <c r="AA1269" s="110" t="s">
        <v>541</v>
      </c>
      <c r="AB1269" s="110" t="s">
        <v>541</v>
      </c>
      <c r="AC1269" s="10" t="s">
        <v>541</v>
      </c>
      <c r="AD1269" s="10" t="s">
        <v>541</v>
      </c>
    </row>
    <row r="1270" spans="1:30" x14ac:dyDescent="0.2">
      <c r="A1270" s="110">
        <v>1269</v>
      </c>
      <c r="B1270" s="132">
        <v>41847</v>
      </c>
      <c r="C1270" s="117">
        <v>1</v>
      </c>
      <c r="D1270" s="103" t="s">
        <v>70</v>
      </c>
      <c r="E1270" s="103" t="s">
        <v>306</v>
      </c>
      <c r="H1270" s="103"/>
      <c r="I1270" s="103">
        <v>46</v>
      </c>
      <c r="K1270" s="103" t="s">
        <v>365</v>
      </c>
      <c r="L1270" s="133"/>
      <c r="M1270" s="134">
        <v>2.2222222222222223E-2</v>
      </c>
      <c r="N1270" s="137" t="s">
        <v>3471</v>
      </c>
      <c r="O1270" s="133" t="s">
        <v>1585</v>
      </c>
      <c r="Q1270" s="100" t="s">
        <v>3468</v>
      </c>
      <c r="R1270" s="226" t="s">
        <v>3501</v>
      </c>
      <c r="S1270" s="491" t="str">
        <f t="shared" si="39"/>
        <v>x</v>
      </c>
      <c r="T1270" s="492" t="str">
        <f>IFERROR(VLOOKUP(F1270,'Freq-Chan'!C:D,2,FALSE),"x")</f>
        <v>x</v>
      </c>
      <c r="U1270" s="110" t="s">
        <v>541</v>
      </c>
      <c r="V1270" s="110" t="str">
        <f t="shared" si="40"/>
        <v>FWL</v>
      </c>
      <c r="W1270" s="110" t="s">
        <v>541</v>
      </c>
      <c r="X1270" s="110" t="s">
        <v>541</v>
      </c>
      <c r="Y1270" s="110" t="str">
        <f>IFERROR(VLOOKUP(F1270,'Freq-Chan'!C:E,3,FALSE),"na")</f>
        <v>na</v>
      </c>
      <c r="Z1270" s="110" t="s">
        <v>541</v>
      </c>
      <c r="AA1270" s="110" t="s">
        <v>541</v>
      </c>
      <c r="AB1270" s="110" t="s">
        <v>541</v>
      </c>
      <c r="AC1270" s="10" t="s">
        <v>541</v>
      </c>
      <c r="AD1270" s="10" t="s">
        <v>541</v>
      </c>
    </row>
    <row r="1271" spans="1:30" x14ac:dyDescent="0.2">
      <c r="A1271" s="110">
        <v>1270</v>
      </c>
      <c r="B1271" s="132">
        <v>41847</v>
      </c>
      <c r="C1271" s="117">
        <v>1</v>
      </c>
      <c r="D1271" s="103" t="s">
        <v>70</v>
      </c>
      <c r="E1271" s="103" t="s">
        <v>306</v>
      </c>
      <c r="H1271" s="103"/>
      <c r="I1271" s="103">
        <v>47</v>
      </c>
      <c r="K1271" s="103" t="s">
        <v>1032</v>
      </c>
      <c r="L1271" s="133"/>
      <c r="M1271" s="134">
        <v>1.3888888888888888E-2</v>
      </c>
      <c r="N1271" s="137" t="s">
        <v>3472</v>
      </c>
      <c r="O1271" s="133" t="s">
        <v>1585</v>
      </c>
      <c r="Q1271" s="100" t="s">
        <v>3468</v>
      </c>
      <c r="R1271" s="226" t="s">
        <v>3501</v>
      </c>
      <c r="S1271" s="491" t="str">
        <f t="shared" si="39"/>
        <v>x</v>
      </c>
      <c r="T1271" s="492" t="str">
        <f>IFERROR(VLOOKUP(F1271,'Freq-Chan'!C:D,2,FALSE),"x")</f>
        <v>x</v>
      </c>
      <c r="U1271" s="110" t="s">
        <v>541</v>
      </c>
      <c r="V1271" s="110" t="str">
        <f t="shared" si="40"/>
        <v>FWL</v>
      </c>
      <c r="W1271" s="110" t="s">
        <v>541</v>
      </c>
      <c r="X1271" s="110" t="s">
        <v>541</v>
      </c>
      <c r="Y1271" s="110" t="str">
        <f>IFERROR(VLOOKUP(F1271,'Freq-Chan'!C:E,3,FALSE),"na")</f>
        <v>na</v>
      </c>
      <c r="Z1271" s="110" t="s">
        <v>541</v>
      </c>
      <c r="AA1271" s="110" t="s">
        <v>541</v>
      </c>
      <c r="AB1271" s="110" t="s">
        <v>541</v>
      </c>
      <c r="AC1271" s="10" t="s">
        <v>541</v>
      </c>
      <c r="AD1271" s="10" t="s">
        <v>541</v>
      </c>
    </row>
    <row r="1272" spans="1:30" x14ac:dyDescent="0.2">
      <c r="A1272" s="110">
        <v>1271</v>
      </c>
      <c r="B1272" s="132">
        <v>41847</v>
      </c>
      <c r="C1272" s="117">
        <v>1</v>
      </c>
      <c r="D1272" s="103" t="s">
        <v>70</v>
      </c>
      <c r="E1272" s="103" t="s">
        <v>306</v>
      </c>
      <c r="H1272" s="103"/>
      <c r="I1272" s="103">
        <v>51</v>
      </c>
      <c r="K1272" s="103" t="s">
        <v>1032</v>
      </c>
      <c r="L1272" s="133"/>
      <c r="M1272" s="134">
        <v>1.3888888888888888E-2</v>
      </c>
      <c r="N1272" s="137" t="s">
        <v>3473</v>
      </c>
      <c r="O1272" s="133" t="s">
        <v>1585</v>
      </c>
      <c r="Q1272" s="100" t="s">
        <v>3468</v>
      </c>
      <c r="R1272" s="226" t="s">
        <v>3501</v>
      </c>
      <c r="S1272" s="491" t="str">
        <f t="shared" si="39"/>
        <v>x</v>
      </c>
      <c r="T1272" s="492" t="str">
        <f>IFERROR(VLOOKUP(F1272,'Freq-Chan'!C:D,2,FALSE),"x")</f>
        <v>x</v>
      </c>
      <c r="U1272" s="110" t="s">
        <v>541</v>
      </c>
      <c r="V1272" s="110" t="str">
        <f t="shared" si="40"/>
        <v>FWL</v>
      </c>
      <c r="W1272" s="110" t="s">
        <v>541</v>
      </c>
      <c r="X1272" s="110" t="s">
        <v>541</v>
      </c>
      <c r="Y1272" s="110" t="str">
        <f>IFERROR(VLOOKUP(F1272,'Freq-Chan'!C:E,3,FALSE),"na")</f>
        <v>na</v>
      </c>
      <c r="Z1272" s="110" t="s">
        <v>541</v>
      </c>
      <c r="AA1272" s="110" t="s">
        <v>541</v>
      </c>
      <c r="AB1272" s="110" t="s">
        <v>541</v>
      </c>
      <c r="AC1272" s="10" t="s">
        <v>541</v>
      </c>
      <c r="AD1272" s="10" t="s">
        <v>541</v>
      </c>
    </row>
    <row r="1273" spans="1:30" x14ac:dyDescent="0.2">
      <c r="A1273" s="110">
        <v>1272</v>
      </c>
      <c r="B1273" s="132">
        <v>41847</v>
      </c>
      <c r="C1273" s="117">
        <v>1</v>
      </c>
      <c r="D1273" s="103" t="s">
        <v>70</v>
      </c>
      <c r="E1273" s="103" t="s">
        <v>306</v>
      </c>
      <c r="H1273" s="103"/>
      <c r="I1273" s="103">
        <v>44</v>
      </c>
      <c r="K1273" s="103" t="s">
        <v>365</v>
      </c>
      <c r="L1273" s="133"/>
      <c r="M1273" s="134">
        <v>2.1527777777777781E-2</v>
      </c>
      <c r="N1273" s="137" t="s">
        <v>3354</v>
      </c>
      <c r="O1273" s="133" t="s">
        <v>1585</v>
      </c>
      <c r="Q1273" s="100" t="s">
        <v>3468</v>
      </c>
      <c r="R1273" s="226" t="s">
        <v>3501</v>
      </c>
      <c r="S1273" s="491" t="str">
        <f t="shared" si="39"/>
        <v>x</v>
      </c>
      <c r="T1273" s="492" t="str">
        <f>IFERROR(VLOOKUP(F1273,'Freq-Chan'!C:D,2,FALSE),"x")</f>
        <v>x</v>
      </c>
      <c r="U1273" s="110" t="s">
        <v>541</v>
      </c>
      <c r="V1273" s="110" t="str">
        <f t="shared" si="40"/>
        <v>FWL</v>
      </c>
      <c r="W1273" s="110" t="s">
        <v>541</v>
      </c>
      <c r="X1273" s="110" t="s">
        <v>541</v>
      </c>
      <c r="Y1273" s="110" t="str">
        <f>IFERROR(VLOOKUP(F1273,'Freq-Chan'!C:E,3,FALSE),"na")</f>
        <v>na</v>
      </c>
      <c r="Z1273" s="110" t="s">
        <v>541</v>
      </c>
      <c r="AA1273" s="110" t="s">
        <v>541</v>
      </c>
      <c r="AB1273" s="110" t="s">
        <v>541</v>
      </c>
      <c r="AC1273" s="10" t="s">
        <v>541</v>
      </c>
      <c r="AD1273" s="10" t="s">
        <v>541</v>
      </c>
    </row>
    <row r="1274" spans="1:30" x14ac:dyDescent="0.2">
      <c r="A1274" s="110">
        <v>1273</v>
      </c>
      <c r="B1274" s="132">
        <v>41847</v>
      </c>
      <c r="C1274" s="117">
        <v>1</v>
      </c>
      <c r="D1274" s="103" t="s">
        <v>70</v>
      </c>
      <c r="E1274" s="103" t="s">
        <v>306</v>
      </c>
      <c r="H1274" s="103"/>
      <c r="I1274" s="103">
        <v>46</v>
      </c>
      <c r="K1274" s="103" t="s">
        <v>1032</v>
      </c>
      <c r="L1274" s="133"/>
      <c r="M1274" s="134">
        <v>2.2222222222222223E-2</v>
      </c>
      <c r="N1274" s="137" t="s">
        <v>3474</v>
      </c>
      <c r="O1274" s="133" t="s">
        <v>1585</v>
      </c>
      <c r="Q1274" s="100" t="s">
        <v>3468</v>
      </c>
      <c r="R1274" s="226" t="s">
        <v>3501</v>
      </c>
      <c r="S1274" s="491" t="str">
        <f t="shared" si="39"/>
        <v>x</v>
      </c>
      <c r="T1274" s="492" t="str">
        <f>IFERROR(VLOOKUP(F1274,'Freq-Chan'!C:D,2,FALSE),"x")</f>
        <v>x</v>
      </c>
      <c r="U1274" s="110" t="s">
        <v>541</v>
      </c>
      <c r="V1274" s="110" t="str">
        <f t="shared" si="40"/>
        <v>FWL</v>
      </c>
      <c r="W1274" s="110" t="s">
        <v>541</v>
      </c>
      <c r="X1274" s="110" t="s">
        <v>541</v>
      </c>
      <c r="Y1274" s="110" t="str">
        <f>IFERROR(VLOOKUP(F1274,'Freq-Chan'!C:E,3,FALSE),"na")</f>
        <v>na</v>
      </c>
      <c r="Z1274" s="110" t="s">
        <v>541</v>
      </c>
      <c r="AA1274" s="110" t="s">
        <v>541</v>
      </c>
      <c r="AB1274" s="110" t="s">
        <v>541</v>
      </c>
      <c r="AC1274" s="10" t="s">
        <v>541</v>
      </c>
      <c r="AD1274" s="10" t="s">
        <v>541</v>
      </c>
    </row>
    <row r="1275" spans="1:30" x14ac:dyDescent="0.2">
      <c r="A1275" s="110">
        <v>1274</v>
      </c>
      <c r="B1275" s="132">
        <v>41847</v>
      </c>
      <c r="C1275" s="117">
        <v>1</v>
      </c>
      <c r="D1275" s="103" t="s">
        <v>70</v>
      </c>
      <c r="E1275" s="103" t="s">
        <v>306</v>
      </c>
      <c r="H1275" s="103"/>
      <c r="I1275" s="103">
        <v>46</v>
      </c>
      <c r="K1275" s="103" t="s">
        <v>364</v>
      </c>
      <c r="L1275" s="133"/>
      <c r="M1275" s="134">
        <v>2.7777777777777776E-2</v>
      </c>
      <c r="N1275" s="137" t="s">
        <v>3475</v>
      </c>
      <c r="O1275" s="133" t="s">
        <v>1888</v>
      </c>
      <c r="Q1275" s="100" t="s">
        <v>3468</v>
      </c>
      <c r="R1275" s="226" t="s">
        <v>3501</v>
      </c>
      <c r="S1275" s="491" t="str">
        <f t="shared" si="39"/>
        <v>x</v>
      </c>
      <c r="T1275" s="492" t="str">
        <f>IFERROR(VLOOKUP(F1275,'Freq-Chan'!C:D,2,FALSE),"x")</f>
        <v>x</v>
      </c>
      <c r="U1275" s="110" t="s">
        <v>541</v>
      </c>
      <c r="V1275" s="110" t="str">
        <f t="shared" si="40"/>
        <v>FWL</v>
      </c>
      <c r="W1275" s="110" t="s">
        <v>541</v>
      </c>
      <c r="X1275" s="110" t="s">
        <v>541</v>
      </c>
      <c r="Y1275" s="110" t="str">
        <f>IFERROR(VLOOKUP(F1275,'Freq-Chan'!C:E,3,FALSE),"na")</f>
        <v>na</v>
      </c>
      <c r="Z1275" s="110" t="s">
        <v>541</v>
      </c>
      <c r="AA1275" s="110" t="s">
        <v>541</v>
      </c>
      <c r="AB1275" s="110" t="s">
        <v>541</v>
      </c>
      <c r="AC1275" s="10" t="s">
        <v>541</v>
      </c>
      <c r="AD1275" s="10" t="s">
        <v>541</v>
      </c>
    </row>
    <row r="1276" spans="1:30" x14ac:dyDescent="0.2">
      <c r="A1276" s="110">
        <v>1275</v>
      </c>
      <c r="B1276" s="132">
        <v>41847</v>
      </c>
      <c r="C1276" s="117">
        <v>1</v>
      </c>
      <c r="D1276" s="103" t="s">
        <v>70</v>
      </c>
      <c r="E1276" s="103" t="s">
        <v>306</v>
      </c>
      <c r="H1276" s="103"/>
      <c r="I1276" s="103">
        <v>46</v>
      </c>
      <c r="K1276" s="103" t="s">
        <v>365</v>
      </c>
      <c r="L1276" s="133"/>
      <c r="M1276" s="134">
        <v>1.6666666666666666E-2</v>
      </c>
      <c r="N1276" s="137" t="s">
        <v>900</v>
      </c>
      <c r="O1276" s="133" t="s">
        <v>1888</v>
      </c>
      <c r="Q1276" s="100" t="s">
        <v>3468</v>
      </c>
      <c r="R1276" s="226" t="s">
        <v>3501</v>
      </c>
      <c r="S1276" s="491" t="str">
        <f t="shared" si="39"/>
        <v>x</v>
      </c>
      <c r="T1276" s="492" t="str">
        <f>IFERROR(VLOOKUP(F1276,'Freq-Chan'!C:D,2,FALSE),"x")</f>
        <v>x</v>
      </c>
      <c r="U1276" s="110" t="s">
        <v>541</v>
      </c>
      <c r="V1276" s="110" t="str">
        <f t="shared" si="40"/>
        <v>FWL</v>
      </c>
      <c r="W1276" s="110" t="s">
        <v>541</v>
      </c>
      <c r="X1276" s="110" t="s">
        <v>541</v>
      </c>
      <c r="Y1276" s="110" t="str">
        <f>IFERROR(VLOOKUP(F1276,'Freq-Chan'!C:E,3,FALSE),"na")</f>
        <v>na</v>
      </c>
      <c r="Z1276" s="110" t="s">
        <v>541</v>
      </c>
      <c r="AA1276" s="110" t="s">
        <v>541</v>
      </c>
      <c r="AB1276" s="110" t="s">
        <v>541</v>
      </c>
      <c r="AC1276" s="10" t="s">
        <v>541</v>
      </c>
      <c r="AD1276" s="10" t="s">
        <v>541</v>
      </c>
    </row>
    <row r="1277" spans="1:30" x14ac:dyDescent="0.2">
      <c r="A1277" s="110">
        <v>1276</v>
      </c>
      <c r="B1277" s="132">
        <v>41847</v>
      </c>
      <c r="C1277" s="117">
        <v>1</v>
      </c>
      <c r="D1277" s="103" t="s">
        <v>70</v>
      </c>
      <c r="E1277" s="103" t="s">
        <v>306</v>
      </c>
      <c r="H1277" s="103"/>
      <c r="I1277" s="103">
        <v>45</v>
      </c>
      <c r="K1277" s="103" t="s">
        <v>364</v>
      </c>
      <c r="L1277" s="133"/>
      <c r="M1277" s="134">
        <v>3.8194444444444441E-2</v>
      </c>
      <c r="N1277" s="137" t="s">
        <v>3225</v>
      </c>
      <c r="O1277" s="133" t="s">
        <v>1888</v>
      </c>
      <c r="Q1277" s="100" t="s">
        <v>3468</v>
      </c>
      <c r="R1277" s="226" t="s">
        <v>3501</v>
      </c>
      <c r="S1277" s="491" t="str">
        <f t="shared" si="39"/>
        <v>x</v>
      </c>
      <c r="T1277" s="492" t="str">
        <f>IFERROR(VLOOKUP(F1277,'Freq-Chan'!C:D,2,FALSE),"x")</f>
        <v>x</v>
      </c>
      <c r="U1277" s="110" t="s">
        <v>541</v>
      </c>
      <c r="V1277" s="110" t="str">
        <f t="shared" si="40"/>
        <v>FWL</v>
      </c>
      <c r="W1277" s="110" t="s">
        <v>541</v>
      </c>
      <c r="X1277" s="110" t="s">
        <v>541</v>
      </c>
      <c r="Y1277" s="110" t="str">
        <f>IFERROR(VLOOKUP(F1277,'Freq-Chan'!C:E,3,FALSE),"na")</f>
        <v>na</v>
      </c>
      <c r="Z1277" s="110" t="s">
        <v>541</v>
      </c>
      <c r="AA1277" s="110" t="s">
        <v>541</v>
      </c>
      <c r="AB1277" s="110" t="s">
        <v>541</v>
      </c>
      <c r="AC1277" s="10" t="s">
        <v>541</v>
      </c>
      <c r="AD1277" s="10" t="s">
        <v>541</v>
      </c>
    </row>
    <row r="1278" spans="1:30" x14ac:dyDescent="0.2">
      <c r="A1278" s="110">
        <v>1277</v>
      </c>
      <c r="B1278" s="132">
        <v>41847</v>
      </c>
      <c r="C1278" s="117">
        <v>1</v>
      </c>
      <c r="D1278" s="103" t="s">
        <v>70</v>
      </c>
      <c r="E1278" s="103" t="s">
        <v>306</v>
      </c>
      <c r="H1278" s="103"/>
      <c r="I1278" s="103">
        <v>47</v>
      </c>
      <c r="K1278" s="103" t="s">
        <v>1032</v>
      </c>
      <c r="L1278" s="133"/>
      <c r="M1278" s="134">
        <v>3.8194444444444441E-2</v>
      </c>
      <c r="N1278" s="137" t="s">
        <v>3225</v>
      </c>
      <c r="O1278" s="133" t="s">
        <v>1888</v>
      </c>
      <c r="Q1278" s="100" t="s">
        <v>3468</v>
      </c>
      <c r="R1278" s="226" t="s">
        <v>3501</v>
      </c>
      <c r="S1278" s="491" t="str">
        <f t="shared" si="39"/>
        <v>x</v>
      </c>
      <c r="T1278" s="492" t="str">
        <f>IFERROR(VLOOKUP(F1278,'Freq-Chan'!C:D,2,FALSE),"x")</f>
        <v>x</v>
      </c>
      <c r="U1278" s="110" t="s">
        <v>541</v>
      </c>
      <c r="V1278" s="110" t="str">
        <f t="shared" si="40"/>
        <v>FWL</v>
      </c>
      <c r="W1278" s="110" t="s">
        <v>541</v>
      </c>
      <c r="X1278" s="110" t="s">
        <v>541</v>
      </c>
      <c r="Y1278" s="110" t="str">
        <f>IFERROR(VLOOKUP(F1278,'Freq-Chan'!C:E,3,FALSE),"na")</f>
        <v>na</v>
      </c>
      <c r="Z1278" s="110" t="s">
        <v>541</v>
      </c>
      <c r="AA1278" s="110" t="s">
        <v>541</v>
      </c>
      <c r="AB1278" s="110" t="s">
        <v>541</v>
      </c>
      <c r="AC1278" s="10" t="s">
        <v>541</v>
      </c>
      <c r="AD1278" s="10" t="s">
        <v>541</v>
      </c>
    </row>
    <row r="1279" spans="1:30" x14ac:dyDescent="0.2">
      <c r="A1279" s="110">
        <v>1278</v>
      </c>
      <c r="B1279" s="132">
        <v>41847</v>
      </c>
      <c r="C1279" s="117">
        <v>1</v>
      </c>
      <c r="D1279" s="103" t="s">
        <v>70</v>
      </c>
      <c r="E1279" s="103" t="s">
        <v>306</v>
      </c>
      <c r="H1279" s="103"/>
      <c r="I1279" s="103">
        <v>48</v>
      </c>
      <c r="K1279" s="103" t="s">
        <v>365</v>
      </c>
      <c r="L1279" s="133"/>
      <c r="M1279" s="134">
        <v>2.1527777777777781E-2</v>
      </c>
      <c r="N1279" s="137" t="s">
        <v>3305</v>
      </c>
      <c r="O1279" s="133" t="s">
        <v>3431</v>
      </c>
      <c r="Q1279" s="100" t="s">
        <v>3461</v>
      </c>
      <c r="R1279" s="226" t="s">
        <v>3501</v>
      </c>
      <c r="S1279" s="491" t="str">
        <f t="shared" si="39"/>
        <v>x</v>
      </c>
      <c r="T1279" s="492" t="str">
        <f>IFERROR(VLOOKUP(F1279,'Freq-Chan'!C:D,2,FALSE),"x")</f>
        <v>x</v>
      </c>
      <c r="U1279" s="110" t="s">
        <v>541</v>
      </c>
      <c r="V1279" s="110" t="str">
        <f t="shared" si="40"/>
        <v>FWL</v>
      </c>
      <c r="W1279" s="110" t="s">
        <v>541</v>
      </c>
      <c r="X1279" s="110" t="s">
        <v>541</v>
      </c>
      <c r="Y1279" s="110" t="str">
        <f>IFERROR(VLOOKUP(F1279,'Freq-Chan'!C:E,3,FALSE),"na")</f>
        <v>na</v>
      </c>
      <c r="Z1279" s="110" t="s">
        <v>541</v>
      </c>
      <c r="AA1279" s="110" t="s">
        <v>541</v>
      </c>
      <c r="AB1279" s="110" t="s">
        <v>541</v>
      </c>
      <c r="AC1279" s="10" t="s">
        <v>541</v>
      </c>
      <c r="AD1279" s="10" t="s">
        <v>541</v>
      </c>
    </row>
    <row r="1280" spans="1:30" x14ac:dyDescent="0.2">
      <c r="A1280" s="110">
        <v>1279</v>
      </c>
      <c r="B1280" s="132">
        <v>41847</v>
      </c>
      <c r="C1280" s="117">
        <v>1</v>
      </c>
      <c r="D1280" s="103" t="s">
        <v>70</v>
      </c>
      <c r="E1280" s="103" t="s">
        <v>306</v>
      </c>
      <c r="H1280" s="103"/>
      <c r="I1280" s="103">
        <v>49</v>
      </c>
      <c r="K1280" s="103" t="s">
        <v>1032</v>
      </c>
      <c r="L1280" s="133"/>
      <c r="M1280" s="134">
        <v>2.0833333333333332E-2</v>
      </c>
      <c r="N1280" s="137" t="s">
        <v>3305</v>
      </c>
      <c r="O1280" s="133" t="s">
        <v>3431</v>
      </c>
      <c r="Q1280" s="100" t="s">
        <v>3461</v>
      </c>
      <c r="R1280" s="226" t="s">
        <v>3501</v>
      </c>
      <c r="S1280" s="491" t="str">
        <f t="shared" si="39"/>
        <v>x</v>
      </c>
      <c r="T1280" s="492" t="str">
        <f>IFERROR(VLOOKUP(F1280,'Freq-Chan'!C:D,2,FALSE),"x")</f>
        <v>x</v>
      </c>
      <c r="U1280" s="110" t="s">
        <v>541</v>
      </c>
      <c r="V1280" s="110" t="str">
        <f t="shared" si="40"/>
        <v>FWL</v>
      </c>
      <c r="W1280" s="110" t="s">
        <v>541</v>
      </c>
      <c r="X1280" s="110" t="s">
        <v>541</v>
      </c>
      <c r="Y1280" s="110" t="str">
        <f>IFERROR(VLOOKUP(F1280,'Freq-Chan'!C:E,3,FALSE),"na")</f>
        <v>na</v>
      </c>
      <c r="Z1280" s="110" t="s">
        <v>541</v>
      </c>
      <c r="AA1280" s="110" t="s">
        <v>541</v>
      </c>
      <c r="AB1280" s="110" t="s">
        <v>541</v>
      </c>
      <c r="AC1280" s="10" t="s">
        <v>541</v>
      </c>
      <c r="AD1280" s="10" t="s">
        <v>541</v>
      </c>
    </row>
    <row r="1281" spans="1:30" x14ac:dyDescent="0.2">
      <c r="A1281" s="110">
        <v>1280</v>
      </c>
      <c r="B1281" s="132">
        <v>41847</v>
      </c>
      <c r="C1281" s="117">
        <v>1</v>
      </c>
      <c r="D1281" s="103" t="s">
        <v>71</v>
      </c>
      <c r="E1281" s="103" t="s">
        <v>306</v>
      </c>
      <c r="F1281" s="103">
        <v>534</v>
      </c>
      <c r="G1281" s="103">
        <v>33</v>
      </c>
      <c r="H1281" s="103" t="s">
        <v>2331</v>
      </c>
      <c r="I1281" s="103">
        <v>59</v>
      </c>
      <c r="K1281" s="103" t="s">
        <v>364</v>
      </c>
      <c r="L1281" s="133"/>
      <c r="M1281" s="134">
        <v>4.027777777777778E-2</v>
      </c>
      <c r="N1281" s="137" t="s">
        <v>1658</v>
      </c>
      <c r="O1281" s="133" t="s">
        <v>3431</v>
      </c>
      <c r="P1281" s="100" t="s">
        <v>3504</v>
      </c>
      <c r="Q1281" s="100" t="s">
        <v>3461</v>
      </c>
      <c r="R1281" s="226" t="s">
        <v>3501</v>
      </c>
      <c r="S1281" s="491" t="str">
        <f t="shared" si="39"/>
        <v>x</v>
      </c>
      <c r="T1281" s="492">
        <f>IFERROR(VLOOKUP(F1281,'Freq-Chan'!C:D,2,FALSE),"x")</f>
        <v>151.53399999999999</v>
      </c>
      <c r="U1281" s="110" t="s">
        <v>541</v>
      </c>
      <c r="V1281" s="110" t="str">
        <f t="shared" si="40"/>
        <v>FWL</v>
      </c>
      <c r="W1281" s="110" t="s">
        <v>541</v>
      </c>
      <c r="X1281" s="110" t="s">
        <v>541</v>
      </c>
      <c r="Y1281" s="110" t="str">
        <f>IFERROR(VLOOKUP(F1281,'Freq-Chan'!C:E,3,FALSE),"na")</f>
        <v>F1840</v>
      </c>
      <c r="Z1281" s="110" t="s">
        <v>541</v>
      </c>
      <c r="AA1281" s="110" t="s">
        <v>541</v>
      </c>
      <c r="AB1281" s="110" t="s">
        <v>541</v>
      </c>
      <c r="AC1281" s="10" t="s">
        <v>541</v>
      </c>
      <c r="AD1281" s="10" t="s">
        <v>541</v>
      </c>
    </row>
    <row r="1282" spans="1:30" x14ac:dyDescent="0.2">
      <c r="A1282" s="110">
        <v>1281</v>
      </c>
      <c r="B1282" s="132">
        <v>41847</v>
      </c>
      <c r="C1282" s="117">
        <v>1</v>
      </c>
      <c r="D1282" s="103" t="s">
        <v>71</v>
      </c>
      <c r="E1282" s="103" t="s">
        <v>306</v>
      </c>
      <c r="H1282" s="103"/>
      <c r="I1282" s="103">
        <v>55</v>
      </c>
      <c r="K1282" s="103" t="s">
        <v>364</v>
      </c>
      <c r="L1282" s="133"/>
      <c r="M1282" s="134">
        <v>1.5972222222222224E-2</v>
      </c>
      <c r="N1282" s="137" t="s">
        <v>3476</v>
      </c>
      <c r="O1282" s="133" t="s">
        <v>3431</v>
      </c>
      <c r="Q1282" s="100" t="s">
        <v>3461</v>
      </c>
      <c r="R1282" s="226" t="s">
        <v>3501</v>
      </c>
      <c r="S1282" s="491" t="str">
        <f t="shared" si="39"/>
        <v>x</v>
      </c>
      <c r="T1282" s="492" t="str">
        <f>IFERROR(VLOOKUP(F1282,'Freq-Chan'!C:D,2,FALSE),"x")</f>
        <v>x</v>
      </c>
      <c r="U1282" s="110" t="s">
        <v>541</v>
      </c>
      <c r="V1282" s="110" t="str">
        <f t="shared" si="40"/>
        <v>FWL</v>
      </c>
      <c r="W1282" s="110" t="s">
        <v>541</v>
      </c>
      <c r="X1282" s="110" t="s">
        <v>541</v>
      </c>
      <c r="Y1282" s="110" t="str">
        <f>IFERROR(VLOOKUP(F1282,'Freq-Chan'!C:E,3,FALSE),"na")</f>
        <v>na</v>
      </c>
      <c r="Z1282" s="110" t="s">
        <v>541</v>
      </c>
      <c r="AA1282" s="110" t="s">
        <v>541</v>
      </c>
      <c r="AB1282" s="110" t="s">
        <v>541</v>
      </c>
      <c r="AC1282" s="10" t="s">
        <v>541</v>
      </c>
      <c r="AD1282" s="10" t="s">
        <v>541</v>
      </c>
    </row>
    <row r="1283" spans="1:30" x14ac:dyDescent="0.2">
      <c r="A1283" s="110">
        <v>1282</v>
      </c>
      <c r="B1283" s="132">
        <v>41847</v>
      </c>
      <c r="C1283" s="117">
        <v>1</v>
      </c>
      <c r="D1283" s="103" t="s">
        <v>177</v>
      </c>
      <c r="E1283" s="103" t="s">
        <v>0</v>
      </c>
      <c r="F1283" s="103">
        <v>917</v>
      </c>
      <c r="G1283" s="103">
        <v>48</v>
      </c>
      <c r="H1283" s="103"/>
      <c r="I1283" s="103">
        <v>36</v>
      </c>
      <c r="K1283" s="103" t="s">
        <v>364</v>
      </c>
      <c r="L1283" s="133"/>
      <c r="M1283" s="134">
        <v>0.16250000000000001</v>
      </c>
      <c r="N1283" s="137" t="s">
        <v>3477</v>
      </c>
      <c r="O1283" s="133" t="s">
        <v>376</v>
      </c>
      <c r="P1283" s="100" t="s">
        <v>3478</v>
      </c>
      <c r="Q1283" s="100" t="s">
        <v>3462</v>
      </c>
      <c r="R1283" s="226" t="s">
        <v>3501</v>
      </c>
      <c r="S1283" s="503" t="str">
        <f t="shared" ref="S1283:S1346" si="41">IF(IF(OR(L1283=0,N1283=0),"x",ROUND(N1283-L1283-(M1283*24)/(24*60),10))&lt;0,0,IF(OR(L1283=0,N1283=0),"x",ROUND(N1283-L1283-(M1283*24)/(24*60),10)))</f>
        <v>x</v>
      </c>
      <c r="T1283" s="492">
        <f>IFERROR(VLOOKUP(F1283,'Freq-Chan'!C:D,2,FALSE),"x")</f>
        <v>151.917</v>
      </c>
      <c r="U1283" s="110" t="s">
        <v>541</v>
      </c>
      <c r="V1283" s="110" t="str">
        <f t="shared" ref="V1283:V1346" si="42">IF(OR(C1283=1,C1283=2,C1283=3),"FWL","NRD")</f>
        <v>FWL</v>
      </c>
      <c r="W1283" s="110" t="s">
        <v>541</v>
      </c>
      <c r="X1283" s="110" t="s">
        <v>541</v>
      </c>
      <c r="Y1283" s="110" t="str">
        <f>IFERROR(VLOOKUP(F1283,'Freq-Chan'!C:E,3,FALSE),"na")</f>
        <v>F1835</v>
      </c>
      <c r="Z1283" s="110" t="s">
        <v>541</v>
      </c>
      <c r="AA1283" s="110" t="s">
        <v>541</v>
      </c>
      <c r="AB1283" s="110" t="s">
        <v>541</v>
      </c>
      <c r="AC1283" s="10" t="s">
        <v>541</v>
      </c>
      <c r="AD1283" s="10" t="s">
        <v>541</v>
      </c>
    </row>
    <row r="1284" spans="1:30" s="291" customFormat="1" x14ac:dyDescent="0.2">
      <c r="A1284" s="493">
        <v>1283</v>
      </c>
      <c r="B1284" s="283">
        <v>41847</v>
      </c>
      <c r="C1284" s="284">
        <v>1</v>
      </c>
      <c r="D1284" s="285" t="s">
        <v>71</v>
      </c>
      <c r="E1284" s="285" t="s">
        <v>306</v>
      </c>
      <c r="F1284" s="285"/>
      <c r="G1284" s="285"/>
      <c r="H1284" s="285"/>
      <c r="I1284" s="285">
        <v>60</v>
      </c>
      <c r="J1284" s="285"/>
      <c r="K1284" s="285" t="s">
        <v>364</v>
      </c>
      <c r="L1284" s="286"/>
      <c r="M1284" s="287">
        <v>2.5694444444444447E-2</v>
      </c>
      <c r="N1284" s="339" t="s">
        <v>772</v>
      </c>
      <c r="O1284" s="286" t="s">
        <v>555</v>
      </c>
      <c r="P1284" s="289"/>
      <c r="Q1284" s="289" t="s">
        <v>3462</v>
      </c>
      <c r="R1284" s="290" t="s">
        <v>3501</v>
      </c>
      <c r="S1284" s="494" t="str">
        <f t="shared" si="41"/>
        <v>x</v>
      </c>
      <c r="T1284" s="495" t="str">
        <f>IFERROR(VLOOKUP(F1284,'Freq-Chan'!C:D,2,FALSE),"x")</f>
        <v>x</v>
      </c>
      <c r="U1284" s="493" t="s">
        <v>541</v>
      </c>
      <c r="V1284" s="493" t="str">
        <f t="shared" si="42"/>
        <v>FWL</v>
      </c>
      <c r="W1284" s="493" t="s">
        <v>541</v>
      </c>
      <c r="X1284" s="493" t="s">
        <v>541</v>
      </c>
      <c r="Y1284" s="493" t="str">
        <f>IFERROR(VLOOKUP(F1284,'Freq-Chan'!C:E,3,FALSE),"na")</f>
        <v>na</v>
      </c>
      <c r="Z1284" s="493" t="s">
        <v>541</v>
      </c>
      <c r="AA1284" s="493" t="s">
        <v>541</v>
      </c>
      <c r="AB1284" s="493" t="s">
        <v>541</v>
      </c>
      <c r="AC1284" s="291" t="s">
        <v>541</v>
      </c>
      <c r="AD1284" s="291" t="s">
        <v>541</v>
      </c>
    </row>
    <row r="1285" spans="1:30" x14ac:dyDescent="0.2">
      <c r="A1285" s="110">
        <v>1284</v>
      </c>
      <c r="B1285" s="132">
        <v>41847</v>
      </c>
      <c r="C1285" s="117">
        <v>2</v>
      </c>
      <c r="D1285" s="103" t="s">
        <v>71</v>
      </c>
      <c r="E1285" s="103" t="s">
        <v>306</v>
      </c>
      <c r="F1285" s="103">
        <v>564</v>
      </c>
      <c r="G1285" s="103">
        <v>55</v>
      </c>
      <c r="H1285" s="103" t="s">
        <v>2330</v>
      </c>
      <c r="I1285" s="103">
        <v>58</v>
      </c>
      <c r="K1285" s="103" t="s">
        <v>364</v>
      </c>
      <c r="L1285" s="133"/>
      <c r="M1285" s="134">
        <v>4.9305555555555554E-2</v>
      </c>
      <c r="N1285" s="137" t="s">
        <v>2527</v>
      </c>
      <c r="O1285" s="133" t="s">
        <v>1888</v>
      </c>
      <c r="Q1285" s="100" t="s">
        <v>3464</v>
      </c>
      <c r="R1285" s="226" t="s">
        <v>3501</v>
      </c>
      <c r="S1285" s="491" t="str">
        <f t="shared" si="41"/>
        <v>x</v>
      </c>
      <c r="T1285" s="492">
        <f>IFERROR(VLOOKUP(F1285,'Freq-Chan'!C:D,2,FALSE),"x")</f>
        <v>151.56399999999999</v>
      </c>
      <c r="U1285" s="110" t="s">
        <v>541</v>
      </c>
      <c r="V1285" s="110" t="str">
        <f t="shared" si="42"/>
        <v>FWL</v>
      </c>
      <c r="W1285" s="110" t="s">
        <v>541</v>
      </c>
      <c r="X1285" s="110" t="s">
        <v>541</v>
      </c>
      <c r="Y1285" s="110" t="str">
        <f>IFERROR(VLOOKUP(F1285,'Freq-Chan'!C:E,3,FALSE),"na")</f>
        <v>F1840</v>
      </c>
      <c r="Z1285" s="110" t="s">
        <v>541</v>
      </c>
      <c r="AA1285" s="110" t="s">
        <v>541</v>
      </c>
      <c r="AB1285" s="110" t="s">
        <v>541</v>
      </c>
      <c r="AC1285" s="10" t="s">
        <v>541</v>
      </c>
      <c r="AD1285" s="10" t="s">
        <v>541</v>
      </c>
    </row>
    <row r="1286" spans="1:30" x14ac:dyDescent="0.2">
      <c r="A1286" s="110">
        <v>1285</v>
      </c>
      <c r="B1286" s="132">
        <v>41847</v>
      </c>
      <c r="C1286" s="117">
        <v>2</v>
      </c>
      <c r="D1286" s="103" t="s">
        <v>71</v>
      </c>
      <c r="E1286" s="103" t="s">
        <v>306</v>
      </c>
      <c r="F1286" s="103">
        <v>534</v>
      </c>
      <c r="G1286" s="103">
        <v>56</v>
      </c>
      <c r="H1286" s="103" t="s">
        <v>2329</v>
      </c>
      <c r="I1286" s="103">
        <v>60</v>
      </c>
      <c r="K1286" s="103" t="s">
        <v>364</v>
      </c>
      <c r="L1286" s="133"/>
      <c r="M1286" s="134">
        <v>4.3055555555555562E-2</v>
      </c>
      <c r="N1286" s="137" t="s">
        <v>3479</v>
      </c>
      <c r="O1286" s="133" t="s">
        <v>1585</v>
      </c>
      <c r="Q1286" s="100" t="s">
        <v>3464</v>
      </c>
      <c r="R1286" s="226" t="s">
        <v>3501</v>
      </c>
      <c r="S1286" s="491" t="str">
        <f t="shared" si="41"/>
        <v>x</v>
      </c>
      <c r="T1286" s="492">
        <f>IFERROR(VLOOKUP(F1286,'Freq-Chan'!C:D,2,FALSE),"x")</f>
        <v>151.53399999999999</v>
      </c>
      <c r="U1286" s="110" t="s">
        <v>541</v>
      </c>
      <c r="V1286" s="110" t="str">
        <f t="shared" si="42"/>
        <v>FWL</v>
      </c>
      <c r="W1286" s="110" t="s">
        <v>541</v>
      </c>
      <c r="X1286" s="110" t="s">
        <v>541</v>
      </c>
      <c r="Y1286" s="110" t="str">
        <f>IFERROR(VLOOKUP(F1286,'Freq-Chan'!C:E,3,FALSE),"na")</f>
        <v>F1840</v>
      </c>
      <c r="Z1286" s="110" t="s">
        <v>541</v>
      </c>
      <c r="AA1286" s="110" t="s">
        <v>541</v>
      </c>
      <c r="AB1286" s="110" t="s">
        <v>541</v>
      </c>
      <c r="AC1286" s="10" t="s">
        <v>541</v>
      </c>
      <c r="AD1286" s="10" t="s">
        <v>541</v>
      </c>
    </row>
    <row r="1287" spans="1:30" x14ac:dyDescent="0.2">
      <c r="A1287" s="110">
        <v>1286</v>
      </c>
      <c r="B1287" s="132">
        <v>41847</v>
      </c>
      <c r="C1287" s="117">
        <v>2</v>
      </c>
      <c r="D1287" s="103" t="s">
        <v>72</v>
      </c>
      <c r="E1287" s="103" t="s">
        <v>306</v>
      </c>
      <c r="F1287" s="103">
        <v>325</v>
      </c>
      <c r="G1287" s="103">
        <v>44</v>
      </c>
      <c r="H1287" s="103" t="s">
        <v>3480</v>
      </c>
      <c r="I1287" s="103">
        <v>58</v>
      </c>
      <c r="K1287" s="103" t="s">
        <v>364</v>
      </c>
      <c r="L1287" s="133"/>
      <c r="M1287" s="134">
        <v>5.5555555555555552E-2</v>
      </c>
      <c r="N1287" s="137" t="s">
        <v>3481</v>
      </c>
      <c r="O1287" s="133" t="s">
        <v>1888</v>
      </c>
      <c r="P1287" s="100" t="s">
        <v>3482</v>
      </c>
      <c r="Q1287" s="100" t="s">
        <v>3464</v>
      </c>
      <c r="R1287" s="226" t="s">
        <v>3501</v>
      </c>
      <c r="S1287" s="491" t="str">
        <f t="shared" si="41"/>
        <v>x</v>
      </c>
      <c r="T1287" s="492">
        <f>IFERROR(VLOOKUP(F1287,'Freq-Chan'!C:D,2,FALSE),"x")</f>
        <v>151.32499999999999</v>
      </c>
      <c r="U1287" s="110" t="s">
        <v>541</v>
      </c>
      <c r="V1287" s="110" t="str">
        <f t="shared" si="42"/>
        <v>FWL</v>
      </c>
      <c r="W1287" s="110" t="s">
        <v>541</v>
      </c>
      <c r="X1287" s="110" t="s">
        <v>541</v>
      </c>
      <c r="Y1287" s="110" t="str">
        <f>IFERROR(VLOOKUP(F1287,'Freq-Chan'!C:E,3,FALSE),"na")</f>
        <v>F1840</v>
      </c>
      <c r="Z1287" s="110" t="s">
        <v>541</v>
      </c>
      <c r="AA1287" s="110" t="s">
        <v>541</v>
      </c>
      <c r="AB1287" s="110" t="s">
        <v>541</v>
      </c>
      <c r="AC1287" s="10" t="s">
        <v>541</v>
      </c>
      <c r="AD1287" s="10" t="s">
        <v>541</v>
      </c>
    </row>
    <row r="1288" spans="1:30" x14ac:dyDescent="0.2">
      <c r="A1288" s="110">
        <v>1287</v>
      </c>
      <c r="B1288" s="132">
        <v>41847</v>
      </c>
      <c r="C1288" s="117">
        <v>2</v>
      </c>
      <c r="D1288" s="103" t="s">
        <v>8</v>
      </c>
      <c r="E1288" s="103" t="s">
        <v>306</v>
      </c>
      <c r="F1288" s="103">
        <v>586</v>
      </c>
      <c r="G1288" s="103">
        <v>49</v>
      </c>
      <c r="H1288" s="103" t="s">
        <v>2153</v>
      </c>
      <c r="I1288" s="103">
        <v>53</v>
      </c>
      <c r="K1288" s="103" t="s">
        <v>364</v>
      </c>
      <c r="L1288" s="133"/>
      <c r="M1288" s="134">
        <v>4.9999999999999996E-2</v>
      </c>
      <c r="N1288" s="137" t="s">
        <v>763</v>
      </c>
      <c r="O1288" s="133" t="s">
        <v>1585</v>
      </c>
      <c r="P1288" s="100" t="s">
        <v>3483</v>
      </c>
      <c r="Q1288" s="100" t="s">
        <v>3464</v>
      </c>
      <c r="R1288" s="226" t="s">
        <v>3501</v>
      </c>
      <c r="S1288" s="491" t="str">
        <f t="shared" si="41"/>
        <v>x</v>
      </c>
      <c r="T1288" s="492">
        <f>IFERROR(VLOOKUP(F1288,'Freq-Chan'!C:D,2,FALSE),"x")</f>
        <v>151.58600000000001</v>
      </c>
      <c r="U1288" s="110" t="s">
        <v>541</v>
      </c>
      <c r="V1288" s="110" t="str">
        <f t="shared" si="42"/>
        <v>FWL</v>
      </c>
      <c r="W1288" s="110" t="s">
        <v>541</v>
      </c>
      <c r="X1288" s="110" t="s">
        <v>541</v>
      </c>
      <c r="Y1288" s="110" t="str">
        <f>IFERROR(VLOOKUP(F1288,'Freq-Chan'!C:E,3,FALSE),"na")</f>
        <v>F1840</v>
      </c>
      <c r="Z1288" s="110" t="s">
        <v>541</v>
      </c>
      <c r="AA1288" s="110" t="s">
        <v>541</v>
      </c>
      <c r="AB1288" s="110" t="s">
        <v>541</v>
      </c>
      <c r="AC1288" s="10" t="s">
        <v>541</v>
      </c>
      <c r="AD1288" s="10" t="s">
        <v>541</v>
      </c>
    </row>
    <row r="1289" spans="1:30" x14ac:dyDescent="0.2">
      <c r="A1289" s="110">
        <v>1288</v>
      </c>
      <c r="B1289" s="132">
        <v>41847</v>
      </c>
      <c r="C1289" s="117">
        <v>2</v>
      </c>
      <c r="D1289" s="103" t="s">
        <v>8</v>
      </c>
      <c r="E1289" s="103" t="s">
        <v>306</v>
      </c>
      <c r="F1289" s="103">
        <v>573</v>
      </c>
      <c r="G1289" s="103">
        <v>79</v>
      </c>
      <c r="H1289" s="103" t="s">
        <v>2154</v>
      </c>
      <c r="I1289" s="103">
        <v>44</v>
      </c>
      <c r="K1289" s="103" t="s">
        <v>364</v>
      </c>
      <c r="L1289" s="133"/>
      <c r="M1289" s="134">
        <v>7.2916666666666671E-2</v>
      </c>
      <c r="N1289" s="137" t="s">
        <v>764</v>
      </c>
      <c r="O1289" s="133" t="s">
        <v>372</v>
      </c>
      <c r="Q1289" s="100" t="s">
        <v>3460</v>
      </c>
      <c r="R1289" s="226" t="s">
        <v>3501</v>
      </c>
      <c r="S1289" s="491" t="str">
        <f t="shared" si="41"/>
        <v>x</v>
      </c>
      <c r="T1289" s="492">
        <f>IFERROR(VLOOKUP(F1289,'Freq-Chan'!C:D,2,FALSE),"x")</f>
        <v>151.57300000000001</v>
      </c>
      <c r="U1289" s="110" t="s">
        <v>541</v>
      </c>
      <c r="V1289" s="110" t="str">
        <f t="shared" si="42"/>
        <v>FWL</v>
      </c>
      <c r="W1289" s="110" t="s">
        <v>541</v>
      </c>
      <c r="X1289" s="110" t="s">
        <v>541</v>
      </c>
      <c r="Y1289" s="110" t="str">
        <f>IFERROR(VLOOKUP(F1289,'Freq-Chan'!C:E,3,FALSE),"na")</f>
        <v>F1840</v>
      </c>
      <c r="Z1289" s="110" t="s">
        <v>541</v>
      </c>
      <c r="AA1289" s="110" t="s">
        <v>541</v>
      </c>
      <c r="AB1289" s="110" t="s">
        <v>541</v>
      </c>
      <c r="AC1289" s="10" t="s">
        <v>541</v>
      </c>
      <c r="AD1289" s="10" t="s">
        <v>541</v>
      </c>
    </row>
    <row r="1290" spans="1:30" x14ac:dyDescent="0.2">
      <c r="A1290" s="110">
        <v>1289</v>
      </c>
      <c r="B1290" s="132">
        <v>41847</v>
      </c>
      <c r="C1290" s="117">
        <v>2</v>
      </c>
      <c r="D1290" s="103" t="s">
        <v>8</v>
      </c>
      <c r="E1290" s="103" t="s">
        <v>306</v>
      </c>
      <c r="F1290" s="103">
        <v>573</v>
      </c>
      <c r="G1290" s="103">
        <v>41</v>
      </c>
      <c r="H1290" s="103" t="s">
        <v>2155</v>
      </c>
      <c r="I1290" s="103">
        <v>43</v>
      </c>
      <c r="K1290" s="103" t="s">
        <v>364</v>
      </c>
      <c r="L1290" s="133"/>
      <c r="M1290" s="134">
        <v>4.6527777777777779E-2</v>
      </c>
      <c r="N1290" s="137" t="s">
        <v>3484</v>
      </c>
      <c r="O1290" s="133" t="s">
        <v>3431</v>
      </c>
      <c r="Q1290" s="100" t="s">
        <v>3461</v>
      </c>
      <c r="R1290" s="226" t="s">
        <v>3501</v>
      </c>
      <c r="S1290" s="491" t="str">
        <f t="shared" si="41"/>
        <v>x</v>
      </c>
      <c r="T1290" s="492">
        <f>IFERROR(VLOOKUP(F1290,'Freq-Chan'!C:D,2,FALSE),"x")</f>
        <v>151.57300000000001</v>
      </c>
      <c r="U1290" s="110" t="s">
        <v>541</v>
      </c>
      <c r="V1290" s="110" t="str">
        <f t="shared" si="42"/>
        <v>FWL</v>
      </c>
      <c r="W1290" s="110" t="s">
        <v>541</v>
      </c>
      <c r="X1290" s="110" t="s">
        <v>541</v>
      </c>
      <c r="Y1290" s="110" t="str">
        <f>IFERROR(VLOOKUP(F1290,'Freq-Chan'!C:E,3,FALSE),"na")</f>
        <v>F1840</v>
      </c>
      <c r="Z1290" s="110" t="s">
        <v>541</v>
      </c>
      <c r="AA1290" s="110" t="s">
        <v>541</v>
      </c>
      <c r="AB1290" s="110" t="s">
        <v>541</v>
      </c>
      <c r="AC1290" s="10" t="s">
        <v>541</v>
      </c>
      <c r="AD1290" s="10" t="s">
        <v>541</v>
      </c>
    </row>
    <row r="1291" spans="1:30" x14ac:dyDescent="0.2">
      <c r="A1291" s="110">
        <v>1290</v>
      </c>
      <c r="B1291" s="132">
        <v>41847</v>
      </c>
      <c r="C1291" s="117">
        <v>2</v>
      </c>
      <c r="D1291" s="103" t="s">
        <v>8</v>
      </c>
      <c r="E1291" s="103" t="s">
        <v>306</v>
      </c>
      <c r="F1291" s="103">
        <v>573</v>
      </c>
      <c r="G1291" s="103">
        <v>60</v>
      </c>
      <c r="H1291" s="103" t="s">
        <v>2156</v>
      </c>
      <c r="I1291" s="103">
        <v>55</v>
      </c>
      <c r="K1291" s="103" t="s">
        <v>364</v>
      </c>
      <c r="L1291" s="133"/>
      <c r="M1291" s="134">
        <v>6.805555555555555E-2</v>
      </c>
      <c r="N1291" s="137" t="s">
        <v>1884</v>
      </c>
      <c r="O1291" s="133" t="s">
        <v>372</v>
      </c>
      <c r="P1291" s="100" t="s">
        <v>3485</v>
      </c>
      <c r="Q1291" s="100" t="s">
        <v>3461</v>
      </c>
      <c r="R1291" s="226" t="s">
        <v>3501</v>
      </c>
      <c r="S1291" s="491" t="str">
        <f t="shared" si="41"/>
        <v>x</v>
      </c>
      <c r="T1291" s="492">
        <f>IFERROR(VLOOKUP(F1291,'Freq-Chan'!C:D,2,FALSE),"x")</f>
        <v>151.57300000000001</v>
      </c>
      <c r="U1291" s="110" t="s">
        <v>541</v>
      </c>
      <c r="V1291" s="110" t="str">
        <f t="shared" si="42"/>
        <v>FWL</v>
      </c>
      <c r="W1291" s="110" t="s">
        <v>541</v>
      </c>
      <c r="X1291" s="110" t="s">
        <v>541</v>
      </c>
      <c r="Y1291" s="110" t="str">
        <f>IFERROR(VLOOKUP(F1291,'Freq-Chan'!C:E,3,FALSE),"na")</f>
        <v>F1840</v>
      </c>
      <c r="Z1291" s="110" t="s">
        <v>541</v>
      </c>
      <c r="AA1291" s="110" t="s">
        <v>541</v>
      </c>
      <c r="AB1291" s="110" t="s">
        <v>541</v>
      </c>
      <c r="AC1291" s="10" t="s">
        <v>541</v>
      </c>
      <c r="AD1291" s="10" t="s">
        <v>541</v>
      </c>
    </row>
    <row r="1292" spans="1:30" x14ac:dyDescent="0.2">
      <c r="A1292" s="110">
        <v>1291</v>
      </c>
      <c r="B1292" s="132">
        <v>41847</v>
      </c>
      <c r="C1292" s="117">
        <v>2</v>
      </c>
      <c r="D1292" s="103" t="s">
        <v>70</v>
      </c>
      <c r="E1292" s="103" t="s">
        <v>306</v>
      </c>
      <c r="F1292" s="103">
        <v>596</v>
      </c>
      <c r="G1292" s="103">
        <v>98</v>
      </c>
      <c r="H1292" s="103" t="s">
        <v>2996</v>
      </c>
      <c r="I1292" s="103">
        <v>46</v>
      </c>
      <c r="K1292" s="103" t="s">
        <v>1032</v>
      </c>
      <c r="L1292" s="133"/>
      <c r="M1292" s="134">
        <v>4.5138888888888888E-2</v>
      </c>
      <c r="N1292" s="137" t="s">
        <v>3486</v>
      </c>
      <c r="O1292" s="133" t="s">
        <v>3431</v>
      </c>
      <c r="Q1292" s="100" t="s">
        <v>3461</v>
      </c>
      <c r="R1292" s="226" t="s">
        <v>3501</v>
      </c>
      <c r="S1292" s="491" t="str">
        <f t="shared" si="41"/>
        <v>x</v>
      </c>
      <c r="T1292" s="492">
        <f>IFERROR(VLOOKUP(F1292,'Freq-Chan'!C:D,2,FALSE),"x")</f>
        <v>151.596</v>
      </c>
      <c r="U1292" s="110" t="s">
        <v>541</v>
      </c>
      <c r="V1292" s="110" t="str">
        <f t="shared" si="42"/>
        <v>FWL</v>
      </c>
      <c r="W1292" s="110" t="s">
        <v>541</v>
      </c>
      <c r="X1292" s="110" t="s">
        <v>541</v>
      </c>
      <c r="Y1292" s="110" t="str">
        <f>IFERROR(VLOOKUP(F1292,'Freq-Chan'!C:E,3,FALSE),"na")</f>
        <v>F1835</v>
      </c>
      <c r="Z1292" s="110" t="s">
        <v>541</v>
      </c>
      <c r="AA1292" s="110" t="s">
        <v>541</v>
      </c>
      <c r="AB1292" s="110" t="s">
        <v>541</v>
      </c>
      <c r="AC1292" s="10" t="s">
        <v>541</v>
      </c>
      <c r="AD1292" s="10" t="s">
        <v>541</v>
      </c>
    </row>
    <row r="1293" spans="1:30" x14ac:dyDescent="0.2">
      <c r="A1293" s="110">
        <v>1292</v>
      </c>
      <c r="B1293" s="132">
        <v>41847</v>
      </c>
      <c r="C1293" s="117">
        <v>2</v>
      </c>
      <c r="D1293" s="103" t="s">
        <v>8</v>
      </c>
      <c r="E1293" s="103" t="s">
        <v>306</v>
      </c>
      <c r="F1293" s="103">
        <v>573</v>
      </c>
      <c r="G1293" s="103">
        <v>4</v>
      </c>
      <c r="H1293" s="103" t="s">
        <v>2163</v>
      </c>
      <c r="I1293" s="103">
        <v>45</v>
      </c>
      <c r="K1293" s="103" t="s">
        <v>364</v>
      </c>
      <c r="L1293" s="133"/>
      <c r="M1293" s="134">
        <v>7.5694444444444439E-2</v>
      </c>
      <c r="N1293" s="137" t="s">
        <v>769</v>
      </c>
      <c r="O1293" s="133" t="s">
        <v>372</v>
      </c>
      <c r="P1293" s="100" t="s">
        <v>3487</v>
      </c>
      <c r="Q1293" s="100" t="s">
        <v>3461</v>
      </c>
      <c r="R1293" s="226" t="s">
        <v>3501</v>
      </c>
      <c r="S1293" s="491" t="str">
        <f t="shared" si="41"/>
        <v>x</v>
      </c>
      <c r="T1293" s="492">
        <f>IFERROR(VLOOKUP(F1293,'Freq-Chan'!C:D,2,FALSE),"x")</f>
        <v>151.57300000000001</v>
      </c>
      <c r="U1293" s="110" t="s">
        <v>541</v>
      </c>
      <c r="V1293" s="110" t="str">
        <f t="shared" si="42"/>
        <v>FWL</v>
      </c>
      <c r="W1293" s="110" t="s">
        <v>541</v>
      </c>
      <c r="X1293" s="110" t="s">
        <v>541</v>
      </c>
      <c r="Y1293" s="110" t="str">
        <f>IFERROR(VLOOKUP(F1293,'Freq-Chan'!C:E,3,FALSE),"na")</f>
        <v>F1840</v>
      </c>
      <c r="Z1293" s="110" t="s">
        <v>541</v>
      </c>
      <c r="AA1293" s="110" t="s">
        <v>541</v>
      </c>
      <c r="AB1293" s="110" t="s">
        <v>541</v>
      </c>
      <c r="AC1293" s="10" t="s">
        <v>541</v>
      </c>
      <c r="AD1293" s="10" t="s">
        <v>541</v>
      </c>
    </row>
    <row r="1294" spans="1:30" x14ac:dyDescent="0.2">
      <c r="A1294" s="110">
        <v>1293</v>
      </c>
      <c r="B1294" s="132">
        <v>41847</v>
      </c>
      <c r="C1294" s="117">
        <v>2</v>
      </c>
      <c r="D1294" s="103" t="s">
        <v>8</v>
      </c>
      <c r="E1294" s="103" t="s">
        <v>306</v>
      </c>
      <c r="F1294" s="103">
        <v>573</v>
      </c>
      <c r="G1294" s="103">
        <v>40</v>
      </c>
      <c r="H1294" s="103" t="s">
        <v>2164</v>
      </c>
      <c r="I1294" s="103">
        <v>55</v>
      </c>
      <c r="K1294" s="103" t="s">
        <v>364</v>
      </c>
      <c r="L1294" s="133"/>
      <c r="M1294" s="134">
        <v>4.9305555555555554E-2</v>
      </c>
      <c r="N1294" s="137" t="s">
        <v>3184</v>
      </c>
      <c r="O1294" s="133" t="s">
        <v>376</v>
      </c>
      <c r="Q1294" s="100" t="s">
        <v>3461</v>
      </c>
      <c r="R1294" s="226" t="s">
        <v>3501</v>
      </c>
      <c r="S1294" s="491" t="str">
        <f t="shared" si="41"/>
        <v>x</v>
      </c>
      <c r="T1294" s="492">
        <f>IFERROR(VLOOKUP(F1294,'Freq-Chan'!C:D,2,FALSE),"x")</f>
        <v>151.57300000000001</v>
      </c>
      <c r="U1294" s="110" t="s">
        <v>541</v>
      </c>
      <c r="V1294" s="110" t="str">
        <f t="shared" si="42"/>
        <v>FWL</v>
      </c>
      <c r="W1294" s="110" t="s">
        <v>541</v>
      </c>
      <c r="X1294" s="110" t="s">
        <v>541</v>
      </c>
      <c r="Y1294" s="110" t="str">
        <f>IFERROR(VLOOKUP(F1294,'Freq-Chan'!C:E,3,FALSE),"na")</f>
        <v>F1840</v>
      </c>
      <c r="Z1294" s="110" t="s">
        <v>541</v>
      </c>
      <c r="AA1294" s="110" t="s">
        <v>541</v>
      </c>
      <c r="AB1294" s="110" t="s">
        <v>541</v>
      </c>
      <c r="AC1294" s="10" t="s">
        <v>541</v>
      </c>
      <c r="AD1294" s="10" t="s">
        <v>541</v>
      </c>
    </row>
    <row r="1295" spans="1:30" x14ac:dyDescent="0.2">
      <c r="A1295" s="110">
        <v>1294</v>
      </c>
      <c r="B1295" s="132">
        <v>41847</v>
      </c>
      <c r="C1295" s="117">
        <v>2</v>
      </c>
      <c r="D1295" s="103" t="s">
        <v>71</v>
      </c>
      <c r="E1295" s="103" t="s">
        <v>306</v>
      </c>
      <c r="H1295" s="103"/>
      <c r="I1295" s="103">
        <v>66</v>
      </c>
      <c r="K1295" s="103" t="s">
        <v>364</v>
      </c>
      <c r="L1295" s="133"/>
      <c r="M1295" s="134">
        <v>2.4999999999999998E-2</v>
      </c>
      <c r="N1295" s="137" t="s">
        <v>3488</v>
      </c>
      <c r="O1295" s="133" t="s">
        <v>555</v>
      </c>
      <c r="Q1295" s="100" t="s">
        <v>3466</v>
      </c>
      <c r="R1295" s="226" t="s">
        <v>3501</v>
      </c>
      <c r="S1295" s="503" t="str">
        <f t="shared" si="41"/>
        <v>x</v>
      </c>
      <c r="T1295" s="492" t="str">
        <f>IFERROR(VLOOKUP(F1295,'Freq-Chan'!C:D,2,FALSE),"x")</f>
        <v>x</v>
      </c>
      <c r="U1295" s="110" t="s">
        <v>541</v>
      </c>
      <c r="V1295" s="110" t="str">
        <f t="shared" si="42"/>
        <v>FWL</v>
      </c>
      <c r="W1295" s="110" t="s">
        <v>541</v>
      </c>
      <c r="X1295" s="110" t="s">
        <v>541</v>
      </c>
      <c r="Y1295" s="110" t="str">
        <f>IFERROR(VLOOKUP(F1295,'Freq-Chan'!C:E,3,FALSE),"na")</f>
        <v>na</v>
      </c>
      <c r="Z1295" s="110" t="s">
        <v>541</v>
      </c>
      <c r="AA1295" s="110" t="s">
        <v>541</v>
      </c>
      <c r="AB1295" s="110" t="s">
        <v>541</v>
      </c>
      <c r="AC1295" s="10" t="s">
        <v>541</v>
      </c>
      <c r="AD1295" s="10" t="s">
        <v>541</v>
      </c>
    </row>
    <row r="1296" spans="1:30" s="291" customFormat="1" x14ac:dyDescent="0.2">
      <c r="A1296" s="493">
        <v>1295</v>
      </c>
      <c r="B1296" s="283">
        <v>41847</v>
      </c>
      <c r="C1296" s="284">
        <v>2</v>
      </c>
      <c r="D1296" s="285" t="s">
        <v>70</v>
      </c>
      <c r="E1296" s="285" t="s">
        <v>306</v>
      </c>
      <c r="F1296" s="285">
        <v>596</v>
      </c>
      <c r="G1296" s="285">
        <v>80</v>
      </c>
      <c r="H1296" s="285" t="s">
        <v>2997</v>
      </c>
      <c r="I1296" s="285">
        <v>41</v>
      </c>
      <c r="J1296" s="285"/>
      <c r="K1296" s="285" t="s">
        <v>364</v>
      </c>
      <c r="L1296" s="286"/>
      <c r="M1296" s="287">
        <v>4.7222222222222221E-2</v>
      </c>
      <c r="N1296" s="339" t="s">
        <v>3363</v>
      </c>
      <c r="O1296" s="286" t="s">
        <v>555</v>
      </c>
      <c r="P1296" s="289"/>
      <c r="Q1296" s="289" t="s">
        <v>3466</v>
      </c>
      <c r="R1296" s="290" t="s">
        <v>3501</v>
      </c>
      <c r="S1296" s="494" t="str">
        <f t="shared" si="41"/>
        <v>x</v>
      </c>
      <c r="T1296" s="495">
        <f>IFERROR(VLOOKUP(F1296,'Freq-Chan'!C:D,2,FALSE),"x")</f>
        <v>151.596</v>
      </c>
      <c r="U1296" s="493" t="s">
        <v>541</v>
      </c>
      <c r="V1296" s="493" t="str">
        <f t="shared" si="42"/>
        <v>FWL</v>
      </c>
      <c r="W1296" s="493" t="s">
        <v>541</v>
      </c>
      <c r="X1296" s="493" t="s">
        <v>541</v>
      </c>
      <c r="Y1296" s="493" t="str">
        <f>IFERROR(VLOOKUP(F1296,'Freq-Chan'!C:E,3,FALSE),"na")</f>
        <v>F1835</v>
      </c>
      <c r="Z1296" s="493" t="s">
        <v>541</v>
      </c>
      <c r="AA1296" s="493" t="s">
        <v>541</v>
      </c>
      <c r="AB1296" s="493" t="s">
        <v>541</v>
      </c>
      <c r="AC1296" s="291" t="s">
        <v>541</v>
      </c>
      <c r="AD1296" s="291" t="s">
        <v>541</v>
      </c>
    </row>
    <row r="1297" spans="1:30" x14ac:dyDescent="0.2">
      <c r="A1297" s="110">
        <v>1296</v>
      </c>
      <c r="B1297" s="132">
        <v>41847</v>
      </c>
      <c r="C1297" s="117">
        <v>3</v>
      </c>
      <c r="D1297" s="103" t="s">
        <v>70</v>
      </c>
      <c r="E1297" s="103" t="s">
        <v>306</v>
      </c>
      <c r="F1297" s="103">
        <v>515</v>
      </c>
      <c r="G1297" s="103">
        <v>39</v>
      </c>
      <c r="H1297" s="103" t="s">
        <v>2988</v>
      </c>
      <c r="I1297" s="103">
        <v>48</v>
      </c>
      <c r="K1297" s="103" t="s">
        <v>364</v>
      </c>
      <c r="L1297" s="133"/>
      <c r="M1297" s="134">
        <v>3.7499999999999999E-2</v>
      </c>
      <c r="N1297" s="137" t="s">
        <v>3351</v>
      </c>
      <c r="O1297" s="133" t="s">
        <v>376</v>
      </c>
      <c r="Q1297" s="100" t="s">
        <v>3462</v>
      </c>
      <c r="R1297" s="226" t="s">
        <v>3501</v>
      </c>
      <c r="S1297" s="491" t="str">
        <f t="shared" si="41"/>
        <v>x</v>
      </c>
      <c r="T1297" s="492">
        <f>IFERROR(VLOOKUP(F1297,'Freq-Chan'!C:D,2,FALSE),"x")</f>
        <v>151.51499999999999</v>
      </c>
      <c r="U1297" s="110" t="s">
        <v>541</v>
      </c>
      <c r="V1297" s="110" t="str">
        <f t="shared" si="42"/>
        <v>FWL</v>
      </c>
      <c r="W1297" s="110" t="s">
        <v>541</v>
      </c>
      <c r="X1297" s="110" t="s">
        <v>541</v>
      </c>
      <c r="Y1297" s="110" t="str">
        <f>IFERROR(VLOOKUP(F1297,'Freq-Chan'!C:E,3,FALSE),"na")</f>
        <v>F1835</v>
      </c>
      <c r="Z1297" s="110" t="s">
        <v>541</v>
      </c>
      <c r="AA1297" s="110" t="s">
        <v>541</v>
      </c>
      <c r="AB1297" s="110" t="s">
        <v>541</v>
      </c>
      <c r="AC1297" s="10" t="s">
        <v>541</v>
      </c>
      <c r="AD1297" s="10" t="s">
        <v>541</v>
      </c>
    </row>
    <row r="1298" spans="1:30" x14ac:dyDescent="0.2">
      <c r="A1298" s="110">
        <v>1297</v>
      </c>
      <c r="B1298" s="132">
        <v>41847</v>
      </c>
      <c r="C1298" s="117">
        <v>3</v>
      </c>
      <c r="D1298" s="103" t="s">
        <v>70</v>
      </c>
      <c r="E1298" s="103" t="s">
        <v>306</v>
      </c>
      <c r="F1298" s="103">
        <v>515</v>
      </c>
      <c r="G1298" s="103">
        <v>27</v>
      </c>
      <c r="H1298" s="103" t="s">
        <v>2989</v>
      </c>
      <c r="I1298" s="103">
        <v>48</v>
      </c>
      <c r="K1298" s="103" t="s">
        <v>364</v>
      </c>
      <c r="L1298" s="133"/>
      <c r="M1298" s="134">
        <v>3.6111111111111115E-2</v>
      </c>
      <c r="N1298" s="137" t="s">
        <v>3489</v>
      </c>
      <c r="O1298" s="133" t="s">
        <v>376</v>
      </c>
      <c r="Q1298" s="100" t="s">
        <v>3462</v>
      </c>
      <c r="R1298" s="226" t="s">
        <v>3501</v>
      </c>
      <c r="S1298" s="491" t="str">
        <f t="shared" si="41"/>
        <v>x</v>
      </c>
      <c r="T1298" s="492">
        <f>IFERROR(VLOOKUP(F1298,'Freq-Chan'!C:D,2,FALSE),"x")</f>
        <v>151.51499999999999</v>
      </c>
      <c r="U1298" s="110" t="s">
        <v>541</v>
      </c>
      <c r="V1298" s="110" t="str">
        <f t="shared" si="42"/>
        <v>FWL</v>
      </c>
      <c r="W1298" s="110" t="s">
        <v>541</v>
      </c>
      <c r="X1298" s="110" t="s">
        <v>541</v>
      </c>
      <c r="Y1298" s="110" t="str">
        <f>IFERROR(VLOOKUP(F1298,'Freq-Chan'!C:E,3,FALSE),"na")</f>
        <v>F1835</v>
      </c>
      <c r="Z1298" s="110" t="s">
        <v>541</v>
      </c>
      <c r="AA1298" s="110" t="s">
        <v>541</v>
      </c>
      <c r="AB1298" s="110" t="s">
        <v>541</v>
      </c>
      <c r="AC1298" s="10" t="s">
        <v>541</v>
      </c>
      <c r="AD1298" s="10" t="s">
        <v>541</v>
      </c>
    </row>
    <row r="1299" spans="1:30" x14ac:dyDescent="0.2">
      <c r="A1299" s="110">
        <v>1298</v>
      </c>
      <c r="B1299" s="132">
        <v>41847</v>
      </c>
      <c r="C1299" s="117">
        <v>3</v>
      </c>
      <c r="D1299" s="103" t="s">
        <v>70</v>
      </c>
      <c r="E1299" s="103" t="s">
        <v>306</v>
      </c>
      <c r="F1299" s="103">
        <v>596</v>
      </c>
      <c r="G1299" s="103">
        <v>49</v>
      </c>
      <c r="H1299" s="103" t="s">
        <v>2990</v>
      </c>
      <c r="I1299" s="103">
        <v>47</v>
      </c>
      <c r="K1299" s="103" t="s">
        <v>1032</v>
      </c>
      <c r="L1299" s="133"/>
      <c r="M1299" s="134">
        <v>3.6111111111111115E-2</v>
      </c>
      <c r="N1299" s="137" t="s">
        <v>3490</v>
      </c>
      <c r="O1299" s="133" t="s">
        <v>376</v>
      </c>
      <c r="Q1299" s="100" t="s">
        <v>3462</v>
      </c>
      <c r="R1299" s="226" t="s">
        <v>3501</v>
      </c>
      <c r="S1299" s="491" t="str">
        <f t="shared" si="41"/>
        <v>x</v>
      </c>
      <c r="T1299" s="492">
        <f>IFERROR(VLOOKUP(F1299,'Freq-Chan'!C:D,2,FALSE),"x")</f>
        <v>151.596</v>
      </c>
      <c r="U1299" s="110" t="s">
        <v>541</v>
      </c>
      <c r="V1299" s="110" t="str">
        <f t="shared" si="42"/>
        <v>FWL</v>
      </c>
      <c r="W1299" s="110" t="s">
        <v>541</v>
      </c>
      <c r="X1299" s="110" t="s">
        <v>541</v>
      </c>
      <c r="Y1299" s="110" t="str">
        <f>IFERROR(VLOOKUP(F1299,'Freq-Chan'!C:E,3,FALSE),"na")</f>
        <v>F1835</v>
      </c>
      <c r="Z1299" s="110" t="s">
        <v>541</v>
      </c>
      <c r="AA1299" s="110" t="s">
        <v>541</v>
      </c>
      <c r="AB1299" s="110" t="s">
        <v>541</v>
      </c>
      <c r="AC1299" s="10" t="s">
        <v>541</v>
      </c>
      <c r="AD1299" s="10" t="s">
        <v>541</v>
      </c>
    </row>
    <row r="1300" spans="1:30" x14ac:dyDescent="0.2">
      <c r="A1300" s="110">
        <v>1299</v>
      </c>
      <c r="B1300" s="132">
        <v>41847</v>
      </c>
      <c r="C1300" s="117">
        <v>3</v>
      </c>
      <c r="D1300" s="103" t="s">
        <v>70</v>
      </c>
      <c r="E1300" s="103" t="s">
        <v>306</v>
      </c>
      <c r="F1300" s="103">
        <v>596</v>
      </c>
      <c r="G1300" s="103">
        <v>36</v>
      </c>
      <c r="H1300" s="103" t="s">
        <v>2991</v>
      </c>
      <c r="I1300" s="103">
        <v>47</v>
      </c>
      <c r="K1300" s="103" t="s">
        <v>365</v>
      </c>
      <c r="L1300" s="133"/>
      <c r="M1300" s="134">
        <v>5.4166666666666669E-2</v>
      </c>
      <c r="N1300" s="137" t="s">
        <v>1571</v>
      </c>
      <c r="O1300" s="133" t="s">
        <v>376</v>
      </c>
      <c r="Q1300" s="100" t="s">
        <v>3462</v>
      </c>
      <c r="R1300" s="226" t="s">
        <v>3501</v>
      </c>
      <c r="S1300" s="491" t="str">
        <f t="shared" si="41"/>
        <v>x</v>
      </c>
      <c r="T1300" s="492">
        <f>IFERROR(VLOOKUP(F1300,'Freq-Chan'!C:D,2,FALSE),"x")</f>
        <v>151.596</v>
      </c>
      <c r="U1300" s="110" t="s">
        <v>541</v>
      </c>
      <c r="V1300" s="110" t="str">
        <f t="shared" si="42"/>
        <v>FWL</v>
      </c>
      <c r="W1300" s="110" t="s">
        <v>541</v>
      </c>
      <c r="X1300" s="110" t="s">
        <v>541</v>
      </c>
      <c r="Y1300" s="110" t="str">
        <f>IFERROR(VLOOKUP(F1300,'Freq-Chan'!C:E,3,FALSE),"na")</f>
        <v>F1835</v>
      </c>
      <c r="Z1300" s="110" t="s">
        <v>541</v>
      </c>
      <c r="AA1300" s="110" t="s">
        <v>541</v>
      </c>
      <c r="AB1300" s="110" t="s">
        <v>541</v>
      </c>
      <c r="AC1300" s="10" t="s">
        <v>541</v>
      </c>
      <c r="AD1300" s="10" t="s">
        <v>541</v>
      </c>
    </row>
    <row r="1301" spans="1:30" x14ac:dyDescent="0.2">
      <c r="A1301" s="110">
        <v>1300</v>
      </c>
      <c r="B1301" s="132">
        <v>41847</v>
      </c>
      <c r="C1301" s="117">
        <v>3</v>
      </c>
      <c r="D1301" s="103" t="s">
        <v>70</v>
      </c>
      <c r="E1301" s="103" t="s">
        <v>306</v>
      </c>
      <c r="F1301" s="103">
        <v>596</v>
      </c>
      <c r="G1301" s="103">
        <v>43</v>
      </c>
      <c r="H1301" s="103" t="s">
        <v>2992</v>
      </c>
      <c r="I1301" s="103">
        <v>51</v>
      </c>
      <c r="K1301" s="103" t="s">
        <v>1032</v>
      </c>
      <c r="L1301" s="133"/>
      <c r="M1301" s="134">
        <v>3.4027777777777775E-2</v>
      </c>
      <c r="N1301" s="137" t="s">
        <v>2689</v>
      </c>
      <c r="O1301" s="133" t="s">
        <v>376</v>
      </c>
      <c r="Q1301" s="100" t="s">
        <v>3462</v>
      </c>
      <c r="R1301" s="226" t="s">
        <v>3501</v>
      </c>
      <c r="S1301" s="491" t="str">
        <f t="shared" si="41"/>
        <v>x</v>
      </c>
      <c r="T1301" s="492">
        <f>IFERROR(VLOOKUP(F1301,'Freq-Chan'!C:D,2,FALSE),"x")</f>
        <v>151.596</v>
      </c>
      <c r="U1301" s="110" t="s">
        <v>541</v>
      </c>
      <c r="V1301" s="110" t="str">
        <f t="shared" si="42"/>
        <v>FWL</v>
      </c>
      <c r="W1301" s="110" t="s">
        <v>541</v>
      </c>
      <c r="X1301" s="110" t="s">
        <v>541</v>
      </c>
      <c r="Y1301" s="110" t="str">
        <f>IFERROR(VLOOKUP(F1301,'Freq-Chan'!C:E,3,FALSE),"na")</f>
        <v>F1835</v>
      </c>
      <c r="Z1301" s="110" t="s">
        <v>541</v>
      </c>
      <c r="AA1301" s="110" t="s">
        <v>541</v>
      </c>
      <c r="AB1301" s="110" t="s">
        <v>541</v>
      </c>
      <c r="AC1301" s="10" t="s">
        <v>541</v>
      </c>
      <c r="AD1301" s="10" t="s">
        <v>541</v>
      </c>
    </row>
    <row r="1302" spans="1:30" x14ac:dyDescent="0.2">
      <c r="A1302" s="110">
        <v>1301</v>
      </c>
      <c r="B1302" s="132">
        <v>41847</v>
      </c>
      <c r="C1302" s="117">
        <v>3</v>
      </c>
      <c r="D1302" s="103" t="s">
        <v>70</v>
      </c>
      <c r="E1302" s="103" t="s">
        <v>306</v>
      </c>
      <c r="H1302" s="103"/>
      <c r="I1302" s="103">
        <v>45</v>
      </c>
      <c r="K1302" s="103" t="s">
        <v>364</v>
      </c>
      <c r="L1302" s="133"/>
      <c r="M1302" s="134">
        <v>1.6666666666666666E-2</v>
      </c>
      <c r="N1302" s="137" t="s">
        <v>3452</v>
      </c>
      <c r="O1302" s="133" t="s">
        <v>376</v>
      </c>
      <c r="Q1302" s="100" t="s">
        <v>3462</v>
      </c>
      <c r="R1302" s="226" t="s">
        <v>3501</v>
      </c>
      <c r="S1302" s="491" t="str">
        <f t="shared" si="41"/>
        <v>x</v>
      </c>
      <c r="T1302" s="492" t="str">
        <f>IFERROR(VLOOKUP(F1302,'Freq-Chan'!C:D,2,FALSE),"x")</f>
        <v>x</v>
      </c>
      <c r="U1302" s="110" t="s">
        <v>541</v>
      </c>
      <c r="V1302" s="110" t="str">
        <f t="shared" si="42"/>
        <v>FWL</v>
      </c>
      <c r="W1302" s="110" t="s">
        <v>541</v>
      </c>
      <c r="X1302" s="110" t="s">
        <v>541</v>
      </c>
      <c r="Y1302" s="110" t="str">
        <f>IFERROR(VLOOKUP(F1302,'Freq-Chan'!C:E,3,FALSE),"na")</f>
        <v>na</v>
      </c>
      <c r="Z1302" s="110" t="s">
        <v>541</v>
      </c>
      <c r="AA1302" s="110" t="s">
        <v>541</v>
      </c>
      <c r="AB1302" s="110" t="s">
        <v>541</v>
      </c>
      <c r="AC1302" s="10" t="s">
        <v>541</v>
      </c>
      <c r="AD1302" s="10" t="s">
        <v>541</v>
      </c>
    </row>
    <row r="1303" spans="1:30" x14ac:dyDescent="0.2">
      <c r="A1303" s="110">
        <v>1302</v>
      </c>
      <c r="B1303" s="132">
        <v>41847</v>
      </c>
      <c r="C1303" s="117">
        <v>3</v>
      </c>
      <c r="D1303" s="103" t="s">
        <v>70</v>
      </c>
      <c r="E1303" s="103" t="s">
        <v>306</v>
      </c>
      <c r="H1303" s="103"/>
      <c r="I1303" s="103">
        <v>47</v>
      </c>
      <c r="K1303" s="103" t="s">
        <v>364</v>
      </c>
      <c r="L1303" s="133"/>
      <c r="M1303" s="134">
        <v>1.5972222222222224E-2</v>
      </c>
      <c r="N1303" s="137" t="s">
        <v>3491</v>
      </c>
      <c r="O1303" s="133" t="s">
        <v>376</v>
      </c>
      <c r="Q1303" s="100" t="s">
        <v>3462</v>
      </c>
      <c r="R1303" s="226" t="s">
        <v>3501</v>
      </c>
      <c r="S1303" s="491" t="str">
        <f t="shared" si="41"/>
        <v>x</v>
      </c>
      <c r="T1303" s="492" t="str">
        <f>IFERROR(VLOOKUP(F1303,'Freq-Chan'!C:D,2,FALSE),"x")</f>
        <v>x</v>
      </c>
      <c r="U1303" s="110" t="s">
        <v>541</v>
      </c>
      <c r="V1303" s="110" t="str">
        <f t="shared" si="42"/>
        <v>FWL</v>
      </c>
      <c r="W1303" s="110" t="s">
        <v>541</v>
      </c>
      <c r="X1303" s="110" t="s">
        <v>541</v>
      </c>
      <c r="Y1303" s="110" t="str">
        <f>IFERROR(VLOOKUP(F1303,'Freq-Chan'!C:E,3,FALSE),"na")</f>
        <v>na</v>
      </c>
      <c r="Z1303" s="110" t="s">
        <v>541</v>
      </c>
      <c r="AA1303" s="110" t="s">
        <v>541</v>
      </c>
      <c r="AB1303" s="110" t="s">
        <v>541</v>
      </c>
      <c r="AC1303" s="10" t="s">
        <v>541</v>
      </c>
      <c r="AD1303" s="10" t="s">
        <v>541</v>
      </c>
    </row>
    <row r="1304" spans="1:30" x14ac:dyDescent="0.2">
      <c r="A1304" s="110">
        <v>1303</v>
      </c>
      <c r="B1304" s="132">
        <v>41847</v>
      </c>
      <c r="C1304" s="117">
        <v>3</v>
      </c>
      <c r="D1304" s="103" t="s">
        <v>8</v>
      </c>
      <c r="E1304" s="103" t="s">
        <v>306</v>
      </c>
      <c r="F1304" s="103">
        <v>573</v>
      </c>
      <c r="G1304" s="103">
        <v>82</v>
      </c>
      <c r="H1304" s="103" t="s">
        <v>2147</v>
      </c>
      <c r="I1304" s="103">
        <v>59</v>
      </c>
      <c r="K1304" s="103" t="s">
        <v>364</v>
      </c>
      <c r="L1304" s="133"/>
      <c r="M1304" s="134">
        <v>7.2916666666666671E-2</v>
      </c>
      <c r="N1304" s="137" t="s">
        <v>3294</v>
      </c>
      <c r="O1304" s="133" t="s">
        <v>376</v>
      </c>
      <c r="Q1304" s="100" t="s">
        <v>3462</v>
      </c>
      <c r="R1304" s="226" t="s">
        <v>3501</v>
      </c>
      <c r="S1304" s="491" t="str">
        <f t="shared" si="41"/>
        <v>x</v>
      </c>
      <c r="T1304" s="492">
        <f>IFERROR(VLOOKUP(F1304,'Freq-Chan'!C:D,2,FALSE),"x")</f>
        <v>151.57300000000001</v>
      </c>
      <c r="U1304" s="110" t="s">
        <v>541</v>
      </c>
      <c r="V1304" s="110" t="str">
        <f t="shared" si="42"/>
        <v>FWL</v>
      </c>
      <c r="W1304" s="110" t="s">
        <v>541</v>
      </c>
      <c r="X1304" s="110" t="s">
        <v>541</v>
      </c>
      <c r="Y1304" s="110" t="str">
        <f>IFERROR(VLOOKUP(F1304,'Freq-Chan'!C:E,3,FALSE),"na")</f>
        <v>F1840</v>
      </c>
      <c r="Z1304" s="110" t="s">
        <v>541</v>
      </c>
      <c r="AA1304" s="110" t="s">
        <v>541</v>
      </c>
      <c r="AB1304" s="110" t="s">
        <v>541</v>
      </c>
      <c r="AC1304" s="10" t="s">
        <v>541</v>
      </c>
      <c r="AD1304" s="10" t="s">
        <v>541</v>
      </c>
    </row>
    <row r="1305" spans="1:30" x14ac:dyDescent="0.2">
      <c r="A1305" s="110">
        <v>1304</v>
      </c>
      <c r="B1305" s="132">
        <v>41847</v>
      </c>
      <c r="C1305" s="117">
        <v>3</v>
      </c>
      <c r="D1305" s="103" t="s">
        <v>70</v>
      </c>
      <c r="E1305" s="103" t="s">
        <v>306</v>
      </c>
      <c r="H1305" s="103"/>
      <c r="I1305" s="103">
        <v>43</v>
      </c>
      <c r="K1305" s="103" t="s">
        <v>1032</v>
      </c>
      <c r="L1305" s="133"/>
      <c r="M1305" s="134">
        <v>1.8055555555555557E-2</v>
      </c>
      <c r="N1305" s="137" t="s">
        <v>3492</v>
      </c>
      <c r="O1305" s="133" t="s">
        <v>555</v>
      </c>
      <c r="Q1305" s="100" t="s">
        <v>3462</v>
      </c>
      <c r="R1305" s="226" t="s">
        <v>3501</v>
      </c>
      <c r="S1305" s="491" t="str">
        <f t="shared" si="41"/>
        <v>x</v>
      </c>
      <c r="T1305" s="492" t="str">
        <f>IFERROR(VLOOKUP(F1305,'Freq-Chan'!C:D,2,FALSE),"x")</f>
        <v>x</v>
      </c>
      <c r="U1305" s="110" t="s">
        <v>541</v>
      </c>
      <c r="V1305" s="110" t="str">
        <f t="shared" si="42"/>
        <v>FWL</v>
      </c>
      <c r="W1305" s="110" t="s">
        <v>541</v>
      </c>
      <c r="X1305" s="110" t="s">
        <v>541</v>
      </c>
      <c r="Y1305" s="110" t="str">
        <f>IFERROR(VLOOKUP(F1305,'Freq-Chan'!C:E,3,FALSE),"na")</f>
        <v>na</v>
      </c>
      <c r="Z1305" s="110" t="s">
        <v>541</v>
      </c>
      <c r="AA1305" s="110" t="s">
        <v>541</v>
      </c>
      <c r="AB1305" s="110" t="s">
        <v>541</v>
      </c>
      <c r="AC1305" s="10" t="s">
        <v>541</v>
      </c>
      <c r="AD1305" s="10" t="s">
        <v>541</v>
      </c>
    </row>
    <row r="1306" spans="1:30" x14ac:dyDescent="0.2">
      <c r="A1306" s="110">
        <v>1305</v>
      </c>
      <c r="B1306" s="132">
        <v>41847</v>
      </c>
      <c r="C1306" s="117">
        <v>3</v>
      </c>
      <c r="D1306" s="103" t="s">
        <v>70</v>
      </c>
      <c r="E1306" s="103" t="s">
        <v>306</v>
      </c>
      <c r="H1306" s="103"/>
      <c r="I1306" s="103">
        <v>49</v>
      </c>
      <c r="K1306" s="103" t="s">
        <v>1032</v>
      </c>
      <c r="L1306" s="133"/>
      <c r="M1306" s="134">
        <v>1.6666666666666666E-2</v>
      </c>
      <c r="N1306" s="137" t="s">
        <v>3493</v>
      </c>
      <c r="O1306" s="133" t="s">
        <v>555</v>
      </c>
      <c r="Q1306" s="100" t="s">
        <v>3462</v>
      </c>
      <c r="R1306" s="226" t="s">
        <v>3501</v>
      </c>
      <c r="S1306" s="491" t="str">
        <f t="shared" si="41"/>
        <v>x</v>
      </c>
      <c r="T1306" s="492" t="str">
        <f>IFERROR(VLOOKUP(F1306,'Freq-Chan'!C:D,2,FALSE),"x")</f>
        <v>x</v>
      </c>
      <c r="U1306" s="110" t="s">
        <v>541</v>
      </c>
      <c r="V1306" s="110" t="str">
        <f t="shared" si="42"/>
        <v>FWL</v>
      </c>
      <c r="W1306" s="110" t="s">
        <v>541</v>
      </c>
      <c r="X1306" s="110" t="s">
        <v>541</v>
      </c>
      <c r="Y1306" s="110" t="str">
        <f>IFERROR(VLOOKUP(F1306,'Freq-Chan'!C:E,3,FALSE),"na")</f>
        <v>na</v>
      </c>
      <c r="Z1306" s="110" t="s">
        <v>541</v>
      </c>
      <c r="AA1306" s="110" t="s">
        <v>541</v>
      </c>
      <c r="AB1306" s="110" t="s">
        <v>541</v>
      </c>
      <c r="AC1306" s="10" t="s">
        <v>541</v>
      </c>
      <c r="AD1306" s="10" t="s">
        <v>541</v>
      </c>
    </row>
    <row r="1307" spans="1:30" x14ac:dyDescent="0.2">
      <c r="A1307" s="110">
        <v>1306</v>
      </c>
      <c r="B1307" s="132">
        <v>41847</v>
      </c>
      <c r="C1307" s="117">
        <v>3</v>
      </c>
      <c r="D1307" s="103" t="s">
        <v>70</v>
      </c>
      <c r="E1307" s="103" t="s">
        <v>306</v>
      </c>
      <c r="H1307" s="103"/>
      <c r="I1307" s="103">
        <v>46</v>
      </c>
      <c r="K1307" s="103" t="s">
        <v>365</v>
      </c>
      <c r="L1307" s="133"/>
      <c r="M1307" s="134">
        <v>2.2222222222222223E-2</v>
      </c>
      <c r="N1307" s="137" t="s">
        <v>3494</v>
      </c>
      <c r="O1307" s="133" t="s">
        <v>555</v>
      </c>
      <c r="Q1307" s="100" t="s">
        <v>3462</v>
      </c>
      <c r="R1307" s="226" t="s">
        <v>3501</v>
      </c>
      <c r="S1307" s="491" t="str">
        <f t="shared" si="41"/>
        <v>x</v>
      </c>
      <c r="T1307" s="492" t="str">
        <f>IFERROR(VLOOKUP(F1307,'Freq-Chan'!C:D,2,FALSE),"x")</f>
        <v>x</v>
      </c>
      <c r="U1307" s="110" t="s">
        <v>541</v>
      </c>
      <c r="V1307" s="110" t="str">
        <f t="shared" si="42"/>
        <v>FWL</v>
      </c>
      <c r="W1307" s="110" t="s">
        <v>541</v>
      </c>
      <c r="X1307" s="110" t="s">
        <v>541</v>
      </c>
      <c r="Y1307" s="110" t="str">
        <f>IFERROR(VLOOKUP(F1307,'Freq-Chan'!C:E,3,FALSE),"na")</f>
        <v>na</v>
      </c>
      <c r="Z1307" s="110" t="s">
        <v>541</v>
      </c>
      <c r="AA1307" s="110" t="s">
        <v>541</v>
      </c>
      <c r="AB1307" s="110" t="s">
        <v>541</v>
      </c>
      <c r="AC1307" s="10" t="s">
        <v>541</v>
      </c>
      <c r="AD1307" s="10" t="s">
        <v>541</v>
      </c>
    </row>
    <row r="1308" spans="1:30" x14ac:dyDescent="0.2">
      <c r="A1308" s="110">
        <v>1307</v>
      </c>
      <c r="B1308" s="132">
        <v>41847</v>
      </c>
      <c r="C1308" s="117">
        <v>3</v>
      </c>
      <c r="D1308" s="103" t="s">
        <v>70</v>
      </c>
      <c r="E1308" s="103" t="s">
        <v>306</v>
      </c>
      <c r="H1308" s="103"/>
      <c r="I1308" s="103">
        <v>48</v>
      </c>
      <c r="K1308" s="103" t="s">
        <v>1032</v>
      </c>
      <c r="L1308" s="133"/>
      <c r="M1308" s="134">
        <v>1.7361111111111112E-2</v>
      </c>
      <c r="N1308" s="137" t="s">
        <v>3495</v>
      </c>
      <c r="O1308" s="133" t="s">
        <v>555</v>
      </c>
      <c r="Q1308" s="100" t="s">
        <v>3462</v>
      </c>
      <c r="R1308" s="226" t="s">
        <v>3501</v>
      </c>
      <c r="S1308" s="491" t="str">
        <f t="shared" si="41"/>
        <v>x</v>
      </c>
      <c r="T1308" s="492" t="str">
        <f>IFERROR(VLOOKUP(F1308,'Freq-Chan'!C:D,2,FALSE),"x")</f>
        <v>x</v>
      </c>
      <c r="U1308" s="110" t="s">
        <v>541</v>
      </c>
      <c r="V1308" s="110" t="str">
        <f t="shared" si="42"/>
        <v>FWL</v>
      </c>
      <c r="W1308" s="110" t="s">
        <v>541</v>
      </c>
      <c r="X1308" s="110" t="s">
        <v>541</v>
      </c>
      <c r="Y1308" s="110" t="str">
        <f>IFERROR(VLOOKUP(F1308,'Freq-Chan'!C:E,3,FALSE),"na")</f>
        <v>na</v>
      </c>
      <c r="Z1308" s="110" t="s">
        <v>541</v>
      </c>
      <c r="AA1308" s="110" t="s">
        <v>541</v>
      </c>
      <c r="AB1308" s="110" t="s">
        <v>541</v>
      </c>
      <c r="AC1308" s="10" t="s">
        <v>541</v>
      </c>
      <c r="AD1308" s="10" t="s">
        <v>541</v>
      </c>
    </row>
    <row r="1309" spans="1:30" x14ac:dyDescent="0.2">
      <c r="A1309" s="110">
        <v>1308</v>
      </c>
      <c r="B1309" s="132">
        <v>41847</v>
      </c>
      <c r="C1309" s="117">
        <v>3</v>
      </c>
      <c r="D1309" s="103" t="s">
        <v>70</v>
      </c>
      <c r="E1309" s="103" t="s">
        <v>306</v>
      </c>
      <c r="H1309" s="103"/>
      <c r="I1309" s="103">
        <v>46</v>
      </c>
      <c r="K1309" s="103" t="s">
        <v>364</v>
      </c>
      <c r="L1309" s="133"/>
      <c r="M1309" s="134">
        <v>1.8749999999999999E-2</v>
      </c>
      <c r="N1309" s="137" t="s">
        <v>395</v>
      </c>
      <c r="O1309" s="133" t="s">
        <v>555</v>
      </c>
      <c r="Q1309" s="100" t="s">
        <v>3462</v>
      </c>
      <c r="R1309" s="226" t="s">
        <v>3501</v>
      </c>
      <c r="S1309" s="491" t="str">
        <f t="shared" si="41"/>
        <v>x</v>
      </c>
      <c r="T1309" s="492" t="str">
        <f>IFERROR(VLOOKUP(F1309,'Freq-Chan'!C:D,2,FALSE),"x")</f>
        <v>x</v>
      </c>
      <c r="U1309" s="110" t="s">
        <v>541</v>
      </c>
      <c r="V1309" s="110" t="str">
        <f t="shared" si="42"/>
        <v>FWL</v>
      </c>
      <c r="W1309" s="110" t="s">
        <v>541</v>
      </c>
      <c r="X1309" s="110" t="s">
        <v>541</v>
      </c>
      <c r="Y1309" s="110" t="str">
        <f>IFERROR(VLOOKUP(F1309,'Freq-Chan'!C:E,3,FALSE),"na")</f>
        <v>na</v>
      </c>
      <c r="Z1309" s="110" t="s">
        <v>541</v>
      </c>
      <c r="AA1309" s="110" t="s">
        <v>541</v>
      </c>
      <c r="AB1309" s="110" t="s">
        <v>541</v>
      </c>
      <c r="AC1309" s="10" t="s">
        <v>541</v>
      </c>
      <c r="AD1309" s="10" t="s">
        <v>541</v>
      </c>
    </row>
    <row r="1310" spans="1:30" x14ac:dyDescent="0.2">
      <c r="A1310" s="110">
        <v>1309</v>
      </c>
      <c r="B1310" s="132">
        <v>41847</v>
      </c>
      <c r="C1310" s="117">
        <v>3</v>
      </c>
      <c r="D1310" s="103" t="s">
        <v>70</v>
      </c>
      <c r="E1310" s="103" t="s">
        <v>306</v>
      </c>
      <c r="H1310" s="103"/>
      <c r="I1310" s="103">
        <v>51</v>
      </c>
      <c r="K1310" s="103" t="s">
        <v>1032</v>
      </c>
      <c r="L1310" s="133"/>
      <c r="M1310" s="134">
        <v>3.0555555555555555E-2</v>
      </c>
      <c r="N1310" s="137" t="s">
        <v>3424</v>
      </c>
      <c r="O1310" s="133" t="s">
        <v>555</v>
      </c>
      <c r="Q1310" s="100" t="s">
        <v>3462</v>
      </c>
      <c r="R1310" s="226" t="s">
        <v>3501</v>
      </c>
      <c r="S1310" s="491" t="str">
        <f t="shared" si="41"/>
        <v>x</v>
      </c>
      <c r="T1310" s="492" t="str">
        <f>IFERROR(VLOOKUP(F1310,'Freq-Chan'!C:D,2,FALSE),"x")</f>
        <v>x</v>
      </c>
      <c r="U1310" s="110" t="s">
        <v>541</v>
      </c>
      <c r="V1310" s="110" t="str">
        <f t="shared" si="42"/>
        <v>FWL</v>
      </c>
      <c r="W1310" s="110" t="s">
        <v>541</v>
      </c>
      <c r="X1310" s="110" t="s">
        <v>541</v>
      </c>
      <c r="Y1310" s="110" t="str">
        <f>IFERROR(VLOOKUP(F1310,'Freq-Chan'!C:E,3,FALSE),"na")</f>
        <v>na</v>
      </c>
      <c r="Z1310" s="110" t="s">
        <v>541</v>
      </c>
      <c r="AA1310" s="110" t="s">
        <v>541</v>
      </c>
      <c r="AB1310" s="110" t="s">
        <v>541</v>
      </c>
      <c r="AC1310" s="10" t="s">
        <v>541</v>
      </c>
      <c r="AD1310" s="10" t="s">
        <v>541</v>
      </c>
    </row>
    <row r="1311" spans="1:30" x14ac:dyDescent="0.2">
      <c r="A1311" s="110">
        <v>1310</v>
      </c>
      <c r="B1311" s="132">
        <v>41847</v>
      </c>
      <c r="C1311" s="117">
        <v>3</v>
      </c>
      <c r="D1311" s="103" t="s">
        <v>70</v>
      </c>
      <c r="E1311" s="103" t="s">
        <v>306</v>
      </c>
      <c r="H1311" s="103"/>
      <c r="I1311" s="103">
        <v>48</v>
      </c>
      <c r="K1311" s="103" t="s">
        <v>365</v>
      </c>
      <c r="L1311" s="133"/>
      <c r="M1311" s="134">
        <v>2.7777777777777776E-2</v>
      </c>
      <c r="N1311" s="137" t="s">
        <v>3496</v>
      </c>
      <c r="O1311" s="133" t="s">
        <v>555</v>
      </c>
      <c r="Q1311" s="100" t="s">
        <v>3462</v>
      </c>
      <c r="R1311" s="226" t="s">
        <v>3501</v>
      </c>
      <c r="S1311" s="491" t="str">
        <f t="shared" si="41"/>
        <v>x</v>
      </c>
      <c r="T1311" s="492" t="str">
        <f>IFERROR(VLOOKUP(F1311,'Freq-Chan'!C:D,2,FALSE),"x")</f>
        <v>x</v>
      </c>
      <c r="U1311" s="110" t="s">
        <v>541</v>
      </c>
      <c r="V1311" s="110" t="str">
        <f t="shared" si="42"/>
        <v>FWL</v>
      </c>
      <c r="W1311" s="110" t="s">
        <v>541</v>
      </c>
      <c r="X1311" s="110" t="s">
        <v>541</v>
      </c>
      <c r="Y1311" s="110" t="str">
        <f>IFERROR(VLOOKUP(F1311,'Freq-Chan'!C:E,3,FALSE),"na")</f>
        <v>na</v>
      </c>
      <c r="Z1311" s="110" t="s">
        <v>541</v>
      </c>
      <c r="AA1311" s="110" t="s">
        <v>541</v>
      </c>
      <c r="AB1311" s="110" t="s">
        <v>541</v>
      </c>
      <c r="AC1311" s="10" t="s">
        <v>541</v>
      </c>
      <c r="AD1311" s="10" t="s">
        <v>541</v>
      </c>
    </row>
    <row r="1312" spans="1:30" x14ac:dyDescent="0.2">
      <c r="A1312" s="110">
        <v>1311</v>
      </c>
      <c r="B1312" s="132">
        <v>41847</v>
      </c>
      <c r="C1312" s="117">
        <v>3</v>
      </c>
      <c r="D1312" s="103" t="s">
        <v>70</v>
      </c>
      <c r="E1312" s="103" t="s">
        <v>306</v>
      </c>
      <c r="H1312" s="103"/>
      <c r="I1312" s="103">
        <v>46</v>
      </c>
      <c r="K1312" s="103" t="s">
        <v>365</v>
      </c>
      <c r="L1312" s="133"/>
      <c r="M1312" s="134">
        <v>1.9444444444444445E-2</v>
      </c>
      <c r="N1312" s="137" t="s">
        <v>3497</v>
      </c>
      <c r="O1312" s="133" t="s">
        <v>555</v>
      </c>
      <c r="Q1312" s="100" t="s">
        <v>3462</v>
      </c>
      <c r="R1312" s="226" t="s">
        <v>3501</v>
      </c>
      <c r="S1312" s="491" t="str">
        <f t="shared" si="41"/>
        <v>x</v>
      </c>
      <c r="T1312" s="492" t="str">
        <f>IFERROR(VLOOKUP(F1312,'Freq-Chan'!C:D,2,FALSE),"x")</f>
        <v>x</v>
      </c>
      <c r="U1312" s="110" t="s">
        <v>541</v>
      </c>
      <c r="V1312" s="110" t="str">
        <f t="shared" si="42"/>
        <v>FWL</v>
      </c>
      <c r="W1312" s="110" t="s">
        <v>541</v>
      </c>
      <c r="X1312" s="110" t="s">
        <v>541</v>
      </c>
      <c r="Y1312" s="110" t="str">
        <f>IFERROR(VLOOKUP(F1312,'Freq-Chan'!C:E,3,FALSE),"na")</f>
        <v>na</v>
      </c>
      <c r="Z1312" s="110" t="s">
        <v>541</v>
      </c>
      <c r="AA1312" s="110" t="s">
        <v>541</v>
      </c>
      <c r="AB1312" s="110" t="s">
        <v>541</v>
      </c>
      <c r="AC1312" s="10" t="s">
        <v>541</v>
      </c>
      <c r="AD1312" s="10" t="s">
        <v>541</v>
      </c>
    </row>
    <row r="1313" spans="1:30" x14ac:dyDescent="0.2">
      <c r="A1313" s="110">
        <v>1312</v>
      </c>
      <c r="B1313" s="132">
        <v>41847</v>
      </c>
      <c r="C1313" s="117">
        <v>3</v>
      </c>
      <c r="D1313" s="103" t="s">
        <v>8</v>
      </c>
      <c r="E1313" s="103" t="s">
        <v>306</v>
      </c>
      <c r="F1313" s="103">
        <v>586</v>
      </c>
      <c r="G1313" s="103">
        <v>26</v>
      </c>
      <c r="H1313" s="103" t="s">
        <v>2148</v>
      </c>
      <c r="I1313" s="103">
        <v>54</v>
      </c>
      <c r="K1313" s="103" t="s">
        <v>364</v>
      </c>
      <c r="L1313" s="133"/>
      <c r="M1313" s="134">
        <v>4.5833333333333337E-2</v>
      </c>
      <c r="N1313" s="137" t="s">
        <v>3498</v>
      </c>
      <c r="O1313" s="133" t="s">
        <v>555</v>
      </c>
      <c r="Q1313" s="100" t="s">
        <v>3462</v>
      </c>
      <c r="R1313" s="226" t="s">
        <v>3501</v>
      </c>
      <c r="S1313" s="491" t="str">
        <f t="shared" si="41"/>
        <v>x</v>
      </c>
      <c r="T1313" s="492">
        <f>IFERROR(VLOOKUP(F1313,'Freq-Chan'!C:D,2,FALSE),"x")</f>
        <v>151.58600000000001</v>
      </c>
      <c r="U1313" s="110" t="s">
        <v>541</v>
      </c>
      <c r="V1313" s="110" t="str">
        <f t="shared" si="42"/>
        <v>FWL</v>
      </c>
      <c r="W1313" s="110" t="s">
        <v>541</v>
      </c>
      <c r="X1313" s="110" t="s">
        <v>541</v>
      </c>
      <c r="Y1313" s="110" t="str">
        <f>IFERROR(VLOOKUP(F1313,'Freq-Chan'!C:E,3,FALSE),"na")</f>
        <v>F1840</v>
      </c>
      <c r="Z1313" s="110" t="s">
        <v>541</v>
      </c>
      <c r="AA1313" s="110" t="s">
        <v>541</v>
      </c>
      <c r="AB1313" s="110" t="s">
        <v>541</v>
      </c>
      <c r="AC1313" s="10" t="s">
        <v>541</v>
      </c>
      <c r="AD1313" s="10" t="s">
        <v>541</v>
      </c>
    </row>
    <row r="1314" spans="1:30" x14ac:dyDescent="0.2">
      <c r="A1314" s="110">
        <v>1313</v>
      </c>
      <c r="B1314" s="132">
        <v>41847</v>
      </c>
      <c r="C1314" s="117">
        <v>3</v>
      </c>
      <c r="D1314" s="103" t="s">
        <v>8</v>
      </c>
      <c r="E1314" s="103" t="s">
        <v>306</v>
      </c>
      <c r="F1314" s="103">
        <v>586</v>
      </c>
      <c r="G1314" s="103">
        <v>63</v>
      </c>
      <c r="H1314" s="103" t="s">
        <v>2158</v>
      </c>
      <c r="I1314" s="103">
        <v>58</v>
      </c>
      <c r="K1314" s="103" t="s">
        <v>364</v>
      </c>
      <c r="L1314" s="133"/>
      <c r="M1314" s="134">
        <v>8.3333333333333329E-2</v>
      </c>
      <c r="N1314" s="137" t="s">
        <v>846</v>
      </c>
      <c r="O1314" s="133" t="s">
        <v>1888</v>
      </c>
      <c r="Q1314" s="100" t="s">
        <v>3468</v>
      </c>
      <c r="R1314" s="226" t="s">
        <v>3501</v>
      </c>
      <c r="S1314" s="491" t="str">
        <f t="shared" si="41"/>
        <v>x</v>
      </c>
      <c r="T1314" s="492">
        <f>IFERROR(VLOOKUP(F1314,'Freq-Chan'!C:D,2,FALSE),"x")</f>
        <v>151.58600000000001</v>
      </c>
      <c r="U1314" s="110" t="s">
        <v>541</v>
      </c>
      <c r="V1314" s="110" t="str">
        <f t="shared" si="42"/>
        <v>FWL</v>
      </c>
      <c r="W1314" s="110" t="s">
        <v>541</v>
      </c>
      <c r="X1314" s="110" t="s">
        <v>541</v>
      </c>
      <c r="Y1314" s="110" t="str">
        <f>IFERROR(VLOOKUP(F1314,'Freq-Chan'!C:E,3,FALSE),"na")</f>
        <v>F1840</v>
      </c>
      <c r="Z1314" s="110" t="s">
        <v>541</v>
      </c>
      <c r="AA1314" s="110" t="s">
        <v>541</v>
      </c>
      <c r="AB1314" s="110" t="s">
        <v>541</v>
      </c>
      <c r="AC1314" s="10" t="s">
        <v>541</v>
      </c>
      <c r="AD1314" s="10" t="s">
        <v>541</v>
      </c>
    </row>
    <row r="1315" spans="1:30" x14ac:dyDescent="0.2">
      <c r="A1315" s="110">
        <v>1314</v>
      </c>
      <c r="B1315" s="132">
        <v>41847</v>
      </c>
      <c r="C1315" s="117">
        <v>3</v>
      </c>
      <c r="D1315" s="103" t="s">
        <v>71</v>
      </c>
      <c r="E1315" s="103" t="s">
        <v>306</v>
      </c>
      <c r="H1315" s="103"/>
      <c r="I1315" s="103">
        <v>59</v>
      </c>
      <c r="K1315" s="103" t="s">
        <v>364</v>
      </c>
      <c r="L1315" s="133">
        <v>0.75902777777777775</v>
      </c>
      <c r="M1315" s="134">
        <v>2.1527777777777781E-2</v>
      </c>
      <c r="N1315" s="137" t="s">
        <v>2543</v>
      </c>
      <c r="O1315" s="133" t="s">
        <v>1585</v>
      </c>
      <c r="Q1315" s="100" t="s">
        <v>3468</v>
      </c>
      <c r="R1315" s="226" t="s">
        <v>3501</v>
      </c>
      <c r="S1315" s="491">
        <f t="shared" si="41"/>
        <v>1.7245369999999999E-3</v>
      </c>
      <c r="T1315" s="492" t="str">
        <f>IFERROR(VLOOKUP(F1315,'Freq-Chan'!C:D,2,FALSE),"x")</f>
        <v>x</v>
      </c>
      <c r="U1315" s="110" t="s">
        <v>541</v>
      </c>
      <c r="V1315" s="110" t="str">
        <f t="shared" si="42"/>
        <v>FWL</v>
      </c>
      <c r="W1315" s="110" t="s">
        <v>541</v>
      </c>
      <c r="X1315" s="110" t="s">
        <v>541</v>
      </c>
      <c r="Y1315" s="110" t="str">
        <f>IFERROR(VLOOKUP(F1315,'Freq-Chan'!C:E,3,FALSE),"na")</f>
        <v>na</v>
      </c>
      <c r="Z1315" s="110" t="s">
        <v>541</v>
      </c>
      <c r="AA1315" s="110" t="s">
        <v>541</v>
      </c>
      <c r="AB1315" s="110" t="s">
        <v>541</v>
      </c>
      <c r="AC1315" s="10" t="s">
        <v>541</v>
      </c>
      <c r="AD1315" s="10" t="s">
        <v>541</v>
      </c>
    </row>
    <row r="1316" spans="1:30" x14ac:dyDescent="0.2">
      <c r="A1316" s="110">
        <v>1315</v>
      </c>
      <c r="B1316" s="132">
        <v>41847</v>
      </c>
      <c r="C1316" s="117">
        <v>3</v>
      </c>
      <c r="D1316" s="103" t="s">
        <v>71</v>
      </c>
      <c r="E1316" s="103" t="s">
        <v>306</v>
      </c>
      <c r="H1316" s="103"/>
      <c r="I1316" s="103">
        <v>59</v>
      </c>
      <c r="K1316" s="103" t="s">
        <v>364</v>
      </c>
      <c r="L1316" s="133">
        <v>0.76527777777777783</v>
      </c>
      <c r="M1316" s="134">
        <v>1.8749999999999999E-2</v>
      </c>
      <c r="N1316" s="137" t="s">
        <v>1805</v>
      </c>
      <c r="O1316" s="133" t="s">
        <v>1585</v>
      </c>
      <c r="P1316" s="100" t="s">
        <v>3499</v>
      </c>
      <c r="Q1316" s="100" t="s">
        <v>3468</v>
      </c>
      <c r="R1316" s="226" t="s">
        <v>3501</v>
      </c>
      <c r="S1316" s="503">
        <f t="shared" si="41"/>
        <v>2.4652777999999999E-3</v>
      </c>
      <c r="T1316" s="492" t="str">
        <f>IFERROR(VLOOKUP(F1316,'Freq-Chan'!C:D,2,FALSE),"x")</f>
        <v>x</v>
      </c>
      <c r="U1316" s="110" t="s">
        <v>541</v>
      </c>
      <c r="V1316" s="110" t="str">
        <f t="shared" si="42"/>
        <v>FWL</v>
      </c>
      <c r="W1316" s="110" t="s">
        <v>541</v>
      </c>
      <c r="X1316" s="110" t="s">
        <v>541</v>
      </c>
      <c r="Y1316" s="110" t="str">
        <f>IFERROR(VLOOKUP(F1316,'Freq-Chan'!C:E,3,FALSE),"na")</f>
        <v>na</v>
      </c>
      <c r="Z1316" s="110" t="s">
        <v>541</v>
      </c>
      <c r="AA1316" s="110" t="s">
        <v>541</v>
      </c>
      <c r="AB1316" s="110" t="s">
        <v>541</v>
      </c>
      <c r="AC1316" s="10" t="s">
        <v>541</v>
      </c>
      <c r="AD1316" s="10" t="s">
        <v>541</v>
      </c>
    </row>
    <row r="1317" spans="1:30" s="291" customFormat="1" x14ac:dyDescent="0.2">
      <c r="A1317" s="493">
        <v>1316</v>
      </c>
      <c r="B1317" s="283">
        <v>41847</v>
      </c>
      <c r="C1317" s="284">
        <v>3</v>
      </c>
      <c r="D1317" s="285" t="s">
        <v>71</v>
      </c>
      <c r="E1317" s="285" t="s">
        <v>306</v>
      </c>
      <c r="F1317" s="285"/>
      <c r="G1317" s="285"/>
      <c r="H1317" s="285"/>
      <c r="I1317" s="285">
        <v>59</v>
      </c>
      <c r="J1317" s="285"/>
      <c r="K1317" s="285" t="s">
        <v>364</v>
      </c>
      <c r="L1317" s="286">
        <v>0.76944444444444438</v>
      </c>
      <c r="M1317" s="287">
        <v>2.2222222222222223E-2</v>
      </c>
      <c r="N1317" s="339" t="s">
        <v>2745</v>
      </c>
      <c r="O1317" s="286" t="s">
        <v>1888</v>
      </c>
      <c r="P1317" s="289" t="s">
        <v>3500</v>
      </c>
      <c r="Q1317" s="289" t="s">
        <v>3468</v>
      </c>
      <c r="R1317" s="290" t="s">
        <v>3501</v>
      </c>
      <c r="S1317" s="494">
        <f t="shared" si="41"/>
        <v>1.0185184999999999E-3</v>
      </c>
      <c r="T1317" s="495" t="str">
        <f>IFERROR(VLOOKUP(F1317,'Freq-Chan'!C:D,2,FALSE),"x")</f>
        <v>x</v>
      </c>
      <c r="U1317" s="493" t="s">
        <v>541</v>
      </c>
      <c r="V1317" s="493" t="str">
        <f t="shared" si="42"/>
        <v>FWL</v>
      </c>
      <c r="W1317" s="493" t="s">
        <v>541</v>
      </c>
      <c r="X1317" s="493" t="s">
        <v>541</v>
      </c>
      <c r="Y1317" s="493" t="str">
        <f>IFERROR(VLOOKUP(F1317,'Freq-Chan'!C:E,3,FALSE),"na")</f>
        <v>na</v>
      </c>
      <c r="Z1317" s="493" t="s">
        <v>541</v>
      </c>
      <c r="AA1317" s="493" t="s">
        <v>541</v>
      </c>
      <c r="AB1317" s="493" t="s">
        <v>541</v>
      </c>
      <c r="AC1317" s="291" t="s">
        <v>541</v>
      </c>
      <c r="AD1317" s="291" t="s">
        <v>541</v>
      </c>
    </row>
    <row r="1318" spans="1:30" x14ac:dyDescent="0.2">
      <c r="A1318" s="110">
        <v>1317</v>
      </c>
      <c r="B1318" s="132">
        <v>41848</v>
      </c>
      <c r="C1318" s="117">
        <v>1</v>
      </c>
      <c r="D1318" s="103" t="s">
        <v>70</v>
      </c>
      <c r="E1318" s="103" t="s">
        <v>306</v>
      </c>
      <c r="F1318" s="103">
        <v>596</v>
      </c>
      <c r="G1318" s="103">
        <v>32</v>
      </c>
      <c r="H1318" s="103" t="s">
        <v>2998</v>
      </c>
      <c r="I1318" s="103">
        <v>53</v>
      </c>
      <c r="K1318" s="103" t="s">
        <v>365</v>
      </c>
      <c r="L1318" s="133"/>
      <c r="M1318" s="134">
        <v>3.1944444444444449E-2</v>
      </c>
      <c r="N1318" s="137" t="s">
        <v>3345</v>
      </c>
      <c r="O1318" s="133" t="s">
        <v>555</v>
      </c>
      <c r="P1318" s="100" t="s">
        <v>3713</v>
      </c>
      <c r="Q1318" s="100" t="s">
        <v>3703</v>
      </c>
      <c r="R1318" s="226" t="s">
        <v>3739</v>
      </c>
      <c r="S1318" s="491" t="str">
        <f t="shared" si="41"/>
        <v>x</v>
      </c>
      <c r="T1318" s="492">
        <f>IFERROR(VLOOKUP(F1318,'Freq-Chan'!C:D,2,FALSE),"x")</f>
        <v>151.596</v>
      </c>
      <c r="U1318" s="110" t="s">
        <v>541</v>
      </c>
      <c r="V1318" s="110" t="str">
        <f t="shared" si="42"/>
        <v>FWL</v>
      </c>
      <c r="W1318" s="110" t="s">
        <v>541</v>
      </c>
      <c r="X1318" s="110" t="s">
        <v>541</v>
      </c>
      <c r="Y1318" s="110" t="str">
        <f>IFERROR(VLOOKUP(F1318,'Freq-Chan'!C:E,3,FALSE),"na")</f>
        <v>F1835</v>
      </c>
      <c r="Z1318" s="110" t="s">
        <v>541</v>
      </c>
      <c r="AA1318" s="110" t="s">
        <v>541</v>
      </c>
      <c r="AB1318" s="110" t="s">
        <v>541</v>
      </c>
      <c r="AC1318" s="10" t="s">
        <v>541</v>
      </c>
      <c r="AD1318" s="10" t="s">
        <v>541</v>
      </c>
    </row>
    <row r="1319" spans="1:30" x14ac:dyDescent="0.2">
      <c r="A1319" s="110">
        <v>1318</v>
      </c>
      <c r="B1319" s="132">
        <v>41848</v>
      </c>
      <c r="C1319" s="117">
        <v>1</v>
      </c>
      <c r="D1319" s="103" t="s">
        <v>70</v>
      </c>
      <c r="E1319" s="103" t="s">
        <v>306</v>
      </c>
      <c r="F1319" s="103">
        <v>596</v>
      </c>
      <c r="G1319" s="103">
        <v>52</v>
      </c>
      <c r="H1319" s="103" t="s">
        <v>2999</v>
      </c>
      <c r="I1319" s="103">
        <v>50</v>
      </c>
      <c r="K1319" s="103" t="s">
        <v>1032</v>
      </c>
      <c r="L1319" s="133"/>
      <c r="M1319" s="134">
        <v>3.0555555555555555E-2</v>
      </c>
      <c r="N1319" s="137" t="s">
        <v>3380</v>
      </c>
      <c r="O1319" s="133" t="s">
        <v>555</v>
      </c>
      <c r="Q1319" s="100" t="s">
        <v>3703</v>
      </c>
      <c r="R1319" s="226" t="s">
        <v>3739</v>
      </c>
      <c r="S1319" s="491" t="str">
        <f t="shared" si="41"/>
        <v>x</v>
      </c>
      <c r="T1319" s="492">
        <f>IFERROR(VLOOKUP(F1319,'Freq-Chan'!C:D,2,FALSE),"x")</f>
        <v>151.596</v>
      </c>
      <c r="U1319" s="110" t="s">
        <v>541</v>
      </c>
      <c r="V1319" s="110" t="str">
        <f t="shared" si="42"/>
        <v>FWL</v>
      </c>
      <c r="W1319" s="110" t="s">
        <v>541</v>
      </c>
      <c r="X1319" s="110" t="s">
        <v>541</v>
      </c>
      <c r="Y1319" s="110" t="str">
        <f>IFERROR(VLOOKUP(F1319,'Freq-Chan'!C:E,3,FALSE),"na")</f>
        <v>F1835</v>
      </c>
      <c r="Z1319" s="110" t="s">
        <v>541</v>
      </c>
      <c r="AA1319" s="110" t="s">
        <v>541</v>
      </c>
      <c r="AB1319" s="110" t="s">
        <v>541</v>
      </c>
      <c r="AC1319" s="10" t="s">
        <v>541</v>
      </c>
      <c r="AD1319" s="10" t="s">
        <v>541</v>
      </c>
    </row>
    <row r="1320" spans="1:30" x14ac:dyDescent="0.2">
      <c r="A1320" s="110">
        <v>1319</v>
      </c>
      <c r="B1320" s="132">
        <v>41848</v>
      </c>
      <c r="C1320" s="117">
        <v>1</v>
      </c>
      <c r="D1320" s="103" t="s">
        <v>70</v>
      </c>
      <c r="E1320" s="103" t="s">
        <v>306</v>
      </c>
      <c r="F1320" s="103">
        <v>515</v>
      </c>
      <c r="G1320" s="103">
        <v>78</v>
      </c>
      <c r="H1320" s="103" t="s">
        <v>3005</v>
      </c>
      <c r="I1320" s="103">
        <v>50</v>
      </c>
      <c r="K1320" s="103" t="s">
        <v>1032</v>
      </c>
      <c r="L1320" s="133"/>
      <c r="M1320" s="134">
        <v>3.8194444444444441E-2</v>
      </c>
      <c r="N1320" s="137" t="s">
        <v>2650</v>
      </c>
      <c r="O1320" s="133" t="s">
        <v>555</v>
      </c>
      <c r="Q1320" s="100" t="s">
        <v>3703</v>
      </c>
      <c r="R1320" s="226" t="s">
        <v>3739</v>
      </c>
      <c r="S1320" s="491" t="str">
        <f t="shared" si="41"/>
        <v>x</v>
      </c>
      <c r="T1320" s="492">
        <f>IFERROR(VLOOKUP(F1320,'Freq-Chan'!C:D,2,FALSE),"x")</f>
        <v>151.51499999999999</v>
      </c>
      <c r="U1320" s="110" t="s">
        <v>541</v>
      </c>
      <c r="V1320" s="110" t="str">
        <f t="shared" si="42"/>
        <v>FWL</v>
      </c>
      <c r="W1320" s="110" t="s">
        <v>541</v>
      </c>
      <c r="X1320" s="110" t="s">
        <v>541</v>
      </c>
      <c r="Y1320" s="110" t="str">
        <f>IFERROR(VLOOKUP(F1320,'Freq-Chan'!C:E,3,FALSE),"na")</f>
        <v>F1835</v>
      </c>
      <c r="Z1320" s="110" t="s">
        <v>541</v>
      </c>
      <c r="AA1320" s="110" t="s">
        <v>541</v>
      </c>
      <c r="AB1320" s="110" t="s">
        <v>541</v>
      </c>
      <c r="AC1320" s="10" t="s">
        <v>541</v>
      </c>
      <c r="AD1320" s="10" t="s">
        <v>541</v>
      </c>
    </row>
    <row r="1321" spans="1:30" x14ac:dyDescent="0.2">
      <c r="A1321" s="110">
        <v>1320</v>
      </c>
      <c r="B1321" s="132">
        <v>41848</v>
      </c>
      <c r="C1321" s="117">
        <v>1</v>
      </c>
      <c r="D1321" s="103" t="s">
        <v>70</v>
      </c>
      <c r="E1321" s="103" t="s">
        <v>306</v>
      </c>
      <c r="H1321" s="103"/>
      <c r="I1321" s="103">
        <v>48</v>
      </c>
      <c r="K1321" s="103" t="s">
        <v>364</v>
      </c>
      <c r="L1321" s="133"/>
      <c r="M1321" s="134">
        <v>1.5277777777777777E-2</v>
      </c>
      <c r="N1321" s="137" t="s">
        <v>2032</v>
      </c>
      <c r="O1321" s="133" t="s">
        <v>372</v>
      </c>
      <c r="Q1321" s="100" t="s">
        <v>3703</v>
      </c>
      <c r="R1321" s="226" t="s">
        <v>3739</v>
      </c>
      <c r="S1321" s="491" t="str">
        <f t="shared" si="41"/>
        <v>x</v>
      </c>
      <c r="T1321" s="492" t="str">
        <f>IFERROR(VLOOKUP(F1321,'Freq-Chan'!C:D,2,FALSE),"x")</f>
        <v>x</v>
      </c>
      <c r="U1321" s="110" t="s">
        <v>541</v>
      </c>
      <c r="V1321" s="110" t="str">
        <f t="shared" si="42"/>
        <v>FWL</v>
      </c>
      <c r="W1321" s="110" t="s">
        <v>541</v>
      </c>
      <c r="X1321" s="110" t="s">
        <v>541</v>
      </c>
      <c r="Y1321" s="110" t="str">
        <f>IFERROR(VLOOKUP(F1321,'Freq-Chan'!C:E,3,FALSE),"na")</f>
        <v>na</v>
      </c>
      <c r="Z1321" s="110" t="s">
        <v>541</v>
      </c>
      <c r="AA1321" s="110" t="s">
        <v>541</v>
      </c>
      <c r="AB1321" s="110" t="s">
        <v>541</v>
      </c>
      <c r="AC1321" s="10" t="s">
        <v>541</v>
      </c>
      <c r="AD1321" s="10" t="s">
        <v>541</v>
      </c>
    </row>
    <row r="1322" spans="1:30" x14ac:dyDescent="0.2">
      <c r="A1322" s="110">
        <v>1321</v>
      </c>
      <c r="B1322" s="132">
        <v>41848</v>
      </c>
      <c r="C1322" s="117">
        <v>1</v>
      </c>
      <c r="D1322" s="103" t="s">
        <v>70</v>
      </c>
      <c r="E1322" s="103" t="s">
        <v>306</v>
      </c>
      <c r="H1322" s="103"/>
      <c r="I1322" s="103">
        <v>43</v>
      </c>
      <c r="K1322" s="103" t="s">
        <v>1032</v>
      </c>
      <c r="L1322" s="133"/>
      <c r="M1322" s="134">
        <v>1.5972222222222224E-2</v>
      </c>
      <c r="N1322" s="137" t="s">
        <v>3298</v>
      </c>
      <c r="O1322" s="133" t="s">
        <v>372</v>
      </c>
      <c r="Q1322" s="100" t="s">
        <v>3703</v>
      </c>
      <c r="R1322" s="226" t="s">
        <v>3739</v>
      </c>
      <c r="S1322" s="491" t="str">
        <f t="shared" si="41"/>
        <v>x</v>
      </c>
      <c r="T1322" s="492" t="str">
        <f>IFERROR(VLOOKUP(F1322,'Freq-Chan'!C:D,2,FALSE),"x")</f>
        <v>x</v>
      </c>
      <c r="U1322" s="110" t="s">
        <v>541</v>
      </c>
      <c r="V1322" s="110" t="str">
        <f t="shared" si="42"/>
        <v>FWL</v>
      </c>
      <c r="W1322" s="110" t="s">
        <v>541</v>
      </c>
      <c r="X1322" s="110" t="s">
        <v>541</v>
      </c>
      <c r="Y1322" s="110" t="str">
        <f>IFERROR(VLOOKUP(F1322,'Freq-Chan'!C:E,3,FALSE),"na")</f>
        <v>na</v>
      </c>
      <c r="Z1322" s="110" t="s">
        <v>541</v>
      </c>
      <c r="AA1322" s="110" t="s">
        <v>541</v>
      </c>
      <c r="AB1322" s="110" t="s">
        <v>541</v>
      </c>
      <c r="AC1322" s="10" t="s">
        <v>541</v>
      </c>
      <c r="AD1322" s="10" t="s">
        <v>541</v>
      </c>
    </row>
    <row r="1323" spans="1:30" x14ac:dyDescent="0.2">
      <c r="A1323" s="110">
        <v>1322</v>
      </c>
      <c r="B1323" s="132">
        <v>41848</v>
      </c>
      <c r="C1323" s="117">
        <v>1</v>
      </c>
      <c r="D1323" s="103" t="s">
        <v>8</v>
      </c>
      <c r="E1323" s="103" t="s">
        <v>306</v>
      </c>
      <c r="F1323" s="103">
        <v>586</v>
      </c>
      <c r="G1323" s="103">
        <v>81</v>
      </c>
      <c r="H1323" s="103" t="s">
        <v>2165</v>
      </c>
      <c r="I1323" s="103">
        <v>52</v>
      </c>
      <c r="K1323" s="103" t="s">
        <v>364</v>
      </c>
      <c r="L1323" s="133"/>
      <c r="M1323" s="134">
        <v>5.1388888888888894E-2</v>
      </c>
      <c r="N1323" s="137" t="s">
        <v>3714</v>
      </c>
      <c r="O1323" s="133" t="s">
        <v>372</v>
      </c>
      <c r="Q1323" s="100" t="s">
        <v>3703</v>
      </c>
      <c r="R1323" s="226" t="s">
        <v>3739</v>
      </c>
      <c r="S1323" s="491" t="str">
        <f t="shared" si="41"/>
        <v>x</v>
      </c>
      <c r="T1323" s="492">
        <f>IFERROR(VLOOKUP(F1323,'Freq-Chan'!C:D,2,FALSE),"x")</f>
        <v>151.58600000000001</v>
      </c>
      <c r="U1323" s="110" t="s">
        <v>541</v>
      </c>
      <c r="V1323" s="110" t="str">
        <f t="shared" si="42"/>
        <v>FWL</v>
      </c>
      <c r="W1323" s="110" t="s">
        <v>541</v>
      </c>
      <c r="X1323" s="110" t="s">
        <v>541</v>
      </c>
      <c r="Y1323" s="110" t="str">
        <f>IFERROR(VLOOKUP(F1323,'Freq-Chan'!C:E,3,FALSE),"na")</f>
        <v>F1840</v>
      </c>
      <c r="Z1323" s="110" t="s">
        <v>541</v>
      </c>
      <c r="AA1323" s="110" t="s">
        <v>541</v>
      </c>
      <c r="AB1323" s="110" t="s">
        <v>541</v>
      </c>
      <c r="AC1323" s="10" t="s">
        <v>541</v>
      </c>
      <c r="AD1323" s="10" t="s">
        <v>541</v>
      </c>
    </row>
    <row r="1324" spans="1:30" x14ac:dyDescent="0.2">
      <c r="A1324" s="110">
        <v>1323</v>
      </c>
      <c r="B1324" s="132">
        <v>41848</v>
      </c>
      <c r="C1324" s="117">
        <v>1</v>
      </c>
      <c r="D1324" s="103" t="s">
        <v>70</v>
      </c>
      <c r="E1324" s="103" t="s">
        <v>306</v>
      </c>
      <c r="H1324" s="103"/>
      <c r="I1324" s="103">
        <v>42</v>
      </c>
      <c r="K1324" s="103" t="s">
        <v>1032</v>
      </c>
      <c r="L1324" s="133"/>
      <c r="M1324" s="134">
        <v>1.5972222222222224E-2</v>
      </c>
      <c r="N1324" s="137" t="s">
        <v>3467</v>
      </c>
      <c r="O1324" s="133" t="s">
        <v>372</v>
      </c>
      <c r="Q1324" s="100" t="s">
        <v>3703</v>
      </c>
      <c r="R1324" s="226" t="s">
        <v>3739</v>
      </c>
      <c r="S1324" s="491" t="str">
        <f t="shared" si="41"/>
        <v>x</v>
      </c>
      <c r="T1324" s="492" t="str">
        <f>IFERROR(VLOOKUP(F1324,'Freq-Chan'!C:D,2,FALSE),"x")</f>
        <v>x</v>
      </c>
      <c r="U1324" s="110" t="s">
        <v>541</v>
      </c>
      <c r="V1324" s="110" t="str">
        <f t="shared" si="42"/>
        <v>FWL</v>
      </c>
      <c r="W1324" s="110" t="s">
        <v>541</v>
      </c>
      <c r="X1324" s="110" t="s">
        <v>541</v>
      </c>
      <c r="Y1324" s="110" t="str">
        <f>IFERROR(VLOOKUP(F1324,'Freq-Chan'!C:E,3,FALSE),"na")</f>
        <v>na</v>
      </c>
      <c r="Z1324" s="110" t="s">
        <v>541</v>
      </c>
      <c r="AA1324" s="110" t="s">
        <v>541</v>
      </c>
      <c r="AB1324" s="110" t="s">
        <v>541</v>
      </c>
      <c r="AC1324" s="10" t="s">
        <v>541</v>
      </c>
      <c r="AD1324" s="10" t="s">
        <v>541</v>
      </c>
    </row>
    <row r="1325" spans="1:30" x14ac:dyDescent="0.2">
      <c r="A1325" s="110">
        <v>1324</v>
      </c>
      <c r="B1325" s="132">
        <v>41848</v>
      </c>
      <c r="C1325" s="117">
        <v>1</v>
      </c>
      <c r="D1325" s="103" t="s">
        <v>70</v>
      </c>
      <c r="E1325" s="103" t="s">
        <v>306</v>
      </c>
      <c r="H1325" s="103"/>
      <c r="I1325" s="103">
        <v>41</v>
      </c>
      <c r="K1325" s="103" t="s">
        <v>1032</v>
      </c>
      <c r="L1325" s="133">
        <v>0.36736111111111108</v>
      </c>
      <c r="M1325" s="134">
        <v>1.3194444444444444E-2</v>
      </c>
      <c r="N1325" s="137" t="s">
        <v>1982</v>
      </c>
      <c r="O1325" s="133" t="s">
        <v>372</v>
      </c>
      <c r="Q1325" s="100" t="s">
        <v>3703</v>
      </c>
      <c r="R1325" s="226" t="s">
        <v>3739</v>
      </c>
      <c r="S1325" s="491">
        <f t="shared" si="41"/>
        <v>4.7453699999999997E-4</v>
      </c>
      <c r="T1325" s="492" t="str">
        <f>IFERROR(VLOOKUP(F1325,'Freq-Chan'!C:D,2,FALSE),"x")</f>
        <v>x</v>
      </c>
      <c r="U1325" s="110" t="s">
        <v>541</v>
      </c>
      <c r="V1325" s="110" t="str">
        <f t="shared" si="42"/>
        <v>FWL</v>
      </c>
      <c r="W1325" s="110" t="s">
        <v>541</v>
      </c>
      <c r="X1325" s="110" t="s">
        <v>541</v>
      </c>
      <c r="Y1325" s="110" t="str">
        <f>IFERROR(VLOOKUP(F1325,'Freq-Chan'!C:E,3,FALSE),"na")</f>
        <v>na</v>
      </c>
      <c r="Z1325" s="110" t="s">
        <v>541</v>
      </c>
      <c r="AA1325" s="110" t="s">
        <v>541</v>
      </c>
      <c r="AB1325" s="110" t="s">
        <v>541</v>
      </c>
      <c r="AC1325" s="10" t="s">
        <v>541</v>
      </c>
      <c r="AD1325" s="10" t="s">
        <v>541</v>
      </c>
    </row>
    <row r="1326" spans="1:30" x14ac:dyDescent="0.2">
      <c r="A1326" s="110">
        <v>1325</v>
      </c>
      <c r="B1326" s="132">
        <v>41848</v>
      </c>
      <c r="C1326" s="117">
        <v>1</v>
      </c>
      <c r="D1326" s="103" t="s">
        <v>70</v>
      </c>
      <c r="E1326" s="103" t="s">
        <v>306</v>
      </c>
      <c r="H1326" s="103"/>
      <c r="I1326" s="103">
        <v>50</v>
      </c>
      <c r="K1326" s="103" t="s">
        <v>1032</v>
      </c>
      <c r="L1326" s="133"/>
      <c r="M1326" s="134">
        <v>1.3888888888888888E-2</v>
      </c>
      <c r="N1326" s="137" t="s">
        <v>2527</v>
      </c>
      <c r="O1326" s="133" t="s">
        <v>555</v>
      </c>
      <c r="Q1326" s="100" t="s">
        <v>3703</v>
      </c>
      <c r="R1326" s="226" t="s">
        <v>3739</v>
      </c>
      <c r="S1326" s="491" t="str">
        <f t="shared" si="41"/>
        <v>x</v>
      </c>
      <c r="T1326" s="492" t="str">
        <f>IFERROR(VLOOKUP(F1326,'Freq-Chan'!C:D,2,FALSE),"x")</f>
        <v>x</v>
      </c>
      <c r="U1326" s="110" t="s">
        <v>541</v>
      </c>
      <c r="V1326" s="110" t="str">
        <f t="shared" si="42"/>
        <v>FWL</v>
      </c>
      <c r="W1326" s="110" t="s">
        <v>541</v>
      </c>
      <c r="X1326" s="110" t="s">
        <v>541</v>
      </c>
      <c r="Y1326" s="110" t="str">
        <f>IFERROR(VLOOKUP(F1326,'Freq-Chan'!C:E,3,FALSE),"na")</f>
        <v>na</v>
      </c>
      <c r="Z1326" s="110" t="s">
        <v>541</v>
      </c>
      <c r="AA1326" s="110" t="s">
        <v>541</v>
      </c>
      <c r="AB1326" s="110" t="s">
        <v>541</v>
      </c>
      <c r="AC1326" s="10" t="s">
        <v>541</v>
      </c>
      <c r="AD1326" s="10" t="s">
        <v>541</v>
      </c>
    </row>
    <row r="1327" spans="1:30" x14ac:dyDescent="0.2">
      <c r="A1327" s="110">
        <v>1326</v>
      </c>
      <c r="B1327" s="132">
        <v>41848</v>
      </c>
      <c r="C1327" s="117">
        <v>1</v>
      </c>
      <c r="D1327" s="103" t="s">
        <v>70</v>
      </c>
      <c r="E1327" s="103" t="s">
        <v>306</v>
      </c>
      <c r="H1327" s="103"/>
      <c r="I1327" s="103">
        <v>43</v>
      </c>
      <c r="K1327" s="103" t="s">
        <v>364</v>
      </c>
      <c r="L1327" s="133"/>
      <c r="M1327" s="134">
        <v>1.8055555555555557E-2</v>
      </c>
      <c r="N1327" s="137" t="s">
        <v>3243</v>
      </c>
      <c r="O1327" s="133" t="s">
        <v>555</v>
      </c>
      <c r="Q1327" s="100" t="s">
        <v>3703</v>
      </c>
      <c r="R1327" s="226" t="s">
        <v>3739</v>
      </c>
      <c r="S1327" s="491" t="str">
        <f t="shared" si="41"/>
        <v>x</v>
      </c>
      <c r="T1327" s="492" t="str">
        <f>IFERROR(VLOOKUP(F1327,'Freq-Chan'!C:D,2,FALSE),"x")</f>
        <v>x</v>
      </c>
      <c r="U1327" s="110" t="s">
        <v>541</v>
      </c>
      <c r="V1327" s="110" t="str">
        <f t="shared" si="42"/>
        <v>FWL</v>
      </c>
      <c r="W1327" s="110" t="s">
        <v>541</v>
      </c>
      <c r="X1327" s="110" t="s">
        <v>541</v>
      </c>
      <c r="Y1327" s="110" t="str">
        <f>IFERROR(VLOOKUP(F1327,'Freq-Chan'!C:E,3,FALSE),"na")</f>
        <v>na</v>
      </c>
      <c r="Z1327" s="110" t="s">
        <v>541</v>
      </c>
      <c r="AA1327" s="110" t="s">
        <v>541</v>
      </c>
      <c r="AB1327" s="110" t="s">
        <v>541</v>
      </c>
      <c r="AC1327" s="10" t="s">
        <v>541</v>
      </c>
      <c r="AD1327" s="10" t="s">
        <v>541</v>
      </c>
    </row>
    <row r="1328" spans="1:30" x14ac:dyDescent="0.2">
      <c r="A1328" s="110">
        <v>1327</v>
      </c>
      <c r="B1328" s="132">
        <v>41848</v>
      </c>
      <c r="C1328" s="117">
        <v>1</v>
      </c>
      <c r="D1328" s="103" t="s">
        <v>70</v>
      </c>
      <c r="E1328" s="103" t="s">
        <v>306</v>
      </c>
      <c r="H1328" s="103"/>
      <c r="I1328" s="103">
        <v>48</v>
      </c>
      <c r="K1328" s="103" t="s">
        <v>365</v>
      </c>
      <c r="L1328" s="133"/>
      <c r="M1328" s="134">
        <v>1.8055555555555557E-2</v>
      </c>
      <c r="N1328" s="137" t="s">
        <v>3715</v>
      </c>
      <c r="O1328" s="133" t="s">
        <v>555</v>
      </c>
      <c r="Q1328" s="100" t="s">
        <v>3703</v>
      </c>
      <c r="R1328" s="226" t="s">
        <v>3739</v>
      </c>
      <c r="S1328" s="491" t="str">
        <f t="shared" si="41"/>
        <v>x</v>
      </c>
      <c r="T1328" s="492" t="str">
        <f>IFERROR(VLOOKUP(F1328,'Freq-Chan'!C:D,2,FALSE),"x")</f>
        <v>x</v>
      </c>
      <c r="U1328" s="110" t="s">
        <v>541</v>
      </c>
      <c r="V1328" s="110" t="str">
        <f t="shared" si="42"/>
        <v>FWL</v>
      </c>
      <c r="W1328" s="110" t="s">
        <v>541</v>
      </c>
      <c r="X1328" s="110" t="s">
        <v>541</v>
      </c>
      <c r="Y1328" s="110" t="str">
        <f>IFERROR(VLOOKUP(F1328,'Freq-Chan'!C:E,3,FALSE),"na")</f>
        <v>na</v>
      </c>
      <c r="Z1328" s="110" t="s">
        <v>541</v>
      </c>
      <c r="AA1328" s="110" t="s">
        <v>541</v>
      </c>
      <c r="AB1328" s="110" t="s">
        <v>541</v>
      </c>
      <c r="AC1328" s="10" t="s">
        <v>541</v>
      </c>
      <c r="AD1328" s="10" t="s">
        <v>541</v>
      </c>
    </row>
    <row r="1329" spans="1:30" x14ac:dyDescent="0.2">
      <c r="A1329" s="110">
        <v>1328</v>
      </c>
      <c r="B1329" s="132">
        <v>41848</v>
      </c>
      <c r="C1329" s="117">
        <v>1</v>
      </c>
      <c r="D1329" s="103" t="s">
        <v>70</v>
      </c>
      <c r="E1329" s="103" t="s">
        <v>306</v>
      </c>
      <c r="H1329" s="103"/>
      <c r="I1329" s="103">
        <v>41</v>
      </c>
      <c r="K1329" s="103" t="s">
        <v>1032</v>
      </c>
      <c r="L1329" s="133"/>
      <c r="M1329" s="134">
        <v>1.3888888888888888E-2</v>
      </c>
      <c r="N1329" s="137" t="s">
        <v>3715</v>
      </c>
      <c r="O1329" s="133" t="s">
        <v>555</v>
      </c>
      <c r="Q1329" s="100" t="s">
        <v>3703</v>
      </c>
      <c r="R1329" s="226" t="s">
        <v>3739</v>
      </c>
      <c r="S1329" s="491" t="str">
        <f t="shared" si="41"/>
        <v>x</v>
      </c>
      <c r="T1329" s="492" t="str">
        <f>IFERROR(VLOOKUP(F1329,'Freq-Chan'!C:D,2,FALSE),"x")</f>
        <v>x</v>
      </c>
      <c r="U1329" s="110" t="s">
        <v>541</v>
      </c>
      <c r="V1329" s="110" t="str">
        <f t="shared" si="42"/>
        <v>FWL</v>
      </c>
      <c r="W1329" s="110" t="s">
        <v>541</v>
      </c>
      <c r="X1329" s="110" t="s">
        <v>541</v>
      </c>
      <c r="Y1329" s="110" t="str">
        <f>IFERROR(VLOOKUP(F1329,'Freq-Chan'!C:E,3,FALSE),"na")</f>
        <v>na</v>
      </c>
      <c r="Z1329" s="110" t="s">
        <v>541</v>
      </c>
      <c r="AA1329" s="110" t="s">
        <v>541</v>
      </c>
      <c r="AB1329" s="110" t="s">
        <v>541</v>
      </c>
      <c r="AC1329" s="10" t="s">
        <v>541</v>
      </c>
      <c r="AD1329" s="10" t="s">
        <v>541</v>
      </c>
    </row>
    <row r="1330" spans="1:30" x14ac:dyDescent="0.2">
      <c r="A1330" s="110">
        <v>1329</v>
      </c>
      <c r="B1330" s="132">
        <v>41848</v>
      </c>
      <c r="C1330" s="117">
        <v>1</v>
      </c>
      <c r="D1330" s="103" t="s">
        <v>70</v>
      </c>
      <c r="E1330" s="103" t="s">
        <v>306</v>
      </c>
      <c r="H1330" s="103"/>
      <c r="I1330" s="103">
        <v>49</v>
      </c>
      <c r="K1330" s="103" t="s">
        <v>365</v>
      </c>
      <c r="L1330" s="133"/>
      <c r="M1330" s="134">
        <v>1.3888888888888888E-2</v>
      </c>
      <c r="N1330" s="137" t="s">
        <v>3489</v>
      </c>
      <c r="O1330" s="133" t="s">
        <v>555</v>
      </c>
      <c r="Q1330" s="100" t="s">
        <v>3703</v>
      </c>
      <c r="R1330" s="226" t="s">
        <v>3739</v>
      </c>
      <c r="S1330" s="491" t="str">
        <f t="shared" si="41"/>
        <v>x</v>
      </c>
      <c r="T1330" s="492" t="str">
        <f>IFERROR(VLOOKUP(F1330,'Freq-Chan'!C:D,2,FALSE),"x")</f>
        <v>x</v>
      </c>
      <c r="U1330" s="110" t="s">
        <v>541</v>
      </c>
      <c r="V1330" s="110" t="str">
        <f t="shared" si="42"/>
        <v>FWL</v>
      </c>
      <c r="W1330" s="110" t="s">
        <v>541</v>
      </c>
      <c r="X1330" s="110" t="s">
        <v>541</v>
      </c>
      <c r="Y1330" s="110" t="str">
        <f>IFERROR(VLOOKUP(F1330,'Freq-Chan'!C:E,3,FALSE),"na")</f>
        <v>na</v>
      </c>
      <c r="Z1330" s="110" t="s">
        <v>541</v>
      </c>
      <c r="AA1330" s="110" t="s">
        <v>541</v>
      </c>
      <c r="AB1330" s="110" t="s">
        <v>541</v>
      </c>
      <c r="AC1330" s="10" t="s">
        <v>541</v>
      </c>
      <c r="AD1330" s="10" t="s">
        <v>541</v>
      </c>
    </row>
    <row r="1331" spans="1:30" x14ac:dyDescent="0.2">
      <c r="A1331" s="110">
        <v>1330</v>
      </c>
      <c r="B1331" s="132">
        <v>41848</v>
      </c>
      <c r="C1331" s="117">
        <v>1</v>
      </c>
      <c r="D1331" s="103" t="s">
        <v>70</v>
      </c>
      <c r="E1331" s="103" t="s">
        <v>306</v>
      </c>
      <c r="H1331" s="103"/>
      <c r="I1331" s="103">
        <v>44</v>
      </c>
      <c r="K1331" s="103" t="s">
        <v>365</v>
      </c>
      <c r="L1331" s="133">
        <v>0.3743055555555555</v>
      </c>
      <c r="M1331" s="134">
        <v>1.4583333333333332E-2</v>
      </c>
      <c r="N1331" s="137" t="s">
        <v>839</v>
      </c>
      <c r="O1331" s="133" t="s">
        <v>555</v>
      </c>
      <c r="Q1331" s="100" t="s">
        <v>3703</v>
      </c>
      <c r="R1331" s="226" t="s">
        <v>3739</v>
      </c>
      <c r="S1331" s="491">
        <f t="shared" si="41"/>
        <v>8.7847221999999992E-3</v>
      </c>
      <c r="T1331" s="492" t="str">
        <f>IFERROR(VLOOKUP(F1331,'Freq-Chan'!C:D,2,FALSE),"x")</f>
        <v>x</v>
      </c>
      <c r="U1331" s="110" t="s">
        <v>541</v>
      </c>
      <c r="V1331" s="110" t="str">
        <f t="shared" si="42"/>
        <v>FWL</v>
      </c>
      <c r="W1331" s="110" t="s">
        <v>541</v>
      </c>
      <c r="X1331" s="110" t="s">
        <v>541</v>
      </c>
      <c r="Y1331" s="110" t="str">
        <f>IFERROR(VLOOKUP(F1331,'Freq-Chan'!C:E,3,FALSE),"na")</f>
        <v>na</v>
      </c>
      <c r="Z1331" s="110" t="s">
        <v>541</v>
      </c>
      <c r="AA1331" s="110" t="s">
        <v>541</v>
      </c>
      <c r="AB1331" s="110" t="s">
        <v>541</v>
      </c>
      <c r="AC1331" s="10" t="s">
        <v>541</v>
      </c>
      <c r="AD1331" s="10" t="s">
        <v>541</v>
      </c>
    </row>
    <row r="1332" spans="1:30" x14ac:dyDescent="0.2">
      <c r="A1332" s="110">
        <v>1331</v>
      </c>
      <c r="B1332" s="132">
        <v>41848</v>
      </c>
      <c r="C1332" s="117">
        <v>1</v>
      </c>
      <c r="D1332" s="103" t="s">
        <v>70</v>
      </c>
      <c r="E1332" s="103" t="s">
        <v>306</v>
      </c>
      <c r="H1332" s="103"/>
      <c r="I1332" s="103">
        <v>44</v>
      </c>
      <c r="K1332" s="103" t="s">
        <v>1032</v>
      </c>
      <c r="L1332" s="133"/>
      <c r="M1332" s="134">
        <v>1.2499999999999999E-2</v>
      </c>
      <c r="N1332" s="137" t="s">
        <v>3481</v>
      </c>
      <c r="O1332" s="133" t="s">
        <v>372</v>
      </c>
      <c r="Q1332" s="100" t="s">
        <v>3703</v>
      </c>
      <c r="R1332" s="226" t="s">
        <v>3739</v>
      </c>
      <c r="S1332" s="491" t="str">
        <f t="shared" si="41"/>
        <v>x</v>
      </c>
      <c r="T1332" s="492" t="str">
        <f>IFERROR(VLOOKUP(F1332,'Freq-Chan'!C:D,2,FALSE),"x")</f>
        <v>x</v>
      </c>
      <c r="U1332" s="110" t="s">
        <v>541</v>
      </c>
      <c r="V1332" s="110" t="str">
        <f t="shared" si="42"/>
        <v>FWL</v>
      </c>
      <c r="W1332" s="110" t="s">
        <v>541</v>
      </c>
      <c r="X1332" s="110" t="s">
        <v>541</v>
      </c>
      <c r="Y1332" s="110" t="str">
        <f>IFERROR(VLOOKUP(F1332,'Freq-Chan'!C:E,3,FALSE),"na")</f>
        <v>na</v>
      </c>
      <c r="Z1332" s="110" t="s">
        <v>541</v>
      </c>
      <c r="AA1332" s="110" t="s">
        <v>541</v>
      </c>
      <c r="AB1332" s="110" t="s">
        <v>541</v>
      </c>
      <c r="AC1332" s="10" t="s">
        <v>541</v>
      </c>
      <c r="AD1332" s="10" t="s">
        <v>541</v>
      </c>
    </row>
    <row r="1333" spans="1:30" x14ac:dyDescent="0.2">
      <c r="A1333" s="110">
        <v>1332</v>
      </c>
      <c r="B1333" s="132">
        <v>41848</v>
      </c>
      <c r="C1333" s="117">
        <v>1</v>
      </c>
      <c r="D1333" s="103" t="s">
        <v>70</v>
      </c>
      <c r="E1333" s="103" t="s">
        <v>306</v>
      </c>
      <c r="H1333" s="103"/>
      <c r="I1333" s="103">
        <v>42</v>
      </c>
      <c r="K1333" s="103" t="s">
        <v>365</v>
      </c>
      <c r="L1333" s="133"/>
      <c r="M1333" s="134">
        <v>1.4583333333333332E-2</v>
      </c>
      <c r="N1333" s="137" t="s">
        <v>3716</v>
      </c>
      <c r="O1333" s="133" t="s">
        <v>372</v>
      </c>
      <c r="Q1333" s="100" t="s">
        <v>3703</v>
      </c>
      <c r="R1333" s="226" t="s">
        <v>3739</v>
      </c>
      <c r="S1333" s="491" t="str">
        <f t="shared" si="41"/>
        <v>x</v>
      </c>
      <c r="T1333" s="492" t="str">
        <f>IFERROR(VLOOKUP(F1333,'Freq-Chan'!C:D,2,FALSE),"x")</f>
        <v>x</v>
      </c>
      <c r="U1333" s="110" t="s">
        <v>541</v>
      </c>
      <c r="V1333" s="110" t="str">
        <f t="shared" si="42"/>
        <v>FWL</v>
      </c>
      <c r="W1333" s="110" t="s">
        <v>541</v>
      </c>
      <c r="X1333" s="110" t="s">
        <v>541</v>
      </c>
      <c r="Y1333" s="110" t="str">
        <f>IFERROR(VLOOKUP(F1333,'Freq-Chan'!C:E,3,FALSE),"na")</f>
        <v>na</v>
      </c>
      <c r="Z1333" s="110" t="s">
        <v>541</v>
      </c>
      <c r="AA1333" s="110" t="s">
        <v>541</v>
      </c>
      <c r="AB1333" s="110" t="s">
        <v>541</v>
      </c>
      <c r="AC1333" s="10" t="s">
        <v>541</v>
      </c>
      <c r="AD1333" s="10" t="s">
        <v>541</v>
      </c>
    </row>
    <row r="1334" spans="1:30" x14ac:dyDescent="0.2">
      <c r="A1334" s="110">
        <v>1333</v>
      </c>
      <c r="B1334" s="132">
        <v>41848</v>
      </c>
      <c r="C1334" s="117">
        <v>1</v>
      </c>
      <c r="D1334" s="103" t="s">
        <v>71</v>
      </c>
      <c r="E1334" s="103" t="s">
        <v>306</v>
      </c>
      <c r="F1334" s="103">
        <v>564</v>
      </c>
      <c r="G1334" s="103">
        <v>60</v>
      </c>
      <c r="H1334" s="103" t="s">
        <v>2333</v>
      </c>
      <c r="I1334" s="103">
        <v>67</v>
      </c>
      <c r="K1334" s="103" t="s">
        <v>364</v>
      </c>
      <c r="L1334" s="133"/>
      <c r="M1334" s="134">
        <v>8.1944444444444445E-2</v>
      </c>
      <c r="N1334" s="137" t="s">
        <v>3717</v>
      </c>
      <c r="O1334" s="133" t="s">
        <v>372</v>
      </c>
      <c r="Q1334" s="100" t="s">
        <v>3703</v>
      </c>
      <c r="R1334" s="226" t="s">
        <v>3739</v>
      </c>
      <c r="S1334" s="491" t="str">
        <f t="shared" si="41"/>
        <v>x</v>
      </c>
      <c r="T1334" s="492">
        <f>IFERROR(VLOOKUP(F1334,'Freq-Chan'!C:D,2,FALSE),"x")</f>
        <v>151.56399999999999</v>
      </c>
      <c r="U1334" s="110" t="s">
        <v>541</v>
      </c>
      <c r="V1334" s="110" t="str">
        <f t="shared" si="42"/>
        <v>FWL</v>
      </c>
      <c r="W1334" s="110" t="s">
        <v>541</v>
      </c>
      <c r="X1334" s="110" t="s">
        <v>541</v>
      </c>
      <c r="Y1334" s="110" t="str">
        <f>IFERROR(VLOOKUP(F1334,'Freq-Chan'!C:E,3,FALSE),"na")</f>
        <v>F1840</v>
      </c>
      <c r="Z1334" s="110" t="s">
        <v>541</v>
      </c>
      <c r="AA1334" s="110" t="s">
        <v>541</v>
      </c>
      <c r="AB1334" s="110" t="s">
        <v>541</v>
      </c>
      <c r="AC1334" s="10" t="s">
        <v>541</v>
      </c>
      <c r="AD1334" s="10" t="s">
        <v>541</v>
      </c>
    </row>
    <row r="1335" spans="1:30" x14ac:dyDescent="0.2">
      <c r="A1335" s="110">
        <v>1334</v>
      </c>
      <c r="B1335" s="132">
        <v>41848</v>
      </c>
      <c r="C1335" s="117">
        <v>1</v>
      </c>
      <c r="D1335" s="103" t="s">
        <v>71</v>
      </c>
      <c r="E1335" s="103" t="s">
        <v>306</v>
      </c>
      <c r="F1335" s="103">
        <v>534</v>
      </c>
      <c r="G1335" s="103">
        <v>23</v>
      </c>
      <c r="H1335" s="103" t="s">
        <v>2334</v>
      </c>
      <c r="I1335" s="103">
        <v>61</v>
      </c>
      <c r="K1335" s="103" t="s">
        <v>364</v>
      </c>
      <c r="L1335" s="133"/>
      <c r="M1335" s="134">
        <v>5.2083333333333336E-2</v>
      </c>
      <c r="N1335" s="137" t="s">
        <v>3718</v>
      </c>
      <c r="O1335" s="133" t="s">
        <v>372</v>
      </c>
      <c r="Q1335" s="100" t="s">
        <v>3703</v>
      </c>
      <c r="R1335" s="226" t="s">
        <v>3739</v>
      </c>
      <c r="S1335" s="491" t="str">
        <f t="shared" si="41"/>
        <v>x</v>
      </c>
      <c r="T1335" s="492">
        <f>IFERROR(VLOOKUP(F1335,'Freq-Chan'!C:D,2,FALSE),"x")</f>
        <v>151.53399999999999</v>
      </c>
      <c r="U1335" s="110" t="s">
        <v>541</v>
      </c>
      <c r="V1335" s="110" t="str">
        <f t="shared" si="42"/>
        <v>FWL</v>
      </c>
      <c r="W1335" s="110" t="s">
        <v>541</v>
      </c>
      <c r="X1335" s="110" t="s">
        <v>541</v>
      </c>
      <c r="Y1335" s="110" t="str">
        <f>IFERROR(VLOOKUP(F1335,'Freq-Chan'!C:E,3,FALSE),"na")</f>
        <v>F1840</v>
      </c>
      <c r="Z1335" s="110" t="s">
        <v>541</v>
      </c>
      <c r="AA1335" s="110" t="s">
        <v>541</v>
      </c>
      <c r="AB1335" s="110" t="s">
        <v>541</v>
      </c>
      <c r="AC1335" s="10" t="s">
        <v>541</v>
      </c>
      <c r="AD1335" s="10" t="s">
        <v>541</v>
      </c>
    </row>
    <row r="1336" spans="1:30" x14ac:dyDescent="0.2">
      <c r="A1336" s="110">
        <v>1335</v>
      </c>
      <c r="B1336" s="132">
        <v>41848</v>
      </c>
      <c r="C1336" s="117">
        <v>1</v>
      </c>
      <c r="D1336" s="103" t="s">
        <v>71</v>
      </c>
      <c r="E1336" s="103" t="s">
        <v>306</v>
      </c>
      <c r="H1336" s="103"/>
      <c r="I1336" s="103">
        <v>61</v>
      </c>
      <c r="K1336" s="103" t="s">
        <v>364</v>
      </c>
      <c r="L1336" s="133"/>
      <c r="M1336" s="134">
        <v>1.5972222222222224E-2</v>
      </c>
      <c r="N1336" s="137" t="s">
        <v>3719</v>
      </c>
      <c r="O1336" s="133" t="s">
        <v>555</v>
      </c>
      <c r="Q1336" s="100" t="s">
        <v>3703</v>
      </c>
      <c r="R1336" s="100" t="s">
        <v>3739</v>
      </c>
      <c r="S1336" s="503" t="str">
        <f t="shared" si="41"/>
        <v>x</v>
      </c>
      <c r="T1336" s="504" t="str">
        <f>IFERROR(VLOOKUP(F1336,'Freq-Chan'!C:D,2,FALSE),"x")</f>
        <v>x</v>
      </c>
      <c r="U1336" s="110" t="s">
        <v>541</v>
      </c>
      <c r="V1336" s="110" t="str">
        <f t="shared" si="42"/>
        <v>FWL</v>
      </c>
      <c r="W1336" s="110" t="s">
        <v>541</v>
      </c>
      <c r="X1336" s="110" t="s">
        <v>541</v>
      </c>
      <c r="Y1336" s="110" t="str">
        <f>IFERROR(VLOOKUP(F1336,'Freq-Chan'!C:E,3,FALSE),"na")</f>
        <v>na</v>
      </c>
      <c r="Z1336" s="110" t="s">
        <v>541</v>
      </c>
      <c r="AA1336" s="110" t="s">
        <v>541</v>
      </c>
      <c r="AB1336" s="110" t="s">
        <v>541</v>
      </c>
      <c r="AC1336" s="10" t="s">
        <v>541</v>
      </c>
      <c r="AD1336" s="10" t="s">
        <v>541</v>
      </c>
    </row>
    <row r="1337" spans="1:30" x14ac:dyDescent="0.2">
      <c r="A1337" s="110">
        <v>1336</v>
      </c>
      <c r="B1337" s="132">
        <v>41848</v>
      </c>
      <c r="C1337" s="117">
        <v>1</v>
      </c>
      <c r="D1337" s="103" t="s">
        <v>71</v>
      </c>
      <c r="E1337" s="103" t="s">
        <v>306</v>
      </c>
      <c r="H1337" s="103"/>
      <c r="I1337" s="103">
        <v>66</v>
      </c>
      <c r="K1337" s="103" t="s">
        <v>364</v>
      </c>
      <c r="L1337" s="133"/>
      <c r="M1337" s="134">
        <v>2.1527777777777781E-2</v>
      </c>
      <c r="N1337" s="137" t="s">
        <v>1578</v>
      </c>
      <c r="O1337" s="133" t="s">
        <v>1585</v>
      </c>
      <c r="Q1337" s="100" t="s">
        <v>3704</v>
      </c>
      <c r="R1337" s="226" t="s">
        <v>3739</v>
      </c>
      <c r="S1337" s="491" t="str">
        <f t="shared" si="41"/>
        <v>x</v>
      </c>
      <c r="T1337" s="492" t="str">
        <f>IFERROR(VLOOKUP(F1337,'Freq-Chan'!C:D,2,FALSE),"x")</f>
        <v>x</v>
      </c>
      <c r="U1337" s="110" t="s">
        <v>541</v>
      </c>
      <c r="V1337" s="110" t="str">
        <f t="shared" si="42"/>
        <v>FWL</v>
      </c>
      <c r="W1337" s="110" t="s">
        <v>541</v>
      </c>
      <c r="X1337" s="110" t="s">
        <v>541</v>
      </c>
      <c r="Y1337" s="110" t="str">
        <f>IFERROR(VLOOKUP(F1337,'Freq-Chan'!C:E,3,FALSE),"na")</f>
        <v>na</v>
      </c>
      <c r="Z1337" s="110" t="s">
        <v>541</v>
      </c>
      <c r="AA1337" s="110" t="s">
        <v>541</v>
      </c>
      <c r="AB1337" s="110" t="s">
        <v>541</v>
      </c>
      <c r="AC1337" s="10" t="s">
        <v>541</v>
      </c>
      <c r="AD1337" s="10" t="s">
        <v>541</v>
      </c>
    </row>
    <row r="1338" spans="1:30" x14ac:dyDescent="0.2">
      <c r="A1338" s="110">
        <v>1337</v>
      </c>
      <c r="B1338" s="132">
        <v>41848</v>
      </c>
      <c r="C1338" s="117">
        <v>1</v>
      </c>
      <c r="D1338" s="103" t="s">
        <v>8</v>
      </c>
      <c r="E1338" s="103" t="s">
        <v>306</v>
      </c>
      <c r="F1338" s="103">
        <v>573</v>
      </c>
      <c r="G1338" s="103">
        <v>42</v>
      </c>
      <c r="H1338" s="103" t="s">
        <v>2173</v>
      </c>
      <c r="I1338" s="103">
        <v>55</v>
      </c>
      <c r="K1338" s="103" t="s">
        <v>364</v>
      </c>
      <c r="L1338" s="133"/>
      <c r="M1338" s="134">
        <v>4.9305555555555554E-2</v>
      </c>
      <c r="N1338" s="137" t="s">
        <v>3720</v>
      </c>
      <c r="O1338" s="133" t="s">
        <v>1585</v>
      </c>
      <c r="P1338" s="100" t="s">
        <v>3722</v>
      </c>
      <c r="Q1338" s="100" t="s">
        <v>3704</v>
      </c>
      <c r="R1338" s="226" t="s">
        <v>3739</v>
      </c>
      <c r="S1338" s="491" t="str">
        <f t="shared" si="41"/>
        <v>x</v>
      </c>
      <c r="T1338" s="492">
        <f>IFERROR(VLOOKUP(F1338,'Freq-Chan'!C:D,2,FALSE),"x")</f>
        <v>151.57300000000001</v>
      </c>
      <c r="U1338" s="110" t="s">
        <v>541</v>
      </c>
      <c r="V1338" s="110" t="str">
        <f t="shared" si="42"/>
        <v>FWL</v>
      </c>
      <c r="W1338" s="110" t="s">
        <v>541</v>
      </c>
      <c r="X1338" s="110" t="s">
        <v>541</v>
      </c>
      <c r="Y1338" s="110" t="str">
        <f>IFERROR(VLOOKUP(F1338,'Freq-Chan'!C:E,3,FALSE),"na")</f>
        <v>F1840</v>
      </c>
      <c r="Z1338" s="110" t="s">
        <v>541</v>
      </c>
      <c r="AA1338" s="110" t="s">
        <v>541</v>
      </c>
      <c r="AB1338" s="110" t="s">
        <v>541</v>
      </c>
      <c r="AC1338" s="10" t="s">
        <v>541</v>
      </c>
      <c r="AD1338" s="10" t="s">
        <v>541</v>
      </c>
    </row>
    <row r="1339" spans="1:30" x14ac:dyDescent="0.2">
      <c r="A1339" s="110">
        <v>1338</v>
      </c>
      <c r="B1339" s="132">
        <v>41848</v>
      </c>
      <c r="C1339" s="117">
        <v>1</v>
      </c>
      <c r="D1339" s="103" t="s">
        <v>2</v>
      </c>
      <c r="E1339" s="103" t="s">
        <v>306</v>
      </c>
      <c r="F1339" s="103">
        <v>917</v>
      </c>
      <c r="G1339" s="103">
        <v>9</v>
      </c>
      <c r="H1339" s="103"/>
      <c r="I1339" s="103">
        <v>91</v>
      </c>
      <c r="K1339" s="103" t="s">
        <v>1032</v>
      </c>
      <c r="L1339" s="133">
        <v>0.6791666666666667</v>
      </c>
      <c r="M1339" s="134">
        <v>5.2083333333333336E-2</v>
      </c>
      <c r="N1339" s="137" t="s">
        <v>3721</v>
      </c>
      <c r="O1339" s="133" t="s">
        <v>1585</v>
      </c>
      <c r="P1339" s="100" t="s">
        <v>3723</v>
      </c>
      <c r="Q1339" s="100" t="s">
        <v>3704</v>
      </c>
      <c r="R1339" s="226" t="s">
        <v>3739</v>
      </c>
      <c r="S1339" s="491">
        <f t="shared" si="41"/>
        <v>3.9930555999999999E-3</v>
      </c>
      <c r="T1339" s="492">
        <f>IFERROR(VLOOKUP(F1339,'Freq-Chan'!C:D,2,FALSE),"x")</f>
        <v>151.917</v>
      </c>
      <c r="U1339" s="110" t="s">
        <v>541</v>
      </c>
      <c r="V1339" s="110" t="str">
        <f t="shared" si="42"/>
        <v>FWL</v>
      </c>
      <c r="W1339" s="110" t="s">
        <v>541</v>
      </c>
      <c r="X1339" s="110" t="s">
        <v>541</v>
      </c>
      <c r="Y1339" s="110" t="str">
        <f>IFERROR(VLOOKUP(F1339,'Freq-Chan'!C:E,3,FALSE),"na")</f>
        <v>F1835</v>
      </c>
      <c r="Z1339" s="110" t="s">
        <v>541</v>
      </c>
      <c r="AA1339" s="110" t="s">
        <v>541</v>
      </c>
      <c r="AB1339" s="110" t="s">
        <v>541</v>
      </c>
      <c r="AC1339" s="10" t="s">
        <v>541</v>
      </c>
      <c r="AD1339" s="10" t="s">
        <v>541</v>
      </c>
    </row>
    <row r="1340" spans="1:30" x14ac:dyDescent="0.2">
      <c r="A1340" s="110">
        <v>1339</v>
      </c>
      <c r="B1340" s="132">
        <v>41848</v>
      </c>
      <c r="C1340" s="117">
        <v>1</v>
      </c>
      <c r="D1340" s="103" t="s">
        <v>8</v>
      </c>
      <c r="E1340" s="103" t="s">
        <v>306</v>
      </c>
      <c r="F1340" s="103">
        <v>586</v>
      </c>
      <c r="G1340" s="103">
        <v>2</v>
      </c>
      <c r="H1340" s="103" t="s">
        <v>2168</v>
      </c>
      <c r="I1340" s="103">
        <v>48</v>
      </c>
      <c r="K1340" s="103" t="s">
        <v>364</v>
      </c>
      <c r="L1340" s="133"/>
      <c r="M1340" s="134">
        <v>4.9999999999999996E-2</v>
      </c>
      <c r="N1340" s="137" t="s">
        <v>3339</v>
      </c>
      <c r="O1340" s="133" t="s">
        <v>1585</v>
      </c>
      <c r="Q1340" s="100" t="s">
        <v>3704</v>
      </c>
      <c r="R1340" s="226" t="s">
        <v>3739</v>
      </c>
      <c r="S1340" s="491" t="str">
        <f t="shared" si="41"/>
        <v>x</v>
      </c>
      <c r="T1340" s="492">
        <f>IFERROR(VLOOKUP(F1340,'Freq-Chan'!C:D,2,FALSE),"x")</f>
        <v>151.58600000000001</v>
      </c>
      <c r="U1340" s="110" t="s">
        <v>541</v>
      </c>
      <c r="V1340" s="110" t="str">
        <f t="shared" si="42"/>
        <v>FWL</v>
      </c>
      <c r="W1340" s="110" t="s">
        <v>541</v>
      </c>
      <c r="X1340" s="110" t="s">
        <v>541</v>
      </c>
      <c r="Y1340" s="110" t="str">
        <f>IFERROR(VLOOKUP(F1340,'Freq-Chan'!C:E,3,FALSE),"na")</f>
        <v>F1840</v>
      </c>
      <c r="Z1340" s="110" t="s">
        <v>541</v>
      </c>
      <c r="AA1340" s="110" t="s">
        <v>541</v>
      </c>
      <c r="AB1340" s="110" t="s">
        <v>541</v>
      </c>
      <c r="AC1340" s="10" t="s">
        <v>541</v>
      </c>
      <c r="AD1340" s="10" t="s">
        <v>541</v>
      </c>
    </row>
    <row r="1341" spans="1:30" s="291" customFormat="1" x14ac:dyDescent="0.2">
      <c r="A1341" s="493">
        <v>1340</v>
      </c>
      <c r="B1341" s="283">
        <v>41848</v>
      </c>
      <c r="C1341" s="284">
        <v>1</v>
      </c>
      <c r="D1341" s="285" t="s">
        <v>71</v>
      </c>
      <c r="E1341" s="285" t="s">
        <v>306</v>
      </c>
      <c r="F1341" s="285"/>
      <c r="G1341" s="285"/>
      <c r="H1341" s="285"/>
      <c r="I1341" s="285">
        <v>60</v>
      </c>
      <c r="J1341" s="285"/>
      <c r="K1341" s="285" t="s">
        <v>364</v>
      </c>
      <c r="L1341" s="286"/>
      <c r="M1341" s="287">
        <v>1.4583333333333332E-2</v>
      </c>
      <c r="N1341" s="339" t="s">
        <v>375</v>
      </c>
      <c r="O1341" s="286" t="s">
        <v>376</v>
      </c>
      <c r="P1341" s="289"/>
      <c r="Q1341" s="289" t="s">
        <v>3704</v>
      </c>
      <c r="R1341" s="290" t="s">
        <v>3739</v>
      </c>
      <c r="S1341" s="494" t="str">
        <f t="shared" si="41"/>
        <v>x</v>
      </c>
      <c r="T1341" s="495" t="str">
        <f>IFERROR(VLOOKUP(F1341,'Freq-Chan'!C:D,2,FALSE),"x")</f>
        <v>x</v>
      </c>
      <c r="U1341" s="493" t="s">
        <v>541</v>
      </c>
      <c r="V1341" s="493" t="str">
        <f t="shared" si="42"/>
        <v>FWL</v>
      </c>
      <c r="W1341" s="493" t="s">
        <v>541</v>
      </c>
      <c r="X1341" s="493" t="s">
        <v>541</v>
      </c>
      <c r="Y1341" s="493" t="str">
        <f>IFERROR(VLOOKUP(F1341,'Freq-Chan'!C:E,3,FALSE),"na")</f>
        <v>na</v>
      </c>
      <c r="Z1341" s="493" t="s">
        <v>541</v>
      </c>
      <c r="AA1341" s="493" t="s">
        <v>541</v>
      </c>
      <c r="AB1341" s="493" t="s">
        <v>541</v>
      </c>
      <c r="AC1341" s="291" t="s">
        <v>541</v>
      </c>
      <c r="AD1341" s="291" t="s">
        <v>541</v>
      </c>
    </row>
    <row r="1342" spans="1:30" x14ac:dyDescent="0.2">
      <c r="A1342" s="110">
        <v>1341</v>
      </c>
      <c r="B1342" s="132">
        <v>41848</v>
      </c>
      <c r="C1342" s="117">
        <v>2</v>
      </c>
      <c r="D1342" s="103" t="s">
        <v>70</v>
      </c>
      <c r="E1342" s="103" t="s">
        <v>306</v>
      </c>
      <c r="F1342" s="103">
        <v>515</v>
      </c>
      <c r="G1342" s="103">
        <v>43</v>
      </c>
      <c r="H1342" s="103" t="s">
        <v>3000</v>
      </c>
      <c r="I1342" s="103">
        <v>44</v>
      </c>
      <c r="K1342" s="103" t="s">
        <v>1032</v>
      </c>
      <c r="L1342" s="133">
        <v>0.33680555555555558</v>
      </c>
      <c r="M1342" s="134">
        <v>6.458333333333334E-2</v>
      </c>
      <c r="N1342" s="137" t="s">
        <v>3293</v>
      </c>
      <c r="O1342" s="133" t="s">
        <v>372</v>
      </c>
      <c r="Q1342" s="100" t="s">
        <v>3703</v>
      </c>
      <c r="R1342" s="226" t="s">
        <v>3739</v>
      </c>
      <c r="S1342" s="491">
        <f t="shared" si="41"/>
        <v>5.5173611099999999E-2</v>
      </c>
      <c r="T1342" s="492">
        <f>IFERROR(VLOOKUP(F1342,'Freq-Chan'!C:D,2,FALSE),"x")</f>
        <v>151.51499999999999</v>
      </c>
      <c r="U1342" s="110" t="s">
        <v>541</v>
      </c>
      <c r="V1342" s="110" t="str">
        <f t="shared" si="42"/>
        <v>FWL</v>
      </c>
      <c r="W1342" s="110" t="s">
        <v>541</v>
      </c>
      <c r="X1342" s="110" t="s">
        <v>541</v>
      </c>
      <c r="Y1342" s="110" t="str">
        <f>IFERROR(VLOOKUP(F1342,'Freq-Chan'!C:E,3,FALSE),"na")</f>
        <v>F1835</v>
      </c>
      <c r="Z1342" s="110" t="s">
        <v>541</v>
      </c>
      <c r="AA1342" s="110" t="s">
        <v>541</v>
      </c>
      <c r="AB1342" s="110" t="s">
        <v>541</v>
      </c>
      <c r="AC1342" s="10" t="s">
        <v>541</v>
      </c>
      <c r="AD1342" s="10" t="s">
        <v>541</v>
      </c>
    </row>
    <row r="1343" spans="1:30" x14ac:dyDescent="0.2">
      <c r="A1343" s="110">
        <v>1342</v>
      </c>
      <c r="B1343" s="132">
        <v>41848</v>
      </c>
      <c r="C1343" s="117">
        <v>2</v>
      </c>
      <c r="D1343" s="103" t="s">
        <v>71</v>
      </c>
      <c r="E1343" s="103" t="s">
        <v>306</v>
      </c>
      <c r="F1343" s="103">
        <v>534</v>
      </c>
      <c r="G1343" s="103">
        <v>97</v>
      </c>
      <c r="H1343" s="103" t="s">
        <v>2332</v>
      </c>
      <c r="I1343" s="103">
        <v>63</v>
      </c>
      <c r="K1343" s="103" t="s">
        <v>364</v>
      </c>
      <c r="L1343" s="133">
        <v>0.3972222222222222</v>
      </c>
      <c r="M1343" s="134">
        <v>5.486111111111111E-2</v>
      </c>
      <c r="N1343" s="137" t="s">
        <v>2653</v>
      </c>
      <c r="O1343" s="133" t="s">
        <v>555</v>
      </c>
      <c r="Q1343" s="100" t="s">
        <v>3703</v>
      </c>
      <c r="R1343" s="226" t="s">
        <v>3739</v>
      </c>
      <c r="S1343" s="491">
        <f t="shared" si="41"/>
        <v>3.2523147999999999E-3</v>
      </c>
      <c r="T1343" s="492">
        <f>IFERROR(VLOOKUP(F1343,'Freq-Chan'!C:D,2,FALSE),"x")</f>
        <v>151.53399999999999</v>
      </c>
      <c r="U1343" s="110" t="s">
        <v>541</v>
      </c>
      <c r="V1343" s="110" t="str">
        <f t="shared" si="42"/>
        <v>FWL</v>
      </c>
      <c r="W1343" s="110" t="s">
        <v>541</v>
      </c>
      <c r="X1343" s="110" t="s">
        <v>541</v>
      </c>
      <c r="Y1343" s="110" t="str">
        <f>IFERROR(VLOOKUP(F1343,'Freq-Chan'!C:E,3,FALSE),"na")</f>
        <v>F1840</v>
      </c>
      <c r="Z1343" s="110" t="s">
        <v>541</v>
      </c>
      <c r="AA1343" s="110" t="s">
        <v>541</v>
      </c>
      <c r="AB1343" s="110" t="s">
        <v>541</v>
      </c>
      <c r="AC1343" s="10" t="s">
        <v>541</v>
      </c>
      <c r="AD1343" s="10" t="s">
        <v>541</v>
      </c>
    </row>
    <row r="1344" spans="1:30" x14ac:dyDescent="0.2">
      <c r="A1344" s="110">
        <v>1343</v>
      </c>
      <c r="B1344" s="132">
        <v>41848</v>
      </c>
      <c r="C1344" s="117">
        <v>2</v>
      </c>
      <c r="D1344" s="103" t="s">
        <v>70</v>
      </c>
      <c r="E1344" s="103" t="s">
        <v>306</v>
      </c>
      <c r="F1344" s="103">
        <v>515</v>
      </c>
      <c r="G1344" s="103">
        <v>4</v>
      </c>
      <c r="H1344" s="103" t="s">
        <v>3001</v>
      </c>
      <c r="I1344" s="103">
        <v>44</v>
      </c>
      <c r="K1344" s="103" t="s">
        <v>365</v>
      </c>
      <c r="L1344" s="133"/>
      <c r="M1344" s="134">
        <v>4.5138888888888888E-2</v>
      </c>
      <c r="N1344" s="137" t="s">
        <v>3497</v>
      </c>
      <c r="O1344" s="133" t="s">
        <v>372</v>
      </c>
      <c r="Q1344" s="100" t="s">
        <v>3703</v>
      </c>
      <c r="R1344" s="226" t="s">
        <v>3739</v>
      </c>
      <c r="S1344" s="491" t="str">
        <f t="shared" si="41"/>
        <v>x</v>
      </c>
      <c r="T1344" s="492">
        <f>IFERROR(VLOOKUP(F1344,'Freq-Chan'!C:D,2,FALSE),"x")</f>
        <v>151.51499999999999</v>
      </c>
      <c r="U1344" s="110" t="s">
        <v>541</v>
      </c>
      <c r="V1344" s="110" t="str">
        <f t="shared" si="42"/>
        <v>FWL</v>
      </c>
      <c r="W1344" s="110" t="s">
        <v>541</v>
      </c>
      <c r="X1344" s="110" t="s">
        <v>541</v>
      </c>
      <c r="Y1344" s="110" t="str">
        <f>IFERROR(VLOOKUP(F1344,'Freq-Chan'!C:E,3,FALSE),"na")</f>
        <v>F1835</v>
      </c>
      <c r="Z1344" s="110" t="s">
        <v>541</v>
      </c>
      <c r="AA1344" s="110" t="s">
        <v>541</v>
      </c>
      <c r="AB1344" s="110" t="s">
        <v>541</v>
      </c>
      <c r="AC1344" s="10" t="s">
        <v>541</v>
      </c>
      <c r="AD1344" s="10" t="s">
        <v>541</v>
      </c>
    </row>
    <row r="1345" spans="1:30" x14ac:dyDescent="0.2">
      <c r="A1345" s="110">
        <v>1344</v>
      </c>
      <c r="B1345" s="132">
        <v>41848</v>
      </c>
      <c r="C1345" s="117">
        <v>2</v>
      </c>
      <c r="D1345" s="103" t="s">
        <v>70</v>
      </c>
      <c r="E1345" s="103" t="s">
        <v>306</v>
      </c>
      <c r="H1345" s="103"/>
      <c r="I1345" s="103">
        <v>46</v>
      </c>
      <c r="K1345" s="103" t="s">
        <v>365</v>
      </c>
      <c r="L1345" s="133"/>
      <c r="M1345" s="134">
        <v>1.9444444444444445E-2</v>
      </c>
      <c r="N1345" s="137" t="s">
        <v>1652</v>
      </c>
      <c r="O1345" s="133" t="s">
        <v>372</v>
      </c>
      <c r="Q1345" s="100" t="s">
        <v>3703</v>
      </c>
      <c r="R1345" s="226" t="s">
        <v>3739</v>
      </c>
      <c r="S1345" s="491" t="str">
        <f t="shared" si="41"/>
        <v>x</v>
      </c>
      <c r="T1345" s="492" t="str">
        <f>IFERROR(VLOOKUP(F1345,'Freq-Chan'!C:D,2,FALSE),"x")</f>
        <v>x</v>
      </c>
      <c r="U1345" s="110" t="s">
        <v>541</v>
      </c>
      <c r="V1345" s="110" t="str">
        <f t="shared" si="42"/>
        <v>FWL</v>
      </c>
      <c r="W1345" s="110" t="s">
        <v>541</v>
      </c>
      <c r="X1345" s="110" t="s">
        <v>541</v>
      </c>
      <c r="Y1345" s="110" t="str">
        <f>IFERROR(VLOOKUP(F1345,'Freq-Chan'!C:E,3,FALSE),"na")</f>
        <v>na</v>
      </c>
      <c r="Z1345" s="110" t="s">
        <v>541</v>
      </c>
      <c r="AA1345" s="110" t="s">
        <v>541</v>
      </c>
      <c r="AB1345" s="110" t="s">
        <v>541</v>
      </c>
      <c r="AC1345" s="10" t="s">
        <v>541</v>
      </c>
      <c r="AD1345" s="10" t="s">
        <v>541</v>
      </c>
    </row>
    <row r="1346" spans="1:30" x14ac:dyDescent="0.2">
      <c r="A1346" s="110">
        <v>1345</v>
      </c>
      <c r="B1346" s="132">
        <v>41848</v>
      </c>
      <c r="C1346" s="117">
        <v>2</v>
      </c>
      <c r="D1346" s="103" t="s">
        <v>8</v>
      </c>
      <c r="E1346" s="103" t="s">
        <v>306</v>
      </c>
      <c r="F1346" s="103">
        <v>586</v>
      </c>
      <c r="G1346" s="103">
        <v>82</v>
      </c>
      <c r="H1346" s="103" t="s">
        <v>2166</v>
      </c>
      <c r="I1346" s="103">
        <v>52</v>
      </c>
      <c r="K1346" s="103" t="s">
        <v>364</v>
      </c>
      <c r="L1346" s="133"/>
      <c r="M1346" s="134">
        <v>4.1666666666666664E-2</v>
      </c>
      <c r="N1346" s="137" t="s">
        <v>3358</v>
      </c>
      <c r="O1346" s="133" t="s">
        <v>555</v>
      </c>
      <c r="Q1346" s="100" t="s">
        <v>3703</v>
      </c>
      <c r="R1346" s="226" t="s">
        <v>3739</v>
      </c>
      <c r="S1346" s="491" t="str">
        <f t="shared" si="41"/>
        <v>x</v>
      </c>
      <c r="T1346" s="492">
        <f>IFERROR(VLOOKUP(F1346,'Freq-Chan'!C:D,2,FALSE),"x")</f>
        <v>151.58600000000001</v>
      </c>
      <c r="U1346" s="110" t="s">
        <v>541</v>
      </c>
      <c r="V1346" s="110" t="str">
        <f t="shared" si="42"/>
        <v>FWL</v>
      </c>
      <c r="W1346" s="110" t="s">
        <v>541</v>
      </c>
      <c r="X1346" s="110" t="s">
        <v>541</v>
      </c>
      <c r="Y1346" s="110" t="str">
        <f>IFERROR(VLOOKUP(F1346,'Freq-Chan'!C:E,3,FALSE),"na")</f>
        <v>F1840</v>
      </c>
      <c r="Z1346" s="110" t="s">
        <v>541</v>
      </c>
      <c r="AA1346" s="110" t="s">
        <v>541</v>
      </c>
      <c r="AB1346" s="110" t="s">
        <v>541</v>
      </c>
      <c r="AC1346" s="10" t="s">
        <v>541</v>
      </c>
      <c r="AD1346" s="10" t="s">
        <v>541</v>
      </c>
    </row>
    <row r="1347" spans="1:30" x14ac:dyDescent="0.2">
      <c r="A1347" s="110">
        <v>1346</v>
      </c>
      <c r="B1347" s="132">
        <v>41848</v>
      </c>
      <c r="C1347" s="117">
        <v>2</v>
      </c>
      <c r="D1347" s="103" t="s">
        <v>8</v>
      </c>
      <c r="E1347" s="103" t="s">
        <v>306</v>
      </c>
      <c r="F1347" s="103">
        <v>586</v>
      </c>
      <c r="G1347" s="103">
        <v>88</v>
      </c>
      <c r="H1347" s="103" t="s">
        <v>2174</v>
      </c>
      <c r="I1347" s="103">
        <v>45</v>
      </c>
      <c r="K1347" s="103" t="s">
        <v>364</v>
      </c>
      <c r="L1347" s="133"/>
      <c r="M1347" s="134">
        <v>4.1666666666666664E-2</v>
      </c>
      <c r="N1347" s="137" t="s">
        <v>509</v>
      </c>
      <c r="O1347" s="133" t="s">
        <v>376</v>
      </c>
      <c r="Q1347" s="100" t="s">
        <v>3704</v>
      </c>
      <c r="R1347" s="226" t="s">
        <v>3739</v>
      </c>
      <c r="S1347" s="491" t="str">
        <f t="shared" ref="S1347:S1410" si="43">IF(IF(OR(L1347=0,N1347=0),"x",ROUND(N1347-L1347-(M1347*24)/(24*60),10))&lt;0,0,IF(OR(L1347=0,N1347=0),"x",ROUND(N1347-L1347-(M1347*24)/(24*60),10)))</f>
        <v>x</v>
      </c>
      <c r="T1347" s="492">
        <f>IFERROR(VLOOKUP(F1347,'Freq-Chan'!C:D,2,FALSE),"x")</f>
        <v>151.58600000000001</v>
      </c>
      <c r="U1347" s="110" t="s">
        <v>541</v>
      </c>
      <c r="V1347" s="110" t="str">
        <f t="shared" ref="V1347:V1410" si="44">IF(OR(C1347=1,C1347=2,C1347=3),"FWL","NRD")</f>
        <v>FWL</v>
      </c>
      <c r="W1347" s="110" t="s">
        <v>541</v>
      </c>
      <c r="X1347" s="110" t="s">
        <v>541</v>
      </c>
      <c r="Y1347" s="110" t="str">
        <f>IFERROR(VLOOKUP(F1347,'Freq-Chan'!C:E,3,FALSE),"na")</f>
        <v>F1840</v>
      </c>
      <c r="Z1347" s="110" t="s">
        <v>541</v>
      </c>
      <c r="AA1347" s="110" t="s">
        <v>541</v>
      </c>
      <c r="AB1347" s="110" t="s">
        <v>541</v>
      </c>
      <c r="AC1347" s="10" t="s">
        <v>541</v>
      </c>
      <c r="AD1347" s="10" t="s">
        <v>541</v>
      </c>
    </row>
    <row r="1348" spans="1:30" x14ac:dyDescent="0.2">
      <c r="A1348" s="110">
        <v>1347</v>
      </c>
      <c r="B1348" s="132">
        <v>41848</v>
      </c>
      <c r="C1348" s="117">
        <v>2</v>
      </c>
      <c r="D1348" s="103" t="s">
        <v>8</v>
      </c>
      <c r="E1348" s="103" t="s">
        <v>306</v>
      </c>
      <c r="F1348" s="103">
        <v>586</v>
      </c>
      <c r="G1348" s="103">
        <v>86</v>
      </c>
      <c r="H1348" s="103" t="s">
        <v>2167</v>
      </c>
      <c r="I1348" s="103">
        <v>59</v>
      </c>
      <c r="K1348" s="103" t="s">
        <v>1032</v>
      </c>
      <c r="L1348" s="133"/>
      <c r="M1348" s="134">
        <v>9.1666666666666674E-2</v>
      </c>
      <c r="N1348" s="137" t="s">
        <v>1662</v>
      </c>
      <c r="O1348" s="133" t="s">
        <v>376</v>
      </c>
      <c r="P1348" s="100" t="s">
        <v>3724</v>
      </c>
      <c r="Q1348" s="100" t="s">
        <v>3704</v>
      </c>
      <c r="R1348" s="226" t="s">
        <v>3739</v>
      </c>
      <c r="S1348" s="491" t="str">
        <f t="shared" si="43"/>
        <v>x</v>
      </c>
      <c r="T1348" s="492">
        <f>IFERROR(VLOOKUP(F1348,'Freq-Chan'!C:D,2,FALSE),"x")</f>
        <v>151.58600000000001</v>
      </c>
      <c r="U1348" s="110" t="s">
        <v>541</v>
      </c>
      <c r="V1348" s="110" t="str">
        <f t="shared" si="44"/>
        <v>FWL</v>
      </c>
      <c r="W1348" s="110" t="s">
        <v>541</v>
      </c>
      <c r="X1348" s="110" t="s">
        <v>541</v>
      </c>
      <c r="Y1348" s="110" t="str">
        <f>IFERROR(VLOOKUP(F1348,'Freq-Chan'!C:E,3,FALSE),"na")</f>
        <v>F1840</v>
      </c>
      <c r="Z1348" s="110" t="s">
        <v>541</v>
      </c>
      <c r="AA1348" s="110" t="s">
        <v>541</v>
      </c>
      <c r="AB1348" s="110" t="s">
        <v>541</v>
      </c>
      <c r="AC1348" s="10" t="s">
        <v>541</v>
      </c>
      <c r="AD1348" s="10" t="s">
        <v>541</v>
      </c>
    </row>
    <row r="1349" spans="1:30" x14ac:dyDescent="0.2">
      <c r="A1349" s="110">
        <v>1348</v>
      </c>
      <c r="B1349" s="132">
        <v>41848</v>
      </c>
      <c r="C1349" s="117">
        <v>2</v>
      </c>
      <c r="D1349" s="103" t="s">
        <v>70</v>
      </c>
      <c r="E1349" s="103" t="s">
        <v>306</v>
      </c>
      <c r="H1349" s="103"/>
      <c r="I1349" s="103">
        <v>45</v>
      </c>
      <c r="K1349" s="103" t="s">
        <v>365</v>
      </c>
      <c r="L1349" s="133">
        <v>0.62986111111111109</v>
      </c>
      <c r="M1349" s="134">
        <v>2.013888888888889E-2</v>
      </c>
      <c r="N1349" s="137" t="s">
        <v>3725</v>
      </c>
      <c r="O1349" s="133" t="s">
        <v>376</v>
      </c>
      <c r="Q1349" s="100" t="s">
        <v>3704</v>
      </c>
      <c r="R1349" s="226" t="s">
        <v>3739</v>
      </c>
      <c r="S1349" s="491">
        <f t="shared" si="43"/>
        <v>3.1365741000000001E-3</v>
      </c>
      <c r="T1349" s="492" t="str">
        <f>IFERROR(VLOOKUP(F1349,'Freq-Chan'!C:D,2,FALSE),"x")</f>
        <v>x</v>
      </c>
      <c r="U1349" s="110" t="s">
        <v>541</v>
      </c>
      <c r="V1349" s="110" t="str">
        <f t="shared" si="44"/>
        <v>FWL</v>
      </c>
      <c r="W1349" s="110" t="s">
        <v>541</v>
      </c>
      <c r="X1349" s="110" t="s">
        <v>541</v>
      </c>
      <c r="Y1349" s="110" t="str">
        <f>IFERROR(VLOOKUP(F1349,'Freq-Chan'!C:E,3,FALSE),"na")</f>
        <v>na</v>
      </c>
      <c r="Z1349" s="110" t="s">
        <v>541</v>
      </c>
      <c r="AA1349" s="110" t="s">
        <v>541</v>
      </c>
      <c r="AB1349" s="110" t="s">
        <v>541</v>
      </c>
      <c r="AC1349" s="10" t="s">
        <v>541</v>
      </c>
      <c r="AD1349" s="10" t="s">
        <v>541</v>
      </c>
    </row>
    <row r="1350" spans="1:30" x14ac:dyDescent="0.2">
      <c r="A1350" s="110">
        <v>1349</v>
      </c>
      <c r="B1350" s="132">
        <v>41848</v>
      </c>
      <c r="C1350" s="117">
        <v>2</v>
      </c>
      <c r="D1350" s="103" t="s">
        <v>71</v>
      </c>
      <c r="E1350" s="103" t="s">
        <v>306</v>
      </c>
      <c r="H1350" s="103"/>
      <c r="I1350" s="103">
        <v>58</v>
      </c>
      <c r="K1350" s="103" t="s">
        <v>364</v>
      </c>
      <c r="L1350" s="133"/>
      <c r="M1350" s="134">
        <v>1.9444444444444445E-2</v>
      </c>
      <c r="N1350" s="137" t="s">
        <v>3726</v>
      </c>
      <c r="O1350" s="133" t="s">
        <v>376</v>
      </c>
      <c r="Q1350" s="100" t="s">
        <v>3704</v>
      </c>
      <c r="R1350" s="226" t="s">
        <v>3739</v>
      </c>
      <c r="S1350" s="491" t="str">
        <f t="shared" si="43"/>
        <v>x</v>
      </c>
      <c r="T1350" s="492" t="str">
        <f>IFERROR(VLOOKUP(F1350,'Freq-Chan'!C:D,2,FALSE),"x")</f>
        <v>x</v>
      </c>
      <c r="U1350" s="110" t="s">
        <v>541</v>
      </c>
      <c r="V1350" s="110" t="str">
        <f t="shared" si="44"/>
        <v>FWL</v>
      </c>
      <c r="W1350" s="110" t="s">
        <v>541</v>
      </c>
      <c r="X1350" s="110" t="s">
        <v>541</v>
      </c>
      <c r="Y1350" s="110" t="str">
        <f>IFERROR(VLOOKUP(F1350,'Freq-Chan'!C:E,3,FALSE),"na")</f>
        <v>na</v>
      </c>
      <c r="Z1350" s="110" t="s">
        <v>541</v>
      </c>
      <c r="AA1350" s="110" t="s">
        <v>541</v>
      </c>
      <c r="AB1350" s="110" t="s">
        <v>541</v>
      </c>
      <c r="AC1350" s="10" t="s">
        <v>541</v>
      </c>
      <c r="AD1350" s="10" t="s">
        <v>541</v>
      </c>
    </row>
    <row r="1351" spans="1:30" x14ac:dyDescent="0.2">
      <c r="A1351" s="110">
        <v>1350</v>
      </c>
      <c r="B1351" s="132">
        <v>41848</v>
      </c>
      <c r="C1351" s="117">
        <v>2</v>
      </c>
      <c r="D1351" s="103" t="s">
        <v>71</v>
      </c>
      <c r="E1351" s="103" t="s">
        <v>306</v>
      </c>
      <c r="H1351" s="103"/>
      <c r="I1351" s="103">
        <v>63</v>
      </c>
      <c r="K1351" s="103" t="s">
        <v>364</v>
      </c>
      <c r="L1351" s="133"/>
      <c r="M1351" s="134">
        <v>2.0833333333333332E-2</v>
      </c>
      <c r="N1351" s="137" t="s">
        <v>3727</v>
      </c>
      <c r="O1351" s="133" t="s">
        <v>376</v>
      </c>
      <c r="Q1351" s="100" t="s">
        <v>3704</v>
      </c>
      <c r="R1351" s="226" t="s">
        <v>3739</v>
      </c>
      <c r="S1351" s="491" t="str">
        <f t="shared" si="43"/>
        <v>x</v>
      </c>
      <c r="T1351" s="492" t="str">
        <f>IFERROR(VLOOKUP(F1351,'Freq-Chan'!C:D,2,FALSE),"x")</f>
        <v>x</v>
      </c>
      <c r="U1351" s="110" t="s">
        <v>541</v>
      </c>
      <c r="V1351" s="110" t="str">
        <f t="shared" si="44"/>
        <v>FWL</v>
      </c>
      <c r="W1351" s="110" t="s">
        <v>541</v>
      </c>
      <c r="X1351" s="110" t="s">
        <v>541</v>
      </c>
      <c r="Y1351" s="110" t="str">
        <f>IFERROR(VLOOKUP(F1351,'Freq-Chan'!C:E,3,FALSE),"na")</f>
        <v>na</v>
      </c>
      <c r="Z1351" s="110" t="s">
        <v>541</v>
      </c>
      <c r="AA1351" s="110" t="s">
        <v>541</v>
      </c>
      <c r="AB1351" s="110" t="s">
        <v>541</v>
      </c>
      <c r="AC1351" s="10" t="s">
        <v>541</v>
      </c>
      <c r="AD1351" s="10" t="s">
        <v>541</v>
      </c>
    </row>
    <row r="1352" spans="1:30" x14ac:dyDescent="0.2">
      <c r="A1352" s="110">
        <v>1351</v>
      </c>
      <c r="B1352" s="132">
        <v>41848</v>
      </c>
      <c r="C1352" s="117">
        <v>2</v>
      </c>
      <c r="D1352" s="103" t="s">
        <v>8</v>
      </c>
      <c r="E1352" s="103" t="s">
        <v>306</v>
      </c>
      <c r="F1352" s="103">
        <v>573</v>
      </c>
      <c r="G1352" s="103">
        <v>14</v>
      </c>
      <c r="H1352" s="103" t="s">
        <v>2169</v>
      </c>
      <c r="I1352" s="103">
        <v>46</v>
      </c>
      <c r="K1352" s="103" t="s">
        <v>364</v>
      </c>
      <c r="L1352" s="133"/>
      <c r="M1352" s="134">
        <v>3.888888888888889E-2</v>
      </c>
      <c r="N1352" s="137" t="s">
        <v>3166</v>
      </c>
      <c r="O1352" s="133" t="s">
        <v>1585</v>
      </c>
      <c r="P1352" s="100" t="s">
        <v>3740</v>
      </c>
      <c r="Q1352" s="100" t="s">
        <v>3704</v>
      </c>
      <c r="R1352" s="226" t="s">
        <v>3739</v>
      </c>
      <c r="S1352" s="491" t="str">
        <f t="shared" si="43"/>
        <v>x</v>
      </c>
      <c r="T1352" s="492">
        <f>IFERROR(VLOOKUP(F1352,'Freq-Chan'!C:D,2,FALSE),"x")</f>
        <v>151.57300000000001</v>
      </c>
      <c r="U1352" s="110" t="s">
        <v>541</v>
      </c>
      <c r="V1352" s="110" t="str">
        <f t="shared" si="44"/>
        <v>FWL</v>
      </c>
      <c r="W1352" s="110" t="s">
        <v>541</v>
      </c>
      <c r="X1352" s="110" t="s">
        <v>541</v>
      </c>
      <c r="Y1352" s="110" t="str">
        <f>IFERROR(VLOOKUP(F1352,'Freq-Chan'!C:E,3,FALSE),"na")</f>
        <v>F1840</v>
      </c>
      <c r="Z1352" s="110" t="s">
        <v>541</v>
      </c>
      <c r="AA1352" s="110" t="s">
        <v>541</v>
      </c>
      <c r="AB1352" s="110" t="s">
        <v>541</v>
      </c>
      <c r="AC1352" s="10" t="s">
        <v>541</v>
      </c>
      <c r="AD1352" s="10" t="s">
        <v>541</v>
      </c>
    </row>
    <row r="1353" spans="1:30" x14ac:dyDescent="0.2">
      <c r="A1353" s="110">
        <v>1352</v>
      </c>
      <c r="B1353" s="132">
        <v>41848</v>
      </c>
      <c r="C1353" s="117">
        <v>2</v>
      </c>
      <c r="D1353" s="103" t="s">
        <v>71</v>
      </c>
      <c r="E1353" s="103" t="s">
        <v>306</v>
      </c>
      <c r="H1353" s="103"/>
      <c r="I1353" s="103">
        <v>66</v>
      </c>
      <c r="K1353" s="103" t="s">
        <v>364</v>
      </c>
      <c r="L1353" s="133"/>
      <c r="M1353" s="134">
        <v>2.4305555555555556E-2</v>
      </c>
      <c r="N1353" s="137" t="s">
        <v>2932</v>
      </c>
      <c r="O1353" s="133" t="s">
        <v>1585</v>
      </c>
      <c r="Q1353" s="100" t="s">
        <v>3704</v>
      </c>
      <c r="R1353" s="226" t="s">
        <v>3739</v>
      </c>
      <c r="S1353" s="491" t="str">
        <f t="shared" si="43"/>
        <v>x</v>
      </c>
      <c r="T1353" s="492" t="str">
        <f>IFERROR(VLOOKUP(F1353,'Freq-Chan'!C:D,2,FALSE),"x")</f>
        <v>x</v>
      </c>
      <c r="U1353" s="110" t="s">
        <v>541</v>
      </c>
      <c r="V1353" s="110" t="str">
        <f t="shared" si="44"/>
        <v>FWL</v>
      </c>
      <c r="W1353" s="110" t="s">
        <v>541</v>
      </c>
      <c r="X1353" s="110" t="s">
        <v>541</v>
      </c>
      <c r="Y1353" s="110" t="str">
        <f>IFERROR(VLOOKUP(F1353,'Freq-Chan'!C:E,3,FALSE),"na")</f>
        <v>na</v>
      </c>
      <c r="Z1353" s="110" t="s">
        <v>541</v>
      </c>
      <c r="AA1353" s="110" t="s">
        <v>541</v>
      </c>
      <c r="AB1353" s="110" t="s">
        <v>541</v>
      </c>
      <c r="AC1353" s="10" t="s">
        <v>541</v>
      </c>
      <c r="AD1353" s="10" t="s">
        <v>541</v>
      </c>
    </row>
    <row r="1354" spans="1:30" s="291" customFormat="1" x14ac:dyDescent="0.2">
      <c r="A1354" s="493">
        <v>1353</v>
      </c>
      <c r="B1354" s="283">
        <v>41848</v>
      </c>
      <c r="C1354" s="284">
        <v>2</v>
      </c>
      <c r="D1354" s="285" t="s">
        <v>8</v>
      </c>
      <c r="E1354" s="285" t="s">
        <v>306</v>
      </c>
      <c r="F1354" s="285">
        <v>586</v>
      </c>
      <c r="G1354" s="285">
        <v>44</v>
      </c>
      <c r="H1354" s="285" t="s">
        <v>2170</v>
      </c>
      <c r="I1354" s="285">
        <v>43</v>
      </c>
      <c r="J1354" s="285"/>
      <c r="K1354" s="285" t="s">
        <v>364</v>
      </c>
      <c r="L1354" s="286"/>
      <c r="M1354" s="287">
        <v>4.5833333333333337E-2</v>
      </c>
      <c r="N1354" s="339" t="s">
        <v>2787</v>
      </c>
      <c r="O1354" s="286" t="s">
        <v>1585</v>
      </c>
      <c r="P1354" s="289"/>
      <c r="Q1354" s="289" t="s">
        <v>3704</v>
      </c>
      <c r="R1354" s="290" t="s">
        <v>3739</v>
      </c>
      <c r="S1354" s="494" t="str">
        <f t="shared" si="43"/>
        <v>x</v>
      </c>
      <c r="T1354" s="495">
        <f>IFERROR(VLOOKUP(F1354,'Freq-Chan'!C:D,2,FALSE),"x")</f>
        <v>151.58600000000001</v>
      </c>
      <c r="U1354" s="493" t="s">
        <v>541</v>
      </c>
      <c r="V1354" s="493" t="str">
        <f t="shared" si="44"/>
        <v>FWL</v>
      </c>
      <c r="W1354" s="493" t="s">
        <v>541</v>
      </c>
      <c r="X1354" s="493" t="s">
        <v>541</v>
      </c>
      <c r="Y1354" s="493" t="str">
        <f>IFERROR(VLOOKUP(F1354,'Freq-Chan'!C:E,3,FALSE),"na")</f>
        <v>F1840</v>
      </c>
      <c r="Z1354" s="493" t="s">
        <v>541</v>
      </c>
      <c r="AA1354" s="493" t="s">
        <v>541</v>
      </c>
      <c r="AB1354" s="493" t="s">
        <v>541</v>
      </c>
      <c r="AC1354" s="291" t="s">
        <v>541</v>
      </c>
      <c r="AD1354" s="291" t="s">
        <v>541</v>
      </c>
    </row>
    <row r="1355" spans="1:30" x14ac:dyDescent="0.2">
      <c r="A1355" s="110">
        <v>1354</v>
      </c>
      <c r="B1355" s="132">
        <v>41848</v>
      </c>
      <c r="C1355" s="117">
        <v>3</v>
      </c>
      <c r="D1355" s="103" t="s">
        <v>70</v>
      </c>
      <c r="E1355" s="103" t="s">
        <v>306</v>
      </c>
      <c r="F1355" s="103">
        <v>596</v>
      </c>
      <c r="G1355" s="103">
        <v>8</v>
      </c>
      <c r="H1355" s="103" t="s">
        <v>2993</v>
      </c>
      <c r="I1355" s="103">
        <v>48</v>
      </c>
      <c r="K1355" s="103" t="s">
        <v>1032</v>
      </c>
      <c r="L1355" s="133">
        <v>0.34861111111111115</v>
      </c>
      <c r="M1355" s="134">
        <v>5.2777777777777778E-2</v>
      </c>
      <c r="N1355" s="137" t="s">
        <v>3448</v>
      </c>
      <c r="O1355" s="133" t="s">
        <v>1585</v>
      </c>
      <c r="Q1355" s="100" t="s">
        <v>3708</v>
      </c>
      <c r="R1355" s="226" t="s">
        <v>3739</v>
      </c>
      <c r="S1355" s="491">
        <f t="shared" si="43"/>
        <v>1.7870370399999998E-2</v>
      </c>
      <c r="T1355" s="492">
        <f>IFERROR(VLOOKUP(F1355,'Freq-Chan'!C:D,2,FALSE),"x")</f>
        <v>151.596</v>
      </c>
      <c r="U1355" s="110" t="s">
        <v>541</v>
      </c>
      <c r="V1355" s="110" t="str">
        <f t="shared" si="44"/>
        <v>FWL</v>
      </c>
      <c r="W1355" s="110" t="s">
        <v>541</v>
      </c>
      <c r="X1355" s="110" t="s">
        <v>541</v>
      </c>
      <c r="Y1355" s="110" t="str">
        <f>IFERROR(VLOOKUP(F1355,'Freq-Chan'!C:E,3,FALSE),"na")</f>
        <v>F1835</v>
      </c>
      <c r="Z1355" s="110" t="s">
        <v>541</v>
      </c>
      <c r="AA1355" s="110" t="s">
        <v>541</v>
      </c>
      <c r="AB1355" s="110" t="s">
        <v>541</v>
      </c>
      <c r="AC1355" s="10" t="s">
        <v>541</v>
      </c>
      <c r="AD1355" s="10" t="s">
        <v>541</v>
      </c>
    </row>
    <row r="1356" spans="1:30" x14ac:dyDescent="0.2">
      <c r="A1356" s="110">
        <v>1355</v>
      </c>
      <c r="B1356" s="132">
        <v>41848</v>
      </c>
      <c r="C1356" s="117">
        <v>3</v>
      </c>
      <c r="D1356" s="103" t="s">
        <v>70</v>
      </c>
      <c r="E1356" s="103" t="s">
        <v>306</v>
      </c>
      <c r="H1356" s="103"/>
      <c r="I1356" s="103">
        <v>40</v>
      </c>
      <c r="K1356" s="103" t="s">
        <v>364</v>
      </c>
      <c r="L1356" s="133"/>
      <c r="M1356" s="134">
        <v>1.8749999999999999E-2</v>
      </c>
      <c r="N1356" s="137" t="s">
        <v>2650</v>
      </c>
      <c r="O1356" s="133" t="s">
        <v>1585</v>
      </c>
      <c r="P1356" s="100" t="s">
        <v>3728</v>
      </c>
      <c r="Q1356" s="100" t="s">
        <v>3708</v>
      </c>
      <c r="R1356" s="226" t="s">
        <v>3739</v>
      </c>
      <c r="S1356" s="491" t="str">
        <f t="shared" si="43"/>
        <v>x</v>
      </c>
      <c r="T1356" s="492" t="str">
        <f>IFERROR(VLOOKUP(F1356,'Freq-Chan'!C:D,2,FALSE),"x")</f>
        <v>x</v>
      </c>
      <c r="U1356" s="110" t="s">
        <v>541</v>
      </c>
      <c r="V1356" s="110" t="str">
        <f t="shared" si="44"/>
        <v>FWL</v>
      </c>
      <c r="W1356" s="110" t="s">
        <v>541</v>
      </c>
      <c r="X1356" s="110" t="s">
        <v>541</v>
      </c>
      <c r="Y1356" s="110" t="str">
        <f>IFERROR(VLOOKUP(F1356,'Freq-Chan'!C:E,3,FALSE),"na")</f>
        <v>na</v>
      </c>
      <c r="Z1356" s="110" t="s">
        <v>541</v>
      </c>
      <c r="AA1356" s="110" t="s">
        <v>541</v>
      </c>
      <c r="AB1356" s="110" t="s">
        <v>541</v>
      </c>
      <c r="AC1356" s="10" t="s">
        <v>541</v>
      </c>
      <c r="AD1356" s="10" t="s">
        <v>541</v>
      </c>
    </row>
    <row r="1357" spans="1:30" x14ac:dyDescent="0.2">
      <c r="A1357" s="110">
        <v>1356</v>
      </c>
      <c r="B1357" s="132">
        <v>41848</v>
      </c>
      <c r="C1357" s="117">
        <v>3</v>
      </c>
      <c r="D1357" s="103" t="s">
        <v>8</v>
      </c>
      <c r="E1357" s="103" t="s">
        <v>306</v>
      </c>
      <c r="F1357" s="103">
        <v>586</v>
      </c>
      <c r="G1357" s="103">
        <v>35</v>
      </c>
      <c r="H1357" s="103" t="s">
        <v>2161</v>
      </c>
      <c r="I1357" s="103">
        <v>52</v>
      </c>
      <c r="K1357" s="103" t="s">
        <v>364</v>
      </c>
      <c r="L1357" s="133"/>
      <c r="M1357" s="134">
        <v>6.1111111111111116E-2</v>
      </c>
      <c r="N1357" s="137" t="s">
        <v>3348</v>
      </c>
      <c r="O1357" s="133" t="s">
        <v>376</v>
      </c>
      <c r="P1357" s="100" t="s">
        <v>3729</v>
      </c>
      <c r="Q1357" s="100" t="s">
        <v>3708</v>
      </c>
      <c r="R1357" s="226" t="s">
        <v>3739</v>
      </c>
      <c r="S1357" s="491" t="str">
        <f t="shared" si="43"/>
        <v>x</v>
      </c>
      <c r="T1357" s="492">
        <f>IFERROR(VLOOKUP(F1357,'Freq-Chan'!C:D,2,FALSE),"x")</f>
        <v>151.58600000000001</v>
      </c>
      <c r="U1357" s="110" t="s">
        <v>541</v>
      </c>
      <c r="V1357" s="110" t="str">
        <f t="shared" si="44"/>
        <v>FWL</v>
      </c>
      <c r="W1357" s="110" t="s">
        <v>541</v>
      </c>
      <c r="X1357" s="110" t="s">
        <v>541</v>
      </c>
      <c r="Y1357" s="110" t="str">
        <f>IFERROR(VLOOKUP(F1357,'Freq-Chan'!C:E,3,FALSE),"na")</f>
        <v>F1840</v>
      </c>
      <c r="Z1357" s="110" t="s">
        <v>541</v>
      </c>
      <c r="AA1357" s="110" t="s">
        <v>541</v>
      </c>
      <c r="AB1357" s="110" t="s">
        <v>541</v>
      </c>
      <c r="AC1357" s="10" t="s">
        <v>541</v>
      </c>
      <c r="AD1357" s="10" t="s">
        <v>541</v>
      </c>
    </row>
    <row r="1358" spans="1:30" x14ac:dyDescent="0.2">
      <c r="A1358" s="110">
        <v>1357</v>
      </c>
      <c r="B1358" s="132">
        <v>41848</v>
      </c>
      <c r="C1358" s="117">
        <v>3</v>
      </c>
      <c r="D1358" s="103" t="s">
        <v>70</v>
      </c>
      <c r="E1358" s="103" t="s">
        <v>306</v>
      </c>
      <c r="F1358" s="103">
        <v>515</v>
      </c>
      <c r="G1358" s="103">
        <v>86</v>
      </c>
      <c r="H1358" s="103" t="s">
        <v>2994</v>
      </c>
      <c r="I1358" s="103">
        <v>47</v>
      </c>
      <c r="K1358" s="103" t="s">
        <v>365</v>
      </c>
      <c r="L1358" s="133"/>
      <c r="M1358" s="134">
        <v>4.3750000000000004E-2</v>
      </c>
      <c r="N1358" s="137" t="s">
        <v>2754</v>
      </c>
      <c r="O1358" s="133" t="s">
        <v>376</v>
      </c>
      <c r="Q1358" s="100" t="s">
        <v>3708</v>
      </c>
      <c r="R1358" s="226" t="s">
        <v>3739</v>
      </c>
      <c r="S1358" s="491" t="str">
        <f t="shared" si="43"/>
        <v>x</v>
      </c>
      <c r="T1358" s="492">
        <f>IFERROR(VLOOKUP(F1358,'Freq-Chan'!C:D,2,FALSE),"x")</f>
        <v>151.51499999999999</v>
      </c>
      <c r="U1358" s="110" t="s">
        <v>541</v>
      </c>
      <c r="V1358" s="110" t="str">
        <f t="shared" si="44"/>
        <v>FWL</v>
      </c>
      <c r="W1358" s="110" t="s">
        <v>541</v>
      </c>
      <c r="X1358" s="110" t="s">
        <v>541</v>
      </c>
      <c r="Y1358" s="110" t="str">
        <f>IFERROR(VLOOKUP(F1358,'Freq-Chan'!C:E,3,FALSE),"na")</f>
        <v>F1835</v>
      </c>
      <c r="Z1358" s="110" t="s">
        <v>541</v>
      </c>
      <c r="AA1358" s="110" t="s">
        <v>541</v>
      </c>
      <c r="AB1358" s="110" t="s">
        <v>541</v>
      </c>
      <c r="AC1358" s="10" t="s">
        <v>541</v>
      </c>
      <c r="AD1358" s="10" t="s">
        <v>541</v>
      </c>
    </row>
    <row r="1359" spans="1:30" x14ac:dyDescent="0.2">
      <c r="A1359" s="110">
        <v>1358</v>
      </c>
      <c r="B1359" s="132">
        <v>41848</v>
      </c>
      <c r="C1359" s="117">
        <v>3</v>
      </c>
      <c r="D1359" s="103" t="s">
        <v>70</v>
      </c>
      <c r="E1359" s="103" t="s">
        <v>306</v>
      </c>
      <c r="H1359" s="103"/>
      <c r="I1359" s="103">
        <v>44</v>
      </c>
      <c r="K1359" s="103" t="s">
        <v>1032</v>
      </c>
      <c r="L1359" s="133"/>
      <c r="M1359" s="134">
        <v>1.5277777777777777E-2</v>
      </c>
      <c r="N1359" s="137" t="s">
        <v>2839</v>
      </c>
      <c r="O1359" s="133" t="s">
        <v>376</v>
      </c>
      <c r="Q1359" s="100" t="s">
        <v>3708</v>
      </c>
      <c r="R1359" s="226" t="s">
        <v>3739</v>
      </c>
      <c r="S1359" s="491" t="str">
        <f t="shared" si="43"/>
        <v>x</v>
      </c>
      <c r="T1359" s="492" t="str">
        <f>IFERROR(VLOOKUP(F1359,'Freq-Chan'!C:D,2,FALSE),"x")</f>
        <v>x</v>
      </c>
      <c r="U1359" s="110" t="s">
        <v>541</v>
      </c>
      <c r="V1359" s="110" t="str">
        <f t="shared" si="44"/>
        <v>FWL</v>
      </c>
      <c r="W1359" s="110" t="s">
        <v>541</v>
      </c>
      <c r="X1359" s="110" t="s">
        <v>541</v>
      </c>
      <c r="Y1359" s="110" t="str">
        <f>IFERROR(VLOOKUP(F1359,'Freq-Chan'!C:E,3,FALSE),"na")</f>
        <v>na</v>
      </c>
      <c r="Z1359" s="110" t="s">
        <v>541</v>
      </c>
      <c r="AA1359" s="110" t="s">
        <v>541</v>
      </c>
      <c r="AB1359" s="110" t="s">
        <v>541</v>
      </c>
      <c r="AC1359" s="10" t="s">
        <v>541</v>
      </c>
      <c r="AD1359" s="10" t="s">
        <v>541</v>
      </c>
    </row>
    <row r="1360" spans="1:30" x14ac:dyDescent="0.2">
      <c r="A1360" s="110">
        <v>1359</v>
      </c>
      <c r="B1360" s="132">
        <v>41848</v>
      </c>
      <c r="C1360" s="117">
        <v>3</v>
      </c>
      <c r="D1360" s="103" t="s">
        <v>70</v>
      </c>
      <c r="E1360" s="103" t="s">
        <v>306</v>
      </c>
      <c r="F1360" s="103">
        <v>515</v>
      </c>
      <c r="G1360" s="103">
        <v>96</v>
      </c>
      <c r="H1360" s="103" t="s">
        <v>2995</v>
      </c>
      <c r="I1360" s="103">
        <v>46</v>
      </c>
      <c r="K1360" s="103" t="s">
        <v>1032</v>
      </c>
      <c r="L1360" s="133"/>
      <c r="M1360" s="134">
        <v>3.7499999999999999E-2</v>
      </c>
      <c r="N1360" s="137" t="s">
        <v>3209</v>
      </c>
      <c r="O1360" s="133" t="s">
        <v>376</v>
      </c>
      <c r="Q1360" s="100" t="s">
        <v>3708</v>
      </c>
      <c r="R1360" s="226" t="s">
        <v>3739</v>
      </c>
      <c r="S1360" s="491" t="str">
        <f t="shared" si="43"/>
        <v>x</v>
      </c>
      <c r="T1360" s="492">
        <f>IFERROR(VLOOKUP(F1360,'Freq-Chan'!C:D,2,FALSE),"x")</f>
        <v>151.51499999999999</v>
      </c>
      <c r="U1360" s="110" t="s">
        <v>541</v>
      </c>
      <c r="V1360" s="110" t="str">
        <f t="shared" si="44"/>
        <v>FWL</v>
      </c>
      <c r="W1360" s="110" t="s">
        <v>541</v>
      </c>
      <c r="X1360" s="110" t="s">
        <v>541</v>
      </c>
      <c r="Y1360" s="110" t="str">
        <f>IFERROR(VLOOKUP(F1360,'Freq-Chan'!C:E,3,FALSE),"na")</f>
        <v>F1835</v>
      </c>
      <c r="Z1360" s="110" t="s">
        <v>541</v>
      </c>
      <c r="AA1360" s="110" t="s">
        <v>541</v>
      </c>
      <c r="AB1360" s="110" t="s">
        <v>541</v>
      </c>
      <c r="AC1360" s="10" t="s">
        <v>541</v>
      </c>
      <c r="AD1360" s="10" t="s">
        <v>541</v>
      </c>
    </row>
    <row r="1361" spans="1:30" x14ac:dyDescent="0.2">
      <c r="A1361" s="110">
        <v>1360</v>
      </c>
      <c r="B1361" s="132">
        <v>41848</v>
      </c>
      <c r="C1361" s="117">
        <v>3</v>
      </c>
      <c r="D1361" s="103" t="s">
        <v>70</v>
      </c>
      <c r="E1361" s="103" t="s">
        <v>306</v>
      </c>
      <c r="H1361" s="103"/>
      <c r="I1361" s="103">
        <v>47</v>
      </c>
      <c r="K1361" s="103" t="s">
        <v>365</v>
      </c>
      <c r="L1361" s="133"/>
      <c r="M1361" s="134">
        <v>2.013888888888889E-2</v>
      </c>
      <c r="N1361" s="137" t="s">
        <v>3382</v>
      </c>
      <c r="O1361" s="133" t="s">
        <v>376</v>
      </c>
      <c r="Q1361" s="100" t="s">
        <v>3708</v>
      </c>
      <c r="R1361" s="226" t="s">
        <v>3739</v>
      </c>
      <c r="S1361" s="491" t="str">
        <f t="shared" si="43"/>
        <v>x</v>
      </c>
      <c r="T1361" s="492" t="str">
        <f>IFERROR(VLOOKUP(F1361,'Freq-Chan'!C:D,2,FALSE),"x")</f>
        <v>x</v>
      </c>
      <c r="U1361" s="110" t="s">
        <v>541</v>
      </c>
      <c r="V1361" s="110" t="str">
        <f t="shared" si="44"/>
        <v>FWL</v>
      </c>
      <c r="W1361" s="110" t="s">
        <v>541</v>
      </c>
      <c r="X1361" s="110" t="s">
        <v>541</v>
      </c>
      <c r="Y1361" s="110" t="str">
        <f>IFERROR(VLOOKUP(F1361,'Freq-Chan'!C:E,3,FALSE),"na")</f>
        <v>na</v>
      </c>
      <c r="Z1361" s="110" t="s">
        <v>541</v>
      </c>
      <c r="AA1361" s="110" t="s">
        <v>541</v>
      </c>
      <c r="AB1361" s="110" t="s">
        <v>541</v>
      </c>
      <c r="AC1361" s="10" t="s">
        <v>541</v>
      </c>
      <c r="AD1361" s="10" t="s">
        <v>541</v>
      </c>
    </row>
    <row r="1362" spans="1:30" x14ac:dyDescent="0.2">
      <c r="A1362" s="110">
        <v>1361</v>
      </c>
      <c r="B1362" s="132">
        <v>41848</v>
      </c>
      <c r="C1362" s="117">
        <v>3</v>
      </c>
      <c r="D1362" s="103" t="s">
        <v>8</v>
      </c>
      <c r="E1362" s="103" t="s">
        <v>306</v>
      </c>
      <c r="F1362" s="103">
        <v>573</v>
      </c>
      <c r="G1362" s="103">
        <v>50</v>
      </c>
      <c r="H1362" s="103" t="s">
        <v>2160</v>
      </c>
      <c r="I1362" s="103">
        <v>50</v>
      </c>
      <c r="K1362" s="103" t="s">
        <v>364</v>
      </c>
      <c r="L1362" s="133"/>
      <c r="M1362" s="134">
        <v>5.5555555555555552E-2</v>
      </c>
      <c r="N1362" s="137" t="s">
        <v>3730</v>
      </c>
      <c r="O1362" s="133" t="s">
        <v>376</v>
      </c>
      <c r="P1362" s="100" t="s">
        <v>3731</v>
      </c>
      <c r="Q1362" s="100" t="s">
        <v>3708</v>
      </c>
      <c r="R1362" s="226" t="s">
        <v>3739</v>
      </c>
      <c r="S1362" s="491" t="str">
        <f t="shared" si="43"/>
        <v>x</v>
      </c>
      <c r="T1362" s="492">
        <f>IFERROR(VLOOKUP(F1362,'Freq-Chan'!C:D,2,FALSE),"x")</f>
        <v>151.57300000000001</v>
      </c>
      <c r="U1362" s="110" t="s">
        <v>541</v>
      </c>
      <c r="V1362" s="110" t="str">
        <f t="shared" si="44"/>
        <v>FWL</v>
      </c>
      <c r="W1362" s="110" t="s">
        <v>541</v>
      </c>
      <c r="X1362" s="110" t="s">
        <v>541</v>
      </c>
      <c r="Y1362" s="110" t="str">
        <f>IFERROR(VLOOKUP(F1362,'Freq-Chan'!C:E,3,FALSE),"na")</f>
        <v>F1840</v>
      </c>
      <c r="Z1362" s="110" t="s">
        <v>541</v>
      </c>
      <c r="AA1362" s="110" t="s">
        <v>541</v>
      </c>
      <c r="AB1362" s="110" t="s">
        <v>541</v>
      </c>
      <c r="AC1362" s="10" t="s">
        <v>541</v>
      </c>
      <c r="AD1362" s="10" t="s">
        <v>541</v>
      </c>
    </row>
    <row r="1363" spans="1:30" x14ac:dyDescent="0.2">
      <c r="A1363" s="110">
        <v>1362</v>
      </c>
      <c r="B1363" s="132">
        <v>41848</v>
      </c>
      <c r="C1363" s="117">
        <v>3</v>
      </c>
      <c r="D1363" s="103" t="s">
        <v>70</v>
      </c>
      <c r="E1363" s="103" t="s">
        <v>306</v>
      </c>
      <c r="H1363" s="103"/>
      <c r="I1363" s="103">
        <v>47</v>
      </c>
      <c r="K1363" s="103" t="s">
        <v>1032</v>
      </c>
      <c r="L1363" s="133"/>
      <c r="M1363" s="134">
        <v>2.1527777777777781E-2</v>
      </c>
      <c r="N1363" s="137" t="s">
        <v>3386</v>
      </c>
      <c r="O1363" s="133" t="s">
        <v>376</v>
      </c>
      <c r="Q1363" s="100" t="s">
        <v>3708</v>
      </c>
      <c r="R1363" s="226" t="s">
        <v>3739</v>
      </c>
      <c r="S1363" s="491" t="str">
        <f t="shared" si="43"/>
        <v>x</v>
      </c>
      <c r="T1363" s="492" t="str">
        <f>IFERROR(VLOOKUP(F1363,'Freq-Chan'!C:D,2,FALSE),"x")</f>
        <v>x</v>
      </c>
      <c r="U1363" s="110" t="s">
        <v>541</v>
      </c>
      <c r="V1363" s="110" t="str">
        <f t="shared" si="44"/>
        <v>FWL</v>
      </c>
      <c r="W1363" s="110" t="s">
        <v>541</v>
      </c>
      <c r="X1363" s="110" t="s">
        <v>541</v>
      </c>
      <c r="Y1363" s="110" t="str">
        <f>IFERROR(VLOOKUP(F1363,'Freq-Chan'!C:E,3,FALSE),"na")</f>
        <v>na</v>
      </c>
      <c r="Z1363" s="110" t="s">
        <v>541</v>
      </c>
      <c r="AA1363" s="110" t="s">
        <v>541</v>
      </c>
      <c r="AB1363" s="110" t="s">
        <v>541</v>
      </c>
      <c r="AC1363" s="10" t="s">
        <v>541</v>
      </c>
      <c r="AD1363" s="10" t="s">
        <v>541</v>
      </c>
    </row>
    <row r="1364" spans="1:30" x14ac:dyDescent="0.2">
      <c r="A1364" s="110">
        <v>1363</v>
      </c>
      <c r="B1364" s="132">
        <v>41848</v>
      </c>
      <c r="C1364" s="117">
        <v>3</v>
      </c>
      <c r="D1364" s="103" t="s">
        <v>70</v>
      </c>
      <c r="E1364" s="103" t="s">
        <v>306</v>
      </c>
      <c r="H1364" s="103"/>
      <c r="I1364" s="103">
        <v>48</v>
      </c>
      <c r="K1364" s="103" t="s">
        <v>1032</v>
      </c>
      <c r="L1364" s="133">
        <v>0.41250000000000003</v>
      </c>
      <c r="M1364" s="134">
        <v>1.9444444444444445E-2</v>
      </c>
      <c r="N1364" s="137" t="s">
        <v>3732</v>
      </c>
      <c r="O1364" s="133" t="s">
        <v>376</v>
      </c>
      <c r="Q1364" s="100" t="s">
        <v>3708</v>
      </c>
      <c r="R1364" s="226" t="s">
        <v>3739</v>
      </c>
      <c r="S1364" s="491">
        <f t="shared" si="43"/>
        <v>5.9259259000000002E-3</v>
      </c>
      <c r="T1364" s="492" t="str">
        <f>IFERROR(VLOOKUP(F1364,'Freq-Chan'!C:D,2,FALSE),"x")</f>
        <v>x</v>
      </c>
      <c r="U1364" s="110" t="s">
        <v>541</v>
      </c>
      <c r="V1364" s="110" t="str">
        <f t="shared" si="44"/>
        <v>FWL</v>
      </c>
      <c r="W1364" s="110" t="s">
        <v>541</v>
      </c>
      <c r="X1364" s="110" t="s">
        <v>541</v>
      </c>
      <c r="Y1364" s="110" t="str">
        <f>IFERROR(VLOOKUP(F1364,'Freq-Chan'!C:E,3,FALSE),"na")</f>
        <v>na</v>
      </c>
      <c r="Z1364" s="110" t="s">
        <v>541</v>
      </c>
      <c r="AA1364" s="110" t="s">
        <v>541</v>
      </c>
      <c r="AB1364" s="110" t="s">
        <v>541</v>
      </c>
      <c r="AC1364" s="10" t="s">
        <v>541</v>
      </c>
      <c r="AD1364" s="10" t="s">
        <v>541</v>
      </c>
    </row>
    <row r="1365" spans="1:30" x14ac:dyDescent="0.2">
      <c r="A1365" s="110">
        <v>1364</v>
      </c>
      <c r="B1365" s="132">
        <v>41848</v>
      </c>
      <c r="C1365" s="117">
        <v>3</v>
      </c>
      <c r="D1365" s="103" t="s">
        <v>70</v>
      </c>
      <c r="E1365" s="103" t="s">
        <v>306</v>
      </c>
      <c r="H1365" s="103"/>
      <c r="I1365" s="103">
        <v>45</v>
      </c>
      <c r="K1365" s="103" t="s">
        <v>364</v>
      </c>
      <c r="L1365" s="133"/>
      <c r="M1365" s="134">
        <v>1.5277777777777777E-2</v>
      </c>
      <c r="N1365" s="137" t="s">
        <v>3210</v>
      </c>
      <c r="O1365" s="133" t="s">
        <v>1585</v>
      </c>
      <c r="Q1365" s="100" t="s">
        <v>3708</v>
      </c>
      <c r="R1365" s="226" t="s">
        <v>3739</v>
      </c>
      <c r="S1365" s="491" t="str">
        <f t="shared" si="43"/>
        <v>x</v>
      </c>
      <c r="T1365" s="492" t="str">
        <f>IFERROR(VLOOKUP(F1365,'Freq-Chan'!C:D,2,FALSE),"x")</f>
        <v>x</v>
      </c>
      <c r="U1365" s="110" t="s">
        <v>541</v>
      </c>
      <c r="V1365" s="110" t="str">
        <f t="shared" si="44"/>
        <v>FWL</v>
      </c>
      <c r="W1365" s="110" t="s">
        <v>541</v>
      </c>
      <c r="X1365" s="110" t="s">
        <v>541</v>
      </c>
      <c r="Y1365" s="110" t="str">
        <f>IFERROR(VLOOKUP(F1365,'Freq-Chan'!C:E,3,FALSE),"na")</f>
        <v>na</v>
      </c>
      <c r="Z1365" s="110" t="s">
        <v>541</v>
      </c>
      <c r="AA1365" s="110" t="s">
        <v>541</v>
      </c>
      <c r="AB1365" s="110" t="s">
        <v>541</v>
      </c>
      <c r="AC1365" s="10" t="s">
        <v>541</v>
      </c>
      <c r="AD1365" s="10" t="s">
        <v>541</v>
      </c>
    </row>
    <row r="1366" spans="1:30" x14ac:dyDescent="0.2">
      <c r="A1366" s="110">
        <v>1365</v>
      </c>
      <c r="B1366" s="132">
        <v>41848</v>
      </c>
      <c r="C1366" s="117">
        <v>3</v>
      </c>
      <c r="D1366" s="103" t="s">
        <v>70</v>
      </c>
      <c r="E1366" s="103" t="s">
        <v>306</v>
      </c>
      <c r="H1366" s="103"/>
      <c r="I1366" s="103">
        <v>44</v>
      </c>
      <c r="K1366" s="103" t="s">
        <v>1032</v>
      </c>
      <c r="L1366" s="133"/>
      <c r="M1366" s="134">
        <v>1.8749999999999999E-2</v>
      </c>
      <c r="N1366" s="137" t="s">
        <v>3733</v>
      </c>
      <c r="O1366" s="133" t="s">
        <v>1585</v>
      </c>
      <c r="Q1366" s="100" t="s">
        <v>3708</v>
      </c>
      <c r="R1366" s="226" t="s">
        <v>3739</v>
      </c>
      <c r="S1366" s="491" t="str">
        <f t="shared" si="43"/>
        <v>x</v>
      </c>
      <c r="T1366" s="492" t="str">
        <f>IFERROR(VLOOKUP(F1366,'Freq-Chan'!C:D,2,FALSE),"x")</f>
        <v>x</v>
      </c>
      <c r="U1366" s="110" t="s">
        <v>541</v>
      </c>
      <c r="V1366" s="110" t="str">
        <f t="shared" si="44"/>
        <v>FWL</v>
      </c>
      <c r="W1366" s="110" t="s">
        <v>541</v>
      </c>
      <c r="X1366" s="110" t="s">
        <v>541</v>
      </c>
      <c r="Y1366" s="110" t="str">
        <f>IFERROR(VLOOKUP(F1366,'Freq-Chan'!C:E,3,FALSE),"na")</f>
        <v>na</v>
      </c>
      <c r="Z1366" s="110" t="s">
        <v>541</v>
      </c>
      <c r="AA1366" s="110" t="s">
        <v>541</v>
      </c>
      <c r="AB1366" s="110" t="s">
        <v>541</v>
      </c>
      <c r="AC1366" s="10" t="s">
        <v>541</v>
      </c>
      <c r="AD1366" s="10" t="s">
        <v>541</v>
      </c>
    </row>
    <row r="1367" spans="1:30" x14ac:dyDescent="0.2">
      <c r="A1367" s="110">
        <v>1366</v>
      </c>
      <c r="B1367" s="132">
        <v>41848</v>
      </c>
      <c r="C1367" s="117">
        <v>3</v>
      </c>
      <c r="D1367" s="103" t="s">
        <v>70</v>
      </c>
      <c r="E1367" s="103" t="s">
        <v>306</v>
      </c>
      <c r="H1367" s="103"/>
      <c r="I1367" s="103">
        <v>48</v>
      </c>
      <c r="K1367" s="103" t="s">
        <v>365</v>
      </c>
      <c r="L1367" s="133"/>
      <c r="M1367" s="134">
        <v>1.4583333333333332E-2</v>
      </c>
      <c r="N1367" s="137" t="s">
        <v>3734</v>
      </c>
      <c r="O1367" s="133" t="s">
        <v>1585</v>
      </c>
      <c r="Q1367" s="100" t="s">
        <v>3708</v>
      </c>
      <c r="R1367" s="226" t="s">
        <v>3739</v>
      </c>
      <c r="S1367" s="491" t="str">
        <f t="shared" si="43"/>
        <v>x</v>
      </c>
      <c r="T1367" s="492" t="str">
        <f>IFERROR(VLOOKUP(F1367,'Freq-Chan'!C:D,2,FALSE),"x")</f>
        <v>x</v>
      </c>
      <c r="U1367" s="110" t="s">
        <v>541</v>
      </c>
      <c r="V1367" s="110" t="str">
        <f t="shared" si="44"/>
        <v>FWL</v>
      </c>
      <c r="W1367" s="110" t="s">
        <v>541</v>
      </c>
      <c r="X1367" s="110" t="s">
        <v>541</v>
      </c>
      <c r="Y1367" s="110" t="str">
        <f>IFERROR(VLOOKUP(F1367,'Freq-Chan'!C:E,3,FALSE),"na")</f>
        <v>na</v>
      </c>
      <c r="Z1367" s="110" t="s">
        <v>541</v>
      </c>
      <c r="AA1367" s="110" t="s">
        <v>541</v>
      </c>
      <c r="AB1367" s="110" t="s">
        <v>541</v>
      </c>
      <c r="AC1367" s="10" t="s">
        <v>541</v>
      </c>
      <c r="AD1367" s="10" t="s">
        <v>541</v>
      </c>
    </row>
    <row r="1368" spans="1:30" x14ac:dyDescent="0.2">
      <c r="A1368" s="110">
        <v>1367</v>
      </c>
      <c r="B1368" s="132">
        <v>41848</v>
      </c>
      <c r="C1368" s="117">
        <v>3</v>
      </c>
      <c r="D1368" s="103" t="s">
        <v>70</v>
      </c>
      <c r="E1368" s="103" t="s">
        <v>306</v>
      </c>
      <c r="H1368" s="103"/>
      <c r="I1368" s="103">
        <v>48</v>
      </c>
      <c r="K1368" s="103" t="s">
        <v>365</v>
      </c>
      <c r="L1368" s="133"/>
      <c r="M1368" s="134">
        <v>1.5972222222222224E-2</v>
      </c>
      <c r="N1368" s="137" t="s">
        <v>3735</v>
      </c>
      <c r="O1368" s="133" t="s">
        <v>1585</v>
      </c>
      <c r="Q1368" s="100" t="s">
        <v>3708</v>
      </c>
      <c r="R1368" s="226" t="s">
        <v>3739</v>
      </c>
      <c r="S1368" s="491" t="str">
        <f t="shared" si="43"/>
        <v>x</v>
      </c>
      <c r="T1368" s="492" t="str">
        <f>IFERROR(VLOOKUP(F1368,'Freq-Chan'!C:D,2,FALSE),"x")</f>
        <v>x</v>
      </c>
      <c r="U1368" s="110" t="s">
        <v>541</v>
      </c>
      <c r="V1368" s="110" t="str">
        <f t="shared" si="44"/>
        <v>FWL</v>
      </c>
      <c r="W1368" s="110" t="s">
        <v>541</v>
      </c>
      <c r="X1368" s="110" t="s">
        <v>541</v>
      </c>
      <c r="Y1368" s="110" t="str">
        <f>IFERROR(VLOOKUP(F1368,'Freq-Chan'!C:E,3,FALSE),"na")</f>
        <v>na</v>
      </c>
      <c r="Z1368" s="110" t="s">
        <v>541</v>
      </c>
      <c r="AA1368" s="110" t="s">
        <v>541</v>
      </c>
      <c r="AB1368" s="110" t="s">
        <v>541</v>
      </c>
      <c r="AC1368" s="10" t="s">
        <v>541</v>
      </c>
      <c r="AD1368" s="10" t="s">
        <v>541</v>
      </c>
    </row>
    <row r="1369" spans="1:30" x14ac:dyDescent="0.2">
      <c r="A1369" s="110">
        <v>1368</v>
      </c>
      <c r="B1369" s="132">
        <v>41848</v>
      </c>
      <c r="C1369" s="117">
        <v>3</v>
      </c>
      <c r="D1369" s="103" t="s">
        <v>70</v>
      </c>
      <c r="E1369" s="103" t="s">
        <v>306</v>
      </c>
      <c r="H1369" s="103"/>
      <c r="I1369" s="103">
        <v>48</v>
      </c>
      <c r="K1369" s="103" t="s">
        <v>1032</v>
      </c>
      <c r="L1369" s="133"/>
      <c r="M1369" s="134">
        <v>1.5277777777777777E-2</v>
      </c>
      <c r="N1369" s="137" t="s">
        <v>763</v>
      </c>
      <c r="O1369" s="133" t="s">
        <v>1585</v>
      </c>
      <c r="Q1369" s="100" t="s">
        <v>3708</v>
      </c>
      <c r="R1369" s="226" t="s">
        <v>3739</v>
      </c>
      <c r="S1369" s="491" t="str">
        <f t="shared" si="43"/>
        <v>x</v>
      </c>
      <c r="T1369" s="492" t="str">
        <f>IFERROR(VLOOKUP(F1369,'Freq-Chan'!C:D,2,FALSE),"x")</f>
        <v>x</v>
      </c>
      <c r="U1369" s="110" t="s">
        <v>541</v>
      </c>
      <c r="V1369" s="110" t="str">
        <f t="shared" si="44"/>
        <v>FWL</v>
      </c>
      <c r="W1369" s="110" t="s">
        <v>541</v>
      </c>
      <c r="X1369" s="110" t="s">
        <v>541</v>
      </c>
      <c r="Y1369" s="110" t="str">
        <f>IFERROR(VLOOKUP(F1369,'Freq-Chan'!C:E,3,FALSE),"na")</f>
        <v>na</v>
      </c>
      <c r="Z1369" s="110" t="s">
        <v>541</v>
      </c>
      <c r="AA1369" s="110" t="s">
        <v>541</v>
      </c>
      <c r="AB1369" s="110" t="s">
        <v>541</v>
      </c>
      <c r="AC1369" s="10" t="s">
        <v>541</v>
      </c>
      <c r="AD1369" s="10" t="s">
        <v>541</v>
      </c>
    </row>
    <row r="1370" spans="1:30" x14ac:dyDescent="0.2">
      <c r="A1370" s="110">
        <v>1369</v>
      </c>
      <c r="B1370" s="132">
        <v>41848</v>
      </c>
      <c r="C1370" s="117">
        <v>3</v>
      </c>
      <c r="D1370" s="103" t="s">
        <v>70</v>
      </c>
      <c r="E1370" s="103" t="s">
        <v>306</v>
      </c>
      <c r="H1370" s="103"/>
      <c r="I1370" s="103">
        <v>49</v>
      </c>
      <c r="K1370" s="103" t="s">
        <v>365</v>
      </c>
      <c r="L1370" s="133"/>
      <c r="M1370" s="134">
        <v>1.3888888888888888E-2</v>
      </c>
      <c r="N1370" s="137" t="s">
        <v>1905</v>
      </c>
      <c r="O1370" s="133" t="s">
        <v>1585</v>
      </c>
      <c r="Q1370" s="100" t="s">
        <v>3708</v>
      </c>
      <c r="R1370" s="226" t="s">
        <v>3739</v>
      </c>
      <c r="S1370" s="491" t="str">
        <f t="shared" si="43"/>
        <v>x</v>
      </c>
      <c r="T1370" s="492" t="str">
        <f>IFERROR(VLOOKUP(F1370,'Freq-Chan'!C:D,2,FALSE),"x")</f>
        <v>x</v>
      </c>
      <c r="U1370" s="110" t="s">
        <v>541</v>
      </c>
      <c r="V1370" s="110" t="str">
        <f t="shared" si="44"/>
        <v>FWL</v>
      </c>
      <c r="W1370" s="110" t="s">
        <v>541</v>
      </c>
      <c r="X1370" s="110" t="s">
        <v>541</v>
      </c>
      <c r="Y1370" s="110" t="str">
        <f>IFERROR(VLOOKUP(F1370,'Freq-Chan'!C:E,3,FALSE),"na")</f>
        <v>na</v>
      </c>
      <c r="Z1370" s="110" t="s">
        <v>541</v>
      </c>
      <c r="AA1370" s="110" t="s">
        <v>541</v>
      </c>
      <c r="AB1370" s="110" t="s">
        <v>541</v>
      </c>
      <c r="AC1370" s="10" t="s">
        <v>541</v>
      </c>
      <c r="AD1370" s="10" t="s">
        <v>541</v>
      </c>
    </row>
    <row r="1371" spans="1:30" x14ac:dyDescent="0.2">
      <c r="A1371" s="110">
        <v>1370</v>
      </c>
      <c r="B1371" s="132">
        <v>41848</v>
      </c>
      <c r="C1371" s="117">
        <v>3</v>
      </c>
      <c r="D1371" s="103" t="s">
        <v>70</v>
      </c>
      <c r="E1371" s="103" t="s">
        <v>306</v>
      </c>
      <c r="H1371" s="103"/>
      <c r="I1371" s="103">
        <v>45</v>
      </c>
      <c r="K1371" s="103" t="s">
        <v>1032</v>
      </c>
      <c r="L1371" s="133"/>
      <c r="M1371" s="134">
        <v>1.8055555555555557E-2</v>
      </c>
      <c r="N1371" s="137" t="s">
        <v>3717</v>
      </c>
      <c r="O1371" s="133" t="s">
        <v>1585</v>
      </c>
      <c r="Q1371" s="100" t="s">
        <v>3708</v>
      </c>
      <c r="R1371" s="226" t="s">
        <v>3739</v>
      </c>
      <c r="S1371" s="491" t="str">
        <f t="shared" si="43"/>
        <v>x</v>
      </c>
      <c r="T1371" s="492" t="str">
        <f>IFERROR(VLOOKUP(F1371,'Freq-Chan'!C:D,2,FALSE),"x")</f>
        <v>x</v>
      </c>
      <c r="U1371" s="110" t="s">
        <v>541</v>
      </c>
      <c r="V1371" s="110" t="str">
        <f t="shared" si="44"/>
        <v>FWL</v>
      </c>
      <c r="W1371" s="110" t="s">
        <v>541</v>
      </c>
      <c r="X1371" s="110" t="s">
        <v>541</v>
      </c>
      <c r="Y1371" s="110" t="str">
        <f>IFERROR(VLOOKUP(F1371,'Freq-Chan'!C:E,3,FALSE),"na")</f>
        <v>na</v>
      </c>
      <c r="Z1371" s="110" t="s">
        <v>541</v>
      </c>
      <c r="AA1371" s="110" t="s">
        <v>541</v>
      </c>
      <c r="AB1371" s="110" t="s">
        <v>541</v>
      </c>
      <c r="AC1371" s="10" t="s">
        <v>541</v>
      </c>
      <c r="AD1371" s="10" t="s">
        <v>541</v>
      </c>
    </row>
    <row r="1372" spans="1:30" x14ac:dyDescent="0.2">
      <c r="A1372" s="110">
        <v>1371</v>
      </c>
      <c r="B1372" s="132">
        <v>41848</v>
      </c>
      <c r="C1372" s="117">
        <v>3</v>
      </c>
      <c r="D1372" s="103" t="s">
        <v>8</v>
      </c>
      <c r="E1372" s="103" t="s">
        <v>306</v>
      </c>
      <c r="F1372" s="103">
        <v>573</v>
      </c>
      <c r="G1372" s="103">
        <v>70</v>
      </c>
      <c r="H1372" s="103" t="s">
        <v>2157</v>
      </c>
      <c r="I1372" s="103">
        <v>45</v>
      </c>
      <c r="K1372" s="103" t="s">
        <v>364</v>
      </c>
      <c r="L1372" s="133"/>
      <c r="M1372" s="134">
        <v>6.6666666666666666E-2</v>
      </c>
      <c r="N1372" s="137" t="s">
        <v>3284</v>
      </c>
      <c r="O1372" s="133" t="s">
        <v>2931</v>
      </c>
      <c r="Q1372" s="100" t="s">
        <v>3712</v>
      </c>
      <c r="R1372" s="226" t="s">
        <v>3739</v>
      </c>
      <c r="S1372" s="491" t="str">
        <f t="shared" si="43"/>
        <v>x</v>
      </c>
      <c r="T1372" s="492">
        <f>IFERROR(VLOOKUP(F1372,'Freq-Chan'!C:D,2,FALSE),"x")</f>
        <v>151.57300000000001</v>
      </c>
      <c r="U1372" s="110" t="s">
        <v>541</v>
      </c>
      <c r="V1372" s="110" t="str">
        <f t="shared" si="44"/>
        <v>FWL</v>
      </c>
      <c r="W1372" s="110" t="s">
        <v>541</v>
      </c>
      <c r="X1372" s="110" t="s">
        <v>541</v>
      </c>
      <c r="Y1372" s="110" t="str">
        <f>IFERROR(VLOOKUP(F1372,'Freq-Chan'!C:E,3,FALSE),"na")</f>
        <v>F1840</v>
      </c>
      <c r="Z1372" s="110" t="s">
        <v>541</v>
      </c>
      <c r="AA1372" s="110" t="s">
        <v>541</v>
      </c>
      <c r="AB1372" s="110" t="s">
        <v>541</v>
      </c>
      <c r="AC1372" s="10" t="s">
        <v>541</v>
      </c>
      <c r="AD1372" s="10" t="s">
        <v>541</v>
      </c>
    </row>
    <row r="1373" spans="1:30" x14ac:dyDescent="0.2">
      <c r="A1373" s="110">
        <v>1372</v>
      </c>
      <c r="B1373" s="132">
        <v>41848</v>
      </c>
      <c r="C1373" s="117">
        <v>3</v>
      </c>
      <c r="D1373" s="103" t="s">
        <v>8</v>
      </c>
      <c r="E1373" s="103" t="s">
        <v>306</v>
      </c>
      <c r="F1373" s="103">
        <v>573</v>
      </c>
      <c r="G1373" s="103">
        <v>84</v>
      </c>
      <c r="H1373" s="103" t="s">
        <v>2159</v>
      </c>
      <c r="I1373" s="103">
        <v>43</v>
      </c>
      <c r="K1373" s="103" t="s">
        <v>364</v>
      </c>
      <c r="L1373" s="133"/>
      <c r="M1373" s="134">
        <v>5.2777777777777778E-2</v>
      </c>
      <c r="N1373" s="137" t="s">
        <v>2051</v>
      </c>
      <c r="O1373" s="133" t="s">
        <v>3431</v>
      </c>
      <c r="Q1373" s="100" t="s">
        <v>3712</v>
      </c>
      <c r="R1373" s="226" t="s">
        <v>3739</v>
      </c>
      <c r="S1373" s="491" t="str">
        <f t="shared" si="43"/>
        <v>x</v>
      </c>
      <c r="T1373" s="492">
        <f>IFERROR(VLOOKUP(F1373,'Freq-Chan'!C:D,2,FALSE),"x")</f>
        <v>151.57300000000001</v>
      </c>
      <c r="U1373" s="110" t="s">
        <v>541</v>
      </c>
      <c r="V1373" s="110" t="str">
        <f t="shared" si="44"/>
        <v>FWL</v>
      </c>
      <c r="W1373" s="110" t="s">
        <v>541</v>
      </c>
      <c r="X1373" s="110" t="s">
        <v>541</v>
      </c>
      <c r="Y1373" s="110" t="str">
        <f>IFERROR(VLOOKUP(F1373,'Freq-Chan'!C:E,3,FALSE),"na")</f>
        <v>F1840</v>
      </c>
      <c r="Z1373" s="110" t="s">
        <v>541</v>
      </c>
      <c r="AA1373" s="110" t="s">
        <v>541</v>
      </c>
      <c r="AB1373" s="110" t="s">
        <v>541</v>
      </c>
      <c r="AC1373" s="10" t="s">
        <v>541</v>
      </c>
      <c r="AD1373" s="10" t="s">
        <v>541</v>
      </c>
    </row>
    <row r="1374" spans="1:30" x14ac:dyDescent="0.2">
      <c r="A1374" s="110">
        <v>1373</v>
      </c>
      <c r="B1374" s="132">
        <v>41848</v>
      </c>
      <c r="C1374" s="117">
        <v>3</v>
      </c>
      <c r="D1374" s="103" t="s">
        <v>8</v>
      </c>
      <c r="E1374" s="103" t="s">
        <v>306</v>
      </c>
      <c r="F1374" s="103">
        <v>586</v>
      </c>
      <c r="G1374" s="103">
        <v>79</v>
      </c>
      <c r="H1374" s="103" t="s">
        <v>2162</v>
      </c>
      <c r="I1374" s="103">
        <v>45</v>
      </c>
      <c r="K1374" s="103" t="s">
        <v>364</v>
      </c>
      <c r="L1374" s="133"/>
      <c r="M1374" s="134">
        <v>4.6527777777777779E-2</v>
      </c>
      <c r="N1374" s="137" t="s">
        <v>3736</v>
      </c>
      <c r="O1374" s="133" t="s">
        <v>1888</v>
      </c>
      <c r="Q1374" s="100" t="s">
        <v>3712</v>
      </c>
      <c r="R1374" s="226" t="s">
        <v>3739</v>
      </c>
      <c r="S1374" s="491" t="str">
        <f t="shared" si="43"/>
        <v>x</v>
      </c>
      <c r="T1374" s="492">
        <f>IFERROR(VLOOKUP(F1374,'Freq-Chan'!C:D,2,FALSE),"x")</f>
        <v>151.58600000000001</v>
      </c>
      <c r="U1374" s="110" t="s">
        <v>541</v>
      </c>
      <c r="V1374" s="110" t="str">
        <f t="shared" si="44"/>
        <v>FWL</v>
      </c>
      <c r="W1374" s="110" t="s">
        <v>541</v>
      </c>
      <c r="X1374" s="110" t="s">
        <v>541</v>
      </c>
      <c r="Y1374" s="110" t="str">
        <f>IFERROR(VLOOKUP(F1374,'Freq-Chan'!C:E,3,FALSE),"na")</f>
        <v>F1840</v>
      </c>
      <c r="Z1374" s="110" t="s">
        <v>541</v>
      </c>
      <c r="AA1374" s="110" t="s">
        <v>541</v>
      </c>
      <c r="AB1374" s="110" t="s">
        <v>541</v>
      </c>
      <c r="AC1374" s="10" t="s">
        <v>541</v>
      </c>
      <c r="AD1374" s="10" t="s">
        <v>541</v>
      </c>
    </row>
    <row r="1375" spans="1:30" x14ac:dyDescent="0.2">
      <c r="A1375" s="110">
        <v>1374</v>
      </c>
      <c r="B1375" s="132">
        <v>41848</v>
      </c>
      <c r="C1375" s="117">
        <v>3</v>
      </c>
      <c r="D1375" s="103" t="s">
        <v>88</v>
      </c>
      <c r="E1375" s="103" t="s">
        <v>798</v>
      </c>
      <c r="H1375" s="103"/>
      <c r="J1375" s="103">
        <v>33</v>
      </c>
      <c r="K1375" s="103" t="s">
        <v>364</v>
      </c>
      <c r="L1375" s="133"/>
      <c r="M1375" s="134">
        <v>2.0833333333333332E-2</v>
      </c>
      <c r="N1375" s="137" t="s">
        <v>3737</v>
      </c>
      <c r="O1375" s="133" t="s">
        <v>3431</v>
      </c>
      <c r="Q1375" s="100" t="s">
        <v>3712</v>
      </c>
      <c r="R1375" s="226" t="s">
        <v>3739</v>
      </c>
      <c r="S1375" s="491" t="str">
        <f t="shared" si="43"/>
        <v>x</v>
      </c>
      <c r="T1375" s="492" t="str">
        <f>IFERROR(VLOOKUP(F1375,'Freq-Chan'!C:D,2,FALSE),"x")</f>
        <v>x</v>
      </c>
      <c r="U1375" s="110" t="s">
        <v>541</v>
      </c>
      <c r="V1375" s="110" t="str">
        <f t="shared" si="44"/>
        <v>FWL</v>
      </c>
      <c r="W1375" s="110" t="s">
        <v>541</v>
      </c>
      <c r="X1375" s="110" t="s">
        <v>541</v>
      </c>
      <c r="Y1375" s="110" t="str">
        <f>IFERROR(VLOOKUP(F1375,'Freq-Chan'!C:E,3,FALSE),"na")</f>
        <v>na</v>
      </c>
      <c r="Z1375" s="110" t="s">
        <v>541</v>
      </c>
      <c r="AA1375" s="110" t="s">
        <v>541</v>
      </c>
      <c r="AB1375" s="110" t="s">
        <v>541</v>
      </c>
      <c r="AC1375" s="10" t="s">
        <v>541</v>
      </c>
      <c r="AD1375" s="10" t="s">
        <v>541</v>
      </c>
    </row>
    <row r="1376" spans="1:30" s="291" customFormat="1" x14ac:dyDescent="0.2">
      <c r="A1376" s="493">
        <v>1375</v>
      </c>
      <c r="B1376" s="283">
        <v>41848</v>
      </c>
      <c r="C1376" s="284">
        <v>3</v>
      </c>
      <c r="D1376" s="285" t="s">
        <v>177</v>
      </c>
      <c r="E1376" s="285" t="s">
        <v>0</v>
      </c>
      <c r="F1376" s="285">
        <v>917</v>
      </c>
      <c r="G1376" s="285">
        <v>36</v>
      </c>
      <c r="H1376" s="285" t="s">
        <v>3738</v>
      </c>
      <c r="I1376" s="285">
        <v>49</v>
      </c>
      <c r="J1376" s="285"/>
      <c r="K1376" s="285" t="s">
        <v>364</v>
      </c>
      <c r="L1376" s="286"/>
      <c r="M1376" s="287">
        <v>8.2638888888888887E-2</v>
      </c>
      <c r="N1376" s="339" t="s">
        <v>2537</v>
      </c>
      <c r="O1376" s="286" t="s">
        <v>372</v>
      </c>
      <c r="P1376" s="289"/>
      <c r="Q1376" s="289" t="s">
        <v>3703</v>
      </c>
      <c r="R1376" s="290" t="s">
        <v>3739</v>
      </c>
      <c r="S1376" s="494" t="str">
        <f t="shared" si="43"/>
        <v>x</v>
      </c>
      <c r="T1376" s="495">
        <f>IFERROR(VLOOKUP(F1376,'Freq-Chan'!C:D,2,FALSE),"x")</f>
        <v>151.917</v>
      </c>
      <c r="U1376" s="493" t="s">
        <v>541</v>
      </c>
      <c r="V1376" s="493" t="str">
        <f t="shared" si="44"/>
        <v>FWL</v>
      </c>
      <c r="W1376" s="493" t="s">
        <v>541</v>
      </c>
      <c r="X1376" s="493" t="s">
        <v>541</v>
      </c>
      <c r="Y1376" s="493" t="str">
        <f>IFERROR(VLOOKUP(F1376,'Freq-Chan'!C:E,3,FALSE),"na")</f>
        <v>F1835</v>
      </c>
      <c r="Z1376" s="493" t="s">
        <v>541</v>
      </c>
      <c r="AA1376" s="493" t="s">
        <v>541</v>
      </c>
      <c r="AB1376" s="493" t="s">
        <v>541</v>
      </c>
      <c r="AC1376" s="291" t="s">
        <v>541</v>
      </c>
      <c r="AD1376" s="291" t="s">
        <v>541</v>
      </c>
    </row>
    <row r="1377" spans="1:30" x14ac:dyDescent="0.2">
      <c r="A1377" s="110">
        <v>1376</v>
      </c>
      <c r="B1377" s="132">
        <v>41849</v>
      </c>
      <c r="C1377" s="117">
        <v>1</v>
      </c>
      <c r="D1377" s="103" t="s">
        <v>70</v>
      </c>
      <c r="E1377" s="103" t="s">
        <v>306</v>
      </c>
      <c r="F1377" s="103">
        <v>515</v>
      </c>
      <c r="G1377" s="103">
        <v>72</v>
      </c>
      <c r="H1377" s="103" t="s">
        <v>3006</v>
      </c>
      <c r="I1377" s="103">
        <v>48</v>
      </c>
      <c r="K1377" s="103" t="s">
        <v>1032</v>
      </c>
      <c r="L1377" s="133"/>
      <c r="M1377" s="134">
        <v>3.888888888888889E-2</v>
      </c>
      <c r="N1377" s="137" t="s">
        <v>3715</v>
      </c>
      <c r="O1377" s="133" t="s">
        <v>555</v>
      </c>
      <c r="Q1377" s="100" t="s">
        <v>3742</v>
      </c>
      <c r="R1377" s="226" t="s">
        <v>3778</v>
      </c>
      <c r="S1377" s="491" t="str">
        <f t="shared" si="43"/>
        <v>x</v>
      </c>
      <c r="T1377" s="492">
        <f>IFERROR(VLOOKUP(F1377,'Freq-Chan'!C:D,2,FALSE),"x")</f>
        <v>151.51499999999999</v>
      </c>
      <c r="U1377" s="110" t="s">
        <v>541</v>
      </c>
      <c r="V1377" s="110" t="str">
        <f t="shared" si="44"/>
        <v>FWL</v>
      </c>
      <c r="W1377" s="110" t="s">
        <v>541</v>
      </c>
      <c r="X1377" s="110" t="s">
        <v>541</v>
      </c>
      <c r="Y1377" s="110" t="str">
        <f>IFERROR(VLOOKUP(F1377,'Freq-Chan'!C:E,3,FALSE),"na")</f>
        <v>F1835</v>
      </c>
      <c r="Z1377" s="110" t="s">
        <v>541</v>
      </c>
      <c r="AA1377" s="110" t="s">
        <v>541</v>
      </c>
      <c r="AB1377" s="110" t="s">
        <v>541</v>
      </c>
      <c r="AC1377" s="10" t="s">
        <v>541</v>
      </c>
      <c r="AD1377" s="10" t="s">
        <v>541</v>
      </c>
    </row>
    <row r="1378" spans="1:30" x14ac:dyDescent="0.2">
      <c r="A1378" s="110">
        <v>1377</v>
      </c>
      <c r="B1378" s="132">
        <v>41849</v>
      </c>
      <c r="C1378" s="117">
        <v>1</v>
      </c>
      <c r="D1378" s="103" t="s">
        <v>70</v>
      </c>
      <c r="E1378" s="103" t="s">
        <v>306</v>
      </c>
      <c r="H1378" s="103"/>
      <c r="I1378" s="103">
        <v>47</v>
      </c>
      <c r="K1378" s="103" t="s">
        <v>365</v>
      </c>
      <c r="L1378" s="133"/>
      <c r="M1378" s="134">
        <v>1.8749999999999999E-2</v>
      </c>
      <c r="N1378" s="137" t="s">
        <v>3489</v>
      </c>
      <c r="O1378" s="133" t="s">
        <v>555</v>
      </c>
      <c r="Q1378" s="100" t="s">
        <v>3742</v>
      </c>
      <c r="R1378" s="226" t="s">
        <v>3778</v>
      </c>
      <c r="S1378" s="491" t="str">
        <f t="shared" si="43"/>
        <v>x</v>
      </c>
      <c r="T1378" s="492" t="str">
        <f>IFERROR(VLOOKUP(F1378,'Freq-Chan'!C:D,2,FALSE),"x")</f>
        <v>x</v>
      </c>
      <c r="U1378" s="110" t="s">
        <v>541</v>
      </c>
      <c r="V1378" s="110" t="str">
        <f t="shared" si="44"/>
        <v>FWL</v>
      </c>
      <c r="W1378" s="110" t="s">
        <v>541</v>
      </c>
      <c r="X1378" s="110" t="s">
        <v>541</v>
      </c>
      <c r="Y1378" s="110" t="str">
        <f>IFERROR(VLOOKUP(F1378,'Freq-Chan'!C:E,3,FALSE),"na")</f>
        <v>na</v>
      </c>
      <c r="Z1378" s="110" t="s">
        <v>541</v>
      </c>
      <c r="AA1378" s="110" t="s">
        <v>541</v>
      </c>
      <c r="AB1378" s="110" t="s">
        <v>541</v>
      </c>
      <c r="AC1378" s="10" t="s">
        <v>541</v>
      </c>
      <c r="AD1378" s="10" t="s">
        <v>541</v>
      </c>
    </row>
    <row r="1379" spans="1:30" x14ac:dyDescent="0.2">
      <c r="A1379" s="110">
        <v>1378</v>
      </c>
      <c r="B1379" s="132">
        <v>41849</v>
      </c>
      <c r="C1379" s="117">
        <v>1</v>
      </c>
      <c r="D1379" s="103" t="s">
        <v>70</v>
      </c>
      <c r="E1379" s="103" t="s">
        <v>306</v>
      </c>
      <c r="H1379" s="103"/>
      <c r="I1379" s="103">
        <v>46</v>
      </c>
      <c r="K1379" s="103" t="s">
        <v>365</v>
      </c>
      <c r="L1379" s="133"/>
      <c r="M1379" s="134">
        <v>1.5972222222222224E-2</v>
      </c>
      <c r="N1379" s="137" t="s">
        <v>3489</v>
      </c>
      <c r="O1379" s="133" t="s">
        <v>555</v>
      </c>
      <c r="Q1379" s="100" t="s">
        <v>3742</v>
      </c>
      <c r="R1379" s="226" t="s">
        <v>3778</v>
      </c>
      <c r="S1379" s="491" t="str">
        <f t="shared" si="43"/>
        <v>x</v>
      </c>
      <c r="T1379" s="492" t="str">
        <f>IFERROR(VLOOKUP(F1379,'Freq-Chan'!C:D,2,FALSE),"x")</f>
        <v>x</v>
      </c>
      <c r="U1379" s="110" t="s">
        <v>541</v>
      </c>
      <c r="V1379" s="110" t="str">
        <f t="shared" si="44"/>
        <v>FWL</v>
      </c>
      <c r="W1379" s="110" t="s">
        <v>541</v>
      </c>
      <c r="X1379" s="110" t="s">
        <v>541</v>
      </c>
      <c r="Y1379" s="110" t="str">
        <f>IFERROR(VLOOKUP(F1379,'Freq-Chan'!C:E,3,FALSE),"na")</f>
        <v>na</v>
      </c>
      <c r="Z1379" s="110" t="s">
        <v>541</v>
      </c>
      <c r="AA1379" s="110" t="s">
        <v>541</v>
      </c>
      <c r="AB1379" s="110" t="s">
        <v>541</v>
      </c>
      <c r="AC1379" s="10" t="s">
        <v>541</v>
      </c>
      <c r="AD1379" s="10" t="s">
        <v>541</v>
      </c>
    </row>
    <row r="1380" spans="1:30" x14ac:dyDescent="0.2">
      <c r="A1380" s="110">
        <v>1379</v>
      </c>
      <c r="B1380" s="132">
        <v>41849</v>
      </c>
      <c r="C1380" s="117">
        <v>1</v>
      </c>
      <c r="D1380" s="103" t="s">
        <v>70</v>
      </c>
      <c r="E1380" s="103" t="s">
        <v>306</v>
      </c>
      <c r="H1380" s="103"/>
      <c r="I1380" s="103">
        <v>50</v>
      </c>
      <c r="K1380" s="103" t="s">
        <v>1032</v>
      </c>
      <c r="L1380" s="133"/>
      <c r="M1380" s="134">
        <v>2.013888888888889E-2</v>
      </c>
      <c r="N1380" s="137" t="s">
        <v>839</v>
      </c>
      <c r="O1380" s="133" t="s">
        <v>555</v>
      </c>
      <c r="Q1380" s="100" t="s">
        <v>3742</v>
      </c>
      <c r="R1380" s="226" t="s">
        <v>3778</v>
      </c>
      <c r="S1380" s="491" t="str">
        <f t="shared" si="43"/>
        <v>x</v>
      </c>
      <c r="T1380" s="492" t="str">
        <f>IFERROR(VLOOKUP(F1380,'Freq-Chan'!C:D,2,FALSE),"x")</f>
        <v>x</v>
      </c>
      <c r="U1380" s="110" t="s">
        <v>541</v>
      </c>
      <c r="V1380" s="110" t="str">
        <f t="shared" si="44"/>
        <v>FWL</v>
      </c>
      <c r="W1380" s="110" t="s">
        <v>541</v>
      </c>
      <c r="X1380" s="110" t="s">
        <v>541</v>
      </c>
      <c r="Y1380" s="110" t="str">
        <f>IFERROR(VLOOKUP(F1380,'Freq-Chan'!C:E,3,FALSE),"na")</f>
        <v>na</v>
      </c>
      <c r="Z1380" s="110" t="s">
        <v>541</v>
      </c>
      <c r="AA1380" s="110" t="s">
        <v>541</v>
      </c>
      <c r="AB1380" s="110" t="s">
        <v>541</v>
      </c>
      <c r="AC1380" s="10" t="s">
        <v>541</v>
      </c>
      <c r="AD1380" s="10" t="s">
        <v>541</v>
      </c>
    </row>
    <row r="1381" spans="1:30" x14ac:dyDescent="0.2">
      <c r="A1381" s="110">
        <v>1380</v>
      </c>
      <c r="B1381" s="132">
        <v>41849</v>
      </c>
      <c r="C1381" s="117">
        <v>1</v>
      </c>
      <c r="D1381" s="103" t="s">
        <v>70</v>
      </c>
      <c r="E1381" s="103" t="s">
        <v>306</v>
      </c>
      <c r="H1381" s="103"/>
      <c r="I1381" s="103">
        <v>46</v>
      </c>
      <c r="K1381" s="103" t="s">
        <v>365</v>
      </c>
      <c r="L1381" s="133"/>
      <c r="M1381" s="134">
        <v>1.5972222222222224E-2</v>
      </c>
      <c r="N1381" s="137" t="s">
        <v>3398</v>
      </c>
      <c r="O1381" s="133" t="s">
        <v>555</v>
      </c>
      <c r="Q1381" s="100" t="s">
        <v>3742</v>
      </c>
      <c r="R1381" s="226" t="s">
        <v>3778</v>
      </c>
      <c r="S1381" s="491" t="str">
        <f t="shared" si="43"/>
        <v>x</v>
      </c>
      <c r="T1381" s="492" t="str">
        <f>IFERROR(VLOOKUP(F1381,'Freq-Chan'!C:D,2,FALSE),"x")</f>
        <v>x</v>
      </c>
      <c r="U1381" s="110" t="s">
        <v>541</v>
      </c>
      <c r="V1381" s="110" t="str">
        <f t="shared" si="44"/>
        <v>FWL</v>
      </c>
      <c r="W1381" s="110" t="s">
        <v>541</v>
      </c>
      <c r="X1381" s="110" t="s">
        <v>541</v>
      </c>
      <c r="Y1381" s="110" t="str">
        <f>IFERROR(VLOOKUP(F1381,'Freq-Chan'!C:E,3,FALSE),"na")</f>
        <v>na</v>
      </c>
      <c r="Z1381" s="110" t="s">
        <v>541</v>
      </c>
      <c r="AA1381" s="110" t="s">
        <v>541</v>
      </c>
      <c r="AB1381" s="110" t="s">
        <v>541</v>
      </c>
      <c r="AC1381" s="10" t="s">
        <v>541</v>
      </c>
      <c r="AD1381" s="10" t="s">
        <v>541</v>
      </c>
    </row>
    <row r="1382" spans="1:30" x14ac:dyDescent="0.2">
      <c r="A1382" s="110">
        <v>1381</v>
      </c>
      <c r="B1382" s="132">
        <v>41849</v>
      </c>
      <c r="C1382" s="117">
        <v>1</v>
      </c>
      <c r="D1382" s="103" t="s">
        <v>70</v>
      </c>
      <c r="E1382" s="103" t="s">
        <v>306</v>
      </c>
      <c r="H1382" s="103"/>
      <c r="I1382" s="103">
        <v>47</v>
      </c>
      <c r="K1382" s="103" t="s">
        <v>365</v>
      </c>
      <c r="L1382" s="133"/>
      <c r="M1382" s="134">
        <v>1.9444444444444445E-2</v>
      </c>
      <c r="N1382" s="137" t="s">
        <v>3253</v>
      </c>
      <c r="O1382" s="133" t="s">
        <v>555</v>
      </c>
      <c r="Q1382" s="100" t="s">
        <v>3742</v>
      </c>
      <c r="R1382" s="226" t="s">
        <v>3778</v>
      </c>
      <c r="S1382" s="491" t="str">
        <f t="shared" si="43"/>
        <v>x</v>
      </c>
      <c r="T1382" s="492" t="str">
        <f>IFERROR(VLOOKUP(F1382,'Freq-Chan'!C:D,2,FALSE),"x")</f>
        <v>x</v>
      </c>
      <c r="U1382" s="110" t="s">
        <v>541</v>
      </c>
      <c r="V1382" s="110" t="str">
        <f t="shared" si="44"/>
        <v>FWL</v>
      </c>
      <c r="W1382" s="110" t="s">
        <v>541</v>
      </c>
      <c r="X1382" s="110" t="s">
        <v>541</v>
      </c>
      <c r="Y1382" s="110" t="str">
        <f>IFERROR(VLOOKUP(F1382,'Freq-Chan'!C:E,3,FALSE),"na")</f>
        <v>na</v>
      </c>
      <c r="Z1382" s="110" t="s">
        <v>541</v>
      </c>
      <c r="AA1382" s="110" t="s">
        <v>541</v>
      </c>
      <c r="AB1382" s="110" t="s">
        <v>541</v>
      </c>
      <c r="AC1382" s="10" t="s">
        <v>541</v>
      </c>
      <c r="AD1382" s="10" t="s">
        <v>541</v>
      </c>
    </row>
    <row r="1383" spans="1:30" x14ac:dyDescent="0.2">
      <c r="A1383" s="110">
        <v>1382</v>
      </c>
      <c r="B1383" s="132">
        <v>41849</v>
      </c>
      <c r="C1383" s="117">
        <v>1</v>
      </c>
      <c r="D1383" s="103" t="s">
        <v>70</v>
      </c>
      <c r="E1383" s="103" t="s">
        <v>306</v>
      </c>
      <c r="H1383" s="103"/>
      <c r="I1383" s="103">
        <v>48</v>
      </c>
      <c r="K1383" s="103" t="s">
        <v>1032</v>
      </c>
      <c r="L1383" s="133"/>
      <c r="M1383" s="134">
        <v>1.9444444444444445E-2</v>
      </c>
      <c r="N1383" s="137" t="s">
        <v>3450</v>
      </c>
      <c r="O1383" s="133" t="s">
        <v>555</v>
      </c>
      <c r="Q1383" s="100" t="s">
        <v>3742</v>
      </c>
      <c r="R1383" s="226" t="s">
        <v>3778</v>
      </c>
      <c r="S1383" s="491" t="str">
        <f t="shared" si="43"/>
        <v>x</v>
      </c>
      <c r="T1383" s="492" t="str">
        <f>IFERROR(VLOOKUP(F1383,'Freq-Chan'!C:D,2,FALSE),"x")</f>
        <v>x</v>
      </c>
      <c r="U1383" s="110" t="s">
        <v>541</v>
      </c>
      <c r="V1383" s="110" t="str">
        <f t="shared" si="44"/>
        <v>FWL</v>
      </c>
      <c r="W1383" s="110" t="s">
        <v>541</v>
      </c>
      <c r="X1383" s="110" t="s">
        <v>541</v>
      </c>
      <c r="Y1383" s="110" t="str">
        <f>IFERROR(VLOOKUP(F1383,'Freq-Chan'!C:E,3,FALSE),"na")</f>
        <v>na</v>
      </c>
      <c r="Z1383" s="110" t="s">
        <v>541</v>
      </c>
      <c r="AA1383" s="110" t="s">
        <v>541</v>
      </c>
      <c r="AB1383" s="110" t="s">
        <v>541</v>
      </c>
      <c r="AC1383" s="10" t="s">
        <v>541</v>
      </c>
      <c r="AD1383" s="10" t="s">
        <v>541</v>
      </c>
    </row>
    <row r="1384" spans="1:30" x14ac:dyDescent="0.2">
      <c r="A1384" s="110">
        <v>1383</v>
      </c>
      <c r="B1384" s="132">
        <v>41849</v>
      </c>
      <c r="C1384" s="117">
        <v>1</v>
      </c>
      <c r="D1384" s="103" t="s">
        <v>70</v>
      </c>
      <c r="E1384" s="103" t="s">
        <v>306</v>
      </c>
      <c r="H1384" s="103"/>
      <c r="I1384" s="103">
        <v>47</v>
      </c>
      <c r="K1384" s="103" t="s">
        <v>365</v>
      </c>
      <c r="L1384" s="133"/>
      <c r="M1384" s="134">
        <v>1.6666666666666666E-2</v>
      </c>
      <c r="N1384" s="137" t="s">
        <v>3451</v>
      </c>
      <c r="O1384" s="133" t="s">
        <v>372</v>
      </c>
      <c r="Q1384" s="100" t="s">
        <v>3742</v>
      </c>
      <c r="R1384" s="226" t="s">
        <v>3778</v>
      </c>
      <c r="S1384" s="491" t="str">
        <f t="shared" si="43"/>
        <v>x</v>
      </c>
      <c r="T1384" s="492" t="str">
        <f>IFERROR(VLOOKUP(F1384,'Freq-Chan'!C:D,2,FALSE),"x")</f>
        <v>x</v>
      </c>
      <c r="U1384" s="110" t="s">
        <v>541</v>
      </c>
      <c r="V1384" s="110" t="str">
        <f t="shared" si="44"/>
        <v>FWL</v>
      </c>
      <c r="W1384" s="110" t="s">
        <v>541</v>
      </c>
      <c r="X1384" s="110" t="s">
        <v>541</v>
      </c>
      <c r="Y1384" s="110" t="str">
        <f>IFERROR(VLOOKUP(F1384,'Freq-Chan'!C:E,3,FALSE),"na")</f>
        <v>na</v>
      </c>
      <c r="Z1384" s="110" t="s">
        <v>541</v>
      </c>
      <c r="AA1384" s="110" t="s">
        <v>541</v>
      </c>
      <c r="AB1384" s="110" t="s">
        <v>541</v>
      </c>
      <c r="AC1384" s="10" t="s">
        <v>541</v>
      </c>
      <c r="AD1384" s="10" t="s">
        <v>541</v>
      </c>
    </row>
    <row r="1385" spans="1:30" x14ac:dyDescent="0.2">
      <c r="A1385" s="110">
        <v>1384</v>
      </c>
      <c r="B1385" s="132">
        <v>41849</v>
      </c>
      <c r="C1385" s="117">
        <v>1</v>
      </c>
      <c r="D1385" s="103" t="s">
        <v>70</v>
      </c>
      <c r="E1385" s="103" t="s">
        <v>306</v>
      </c>
      <c r="H1385" s="103"/>
      <c r="I1385" s="103">
        <v>47</v>
      </c>
      <c r="K1385" s="103" t="s">
        <v>365</v>
      </c>
      <c r="L1385" s="133"/>
      <c r="M1385" s="134">
        <v>2.013888888888889E-2</v>
      </c>
      <c r="N1385" s="137" t="s">
        <v>2689</v>
      </c>
      <c r="O1385" s="133" t="s">
        <v>372</v>
      </c>
      <c r="Q1385" s="100" t="s">
        <v>3742</v>
      </c>
      <c r="R1385" s="226" t="s">
        <v>3778</v>
      </c>
      <c r="S1385" s="491" t="str">
        <f t="shared" si="43"/>
        <v>x</v>
      </c>
      <c r="T1385" s="492" t="str">
        <f>IFERROR(VLOOKUP(F1385,'Freq-Chan'!C:D,2,FALSE),"x")</f>
        <v>x</v>
      </c>
      <c r="U1385" s="110" t="s">
        <v>541</v>
      </c>
      <c r="V1385" s="110" t="str">
        <f t="shared" si="44"/>
        <v>FWL</v>
      </c>
      <c r="W1385" s="110" t="s">
        <v>541</v>
      </c>
      <c r="X1385" s="110" t="s">
        <v>541</v>
      </c>
      <c r="Y1385" s="110" t="str">
        <f>IFERROR(VLOOKUP(F1385,'Freq-Chan'!C:E,3,FALSE),"na")</f>
        <v>na</v>
      </c>
      <c r="Z1385" s="110" t="s">
        <v>541</v>
      </c>
      <c r="AA1385" s="110" t="s">
        <v>541</v>
      </c>
      <c r="AB1385" s="110" t="s">
        <v>541</v>
      </c>
      <c r="AC1385" s="10" t="s">
        <v>541</v>
      </c>
      <c r="AD1385" s="10" t="s">
        <v>541</v>
      </c>
    </row>
    <row r="1386" spans="1:30" x14ac:dyDescent="0.2">
      <c r="A1386" s="110">
        <v>1385</v>
      </c>
      <c r="B1386" s="132">
        <v>41849</v>
      </c>
      <c r="C1386" s="117">
        <v>1</v>
      </c>
      <c r="D1386" s="103" t="s">
        <v>70</v>
      </c>
      <c r="E1386" s="103" t="s">
        <v>306</v>
      </c>
      <c r="H1386" s="103"/>
      <c r="I1386" s="103">
        <v>45</v>
      </c>
      <c r="K1386" s="103" t="s">
        <v>365</v>
      </c>
      <c r="L1386" s="133"/>
      <c r="M1386" s="134">
        <v>1.4583333333333332E-2</v>
      </c>
      <c r="N1386" s="137" t="s">
        <v>3334</v>
      </c>
      <c r="O1386" s="133" t="s">
        <v>372</v>
      </c>
      <c r="Q1386" s="100" t="s">
        <v>3742</v>
      </c>
      <c r="R1386" s="226" t="s">
        <v>3778</v>
      </c>
      <c r="S1386" s="491" t="str">
        <f t="shared" si="43"/>
        <v>x</v>
      </c>
      <c r="T1386" s="492" t="str">
        <f>IFERROR(VLOOKUP(F1386,'Freq-Chan'!C:D,2,FALSE),"x")</f>
        <v>x</v>
      </c>
      <c r="U1386" s="110" t="s">
        <v>541</v>
      </c>
      <c r="V1386" s="110" t="str">
        <f t="shared" si="44"/>
        <v>FWL</v>
      </c>
      <c r="W1386" s="110" t="s">
        <v>541</v>
      </c>
      <c r="X1386" s="110" t="s">
        <v>541</v>
      </c>
      <c r="Y1386" s="110" t="str">
        <f>IFERROR(VLOOKUP(F1386,'Freq-Chan'!C:E,3,FALSE),"na")</f>
        <v>na</v>
      </c>
      <c r="Z1386" s="110" t="s">
        <v>541</v>
      </c>
      <c r="AA1386" s="110" t="s">
        <v>541</v>
      </c>
      <c r="AB1386" s="110" t="s">
        <v>541</v>
      </c>
      <c r="AC1386" s="10" t="s">
        <v>541</v>
      </c>
      <c r="AD1386" s="10" t="s">
        <v>541</v>
      </c>
    </row>
    <row r="1387" spans="1:30" x14ac:dyDescent="0.2">
      <c r="A1387" s="110">
        <v>1386</v>
      </c>
      <c r="B1387" s="132">
        <v>41849</v>
      </c>
      <c r="C1387" s="117">
        <v>1</v>
      </c>
      <c r="D1387" s="103" t="s">
        <v>70</v>
      </c>
      <c r="E1387" s="103" t="s">
        <v>306</v>
      </c>
      <c r="H1387" s="103"/>
      <c r="I1387" s="103">
        <v>47</v>
      </c>
      <c r="K1387" s="103" t="s">
        <v>365</v>
      </c>
      <c r="L1387" s="133"/>
      <c r="M1387" s="134">
        <v>1.9444444444444445E-2</v>
      </c>
      <c r="N1387" s="137" t="s">
        <v>2691</v>
      </c>
      <c r="O1387" s="133" t="s">
        <v>372</v>
      </c>
      <c r="Q1387" s="100" t="s">
        <v>3742</v>
      </c>
      <c r="R1387" s="226" t="s">
        <v>3778</v>
      </c>
      <c r="S1387" s="491" t="str">
        <f t="shared" si="43"/>
        <v>x</v>
      </c>
      <c r="T1387" s="492" t="str">
        <f>IFERROR(VLOOKUP(F1387,'Freq-Chan'!C:D,2,FALSE),"x")</f>
        <v>x</v>
      </c>
      <c r="U1387" s="110" t="s">
        <v>541</v>
      </c>
      <c r="V1387" s="110" t="str">
        <f t="shared" si="44"/>
        <v>FWL</v>
      </c>
      <c r="W1387" s="110" t="s">
        <v>541</v>
      </c>
      <c r="X1387" s="110" t="s">
        <v>541</v>
      </c>
      <c r="Y1387" s="110" t="str">
        <f>IFERROR(VLOOKUP(F1387,'Freq-Chan'!C:E,3,FALSE),"na")</f>
        <v>na</v>
      </c>
      <c r="Z1387" s="110" t="s">
        <v>541</v>
      </c>
      <c r="AA1387" s="110" t="s">
        <v>541</v>
      </c>
      <c r="AB1387" s="110" t="s">
        <v>541</v>
      </c>
      <c r="AC1387" s="10" t="s">
        <v>541</v>
      </c>
      <c r="AD1387" s="10" t="s">
        <v>541</v>
      </c>
    </row>
    <row r="1388" spans="1:30" x14ac:dyDescent="0.2">
      <c r="A1388" s="110">
        <v>1387</v>
      </c>
      <c r="B1388" s="132">
        <v>41849</v>
      </c>
      <c r="C1388" s="117">
        <v>1</v>
      </c>
      <c r="D1388" s="103" t="s">
        <v>70</v>
      </c>
      <c r="E1388" s="103" t="s">
        <v>306</v>
      </c>
      <c r="H1388" s="103"/>
      <c r="I1388" s="103">
        <v>49</v>
      </c>
      <c r="K1388" s="103" t="s">
        <v>365</v>
      </c>
      <c r="L1388" s="133"/>
      <c r="M1388" s="134">
        <v>2.7083333333333334E-2</v>
      </c>
      <c r="N1388" s="137" t="s">
        <v>3292</v>
      </c>
      <c r="O1388" s="133" t="s">
        <v>372</v>
      </c>
      <c r="P1388" s="100" t="s">
        <v>2740</v>
      </c>
      <c r="Q1388" s="100" t="s">
        <v>3742</v>
      </c>
      <c r="R1388" s="226" t="s">
        <v>3778</v>
      </c>
      <c r="S1388" s="491" t="str">
        <f t="shared" si="43"/>
        <v>x</v>
      </c>
      <c r="T1388" s="492" t="str">
        <f>IFERROR(VLOOKUP(F1388,'Freq-Chan'!C:D,2,FALSE),"x")</f>
        <v>x</v>
      </c>
      <c r="U1388" s="110" t="s">
        <v>541</v>
      </c>
      <c r="V1388" s="110" t="str">
        <f t="shared" si="44"/>
        <v>FWL</v>
      </c>
      <c r="W1388" s="110" t="s">
        <v>541</v>
      </c>
      <c r="X1388" s="110" t="s">
        <v>541</v>
      </c>
      <c r="Y1388" s="110" t="str">
        <f>IFERROR(VLOOKUP(F1388,'Freq-Chan'!C:E,3,FALSE),"na")</f>
        <v>na</v>
      </c>
      <c r="Z1388" s="110" t="s">
        <v>541</v>
      </c>
      <c r="AA1388" s="110" t="s">
        <v>541</v>
      </c>
      <c r="AB1388" s="110" t="s">
        <v>541</v>
      </c>
      <c r="AC1388" s="10" t="s">
        <v>541</v>
      </c>
      <c r="AD1388" s="10" t="s">
        <v>541</v>
      </c>
    </row>
    <row r="1389" spans="1:30" x14ac:dyDescent="0.2">
      <c r="A1389" s="110">
        <v>1388</v>
      </c>
      <c r="B1389" s="132">
        <v>41849</v>
      </c>
      <c r="C1389" s="117">
        <v>1</v>
      </c>
      <c r="D1389" s="103" t="s">
        <v>70</v>
      </c>
      <c r="E1389" s="103" t="s">
        <v>306</v>
      </c>
      <c r="H1389" s="103"/>
      <c r="I1389" s="103">
        <v>48</v>
      </c>
      <c r="K1389" s="103" t="s">
        <v>365</v>
      </c>
      <c r="L1389" s="133"/>
      <c r="M1389" s="134">
        <v>1.3888888888888888E-2</v>
      </c>
      <c r="N1389" s="137" t="s">
        <v>3452</v>
      </c>
      <c r="O1389" s="133" t="s">
        <v>372</v>
      </c>
      <c r="Q1389" s="100" t="s">
        <v>3742</v>
      </c>
      <c r="R1389" s="226" t="s">
        <v>3778</v>
      </c>
      <c r="S1389" s="491" t="str">
        <f t="shared" si="43"/>
        <v>x</v>
      </c>
      <c r="T1389" s="492" t="str">
        <f>IFERROR(VLOOKUP(F1389,'Freq-Chan'!C:D,2,FALSE),"x")</f>
        <v>x</v>
      </c>
      <c r="U1389" s="110" t="s">
        <v>541</v>
      </c>
      <c r="V1389" s="110" t="str">
        <f t="shared" si="44"/>
        <v>FWL</v>
      </c>
      <c r="W1389" s="110" t="s">
        <v>541</v>
      </c>
      <c r="X1389" s="110" t="s">
        <v>541</v>
      </c>
      <c r="Y1389" s="110" t="str">
        <f>IFERROR(VLOOKUP(F1389,'Freq-Chan'!C:E,3,FALSE),"na")</f>
        <v>na</v>
      </c>
      <c r="Z1389" s="110" t="s">
        <v>541</v>
      </c>
      <c r="AA1389" s="110" t="s">
        <v>541</v>
      </c>
      <c r="AB1389" s="110" t="s">
        <v>541</v>
      </c>
      <c r="AC1389" s="10" t="s">
        <v>541</v>
      </c>
      <c r="AD1389" s="10" t="s">
        <v>541</v>
      </c>
    </row>
    <row r="1390" spans="1:30" x14ac:dyDescent="0.2">
      <c r="A1390" s="110">
        <v>1389</v>
      </c>
      <c r="B1390" s="132">
        <v>41849</v>
      </c>
      <c r="C1390" s="117">
        <v>1</v>
      </c>
      <c r="D1390" s="103" t="s">
        <v>70</v>
      </c>
      <c r="E1390" s="103" t="s">
        <v>306</v>
      </c>
      <c r="H1390" s="103"/>
      <c r="I1390" s="103">
        <v>40</v>
      </c>
      <c r="K1390" s="103" t="s">
        <v>1032</v>
      </c>
      <c r="L1390" s="133"/>
      <c r="M1390" s="134">
        <v>2.1527777777777781E-2</v>
      </c>
      <c r="N1390" s="137" t="s">
        <v>3752</v>
      </c>
      <c r="O1390" s="133" t="s">
        <v>372</v>
      </c>
      <c r="Q1390" s="100" t="s">
        <v>3742</v>
      </c>
      <c r="R1390" s="226" t="s">
        <v>3778</v>
      </c>
      <c r="S1390" s="491" t="str">
        <f t="shared" si="43"/>
        <v>x</v>
      </c>
      <c r="T1390" s="492" t="str">
        <f>IFERROR(VLOOKUP(F1390,'Freq-Chan'!C:D,2,FALSE),"x")</f>
        <v>x</v>
      </c>
      <c r="U1390" s="110" t="s">
        <v>541</v>
      </c>
      <c r="V1390" s="110" t="str">
        <f t="shared" si="44"/>
        <v>FWL</v>
      </c>
      <c r="W1390" s="110" t="s">
        <v>541</v>
      </c>
      <c r="X1390" s="110" t="s">
        <v>541</v>
      </c>
      <c r="Y1390" s="110" t="str">
        <f>IFERROR(VLOOKUP(F1390,'Freq-Chan'!C:E,3,FALSE),"na")</f>
        <v>na</v>
      </c>
      <c r="Z1390" s="110" t="s">
        <v>541</v>
      </c>
      <c r="AA1390" s="110" t="s">
        <v>541</v>
      </c>
      <c r="AB1390" s="110" t="s">
        <v>541</v>
      </c>
      <c r="AC1390" s="10" t="s">
        <v>541</v>
      </c>
      <c r="AD1390" s="10" t="s">
        <v>541</v>
      </c>
    </row>
    <row r="1391" spans="1:30" x14ac:dyDescent="0.2">
      <c r="A1391" s="110">
        <v>1390</v>
      </c>
      <c r="B1391" s="132">
        <v>41849</v>
      </c>
      <c r="C1391" s="117">
        <v>1</v>
      </c>
      <c r="D1391" s="103" t="s">
        <v>70</v>
      </c>
      <c r="E1391" s="103" t="s">
        <v>306</v>
      </c>
      <c r="H1391" s="103"/>
      <c r="I1391" s="103">
        <v>41</v>
      </c>
      <c r="K1391" s="103" t="s">
        <v>1032</v>
      </c>
      <c r="L1391" s="133"/>
      <c r="M1391" s="134">
        <v>2.5694444444444447E-2</v>
      </c>
      <c r="N1391" s="137" t="s">
        <v>3293</v>
      </c>
      <c r="O1391" s="133" t="s">
        <v>372</v>
      </c>
      <c r="Q1391" s="100" t="s">
        <v>3742</v>
      </c>
      <c r="R1391" s="226" t="s">
        <v>3778</v>
      </c>
      <c r="S1391" s="491" t="str">
        <f t="shared" si="43"/>
        <v>x</v>
      </c>
      <c r="T1391" s="492" t="str">
        <f>IFERROR(VLOOKUP(F1391,'Freq-Chan'!C:D,2,FALSE),"x")</f>
        <v>x</v>
      </c>
      <c r="U1391" s="110" t="s">
        <v>541</v>
      </c>
      <c r="V1391" s="110" t="str">
        <f t="shared" si="44"/>
        <v>FWL</v>
      </c>
      <c r="W1391" s="110" t="s">
        <v>541</v>
      </c>
      <c r="X1391" s="110" t="s">
        <v>541</v>
      </c>
      <c r="Y1391" s="110" t="str">
        <f>IFERROR(VLOOKUP(F1391,'Freq-Chan'!C:E,3,FALSE),"na")</f>
        <v>na</v>
      </c>
      <c r="Z1391" s="110" t="s">
        <v>541</v>
      </c>
      <c r="AA1391" s="110" t="s">
        <v>541</v>
      </c>
      <c r="AB1391" s="110" t="s">
        <v>541</v>
      </c>
      <c r="AC1391" s="10" t="s">
        <v>541</v>
      </c>
      <c r="AD1391" s="10" t="s">
        <v>541</v>
      </c>
    </row>
    <row r="1392" spans="1:30" x14ac:dyDescent="0.2">
      <c r="A1392" s="110">
        <v>1391</v>
      </c>
      <c r="B1392" s="132">
        <v>41849</v>
      </c>
      <c r="C1392" s="117">
        <v>1</v>
      </c>
      <c r="D1392" s="103" t="s">
        <v>71</v>
      </c>
      <c r="E1392" s="103" t="s">
        <v>306</v>
      </c>
      <c r="H1392" s="103"/>
      <c r="I1392" s="103">
        <v>62</v>
      </c>
      <c r="K1392" s="103" t="s">
        <v>364</v>
      </c>
      <c r="L1392" s="133"/>
      <c r="M1392" s="134">
        <v>2.1527777777777781E-2</v>
      </c>
      <c r="N1392" s="137" t="s">
        <v>3719</v>
      </c>
      <c r="O1392" s="133" t="s">
        <v>372</v>
      </c>
      <c r="Q1392" s="100" t="s">
        <v>3742</v>
      </c>
      <c r="R1392" s="226" t="s">
        <v>3778</v>
      </c>
      <c r="S1392" s="491" t="str">
        <f t="shared" si="43"/>
        <v>x</v>
      </c>
      <c r="T1392" s="492" t="str">
        <f>IFERROR(VLOOKUP(F1392,'Freq-Chan'!C:D,2,FALSE),"x")</f>
        <v>x</v>
      </c>
      <c r="U1392" s="110" t="s">
        <v>541</v>
      </c>
      <c r="V1392" s="110" t="str">
        <f t="shared" si="44"/>
        <v>FWL</v>
      </c>
      <c r="W1392" s="110" t="s">
        <v>541</v>
      </c>
      <c r="X1392" s="110" t="s">
        <v>541</v>
      </c>
      <c r="Y1392" s="110" t="str">
        <f>IFERROR(VLOOKUP(F1392,'Freq-Chan'!C:E,3,FALSE),"na")</f>
        <v>na</v>
      </c>
      <c r="Z1392" s="110" t="s">
        <v>541</v>
      </c>
      <c r="AA1392" s="110" t="s">
        <v>541</v>
      </c>
      <c r="AB1392" s="110" t="s">
        <v>541</v>
      </c>
      <c r="AC1392" s="10" t="s">
        <v>541</v>
      </c>
      <c r="AD1392" s="10" t="s">
        <v>541</v>
      </c>
    </row>
    <row r="1393" spans="1:30" x14ac:dyDescent="0.2">
      <c r="A1393" s="110">
        <v>1392</v>
      </c>
      <c r="B1393" s="132">
        <v>41849</v>
      </c>
      <c r="C1393" s="117">
        <v>1</v>
      </c>
      <c r="D1393" s="103" t="s">
        <v>8</v>
      </c>
      <c r="E1393" s="103" t="s">
        <v>306</v>
      </c>
      <c r="F1393" s="103">
        <v>586</v>
      </c>
      <c r="G1393" s="103">
        <v>29</v>
      </c>
      <c r="H1393" s="103" t="s">
        <v>2182</v>
      </c>
      <c r="I1393" s="103">
        <v>56</v>
      </c>
      <c r="K1393" s="103" t="s">
        <v>364</v>
      </c>
      <c r="L1393" s="133"/>
      <c r="M1393" s="134">
        <v>5.1388888888888894E-2</v>
      </c>
      <c r="N1393" s="137" t="s">
        <v>2720</v>
      </c>
      <c r="O1393" s="133" t="s">
        <v>1585</v>
      </c>
      <c r="P1393" s="100" t="s">
        <v>3753</v>
      </c>
      <c r="Q1393" s="100" t="s">
        <v>3747</v>
      </c>
      <c r="R1393" s="226" t="s">
        <v>3778</v>
      </c>
      <c r="S1393" s="491" t="str">
        <f t="shared" si="43"/>
        <v>x</v>
      </c>
      <c r="T1393" s="492">
        <f>IFERROR(VLOOKUP(F1393,'Freq-Chan'!C:D,2,FALSE),"x")</f>
        <v>151.58600000000001</v>
      </c>
      <c r="U1393" s="110" t="s">
        <v>541</v>
      </c>
      <c r="V1393" s="110" t="str">
        <f t="shared" si="44"/>
        <v>FWL</v>
      </c>
      <c r="W1393" s="110" t="s">
        <v>541</v>
      </c>
      <c r="X1393" s="110" t="s">
        <v>541</v>
      </c>
      <c r="Y1393" s="110" t="str">
        <f>IFERROR(VLOOKUP(F1393,'Freq-Chan'!C:E,3,FALSE),"na")</f>
        <v>F1840</v>
      </c>
      <c r="Z1393" s="110" t="s">
        <v>541</v>
      </c>
      <c r="AA1393" s="110" t="s">
        <v>541</v>
      </c>
      <c r="AB1393" s="110" t="s">
        <v>541</v>
      </c>
      <c r="AC1393" s="10" t="s">
        <v>541</v>
      </c>
      <c r="AD1393" s="10" t="s">
        <v>541</v>
      </c>
    </row>
    <row r="1394" spans="1:30" x14ac:dyDescent="0.2">
      <c r="A1394" s="110">
        <v>1393</v>
      </c>
      <c r="B1394" s="132">
        <v>41849</v>
      </c>
      <c r="C1394" s="117">
        <v>1</v>
      </c>
      <c r="D1394" s="103" t="s">
        <v>71</v>
      </c>
      <c r="E1394" s="103" t="s">
        <v>306</v>
      </c>
      <c r="H1394" s="103"/>
      <c r="I1394" s="103">
        <v>63</v>
      </c>
      <c r="K1394" s="103" t="s">
        <v>364</v>
      </c>
      <c r="L1394" s="133"/>
      <c r="M1394" s="134">
        <v>2.2222222222222223E-2</v>
      </c>
      <c r="N1394" s="137" t="s">
        <v>1664</v>
      </c>
      <c r="O1394" s="133" t="s">
        <v>1585</v>
      </c>
      <c r="Q1394" s="100" t="s">
        <v>3747</v>
      </c>
      <c r="R1394" s="226" t="s">
        <v>3778</v>
      </c>
      <c r="S1394" s="491" t="str">
        <f t="shared" si="43"/>
        <v>x</v>
      </c>
      <c r="T1394" s="492" t="str">
        <f>IFERROR(VLOOKUP(F1394,'Freq-Chan'!C:D,2,FALSE),"x")</f>
        <v>x</v>
      </c>
      <c r="U1394" s="110" t="s">
        <v>541</v>
      </c>
      <c r="V1394" s="110" t="str">
        <f t="shared" si="44"/>
        <v>FWL</v>
      </c>
      <c r="W1394" s="110" t="s">
        <v>541</v>
      </c>
      <c r="X1394" s="110" t="s">
        <v>541</v>
      </c>
      <c r="Y1394" s="110" t="str">
        <f>IFERROR(VLOOKUP(F1394,'Freq-Chan'!C:E,3,FALSE),"na")</f>
        <v>na</v>
      </c>
      <c r="Z1394" s="110" t="s">
        <v>541</v>
      </c>
      <c r="AA1394" s="110" t="s">
        <v>541</v>
      </c>
      <c r="AB1394" s="110" t="s">
        <v>541</v>
      </c>
      <c r="AC1394" s="10" t="s">
        <v>541</v>
      </c>
      <c r="AD1394" s="10" t="s">
        <v>541</v>
      </c>
    </row>
    <row r="1395" spans="1:30" x14ac:dyDescent="0.2">
      <c r="A1395" s="110">
        <v>1394</v>
      </c>
      <c r="B1395" s="132">
        <v>41849</v>
      </c>
      <c r="C1395" s="117">
        <v>1</v>
      </c>
      <c r="D1395" s="103" t="s">
        <v>8</v>
      </c>
      <c r="E1395" s="103" t="s">
        <v>306</v>
      </c>
      <c r="F1395" s="103">
        <v>586</v>
      </c>
      <c r="G1395" s="103">
        <v>89</v>
      </c>
      <c r="H1395" s="103" t="s">
        <v>2183</v>
      </c>
      <c r="I1395" s="103">
        <v>45</v>
      </c>
      <c r="K1395" s="103" t="s">
        <v>364</v>
      </c>
      <c r="L1395" s="133"/>
      <c r="M1395" s="134">
        <v>4.3750000000000004E-2</v>
      </c>
      <c r="N1395" s="137" t="s">
        <v>711</v>
      </c>
      <c r="O1395" s="133" t="s">
        <v>1585</v>
      </c>
      <c r="Q1395" s="100" t="s">
        <v>3747</v>
      </c>
      <c r="R1395" s="226" t="s">
        <v>3778</v>
      </c>
      <c r="S1395" s="491" t="str">
        <f t="shared" si="43"/>
        <v>x</v>
      </c>
      <c r="T1395" s="492">
        <f>IFERROR(VLOOKUP(F1395,'Freq-Chan'!C:D,2,FALSE),"x")</f>
        <v>151.58600000000001</v>
      </c>
      <c r="U1395" s="110" t="s">
        <v>541</v>
      </c>
      <c r="V1395" s="110" t="str">
        <f t="shared" si="44"/>
        <v>FWL</v>
      </c>
      <c r="W1395" s="110" t="s">
        <v>541</v>
      </c>
      <c r="X1395" s="110" t="s">
        <v>541</v>
      </c>
      <c r="Y1395" s="110" t="str">
        <f>IFERROR(VLOOKUP(F1395,'Freq-Chan'!C:E,3,FALSE),"na")</f>
        <v>F1840</v>
      </c>
      <c r="Z1395" s="110" t="s">
        <v>541</v>
      </c>
      <c r="AA1395" s="110" t="s">
        <v>541</v>
      </c>
      <c r="AB1395" s="110" t="s">
        <v>541</v>
      </c>
      <c r="AC1395" s="10" t="s">
        <v>541</v>
      </c>
      <c r="AD1395" s="10" t="s">
        <v>541</v>
      </c>
    </row>
    <row r="1396" spans="1:30" x14ac:dyDescent="0.2">
      <c r="A1396" s="110">
        <v>1395</v>
      </c>
      <c r="B1396" s="132">
        <v>41849</v>
      </c>
      <c r="C1396" s="117">
        <v>1</v>
      </c>
      <c r="D1396" s="103" t="s">
        <v>71</v>
      </c>
      <c r="E1396" s="103" t="s">
        <v>306</v>
      </c>
      <c r="H1396" s="103"/>
      <c r="I1396" s="103">
        <v>65</v>
      </c>
      <c r="K1396" s="103" t="s">
        <v>364</v>
      </c>
      <c r="L1396" s="133"/>
      <c r="M1396" s="134">
        <v>2.013888888888889E-2</v>
      </c>
      <c r="N1396" s="137" t="s">
        <v>3754</v>
      </c>
      <c r="O1396" s="133" t="s">
        <v>1585</v>
      </c>
      <c r="Q1396" s="100" t="s">
        <v>3747</v>
      </c>
      <c r="R1396" s="226" t="s">
        <v>3778</v>
      </c>
      <c r="S1396" s="491" t="str">
        <f t="shared" si="43"/>
        <v>x</v>
      </c>
      <c r="T1396" s="492" t="str">
        <f>IFERROR(VLOOKUP(F1396,'Freq-Chan'!C:D,2,FALSE),"x")</f>
        <v>x</v>
      </c>
      <c r="U1396" s="110" t="s">
        <v>541</v>
      </c>
      <c r="V1396" s="110" t="str">
        <f t="shared" si="44"/>
        <v>FWL</v>
      </c>
      <c r="W1396" s="110" t="s">
        <v>541</v>
      </c>
      <c r="X1396" s="110" t="s">
        <v>541</v>
      </c>
      <c r="Y1396" s="110" t="str">
        <f>IFERROR(VLOOKUP(F1396,'Freq-Chan'!C:E,3,FALSE),"na")</f>
        <v>na</v>
      </c>
      <c r="Z1396" s="110" t="s">
        <v>541</v>
      </c>
      <c r="AA1396" s="110" t="s">
        <v>541</v>
      </c>
      <c r="AB1396" s="110" t="s">
        <v>541</v>
      </c>
      <c r="AC1396" s="10" t="s">
        <v>541</v>
      </c>
      <c r="AD1396" s="10" t="s">
        <v>541</v>
      </c>
    </row>
    <row r="1397" spans="1:30" x14ac:dyDescent="0.2">
      <c r="A1397" s="110">
        <v>1396</v>
      </c>
      <c r="B1397" s="132">
        <v>41849</v>
      </c>
      <c r="C1397" s="117">
        <v>1</v>
      </c>
      <c r="D1397" s="103" t="s">
        <v>71</v>
      </c>
      <c r="E1397" s="103" t="s">
        <v>306</v>
      </c>
      <c r="H1397" s="103"/>
      <c r="I1397" s="103">
        <v>54</v>
      </c>
      <c r="K1397" s="103" t="s">
        <v>364</v>
      </c>
      <c r="L1397" s="133"/>
      <c r="M1397" s="134">
        <v>1.7361111111111112E-2</v>
      </c>
      <c r="N1397" s="137" t="s">
        <v>3755</v>
      </c>
      <c r="O1397" s="133" t="s">
        <v>1585</v>
      </c>
      <c r="Q1397" s="100" t="s">
        <v>3747</v>
      </c>
      <c r="R1397" s="226" t="s">
        <v>3778</v>
      </c>
      <c r="S1397" s="491" t="str">
        <f t="shared" si="43"/>
        <v>x</v>
      </c>
      <c r="T1397" s="492" t="str">
        <f>IFERROR(VLOOKUP(F1397,'Freq-Chan'!C:D,2,FALSE),"x")</f>
        <v>x</v>
      </c>
      <c r="U1397" s="110" t="s">
        <v>541</v>
      </c>
      <c r="V1397" s="110" t="str">
        <f t="shared" si="44"/>
        <v>FWL</v>
      </c>
      <c r="W1397" s="110" t="s">
        <v>541</v>
      </c>
      <c r="X1397" s="110" t="s">
        <v>541</v>
      </c>
      <c r="Y1397" s="110" t="str">
        <f>IFERROR(VLOOKUP(F1397,'Freq-Chan'!C:E,3,FALSE),"na")</f>
        <v>na</v>
      </c>
      <c r="Z1397" s="110" t="s">
        <v>541</v>
      </c>
      <c r="AA1397" s="110" t="s">
        <v>541</v>
      </c>
      <c r="AB1397" s="110" t="s">
        <v>541</v>
      </c>
      <c r="AC1397" s="10" t="s">
        <v>541</v>
      </c>
      <c r="AD1397" s="10" t="s">
        <v>541</v>
      </c>
    </row>
    <row r="1398" spans="1:30" x14ac:dyDescent="0.2">
      <c r="A1398" s="110">
        <v>1397</v>
      </c>
      <c r="B1398" s="132">
        <v>41849</v>
      </c>
      <c r="C1398" s="117">
        <v>1</v>
      </c>
      <c r="D1398" s="103" t="s">
        <v>71</v>
      </c>
      <c r="E1398" s="103" t="s">
        <v>306</v>
      </c>
      <c r="H1398" s="103"/>
      <c r="I1398" s="103">
        <v>56</v>
      </c>
      <c r="K1398" s="103" t="s">
        <v>364</v>
      </c>
      <c r="L1398" s="133"/>
      <c r="M1398" s="134">
        <v>1.9444444444444445E-2</v>
      </c>
      <c r="N1398" s="137" t="s">
        <v>3756</v>
      </c>
      <c r="O1398" s="133" t="s">
        <v>1585</v>
      </c>
      <c r="Q1398" s="100" t="s">
        <v>3747</v>
      </c>
      <c r="R1398" s="226" t="s">
        <v>3778</v>
      </c>
      <c r="S1398" s="491" t="str">
        <f t="shared" si="43"/>
        <v>x</v>
      </c>
      <c r="T1398" s="492" t="str">
        <f>IFERROR(VLOOKUP(F1398,'Freq-Chan'!C:D,2,FALSE),"x")</f>
        <v>x</v>
      </c>
      <c r="U1398" s="110" t="s">
        <v>541</v>
      </c>
      <c r="V1398" s="110" t="str">
        <f t="shared" si="44"/>
        <v>FWL</v>
      </c>
      <c r="W1398" s="110" t="s">
        <v>541</v>
      </c>
      <c r="X1398" s="110" t="s">
        <v>541</v>
      </c>
      <c r="Y1398" s="110" t="str">
        <f>IFERROR(VLOOKUP(F1398,'Freq-Chan'!C:E,3,FALSE),"na")</f>
        <v>na</v>
      </c>
      <c r="Z1398" s="110" t="s">
        <v>541</v>
      </c>
      <c r="AA1398" s="110" t="s">
        <v>541</v>
      </c>
      <c r="AB1398" s="110" t="s">
        <v>541</v>
      </c>
      <c r="AC1398" s="10" t="s">
        <v>541</v>
      </c>
      <c r="AD1398" s="10" t="s">
        <v>541</v>
      </c>
    </row>
    <row r="1399" spans="1:30" x14ac:dyDescent="0.2">
      <c r="A1399" s="110">
        <v>1398</v>
      </c>
      <c r="B1399" s="132">
        <v>41849</v>
      </c>
      <c r="C1399" s="117">
        <v>1</v>
      </c>
      <c r="D1399" s="103" t="s">
        <v>71</v>
      </c>
      <c r="E1399" s="103" t="s">
        <v>306</v>
      </c>
      <c r="H1399" s="103"/>
      <c r="I1399" s="103">
        <v>62</v>
      </c>
      <c r="K1399" s="103" t="s">
        <v>364</v>
      </c>
      <c r="L1399" s="133"/>
      <c r="M1399" s="134">
        <v>1.6666666666666666E-2</v>
      </c>
      <c r="N1399" s="137" t="s">
        <v>3757</v>
      </c>
      <c r="O1399" s="133" t="s">
        <v>1585</v>
      </c>
      <c r="Q1399" s="100" t="s">
        <v>3747</v>
      </c>
      <c r="R1399" s="226" t="s">
        <v>3778</v>
      </c>
      <c r="S1399" s="491" t="str">
        <f t="shared" si="43"/>
        <v>x</v>
      </c>
      <c r="T1399" s="492" t="str">
        <f>IFERROR(VLOOKUP(F1399,'Freq-Chan'!C:D,2,FALSE),"x")</f>
        <v>x</v>
      </c>
      <c r="U1399" s="110" t="s">
        <v>541</v>
      </c>
      <c r="V1399" s="110" t="str">
        <f t="shared" si="44"/>
        <v>FWL</v>
      </c>
      <c r="W1399" s="110" t="s">
        <v>541</v>
      </c>
      <c r="X1399" s="110" t="s">
        <v>541</v>
      </c>
      <c r="Y1399" s="110" t="str">
        <f>IFERROR(VLOOKUP(F1399,'Freq-Chan'!C:E,3,FALSE),"na")</f>
        <v>na</v>
      </c>
      <c r="Z1399" s="110" t="s">
        <v>541</v>
      </c>
      <c r="AA1399" s="110" t="s">
        <v>541</v>
      </c>
      <c r="AB1399" s="110" t="s">
        <v>541</v>
      </c>
      <c r="AC1399" s="10" t="s">
        <v>541</v>
      </c>
      <c r="AD1399" s="10" t="s">
        <v>541</v>
      </c>
    </row>
    <row r="1400" spans="1:30" x14ac:dyDescent="0.2">
      <c r="A1400" s="110">
        <v>1399</v>
      </c>
      <c r="B1400" s="132">
        <v>41849</v>
      </c>
      <c r="C1400" s="117">
        <v>1</v>
      </c>
      <c r="D1400" s="103" t="s">
        <v>71</v>
      </c>
      <c r="E1400" s="103" t="s">
        <v>306</v>
      </c>
      <c r="H1400" s="103"/>
      <c r="I1400" s="103">
        <v>60</v>
      </c>
      <c r="K1400" s="103" t="s">
        <v>364</v>
      </c>
      <c r="L1400" s="133"/>
      <c r="M1400" s="134">
        <v>2.2222222222222223E-2</v>
      </c>
      <c r="N1400" s="137" t="s">
        <v>3758</v>
      </c>
      <c r="O1400" s="133" t="s">
        <v>376</v>
      </c>
      <c r="Q1400" s="100" t="s">
        <v>3747</v>
      </c>
      <c r="R1400" s="226" t="s">
        <v>3778</v>
      </c>
      <c r="S1400" s="491" t="str">
        <f t="shared" si="43"/>
        <v>x</v>
      </c>
      <c r="T1400" s="492" t="str">
        <f>IFERROR(VLOOKUP(F1400,'Freq-Chan'!C:D,2,FALSE),"x")</f>
        <v>x</v>
      </c>
      <c r="U1400" s="110" t="s">
        <v>541</v>
      </c>
      <c r="V1400" s="110" t="str">
        <f t="shared" si="44"/>
        <v>FWL</v>
      </c>
      <c r="W1400" s="110" t="s">
        <v>541</v>
      </c>
      <c r="X1400" s="110" t="s">
        <v>541</v>
      </c>
      <c r="Y1400" s="110" t="str">
        <f>IFERROR(VLOOKUP(F1400,'Freq-Chan'!C:E,3,FALSE),"na")</f>
        <v>na</v>
      </c>
      <c r="Z1400" s="110" t="s">
        <v>541</v>
      </c>
      <c r="AA1400" s="110" t="s">
        <v>541</v>
      </c>
      <c r="AB1400" s="110" t="s">
        <v>541</v>
      </c>
      <c r="AC1400" s="10" t="s">
        <v>541</v>
      </c>
      <c r="AD1400" s="10" t="s">
        <v>541</v>
      </c>
    </row>
    <row r="1401" spans="1:30" x14ac:dyDescent="0.2">
      <c r="A1401" s="110">
        <v>1400</v>
      </c>
      <c r="B1401" s="132">
        <v>41849</v>
      </c>
      <c r="C1401" s="117">
        <v>1</v>
      </c>
      <c r="D1401" s="103" t="s">
        <v>72</v>
      </c>
      <c r="E1401" s="103" t="s">
        <v>306</v>
      </c>
      <c r="F1401" s="103">
        <v>266</v>
      </c>
      <c r="G1401" s="103">
        <v>77</v>
      </c>
      <c r="H1401" s="103" t="s">
        <v>3508</v>
      </c>
      <c r="I1401" s="103">
        <v>58</v>
      </c>
      <c r="K1401" s="103" t="s">
        <v>364</v>
      </c>
      <c r="L1401" s="133"/>
      <c r="M1401" s="134">
        <v>5.4166666666666669E-2</v>
      </c>
      <c r="N1401" s="137" t="s">
        <v>3759</v>
      </c>
      <c r="O1401" s="133" t="s">
        <v>376</v>
      </c>
      <c r="P1401" s="100" t="s">
        <v>4466</v>
      </c>
      <c r="Q1401" s="100" t="s">
        <v>3747</v>
      </c>
      <c r="R1401" s="226" t="s">
        <v>3778</v>
      </c>
      <c r="S1401" s="491" t="str">
        <f t="shared" si="43"/>
        <v>x</v>
      </c>
      <c r="T1401" s="492">
        <f>IFERROR(VLOOKUP(F1401,'Freq-Chan'!C:D,2,FALSE),"x")</f>
        <v>151.26599999999999</v>
      </c>
      <c r="U1401" s="110" t="s">
        <v>541</v>
      </c>
      <c r="V1401" s="110" t="str">
        <f t="shared" si="44"/>
        <v>FWL</v>
      </c>
      <c r="W1401" s="110" t="s">
        <v>541</v>
      </c>
      <c r="X1401" s="110" t="s">
        <v>541</v>
      </c>
      <c r="Y1401" s="110" t="str">
        <f>IFERROR(VLOOKUP(F1401,'Freq-Chan'!C:E,3,FALSE),"na")</f>
        <v>F1840</v>
      </c>
      <c r="Z1401" s="110" t="s">
        <v>541</v>
      </c>
      <c r="AA1401" s="110" t="s">
        <v>541</v>
      </c>
      <c r="AB1401" s="110" t="s">
        <v>541</v>
      </c>
      <c r="AC1401" s="10" t="s">
        <v>541</v>
      </c>
      <c r="AD1401" s="10" t="s">
        <v>541</v>
      </c>
    </row>
    <row r="1402" spans="1:30" x14ac:dyDescent="0.2">
      <c r="A1402" s="110">
        <v>1401</v>
      </c>
      <c r="B1402" s="132">
        <v>41849</v>
      </c>
      <c r="C1402" s="117">
        <v>1</v>
      </c>
      <c r="D1402" s="103" t="s">
        <v>71</v>
      </c>
      <c r="E1402" s="103" t="s">
        <v>306</v>
      </c>
      <c r="H1402" s="103"/>
      <c r="I1402" s="103">
        <v>59</v>
      </c>
      <c r="K1402" s="103" t="s">
        <v>364</v>
      </c>
      <c r="L1402" s="133"/>
      <c r="M1402" s="134">
        <v>2.361111111111111E-2</v>
      </c>
      <c r="N1402" s="137" t="s">
        <v>3760</v>
      </c>
      <c r="O1402" s="133" t="s">
        <v>1585</v>
      </c>
      <c r="Q1402" s="100" t="s">
        <v>3747</v>
      </c>
      <c r="R1402" s="226" t="s">
        <v>3778</v>
      </c>
      <c r="S1402" s="491" t="str">
        <f t="shared" si="43"/>
        <v>x</v>
      </c>
      <c r="T1402" s="492" t="str">
        <f>IFERROR(VLOOKUP(F1402,'Freq-Chan'!C:D,2,FALSE),"x")</f>
        <v>x</v>
      </c>
      <c r="U1402" s="110" t="s">
        <v>541</v>
      </c>
      <c r="V1402" s="110" t="str">
        <f t="shared" si="44"/>
        <v>FWL</v>
      </c>
      <c r="W1402" s="110" t="s">
        <v>541</v>
      </c>
      <c r="X1402" s="110" t="s">
        <v>541</v>
      </c>
      <c r="Y1402" s="110" t="str">
        <f>IFERROR(VLOOKUP(F1402,'Freq-Chan'!C:E,3,FALSE),"na")</f>
        <v>na</v>
      </c>
      <c r="Z1402" s="110" t="s">
        <v>541</v>
      </c>
      <c r="AA1402" s="110" t="s">
        <v>541</v>
      </c>
      <c r="AB1402" s="110" t="s">
        <v>541</v>
      </c>
      <c r="AC1402" s="10" t="s">
        <v>541</v>
      </c>
      <c r="AD1402" s="10" t="s">
        <v>541</v>
      </c>
    </row>
    <row r="1403" spans="1:30" x14ac:dyDescent="0.2">
      <c r="A1403" s="110">
        <v>1402</v>
      </c>
      <c r="B1403" s="132">
        <v>41849</v>
      </c>
      <c r="C1403" s="117">
        <v>1</v>
      </c>
      <c r="D1403" s="103" t="s">
        <v>71</v>
      </c>
      <c r="E1403" s="103" t="s">
        <v>306</v>
      </c>
      <c r="H1403" s="103"/>
      <c r="I1403" s="103">
        <v>69</v>
      </c>
      <c r="K1403" s="103" t="s">
        <v>364</v>
      </c>
      <c r="L1403" s="133"/>
      <c r="M1403" s="134">
        <v>2.2222222222222223E-2</v>
      </c>
      <c r="N1403" s="137" t="s">
        <v>3761</v>
      </c>
      <c r="O1403" s="133" t="s">
        <v>376</v>
      </c>
      <c r="Q1403" s="100" t="s">
        <v>3747</v>
      </c>
      <c r="R1403" s="226" t="s">
        <v>3778</v>
      </c>
      <c r="S1403" s="491" t="str">
        <f t="shared" si="43"/>
        <v>x</v>
      </c>
      <c r="T1403" s="492" t="str">
        <f>IFERROR(VLOOKUP(F1403,'Freq-Chan'!C:D,2,FALSE),"x")</f>
        <v>x</v>
      </c>
      <c r="U1403" s="110" t="s">
        <v>541</v>
      </c>
      <c r="V1403" s="110" t="str">
        <f t="shared" si="44"/>
        <v>FWL</v>
      </c>
      <c r="W1403" s="110" t="s">
        <v>541</v>
      </c>
      <c r="X1403" s="110" t="s">
        <v>541</v>
      </c>
      <c r="Y1403" s="110" t="str">
        <f>IFERROR(VLOOKUP(F1403,'Freq-Chan'!C:E,3,FALSE),"na")</f>
        <v>na</v>
      </c>
      <c r="Z1403" s="110" t="s">
        <v>541</v>
      </c>
      <c r="AA1403" s="110" t="s">
        <v>541</v>
      </c>
      <c r="AB1403" s="110" t="s">
        <v>541</v>
      </c>
      <c r="AC1403" s="10" t="s">
        <v>541</v>
      </c>
      <c r="AD1403" s="10" t="s">
        <v>541</v>
      </c>
    </row>
    <row r="1404" spans="1:30" s="291" customFormat="1" x14ac:dyDescent="0.2">
      <c r="A1404" s="493">
        <v>1403</v>
      </c>
      <c r="B1404" s="283">
        <v>41849</v>
      </c>
      <c r="C1404" s="284">
        <v>1</v>
      </c>
      <c r="D1404" s="285" t="s">
        <v>71</v>
      </c>
      <c r="E1404" s="285" t="s">
        <v>306</v>
      </c>
      <c r="F1404" s="285"/>
      <c r="G1404" s="285"/>
      <c r="H1404" s="285"/>
      <c r="I1404" s="285">
        <v>58</v>
      </c>
      <c r="J1404" s="285"/>
      <c r="K1404" s="285" t="s">
        <v>364</v>
      </c>
      <c r="L1404" s="286"/>
      <c r="M1404" s="287">
        <v>1.6666666666666666E-2</v>
      </c>
      <c r="N1404" s="339" t="s">
        <v>1742</v>
      </c>
      <c r="O1404" s="286" t="s">
        <v>376</v>
      </c>
      <c r="P1404" s="289"/>
      <c r="Q1404" s="289" t="s">
        <v>3747</v>
      </c>
      <c r="R1404" s="290" t="s">
        <v>3778</v>
      </c>
      <c r="S1404" s="494" t="str">
        <f t="shared" si="43"/>
        <v>x</v>
      </c>
      <c r="T1404" s="495" t="str">
        <f>IFERROR(VLOOKUP(F1404,'Freq-Chan'!C:D,2,FALSE),"x")</f>
        <v>x</v>
      </c>
      <c r="U1404" s="493" t="s">
        <v>541</v>
      </c>
      <c r="V1404" s="493" t="str">
        <f t="shared" si="44"/>
        <v>FWL</v>
      </c>
      <c r="W1404" s="493" t="s">
        <v>541</v>
      </c>
      <c r="X1404" s="493" t="s">
        <v>541</v>
      </c>
      <c r="Y1404" s="493" t="str">
        <f>IFERROR(VLOOKUP(F1404,'Freq-Chan'!C:E,3,FALSE),"na")</f>
        <v>na</v>
      </c>
      <c r="Z1404" s="493" t="s">
        <v>541</v>
      </c>
      <c r="AA1404" s="493" t="s">
        <v>541</v>
      </c>
      <c r="AB1404" s="493" t="s">
        <v>541</v>
      </c>
      <c r="AC1404" s="291" t="s">
        <v>541</v>
      </c>
      <c r="AD1404" s="291" t="s">
        <v>541</v>
      </c>
    </row>
    <row r="1405" spans="1:30" x14ac:dyDescent="0.2">
      <c r="A1405" s="110">
        <v>1404</v>
      </c>
      <c r="B1405" s="132">
        <v>41849</v>
      </c>
      <c r="C1405" s="117">
        <v>2</v>
      </c>
      <c r="D1405" s="103" t="s">
        <v>8</v>
      </c>
      <c r="E1405" s="103" t="s">
        <v>306</v>
      </c>
      <c r="F1405" s="103">
        <v>586</v>
      </c>
      <c r="G1405" s="103">
        <v>64</v>
      </c>
      <c r="H1405" s="103" t="s">
        <v>2179</v>
      </c>
      <c r="I1405" s="103">
        <v>43</v>
      </c>
      <c r="K1405" s="103" t="s">
        <v>364</v>
      </c>
      <c r="L1405" s="133"/>
      <c r="M1405" s="134">
        <v>5.2777777777777778E-2</v>
      </c>
      <c r="N1405" s="137" t="s">
        <v>3762</v>
      </c>
      <c r="O1405" s="133" t="s">
        <v>372</v>
      </c>
      <c r="Q1405" s="100" t="s">
        <v>3751</v>
      </c>
      <c r="R1405" s="226" t="s">
        <v>3778</v>
      </c>
      <c r="S1405" s="491" t="str">
        <f t="shared" si="43"/>
        <v>x</v>
      </c>
      <c r="T1405" s="492">
        <f>IFERROR(VLOOKUP(F1405,'Freq-Chan'!C:D,2,FALSE),"x")</f>
        <v>151.58600000000001</v>
      </c>
      <c r="U1405" s="110" t="s">
        <v>541</v>
      </c>
      <c r="V1405" s="110" t="str">
        <f t="shared" si="44"/>
        <v>FWL</v>
      </c>
      <c r="W1405" s="110" t="s">
        <v>541</v>
      </c>
      <c r="X1405" s="110" t="s">
        <v>541</v>
      </c>
      <c r="Y1405" s="110" t="str">
        <f>IFERROR(VLOOKUP(F1405,'Freq-Chan'!C:E,3,FALSE),"na")</f>
        <v>F1840</v>
      </c>
      <c r="Z1405" s="110" t="s">
        <v>541</v>
      </c>
      <c r="AA1405" s="110" t="s">
        <v>541</v>
      </c>
      <c r="AB1405" s="110" t="s">
        <v>541</v>
      </c>
      <c r="AC1405" s="10" t="s">
        <v>541</v>
      </c>
      <c r="AD1405" s="10" t="s">
        <v>541</v>
      </c>
    </row>
    <row r="1406" spans="1:30" x14ac:dyDescent="0.2">
      <c r="A1406" s="110">
        <v>1405</v>
      </c>
      <c r="B1406" s="132">
        <v>41849</v>
      </c>
      <c r="C1406" s="117">
        <v>2</v>
      </c>
      <c r="D1406" s="103" t="s">
        <v>71</v>
      </c>
      <c r="E1406" s="103" t="s">
        <v>306</v>
      </c>
      <c r="F1406" s="103">
        <v>534</v>
      </c>
      <c r="G1406" s="103">
        <v>35</v>
      </c>
      <c r="H1406" s="103" t="s">
        <v>2323</v>
      </c>
      <c r="I1406" s="103">
        <v>61</v>
      </c>
      <c r="K1406" s="103" t="s">
        <v>364</v>
      </c>
      <c r="L1406" s="133"/>
      <c r="M1406" s="134">
        <v>4.4444444444444446E-2</v>
      </c>
      <c r="N1406" s="137" t="s">
        <v>1783</v>
      </c>
      <c r="O1406" s="133" t="s">
        <v>555</v>
      </c>
      <c r="Q1406" s="100" t="s">
        <v>3751</v>
      </c>
      <c r="R1406" s="226" t="s">
        <v>3778</v>
      </c>
      <c r="S1406" s="491" t="str">
        <f t="shared" si="43"/>
        <v>x</v>
      </c>
      <c r="T1406" s="492">
        <f>IFERROR(VLOOKUP(F1406,'Freq-Chan'!C:D,2,FALSE),"x")</f>
        <v>151.53399999999999</v>
      </c>
      <c r="U1406" s="110" t="s">
        <v>541</v>
      </c>
      <c r="V1406" s="110" t="str">
        <f t="shared" si="44"/>
        <v>FWL</v>
      </c>
      <c r="W1406" s="110" t="s">
        <v>541</v>
      </c>
      <c r="X1406" s="110" t="s">
        <v>541</v>
      </c>
      <c r="Y1406" s="110" t="str">
        <f>IFERROR(VLOOKUP(F1406,'Freq-Chan'!C:E,3,FALSE),"na")</f>
        <v>F1840</v>
      </c>
      <c r="Z1406" s="110" t="s">
        <v>541</v>
      </c>
      <c r="AA1406" s="110" t="s">
        <v>541</v>
      </c>
      <c r="AB1406" s="110" t="s">
        <v>541</v>
      </c>
      <c r="AC1406" s="10" t="s">
        <v>541</v>
      </c>
      <c r="AD1406" s="10" t="s">
        <v>541</v>
      </c>
    </row>
    <row r="1407" spans="1:30" x14ac:dyDescent="0.2">
      <c r="A1407" s="110">
        <v>1406</v>
      </c>
      <c r="B1407" s="132">
        <v>41849</v>
      </c>
      <c r="C1407" s="117">
        <v>2</v>
      </c>
      <c r="D1407" s="103" t="s">
        <v>70</v>
      </c>
      <c r="E1407" s="103" t="s">
        <v>306</v>
      </c>
      <c r="F1407" s="103">
        <v>515</v>
      </c>
      <c r="G1407" s="103">
        <v>53</v>
      </c>
      <c r="H1407" s="103" t="s">
        <v>3007</v>
      </c>
      <c r="I1407" s="103">
        <v>47</v>
      </c>
      <c r="K1407" s="103" t="s">
        <v>1032</v>
      </c>
      <c r="L1407" s="133">
        <v>0.53125</v>
      </c>
      <c r="M1407" s="134">
        <v>3.6805555555555557E-2</v>
      </c>
      <c r="N1407" s="137" t="s">
        <v>1830</v>
      </c>
      <c r="O1407" s="133" t="s">
        <v>372</v>
      </c>
      <c r="Q1407" s="100" t="s">
        <v>3751</v>
      </c>
      <c r="R1407" s="226" t="s">
        <v>3778</v>
      </c>
      <c r="S1407" s="491">
        <f t="shared" si="43"/>
        <v>1.0497685200000001E-2</v>
      </c>
      <c r="T1407" s="492">
        <f>IFERROR(VLOOKUP(F1407,'Freq-Chan'!C:D,2,FALSE),"x")</f>
        <v>151.51499999999999</v>
      </c>
      <c r="U1407" s="110" t="s">
        <v>541</v>
      </c>
      <c r="V1407" s="110" t="str">
        <f t="shared" si="44"/>
        <v>FWL</v>
      </c>
      <c r="W1407" s="110" t="s">
        <v>541</v>
      </c>
      <c r="X1407" s="110" t="s">
        <v>541</v>
      </c>
      <c r="Y1407" s="110" t="str">
        <f>IFERROR(VLOOKUP(F1407,'Freq-Chan'!C:E,3,FALSE),"na")</f>
        <v>F1835</v>
      </c>
      <c r="Z1407" s="110" t="s">
        <v>541</v>
      </c>
      <c r="AA1407" s="110" t="s">
        <v>541</v>
      </c>
      <c r="AB1407" s="110" t="s">
        <v>541</v>
      </c>
      <c r="AC1407" s="10" t="s">
        <v>541</v>
      </c>
      <c r="AD1407" s="10" t="s">
        <v>541</v>
      </c>
    </row>
    <row r="1408" spans="1:30" x14ac:dyDescent="0.2">
      <c r="A1408" s="110">
        <v>1407</v>
      </c>
      <c r="B1408" s="132">
        <v>41849</v>
      </c>
      <c r="C1408" s="117">
        <v>2</v>
      </c>
      <c r="D1408" s="103" t="s">
        <v>8</v>
      </c>
      <c r="E1408" s="103" t="s">
        <v>306</v>
      </c>
      <c r="F1408" s="103">
        <v>573</v>
      </c>
      <c r="G1408" s="103">
        <v>66</v>
      </c>
      <c r="H1408" s="103" t="s">
        <v>2180</v>
      </c>
      <c r="I1408" s="103">
        <v>56</v>
      </c>
      <c r="K1408" s="103" t="s">
        <v>364</v>
      </c>
      <c r="L1408" s="133"/>
      <c r="M1408" s="134">
        <v>4.0972222222222222E-2</v>
      </c>
      <c r="N1408" s="137" t="s">
        <v>3763</v>
      </c>
      <c r="O1408" s="133" t="s">
        <v>555</v>
      </c>
      <c r="P1408" s="100" t="s">
        <v>3764</v>
      </c>
      <c r="Q1408" s="100" t="s">
        <v>3751</v>
      </c>
      <c r="R1408" s="226" t="s">
        <v>3778</v>
      </c>
      <c r="S1408" s="491" t="str">
        <f t="shared" si="43"/>
        <v>x</v>
      </c>
      <c r="T1408" s="492">
        <f>IFERROR(VLOOKUP(F1408,'Freq-Chan'!C:D,2,FALSE),"x")</f>
        <v>151.57300000000001</v>
      </c>
      <c r="U1408" s="110" t="s">
        <v>541</v>
      </c>
      <c r="V1408" s="110" t="str">
        <f t="shared" si="44"/>
        <v>FWL</v>
      </c>
      <c r="W1408" s="110" t="s">
        <v>541</v>
      </c>
      <c r="X1408" s="110" t="s">
        <v>541</v>
      </c>
      <c r="Y1408" s="110" t="str">
        <f>IFERROR(VLOOKUP(F1408,'Freq-Chan'!C:E,3,FALSE),"na")</f>
        <v>F1840</v>
      </c>
      <c r="Z1408" s="110" t="s">
        <v>541</v>
      </c>
      <c r="AA1408" s="110" t="s">
        <v>541</v>
      </c>
      <c r="AB1408" s="110" t="s">
        <v>541</v>
      </c>
      <c r="AC1408" s="10" t="s">
        <v>541</v>
      </c>
      <c r="AD1408" s="10" t="s">
        <v>541</v>
      </c>
    </row>
    <row r="1409" spans="1:30" x14ac:dyDescent="0.2">
      <c r="A1409" s="110">
        <v>1408</v>
      </c>
      <c r="B1409" s="132">
        <v>41849</v>
      </c>
      <c r="C1409" s="117">
        <v>2</v>
      </c>
      <c r="D1409" s="103" t="s">
        <v>71</v>
      </c>
      <c r="E1409" s="103" t="s">
        <v>306</v>
      </c>
      <c r="H1409" s="103"/>
      <c r="I1409" s="103">
        <v>64</v>
      </c>
      <c r="K1409" s="103" t="s">
        <v>364</v>
      </c>
      <c r="L1409" s="133">
        <v>0.54375000000000007</v>
      </c>
      <c r="M1409" s="134">
        <v>3.1944444444444449E-2</v>
      </c>
      <c r="N1409" s="137" t="s">
        <v>2619</v>
      </c>
      <c r="O1409" s="133" t="s">
        <v>555</v>
      </c>
      <c r="P1409" s="100" t="s">
        <v>3765</v>
      </c>
      <c r="Q1409" s="100" t="s">
        <v>3751</v>
      </c>
      <c r="R1409" s="226" t="s">
        <v>3778</v>
      </c>
      <c r="S1409" s="491">
        <f t="shared" si="43"/>
        <v>2.2453704000000001E-3</v>
      </c>
      <c r="T1409" s="492" t="str">
        <f>IFERROR(VLOOKUP(F1409,'Freq-Chan'!C:D,2,FALSE),"x")</f>
        <v>x</v>
      </c>
      <c r="U1409" s="110" t="s">
        <v>541</v>
      </c>
      <c r="V1409" s="110" t="str">
        <f t="shared" si="44"/>
        <v>FWL</v>
      </c>
      <c r="W1409" s="110" t="s">
        <v>541</v>
      </c>
      <c r="X1409" s="110" t="s">
        <v>541</v>
      </c>
      <c r="Y1409" s="110" t="str">
        <f>IFERROR(VLOOKUP(F1409,'Freq-Chan'!C:E,3,FALSE),"na")</f>
        <v>na</v>
      </c>
      <c r="Z1409" s="110" t="s">
        <v>541</v>
      </c>
      <c r="AA1409" s="110" t="s">
        <v>541</v>
      </c>
      <c r="AB1409" s="110" t="s">
        <v>541</v>
      </c>
      <c r="AC1409" s="10" t="s">
        <v>541</v>
      </c>
      <c r="AD1409" s="10" t="s">
        <v>541</v>
      </c>
    </row>
    <row r="1410" spans="1:30" x14ac:dyDescent="0.2">
      <c r="A1410" s="110">
        <v>1409</v>
      </c>
      <c r="B1410" s="132">
        <v>41849</v>
      </c>
      <c r="C1410" s="117">
        <v>2</v>
      </c>
      <c r="D1410" s="103" t="s">
        <v>8</v>
      </c>
      <c r="E1410" s="103" t="s">
        <v>306</v>
      </c>
      <c r="F1410" s="103">
        <v>586</v>
      </c>
      <c r="G1410" s="103">
        <v>18</v>
      </c>
      <c r="H1410" s="103" t="s">
        <v>2181</v>
      </c>
      <c r="I1410" s="103">
        <v>47</v>
      </c>
      <c r="K1410" s="103" t="s">
        <v>364</v>
      </c>
      <c r="L1410" s="133"/>
      <c r="M1410" s="134">
        <v>4.2361111111111106E-2</v>
      </c>
      <c r="N1410" s="137" t="s">
        <v>3286</v>
      </c>
      <c r="O1410" s="133" t="s">
        <v>555</v>
      </c>
      <c r="Q1410" s="100" t="s">
        <v>3751</v>
      </c>
      <c r="R1410" s="226" t="s">
        <v>3778</v>
      </c>
      <c r="S1410" s="491" t="str">
        <f t="shared" si="43"/>
        <v>x</v>
      </c>
      <c r="T1410" s="492">
        <f>IFERROR(VLOOKUP(F1410,'Freq-Chan'!C:D,2,FALSE),"x")</f>
        <v>151.58600000000001</v>
      </c>
      <c r="U1410" s="110" t="s">
        <v>541</v>
      </c>
      <c r="V1410" s="110" t="str">
        <f t="shared" si="44"/>
        <v>FWL</v>
      </c>
      <c r="W1410" s="110" t="s">
        <v>541</v>
      </c>
      <c r="X1410" s="110" t="s">
        <v>541</v>
      </c>
      <c r="Y1410" s="110" t="str">
        <f>IFERROR(VLOOKUP(F1410,'Freq-Chan'!C:E,3,FALSE),"na")</f>
        <v>F1840</v>
      </c>
      <c r="Z1410" s="110" t="s">
        <v>541</v>
      </c>
      <c r="AA1410" s="110" t="s">
        <v>541</v>
      </c>
      <c r="AB1410" s="110" t="s">
        <v>541</v>
      </c>
      <c r="AC1410" s="10" t="s">
        <v>541</v>
      </c>
      <c r="AD1410" s="10" t="s">
        <v>541</v>
      </c>
    </row>
    <row r="1411" spans="1:30" x14ac:dyDescent="0.2">
      <c r="A1411" s="110">
        <v>1410</v>
      </c>
      <c r="B1411" s="132">
        <v>41849</v>
      </c>
      <c r="C1411" s="117">
        <v>2</v>
      </c>
      <c r="D1411" s="103" t="s">
        <v>70</v>
      </c>
      <c r="E1411" s="103" t="s">
        <v>306</v>
      </c>
      <c r="H1411" s="103"/>
      <c r="I1411" s="103">
        <v>46</v>
      </c>
      <c r="K1411" s="103" t="s">
        <v>365</v>
      </c>
      <c r="L1411" s="133"/>
      <c r="M1411" s="134">
        <v>2.5694444444444447E-2</v>
      </c>
      <c r="N1411" s="137" t="s">
        <v>3358</v>
      </c>
      <c r="O1411" s="133" t="s">
        <v>555</v>
      </c>
      <c r="Q1411" s="100" t="s">
        <v>3751</v>
      </c>
      <c r="R1411" s="226" t="s">
        <v>3778</v>
      </c>
      <c r="S1411" s="491" t="str">
        <f t="shared" ref="S1411:S1474" si="45">IF(IF(OR(L1411=0,N1411=0),"x",ROUND(N1411-L1411-(M1411*24)/(24*60),10))&lt;0,0,IF(OR(L1411=0,N1411=0),"x",ROUND(N1411-L1411-(M1411*24)/(24*60),10)))</f>
        <v>x</v>
      </c>
      <c r="T1411" s="492" t="str">
        <f>IFERROR(VLOOKUP(F1411,'Freq-Chan'!C:D,2,FALSE),"x")</f>
        <v>x</v>
      </c>
      <c r="U1411" s="110" t="s">
        <v>541</v>
      </c>
      <c r="V1411" s="110" t="str">
        <f t="shared" ref="V1411:V1474" si="46">IF(OR(C1411=1,C1411=2,C1411=3),"FWL","NRD")</f>
        <v>FWL</v>
      </c>
      <c r="W1411" s="110" t="s">
        <v>541</v>
      </c>
      <c r="X1411" s="110" t="s">
        <v>541</v>
      </c>
      <c r="Y1411" s="110" t="str">
        <f>IFERROR(VLOOKUP(F1411,'Freq-Chan'!C:E,3,FALSE),"na")</f>
        <v>na</v>
      </c>
      <c r="Z1411" s="110" t="s">
        <v>541</v>
      </c>
      <c r="AA1411" s="110" t="s">
        <v>541</v>
      </c>
      <c r="AB1411" s="110" t="s">
        <v>541</v>
      </c>
      <c r="AC1411" s="10" t="s">
        <v>541</v>
      </c>
      <c r="AD1411" s="10" t="s">
        <v>541</v>
      </c>
    </row>
    <row r="1412" spans="1:30" x14ac:dyDescent="0.2">
      <c r="A1412" s="110">
        <v>1411</v>
      </c>
      <c r="B1412" s="132">
        <v>41849</v>
      </c>
      <c r="C1412" s="117">
        <v>2</v>
      </c>
      <c r="D1412" s="103" t="s">
        <v>75</v>
      </c>
      <c r="E1412" s="103" t="s">
        <v>798</v>
      </c>
      <c r="H1412" s="103"/>
      <c r="J1412" s="103">
        <v>30</v>
      </c>
      <c r="K1412" s="103" t="s">
        <v>364</v>
      </c>
      <c r="L1412" s="133"/>
      <c r="M1412" s="134">
        <v>4.8611111111111112E-2</v>
      </c>
      <c r="N1412" s="137" t="s">
        <v>2052</v>
      </c>
      <c r="O1412" s="133" t="s">
        <v>376</v>
      </c>
      <c r="P1412" s="100" t="s">
        <v>3766</v>
      </c>
      <c r="Q1412" s="100" t="s">
        <v>3743</v>
      </c>
      <c r="R1412" s="226" t="s">
        <v>3778</v>
      </c>
      <c r="S1412" s="491" t="str">
        <f t="shared" si="45"/>
        <v>x</v>
      </c>
      <c r="T1412" s="492" t="str">
        <f>IFERROR(VLOOKUP(F1412,'Freq-Chan'!C:D,2,FALSE),"x")</f>
        <v>x</v>
      </c>
      <c r="U1412" s="110" t="s">
        <v>541</v>
      </c>
      <c r="V1412" s="110" t="str">
        <f t="shared" si="46"/>
        <v>FWL</v>
      </c>
      <c r="W1412" s="110" t="s">
        <v>541</v>
      </c>
      <c r="X1412" s="110" t="s">
        <v>541</v>
      </c>
      <c r="Y1412" s="110" t="str">
        <f>IFERROR(VLOOKUP(F1412,'Freq-Chan'!C:E,3,FALSE),"na")</f>
        <v>na</v>
      </c>
      <c r="Z1412" s="110" t="s">
        <v>541</v>
      </c>
      <c r="AA1412" s="110" t="s">
        <v>541</v>
      </c>
      <c r="AB1412" s="110" t="s">
        <v>541</v>
      </c>
      <c r="AC1412" s="10" t="s">
        <v>541</v>
      </c>
      <c r="AD1412" s="10" t="s">
        <v>541</v>
      </c>
    </row>
    <row r="1413" spans="1:30" x14ac:dyDescent="0.2">
      <c r="A1413" s="110">
        <v>1412</v>
      </c>
      <c r="B1413" s="132">
        <v>41849</v>
      </c>
      <c r="C1413" s="117">
        <v>2</v>
      </c>
      <c r="D1413" s="103" t="s">
        <v>70</v>
      </c>
      <c r="E1413" s="103" t="s">
        <v>306</v>
      </c>
      <c r="H1413" s="103"/>
      <c r="I1413" s="103">
        <v>46</v>
      </c>
      <c r="K1413" s="103" t="s">
        <v>1032</v>
      </c>
      <c r="L1413" s="133">
        <v>0.60347222222222219</v>
      </c>
      <c r="M1413" s="134">
        <v>1.9444444444444445E-2</v>
      </c>
      <c r="N1413" s="137" t="s">
        <v>508</v>
      </c>
      <c r="O1413" s="133" t="s">
        <v>376</v>
      </c>
      <c r="Q1413" s="100" t="s">
        <v>3743</v>
      </c>
      <c r="R1413" s="226" t="s">
        <v>3778</v>
      </c>
      <c r="S1413" s="491">
        <f t="shared" si="45"/>
        <v>1.77314815E-2</v>
      </c>
      <c r="T1413" s="492" t="str">
        <f>IFERROR(VLOOKUP(F1413,'Freq-Chan'!C:D,2,FALSE),"x")</f>
        <v>x</v>
      </c>
      <c r="U1413" s="110" t="s">
        <v>541</v>
      </c>
      <c r="V1413" s="110" t="str">
        <f t="shared" si="46"/>
        <v>FWL</v>
      </c>
      <c r="W1413" s="110" t="s">
        <v>541</v>
      </c>
      <c r="X1413" s="110" t="s">
        <v>541</v>
      </c>
      <c r="Y1413" s="110" t="str">
        <f>IFERROR(VLOOKUP(F1413,'Freq-Chan'!C:E,3,FALSE),"na")</f>
        <v>na</v>
      </c>
      <c r="Z1413" s="110" t="s">
        <v>541</v>
      </c>
      <c r="AA1413" s="110" t="s">
        <v>541</v>
      </c>
      <c r="AB1413" s="110" t="s">
        <v>541</v>
      </c>
      <c r="AC1413" s="10" t="s">
        <v>541</v>
      </c>
      <c r="AD1413" s="10" t="s">
        <v>541</v>
      </c>
    </row>
    <row r="1414" spans="1:30" x14ac:dyDescent="0.2">
      <c r="A1414" s="110">
        <v>1413</v>
      </c>
      <c r="B1414" s="132">
        <v>41849</v>
      </c>
      <c r="C1414" s="117">
        <v>2</v>
      </c>
      <c r="D1414" s="103" t="s">
        <v>71</v>
      </c>
      <c r="E1414" s="103" t="s">
        <v>306</v>
      </c>
      <c r="H1414" s="103"/>
      <c r="I1414" s="103">
        <v>61</v>
      </c>
      <c r="K1414" s="103" t="s">
        <v>364</v>
      </c>
      <c r="L1414" s="133"/>
      <c r="M1414" s="134">
        <v>2.1527777777777781E-2</v>
      </c>
      <c r="N1414" s="137" t="s">
        <v>3407</v>
      </c>
      <c r="O1414" s="133" t="s">
        <v>1585</v>
      </c>
      <c r="Q1414" s="100" t="s">
        <v>3743</v>
      </c>
      <c r="R1414" s="226" t="s">
        <v>3778</v>
      </c>
      <c r="S1414" s="491" t="str">
        <f t="shared" si="45"/>
        <v>x</v>
      </c>
      <c r="T1414" s="492" t="str">
        <f>IFERROR(VLOOKUP(F1414,'Freq-Chan'!C:D,2,FALSE),"x")</f>
        <v>x</v>
      </c>
      <c r="U1414" s="110" t="s">
        <v>541</v>
      </c>
      <c r="V1414" s="110" t="str">
        <f t="shared" si="46"/>
        <v>FWL</v>
      </c>
      <c r="W1414" s="110" t="s">
        <v>541</v>
      </c>
      <c r="X1414" s="110" t="s">
        <v>541</v>
      </c>
      <c r="Y1414" s="110" t="str">
        <f>IFERROR(VLOOKUP(F1414,'Freq-Chan'!C:E,3,FALSE),"na")</f>
        <v>na</v>
      </c>
      <c r="Z1414" s="110" t="s">
        <v>541</v>
      </c>
      <c r="AA1414" s="110" t="s">
        <v>541</v>
      </c>
      <c r="AB1414" s="110" t="s">
        <v>541</v>
      </c>
      <c r="AC1414" s="10" t="s">
        <v>541</v>
      </c>
      <c r="AD1414" s="10" t="s">
        <v>541</v>
      </c>
    </row>
    <row r="1415" spans="1:30" x14ac:dyDescent="0.2">
      <c r="A1415" s="110">
        <v>1414</v>
      </c>
      <c r="B1415" s="132">
        <v>41849</v>
      </c>
      <c r="C1415" s="117">
        <v>2</v>
      </c>
      <c r="D1415" s="103" t="s">
        <v>70</v>
      </c>
      <c r="E1415" s="103" t="s">
        <v>306</v>
      </c>
      <c r="H1415" s="103"/>
      <c r="I1415" s="103">
        <v>46</v>
      </c>
      <c r="K1415" s="103" t="s">
        <v>364</v>
      </c>
      <c r="L1415" s="133"/>
      <c r="M1415" s="134">
        <v>2.2222222222222223E-2</v>
      </c>
      <c r="N1415" s="137" t="s">
        <v>3315</v>
      </c>
      <c r="O1415" s="133" t="s">
        <v>376</v>
      </c>
      <c r="Q1415" s="100" t="s">
        <v>3743</v>
      </c>
      <c r="R1415" s="226" t="s">
        <v>3778</v>
      </c>
      <c r="S1415" s="491" t="str">
        <f t="shared" si="45"/>
        <v>x</v>
      </c>
      <c r="T1415" s="492" t="str">
        <f>IFERROR(VLOOKUP(F1415,'Freq-Chan'!C:D,2,FALSE),"x")</f>
        <v>x</v>
      </c>
      <c r="U1415" s="110" t="s">
        <v>541</v>
      </c>
      <c r="V1415" s="110" t="str">
        <f t="shared" si="46"/>
        <v>FWL</v>
      </c>
      <c r="W1415" s="110" t="s">
        <v>541</v>
      </c>
      <c r="X1415" s="110" t="s">
        <v>541</v>
      </c>
      <c r="Y1415" s="110" t="str">
        <f>IFERROR(VLOOKUP(F1415,'Freq-Chan'!C:E,3,FALSE),"na")</f>
        <v>na</v>
      </c>
      <c r="Z1415" s="110" t="s">
        <v>541</v>
      </c>
      <c r="AA1415" s="110" t="s">
        <v>541</v>
      </c>
      <c r="AB1415" s="110" t="s">
        <v>541</v>
      </c>
      <c r="AC1415" s="10" t="s">
        <v>541</v>
      </c>
      <c r="AD1415" s="10" t="s">
        <v>541</v>
      </c>
    </row>
    <row r="1416" spans="1:30" x14ac:dyDescent="0.2">
      <c r="A1416" s="110">
        <v>1415</v>
      </c>
      <c r="B1416" s="132">
        <v>41849</v>
      </c>
      <c r="C1416" s="117">
        <v>2</v>
      </c>
      <c r="D1416" s="103" t="s">
        <v>8</v>
      </c>
      <c r="E1416" s="103" t="s">
        <v>306</v>
      </c>
      <c r="F1416" s="103">
        <v>573</v>
      </c>
      <c r="G1416" s="103">
        <v>48</v>
      </c>
      <c r="H1416" s="103" t="s">
        <v>2184</v>
      </c>
      <c r="I1416" s="103">
        <v>58</v>
      </c>
      <c r="K1416" s="103" t="s">
        <v>364</v>
      </c>
      <c r="L1416" s="133"/>
      <c r="M1416" s="134">
        <v>4.1666666666666664E-2</v>
      </c>
      <c r="N1416" s="137" t="s">
        <v>1878</v>
      </c>
      <c r="O1416" s="133" t="s">
        <v>376</v>
      </c>
      <c r="Q1416" s="100" t="s">
        <v>3743</v>
      </c>
      <c r="R1416" s="226" t="s">
        <v>3778</v>
      </c>
      <c r="S1416" s="491" t="str">
        <f t="shared" si="45"/>
        <v>x</v>
      </c>
      <c r="T1416" s="492">
        <f>IFERROR(VLOOKUP(F1416,'Freq-Chan'!C:D,2,FALSE),"x")</f>
        <v>151.57300000000001</v>
      </c>
      <c r="U1416" s="110" t="s">
        <v>541</v>
      </c>
      <c r="V1416" s="110" t="str">
        <f t="shared" si="46"/>
        <v>FWL</v>
      </c>
      <c r="W1416" s="110" t="s">
        <v>541</v>
      </c>
      <c r="X1416" s="110" t="s">
        <v>541</v>
      </c>
      <c r="Y1416" s="110" t="str">
        <f>IFERROR(VLOOKUP(F1416,'Freq-Chan'!C:E,3,FALSE),"na")</f>
        <v>F1840</v>
      </c>
      <c r="Z1416" s="110" t="s">
        <v>541</v>
      </c>
      <c r="AA1416" s="110" t="s">
        <v>541</v>
      </c>
      <c r="AB1416" s="110" t="s">
        <v>541</v>
      </c>
      <c r="AC1416" s="10" t="s">
        <v>541</v>
      </c>
      <c r="AD1416" s="10" t="s">
        <v>541</v>
      </c>
    </row>
    <row r="1417" spans="1:30" s="291" customFormat="1" x14ac:dyDescent="0.2">
      <c r="A1417" s="493">
        <v>1416</v>
      </c>
      <c r="B1417" s="283">
        <v>41849</v>
      </c>
      <c r="C1417" s="284">
        <v>2</v>
      </c>
      <c r="D1417" s="285" t="s">
        <v>71</v>
      </c>
      <c r="E1417" s="285" t="s">
        <v>306</v>
      </c>
      <c r="F1417" s="285"/>
      <c r="G1417" s="285"/>
      <c r="H1417" s="285"/>
      <c r="I1417" s="285">
        <v>62</v>
      </c>
      <c r="J1417" s="285"/>
      <c r="K1417" s="285" t="s">
        <v>364</v>
      </c>
      <c r="L1417" s="286"/>
      <c r="M1417" s="287">
        <v>2.4305555555555556E-2</v>
      </c>
      <c r="N1417" s="339" t="s">
        <v>1948</v>
      </c>
      <c r="O1417" s="286" t="s">
        <v>376</v>
      </c>
      <c r="P1417" s="289"/>
      <c r="Q1417" s="289" t="s">
        <v>3743</v>
      </c>
      <c r="R1417" s="290" t="s">
        <v>3778</v>
      </c>
      <c r="S1417" s="494" t="str">
        <f t="shared" si="45"/>
        <v>x</v>
      </c>
      <c r="T1417" s="495" t="str">
        <f>IFERROR(VLOOKUP(F1417,'Freq-Chan'!C:D,2,FALSE),"x")</f>
        <v>x</v>
      </c>
      <c r="U1417" s="493" t="s">
        <v>541</v>
      </c>
      <c r="V1417" s="493" t="str">
        <f t="shared" si="46"/>
        <v>FWL</v>
      </c>
      <c r="W1417" s="493" t="s">
        <v>541</v>
      </c>
      <c r="X1417" s="493" t="s">
        <v>541</v>
      </c>
      <c r="Y1417" s="493" t="str">
        <f>IFERROR(VLOOKUP(F1417,'Freq-Chan'!C:E,3,FALSE),"na")</f>
        <v>na</v>
      </c>
      <c r="Z1417" s="493" t="s">
        <v>541</v>
      </c>
      <c r="AA1417" s="493" t="s">
        <v>541</v>
      </c>
      <c r="AB1417" s="493" t="s">
        <v>541</v>
      </c>
      <c r="AC1417" s="291" t="s">
        <v>541</v>
      </c>
      <c r="AD1417" s="291" t="s">
        <v>541</v>
      </c>
    </row>
    <row r="1418" spans="1:30" x14ac:dyDescent="0.2">
      <c r="A1418" s="110">
        <v>1417</v>
      </c>
      <c r="B1418" s="132">
        <v>41849</v>
      </c>
      <c r="C1418" s="117">
        <v>3</v>
      </c>
      <c r="D1418" s="103" t="s">
        <v>70</v>
      </c>
      <c r="E1418" s="103" t="s">
        <v>306</v>
      </c>
      <c r="F1418" s="103">
        <v>596</v>
      </c>
      <c r="G1418" s="103">
        <v>13</v>
      </c>
      <c r="H1418" s="103" t="s">
        <v>3002</v>
      </c>
      <c r="I1418" s="103">
        <v>53</v>
      </c>
      <c r="K1418" s="103" t="s">
        <v>1032</v>
      </c>
      <c r="L1418" s="133"/>
      <c r="M1418" s="134">
        <v>5.1388888888888894E-2</v>
      </c>
      <c r="N1418" s="137" t="s">
        <v>3767</v>
      </c>
      <c r="O1418" s="133" t="s">
        <v>376</v>
      </c>
      <c r="Q1418" s="100" t="s">
        <v>3747</v>
      </c>
      <c r="R1418" s="226" t="s">
        <v>3778</v>
      </c>
      <c r="S1418" s="491" t="str">
        <f t="shared" si="45"/>
        <v>x</v>
      </c>
      <c r="T1418" s="492">
        <f>IFERROR(VLOOKUP(F1418,'Freq-Chan'!C:D,2,FALSE),"x")</f>
        <v>151.596</v>
      </c>
      <c r="U1418" s="110" t="s">
        <v>541</v>
      </c>
      <c r="V1418" s="110" t="str">
        <f t="shared" si="46"/>
        <v>FWL</v>
      </c>
      <c r="W1418" s="110" t="s">
        <v>541</v>
      </c>
      <c r="X1418" s="110" t="s">
        <v>541</v>
      </c>
      <c r="Y1418" s="110" t="str">
        <f>IFERROR(VLOOKUP(F1418,'Freq-Chan'!C:E,3,FALSE),"na")</f>
        <v>F1835</v>
      </c>
      <c r="Z1418" s="110" t="s">
        <v>541</v>
      </c>
      <c r="AA1418" s="110" t="s">
        <v>541</v>
      </c>
      <c r="AB1418" s="110" t="s">
        <v>541</v>
      </c>
      <c r="AC1418" s="10" t="s">
        <v>541</v>
      </c>
      <c r="AD1418" s="10" t="s">
        <v>541</v>
      </c>
    </row>
    <row r="1419" spans="1:30" x14ac:dyDescent="0.2">
      <c r="A1419" s="110">
        <v>1418</v>
      </c>
      <c r="B1419" s="132">
        <v>41849</v>
      </c>
      <c r="C1419" s="117">
        <v>3</v>
      </c>
      <c r="D1419" s="103" t="s">
        <v>70</v>
      </c>
      <c r="E1419" s="103" t="s">
        <v>306</v>
      </c>
      <c r="F1419" s="103">
        <v>596</v>
      </c>
      <c r="G1419" s="103">
        <v>71</v>
      </c>
      <c r="H1419" s="103" t="s">
        <v>3003</v>
      </c>
      <c r="I1419" s="103">
        <v>47</v>
      </c>
      <c r="K1419" s="103" t="s">
        <v>365</v>
      </c>
      <c r="L1419" s="133"/>
      <c r="M1419" s="134">
        <v>4.9305555555555554E-2</v>
      </c>
      <c r="N1419" s="137" t="s">
        <v>2032</v>
      </c>
      <c r="O1419" s="133" t="s">
        <v>1585</v>
      </c>
      <c r="Q1419" s="100" t="s">
        <v>3747</v>
      </c>
      <c r="R1419" s="226" t="s">
        <v>3778</v>
      </c>
      <c r="S1419" s="491" t="str">
        <f t="shared" si="45"/>
        <v>x</v>
      </c>
      <c r="T1419" s="492">
        <f>IFERROR(VLOOKUP(F1419,'Freq-Chan'!C:D,2,FALSE),"x")</f>
        <v>151.596</v>
      </c>
      <c r="U1419" s="110" t="s">
        <v>541</v>
      </c>
      <c r="V1419" s="110" t="str">
        <f t="shared" si="46"/>
        <v>FWL</v>
      </c>
      <c r="W1419" s="110" t="s">
        <v>541</v>
      </c>
      <c r="X1419" s="110" t="s">
        <v>541</v>
      </c>
      <c r="Y1419" s="110" t="str">
        <f>IFERROR(VLOOKUP(F1419,'Freq-Chan'!C:E,3,FALSE),"na")</f>
        <v>F1835</v>
      </c>
      <c r="Z1419" s="110" t="s">
        <v>541</v>
      </c>
      <c r="AA1419" s="110" t="s">
        <v>541</v>
      </c>
      <c r="AB1419" s="110" t="s">
        <v>541</v>
      </c>
      <c r="AC1419" s="10" t="s">
        <v>541</v>
      </c>
      <c r="AD1419" s="10" t="s">
        <v>541</v>
      </c>
    </row>
    <row r="1420" spans="1:30" x14ac:dyDescent="0.2">
      <c r="A1420" s="110">
        <v>1419</v>
      </c>
      <c r="B1420" s="132">
        <v>41849</v>
      </c>
      <c r="C1420" s="117">
        <v>3</v>
      </c>
      <c r="D1420" s="103" t="s">
        <v>70</v>
      </c>
      <c r="E1420" s="103" t="s">
        <v>306</v>
      </c>
      <c r="F1420" s="103">
        <v>596</v>
      </c>
      <c r="G1420" s="103">
        <v>27</v>
      </c>
      <c r="H1420" s="103" t="s">
        <v>3004</v>
      </c>
      <c r="I1420" s="103">
        <v>49</v>
      </c>
      <c r="K1420" s="103" t="s">
        <v>365</v>
      </c>
      <c r="L1420" s="133"/>
      <c r="M1420" s="134">
        <v>4.3055555555555562E-2</v>
      </c>
      <c r="N1420" s="137" t="s">
        <v>3768</v>
      </c>
      <c r="O1420" s="133" t="s">
        <v>1585</v>
      </c>
      <c r="Q1420" s="100" t="s">
        <v>3747</v>
      </c>
      <c r="R1420" s="226" t="s">
        <v>3778</v>
      </c>
      <c r="S1420" s="491" t="str">
        <f t="shared" si="45"/>
        <v>x</v>
      </c>
      <c r="T1420" s="492">
        <f>IFERROR(VLOOKUP(F1420,'Freq-Chan'!C:D,2,FALSE),"x")</f>
        <v>151.596</v>
      </c>
      <c r="U1420" s="110" t="s">
        <v>541</v>
      </c>
      <c r="V1420" s="110" t="str">
        <f t="shared" si="46"/>
        <v>FWL</v>
      </c>
      <c r="W1420" s="110" t="s">
        <v>541</v>
      </c>
      <c r="X1420" s="110" t="s">
        <v>541</v>
      </c>
      <c r="Y1420" s="110" t="str">
        <f>IFERROR(VLOOKUP(F1420,'Freq-Chan'!C:E,3,FALSE),"na")</f>
        <v>F1835</v>
      </c>
      <c r="Z1420" s="110" t="s">
        <v>541</v>
      </c>
      <c r="AA1420" s="110" t="s">
        <v>541</v>
      </c>
      <c r="AB1420" s="110" t="s">
        <v>541</v>
      </c>
      <c r="AC1420" s="10" t="s">
        <v>541</v>
      </c>
      <c r="AD1420" s="10" t="s">
        <v>541</v>
      </c>
    </row>
    <row r="1421" spans="1:30" x14ac:dyDescent="0.2">
      <c r="A1421" s="110">
        <v>1420</v>
      </c>
      <c r="B1421" s="132">
        <v>41849</v>
      </c>
      <c r="C1421" s="117">
        <v>3</v>
      </c>
      <c r="D1421" s="103" t="s">
        <v>70</v>
      </c>
      <c r="E1421" s="103" t="s">
        <v>306</v>
      </c>
      <c r="H1421" s="103"/>
      <c r="I1421" s="103">
        <v>50</v>
      </c>
      <c r="K1421" s="103" t="s">
        <v>365</v>
      </c>
      <c r="L1421" s="133"/>
      <c r="M1421" s="134">
        <v>1.4583333333333332E-2</v>
      </c>
      <c r="N1421" s="137" t="s">
        <v>3448</v>
      </c>
      <c r="O1421" s="133" t="s">
        <v>1585</v>
      </c>
      <c r="Q1421" s="100" t="s">
        <v>3747</v>
      </c>
      <c r="R1421" s="226" t="s">
        <v>3778</v>
      </c>
      <c r="S1421" s="491" t="str">
        <f t="shared" si="45"/>
        <v>x</v>
      </c>
      <c r="T1421" s="492" t="str">
        <f>IFERROR(VLOOKUP(F1421,'Freq-Chan'!C:D,2,FALSE),"x")</f>
        <v>x</v>
      </c>
      <c r="U1421" s="110" t="s">
        <v>541</v>
      </c>
      <c r="V1421" s="110" t="str">
        <f t="shared" si="46"/>
        <v>FWL</v>
      </c>
      <c r="W1421" s="110" t="s">
        <v>541</v>
      </c>
      <c r="X1421" s="110" t="s">
        <v>541</v>
      </c>
      <c r="Y1421" s="110" t="str">
        <f>IFERROR(VLOOKUP(F1421,'Freq-Chan'!C:E,3,FALSE),"na")</f>
        <v>na</v>
      </c>
      <c r="Z1421" s="110" t="s">
        <v>541</v>
      </c>
      <c r="AA1421" s="110" t="s">
        <v>541</v>
      </c>
      <c r="AB1421" s="110" t="s">
        <v>541</v>
      </c>
      <c r="AC1421" s="10" t="s">
        <v>541</v>
      </c>
      <c r="AD1421" s="10" t="s">
        <v>541</v>
      </c>
    </row>
    <row r="1422" spans="1:30" x14ac:dyDescent="0.2">
      <c r="A1422" s="110">
        <v>1421</v>
      </c>
      <c r="B1422" s="132">
        <v>41849</v>
      </c>
      <c r="C1422" s="117">
        <v>3</v>
      </c>
      <c r="D1422" s="103" t="s">
        <v>70</v>
      </c>
      <c r="E1422" s="103" t="s">
        <v>306</v>
      </c>
      <c r="H1422" s="103"/>
      <c r="I1422" s="103">
        <v>48</v>
      </c>
      <c r="K1422" s="103" t="s">
        <v>1032</v>
      </c>
      <c r="L1422" s="133"/>
      <c r="M1422" s="134">
        <v>1.6666666666666666E-2</v>
      </c>
      <c r="N1422" s="137" t="s">
        <v>1982</v>
      </c>
      <c r="O1422" s="133" t="s">
        <v>1585</v>
      </c>
      <c r="Q1422" s="100" t="s">
        <v>3747</v>
      </c>
      <c r="R1422" s="226" t="s">
        <v>3778</v>
      </c>
      <c r="S1422" s="491" t="str">
        <f t="shared" si="45"/>
        <v>x</v>
      </c>
      <c r="T1422" s="492" t="str">
        <f>IFERROR(VLOOKUP(F1422,'Freq-Chan'!C:D,2,FALSE),"x")</f>
        <v>x</v>
      </c>
      <c r="U1422" s="110" t="s">
        <v>541</v>
      </c>
      <c r="V1422" s="110" t="str">
        <f t="shared" si="46"/>
        <v>FWL</v>
      </c>
      <c r="W1422" s="110" t="s">
        <v>541</v>
      </c>
      <c r="X1422" s="110" t="s">
        <v>541</v>
      </c>
      <c r="Y1422" s="110" t="str">
        <f>IFERROR(VLOOKUP(F1422,'Freq-Chan'!C:E,3,FALSE),"na")</f>
        <v>na</v>
      </c>
      <c r="Z1422" s="110" t="s">
        <v>541</v>
      </c>
      <c r="AA1422" s="110" t="s">
        <v>541</v>
      </c>
      <c r="AB1422" s="110" t="s">
        <v>541</v>
      </c>
      <c r="AC1422" s="10" t="s">
        <v>541</v>
      </c>
      <c r="AD1422" s="10" t="s">
        <v>541</v>
      </c>
    </row>
    <row r="1423" spans="1:30" x14ac:dyDescent="0.2">
      <c r="A1423" s="110">
        <v>1422</v>
      </c>
      <c r="B1423" s="132">
        <v>41849</v>
      </c>
      <c r="C1423" s="117">
        <v>3</v>
      </c>
      <c r="D1423" s="103" t="s">
        <v>70</v>
      </c>
      <c r="E1423" s="103" t="s">
        <v>306</v>
      </c>
      <c r="H1423" s="103"/>
      <c r="I1423" s="103">
        <v>46</v>
      </c>
      <c r="K1423" s="103" t="s">
        <v>365</v>
      </c>
      <c r="L1423" s="133"/>
      <c r="M1423" s="134">
        <v>1.5972222222222224E-2</v>
      </c>
      <c r="N1423" s="137" t="s">
        <v>2045</v>
      </c>
      <c r="O1423" s="133" t="s">
        <v>1585</v>
      </c>
      <c r="Q1423" s="100" t="s">
        <v>3747</v>
      </c>
      <c r="R1423" s="226" t="s">
        <v>3778</v>
      </c>
      <c r="S1423" s="491" t="str">
        <f t="shared" si="45"/>
        <v>x</v>
      </c>
      <c r="T1423" s="492" t="str">
        <f>IFERROR(VLOOKUP(F1423,'Freq-Chan'!C:D,2,FALSE),"x")</f>
        <v>x</v>
      </c>
      <c r="U1423" s="110" t="s">
        <v>541</v>
      </c>
      <c r="V1423" s="110" t="str">
        <f t="shared" si="46"/>
        <v>FWL</v>
      </c>
      <c r="W1423" s="110" t="s">
        <v>541</v>
      </c>
      <c r="X1423" s="110" t="s">
        <v>541</v>
      </c>
      <c r="Y1423" s="110" t="str">
        <f>IFERROR(VLOOKUP(F1423,'Freq-Chan'!C:E,3,FALSE),"na")</f>
        <v>na</v>
      </c>
      <c r="Z1423" s="110" t="s">
        <v>541</v>
      </c>
      <c r="AA1423" s="110" t="s">
        <v>541</v>
      </c>
      <c r="AB1423" s="110" t="s">
        <v>541</v>
      </c>
      <c r="AC1423" s="10" t="s">
        <v>541</v>
      </c>
      <c r="AD1423" s="10" t="s">
        <v>541</v>
      </c>
    </row>
    <row r="1424" spans="1:30" x14ac:dyDescent="0.2">
      <c r="A1424" s="110">
        <v>1423</v>
      </c>
      <c r="B1424" s="132">
        <v>41849</v>
      </c>
      <c r="C1424" s="117">
        <v>3</v>
      </c>
      <c r="D1424" s="103" t="s">
        <v>70</v>
      </c>
      <c r="E1424" s="103" t="s">
        <v>306</v>
      </c>
      <c r="H1424" s="103"/>
      <c r="I1424" s="103">
        <v>44</v>
      </c>
      <c r="K1424" s="103" t="s">
        <v>364</v>
      </c>
      <c r="L1424" s="133"/>
      <c r="M1424" s="134">
        <v>1.2499999999999999E-2</v>
      </c>
      <c r="N1424" s="137" t="s">
        <v>3769</v>
      </c>
      <c r="O1424" s="133" t="s">
        <v>1585</v>
      </c>
      <c r="Q1424" s="100" t="s">
        <v>3747</v>
      </c>
      <c r="R1424" s="226" t="s">
        <v>3778</v>
      </c>
      <c r="S1424" s="491" t="str">
        <f t="shared" si="45"/>
        <v>x</v>
      </c>
      <c r="T1424" s="492" t="str">
        <f>IFERROR(VLOOKUP(F1424,'Freq-Chan'!C:D,2,FALSE),"x")</f>
        <v>x</v>
      </c>
      <c r="U1424" s="110" t="s">
        <v>541</v>
      </c>
      <c r="V1424" s="110" t="str">
        <f t="shared" si="46"/>
        <v>FWL</v>
      </c>
      <c r="W1424" s="110" t="s">
        <v>541</v>
      </c>
      <c r="X1424" s="110" t="s">
        <v>541</v>
      </c>
      <c r="Y1424" s="110" t="str">
        <f>IFERROR(VLOOKUP(F1424,'Freq-Chan'!C:E,3,FALSE),"na")</f>
        <v>na</v>
      </c>
      <c r="Z1424" s="110" t="s">
        <v>541</v>
      </c>
      <c r="AA1424" s="110" t="s">
        <v>541</v>
      </c>
      <c r="AB1424" s="110" t="s">
        <v>541</v>
      </c>
      <c r="AC1424" s="10" t="s">
        <v>541</v>
      </c>
      <c r="AD1424" s="10" t="s">
        <v>541</v>
      </c>
    </row>
    <row r="1425" spans="1:30" x14ac:dyDescent="0.2">
      <c r="A1425" s="110">
        <v>1424</v>
      </c>
      <c r="B1425" s="132">
        <v>41849</v>
      </c>
      <c r="C1425" s="117">
        <v>3</v>
      </c>
      <c r="D1425" s="103" t="s">
        <v>70</v>
      </c>
      <c r="E1425" s="103" t="s">
        <v>306</v>
      </c>
      <c r="H1425" s="103"/>
      <c r="I1425" s="103">
        <v>50</v>
      </c>
      <c r="K1425" s="103" t="s">
        <v>364</v>
      </c>
      <c r="L1425" s="133"/>
      <c r="M1425" s="134">
        <v>1.3888888888888888E-2</v>
      </c>
      <c r="N1425" s="137" t="s">
        <v>3396</v>
      </c>
      <c r="O1425" s="133" t="s">
        <v>1585</v>
      </c>
      <c r="Q1425" s="100" t="s">
        <v>3747</v>
      </c>
      <c r="R1425" s="226" t="s">
        <v>3778</v>
      </c>
      <c r="S1425" s="491" t="str">
        <f t="shared" si="45"/>
        <v>x</v>
      </c>
      <c r="T1425" s="492" t="str">
        <f>IFERROR(VLOOKUP(F1425,'Freq-Chan'!C:D,2,FALSE),"x")</f>
        <v>x</v>
      </c>
      <c r="U1425" s="110" t="s">
        <v>541</v>
      </c>
      <c r="V1425" s="110" t="str">
        <f t="shared" si="46"/>
        <v>FWL</v>
      </c>
      <c r="W1425" s="110" t="s">
        <v>541</v>
      </c>
      <c r="X1425" s="110" t="s">
        <v>541</v>
      </c>
      <c r="Y1425" s="110" t="str">
        <f>IFERROR(VLOOKUP(F1425,'Freq-Chan'!C:E,3,FALSE),"na")</f>
        <v>na</v>
      </c>
      <c r="Z1425" s="110" t="s">
        <v>541</v>
      </c>
      <c r="AA1425" s="110" t="s">
        <v>541</v>
      </c>
      <c r="AB1425" s="110" t="s">
        <v>541</v>
      </c>
      <c r="AC1425" s="10" t="s">
        <v>541</v>
      </c>
      <c r="AD1425" s="10" t="s">
        <v>541</v>
      </c>
    </row>
    <row r="1426" spans="1:30" x14ac:dyDescent="0.2">
      <c r="A1426" s="110">
        <v>1425</v>
      </c>
      <c r="B1426" s="132">
        <v>41849</v>
      </c>
      <c r="C1426" s="117">
        <v>3</v>
      </c>
      <c r="D1426" s="103" t="s">
        <v>70</v>
      </c>
      <c r="E1426" s="103" t="s">
        <v>306</v>
      </c>
      <c r="H1426" s="103"/>
      <c r="I1426" s="103">
        <v>49</v>
      </c>
      <c r="K1426" s="103" t="s">
        <v>364</v>
      </c>
      <c r="L1426" s="133"/>
      <c r="M1426" s="134">
        <v>1.3194444444444444E-2</v>
      </c>
      <c r="N1426" s="137" t="s">
        <v>3770</v>
      </c>
      <c r="O1426" s="133" t="s">
        <v>1585</v>
      </c>
      <c r="Q1426" s="100" t="s">
        <v>3747</v>
      </c>
      <c r="R1426" s="226" t="s">
        <v>3778</v>
      </c>
      <c r="S1426" s="491" t="str">
        <f t="shared" si="45"/>
        <v>x</v>
      </c>
      <c r="T1426" s="492" t="str">
        <f>IFERROR(VLOOKUP(F1426,'Freq-Chan'!C:D,2,FALSE),"x")</f>
        <v>x</v>
      </c>
      <c r="U1426" s="110" t="s">
        <v>541</v>
      </c>
      <c r="V1426" s="110" t="str">
        <f t="shared" si="46"/>
        <v>FWL</v>
      </c>
      <c r="W1426" s="110" t="s">
        <v>541</v>
      </c>
      <c r="X1426" s="110" t="s">
        <v>541</v>
      </c>
      <c r="Y1426" s="110" t="str">
        <f>IFERROR(VLOOKUP(F1426,'Freq-Chan'!C:E,3,FALSE),"na")</f>
        <v>na</v>
      </c>
      <c r="Z1426" s="110" t="s">
        <v>541</v>
      </c>
      <c r="AA1426" s="110" t="s">
        <v>541</v>
      </c>
      <c r="AB1426" s="110" t="s">
        <v>541</v>
      </c>
      <c r="AC1426" s="10" t="s">
        <v>541</v>
      </c>
      <c r="AD1426" s="10" t="s">
        <v>541</v>
      </c>
    </row>
    <row r="1427" spans="1:30" x14ac:dyDescent="0.2">
      <c r="A1427" s="110">
        <v>1426</v>
      </c>
      <c r="B1427" s="132">
        <v>41849</v>
      </c>
      <c r="C1427" s="117">
        <v>3</v>
      </c>
      <c r="D1427" s="103" t="s">
        <v>70</v>
      </c>
      <c r="E1427" s="103" t="s">
        <v>306</v>
      </c>
      <c r="H1427" s="103"/>
      <c r="I1427" s="103">
        <v>51</v>
      </c>
      <c r="K1427" s="103" t="s">
        <v>364</v>
      </c>
      <c r="L1427" s="133"/>
      <c r="M1427" s="134">
        <v>1.3888888888888888E-2</v>
      </c>
      <c r="N1427" s="137" t="s">
        <v>3332</v>
      </c>
      <c r="O1427" s="133" t="s">
        <v>1585</v>
      </c>
      <c r="Q1427" s="100" t="s">
        <v>3747</v>
      </c>
      <c r="R1427" s="226" t="s">
        <v>3778</v>
      </c>
      <c r="S1427" s="491" t="str">
        <f t="shared" si="45"/>
        <v>x</v>
      </c>
      <c r="T1427" s="492" t="str">
        <f>IFERROR(VLOOKUP(F1427,'Freq-Chan'!C:D,2,FALSE),"x")</f>
        <v>x</v>
      </c>
      <c r="U1427" s="110" t="s">
        <v>541</v>
      </c>
      <c r="V1427" s="110" t="str">
        <f t="shared" si="46"/>
        <v>FWL</v>
      </c>
      <c r="W1427" s="110" t="s">
        <v>541</v>
      </c>
      <c r="X1427" s="110" t="s">
        <v>541</v>
      </c>
      <c r="Y1427" s="110" t="str">
        <f>IFERROR(VLOOKUP(F1427,'Freq-Chan'!C:E,3,FALSE),"na")</f>
        <v>na</v>
      </c>
      <c r="Z1427" s="110" t="s">
        <v>541</v>
      </c>
      <c r="AA1427" s="110" t="s">
        <v>541</v>
      </c>
      <c r="AB1427" s="110" t="s">
        <v>541</v>
      </c>
      <c r="AC1427" s="10" t="s">
        <v>541</v>
      </c>
      <c r="AD1427" s="10" t="s">
        <v>541</v>
      </c>
    </row>
    <row r="1428" spans="1:30" x14ac:dyDescent="0.2">
      <c r="A1428" s="110">
        <v>1427</v>
      </c>
      <c r="B1428" s="132">
        <v>41849</v>
      </c>
      <c r="C1428" s="117">
        <v>3</v>
      </c>
      <c r="D1428" s="103" t="s">
        <v>70</v>
      </c>
      <c r="E1428" s="103" t="s">
        <v>306</v>
      </c>
      <c r="H1428" s="103"/>
      <c r="I1428" s="103">
        <v>45</v>
      </c>
      <c r="K1428" s="103" t="s">
        <v>364</v>
      </c>
      <c r="L1428" s="133"/>
      <c r="M1428" s="134">
        <v>2.1527777777777781E-2</v>
      </c>
      <c r="N1428" s="137" t="s">
        <v>835</v>
      </c>
      <c r="O1428" s="133" t="s">
        <v>1585</v>
      </c>
      <c r="Q1428" s="100" t="s">
        <v>3747</v>
      </c>
      <c r="R1428" s="226" t="s">
        <v>3778</v>
      </c>
      <c r="S1428" s="491" t="str">
        <f t="shared" si="45"/>
        <v>x</v>
      </c>
      <c r="T1428" s="492" t="str">
        <f>IFERROR(VLOOKUP(F1428,'Freq-Chan'!C:D,2,FALSE),"x")</f>
        <v>x</v>
      </c>
      <c r="U1428" s="110" t="s">
        <v>541</v>
      </c>
      <c r="V1428" s="110" t="str">
        <f t="shared" si="46"/>
        <v>FWL</v>
      </c>
      <c r="W1428" s="110" t="s">
        <v>541</v>
      </c>
      <c r="X1428" s="110" t="s">
        <v>541</v>
      </c>
      <c r="Y1428" s="110" t="str">
        <f>IFERROR(VLOOKUP(F1428,'Freq-Chan'!C:E,3,FALSE),"na")</f>
        <v>na</v>
      </c>
      <c r="Z1428" s="110" t="s">
        <v>541</v>
      </c>
      <c r="AA1428" s="110" t="s">
        <v>541</v>
      </c>
      <c r="AB1428" s="110" t="s">
        <v>541</v>
      </c>
      <c r="AC1428" s="10" t="s">
        <v>541</v>
      </c>
      <c r="AD1428" s="10" t="s">
        <v>541</v>
      </c>
    </row>
    <row r="1429" spans="1:30" x14ac:dyDescent="0.2">
      <c r="A1429" s="110">
        <v>1428</v>
      </c>
      <c r="B1429" s="132">
        <v>41849</v>
      </c>
      <c r="C1429" s="117">
        <v>3</v>
      </c>
      <c r="D1429" s="103" t="s">
        <v>70</v>
      </c>
      <c r="E1429" s="103" t="s">
        <v>306</v>
      </c>
      <c r="H1429" s="103"/>
      <c r="I1429" s="103">
        <v>48</v>
      </c>
      <c r="K1429" s="103" t="s">
        <v>1032</v>
      </c>
      <c r="L1429" s="133"/>
      <c r="M1429" s="134">
        <v>2.013888888888889E-2</v>
      </c>
      <c r="N1429" s="137" t="s">
        <v>2527</v>
      </c>
      <c r="O1429" s="133" t="s">
        <v>376</v>
      </c>
      <c r="Q1429" s="100" t="s">
        <v>3747</v>
      </c>
      <c r="R1429" s="226" t="s">
        <v>3778</v>
      </c>
      <c r="S1429" s="491" t="str">
        <f t="shared" si="45"/>
        <v>x</v>
      </c>
      <c r="T1429" s="492" t="str">
        <f>IFERROR(VLOOKUP(F1429,'Freq-Chan'!C:D,2,FALSE),"x")</f>
        <v>x</v>
      </c>
      <c r="U1429" s="110" t="s">
        <v>541</v>
      </c>
      <c r="V1429" s="110" t="str">
        <f t="shared" si="46"/>
        <v>FWL</v>
      </c>
      <c r="W1429" s="110" t="s">
        <v>541</v>
      </c>
      <c r="X1429" s="110" t="s">
        <v>541</v>
      </c>
      <c r="Y1429" s="110" t="str">
        <f>IFERROR(VLOOKUP(F1429,'Freq-Chan'!C:E,3,FALSE),"na")</f>
        <v>na</v>
      </c>
      <c r="Z1429" s="110" t="s">
        <v>541</v>
      </c>
      <c r="AA1429" s="110" t="s">
        <v>541</v>
      </c>
      <c r="AB1429" s="110" t="s">
        <v>541</v>
      </c>
      <c r="AC1429" s="10" t="s">
        <v>541</v>
      </c>
      <c r="AD1429" s="10" t="s">
        <v>541</v>
      </c>
    </row>
    <row r="1430" spans="1:30" x14ac:dyDescent="0.2">
      <c r="A1430" s="110">
        <v>1429</v>
      </c>
      <c r="B1430" s="132">
        <v>41849</v>
      </c>
      <c r="C1430" s="117">
        <v>3</v>
      </c>
      <c r="D1430" s="103" t="s">
        <v>70</v>
      </c>
      <c r="E1430" s="103" t="s">
        <v>306</v>
      </c>
      <c r="H1430" s="103"/>
      <c r="I1430" s="103">
        <v>43</v>
      </c>
      <c r="K1430" s="103" t="s">
        <v>1032</v>
      </c>
      <c r="L1430" s="133"/>
      <c r="M1430" s="134">
        <v>2.361111111111111E-2</v>
      </c>
      <c r="N1430" s="137" t="s">
        <v>3715</v>
      </c>
      <c r="O1430" s="133" t="s">
        <v>376</v>
      </c>
      <c r="Q1430" s="100" t="s">
        <v>3747</v>
      </c>
      <c r="R1430" s="226" t="s">
        <v>3778</v>
      </c>
      <c r="S1430" s="491" t="str">
        <f t="shared" si="45"/>
        <v>x</v>
      </c>
      <c r="T1430" s="492" t="str">
        <f>IFERROR(VLOOKUP(F1430,'Freq-Chan'!C:D,2,FALSE),"x")</f>
        <v>x</v>
      </c>
      <c r="U1430" s="110" t="s">
        <v>541</v>
      </c>
      <c r="V1430" s="110" t="str">
        <f t="shared" si="46"/>
        <v>FWL</v>
      </c>
      <c r="W1430" s="110" t="s">
        <v>541</v>
      </c>
      <c r="X1430" s="110" t="s">
        <v>541</v>
      </c>
      <c r="Y1430" s="110" t="str">
        <f>IFERROR(VLOOKUP(F1430,'Freq-Chan'!C:E,3,FALSE),"na")</f>
        <v>na</v>
      </c>
      <c r="Z1430" s="110" t="s">
        <v>541</v>
      </c>
      <c r="AA1430" s="110" t="s">
        <v>541</v>
      </c>
      <c r="AB1430" s="110" t="s">
        <v>541</v>
      </c>
      <c r="AC1430" s="10" t="s">
        <v>541</v>
      </c>
      <c r="AD1430" s="10" t="s">
        <v>541</v>
      </c>
    </row>
    <row r="1431" spans="1:30" x14ac:dyDescent="0.2">
      <c r="A1431" s="110">
        <v>1430</v>
      </c>
      <c r="B1431" s="132">
        <v>41849</v>
      </c>
      <c r="C1431" s="117">
        <v>3</v>
      </c>
      <c r="D1431" s="103" t="s">
        <v>70</v>
      </c>
      <c r="E1431" s="103" t="s">
        <v>306</v>
      </c>
      <c r="H1431" s="103"/>
      <c r="I1431" s="103">
        <v>46</v>
      </c>
      <c r="K1431" s="103" t="s">
        <v>1032</v>
      </c>
      <c r="L1431" s="133"/>
      <c r="M1431" s="134">
        <v>2.5694444444444447E-2</v>
      </c>
      <c r="N1431" s="137" t="s">
        <v>3400</v>
      </c>
      <c r="O1431" s="133" t="s">
        <v>376</v>
      </c>
      <c r="Q1431" s="100" t="s">
        <v>3747</v>
      </c>
      <c r="R1431" s="226" t="s">
        <v>3778</v>
      </c>
      <c r="S1431" s="491" t="str">
        <f t="shared" si="45"/>
        <v>x</v>
      </c>
      <c r="T1431" s="492" t="str">
        <f>IFERROR(VLOOKUP(F1431,'Freq-Chan'!C:D,2,FALSE),"x")</f>
        <v>x</v>
      </c>
      <c r="U1431" s="110" t="s">
        <v>541</v>
      </c>
      <c r="V1431" s="110" t="str">
        <f t="shared" si="46"/>
        <v>FWL</v>
      </c>
      <c r="W1431" s="110" t="s">
        <v>541</v>
      </c>
      <c r="X1431" s="110" t="s">
        <v>541</v>
      </c>
      <c r="Y1431" s="110" t="str">
        <f>IFERROR(VLOOKUP(F1431,'Freq-Chan'!C:E,3,FALSE),"na")</f>
        <v>na</v>
      </c>
      <c r="Z1431" s="110" t="s">
        <v>541</v>
      </c>
      <c r="AA1431" s="110" t="s">
        <v>541</v>
      </c>
      <c r="AB1431" s="110" t="s">
        <v>541</v>
      </c>
      <c r="AC1431" s="10" t="s">
        <v>541</v>
      </c>
      <c r="AD1431" s="10" t="s">
        <v>541</v>
      </c>
    </row>
    <row r="1432" spans="1:30" x14ac:dyDescent="0.2">
      <c r="A1432" s="110">
        <v>1431</v>
      </c>
      <c r="B1432" s="132">
        <v>41849</v>
      </c>
      <c r="C1432" s="117">
        <v>3</v>
      </c>
      <c r="D1432" s="103" t="s">
        <v>70</v>
      </c>
      <c r="E1432" s="103" t="s">
        <v>306</v>
      </c>
      <c r="H1432" s="103"/>
      <c r="I1432" s="103">
        <v>49</v>
      </c>
      <c r="K1432" s="103" t="s">
        <v>365</v>
      </c>
      <c r="L1432" s="133"/>
      <c r="M1432" s="134">
        <v>1.7361111111111112E-2</v>
      </c>
      <c r="N1432" s="137" t="s">
        <v>3253</v>
      </c>
      <c r="O1432" s="133" t="s">
        <v>376</v>
      </c>
      <c r="Q1432" s="100" t="s">
        <v>3747</v>
      </c>
      <c r="R1432" s="226" t="s">
        <v>3778</v>
      </c>
      <c r="S1432" s="491" t="str">
        <f t="shared" si="45"/>
        <v>x</v>
      </c>
      <c r="T1432" s="492" t="str">
        <f>IFERROR(VLOOKUP(F1432,'Freq-Chan'!C:D,2,FALSE),"x")</f>
        <v>x</v>
      </c>
      <c r="U1432" s="110" t="s">
        <v>541</v>
      </c>
      <c r="V1432" s="110" t="str">
        <f t="shared" si="46"/>
        <v>FWL</v>
      </c>
      <c r="W1432" s="110" t="s">
        <v>541</v>
      </c>
      <c r="X1432" s="110" t="s">
        <v>541</v>
      </c>
      <c r="Y1432" s="110" t="str">
        <f>IFERROR(VLOOKUP(F1432,'Freq-Chan'!C:E,3,FALSE),"na")</f>
        <v>na</v>
      </c>
      <c r="Z1432" s="110" t="s">
        <v>541</v>
      </c>
      <c r="AA1432" s="110" t="s">
        <v>541</v>
      </c>
      <c r="AB1432" s="110" t="s">
        <v>541</v>
      </c>
      <c r="AC1432" s="10" t="s">
        <v>541</v>
      </c>
      <c r="AD1432" s="10" t="s">
        <v>541</v>
      </c>
    </row>
    <row r="1433" spans="1:30" x14ac:dyDescent="0.2">
      <c r="A1433" s="110">
        <v>1432</v>
      </c>
      <c r="B1433" s="132">
        <v>41849</v>
      </c>
      <c r="C1433" s="117">
        <v>3</v>
      </c>
      <c r="D1433" s="103" t="s">
        <v>72</v>
      </c>
      <c r="E1433" s="103" t="s">
        <v>306</v>
      </c>
      <c r="F1433" s="103">
        <v>266</v>
      </c>
      <c r="G1433" s="103">
        <v>27</v>
      </c>
      <c r="H1433" s="103" t="s">
        <v>3505</v>
      </c>
      <c r="I1433" s="103">
        <v>47</v>
      </c>
      <c r="K1433" s="103" t="s">
        <v>364</v>
      </c>
      <c r="L1433" s="133"/>
      <c r="M1433" s="134">
        <v>4.0972222222222222E-2</v>
      </c>
      <c r="N1433" s="137" t="s">
        <v>2689</v>
      </c>
      <c r="O1433" s="133" t="s">
        <v>376</v>
      </c>
      <c r="P1433" s="100" t="s">
        <v>4466</v>
      </c>
      <c r="Q1433" s="100" t="s">
        <v>3747</v>
      </c>
      <c r="R1433" s="226" t="s">
        <v>3778</v>
      </c>
      <c r="S1433" s="491" t="str">
        <f t="shared" si="45"/>
        <v>x</v>
      </c>
      <c r="T1433" s="492">
        <f>IFERROR(VLOOKUP(F1433,'Freq-Chan'!C:D,2,FALSE),"x")</f>
        <v>151.26599999999999</v>
      </c>
      <c r="U1433" s="110" t="s">
        <v>541</v>
      </c>
      <c r="V1433" s="110" t="str">
        <f t="shared" si="46"/>
        <v>FWL</v>
      </c>
      <c r="W1433" s="110" t="s">
        <v>541</v>
      </c>
      <c r="X1433" s="110" t="s">
        <v>541</v>
      </c>
      <c r="Y1433" s="110" t="str">
        <f>IFERROR(VLOOKUP(F1433,'Freq-Chan'!C:E,3,FALSE),"na")</f>
        <v>F1840</v>
      </c>
      <c r="Z1433" s="110" t="s">
        <v>541</v>
      </c>
      <c r="AA1433" s="110" t="s">
        <v>541</v>
      </c>
      <c r="AB1433" s="110" t="s">
        <v>541</v>
      </c>
      <c r="AC1433" s="10" t="s">
        <v>541</v>
      </c>
      <c r="AD1433" s="10" t="s">
        <v>541</v>
      </c>
    </row>
    <row r="1434" spans="1:30" x14ac:dyDescent="0.2">
      <c r="A1434" s="110">
        <v>1433</v>
      </c>
      <c r="B1434" s="132">
        <v>41849</v>
      </c>
      <c r="C1434" s="117">
        <v>3</v>
      </c>
      <c r="D1434" s="103" t="s">
        <v>71</v>
      </c>
      <c r="E1434" s="103" t="s">
        <v>306</v>
      </c>
      <c r="F1434" s="103">
        <v>564</v>
      </c>
      <c r="G1434" s="103">
        <v>24</v>
      </c>
      <c r="H1434" s="103" t="s">
        <v>2322</v>
      </c>
      <c r="I1434" s="103">
        <v>52</v>
      </c>
      <c r="K1434" s="103" t="s">
        <v>364</v>
      </c>
      <c r="L1434" s="133"/>
      <c r="M1434" s="134">
        <v>4.3055555555555562E-2</v>
      </c>
      <c r="N1434" s="137" t="s">
        <v>3256</v>
      </c>
      <c r="O1434" s="133" t="s">
        <v>1888</v>
      </c>
      <c r="Q1434" s="100" t="s">
        <v>3777</v>
      </c>
      <c r="R1434" s="226" t="s">
        <v>3778</v>
      </c>
      <c r="S1434" s="491" t="str">
        <f t="shared" si="45"/>
        <v>x</v>
      </c>
      <c r="T1434" s="492">
        <f>IFERROR(VLOOKUP(F1434,'Freq-Chan'!C:D,2,FALSE),"x")</f>
        <v>151.56399999999999</v>
      </c>
      <c r="U1434" s="110" t="s">
        <v>541</v>
      </c>
      <c r="V1434" s="110" t="str">
        <f t="shared" si="46"/>
        <v>FWL</v>
      </c>
      <c r="W1434" s="110" t="s">
        <v>541</v>
      </c>
      <c r="X1434" s="110" t="s">
        <v>541</v>
      </c>
      <c r="Y1434" s="110" t="str">
        <f>IFERROR(VLOOKUP(F1434,'Freq-Chan'!C:E,3,FALSE),"na")</f>
        <v>F1840</v>
      </c>
      <c r="Z1434" s="110" t="s">
        <v>541</v>
      </c>
      <c r="AA1434" s="110" t="s">
        <v>541</v>
      </c>
      <c r="AB1434" s="110" t="s">
        <v>541</v>
      </c>
      <c r="AC1434" s="10" t="s">
        <v>541</v>
      </c>
      <c r="AD1434" s="10" t="s">
        <v>541</v>
      </c>
    </row>
    <row r="1435" spans="1:30" x14ac:dyDescent="0.2">
      <c r="A1435" s="110">
        <v>1434</v>
      </c>
      <c r="B1435" s="132">
        <v>41849</v>
      </c>
      <c r="C1435" s="117">
        <v>3</v>
      </c>
      <c r="D1435" s="103" t="s">
        <v>8</v>
      </c>
      <c r="E1435" s="103" t="s">
        <v>306</v>
      </c>
      <c r="F1435" s="103">
        <v>586</v>
      </c>
      <c r="G1435" s="103">
        <v>15</v>
      </c>
      <c r="H1435" s="103" t="s">
        <v>2171</v>
      </c>
      <c r="I1435" s="103">
        <v>51</v>
      </c>
      <c r="K1435" s="103" t="s">
        <v>364</v>
      </c>
      <c r="L1435" s="133"/>
      <c r="M1435" s="134">
        <v>4.8611111111111112E-2</v>
      </c>
      <c r="N1435" s="137" t="s">
        <v>2897</v>
      </c>
      <c r="O1435" s="133" t="s">
        <v>3431</v>
      </c>
      <c r="Q1435" s="100" t="s">
        <v>3777</v>
      </c>
      <c r="R1435" s="226" t="s">
        <v>3778</v>
      </c>
      <c r="S1435" s="491" t="str">
        <f t="shared" si="45"/>
        <v>x</v>
      </c>
      <c r="T1435" s="492">
        <f>IFERROR(VLOOKUP(F1435,'Freq-Chan'!C:D,2,FALSE),"x")</f>
        <v>151.58600000000001</v>
      </c>
      <c r="U1435" s="110" t="s">
        <v>541</v>
      </c>
      <c r="V1435" s="110" t="str">
        <f t="shared" si="46"/>
        <v>FWL</v>
      </c>
      <c r="W1435" s="110" t="s">
        <v>541</v>
      </c>
      <c r="X1435" s="110" t="s">
        <v>541</v>
      </c>
      <c r="Y1435" s="110" t="str">
        <f>IFERROR(VLOOKUP(F1435,'Freq-Chan'!C:E,3,FALSE),"na")</f>
        <v>F1840</v>
      </c>
      <c r="Z1435" s="110" t="s">
        <v>541</v>
      </c>
      <c r="AA1435" s="110" t="s">
        <v>541</v>
      </c>
      <c r="AB1435" s="110" t="s">
        <v>541</v>
      </c>
      <c r="AC1435" s="10" t="s">
        <v>541</v>
      </c>
      <c r="AD1435" s="10" t="s">
        <v>541</v>
      </c>
    </row>
    <row r="1436" spans="1:30" x14ac:dyDescent="0.2">
      <c r="A1436" s="110">
        <v>1435</v>
      </c>
      <c r="B1436" s="132">
        <v>41849</v>
      </c>
      <c r="C1436" s="117">
        <v>3</v>
      </c>
      <c r="D1436" s="103" t="s">
        <v>71</v>
      </c>
      <c r="E1436" s="103" t="s">
        <v>306</v>
      </c>
      <c r="F1436" s="103">
        <v>564</v>
      </c>
      <c r="G1436" s="103">
        <v>58</v>
      </c>
      <c r="H1436" s="103"/>
      <c r="I1436" s="103">
        <v>59</v>
      </c>
      <c r="K1436" s="103" t="s">
        <v>364</v>
      </c>
      <c r="L1436" s="133"/>
      <c r="M1436" s="134">
        <v>3.4722222222222224E-2</v>
      </c>
      <c r="N1436" s="137" t="s">
        <v>3771</v>
      </c>
      <c r="O1436" s="133" t="s">
        <v>1888</v>
      </c>
      <c r="P1436" s="100" t="s">
        <v>3772</v>
      </c>
      <c r="Q1436" s="100" t="s">
        <v>3777</v>
      </c>
      <c r="R1436" s="226" t="s">
        <v>3778</v>
      </c>
      <c r="S1436" s="491" t="str">
        <f t="shared" si="45"/>
        <v>x</v>
      </c>
      <c r="T1436" s="492">
        <f>IFERROR(VLOOKUP(F1436,'Freq-Chan'!C:D,2,FALSE),"x")</f>
        <v>151.56399999999999</v>
      </c>
      <c r="U1436" s="110" t="s">
        <v>541</v>
      </c>
      <c r="V1436" s="110" t="str">
        <f t="shared" si="46"/>
        <v>FWL</v>
      </c>
      <c r="W1436" s="110" t="s">
        <v>541</v>
      </c>
      <c r="X1436" s="110" t="s">
        <v>541</v>
      </c>
      <c r="Y1436" s="110" t="str">
        <f>IFERROR(VLOOKUP(F1436,'Freq-Chan'!C:E,3,FALSE),"na")</f>
        <v>F1840</v>
      </c>
      <c r="Z1436" s="110" t="s">
        <v>541</v>
      </c>
      <c r="AA1436" s="110" t="s">
        <v>541</v>
      </c>
      <c r="AB1436" s="110" t="s">
        <v>541</v>
      </c>
      <c r="AC1436" s="10" t="s">
        <v>541</v>
      </c>
      <c r="AD1436" s="10" t="s">
        <v>541</v>
      </c>
    </row>
    <row r="1437" spans="1:30" x14ac:dyDescent="0.2">
      <c r="A1437" s="110">
        <v>1436</v>
      </c>
      <c r="B1437" s="132">
        <v>41849</v>
      </c>
      <c r="C1437" s="117">
        <v>3</v>
      </c>
      <c r="D1437" s="103" t="s">
        <v>72</v>
      </c>
      <c r="E1437" s="103" t="s">
        <v>306</v>
      </c>
      <c r="F1437" s="103">
        <v>325</v>
      </c>
      <c r="G1437" s="103">
        <v>8</v>
      </c>
      <c r="H1437" s="103" t="s">
        <v>3506</v>
      </c>
      <c r="I1437" s="103">
        <v>53</v>
      </c>
      <c r="K1437" s="103" t="s">
        <v>364</v>
      </c>
      <c r="L1437" s="133"/>
      <c r="M1437" s="134">
        <v>3.5416666666666666E-2</v>
      </c>
      <c r="N1437" s="137" t="s">
        <v>3773</v>
      </c>
      <c r="O1437" s="133" t="s">
        <v>3431</v>
      </c>
      <c r="Q1437" s="100" t="s">
        <v>3777</v>
      </c>
      <c r="R1437" s="226" t="s">
        <v>3778</v>
      </c>
      <c r="S1437" s="491" t="str">
        <f t="shared" si="45"/>
        <v>x</v>
      </c>
      <c r="T1437" s="492">
        <f>IFERROR(VLOOKUP(F1437,'Freq-Chan'!C:D,2,FALSE),"x")</f>
        <v>151.32499999999999</v>
      </c>
      <c r="U1437" s="110" t="s">
        <v>541</v>
      </c>
      <c r="V1437" s="110" t="str">
        <f t="shared" si="46"/>
        <v>FWL</v>
      </c>
      <c r="W1437" s="110" t="s">
        <v>541</v>
      </c>
      <c r="X1437" s="110" t="s">
        <v>541</v>
      </c>
      <c r="Y1437" s="110" t="str">
        <f>IFERROR(VLOOKUP(F1437,'Freq-Chan'!C:E,3,FALSE),"na")</f>
        <v>F1840</v>
      </c>
      <c r="Z1437" s="110" t="s">
        <v>541</v>
      </c>
      <c r="AA1437" s="110" t="s">
        <v>541</v>
      </c>
      <c r="AB1437" s="110" t="s">
        <v>541</v>
      </c>
      <c r="AC1437" s="10" t="s">
        <v>541</v>
      </c>
      <c r="AD1437" s="10" t="s">
        <v>541</v>
      </c>
    </row>
    <row r="1438" spans="1:30" x14ac:dyDescent="0.2">
      <c r="A1438" s="110">
        <v>1437</v>
      </c>
      <c r="B1438" s="132">
        <v>41849</v>
      </c>
      <c r="C1438" s="117">
        <v>3</v>
      </c>
      <c r="D1438" s="103" t="s">
        <v>71</v>
      </c>
      <c r="E1438" s="103" t="s">
        <v>306</v>
      </c>
      <c r="H1438" s="103"/>
      <c r="I1438" s="103">
        <v>57</v>
      </c>
      <c r="K1438" s="103" t="s">
        <v>364</v>
      </c>
      <c r="L1438" s="133"/>
      <c r="M1438" s="134">
        <v>1.0416666666666666E-2</v>
      </c>
      <c r="N1438" s="137" t="s">
        <v>1658</v>
      </c>
      <c r="O1438" s="133" t="s">
        <v>3431</v>
      </c>
      <c r="Q1438" s="100" t="s">
        <v>3777</v>
      </c>
      <c r="R1438" s="226" t="s">
        <v>3778</v>
      </c>
      <c r="S1438" s="491" t="str">
        <f t="shared" si="45"/>
        <v>x</v>
      </c>
      <c r="T1438" s="492" t="str">
        <f>IFERROR(VLOOKUP(F1438,'Freq-Chan'!C:D,2,FALSE),"x")</f>
        <v>x</v>
      </c>
      <c r="U1438" s="110" t="s">
        <v>541</v>
      </c>
      <c r="V1438" s="110" t="str">
        <f t="shared" si="46"/>
        <v>FWL</v>
      </c>
      <c r="W1438" s="110" t="s">
        <v>541</v>
      </c>
      <c r="X1438" s="110" t="s">
        <v>541</v>
      </c>
      <c r="Y1438" s="110" t="str">
        <f>IFERROR(VLOOKUP(F1438,'Freq-Chan'!C:E,3,FALSE),"na")</f>
        <v>na</v>
      </c>
      <c r="Z1438" s="110" t="s">
        <v>541</v>
      </c>
      <c r="AA1438" s="110" t="s">
        <v>541</v>
      </c>
      <c r="AB1438" s="110" t="s">
        <v>541</v>
      </c>
      <c r="AC1438" s="10" t="s">
        <v>541</v>
      </c>
      <c r="AD1438" s="10" t="s">
        <v>541</v>
      </c>
    </row>
    <row r="1439" spans="1:30" x14ac:dyDescent="0.2">
      <c r="A1439" s="110">
        <v>1438</v>
      </c>
      <c r="B1439" s="132">
        <v>41849</v>
      </c>
      <c r="C1439" s="117">
        <v>3</v>
      </c>
      <c r="D1439" s="103" t="s">
        <v>71</v>
      </c>
      <c r="E1439" s="103" t="s">
        <v>306</v>
      </c>
      <c r="H1439" s="103"/>
      <c r="I1439" s="103">
        <v>60</v>
      </c>
      <c r="K1439" s="103" t="s">
        <v>364</v>
      </c>
      <c r="L1439" s="133"/>
      <c r="M1439" s="134">
        <v>1.2499999999999999E-2</v>
      </c>
      <c r="N1439" s="137" t="s">
        <v>1830</v>
      </c>
      <c r="O1439" s="133" t="s">
        <v>3431</v>
      </c>
      <c r="P1439" s="100" t="s">
        <v>3779</v>
      </c>
      <c r="Q1439" s="100" t="s">
        <v>3777</v>
      </c>
      <c r="R1439" s="226" t="s">
        <v>3778</v>
      </c>
      <c r="S1439" s="491" t="str">
        <f t="shared" si="45"/>
        <v>x</v>
      </c>
      <c r="T1439" s="492" t="str">
        <f>IFERROR(VLOOKUP(F1439,'Freq-Chan'!C:D,2,FALSE),"x")</f>
        <v>x</v>
      </c>
      <c r="U1439" s="110" t="s">
        <v>541</v>
      </c>
      <c r="V1439" s="110" t="str">
        <f t="shared" si="46"/>
        <v>FWL</v>
      </c>
      <c r="W1439" s="110" t="s">
        <v>541</v>
      </c>
      <c r="X1439" s="110" t="s">
        <v>541</v>
      </c>
      <c r="Y1439" s="110" t="str">
        <f>IFERROR(VLOOKUP(F1439,'Freq-Chan'!C:E,3,FALSE),"na")</f>
        <v>na</v>
      </c>
      <c r="Z1439" s="110" t="s">
        <v>541</v>
      </c>
      <c r="AA1439" s="110" t="s">
        <v>541</v>
      </c>
      <c r="AB1439" s="110" t="s">
        <v>541</v>
      </c>
      <c r="AC1439" s="10" t="s">
        <v>541</v>
      </c>
      <c r="AD1439" s="10" t="s">
        <v>541</v>
      </c>
    </row>
    <row r="1440" spans="1:30" x14ac:dyDescent="0.2">
      <c r="A1440" s="110">
        <v>1439</v>
      </c>
      <c r="B1440" s="132">
        <v>41849</v>
      </c>
      <c r="C1440" s="117">
        <v>3</v>
      </c>
      <c r="D1440" s="103" t="s">
        <v>71</v>
      </c>
      <c r="E1440" s="103" t="s">
        <v>306</v>
      </c>
      <c r="H1440" s="103"/>
      <c r="I1440" s="103">
        <v>55</v>
      </c>
      <c r="K1440" s="103" t="s">
        <v>364</v>
      </c>
      <c r="L1440" s="133"/>
      <c r="M1440" s="134">
        <v>1.4583333333333332E-2</v>
      </c>
      <c r="N1440" s="137" t="s">
        <v>969</v>
      </c>
      <c r="O1440" s="133" t="s">
        <v>1888</v>
      </c>
      <c r="Q1440" s="100" t="s">
        <v>3777</v>
      </c>
      <c r="R1440" s="226" t="s">
        <v>3778</v>
      </c>
      <c r="S1440" s="491" t="str">
        <f t="shared" si="45"/>
        <v>x</v>
      </c>
      <c r="T1440" s="492" t="str">
        <f>IFERROR(VLOOKUP(F1440,'Freq-Chan'!C:D,2,FALSE),"x")</f>
        <v>x</v>
      </c>
      <c r="U1440" s="110" t="s">
        <v>541</v>
      </c>
      <c r="V1440" s="110" t="str">
        <f t="shared" si="46"/>
        <v>FWL</v>
      </c>
      <c r="W1440" s="110" t="s">
        <v>541</v>
      </c>
      <c r="X1440" s="110" t="s">
        <v>541</v>
      </c>
      <c r="Y1440" s="110" t="str">
        <f>IFERROR(VLOOKUP(F1440,'Freq-Chan'!C:E,3,FALSE),"na")</f>
        <v>na</v>
      </c>
      <c r="Z1440" s="110" t="s">
        <v>541</v>
      </c>
      <c r="AA1440" s="110" t="s">
        <v>541</v>
      </c>
      <c r="AB1440" s="110" t="s">
        <v>541</v>
      </c>
      <c r="AC1440" s="10" t="s">
        <v>541</v>
      </c>
      <c r="AD1440" s="10" t="s">
        <v>541</v>
      </c>
    </row>
    <row r="1441" spans="1:30" x14ac:dyDescent="0.2">
      <c r="A1441" s="110">
        <v>1440</v>
      </c>
      <c r="B1441" s="132">
        <v>41849</v>
      </c>
      <c r="C1441" s="117">
        <v>3</v>
      </c>
      <c r="D1441" s="103" t="s">
        <v>71</v>
      </c>
      <c r="E1441" s="103" t="s">
        <v>306</v>
      </c>
      <c r="H1441" s="103"/>
      <c r="I1441" s="103">
        <v>57</v>
      </c>
      <c r="K1441" s="103" t="s">
        <v>1032</v>
      </c>
      <c r="L1441" s="133"/>
      <c r="M1441" s="134">
        <v>1.3194444444444444E-2</v>
      </c>
      <c r="N1441" s="137" t="s">
        <v>3774</v>
      </c>
      <c r="O1441" s="133" t="s">
        <v>1888</v>
      </c>
      <c r="Q1441" s="100" t="s">
        <v>3777</v>
      </c>
      <c r="R1441" s="226" t="s">
        <v>3778</v>
      </c>
      <c r="S1441" s="491" t="str">
        <f t="shared" si="45"/>
        <v>x</v>
      </c>
      <c r="T1441" s="492" t="str">
        <f>IFERROR(VLOOKUP(F1441,'Freq-Chan'!C:D,2,FALSE),"x")</f>
        <v>x</v>
      </c>
      <c r="U1441" s="110" t="s">
        <v>541</v>
      </c>
      <c r="V1441" s="110" t="str">
        <f t="shared" si="46"/>
        <v>FWL</v>
      </c>
      <c r="W1441" s="110" t="s">
        <v>541</v>
      </c>
      <c r="X1441" s="110" t="s">
        <v>541</v>
      </c>
      <c r="Y1441" s="110" t="str">
        <f>IFERROR(VLOOKUP(F1441,'Freq-Chan'!C:E,3,FALSE),"na")</f>
        <v>na</v>
      </c>
      <c r="Z1441" s="110" t="s">
        <v>541</v>
      </c>
      <c r="AA1441" s="110" t="s">
        <v>541</v>
      </c>
      <c r="AB1441" s="110" t="s">
        <v>541</v>
      </c>
      <c r="AC1441" s="10" t="s">
        <v>541</v>
      </c>
      <c r="AD1441" s="10" t="s">
        <v>541</v>
      </c>
    </row>
    <row r="1442" spans="1:30" x14ac:dyDescent="0.2">
      <c r="A1442" s="110">
        <v>1441</v>
      </c>
      <c r="B1442" s="132">
        <v>41849</v>
      </c>
      <c r="C1442" s="117">
        <v>3</v>
      </c>
      <c r="D1442" s="103" t="s">
        <v>71</v>
      </c>
      <c r="E1442" s="103" t="s">
        <v>306</v>
      </c>
      <c r="H1442" s="103"/>
      <c r="I1442" s="103">
        <v>53</v>
      </c>
      <c r="K1442" s="103" t="s">
        <v>364</v>
      </c>
      <c r="L1442" s="133"/>
      <c r="M1442" s="134">
        <v>1.5972222222222224E-2</v>
      </c>
      <c r="N1442" s="137" t="s">
        <v>3775</v>
      </c>
      <c r="O1442" s="133" t="s">
        <v>2931</v>
      </c>
      <c r="Q1442" s="100" t="s">
        <v>3777</v>
      </c>
      <c r="R1442" s="226" t="s">
        <v>3778</v>
      </c>
      <c r="S1442" s="491" t="str">
        <f t="shared" si="45"/>
        <v>x</v>
      </c>
      <c r="T1442" s="492" t="str">
        <f>IFERROR(VLOOKUP(F1442,'Freq-Chan'!C:D,2,FALSE),"x")</f>
        <v>x</v>
      </c>
      <c r="U1442" s="110" t="s">
        <v>541</v>
      </c>
      <c r="V1442" s="110" t="str">
        <f t="shared" si="46"/>
        <v>FWL</v>
      </c>
      <c r="W1442" s="110" t="s">
        <v>541</v>
      </c>
      <c r="X1442" s="110" t="s">
        <v>541</v>
      </c>
      <c r="Y1442" s="110" t="str">
        <f>IFERROR(VLOOKUP(F1442,'Freq-Chan'!C:E,3,FALSE),"na")</f>
        <v>na</v>
      </c>
      <c r="Z1442" s="110" t="s">
        <v>541</v>
      </c>
      <c r="AA1442" s="110" t="s">
        <v>541</v>
      </c>
      <c r="AB1442" s="110" t="s">
        <v>541</v>
      </c>
      <c r="AC1442" s="10" t="s">
        <v>541</v>
      </c>
      <c r="AD1442" s="10" t="s">
        <v>541</v>
      </c>
    </row>
    <row r="1443" spans="1:30" x14ac:dyDescent="0.2">
      <c r="A1443" s="110">
        <v>1442</v>
      </c>
      <c r="B1443" s="132">
        <v>41849</v>
      </c>
      <c r="C1443" s="117">
        <v>3</v>
      </c>
      <c r="D1443" s="103" t="s">
        <v>71</v>
      </c>
      <c r="E1443" s="103" t="s">
        <v>306</v>
      </c>
      <c r="H1443" s="103"/>
      <c r="I1443" s="103">
        <v>55</v>
      </c>
      <c r="K1443" s="103" t="s">
        <v>364</v>
      </c>
      <c r="L1443" s="133"/>
      <c r="M1443" s="134">
        <v>1.7361111111111112E-2</v>
      </c>
      <c r="N1443" s="137" t="s">
        <v>2663</v>
      </c>
      <c r="O1443" s="133" t="s">
        <v>555</v>
      </c>
      <c r="Q1443" s="100" t="s">
        <v>3742</v>
      </c>
      <c r="R1443" s="226" t="s">
        <v>3778</v>
      </c>
      <c r="S1443" s="491" t="str">
        <f t="shared" si="45"/>
        <v>x</v>
      </c>
      <c r="T1443" s="492" t="str">
        <f>IFERROR(VLOOKUP(F1443,'Freq-Chan'!C:D,2,FALSE),"x")</f>
        <v>x</v>
      </c>
      <c r="U1443" s="110" t="s">
        <v>541</v>
      </c>
      <c r="V1443" s="110" t="str">
        <f t="shared" si="46"/>
        <v>FWL</v>
      </c>
      <c r="W1443" s="110" t="s">
        <v>541</v>
      </c>
      <c r="X1443" s="110" t="s">
        <v>541</v>
      </c>
      <c r="Y1443" s="110" t="str">
        <f>IFERROR(VLOOKUP(F1443,'Freq-Chan'!C:E,3,FALSE),"na")</f>
        <v>na</v>
      </c>
      <c r="Z1443" s="110" t="s">
        <v>541</v>
      </c>
      <c r="AA1443" s="110" t="s">
        <v>541</v>
      </c>
      <c r="AB1443" s="110" t="s">
        <v>541</v>
      </c>
      <c r="AC1443" s="10" t="s">
        <v>541</v>
      </c>
      <c r="AD1443" s="10" t="s">
        <v>541</v>
      </c>
    </row>
    <row r="1444" spans="1:30" x14ac:dyDescent="0.2">
      <c r="A1444" s="110">
        <v>1443</v>
      </c>
      <c r="B1444" s="132">
        <v>41849</v>
      </c>
      <c r="C1444" s="117">
        <v>3</v>
      </c>
      <c r="D1444" s="103" t="s">
        <v>71</v>
      </c>
      <c r="E1444" s="103" t="s">
        <v>306</v>
      </c>
      <c r="H1444" s="103"/>
      <c r="I1444" s="103">
        <v>63</v>
      </c>
      <c r="K1444" s="103" t="s">
        <v>364</v>
      </c>
      <c r="L1444" s="133"/>
      <c r="M1444" s="134">
        <v>2.1527777777777781E-2</v>
      </c>
      <c r="N1444" s="137" t="s">
        <v>2945</v>
      </c>
      <c r="O1444" s="133" t="s">
        <v>372</v>
      </c>
      <c r="Q1444" s="100" t="s">
        <v>3742</v>
      </c>
      <c r="R1444" s="226" t="s">
        <v>3778</v>
      </c>
      <c r="S1444" s="491" t="str">
        <f t="shared" si="45"/>
        <v>x</v>
      </c>
      <c r="T1444" s="492" t="str">
        <f>IFERROR(VLOOKUP(F1444,'Freq-Chan'!C:D,2,FALSE),"x")</f>
        <v>x</v>
      </c>
      <c r="U1444" s="110" t="s">
        <v>541</v>
      </c>
      <c r="V1444" s="110" t="str">
        <f t="shared" si="46"/>
        <v>FWL</v>
      </c>
      <c r="W1444" s="110" t="s">
        <v>541</v>
      </c>
      <c r="X1444" s="110" t="s">
        <v>541</v>
      </c>
      <c r="Y1444" s="110" t="str">
        <f>IFERROR(VLOOKUP(F1444,'Freq-Chan'!C:E,3,FALSE),"na")</f>
        <v>na</v>
      </c>
      <c r="Z1444" s="110" t="s">
        <v>541</v>
      </c>
      <c r="AA1444" s="110" t="s">
        <v>541</v>
      </c>
      <c r="AB1444" s="110" t="s">
        <v>541</v>
      </c>
      <c r="AC1444" s="10" t="s">
        <v>541</v>
      </c>
      <c r="AD1444" s="10" t="s">
        <v>541</v>
      </c>
    </row>
    <row r="1445" spans="1:30" x14ac:dyDescent="0.2">
      <c r="A1445" s="110">
        <v>1444</v>
      </c>
      <c r="B1445" s="132">
        <v>41849</v>
      </c>
      <c r="C1445" s="117">
        <v>3</v>
      </c>
      <c r="D1445" s="103" t="s">
        <v>8</v>
      </c>
      <c r="E1445" s="103" t="s">
        <v>306</v>
      </c>
      <c r="F1445" s="103">
        <v>586</v>
      </c>
      <c r="G1445" s="103">
        <v>68</v>
      </c>
      <c r="H1445" s="103" t="s">
        <v>2172</v>
      </c>
      <c r="I1445" s="103">
        <v>52</v>
      </c>
      <c r="K1445" s="103" t="s">
        <v>364</v>
      </c>
      <c r="L1445" s="133"/>
      <c r="M1445" s="134">
        <v>5.2777777777777778E-2</v>
      </c>
      <c r="N1445" s="137" t="s">
        <v>3168</v>
      </c>
      <c r="O1445" s="133" t="s">
        <v>372</v>
      </c>
      <c r="Q1445" s="100" t="s">
        <v>3742</v>
      </c>
      <c r="R1445" s="226" t="s">
        <v>3778</v>
      </c>
      <c r="S1445" s="491" t="str">
        <f t="shared" si="45"/>
        <v>x</v>
      </c>
      <c r="T1445" s="492">
        <f>IFERROR(VLOOKUP(F1445,'Freq-Chan'!C:D,2,FALSE),"x")</f>
        <v>151.58600000000001</v>
      </c>
      <c r="U1445" s="110" t="s">
        <v>541</v>
      </c>
      <c r="V1445" s="110" t="str">
        <f t="shared" si="46"/>
        <v>FWL</v>
      </c>
      <c r="W1445" s="110" t="s">
        <v>541</v>
      </c>
      <c r="X1445" s="110" t="s">
        <v>541</v>
      </c>
      <c r="Y1445" s="110" t="str">
        <f>IFERROR(VLOOKUP(F1445,'Freq-Chan'!C:E,3,FALSE),"na")</f>
        <v>F1840</v>
      </c>
      <c r="Z1445" s="110" t="s">
        <v>541</v>
      </c>
      <c r="AA1445" s="110" t="s">
        <v>541</v>
      </c>
      <c r="AB1445" s="110" t="s">
        <v>541</v>
      </c>
      <c r="AC1445" s="10" t="s">
        <v>541</v>
      </c>
      <c r="AD1445" s="10" t="s">
        <v>541</v>
      </c>
    </row>
    <row r="1446" spans="1:30" x14ac:dyDescent="0.2">
      <c r="A1446" s="110">
        <v>1445</v>
      </c>
      <c r="B1446" s="132">
        <v>41849</v>
      </c>
      <c r="C1446" s="117">
        <v>3</v>
      </c>
      <c r="D1446" s="103" t="s">
        <v>71</v>
      </c>
      <c r="E1446" s="103" t="s">
        <v>306</v>
      </c>
      <c r="H1446" s="103"/>
      <c r="I1446" s="103">
        <v>61</v>
      </c>
      <c r="K1446" s="103" t="s">
        <v>364</v>
      </c>
      <c r="L1446" s="133"/>
      <c r="M1446" s="134">
        <v>1.8055555555555557E-2</v>
      </c>
      <c r="N1446" s="135" t="s">
        <v>1946</v>
      </c>
      <c r="O1446" s="133" t="s">
        <v>555</v>
      </c>
      <c r="Q1446" s="100" t="s">
        <v>3742</v>
      </c>
      <c r="R1446" s="226" t="s">
        <v>3778</v>
      </c>
      <c r="S1446" s="491" t="str">
        <f t="shared" si="45"/>
        <v>x</v>
      </c>
      <c r="T1446" s="492" t="str">
        <f>IFERROR(VLOOKUP(F1446,'Freq-Chan'!C:D,2,FALSE),"x")</f>
        <v>x</v>
      </c>
      <c r="U1446" s="110" t="s">
        <v>541</v>
      </c>
      <c r="V1446" s="110" t="str">
        <f t="shared" si="46"/>
        <v>FWL</v>
      </c>
      <c r="W1446" s="110" t="s">
        <v>541</v>
      </c>
      <c r="X1446" s="110" t="s">
        <v>541</v>
      </c>
      <c r="Y1446" s="110" t="str">
        <f>IFERROR(VLOOKUP(F1446,'Freq-Chan'!C:E,3,FALSE),"na")</f>
        <v>na</v>
      </c>
      <c r="Z1446" s="110" t="s">
        <v>541</v>
      </c>
      <c r="AA1446" s="110" t="s">
        <v>541</v>
      </c>
      <c r="AB1446" s="110" t="s">
        <v>541</v>
      </c>
      <c r="AC1446" s="10" t="s">
        <v>541</v>
      </c>
      <c r="AD1446" s="10" t="s">
        <v>541</v>
      </c>
    </row>
    <row r="1447" spans="1:30" s="291" customFormat="1" x14ac:dyDescent="0.2">
      <c r="A1447" s="493">
        <v>1446</v>
      </c>
      <c r="B1447" s="283">
        <v>41849</v>
      </c>
      <c r="C1447" s="284">
        <v>3</v>
      </c>
      <c r="D1447" s="285" t="s">
        <v>72</v>
      </c>
      <c r="E1447" s="285" t="s">
        <v>306</v>
      </c>
      <c r="F1447" s="285">
        <v>325</v>
      </c>
      <c r="G1447" s="285">
        <v>79</v>
      </c>
      <c r="H1447" s="285" t="s">
        <v>3511</v>
      </c>
      <c r="I1447" s="285">
        <v>53</v>
      </c>
      <c r="J1447" s="285"/>
      <c r="K1447" s="285" t="s">
        <v>364</v>
      </c>
      <c r="L1447" s="286"/>
      <c r="M1447" s="287">
        <v>5.2083333333333336E-2</v>
      </c>
      <c r="N1447" s="288" t="s">
        <v>3776</v>
      </c>
      <c r="O1447" s="286" t="s">
        <v>555</v>
      </c>
      <c r="P1447" s="289"/>
      <c r="Q1447" s="289" t="s">
        <v>3742</v>
      </c>
      <c r="R1447" s="290" t="s">
        <v>3778</v>
      </c>
      <c r="S1447" s="494" t="str">
        <f t="shared" si="45"/>
        <v>x</v>
      </c>
      <c r="T1447" s="495">
        <f>IFERROR(VLOOKUP(F1447,'Freq-Chan'!C:D,2,FALSE),"x")</f>
        <v>151.32499999999999</v>
      </c>
      <c r="U1447" s="493" t="s">
        <v>541</v>
      </c>
      <c r="V1447" s="493" t="str">
        <f t="shared" si="46"/>
        <v>FWL</v>
      </c>
      <c r="W1447" s="493" t="s">
        <v>541</v>
      </c>
      <c r="X1447" s="493" t="s">
        <v>541</v>
      </c>
      <c r="Y1447" s="493" t="str">
        <f>IFERROR(VLOOKUP(F1447,'Freq-Chan'!C:E,3,FALSE),"na")</f>
        <v>F1840</v>
      </c>
      <c r="Z1447" s="493" t="s">
        <v>541</v>
      </c>
      <c r="AA1447" s="493" t="s">
        <v>541</v>
      </c>
      <c r="AB1447" s="493" t="s">
        <v>541</v>
      </c>
      <c r="AC1447" s="291" t="s">
        <v>541</v>
      </c>
      <c r="AD1447" s="291" t="s">
        <v>541</v>
      </c>
    </row>
    <row r="1448" spans="1:30" x14ac:dyDescent="0.2">
      <c r="A1448" s="110">
        <v>1447</v>
      </c>
      <c r="B1448" s="132">
        <v>41850</v>
      </c>
      <c r="C1448" s="117">
        <v>1</v>
      </c>
      <c r="D1448" s="103" t="s">
        <v>70</v>
      </c>
      <c r="E1448" s="103" t="s">
        <v>306</v>
      </c>
      <c r="F1448" s="103">
        <v>596</v>
      </c>
      <c r="G1448" s="103">
        <v>85</v>
      </c>
      <c r="H1448" s="103" t="s">
        <v>3008</v>
      </c>
      <c r="I1448" s="103">
        <v>45</v>
      </c>
      <c r="K1448" s="103" t="s">
        <v>1032</v>
      </c>
      <c r="L1448" s="133"/>
      <c r="M1448" s="134">
        <v>3.888888888888889E-2</v>
      </c>
      <c r="N1448" s="135" t="s">
        <v>3792</v>
      </c>
      <c r="O1448" s="133" t="s">
        <v>376</v>
      </c>
      <c r="Q1448" s="100" t="s">
        <v>3782</v>
      </c>
      <c r="R1448" s="226" t="s">
        <v>3813</v>
      </c>
      <c r="S1448" s="491" t="str">
        <f t="shared" si="45"/>
        <v>x</v>
      </c>
      <c r="T1448" s="492">
        <f>IFERROR(VLOOKUP(F1448,'Freq-Chan'!C:D,2,FALSE),"x")</f>
        <v>151.596</v>
      </c>
      <c r="U1448" s="110" t="s">
        <v>541</v>
      </c>
      <c r="V1448" s="110" t="str">
        <f t="shared" si="46"/>
        <v>FWL</v>
      </c>
      <c r="W1448" s="110" t="s">
        <v>541</v>
      </c>
      <c r="X1448" s="110" t="s">
        <v>541</v>
      </c>
      <c r="Y1448" s="110" t="str">
        <f>IFERROR(VLOOKUP(F1448,'Freq-Chan'!C:E,3,FALSE),"na")</f>
        <v>F1835</v>
      </c>
      <c r="Z1448" s="110" t="s">
        <v>541</v>
      </c>
      <c r="AA1448" s="110" t="s">
        <v>541</v>
      </c>
      <c r="AB1448" s="110" t="s">
        <v>541</v>
      </c>
      <c r="AC1448" s="10" t="s">
        <v>541</v>
      </c>
      <c r="AD1448" s="10" t="s">
        <v>541</v>
      </c>
    </row>
    <row r="1449" spans="1:30" x14ac:dyDescent="0.2">
      <c r="A1449" s="110">
        <v>1448</v>
      </c>
      <c r="B1449" s="132">
        <v>41850</v>
      </c>
      <c r="C1449" s="117">
        <v>1</v>
      </c>
      <c r="D1449" s="103" t="s">
        <v>70</v>
      </c>
      <c r="E1449" s="103" t="s">
        <v>306</v>
      </c>
      <c r="F1449" s="103">
        <v>515</v>
      </c>
      <c r="G1449" s="103">
        <v>20</v>
      </c>
      <c r="H1449" s="103" t="s">
        <v>3009</v>
      </c>
      <c r="I1449" s="103">
        <v>48</v>
      </c>
      <c r="K1449" s="103" t="s">
        <v>1032</v>
      </c>
      <c r="L1449" s="133"/>
      <c r="M1449" s="134">
        <v>3.6805555555555557E-2</v>
      </c>
      <c r="N1449" s="135" t="s">
        <v>1649</v>
      </c>
      <c r="O1449" s="133" t="s">
        <v>376</v>
      </c>
      <c r="Q1449" s="100" t="s">
        <v>3782</v>
      </c>
      <c r="R1449" s="226" t="s">
        <v>3813</v>
      </c>
      <c r="S1449" s="491" t="str">
        <f t="shared" si="45"/>
        <v>x</v>
      </c>
      <c r="T1449" s="492">
        <f>IFERROR(VLOOKUP(F1449,'Freq-Chan'!C:D,2,FALSE),"x")</f>
        <v>151.51499999999999</v>
      </c>
      <c r="U1449" s="110" t="s">
        <v>541</v>
      </c>
      <c r="V1449" s="110" t="str">
        <f t="shared" si="46"/>
        <v>FWL</v>
      </c>
      <c r="W1449" s="110" t="s">
        <v>541</v>
      </c>
      <c r="X1449" s="110" t="s">
        <v>541</v>
      </c>
      <c r="Y1449" s="110" t="str">
        <f>IFERROR(VLOOKUP(F1449,'Freq-Chan'!C:E,3,FALSE),"na")</f>
        <v>F1835</v>
      </c>
      <c r="Z1449" s="110" t="s">
        <v>541</v>
      </c>
      <c r="AA1449" s="110" t="s">
        <v>541</v>
      </c>
      <c r="AB1449" s="110" t="s">
        <v>541</v>
      </c>
      <c r="AC1449" s="10" t="s">
        <v>541</v>
      </c>
      <c r="AD1449" s="10" t="s">
        <v>541</v>
      </c>
    </row>
    <row r="1450" spans="1:30" x14ac:dyDescent="0.2">
      <c r="A1450" s="110">
        <v>1449</v>
      </c>
      <c r="B1450" s="132">
        <v>41850</v>
      </c>
      <c r="C1450" s="117">
        <v>1</v>
      </c>
      <c r="D1450" s="103" t="s">
        <v>70</v>
      </c>
      <c r="E1450" s="103" t="s">
        <v>306</v>
      </c>
      <c r="F1450" s="103">
        <v>515</v>
      </c>
      <c r="G1450" s="103">
        <v>7</v>
      </c>
      <c r="H1450" s="103" t="s">
        <v>3010</v>
      </c>
      <c r="I1450" s="103">
        <v>43</v>
      </c>
      <c r="K1450" s="103" t="s">
        <v>365</v>
      </c>
      <c r="L1450" s="133"/>
      <c r="M1450" s="134">
        <v>3.7499999999999999E-2</v>
      </c>
      <c r="N1450" s="135" t="s">
        <v>3793</v>
      </c>
      <c r="O1450" s="133" t="s">
        <v>376</v>
      </c>
      <c r="Q1450" s="100" t="s">
        <v>3782</v>
      </c>
      <c r="R1450" s="226" t="s">
        <v>3813</v>
      </c>
      <c r="S1450" s="491" t="str">
        <f t="shared" si="45"/>
        <v>x</v>
      </c>
      <c r="T1450" s="492">
        <f>IFERROR(VLOOKUP(F1450,'Freq-Chan'!C:D,2,FALSE),"x")</f>
        <v>151.51499999999999</v>
      </c>
      <c r="U1450" s="110" t="s">
        <v>541</v>
      </c>
      <c r="V1450" s="110" t="str">
        <f t="shared" si="46"/>
        <v>FWL</v>
      </c>
      <c r="W1450" s="110" t="s">
        <v>541</v>
      </c>
      <c r="X1450" s="110" t="s">
        <v>541</v>
      </c>
      <c r="Y1450" s="110" t="str">
        <f>IFERROR(VLOOKUP(F1450,'Freq-Chan'!C:E,3,FALSE),"na")</f>
        <v>F1835</v>
      </c>
      <c r="Z1450" s="110" t="s">
        <v>541</v>
      </c>
      <c r="AA1450" s="110" t="s">
        <v>541</v>
      </c>
      <c r="AB1450" s="110" t="s">
        <v>541</v>
      </c>
      <c r="AC1450" s="10" t="s">
        <v>541</v>
      </c>
      <c r="AD1450" s="10" t="s">
        <v>541</v>
      </c>
    </row>
    <row r="1451" spans="1:30" x14ac:dyDescent="0.2">
      <c r="A1451" s="110">
        <v>1450</v>
      </c>
      <c r="B1451" s="132">
        <v>41850</v>
      </c>
      <c r="C1451" s="117">
        <v>1</v>
      </c>
      <c r="D1451" s="103" t="s">
        <v>70</v>
      </c>
      <c r="E1451" s="103" t="s">
        <v>306</v>
      </c>
      <c r="H1451" s="103"/>
      <c r="I1451" s="103">
        <v>46</v>
      </c>
      <c r="K1451" s="103" t="s">
        <v>1032</v>
      </c>
      <c r="L1451" s="133"/>
      <c r="M1451" s="134">
        <v>1.5277777777777777E-2</v>
      </c>
      <c r="N1451" s="135" t="s">
        <v>3794</v>
      </c>
      <c r="O1451" s="133" t="s">
        <v>376</v>
      </c>
      <c r="Q1451" s="100" t="s">
        <v>3782</v>
      </c>
      <c r="R1451" s="226" t="s">
        <v>3813</v>
      </c>
      <c r="S1451" s="491" t="str">
        <f t="shared" si="45"/>
        <v>x</v>
      </c>
      <c r="T1451" s="492" t="str">
        <f>IFERROR(VLOOKUP(F1451,'Freq-Chan'!C:D,2,FALSE),"x")</f>
        <v>x</v>
      </c>
      <c r="U1451" s="110" t="s">
        <v>541</v>
      </c>
      <c r="V1451" s="110" t="str">
        <f t="shared" si="46"/>
        <v>FWL</v>
      </c>
      <c r="W1451" s="110" t="s">
        <v>541</v>
      </c>
      <c r="X1451" s="110" t="s">
        <v>541</v>
      </c>
      <c r="Y1451" s="110" t="str">
        <f>IFERROR(VLOOKUP(F1451,'Freq-Chan'!C:E,3,FALSE),"na")</f>
        <v>na</v>
      </c>
      <c r="Z1451" s="110" t="s">
        <v>541</v>
      </c>
      <c r="AA1451" s="110" t="s">
        <v>541</v>
      </c>
      <c r="AB1451" s="110" t="s">
        <v>541</v>
      </c>
      <c r="AC1451" s="10" t="s">
        <v>541</v>
      </c>
      <c r="AD1451" s="10" t="s">
        <v>541</v>
      </c>
    </row>
    <row r="1452" spans="1:30" x14ac:dyDescent="0.2">
      <c r="A1452" s="110">
        <v>1451</v>
      </c>
      <c r="B1452" s="132">
        <v>41850</v>
      </c>
      <c r="C1452" s="117">
        <v>1</v>
      </c>
      <c r="D1452" s="103" t="s">
        <v>70</v>
      </c>
      <c r="E1452" s="103" t="s">
        <v>306</v>
      </c>
      <c r="H1452" s="103"/>
      <c r="I1452" s="103">
        <v>46</v>
      </c>
      <c r="K1452" s="103" t="s">
        <v>365</v>
      </c>
      <c r="L1452" s="133"/>
      <c r="M1452" s="134">
        <v>1.5972222222222224E-2</v>
      </c>
      <c r="N1452" s="135" t="s">
        <v>3344</v>
      </c>
      <c r="O1452" s="133" t="s">
        <v>376</v>
      </c>
      <c r="Q1452" s="100" t="s">
        <v>3782</v>
      </c>
      <c r="R1452" s="226" t="s">
        <v>3813</v>
      </c>
      <c r="S1452" s="491" t="str">
        <f t="shared" si="45"/>
        <v>x</v>
      </c>
      <c r="T1452" s="492" t="str">
        <f>IFERROR(VLOOKUP(F1452,'Freq-Chan'!C:D,2,FALSE),"x")</f>
        <v>x</v>
      </c>
      <c r="U1452" s="110" t="s">
        <v>541</v>
      </c>
      <c r="V1452" s="110" t="str">
        <f t="shared" si="46"/>
        <v>FWL</v>
      </c>
      <c r="W1452" s="110" t="s">
        <v>541</v>
      </c>
      <c r="X1452" s="110" t="s">
        <v>541</v>
      </c>
      <c r="Y1452" s="110" t="str">
        <f>IFERROR(VLOOKUP(F1452,'Freq-Chan'!C:E,3,FALSE),"na")</f>
        <v>na</v>
      </c>
      <c r="Z1452" s="110" t="s">
        <v>541</v>
      </c>
      <c r="AA1452" s="110" t="s">
        <v>541</v>
      </c>
      <c r="AB1452" s="110" t="s">
        <v>541</v>
      </c>
      <c r="AC1452" s="10" t="s">
        <v>541</v>
      </c>
      <c r="AD1452" s="10" t="s">
        <v>541</v>
      </c>
    </row>
    <row r="1453" spans="1:30" x14ac:dyDescent="0.2">
      <c r="A1453" s="110">
        <v>1452</v>
      </c>
      <c r="B1453" s="132">
        <v>41850</v>
      </c>
      <c r="C1453" s="117">
        <v>1</v>
      </c>
      <c r="D1453" s="103" t="s">
        <v>70</v>
      </c>
      <c r="E1453" s="103" t="s">
        <v>306</v>
      </c>
      <c r="H1453" s="103"/>
      <c r="I1453" s="103">
        <v>46</v>
      </c>
      <c r="K1453" s="103" t="s">
        <v>365</v>
      </c>
      <c r="L1453" s="133"/>
      <c r="M1453" s="134">
        <v>1.5972222222222224E-2</v>
      </c>
      <c r="N1453" s="135" t="s">
        <v>3795</v>
      </c>
      <c r="O1453" s="133" t="s">
        <v>376</v>
      </c>
      <c r="Q1453" s="100" t="s">
        <v>3782</v>
      </c>
      <c r="R1453" s="226" t="s">
        <v>3813</v>
      </c>
      <c r="S1453" s="491" t="str">
        <f t="shared" si="45"/>
        <v>x</v>
      </c>
      <c r="T1453" s="492" t="str">
        <f>IFERROR(VLOOKUP(F1453,'Freq-Chan'!C:D,2,FALSE),"x")</f>
        <v>x</v>
      </c>
      <c r="U1453" s="110" t="s">
        <v>541</v>
      </c>
      <c r="V1453" s="110" t="str">
        <f t="shared" si="46"/>
        <v>FWL</v>
      </c>
      <c r="W1453" s="110" t="s">
        <v>541</v>
      </c>
      <c r="X1453" s="110" t="s">
        <v>541</v>
      </c>
      <c r="Y1453" s="110" t="str">
        <f>IFERROR(VLOOKUP(F1453,'Freq-Chan'!C:E,3,FALSE),"na")</f>
        <v>na</v>
      </c>
      <c r="Z1453" s="110" t="s">
        <v>541</v>
      </c>
      <c r="AA1453" s="110" t="s">
        <v>541</v>
      </c>
      <c r="AB1453" s="110" t="s">
        <v>541</v>
      </c>
      <c r="AC1453" s="10" t="s">
        <v>541</v>
      </c>
      <c r="AD1453" s="10" t="s">
        <v>541</v>
      </c>
    </row>
    <row r="1454" spans="1:30" x14ac:dyDescent="0.2">
      <c r="A1454" s="110">
        <v>1453</v>
      </c>
      <c r="B1454" s="132">
        <v>41850</v>
      </c>
      <c r="C1454" s="117">
        <v>1</v>
      </c>
      <c r="D1454" s="103" t="s">
        <v>70</v>
      </c>
      <c r="E1454" s="103" t="s">
        <v>306</v>
      </c>
      <c r="H1454" s="103"/>
      <c r="I1454" s="103">
        <v>47</v>
      </c>
      <c r="K1454" s="103" t="s">
        <v>365</v>
      </c>
      <c r="L1454" s="133"/>
      <c r="M1454" s="134">
        <v>1.5277777777777777E-2</v>
      </c>
      <c r="N1454" s="135" t="s">
        <v>3796</v>
      </c>
      <c r="O1454" s="133" t="s">
        <v>376</v>
      </c>
      <c r="Q1454" s="100" t="s">
        <v>3782</v>
      </c>
      <c r="R1454" s="226" t="s">
        <v>3813</v>
      </c>
      <c r="S1454" s="491" t="str">
        <f t="shared" si="45"/>
        <v>x</v>
      </c>
      <c r="T1454" s="492" t="str">
        <f>IFERROR(VLOOKUP(F1454,'Freq-Chan'!C:D,2,FALSE),"x")</f>
        <v>x</v>
      </c>
      <c r="U1454" s="110" t="s">
        <v>541</v>
      </c>
      <c r="V1454" s="110" t="str">
        <f t="shared" si="46"/>
        <v>FWL</v>
      </c>
      <c r="W1454" s="110" t="s">
        <v>541</v>
      </c>
      <c r="X1454" s="110" t="s">
        <v>541</v>
      </c>
      <c r="Y1454" s="110" t="str">
        <f>IFERROR(VLOOKUP(F1454,'Freq-Chan'!C:E,3,FALSE),"na")</f>
        <v>na</v>
      </c>
      <c r="Z1454" s="110" t="s">
        <v>541</v>
      </c>
      <c r="AA1454" s="110" t="s">
        <v>541</v>
      </c>
      <c r="AB1454" s="110" t="s">
        <v>541</v>
      </c>
      <c r="AC1454" s="10" t="s">
        <v>541</v>
      </c>
      <c r="AD1454" s="10" t="s">
        <v>541</v>
      </c>
    </row>
    <row r="1455" spans="1:30" x14ac:dyDescent="0.2">
      <c r="A1455" s="110">
        <v>1454</v>
      </c>
      <c r="B1455" s="132">
        <v>41850</v>
      </c>
      <c r="C1455" s="117">
        <v>1</v>
      </c>
      <c r="D1455" s="103" t="s">
        <v>70</v>
      </c>
      <c r="E1455" s="103" t="s">
        <v>306</v>
      </c>
      <c r="H1455" s="103"/>
      <c r="I1455" s="103">
        <v>45</v>
      </c>
      <c r="K1455" s="103" t="s">
        <v>365</v>
      </c>
      <c r="L1455" s="133"/>
      <c r="M1455" s="134">
        <v>1.4583333333333332E-2</v>
      </c>
      <c r="N1455" s="135" t="s">
        <v>2933</v>
      </c>
      <c r="O1455" s="133" t="s">
        <v>376</v>
      </c>
      <c r="Q1455" s="100" t="s">
        <v>3782</v>
      </c>
      <c r="R1455" s="226" t="s">
        <v>3813</v>
      </c>
      <c r="S1455" s="491" t="str">
        <f t="shared" si="45"/>
        <v>x</v>
      </c>
      <c r="T1455" s="492" t="str">
        <f>IFERROR(VLOOKUP(F1455,'Freq-Chan'!C:D,2,FALSE),"x")</f>
        <v>x</v>
      </c>
      <c r="U1455" s="110" t="s">
        <v>541</v>
      </c>
      <c r="V1455" s="110" t="str">
        <f t="shared" si="46"/>
        <v>FWL</v>
      </c>
      <c r="W1455" s="110" t="s">
        <v>541</v>
      </c>
      <c r="X1455" s="110" t="s">
        <v>541</v>
      </c>
      <c r="Y1455" s="110" t="str">
        <f>IFERROR(VLOOKUP(F1455,'Freq-Chan'!C:E,3,FALSE),"na")</f>
        <v>na</v>
      </c>
      <c r="Z1455" s="110" t="s">
        <v>541</v>
      </c>
      <c r="AA1455" s="110" t="s">
        <v>541</v>
      </c>
      <c r="AB1455" s="110" t="s">
        <v>541</v>
      </c>
      <c r="AC1455" s="10" t="s">
        <v>541</v>
      </c>
      <c r="AD1455" s="10" t="s">
        <v>541</v>
      </c>
    </row>
    <row r="1456" spans="1:30" x14ac:dyDescent="0.2">
      <c r="A1456" s="110">
        <v>1455</v>
      </c>
      <c r="B1456" s="132">
        <v>41850</v>
      </c>
      <c r="C1456" s="117">
        <v>1</v>
      </c>
      <c r="D1456" s="103" t="s">
        <v>70</v>
      </c>
      <c r="E1456" s="103" t="s">
        <v>306</v>
      </c>
      <c r="H1456" s="103"/>
      <c r="I1456" s="103">
        <v>46</v>
      </c>
      <c r="K1456" s="103" t="s">
        <v>1032</v>
      </c>
      <c r="L1456" s="133"/>
      <c r="M1456" s="134">
        <v>1.3194444444444444E-2</v>
      </c>
      <c r="N1456" s="135" t="s">
        <v>3769</v>
      </c>
      <c r="O1456" s="133" t="s">
        <v>376</v>
      </c>
      <c r="Q1456" s="100" t="s">
        <v>3782</v>
      </c>
      <c r="R1456" s="226" t="s">
        <v>3813</v>
      </c>
      <c r="S1456" s="491" t="str">
        <f t="shared" si="45"/>
        <v>x</v>
      </c>
      <c r="T1456" s="492" t="str">
        <f>IFERROR(VLOOKUP(F1456,'Freq-Chan'!C:D,2,FALSE),"x")</f>
        <v>x</v>
      </c>
      <c r="U1456" s="110" t="s">
        <v>541</v>
      </c>
      <c r="V1456" s="110" t="str">
        <f t="shared" si="46"/>
        <v>FWL</v>
      </c>
      <c r="W1456" s="110" t="s">
        <v>541</v>
      </c>
      <c r="X1456" s="110" t="s">
        <v>541</v>
      </c>
      <c r="Y1456" s="110" t="str">
        <f>IFERROR(VLOOKUP(F1456,'Freq-Chan'!C:E,3,FALSE),"na")</f>
        <v>na</v>
      </c>
      <c r="Z1456" s="110" t="s">
        <v>541</v>
      </c>
      <c r="AA1456" s="110" t="s">
        <v>541</v>
      </c>
      <c r="AB1456" s="110" t="s">
        <v>541</v>
      </c>
      <c r="AC1456" s="10" t="s">
        <v>541</v>
      </c>
      <c r="AD1456" s="10" t="s">
        <v>541</v>
      </c>
    </row>
    <row r="1457" spans="1:30" x14ac:dyDescent="0.2">
      <c r="A1457" s="110">
        <v>1456</v>
      </c>
      <c r="B1457" s="132">
        <v>41850</v>
      </c>
      <c r="C1457" s="117">
        <v>1</v>
      </c>
      <c r="D1457" s="103" t="s">
        <v>70</v>
      </c>
      <c r="E1457" s="103" t="s">
        <v>306</v>
      </c>
      <c r="H1457" s="103"/>
      <c r="I1457" s="103">
        <v>45</v>
      </c>
      <c r="K1457" s="103" t="s">
        <v>365</v>
      </c>
      <c r="L1457" s="133"/>
      <c r="M1457" s="134">
        <v>1.8055555555555557E-2</v>
      </c>
      <c r="N1457" s="137" t="s">
        <v>3797</v>
      </c>
      <c r="O1457" s="133" t="s">
        <v>3431</v>
      </c>
      <c r="Q1457" s="100" t="s">
        <v>3782</v>
      </c>
      <c r="R1457" s="226" t="s">
        <v>3813</v>
      </c>
      <c r="S1457" s="491" t="str">
        <f t="shared" si="45"/>
        <v>x</v>
      </c>
      <c r="T1457" s="492" t="str">
        <f>IFERROR(VLOOKUP(F1457,'Freq-Chan'!C:D,2,FALSE),"x")</f>
        <v>x</v>
      </c>
      <c r="U1457" s="110" t="s">
        <v>541</v>
      </c>
      <c r="V1457" s="110" t="str">
        <f t="shared" si="46"/>
        <v>FWL</v>
      </c>
      <c r="W1457" s="110" t="s">
        <v>541</v>
      </c>
      <c r="X1457" s="110" t="s">
        <v>541</v>
      </c>
      <c r="Y1457" s="110" t="str">
        <f>IFERROR(VLOOKUP(F1457,'Freq-Chan'!C:E,3,FALSE),"na")</f>
        <v>na</v>
      </c>
      <c r="Z1457" s="110" t="s">
        <v>541</v>
      </c>
      <c r="AA1457" s="110" t="s">
        <v>541</v>
      </c>
      <c r="AB1457" s="110" t="s">
        <v>541</v>
      </c>
      <c r="AC1457" s="10" t="s">
        <v>541</v>
      </c>
      <c r="AD1457" s="10" t="s">
        <v>541</v>
      </c>
    </row>
    <row r="1458" spans="1:30" x14ac:dyDescent="0.2">
      <c r="A1458" s="110">
        <v>1457</v>
      </c>
      <c r="B1458" s="132">
        <v>41850</v>
      </c>
      <c r="C1458" s="117">
        <v>1</v>
      </c>
      <c r="D1458" s="103" t="s">
        <v>70</v>
      </c>
      <c r="E1458" s="103" t="s">
        <v>306</v>
      </c>
      <c r="H1458" s="103"/>
      <c r="I1458" s="103">
        <v>47</v>
      </c>
      <c r="K1458" s="103" t="s">
        <v>1032</v>
      </c>
      <c r="L1458" s="133"/>
      <c r="M1458" s="134">
        <v>1.7361111111111112E-2</v>
      </c>
      <c r="N1458" s="137" t="s">
        <v>1796</v>
      </c>
      <c r="O1458" s="133" t="s">
        <v>3431</v>
      </c>
      <c r="Q1458" s="100" t="s">
        <v>3782</v>
      </c>
      <c r="R1458" s="226" t="s">
        <v>3813</v>
      </c>
      <c r="S1458" s="491" t="str">
        <f t="shared" si="45"/>
        <v>x</v>
      </c>
      <c r="T1458" s="492" t="str">
        <f>IFERROR(VLOOKUP(F1458,'Freq-Chan'!C:D,2,FALSE),"x")</f>
        <v>x</v>
      </c>
      <c r="U1458" s="110" t="s">
        <v>541</v>
      </c>
      <c r="V1458" s="110" t="str">
        <f t="shared" si="46"/>
        <v>FWL</v>
      </c>
      <c r="W1458" s="110" t="s">
        <v>541</v>
      </c>
      <c r="X1458" s="110" t="s">
        <v>541</v>
      </c>
      <c r="Y1458" s="110" t="str">
        <f>IFERROR(VLOOKUP(F1458,'Freq-Chan'!C:E,3,FALSE),"na")</f>
        <v>na</v>
      </c>
      <c r="Z1458" s="110" t="s">
        <v>541</v>
      </c>
      <c r="AA1458" s="110" t="s">
        <v>541</v>
      </c>
      <c r="AB1458" s="110" t="s">
        <v>541</v>
      </c>
      <c r="AC1458" s="10" t="s">
        <v>541</v>
      </c>
      <c r="AD1458" s="10" t="s">
        <v>541</v>
      </c>
    </row>
    <row r="1459" spans="1:30" x14ac:dyDescent="0.2">
      <c r="A1459" s="110">
        <v>1458</v>
      </c>
      <c r="B1459" s="132">
        <v>41850</v>
      </c>
      <c r="C1459" s="117">
        <v>1</v>
      </c>
      <c r="D1459" s="103" t="s">
        <v>70</v>
      </c>
      <c r="E1459" s="103" t="s">
        <v>306</v>
      </c>
      <c r="H1459" s="103"/>
      <c r="I1459" s="103">
        <v>46</v>
      </c>
      <c r="K1459" s="103" t="s">
        <v>365</v>
      </c>
      <c r="L1459" s="133"/>
      <c r="M1459" s="134">
        <v>1.3194444444444444E-2</v>
      </c>
      <c r="N1459" s="137" t="s">
        <v>2892</v>
      </c>
      <c r="O1459" s="133" t="s">
        <v>3431</v>
      </c>
      <c r="Q1459" s="100" t="s">
        <v>3782</v>
      </c>
      <c r="R1459" s="226" t="s">
        <v>3813</v>
      </c>
      <c r="S1459" s="491" t="str">
        <f t="shared" si="45"/>
        <v>x</v>
      </c>
      <c r="T1459" s="492" t="str">
        <f>IFERROR(VLOOKUP(F1459,'Freq-Chan'!C:D,2,FALSE),"x")</f>
        <v>x</v>
      </c>
      <c r="U1459" s="110" t="s">
        <v>541</v>
      </c>
      <c r="V1459" s="110" t="str">
        <f t="shared" si="46"/>
        <v>FWL</v>
      </c>
      <c r="W1459" s="110" t="s">
        <v>541</v>
      </c>
      <c r="X1459" s="110" t="s">
        <v>541</v>
      </c>
      <c r="Y1459" s="110" t="str">
        <f>IFERROR(VLOOKUP(F1459,'Freq-Chan'!C:E,3,FALSE),"na")</f>
        <v>na</v>
      </c>
      <c r="Z1459" s="110" t="s">
        <v>541</v>
      </c>
      <c r="AA1459" s="110" t="s">
        <v>541</v>
      </c>
      <c r="AB1459" s="110" t="s">
        <v>541</v>
      </c>
      <c r="AC1459" s="10" t="s">
        <v>541</v>
      </c>
      <c r="AD1459" s="10" t="s">
        <v>541</v>
      </c>
    </row>
    <row r="1460" spans="1:30" x14ac:dyDescent="0.2">
      <c r="A1460" s="110">
        <v>1459</v>
      </c>
      <c r="B1460" s="132">
        <v>41850</v>
      </c>
      <c r="C1460" s="117">
        <v>1</v>
      </c>
      <c r="D1460" s="103" t="s">
        <v>70</v>
      </c>
      <c r="E1460" s="103" t="s">
        <v>306</v>
      </c>
      <c r="H1460" s="103"/>
      <c r="I1460" s="103">
        <v>43</v>
      </c>
      <c r="K1460" s="103" t="s">
        <v>365</v>
      </c>
      <c r="L1460" s="133"/>
      <c r="M1460" s="134">
        <v>1.1111111111111112E-2</v>
      </c>
      <c r="N1460" s="137" t="s">
        <v>2777</v>
      </c>
      <c r="O1460" s="133" t="s">
        <v>3431</v>
      </c>
      <c r="Q1460" s="100" t="s">
        <v>3782</v>
      </c>
      <c r="R1460" s="226" t="s">
        <v>3813</v>
      </c>
      <c r="S1460" s="491" t="str">
        <f t="shared" si="45"/>
        <v>x</v>
      </c>
      <c r="T1460" s="492" t="str">
        <f>IFERROR(VLOOKUP(F1460,'Freq-Chan'!C:D,2,FALSE),"x")</f>
        <v>x</v>
      </c>
      <c r="U1460" s="110" t="s">
        <v>541</v>
      </c>
      <c r="V1460" s="110" t="str">
        <f t="shared" si="46"/>
        <v>FWL</v>
      </c>
      <c r="W1460" s="110" t="s">
        <v>541</v>
      </c>
      <c r="X1460" s="110" t="s">
        <v>541</v>
      </c>
      <c r="Y1460" s="110" t="str">
        <f>IFERROR(VLOOKUP(F1460,'Freq-Chan'!C:E,3,FALSE),"na")</f>
        <v>na</v>
      </c>
      <c r="Z1460" s="110" t="s">
        <v>541</v>
      </c>
      <c r="AA1460" s="110" t="s">
        <v>541</v>
      </c>
      <c r="AB1460" s="110" t="s">
        <v>541</v>
      </c>
      <c r="AC1460" s="10" t="s">
        <v>541</v>
      </c>
      <c r="AD1460" s="10" t="s">
        <v>541</v>
      </c>
    </row>
    <row r="1461" spans="1:30" x14ac:dyDescent="0.2">
      <c r="A1461" s="110">
        <v>1460</v>
      </c>
      <c r="B1461" s="132">
        <v>41850</v>
      </c>
      <c r="C1461" s="117">
        <v>1</v>
      </c>
      <c r="D1461" s="103" t="s">
        <v>70</v>
      </c>
      <c r="E1461" s="103" t="s">
        <v>306</v>
      </c>
      <c r="H1461" s="103"/>
      <c r="I1461" s="103">
        <v>49</v>
      </c>
      <c r="K1461" s="103" t="s">
        <v>1032</v>
      </c>
      <c r="L1461" s="133"/>
      <c r="M1461" s="134">
        <v>1.4583333333333332E-2</v>
      </c>
      <c r="N1461" s="137" t="s">
        <v>2777</v>
      </c>
      <c r="O1461" s="133" t="s">
        <v>3431</v>
      </c>
      <c r="Q1461" s="100" t="s">
        <v>3782</v>
      </c>
      <c r="R1461" s="226" t="s">
        <v>3813</v>
      </c>
      <c r="S1461" s="491" t="str">
        <f t="shared" si="45"/>
        <v>x</v>
      </c>
      <c r="T1461" s="492" t="str">
        <f>IFERROR(VLOOKUP(F1461,'Freq-Chan'!C:D,2,FALSE),"x")</f>
        <v>x</v>
      </c>
      <c r="U1461" s="110" t="s">
        <v>541</v>
      </c>
      <c r="V1461" s="110" t="str">
        <f t="shared" si="46"/>
        <v>FWL</v>
      </c>
      <c r="W1461" s="110" t="s">
        <v>541</v>
      </c>
      <c r="X1461" s="110" t="s">
        <v>541</v>
      </c>
      <c r="Y1461" s="110" t="str">
        <f>IFERROR(VLOOKUP(F1461,'Freq-Chan'!C:E,3,FALSE),"na")</f>
        <v>na</v>
      </c>
      <c r="Z1461" s="110" t="s">
        <v>541</v>
      </c>
      <c r="AA1461" s="110" t="s">
        <v>541</v>
      </c>
      <c r="AB1461" s="110" t="s">
        <v>541</v>
      </c>
      <c r="AC1461" s="10" t="s">
        <v>541</v>
      </c>
      <c r="AD1461" s="10" t="s">
        <v>541</v>
      </c>
    </row>
    <row r="1462" spans="1:30" x14ac:dyDescent="0.2">
      <c r="A1462" s="110">
        <v>1461</v>
      </c>
      <c r="B1462" s="132">
        <v>41850</v>
      </c>
      <c r="C1462" s="117">
        <v>1</v>
      </c>
      <c r="D1462" s="103" t="s">
        <v>70</v>
      </c>
      <c r="E1462" s="103" t="s">
        <v>306</v>
      </c>
      <c r="H1462" s="103"/>
      <c r="I1462" s="103">
        <v>48</v>
      </c>
      <c r="K1462" s="103" t="s">
        <v>1032</v>
      </c>
      <c r="L1462" s="133"/>
      <c r="M1462" s="134">
        <v>2.4999999999999998E-2</v>
      </c>
      <c r="N1462" s="137" t="s">
        <v>2754</v>
      </c>
      <c r="O1462" s="133" t="s">
        <v>3431</v>
      </c>
      <c r="Q1462" s="100" t="s">
        <v>3782</v>
      </c>
      <c r="R1462" s="226" t="s">
        <v>3813</v>
      </c>
      <c r="S1462" s="491" t="str">
        <f t="shared" si="45"/>
        <v>x</v>
      </c>
      <c r="T1462" s="492" t="str">
        <f>IFERROR(VLOOKUP(F1462,'Freq-Chan'!C:D,2,FALSE),"x")</f>
        <v>x</v>
      </c>
      <c r="U1462" s="110" t="s">
        <v>541</v>
      </c>
      <c r="V1462" s="110" t="str">
        <f t="shared" si="46"/>
        <v>FWL</v>
      </c>
      <c r="W1462" s="110" t="s">
        <v>541</v>
      </c>
      <c r="X1462" s="110" t="s">
        <v>541</v>
      </c>
      <c r="Y1462" s="110" t="str">
        <f>IFERROR(VLOOKUP(F1462,'Freq-Chan'!C:E,3,FALSE),"na")</f>
        <v>na</v>
      </c>
      <c r="Z1462" s="110" t="s">
        <v>541</v>
      </c>
      <c r="AA1462" s="110" t="s">
        <v>541</v>
      </c>
      <c r="AB1462" s="110" t="s">
        <v>541</v>
      </c>
      <c r="AC1462" s="10" t="s">
        <v>541</v>
      </c>
      <c r="AD1462" s="10" t="s">
        <v>541</v>
      </c>
    </row>
    <row r="1463" spans="1:30" x14ac:dyDescent="0.2">
      <c r="A1463" s="110">
        <v>1462</v>
      </c>
      <c r="B1463" s="132">
        <v>41850</v>
      </c>
      <c r="C1463" s="117">
        <v>1</v>
      </c>
      <c r="D1463" s="103" t="s">
        <v>71</v>
      </c>
      <c r="E1463" s="103" t="s">
        <v>306</v>
      </c>
      <c r="F1463" s="103">
        <v>564</v>
      </c>
      <c r="G1463" s="103">
        <v>16</v>
      </c>
      <c r="H1463" s="103" t="s">
        <v>2335</v>
      </c>
      <c r="I1463" s="103">
        <v>63</v>
      </c>
      <c r="K1463" s="103" t="s">
        <v>364</v>
      </c>
      <c r="L1463" s="133"/>
      <c r="M1463" s="134">
        <v>4.4444444444444446E-2</v>
      </c>
      <c r="N1463" s="137" t="s">
        <v>3799</v>
      </c>
      <c r="O1463" s="133" t="s">
        <v>376</v>
      </c>
      <c r="Q1463" s="100" t="s">
        <v>3782</v>
      </c>
      <c r="R1463" s="226" t="s">
        <v>3813</v>
      </c>
      <c r="S1463" s="491" t="str">
        <f t="shared" si="45"/>
        <v>x</v>
      </c>
      <c r="T1463" s="492">
        <f>IFERROR(VLOOKUP(F1463,'Freq-Chan'!C:D,2,FALSE),"x")</f>
        <v>151.56399999999999</v>
      </c>
      <c r="U1463" s="110" t="s">
        <v>541</v>
      </c>
      <c r="V1463" s="110" t="str">
        <f t="shared" si="46"/>
        <v>FWL</v>
      </c>
      <c r="W1463" s="110" t="s">
        <v>541</v>
      </c>
      <c r="X1463" s="110" t="s">
        <v>541</v>
      </c>
      <c r="Y1463" s="110" t="str">
        <f>IFERROR(VLOOKUP(F1463,'Freq-Chan'!C:E,3,FALSE),"na")</f>
        <v>F1840</v>
      </c>
      <c r="Z1463" s="110" t="s">
        <v>541</v>
      </c>
      <c r="AA1463" s="110" t="s">
        <v>541</v>
      </c>
      <c r="AB1463" s="110" t="s">
        <v>541</v>
      </c>
      <c r="AC1463" s="10" t="s">
        <v>541</v>
      </c>
      <c r="AD1463" s="10" t="s">
        <v>541</v>
      </c>
    </row>
    <row r="1464" spans="1:30" x14ac:dyDescent="0.2">
      <c r="A1464" s="110">
        <v>1463</v>
      </c>
      <c r="B1464" s="132">
        <v>41850</v>
      </c>
      <c r="C1464" s="117">
        <v>1</v>
      </c>
      <c r="D1464" s="103" t="s">
        <v>71</v>
      </c>
      <c r="E1464" s="103" t="s">
        <v>306</v>
      </c>
      <c r="F1464" s="103">
        <v>534</v>
      </c>
      <c r="G1464" s="103">
        <v>3</v>
      </c>
      <c r="H1464" s="103" t="s">
        <v>2336</v>
      </c>
      <c r="I1464" s="103">
        <v>64</v>
      </c>
      <c r="K1464" s="103" t="s">
        <v>364</v>
      </c>
      <c r="L1464" s="133"/>
      <c r="M1464" s="134">
        <v>4.2361111111111106E-2</v>
      </c>
      <c r="N1464" s="137" t="s">
        <v>3800</v>
      </c>
      <c r="O1464" s="133" t="s">
        <v>555</v>
      </c>
      <c r="Q1464" s="100" t="s">
        <v>3785</v>
      </c>
      <c r="R1464" s="226" t="s">
        <v>3813</v>
      </c>
      <c r="S1464" s="491" t="str">
        <f t="shared" si="45"/>
        <v>x</v>
      </c>
      <c r="T1464" s="492">
        <f>IFERROR(VLOOKUP(F1464,'Freq-Chan'!C:D,2,FALSE),"x")</f>
        <v>151.53399999999999</v>
      </c>
      <c r="U1464" s="110" t="s">
        <v>541</v>
      </c>
      <c r="V1464" s="110" t="str">
        <f t="shared" si="46"/>
        <v>FWL</v>
      </c>
      <c r="W1464" s="110" t="s">
        <v>541</v>
      </c>
      <c r="X1464" s="110" t="s">
        <v>541</v>
      </c>
      <c r="Y1464" s="110" t="str">
        <f>IFERROR(VLOOKUP(F1464,'Freq-Chan'!C:E,3,FALSE),"na")</f>
        <v>F1840</v>
      </c>
      <c r="Z1464" s="110" t="s">
        <v>541</v>
      </c>
      <c r="AA1464" s="110" t="s">
        <v>541</v>
      </c>
      <c r="AB1464" s="110" t="s">
        <v>541</v>
      </c>
      <c r="AC1464" s="10" t="s">
        <v>541</v>
      </c>
      <c r="AD1464" s="10" t="s">
        <v>541</v>
      </c>
    </row>
    <row r="1465" spans="1:30" x14ac:dyDescent="0.2">
      <c r="A1465" s="110">
        <v>1464</v>
      </c>
      <c r="B1465" s="132">
        <v>41850</v>
      </c>
      <c r="C1465" s="117">
        <v>1</v>
      </c>
      <c r="D1465" s="103" t="s">
        <v>71</v>
      </c>
      <c r="E1465" s="103" t="s">
        <v>306</v>
      </c>
      <c r="F1465" s="103">
        <v>564</v>
      </c>
      <c r="G1465" s="103">
        <v>7</v>
      </c>
      <c r="H1465" s="103" t="s">
        <v>2337</v>
      </c>
      <c r="I1465" s="103">
        <v>58</v>
      </c>
      <c r="K1465" s="103" t="s">
        <v>364</v>
      </c>
      <c r="L1465" s="133"/>
      <c r="M1465" s="134">
        <v>3.7499999999999999E-2</v>
      </c>
      <c r="N1465" s="137" t="s">
        <v>3798</v>
      </c>
      <c r="O1465" s="133" t="s">
        <v>555</v>
      </c>
      <c r="Q1465" s="100" t="s">
        <v>3785</v>
      </c>
      <c r="R1465" s="226" t="s">
        <v>3813</v>
      </c>
      <c r="S1465" s="491" t="str">
        <f t="shared" si="45"/>
        <v>x</v>
      </c>
      <c r="T1465" s="492">
        <f>IFERROR(VLOOKUP(F1465,'Freq-Chan'!C:D,2,FALSE),"x")</f>
        <v>151.56399999999999</v>
      </c>
      <c r="U1465" s="110" t="s">
        <v>541</v>
      </c>
      <c r="V1465" s="110" t="str">
        <f t="shared" si="46"/>
        <v>FWL</v>
      </c>
      <c r="W1465" s="110" t="s">
        <v>541</v>
      </c>
      <c r="X1465" s="110" t="s">
        <v>541</v>
      </c>
      <c r="Y1465" s="110" t="str">
        <f>IFERROR(VLOOKUP(F1465,'Freq-Chan'!C:E,3,FALSE),"na")</f>
        <v>F1840</v>
      </c>
      <c r="Z1465" s="110" t="s">
        <v>541</v>
      </c>
      <c r="AA1465" s="110" t="s">
        <v>541</v>
      </c>
      <c r="AB1465" s="110" t="s">
        <v>541</v>
      </c>
      <c r="AC1465" s="10" t="s">
        <v>541</v>
      </c>
      <c r="AD1465" s="10" t="s">
        <v>541</v>
      </c>
    </row>
    <row r="1466" spans="1:30" x14ac:dyDescent="0.2">
      <c r="A1466" s="110">
        <v>1465</v>
      </c>
      <c r="B1466" s="132">
        <v>41850</v>
      </c>
      <c r="C1466" s="117">
        <v>1</v>
      </c>
      <c r="D1466" s="103" t="s">
        <v>8</v>
      </c>
      <c r="E1466" s="103" t="s">
        <v>306</v>
      </c>
      <c r="F1466" s="103">
        <v>586</v>
      </c>
      <c r="G1466" s="103">
        <v>45</v>
      </c>
      <c r="H1466" s="103" t="s">
        <v>2186</v>
      </c>
      <c r="I1466" s="103">
        <v>53</v>
      </c>
      <c r="K1466" s="103" t="s">
        <v>364</v>
      </c>
      <c r="L1466" s="133"/>
      <c r="M1466" s="134">
        <v>3.5416666666666666E-2</v>
      </c>
      <c r="N1466" s="137" t="s">
        <v>1968</v>
      </c>
      <c r="O1466" s="133" t="s">
        <v>555</v>
      </c>
      <c r="Q1466" s="100" t="s">
        <v>3785</v>
      </c>
      <c r="R1466" s="226" t="s">
        <v>3813</v>
      </c>
      <c r="S1466" s="491" t="str">
        <f t="shared" si="45"/>
        <v>x</v>
      </c>
      <c r="T1466" s="492">
        <f>IFERROR(VLOOKUP(F1466,'Freq-Chan'!C:D,2,FALSE),"x")</f>
        <v>151.58600000000001</v>
      </c>
      <c r="U1466" s="110" t="s">
        <v>541</v>
      </c>
      <c r="V1466" s="110" t="str">
        <f t="shared" si="46"/>
        <v>FWL</v>
      </c>
      <c r="W1466" s="110" t="s">
        <v>541</v>
      </c>
      <c r="X1466" s="110" t="s">
        <v>541</v>
      </c>
      <c r="Y1466" s="110" t="str">
        <f>IFERROR(VLOOKUP(F1466,'Freq-Chan'!C:E,3,FALSE),"na")</f>
        <v>F1840</v>
      </c>
      <c r="Z1466" s="110" t="s">
        <v>541</v>
      </c>
      <c r="AA1466" s="110" t="s">
        <v>541</v>
      </c>
      <c r="AB1466" s="110" t="s">
        <v>541</v>
      </c>
      <c r="AC1466" s="10" t="s">
        <v>541</v>
      </c>
      <c r="AD1466" s="10" t="s">
        <v>541</v>
      </c>
    </row>
    <row r="1467" spans="1:30" s="291" customFormat="1" x14ac:dyDescent="0.2">
      <c r="A1467" s="493">
        <v>1466</v>
      </c>
      <c r="B1467" s="283">
        <v>41850</v>
      </c>
      <c r="C1467" s="284">
        <v>1</v>
      </c>
      <c r="D1467" s="285" t="s">
        <v>71</v>
      </c>
      <c r="E1467" s="285" t="s">
        <v>306</v>
      </c>
      <c r="F1467" s="285"/>
      <c r="G1467" s="285"/>
      <c r="H1467" s="285"/>
      <c r="I1467" s="285">
        <v>67</v>
      </c>
      <c r="J1467" s="285"/>
      <c r="K1467" s="285" t="s">
        <v>364</v>
      </c>
      <c r="L1467" s="286"/>
      <c r="M1467" s="287">
        <v>2.0833333333333332E-2</v>
      </c>
      <c r="N1467" s="339" t="s">
        <v>715</v>
      </c>
      <c r="O1467" s="286" t="s">
        <v>555</v>
      </c>
      <c r="P1467" s="289"/>
      <c r="Q1467" s="289" t="s">
        <v>3785</v>
      </c>
      <c r="R1467" s="290" t="s">
        <v>3813</v>
      </c>
      <c r="S1467" s="494" t="str">
        <f t="shared" si="45"/>
        <v>x</v>
      </c>
      <c r="T1467" s="495" t="str">
        <f>IFERROR(VLOOKUP(F1467,'Freq-Chan'!C:D,2,FALSE),"x")</f>
        <v>x</v>
      </c>
      <c r="U1467" s="493" t="s">
        <v>541</v>
      </c>
      <c r="V1467" s="493" t="str">
        <f t="shared" si="46"/>
        <v>FWL</v>
      </c>
      <c r="W1467" s="493" t="s">
        <v>541</v>
      </c>
      <c r="X1467" s="493" t="s">
        <v>541</v>
      </c>
      <c r="Y1467" s="493" t="str">
        <f>IFERROR(VLOOKUP(F1467,'Freq-Chan'!C:E,3,FALSE),"na")</f>
        <v>na</v>
      </c>
      <c r="Z1467" s="493" t="s">
        <v>541</v>
      </c>
      <c r="AA1467" s="493" t="s">
        <v>541</v>
      </c>
      <c r="AB1467" s="493" t="s">
        <v>541</v>
      </c>
      <c r="AC1467" s="291" t="s">
        <v>541</v>
      </c>
      <c r="AD1467" s="291" t="s">
        <v>541</v>
      </c>
    </row>
    <row r="1468" spans="1:30" x14ac:dyDescent="0.2">
      <c r="A1468" s="110">
        <v>1467</v>
      </c>
      <c r="B1468" s="132">
        <v>41850</v>
      </c>
      <c r="C1468" s="117">
        <v>2</v>
      </c>
      <c r="D1468" s="103" t="s">
        <v>70</v>
      </c>
      <c r="E1468" s="103" t="s">
        <v>306</v>
      </c>
      <c r="F1468" s="103">
        <v>515</v>
      </c>
      <c r="G1468" s="103">
        <v>41</v>
      </c>
      <c r="H1468" s="103" t="s">
        <v>3016</v>
      </c>
      <c r="I1468" s="103">
        <v>49</v>
      </c>
      <c r="K1468" s="103" t="s">
        <v>1032</v>
      </c>
      <c r="L1468" s="133"/>
      <c r="M1468" s="134">
        <v>4.5833333333333337E-2</v>
      </c>
      <c r="N1468" s="137" t="s">
        <v>3333</v>
      </c>
      <c r="O1468" s="133" t="s">
        <v>376</v>
      </c>
      <c r="Q1468" s="100" t="s">
        <v>3782</v>
      </c>
      <c r="R1468" s="226" t="s">
        <v>3813</v>
      </c>
      <c r="S1468" s="491" t="str">
        <f t="shared" si="45"/>
        <v>x</v>
      </c>
      <c r="T1468" s="492">
        <f>IFERROR(VLOOKUP(F1468,'Freq-Chan'!C:D,2,FALSE),"x")</f>
        <v>151.51499999999999</v>
      </c>
      <c r="U1468" s="110" t="s">
        <v>541</v>
      </c>
      <c r="V1468" s="110" t="str">
        <f t="shared" si="46"/>
        <v>FWL</v>
      </c>
      <c r="W1468" s="110" t="s">
        <v>541</v>
      </c>
      <c r="X1468" s="110" t="s">
        <v>541</v>
      </c>
      <c r="Y1468" s="110" t="str">
        <f>IFERROR(VLOOKUP(F1468,'Freq-Chan'!C:E,3,FALSE),"na")</f>
        <v>F1835</v>
      </c>
      <c r="Z1468" s="110" t="s">
        <v>541</v>
      </c>
      <c r="AA1468" s="110" t="s">
        <v>541</v>
      </c>
      <c r="AB1468" s="110" t="s">
        <v>541</v>
      </c>
      <c r="AC1468" s="10" t="s">
        <v>541</v>
      </c>
      <c r="AD1468" s="10" t="s">
        <v>541</v>
      </c>
    </row>
    <row r="1469" spans="1:30" x14ac:dyDescent="0.2">
      <c r="A1469" s="110">
        <v>1468</v>
      </c>
      <c r="B1469" s="132">
        <v>41850</v>
      </c>
      <c r="C1469" s="117">
        <v>2</v>
      </c>
      <c r="D1469" s="103" t="s">
        <v>70</v>
      </c>
      <c r="E1469" s="103" t="s">
        <v>306</v>
      </c>
      <c r="F1469" s="103">
        <v>596</v>
      </c>
      <c r="G1469" s="103">
        <v>11</v>
      </c>
      <c r="H1469" s="103" t="s">
        <v>3017</v>
      </c>
      <c r="I1469" s="103">
        <v>49</v>
      </c>
      <c r="K1469" s="103" t="s">
        <v>365</v>
      </c>
      <c r="L1469" s="133">
        <v>0.38958333333333334</v>
      </c>
      <c r="M1469" s="134">
        <v>3.2638888888888891E-2</v>
      </c>
      <c r="N1469" s="137" t="s">
        <v>3292</v>
      </c>
      <c r="O1469" s="133" t="s">
        <v>376</v>
      </c>
      <c r="Q1469" s="100" t="s">
        <v>3782</v>
      </c>
      <c r="R1469" s="226" t="s">
        <v>3813</v>
      </c>
      <c r="S1469" s="491">
        <f t="shared" si="45"/>
        <v>8.4490740000000002E-4</v>
      </c>
      <c r="T1469" s="492">
        <f>IFERROR(VLOOKUP(F1469,'Freq-Chan'!C:D,2,FALSE),"x")</f>
        <v>151.596</v>
      </c>
      <c r="U1469" s="110" t="s">
        <v>541</v>
      </c>
      <c r="V1469" s="110" t="str">
        <f t="shared" si="46"/>
        <v>FWL</v>
      </c>
      <c r="W1469" s="110" t="s">
        <v>541</v>
      </c>
      <c r="X1469" s="110" t="s">
        <v>541</v>
      </c>
      <c r="Y1469" s="110" t="str">
        <f>IFERROR(VLOOKUP(F1469,'Freq-Chan'!C:E,3,FALSE),"na")</f>
        <v>F1835</v>
      </c>
      <c r="Z1469" s="110" t="s">
        <v>541</v>
      </c>
      <c r="AA1469" s="110" t="s">
        <v>541</v>
      </c>
      <c r="AB1469" s="110" t="s">
        <v>541</v>
      </c>
      <c r="AC1469" s="10" t="s">
        <v>541</v>
      </c>
      <c r="AD1469" s="10" t="s">
        <v>541</v>
      </c>
    </row>
    <row r="1470" spans="1:30" x14ac:dyDescent="0.2">
      <c r="A1470" s="110">
        <v>1469</v>
      </c>
      <c r="B1470" s="132">
        <v>41850</v>
      </c>
      <c r="C1470" s="117">
        <v>2</v>
      </c>
      <c r="D1470" s="103" t="s">
        <v>8</v>
      </c>
      <c r="E1470" s="103" t="s">
        <v>306</v>
      </c>
      <c r="F1470" s="103">
        <v>573</v>
      </c>
      <c r="G1470" s="103">
        <v>88</v>
      </c>
      <c r="H1470" s="103" t="s">
        <v>2185</v>
      </c>
      <c r="I1470" s="103">
        <v>56</v>
      </c>
      <c r="K1470" s="103" t="s">
        <v>364</v>
      </c>
      <c r="L1470" s="133"/>
      <c r="M1470" s="134">
        <v>3.8194444444444441E-2</v>
      </c>
      <c r="N1470" s="137" t="s">
        <v>3801</v>
      </c>
      <c r="O1470" s="133" t="s">
        <v>3431</v>
      </c>
      <c r="Q1470" s="100" t="s">
        <v>3782</v>
      </c>
      <c r="R1470" s="226" t="s">
        <v>3813</v>
      </c>
      <c r="S1470" s="491" t="str">
        <f t="shared" si="45"/>
        <v>x</v>
      </c>
      <c r="T1470" s="492">
        <f>IFERROR(VLOOKUP(F1470,'Freq-Chan'!C:D,2,FALSE),"x")</f>
        <v>151.57300000000001</v>
      </c>
      <c r="U1470" s="110" t="s">
        <v>541</v>
      </c>
      <c r="V1470" s="110" t="str">
        <f t="shared" si="46"/>
        <v>FWL</v>
      </c>
      <c r="W1470" s="110" t="s">
        <v>541</v>
      </c>
      <c r="X1470" s="110" t="s">
        <v>541</v>
      </c>
      <c r="Y1470" s="110" t="str">
        <f>IFERROR(VLOOKUP(F1470,'Freq-Chan'!C:E,3,FALSE),"na")</f>
        <v>F1840</v>
      </c>
      <c r="Z1470" s="110" t="s">
        <v>541</v>
      </c>
      <c r="AA1470" s="110" t="s">
        <v>541</v>
      </c>
      <c r="AB1470" s="110" t="s">
        <v>541</v>
      </c>
      <c r="AC1470" s="10" t="s">
        <v>541</v>
      </c>
      <c r="AD1470" s="10" t="s">
        <v>541</v>
      </c>
    </row>
    <row r="1471" spans="1:30" x14ac:dyDescent="0.2">
      <c r="A1471" s="110">
        <v>1470</v>
      </c>
      <c r="B1471" s="132">
        <v>41850</v>
      </c>
      <c r="C1471" s="117">
        <v>2</v>
      </c>
      <c r="D1471" s="103" t="s">
        <v>8</v>
      </c>
      <c r="E1471" s="103" t="s">
        <v>306</v>
      </c>
      <c r="F1471" s="103">
        <v>586</v>
      </c>
      <c r="G1471" s="103">
        <v>12</v>
      </c>
      <c r="H1471" s="103" t="s">
        <v>2187</v>
      </c>
      <c r="I1471" s="103">
        <v>56</v>
      </c>
      <c r="K1471" s="103" t="s">
        <v>364</v>
      </c>
      <c r="L1471" s="133"/>
      <c r="M1471" s="134">
        <v>5.7638888888888885E-2</v>
      </c>
      <c r="N1471" s="137" t="s">
        <v>3802</v>
      </c>
      <c r="O1471" s="133" t="s">
        <v>1585</v>
      </c>
      <c r="Q1471" s="100" t="s">
        <v>3785</v>
      </c>
      <c r="R1471" s="226" t="s">
        <v>3813</v>
      </c>
      <c r="S1471" s="491" t="str">
        <f t="shared" si="45"/>
        <v>x</v>
      </c>
      <c r="T1471" s="492">
        <f>IFERROR(VLOOKUP(F1471,'Freq-Chan'!C:D,2,FALSE),"x")</f>
        <v>151.58600000000001</v>
      </c>
      <c r="U1471" s="110" t="s">
        <v>541</v>
      </c>
      <c r="V1471" s="110" t="str">
        <f t="shared" si="46"/>
        <v>FWL</v>
      </c>
      <c r="W1471" s="110" t="s">
        <v>541</v>
      </c>
      <c r="X1471" s="110" t="s">
        <v>541</v>
      </c>
      <c r="Y1471" s="110" t="str">
        <f>IFERROR(VLOOKUP(F1471,'Freq-Chan'!C:E,3,FALSE),"na")</f>
        <v>F1840</v>
      </c>
      <c r="Z1471" s="110" t="s">
        <v>541</v>
      </c>
      <c r="AA1471" s="110" t="s">
        <v>541</v>
      </c>
      <c r="AB1471" s="110" t="s">
        <v>541</v>
      </c>
      <c r="AC1471" s="10" t="s">
        <v>541</v>
      </c>
      <c r="AD1471" s="10" t="s">
        <v>541</v>
      </c>
    </row>
    <row r="1472" spans="1:30" x14ac:dyDescent="0.2">
      <c r="A1472" s="110">
        <v>1471</v>
      </c>
      <c r="B1472" s="132">
        <v>41850</v>
      </c>
      <c r="C1472" s="117">
        <v>2</v>
      </c>
      <c r="D1472" s="103" t="s">
        <v>8</v>
      </c>
      <c r="E1472" s="103" t="s">
        <v>306</v>
      </c>
      <c r="F1472" s="103">
        <v>586</v>
      </c>
      <c r="G1472" s="103">
        <v>11</v>
      </c>
      <c r="H1472" s="103" t="s">
        <v>2188</v>
      </c>
      <c r="I1472" s="103">
        <v>49</v>
      </c>
      <c r="K1472" s="103" t="s">
        <v>364</v>
      </c>
      <c r="L1472" s="133"/>
      <c r="M1472" s="134">
        <v>3.8194444444444441E-2</v>
      </c>
      <c r="N1472" s="137" t="s">
        <v>969</v>
      </c>
      <c r="O1472" s="133" t="s">
        <v>1585</v>
      </c>
      <c r="Q1472" s="100" t="s">
        <v>3785</v>
      </c>
      <c r="R1472" s="226" t="s">
        <v>3813</v>
      </c>
      <c r="S1472" s="491" t="str">
        <f t="shared" si="45"/>
        <v>x</v>
      </c>
      <c r="T1472" s="492">
        <f>IFERROR(VLOOKUP(F1472,'Freq-Chan'!C:D,2,FALSE),"x")</f>
        <v>151.58600000000001</v>
      </c>
      <c r="U1472" s="110" t="s">
        <v>541</v>
      </c>
      <c r="V1472" s="110" t="str">
        <f t="shared" si="46"/>
        <v>FWL</v>
      </c>
      <c r="W1472" s="110" t="s">
        <v>541</v>
      </c>
      <c r="X1472" s="110" t="s">
        <v>541</v>
      </c>
      <c r="Y1472" s="110" t="str">
        <f>IFERROR(VLOOKUP(F1472,'Freq-Chan'!C:E,3,FALSE),"na")</f>
        <v>F1840</v>
      </c>
      <c r="Z1472" s="110" t="s">
        <v>541</v>
      </c>
      <c r="AA1472" s="110" t="s">
        <v>541</v>
      </c>
      <c r="AB1472" s="110" t="s">
        <v>541</v>
      </c>
      <c r="AC1472" s="10" t="s">
        <v>541</v>
      </c>
      <c r="AD1472" s="10" t="s">
        <v>541</v>
      </c>
    </row>
    <row r="1473" spans="1:30" x14ac:dyDescent="0.2">
      <c r="A1473" s="110">
        <v>1472</v>
      </c>
      <c r="B1473" s="132">
        <v>41850</v>
      </c>
      <c r="C1473" s="117">
        <v>2</v>
      </c>
      <c r="D1473" s="103" t="s">
        <v>71</v>
      </c>
      <c r="E1473" s="103" t="s">
        <v>306</v>
      </c>
      <c r="H1473" s="103"/>
      <c r="I1473" s="103">
        <v>67</v>
      </c>
      <c r="K1473" s="103" t="s">
        <v>364</v>
      </c>
      <c r="L1473" s="133">
        <v>0.79583333333333339</v>
      </c>
      <c r="M1473" s="134">
        <v>2.4305555555555556E-2</v>
      </c>
      <c r="N1473" s="137" t="s">
        <v>3803</v>
      </c>
      <c r="O1473" s="133" t="s">
        <v>555</v>
      </c>
      <c r="Q1473" s="100" t="s">
        <v>3785</v>
      </c>
      <c r="R1473" s="226" t="s">
        <v>3813</v>
      </c>
      <c r="S1473" s="491">
        <f t="shared" si="45"/>
        <v>1.00115741E-2</v>
      </c>
      <c r="T1473" s="492" t="str">
        <f>IFERROR(VLOOKUP(F1473,'Freq-Chan'!C:D,2,FALSE),"x")</f>
        <v>x</v>
      </c>
      <c r="U1473" s="110" t="s">
        <v>541</v>
      </c>
      <c r="V1473" s="110" t="str">
        <f t="shared" si="46"/>
        <v>FWL</v>
      </c>
      <c r="W1473" s="110" t="s">
        <v>541</v>
      </c>
      <c r="X1473" s="110" t="s">
        <v>541</v>
      </c>
      <c r="Y1473" s="110" t="str">
        <f>IFERROR(VLOOKUP(F1473,'Freq-Chan'!C:E,3,FALSE),"na")</f>
        <v>na</v>
      </c>
      <c r="Z1473" s="110" t="s">
        <v>541</v>
      </c>
      <c r="AA1473" s="110" t="s">
        <v>541</v>
      </c>
      <c r="AB1473" s="110" t="s">
        <v>541</v>
      </c>
      <c r="AC1473" s="10" t="s">
        <v>541</v>
      </c>
      <c r="AD1473" s="10" t="s">
        <v>541</v>
      </c>
    </row>
    <row r="1474" spans="1:30" s="291" customFormat="1" x14ac:dyDescent="0.2">
      <c r="A1474" s="493">
        <v>1473</v>
      </c>
      <c r="B1474" s="283">
        <v>41850</v>
      </c>
      <c r="C1474" s="284">
        <v>2</v>
      </c>
      <c r="D1474" s="285" t="s">
        <v>71</v>
      </c>
      <c r="E1474" s="285" t="s">
        <v>306</v>
      </c>
      <c r="F1474" s="285"/>
      <c r="G1474" s="285"/>
      <c r="H1474" s="285"/>
      <c r="I1474" s="285">
        <v>60</v>
      </c>
      <c r="J1474" s="285"/>
      <c r="K1474" s="285" t="s">
        <v>364</v>
      </c>
      <c r="L1474" s="286"/>
      <c r="M1474" s="287">
        <v>2.0833333333333332E-2</v>
      </c>
      <c r="N1474" s="339" t="s">
        <v>3206</v>
      </c>
      <c r="O1474" s="286" t="s">
        <v>1585</v>
      </c>
      <c r="P1474" s="289"/>
      <c r="Q1474" s="289" t="s">
        <v>3785</v>
      </c>
      <c r="R1474" s="290" t="s">
        <v>3813</v>
      </c>
      <c r="S1474" s="494" t="str">
        <f t="shared" si="45"/>
        <v>x</v>
      </c>
      <c r="T1474" s="495" t="str">
        <f>IFERROR(VLOOKUP(F1474,'Freq-Chan'!C:D,2,FALSE),"x")</f>
        <v>x</v>
      </c>
      <c r="U1474" s="493" t="s">
        <v>541</v>
      </c>
      <c r="V1474" s="493" t="str">
        <f t="shared" si="46"/>
        <v>FWL</v>
      </c>
      <c r="W1474" s="493" t="s">
        <v>541</v>
      </c>
      <c r="X1474" s="493" t="s">
        <v>541</v>
      </c>
      <c r="Y1474" s="493" t="str">
        <f>IFERROR(VLOOKUP(F1474,'Freq-Chan'!C:E,3,FALSE),"na")</f>
        <v>na</v>
      </c>
      <c r="Z1474" s="493" t="s">
        <v>541</v>
      </c>
      <c r="AA1474" s="493" t="s">
        <v>541</v>
      </c>
      <c r="AB1474" s="493" t="s">
        <v>541</v>
      </c>
      <c r="AC1474" s="291" t="s">
        <v>541</v>
      </c>
      <c r="AD1474" s="291" t="s">
        <v>541</v>
      </c>
    </row>
    <row r="1475" spans="1:30" x14ac:dyDescent="0.2">
      <c r="A1475" s="110">
        <v>1474</v>
      </c>
      <c r="B1475" s="132">
        <v>41850</v>
      </c>
      <c r="C1475" s="117">
        <v>3</v>
      </c>
      <c r="D1475" s="103" t="s">
        <v>70</v>
      </c>
      <c r="E1475" s="103" t="s">
        <v>306</v>
      </c>
      <c r="F1475" s="103">
        <v>515</v>
      </c>
      <c r="G1475" s="103">
        <v>12</v>
      </c>
      <c r="H1475" s="103" t="s">
        <v>3020</v>
      </c>
      <c r="I1475" s="103">
        <v>49</v>
      </c>
      <c r="K1475" s="103" t="s">
        <v>1032</v>
      </c>
      <c r="L1475" s="133"/>
      <c r="M1475" s="134">
        <v>3.3333333333333333E-2</v>
      </c>
      <c r="N1475" s="137" t="s">
        <v>3445</v>
      </c>
      <c r="O1475" s="133" t="s">
        <v>1585</v>
      </c>
      <c r="Q1475" s="100" t="s">
        <v>3788</v>
      </c>
      <c r="R1475" s="226" t="s">
        <v>3813</v>
      </c>
      <c r="S1475" s="491" t="str">
        <f t="shared" ref="S1475:S1538" si="47">IF(IF(OR(L1475=0,N1475=0),"x",ROUND(N1475-L1475-(M1475*24)/(24*60),10))&lt;0,0,IF(OR(L1475=0,N1475=0),"x",ROUND(N1475-L1475-(M1475*24)/(24*60),10)))</f>
        <v>x</v>
      </c>
      <c r="T1475" s="492">
        <f>IFERROR(VLOOKUP(F1475,'Freq-Chan'!C:D,2,FALSE),"x")</f>
        <v>151.51499999999999</v>
      </c>
      <c r="U1475" s="110" t="s">
        <v>541</v>
      </c>
      <c r="V1475" s="110" t="str">
        <f t="shared" ref="V1475:V1538" si="48">IF(OR(C1475=1,C1475=2,C1475=3),"FWL","NRD")</f>
        <v>FWL</v>
      </c>
      <c r="W1475" s="110" t="s">
        <v>541</v>
      </c>
      <c r="X1475" s="110" t="s">
        <v>541</v>
      </c>
      <c r="Y1475" s="110" t="str">
        <f>IFERROR(VLOOKUP(F1475,'Freq-Chan'!C:E,3,FALSE),"na")</f>
        <v>F1835</v>
      </c>
      <c r="Z1475" s="110" t="s">
        <v>541</v>
      </c>
      <c r="AA1475" s="110" t="s">
        <v>541</v>
      </c>
      <c r="AB1475" s="110" t="s">
        <v>541</v>
      </c>
      <c r="AC1475" s="10" t="s">
        <v>541</v>
      </c>
      <c r="AD1475" s="10" t="s">
        <v>541</v>
      </c>
    </row>
    <row r="1476" spans="1:30" x14ac:dyDescent="0.2">
      <c r="A1476" s="110">
        <v>1475</v>
      </c>
      <c r="B1476" s="132">
        <v>41850</v>
      </c>
      <c r="C1476" s="117">
        <v>3</v>
      </c>
      <c r="D1476" s="103" t="s">
        <v>70</v>
      </c>
      <c r="E1476" s="103" t="s">
        <v>306</v>
      </c>
      <c r="F1476" s="103">
        <v>515</v>
      </c>
      <c r="G1476" s="103">
        <v>89</v>
      </c>
      <c r="H1476" s="103" t="s">
        <v>3021</v>
      </c>
      <c r="I1476" s="103">
        <v>48</v>
      </c>
      <c r="K1476" s="103" t="s">
        <v>365</v>
      </c>
      <c r="L1476" s="133"/>
      <c r="M1476" s="134">
        <v>3.888888888888889E-2</v>
      </c>
      <c r="N1476" s="137" t="s">
        <v>3795</v>
      </c>
      <c r="O1476" s="133" t="s">
        <v>1585</v>
      </c>
      <c r="Q1476" s="100" t="s">
        <v>3788</v>
      </c>
      <c r="R1476" s="226" t="s">
        <v>3813</v>
      </c>
      <c r="S1476" s="491" t="str">
        <f t="shared" si="47"/>
        <v>x</v>
      </c>
      <c r="T1476" s="492">
        <f>IFERROR(VLOOKUP(F1476,'Freq-Chan'!C:D,2,FALSE),"x")</f>
        <v>151.51499999999999</v>
      </c>
      <c r="U1476" s="110" t="s">
        <v>541</v>
      </c>
      <c r="V1476" s="110" t="str">
        <f t="shared" si="48"/>
        <v>FWL</v>
      </c>
      <c r="W1476" s="110" t="s">
        <v>541</v>
      </c>
      <c r="X1476" s="110" t="s">
        <v>541</v>
      </c>
      <c r="Y1476" s="110" t="str">
        <f>IFERROR(VLOOKUP(F1476,'Freq-Chan'!C:E,3,FALSE),"na")</f>
        <v>F1835</v>
      </c>
      <c r="Z1476" s="110" t="s">
        <v>541</v>
      </c>
      <c r="AA1476" s="110" t="s">
        <v>541</v>
      </c>
      <c r="AB1476" s="110" t="s">
        <v>541</v>
      </c>
      <c r="AC1476" s="10" t="s">
        <v>541</v>
      </c>
      <c r="AD1476" s="10" t="s">
        <v>541</v>
      </c>
    </row>
    <row r="1477" spans="1:30" x14ac:dyDescent="0.2">
      <c r="A1477" s="110">
        <v>1476</v>
      </c>
      <c r="B1477" s="132">
        <v>41850</v>
      </c>
      <c r="C1477" s="117">
        <v>3</v>
      </c>
      <c r="D1477" s="103" t="s">
        <v>70</v>
      </c>
      <c r="E1477" s="103" t="s">
        <v>306</v>
      </c>
      <c r="F1477" s="103">
        <v>515</v>
      </c>
      <c r="G1477" s="103">
        <v>59</v>
      </c>
      <c r="H1477" s="103" t="s">
        <v>3014</v>
      </c>
      <c r="I1477" s="103">
        <v>53</v>
      </c>
      <c r="K1477" s="103" t="s">
        <v>1032</v>
      </c>
      <c r="L1477" s="133"/>
      <c r="M1477" s="134">
        <v>4.027777777777778E-2</v>
      </c>
      <c r="N1477" s="137" t="s">
        <v>3804</v>
      </c>
      <c r="O1477" s="133" t="s">
        <v>1585</v>
      </c>
      <c r="Q1477" s="100" t="s">
        <v>3788</v>
      </c>
      <c r="R1477" s="226" t="s">
        <v>3813</v>
      </c>
      <c r="S1477" s="491" t="str">
        <f t="shared" si="47"/>
        <v>x</v>
      </c>
      <c r="T1477" s="492">
        <f>IFERROR(VLOOKUP(F1477,'Freq-Chan'!C:D,2,FALSE),"x")</f>
        <v>151.51499999999999</v>
      </c>
      <c r="U1477" s="110" t="s">
        <v>541</v>
      </c>
      <c r="V1477" s="110" t="str">
        <f t="shared" si="48"/>
        <v>FWL</v>
      </c>
      <c r="W1477" s="110" t="s">
        <v>541</v>
      </c>
      <c r="X1477" s="110" t="s">
        <v>541</v>
      </c>
      <c r="Y1477" s="110" t="str">
        <f>IFERROR(VLOOKUP(F1477,'Freq-Chan'!C:E,3,FALSE),"na")</f>
        <v>F1835</v>
      </c>
      <c r="Z1477" s="110" t="s">
        <v>541</v>
      </c>
      <c r="AA1477" s="110" t="s">
        <v>541</v>
      </c>
      <c r="AB1477" s="110" t="s">
        <v>541</v>
      </c>
      <c r="AC1477" s="10" t="s">
        <v>541</v>
      </c>
      <c r="AD1477" s="10" t="s">
        <v>541</v>
      </c>
    </row>
    <row r="1478" spans="1:30" x14ac:dyDescent="0.2">
      <c r="A1478" s="110">
        <v>1477</v>
      </c>
      <c r="B1478" s="132">
        <v>41850</v>
      </c>
      <c r="C1478" s="117">
        <v>3</v>
      </c>
      <c r="D1478" s="103" t="s">
        <v>70</v>
      </c>
      <c r="E1478" s="103" t="s">
        <v>306</v>
      </c>
      <c r="F1478" s="103">
        <v>596</v>
      </c>
      <c r="G1478" s="103">
        <v>99</v>
      </c>
      <c r="H1478" s="103" t="s">
        <v>3015</v>
      </c>
      <c r="I1478" s="103">
        <v>42</v>
      </c>
      <c r="K1478" s="103" t="s">
        <v>365</v>
      </c>
      <c r="L1478" s="133"/>
      <c r="M1478" s="134">
        <v>5.2777777777777778E-2</v>
      </c>
      <c r="N1478" s="137" t="s">
        <v>3277</v>
      </c>
      <c r="O1478" s="133" t="s">
        <v>555</v>
      </c>
      <c r="Q1478" s="100" t="s">
        <v>3788</v>
      </c>
      <c r="R1478" s="226" t="s">
        <v>3813</v>
      </c>
      <c r="S1478" s="491" t="str">
        <f t="shared" si="47"/>
        <v>x</v>
      </c>
      <c r="T1478" s="492">
        <f>IFERROR(VLOOKUP(F1478,'Freq-Chan'!C:D,2,FALSE),"x")</f>
        <v>151.596</v>
      </c>
      <c r="U1478" s="110" t="s">
        <v>541</v>
      </c>
      <c r="V1478" s="110" t="str">
        <f t="shared" si="48"/>
        <v>FWL</v>
      </c>
      <c r="W1478" s="110" t="s">
        <v>541</v>
      </c>
      <c r="X1478" s="110" t="s">
        <v>541</v>
      </c>
      <c r="Y1478" s="110" t="str">
        <f>IFERROR(VLOOKUP(F1478,'Freq-Chan'!C:E,3,FALSE),"na")</f>
        <v>F1835</v>
      </c>
      <c r="Z1478" s="110" t="s">
        <v>541</v>
      </c>
      <c r="AA1478" s="110" t="s">
        <v>541</v>
      </c>
      <c r="AB1478" s="110" t="s">
        <v>541</v>
      </c>
      <c r="AC1478" s="10" t="s">
        <v>541</v>
      </c>
      <c r="AD1478" s="10" t="s">
        <v>541</v>
      </c>
    </row>
    <row r="1479" spans="1:30" x14ac:dyDescent="0.2">
      <c r="A1479" s="110">
        <v>1478</v>
      </c>
      <c r="B1479" s="132">
        <v>41850</v>
      </c>
      <c r="C1479" s="117">
        <v>3</v>
      </c>
      <c r="D1479" s="103" t="s">
        <v>70</v>
      </c>
      <c r="E1479" s="103" t="s">
        <v>306</v>
      </c>
      <c r="F1479" s="103">
        <v>596</v>
      </c>
      <c r="G1479" s="103">
        <v>84</v>
      </c>
      <c r="H1479" s="103" t="s">
        <v>3011</v>
      </c>
      <c r="I1479" s="103">
        <v>47</v>
      </c>
      <c r="K1479" s="103" t="s">
        <v>365</v>
      </c>
      <c r="L1479" s="133"/>
      <c r="M1479" s="134">
        <v>3.3333333333333333E-2</v>
      </c>
      <c r="N1479" s="137" t="s">
        <v>3446</v>
      </c>
      <c r="O1479" s="133" t="s">
        <v>555</v>
      </c>
      <c r="Q1479" s="100" t="s">
        <v>3788</v>
      </c>
      <c r="R1479" s="226" t="s">
        <v>3813</v>
      </c>
      <c r="S1479" s="491" t="str">
        <f t="shared" si="47"/>
        <v>x</v>
      </c>
      <c r="T1479" s="492">
        <f>IFERROR(VLOOKUP(F1479,'Freq-Chan'!C:D,2,FALSE),"x")</f>
        <v>151.596</v>
      </c>
      <c r="U1479" s="110" t="s">
        <v>541</v>
      </c>
      <c r="V1479" s="110" t="str">
        <f t="shared" si="48"/>
        <v>FWL</v>
      </c>
      <c r="W1479" s="110" t="s">
        <v>541</v>
      </c>
      <c r="X1479" s="110" t="s">
        <v>541</v>
      </c>
      <c r="Y1479" s="110" t="str">
        <f>IFERROR(VLOOKUP(F1479,'Freq-Chan'!C:E,3,FALSE),"na")</f>
        <v>F1835</v>
      </c>
      <c r="Z1479" s="110" t="s">
        <v>541</v>
      </c>
      <c r="AA1479" s="110" t="s">
        <v>541</v>
      </c>
      <c r="AB1479" s="110" t="s">
        <v>541</v>
      </c>
      <c r="AC1479" s="10" t="s">
        <v>541</v>
      </c>
      <c r="AD1479" s="10" t="s">
        <v>541</v>
      </c>
    </row>
    <row r="1480" spans="1:30" x14ac:dyDescent="0.2">
      <c r="A1480" s="110">
        <v>1479</v>
      </c>
      <c r="B1480" s="132">
        <v>41850</v>
      </c>
      <c r="C1480" s="117">
        <v>3</v>
      </c>
      <c r="D1480" s="103" t="s">
        <v>70</v>
      </c>
      <c r="E1480" s="103" t="s">
        <v>306</v>
      </c>
      <c r="F1480" s="103">
        <v>515</v>
      </c>
      <c r="G1480" s="103">
        <v>9</v>
      </c>
      <c r="H1480" s="103" t="s">
        <v>3012</v>
      </c>
      <c r="I1480" s="103">
        <v>49</v>
      </c>
      <c r="K1480" s="103" t="s">
        <v>1032</v>
      </c>
      <c r="L1480" s="133"/>
      <c r="M1480" s="134">
        <v>3.6805555555555557E-2</v>
      </c>
      <c r="N1480" s="137" t="s">
        <v>2850</v>
      </c>
      <c r="O1480" s="133" t="s">
        <v>555</v>
      </c>
      <c r="Q1480" s="100" t="s">
        <v>3788</v>
      </c>
      <c r="R1480" s="226" t="s">
        <v>3813</v>
      </c>
      <c r="S1480" s="491" t="str">
        <f t="shared" si="47"/>
        <v>x</v>
      </c>
      <c r="T1480" s="492">
        <f>IFERROR(VLOOKUP(F1480,'Freq-Chan'!C:D,2,FALSE),"x")</f>
        <v>151.51499999999999</v>
      </c>
      <c r="U1480" s="110" t="s">
        <v>541</v>
      </c>
      <c r="V1480" s="110" t="str">
        <f t="shared" si="48"/>
        <v>FWL</v>
      </c>
      <c r="W1480" s="110" t="s">
        <v>541</v>
      </c>
      <c r="X1480" s="110" t="s">
        <v>541</v>
      </c>
      <c r="Y1480" s="110" t="str">
        <f>IFERROR(VLOOKUP(F1480,'Freq-Chan'!C:E,3,FALSE),"na")</f>
        <v>F1835</v>
      </c>
      <c r="Z1480" s="110" t="s">
        <v>541</v>
      </c>
      <c r="AA1480" s="110" t="s">
        <v>541</v>
      </c>
      <c r="AB1480" s="110" t="s">
        <v>541</v>
      </c>
      <c r="AC1480" s="10" t="s">
        <v>541</v>
      </c>
      <c r="AD1480" s="10" t="s">
        <v>541</v>
      </c>
    </row>
    <row r="1481" spans="1:30" x14ac:dyDescent="0.2">
      <c r="A1481" s="110">
        <v>1480</v>
      </c>
      <c r="B1481" s="132">
        <v>41850</v>
      </c>
      <c r="C1481" s="117">
        <v>3</v>
      </c>
      <c r="D1481" s="103" t="s">
        <v>70</v>
      </c>
      <c r="E1481" s="103" t="s">
        <v>306</v>
      </c>
      <c r="H1481" s="103"/>
      <c r="I1481" s="103">
        <v>41</v>
      </c>
      <c r="K1481" s="103" t="s">
        <v>1032</v>
      </c>
      <c r="L1481" s="133"/>
      <c r="M1481" s="134">
        <v>2.1527777777777781E-2</v>
      </c>
      <c r="N1481" s="137" t="s">
        <v>3347</v>
      </c>
      <c r="O1481" s="133" t="s">
        <v>555</v>
      </c>
      <c r="Q1481" s="100" t="s">
        <v>3788</v>
      </c>
      <c r="R1481" s="226" t="s">
        <v>3813</v>
      </c>
      <c r="S1481" s="491" t="str">
        <f t="shared" si="47"/>
        <v>x</v>
      </c>
      <c r="T1481" s="492" t="str">
        <f>IFERROR(VLOOKUP(F1481,'Freq-Chan'!C:D,2,FALSE),"x")</f>
        <v>x</v>
      </c>
      <c r="U1481" s="110" t="s">
        <v>541</v>
      </c>
      <c r="V1481" s="110" t="str">
        <f t="shared" si="48"/>
        <v>FWL</v>
      </c>
      <c r="W1481" s="110" t="s">
        <v>541</v>
      </c>
      <c r="X1481" s="110" t="s">
        <v>541</v>
      </c>
      <c r="Y1481" s="110" t="str">
        <f>IFERROR(VLOOKUP(F1481,'Freq-Chan'!C:E,3,FALSE),"na")</f>
        <v>na</v>
      </c>
      <c r="Z1481" s="110" t="s">
        <v>541</v>
      </c>
      <c r="AA1481" s="110" t="s">
        <v>541</v>
      </c>
      <c r="AB1481" s="110" t="s">
        <v>541</v>
      </c>
      <c r="AC1481" s="10" t="s">
        <v>541</v>
      </c>
      <c r="AD1481" s="10" t="s">
        <v>541</v>
      </c>
    </row>
    <row r="1482" spans="1:30" x14ac:dyDescent="0.2">
      <c r="A1482" s="110">
        <v>1481</v>
      </c>
      <c r="B1482" s="132">
        <v>41850</v>
      </c>
      <c r="C1482" s="117">
        <v>3</v>
      </c>
      <c r="D1482" s="103" t="s">
        <v>70</v>
      </c>
      <c r="E1482" s="103" t="s">
        <v>306</v>
      </c>
      <c r="H1482" s="103"/>
      <c r="I1482" s="103">
        <v>43</v>
      </c>
      <c r="K1482" s="103" t="s">
        <v>1032</v>
      </c>
      <c r="L1482" s="133"/>
      <c r="M1482" s="134">
        <v>1.3194444444444444E-2</v>
      </c>
      <c r="N1482" s="137" t="s">
        <v>3348</v>
      </c>
      <c r="O1482" s="133" t="s">
        <v>555</v>
      </c>
      <c r="Q1482" s="100" t="s">
        <v>3788</v>
      </c>
      <c r="R1482" s="226" t="s">
        <v>3813</v>
      </c>
      <c r="S1482" s="491" t="str">
        <f t="shared" si="47"/>
        <v>x</v>
      </c>
      <c r="T1482" s="492" t="str">
        <f>IFERROR(VLOOKUP(F1482,'Freq-Chan'!C:D,2,FALSE),"x")</f>
        <v>x</v>
      </c>
      <c r="U1482" s="110" t="s">
        <v>541</v>
      </c>
      <c r="V1482" s="110" t="str">
        <f t="shared" si="48"/>
        <v>FWL</v>
      </c>
      <c r="W1482" s="110" t="s">
        <v>541</v>
      </c>
      <c r="X1482" s="110" t="s">
        <v>541</v>
      </c>
      <c r="Y1482" s="110" t="str">
        <f>IFERROR(VLOOKUP(F1482,'Freq-Chan'!C:E,3,FALSE),"na")</f>
        <v>na</v>
      </c>
      <c r="Z1482" s="110" t="s">
        <v>541</v>
      </c>
      <c r="AA1482" s="110" t="s">
        <v>541</v>
      </c>
      <c r="AB1482" s="110" t="s">
        <v>541</v>
      </c>
      <c r="AC1482" s="10" t="s">
        <v>541</v>
      </c>
      <c r="AD1482" s="10" t="s">
        <v>541</v>
      </c>
    </row>
    <row r="1483" spans="1:30" x14ac:dyDescent="0.2">
      <c r="A1483" s="110">
        <v>1482</v>
      </c>
      <c r="B1483" s="132">
        <v>41850</v>
      </c>
      <c r="C1483" s="117">
        <v>3</v>
      </c>
      <c r="D1483" s="103" t="s">
        <v>70</v>
      </c>
      <c r="E1483" s="103" t="s">
        <v>306</v>
      </c>
      <c r="H1483" s="103"/>
      <c r="I1483" s="103">
        <v>44</v>
      </c>
      <c r="K1483" s="103" t="s">
        <v>1032</v>
      </c>
      <c r="L1483" s="133"/>
      <c r="M1483" s="134">
        <v>1.3888888888888888E-2</v>
      </c>
      <c r="N1483" s="137" t="s">
        <v>3714</v>
      </c>
      <c r="O1483" s="133" t="s">
        <v>555</v>
      </c>
      <c r="Q1483" s="100" t="s">
        <v>3788</v>
      </c>
      <c r="R1483" s="226" t="s">
        <v>3813</v>
      </c>
      <c r="S1483" s="491" t="str">
        <f t="shared" si="47"/>
        <v>x</v>
      </c>
      <c r="T1483" s="492" t="str">
        <f>IFERROR(VLOOKUP(F1483,'Freq-Chan'!C:D,2,FALSE),"x")</f>
        <v>x</v>
      </c>
      <c r="U1483" s="110" t="s">
        <v>541</v>
      </c>
      <c r="V1483" s="110" t="str">
        <f t="shared" si="48"/>
        <v>FWL</v>
      </c>
      <c r="W1483" s="110" t="s">
        <v>541</v>
      </c>
      <c r="X1483" s="110" t="s">
        <v>541</v>
      </c>
      <c r="Y1483" s="110" t="str">
        <f>IFERROR(VLOOKUP(F1483,'Freq-Chan'!C:E,3,FALSE),"na")</f>
        <v>na</v>
      </c>
      <c r="Z1483" s="110" t="s">
        <v>541</v>
      </c>
      <c r="AA1483" s="110" t="s">
        <v>541</v>
      </c>
      <c r="AB1483" s="110" t="s">
        <v>541</v>
      </c>
      <c r="AC1483" s="10" t="s">
        <v>541</v>
      </c>
      <c r="AD1483" s="10" t="s">
        <v>541</v>
      </c>
    </row>
    <row r="1484" spans="1:30" x14ac:dyDescent="0.2">
      <c r="A1484" s="110">
        <v>1483</v>
      </c>
      <c r="B1484" s="132">
        <v>41850</v>
      </c>
      <c r="C1484" s="117">
        <v>3</v>
      </c>
      <c r="D1484" s="103" t="s">
        <v>70</v>
      </c>
      <c r="E1484" s="103" t="s">
        <v>306</v>
      </c>
      <c r="H1484" s="103"/>
      <c r="I1484" s="103">
        <v>47</v>
      </c>
      <c r="K1484" s="103" t="s">
        <v>1032</v>
      </c>
      <c r="L1484" s="133"/>
      <c r="M1484" s="134">
        <v>1.5972222222222224E-2</v>
      </c>
      <c r="N1484" s="137" t="s">
        <v>3768</v>
      </c>
      <c r="O1484" s="133" t="s">
        <v>555</v>
      </c>
      <c r="Q1484" s="100" t="s">
        <v>3788</v>
      </c>
      <c r="R1484" s="226" t="s">
        <v>3813</v>
      </c>
      <c r="S1484" s="491" t="str">
        <f t="shared" si="47"/>
        <v>x</v>
      </c>
      <c r="T1484" s="492" t="str">
        <f>IFERROR(VLOOKUP(F1484,'Freq-Chan'!C:D,2,FALSE),"x")</f>
        <v>x</v>
      </c>
      <c r="U1484" s="110" t="s">
        <v>541</v>
      </c>
      <c r="V1484" s="110" t="str">
        <f t="shared" si="48"/>
        <v>FWL</v>
      </c>
      <c r="W1484" s="110" t="s">
        <v>541</v>
      </c>
      <c r="X1484" s="110" t="s">
        <v>541</v>
      </c>
      <c r="Y1484" s="110" t="str">
        <f>IFERROR(VLOOKUP(F1484,'Freq-Chan'!C:E,3,FALSE),"na")</f>
        <v>na</v>
      </c>
      <c r="Z1484" s="110" t="s">
        <v>541</v>
      </c>
      <c r="AA1484" s="110" t="s">
        <v>541</v>
      </c>
      <c r="AB1484" s="110" t="s">
        <v>541</v>
      </c>
      <c r="AC1484" s="10" t="s">
        <v>541</v>
      </c>
      <c r="AD1484" s="10" t="s">
        <v>541</v>
      </c>
    </row>
    <row r="1485" spans="1:30" x14ac:dyDescent="0.2">
      <c r="A1485" s="110">
        <v>1484</v>
      </c>
      <c r="B1485" s="132">
        <v>41850</v>
      </c>
      <c r="C1485" s="117">
        <v>3</v>
      </c>
      <c r="D1485" s="103" t="s">
        <v>70</v>
      </c>
      <c r="E1485" s="103" t="s">
        <v>306</v>
      </c>
      <c r="H1485" s="103"/>
      <c r="I1485" s="103">
        <v>47</v>
      </c>
      <c r="K1485" s="103" t="s">
        <v>1032</v>
      </c>
      <c r="L1485" s="133"/>
      <c r="M1485" s="134">
        <v>1.8055555555555557E-2</v>
      </c>
      <c r="N1485" s="137" t="s">
        <v>3467</v>
      </c>
      <c r="O1485" s="133" t="s">
        <v>555</v>
      </c>
      <c r="Q1485" s="100" t="s">
        <v>3788</v>
      </c>
      <c r="R1485" s="226" t="s">
        <v>3813</v>
      </c>
      <c r="S1485" s="491" t="str">
        <f t="shared" si="47"/>
        <v>x</v>
      </c>
      <c r="T1485" s="492" t="str">
        <f>IFERROR(VLOOKUP(F1485,'Freq-Chan'!C:D,2,FALSE),"x")</f>
        <v>x</v>
      </c>
      <c r="U1485" s="110" t="s">
        <v>541</v>
      </c>
      <c r="V1485" s="110" t="str">
        <f t="shared" si="48"/>
        <v>FWL</v>
      </c>
      <c r="W1485" s="110" t="s">
        <v>541</v>
      </c>
      <c r="X1485" s="110" t="s">
        <v>541</v>
      </c>
      <c r="Y1485" s="110" t="str">
        <f>IFERROR(VLOOKUP(F1485,'Freq-Chan'!C:E,3,FALSE),"na")</f>
        <v>na</v>
      </c>
      <c r="Z1485" s="110" t="s">
        <v>541</v>
      </c>
      <c r="AA1485" s="110" t="s">
        <v>541</v>
      </c>
      <c r="AB1485" s="110" t="s">
        <v>541</v>
      </c>
      <c r="AC1485" s="10" t="s">
        <v>541</v>
      </c>
      <c r="AD1485" s="10" t="s">
        <v>541</v>
      </c>
    </row>
    <row r="1486" spans="1:30" x14ac:dyDescent="0.2">
      <c r="A1486" s="110">
        <v>1485</v>
      </c>
      <c r="B1486" s="132">
        <v>41850</v>
      </c>
      <c r="C1486" s="117">
        <v>3</v>
      </c>
      <c r="D1486" s="103" t="s">
        <v>70</v>
      </c>
      <c r="E1486" s="103" t="s">
        <v>306</v>
      </c>
      <c r="H1486" s="103"/>
      <c r="I1486" s="103">
        <v>46</v>
      </c>
      <c r="K1486" s="103" t="s">
        <v>365</v>
      </c>
      <c r="L1486" s="133"/>
      <c r="M1486" s="134">
        <v>1.6666666666666666E-2</v>
      </c>
      <c r="N1486" s="137" t="s">
        <v>3448</v>
      </c>
      <c r="O1486" s="133" t="s">
        <v>555</v>
      </c>
      <c r="Q1486" s="100" t="s">
        <v>3788</v>
      </c>
      <c r="R1486" s="226" t="s">
        <v>3813</v>
      </c>
      <c r="S1486" s="491" t="str">
        <f t="shared" si="47"/>
        <v>x</v>
      </c>
      <c r="T1486" s="492" t="str">
        <f>IFERROR(VLOOKUP(F1486,'Freq-Chan'!C:D,2,FALSE),"x")</f>
        <v>x</v>
      </c>
      <c r="U1486" s="110" t="s">
        <v>541</v>
      </c>
      <c r="V1486" s="110" t="str">
        <f t="shared" si="48"/>
        <v>FWL</v>
      </c>
      <c r="W1486" s="110" t="s">
        <v>541</v>
      </c>
      <c r="X1486" s="110" t="s">
        <v>541</v>
      </c>
      <c r="Y1486" s="110" t="str">
        <f>IFERROR(VLOOKUP(F1486,'Freq-Chan'!C:E,3,FALSE),"na")</f>
        <v>na</v>
      </c>
      <c r="Z1486" s="110" t="s">
        <v>541</v>
      </c>
      <c r="AA1486" s="110" t="s">
        <v>541</v>
      </c>
      <c r="AB1486" s="110" t="s">
        <v>541</v>
      </c>
      <c r="AC1486" s="10" t="s">
        <v>541</v>
      </c>
      <c r="AD1486" s="10" t="s">
        <v>541</v>
      </c>
    </row>
    <row r="1487" spans="1:30" x14ac:dyDescent="0.2">
      <c r="A1487" s="110">
        <v>1486</v>
      </c>
      <c r="B1487" s="132">
        <v>41850</v>
      </c>
      <c r="C1487" s="117">
        <v>3</v>
      </c>
      <c r="D1487" s="103" t="s">
        <v>70</v>
      </c>
      <c r="E1487" s="103" t="s">
        <v>306</v>
      </c>
      <c r="H1487" s="103"/>
      <c r="I1487" s="103">
        <v>44</v>
      </c>
      <c r="K1487" s="103" t="s">
        <v>1032</v>
      </c>
      <c r="L1487" s="133"/>
      <c r="M1487" s="134">
        <v>1.7361111111111112E-2</v>
      </c>
      <c r="N1487" s="137" t="s">
        <v>1982</v>
      </c>
      <c r="O1487" s="133" t="s">
        <v>555</v>
      </c>
      <c r="Q1487" s="100" t="s">
        <v>3788</v>
      </c>
      <c r="R1487" s="226" t="s">
        <v>3813</v>
      </c>
      <c r="S1487" s="491" t="str">
        <f t="shared" si="47"/>
        <v>x</v>
      </c>
      <c r="T1487" s="492" t="str">
        <f>IFERROR(VLOOKUP(F1487,'Freq-Chan'!C:D,2,FALSE),"x")</f>
        <v>x</v>
      </c>
      <c r="U1487" s="110" t="s">
        <v>541</v>
      </c>
      <c r="V1487" s="110" t="str">
        <f t="shared" si="48"/>
        <v>FWL</v>
      </c>
      <c r="W1487" s="110" t="s">
        <v>541</v>
      </c>
      <c r="X1487" s="110" t="s">
        <v>541</v>
      </c>
      <c r="Y1487" s="110" t="str">
        <f>IFERROR(VLOOKUP(F1487,'Freq-Chan'!C:E,3,FALSE),"na")</f>
        <v>na</v>
      </c>
      <c r="Z1487" s="110" t="s">
        <v>541</v>
      </c>
      <c r="AA1487" s="110" t="s">
        <v>541</v>
      </c>
      <c r="AB1487" s="110" t="s">
        <v>541</v>
      </c>
      <c r="AC1487" s="10" t="s">
        <v>541</v>
      </c>
      <c r="AD1487" s="10" t="s">
        <v>541</v>
      </c>
    </row>
    <row r="1488" spans="1:30" x14ac:dyDescent="0.2">
      <c r="A1488" s="110">
        <v>1487</v>
      </c>
      <c r="B1488" s="132">
        <v>41850</v>
      </c>
      <c r="C1488" s="117">
        <v>3</v>
      </c>
      <c r="D1488" s="103" t="s">
        <v>70</v>
      </c>
      <c r="E1488" s="103" t="s">
        <v>306</v>
      </c>
      <c r="H1488" s="103"/>
      <c r="I1488" s="103">
        <v>44</v>
      </c>
      <c r="K1488" s="103" t="s">
        <v>1032</v>
      </c>
      <c r="L1488" s="133"/>
      <c r="M1488" s="134">
        <v>1.7361111111111112E-2</v>
      </c>
      <c r="N1488" s="137" t="s">
        <v>2045</v>
      </c>
      <c r="O1488" s="133" t="s">
        <v>555</v>
      </c>
      <c r="Q1488" s="100" t="s">
        <v>3788</v>
      </c>
      <c r="R1488" s="226" t="s">
        <v>3813</v>
      </c>
      <c r="S1488" s="491" t="str">
        <f t="shared" si="47"/>
        <v>x</v>
      </c>
      <c r="T1488" s="492" t="str">
        <f>IFERROR(VLOOKUP(F1488,'Freq-Chan'!C:D,2,FALSE),"x")</f>
        <v>x</v>
      </c>
      <c r="U1488" s="110" t="s">
        <v>541</v>
      </c>
      <c r="V1488" s="110" t="str">
        <f t="shared" si="48"/>
        <v>FWL</v>
      </c>
      <c r="W1488" s="110" t="s">
        <v>541</v>
      </c>
      <c r="X1488" s="110" t="s">
        <v>541</v>
      </c>
      <c r="Y1488" s="110" t="str">
        <f>IFERROR(VLOOKUP(F1488,'Freq-Chan'!C:E,3,FALSE),"na")</f>
        <v>na</v>
      </c>
      <c r="Z1488" s="110" t="s">
        <v>541</v>
      </c>
      <c r="AA1488" s="110" t="s">
        <v>541</v>
      </c>
      <c r="AB1488" s="110" t="s">
        <v>541</v>
      </c>
      <c r="AC1488" s="10" t="s">
        <v>541</v>
      </c>
      <c r="AD1488" s="10" t="s">
        <v>541</v>
      </c>
    </row>
    <row r="1489" spans="1:30" x14ac:dyDescent="0.2">
      <c r="A1489" s="110">
        <v>1488</v>
      </c>
      <c r="B1489" s="132">
        <v>41850</v>
      </c>
      <c r="C1489" s="117">
        <v>3</v>
      </c>
      <c r="D1489" s="103" t="s">
        <v>70</v>
      </c>
      <c r="E1489" s="103" t="s">
        <v>306</v>
      </c>
      <c r="H1489" s="103"/>
      <c r="I1489" s="103">
        <v>48</v>
      </c>
      <c r="K1489" s="103" t="s">
        <v>1032</v>
      </c>
      <c r="L1489" s="133"/>
      <c r="M1489" s="134">
        <v>1.5972222222222224E-2</v>
      </c>
      <c r="N1489" s="137" t="s">
        <v>3330</v>
      </c>
      <c r="O1489" s="133" t="s">
        <v>555</v>
      </c>
      <c r="Q1489" s="100" t="s">
        <v>3788</v>
      </c>
      <c r="R1489" s="226" t="s">
        <v>3813</v>
      </c>
      <c r="S1489" s="491" t="str">
        <f t="shared" si="47"/>
        <v>x</v>
      </c>
      <c r="T1489" s="492" t="str">
        <f>IFERROR(VLOOKUP(F1489,'Freq-Chan'!C:D,2,FALSE),"x")</f>
        <v>x</v>
      </c>
      <c r="U1489" s="110" t="s">
        <v>541</v>
      </c>
      <c r="V1489" s="110" t="str">
        <f t="shared" si="48"/>
        <v>FWL</v>
      </c>
      <c r="W1489" s="110" t="s">
        <v>541</v>
      </c>
      <c r="X1489" s="110" t="s">
        <v>541</v>
      </c>
      <c r="Y1489" s="110" t="str">
        <f>IFERROR(VLOOKUP(F1489,'Freq-Chan'!C:E,3,FALSE),"na")</f>
        <v>na</v>
      </c>
      <c r="Z1489" s="110" t="s">
        <v>541</v>
      </c>
      <c r="AA1489" s="110" t="s">
        <v>541</v>
      </c>
      <c r="AB1489" s="110" t="s">
        <v>541</v>
      </c>
      <c r="AC1489" s="10" t="s">
        <v>541</v>
      </c>
      <c r="AD1489" s="10" t="s">
        <v>541</v>
      </c>
    </row>
    <row r="1490" spans="1:30" x14ac:dyDescent="0.2">
      <c r="A1490" s="110">
        <v>1489</v>
      </c>
      <c r="B1490" s="132">
        <v>41850</v>
      </c>
      <c r="C1490" s="117">
        <v>3</v>
      </c>
      <c r="D1490" s="103" t="s">
        <v>72</v>
      </c>
      <c r="E1490" s="103" t="s">
        <v>306</v>
      </c>
      <c r="F1490" s="103">
        <v>325</v>
      </c>
      <c r="G1490" s="103">
        <v>60</v>
      </c>
      <c r="H1490" s="103" t="s">
        <v>3512</v>
      </c>
      <c r="I1490" s="103">
        <v>52</v>
      </c>
      <c r="K1490" s="103" t="s">
        <v>364</v>
      </c>
      <c r="L1490" s="133"/>
      <c r="M1490" s="134">
        <v>4.3750000000000004E-2</v>
      </c>
      <c r="N1490" s="137" t="s">
        <v>3332</v>
      </c>
      <c r="O1490" s="133" t="s">
        <v>555</v>
      </c>
      <c r="Q1490" s="100" t="s">
        <v>3788</v>
      </c>
      <c r="R1490" s="226" t="s">
        <v>3813</v>
      </c>
      <c r="S1490" s="491" t="str">
        <f t="shared" si="47"/>
        <v>x</v>
      </c>
      <c r="T1490" s="492">
        <f>IFERROR(VLOOKUP(F1490,'Freq-Chan'!C:D,2,FALSE),"x")</f>
        <v>151.32499999999999</v>
      </c>
      <c r="U1490" s="110" t="s">
        <v>541</v>
      </c>
      <c r="V1490" s="110" t="str">
        <f t="shared" si="48"/>
        <v>FWL</v>
      </c>
      <c r="W1490" s="110" t="s">
        <v>541</v>
      </c>
      <c r="X1490" s="110" t="s">
        <v>541</v>
      </c>
      <c r="Y1490" s="110" t="str">
        <f>IFERROR(VLOOKUP(F1490,'Freq-Chan'!C:E,3,FALSE),"na")</f>
        <v>F1840</v>
      </c>
      <c r="Z1490" s="110" t="s">
        <v>541</v>
      </c>
      <c r="AA1490" s="110" t="s">
        <v>541</v>
      </c>
      <c r="AB1490" s="110" t="s">
        <v>541</v>
      </c>
      <c r="AC1490" s="10" t="s">
        <v>541</v>
      </c>
      <c r="AD1490" s="10" t="s">
        <v>541</v>
      </c>
    </row>
    <row r="1491" spans="1:30" x14ac:dyDescent="0.2">
      <c r="A1491" s="110">
        <v>1490</v>
      </c>
      <c r="B1491" s="132">
        <v>41850</v>
      </c>
      <c r="C1491" s="117">
        <v>3</v>
      </c>
      <c r="D1491" s="103" t="s">
        <v>71</v>
      </c>
      <c r="E1491" s="103" t="s">
        <v>306</v>
      </c>
      <c r="F1491" s="103">
        <v>534</v>
      </c>
      <c r="G1491" s="103">
        <v>1</v>
      </c>
      <c r="H1491" s="103" t="s">
        <v>2325</v>
      </c>
      <c r="I1491" s="103">
        <v>65</v>
      </c>
      <c r="K1491" s="103" t="s">
        <v>364</v>
      </c>
      <c r="L1491" s="133">
        <v>0.42083333333333334</v>
      </c>
      <c r="M1491" s="134">
        <v>4.6527777777777779E-2</v>
      </c>
      <c r="N1491" s="137" t="s">
        <v>3805</v>
      </c>
      <c r="O1491" s="133" t="s">
        <v>1585</v>
      </c>
      <c r="Q1491" s="100" t="s">
        <v>3788</v>
      </c>
      <c r="R1491" s="226" t="s">
        <v>3813</v>
      </c>
      <c r="S1491" s="491">
        <f t="shared" si="47"/>
        <v>2.6967593000000001E-3</v>
      </c>
      <c r="T1491" s="492">
        <f>IFERROR(VLOOKUP(F1491,'Freq-Chan'!C:D,2,FALSE),"x")</f>
        <v>151.53399999999999</v>
      </c>
      <c r="U1491" s="110" t="s">
        <v>541</v>
      </c>
      <c r="V1491" s="110" t="str">
        <f t="shared" si="48"/>
        <v>FWL</v>
      </c>
      <c r="W1491" s="110" t="s">
        <v>541</v>
      </c>
      <c r="X1491" s="110" t="s">
        <v>541</v>
      </c>
      <c r="Y1491" s="110" t="str">
        <f>IFERROR(VLOOKUP(F1491,'Freq-Chan'!C:E,3,FALSE),"na")</f>
        <v>F1840</v>
      </c>
      <c r="Z1491" s="110" t="s">
        <v>541</v>
      </c>
      <c r="AA1491" s="110" t="s">
        <v>541</v>
      </c>
      <c r="AB1491" s="110" t="s">
        <v>541</v>
      </c>
      <c r="AC1491" s="10" t="s">
        <v>541</v>
      </c>
      <c r="AD1491" s="10" t="s">
        <v>541</v>
      </c>
    </row>
    <row r="1492" spans="1:30" x14ac:dyDescent="0.2">
      <c r="A1492" s="110">
        <v>1491</v>
      </c>
      <c r="B1492" s="132">
        <v>41850</v>
      </c>
      <c r="C1492" s="117">
        <v>3</v>
      </c>
      <c r="D1492" s="103" t="s">
        <v>71</v>
      </c>
      <c r="E1492" s="103" t="s">
        <v>306</v>
      </c>
      <c r="H1492" s="103"/>
      <c r="I1492" s="103">
        <v>62</v>
      </c>
      <c r="K1492" s="103" t="s">
        <v>364</v>
      </c>
      <c r="L1492" s="133"/>
      <c r="M1492" s="134">
        <v>2.013888888888889E-2</v>
      </c>
      <c r="N1492" s="137" t="s">
        <v>3806</v>
      </c>
      <c r="O1492" s="133" t="s">
        <v>1888</v>
      </c>
      <c r="Q1492" s="100" t="s">
        <v>3790</v>
      </c>
      <c r="R1492" s="226" t="s">
        <v>3813</v>
      </c>
      <c r="S1492" s="491" t="str">
        <f t="shared" si="47"/>
        <v>x</v>
      </c>
      <c r="T1492" s="492" t="str">
        <f>IFERROR(VLOOKUP(F1492,'Freq-Chan'!C:D,2,FALSE),"x")</f>
        <v>x</v>
      </c>
      <c r="U1492" s="110" t="s">
        <v>541</v>
      </c>
      <c r="V1492" s="110" t="str">
        <f t="shared" si="48"/>
        <v>FWL</v>
      </c>
      <c r="W1492" s="110" t="s">
        <v>541</v>
      </c>
      <c r="X1492" s="110" t="s">
        <v>541</v>
      </c>
      <c r="Y1492" s="110" t="str">
        <f>IFERROR(VLOOKUP(F1492,'Freq-Chan'!C:E,3,FALSE),"na")</f>
        <v>na</v>
      </c>
      <c r="Z1492" s="110" t="s">
        <v>541</v>
      </c>
      <c r="AA1492" s="110" t="s">
        <v>541</v>
      </c>
      <c r="AB1492" s="110" t="s">
        <v>541</v>
      </c>
      <c r="AC1492" s="10" t="s">
        <v>541</v>
      </c>
      <c r="AD1492" s="10" t="s">
        <v>541</v>
      </c>
    </row>
    <row r="1493" spans="1:30" x14ac:dyDescent="0.2">
      <c r="A1493" s="110">
        <v>1492</v>
      </c>
      <c r="B1493" s="132">
        <v>41850</v>
      </c>
      <c r="C1493" s="117">
        <v>3</v>
      </c>
      <c r="D1493" s="103" t="s">
        <v>71</v>
      </c>
      <c r="E1493" s="103" t="s">
        <v>306</v>
      </c>
      <c r="H1493" s="103"/>
      <c r="I1493" s="103">
        <v>58</v>
      </c>
      <c r="K1493" s="103" t="s">
        <v>364</v>
      </c>
      <c r="L1493" s="133"/>
      <c r="M1493" s="134">
        <v>1.6666666666666666E-2</v>
      </c>
      <c r="N1493" s="137" t="s">
        <v>2017</v>
      </c>
      <c r="O1493" s="133" t="s">
        <v>1888</v>
      </c>
      <c r="Q1493" s="100" t="s">
        <v>3790</v>
      </c>
      <c r="R1493" s="226" t="s">
        <v>3813</v>
      </c>
      <c r="S1493" s="491" t="str">
        <f t="shared" si="47"/>
        <v>x</v>
      </c>
      <c r="T1493" s="492" t="str">
        <f>IFERROR(VLOOKUP(F1493,'Freq-Chan'!C:D,2,FALSE),"x")</f>
        <v>x</v>
      </c>
      <c r="U1493" s="110" t="s">
        <v>541</v>
      </c>
      <c r="V1493" s="110" t="str">
        <f t="shared" si="48"/>
        <v>FWL</v>
      </c>
      <c r="W1493" s="110" t="s">
        <v>541</v>
      </c>
      <c r="X1493" s="110" t="s">
        <v>541</v>
      </c>
      <c r="Y1493" s="110" t="str">
        <f>IFERROR(VLOOKUP(F1493,'Freq-Chan'!C:E,3,FALSE),"na")</f>
        <v>na</v>
      </c>
      <c r="Z1493" s="110" t="s">
        <v>541</v>
      </c>
      <c r="AA1493" s="110" t="s">
        <v>541</v>
      </c>
      <c r="AB1493" s="110" t="s">
        <v>541</v>
      </c>
      <c r="AC1493" s="10" t="s">
        <v>541</v>
      </c>
      <c r="AD1493" s="10" t="s">
        <v>541</v>
      </c>
    </row>
    <row r="1494" spans="1:30" x14ac:dyDescent="0.2">
      <c r="A1494" s="110">
        <v>1493</v>
      </c>
      <c r="B1494" s="132">
        <v>41850</v>
      </c>
      <c r="C1494" s="117">
        <v>3</v>
      </c>
      <c r="D1494" s="103" t="s">
        <v>71</v>
      </c>
      <c r="E1494" s="103" t="s">
        <v>306</v>
      </c>
      <c r="H1494" s="103"/>
      <c r="I1494" s="103">
        <v>64</v>
      </c>
      <c r="K1494" s="103" t="s">
        <v>364</v>
      </c>
      <c r="L1494" s="133"/>
      <c r="M1494" s="134">
        <v>2.2222222222222223E-2</v>
      </c>
      <c r="N1494" s="137" t="s">
        <v>3807</v>
      </c>
      <c r="O1494" s="133" t="s">
        <v>1888</v>
      </c>
      <c r="Q1494" s="100" t="s">
        <v>3790</v>
      </c>
      <c r="R1494" s="226" t="s">
        <v>3813</v>
      </c>
      <c r="S1494" s="491" t="str">
        <f t="shared" si="47"/>
        <v>x</v>
      </c>
      <c r="T1494" s="492" t="str">
        <f>IFERROR(VLOOKUP(F1494,'Freq-Chan'!C:D,2,FALSE),"x")</f>
        <v>x</v>
      </c>
      <c r="U1494" s="110" t="s">
        <v>541</v>
      </c>
      <c r="V1494" s="110" t="str">
        <f t="shared" si="48"/>
        <v>FWL</v>
      </c>
      <c r="W1494" s="110" t="s">
        <v>541</v>
      </c>
      <c r="X1494" s="110" t="s">
        <v>541</v>
      </c>
      <c r="Y1494" s="110" t="str">
        <f>IFERROR(VLOOKUP(F1494,'Freq-Chan'!C:E,3,FALSE),"na")</f>
        <v>na</v>
      </c>
      <c r="Z1494" s="110" t="s">
        <v>541</v>
      </c>
      <c r="AA1494" s="110" t="s">
        <v>541</v>
      </c>
      <c r="AB1494" s="110" t="s">
        <v>541</v>
      </c>
      <c r="AC1494" s="10" t="s">
        <v>541</v>
      </c>
      <c r="AD1494" s="10" t="s">
        <v>541</v>
      </c>
    </row>
    <row r="1495" spans="1:30" x14ac:dyDescent="0.2">
      <c r="A1495" s="110">
        <v>1494</v>
      </c>
      <c r="B1495" s="132">
        <v>41850</v>
      </c>
      <c r="C1495" s="117">
        <v>3</v>
      </c>
      <c r="D1495" s="103" t="s">
        <v>72</v>
      </c>
      <c r="E1495" s="103" t="s">
        <v>306</v>
      </c>
      <c r="F1495" s="103">
        <v>266</v>
      </c>
      <c r="G1495" s="103">
        <v>12</v>
      </c>
      <c r="H1495" s="103" t="s">
        <v>3513</v>
      </c>
      <c r="I1495" s="103">
        <v>46</v>
      </c>
      <c r="K1495" s="103" t="s">
        <v>364</v>
      </c>
      <c r="L1495" s="133"/>
      <c r="M1495" s="134">
        <v>3.6111111111111115E-2</v>
      </c>
      <c r="N1495" s="137" t="s">
        <v>3808</v>
      </c>
      <c r="O1495" s="133" t="s">
        <v>372</v>
      </c>
      <c r="P1495" s="100" t="s">
        <v>4466</v>
      </c>
      <c r="Q1495" s="100" t="s">
        <v>3790</v>
      </c>
      <c r="R1495" s="226" t="s">
        <v>3813</v>
      </c>
      <c r="S1495" s="491" t="str">
        <f t="shared" si="47"/>
        <v>x</v>
      </c>
      <c r="T1495" s="492">
        <f>IFERROR(VLOOKUP(F1495,'Freq-Chan'!C:D,2,FALSE),"x")</f>
        <v>151.26599999999999</v>
      </c>
      <c r="U1495" s="110" t="s">
        <v>541</v>
      </c>
      <c r="V1495" s="110" t="str">
        <f t="shared" si="48"/>
        <v>FWL</v>
      </c>
      <c r="W1495" s="110" t="s">
        <v>541</v>
      </c>
      <c r="X1495" s="110" t="s">
        <v>541</v>
      </c>
      <c r="Y1495" s="110" t="str">
        <f>IFERROR(VLOOKUP(F1495,'Freq-Chan'!C:E,3,FALSE),"na")</f>
        <v>F1840</v>
      </c>
      <c r="Z1495" s="110" t="s">
        <v>541</v>
      </c>
      <c r="AA1495" s="110" t="s">
        <v>541</v>
      </c>
      <c r="AB1495" s="110" t="s">
        <v>541</v>
      </c>
      <c r="AC1495" s="10" t="s">
        <v>541</v>
      </c>
      <c r="AD1495" s="10" t="s">
        <v>541</v>
      </c>
    </row>
    <row r="1496" spans="1:30" x14ac:dyDescent="0.2">
      <c r="A1496" s="110">
        <v>1495</v>
      </c>
      <c r="B1496" s="132">
        <v>41850</v>
      </c>
      <c r="C1496" s="117">
        <v>3</v>
      </c>
      <c r="D1496" s="103" t="s">
        <v>71</v>
      </c>
      <c r="E1496" s="103" t="s">
        <v>306</v>
      </c>
      <c r="H1496" s="103"/>
      <c r="I1496" s="103">
        <v>58</v>
      </c>
      <c r="K1496" s="103" t="s">
        <v>364</v>
      </c>
      <c r="L1496" s="133"/>
      <c r="M1496" s="134">
        <v>2.5694444444444447E-2</v>
      </c>
      <c r="N1496" s="137" t="s">
        <v>877</v>
      </c>
      <c r="O1496" s="133" t="s">
        <v>372</v>
      </c>
      <c r="Q1496" s="100" t="s">
        <v>3790</v>
      </c>
      <c r="R1496" s="226" t="s">
        <v>3813</v>
      </c>
      <c r="S1496" s="491" t="str">
        <f t="shared" si="47"/>
        <v>x</v>
      </c>
      <c r="T1496" s="492" t="str">
        <f>IFERROR(VLOOKUP(F1496,'Freq-Chan'!C:D,2,FALSE),"x")</f>
        <v>x</v>
      </c>
      <c r="U1496" s="110" t="s">
        <v>541</v>
      </c>
      <c r="V1496" s="110" t="str">
        <f t="shared" si="48"/>
        <v>FWL</v>
      </c>
      <c r="W1496" s="110" t="s">
        <v>541</v>
      </c>
      <c r="X1496" s="110" t="s">
        <v>541</v>
      </c>
      <c r="Y1496" s="110" t="str">
        <f>IFERROR(VLOOKUP(F1496,'Freq-Chan'!C:E,3,FALSE),"na")</f>
        <v>na</v>
      </c>
      <c r="Z1496" s="110" t="s">
        <v>541</v>
      </c>
      <c r="AA1496" s="110" t="s">
        <v>541</v>
      </c>
      <c r="AB1496" s="110" t="s">
        <v>541</v>
      </c>
      <c r="AC1496" s="10" t="s">
        <v>541</v>
      </c>
      <c r="AD1496" s="10" t="s">
        <v>541</v>
      </c>
    </row>
    <row r="1497" spans="1:30" x14ac:dyDescent="0.2">
      <c r="A1497" s="110">
        <v>1496</v>
      </c>
      <c r="B1497" s="132">
        <v>41850</v>
      </c>
      <c r="C1497" s="117">
        <v>3</v>
      </c>
      <c r="D1497" s="103" t="s">
        <v>8</v>
      </c>
      <c r="E1497" s="103" t="s">
        <v>306</v>
      </c>
      <c r="F1497" s="103">
        <v>586</v>
      </c>
      <c r="G1497" s="103">
        <v>4</v>
      </c>
      <c r="H1497" s="103" t="s">
        <v>2175</v>
      </c>
      <c r="I1497" s="103">
        <v>61</v>
      </c>
      <c r="K1497" s="103" t="s">
        <v>364</v>
      </c>
      <c r="L1497" s="133"/>
      <c r="M1497" s="134">
        <v>6.1805555555555558E-2</v>
      </c>
      <c r="N1497" s="137" t="s">
        <v>3809</v>
      </c>
      <c r="O1497" s="133" t="s">
        <v>1888</v>
      </c>
      <c r="Q1497" s="100" t="s">
        <v>3790</v>
      </c>
      <c r="R1497" s="226" t="s">
        <v>3813</v>
      </c>
      <c r="S1497" s="491" t="str">
        <f t="shared" si="47"/>
        <v>x</v>
      </c>
      <c r="T1497" s="492">
        <f>IFERROR(VLOOKUP(F1497,'Freq-Chan'!C:D,2,FALSE),"x")</f>
        <v>151.58600000000001</v>
      </c>
      <c r="U1497" s="110" t="s">
        <v>541</v>
      </c>
      <c r="V1497" s="110" t="str">
        <f t="shared" si="48"/>
        <v>FWL</v>
      </c>
      <c r="W1497" s="110" t="s">
        <v>541</v>
      </c>
      <c r="X1497" s="110" t="s">
        <v>541</v>
      </c>
      <c r="Y1497" s="110" t="str">
        <f>IFERROR(VLOOKUP(F1497,'Freq-Chan'!C:E,3,FALSE),"na")</f>
        <v>F1840</v>
      </c>
      <c r="Z1497" s="110" t="s">
        <v>541</v>
      </c>
      <c r="AA1497" s="110" t="s">
        <v>541</v>
      </c>
      <c r="AB1497" s="110" t="s">
        <v>541</v>
      </c>
      <c r="AC1497" s="10" t="s">
        <v>541</v>
      </c>
      <c r="AD1497" s="10" t="s">
        <v>541</v>
      </c>
    </row>
    <row r="1498" spans="1:30" s="291" customFormat="1" x14ac:dyDescent="0.2">
      <c r="A1498" s="493">
        <v>1497</v>
      </c>
      <c r="B1498" s="283">
        <v>41850</v>
      </c>
      <c r="C1498" s="284">
        <v>3</v>
      </c>
      <c r="D1498" s="285" t="s">
        <v>71</v>
      </c>
      <c r="E1498" s="285" t="s">
        <v>306</v>
      </c>
      <c r="F1498" s="285"/>
      <c r="G1498" s="285"/>
      <c r="H1498" s="285"/>
      <c r="I1498" s="285">
        <v>63</v>
      </c>
      <c r="J1498" s="285"/>
      <c r="K1498" s="285" t="s">
        <v>364</v>
      </c>
      <c r="L1498" s="286"/>
      <c r="M1498" s="287">
        <v>1.6666666666666666E-2</v>
      </c>
      <c r="N1498" s="339" t="s">
        <v>1807</v>
      </c>
      <c r="O1498" s="286" t="s">
        <v>3431</v>
      </c>
      <c r="P1498" s="289"/>
      <c r="Q1498" s="289" t="s">
        <v>3790</v>
      </c>
      <c r="R1498" s="290" t="s">
        <v>3813</v>
      </c>
      <c r="S1498" s="494" t="str">
        <f t="shared" si="47"/>
        <v>x</v>
      </c>
      <c r="T1498" s="495" t="str">
        <f>IFERROR(VLOOKUP(F1498,'Freq-Chan'!C:D,2,FALSE),"x")</f>
        <v>x</v>
      </c>
      <c r="U1498" s="493" t="s">
        <v>541</v>
      </c>
      <c r="V1498" s="493" t="str">
        <f t="shared" si="48"/>
        <v>FWL</v>
      </c>
      <c r="W1498" s="493" t="s">
        <v>541</v>
      </c>
      <c r="X1498" s="493" t="s">
        <v>541</v>
      </c>
      <c r="Y1498" s="493" t="str">
        <f>IFERROR(VLOOKUP(F1498,'Freq-Chan'!C:E,3,FALSE),"na")</f>
        <v>na</v>
      </c>
      <c r="Z1498" s="493" t="s">
        <v>541</v>
      </c>
      <c r="AA1498" s="493" t="s">
        <v>541</v>
      </c>
      <c r="AB1498" s="493" t="s">
        <v>541</v>
      </c>
      <c r="AC1498" s="291" t="s">
        <v>541</v>
      </c>
      <c r="AD1498" s="291" t="s">
        <v>541</v>
      </c>
    </row>
    <row r="1499" spans="1:30" x14ac:dyDescent="0.2">
      <c r="A1499" s="110">
        <v>1498</v>
      </c>
      <c r="B1499" s="132">
        <v>41851</v>
      </c>
      <c r="C1499" s="117">
        <v>1</v>
      </c>
      <c r="D1499" s="103" t="s">
        <v>70</v>
      </c>
      <c r="E1499" s="103" t="s">
        <v>306</v>
      </c>
      <c r="F1499" s="103">
        <v>515</v>
      </c>
      <c r="G1499" s="103">
        <v>18</v>
      </c>
      <c r="H1499" s="103" t="s">
        <v>3018</v>
      </c>
      <c r="I1499" s="103">
        <v>46</v>
      </c>
      <c r="K1499" s="103" t="s">
        <v>1032</v>
      </c>
      <c r="L1499" s="133"/>
      <c r="M1499" s="134">
        <v>4.3750000000000004E-2</v>
      </c>
      <c r="N1499" s="137" t="s">
        <v>3351</v>
      </c>
      <c r="O1499" s="133" t="s">
        <v>555</v>
      </c>
      <c r="Q1499" s="100" t="s">
        <v>3826</v>
      </c>
      <c r="R1499" s="226" t="s">
        <v>3846</v>
      </c>
      <c r="S1499" s="491" t="str">
        <f t="shared" si="47"/>
        <v>x</v>
      </c>
      <c r="T1499" s="492">
        <f>IFERROR(VLOOKUP(F1499,'Freq-Chan'!C:D,2,FALSE),"x")</f>
        <v>151.51499999999999</v>
      </c>
      <c r="U1499" s="110" t="s">
        <v>541</v>
      </c>
      <c r="V1499" s="110" t="str">
        <f t="shared" si="48"/>
        <v>FWL</v>
      </c>
      <c r="W1499" s="110" t="s">
        <v>541</v>
      </c>
      <c r="X1499" s="110" t="s">
        <v>541</v>
      </c>
      <c r="Y1499" s="110" t="str">
        <f>IFERROR(VLOOKUP(F1499,'Freq-Chan'!C:E,3,FALSE),"na")</f>
        <v>F1835</v>
      </c>
      <c r="Z1499" s="110" t="s">
        <v>541</v>
      </c>
      <c r="AA1499" s="110" t="s">
        <v>541</v>
      </c>
      <c r="AB1499" s="110" t="s">
        <v>541</v>
      </c>
      <c r="AC1499" s="10" t="s">
        <v>541</v>
      </c>
      <c r="AD1499" s="10" t="s">
        <v>541</v>
      </c>
    </row>
    <row r="1500" spans="1:30" x14ac:dyDescent="0.2">
      <c r="A1500" s="110">
        <v>1499</v>
      </c>
      <c r="B1500" s="132">
        <v>41851</v>
      </c>
      <c r="C1500" s="117">
        <v>1</v>
      </c>
      <c r="D1500" s="103" t="s">
        <v>70</v>
      </c>
      <c r="E1500" s="103" t="s">
        <v>306</v>
      </c>
      <c r="F1500" s="103">
        <v>515</v>
      </c>
      <c r="G1500" s="103">
        <v>55</v>
      </c>
      <c r="H1500" s="103" t="s">
        <v>3022</v>
      </c>
      <c r="I1500" s="103">
        <v>47</v>
      </c>
      <c r="K1500" s="103" t="s">
        <v>1032</v>
      </c>
      <c r="L1500" s="133"/>
      <c r="M1500" s="134">
        <v>4.1666666666666664E-2</v>
      </c>
      <c r="N1500" s="137" t="s">
        <v>2527</v>
      </c>
      <c r="O1500" s="133" t="s">
        <v>555</v>
      </c>
      <c r="Q1500" s="100" t="s">
        <v>3826</v>
      </c>
      <c r="R1500" s="226" t="s">
        <v>3846</v>
      </c>
      <c r="S1500" s="491" t="str">
        <f t="shared" si="47"/>
        <v>x</v>
      </c>
      <c r="T1500" s="492">
        <f>IFERROR(VLOOKUP(F1500,'Freq-Chan'!C:D,2,FALSE),"x")</f>
        <v>151.51499999999999</v>
      </c>
      <c r="U1500" s="110" t="s">
        <v>541</v>
      </c>
      <c r="V1500" s="110" t="str">
        <f t="shared" si="48"/>
        <v>FWL</v>
      </c>
      <c r="W1500" s="110" t="s">
        <v>541</v>
      </c>
      <c r="X1500" s="110" t="s">
        <v>541</v>
      </c>
      <c r="Y1500" s="110" t="str">
        <f>IFERROR(VLOOKUP(F1500,'Freq-Chan'!C:E,3,FALSE),"na")</f>
        <v>F1835</v>
      </c>
      <c r="Z1500" s="110" t="s">
        <v>541</v>
      </c>
      <c r="AA1500" s="110" t="s">
        <v>541</v>
      </c>
      <c r="AB1500" s="110" t="s">
        <v>541</v>
      </c>
      <c r="AC1500" s="10" t="s">
        <v>541</v>
      </c>
      <c r="AD1500" s="10" t="s">
        <v>541</v>
      </c>
    </row>
    <row r="1501" spans="1:30" x14ac:dyDescent="0.2">
      <c r="A1501" s="110">
        <v>1500</v>
      </c>
      <c r="B1501" s="132">
        <v>41851</v>
      </c>
      <c r="C1501" s="117">
        <v>1</v>
      </c>
      <c r="D1501" s="103" t="s">
        <v>70</v>
      </c>
      <c r="E1501" s="103" t="s">
        <v>306</v>
      </c>
      <c r="F1501" s="103">
        <v>515</v>
      </c>
      <c r="G1501" s="103">
        <v>37</v>
      </c>
      <c r="H1501" s="103" t="s">
        <v>3023</v>
      </c>
      <c r="I1501" s="103">
        <v>47</v>
      </c>
      <c r="K1501" s="103" t="s">
        <v>1032</v>
      </c>
      <c r="L1501" s="133"/>
      <c r="M1501" s="134">
        <v>3.9583333333333331E-2</v>
      </c>
      <c r="N1501" s="137" t="s">
        <v>3489</v>
      </c>
      <c r="O1501" s="133" t="s">
        <v>555</v>
      </c>
      <c r="Q1501" s="100" t="s">
        <v>3826</v>
      </c>
      <c r="R1501" s="226" t="s">
        <v>3846</v>
      </c>
      <c r="S1501" s="491" t="str">
        <f t="shared" si="47"/>
        <v>x</v>
      </c>
      <c r="T1501" s="492">
        <f>IFERROR(VLOOKUP(F1501,'Freq-Chan'!C:D,2,FALSE),"x")</f>
        <v>151.51499999999999</v>
      </c>
      <c r="U1501" s="110" t="s">
        <v>541</v>
      </c>
      <c r="V1501" s="110" t="str">
        <f t="shared" si="48"/>
        <v>FWL</v>
      </c>
      <c r="W1501" s="110" t="s">
        <v>541</v>
      </c>
      <c r="X1501" s="110" t="s">
        <v>541</v>
      </c>
      <c r="Y1501" s="110" t="str">
        <f>IFERROR(VLOOKUP(F1501,'Freq-Chan'!C:E,3,FALSE),"na")</f>
        <v>F1835</v>
      </c>
      <c r="Z1501" s="110" t="s">
        <v>541</v>
      </c>
      <c r="AA1501" s="110" t="s">
        <v>541</v>
      </c>
      <c r="AB1501" s="110" t="s">
        <v>541</v>
      </c>
      <c r="AC1501" s="10" t="s">
        <v>541</v>
      </c>
      <c r="AD1501" s="10" t="s">
        <v>541</v>
      </c>
    </row>
    <row r="1502" spans="1:30" x14ac:dyDescent="0.2">
      <c r="A1502" s="110">
        <v>1501</v>
      </c>
      <c r="B1502" s="132">
        <v>41851</v>
      </c>
      <c r="C1502" s="117">
        <v>1</v>
      </c>
      <c r="D1502" s="103" t="s">
        <v>70</v>
      </c>
      <c r="E1502" s="103" t="s">
        <v>306</v>
      </c>
      <c r="H1502" s="103"/>
      <c r="I1502" s="103">
        <v>43</v>
      </c>
      <c r="K1502" s="103" t="s">
        <v>1032</v>
      </c>
      <c r="L1502" s="133"/>
      <c r="M1502" s="134">
        <v>1.3888888888888888E-2</v>
      </c>
      <c r="N1502" s="137" t="s">
        <v>3398</v>
      </c>
      <c r="O1502" s="133" t="s">
        <v>555</v>
      </c>
      <c r="Q1502" s="100" t="s">
        <v>3826</v>
      </c>
      <c r="R1502" s="226" t="s">
        <v>3846</v>
      </c>
      <c r="S1502" s="491" t="str">
        <f t="shared" si="47"/>
        <v>x</v>
      </c>
      <c r="T1502" s="492" t="str">
        <f>IFERROR(VLOOKUP(F1502,'Freq-Chan'!C:D,2,FALSE),"x")</f>
        <v>x</v>
      </c>
      <c r="U1502" s="110" t="s">
        <v>541</v>
      </c>
      <c r="V1502" s="110" t="str">
        <f t="shared" si="48"/>
        <v>FWL</v>
      </c>
      <c r="W1502" s="110" t="s">
        <v>541</v>
      </c>
      <c r="X1502" s="110" t="s">
        <v>541</v>
      </c>
      <c r="Y1502" s="110" t="str">
        <f>IFERROR(VLOOKUP(F1502,'Freq-Chan'!C:E,3,FALSE),"na")</f>
        <v>na</v>
      </c>
      <c r="Z1502" s="110" t="s">
        <v>541</v>
      </c>
      <c r="AA1502" s="110" t="s">
        <v>541</v>
      </c>
      <c r="AB1502" s="110" t="s">
        <v>541</v>
      </c>
      <c r="AC1502" s="10" t="s">
        <v>541</v>
      </c>
      <c r="AD1502" s="10" t="s">
        <v>541</v>
      </c>
    </row>
    <row r="1503" spans="1:30" x14ac:dyDescent="0.2">
      <c r="A1503" s="110">
        <v>1502</v>
      </c>
      <c r="B1503" s="132">
        <v>41851</v>
      </c>
      <c r="C1503" s="117">
        <v>1</v>
      </c>
      <c r="D1503" s="103" t="s">
        <v>70</v>
      </c>
      <c r="E1503" s="103" t="s">
        <v>306</v>
      </c>
      <c r="H1503" s="103"/>
      <c r="I1503" s="103">
        <v>45</v>
      </c>
      <c r="K1503" s="103" t="s">
        <v>365</v>
      </c>
      <c r="L1503" s="133"/>
      <c r="M1503" s="134">
        <v>1.5972222222222224E-2</v>
      </c>
      <c r="N1503" s="137" t="s">
        <v>3400</v>
      </c>
      <c r="O1503" s="133" t="s">
        <v>555</v>
      </c>
      <c r="Q1503" s="100" t="s">
        <v>3826</v>
      </c>
      <c r="R1503" s="226" t="s">
        <v>3846</v>
      </c>
      <c r="S1503" s="491" t="str">
        <f t="shared" si="47"/>
        <v>x</v>
      </c>
      <c r="T1503" s="492" t="str">
        <f>IFERROR(VLOOKUP(F1503,'Freq-Chan'!C:D,2,FALSE),"x")</f>
        <v>x</v>
      </c>
      <c r="U1503" s="110" t="s">
        <v>541</v>
      </c>
      <c r="V1503" s="110" t="str">
        <f t="shared" si="48"/>
        <v>FWL</v>
      </c>
      <c r="W1503" s="110" t="s">
        <v>541</v>
      </c>
      <c r="X1503" s="110" t="s">
        <v>541</v>
      </c>
      <c r="Y1503" s="110" t="str">
        <f>IFERROR(VLOOKUP(F1503,'Freq-Chan'!C:E,3,FALSE),"na")</f>
        <v>na</v>
      </c>
      <c r="Z1503" s="110" t="s">
        <v>541</v>
      </c>
      <c r="AA1503" s="110" t="s">
        <v>541</v>
      </c>
      <c r="AB1503" s="110" t="s">
        <v>541</v>
      </c>
      <c r="AC1503" s="10" t="s">
        <v>541</v>
      </c>
      <c r="AD1503" s="10" t="s">
        <v>541</v>
      </c>
    </row>
    <row r="1504" spans="1:30" x14ac:dyDescent="0.2">
      <c r="A1504" s="110">
        <v>1503</v>
      </c>
      <c r="B1504" s="132">
        <v>41851</v>
      </c>
      <c r="C1504" s="117">
        <v>1</v>
      </c>
      <c r="D1504" s="103" t="s">
        <v>70</v>
      </c>
      <c r="E1504" s="103" t="s">
        <v>306</v>
      </c>
      <c r="H1504" s="103"/>
      <c r="I1504" s="103">
        <v>39</v>
      </c>
      <c r="K1504" s="103" t="s">
        <v>365</v>
      </c>
      <c r="L1504" s="133"/>
      <c r="M1504" s="134">
        <v>1.9444444444444445E-2</v>
      </c>
      <c r="N1504" s="137" t="s">
        <v>3253</v>
      </c>
      <c r="O1504" s="133" t="s">
        <v>555</v>
      </c>
      <c r="Q1504" s="100" t="s">
        <v>3826</v>
      </c>
      <c r="R1504" s="226" t="s">
        <v>3846</v>
      </c>
      <c r="S1504" s="491" t="str">
        <f t="shared" si="47"/>
        <v>x</v>
      </c>
      <c r="T1504" s="492" t="str">
        <f>IFERROR(VLOOKUP(F1504,'Freq-Chan'!C:D,2,FALSE),"x")</f>
        <v>x</v>
      </c>
      <c r="U1504" s="110" t="s">
        <v>541</v>
      </c>
      <c r="V1504" s="110" t="str">
        <f t="shared" si="48"/>
        <v>FWL</v>
      </c>
      <c r="W1504" s="110" t="s">
        <v>541</v>
      </c>
      <c r="X1504" s="110" t="s">
        <v>541</v>
      </c>
      <c r="Y1504" s="110" t="str">
        <f>IFERROR(VLOOKUP(F1504,'Freq-Chan'!C:E,3,FALSE),"na")</f>
        <v>na</v>
      </c>
      <c r="Z1504" s="110" t="s">
        <v>541</v>
      </c>
      <c r="AA1504" s="110" t="s">
        <v>541</v>
      </c>
      <c r="AB1504" s="110" t="s">
        <v>541</v>
      </c>
      <c r="AC1504" s="10" t="s">
        <v>541</v>
      </c>
      <c r="AD1504" s="10" t="s">
        <v>541</v>
      </c>
    </row>
    <row r="1505" spans="1:30" x14ac:dyDescent="0.2">
      <c r="A1505" s="110">
        <v>1504</v>
      </c>
      <c r="B1505" s="132">
        <v>41851</v>
      </c>
      <c r="C1505" s="117">
        <v>1</v>
      </c>
      <c r="D1505" s="103" t="s">
        <v>70</v>
      </c>
      <c r="E1505" s="103" t="s">
        <v>306</v>
      </c>
      <c r="H1505" s="103"/>
      <c r="I1505" s="103">
        <v>47</v>
      </c>
      <c r="K1505" s="103" t="s">
        <v>365</v>
      </c>
      <c r="L1505" s="133"/>
      <c r="M1505" s="134">
        <v>3.6111111111111115E-2</v>
      </c>
      <c r="N1505" s="137" t="s">
        <v>3450</v>
      </c>
      <c r="O1505" s="133" t="s">
        <v>555</v>
      </c>
      <c r="Q1505" s="100" t="s">
        <v>3826</v>
      </c>
      <c r="R1505" s="226" t="s">
        <v>3846</v>
      </c>
      <c r="S1505" s="491" t="str">
        <f t="shared" si="47"/>
        <v>x</v>
      </c>
      <c r="T1505" s="492" t="str">
        <f>IFERROR(VLOOKUP(F1505,'Freq-Chan'!C:D,2,FALSE),"x")</f>
        <v>x</v>
      </c>
      <c r="U1505" s="110" t="s">
        <v>541</v>
      </c>
      <c r="V1505" s="110" t="str">
        <f t="shared" si="48"/>
        <v>FWL</v>
      </c>
      <c r="W1505" s="110" t="s">
        <v>541</v>
      </c>
      <c r="X1505" s="110" t="s">
        <v>541</v>
      </c>
      <c r="Y1505" s="110" t="str">
        <f>IFERROR(VLOOKUP(F1505,'Freq-Chan'!C:E,3,FALSE),"na")</f>
        <v>na</v>
      </c>
      <c r="Z1505" s="110" t="s">
        <v>541</v>
      </c>
      <c r="AA1505" s="110" t="s">
        <v>541</v>
      </c>
      <c r="AB1505" s="110" t="s">
        <v>541</v>
      </c>
      <c r="AC1505" s="10" t="s">
        <v>541</v>
      </c>
      <c r="AD1505" s="10" t="s">
        <v>541</v>
      </c>
    </row>
    <row r="1506" spans="1:30" x14ac:dyDescent="0.2">
      <c r="A1506" s="110">
        <v>1505</v>
      </c>
      <c r="B1506" s="132">
        <v>41851</v>
      </c>
      <c r="C1506" s="117">
        <v>1</v>
      </c>
      <c r="D1506" s="103" t="s">
        <v>70</v>
      </c>
      <c r="E1506" s="103" t="s">
        <v>306</v>
      </c>
      <c r="H1506" s="103"/>
      <c r="I1506" s="103">
        <v>44</v>
      </c>
      <c r="K1506" s="103" t="s">
        <v>365</v>
      </c>
      <c r="L1506" s="133"/>
      <c r="M1506" s="134">
        <v>1.5277777777777777E-2</v>
      </c>
      <c r="N1506" s="137" t="s">
        <v>1571</v>
      </c>
      <c r="O1506" s="133" t="s">
        <v>555</v>
      </c>
      <c r="Q1506" s="100" t="s">
        <v>3826</v>
      </c>
      <c r="R1506" s="226" t="s">
        <v>3846</v>
      </c>
      <c r="S1506" s="491" t="str">
        <f t="shared" si="47"/>
        <v>x</v>
      </c>
      <c r="T1506" s="492" t="str">
        <f>IFERROR(VLOOKUP(F1506,'Freq-Chan'!C:D,2,FALSE),"x")</f>
        <v>x</v>
      </c>
      <c r="U1506" s="110" t="s">
        <v>541</v>
      </c>
      <c r="V1506" s="110" t="str">
        <f t="shared" si="48"/>
        <v>FWL</v>
      </c>
      <c r="W1506" s="110" t="s">
        <v>541</v>
      </c>
      <c r="X1506" s="110" t="s">
        <v>541</v>
      </c>
      <c r="Y1506" s="110" t="str">
        <f>IFERROR(VLOOKUP(F1506,'Freq-Chan'!C:E,3,FALSE),"na")</f>
        <v>na</v>
      </c>
      <c r="Z1506" s="110" t="s">
        <v>541</v>
      </c>
      <c r="AA1506" s="110" t="s">
        <v>541</v>
      </c>
      <c r="AB1506" s="110" t="s">
        <v>541</v>
      </c>
      <c r="AC1506" s="10" t="s">
        <v>541</v>
      </c>
      <c r="AD1506" s="10" t="s">
        <v>541</v>
      </c>
    </row>
    <row r="1507" spans="1:30" x14ac:dyDescent="0.2">
      <c r="A1507" s="110">
        <v>1506</v>
      </c>
      <c r="B1507" s="132">
        <v>41851</v>
      </c>
      <c r="C1507" s="117">
        <v>1</v>
      </c>
      <c r="D1507" s="103" t="s">
        <v>70</v>
      </c>
      <c r="E1507" s="103" t="s">
        <v>306</v>
      </c>
      <c r="H1507" s="103"/>
      <c r="I1507" s="103">
        <v>46</v>
      </c>
      <c r="K1507" s="103" t="s">
        <v>1032</v>
      </c>
      <c r="L1507" s="133"/>
      <c r="M1507" s="134">
        <v>1.6666666666666666E-2</v>
      </c>
      <c r="N1507" s="137" t="s">
        <v>3451</v>
      </c>
      <c r="O1507" s="133" t="s">
        <v>555</v>
      </c>
      <c r="Q1507" s="100" t="s">
        <v>3826</v>
      </c>
      <c r="R1507" s="226" t="s">
        <v>3846</v>
      </c>
      <c r="S1507" s="491" t="str">
        <f t="shared" si="47"/>
        <v>x</v>
      </c>
      <c r="T1507" s="492" t="str">
        <f>IFERROR(VLOOKUP(F1507,'Freq-Chan'!C:D,2,FALSE),"x")</f>
        <v>x</v>
      </c>
      <c r="U1507" s="110" t="s">
        <v>541</v>
      </c>
      <c r="V1507" s="110" t="str">
        <f t="shared" si="48"/>
        <v>FWL</v>
      </c>
      <c r="W1507" s="110" t="s">
        <v>541</v>
      </c>
      <c r="X1507" s="110" t="s">
        <v>541</v>
      </c>
      <c r="Y1507" s="110" t="str">
        <f>IFERROR(VLOOKUP(F1507,'Freq-Chan'!C:E,3,FALSE),"na")</f>
        <v>na</v>
      </c>
      <c r="Z1507" s="110" t="s">
        <v>541</v>
      </c>
      <c r="AA1507" s="110" t="s">
        <v>541</v>
      </c>
      <c r="AB1507" s="110" t="s">
        <v>541</v>
      </c>
      <c r="AC1507" s="10" t="s">
        <v>541</v>
      </c>
      <c r="AD1507" s="10" t="s">
        <v>541</v>
      </c>
    </row>
    <row r="1508" spans="1:30" x14ac:dyDescent="0.2">
      <c r="A1508" s="110">
        <v>1507</v>
      </c>
      <c r="B1508" s="132">
        <v>41851</v>
      </c>
      <c r="C1508" s="117">
        <v>1</v>
      </c>
      <c r="D1508" s="103" t="s">
        <v>70</v>
      </c>
      <c r="E1508" s="103" t="s">
        <v>306</v>
      </c>
      <c r="H1508" s="103"/>
      <c r="I1508" s="103">
        <v>42</v>
      </c>
      <c r="K1508" s="103" t="s">
        <v>1032</v>
      </c>
      <c r="L1508" s="133"/>
      <c r="M1508" s="134">
        <v>2.0833333333333332E-2</v>
      </c>
      <c r="N1508" s="137" t="s">
        <v>3451</v>
      </c>
      <c r="O1508" s="133" t="s">
        <v>555</v>
      </c>
      <c r="Q1508" s="100" t="s">
        <v>3826</v>
      </c>
      <c r="R1508" s="226" t="s">
        <v>3846</v>
      </c>
      <c r="S1508" s="491" t="str">
        <f t="shared" si="47"/>
        <v>x</v>
      </c>
      <c r="T1508" s="492" t="str">
        <f>IFERROR(VLOOKUP(F1508,'Freq-Chan'!C:D,2,FALSE),"x")</f>
        <v>x</v>
      </c>
      <c r="U1508" s="110" t="s">
        <v>541</v>
      </c>
      <c r="V1508" s="110" t="str">
        <f t="shared" si="48"/>
        <v>FWL</v>
      </c>
      <c r="W1508" s="110" t="s">
        <v>541</v>
      </c>
      <c r="X1508" s="110" t="s">
        <v>541</v>
      </c>
      <c r="Y1508" s="110" t="str">
        <f>IFERROR(VLOOKUP(F1508,'Freq-Chan'!C:E,3,FALSE),"na")</f>
        <v>na</v>
      </c>
      <c r="Z1508" s="110" t="s">
        <v>541</v>
      </c>
      <c r="AA1508" s="110" t="s">
        <v>541</v>
      </c>
      <c r="AB1508" s="110" t="s">
        <v>541</v>
      </c>
      <c r="AC1508" s="10" t="s">
        <v>541</v>
      </c>
      <c r="AD1508" s="10" t="s">
        <v>541</v>
      </c>
    </row>
    <row r="1509" spans="1:30" x14ac:dyDescent="0.2">
      <c r="A1509" s="110">
        <v>1508</v>
      </c>
      <c r="B1509" s="132">
        <v>41851</v>
      </c>
      <c r="C1509" s="117">
        <v>1</v>
      </c>
      <c r="D1509" s="103" t="s">
        <v>70</v>
      </c>
      <c r="E1509" s="103" t="s">
        <v>306</v>
      </c>
      <c r="H1509" s="103"/>
      <c r="I1509" s="103">
        <v>48</v>
      </c>
      <c r="K1509" s="103" t="s">
        <v>1032</v>
      </c>
      <c r="L1509" s="133"/>
      <c r="M1509" s="134">
        <v>2.1527777777777781E-2</v>
      </c>
      <c r="N1509" s="137" t="s">
        <v>3333</v>
      </c>
      <c r="O1509" s="133" t="s">
        <v>555</v>
      </c>
      <c r="Q1509" s="100" t="s">
        <v>3826</v>
      </c>
      <c r="R1509" s="226" t="s">
        <v>3846</v>
      </c>
      <c r="S1509" s="491" t="str">
        <f t="shared" si="47"/>
        <v>x</v>
      </c>
      <c r="T1509" s="492" t="str">
        <f>IFERROR(VLOOKUP(F1509,'Freq-Chan'!C:D,2,FALSE),"x")</f>
        <v>x</v>
      </c>
      <c r="U1509" s="110" t="s">
        <v>541</v>
      </c>
      <c r="V1509" s="110" t="str">
        <f t="shared" si="48"/>
        <v>FWL</v>
      </c>
      <c r="W1509" s="110" t="s">
        <v>541</v>
      </c>
      <c r="X1509" s="110" t="s">
        <v>541</v>
      </c>
      <c r="Y1509" s="110" t="str">
        <f>IFERROR(VLOOKUP(F1509,'Freq-Chan'!C:E,3,FALSE),"na")</f>
        <v>na</v>
      </c>
      <c r="Z1509" s="110" t="s">
        <v>541</v>
      </c>
      <c r="AA1509" s="110" t="s">
        <v>541</v>
      </c>
      <c r="AB1509" s="110" t="s">
        <v>541</v>
      </c>
      <c r="AC1509" s="10" t="s">
        <v>541</v>
      </c>
      <c r="AD1509" s="10" t="s">
        <v>541</v>
      </c>
    </row>
    <row r="1510" spans="1:30" x14ac:dyDescent="0.2">
      <c r="A1510" s="110">
        <v>1509</v>
      </c>
      <c r="B1510" s="132">
        <v>41851</v>
      </c>
      <c r="C1510" s="117">
        <v>1</v>
      </c>
      <c r="D1510" s="103" t="s">
        <v>71</v>
      </c>
      <c r="E1510" s="103" t="s">
        <v>306</v>
      </c>
      <c r="F1510" s="103">
        <v>534</v>
      </c>
      <c r="G1510" s="103">
        <v>69</v>
      </c>
      <c r="H1510" s="103" t="s">
        <v>2345</v>
      </c>
      <c r="I1510" s="103">
        <v>63</v>
      </c>
      <c r="K1510" s="103" t="s">
        <v>364</v>
      </c>
      <c r="L1510" s="133"/>
      <c r="M1510" s="134">
        <v>3.7499999999999999E-2</v>
      </c>
      <c r="N1510" s="137" t="s">
        <v>3452</v>
      </c>
      <c r="O1510" s="133" t="s">
        <v>555</v>
      </c>
      <c r="Q1510" s="100" t="s">
        <v>3826</v>
      </c>
      <c r="R1510" s="226" t="s">
        <v>3846</v>
      </c>
      <c r="S1510" s="491" t="str">
        <f t="shared" si="47"/>
        <v>x</v>
      </c>
      <c r="T1510" s="492">
        <f>IFERROR(VLOOKUP(F1510,'Freq-Chan'!C:D,2,FALSE),"x")</f>
        <v>151.53399999999999</v>
      </c>
      <c r="U1510" s="110" t="s">
        <v>541</v>
      </c>
      <c r="V1510" s="110" t="str">
        <f t="shared" si="48"/>
        <v>FWL</v>
      </c>
      <c r="W1510" s="110" t="s">
        <v>541</v>
      </c>
      <c r="X1510" s="110" t="s">
        <v>541</v>
      </c>
      <c r="Y1510" s="110" t="str">
        <f>IFERROR(VLOOKUP(F1510,'Freq-Chan'!C:E,3,FALSE),"na")</f>
        <v>F1840</v>
      </c>
      <c r="Z1510" s="110" t="s">
        <v>541</v>
      </c>
      <c r="AA1510" s="110" t="s">
        <v>541</v>
      </c>
      <c r="AB1510" s="110" t="s">
        <v>541</v>
      </c>
      <c r="AC1510" s="10" t="s">
        <v>541</v>
      </c>
      <c r="AD1510" s="10" t="s">
        <v>541</v>
      </c>
    </row>
    <row r="1511" spans="1:30" x14ac:dyDescent="0.2">
      <c r="A1511" s="110">
        <v>1510</v>
      </c>
      <c r="B1511" s="132">
        <v>41851</v>
      </c>
      <c r="C1511" s="117">
        <v>1</v>
      </c>
      <c r="D1511" s="103" t="s">
        <v>70</v>
      </c>
      <c r="E1511" s="103" t="s">
        <v>306</v>
      </c>
      <c r="H1511" s="103"/>
      <c r="I1511" s="103">
        <v>45</v>
      </c>
      <c r="K1511" s="103" t="s">
        <v>1032</v>
      </c>
      <c r="L1511" s="133"/>
      <c r="M1511" s="134">
        <v>1.6666666666666666E-2</v>
      </c>
      <c r="N1511" s="137" t="s">
        <v>3752</v>
      </c>
      <c r="O1511" s="133" t="s">
        <v>555</v>
      </c>
      <c r="Q1511" s="100" t="s">
        <v>3826</v>
      </c>
      <c r="R1511" s="226" t="s">
        <v>3846</v>
      </c>
      <c r="S1511" s="491" t="str">
        <f t="shared" si="47"/>
        <v>x</v>
      </c>
      <c r="T1511" s="492" t="str">
        <f>IFERROR(VLOOKUP(F1511,'Freq-Chan'!C:D,2,FALSE),"x")</f>
        <v>x</v>
      </c>
      <c r="U1511" s="110" t="s">
        <v>541</v>
      </c>
      <c r="V1511" s="110" t="str">
        <f t="shared" si="48"/>
        <v>FWL</v>
      </c>
      <c r="W1511" s="110" t="s">
        <v>541</v>
      </c>
      <c r="X1511" s="110" t="s">
        <v>541</v>
      </c>
      <c r="Y1511" s="110" t="str">
        <f>IFERROR(VLOOKUP(F1511,'Freq-Chan'!C:E,3,FALSE),"na")</f>
        <v>na</v>
      </c>
      <c r="Z1511" s="110" t="s">
        <v>541</v>
      </c>
      <c r="AA1511" s="110" t="s">
        <v>541</v>
      </c>
      <c r="AB1511" s="110" t="s">
        <v>541</v>
      </c>
      <c r="AC1511" s="10" t="s">
        <v>541</v>
      </c>
      <c r="AD1511" s="10" t="s">
        <v>541</v>
      </c>
    </row>
    <row r="1512" spans="1:30" x14ac:dyDescent="0.2">
      <c r="A1512" s="110">
        <v>1511</v>
      </c>
      <c r="B1512" s="132">
        <v>41851</v>
      </c>
      <c r="C1512" s="117">
        <v>1</v>
      </c>
      <c r="D1512" s="103" t="s">
        <v>70</v>
      </c>
      <c r="E1512" s="103" t="s">
        <v>306</v>
      </c>
      <c r="H1512" s="103"/>
      <c r="I1512" s="103">
        <v>48</v>
      </c>
      <c r="K1512" s="103" t="s">
        <v>1032</v>
      </c>
      <c r="L1512" s="133"/>
      <c r="M1512" s="134">
        <v>1.3888888888888888E-2</v>
      </c>
      <c r="N1512" s="137" t="s">
        <v>3293</v>
      </c>
      <c r="O1512" s="133" t="s">
        <v>555</v>
      </c>
      <c r="Q1512" s="100" t="s">
        <v>3826</v>
      </c>
      <c r="R1512" s="226" t="s">
        <v>3846</v>
      </c>
      <c r="S1512" s="491" t="str">
        <f t="shared" si="47"/>
        <v>x</v>
      </c>
      <c r="T1512" s="492" t="str">
        <f>IFERROR(VLOOKUP(F1512,'Freq-Chan'!C:D,2,FALSE),"x")</f>
        <v>x</v>
      </c>
      <c r="U1512" s="110" t="s">
        <v>541</v>
      </c>
      <c r="V1512" s="110" t="str">
        <f t="shared" si="48"/>
        <v>FWL</v>
      </c>
      <c r="W1512" s="110" t="s">
        <v>541</v>
      </c>
      <c r="X1512" s="110" t="s">
        <v>541</v>
      </c>
      <c r="Y1512" s="110" t="str">
        <f>IFERROR(VLOOKUP(F1512,'Freq-Chan'!C:E,3,FALSE),"na")</f>
        <v>na</v>
      </c>
      <c r="Z1512" s="110" t="s">
        <v>541</v>
      </c>
      <c r="AA1512" s="110" t="s">
        <v>541</v>
      </c>
      <c r="AB1512" s="110" t="s">
        <v>541</v>
      </c>
      <c r="AC1512" s="10" t="s">
        <v>541</v>
      </c>
      <c r="AD1512" s="10" t="s">
        <v>541</v>
      </c>
    </row>
    <row r="1513" spans="1:30" x14ac:dyDescent="0.2">
      <c r="A1513" s="110">
        <v>1512</v>
      </c>
      <c r="B1513" s="132">
        <v>41851</v>
      </c>
      <c r="C1513" s="117">
        <v>1</v>
      </c>
      <c r="D1513" s="103" t="s">
        <v>70</v>
      </c>
      <c r="E1513" s="103" t="s">
        <v>306</v>
      </c>
      <c r="H1513" s="103"/>
      <c r="I1513" s="103">
        <v>45</v>
      </c>
      <c r="K1513" s="103" t="s">
        <v>365</v>
      </c>
      <c r="L1513" s="133"/>
      <c r="M1513" s="134">
        <v>1.5277777777777777E-2</v>
      </c>
      <c r="N1513" s="137" t="s">
        <v>3827</v>
      </c>
      <c r="O1513" s="133" t="s">
        <v>555</v>
      </c>
      <c r="Q1513" s="100" t="s">
        <v>3826</v>
      </c>
      <c r="R1513" s="226" t="s">
        <v>3846</v>
      </c>
      <c r="S1513" s="491" t="str">
        <f t="shared" si="47"/>
        <v>x</v>
      </c>
      <c r="T1513" s="492" t="str">
        <f>IFERROR(VLOOKUP(F1513,'Freq-Chan'!C:D,2,FALSE),"x")</f>
        <v>x</v>
      </c>
      <c r="U1513" s="110" t="s">
        <v>541</v>
      </c>
      <c r="V1513" s="110" t="str">
        <f t="shared" si="48"/>
        <v>FWL</v>
      </c>
      <c r="W1513" s="110" t="s">
        <v>541</v>
      </c>
      <c r="X1513" s="110" t="s">
        <v>541</v>
      </c>
      <c r="Y1513" s="110" t="str">
        <f>IFERROR(VLOOKUP(F1513,'Freq-Chan'!C:E,3,FALSE),"na")</f>
        <v>na</v>
      </c>
      <c r="Z1513" s="110" t="s">
        <v>541</v>
      </c>
      <c r="AA1513" s="110" t="s">
        <v>541</v>
      </c>
      <c r="AB1513" s="110" t="s">
        <v>541</v>
      </c>
      <c r="AC1513" s="10" t="s">
        <v>541</v>
      </c>
      <c r="AD1513" s="10" t="s">
        <v>541</v>
      </c>
    </row>
    <row r="1514" spans="1:30" x14ac:dyDescent="0.2">
      <c r="A1514" s="110">
        <v>1513</v>
      </c>
      <c r="B1514" s="132">
        <v>41851</v>
      </c>
      <c r="C1514" s="117">
        <v>1</v>
      </c>
      <c r="D1514" s="103" t="s">
        <v>70</v>
      </c>
      <c r="E1514" s="103" t="s">
        <v>306</v>
      </c>
      <c r="H1514" s="103"/>
      <c r="I1514" s="103">
        <v>47</v>
      </c>
      <c r="K1514" s="103" t="s">
        <v>365</v>
      </c>
      <c r="L1514" s="133"/>
      <c r="M1514" s="134">
        <v>1.5972222222222224E-2</v>
      </c>
      <c r="N1514" s="137" t="s">
        <v>3491</v>
      </c>
      <c r="O1514" s="133" t="s">
        <v>555</v>
      </c>
      <c r="P1514" s="100" t="s">
        <v>3828</v>
      </c>
      <c r="Q1514" s="100" t="s">
        <v>3826</v>
      </c>
      <c r="R1514" s="226" t="s">
        <v>3846</v>
      </c>
      <c r="S1514" s="491" t="str">
        <f t="shared" si="47"/>
        <v>x</v>
      </c>
      <c r="T1514" s="492" t="str">
        <f>IFERROR(VLOOKUP(F1514,'Freq-Chan'!C:D,2,FALSE),"x")</f>
        <v>x</v>
      </c>
      <c r="U1514" s="110" t="s">
        <v>541</v>
      </c>
      <c r="V1514" s="110" t="str">
        <f t="shared" si="48"/>
        <v>FWL</v>
      </c>
      <c r="W1514" s="110" t="s">
        <v>541</v>
      </c>
      <c r="X1514" s="110" t="s">
        <v>541</v>
      </c>
      <c r="Y1514" s="110" t="str">
        <f>IFERROR(VLOOKUP(F1514,'Freq-Chan'!C:E,3,FALSE),"na")</f>
        <v>na</v>
      </c>
      <c r="Z1514" s="110" t="s">
        <v>541</v>
      </c>
      <c r="AA1514" s="110" t="s">
        <v>541</v>
      </c>
      <c r="AB1514" s="110" t="s">
        <v>541</v>
      </c>
      <c r="AC1514" s="10" t="s">
        <v>541</v>
      </c>
      <c r="AD1514" s="10" t="s">
        <v>541</v>
      </c>
    </row>
    <row r="1515" spans="1:30" x14ac:dyDescent="0.2">
      <c r="A1515" s="110">
        <v>1514</v>
      </c>
      <c r="B1515" s="132">
        <v>41851</v>
      </c>
      <c r="C1515" s="117">
        <v>1</v>
      </c>
      <c r="D1515" s="103" t="s">
        <v>72</v>
      </c>
      <c r="E1515" s="103" t="s">
        <v>306</v>
      </c>
      <c r="F1515" s="103">
        <v>325</v>
      </c>
      <c r="G1515" s="103">
        <v>9</v>
      </c>
      <c r="H1515" s="103" t="s">
        <v>3507</v>
      </c>
      <c r="I1515" s="103">
        <v>60</v>
      </c>
      <c r="K1515" s="103" t="s">
        <v>364</v>
      </c>
      <c r="L1515" s="133"/>
      <c r="M1515" s="134">
        <v>4.8611111111111112E-2</v>
      </c>
      <c r="N1515" s="137" t="s">
        <v>1650</v>
      </c>
      <c r="O1515" s="133" t="s">
        <v>555</v>
      </c>
      <c r="P1515" s="100" t="s">
        <v>3829</v>
      </c>
      <c r="Q1515" s="100" t="s">
        <v>3826</v>
      </c>
      <c r="R1515" s="226" t="s">
        <v>3846</v>
      </c>
      <c r="S1515" s="491" t="str">
        <f t="shared" si="47"/>
        <v>x</v>
      </c>
      <c r="T1515" s="492">
        <f>IFERROR(VLOOKUP(F1515,'Freq-Chan'!C:D,2,FALSE),"x")</f>
        <v>151.32499999999999</v>
      </c>
      <c r="U1515" s="110" t="s">
        <v>541</v>
      </c>
      <c r="V1515" s="110" t="str">
        <f t="shared" si="48"/>
        <v>FWL</v>
      </c>
      <c r="W1515" s="110" t="s">
        <v>541</v>
      </c>
      <c r="X1515" s="110" t="s">
        <v>541</v>
      </c>
      <c r="Y1515" s="110" t="str">
        <f>IFERROR(VLOOKUP(F1515,'Freq-Chan'!C:E,3,FALSE),"na")</f>
        <v>F1840</v>
      </c>
      <c r="Z1515" s="110" t="s">
        <v>541</v>
      </c>
      <c r="AA1515" s="110" t="s">
        <v>541</v>
      </c>
      <c r="AB1515" s="110" t="s">
        <v>541</v>
      </c>
      <c r="AC1515" s="10" t="s">
        <v>541</v>
      </c>
      <c r="AD1515" s="10" t="s">
        <v>541</v>
      </c>
    </row>
    <row r="1516" spans="1:30" x14ac:dyDescent="0.2">
      <c r="A1516" s="110">
        <v>1515</v>
      </c>
      <c r="B1516" s="132">
        <v>41851</v>
      </c>
      <c r="C1516" s="117">
        <v>1</v>
      </c>
      <c r="D1516" s="103" t="s">
        <v>71</v>
      </c>
      <c r="E1516" s="103" t="s">
        <v>306</v>
      </c>
      <c r="F1516" s="103">
        <v>534</v>
      </c>
      <c r="G1516" s="103">
        <v>20</v>
      </c>
      <c r="H1516" s="103" t="s">
        <v>2344</v>
      </c>
      <c r="I1516" s="103">
        <v>62</v>
      </c>
      <c r="K1516" s="103" t="s">
        <v>364</v>
      </c>
      <c r="L1516" s="133"/>
      <c r="M1516" s="134">
        <v>5.6250000000000001E-2</v>
      </c>
      <c r="N1516" s="137" t="s">
        <v>3717</v>
      </c>
      <c r="O1516" s="133" t="s">
        <v>555</v>
      </c>
      <c r="Q1516" s="100" t="s">
        <v>3826</v>
      </c>
      <c r="R1516" s="226" t="s">
        <v>3846</v>
      </c>
      <c r="S1516" s="491" t="str">
        <f t="shared" si="47"/>
        <v>x</v>
      </c>
      <c r="T1516" s="492">
        <f>IFERROR(VLOOKUP(F1516,'Freq-Chan'!C:D,2,FALSE),"x")</f>
        <v>151.53399999999999</v>
      </c>
      <c r="U1516" s="110" t="s">
        <v>541</v>
      </c>
      <c r="V1516" s="110" t="str">
        <f t="shared" si="48"/>
        <v>FWL</v>
      </c>
      <c r="W1516" s="110" t="s">
        <v>541</v>
      </c>
      <c r="X1516" s="110" t="s">
        <v>541</v>
      </c>
      <c r="Y1516" s="110" t="str">
        <f>IFERROR(VLOOKUP(F1516,'Freq-Chan'!C:E,3,FALSE),"na")</f>
        <v>F1840</v>
      </c>
      <c r="Z1516" s="110" t="s">
        <v>541</v>
      </c>
      <c r="AA1516" s="110" t="s">
        <v>541</v>
      </c>
      <c r="AB1516" s="110" t="s">
        <v>541</v>
      </c>
      <c r="AC1516" s="10" t="s">
        <v>541</v>
      </c>
      <c r="AD1516" s="10" t="s">
        <v>541</v>
      </c>
    </row>
    <row r="1517" spans="1:30" x14ac:dyDescent="0.2">
      <c r="A1517" s="110">
        <v>1516</v>
      </c>
      <c r="B1517" s="132">
        <v>41851</v>
      </c>
      <c r="C1517" s="117">
        <v>1</v>
      </c>
      <c r="D1517" s="103" t="s">
        <v>71</v>
      </c>
      <c r="E1517" s="103" t="s">
        <v>306</v>
      </c>
      <c r="H1517" s="103"/>
      <c r="I1517" s="103">
        <v>56</v>
      </c>
      <c r="K1517" s="103" t="s">
        <v>364</v>
      </c>
      <c r="L1517" s="133"/>
      <c r="M1517" s="134">
        <v>2.013888888888889E-2</v>
      </c>
      <c r="N1517" s="137" t="s">
        <v>3830</v>
      </c>
      <c r="O1517" s="133" t="s">
        <v>555</v>
      </c>
      <c r="Q1517" s="100" t="s">
        <v>3826</v>
      </c>
      <c r="R1517" s="226" t="s">
        <v>3846</v>
      </c>
      <c r="S1517" s="491" t="str">
        <f t="shared" si="47"/>
        <v>x</v>
      </c>
      <c r="T1517" s="492" t="str">
        <f>IFERROR(VLOOKUP(F1517,'Freq-Chan'!C:D,2,FALSE),"x")</f>
        <v>x</v>
      </c>
      <c r="U1517" s="110" t="s">
        <v>541</v>
      </c>
      <c r="V1517" s="110" t="str">
        <f t="shared" si="48"/>
        <v>FWL</v>
      </c>
      <c r="W1517" s="110" t="s">
        <v>541</v>
      </c>
      <c r="X1517" s="110" t="s">
        <v>541</v>
      </c>
      <c r="Y1517" s="110" t="str">
        <f>IFERROR(VLOOKUP(F1517,'Freq-Chan'!C:E,3,FALSE),"na")</f>
        <v>na</v>
      </c>
      <c r="Z1517" s="110" t="s">
        <v>541</v>
      </c>
      <c r="AA1517" s="110" t="s">
        <v>541</v>
      </c>
      <c r="AB1517" s="110" t="s">
        <v>541</v>
      </c>
      <c r="AC1517" s="10" t="s">
        <v>541</v>
      </c>
      <c r="AD1517" s="10" t="s">
        <v>541</v>
      </c>
    </row>
    <row r="1518" spans="1:30" x14ac:dyDescent="0.2">
      <c r="A1518" s="110">
        <v>1517</v>
      </c>
      <c r="B1518" s="132">
        <v>41851</v>
      </c>
      <c r="C1518" s="117">
        <v>1</v>
      </c>
      <c r="D1518" s="103" t="s">
        <v>2</v>
      </c>
      <c r="E1518" s="103" t="s">
        <v>306</v>
      </c>
      <c r="F1518" s="103">
        <v>917</v>
      </c>
      <c r="G1518" s="103">
        <v>84</v>
      </c>
      <c r="H1518" s="103" t="s">
        <v>3848</v>
      </c>
      <c r="I1518" s="103">
        <v>55</v>
      </c>
      <c r="K1518" s="103" t="s">
        <v>365</v>
      </c>
      <c r="L1518" s="133">
        <v>0.51180555555555551</v>
      </c>
      <c r="M1518" s="134">
        <v>5.7638888888888885E-2</v>
      </c>
      <c r="N1518" s="137" t="s">
        <v>1937</v>
      </c>
      <c r="O1518" s="133" t="s">
        <v>1888</v>
      </c>
      <c r="P1518" s="100" t="s">
        <v>3831</v>
      </c>
      <c r="Q1518" s="100" t="s">
        <v>3818</v>
      </c>
      <c r="R1518" s="226" t="s">
        <v>3846</v>
      </c>
      <c r="S1518" s="491">
        <f t="shared" si="47"/>
        <v>5.2893519000000002E-3</v>
      </c>
      <c r="T1518" s="492">
        <f>IFERROR(VLOOKUP(F1518,'Freq-Chan'!C:D,2,FALSE),"x")</f>
        <v>151.917</v>
      </c>
      <c r="U1518" s="110" t="s">
        <v>541</v>
      </c>
      <c r="V1518" s="110" t="str">
        <f t="shared" si="48"/>
        <v>FWL</v>
      </c>
      <c r="W1518" s="110" t="s">
        <v>541</v>
      </c>
      <c r="X1518" s="110" t="s">
        <v>541</v>
      </c>
      <c r="Y1518" s="110" t="str">
        <f>IFERROR(VLOOKUP(F1518,'Freq-Chan'!C:E,3,FALSE),"na")</f>
        <v>F1835</v>
      </c>
      <c r="Z1518" s="110" t="s">
        <v>541</v>
      </c>
      <c r="AA1518" s="110" t="s">
        <v>541</v>
      </c>
      <c r="AB1518" s="110" t="s">
        <v>541</v>
      </c>
      <c r="AC1518" s="10" t="s">
        <v>541</v>
      </c>
      <c r="AD1518" s="10" t="s">
        <v>541</v>
      </c>
    </row>
    <row r="1519" spans="1:30" x14ac:dyDescent="0.2">
      <c r="A1519" s="110">
        <v>1518</v>
      </c>
      <c r="B1519" s="132">
        <v>41851</v>
      </c>
      <c r="C1519" s="117">
        <v>1</v>
      </c>
      <c r="D1519" s="103" t="s">
        <v>71</v>
      </c>
      <c r="E1519" s="103" t="s">
        <v>306</v>
      </c>
      <c r="H1519" s="103"/>
      <c r="I1519" s="103">
        <v>59</v>
      </c>
      <c r="K1519" s="103" t="s">
        <v>364</v>
      </c>
      <c r="L1519" s="133">
        <v>0.53125</v>
      </c>
      <c r="M1519" s="134">
        <v>2.9861111111111113E-2</v>
      </c>
      <c r="N1519" s="137" t="s">
        <v>840</v>
      </c>
      <c r="O1519" s="133" t="s">
        <v>1888</v>
      </c>
      <c r="Q1519" s="100" t="s">
        <v>3818</v>
      </c>
      <c r="R1519" s="226" t="s">
        <v>3846</v>
      </c>
      <c r="S1519" s="491">
        <f t="shared" si="47"/>
        <v>8.9120370000000005E-4</v>
      </c>
      <c r="T1519" s="492" t="str">
        <f>IFERROR(VLOOKUP(F1519,'Freq-Chan'!C:D,2,FALSE),"x")</f>
        <v>x</v>
      </c>
      <c r="U1519" s="110" t="s">
        <v>541</v>
      </c>
      <c r="V1519" s="110" t="str">
        <f t="shared" si="48"/>
        <v>FWL</v>
      </c>
      <c r="W1519" s="110" t="s">
        <v>541</v>
      </c>
      <c r="X1519" s="110" t="s">
        <v>541</v>
      </c>
      <c r="Y1519" s="110" t="str">
        <f>IFERROR(VLOOKUP(F1519,'Freq-Chan'!C:E,3,FALSE),"na")</f>
        <v>na</v>
      </c>
      <c r="Z1519" s="110" t="s">
        <v>541</v>
      </c>
      <c r="AA1519" s="110" t="s">
        <v>541</v>
      </c>
      <c r="AB1519" s="110" t="s">
        <v>541</v>
      </c>
      <c r="AC1519" s="10" t="s">
        <v>541</v>
      </c>
      <c r="AD1519" s="10" t="s">
        <v>541</v>
      </c>
    </row>
    <row r="1520" spans="1:30" x14ac:dyDescent="0.2">
      <c r="A1520" s="110">
        <v>1519</v>
      </c>
      <c r="B1520" s="132">
        <v>41851</v>
      </c>
      <c r="C1520" s="117">
        <v>1</v>
      </c>
      <c r="D1520" s="103" t="s">
        <v>71</v>
      </c>
      <c r="E1520" s="103" t="s">
        <v>306</v>
      </c>
      <c r="H1520" s="103"/>
      <c r="I1520" s="103">
        <v>60</v>
      </c>
      <c r="K1520" s="103" t="s">
        <v>364</v>
      </c>
      <c r="L1520" s="133"/>
      <c r="M1520" s="134">
        <v>2.7083333333333334E-2</v>
      </c>
      <c r="N1520" s="137" t="s">
        <v>3289</v>
      </c>
      <c r="O1520" s="133" t="s">
        <v>2931</v>
      </c>
      <c r="Q1520" s="100" t="s">
        <v>3818</v>
      </c>
      <c r="R1520" s="226" t="s">
        <v>3846</v>
      </c>
      <c r="S1520" s="491" t="str">
        <f t="shared" si="47"/>
        <v>x</v>
      </c>
      <c r="T1520" s="492" t="str">
        <f>IFERROR(VLOOKUP(F1520,'Freq-Chan'!C:D,2,FALSE),"x")</f>
        <v>x</v>
      </c>
      <c r="U1520" s="110" t="s">
        <v>541</v>
      </c>
      <c r="V1520" s="110" t="str">
        <f t="shared" si="48"/>
        <v>FWL</v>
      </c>
      <c r="W1520" s="110" t="s">
        <v>541</v>
      </c>
      <c r="X1520" s="110" t="s">
        <v>541</v>
      </c>
      <c r="Y1520" s="110" t="str">
        <f>IFERROR(VLOOKUP(F1520,'Freq-Chan'!C:E,3,FALSE),"na")</f>
        <v>na</v>
      </c>
      <c r="Z1520" s="110" t="s">
        <v>541</v>
      </c>
      <c r="AA1520" s="110" t="s">
        <v>541</v>
      </c>
      <c r="AB1520" s="110" t="s">
        <v>541</v>
      </c>
      <c r="AC1520" s="10" t="s">
        <v>541</v>
      </c>
      <c r="AD1520" s="10" t="s">
        <v>541</v>
      </c>
    </row>
    <row r="1521" spans="1:30" x14ac:dyDescent="0.2">
      <c r="A1521" s="110">
        <v>1520</v>
      </c>
      <c r="B1521" s="132">
        <v>41851</v>
      </c>
      <c r="C1521" s="117">
        <v>1</v>
      </c>
      <c r="D1521" s="103" t="s">
        <v>71</v>
      </c>
      <c r="E1521" s="103" t="s">
        <v>306</v>
      </c>
      <c r="H1521" s="103"/>
      <c r="I1521" s="103">
        <v>65</v>
      </c>
      <c r="K1521" s="103" t="s">
        <v>364</v>
      </c>
      <c r="L1521" s="133"/>
      <c r="M1521" s="134">
        <v>2.0833333333333332E-2</v>
      </c>
      <c r="N1521" s="137" t="s">
        <v>3759</v>
      </c>
      <c r="O1521" s="133" t="s">
        <v>2931</v>
      </c>
      <c r="Q1521" s="100" t="s">
        <v>3818</v>
      </c>
      <c r="R1521" s="226" t="s">
        <v>3846</v>
      </c>
      <c r="S1521" s="491" t="str">
        <f t="shared" si="47"/>
        <v>x</v>
      </c>
      <c r="T1521" s="492" t="str">
        <f>IFERROR(VLOOKUP(F1521,'Freq-Chan'!C:D,2,FALSE),"x")</f>
        <v>x</v>
      </c>
      <c r="U1521" s="110" t="s">
        <v>541</v>
      </c>
      <c r="V1521" s="110" t="str">
        <f t="shared" si="48"/>
        <v>FWL</v>
      </c>
      <c r="W1521" s="110" t="s">
        <v>541</v>
      </c>
      <c r="X1521" s="110" t="s">
        <v>541</v>
      </c>
      <c r="Y1521" s="110" t="str">
        <f>IFERROR(VLOOKUP(F1521,'Freq-Chan'!C:E,3,FALSE),"na")</f>
        <v>na</v>
      </c>
      <c r="Z1521" s="110" t="s">
        <v>541</v>
      </c>
      <c r="AA1521" s="110" t="s">
        <v>541</v>
      </c>
      <c r="AB1521" s="110" t="s">
        <v>541</v>
      </c>
      <c r="AC1521" s="10" t="s">
        <v>541</v>
      </c>
      <c r="AD1521" s="10" t="s">
        <v>541</v>
      </c>
    </row>
    <row r="1522" spans="1:30" x14ac:dyDescent="0.2">
      <c r="A1522" s="110">
        <v>1521</v>
      </c>
      <c r="B1522" s="132">
        <v>41851</v>
      </c>
      <c r="C1522" s="117">
        <v>1</v>
      </c>
      <c r="D1522" s="103" t="s">
        <v>71</v>
      </c>
      <c r="E1522" s="103" t="s">
        <v>306</v>
      </c>
      <c r="H1522" s="103"/>
      <c r="I1522" s="103">
        <v>60</v>
      </c>
      <c r="K1522" s="103" t="s">
        <v>364</v>
      </c>
      <c r="L1522" s="133"/>
      <c r="M1522" s="134">
        <v>9.7222222222222224E-3</v>
      </c>
      <c r="N1522" s="137" t="s">
        <v>3807</v>
      </c>
      <c r="O1522" s="133" t="s">
        <v>2931</v>
      </c>
      <c r="Q1522" s="100" t="s">
        <v>3818</v>
      </c>
      <c r="R1522" s="226" t="s">
        <v>3846</v>
      </c>
      <c r="S1522" s="491" t="str">
        <f t="shared" si="47"/>
        <v>x</v>
      </c>
      <c r="T1522" s="492" t="str">
        <f>IFERROR(VLOOKUP(F1522,'Freq-Chan'!C:D,2,FALSE),"x")</f>
        <v>x</v>
      </c>
      <c r="U1522" s="110" t="s">
        <v>541</v>
      </c>
      <c r="V1522" s="110" t="str">
        <f t="shared" si="48"/>
        <v>FWL</v>
      </c>
      <c r="W1522" s="110" t="s">
        <v>541</v>
      </c>
      <c r="X1522" s="110" t="s">
        <v>541</v>
      </c>
      <c r="Y1522" s="110" t="str">
        <f>IFERROR(VLOOKUP(F1522,'Freq-Chan'!C:E,3,FALSE),"na")</f>
        <v>na</v>
      </c>
      <c r="Z1522" s="110" t="s">
        <v>541</v>
      </c>
      <c r="AA1522" s="110" t="s">
        <v>541</v>
      </c>
      <c r="AB1522" s="110" t="s">
        <v>541</v>
      </c>
      <c r="AC1522" s="10" t="s">
        <v>541</v>
      </c>
      <c r="AD1522" s="10" t="s">
        <v>541</v>
      </c>
    </row>
    <row r="1523" spans="1:30" x14ac:dyDescent="0.2">
      <c r="A1523" s="110">
        <v>1522</v>
      </c>
      <c r="B1523" s="132">
        <v>41851</v>
      </c>
      <c r="C1523" s="117">
        <v>1</v>
      </c>
      <c r="D1523" s="103" t="s">
        <v>71</v>
      </c>
      <c r="E1523" s="103" t="s">
        <v>306</v>
      </c>
      <c r="H1523" s="103"/>
      <c r="I1523" s="103">
        <v>63</v>
      </c>
      <c r="K1523" s="103" t="s">
        <v>364</v>
      </c>
      <c r="L1523" s="133"/>
      <c r="M1523" s="134">
        <v>1.3888888888888888E-2</v>
      </c>
      <c r="N1523" s="137" t="s">
        <v>3737</v>
      </c>
      <c r="O1523" s="133" t="s">
        <v>3431</v>
      </c>
      <c r="Q1523" s="100" t="s">
        <v>3818</v>
      </c>
      <c r="R1523" s="226" t="s">
        <v>3846</v>
      </c>
      <c r="S1523" s="491" t="str">
        <f t="shared" si="47"/>
        <v>x</v>
      </c>
      <c r="T1523" s="492" t="str">
        <f>IFERROR(VLOOKUP(F1523,'Freq-Chan'!C:D,2,FALSE),"x")</f>
        <v>x</v>
      </c>
      <c r="U1523" s="110" t="s">
        <v>541</v>
      </c>
      <c r="V1523" s="110" t="str">
        <f t="shared" si="48"/>
        <v>FWL</v>
      </c>
      <c r="W1523" s="110" t="s">
        <v>541</v>
      </c>
      <c r="X1523" s="110" t="s">
        <v>541</v>
      </c>
      <c r="Y1523" s="110" t="str">
        <f>IFERROR(VLOOKUP(F1523,'Freq-Chan'!C:E,3,FALSE),"na")</f>
        <v>na</v>
      </c>
      <c r="Z1523" s="110" t="s">
        <v>541</v>
      </c>
      <c r="AA1523" s="110" t="s">
        <v>541</v>
      </c>
      <c r="AB1523" s="110" t="s">
        <v>541</v>
      </c>
      <c r="AC1523" s="10" t="s">
        <v>541</v>
      </c>
      <c r="AD1523" s="10" t="s">
        <v>541</v>
      </c>
    </row>
    <row r="1524" spans="1:30" x14ac:dyDescent="0.2">
      <c r="A1524" s="110">
        <v>1523</v>
      </c>
      <c r="B1524" s="132">
        <v>41851</v>
      </c>
      <c r="C1524" s="117">
        <v>1</v>
      </c>
      <c r="D1524" s="103" t="s">
        <v>72</v>
      </c>
      <c r="E1524" s="103" t="s">
        <v>306</v>
      </c>
      <c r="F1524" s="103">
        <v>325</v>
      </c>
      <c r="G1524" s="103">
        <v>83</v>
      </c>
      <c r="H1524" s="103" t="s">
        <v>3509</v>
      </c>
      <c r="I1524" s="103">
        <v>48</v>
      </c>
      <c r="K1524" s="103" t="s">
        <v>364</v>
      </c>
      <c r="L1524" s="133"/>
      <c r="M1524" s="134">
        <v>4.2361111111111106E-2</v>
      </c>
      <c r="N1524" s="137" t="s">
        <v>882</v>
      </c>
      <c r="O1524" s="133" t="s">
        <v>372</v>
      </c>
      <c r="Q1524" s="100" t="s">
        <v>3820</v>
      </c>
      <c r="R1524" s="226" t="s">
        <v>3846</v>
      </c>
      <c r="S1524" s="491" t="str">
        <f t="shared" si="47"/>
        <v>x</v>
      </c>
      <c r="T1524" s="492">
        <f>IFERROR(VLOOKUP(F1524,'Freq-Chan'!C:D,2,FALSE),"x")</f>
        <v>151.32499999999999</v>
      </c>
      <c r="U1524" s="110" t="s">
        <v>541</v>
      </c>
      <c r="V1524" s="110" t="str">
        <f t="shared" si="48"/>
        <v>FWL</v>
      </c>
      <c r="W1524" s="110" t="s">
        <v>541</v>
      </c>
      <c r="X1524" s="110" t="s">
        <v>541</v>
      </c>
      <c r="Y1524" s="110" t="str">
        <f>IFERROR(VLOOKUP(F1524,'Freq-Chan'!C:E,3,FALSE),"na")</f>
        <v>F1840</v>
      </c>
      <c r="Z1524" s="110" t="s">
        <v>541</v>
      </c>
      <c r="AA1524" s="110" t="s">
        <v>541</v>
      </c>
      <c r="AB1524" s="110" t="s">
        <v>541</v>
      </c>
      <c r="AC1524" s="10" t="s">
        <v>541</v>
      </c>
      <c r="AD1524" s="10" t="s">
        <v>541</v>
      </c>
    </row>
    <row r="1525" spans="1:30" x14ac:dyDescent="0.2">
      <c r="A1525" s="110">
        <v>1524</v>
      </c>
      <c r="B1525" s="132">
        <v>41851</v>
      </c>
      <c r="C1525" s="117">
        <v>1</v>
      </c>
      <c r="D1525" s="103" t="s">
        <v>71</v>
      </c>
      <c r="E1525" s="103" t="s">
        <v>306</v>
      </c>
      <c r="H1525" s="103"/>
      <c r="I1525" s="103">
        <v>62</v>
      </c>
      <c r="K1525" s="103" t="s">
        <v>364</v>
      </c>
      <c r="L1525" s="133"/>
      <c r="M1525" s="134">
        <v>2.0833333333333332E-2</v>
      </c>
      <c r="N1525" s="135" t="s">
        <v>3832</v>
      </c>
      <c r="O1525" s="133" t="s">
        <v>1585</v>
      </c>
      <c r="Q1525" s="100" t="s">
        <v>3820</v>
      </c>
      <c r="R1525" s="226" t="s">
        <v>3846</v>
      </c>
      <c r="S1525" s="491" t="str">
        <f t="shared" si="47"/>
        <v>x</v>
      </c>
      <c r="T1525" s="492" t="str">
        <f>IFERROR(VLOOKUP(F1525,'Freq-Chan'!C:D,2,FALSE),"x")</f>
        <v>x</v>
      </c>
      <c r="U1525" s="110" t="s">
        <v>541</v>
      </c>
      <c r="V1525" s="110" t="str">
        <f t="shared" si="48"/>
        <v>FWL</v>
      </c>
      <c r="W1525" s="110" t="s">
        <v>541</v>
      </c>
      <c r="X1525" s="110" t="s">
        <v>541</v>
      </c>
      <c r="Y1525" s="110" t="str">
        <f>IFERROR(VLOOKUP(F1525,'Freq-Chan'!C:E,3,FALSE),"na")</f>
        <v>na</v>
      </c>
      <c r="Z1525" s="110" t="s">
        <v>541</v>
      </c>
      <c r="AA1525" s="110" t="s">
        <v>541</v>
      </c>
      <c r="AB1525" s="110" t="s">
        <v>541</v>
      </c>
      <c r="AC1525" s="10" t="s">
        <v>541</v>
      </c>
      <c r="AD1525" s="10" t="s">
        <v>541</v>
      </c>
    </row>
    <row r="1526" spans="1:30" s="291" customFormat="1" x14ac:dyDescent="0.2">
      <c r="A1526" s="493">
        <v>1525</v>
      </c>
      <c r="B1526" s="283">
        <v>41851</v>
      </c>
      <c r="C1526" s="284">
        <v>1</v>
      </c>
      <c r="D1526" s="285" t="s">
        <v>71</v>
      </c>
      <c r="E1526" s="285" t="s">
        <v>306</v>
      </c>
      <c r="F1526" s="285"/>
      <c r="G1526" s="285"/>
      <c r="H1526" s="285"/>
      <c r="I1526" s="285">
        <v>66</v>
      </c>
      <c r="J1526" s="285"/>
      <c r="K1526" s="285" t="s">
        <v>364</v>
      </c>
      <c r="L1526" s="286"/>
      <c r="M1526" s="287">
        <v>2.2222222222222223E-2</v>
      </c>
      <c r="N1526" s="288" t="s">
        <v>1774</v>
      </c>
      <c r="O1526" s="286" t="s">
        <v>1585</v>
      </c>
      <c r="P1526" s="289"/>
      <c r="Q1526" s="289" t="s">
        <v>3820</v>
      </c>
      <c r="R1526" s="290" t="s">
        <v>3846</v>
      </c>
      <c r="S1526" s="494" t="str">
        <f t="shared" si="47"/>
        <v>x</v>
      </c>
      <c r="T1526" s="495" t="str">
        <f>IFERROR(VLOOKUP(F1526,'Freq-Chan'!C:D,2,FALSE),"x")</f>
        <v>x</v>
      </c>
      <c r="U1526" s="493" t="s">
        <v>541</v>
      </c>
      <c r="V1526" s="493" t="str">
        <f t="shared" si="48"/>
        <v>FWL</v>
      </c>
      <c r="W1526" s="493" t="s">
        <v>541</v>
      </c>
      <c r="X1526" s="493" t="s">
        <v>541</v>
      </c>
      <c r="Y1526" s="493" t="str">
        <f>IFERROR(VLOOKUP(F1526,'Freq-Chan'!C:E,3,FALSE),"na")</f>
        <v>na</v>
      </c>
      <c r="Z1526" s="493" t="s">
        <v>541</v>
      </c>
      <c r="AA1526" s="493" t="s">
        <v>541</v>
      </c>
      <c r="AB1526" s="493" t="s">
        <v>541</v>
      </c>
      <c r="AC1526" s="291" t="s">
        <v>541</v>
      </c>
      <c r="AD1526" s="291" t="s">
        <v>541</v>
      </c>
    </row>
    <row r="1527" spans="1:30" x14ac:dyDescent="0.2">
      <c r="A1527" s="110">
        <v>1526</v>
      </c>
      <c r="B1527" s="132">
        <v>41851</v>
      </c>
      <c r="C1527" s="117">
        <v>2</v>
      </c>
      <c r="D1527" s="103" t="s">
        <v>70</v>
      </c>
      <c r="E1527" s="103" t="s">
        <v>306</v>
      </c>
      <c r="H1527" s="103"/>
      <c r="I1527" s="103">
        <v>46</v>
      </c>
      <c r="K1527" s="103" t="s">
        <v>1032</v>
      </c>
      <c r="L1527" s="133"/>
      <c r="M1527" s="134">
        <v>1.6666666666666666E-2</v>
      </c>
      <c r="N1527" s="135" t="s">
        <v>3383</v>
      </c>
      <c r="O1527" s="133" t="s">
        <v>376</v>
      </c>
      <c r="Q1527" s="100" t="s">
        <v>3822</v>
      </c>
      <c r="R1527" s="226" t="s">
        <v>3846</v>
      </c>
      <c r="S1527" s="491" t="str">
        <f t="shared" si="47"/>
        <v>x</v>
      </c>
      <c r="T1527" s="492" t="str">
        <f>IFERROR(VLOOKUP(F1527,'Freq-Chan'!C:D,2,FALSE),"x")</f>
        <v>x</v>
      </c>
      <c r="U1527" s="110" t="s">
        <v>541</v>
      </c>
      <c r="V1527" s="110" t="str">
        <f t="shared" si="48"/>
        <v>FWL</v>
      </c>
      <c r="W1527" s="110" t="s">
        <v>541</v>
      </c>
      <c r="X1527" s="110" t="s">
        <v>541</v>
      </c>
      <c r="Y1527" s="110" t="str">
        <f>IFERROR(VLOOKUP(F1527,'Freq-Chan'!C:E,3,FALSE),"na")</f>
        <v>na</v>
      </c>
      <c r="Z1527" s="110" t="s">
        <v>541</v>
      </c>
      <c r="AA1527" s="110" t="s">
        <v>541</v>
      </c>
      <c r="AB1527" s="110" t="s">
        <v>541</v>
      </c>
      <c r="AC1527" s="10" t="s">
        <v>541</v>
      </c>
      <c r="AD1527" s="10" t="s">
        <v>541</v>
      </c>
    </row>
    <row r="1528" spans="1:30" x14ac:dyDescent="0.2">
      <c r="A1528" s="110">
        <v>1527</v>
      </c>
      <c r="B1528" s="132">
        <v>41851</v>
      </c>
      <c r="C1528" s="117">
        <v>2</v>
      </c>
      <c r="D1528" s="103" t="s">
        <v>8</v>
      </c>
      <c r="E1528" s="103" t="s">
        <v>306</v>
      </c>
      <c r="F1528" s="103">
        <v>573</v>
      </c>
      <c r="G1528" s="103">
        <v>78</v>
      </c>
      <c r="H1528" s="103" t="s">
        <v>2190</v>
      </c>
      <c r="I1528" s="103">
        <v>55</v>
      </c>
      <c r="K1528" s="103" t="s">
        <v>364</v>
      </c>
      <c r="L1528" s="133"/>
      <c r="M1528" s="134">
        <v>6.5277777777777782E-2</v>
      </c>
      <c r="N1528" s="137" t="s">
        <v>3730</v>
      </c>
      <c r="O1528" s="133" t="s">
        <v>376</v>
      </c>
      <c r="P1528" s="100" t="s">
        <v>3833</v>
      </c>
      <c r="Q1528" s="100" t="s">
        <v>3822</v>
      </c>
      <c r="R1528" s="226" t="s">
        <v>3846</v>
      </c>
      <c r="S1528" s="491" t="str">
        <f t="shared" si="47"/>
        <v>x</v>
      </c>
      <c r="T1528" s="492">
        <f>IFERROR(VLOOKUP(F1528,'Freq-Chan'!C:D,2,FALSE),"x")</f>
        <v>151.57300000000001</v>
      </c>
      <c r="U1528" s="110" t="s">
        <v>541</v>
      </c>
      <c r="V1528" s="110" t="str">
        <f t="shared" si="48"/>
        <v>FWL</v>
      </c>
      <c r="W1528" s="110" t="s">
        <v>541</v>
      </c>
      <c r="X1528" s="110" t="s">
        <v>541</v>
      </c>
      <c r="Y1528" s="110" t="str">
        <f>IFERROR(VLOOKUP(F1528,'Freq-Chan'!C:E,3,FALSE),"na")</f>
        <v>F1840</v>
      </c>
      <c r="Z1528" s="110" t="s">
        <v>541</v>
      </c>
      <c r="AA1528" s="110" t="s">
        <v>541</v>
      </c>
      <c r="AB1528" s="110" t="s">
        <v>541</v>
      </c>
      <c r="AC1528" s="10" t="s">
        <v>541</v>
      </c>
      <c r="AD1528" s="10" t="s">
        <v>541</v>
      </c>
    </row>
    <row r="1529" spans="1:30" x14ac:dyDescent="0.2">
      <c r="A1529" s="110">
        <v>1528</v>
      </c>
      <c r="B1529" s="132">
        <v>41851</v>
      </c>
      <c r="C1529" s="117">
        <v>2</v>
      </c>
      <c r="D1529" s="103" t="s">
        <v>8</v>
      </c>
      <c r="E1529" s="103" t="s">
        <v>306</v>
      </c>
      <c r="F1529" s="103">
        <v>573</v>
      </c>
      <c r="G1529" s="103">
        <v>27</v>
      </c>
      <c r="H1529" s="103" t="s">
        <v>2191</v>
      </c>
      <c r="I1529" s="103">
        <v>61</v>
      </c>
      <c r="K1529" s="103" t="s">
        <v>364</v>
      </c>
      <c r="L1529" s="133">
        <v>0.50208333333333333</v>
      </c>
      <c r="M1529" s="134">
        <v>6.3888888888888884E-2</v>
      </c>
      <c r="N1529" s="137" t="s">
        <v>3834</v>
      </c>
      <c r="O1529" s="133" t="s">
        <v>2931</v>
      </c>
      <c r="Q1529" s="100" t="s">
        <v>3823</v>
      </c>
      <c r="R1529" s="226" t="s">
        <v>3846</v>
      </c>
      <c r="S1529" s="491">
        <f t="shared" si="47"/>
        <v>1.7129630000000001E-3</v>
      </c>
      <c r="T1529" s="492">
        <f>IFERROR(VLOOKUP(F1529,'Freq-Chan'!C:D,2,FALSE),"x")</f>
        <v>151.57300000000001</v>
      </c>
      <c r="U1529" s="110" t="s">
        <v>541</v>
      </c>
      <c r="V1529" s="110" t="str">
        <f t="shared" si="48"/>
        <v>FWL</v>
      </c>
      <c r="W1529" s="110" t="s">
        <v>541</v>
      </c>
      <c r="X1529" s="110" t="s">
        <v>541</v>
      </c>
      <c r="Y1529" s="110" t="str">
        <f>IFERROR(VLOOKUP(F1529,'Freq-Chan'!C:E,3,FALSE),"na")</f>
        <v>F1840</v>
      </c>
      <c r="Z1529" s="110" t="s">
        <v>541</v>
      </c>
      <c r="AA1529" s="110" t="s">
        <v>541</v>
      </c>
      <c r="AB1529" s="110" t="s">
        <v>541</v>
      </c>
      <c r="AC1529" s="10" t="s">
        <v>541</v>
      </c>
      <c r="AD1529" s="10" t="s">
        <v>541</v>
      </c>
    </row>
    <row r="1530" spans="1:30" x14ac:dyDescent="0.2">
      <c r="A1530" s="110">
        <v>1529</v>
      </c>
      <c r="B1530" s="132">
        <v>41851</v>
      </c>
      <c r="C1530" s="117">
        <v>2</v>
      </c>
      <c r="D1530" s="103" t="s">
        <v>70</v>
      </c>
      <c r="E1530" s="103" t="s">
        <v>306</v>
      </c>
      <c r="H1530" s="103"/>
      <c r="I1530" s="103">
        <v>49</v>
      </c>
      <c r="K1530" s="103" t="s">
        <v>1032</v>
      </c>
      <c r="L1530" s="133">
        <v>0.50486111111111109</v>
      </c>
      <c r="M1530" s="134">
        <v>1.7361111111111112E-2</v>
      </c>
      <c r="N1530" s="137" t="s">
        <v>3212</v>
      </c>
      <c r="O1530" s="133" t="s">
        <v>2931</v>
      </c>
      <c r="Q1530" s="100" t="s">
        <v>3823</v>
      </c>
      <c r="R1530" s="226" t="s">
        <v>3846</v>
      </c>
      <c r="S1530" s="491">
        <f t="shared" si="47"/>
        <v>4.050926E-4</v>
      </c>
      <c r="T1530" s="492" t="str">
        <f>IFERROR(VLOOKUP(F1530,'Freq-Chan'!C:D,2,FALSE),"x")</f>
        <v>x</v>
      </c>
      <c r="U1530" s="110" t="s">
        <v>541</v>
      </c>
      <c r="V1530" s="110" t="str">
        <f t="shared" si="48"/>
        <v>FWL</v>
      </c>
      <c r="W1530" s="110" t="s">
        <v>541</v>
      </c>
      <c r="X1530" s="110" t="s">
        <v>541</v>
      </c>
      <c r="Y1530" s="110" t="str">
        <f>IFERROR(VLOOKUP(F1530,'Freq-Chan'!C:E,3,FALSE),"na")</f>
        <v>na</v>
      </c>
      <c r="Z1530" s="110" t="s">
        <v>541</v>
      </c>
      <c r="AA1530" s="110" t="s">
        <v>541</v>
      </c>
      <c r="AB1530" s="110" t="s">
        <v>541</v>
      </c>
      <c r="AC1530" s="10" t="s">
        <v>541</v>
      </c>
      <c r="AD1530" s="10" t="s">
        <v>541</v>
      </c>
    </row>
    <row r="1531" spans="1:30" x14ac:dyDescent="0.2">
      <c r="A1531" s="110">
        <v>1530</v>
      </c>
      <c r="B1531" s="132">
        <v>41851</v>
      </c>
      <c r="C1531" s="117">
        <v>2</v>
      </c>
      <c r="D1531" s="103" t="s">
        <v>8</v>
      </c>
      <c r="E1531" s="103" t="s">
        <v>306</v>
      </c>
      <c r="F1531" s="103">
        <v>586</v>
      </c>
      <c r="G1531" s="103">
        <v>62</v>
      </c>
      <c r="H1531" s="103" t="s">
        <v>2192</v>
      </c>
      <c r="I1531" s="103">
        <v>52</v>
      </c>
      <c r="K1531" s="103" t="s">
        <v>364</v>
      </c>
      <c r="L1531" s="133"/>
      <c r="M1531" s="134">
        <v>3.4722222222222224E-2</v>
      </c>
      <c r="N1531" s="137" t="s">
        <v>842</v>
      </c>
      <c r="O1531" s="133" t="s">
        <v>3431</v>
      </c>
      <c r="Q1531" s="100" t="s">
        <v>3823</v>
      </c>
      <c r="R1531" s="226" t="s">
        <v>3846</v>
      </c>
      <c r="S1531" s="491" t="str">
        <f t="shared" si="47"/>
        <v>x</v>
      </c>
      <c r="T1531" s="492">
        <f>IFERROR(VLOOKUP(F1531,'Freq-Chan'!C:D,2,FALSE),"x")</f>
        <v>151.58600000000001</v>
      </c>
      <c r="U1531" s="110" t="s">
        <v>541</v>
      </c>
      <c r="V1531" s="110" t="str">
        <f t="shared" si="48"/>
        <v>FWL</v>
      </c>
      <c r="W1531" s="110" t="s">
        <v>541</v>
      </c>
      <c r="X1531" s="110" t="s">
        <v>541</v>
      </c>
      <c r="Y1531" s="110" t="str">
        <f>IFERROR(VLOOKUP(F1531,'Freq-Chan'!C:E,3,FALSE),"na")</f>
        <v>F1840</v>
      </c>
      <c r="Z1531" s="110" t="s">
        <v>541</v>
      </c>
      <c r="AA1531" s="110" t="s">
        <v>541</v>
      </c>
      <c r="AB1531" s="110" t="s">
        <v>541</v>
      </c>
      <c r="AC1531" s="10" t="s">
        <v>541</v>
      </c>
      <c r="AD1531" s="10" t="s">
        <v>541</v>
      </c>
    </row>
    <row r="1532" spans="1:30" x14ac:dyDescent="0.2">
      <c r="A1532" s="110">
        <v>1531</v>
      </c>
      <c r="B1532" s="132">
        <v>41851</v>
      </c>
      <c r="C1532" s="117">
        <v>2</v>
      </c>
      <c r="D1532" s="103" t="s">
        <v>8</v>
      </c>
      <c r="E1532" s="103" t="s">
        <v>306</v>
      </c>
      <c r="F1532" s="103">
        <v>586</v>
      </c>
      <c r="G1532" s="103">
        <v>21</v>
      </c>
      <c r="H1532" s="103" t="s">
        <v>2193</v>
      </c>
      <c r="I1532" s="103">
        <v>46</v>
      </c>
      <c r="K1532" s="103" t="s">
        <v>364</v>
      </c>
      <c r="L1532" s="133"/>
      <c r="M1532" s="134">
        <v>3.6805555555555557E-2</v>
      </c>
      <c r="N1532" s="137" t="s">
        <v>843</v>
      </c>
      <c r="O1532" s="133" t="s">
        <v>3431</v>
      </c>
      <c r="Q1532" s="100" t="s">
        <v>3823</v>
      </c>
      <c r="R1532" s="226" t="s">
        <v>3846</v>
      </c>
      <c r="S1532" s="491" t="str">
        <f t="shared" si="47"/>
        <v>x</v>
      </c>
      <c r="T1532" s="492">
        <f>IFERROR(VLOOKUP(F1532,'Freq-Chan'!C:D,2,FALSE),"x")</f>
        <v>151.58600000000001</v>
      </c>
      <c r="U1532" s="110" t="s">
        <v>541</v>
      </c>
      <c r="V1532" s="110" t="str">
        <f t="shared" si="48"/>
        <v>FWL</v>
      </c>
      <c r="W1532" s="110" t="s">
        <v>541</v>
      </c>
      <c r="X1532" s="110" t="s">
        <v>541</v>
      </c>
      <c r="Y1532" s="110" t="str">
        <f>IFERROR(VLOOKUP(F1532,'Freq-Chan'!C:E,3,FALSE),"na")</f>
        <v>F1840</v>
      </c>
      <c r="Z1532" s="110" t="s">
        <v>541</v>
      </c>
      <c r="AA1532" s="110" t="s">
        <v>541</v>
      </c>
      <c r="AB1532" s="110" t="s">
        <v>541</v>
      </c>
      <c r="AC1532" s="10" t="s">
        <v>541</v>
      </c>
      <c r="AD1532" s="10" t="s">
        <v>541</v>
      </c>
    </row>
    <row r="1533" spans="1:30" x14ac:dyDescent="0.2">
      <c r="A1533" s="110">
        <v>1532</v>
      </c>
      <c r="B1533" s="132">
        <v>41851</v>
      </c>
      <c r="C1533" s="117">
        <v>2</v>
      </c>
      <c r="D1533" s="103" t="s">
        <v>70</v>
      </c>
      <c r="E1533" s="103" t="s">
        <v>306</v>
      </c>
      <c r="H1533" s="103"/>
      <c r="I1533" s="103">
        <v>46</v>
      </c>
      <c r="K1533" s="103" t="s">
        <v>365</v>
      </c>
      <c r="L1533" s="133"/>
      <c r="M1533" s="134">
        <v>2.0833333333333332E-2</v>
      </c>
      <c r="N1533" s="137" t="s">
        <v>1943</v>
      </c>
      <c r="O1533" s="133" t="s">
        <v>3431</v>
      </c>
      <c r="Q1533" s="100" t="s">
        <v>3823</v>
      </c>
      <c r="R1533" s="226" t="s">
        <v>3846</v>
      </c>
      <c r="S1533" s="491" t="str">
        <f t="shared" si="47"/>
        <v>x</v>
      </c>
      <c r="T1533" s="492" t="str">
        <f>IFERROR(VLOOKUP(F1533,'Freq-Chan'!C:D,2,FALSE),"x")</f>
        <v>x</v>
      </c>
      <c r="U1533" s="110" t="s">
        <v>541</v>
      </c>
      <c r="V1533" s="110" t="str">
        <f t="shared" si="48"/>
        <v>FWL</v>
      </c>
      <c r="W1533" s="110" t="s">
        <v>541</v>
      </c>
      <c r="X1533" s="110" t="s">
        <v>541</v>
      </c>
      <c r="Y1533" s="110" t="str">
        <f>IFERROR(VLOOKUP(F1533,'Freq-Chan'!C:E,3,FALSE),"na")</f>
        <v>na</v>
      </c>
      <c r="Z1533" s="110" t="s">
        <v>541</v>
      </c>
      <c r="AA1533" s="110" t="s">
        <v>541</v>
      </c>
      <c r="AB1533" s="110" t="s">
        <v>541</v>
      </c>
      <c r="AC1533" s="10" t="s">
        <v>541</v>
      </c>
      <c r="AD1533" s="10" t="s">
        <v>541</v>
      </c>
    </row>
    <row r="1534" spans="1:30" x14ac:dyDescent="0.2">
      <c r="A1534" s="110">
        <v>1533</v>
      </c>
      <c r="B1534" s="132">
        <v>41851</v>
      </c>
      <c r="C1534" s="117">
        <v>2</v>
      </c>
      <c r="D1534" s="103" t="s">
        <v>71</v>
      </c>
      <c r="E1534" s="103" t="s">
        <v>306</v>
      </c>
      <c r="H1534" s="103"/>
      <c r="I1534" s="103">
        <v>60</v>
      </c>
      <c r="K1534" s="103" t="s">
        <v>364</v>
      </c>
      <c r="L1534" s="133"/>
      <c r="M1534" s="134">
        <v>3.2638888888888891E-2</v>
      </c>
      <c r="N1534" s="137" t="s">
        <v>3835</v>
      </c>
      <c r="O1534" s="133" t="s">
        <v>372</v>
      </c>
      <c r="Q1534" s="100" t="s">
        <v>3820</v>
      </c>
      <c r="R1534" s="226" t="s">
        <v>3846</v>
      </c>
      <c r="S1534" s="491" t="str">
        <f t="shared" si="47"/>
        <v>x</v>
      </c>
      <c r="T1534" s="492" t="str">
        <f>IFERROR(VLOOKUP(F1534,'Freq-Chan'!C:D,2,FALSE),"x")</f>
        <v>x</v>
      </c>
      <c r="U1534" s="110" t="s">
        <v>541</v>
      </c>
      <c r="V1534" s="110" t="str">
        <f t="shared" si="48"/>
        <v>FWL</v>
      </c>
      <c r="W1534" s="110" t="s">
        <v>541</v>
      </c>
      <c r="X1534" s="110" t="s">
        <v>541</v>
      </c>
      <c r="Y1534" s="110" t="str">
        <f>IFERROR(VLOOKUP(F1534,'Freq-Chan'!C:E,3,FALSE),"na")</f>
        <v>na</v>
      </c>
      <c r="Z1534" s="110" t="s">
        <v>541</v>
      </c>
      <c r="AA1534" s="110" t="s">
        <v>541</v>
      </c>
      <c r="AB1534" s="110" t="s">
        <v>541</v>
      </c>
      <c r="AC1534" s="10" t="s">
        <v>541</v>
      </c>
      <c r="AD1534" s="10" t="s">
        <v>541</v>
      </c>
    </row>
    <row r="1535" spans="1:30" x14ac:dyDescent="0.2">
      <c r="A1535" s="110">
        <v>1534</v>
      </c>
      <c r="B1535" s="132">
        <v>41851</v>
      </c>
      <c r="C1535" s="117">
        <v>2</v>
      </c>
      <c r="D1535" s="103" t="s">
        <v>71</v>
      </c>
      <c r="E1535" s="103" t="s">
        <v>306</v>
      </c>
      <c r="H1535" s="103"/>
      <c r="I1535" s="103">
        <v>56</v>
      </c>
      <c r="K1535" s="103" t="s">
        <v>364</v>
      </c>
      <c r="L1535" s="133">
        <v>0.73819444444444438</v>
      </c>
      <c r="M1535" s="134">
        <v>2.1527777777777781E-2</v>
      </c>
      <c r="N1535" s="137" t="s">
        <v>770</v>
      </c>
      <c r="O1535" s="133" t="s">
        <v>372</v>
      </c>
      <c r="Q1535" s="100" t="s">
        <v>3820</v>
      </c>
      <c r="R1535" s="226" t="s">
        <v>3846</v>
      </c>
      <c r="S1535" s="491">
        <f t="shared" si="47"/>
        <v>1.0300926E-3</v>
      </c>
      <c r="T1535" s="492" t="str">
        <f>IFERROR(VLOOKUP(F1535,'Freq-Chan'!C:D,2,FALSE),"x")</f>
        <v>x</v>
      </c>
      <c r="U1535" s="110" t="s">
        <v>541</v>
      </c>
      <c r="V1535" s="110" t="str">
        <f t="shared" si="48"/>
        <v>FWL</v>
      </c>
      <c r="W1535" s="110" t="s">
        <v>541</v>
      </c>
      <c r="X1535" s="110" t="s">
        <v>541</v>
      </c>
      <c r="Y1535" s="110" t="str">
        <f>IFERROR(VLOOKUP(F1535,'Freq-Chan'!C:E,3,FALSE),"na")</f>
        <v>na</v>
      </c>
      <c r="Z1535" s="110" t="s">
        <v>541</v>
      </c>
      <c r="AA1535" s="110" t="s">
        <v>541</v>
      </c>
      <c r="AB1535" s="110" t="s">
        <v>541</v>
      </c>
      <c r="AC1535" s="10" t="s">
        <v>541</v>
      </c>
      <c r="AD1535" s="10" t="s">
        <v>541</v>
      </c>
    </row>
    <row r="1536" spans="1:30" x14ac:dyDescent="0.2">
      <c r="A1536" s="110">
        <v>1535</v>
      </c>
      <c r="B1536" s="132">
        <v>41851</v>
      </c>
      <c r="C1536" s="117">
        <v>2</v>
      </c>
      <c r="D1536" s="103" t="s">
        <v>71</v>
      </c>
      <c r="E1536" s="103" t="s">
        <v>306</v>
      </c>
      <c r="H1536" s="103"/>
      <c r="I1536" s="103">
        <v>60</v>
      </c>
      <c r="K1536" s="103" t="s">
        <v>364</v>
      </c>
      <c r="L1536" s="133">
        <v>0.77361111111111114</v>
      </c>
      <c r="M1536" s="134">
        <v>1.8749999999999999E-2</v>
      </c>
      <c r="N1536" s="137" t="s">
        <v>2561</v>
      </c>
      <c r="O1536" s="133" t="s">
        <v>372</v>
      </c>
      <c r="Q1536" s="100" t="s">
        <v>3820</v>
      </c>
      <c r="R1536" s="226" t="s">
        <v>3846</v>
      </c>
      <c r="S1536" s="491">
        <f t="shared" si="47"/>
        <v>1.7708333E-3</v>
      </c>
      <c r="T1536" s="492" t="str">
        <f>IFERROR(VLOOKUP(F1536,'Freq-Chan'!C:D,2,FALSE),"x")</f>
        <v>x</v>
      </c>
      <c r="U1536" s="110" t="s">
        <v>541</v>
      </c>
      <c r="V1536" s="110" t="str">
        <f t="shared" si="48"/>
        <v>FWL</v>
      </c>
      <c r="W1536" s="110" t="s">
        <v>541</v>
      </c>
      <c r="X1536" s="110" t="s">
        <v>541</v>
      </c>
      <c r="Y1536" s="110" t="str">
        <f>IFERROR(VLOOKUP(F1536,'Freq-Chan'!C:E,3,FALSE),"na")</f>
        <v>na</v>
      </c>
      <c r="Z1536" s="110" t="s">
        <v>541</v>
      </c>
      <c r="AA1536" s="110" t="s">
        <v>541</v>
      </c>
      <c r="AB1536" s="110" t="s">
        <v>541</v>
      </c>
      <c r="AC1536" s="10" t="s">
        <v>541</v>
      </c>
      <c r="AD1536" s="10" t="s">
        <v>541</v>
      </c>
    </row>
    <row r="1537" spans="1:30" s="291" customFormat="1" x14ac:dyDescent="0.2">
      <c r="A1537" s="493">
        <v>1536</v>
      </c>
      <c r="B1537" s="283">
        <v>41851</v>
      </c>
      <c r="C1537" s="284">
        <v>2</v>
      </c>
      <c r="D1537" s="285" t="s">
        <v>71</v>
      </c>
      <c r="E1537" s="285" t="s">
        <v>306</v>
      </c>
      <c r="F1537" s="285"/>
      <c r="G1537" s="285"/>
      <c r="H1537" s="285"/>
      <c r="I1537" s="285">
        <v>60</v>
      </c>
      <c r="J1537" s="285"/>
      <c r="K1537" s="285" t="s">
        <v>364</v>
      </c>
      <c r="L1537" s="286">
        <v>0.82013888888888886</v>
      </c>
      <c r="M1537" s="287">
        <v>2.013888888888889E-2</v>
      </c>
      <c r="N1537" s="339" t="s">
        <v>773</v>
      </c>
      <c r="O1537" s="286" t="s">
        <v>1585</v>
      </c>
      <c r="P1537" s="289"/>
      <c r="Q1537" s="289" t="s">
        <v>3820</v>
      </c>
      <c r="R1537" s="290" t="s">
        <v>3846</v>
      </c>
      <c r="S1537" s="494">
        <f t="shared" si="47"/>
        <v>1.0532407E-3</v>
      </c>
      <c r="T1537" s="495" t="str">
        <f>IFERROR(VLOOKUP(F1537,'Freq-Chan'!C:D,2,FALSE),"x")</f>
        <v>x</v>
      </c>
      <c r="U1537" s="493" t="s">
        <v>541</v>
      </c>
      <c r="V1537" s="493" t="str">
        <f t="shared" si="48"/>
        <v>FWL</v>
      </c>
      <c r="W1537" s="493" t="s">
        <v>541</v>
      </c>
      <c r="X1537" s="493" t="s">
        <v>541</v>
      </c>
      <c r="Y1537" s="493" t="str">
        <f>IFERROR(VLOOKUP(F1537,'Freq-Chan'!C:E,3,FALSE),"na")</f>
        <v>na</v>
      </c>
      <c r="Z1537" s="493" t="s">
        <v>541</v>
      </c>
      <c r="AA1537" s="493" t="s">
        <v>541</v>
      </c>
      <c r="AB1537" s="493" t="s">
        <v>541</v>
      </c>
      <c r="AC1537" s="291" t="s">
        <v>541</v>
      </c>
      <c r="AD1537" s="291" t="s">
        <v>541</v>
      </c>
    </row>
    <row r="1538" spans="1:30" x14ac:dyDescent="0.2">
      <c r="A1538" s="110">
        <v>1537</v>
      </c>
      <c r="B1538" s="132">
        <v>41851</v>
      </c>
      <c r="C1538" s="117">
        <v>3</v>
      </c>
      <c r="D1538" s="103" t="s">
        <v>70</v>
      </c>
      <c r="E1538" s="103" t="s">
        <v>306</v>
      </c>
      <c r="F1538" s="103">
        <v>515</v>
      </c>
      <c r="G1538" s="103">
        <v>85</v>
      </c>
      <c r="H1538" s="103" t="s">
        <v>3013</v>
      </c>
      <c r="I1538" s="103">
        <v>45</v>
      </c>
      <c r="K1538" s="103" t="s">
        <v>1032</v>
      </c>
      <c r="L1538" s="133">
        <v>0.3354166666666667</v>
      </c>
      <c r="M1538" s="134">
        <v>4.9305555555555554E-2</v>
      </c>
      <c r="N1538" s="137" t="s">
        <v>3836</v>
      </c>
      <c r="O1538" s="133" t="s">
        <v>1585</v>
      </c>
      <c r="Q1538" s="100" t="s">
        <v>3820</v>
      </c>
      <c r="R1538" s="226" t="s">
        <v>3846</v>
      </c>
      <c r="S1538" s="491">
        <f t="shared" si="47"/>
        <v>6.1226852000000002E-3</v>
      </c>
      <c r="T1538" s="492">
        <f>IFERROR(VLOOKUP(F1538,'Freq-Chan'!C:D,2,FALSE),"x")</f>
        <v>151.51499999999999</v>
      </c>
      <c r="U1538" s="110" t="s">
        <v>541</v>
      </c>
      <c r="V1538" s="110" t="str">
        <f t="shared" si="48"/>
        <v>FWL</v>
      </c>
      <c r="W1538" s="110" t="s">
        <v>541</v>
      </c>
      <c r="X1538" s="110" t="s">
        <v>541</v>
      </c>
      <c r="Y1538" s="110" t="str">
        <f>IFERROR(VLOOKUP(F1538,'Freq-Chan'!C:E,3,FALSE),"na")</f>
        <v>F1835</v>
      </c>
      <c r="Z1538" s="110" t="s">
        <v>541</v>
      </c>
      <c r="AA1538" s="110" t="s">
        <v>541</v>
      </c>
      <c r="AB1538" s="110" t="s">
        <v>541</v>
      </c>
      <c r="AC1538" s="10" t="s">
        <v>541</v>
      </c>
      <c r="AD1538" s="10" t="s">
        <v>541</v>
      </c>
    </row>
    <row r="1539" spans="1:30" x14ac:dyDescent="0.2">
      <c r="A1539" s="110">
        <v>1538</v>
      </c>
      <c r="B1539" s="132">
        <v>41851</v>
      </c>
      <c r="C1539" s="117">
        <v>3</v>
      </c>
      <c r="D1539" s="103" t="s">
        <v>70</v>
      </c>
      <c r="E1539" s="103" t="s">
        <v>306</v>
      </c>
      <c r="F1539" s="103">
        <v>515</v>
      </c>
      <c r="G1539" s="103">
        <v>49</v>
      </c>
      <c r="H1539" s="103" t="s">
        <v>3019</v>
      </c>
      <c r="I1539" s="103">
        <v>43</v>
      </c>
      <c r="K1539" s="103" t="s">
        <v>1032</v>
      </c>
      <c r="L1539" s="133"/>
      <c r="M1539" s="134">
        <v>4.027777777777778E-2</v>
      </c>
      <c r="N1539" s="137" t="s">
        <v>1934</v>
      </c>
      <c r="O1539" s="133" t="s">
        <v>372</v>
      </c>
      <c r="Q1539" s="100" t="s">
        <v>3820</v>
      </c>
      <c r="R1539" s="226" t="s">
        <v>3846</v>
      </c>
      <c r="S1539" s="491" t="str">
        <f t="shared" ref="S1539:S1602" si="49">IF(IF(OR(L1539=0,N1539=0),"x",ROUND(N1539-L1539-(M1539*24)/(24*60),10))&lt;0,0,IF(OR(L1539=0,N1539=0),"x",ROUND(N1539-L1539-(M1539*24)/(24*60),10)))</f>
        <v>x</v>
      </c>
      <c r="T1539" s="492">
        <f>IFERROR(VLOOKUP(F1539,'Freq-Chan'!C:D,2,FALSE),"x")</f>
        <v>151.51499999999999</v>
      </c>
      <c r="U1539" s="110" t="s">
        <v>541</v>
      </c>
      <c r="V1539" s="110" t="str">
        <f t="shared" ref="V1539:V1602" si="50">IF(OR(C1539=1,C1539=2,C1539=3),"FWL","NRD")</f>
        <v>FWL</v>
      </c>
      <c r="W1539" s="110" t="s">
        <v>541</v>
      </c>
      <c r="X1539" s="110" t="s">
        <v>541</v>
      </c>
      <c r="Y1539" s="110" t="str">
        <f>IFERROR(VLOOKUP(F1539,'Freq-Chan'!C:E,3,FALSE),"na")</f>
        <v>F1835</v>
      </c>
      <c r="Z1539" s="110" t="s">
        <v>541</v>
      </c>
      <c r="AA1539" s="110" t="s">
        <v>541</v>
      </c>
      <c r="AB1539" s="110" t="s">
        <v>541</v>
      </c>
      <c r="AC1539" s="10" t="s">
        <v>541</v>
      </c>
      <c r="AD1539" s="10" t="s">
        <v>541</v>
      </c>
    </row>
    <row r="1540" spans="1:30" x14ac:dyDescent="0.2">
      <c r="A1540" s="110">
        <v>1539</v>
      </c>
      <c r="B1540" s="132">
        <v>41851</v>
      </c>
      <c r="C1540" s="117">
        <v>3</v>
      </c>
      <c r="D1540" s="103" t="s">
        <v>70</v>
      </c>
      <c r="E1540" s="103" t="s">
        <v>306</v>
      </c>
      <c r="F1540" s="103">
        <v>515</v>
      </c>
      <c r="G1540" s="103">
        <v>35</v>
      </c>
      <c r="H1540" s="103" t="s">
        <v>3024</v>
      </c>
      <c r="I1540" s="103">
        <v>50</v>
      </c>
      <c r="K1540" s="103" t="s">
        <v>1032</v>
      </c>
      <c r="L1540" s="133"/>
      <c r="M1540" s="134">
        <v>6.0416666666666667E-2</v>
      </c>
      <c r="N1540" s="137" t="s">
        <v>3794</v>
      </c>
      <c r="O1540" s="133" t="s">
        <v>1585</v>
      </c>
      <c r="Q1540" s="100" t="s">
        <v>3820</v>
      </c>
      <c r="R1540" s="226" t="s">
        <v>3846</v>
      </c>
      <c r="S1540" s="491" t="str">
        <f t="shared" si="49"/>
        <v>x</v>
      </c>
      <c r="T1540" s="492">
        <f>IFERROR(VLOOKUP(F1540,'Freq-Chan'!C:D,2,FALSE),"x")</f>
        <v>151.51499999999999</v>
      </c>
      <c r="U1540" s="110" t="s">
        <v>541</v>
      </c>
      <c r="V1540" s="110" t="str">
        <f t="shared" si="50"/>
        <v>FWL</v>
      </c>
      <c r="W1540" s="110" t="s">
        <v>541</v>
      </c>
      <c r="X1540" s="110" t="s">
        <v>541</v>
      </c>
      <c r="Y1540" s="110" t="str">
        <f>IFERROR(VLOOKUP(F1540,'Freq-Chan'!C:E,3,FALSE),"na")</f>
        <v>F1835</v>
      </c>
      <c r="Z1540" s="110" t="s">
        <v>541</v>
      </c>
      <c r="AA1540" s="110" t="s">
        <v>541</v>
      </c>
      <c r="AB1540" s="110" t="s">
        <v>541</v>
      </c>
      <c r="AC1540" s="10" t="s">
        <v>541</v>
      </c>
      <c r="AD1540" s="10" t="s">
        <v>541</v>
      </c>
    </row>
    <row r="1541" spans="1:30" x14ac:dyDescent="0.2">
      <c r="A1541" s="110">
        <v>1540</v>
      </c>
      <c r="B1541" s="132">
        <v>41851</v>
      </c>
      <c r="C1541" s="117">
        <v>3</v>
      </c>
      <c r="D1541" s="103" t="s">
        <v>70</v>
      </c>
      <c r="E1541" s="103" t="s">
        <v>306</v>
      </c>
      <c r="H1541" s="103"/>
      <c r="I1541" s="103">
        <v>52</v>
      </c>
      <c r="K1541" s="103" t="s">
        <v>1032</v>
      </c>
      <c r="L1541" s="133"/>
      <c r="M1541" s="134">
        <v>2.7777777777777776E-2</v>
      </c>
      <c r="N1541" s="137" t="s">
        <v>3298</v>
      </c>
      <c r="O1541" s="133" t="s">
        <v>1585</v>
      </c>
      <c r="Q1541" s="100" t="s">
        <v>3820</v>
      </c>
      <c r="R1541" s="226" t="s">
        <v>3846</v>
      </c>
      <c r="S1541" s="491" t="str">
        <f t="shared" si="49"/>
        <v>x</v>
      </c>
      <c r="T1541" s="492" t="str">
        <f>IFERROR(VLOOKUP(F1541,'Freq-Chan'!C:D,2,FALSE),"x")</f>
        <v>x</v>
      </c>
      <c r="U1541" s="110" t="s">
        <v>541</v>
      </c>
      <c r="V1541" s="110" t="str">
        <f t="shared" si="50"/>
        <v>FWL</v>
      </c>
      <c r="W1541" s="110" t="s">
        <v>541</v>
      </c>
      <c r="X1541" s="110" t="s">
        <v>541</v>
      </c>
      <c r="Y1541" s="110" t="str">
        <f>IFERROR(VLOOKUP(F1541,'Freq-Chan'!C:E,3,FALSE),"na")</f>
        <v>na</v>
      </c>
      <c r="Z1541" s="110" t="s">
        <v>541</v>
      </c>
      <c r="AA1541" s="110" t="s">
        <v>541</v>
      </c>
      <c r="AB1541" s="110" t="s">
        <v>541</v>
      </c>
      <c r="AC1541" s="10" t="s">
        <v>541</v>
      </c>
      <c r="AD1541" s="10" t="s">
        <v>541</v>
      </c>
    </row>
    <row r="1542" spans="1:30" x14ac:dyDescent="0.2">
      <c r="A1542" s="110">
        <v>1541</v>
      </c>
      <c r="B1542" s="132">
        <v>41851</v>
      </c>
      <c r="C1542" s="117">
        <v>3</v>
      </c>
      <c r="D1542" s="103" t="s">
        <v>70</v>
      </c>
      <c r="E1542" s="103" t="s">
        <v>306</v>
      </c>
      <c r="H1542" s="103"/>
      <c r="I1542" s="103">
        <v>49</v>
      </c>
      <c r="K1542" s="103" t="s">
        <v>1032</v>
      </c>
      <c r="L1542" s="133"/>
      <c r="M1542" s="134">
        <v>1.9444444444444445E-2</v>
      </c>
      <c r="N1542" s="137" t="s">
        <v>3348</v>
      </c>
      <c r="O1542" s="133" t="s">
        <v>1585</v>
      </c>
      <c r="Q1542" s="100" t="s">
        <v>3820</v>
      </c>
      <c r="R1542" s="226" t="s">
        <v>3846</v>
      </c>
      <c r="S1542" s="491" t="str">
        <f t="shared" si="49"/>
        <v>x</v>
      </c>
      <c r="T1542" s="492" t="str">
        <f>IFERROR(VLOOKUP(F1542,'Freq-Chan'!C:D,2,FALSE),"x")</f>
        <v>x</v>
      </c>
      <c r="U1542" s="110" t="s">
        <v>541</v>
      </c>
      <c r="V1542" s="110" t="str">
        <f t="shared" si="50"/>
        <v>FWL</v>
      </c>
      <c r="W1542" s="110" t="s">
        <v>541</v>
      </c>
      <c r="X1542" s="110" t="s">
        <v>541</v>
      </c>
      <c r="Y1542" s="110" t="str">
        <f>IFERROR(VLOOKUP(F1542,'Freq-Chan'!C:E,3,FALSE),"na")</f>
        <v>na</v>
      </c>
      <c r="Z1542" s="110" t="s">
        <v>541</v>
      </c>
      <c r="AA1542" s="110" t="s">
        <v>541</v>
      </c>
      <c r="AB1542" s="110" t="s">
        <v>541</v>
      </c>
      <c r="AC1542" s="10" t="s">
        <v>541</v>
      </c>
      <c r="AD1542" s="10" t="s">
        <v>541</v>
      </c>
    </row>
    <row r="1543" spans="1:30" x14ac:dyDescent="0.2">
      <c r="A1543" s="110">
        <v>1542</v>
      </c>
      <c r="B1543" s="132">
        <v>41851</v>
      </c>
      <c r="C1543" s="117">
        <v>3</v>
      </c>
      <c r="D1543" s="103" t="s">
        <v>70</v>
      </c>
      <c r="E1543" s="103" t="s">
        <v>306</v>
      </c>
      <c r="H1543" s="103"/>
      <c r="I1543" s="103">
        <v>46</v>
      </c>
      <c r="K1543" s="103" t="s">
        <v>1032</v>
      </c>
      <c r="L1543" s="133"/>
      <c r="M1543" s="134">
        <v>2.0833333333333332E-2</v>
      </c>
      <c r="N1543" s="137" t="s">
        <v>3714</v>
      </c>
      <c r="O1543" s="133" t="s">
        <v>1585</v>
      </c>
      <c r="Q1543" s="100" t="s">
        <v>3820</v>
      </c>
      <c r="R1543" s="226" t="s">
        <v>3846</v>
      </c>
      <c r="S1543" s="491" t="str">
        <f t="shared" si="49"/>
        <v>x</v>
      </c>
      <c r="T1543" s="492" t="str">
        <f>IFERROR(VLOOKUP(F1543,'Freq-Chan'!C:D,2,FALSE),"x")</f>
        <v>x</v>
      </c>
      <c r="U1543" s="110" t="s">
        <v>541</v>
      </c>
      <c r="V1543" s="110" t="str">
        <f t="shared" si="50"/>
        <v>FWL</v>
      </c>
      <c r="W1543" s="110" t="s">
        <v>541</v>
      </c>
      <c r="X1543" s="110" t="s">
        <v>541</v>
      </c>
      <c r="Y1543" s="110" t="str">
        <f>IFERROR(VLOOKUP(F1543,'Freq-Chan'!C:E,3,FALSE),"na")</f>
        <v>na</v>
      </c>
      <c r="Z1543" s="110" t="s">
        <v>541</v>
      </c>
      <c r="AA1543" s="110" t="s">
        <v>541</v>
      </c>
      <c r="AB1543" s="110" t="s">
        <v>541</v>
      </c>
      <c r="AC1543" s="10" t="s">
        <v>541</v>
      </c>
      <c r="AD1543" s="10" t="s">
        <v>541</v>
      </c>
    </row>
    <row r="1544" spans="1:30" x14ac:dyDescent="0.2">
      <c r="A1544" s="110">
        <v>1543</v>
      </c>
      <c r="B1544" s="132">
        <v>41851</v>
      </c>
      <c r="C1544" s="117">
        <v>3</v>
      </c>
      <c r="D1544" s="103" t="s">
        <v>70</v>
      </c>
      <c r="E1544" s="103" t="s">
        <v>306</v>
      </c>
      <c r="H1544" s="103"/>
      <c r="I1544" s="103">
        <v>49</v>
      </c>
      <c r="K1544" s="103" t="s">
        <v>1032</v>
      </c>
      <c r="L1544" s="133"/>
      <c r="M1544" s="134">
        <v>2.9166666666666664E-2</v>
      </c>
      <c r="N1544" s="137" t="s">
        <v>3768</v>
      </c>
      <c r="O1544" s="133" t="s">
        <v>1585</v>
      </c>
      <c r="Q1544" s="100" t="s">
        <v>3820</v>
      </c>
      <c r="R1544" s="226" t="s">
        <v>3846</v>
      </c>
      <c r="S1544" s="491" t="str">
        <f t="shared" si="49"/>
        <v>x</v>
      </c>
      <c r="T1544" s="492" t="str">
        <f>IFERROR(VLOOKUP(F1544,'Freq-Chan'!C:D,2,FALSE),"x")</f>
        <v>x</v>
      </c>
      <c r="U1544" s="110" t="s">
        <v>541</v>
      </c>
      <c r="V1544" s="110" t="str">
        <f t="shared" si="50"/>
        <v>FWL</v>
      </c>
      <c r="W1544" s="110" t="s">
        <v>541</v>
      </c>
      <c r="X1544" s="110" t="s">
        <v>541</v>
      </c>
      <c r="Y1544" s="110" t="str">
        <f>IFERROR(VLOOKUP(F1544,'Freq-Chan'!C:E,3,FALSE),"na")</f>
        <v>na</v>
      </c>
      <c r="Z1544" s="110" t="s">
        <v>541</v>
      </c>
      <c r="AA1544" s="110" t="s">
        <v>541</v>
      </c>
      <c r="AB1544" s="110" t="s">
        <v>541</v>
      </c>
      <c r="AC1544" s="10" t="s">
        <v>541</v>
      </c>
      <c r="AD1544" s="10" t="s">
        <v>541</v>
      </c>
    </row>
    <row r="1545" spans="1:30" x14ac:dyDescent="0.2">
      <c r="A1545" s="110">
        <v>1544</v>
      </c>
      <c r="B1545" s="132">
        <v>41851</v>
      </c>
      <c r="C1545" s="117">
        <v>3</v>
      </c>
      <c r="D1545" s="103" t="s">
        <v>70</v>
      </c>
      <c r="E1545" s="103" t="s">
        <v>306</v>
      </c>
      <c r="H1545" s="103"/>
      <c r="I1545" s="103">
        <v>45</v>
      </c>
      <c r="K1545" s="103" t="s">
        <v>365</v>
      </c>
      <c r="L1545" s="133"/>
      <c r="M1545" s="134">
        <v>1.8055555555555557E-2</v>
      </c>
      <c r="N1545" s="137" t="s">
        <v>3449</v>
      </c>
      <c r="O1545" s="133" t="s">
        <v>1585</v>
      </c>
      <c r="Q1545" s="100" t="s">
        <v>3820</v>
      </c>
      <c r="R1545" s="226" t="s">
        <v>3846</v>
      </c>
      <c r="S1545" s="491" t="str">
        <f t="shared" si="49"/>
        <v>x</v>
      </c>
      <c r="T1545" s="492" t="str">
        <f>IFERROR(VLOOKUP(F1545,'Freq-Chan'!C:D,2,FALSE),"x")</f>
        <v>x</v>
      </c>
      <c r="U1545" s="110" t="s">
        <v>541</v>
      </c>
      <c r="V1545" s="110" t="str">
        <f t="shared" si="50"/>
        <v>FWL</v>
      </c>
      <c r="W1545" s="110" t="s">
        <v>541</v>
      </c>
      <c r="X1545" s="110" t="s">
        <v>541</v>
      </c>
      <c r="Y1545" s="110" t="str">
        <f>IFERROR(VLOOKUP(F1545,'Freq-Chan'!C:E,3,FALSE),"na")</f>
        <v>na</v>
      </c>
      <c r="Z1545" s="110" t="s">
        <v>541</v>
      </c>
      <c r="AA1545" s="110" t="s">
        <v>541</v>
      </c>
      <c r="AB1545" s="110" t="s">
        <v>541</v>
      </c>
      <c r="AC1545" s="10" t="s">
        <v>541</v>
      </c>
      <c r="AD1545" s="10" t="s">
        <v>541</v>
      </c>
    </row>
    <row r="1546" spans="1:30" x14ac:dyDescent="0.2">
      <c r="A1546" s="110">
        <v>1545</v>
      </c>
      <c r="B1546" s="132">
        <v>41851</v>
      </c>
      <c r="C1546" s="117">
        <v>3</v>
      </c>
      <c r="D1546" s="103" t="s">
        <v>70</v>
      </c>
      <c r="E1546" s="103" t="s">
        <v>306</v>
      </c>
      <c r="H1546" s="103"/>
      <c r="I1546" s="103">
        <v>44</v>
      </c>
      <c r="K1546" s="103" t="s">
        <v>365</v>
      </c>
      <c r="L1546" s="133"/>
      <c r="M1546" s="134">
        <v>2.2916666666666669E-2</v>
      </c>
      <c r="N1546" s="137" t="s">
        <v>2045</v>
      </c>
      <c r="O1546" s="133" t="s">
        <v>1585</v>
      </c>
      <c r="Q1546" s="100" t="s">
        <v>3820</v>
      </c>
      <c r="R1546" s="226" t="s">
        <v>3846</v>
      </c>
      <c r="S1546" s="491" t="str">
        <f t="shared" si="49"/>
        <v>x</v>
      </c>
      <c r="T1546" s="492" t="str">
        <f>IFERROR(VLOOKUP(F1546,'Freq-Chan'!C:D,2,FALSE),"x")</f>
        <v>x</v>
      </c>
      <c r="U1546" s="110" t="s">
        <v>541</v>
      </c>
      <c r="V1546" s="110" t="str">
        <f t="shared" si="50"/>
        <v>FWL</v>
      </c>
      <c r="W1546" s="110" t="s">
        <v>541</v>
      </c>
      <c r="X1546" s="110" t="s">
        <v>541</v>
      </c>
      <c r="Y1546" s="110" t="str">
        <f>IFERROR(VLOOKUP(F1546,'Freq-Chan'!C:E,3,FALSE),"na")</f>
        <v>na</v>
      </c>
      <c r="Z1546" s="110" t="s">
        <v>541</v>
      </c>
      <c r="AA1546" s="110" t="s">
        <v>541</v>
      </c>
      <c r="AB1546" s="110" t="s">
        <v>541</v>
      </c>
      <c r="AC1546" s="10" t="s">
        <v>541</v>
      </c>
      <c r="AD1546" s="10" t="s">
        <v>541</v>
      </c>
    </row>
    <row r="1547" spans="1:30" x14ac:dyDescent="0.2">
      <c r="A1547" s="110">
        <v>1546</v>
      </c>
      <c r="B1547" s="132">
        <v>41851</v>
      </c>
      <c r="C1547" s="117">
        <v>3</v>
      </c>
      <c r="D1547" s="103" t="s">
        <v>70</v>
      </c>
      <c r="E1547" s="103" t="s">
        <v>306</v>
      </c>
      <c r="H1547" s="103"/>
      <c r="I1547" s="103">
        <v>47</v>
      </c>
      <c r="K1547" s="103" t="s">
        <v>365</v>
      </c>
      <c r="L1547" s="133"/>
      <c r="M1547" s="134">
        <v>1.8749999999999999E-2</v>
      </c>
      <c r="N1547" s="137" t="s">
        <v>2047</v>
      </c>
      <c r="O1547" s="133" t="s">
        <v>372</v>
      </c>
      <c r="Q1547" s="100" t="s">
        <v>3820</v>
      </c>
      <c r="R1547" s="226" t="s">
        <v>3846</v>
      </c>
      <c r="S1547" s="491" t="str">
        <f t="shared" si="49"/>
        <v>x</v>
      </c>
      <c r="T1547" s="492" t="str">
        <f>IFERROR(VLOOKUP(F1547,'Freq-Chan'!C:D,2,FALSE),"x")</f>
        <v>x</v>
      </c>
      <c r="U1547" s="110" t="s">
        <v>541</v>
      </c>
      <c r="V1547" s="110" t="str">
        <f t="shared" si="50"/>
        <v>FWL</v>
      </c>
      <c r="W1547" s="110" t="s">
        <v>541</v>
      </c>
      <c r="X1547" s="110" t="s">
        <v>541</v>
      </c>
      <c r="Y1547" s="110" t="str">
        <f>IFERROR(VLOOKUP(F1547,'Freq-Chan'!C:E,3,FALSE),"na")</f>
        <v>na</v>
      </c>
      <c r="Z1547" s="110" t="s">
        <v>541</v>
      </c>
      <c r="AA1547" s="110" t="s">
        <v>541</v>
      </c>
      <c r="AB1547" s="110" t="s">
        <v>541</v>
      </c>
      <c r="AC1547" s="10" t="s">
        <v>541</v>
      </c>
      <c r="AD1547" s="10" t="s">
        <v>541</v>
      </c>
    </row>
    <row r="1548" spans="1:30" x14ac:dyDescent="0.2">
      <c r="A1548" s="110">
        <v>1547</v>
      </c>
      <c r="B1548" s="132">
        <v>41851</v>
      </c>
      <c r="C1548" s="117">
        <v>3</v>
      </c>
      <c r="D1548" s="103" t="s">
        <v>70</v>
      </c>
      <c r="E1548" s="103" t="s">
        <v>306</v>
      </c>
      <c r="H1548" s="103"/>
      <c r="I1548" s="103">
        <v>44</v>
      </c>
      <c r="K1548" s="103" t="s">
        <v>365</v>
      </c>
      <c r="L1548" s="133"/>
      <c r="M1548" s="134">
        <v>1.4583333333333332E-2</v>
      </c>
      <c r="N1548" s="137" t="s">
        <v>2933</v>
      </c>
      <c r="O1548" s="133" t="s">
        <v>372</v>
      </c>
      <c r="Q1548" s="100" t="s">
        <v>3820</v>
      </c>
      <c r="R1548" s="226" t="s">
        <v>3846</v>
      </c>
      <c r="S1548" s="491" t="str">
        <f t="shared" si="49"/>
        <v>x</v>
      </c>
      <c r="T1548" s="492" t="str">
        <f>IFERROR(VLOOKUP(F1548,'Freq-Chan'!C:D,2,FALSE),"x")</f>
        <v>x</v>
      </c>
      <c r="U1548" s="110" t="s">
        <v>541</v>
      </c>
      <c r="V1548" s="110" t="str">
        <f t="shared" si="50"/>
        <v>FWL</v>
      </c>
      <c r="W1548" s="110" t="s">
        <v>541</v>
      </c>
      <c r="X1548" s="110" t="s">
        <v>541</v>
      </c>
      <c r="Y1548" s="110" t="str">
        <f>IFERROR(VLOOKUP(F1548,'Freq-Chan'!C:E,3,FALSE),"na")</f>
        <v>na</v>
      </c>
      <c r="Z1548" s="110" t="s">
        <v>541</v>
      </c>
      <c r="AA1548" s="110" t="s">
        <v>541</v>
      </c>
      <c r="AB1548" s="110" t="s">
        <v>541</v>
      </c>
      <c r="AC1548" s="10" t="s">
        <v>541</v>
      </c>
      <c r="AD1548" s="10" t="s">
        <v>541</v>
      </c>
    </row>
    <row r="1549" spans="1:30" x14ac:dyDescent="0.2">
      <c r="A1549" s="110">
        <v>1548</v>
      </c>
      <c r="B1549" s="132">
        <v>41851</v>
      </c>
      <c r="C1549" s="117">
        <v>3</v>
      </c>
      <c r="D1549" s="103" t="s">
        <v>70</v>
      </c>
      <c r="E1549" s="103" t="s">
        <v>306</v>
      </c>
      <c r="H1549" s="103"/>
      <c r="I1549" s="103">
        <v>42</v>
      </c>
      <c r="K1549" s="103" t="s">
        <v>1032</v>
      </c>
      <c r="L1549" s="133"/>
      <c r="M1549" s="134">
        <v>1.8055555555555557E-2</v>
      </c>
      <c r="N1549" s="137" t="s">
        <v>3396</v>
      </c>
      <c r="O1549" s="133" t="s">
        <v>372</v>
      </c>
      <c r="Q1549" s="100" t="s">
        <v>3820</v>
      </c>
      <c r="R1549" s="226" t="s">
        <v>3846</v>
      </c>
      <c r="S1549" s="491" t="str">
        <f t="shared" si="49"/>
        <v>x</v>
      </c>
      <c r="T1549" s="492" t="str">
        <f>IFERROR(VLOOKUP(F1549,'Freq-Chan'!C:D,2,FALSE),"x")</f>
        <v>x</v>
      </c>
      <c r="U1549" s="110" t="s">
        <v>541</v>
      </c>
      <c r="V1549" s="110" t="str">
        <f t="shared" si="50"/>
        <v>FWL</v>
      </c>
      <c r="W1549" s="110" t="s">
        <v>541</v>
      </c>
      <c r="X1549" s="110" t="s">
        <v>541</v>
      </c>
      <c r="Y1549" s="110" t="str">
        <f>IFERROR(VLOOKUP(F1549,'Freq-Chan'!C:E,3,FALSE),"na")</f>
        <v>na</v>
      </c>
      <c r="Z1549" s="110" t="s">
        <v>541</v>
      </c>
      <c r="AA1549" s="110" t="s">
        <v>541</v>
      </c>
      <c r="AB1549" s="110" t="s">
        <v>541</v>
      </c>
      <c r="AC1549" s="10" t="s">
        <v>541</v>
      </c>
      <c r="AD1549" s="10" t="s">
        <v>541</v>
      </c>
    </row>
    <row r="1550" spans="1:30" x14ac:dyDescent="0.2">
      <c r="A1550" s="110">
        <v>1549</v>
      </c>
      <c r="B1550" s="132">
        <v>41851</v>
      </c>
      <c r="C1550" s="117">
        <v>3</v>
      </c>
      <c r="D1550" s="103" t="s">
        <v>70</v>
      </c>
      <c r="E1550" s="103" t="s">
        <v>306</v>
      </c>
      <c r="H1550" s="103"/>
      <c r="I1550" s="103">
        <v>47</v>
      </c>
      <c r="K1550" s="103" t="s">
        <v>365</v>
      </c>
      <c r="L1550" s="133"/>
      <c r="M1550" s="134">
        <v>1.8749999999999999E-2</v>
      </c>
      <c r="N1550" s="137" t="s">
        <v>3332</v>
      </c>
      <c r="O1550" s="133" t="s">
        <v>372</v>
      </c>
      <c r="Q1550" s="100" t="s">
        <v>3820</v>
      </c>
      <c r="R1550" s="226" t="s">
        <v>3846</v>
      </c>
      <c r="S1550" s="491" t="str">
        <f t="shared" si="49"/>
        <v>x</v>
      </c>
      <c r="T1550" s="492" t="str">
        <f>IFERROR(VLOOKUP(F1550,'Freq-Chan'!C:D,2,FALSE),"x")</f>
        <v>x</v>
      </c>
      <c r="U1550" s="110" t="s">
        <v>541</v>
      </c>
      <c r="V1550" s="110" t="str">
        <f t="shared" si="50"/>
        <v>FWL</v>
      </c>
      <c r="W1550" s="110" t="s">
        <v>541</v>
      </c>
      <c r="X1550" s="110" t="s">
        <v>541</v>
      </c>
      <c r="Y1550" s="110" t="str">
        <f>IFERROR(VLOOKUP(F1550,'Freq-Chan'!C:E,3,FALSE),"na")</f>
        <v>na</v>
      </c>
      <c r="Z1550" s="110" t="s">
        <v>541</v>
      </c>
      <c r="AA1550" s="110" t="s">
        <v>541</v>
      </c>
      <c r="AB1550" s="110" t="s">
        <v>541</v>
      </c>
      <c r="AC1550" s="10" t="s">
        <v>541</v>
      </c>
      <c r="AD1550" s="10" t="s">
        <v>541</v>
      </c>
    </row>
    <row r="1551" spans="1:30" x14ac:dyDescent="0.2">
      <c r="A1551" s="110">
        <v>1550</v>
      </c>
      <c r="B1551" s="132">
        <v>41851</v>
      </c>
      <c r="C1551" s="117">
        <v>3</v>
      </c>
      <c r="D1551" s="103" t="s">
        <v>70</v>
      </c>
      <c r="E1551" s="103" t="s">
        <v>306</v>
      </c>
      <c r="H1551" s="103"/>
      <c r="I1551" s="103">
        <v>47</v>
      </c>
      <c r="K1551" s="103" t="s">
        <v>365</v>
      </c>
      <c r="L1551" s="133"/>
      <c r="M1551" s="134">
        <v>1.6666666666666666E-2</v>
      </c>
      <c r="N1551" s="137" t="s">
        <v>3349</v>
      </c>
      <c r="O1551" s="133" t="s">
        <v>372</v>
      </c>
      <c r="Q1551" s="100" t="s">
        <v>3820</v>
      </c>
      <c r="R1551" s="226" t="s">
        <v>3846</v>
      </c>
      <c r="S1551" s="491" t="str">
        <f t="shared" si="49"/>
        <v>x</v>
      </c>
      <c r="T1551" s="492" t="str">
        <f>IFERROR(VLOOKUP(F1551,'Freq-Chan'!C:D,2,FALSE),"x")</f>
        <v>x</v>
      </c>
      <c r="U1551" s="110" t="s">
        <v>541</v>
      </c>
      <c r="V1551" s="110" t="str">
        <f t="shared" si="50"/>
        <v>FWL</v>
      </c>
      <c r="W1551" s="110" t="s">
        <v>541</v>
      </c>
      <c r="X1551" s="110" t="s">
        <v>541</v>
      </c>
      <c r="Y1551" s="110" t="str">
        <f>IFERROR(VLOOKUP(F1551,'Freq-Chan'!C:E,3,FALSE),"na")</f>
        <v>na</v>
      </c>
      <c r="Z1551" s="110" t="s">
        <v>541</v>
      </c>
      <c r="AA1551" s="110" t="s">
        <v>541</v>
      </c>
      <c r="AB1551" s="110" t="s">
        <v>541</v>
      </c>
      <c r="AC1551" s="10" t="s">
        <v>541</v>
      </c>
      <c r="AD1551" s="10" t="s">
        <v>541</v>
      </c>
    </row>
    <row r="1552" spans="1:30" x14ac:dyDescent="0.2">
      <c r="A1552" s="110">
        <v>1551</v>
      </c>
      <c r="B1552" s="132">
        <v>41851</v>
      </c>
      <c r="C1552" s="117">
        <v>3</v>
      </c>
      <c r="D1552" s="103" t="s">
        <v>70</v>
      </c>
      <c r="E1552" s="103" t="s">
        <v>306</v>
      </c>
      <c r="H1552" s="103"/>
      <c r="I1552" s="103">
        <v>44</v>
      </c>
      <c r="K1552" s="103" t="s">
        <v>365</v>
      </c>
      <c r="L1552" s="133"/>
      <c r="M1552" s="134">
        <v>2.013888888888889E-2</v>
      </c>
      <c r="N1552" s="137" t="s">
        <v>3351</v>
      </c>
      <c r="O1552" s="133" t="s">
        <v>372</v>
      </c>
      <c r="Q1552" s="100" t="s">
        <v>3820</v>
      </c>
      <c r="R1552" s="226" t="s">
        <v>3846</v>
      </c>
      <c r="S1552" s="491" t="str">
        <f t="shared" si="49"/>
        <v>x</v>
      </c>
      <c r="T1552" s="492" t="str">
        <f>IFERROR(VLOOKUP(F1552,'Freq-Chan'!C:D,2,FALSE),"x")</f>
        <v>x</v>
      </c>
      <c r="U1552" s="110" t="s">
        <v>541</v>
      </c>
      <c r="V1552" s="110" t="str">
        <f t="shared" si="50"/>
        <v>FWL</v>
      </c>
      <c r="W1552" s="110" t="s">
        <v>541</v>
      </c>
      <c r="X1552" s="110" t="s">
        <v>541</v>
      </c>
      <c r="Y1552" s="110" t="str">
        <f>IFERROR(VLOOKUP(F1552,'Freq-Chan'!C:E,3,FALSE),"na")</f>
        <v>na</v>
      </c>
      <c r="Z1552" s="110" t="s">
        <v>541</v>
      </c>
      <c r="AA1552" s="110" t="s">
        <v>541</v>
      </c>
      <c r="AB1552" s="110" t="s">
        <v>541</v>
      </c>
      <c r="AC1552" s="10" t="s">
        <v>541</v>
      </c>
      <c r="AD1552" s="10" t="s">
        <v>541</v>
      </c>
    </row>
    <row r="1553" spans="1:30" x14ac:dyDescent="0.2">
      <c r="A1553" s="110">
        <v>1552</v>
      </c>
      <c r="B1553" s="132">
        <v>41851</v>
      </c>
      <c r="C1553" s="117">
        <v>3</v>
      </c>
      <c r="D1553" s="103" t="s">
        <v>71</v>
      </c>
      <c r="E1553" s="103" t="s">
        <v>306</v>
      </c>
      <c r="F1553" s="103">
        <v>534</v>
      </c>
      <c r="G1553" s="103">
        <v>22</v>
      </c>
      <c r="H1553" s="103" t="s">
        <v>2326</v>
      </c>
      <c r="I1553" s="103">
        <v>63</v>
      </c>
      <c r="K1553" s="103" t="s">
        <v>365</v>
      </c>
      <c r="L1553" s="133"/>
      <c r="M1553" s="134">
        <v>4.0972222222222222E-2</v>
      </c>
      <c r="N1553" s="137" t="s">
        <v>2527</v>
      </c>
      <c r="O1553" s="133" t="s">
        <v>1585</v>
      </c>
      <c r="Q1553" s="100" t="s">
        <v>3820</v>
      </c>
      <c r="R1553" s="226" t="s">
        <v>3846</v>
      </c>
      <c r="S1553" s="491" t="str">
        <f t="shared" si="49"/>
        <v>x</v>
      </c>
      <c r="T1553" s="492">
        <f>IFERROR(VLOOKUP(F1553,'Freq-Chan'!C:D,2,FALSE),"x")</f>
        <v>151.53399999999999</v>
      </c>
      <c r="U1553" s="110" t="s">
        <v>541</v>
      </c>
      <c r="V1553" s="110" t="str">
        <f t="shared" si="50"/>
        <v>FWL</v>
      </c>
      <c r="W1553" s="110" t="s">
        <v>541</v>
      </c>
      <c r="X1553" s="110" t="s">
        <v>541</v>
      </c>
      <c r="Y1553" s="110" t="str">
        <f>IFERROR(VLOOKUP(F1553,'Freq-Chan'!C:E,3,FALSE),"na")</f>
        <v>F1840</v>
      </c>
      <c r="Z1553" s="110" t="s">
        <v>541</v>
      </c>
      <c r="AA1553" s="110" t="s">
        <v>541</v>
      </c>
      <c r="AB1553" s="110" t="s">
        <v>541</v>
      </c>
      <c r="AC1553" s="10" t="s">
        <v>541</v>
      </c>
      <c r="AD1553" s="10" t="s">
        <v>541</v>
      </c>
    </row>
    <row r="1554" spans="1:30" x14ac:dyDescent="0.2">
      <c r="A1554" s="110">
        <v>1553</v>
      </c>
      <c r="B1554" s="132">
        <v>41851</v>
      </c>
      <c r="C1554" s="117">
        <v>3</v>
      </c>
      <c r="D1554" s="103" t="s">
        <v>2</v>
      </c>
      <c r="E1554" s="103" t="s">
        <v>306</v>
      </c>
      <c r="F1554" s="103">
        <v>917</v>
      </c>
      <c r="G1554" s="103">
        <v>1</v>
      </c>
      <c r="H1554" s="103" t="s">
        <v>3810</v>
      </c>
      <c r="I1554" s="103">
        <v>51</v>
      </c>
      <c r="K1554" s="103" t="s">
        <v>364</v>
      </c>
      <c r="L1554" s="133">
        <v>0.4368055555555555</v>
      </c>
      <c r="M1554" s="134">
        <v>5.0694444444444452E-2</v>
      </c>
      <c r="N1554" s="137" t="s">
        <v>3837</v>
      </c>
      <c r="O1554" s="133" t="s">
        <v>372</v>
      </c>
      <c r="P1554" s="100" t="s">
        <v>3838</v>
      </c>
      <c r="Q1554" s="100" t="s">
        <v>3820</v>
      </c>
      <c r="R1554" s="226" t="s">
        <v>3846</v>
      </c>
      <c r="S1554" s="491">
        <f t="shared" si="49"/>
        <v>1.2384258999999999E-3</v>
      </c>
      <c r="T1554" s="492">
        <f>IFERROR(VLOOKUP(F1554,'Freq-Chan'!C:D,2,FALSE),"x")</f>
        <v>151.917</v>
      </c>
      <c r="U1554" s="110" t="s">
        <v>541</v>
      </c>
      <c r="V1554" s="110" t="str">
        <f t="shared" si="50"/>
        <v>FWL</v>
      </c>
      <c r="W1554" s="110" t="s">
        <v>541</v>
      </c>
      <c r="X1554" s="110" t="s">
        <v>541</v>
      </c>
      <c r="Y1554" s="110" t="str">
        <f>IFERROR(VLOOKUP(F1554,'Freq-Chan'!C:E,3,FALSE),"na")</f>
        <v>F1835</v>
      </c>
      <c r="Z1554" s="110" t="s">
        <v>541</v>
      </c>
      <c r="AA1554" s="110" t="s">
        <v>541</v>
      </c>
      <c r="AB1554" s="110" t="s">
        <v>541</v>
      </c>
      <c r="AC1554" s="10" t="s">
        <v>541</v>
      </c>
      <c r="AD1554" s="10" t="s">
        <v>541</v>
      </c>
    </row>
    <row r="1555" spans="1:30" x14ac:dyDescent="0.2">
      <c r="A1555" s="110">
        <v>1554</v>
      </c>
      <c r="B1555" s="132">
        <v>41851</v>
      </c>
      <c r="C1555" s="117">
        <v>3</v>
      </c>
      <c r="D1555" s="103" t="s">
        <v>71</v>
      </c>
      <c r="E1555" s="103" t="s">
        <v>306</v>
      </c>
      <c r="H1555" s="103"/>
      <c r="I1555" s="103">
        <v>57</v>
      </c>
      <c r="K1555" s="103" t="s">
        <v>364</v>
      </c>
      <c r="L1555" s="133"/>
      <c r="M1555" s="134">
        <v>2.4305555555555556E-2</v>
      </c>
      <c r="N1555" s="137" t="s">
        <v>2048</v>
      </c>
      <c r="O1555" s="133" t="s">
        <v>1585</v>
      </c>
      <c r="Q1555" s="100" t="s">
        <v>3820</v>
      </c>
      <c r="R1555" s="226" t="s">
        <v>3846</v>
      </c>
      <c r="S1555" s="491" t="str">
        <f t="shared" si="49"/>
        <v>x</v>
      </c>
      <c r="T1555" s="492" t="str">
        <f>IFERROR(VLOOKUP(F1555,'Freq-Chan'!C:D,2,FALSE),"x")</f>
        <v>x</v>
      </c>
      <c r="U1555" s="110" t="s">
        <v>541</v>
      </c>
      <c r="V1555" s="110" t="str">
        <f t="shared" si="50"/>
        <v>FWL</v>
      </c>
      <c r="W1555" s="110" t="s">
        <v>541</v>
      </c>
      <c r="X1555" s="110" t="s">
        <v>541</v>
      </c>
      <c r="Y1555" s="110" t="str">
        <f>IFERROR(VLOOKUP(F1555,'Freq-Chan'!C:E,3,FALSE),"na")</f>
        <v>na</v>
      </c>
      <c r="Z1555" s="110" t="s">
        <v>541</v>
      </c>
      <c r="AA1555" s="110" t="s">
        <v>541</v>
      </c>
      <c r="AB1555" s="110" t="s">
        <v>541</v>
      </c>
      <c r="AC1555" s="10" t="s">
        <v>541</v>
      </c>
      <c r="AD1555" s="10" t="s">
        <v>541</v>
      </c>
    </row>
    <row r="1556" spans="1:30" x14ac:dyDescent="0.2">
      <c r="A1556" s="110">
        <v>1555</v>
      </c>
      <c r="B1556" s="132">
        <v>41851</v>
      </c>
      <c r="C1556" s="117">
        <v>3</v>
      </c>
      <c r="D1556" s="103" t="s">
        <v>71</v>
      </c>
      <c r="E1556" s="103" t="s">
        <v>306</v>
      </c>
      <c r="H1556" s="103"/>
      <c r="I1556" s="103">
        <v>62</v>
      </c>
      <c r="K1556" s="103" t="s">
        <v>365</v>
      </c>
      <c r="L1556" s="133"/>
      <c r="M1556" s="134">
        <v>2.2222222222222223E-2</v>
      </c>
      <c r="N1556" s="137" t="s">
        <v>2532</v>
      </c>
      <c r="O1556" s="133" t="s">
        <v>372</v>
      </c>
      <c r="Q1556" s="100" t="s">
        <v>3820</v>
      </c>
      <c r="R1556" s="226" t="s">
        <v>3846</v>
      </c>
      <c r="S1556" s="491" t="str">
        <f t="shared" si="49"/>
        <v>x</v>
      </c>
      <c r="T1556" s="492" t="str">
        <f>IFERROR(VLOOKUP(F1556,'Freq-Chan'!C:D,2,FALSE),"x")</f>
        <v>x</v>
      </c>
      <c r="U1556" s="110" t="s">
        <v>541</v>
      </c>
      <c r="V1556" s="110" t="str">
        <f t="shared" si="50"/>
        <v>FWL</v>
      </c>
      <c r="W1556" s="110" t="s">
        <v>541</v>
      </c>
      <c r="X1556" s="110" t="s">
        <v>541</v>
      </c>
      <c r="Y1556" s="110" t="str">
        <f>IFERROR(VLOOKUP(F1556,'Freq-Chan'!C:E,3,FALSE),"na")</f>
        <v>na</v>
      </c>
      <c r="Z1556" s="110" t="s">
        <v>541</v>
      </c>
      <c r="AA1556" s="110" t="s">
        <v>541</v>
      </c>
      <c r="AB1556" s="110" t="s">
        <v>541</v>
      </c>
      <c r="AC1556" s="10" t="s">
        <v>541</v>
      </c>
      <c r="AD1556" s="10" t="s">
        <v>541</v>
      </c>
    </row>
    <row r="1557" spans="1:30" x14ac:dyDescent="0.2">
      <c r="A1557" s="110">
        <v>1556</v>
      </c>
      <c r="B1557" s="132">
        <v>41851</v>
      </c>
      <c r="C1557" s="117">
        <v>3</v>
      </c>
      <c r="D1557" s="103" t="s">
        <v>71</v>
      </c>
      <c r="E1557" s="103" t="s">
        <v>306</v>
      </c>
      <c r="H1557" s="103"/>
      <c r="I1557" s="103">
        <v>61</v>
      </c>
      <c r="K1557" s="103" t="s">
        <v>364</v>
      </c>
      <c r="L1557" s="133">
        <v>0.51944444444444449</v>
      </c>
      <c r="M1557" s="134">
        <v>1.9444444444444445E-2</v>
      </c>
      <c r="N1557" s="137" t="s">
        <v>3839</v>
      </c>
      <c r="O1557" s="133" t="s">
        <v>1585</v>
      </c>
      <c r="Q1557" s="100" t="s">
        <v>3820</v>
      </c>
      <c r="R1557" s="226" t="s">
        <v>3846</v>
      </c>
      <c r="S1557" s="491">
        <f t="shared" si="49"/>
        <v>7.3148147999999996E-3</v>
      </c>
      <c r="T1557" s="492" t="str">
        <f>IFERROR(VLOOKUP(F1557,'Freq-Chan'!C:D,2,FALSE),"x")</f>
        <v>x</v>
      </c>
      <c r="U1557" s="110" t="s">
        <v>541</v>
      </c>
      <c r="V1557" s="110" t="str">
        <f t="shared" si="50"/>
        <v>FWL</v>
      </c>
      <c r="W1557" s="110" t="s">
        <v>541</v>
      </c>
      <c r="X1557" s="110" t="s">
        <v>541</v>
      </c>
      <c r="Y1557" s="110" t="str">
        <f>IFERROR(VLOOKUP(F1557,'Freq-Chan'!C:E,3,FALSE),"na")</f>
        <v>na</v>
      </c>
      <c r="Z1557" s="110" t="s">
        <v>541</v>
      </c>
      <c r="AA1557" s="110" t="s">
        <v>541</v>
      </c>
      <c r="AB1557" s="110" t="s">
        <v>541</v>
      </c>
      <c r="AC1557" s="10" t="s">
        <v>541</v>
      </c>
      <c r="AD1557" s="10" t="s">
        <v>541</v>
      </c>
    </row>
    <row r="1558" spans="1:30" x14ac:dyDescent="0.2">
      <c r="A1558" s="110">
        <v>1557</v>
      </c>
      <c r="B1558" s="132">
        <v>41851</v>
      </c>
      <c r="C1558" s="117">
        <v>3</v>
      </c>
      <c r="D1558" s="103" t="s">
        <v>2</v>
      </c>
      <c r="E1558" s="103" t="s">
        <v>306</v>
      </c>
      <c r="F1558" s="103">
        <v>917</v>
      </c>
      <c r="G1558" s="103">
        <v>42</v>
      </c>
      <c r="H1558" s="103" t="s">
        <v>3811</v>
      </c>
      <c r="I1558" s="103">
        <v>63</v>
      </c>
      <c r="K1558" s="103" t="s">
        <v>364</v>
      </c>
      <c r="L1558" s="133">
        <v>0.52430555555555558</v>
      </c>
      <c r="M1558" s="134">
        <v>4.4444444444444446E-2</v>
      </c>
      <c r="N1558" s="137" t="s">
        <v>3429</v>
      </c>
      <c r="O1558" s="133" t="s">
        <v>1585</v>
      </c>
      <c r="P1558" s="100" t="s">
        <v>3840</v>
      </c>
      <c r="Q1558" s="100" t="s">
        <v>3820</v>
      </c>
      <c r="R1558" s="226" t="s">
        <v>3846</v>
      </c>
      <c r="S1558" s="491">
        <f t="shared" si="49"/>
        <v>4.8148148E-3</v>
      </c>
      <c r="T1558" s="492">
        <f>IFERROR(VLOOKUP(F1558,'Freq-Chan'!C:D,2,FALSE),"x")</f>
        <v>151.917</v>
      </c>
      <c r="U1558" s="110" t="s">
        <v>541</v>
      </c>
      <c r="V1558" s="110" t="str">
        <f t="shared" si="50"/>
        <v>FWL</v>
      </c>
      <c r="W1558" s="110" t="s">
        <v>541</v>
      </c>
      <c r="X1558" s="110" t="s">
        <v>541</v>
      </c>
      <c r="Y1558" s="110" t="str">
        <f>IFERROR(VLOOKUP(F1558,'Freq-Chan'!C:E,3,FALSE),"na")</f>
        <v>F1835</v>
      </c>
      <c r="Z1558" s="110" t="s">
        <v>541</v>
      </c>
      <c r="AA1558" s="110" t="s">
        <v>541</v>
      </c>
      <c r="AB1558" s="110" t="s">
        <v>541</v>
      </c>
      <c r="AC1558" s="10" t="s">
        <v>541</v>
      </c>
      <c r="AD1558" s="10" t="s">
        <v>541</v>
      </c>
    </row>
    <row r="1559" spans="1:30" x14ac:dyDescent="0.2">
      <c r="A1559" s="110">
        <v>1558</v>
      </c>
      <c r="B1559" s="132">
        <v>41851</v>
      </c>
      <c r="C1559" s="117">
        <v>3</v>
      </c>
      <c r="D1559" s="103" t="s">
        <v>8</v>
      </c>
      <c r="E1559" s="103" t="s">
        <v>306</v>
      </c>
      <c r="H1559" s="103"/>
      <c r="I1559" s="103">
        <v>57</v>
      </c>
      <c r="K1559" s="103" t="s">
        <v>364</v>
      </c>
      <c r="L1559" s="133">
        <v>0.52847222222222223</v>
      </c>
      <c r="M1559" s="134">
        <v>3.125E-2</v>
      </c>
      <c r="N1559" s="137" t="s">
        <v>2593</v>
      </c>
      <c r="O1559" s="133" t="s">
        <v>1585</v>
      </c>
      <c r="P1559" s="100" t="s">
        <v>3841</v>
      </c>
      <c r="Q1559" s="100" t="s">
        <v>3820</v>
      </c>
      <c r="R1559" s="226" t="s">
        <v>3846</v>
      </c>
      <c r="S1559" s="491">
        <f t="shared" si="49"/>
        <v>2.2569444E-3</v>
      </c>
      <c r="T1559" s="492" t="str">
        <f>IFERROR(VLOOKUP(F1559,'Freq-Chan'!C:D,2,FALSE),"x")</f>
        <v>x</v>
      </c>
      <c r="U1559" s="110" t="s">
        <v>541</v>
      </c>
      <c r="V1559" s="110" t="str">
        <f t="shared" si="50"/>
        <v>FWL</v>
      </c>
      <c r="W1559" s="110" t="s">
        <v>541</v>
      </c>
      <c r="X1559" s="110" t="s">
        <v>541</v>
      </c>
      <c r="Y1559" s="110" t="str">
        <f>IFERROR(VLOOKUP(F1559,'Freq-Chan'!C:E,3,FALSE),"na")</f>
        <v>na</v>
      </c>
      <c r="Z1559" s="110" t="s">
        <v>541</v>
      </c>
      <c r="AA1559" s="110" t="s">
        <v>541</v>
      </c>
      <c r="AB1559" s="110" t="s">
        <v>541</v>
      </c>
      <c r="AC1559" s="10" t="s">
        <v>541</v>
      </c>
      <c r="AD1559" s="10" t="s">
        <v>541</v>
      </c>
    </row>
    <row r="1560" spans="1:30" x14ac:dyDescent="0.2">
      <c r="A1560" s="110">
        <v>1559</v>
      </c>
      <c r="B1560" s="132">
        <v>41851</v>
      </c>
      <c r="C1560" s="117">
        <v>3</v>
      </c>
      <c r="D1560" s="103" t="s">
        <v>8</v>
      </c>
      <c r="E1560" s="103" t="s">
        <v>306</v>
      </c>
      <c r="F1560" s="103">
        <v>586</v>
      </c>
      <c r="G1560" s="103">
        <v>22</v>
      </c>
      <c r="H1560" s="103" t="s">
        <v>2176</v>
      </c>
      <c r="I1560" s="103">
        <v>47</v>
      </c>
      <c r="K1560" s="103" t="s">
        <v>364</v>
      </c>
      <c r="L1560" s="133"/>
      <c r="M1560" s="134">
        <v>4.8611111111111112E-2</v>
      </c>
      <c r="N1560" s="137" t="s">
        <v>1963</v>
      </c>
      <c r="O1560" s="133" t="s">
        <v>1585</v>
      </c>
      <c r="P1560" s="100" t="s">
        <v>3842</v>
      </c>
      <c r="Q1560" s="100" t="s">
        <v>3820</v>
      </c>
      <c r="R1560" s="226" t="s">
        <v>3846</v>
      </c>
      <c r="S1560" s="491" t="str">
        <f t="shared" si="49"/>
        <v>x</v>
      </c>
      <c r="T1560" s="492">
        <f>IFERROR(VLOOKUP(F1560,'Freq-Chan'!C:D,2,FALSE),"x")</f>
        <v>151.58600000000001</v>
      </c>
      <c r="U1560" s="110" t="s">
        <v>541</v>
      </c>
      <c r="V1560" s="110" t="str">
        <f t="shared" si="50"/>
        <v>FWL</v>
      </c>
      <c r="W1560" s="110" t="s">
        <v>541</v>
      </c>
      <c r="X1560" s="110" t="s">
        <v>541</v>
      </c>
      <c r="Y1560" s="110" t="str">
        <f>IFERROR(VLOOKUP(F1560,'Freq-Chan'!C:E,3,FALSE),"na")</f>
        <v>F1840</v>
      </c>
      <c r="Z1560" s="110" t="s">
        <v>541</v>
      </c>
      <c r="AA1560" s="110" t="s">
        <v>541</v>
      </c>
      <c r="AB1560" s="110" t="s">
        <v>541</v>
      </c>
      <c r="AC1560" s="10" t="s">
        <v>541</v>
      </c>
      <c r="AD1560" s="10" t="s">
        <v>541</v>
      </c>
    </row>
    <row r="1561" spans="1:30" x14ac:dyDescent="0.2">
      <c r="A1561" s="110">
        <v>1560</v>
      </c>
      <c r="B1561" s="132">
        <v>41851</v>
      </c>
      <c r="C1561" s="117">
        <v>3</v>
      </c>
      <c r="D1561" s="103" t="s">
        <v>8</v>
      </c>
      <c r="E1561" s="103" t="s">
        <v>306</v>
      </c>
      <c r="F1561" s="103">
        <v>573</v>
      </c>
      <c r="G1561" s="103">
        <v>51</v>
      </c>
      <c r="H1561" s="103" t="s">
        <v>2177</v>
      </c>
      <c r="I1561" s="103">
        <v>42</v>
      </c>
      <c r="K1561" s="103" t="s">
        <v>364</v>
      </c>
      <c r="L1561" s="133"/>
      <c r="M1561" s="134">
        <v>4.027777777777778E-2</v>
      </c>
      <c r="N1561" s="137" t="s">
        <v>2534</v>
      </c>
      <c r="O1561" s="133" t="s">
        <v>372</v>
      </c>
      <c r="Q1561" s="100" t="s">
        <v>3820</v>
      </c>
      <c r="R1561" s="226" t="s">
        <v>3846</v>
      </c>
      <c r="S1561" s="491" t="str">
        <f t="shared" si="49"/>
        <v>x</v>
      </c>
      <c r="T1561" s="492">
        <f>IFERROR(VLOOKUP(F1561,'Freq-Chan'!C:D,2,FALSE),"x")</f>
        <v>151.57300000000001</v>
      </c>
      <c r="U1561" s="110" t="s">
        <v>541</v>
      </c>
      <c r="V1561" s="110" t="str">
        <f t="shared" si="50"/>
        <v>FWL</v>
      </c>
      <c r="W1561" s="110" t="s">
        <v>541</v>
      </c>
      <c r="X1561" s="110" t="s">
        <v>541</v>
      </c>
      <c r="Y1561" s="110" t="str">
        <f>IFERROR(VLOOKUP(F1561,'Freq-Chan'!C:E,3,FALSE),"na")</f>
        <v>F1840</v>
      </c>
      <c r="Z1561" s="110" t="s">
        <v>541</v>
      </c>
      <c r="AA1561" s="110" t="s">
        <v>541</v>
      </c>
      <c r="AB1561" s="110" t="s">
        <v>541</v>
      </c>
      <c r="AC1561" s="10" t="s">
        <v>541</v>
      </c>
      <c r="AD1561" s="10" t="s">
        <v>541</v>
      </c>
    </row>
    <row r="1562" spans="1:30" x14ac:dyDescent="0.2">
      <c r="A1562" s="110">
        <v>1561</v>
      </c>
      <c r="B1562" s="132">
        <v>41851</v>
      </c>
      <c r="C1562" s="117">
        <v>3</v>
      </c>
      <c r="D1562" s="103" t="s">
        <v>71</v>
      </c>
      <c r="E1562" s="103" t="s">
        <v>306</v>
      </c>
      <c r="H1562" s="103"/>
      <c r="I1562" s="103">
        <v>60</v>
      </c>
      <c r="K1562" s="103" t="s">
        <v>364</v>
      </c>
      <c r="L1562" s="133"/>
      <c r="M1562" s="134">
        <v>1.3888888888888888E-2</v>
      </c>
      <c r="N1562" s="137" t="s">
        <v>2535</v>
      </c>
      <c r="O1562" s="133" t="s">
        <v>372</v>
      </c>
      <c r="Q1562" s="100" t="s">
        <v>3820</v>
      </c>
      <c r="R1562" s="226" t="s">
        <v>3846</v>
      </c>
      <c r="S1562" s="491" t="str">
        <f t="shared" si="49"/>
        <v>x</v>
      </c>
      <c r="T1562" s="492" t="str">
        <f>IFERROR(VLOOKUP(F1562,'Freq-Chan'!C:D,2,FALSE),"x")</f>
        <v>x</v>
      </c>
      <c r="U1562" s="110" t="s">
        <v>541</v>
      </c>
      <c r="V1562" s="110" t="str">
        <f t="shared" si="50"/>
        <v>FWL</v>
      </c>
      <c r="W1562" s="110" t="s">
        <v>541</v>
      </c>
      <c r="X1562" s="110" t="s">
        <v>541</v>
      </c>
      <c r="Y1562" s="110" t="str">
        <f>IFERROR(VLOOKUP(F1562,'Freq-Chan'!C:E,3,FALSE),"na")</f>
        <v>na</v>
      </c>
      <c r="Z1562" s="110" t="s">
        <v>541</v>
      </c>
      <c r="AA1562" s="110" t="s">
        <v>541</v>
      </c>
      <c r="AB1562" s="110" t="s">
        <v>541</v>
      </c>
      <c r="AC1562" s="10" t="s">
        <v>541</v>
      </c>
      <c r="AD1562" s="10" t="s">
        <v>541</v>
      </c>
    </row>
    <row r="1563" spans="1:30" x14ac:dyDescent="0.2">
      <c r="A1563" s="110">
        <v>1562</v>
      </c>
      <c r="B1563" s="132">
        <v>41851</v>
      </c>
      <c r="C1563" s="117">
        <v>3</v>
      </c>
      <c r="D1563" s="103" t="s">
        <v>71</v>
      </c>
      <c r="E1563" s="103" t="s">
        <v>306</v>
      </c>
      <c r="H1563" s="103"/>
      <c r="I1563" s="103">
        <v>58</v>
      </c>
      <c r="K1563" s="103" t="s">
        <v>364</v>
      </c>
      <c r="L1563" s="133"/>
      <c r="M1563" s="134">
        <v>2.013888888888889E-2</v>
      </c>
      <c r="N1563" s="137" t="s">
        <v>3800</v>
      </c>
      <c r="O1563" s="133" t="s">
        <v>376</v>
      </c>
      <c r="Q1563" s="100" t="s">
        <v>3822</v>
      </c>
      <c r="R1563" s="226" t="s">
        <v>3846</v>
      </c>
      <c r="S1563" s="491" t="str">
        <f t="shared" si="49"/>
        <v>x</v>
      </c>
      <c r="T1563" s="492" t="str">
        <f>IFERROR(VLOOKUP(F1563,'Freq-Chan'!C:D,2,FALSE),"x")</f>
        <v>x</v>
      </c>
      <c r="U1563" s="110" t="s">
        <v>541</v>
      </c>
      <c r="V1563" s="110" t="str">
        <f t="shared" si="50"/>
        <v>FWL</v>
      </c>
      <c r="W1563" s="110" t="s">
        <v>541</v>
      </c>
      <c r="X1563" s="110" t="s">
        <v>541</v>
      </c>
      <c r="Y1563" s="110" t="str">
        <f>IFERROR(VLOOKUP(F1563,'Freq-Chan'!C:E,3,FALSE),"na")</f>
        <v>na</v>
      </c>
      <c r="Z1563" s="110" t="s">
        <v>541</v>
      </c>
      <c r="AA1563" s="110" t="s">
        <v>541</v>
      </c>
      <c r="AB1563" s="110" t="s">
        <v>541</v>
      </c>
      <c r="AC1563" s="10" t="s">
        <v>541</v>
      </c>
      <c r="AD1563" s="10" t="s">
        <v>541</v>
      </c>
    </row>
    <row r="1564" spans="1:30" x14ac:dyDescent="0.2">
      <c r="A1564" s="110">
        <v>1563</v>
      </c>
      <c r="B1564" s="132">
        <v>41851</v>
      </c>
      <c r="C1564" s="117">
        <v>3</v>
      </c>
      <c r="D1564" s="103" t="s">
        <v>71</v>
      </c>
      <c r="E1564" s="103" t="s">
        <v>306</v>
      </c>
      <c r="H1564" s="103"/>
      <c r="I1564" s="103">
        <v>58</v>
      </c>
      <c r="K1564" s="103" t="s">
        <v>364</v>
      </c>
      <c r="L1564" s="133"/>
      <c r="M1564" s="134">
        <v>2.2916666666666669E-2</v>
      </c>
      <c r="N1564" s="137" t="s">
        <v>3736</v>
      </c>
      <c r="O1564" s="133" t="s">
        <v>376</v>
      </c>
      <c r="Q1564" s="100" t="s">
        <v>3822</v>
      </c>
      <c r="R1564" s="226" t="s">
        <v>3846</v>
      </c>
      <c r="S1564" s="491" t="str">
        <f t="shared" si="49"/>
        <v>x</v>
      </c>
      <c r="T1564" s="492" t="str">
        <f>IFERROR(VLOOKUP(F1564,'Freq-Chan'!C:D,2,FALSE),"x")</f>
        <v>x</v>
      </c>
      <c r="U1564" s="110" t="s">
        <v>541</v>
      </c>
      <c r="V1564" s="110" t="str">
        <f t="shared" si="50"/>
        <v>FWL</v>
      </c>
      <c r="W1564" s="110" t="s">
        <v>541</v>
      </c>
      <c r="X1564" s="110" t="s">
        <v>541</v>
      </c>
      <c r="Y1564" s="110" t="str">
        <f>IFERROR(VLOOKUP(F1564,'Freq-Chan'!C:E,3,FALSE),"na")</f>
        <v>na</v>
      </c>
      <c r="Z1564" s="110" t="s">
        <v>541</v>
      </c>
      <c r="AA1564" s="110" t="s">
        <v>541</v>
      </c>
      <c r="AB1564" s="110" t="s">
        <v>541</v>
      </c>
      <c r="AC1564" s="10" t="s">
        <v>541</v>
      </c>
      <c r="AD1564" s="10" t="s">
        <v>541</v>
      </c>
    </row>
    <row r="1565" spans="1:30" x14ac:dyDescent="0.2">
      <c r="A1565" s="110">
        <v>1564</v>
      </c>
      <c r="B1565" s="132">
        <v>41851</v>
      </c>
      <c r="C1565" s="117">
        <v>3</v>
      </c>
      <c r="D1565" s="103" t="s">
        <v>71</v>
      </c>
      <c r="E1565" s="103" t="s">
        <v>306</v>
      </c>
      <c r="H1565" s="103"/>
      <c r="I1565" s="103">
        <v>68</v>
      </c>
      <c r="K1565" s="103" t="s">
        <v>364</v>
      </c>
      <c r="L1565" s="133"/>
      <c r="M1565" s="134">
        <v>1.7361111111111112E-2</v>
      </c>
      <c r="N1565" s="137" t="s">
        <v>3843</v>
      </c>
      <c r="O1565" s="133" t="s">
        <v>555</v>
      </c>
      <c r="Q1565" s="100" t="s">
        <v>3822</v>
      </c>
      <c r="R1565" s="226" t="s">
        <v>3846</v>
      </c>
      <c r="S1565" s="491" t="str">
        <f t="shared" si="49"/>
        <v>x</v>
      </c>
      <c r="T1565" s="492" t="str">
        <f>IFERROR(VLOOKUP(F1565,'Freq-Chan'!C:D,2,FALSE),"x")</f>
        <v>x</v>
      </c>
      <c r="U1565" s="110" t="s">
        <v>541</v>
      </c>
      <c r="V1565" s="110" t="str">
        <f t="shared" si="50"/>
        <v>FWL</v>
      </c>
      <c r="W1565" s="110" t="s">
        <v>541</v>
      </c>
      <c r="X1565" s="110" t="s">
        <v>541</v>
      </c>
      <c r="Y1565" s="110" t="str">
        <f>IFERROR(VLOOKUP(F1565,'Freq-Chan'!C:E,3,FALSE),"na")</f>
        <v>na</v>
      </c>
      <c r="Z1565" s="110" t="s">
        <v>541</v>
      </c>
      <c r="AA1565" s="110" t="s">
        <v>541</v>
      </c>
      <c r="AB1565" s="110" t="s">
        <v>541</v>
      </c>
      <c r="AC1565" s="10" t="s">
        <v>541</v>
      </c>
      <c r="AD1565" s="10" t="s">
        <v>541</v>
      </c>
    </row>
    <row r="1566" spans="1:30" x14ac:dyDescent="0.2">
      <c r="A1566" s="110">
        <v>1565</v>
      </c>
      <c r="B1566" s="132">
        <v>41851</v>
      </c>
      <c r="C1566" s="117">
        <v>3</v>
      </c>
      <c r="D1566" s="103" t="s">
        <v>71</v>
      </c>
      <c r="E1566" s="103" t="s">
        <v>306</v>
      </c>
      <c r="H1566" s="103"/>
      <c r="I1566" s="103">
        <v>58</v>
      </c>
      <c r="K1566" s="103" t="s">
        <v>364</v>
      </c>
      <c r="L1566" s="133"/>
      <c r="M1566" s="134">
        <v>1.6666666666666666E-2</v>
      </c>
      <c r="N1566" s="137" t="s">
        <v>767</v>
      </c>
      <c r="O1566" s="133" t="s">
        <v>555</v>
      </c>
      <c r="Q1566" s="100" t="s">
        <v>3822</v>
      </c>
      <c r="R1566" s="226" t="s">
        <v>3846</v>
      </c>
      <c r="S1566" s="491" t="str">
        <f t="shared" si="49"/>
        <v>x</v>
      </c>
      <c r="T1566" s="492" t="str">
        <f>IFERROR(VLOOKUP(F1566,'Freq-Chan'!C:D,2,FALSE),"x")</f>
        <v>x</v>
      </c>
      <c r="U1566" s="110" t="s">
        <v>541</v>
      </c>
      <c r="V1566" s="110" t="str">
        <f t="shared" si="50"/>
        <v>FWL</v>
      </c>
      <c r="W1566" s="110" t="s">
        <v>541</v>
      </c>
      <c r="X1566" s="110" t="s">
        <v>541</v>
      </c>
      <c r="Y1566" s="110" t="str">
        <f>IFERROR(VLOOKUP(F1566,'Freq-Chan'!C:E,3,FALSE),"na")</f>
        <v>na</v>
      </c>
      <c r="Z1566" s="110" t="s">
        <v>541</v>
      </c>
      <c r="AA1566" s="110" t="s">
        <v>541</v>
      </c>
      <c r="AB1566" s="110" t="s">
        <v>541</v>
      </c>
      <c r="AC1566" s="10" t="s">
        <v>541</v>
      </c>
      <c r="AD1566" s="10" t="s">
        <v>541</v>
      </c>
    </row>
    <row r="1567" spans="1:30" x14ac:dyDescent="0.2">
      <c r="A1567" s="110">
        <v>1566</v>
      </c>
      <c r="B1567" s="132">
        <v>41851</v>
      </c>
      <c r="C1567" s="117">
        <v>3</v>
      </c>
      <c r="D1567" s="103" t="s">
        <v>71</v>
      </c>
      <c r="E1567" s="103" t="s">
        <v>306</v>
      </c>
      <c r="H1567" s="103"/>
      <c r="I1567" s="103">
        <v>59</v>
      </c>
      <c r="K1567" s="103" t="s">
        <v>364</v>
      </c>
      <c r="L1567" s="133"/>
      <c r="M1567" s="134">
        <v>1.9444444444444445E-2</v>
      </c>
      <c r="N1567" s="137" t="s">
        <v>3844</v>
      </c>
      <c r="O1567" s="133" t="s">
        <v>555</v>
      </c>
      <c r="Q1567" s="100" t="s">
        <v>3822</v>
      </c>
      <c r="R1567" s="226" t="s">
        <v>3846</v>
      </c>
      <c r="S1567" s="491" t="str">
        <f t="shared" si="49"/>
        <v>x</v>
      </c>
      <c r="T1567" s="492" t="str">
        <f>IFERROR(VLOOKUP(F1567,'Freq-Chan'!C:D,2,FALSE),"x")</f>
        <v>x</v>
      </c>
      <c r="U1567" s="110" t="s">
        <v>541</v>
      </c>
      <c r="V1567" s="110" t="str">
        <f t="shared" si="50"/>
        <v>FWL</v>
      </c>
      <c r="W1567" s="110" t="s">
        <v>541</v>
      </c>
      <c r="X1567" s="110" t="s">
        <v>541</v>
      </c>
      <c r="Y1567" s="110" t="str">
        <f>IFERROR(VLOOKUP(F1567,'Freq-Chan'!C:E,3,FALSE),"na")</f>
        <v>na</v>
      </c>
      <c r="Z1567" s="110" t="s">
        <v>541</v>
      </c>
      <c r="AA1567" s="110" t="s">
        <v>541</v>
      </c>
      <c r="AB1567" s="110" t="s">
        <v>541</v>
      </c>
      <c r="AC1567" s="10" t="s">
        <v>541</v>
      </c>
      <c r="AD1567" s="10" t="s">
        <v>541</v>
      </c>
    </row>
    <row r="1568" spans="1:30" x14ac:dyDescent="0.2">
      <c r="A1568" s="110">
        <v>1567</v>
      </c>
      <c r="B1568" s="132">
        <v>41851</v>
      </c>
      <c r="C1568" s="117">
        <v>3</v>
      </c>
      <c r="D1568" s="103" t="s">
        <v>71</v>
      </c>
      <c r="E1568" s="103" t="s">
        <v>306</v>
      </c>
      <c r="H1568" s="103"/>
      <c r="I1568" s="103">
        <v>58</v>
      </c>
      <c r="K1568" s="103" t="s">
        <v>364</v>
      </c>
      <c r="L1568" s="133"/>
      <c r="M1568" s="134">
        <v>2.0833333333333332E-2</v>
      </c>
      <c r="N1568" s="137" t="s">
        <v>3845</v>
      </c>
      <c r="O1568" s="133" t="s">
        <v>555</v>
      </c>
      <c r="Q1568" s="100" t="s">
        <v>3822</v>
      </c>
      <c r="R1568" s="226" t="s">
        <v>3846</v>
      </c>
      <c r="S1568" s="491" t="str">
        <f t="shared" si="49"/>
        <v>x</v>
      </c>
      <c r="T1568" s="492" t="str">
        <f>IFERROR(VLOOKUP(F1568,'Freq-Chan'!C:D,2,FALSE),"x")</f>
        <v>x</v>
      </c>
      <c r="U1568" s="110" t="s">
        <v>541</v>
      </c>
      <c r="V1568" s="110" t="str">
        <f t="shared" si="50"/>
        <v>FWL</v>
      </c>
      <c r="W1568" s="110" t="s">
        <v>541</v>
      </c>
      <c r="X1568" s="110" t="s">
        <v>541</v>
      </c>
      <c r="Y1568" s="110" t="str">
        <f>IFERROR(VLOOKUP(F1568,'Freq-Chan'!C:E,3,FALSE),"na")</f>
        <v>na</v>
      </c>
      <c r="Z1568" s="110" t="s">
        <v>541</v>
      </c>
      <c r="AA1568" s="110" t="s">
        <v>541</v>
      </c>
      <c r="AB1568" s="110" t="s">
        <v>541</v>
      </c>
      <c r="AC1568" s="10" t="s">
        <v>541</v>
      </c>
      <c r="AD1568" s="10" t="s">
        <v>541</v>
      </c>
    </row>
    <row r="1569" spans="1:30" x14ac:dyDescent="0.2">
      <c r="A1569" s="110">
        <v>1568</v>
      </c>
      <c r="B1569" s="132">
        <v>41851</v>
      </c>
      <c r="C1569" s="117">
        <v>3</v>
      </c>
      <c r="D1569" s="103" t="s">
        <v>71</v>
      </c>
      <c r="E1569" s="103" t="s">
        <v>306</v>
      </c>
      <c r="H1569" s="103"/>
      <c r="I1569" s="103">
        <v>61</v>
      </c>
      <c r="K1569" s="103" t="s">
        <v>364</v>
      </c>
      <c r="L1569" s="133"/>
      <c r="M1569" s="134">
        <v>1.6666666666666666E-2</v>
      </c>
      <c r="N1569" s="137" t="s">
        <v>2746</v>
      </c>
      <c r="O1569" s="133" t="s">
        <v>555</v>
      </c>
      <c r="Q1569" s="100" t="s">
        <v>3822</v>
      </c>
      <c r="R1569" s="226" t="s">
        <v>3846</v>
      </c>
      <c r="S1569" s="491" t="str">
        <f t="shared" si="49"/>
        <v>x</v>
      </c>
      <c r="T1569" s="492" t="str">
        <f>IFERROR(VLOOKUP(F1569,'Freq-Chan'!C:D,2,FALSE),"x")</f>
        <v>x</v>
      </c>
      <c r="U1569" s="110" t="s">
        <v>541</v>
      </c>
      <c r="V1569" s="110" t="str">
        <f t="shared" si="50"/>
        <v>FWL</v>
      </c>
      <c r="W1569" s="110" t="s">
        <v>541</v>
      </c>
      <c r="X1569" s="110" t="s">
        <v>541</v>
      </c>
      <c r="Y1569" s="110" t="str">
        <f>IFERROR(VLOOKUP(F1569,'Freq-Chan'!C:E,3,FALSE),"na")</f>
        <v>na</v>
      </c>
      <c r="Z1569" s="110" t="s">
        <v>541</v>
      </c>
      <c r="AA1569" s="110" t="s">
        <v>541</v>
      </c>
      <c r="AB1569" s="110" t="s">
        <v>541</v>
      </c>
      <c r="AC1569" s="10" t="s">
        <v>541</v>
      </c>
      <c r="AD1569" s="10" t="s">
        <v>541</v>
      </c>
    </row>
    <row r="1570" spans="1:30" s="291" customFormat="1" x14ac:dyDescent="0.2">
      <c r="A1570" s="493">
        <v>1569</v>
      </c>
      <c r="B1570" s="283">
        <v>41851</v>
      </c>
      <c r="C1570" s="284">
        <v>3</v>
      </c>
      <c r="D1570" s="285" t="s">
        <v>71</v>
      </c>
      <c r="E1570" s="285" t="s">
        <v>306</v>
      </c>
      <c r="F1570" s="285"/>
      <c r="G1570" s="285"/>
      <c r="H1570" s="285"/>
      <c r="I1570" s="285">
        <v>62</v>
      </c>
      <c r="J1570" s="285"/>
      <c r="K1570" s="285" t="s">
        <v>364</v>
      </c>
      <c r="L1570" s="286"/>
      <c r="M1570" s="287">
        <v>2.0833333333333332E-2</v>
      </c>
      <c r="N1570" s="339" t="s">
        <v>1581</v>
      </c>
      <c r="O1570" s="286" t="s">
        <v>555</v>
      </c>
      <c r="P1570" s="289"/>
      <c r="Q1570" s="289" t="s">
        <v>3822</v>
      </c>
      <c r="R1570" s="290" t="s">
        <v>3846</v>
      </c>
      <c r="S1570" s="494" t="str">
        <f t="shared" si="49"/>
        <v>x</v>
      </c>
      <c r="T1570" s="495" t="str">
        <f>IFERROR(VLOOKUP(F1570,'Freq-Chan'!C:D,2,FALSE),"x")</f>
        <v>x</v>
      </c>
      <c r="U1570" s="493" t="s">
        <v>541</v>
      </c>
      <c r="V1570" s="493" t="str">
        <f t="shared" si="50"/>
        <v>FWL</v>
      </c>
      <c r="W1570" s="493" t="s">
        <v>541</v>
      </c>
      <c r="X1570" s="493" t="s">
        <v>541</v>
      </c>
      <c r="Y1570" s="493" t="str">
        <f>IFERROR(VLOOKUP(F1570,'Freq-Chan'!C:E,3,FALSE),"na")</f>
        <v>na</v>
      </c>
      <c r="Z1570" s="493" t="s">
        <v>541</v>
      </c>
      <c r="AA1570" s="493" t="s">
        <v>541</v>
      </c>
      <c r="AB1570" s="493" t="s">
        <v>541</v>
      </c>
      <c r="AC1570" s="291" t="s">
        <v>541</v>
      </c>
      <c r="AD1570" s="291" t="s">
        <v>541</v>
      </c>
    </row>
    <row r="1571" spans="1:30" x14ac:dyDescent="0.2">
      <c r="A1571" s="110">
        <v>1570</v>
      </c>
      <c r="B1571" s="132">
        <v>41852</v>
      </c>
      <c r="C1571" s="117">
        <v>1</v>
      </c>
      <c r="D1571" s="103" t="s">
        <v>70</v>
      </c>
      <c r="E1571" s="103" t="s">
        <v>306</v>
      </c>
      <c r="F1571" s="103">
        <v>596</v>
      </c>
      <c r="G1571" s="103">
        <v>16</v>
      </c>
      <c r="H1571" s="103" t="s">
        <v>3029</v>
      </c>
      <c r="I1571" s="103">
        <v>43</v>
      </c>
      <c r="K1571" s="103" t="s">
        <v>365</v>
      </c>
      <c r="L1571" s="133"/>
      <c r="M1571" s="134">
        <v>5.5555555555555552E-2</v>
      </c>
      <c r="N1571" s="137" t="s">
        <v>3861</v>
      </c>
      <c r="O1571" s="133" t="s">
        <v>555</v>
      </c>
      <c r="Q1571" s="100" t="s">
        <v>3851</v>
      </c>
      <c r="R1571" s="226" t="s">
        <v>3912</v>
      </c>
      <c r="S1571" s="491" t="str">
        <f t="shared" si="49"/>
        <v>x</v>
      </c>
      <c r="T1571" s="492">
        <f>IFERROR(VLOOKUP(F1571,'Freq-Chan'!C:D,2,FALSE),"x")</f>
        <v>151.596</v>
      </c>
      <c r="U1571" s="110" t="s">
        <v>541</v>
      </c>
      <c r="V1571" s="110" t="str">
        <f t="shared" si="50"/>
        <v>FWL</v>
      </c>
      <c r="W1571" s="110" t="s">
        <v>541</v>
      </c>
      <c r="X1571" s="110" t="s">
        <v>541</v>
      </c>
      <c r="Y1571" s="110" t="str">
        <f>IFERROR(VLOOKUP(F1571,'Freq-Chan'!C:E,3,FALSE),"na")</f>
        <v>F1835</v>
      </c>
      <c r="Z1571" s="110" t="s">
        <v>541</v>
      </c>
      <c r="AA1571" s="110" t="s">
        <v>541</v>
      </c>
      <c r="AB1571" s="110" t="s">
        <v>541</v>
      </c>
      <c r="AC1571" s="10" t="s">
        <v>541</v>
      </c>
      <c r="AD1571" s="10" t="s">
        <v>541</v>
      </c>
    </row>
    <row r="1572" spans="1:30" x14ac:dyDescent="0.2">
      <c r="A1572" s="110">
        <v>1571</v>
      </c>
      <c r="B1572" s="132">
        <v>41852</v>
      </c>
      <c r="C1572" s="117">
        <v>1</v>
      </c>
      <c r="D1572" s="103" t="s">
        <v>71</v>
      </c>
      <c r="E1572" s="103" t="s">
        <v>306</v>
      </c>
      <c r="F1572" s="103">
        <v>564</v>
      </c>
      <c r="G1572" s="103">
        <v>2</v>
      </c>
      <c r="H1572" s="103" t="s">
        <v>2341</v>
      </c>
      <c r="I1572" s="103">
        <v>63</v>
      </c>
      <c r="K1572" s="103" t="s">
        <v>364</v>
      </c>
      <c r="L1572" s="133"/>
      <c r="M1572" s="134">
        <v>6.3888888888888884E-2</v>
      </c>
      <c r="N1572" s="137" t="s">
        <v>3862</v>
      </c>
      <c r="O1572" s="133" t="s">
        <v>555</v>
      </c>
      <c r="Q1572" s="100" t="s">
        <v>3851</v>
      </c>
      <c r="R1572" s="226" t="s">
        <v>3912</v>
      </c>
      <c r="S1572" s="491" t="str">
        <f t="shared" si="49"/>
        <v>x</v>
      </c>
      <c r="T1572" s="492">
        <f>IFERROR(VLOOKUP(F1572,'Freq-Chan'!C:D,2,FALSE),"x")</f>
        <v>151.56399999999999</v>
      </c>
      <c r="U1572" s="110" t="s">
        <v>541</v>
      </c>
      <c r="V1572" s="110" t="str">
        <f t="shared" si="50"/>
        <v>FWL</v>
      </c>
      <c r="W1572" s="110" t="s">
        <v>541</v>
      </c>
      <c r="X1572" s="110" t="s">
        <v>541</v>
      </c>
      <c r="Y1572" s="110" t="str">
        <f>IFERROR(VLOOKUP(F1572,'Freq-Chan'!C:E,3,FALSE),"na")</f>
        <v>F1840</v>
      </c>
      <c r="Z1572" s="110" t="s">
        <v>541</v>
      </c>
      <c r="AA1572" s="110" t="s">
        <v>541</v>
      </c>
      <c r="AB1572" s="110" t="s">
        <v>541</v>
      </c>
      <c r="AC1572" s="10" t="s">
        <v>541</v>
      </c>
      <c r="AD1572" s="10" t="s">
        <v>541</v>
      </c>
    </row>
    <row r="1573" spans="1:30" x14ac:dyDescent="0.2">
      <c r="A1573" s="110">
        <v>1572</v>
      </c>
      <c r="B1573" s="132">
        <v>41852</v>
      </c>
      <c r="C1573" s="117">
        <v>1</v>
      </c>
      <c r="D1573" s="103" t="s">
        <v>70</v>
      </c>
      <c r="E1573" s="103" t="s">
        <v>306</v>
      </c>
      <c r="F1573" s="103">
        <v>596</v>
      </c>
      <c r="G1573" s="103">
        <v>90</v>
      </c>
      <c r="H1573" s="103" t="s">
        <v>3030</v>
      </c>
      <c r="I1573" s="103">
        <v>54</v>
      </c>
      <c r="K1573" s="103" t="s">
        <v>1032</v>
      </c>
      <c r="L1573" s="133"/>
      <c r="M1573" s="134">
        <v>5.486111111111111E-2</v>
      </c>
      <c r="N1573" s="137" t="s">
        <v>3863</v>
      </c>
      <c r="O1573" s="133" t="s">
        <v>555</v>
      </c>
      <c r="Q1573" s="100" t="s">
        <v>3851</v>
      </c>
      <c r="R1573" s="226" t="s">
        <v>3912</v>
      </c>
      <c r="S1573" s="491" t="str">
        <f t="shared" si="49"/>
        <v>x</v>
      </c>
      <c r="T1573" s="492">
        <f>IFERROR(VLOOKUP(F1573,'Freq-Chan'!C:D,2,FALSE),"x")</f>
        <v>151.596</v>
      </c>
      <c r="U1573" s="110" t="s">
        <v>541</v>
      </c>
      <c r="V1573" s="110" t="str">
        <f t="shared" si="50"/>
        <v>FWL</v>
      </c>
      <c r="W1573" s="110" t="s">
        <v>541</v>
      </c>
      <c r="X1573" s="110" t="s">
        <v>541</v>
      </c>
      <c r="Y1573" s="110" t="str">
        <f>IFERROR(VLOOKUP(F1573,'Freq-Chan'!C:E,3,FALSE),"na")</f>
        <v>F1835</v>
      </c>
      <c r="Z1573" s="110" t="s">
        <v>541</v>
      </c>
      <c r="AA1573" s="110" t="s">
        <v>541</v>
      </c>
      <c r="AB1573" s="110" t="s">
        <v>541</v>
      </c>
      <c r="AC1573" s="10" t="s">
        <v>541</v>
      </c>
      <c r="AD1573" s="10" t="s">
        <v>541</v>
      </c>
    </row>
    <row r="1574" spans="1:30" x14ac:dyDescent="0.2">
      <c r="A1574" s="110">
        <v>1573</v>
      </c>
      <c r="B1574" s="132">
        <v>41852</v>
      </c>
      <c r="C1574" s="117">
        <v>1</v>
      </c>
      <c r="D1574" s="103" t="s">
        <v>71</v>
      </c>
      <c r="E1574" s="103" t="s">
        <v>306</v>
      </c>
      <c r="H1574" s="103"/>
      <c r="I1574" s="103">
        <v>64</v>
      </c>
      <c r="K1574" s="103" t="s">
        <v>364</v>
      </c>
      <c r="L1574" s="133"/>
      <c r="M1574" s="134">
        <v>1.8055555555555557E-2</v>
      </c>
      <c r="N1574" s="137" t="s">
        <v>3863</v>
      </c>
      <c r="O1574" s="133" t="s">
        <v>555</v>
      </c>
      <c r="Q1574" s="100" t="s">
        <v>3851</v>
      </c>
      <c r="R1574" s="226" t="s">
        <v>3912</v>
      </c>
      <c r="S1574" s="491" t="str">
        <f t="shared" si="49"/>
        <v>x</v>
      </c>
      <c r="T1574" s="492" t="str">
        <f>IFERROR(VLOOKUP(F1574,'Freq-Chan'!C:D,2,FALSE),"x")</f>
        <v>x</v>
      </c>
      <c r="U1574" s="110" t="s">
        <v>541</v>
      </c>
      <c r="V1574" s="110" t="str">
        <f t="shared" si="50"/>
        <v>FWL</v>
      </c>
      <c r="W1574" s="110" t="s">
        <v>541</v>
      </c>
      <c r="X1574" s="110" t="s">
        <v>541</v>
      </c>
      <c r="Y1574" s="110" t="str">
        <f>IFERROR(VLOOKUP(F1574,'Freq-Chan'!C:E,3,FALSE),"na")</f>
        <v>na</v>
      </c>
      <c r="Z1574" s="110" t="s">
        <v>541</v>
      </c>
      <c r="AA1574" s="110" t="s">
        <v>541</v>
      </c>
      <c r="AB1574" s="110" t="s">
        <v>541</v>
      </c>
      <c r="AC1574" s="10" t="s">
        <v>541</v>
      </c>
      <c r="AD1574" s="10" t="s">
        <v>541</v>
      </c>
    </row>
    <row r="1575" spans="1:30" x14ac:dyDescent="0.2">
      <c r="A1575" s="110">
        <v>1574</v>
      </c>
      <c r="B1575" s="132">
        <v>41852</v>
      </c>
      <c r="C1575" s="117">
        <v>1</v>
      </c>
      <c r="D1575" s="103" t="s">
        <v>70</v>
      </c>
      <c r="E1575" s="103" t="s">
        <v>306</v>
      </c>
      <c r="H1575" s="103"/>
      <c r="I1575" s="103">
        <v>49</v>
      </c>
      <c r="K1575" s="103" t="s">
        <v>365</v>
      </c>
      <c r="L1575" s="133"/>
      <c r="M1575" s="134">
        <v>2.361111111111111E-2</v>
      </c>
      <c r="N1575" s="137" t="s">
        <v>3864</v>
      </c>
      <c r="O1575" s="133" t="s">
        <v>555</v>
      </c>
      <c r="Q1575" s="100" t="s">
        <v>3851</v>
      </c>
      <c r="R1575" s="226" t="s">
        <v>3912</v>
      </c>
      <c r="S1575" s="491" t="str">
        <f t="shared" si="49"/>
        <v>x</v>
      </c>
      <c r="T1575" s="492" t="str">
        <f>IFERROR(VLOOKUP(F1575,'Freq-Chan'!C:D,2,FALSE),"x")</f>
        <v>x</v>
      </c>
      <c r="U1575" s="110" t="s">
        <v>541</v>
      </c>
      <c r="V1575" s="110" t="str">
        <f t="shared" si="50"/>
        <v>FWL</v>
      </c>
      <c r="W1575" s="110" t="s">
        <v>541</v>
      </c>
      <c r="X1575" s="110" t="s">
        <v>541</v>
      </c>
      <c r="Y1575" s="110" t="str">
        <f>IFERROR(VLOOKUP(F1575,'Freq-Chan'!C:E,3,FALSE),"na")</f>
        <v>na</v>
      </c>
      <c r="Z1575" s="110" t="s">
        <v>541</v>
      </c>
      <c r="AA1575" s="110" t="s">
        <v>541</v>
      </c>
      <c r="AB1575" s="110" t="s">
        <v>541</v>
      </c>
      <c r="AC1575" s="10" t="s">
        <v>541</v>
      </c>
      <c r="AD1575" s="10" t="s">
        <v>541</v>
      </c>
    </row>
    <row r="1576" spans="1:30" x14ac:dyDescent="0.2">
      <c r="A1576" s="110">
        <v>1575</v>
      </c>
      <c r="B1576" s="132">
        <v>41852</v>
      </c>
      <c r="C1576" s="117">
        <v>1</v>
      </c>
      <c r="D1576" s="103" t="s">
        <v>71</v>
      </c>
      <c r="E1576" s="103" t="s">
        <v>306</v>
      </c>
      <c r="H1576" s="103"/>
      <c r="I1576" s="103">
        <v>61</v>
      </c>
      <c r="K1576" s="103" t="s">
        <v>364</v>
      </c>
      <c r="L1576" s="133"/>
      <c r="M1576" s="134">
        <v>1.7361111111111112E-2</v>
      </c>
      <c r="N1576" s="137" t="s">
        <v>3865</v>
      </c>
      <c r="O1576" s="133" t="s">
        <v>555</v>
      </c>
      <c r="Q1576" s="100" t="s">
        <v>3851</v>
      </c>
      <c r="R1576" s="226" t="s">
        <v>3912</v>
      </c>
      <c r="S1576" s="491" t="str">
        <f t="shared" si="49"/>
        <v>x</v>
      </c>
      <c r="T1576" s="492" t="str">
        <f>IFERROR(VLOOKUP(F1576,'Freq-Chan'!C:D,2,FALSE),"x")</f>
        <v>x</v>
      </c>
      <c r="U1576" s="110" t="s">
        <v>541</v>
      </c>
      <c r="V1576" s="110" t="str">
        <f t="shared" si="50"/>
        <v>FWL</v>
      </c>
      <c r="W1576" s="110" t="s">
        <v>541</v>
      </c>
      <c r="X1576" s="110" t="s">
        <v>541</v>
      </c>
      <c r="Y1576" s="110" t="str">
        <f>IFERROR(VLOOKUP(F1576,'Freq-Chan'!C:E,3,FALSE),"na")</f>
        <v>na</v>
      </c>
      <c r="Z1576" s="110" t="s">
        <v>541</v>
      </c>
      <c r="AA1576" s="110" t="s">
        <v>541</v>
      </c>
      <c r="AB1576" s="110" t="s">
        <v>541</v>
      </c>
      <c r="AC1576" s="10" t="s">
        <v>541</v>
      </c>
      <c r="AD1576" s="10" t="s">
        <v>541</v>
      </c>
    </row>
    <row r="1577" spans="1:30" x14ac:dyDescent="0.2">
      <c r="A1577" s="110">
        <v>1576</v>
      </c>
      <c r="B1577" s="132">
        <v>41852</v>
      </c>
      <c r="C1577" s="117">
        <v>1</v>
      </c>
      <c r="D1577" s="103" t="s">
        <v>71</v>
      </c>
      <c r="E1577" s="103" t="s">
        <v>306</v>
      </c>
      <c r="H1577" s="103"/>
      <c r="I1577" s="103">
        <v>57</v>
      </c>
      <c r="K1577" s="103" t="s">
        <v>364</v>
      </c>
      <c r="L1577" s="133"/>
      <c r="M1577" s="134">
        <v>1.6666666666666666E-2</v>
      </c>
      <c r="N1577" s="137" t="s">
        <v>3866</v>
      </c>
      <c r="O1577" s="133" t="s">
        <v>555</v>
      </c>
      <c r="Q1577" s="100" t="s">
        <v>3851</v>
      </c>
      <c r="R1577" s="226" t="s">
        <v>3912</v>
      </c>
      <c r="S1577" s="491" t="str">
        <f t="shared" si="49"/>
        <v>x</v>
      </c>
      <c r="T1577" s="492" t="str">
        <f>IFERROR(VLOOKUP(F1577,'Freq-Chan'!C:D,2,FALSE),"x")</f>
        <v>x</v>
      </c>
      <c r="U1577" s="110" t="s">
        <v>541</v>
      </c>
      <c r="V1577" s="110" t="str">
        <f t="shared" si="50"/>
        <v>FWL</v>
      </c>
      <c r="W1577" s="110" t="s">
        <v>541</v>
      </c>
      <c r="X1577" s="110" t="s">
        <v>541</v>
      </c>
      <c r="Y1577" s="110" t="str">
        <f>IFERROR(VLOOKUP(F1577,'Freq-Chan'!C:E,3,FALSE),"na")</f>
        <v>na</v>
      </c>
      <c r="Z1577" s="110" t="s">
        <v>541</v>
      </c>
      <c r="AA1577" s="110" t="s">
        <v>541</v>
      </c>
      <c r="AB1577" s="110" t="s">
        <v>541</v>
      </c>
      <c r="AC1577" s="10" t="s">
        <v>541</v>
      </c>
      <c r="AD1577" s="10" t="s">
        <v>541</v>
      </c>
    </row>
    <row r="1578" spans="1:30" x14ac:dyDescent="0.2">
      <c r="A1578" s="110">
        <v>1577</v>
      </c>
      <c r="B1578" s="132">
        <v>41852</v>
      </c>
      <c r="C1578" s="117">
        <v>1</v>
      </c>
      <c r="D1578" s="103" t="s">
        <v>70</v>
      </c>
      <c r="E1578" s="103" t="s">
        <v>306</v>
      </c>
      <c r="H1578" s="103"/>
      <c r="I1578" s="103">
        <v>45</v>
      </c>
      <c r="K1578" s="103" t="s">
        <v>1032</v>
      </c>
      <c r="L1578" s="133"/>
      <c r="M1578" s="134">
        <v>1.5277777777777777E-2</v>
      </c>
      <c r="N1578" s="137" t="s">
        <v>3867</v>
      </c>
      <c r="O1578" s="133" t="s">
        <v>555</v>
      </c>
      <c r="Q1578" s="100" t="s">
        <v>3851</v>
      </c>
      <c r="R1578" s="226" t="s">
        <v>3912</v>
      </c>
      <c r="S1578" s="491" t="str">
        <f t="shared" si="49"/>
        <v>x</v>
      </c>
      <c r="T1578" s="492" t="str">
        <f>IFERROR(VLOOKUP(F1578,'Freq-Chan'!C:D,2,FALSE),"x")</f>
        <v>x</v>
      </c>
      <c r="U1578" s="110" t="s">
        <v>541</v>
      </c>
      <c r="V1578" s="110" t="str">
        <f t="shared" si="50"/>
        <v>FWL</v>
      </c>
      <c r="W1578" s="110" t="s">
        <v>541</v>
      </c>
      <c r="X1578" s="110" t="s">
        <v>541</v>
      </c>
      <c r="Y1578" s="110" t="str">
        <f>IFERROR(VLOOKUP(F1578,'Freq-Chan'!C:E,3,FALSE),"na")</f>
        <v>na</v>
      </c>
      <c r="Z1578" s="110" t="s">
        <v>541</v>
      </c>
      <c r="AA1578" s="110" t="s">
        <v>541</v>
      </c>
      <c r="AB1578" s="110" t="s">
        <v>541</v>
      </c>
      <c r="AC1578" s="10" t="s">
        <v>541</v>
      </c>
      <c r="AD1578" s="10" t="s">
        <v>541</v>
      </c>
    </row>
    <row r="1579" spans="1:30" x14ac:dyDescent="0.2">
      <c r="A1579" s="110">
        <v>1578</v>
      </c>
      <c r="B1579" s="132">
        <v>41852</v>
      </c>
      <c r="C1579" s="117">
        <v>1</v>
      </c>
      <c r="D1579" s="103" t="s">
        <v>70</v>
      </c>
      <c r="E1579" s="103" t="s">
        <v>306</v>
      </c>
      <c r="H1579" s="103"/>
      <c r="I1579" s="103">
        <v>46</v>
      </c>
      <c r="K1579" s="103" t="s">
        <v>1032</v>
      </c>
      <c r="L1579" s="133"/>
      <c r="M1579" s="134">
        <v>1.5277777777777777E-2</v>
      </c>
      <c r="N1579" s="137" t="s">
        <v>3868</v>
      </c>
      <c r="O1579" s="133" t="s">
        <v>555</v>
      </c>
      <c r="Q1579" s="100" t="s">
        <v>3851</v>
      </c>
      <c r="R1579" s="226" t="s">
        <v>3912</v>
      </c>
      <c r="S1579" s="491" t="str">
        <f t="shared" si="49"/>
        <v>x</v>
      </c>
      <c r="T1579" s="492" t="str">
        <f>IFERROR(VLOOKUP(F1579,'Freq-Chan'!C:D,2,FALSE),"x")</f>
        <v>x</v>
      </c>
      <c r="U1579" s="110" t="s">
        <v>541</v>
      </c>
      <c r="V1579" s="110" t="str">
        <f t="shared" si="50"/>
        <v>FWL</v>
      </c>
      <c r="W1579" s="110" t="s">
        <v>541</v>
      </c>
      <c r="X1579" s="110" t="s">
        <v>541</v>
      </c>
      <c r="Y1579" s="110" t="str">
        <f>IFERROR(VLOOKUP(F1579,'Freq-Chan'!C:E,3,FALSE),"na")</f>
        <v>na</v>
      </c>
      <c r="Z1579" s="110" t="s">
        <v>541</v>
      </c>
      <c r="AA1579" s="110" t="s">
        <v>541</v>
      </c>
      <c r="AB1579" s="110" t="s">
        <v>541</v>
      </c>
      <c r="AC1579" s="10" t="s">
        <v>541</v>
      </c>
      <c r="AD1579" s="10" t="s">
        <v>541</v>
      </c>
    </row>
    <row r="1580" spans="1:30" x14ac:dyDescent="0.2">
      <c r="A1580" s="110">
        <v>1579</v>
      </c>
      <c r="B1580" s="132">
        <v>41852</v>
      </c>
      <c r="C1580" s="117">
        <v>1</v>
      </c>
      <c r="D1580" s="103" t="s">
        <v>70</v>
      </c>
      <c r="E1580" s="103" t="s">
        <v>306</v>
      </c>
      <c r="H1580" s="103"/>
      <c r="I1580" s="103">
        <v>47</v>
      </c>
      <c r="K1580" s="103" t="s">
        <v>365</v>
      </c>
      <c r="L1580" s="133"/>
      <c r="M1580" s="134">
        <v>3.0555555555555555E-2</v>
      </c>
      <c r="N1580" s="137" t="s">
        <v>3869</v>
      </c>
      <c r="O1580" s="133" t="s">
        <v>555</v>
      </c>
      <c r="Q1580" s="100" t="s">
        <v>3851</v>
      </c>
      <c r="R1580" s="226" t="s">
        <v>3912</v>
      </c>
      <c r="S1580" s="491" t="str">
        <f t="shared" si="49"/>
        <v>x</v>
      </c>
      <c r="T1580" s="492" t="str">
        <f>IFERROR(VLOOKUP(F1580,'Freq-Chan'!C:D,2,FALSE),"x")</f>
        <v>x</v>
      </c>
      <c r="U1580" s="110" t="s">
        <v>541</v>
      </c>
      <c r="V1580" s="110" t="str">
        <f t="shared" si="50"/>
        <v>FWL</v>
      </c>
      <c r="W1580" s="110" t="s">
        <v>541</v>
      </c>
      <c r="X1580" s="110" t="s">
        <v>541</v>
      </c>
      <c r="Y1580" s="110" t="str">
        <f>IFERROR(VLOOKUP(F1580,'Freq-Chan'!C:E,3,FALSE),"na")</f>
        <v>na</v>
      </c>
      <c r="Z1580" s="110" t="s">
        <v>541</v>
      </c>
      <c r="AA1580" s="110" t="s">
        <v>541</v>
      </c>
      <c r="AB1580" s="110" t="s">
        <v>541</v>
      </c>
      <c r="AC1580" s="10" t="s">
        <v>541</v>
      </c>
      <c r="AD1580" s="10" t="s">
        <v>541</v>
      </c>
    </row>
    <row r="1581" spans="1:30" x14ac:dyDescent="0.2">
      <c r="A1581" s="110">
        <v>1580</v>
      </c>
      <c r="B1581" s="132">
        <v>41852</v>
      </c>
      <c r="C1581" s="117">
        <v>1</v>
      </c>
      <c r="D1581" s="103" t="s">
        <v>70</v>
      </c>
      <c r="E1581" s="103" t="s">
        <v>306</v>
      </c>
      <c r="H1581" s="103"/>
      <c r="I1581" s="103">
        <v>46</v>
      </c>
      <c r="K1581" s="103" t="s">
        <v>365</v>
      </c>
      <c r="L1581" s="133"/>
      <c r="M1581" s="134">
        <v>1.3888888888888888E-2</v>
      </c>
      <c r="N1581" s="137" t="s">
        <v>3870</v>
      </c>
      <c r="O1581" s="133" t="s">
        <v>555</v>
      </c>
      <c r="Q1581" s="100" t="s">
        <v>3851</v>
      </c>
      <c r="R1581" s="226" t="s">
        <v>3912</v>
      </c>
      <c r="S1581" s="491" t="str">
        <f t="shared" si="49"/>
        <v>x</v>
      </c>
      <c r="T1581" s="492" t="str">
        <f>IFERROR(VLOOKUP(F1581,'Freq-Chan'!C:D,2,FALSE),"x")</f>
        <v>x</v>
      </c>
      <c r="U1581" s="110" t="s">
        <v>541</v>
      </c>
      <c r="V1581" s="110" t="str">
        <f t="shared" si="50"/>
        <v>FWL</v>
      </c>
      <c r="W1581" s="110" t="s">
        <v>541</v>
      </c>
      <c r="X1581" s="110" t="s">
        <v>541</v>
      </c>
      <c r="Y1581" s="110" t="str">
        <f>IFERROR(VLOOKUP(F1581,'Freq-Chan'!C:E,3,FALSE),"na")</f>
        <v>na</v>
      </c>
      <c r="Z1581" s="110" t="s">
        <v>541</v>
      </c>
      <c r="AA1581" s="110" t="s">
        <v>541</v>
      </c>
      <c r="AB1581" s="110" t="s">
        <v>541</v>
      </c>
      <c r="AC1581" s="10" t="s">
        <v>541</v>
      </c>
      <c r="AD1581" s="10" t="s">
        <v>541</v>
      </c>
    </row>
    <row r="1582" spans="1:30" x14ac:dyDescent="0.2">
      <c r="A1582" s="110">
        <v>1581</v>
      </c>
      <c r="B1582" s="132">
        <v>41852</v>
      </c>
      <c r="C1582" s="117">
        <v>1</v>
      </c>
      <c r="D1582" s="103" t="s">
        <v>70</v>
      </c>
      <c r="E1582" s="103" t="s">
        <v>306</v>
      </c>
      <c r="H1582" s="103"/>
      <c r="I1582" s="103">
        <v>45</v>
      </c>
      <c r="K1582" s="103" t="s">
        <v>365</v>
      </c>
      <c r="L1582" s="133"/>
      <c r="M1582" s="134">
        <v>2.2222222222222223E-2</v>
      </c>
      <c r="N1582" s="137" t="s">
        <v>3871</v>
      </c>
      <c r="O1582" s="133" t="s">
        <v>555</v>
      </c>
      <c r="Q1582" s="100" t="s">
        <v>3851</v>
      </c>
      <c r="R1582" s="226" t="s">
        <v>3912</v>
      </c>
      <c r="S1582" s="491" t="str">
        <f t="shared" si="49"/>
        <v>x</v>
      </c>
      <c r="T1582" s="492" t="str">
        <f>IFERROR(VLOOKUP(F1582,'Freq-Chan'!C:D,2,FALSE),"x")</f>
        <v>x</v>
      </c>
      <c r="U1582" s="110" t="s">
        <v>541</v>
      </c>
      <c r="V1582" s="110" t="str">
        <f t="shared" si="50"/>
        <v>FWL</v>
      </c>
      <c r="W1582" s="110" t="s">
        <v>541</v>
      </c>
      <c r="X1582" s="110" t="s">
        <v>541</v>
      </c>
      <c r="Y1582" s="110" t="str">
        <f>IFERROR(VLOOKUP(F1582,'Freq-Chan'!C:E,3,FALSE),"na")</f>
        <v>na</v>
      </c>
      <c r="Z1582" s="110" t="s">
        <v>541</v>
      </c>
      <c r="AA1582" s="110" t="s">
        <v>541</v>
      </c>
      <c r="AB1582" s="110" t="s">
        <v>541</v>
      </c>
      <c r="AC1582" s="10" t="s">
        <v>541</v>
      </c>
      <c r="AD1582" s="10" t="s">
        <v>541</v>
      </c>
    </row>
    <row r="1583" spans="1:30" x14ac:dyDescent="0.2">
      <c r="A1583" s="110">
        <v>1582</v>
      </c>
      <c r="B1583" s="132">
        <v>41852</v>
      </c>
      <c r="C1583" s="117">
        <v>1</v>
      </c>
      <c r="D1583" s="103" t="s">
        <v>70</v>
      </c>
      <c r="E1583" s="103" t="s">
        <v>306</v>
      </c>
      <c r="H1583" s="103"/>
      <c r="I1583" s="103">
        <v>49</v>
      </c>
      <c r="K1583" s="103" t="s">
        <v>1032</v>
      </c>
      <c r="L1583" s="133"/>
      <c r="M1583" s="134">
        <v>1.8055555555555557E-2</v>
      </c>
      <c r="N1583" s="137" t="s">
        <v>3872</v>
      </c>
      <c r="O1583" s="133" t="s">
        <v>555</v>
      </c>
      <c r="Q1583" s="100" t="s">
        <v>3851</v>
      </c>
      <c r="R1583" s="226" t="s">
        <v>3912</v>
      </c>
      <c r="S1583" s="491" t="str">
        <f t="shared" si="49"/>
        <v>x</v>
      </c>
      <c r="T1583" s="492" t="str">
        <f>IFERROR(VLOOKUP(F1583,'Freq-Chan'!C:D,2,FALSE),"x")</f>
        <v>x</v>
      </c>
      <c r="U1583" s="110" t="s">
        <v>541</v>
      </c>
      <c r="V1583" s="110" t="str">
        <f t="shared" si="50"/>
        <v>FWL</v>
      </c>
      <c r="W1583" s="110" t="s">
        <v>541</v>
      </c>
      <c r="X1583" s="110" t="s">
        <v>541</v>
      </c>
      <c r="Y1583" s="110" t="str">
        <f>IFERROR(VLOOKUP(F1583,'Freq-Chan'!C:E,3,FALSE),"na")</f>
        <v>na</v>
      </c>
      <c r="Z1583" s="110" t="s">
        <v>541</v>
      </c>
      <c r="AA1583" s="110" t="s">
        <v>541</v>
      </c>
      <c r="AB1583" s="110" t="s">
        <v>541</v>
      </c>
      <c r="AC1583" s="10" t="s">
        <v>541</v>
      </c>
      <c r="AD1583" s="10" t="s">
        <v>541</v>
      </c>
    </row>
    <row r="1584" spans="1:30" x14ac:dyDescent="0.2">
      <c r="A1584" s="110">
        <v>1583</v>
      </c>
      <c r="B1584" s="132">
        <v>41852</v>
      </c>
      <c r="C1584" s="117">
        <v>1</v>
      </c>
      <c r="D1584" s="103" t="s">
        <v>70</v>
      </c>
      <c r="E1584" s="103" t="s">
        <v>306</v>
      </c>
      <c r="H1584" s="103"/>
      <c r="I1584" s="103">
        <v>47</v>
      </c>
      <c r="K1584" s="103" t="s">
        <v>365</v>
      </c>
      <c r="L1584" s="133"/>
      <c r="M1584" s="134">
        <v>1.2499999999999999E-2</v>
      </c>
      <c r="N1584" s="137" t="s">
        <v>3873</v>
      </c>
      <c r="O1584" s="133" t="s">
        <v>555</v>
      </c>
      <c r="Q1584" s="100" t="s">
        <v>3851</v>
      </c>
      <c r="R1584" s="226" t="s">
        <v>3912</v>
      </c>
      <c r="S1584" s="491" t="str">
        <f t="shared" si="49"/>
        <v>x</v>
      </c>
      <c r="T1584" s="492" t="str">
        <f>IFERROR(VLOOKUP(F1584,'Freq-Chan'!C:D,2,FALSE),"x")</f>
        <v>x</v>
      </c>
      <c r="U1584" s="110" t="s">
        <v>541</v>
      </c>
      <c r="V1584" s="110" t="str">
        <f t="shared" si="50"/>
        <v>FWL</v>
      </c>
      <c r="W1584" s="110" t="s">
        <v>541</v>
      </c>
      <c r="X1584" s="110" t="s">
        <v>541</v>
      </c>
      <c r="Y1584" s="110" t="str">
        <f>IFERROR(VLOOKUP(F1584,'Freq-Chan'!C:E,3,FALSE),"na")</f>
        <v>na</v>
      </c>
      <c r="Z1584" s="110" t="s">
        <v>541</v>
      </c>
      <c r="AA1584" s="110" t="s">
        <v>541</v>
      </c>
      <c r="AB1584" s="110" t="s">
        <v>541</v>
      </c>
      <c r="AC1584" s="10" t="s">
        <v>541</v>
      </c>
      <c r="AD1584" s="10" t="s">
        <v>541</v>
      </c>
    </row>
    <row r="1585" spans="1:30" x14ac:dyDescent="0.2">
      <c r="A1585" s="110">
        <v>1584</v>
      </c>
      <c r="B1585" s="132">
        <v>41852</v>
      </c>
      <c r="C1585" s="117">
        <v>1</v>
      </c>
      <c r="D1585" s="103" t="s">
        <v>70</v>
      </c>
      <c r="E1585" s="103" t="s">
        <v>306</v>
      </c>
      <c r="H1585" s="103"/>
      <c r="I1585" s="103">
        <v>47</v>
      </c>
      <c r="K1585" s="103" t="s">
        <v>1032</v>
      </c>
      <c r="L1585" s="133"/>
      <c r="M1585" s="134">
        <v>3.125E-2</v>
      </c>
      <c r="N1585" s="137" t="s">
        <v>3874</v>
      </c>
      <c r="O1585" s="133" t="s">
        <v>555</v>
      </c>
      <c r="Q1585" s="100" t="s">
        <v>3851</v>
      </c>
      <c r="R1585" s="226" t="s">
        <v>3912</v>
      </c>
      <c r="S1585" s="491" t="str">
        <f t="shared" si="49"/>
        <v>x</v>
      </c>
      <c r="T1585" s="492" t="str">
        <f>IFERROR(VLOOKUP(F1585,'Freq-Chan'!C:D,2,FALSE),"x")</f>
        <v>x</v>
      </c>
      <c r="U1585" s="110" t="s">
        <v>541</v>
      </c>
      <c r="V1585" s="110" t="str">
        <f t="shared" si="50"/>
        <v>FWL</v>
      </c>
      <c r="W1585" s="110" t="s">
        <v>541</v>
      </c>
      <c r="X1585" s="110" t="s">
        <v>541</v>
      </c>
      <c r="Y1585" s="110" t="str">
        <f>IFERROR(VLOOKUP(F1585,'Freq-Chan'!C:E,3,FALSE),"na")</f>
        <v>na</v>
      </c>
      <c r="Z1585" s="110" t="s">
        <v>541</v>
      </c>
      <c r="AA1585" s="110" t="s">
        <v>541</v>
      </c>
      <c r="AB1585" s="110" t="s">
        <v>541</v>
      </c>
      <c r="AC1585" s="10" t="s">
        <v>541</v>
      </c>
      <c r="AD1585" s="10" t="s">
        <v>541</v>
      </c>
    </row>
    <row r="1586" spans="1:30" x14ac:dyDescent="0.2">
      <c r="A1586" s="110">
        <v>1585</v>
      </c>
      <c r="B1586" s="132">
        <v>41852</v>
      </c>
      <c r="C1586" s="117">
        <v>1</v>
      </c>
      <c r="D1586" s="103" t="s">
        <v>70</v>
      </c>
      <c r="E1586" s="103" t="s">
        <v>306</v>
      </c>
      <c r="H1586" s="103"/>
      <c r="I1586" s="103">
        <v>53</v>
      </c>
      <c r="K1586" s="103" t="s">
        <v>1032</v>
      </c>
      <c r="L1586" s="133"/>
      <c r="M1586" s="134">
        <v>1.8749999999999999E-2</v>
      </c>
      <c r="N1586" s="137" t="s">
        <v>3875</v>
      </c>
      <c r="O1586" s="133" t="s">
        <v>555</v>
      </c>
      <c r="Q1586" s="100" t="s">
        <v>3851</v>
      </c>
      <c r="R1586" s="226" t="s">
        <v>3912</v>
      </c>
      <c r="S1586" s="491" t="str">
        <f t="shared" si="49"/>
        <v>x</v>
      </c>
      <c r="T1586" s="492" t="str">
        <f>IFERROR(VLOOKUP(F1586,'Freq-Chan'!C:D,2,FALSE),"x")</f>
        <v>x</v>
      </c>
      <c r="U1586" s="110" t="s">
        <v>541</v>
      </c>
      <c r="V1586" s="110" t="str">
        <f t="shared" si="50"/>
        <v>FWL</v>
      </c>
      <c r="W1586" s="110" t="s">
        <v>541</v>
      </c>
      <c r="X1586" s="110" t="s">
        <v>541</v>
      </c>
      <c r="Y1586" s="110" t="str">
        <f>IFERROR(VLOOKUP(F1586,'Freq-Chan'!C:E,3,FALSE),"na")</f>
        <v>na</v>
      </c>
      <c r="Z1586" s="110" t="s">
        <v>541</v>
      </c>
      <c r="AA1586" s="110" t="s">
        <v>541</v>
      </c>
      <c r="AB1586" s="110" t="s">
        <v>541</v>
      </c>
      <c r="AC1586" s="10" t="s">
        <v>541</v>
      </c>
      <c r="AD1586" s="10" t="s">
        <v>541</v>
      </c>
    </row>
    <row r="1587" spans="1:30" x14ac:dyDescent="0.2">
      <c r="A1587" s="110">
        <v>1586</v>
      </c>
      <c r="B1587" s="132">
        <v>41852</v>
      </c>
      <c r="C1587" s="117">
        <v>1</v>
      </c>
      <c r="D1587" s="103" t="s">
        <v>70</v>
      </c>
      <c r="E1587" s="103" t="s">
        <v>306</v>
      </c>
      <c r="H1587" s="103"/>
      <c r="I1587" s="103">
        <v>45</v>
      </c>
      <c r="K1587" s="103" t="s">
        <v>1032</v>
      </c>
      <c r="L1587" s="133"/>
      <c r="M1587" s="134">
        <v>2.6388888888888889E-2</v>
      </c>
      <c r="N1587" s="137" t="s">
        <v>3876</v>
      </c>
      <c r="O1587" s="133" t="s">
        <v>555</v>
      </c>
      <c r="Q1587" s="100" t="s">
        <v>3851</v>
      </c>
      <c r="R1587" s="226" t="s">
        <v>3912</v>
      </c>
      <c r="S1587" s="491" t="str">
        <f t="shared" si="49"/>
        <v>x</v>
      </c>
      <c r="T1587" s="492" t="str">
        <f>IFERROR(VLOOKUP(F1587,'Freq-Chan'!C:D,2,FALSE),"x")</f>
        <v>x</v>
      </c>
      <c r="U1587" s="110" t="s">
        <v>541</v>
      </c>
      <c r="V1587" s="110" t="str">
        <f t="shared" si="50"/>
        <v>FWL</v>
      </c>
      <c r="W1587" s="110" t="s">
        <v>541</v>
      </c>
      <c r="X1587" s="110" t="s">
        <v>541</v>
      </c>
      <c r="Y1587" s="110" t="str">
        <f>IFERROR(VLOOKUP(F1587,'Freq-Chan'!C:E,3,FALSE),"na")</f>
        <v>na</v>
      </c>
      <c r="Z1587" s="110" t="s">
        <v>541</v>
      </c>
      <c r="AA1587" s="110" t="s">
        <v>541</v>
      </c>
      <c r="AB1587" s="110" t="s">
        <v>541</v>
      </c>
      <c r="AC1587" s="10" t="s">
        <v>541</v>
      </c>
      <c r="AD1587" s="10" t="s">
        <v>541</v>
      </c>
    </row>
    <row r="1588" spans="1:30" x14ac:dyDescent="0.2">
      <c r="A1588" s="110">
        <v>1587</v>
      </c>
      <c r="B1588" s="132">
        <v>41852</v>
      </c>
      <c r="C1588" s="117">
        <v>1</v>
      </c>
      <c r="D1588" s="103" t="s">
        <v>70</v>
      </c>
      <c r="E1588" s="103" t="s">
        <v>306</v>
      </c>
      <c r="H1588" s="103"/>
      <c r="I1588" s="103">
        <v>47</v>
      </c>
      <c r="K1588" s="103" t="s">
        <v>1032</v>
      </c>
      <c r="L1588" s="133"/>
      <c r="M1588" s="134">
        <v>1.6666666666666666E-2</v>
      </c>
      <c r="N1588" s="137" t="s">
        <v>3877</v>
      </c>
      <c r="O1588" s="133" t="s">
        <v>555</v>
      </c>
      <c r="Q1588" s="100" t="s">
        <v>3851</v>
      </c>
      <c r="R1588" s="226" t="s">
        <v>3912</v>
      </c>
      <c r="S1588" s="491" t="str">
        <f t="shared" si="49"/>
        <v>x</v>
      </c>
      <c r="T1588" s="492" t="str">
        <f>IFERROR(VLOOKUP(F1588,'Freq-Chan'!C:D,2,FALSE),"x")</f>
        <v>x</v>
      </c>
      <c r="U1588" s="110" t="s">
        <v>541</v>
      </c>
      <c r="V1588" s="110" t="str">
        <f t="shared" si="50"/>
        <v>FWL</v>
      </c>
      <c r="W1588" s="110" t="s">
        <v>541</v>
      </c>
      <c r="X1588" s="110" t="s">
        <v>541</v>
      </c>
      <c r="Y1588" s="110" t="str">
        <f>IFERROR(VLOOKUP(F1588,'Freq-Chan'!C:E,3,FALSE),"na")</f>
        <v>na</v>
      </c>
      <c r="Z1588" s="110" t="s">
        <v>541</v>
      </c>
      <c r="AA1588" s="110" t="s">
        <v>541</v>
      </c>
      <c r="AB1588" s="110" t="s">
        <v>541</v>
      </c>
      <c r="AC1588" s="10" t="s">
        <v>541</v>
      </c>
      <c r="AD1588" s="10" t="s">
        <v>541</v>
      </c>
    </row>
    <row r="1589" spans="1:30" x14ac:dyDescent="0.2">
      <c r="A1589" s="110">
        <v>1588</v>
      </c>
      <c r="B1589" s="132">
        <v>41852</v>
      </c>
      <c r="C1589" s="117">
        <v>1</v>
      </c>
      <c r="D1589" s="103" t="s">
        <v>70</v>
      </c>
      <c r="E1589" s="103" t="s">
        <v>306</v>
      </c>
      <c r="H1589" s="103"/>
      <c r="I1589" s="103">
        <v>51</v>
      </c>
      <c r="K1589" s="103" t="s">
        <v>1032</v>
      </c>
      <c r="L1589" s="133"/>
      <c r="M1589" s="134">
        <v>2.4305555555555556E-2</v>
      </c>
      <c r="N1589" s="137" t="s">
        <v>3878</v>
      </c>
      <c r="O1589" s="133" t="s">
        <v>555</v>
      </c>
      <c r="Q1589" s="100" t="s">
        <v>3851</v>
      </c>
      <c r="R1589" s="226" t="s">
        <v>3912</v>
      </c>
      <c r="S1589" s="491" t="str">
        <f t="shared" si="49"/>
        <v>x</v>
      </c>
      <c r="T1589" s="492" t="str">
        <f>IFERROR(VLOOKUP(F1589,'Freq-Chan'!C:D,2,FALSE),"x")</f>
        <v>x</v>
      </c>
      <c r="U1589" s="110" t="s">
        <v>541</v>
      </c>
      <c r="V1589" s="110" t="str">
        <f t="shared" si="50"/>
        <v>FWL</v>
      </c>
      <c r="W1589" s="110" t="s">
        <v>541</v>
      </c>
      <c r="X1589" s="110" t="s">
        <v>541</v>
      </c>
      <c r="Y1589" s="110" t="str">
        <f>IFERROR(VLOOKUP(F1589,'Freq-Chan'!C:E,3,FALSE),"na")</f>
        <v>na</v>
      </c>
      <c r="Z1589" s="110" t="s">
        <v>541</v>
      </c>
      <c r="AA1589" s="110" t="s">
        <v>541</v>
      </c>
      <c r="AB1589" s="110" t="s">
        <v>541</v>
      </c>
      <c r="AC1589" s="10" t="s">
        <v>541</v>
      </c>
      <c r="AD1589" s="10" t="s">
        <v>541</v>
      </c>
    </row>
    <row r="1590" spans="1:30" x14ac:dyDescent="0.2">
      <c r="A1590" s="110">
        <v>1589</v>
      </c>
      <c r="B1590" s="132">
        <v>41852</v>
      </c>
      <c r="C1590" s="117">
        <v>1</v>
      </c>
      <c r="D1590" s="103" t="s">
        <v>71</v>
      </c>
      <c r="E1590" s="103" t="s">
        <v>306</v>
      </c>
      <c r="H1590" s="103"/>
      <c r="I1590" s="103">
        <v>60</v>
      </c>
      <c r="K1590" s="103" t="s">
        <v>364</v>
      </c>
      <c r="L1590" s="133"/>
      <c r="M1590" s="134">
        <v>4.3055555555555562E-2</v>
      </c>
      <c r="N1590" s="137" t="s">
        <v>3734</v>
      </c>
      <c r="O1590" s="133" t="s">
        <v>555</v>
      </c>
      <c r="Q1590" s="100" t="s">
        <v>3851</v>
      </c>
      <c r="R1590" s="226" t="s">
        <v>3912</v>
      </c>
      <c r="S1590" s="491" t="str">
        <f t="shared" si="49"/>
        <v>x</v>
      </c>
      <c r="T1590" s="492" t="str">
        <f>IFERROR(VLOOKUP(F1590,'Freq-Chan'!C:D,2,FALSE),"x")</f>
        <v>x</v>
      </c>
      <c r="U1590" s="110" t="s">
        <v>541</v>
      </c>
      <c r="V1590" s="110" t="str">
        <f t="shared" si="50"/>
        <v>FWL</v>
      </c>
      <c r="W1590" s="110" t="s">
        <v>541</v>
      </c>
      <c r="X1590" s="110" t="s">
        <v>541</v>
      </c>
      <c r="Y1590" s="110" t="str">
        <f>IFERROR(VLOOKUP(F1590,'Freq-Chan'!C:E,3,FALSE),"na")</f>
        <v>na</v>
      </c>
      <c r="Z1590" s="110" t="s">
        <v>541</v>
      </c>
      <c r="AA1590" s="110" t="s">
        <v>541</v>
      </c>
      <c r="AB1590" s="110" t="s">
        <v>541</v>
      </c>
      <c r="AC1590" s="10" t="s">
        <v>541</v>
      </c>
      <c r="AD1590" s="10" t="s">
        <v>541</v>
      </c>
    </row>
    <row r="1591" spans="1:30" x14ac:dyDescent="0.2">
      <c r="A1591" s="110">
        <v>1590</v>
      </c>
      <c r="B1591" s="132">
        <v>41852</v>
      </c>
      <c r="C1591" s="117">
        <v>1</v>
      </c>
      <c r="D1591" s="103" t="s">
        <v>71</v>
      </c>
      <c r="E1591" s="103" t="s">
        <v>306</v>
      </c>
      <c r="H1591" s="103"/>
      <c r="I1591" s="103">
        <v>62</v>
      </c>
      <c r="K1591" s="103" t="s">
        <v>364</v>
      </c>
      <c r="L1591" s="133"/>
      <c r="M1591" s="134">
        <v>1.8055555555555557E-2</v>
      </c>
      <c r="N1591" s="137" t="s">
        <v>3735</v>
      </c>
      <c r="O1591" s="133" t="s">
        <v>3431</v>
      </c>
      <c r="Q1591" s="100" t="s">
        <v>3851</v>
      </c>
      <c r="R1591" s="226" t="s">
        <v>3912</v>
      </c>
      <c r="S1591" s="491" t="str">
        <f t="shared" si="49"/>
        <v>x</v>
      </c>
      <c r="T1591" s="492" t="str">
        <f>IFERROR(VLOOKUP(F1591,'Freq-Chan'!C:D,2,FALSE),"x")</f>
        <v>x</v>
      </c>
      <c r="U1591" s="110" t="s">
        <v>541</v>
      </c>
      <c r="V1591" s="110" t="str">
        <f t="shared" si="50"/>
        <v>FWL</v>
      </c>
      <c r="W1591" s="110" t="s">
        <v>541</v>
      </c>
      <c r="X1591" s="110" t="s">
        <v>541</v>
      </c>
      <c r="Y1591" s="110" t="str">
        <f>IFERROR(VLOOKUP(F1591,'Freq-Chan'!C:E,3,FALSE),"na")</f>
        <v>na</v>
      </c>
      <c r="Z1591" s="110" t="s">
        <v>541</v>
      </c>
      <c r="AA1591" s="110" t="s">
        <v>541</v>
      </c>
      <c r="AB1591" s="110" t="s">
        <v>541</v>
      </c>
      <c r="AC1591" s="10" t="s">
        <v>541</v>
      </c>
      <c r="AD1591" s="10" t="s">
        <v>541</v>
      </c>
    </row>
    <row r="1592" spans="1:30" x14ac:dyDescent="0.2">
      <c r="A1592" s="110">
        <v>1591</v>
      </c>
      <c r="B1592" s="132">
        <v>41852</v>
      </c>
      <c r="C1592" s="117">
        <v>1</v>
      </c>
      <c r="D1592" s="103" t="s">
        <v>71</v>
      </c>
      <c r="E1592" s="103" t="s">
        <v>306</v>
      </c>
      <c r="H1592" s="141"/>
      <c r="I1592" s="103">
        <v>60</v>
      </c>
      <c r="K1592" s="103" t="s">
        <v>364</v>
      </c>
      <c r="L1592" s="133"/>
      <c r="M1592" s="134">
        <v>1.9444444444444445E-2</v>
      </c>
      <c r="N1592" s="137" t="s">
        <v>1905</v>
      </c>
      <c r="O1592" s="133" t="s">
        <v>3431</v>
      </c>
      <c r="Q1592" s="100" t="s">
        <v>3851</v>
      </c>
      <c r="R1592" s="226" t="s">
        <v>3912</v>
      </c>
      <c r="S1592" s="491" t="str">
        <f t="shared" si="49"/>
        <v>x</v>
      </c>
      <c r="T1592" s="492" t="str">
        <f>IFERROR(VLOOKUP(F1592,'Freq-Chan'!C:D,2,FALSE),"x")</f>
        <v>x</v>
      </c>
      <c r="U1592" s="110" t="s">
        <v>541</v>
      </c>
      <c r="V1592" s="110" t="str">
        <f t="shared" si="50"/>
        <v>FWL</v>
      </c>
      <c r="W1592" s="110" t="s">
        <v>541</v>
      </c>
      <c r="X1592" s="110" t="s">
        <v>541</v>
      </c>
      <c r="Y1592" s="110" t="str">
        <f>IFERROR(VLOOKUP(F1592,'Freq-Chan'!C:E,3,FALSE),"na")</f>
        <v>na</v>
      </c>
      <c r="Z1592" s="110" t="s">
        <v>541</v>
      </c>
      <c r="AA1592" s="110" t="s">
        <v>541</v>
      </c>
      <c r="AB1592" s="110" t="s">
        <v>541</v>
      </c>
      <c r="AC1592" s="10" t="s">
        <v>541</v>
      </c>
      <c r="AD1592" s="10" t="s">
        <v>541</v>
      </c>
    </row>
    <row r="1593" spans="1:30" x14ac:dyDescent="0.2">
      <c r="A1593" s="110">
        <v>1592</v>
      </c>
      <c r="B1593" s="132">
        <v>41852</v>
      </c>
      <c r="C1593" s="117">
        <v>1</v>
      </c>
      <c r="D1593" s="103" t="s">
        <v>71</v>
      </c>
      <c r="E1593" s="103" t="s">
        <v>306</v>
      </c>
      <c r="H1593" s="141"/>
      <c r="I1593" s="103">
        <v>56</v>
      </c>
      <c r="K1593" s="103" t="s">
        <v>364</v>
      </c>
      <c r="L1593" s="133"/>
      <c r="M1593" s="134">
        <v>2.2916666666666669E-2</v>
      </c>
      <c r="N1593" s="137" t="s">
        <v>3879</v>
      </c>
      <c r="O1593" s="133" t="s">
        <v>3431</v>
      </c>
      <c r="Q1593" s="100" t="s">
        <v>3851</v>
      </c>
      <c r="R1593" s="226" t="s">
        <v>3912</v>
      </c>
      <c r="S1593" s="491" t="str">
        <f t="shared" si="49"/>
        <v>x</v>
      </c>
      <c r="T1593" s="492" t="str">
        <f>IFERROR(VLOOKUP(F1593,'Freq-Chan'!C:D,2,FALSE),"x")</f>
        <v>x</v>
      </c>
      <c r="U1593" s="110" t="s">
        <v>541</v>
      </c>
      <c r="V1593" s="110" t="str">
        <f t="shared" si="50"/>
        <v>FWL</v>
      </c>
      <c r="W1593" s="110" t="s">
        <v>541</v>
      </c>
      <c r="X1593" s="110" t="s">
        <v>541</v>
      </c>
      <c r="Y1593" s="110" t="str">
        <f>IFERROR(VLOOKUP(F1593,'Freq-Chan'!C:E,3,FALSE),"na")</f>
        <v>na</v>
      </c>
      <c r="Z1593" s="110" t="s">
        <v>541</v>
      </c>
      <c r="AA1593" s="110" t="s">
        <v>541</v>
      </c>
      <c r="AB1593" s="110" t="s">
        <v>541</v>
      </c>
      <c r="AC1593" s="10" t="s">
        <v>541</v>
      </c>
      <c r="AD1593" s="10" t="s">
        <v>541</v>
      </c>
    </row>
    <row r="1594" spans="1:30" x14ac:dyDescent="0.2">
      <c r="A1594" s="110">
        <v>1593</v>
      </c>
      <c r="B1594" s="132">
        <v>41852</v>
      </c>
      <c r="C1594" s="117">
        <v>1</v>
      </c>
      <c r="D1594" s="103" t="s">
        <v>71</v>
      </c>
      <c r="E1594" s="103" t="s">
        <v>306</v>
      </c>
      <c r="H1594" s="103"/>
      <c r="I1594" s="103">
        <v>56</v>
      </c>
      <c r="K1594" s="103" t="s">
        <v>364</v>
      </c>
      <c r="L1594" s="133"/>
      <c r="M1594" s="134">
        <v>1.4583333333333332E-2</v>
      </c>
      <c r="N1594" s="137" t="s">
        <v>2891</v>
      </c>
      <c r="O1594" s="133" t="s">
        <v>3431</v>
      </c>
      <c r="Q1594" s="100" t="s">
        <v>3851</v>
      </c>
      <c r="R1594" s="226" t="s">
        <v>3912</v>
      </c>
      <c r="S1594" s="491" t="str">
        <f t="shared" si="49"/>
        <v>x</v>
      </c>
      <c r="T1594" s="492" t="str">
        <f>IFERROR(VLOOKUP(F1594,'Freq-Chan'!C:D,2,FALSE),"x")</f>
        <v>x</v>
      </c>
      <c r="U1594" s="110" t="s">
        <v>541</v>
      </c>
      <c r="V1594" s="110" t="str">
        <f t="shared" si="50"/>
        <v>FWL</v>
      </c>
      <c r="W1594" s="110" t="s">
        <v>541</v>
      </c>
      <c r="X1594" s="110" t="s">
        <v>541</v>
      </c>
      <c r="Y1594" s="110" t="str">
        <f>IFERROR(VLOOKUP(F1594,'Freq-Chan'!C:E,3,FALSE),"na")</f>
        <v>na</v>
      </c>
      <c r="Z1594" s="110" t="s">
        <v>541</v>
      </c>
      <c r="AA1594" s="110" t="s">
        <v>541</v>
      </c>
      <c r="AB1594" s="110" t="s">
        <v>541</v>
      </c>
      <c r="AC1594" s="10" t="s">
        <v>541</v>
      </c>
      <c r="AD1594" s="10" t="s">
        <v>541</v>
      </c>
    </row>
    <row r="1595" spans="1:30" x14ac:dyDescent="0.2">
      <c r="A1595" s="110">
        <v>1594</v>
      </c>
      <c r="B1595" s="132">
        <v>41852</v>
      </c>
      <c r="C1595" s="117">
        <v>1</v>
      </c>
      <c r="D1595" s="103" t="s">
        <v>75</v>
      </c>
      <c r="E1595" s="103" t="s">
        <v>798</v>
      </c>
      <c r="H1595" s="139"/>
      <c r="J1595" s="103">
        <v>36</v>
      </c>
      <c r="K1595" s="103" t="s">
        <v>364</v>
      </c>
      <c r="L1595" s="133"/>
      <c r="M1595" s="134">
        <v>2.0833333333333332E-2</v>
      </c>
      <c r="N1595" s="137" t="s">
        <v>2629</v>
      </c>
      <c r="O1595" s="133" t="s">
        <v>555</v>
      </c>
      <c r="Q1595" s="100" t="s">
        <v>3851</v>
      </c>
      <c r="R1595" s="226" t="s">
        <v>3912</v>
      </c>
      <c r="S1595" s="491" t="str">
        <f t="shared" si="49"/>
        <v>x</v>
      </c>
      <c r="T1595" s="492" t="str">
        <f>IFERROR(VLOOKUP(F1595,'Freq-Chan'!C:D,2,FALSE),"x")</f>
        <v>x</v>
      </c>
      <c r="U1595" s="110" t="s">
        <v>541</v>
      </c>
      <c r="V1595" s="110" t="str">
        <f t="shared" si="50"/>
        <v>FWL</v>
      </c>
      <c r="W1595" s="110" t="s">
        <v>541</v>
      </c>
      <c r="X1595" s="110" t="s">
        <v>541</v>
      </c>
      <c r="Y1595" s="110" t="str">
        <f>IFERROR(VLOOKUP(F1595,'Freq-Chan'!C:E,3,FALSE),"na")</f>
        <v>na</v>
      </c>
      <c r="Z1595" s="110" t="s">
        <v>541</v>
      </c>
      <c r="AA1595" s="110" t="s">
        <v>541</v>
      </c>
      <c r="AB1595" s="110" t="s">
        <v>541</v>
      </c>
      <c r="AC1595" s="10" t="s">
        <v>541</v>
      </c>
      <c r="AD1595" s="10" t="s">
        <v>541</v>
      </c>
    </row>
    <row r="1596" spans="1:30" x14ac:dyDescent="0.2">
      <c r="A1596" s="110">
        <v>1595</v>
      </c>
      <c r="B1596" s="132">
        <v>41852</v>
      </c>
      <c r="C1596" s="117">
        <v>1</v>
      </c>
      <c r="D1596" s="103" t="s">
        <v>71</v>
      </c>
      <c r="E1596" s="103" t="s">
        <v>306</v>
      </c>
      <c r="H1596" s="103"/>
      <c r="I1596" s="103">
        <v>63</v>
      </c>
      <c r="K1596" s="103" t="s">
        <v>364</v>
      </c>
      <c r="L1596" s="133"/>
      <c r="M1596" s="134">
        <v>2.361111111111111E-2</v>
      </c>
      <c r="N1596" s="137" t="s">
        <v>3225</v>
      </c>
      <c r="O1596" s="133" t="s">
        <v>3431</v>
      </c>
      <c r="Q1596" s="100" t="s">
        <v>3851</v>
      </c>
      <c r="R1596" s="226" t="s">
        <v>3912</v>
      </c>
      <c r="S1596" s="491" t="str">
        <f t="shared" si="49"/>
        <v>x</v>
      </c>
      <c r="T1596" s="492" t="str">
        <f>IFERROR(VLOOKUP(F1596,'Freq-Chan'!C:D,2,FALSE),"x")</f>
        <v>x</v>
      </c>
      <c r="U1596" s="110" t="s">
        <v>541</v>
      </c>
      <c r="V1596" s="110" t="str">
        <f t="shared" si="50"/>
        <v>FWL</v>
      </c>
      <c r="W1596" s="110" t="s">
        <v>541</v>
      </c>
      <c r="X1596" s="110" t="s">
        <v>541</v>
      </c>
      <c r="Y1596" s="110" t="str">
        <f>IFERROR(VLOOKUP(F1596,'Freq-Chan'!C:E,3,FALSE),"na")</f>
        <v>na</v>
      </c>
      <c r="Z1596" s="110" t="s">
        <v>541</v>
      </c>
      <c r="AA1596" s="110" t="s">
        <v>541</v>
      </c>
      <c r="AB1596" s="110" t="s">
        <v>541</v>
      </c>
      <c r="AC1596" s="10" t="s">
        <v>541</v>
      </c>
      <c r="AD1596" s="10" t="s">
        <v>541</v>
      </c>
    </row>
    <row r="1597" spans="1:30" x14ac:dyDescent="0.2">
      <c r="A1597" s="110">
        <v>1596</v>
      </c>
      <c r="B1597" s="132">
        <v>41852</v>
      </c>
      <c r="C1597" s="117">
        <v>1</v>
      </c>
      <c r="D1597" s="103" t="s">
        <v>71</v>
      </c>
      <c r="E1597" s="103" t="s">
        <v>306</v>
      </c>
      <c r="H1597" s="103"/>
      <c r="I1597" s="103">
        <v>59</v>
      </c>
      <c r="K1597" s="103" t="s">
        <v>364</v>
      </c>
      <c r="L1597" s="133"/>
      <c r="M1597" s="134">
        <v>2.7777777777777776E-2</v>
      </c>
      <c r="N1597" s="137" t="s">
        <v>3880</v>
      </c>
      <c r="O1597" s="133" t="s">
        <v>3431</v>
      </c>
      <c r="Q1597" s="100" t="s">
        <v>3851</v>
      </c>
      <c r="R1597" s="226" t="s">
        <v>3912</v>
      </c>
      <c r="S1597" s="491" t="str">
        <f t="shared" si="49"/>
        <v>x</v>
      </c>
      <c r="T1597" s="492" t="str">
        <f>IFERROR(VLOOKUP(F1597,'Freq-Chan'!C:D,2,FALSE),"x")</f>
        <v>x</v>
      </c>
      <c r="U1597" s="110" t="s">
        <v>541</v>
      </c>
      <c r="V1597" s="110" t="str">
        <f t="shared" si="50"/>
        <v>FWL</v>
      </c>
      <c r="W1597" s="110" t="s">
        <v>541</v>
      </c>
      <c r="X1597" s="110" t="s">
        <v>541</v>
      </c>
      <c r="Y1597" s="110" t="str">
        <f>IFERROR(VLOOKUP(F1597,'Freq-Chan'!C:E,3,FALSE),"na")</f>
        <v>na</v>
      </c>
      <c r="Z1597" s="110" t="s">
        <v>541</v>
      </c>
      <c r="AA1597" s="110" t="s">
        <v>541</v>
      </c>
      <c r="AB1597" s="110" t="s">
        <v>541</v>
      </c>
      <c r="AC1597" s="10" t="s">
        <v>541</v>
      </c>
      <c r="AD1597" s="10" t="s">
        <v>541</v>
      </c>
    </row>
    <row r="1598" spans="1:30" x14ac:dyDescent="0.2">
      <c r="A1598" s="110">
        <v>1597</v>
      </c>
      <c r="B1598" s="132">
        <v>41852</v>
      </c>
      <c r="C1598" s="117">
        <v>1</v>
      </c>
      <c r="D1598" s="103" t="s">
        <v>71</v>
      </c>
      <c r="E1598" s="103" t="s">
        <v>306</v>
      </c>
      <c r="H1598" s="103"/>
      <c r="I1598" s="103">
        <v>62</v>
      </c>
      <c r="K1598" s="103" t="s">
        <v>364</v>
      </c>
      <c r="L1598" s="133"/>
      <c r="M1598" s="134">
        <v>1.4583333333333332E-2</v>
      </c>
      <c r="N1598" s="137" t="s">
        <v>3881</v>
      </c>
      <c r="O1598" s="133" t="s">
        <v>3431</v>
      </c>
      <c r="Q1598" s="100" t="s">
        <v>3851</v>
      </c>
      <c r="R1598" s="226" t="s">
        <v>3912</v>
      </c>
      <c r="S1598" s="491" t="str">
        <f t="shared" si="49"/>
        <v>x</v>
      </c>
      <c r="T1598" s="492" t="str">
        <f>IFERROR(VLOOKUP(F1598,'Freq-Chan'!C:D,2,FALSE),"x")</f>
        <v>x</v>
      </c>
      <c r="U1598" s="110" t="s">
        <v>541</v>
      </c>
      <c r="V1598" s="110" t="str">
        <f t="shared" si="50"/>
        <v>FWL</v>
      </c>
      <c r="W1598" s="110" t="s">
        <v>541</v>
      </c>
      <c r="X1598" s="110" t="s">
        <v>541</v>
      </c>
      <c r="Y1598" s="110" t="str">
        <f>IFERROR(VLOOKUP(F1598,'Freq-Chan'!C:E,3,FALSE),"na")</f>
        <v>na</v>
      </c>
      <c r="Z1598" s="110" t="s">
        <v>541</v>
      </c>
      <c r="AA1598" s="110" t="s">
        <v>541</v>
      </c>
      <c r="AB1598" s="110" t="s">
        <v>541</v>
      </c>
      <c r="AC1598" s="10" t="s">
        <v>541</v>
      </c>
      <c r="AD1598" s="10" t="s">
        <v>541</v>
      </c>
    </row>
    <row r="1599" spans="1:30" x14ac:dyDescent="0.2">
      <c r="A1599" s="110">
        <v>1598</v>
      </c>
      <c r="B1599" s="132">
        <v>41852</v>
      </c>
      <c r="C1599" s="117">
        <v>1</v>
      </c>
      <c r="D1599" s="103" t="s">
        <v>71</v>
      </c>
      <c r="E1599" s="103" t="s">
        <v>306</v>
      </c>
      <c r="H1599" s="103"/>
      <c r="I1599" s="103">
        <v>60</v>
      </c>
      <c r="K1599" s="103" t="s">
        <v>364</v>
      </c>
      <c r="L1599" s="133"/>
      <c r="M1599" s="134">
        <v>2.2222222222222223E-2</v>
      </c>
      <c r="N1599" s="137" t="s">
        <v>1654</v>
      </c>
      <c r="O1599" s="133" t="s">
        <v>3431</v>
      </c>
      <c r="Q1599" s="100" t="s">
        <v>3851</v>
      </c>
      <c r="R1599" s="226" t="s">
        <v>3912</v>
      </c>
      <c r="S1599" s="491" t="str">
        <f t="shared" si="49"/>
        <v>x</v>
      </c>
      <c r="T1599" s="492" t="str">
        <f>IFERROR(VLOOKUP(F1599,'Freq-Chan'!C:D,2,FALSE),"x")</f>
        <v>x</v>
      </c>
      <c r="U1599" s="110" t="s">
        <v>541</v>
      </c>
      <c r="V1599" s="110" t="str">
        <f t="shared" si="50"/>
        <v>FWL</v>
      </c>
      <c r="W1599" s="110" t="s">
        <v>541</v>
      </c>
      <c r="X1599" s="110" t="s">
        <v>541</v>
      </c>
      <c r="Y1599" s="110" t="str">
        <f>IFERROR(VLOOKUP(F1599,'Freq-Chan'!C:E,3,FALSE),"na")</f>
        <v>na</v>
      </c>
      <c r="Z1599" s="110" t="s">
        <v>541</v>
      </c>
      <c r="AA1599" s="110" t="s">
        <v>541</v>
      </c>
      <c r="AB1599" s="110" t="s">
        <v>541</v>
      </c>
      <c r="AC1599" s="10" t="s">
        <v>541</v>
      </c>
      <c r="AD1599" s="10" t="s">
        <v>541</v>
      </c>
    </row>
    <row r="1600" spans="1:30" x14ac:dyDescent="0.2">
      <c r="A1600" s="110">
        <v>1599</v>
      </c>
      <c r="B1600" s="132">
        <v>41852</v>
      </c>
      <c r="C1600" s="117">
        <v>1</v>
      </c>
      <c r="D1600" s="103" t="s">
        <v>71</v>
      </c>
      <c r="E1600" s="103" t="s">
        <v>306</v>
      </c>
      <c r="H1600" s="103"/>
      <c r="I1600" s="103">
        <v>62</v>
      </c>
      <c r="K1600" s="103" t="s">
        <v>364</v>
      </c>
      <c r="L1600" s="133"/>
      <c r="M1600" s="134">
        <v>1.2499999999999999E-2</v>
      </c>
      <c r="N1600" s="137" t="s">
        <v>1654</v>
      </c>
      <c r="O1600" s="133" t="s">
        <v>3431</v>
      </c>
      <c r="Q1600" s="100" t="s">
        <v>3851</v>
      </c>
      <c r="R1600" s="226" t="s">
        <v>3912</v>
      </c>
      <c r="S1600" s="491" t="str">
        <f t="shared" si="49"/>
        <v>x</v>
      </c>
      <c r="T1600" s="492" t="str">
        <f>IFERROR(VLOOKUP(F1600,'Freq-Chan'!C:D,2,FALSE),"x")</f>
        <v>x</v>
      </c>
      <c r="U1600" s="110" t="s">
        <v>541</v>
      </c>
      <c r="V1600" s="110" t="str">
        <f t="shared" si="50"/>
        <v>FWL</v>
      </c>
      <c r="W1600" s="110" t="s">
        <v>541</v>
      </c>
      <c r="X1600" s="110" t="s">
        <v>541</v>
      </c>
      <c r="Y1600" s="110" t="str">
        <f>IFERROR(VLOOKUP(F1600,'Freq-Chan'!C:E,3,FALSE),"na")</f>
        <v>na</v>
      </c>
      <c r="Z1600" s="110" t="s">
        <v>541</v>
      </c>
      <c r="AA1600" s="110" t="s">
        <v>541</v>
      </c>
      <c r="AB1600" s="110" t="s">
        <v>541</v>
      </c>
      <c r="AC1600" s="10" t="s">
        <v>541</v>
      </c>
      <c r="AD1600" s="10" t="s">
        <v>541</v>
      </c>
    </row>
    <row r="1601" spans="1:30" x14ac:dyDescent="0.2">
      <c r="A1601" s="110">
        <v>1600</v>
      </c>
      <c r="B1601" s="132">
        <v>41852</v>
      </c>
      <c r="C1601" s="117">
        <v>1</v>
      </c>
      <c r="D1601" s="103" t="s">
        <v>71</v>
      </c>
      <c r="E1601" s="103" t="s">
        <v>306</v>
      </c>
      <c r="H1601" s="103"/>
      <c r="I1601" s="103">
        <v>60</v>
      </c>
      <c r="K1601" s="103" t="s">
        <v>364</v>
      </c>
      <c r="L1601" s="133"/>
      <c r="M1601" s="134">
        <v>1.4583333333333332E-2</v>
      </c>
      <c r="N1601" s="137" t="s">
        <v>2532</v>
      </c>
      <c r="O1601" s="133" t="s">
        <v>3431</v>
      </c>
      <c r="Q1601" s="100" t="s">
        <v>3851</v>
      </c>
      <c r="R1601" s="226" t="s">
        <v>3912</v>
      </c>
      <c r="S1601" s="491" t="str">
        <f t="shared" si="49"/>
        <v>x</v>
      </c>
      <c r="T1601" s="492" t="str">
        <f>IFERROR(VLOOKUP(F1601,'Freq-Chan'!C:D,2,FALSE),"x")</f>
        <v>x</v>
      </c>
      <c r="U1601" s="110" t="s">
        <v>541</v>
      </c>
      <c r="V1601" s="110" t="str">
        <f t="shared" si="50"/>
        <v>FWL</v>
      </c>
      <c r="W1601" s="110" t="s">
        <v>541</v>
      </c>
      <c r="X1601" s="110" t="s">
        <v>541</v>
      </c>
      <c r="Y1601" s="110" t="str">
        <f>IFERROR(VLOOKUP(F1601,'Freq-Chan'!C:E,3,FALSE),"na")</f>
        <v>na</v>
      </c>
      <c r="Z1601" s="110" t="s">
        <v>541</v>
      </c>
      <c r="AA1601" s="110" t="s">
        <v>541</v>
      </c>
      <c r="AB1601" s="110" t="s">
        <v>541</v>
      </c>
      <c r="AC1601" s="10" t="s">
        <v>541</v>
      </c>
      <c r="AD1601" s="10" t="s">
        <v>541</v>
      </c>
    </row>
    <row r="1602" spans="1:30" x14ac:dyDescent="0.2">
      <c r="A1602" s="110">
        <v>1601</v>
      </c>
      <c r="B1602" s="132">
        <v>41852</v>
      </c>
      <c r="C1602" s="117">
        <v>1</v>
      </c>
      <c r="D1602" s="103" t="s">
        <v>8</v>
      </c>
      <c r="E1602" s="103" t="s">
        <v>0</v>
      </c>
      <c r="H1602" s="103"/>
      <c r="I1602" s="103">
        <v>36</v>
      </c>
      <c r="K1602" s="103" t="s">
        <v>364</v>
      </c>
      <c r="L1602" s="133"/>
      <c r="M1602" s="134">
        <v>1.5277777777777777E-2</v>
      </c>
      <c r="N1602" s="137" t="s">
        <v>2899</v>
      </c>
      <c r="O1602" s="133" t="s">
        <v>1585</v>
      </c>
      <c r="P1602" s="100" t="s">
        <v>776</v>
      </c>
      <c r="Q1602" s="100" t="s">
        <v>3852</v>
      </c>
      <c r="R1602" s="226" t="s">
        <v>3912</v>
      </c>
      <c r="S1602" s="491" t="str">
        <f t="shared" si="49"/>
        <v>x</v>
      </c>
      <c r="T1602" s="492" t="str">
        <f>IFERROR(VLOOKUP(F1602,'Freq-Chan'!C:D,2,FALSE),"x")</f>
        <v>x</v>
      </c>
      <c r="U1602" s="110" t="s">
        <v>541</v>
      </c>
      <c r="V1602" s="110" t="str">
        <f t="shared" si="50"/>
        <v>FWL</v>
      </c>
      <c r="W1602" s="110" t="s">
        <v>541</v>
      </c>
      <c r="X1602" s="110" t="s">
        <v>541</v>
      </c>
      <c r="Y1602" s="110" t="str">
        <f>IFERROR(VLOOKUP(F1602,'Freq-Chan'!C:E,3,FALSE),"na")</f>
        <v>na</v>
      </c>
      <c r="Z1602" s="110" t="s">
        <v>541</v>
      </c>
      <c r="AA1602" s="110" t="s">
        <v>541</v>
      </c>
      <c r="AB1602" s="110" t="s">
        <v>541</v>
      </c>
      <c r="AC1602" s="10" t="s">
        <v>541</v>
      </c>
      <c r="AD1602" s="10" t="s">
        <v>541</v>
      </c>
    </row>
    <row r="1603" spans="1:30" x14ac:dyDescent="0.2">
      <c r="A1603" s="110">
        <v>1602</v>
      </c>
      <c r="B1603" s="132">
        <v>41852</v>
      </c>
      <c r="C1603" s="117">
        <v>1</v>
      </c>
      <c r="D1603" s="103" t="s">
        <v>70</v>
      </c>
      <c r="E1603" s="103" t="s">
        <v>306</v>
      </c>
      <c r="F1603" s="103">
        <v>515</v>
      </c>
      <c r="G1603" s="103">
        <v>6</v>
      </c>
      <c r="H1603" s="103" t="s">
        <v>3036</v>
      </c>
      <c r="I1603" s="103">
        <v>48</v>
      </c>
      <c r="K1603" s="103" t="s">
        <v>365</v>
      </c>
      <c r="L1603" s="133"/>
      <c r="M1603" s="134">
        <v>4.2361111111111106E-2</v>
      </c>
      <c r="N1603" s="137" t="s">
        <v>3882</v>
      </c>
      <c r="O1603" s="133" t="s">
        <v>1585</v>
      </c>
      <c r="Q1603" s="100" t="s">
        <v>3852</v>
      </c>
      <c r="R1603" s="226" t="s">
        <v>3912</v>
      </c>
      <c r="S1603" s="491" t="str">
        <f t="shared" ref="S1603:S1666" si="51">IF(IF(OR(L1603=0,N1603=0),"x",ROUND(N1603-L1603-(M1603*24)/(24*60),10))&lt;0,0,IF(OR(L1603=0,N1603=0),"x",ROUND(N1603-L1603-(M1603*24)/(24*60),10)))</f>
        <v>x</v>
      </c>
      <c r="T1603" s="492">
        <f>IFERROR(VLOOKUP(F1603,'Freq-Chan'!C:D,2,FALSE),"x")</f>
        <v>151.51499999999999</v>
      </c>
      <c r="U1603" s="110" t="s">
        <v>541</v>
      </c>
      <c r="V1603" s="110" t="str">
        <f t="shared" ref="V1603:V1666" si="52">IF(OR(C1603=1,C1603=2,C1603=3),"FWL","NRD")</f>
        <v>FWL</v>
      </c>
      <c r="W1603" s="110" t="s">
        <v>541</v>
      </c>
      <c r="X1603" s="110" t="s">
        <v>541</v>
      </c>
      <c r="Y1603" s="110" t="str">
        <f>IFERROR(VLOOKUP(F1603,'Freq-Chan'!C:E,3,FALSE),"na")</f>
        <v>F1835</v>
      </c>
      <c r="Z1603" s="110" t="s">
        <v>541</v>
      </c>
      <c r="AA1603" s="110" t="s">
        <v>541</v>
      </c>
      <c r="AB1603" s="110" t="s">
        <v>541</v>
      </c>
      <c r="AC1603" s="10" t="s">
        <v>541</v>
      </c>
      <c r="AD1603" s="10" t="s">
        <v>541</v>
      </c>
    </row>
    <row r="1604" spans="1:30" x14ac:dyDescent="0.2">
      <c r="A1604" s="110">
        <v>1603</v>
      </c>
      <c r="B1604" s="132">
        <v>41852</v>
      </c>
      <c r="C1604" s="117">
        <v>1</v>
      </c>
      <c r="D1604" s="103" t="s">
        <v>70</v>
      </c>
      <c r="E1604" s="103" t="s">
        <v>306</v>
      </c>
      <c r="F1604" s="103">
        <v>515</v>
      </c>
      <c r="G1604" s="103">
        <v>31</v>
      </c>
      <c r="H1604" s="103" t="s">
        <v>3037</v>
      </c>
      <c r="I1604" s="103">
        <v>44</v>
      </c>
      <c r="K1604" s="103" t="s">
        <v>365</v>
      </c>
      <c r="L1604" s="133"/>
      <c r="M1604" s="134">
        <v>4.9999999999999996E-2</v>
      </c>
      <c r="N1604" s="137" t="s">
        <v>2945</v>
      </c>
      <c r="O1604" s="133" t="s">
        <v>376</v>
      </c>
      <c r="Q1604" s="100" t="s">
        <v>3852</v>
      </c>
      <c r="R1604" s="226" t="s">
        <v>3912</v>
      </c>
      <c r="S1604" s="491" t="str">
        <f t="shared" si="51"/>
        <v>x</v>
      </c>
      <c r="T1604" s="492">
        <f>IFERROR(VLOOKUP(F1604,'Freq-Chan'!C:D,2,FALSE),"x")</f>
        <v>151.51499999999999</v>
      </c>
      <c r="U1604" s="110" t="s">
        <v>541</v>
      </c>
      <c r="V1604" s="110" t="str">
        <f t="shared" si="52"/>
        <v>FWL</v>
      </c>
      <c r="W1604" s="110" t="s">
        <v>541</v>
      </c>
      <c r="X1604" s="110" t="s">
        <v>541</v>
      </c>
      <c r="Y1604" s="110" t="str">
        <f>IFERROR(VLOOKUP(F1604,'Freq-Chan'!C:E,3,FALSE),"na")</f>
        <v>F1835</v>
      </c>
      <c r="Z1604" s="110" t="s">
        <v>541</v>
      </c>
      <c r="AA1604" s="110" t="s">
        <v>541</v>
      </c>
      <c r="AB1604" s="110" t="s">
        <v>541</v>
      </c>
      <c r="AC1604" s="10" t="s">
        <v>541</v>
      </c>
      <c r="AD1604" s="10" t="s">
        <v>541</v>
      </c>
    </row>
    <row r="1605" spans="1:30" x14ac:dyDescent="0.2">
      <c r="A1605" s="110">
        <v>1604</v>
      </c>
      <c r="B1605" s="132">
        <v>41852</v>
      </c>
      <c r="C1605" s="117">
        <v>1</v>
      </c>
      <c r="D1605" s="103" t="s">
        <v>70</v>
      </c>
      <c r="E1605" s="103" t="s">
        <v>306</v>
      </c>
      <c r="F1605" s="103">
        <v>596</v>
      </c>
      <c r="G1605" s="103">
        <v>38</v>
      </c>
      <c r="H1605" s="103" t="s">
        <v>3038</v>
      </c>
      <c r="I1605" s="103">
        <v>46</v>
      </c>
      <c r="K1605" s="103" t="s">
        <v>1032</v>
      </c>
      <c r="L1605" s="133"/>
      <c r="M1605" s="134">
        <v>4.0972222222222222E-2</v>
      </c>
      <c r="N1605" s="137" t="s">
        <v>3336</v>
      </c>
      <c r="O1605" s="133" t="s">
        <v>376</v>
      </c>
      <c r="Q1605" s="100" t="s">
        <v>3852</v>
      </c>
      <c r="R1605" s="226" t="s">
        <v>3912</v>
      </c>
      <c r="S1605" s="491" t="str">
        <f t="shared" si="51"/>
        <v>x</v>
      </c>
      <c r="T1605" s="492">
        <f>IFERROR(VLOOKUP(F1605,'Freq-Chan'!C:D,2,FALSE),"x")</f>
        <v>151.596</v>
      </c>
      <c r="U1605" s="110" t="s">
        <v>541</v>
      </c>
      <c r="V1605" s="110" t="str">
        <f t="shared" si="52"/>
        <v>FWL</v>
      </c>
      <c r="W1605" s="110" t="s">
        <v>541</v>
      </c>
      <c r="X1605" s="110" t="s">
        <v>541</v>
      </c>
      <c r="Y1605" s="110" t="str">
        <f>IFERROR(VLOOKUP(F1605,'Freq-Chan'!C:E,3,FALSE),"na")</f>
        <v>F1835</v>
      </c>
      <c r="Z1605" s="110" t="s">
        <v>541</v>
      </c>
      <c r="AA1605" s="110" t="s">
        <v>541</v>
      </c>
      <c r="AB1605" s="110" t="s">
        <v>541</v>
      </c>
      <c r="AC1605" s="10" t="s">
        <v>541</v>
      </c>
      <c r="AD1605" s="10" t="s">
        <v>541</v>
      </c>
    </row>
    <row r="1606" spans="1:30" x14ac:dyDescent="0.2">
      <c r="A1606" s="110">
        <v>1605</v>
      </c>
      <c r="B1606" s="132">
        <v>41852</v>
      </c>
      <c r="C1606" s="117">
        <v>1</v>
      </c>
      <c r="D1606" s="103" t="s">
        <v>8</v>
      </c>
      <c r="E1606" s="103" t="s">
        <v>306</v>
      </c>
      <c r="F1606" s="103">
        <v>586</v>
      </c>
      <c r="G1606" s="103">
        <v>13</v>
      </c>
      <c r="H1606" s="103" t="s">
        <v>2195</v>
      </c>
      <c r="I1606" s="103">
        <v>55</v>
      </c>
      <c r="K1606" s="103" t="s">
        <v>364</v>
      </c>
      <c r="L1606" s="133"/>
      <c r="M1606" s="134">
        <v>4.0972222222222222E-2</v>
      </c>
      <c r="N1606" s="137" t="s">
        <v>3242</v>
      </c>
      <c r="O1606" s="133" t="s">
        <v>1585</v>
      </c>
      <c r="Q1606" s="100" t="s">
        <v>3852</v>
      </c>
      <c r="R1606" s="226" t="s">
        <v>3912</v>
      </c>
      <c r="S1606" s="491" t="str">
        <f t="shared" si="51"/>
        <v>x</v>
      </c>
      <c r="T1606" s="492">
        <f>IFERROR(VLOOKUP(F1606,'Freq-Chan'!C:D,2,FALSE),"x")</f>
        <v>151.58600000000001</v>
      </c>
      <c r="U1606" s="110" t="s">
        <v>541</v>
      </c>
      <c r="V1606" s="110" t="str">
        <f t="shared" si="52"/>
        <v>FWL</v>
      </c>
      <c r="W1606" s="110" t="s">
        <v>541</v>
      </c>
      <c r="X1606" s="110" t="s">
        <v>541</v>
      </c>
      <c r="Y1606" s="110" t="str">
        <f>IFERROR(VLOOKUP(F1606,'Freq-Chan'!C:E,3,FALSE),"na")</f>
        <v>F1840</v>
      </c>
      <c r="Z1606" s="110" t="s">
        <v>541</v>
      </c>
      <c r="AA1606" s="110" t="s">
        <v>541</v>
      </c>
      <c r="AB1606" s="110" t="s">
        <v>541</v>
      </c>
      <c r="AC1606" s="10" t="s">
        <v>541</v>
      </c>
      <c r="AD1606" s="10" t="s">
        <v>541</v>
      </c>
    </row>
    <row r="1607" spans="1:30" s="291" customFormat="1" x14ac:dyDescent="0.2">
      <c r="A1607" s="493">
        <v>1606</v>
      </c>
      <c r="B1607" s="283">
        <v>41852</v>
      </c>
      <c r="C1607" s="284">
        <v>1</v>
      </c>
      <c r="D1607" s="285" t="s">
        <v>8</v>
      </c>
      <c r="E1607" s="285" t="s">
        <v>306</v>
      </c>
      <c r="F1607" s="285">
        <v>586</v>
      </c>
      <c r="G1607" s="285">
        <v>31</v>
      </c>
      <c r="H1607" s="285" t="s">
        <v>2198</v>
      </c>
      <c r="I1607" s="285">
        <v>43</v>
      </c>
      <c r="J1607" s="285"/>
      <c r="K1607" s="285" t="s">
        <v>364</v>
      </c>
      <c r="L1607" s="286"/>
      <c r="M1607" s="287">
        <v>4.2361111111111106E-2</v>
      </c>
      <c r="N1607" s="339" t="s">
        <v>1992</v>
      </c>
      <c r="O1607" s="286" t="s">
        <v>1585</v>
      </c>
      <c r="P1607" s="289" t="s">
        <v>3889</v>
      </c>
      <c r="Q1607" s="289" t="s">
        <v>3852</v>
      </c>
      <c r="R1607" s="290" t="s">
        <v>3912</v>
      </c>
      <c r="S1607" s="494" t="str">
        <f t="shared" si="51"/>
        <v>x</v>
      </c>
      <c r="T1607" s="495">
        <f>IFERROR(VLOOKUP(F1607,'Freq-Chan'!C:D,2,FALSE),"x")</f>
        <v>151.58600000000001</v>
      </c>
      <c r="U1607" s="493" t="s">
        <v>541</v>
      </c>
      <c r="V1607" s="493" t="str">
        <f t="shared" si="52"/>
        <v>FWL</v>
      </c>
      <c r="W1607" s="493" t="s">
        <v>541</v>
      </c>
      <c r="X1607" s="493" t="s">
        <v>541</v>
      </c>
      <c r="Y1607" s="493" t="str">
        <f>IFERROR(VLOOKUP(F1607,'Freq-Chan'!C:E,3,FALSE),"na")</f>
        <v>F1840</v>
      </c>
      <c r="Z1607" s="493" t="s">
        <v>541</v>
      </c>
      <c r="AA1607" s="493" t="s">
        <v>541</v>
      </c>
      <c r="AB1607" s="493" t="s">
        <v>541</v>
      </c>
      <c r="AC1607" s="291" t="s">
        <v>541</v>
      </c>
      <c r="AD1607" s="291" t="s">
        <v>541</v>
      </c>
    </row>
    <row r="1608" spans="1:30" x14ac:dyDescent="0.2">
      <c r="A1608" s="110">
        <v>1607</v>
      </c>
      <c r="B1608" s="132">
        <v>41852</v>
      </c>
      <c r="C1608" s="117">
        <v>2</v>
      </c>
      <c r="D1608" s="103" t="s">
        <v>70</v>
      </c>
      <c r="E1608" s="103" t="s">
        <v>306</v>
      </c>
      <c r="F1608" s="103">
        <v>596</v>
      </c>
      <c r="G1608" s="103">
        <v>24</v>
      </c>
      <c r="H1608" s="103" t="s">
        <v>3028</v>
      </c>
      <c r="I1608" s="103">
        <v>46</v>
      </c>
      <c r="K1608" s="103" t="s">
        <v>1032</v>
      </c>
      <c r="L1608" s="133"/>
      <c r="M1608" s="134">
        <v>3.888888888888889E-2</v>
      </c>
      <c r="N1608" s="137" t="s">
        <v>3883</v>
      </c>
      <c r="O1608" s="133" t="s">
        <v>555</v>
      </c>
      <c r="Q1608" s="100" t="s">
        <v>3851</v>
      </c>
      <c r="R1608" s="226" t="s">
        <v>3912</v>
      </c>
      <c r="S1608" s="491" t="str">
        <f t="shared" si="51"/>
        <v>x</v>
      </c>
      <c r="T1608" s="492">
        <f>IFERROR(VLOOKUP(F1608,'Freq-Chan'!C:D,2,FALSE),"x")</f>
        <v>151.596</v>
      </c>
      <c r="U1608" s="110" t="s">
        <v>541</v>
      </c>
      <c r="V1608" s="110" t="str">
        <f t="shared" si="52"/>
        <v>FWL</v>
      </c>
      <c r="W1608" s="110" t="s">
        <v>541</v>
      </c>
      <c r="X1608" s="110" t="s">
        <v>541</v>
      </c>
      <c r="Y1608" s="110" t="str">
        <f>IFERROR(VLOOKUP(F1608,'Freq-Chan'!C:E,3,FALSE),"na")</f>
        <v>F1835</v>
      </c>
      <c r="Z1608" s="110" t="s">
        <v>541</v>
      </c>
      <c r="AA1608" s="110" t="s">
        <v>541</v>
      </c>
      <c r="AB1608" s="110" t="s">
        <v>541</v>
      </c>
      <c r="AC1608" s="10" t="s">
        <v>541</v>
      </c>
      <c r="AD1608" s="10" t="s">
        <v>541</v>
      </c>
    </row>
    <row r="1609" spans="1:30" x14ac:dyDescent="0.2">
      <c r="A1609" s="110">
        <v>1608</v>
      </c>
      <c r="B1609" s="132">
        <v>41852</v>
      </c>
      <c r="C1609" s="117">
        <v>2</v>
      </c>
      <c r="D1609" s="103" t="s">
        <v>71</v>
      </c>
      <c r="E1609" s="103" t="s">
        <v>306</v>
      </c>
      <c r="F1609" s="103">
        <v>564</v>
      </c>
      <c r="G1609" s="103">
        <v>71</v>
      </c>
      <c r="H1609" s="103" t="s">
        <v>2342</v>
      </c>
      <c r="I1609" s="103">
        <v>65</v>
      </c>
      <c r="K1609" s="103" t="s">
        <v>364</v>
      </c>
      <c r="L1609" s="133"/>
      <c r="M1609" s="134">
        <v>3.3333333333333333E-2</v>
      </c>
      <c r="N1609" s="137" t="s">
        <v>1874</v>
      </c>
      <c r="O1609" s="133" t="s">
        <v>3431</v>
      </c>
      <c r="Q1609" s="100" t="s">
        <v>3851</v>
      </c>
      <c r="R1609" s="226" t="s">
        <v>3912</v>
      </c>
      <c r="S1609" s="491" t="str">
        <f t="shared" si="51"/>
        <v>x</v>
      </c>
      <c r="T1609" s="492">
        <f>IFERROR(VLOOKUP(F1609,'Freq-Chan'!C:D,2,FALSE),"x")</f>
        <v>151.56399999999999</v>
      </c>
      <c r="U1609" s="110" t="s">
        <v>541</v>
      </c>
      <c r="V1609" s="110" t="str">
        <f t="shared" si="52"/>
        <v>FWL</v>
      </c>
      <c r="W1609" s="110" t="s">
        <v>541</v>
      </c>
      <c r="X1609" s="110" t="s">
        <v>541</v>
      </c>
      <c r="Y1609" s="110" t="str">
        <f>IFERROR(VLOOKUP(F1609,'Freq-Chan'!C:E,3,FALSE),"na")</f>
        <v>F1840</v>
      </c>
      <c r="Z1609" s="110" t="s">
        <v>541</v>
      </c>
      <c r="AA1609" s="110" t="s">
        <v>541</v>
      </c>
      <c r="AB1609" s="110" t="s">
        <v>541</v>
      </c>
      <c r="AC1609" s="10" t="s">
        <v>541</v>
      </c>
      <c r="AD1609" s="10" t="s">
        <v>541</v>
      </c>
    </row>
    <row r="1610" spans="1:30" x14ac:dyDescent="0.2">
      <c r="A1610" s="110">
        <v>1609</v>
      </c>
      <c r="B1610" s="132">
        <v>41852</v>
      </c>
      <c r="C1610" s="117">
        <v>2</v>
      </c>
      <c r="D1610" s="103" t="s">
        <v>71</v>
      </c>
      <c r="E1610" s="103" t="s">
        <v>306</v>
      </c>
      <c r="H1610" s="103"/>
      <c r="I1610" s="103">
        <v>65</v>
      </c>
      <c r="K1610" s="103" t="s">
        <v>364</v>
      </c>
      <c r="L1610" s="133"/>
      <c r="M1610" s="134">
        <v>2.4999999999999998E-2</v>
      </c>
      <c r="N1610" s="137" t="s">
        <v>3427</v>
      </c>
      <c r="O1610" s="133" t="s">
        <v>3431</v>
      </c>
      <c r="Q1610" s="100" t="s">
        <v>3851</v>
      </c>
      <c r="R1610" s="226" t="s">
        <v>3912</v>
      </c>
      <c r="S1610" s="491" t="str">
        <f t="shared" si="51"/>
        <v>x</v>
      </c>
      <c r="T1610" s="492" t="str">
        <f>IFERROR(VLOOKUP(F1610,'Freq-Chan'!C:D,2,FALSE),"x")</f>
        <v>x</v>
      </c>
      <c r="U1610" s="110" t="s">
        <v>541</v>
      </c>
      <c r="V1610" s="110" t="str">
        <f t="shared" si="52"/>
        <v>FWL</v>
      </c>
      <c r="W1610" s="110" t="s">
        <v>541</v>
      </c>
      <c r="X1610" s="110" t="s">
        <v>541</v>
      </c>
      <c r="Y1610" s="110" t="str">
        <f>IFERROR(VLOOKUP(F1610,'Freq-Chan'!C:E,3,FALSE),"na")</f>
        <v>na</v>
      </c>
      <c r="Z1610" s="110" t="s">
        <v>541</v>
      </c>
      <c r="AA1610" s="110" t="s">
        <v>541</v>
      </c>
      <c r="AB1610" s="110" t="s">
        <v>541</v>
      </c>
      <c r="AC1610" s="10" t="s">
        <v>541</v>
      </c>
      <c r="AD1610" s="10" t="s">
        <v>541</v>
      </c>
    </row>
    <row r="1611" spans="1:30" x14ac:dyDescent="0.2">
      <c r="A1611" s="110">
        <v>1610</v>
      </c>
      <c r="B1611" s="132">
        <v>41852</v>
      </c>
      <c r="C1611" s="117">
        <v>2</v>
      </c>
      <c r="D1611" s="103" t="s">
        <v>70</v>
      </c>
      <c r="E1611" s="103" t="s">
        <v>306</v>
      </c>
      <c r="H1611" s="103"/>
      <c r="I1611" s="103">
        <v>48</v>
      </c>
      <c r="K1611" s="103" t="s">
        <v>1032</v>
      </c>
      <c r="L1611" s="133"/>
      <c r="M1611" s="134">
        <v>1.4583333333333332E-2</v>
      </c>
      <c r="N1611" s="137" t="s">
        <v>3839</v>
      </c>
      <c r="O1611" s="133" t="s">
        <v>3431</v>
      </c>
      <c r="Q1611" s="100" t="s">
        <v>3851</v>
      </c>
      <c r="R1611" s="226" t="s">
        <v>3912</v>
      </c>
      <c r="S1611" s="491" t="str">
        <f t="shared" si="51"/>
        <v>x</v>
      </c>
      <c r="T1611" s="492" t="str">
        <f>IFERROR(VLOOKUP(F1611,'Freq-Chan'!C:D,2,FALSE),"x")</f>
        <v>x</v>
      </c>
      <c r="U1611" s="110" t="s">
        <v>541</v>
      </c>
      <c r="V1611" s="110" t="str">
        <f t="shared" si="52"/>
        <v>FWL</v>
      </c>
      <c r="W1611" s="110" t="s">
        <v>541</v>
      </c>
      <c r="X1611" s="110" t="s">
        <v>541</v>
      </c>
      <c r="Y1611" s="110" t="str">
        <f>IFERROR(VLOOKUP(F1611,'Freq-Chan'!C:E,3,FALSE),"na")</f>
        <v>na</v>
      </c>
      <c r="Z1611" s="110" t="s">
        <v>541</v>
      </c>
      <c r="AA1611" s="110" t="s">
        <v>541</v>
      </c>
      <c r="AB1611" s="110" t="s">
        <v>541</v>
      </c>
      <c r="AC1611" s="10" t="s">
        <v>541</v>
      </c>
      <c r="AD1611" s="10" t="s">
        <v>541</v>
      </c>
    </row>
    <row r="1612" spans="1:30" x14ac:dyDescent="0.2">
      <c r="A1612" s="110">
        <v>1611</v>
      </c>
      <c r="B1612" s="132">
        <v>41852</v>
      </c>
      <c r="C1612" s="117">
        <v>2</v>
      </c>
      <c r="D1612" s="103" t="s">
        <v>71</v>
      </c>
      <c r="E1612" s="103" t="s">
        <v>306</v>
      </c>
      <c r="H1612" s="103"/>
      <c r="I1612" s="103">
        <v>61</v>
      </c>
      <c r="K1612" s="103" t="s">
        <v>364</v>
      </c>
      <c r="L1612" s="133"/>
      <c r="M1612" s="134">
        <v>1.2499999999999999E-2</v>
      </c>
      <c r="N1612" s="137" t="s">
        <v>3839</v>
      </c>
      <c r="O1612" s="133" t="s">
        <v>3431</v>
      </c>
      <c r="Q1612" s="100" t="s">
        <v>3851</v>
      </c>
      <c r="R1612" s="226" t="s">
        <v>3912</v>
      </c>
      <c r="S1612" s="491" t="str">
        <f t="shared" si="51"/>
        <v>x</v>
      </c>
      <c r="T1612" s="492" t="str">
        <f>IFERROR(VLOOKUP(F1612,'Freq-Chan'!C:D,2,FALSE),"x")</f>
        <v>x</v>
      </c>
      <c r="U1612" s="110" t="s">
        <v>541</v>
      </c>
      <c r="V1612" s="110" t="str">
        <f t="shared" si="52"/>
        <v>FWL</v>
      </c>
      <c r="W1612" s="110" t="s">
        <v>541</v>
      </c>
      <c r="X1612" s="110" t="s">
        <v>541</v>
      </c>
      <c r="Y1612" s="110" t="str">
        <f>IFERROR(VLOOKUP(F1612,'Freq-Chan'!C:E,3,FALSE),"na")</f>
        <v>na</v>
      </c>
      <c r="Z1612" s="110" t="s">
        <v>541</v>
      </c>
      <c r="AA1612" s="110" t="s">
        <v>541</v>
      </c>
      <c r="AB1612" s="110" t="s">
        <v>541</v>
      </c>
      <c r="AC1612" s="10" t="s">
        <v>541</v>
      </c>
      <c r="AD1612" s="10" t="s">
        <v>541</v>
      </c>
    </row>
    <row r="1613" spans="1:30" x14ac:dyDescent="0.2">
      <c r="A1613" s="110">
        <v>1612</v>
      </c>
      <c r="B1613" s="132">
        <v>41852</v>
      </c>
      <c r="C1613" s="117">
        <v>2</v>
      </c>
      <c r="D1613" s="103" t="s">
        <v>8</v>
      </c>
      <c r="E1613" s="103" t="s">
        <v>306</v>
      </c>
      <c r="F1613" s="103">
        <v>573</v>
      </c>
      <c r="G1613" s="103">
        <v>57</v>
      </c>
      <c r="H1613" s="103" t="s">
        <v>2194</v>
      </c>
      <c r="I1613" s="103">
        <v>59</v>
      </c>
      <c r="K1613" s="103" t="s">
        <v>364</v>
      </c>
      <c r="L1613" s="133"/>
      <c r="M1613" s="134">
        <v>7.0833333333333331E-2</v>
      </c>
      <c r="N1613" s="137" t="s">
        <v>1797</v>
      </c>
      <c r="O1613" s="133" t="s">
        <v>3431</v>
      </c>
      <c r="Q1613" s="100" t="s">
        <v>3851</v>
      </c>
      <c r="R1613" s="226" t="s">
        <v>3912</v>
      </c>
      <c r="S1613" s="491" t="str">
        <f t="shared" si="51"/>
        <v>x</v>
      </c>
      <c r="T1613" s="492">
        <f>IFERROR(VLOOKUP(F1613,'Freq-Chan'!C:D,2,FALSE),"x")</f>
        <v>151.57300000000001</v>
      </c>
      <c r="U1613" s="110" t="s">
        <v>541</v>
      </c>
      <c r="V1613" s="110" t="str">
        <f t="shared" si="52"/>
        <v>FWL</v>
      </c>
      <c r="W1613" s="110" t="s">
        <v>541</v>
      </c>
      <c r="X1613" s="110" t="s">
        <v>541</v>
      </c>
      <c r="Y1613" s="110" t="str">
        <f>IFERROR(VLOOKUP(F1613,'Freq-Chan'!C:E,3,FALSE),"na")</f>
        <v>F1840</v>
      </c>
      <c r="Z1613" s="110" t="s">
        <v>541</v>
      </c>
      <c r="AA1613" s="110" t="s">
        <v>541</v>
      </c>
      <c r="AB1613" s="110" t="s">
        <v>541</v>
      </c>
      <c r="AC1613" s="10" t="s">
        <v>541</v>
      </c>
      <c r="AD1613" s="10" t="s">
        <v>541</v>
      </c>
    </row>
    <row r="1614" spans="1:30" x14ac:dyDescent="0.2">
      <c r="A1614" s="110">
        <v>1613</v>
      </c>
      <c r="B1614" s="132">
        <v>41852</v>
      </c>
      <c r="C1614" s="117">
        <v>2</v>
      </c>
      <c r="D1614" s="103" t="s">
        <v>70</v>
      </c>
      <c r="E1614" s="103" t="s">
        <v>306</v>
      </c>
      <c r="H1614" s="103"/>
      <c r="I1614" s="103">
        <v>42</v>
      </c>
      <c r="K1614" s="103" t="s">
        <v>365</v>
      </c>
      <c r="L1614" s="133"/>
      <c r="M1614" s="134">
        <v>2.2222222222222223E-2</v>
      </c>
      <c r="N1614" s="137" t="s">
        <v>1797</v>
      </c>
      <c r="O1614" s="133" t="s">
        <v>3431</v>
      </c>
      <c r="Q1614" s="100" t="s">
        <v>3851</v>
      </c>
      <c r="R1614" s="226" t="s">
        <v>3912</v>
      </c>
      <c r="S1614" s="491" t="str">
        <f t="shared" si="51"/>
        <v>x</v>
      </c>
      <c r="T1614" s="492" t="str">
        <f>IFERROR(VLOOKUP(F1614,'Freq-Chan'!C:D,2,FALSE),"x")</f>
        <v>x</v>
      </c>
      <c r="U1614" s="110" t="s">
        <v>541</v>
      </c>
      <c r="V1614" s="110" t="str">
        <f t="shared" si="52"/>
        <v>FWL</v>
      </c>
      <c r="W1614" s="110" t="s">
        <v>541</v>
      </c>
      <c r="X1614" s="110" t="s">
        <v>541</v>
      </c>
      <c r="Y1614" s="110" t="str">
        <f>IFERROR(VLOOKUP(F1614,'Freq-Chan'!C:E,3,FALSE),"na")</f>
        <v>na</v>
      </c>
      <c r="Z1614" s="110" t="s">
        <v>541</v>
      </c>
      <c r="AA1614" s="110" t="s">
        <v>541</v>
      </c>
      <c r="AB1614" s="110" t="s">
        <v>541</v>
      </c>
      <c r="AC1614" s="10" t="s">
        <v>541</v>
      </c>
      <c r="AD1614" s="10" t="s">
        <v>541</v>
      </c>
    </row>
    <row r="1615" spans="1:30" x14ac:dyDescent="0.2">
      <c r="A1615" s="110">
        <v>1614</v>
      </c>
      <c r="B1615" s="132">
        <v>41852</v>
      </c>
      <c r="C1615" s="117">
        <v>2</v>
      </c>
      <c r="D1615" s="103" t="s">
        <v>71</v>
      </c>
      <c r="E1615" s="103" t="s">
        <v>306</v>
      </c>
      <c r="H1615" s="103"/>
      <c r="I1615" s="103">
        <v>60</v>
      </c>
      <c r="K1615" s="103" t="s">
        <v>364</v>
      </c>
      <c r="L1615" s="133"/>
      <c r="M1615" s="134">
        <v>2.4305555555555556E-2</v>
      </c>
      <c r="N1615" s="137" t="s">
        <v>3884</v>
      </c>
      <c r="O1615" s="133" t="s">
        <v>555</v>
      </c>
      <c r="Q1615" s="100" t="s">
        <v>3851</v>
      </c>
      <c r="R1615" s="226" t="s">
        <v>3912</v>
      </c>
      <c r="S1615" s="491" t="str">
        <f t="shared" si="51"/>
        <v>x</v>
      </c>
      <c r="T1615" s="492" t="str">
        <f>IFERROR(VLOOKUP(F1615,'Freq-Chan'!C:D,2,FALSE),"x")</f>
        <v>x</v>
      </c>
      <c r="U1615" s="110" t="s">
        <v>541</v>
      </c>
      <c r="V1615" s="110" t="str">
        <f t="shared" si="52"/>
        <v>FWL</v>
      </c>
      <c r="W1615" s="110" t="s">
        <v>541</v>
      </c>
      <c r="X1615" s="110" t="s">
        <v>541</v>
      </c>
      <c r="Y1615" s="110" t="str">
        <f>IFERROR(VLOOKUP(F1615,'Freq-Chan'!C:E,3,FALSE),"na")</f>
        <v>na</v>
      </c>
      <c r="Z1615" s="110" t="s">
        <v>541</v>
      </c>
      <c r="AA1615" s="110" t="s">
        <v>541</v>
      </c>
      <c r="AB1615" s="110" t="s">
        <v>541</v>
      </c>
      <c r="AC1615" s="10" t="s">
        <v>541</v>
      </c>
      <c r="AD1615" s="10" t="s">
        <v>541</v>
      </c>
    </row>
    <row r="1616" spans="1:30" x14ac:dyDescent="0.2">
      <c r="A1616" s="110">
        <v>1615</v>
      </c>
      <c r="B1616" s="132">
        <v>41852</v>
      </c>
      <c r="C1616" s="117">
        <v>2</v>
      </c>
      <c r="D1616" s="103" t="s">
        <v>71</v>
      </c>
      <c r="E1616" s="103" t="s">
        <v>306</v>
      </c>
      <c r="H1616" s="103"/>
      <c r="I1616" s="103">
        <v>63</v>
      </c>
      <c r="K1616" s="103" t="s">
        <v>364</v>
      </c>
      <c r="L1616" s="133"/>
      <c r="M1616" s="134">
        <v>2.4999999999999998E-2</v>
      </c>
      <c r="N1616" s="137" t="s">
        <v>3885</v>
      </c>
      <c r="O1616" s="133" t="s">
        <v>376</v>
      </c>
      <c r="Q1616" s="100" t="s">
        <v>3852</v>
      </c>
      <c r="R1616" s="226" t="s">
        <v>3912</v>
      </c>
      <c r="S1616" s="491" t="str">
        <f t="shared" si="51"/>
        <v>x</v>
      </c>
      <c r="T1616" s="492" t="str">
        <f>IFERROR(VLOOKUP(F1616,'Freq-Chan'!C:D,2,FALSE),"x")</f>
        <v>x</v>
      </c>
      <c r="U1616" s="110" t="s">
        <v>541</v>
      </c>
      <c r="V1616" s="110" t="str">
        <f t="shared" si="52"/>
        <v>FWL</v>
      </c>
      <c r="W1616" s="110" t="s">
        <v>541</v>
      </c>
      <c r="X1616" s="110" t="s">
        <v>541</v>
      </c>
      <c r="Y1616" s="110" t="str">
        <f>IFERROR(VLOOKUP(F1616,'Freq-Chan'!C:E,3,FALSE),"na")</f>
        <v>na</v>
      </c>
      <c r="Z1616" s="110" t="s">
        <v>541</v>
      </c>
      <c r="AA1616" s="110" t="s">
        <v>541</v>
      </c>
      <c r="AB1616" s="110" t="s">
        <v>541</v>
      </c>
      <c r="AC1616" s="10" t="s">
        <v>541</v>
      </c>
      <c r="AD1616" s="10" t="s">
        <v>541</v>
      </c>
    </row>
    <row r="1617" spans="1:30" x14ac:dyDescent="0.2">
      <c r="A1617" s="110">
        <v>1616</v>
      </c>
      <c r="B1617" s="132">
        <v>41852</v>
      </c>
      <c r="C1617" s="117">
        <v>2</v>
      </c>
      <c r="D1617" s="103" t="s">
        <v>70</v>
      </c>
      <c r="E1617" s="103" t="s">
        <v>306</v>
      </c>
      <c r="H1617" s="103"/>
      <c r="I1617" s="103">
        <v>43</v>
      </c>
      <c r="K1617" s="103" t="s">
        <v>365</v>
      </c>
      <c r="L1617" s="133"/>
      <c r="M1617" s="134">
        <v>1.7361111111111112E-2</v>
      </c>
      <c r="N1617" s="137" t="s">
        <v>3886</v>
      </c>
      <c r="O1617" s="133" t="s">
        <v>376</v>
      </c>
      <c r="Q1617" s="100" t="s">
        <v>3852</v>
      </c>
      <c r="R1617" s="226" t="s">
        <v>3912</v>
      </c>
      <c r="S1617" s="491" t="str">
        <f t="shared" si="51"/>
        <v>x</v>
      </c>
      <c r="T1617" s="492" t="str">
        <f>IFERROR(VLOOKUP(F1617,'Freq-Chan'!C:D,2,FALSE),"x")</f>
        <v>x</v>
      </c>
      <c r="U1617" s="110" t="s">
        <v>541</v>
      </c>
      <c r="V1617" s="110" t="str">
        <f t="shared" si="52"/>
        <v>FWL</v>
      </c>
      <c r="W1617" s="110" t="s">
        <v>541</v>
      </c>
      <c r="X1617" s="110" t="s">
        <v>541</v>
      </c>
      <c r="Y1617" s="110" t="str">
        <f>IFERROR(VLOOKUP(F1617,'Freq-Chan'!C:E,3,FALSE),"na")</f>
        <v>na</v>
      </c>
      <c r="Z1617" s="110" t="s">
        <v>541</v>
      </c>
      <c r="AA1617" s="110" t="s">
        <v>541</v>
      </c>
      <c r="AB1617" s="110" t="s">
        <v>541</v>
      </c>
      <c r="AC1617" s="10" t="s">
        <v>541</v>
      </c>
      <c r="AD1617" s="10" t="s">
        <v>541</v>
      </c>
    </row>
    <row r="1618" spans="1:30" x14ac:dyDescent="0.2">
      <c r="A1618" s="110">
        <v>1617</v>
      </c>
      <c r="B1618" s="132">
        <v>41852</v>
      </c>
      <c r="C1618" s="117">
        <v>2</v>
      </c>
      <c r="D1618" s="103" t="s">
        <v>71</v>
      </c>
      <c r="E1618" s="103" t="s">
        <v>306</v>
      </c>
      <c r="H1618" s="103"/>
      <c r="I1618" s="103">
        <v>63</v>
      </c>
      <c r="K1618" s="103" t="s">
        <v>364</v>
      </c>
      <c r="L1618" s="133">
        <v>0.67499999999999993</v>
      </c>
      <c r="M1618" s="134">
        <v>3.8194444444444441E-2</v>
      </c>
      <c r="N1618" s="137" t="s">
        <v>3914</v>
      </c>
      <c r="O1618" s="133" t="s">
        <v>376</v>
      </c>
      <c r="Q1618" s="100" t="s">
        <v>3852</v>
      </c>
      <c r="R1618" s="226" t="s">
        <v>3912</v>
      </c>
      <c r="S1618" s="491">
        <f t="shared" si="51"/>
        <v>7.5231479999999997E-4</v>
      </c>
      <c r="T1618" s="492" t="str">
        <f>IFERROR(VLOOKUP(F1618,'Freq-Chan'!C:D,2,FALSE),"x")</f>
        <v>x</v>
      </c>
      <c r="U1618" s="110" t="s">
        <v>541</v>
      </c>
      <c r="V1618" s="110" t="str">
        <f t="shared" si="52"/>
        <v>FWL</v>
      </c>
      <c r="W1618" s="110" t="s">
        <v>541</v>
      </c>
      <c r="X1618" s="110" t="s">
        <v>541</v>
      </c>
      <c r="Y1618" s="110" t="str">
        <f>IFERROR(VLOOKUP(F1618,'Freq-Chan'!C:E,3,FALSE),"na")</f>
        <v>na</v>
      </c>
      <c r="Z1618" s="110" t="s">
        <v>541</v>
      </c>
      <c r="AA1618" s="110" t="s">
        <v>541</v>
      </c>
      <c r="AB1618" s="110" t="s">
        <v>541</v>
      </c>
      <c r="AC1618" s="10" t="s">
        <v>541</v>
      </c>
      <c r="AD1618" s="10" t="s">
        <v>541</v>
      </c>
    </row>
    <row r="1619" spans="1:30" x14ac:dyDescent="0.2">
      <c r="A1619" s="110">
        <v>1618</v>
      </c>
      <c r="B1619" s="132">
        <v>41852</v>
      </c>
      <c r="C1619" s="117">
        <v>2</v>
      </c>
      <c r="D1619" s="103" t="s">
        <v>71</v>
      </c>
      <c r="E1619" s="103" t="s">
        <v>306</v>
      </c>
      <c r="H1619" s="103"/>
      <c r="I1619" s="103">
        <v>57</v>
      </c>
      <c r="K1619" s="103" t="s">
        <v>364</v>
      </c>
      <c r="L1619" s="133"/>
      <c r="M1619" s="134">
        <v>2.013888888888889E-2</v>
      </c>
      <c r="N1619" s="137" t="s">
        <v>847</v>
      </c>
      <c r="O1619" s="133" t="s">
        <v>1585</v>
      </c>
      <c r="Q1619" s="100" t="s">
        <v>3852</v>
      </c>
      <c r="R1619" s="226" t="s">
        <v>3912</v>
      </c>
      <c r="S1619" s="491" t="str">
        <f t="shared" si="51"/>
        <v>x</v>
      </c>
      <c r="T1619" s="492" t="str">
        <f>IFERROR(VLOOKUP(F1619,'Freq-Chan'!C:D,2,FALSE),"x")</f>
        <v>x</v>
      </c>
      <c r="U1619" s="110" t="s">
        <v>541</v>
      </c>
      <c r="V1619" s="110" t="str">
        <f t="shared" si="52"/>
        <v>FWL</v>
      </c>
      <c r="W1619" s="110" t="s">
        <v>541</v>
      </c>
      <c r="X1619" s="110" t="s">
        <v>541</v>
      </c>
      <c r="Y1619" s="110" t="str">
        <f>IFERROR(VLOOKUP(F1619,'Freq-Chan'!C:E,3,FALSE),"na")</f>
        <v>na</v>
      </c>
      <c r="Z1619" s="110" t="s">
        <v>541</v>
      </c>
      <c r="AA1619" s="110" t="s">
        <v>541</v>
      </c>
      <c r="AB1619" s="110" t="s">
        <v>541</v>
      </c>
      <c r="AC1619" s="10" t="s">
        <v>541</v>
      </c>
      <c r="AD1619" s="10" t="s">
        <v>541</v>
      </c>
    </row>
    <row r="1620" spans="1:30" x14ac:dyDescent="0.2">
      <c r="A1620" s="110">
        <v>1619</v>
      </c>
      <c r="B1620" s="132">
        <v>41852</v>
      </c>
      <c r="C1620" s="117">
        <v>2</v>
      </c>
      <c r="D1620" s="103" t="s">
        <v>70</v>
      </c>
      <c r="E1620" s="103" t="s">
        <v>306</v>
      </c>
      <c r="H1620" s="103"/>
      <c r="I1620" s="103">
        <v>48</v>
      </c>
      <c r="K1620" s="103" t="s">
        <v>1032</v>
      </c>
      <c r="L1620" s="133"/>
      <c r="M1620" s="134">
        <v>1.7361111111111112E-2</v>
      </c>
      <c r="N1620" s="137" t="s">
        <v>3887</v>
      </c>
      <c r="O1620" s="133" t="s">
        <v>1585</v>
      </c>
      <c r="Q1620" s="100" t="s">
        <v>3852</v>
      </c>
      <c r="R1620" s="226" t="s">
        <v>3912</v>
      </c>
      <c r="S1620" s="491" t="str">
        <f t="shared" si="51"/>
        <v>x</v>
      </c>
      <c r="T1620" s="492" t="str">
        <f>IFERROR(VLOOKUP(F1620,'Freq-Chan'!C:D,2,FALSE),"x")</f>
        <v>x</v>
      </c>
      <c r="U1620" s="110" t="s">
        <v>541</v>
      </c>
      <c r="V1620" s="110" t="str">
        <f t="shared" si="52"/>
        <v>FWL</v>
      </c>
      <c r="W1620" s="110" t="s">
        <v>541</v>
      </c>
      <c r="X1620" s="110" t="s">
        <v>541</v>
      </c>
      <c r="Y1620" s="110" t="str">
        <f>IFERROR(VLOOKUP(F1620,'Freq-Chan'!C:E,3,FALSE),"na")</f>
        <v>na</v>
      </c>
      <c r="Z1620" s="110" t="s">
        <v>541</v>
      </c>
      <c r="AA1620" s="110" t="s">
        <v>541</v>
      </c>
      <c r="AB1620" s="110" t="s">
        <v>541</v>
      </c>
      <c r="AC1620" s="10" t="s">
        <v>541</v>
      </c>
      <c r="AD1620" s="10" t="s">
        <v>541</v>
      </c>
    </row>
    <row r="1621" spans="1:30" x14ac:dyDescent="0.2">
      <c r="A1621" s="110">
        <v>1620</v>
      </c>
      <c r="B1621" s="132">
        <v>41852</v>
      </c>
      <c r="C1621" s="117">
        <v>2</v>
      </c>
      <c r="D1621" s="103" t="s">
        <v>71</v>
      </c>
      <c r="E1621" s="103" t="s">
        <v>306</v>
      </c>
      <c r="H1621" s="103"/>
      <c r="I1621" s="103">
        <v>60</v>
      </c>
      <c r="K1621" s="103" t="s">
        <v>364</v>
      </c>
      <c r="L1621" s="133"/>
      <c r="M1621" s="134">
        <v>1.8055555555555557E-2</v>
      </c>
      <c r="N1621" s="137" t="s">
        <v>3888</v>
      </c>
      <c r="O1621" s="133" t="s">
        <v>1585</v>
      </c>
      <c r="Q1621" s="100" t="s">
        <v>3852</v>
      </c>
      <c r="R1621" s="226" t="s">
        <v>3912</v>
      </c>
      <c r="S1621" s="491" t="str">
        <f t="shared" si="51"/>
        <v>x</v>
      </c>
      <c r="T1621" s="492" t="str">
        <f>IFERROR(VLOOKUP(F1621,'Freq-Chan'!C:D,2,FALSE),"x")</f>
        <v>x</v>
      </c>
      <c r="U1621" s="110" t="s">
        <v>541</v>
      </c>
      <c r="V1621" s="110" t="str">
        <f t="shared" si="52"/>
        <v>FWL</v>
      </c>
      <c r="W1621" s="110" t="s">
        <v>541</v>
      </c>
      <c r="X1621" s="110" t="s">
        <v>541</v>
      </c>
      <c r="Y1621" s="110" t="str">
        <f>IFERROR(VLOOKUP(F1621,'Freq-Chan'!C:E,3,FALSE),"na")</f>
        <v>na</v>
      </c>
      <c r="Z1621" s="110" t="s">
        <v>541</v>
      </c>
      <c r="AA1621" s="110" t="s">
        <v>541</v>
      </c>
      <c r="AB1621" s="110" t="s">
        <v>541</v>
      </c>
      <c r="AC1621" s="10" t="s">
        <v>541</v>
      </c>
      <c r="AD1621" s="10" t="s">
        <v>541</v>
      </c>
    </row>
    <row r="1622" spans="1:30" x14ac:dyDescent="0.2">
      <c r="A1622" s="110">
        <v>1621</v>
      </c>
      <c r="B1622" s="132">
        <v>41852</v>
      </c>
      <c r="C1622" s="117">
        <v>2</v>
      </c>
      <c r="D1622" s="103" t="s">
        <v>71</v>
      </c>
      <c r="E1622" s="103" t="s">
        <v>306</v>
      </c>
      <c r="H1622" s="103"/>
      <c r="I1622" s="103">
        <v>61</v>
      </c>
      <c r="K1622" s="103" t="s">
        <v>364</v>
      </c>
      <c r="L1622" s="133"/>
      <c r="M1622" s="134">
        <v>3.6111111111111115E-2</v>
      </c>
      <c r="N1622" s="137" t="s">
        <v>2521</v>
      </c>
      <c r="O1622" s="133" t="s">
        <v>1585</v>
      </c>
      <c r="P1622" s="100" t="s">
        <v>3915</v>
      </c>
      <c r="Q1622" s="100" t="s">
        <v>3852</v>
      </c>
      <c r="R1622" s="226" t="s">
        <v>3912</v>
      </c>
      <c r="S1622" s="491" t="str">
        <f t="shared" si="51"/>
        <v>x</v>
      </c>
      <c r="T1622" s="492" t="str">
        <f>IFERROR(VLOOKUP(F1622,'Freq-Chan'!C:D,2,FALSE),"x")</f>
        <v>x</v>
      </c>
      <c r="U1622" s="110" t="s">
        <v>541</v>
      </c>
      <c r="V1622" s="110" t="str">
        <f t="shared" si="52"/>
        <v>FWL</v>
      </c>
      <c r="W1622" s="110" t="s">
        <v>541</v>
      </c>
      <c r="X1622" s="110" t="s">
        <v>541</v>
      </c>
      <c r="Y1622" s="110" t="str">
        <f>IFERROR(VLOOKUP(F1622,'Freq-Chan'!C:E,3,FALSE),"na")</f>
        <v>na</v>
      </c>
      <c r="Z1622" s="110" t="s">
        <v>541</v>
      </c>
      <c r="AA1622" s="110" t="s">
        <v>541</v>
      </c>
      <c r="AB1622" s="110" t="s">
        <v>541</v>
      </c>
      <c r="AC1622" s="10" t="s">
        <v>541</v>
      </c>
      <c r="AD1622" s="10" t="s">
        <v>541</v>
      </c>
    </row>
    <row r="1623" spans="1:30" s="291" customFormat="1" x14ac:dyDescent="0.2">
      <c r="A1623" s="493">
        <v>1622</v>
      </c>
      <c r="B1623" s="283">
        <v>41852</v>
      </c>
      <c r="C1623" s="284">
        <v>2</v>
      </c>
      <c r="D1623" s="285" t="s">
        <v>71</v>
      </c>
      <c r="E1623" s="285" t="s">
        <v>306</v>
      </c>
      <c r="F1623" s="285"/>
      <c r="G1623" s="285"/>
      <c r="H1623" s="285"/>
      <c r="I1623" s="285">
        <v>61</v>
      </c>
      <c r="J1623" s="285"/>
      <c r="K1623" s="285" t="s">
        <v>364</v>
      </c>
      <c r="L1623" s="286"/>
      <c r="M1623" s="287">
        <v>2.4999999999999998E-2</v>
      </c>
      <c r="N1623" s="339" t="s">
        <v>2586</v>
      </c>
      <c r="O1623" s="286" t="s">
        <v>1585</v>
      </c>
      <c r="P1623" s="289" t="s">
        <v>3890</v>
      </c>
      <c r="Q1623" s="289" t="s">
        <v>3852</v>
      </c>
      <c r="R1623" s="290" t="s">
        <v>3912</v>
      </c>
      <c r="S1623" s="494" t="str">
        <f t="shared" si="51"/>
        <v>x</v>
      </c>
      <c r="T1623" s="495" t="str">
        <f>IFERROR(VLOOKUP(F1623,'Freq-Chan'!C:D,2,FALSE),"x")</f>
        <v>x</v>
      </c>
      <c r="U1623" s="493" t="s">
        <v>541</v>
      </c>
      <c r="V1623" s="493" t="str">
        <f t="shared" si="52"/>
        <v>FWL</v>
      </c>
      <c r="W1623" s="493" t="s">
        <v>541</v>
      </c>
      <c r="X1623" s="493" t="s">
        <v>541</v>
      </c>
      <c r="Y1623" s="493" t="str">
        <f>IFERROR(VLOOKUP(F1623,'Freq-Chan'!C:E,3,FALSE),"na")</f>
        <v>na</v>
      </c>
      <c r="Z1623" s="493" t="s">
        <v>541</v>
      </c>
      <c r="AA1623" s="493" t="s">
        <v>541</v>
      </c>
      <c r="AB1623" s="493" t="s">
        <v>541</v>
      </c>
      <c r="AC1623" s="291" t="s">
        <v>541</v>
      </c>
      <c r="AD1623" s="291" t="s">
        <v>541</v>
      </c>
    </row>
    <row r="1624" spans="1:30" x14ac:dyDescent="0.2">
      <c r="A1624" s="110">
        <v>1623</v>
      </c>
      <c r="B1624" s="132">
        <v>41852</v>
      </c>
      <c r="C1624" s="117">
        <v>3</v>
      </c>
      <c r="D1624" s="103" t="s">
        <v>70</v>
      </c>
      <c r="E1624" s="103" t="s">
        <v>306</v>
      </c>
      <c r="F1624" s="103">
        <v>515</v>
      </c>
      <c r="G1624" s="103">
        <v>84</v>
      </c>
      <c r="H1624" s="103" t="s">
        <v>3025</v>
      </c>
      <c r="I1624" s="103">
        <v>47</v>
      </c>
      <c r="K1624" s="103" t="s">
        <v>1032</v>
      </c>
      <c r="L1624" s="133"/>
      <c r="M1624" s="134">
        <v>3.9583333333333331E-2</v>
      </c>
      <c r="N1624" s="137" t="s">
        <v>3891</v>
      </c>
      <c r="O1624" s="133" t="s">
        <v>376</v>
      </c>
      <c r="Q1624" s="100" t="s">
        <v>3858</v>
      </c>
      <c r="R1624" s="226" t="s">
        <v>3912</v>
      </c>
      <c r="S1624" s="491" t="str">
        <f t="shared" si="51"/>
        <v>x</v>
      </c>
      <c r="T1624" s="492">
        <f>IFERROR(VLOOKUP(F1624,'Freq-Chan'!C:D,2,FALSE),"x")</f>
        <v>151.51499999999999</v>
      </c>
      <c r="U1624" s="110" t="s">
        <v>541</v>
      </c>
      <c r="V1624" s="110" t="str">
        <f t="shared" si="52"/>
        <v>FWL</v>
      </c>
      <c r="W1624" s="110" t="s">
        <v>541</v>
      </c>
      <c r="X1624" s="110" t="s">
        <v>541</v>
      </c>
      <c r="Y1624" s="110" t="str">
        <f>IFERROR(VLOOKUP(F1624,'Freq-Chan'!C:E,3,FALSE),"na")</f>
        <v>F1835</v>
      </c>
      <c r="Z1624" s="110" t="s">
        <v>541</v>
      </c>
      <c r="AA1624" s="110" t="s">
        <v>541</v>
      </c>
      <c r="AB1624" s="110" t="s">
        <v>541</v>
      </c>
      <c r="AC1624" s="10" t="s">
        <v>541</v>
      </c>
      <c r="AD1624" s="10" t="s">
        <v>541</v>
      </c>
    </row>
    <row r="1625" spans="1:30" x14ac:dyDescent="0.2">
      <c r="A1625" s="110">
        <v>1624</v>
      </c>
      <c r="B1625" s="132">
        <v>41852</v>
      </c>
      <c r="C1625" s="117">
        <v>3</v>
      </c>
      <c r="D1625" s="103" t="s">
        <v>70</v>
      </c>
      <c r="E1625" s="103" t="s">
        <v>306</v>
      </c>
      <c r="F1625" s="103">
        <v>515</v>
      </c>
      <c r="G1625" s="103">
        <v>69</v>
      </c>
      <c r="H1625" s="103" t="s">
        <v>3026</v>
      </c>
      <c r="I1625" s="103">
        <v>47</v>
      </c>
      <c r="K1625" s="103" t="s">
        <v>1032</v>
      </c>
      <c r="L1625" s="133"/>
      <c r="M1625" s="134">
        <v>3.6111111111111115E-2</v>
      </c>
      <c r="N1625" s="137" t="s">
        <v>3892</v>
      </c>
      <c r="O1625" s="133" t="s">
        <v>1585</v>
      </c>
      <c r="Q1625" s="100" t="s">
        <v>3858</v>
      </c>
      <c r="R1625" s="226" t="s">
        <v>3912</v>
      </c>
      <c r="S1625" s="491" t="str">
        <f t="shared" si="51"/>
        <v>x</v>
      </c>
      <c r="T1625" s="492">
        <f>IFERROR(VLOOKUP(F1625,'Freq-Chan'!C:D,2,FALSE),"x")</f>
        <v>151.51499999999999</v>
      </c>
      <c r="U1625" s="110" t="s">
        <v>541</v>
      </c>
      <c r="V1625" s="110" t="str">
        <f t="shared" si="52"/>
        <v>FWL</v>
      </c>
      <c r="W1625" s="110" t="s">
        <v>541</v>
      </c>
      <c r="X1625" s="110" t="s">
        <v>541</v>
      </c>
      <c r="Y1625" s="110" t="str">
        <f>IFERROR(VLOOKUP(F1625,'Freq-Chan'!C:E,3,FALSE),"na")</f>
        <v>F1835</v>
      </c>
      <c r="Z1625" s="110" t="s">
        <v>541</v>
      </c>
      <c r="AA1625" s="110" t="s">
        <v>541</v>
      </c>
      <c r="AB1625" s="110" t="s">
        <v>541</v>
      </c>
      <c r="AC1625" s="10" t="s">
        <v>541</v>
      </c>
      <c r="AD1625" s="10" t="s">
        <v>541</v>
      </c>
    </row>
    <row r="1626" spans="1:30" x14ac:dyDescent="0.2">
      <c r="A1626" s="110">
        <v>1625</v>
      </c>
      <c r="B1626" s="132">
        <v>41852</v>
      </c>
      <c r="C1626" s="117">
        <v>3</v>
      </c>
      <c r="D1626" s="103" t="s">
        <v>71</v>
      </c>
      <c r="E1626" s="103" t="s">
        <v>306</v>
      </c>
      <c r="F1626" s="103">
        <v>564</v>
      </c>
      <c r="G1626" s="103">
        <v>61</v>
      </c>
      <c r="H1626" s="103" t="s">
        <v>2338</v>
      </c>
      <c r="I1626" s="103">
        <v>53</v>
      </c>
      <c r="K1626" s="103" t="s">
        <v>364</v>
      </c>
      <c r="L1626" s="133"/>
      <c r="M1626" s="134">
        <v>3.4722222222222224E-2</v>
      </c>
      <c r="N1626" s="137" t="s">
        <v>3893</v>
      </c>
      <c r="O1626" s="133" t="s">
        <v>1585</v>
      </c>
      <c r="Q1626" s="100" t="s">
        <v>3858</v>
      </c>
      <c r="R1626" s="226" t="s">
        <v>3912</v>
      </c>
      <c r="S1626" s="491" t="str">
        <f t="shared" si="51"/>
        <v>x</v>
      </c>
      <c r="T1626" s="492">
        <f>IFERROR(VLOOKUP(F1626,'Freq-Chan'!C:D,2,FALSE),"x")</f>
        <v>151.56399999999999</v>
      </c>
      <c r="U1626" s="110" t="s">
        <v>541</v>
      </c>
      <c r="V1626" s="110" t="str">
        <f t="shared" si="52"/>
        <v>FWL</v>
      </c>
      <c r="W1626" s="110" t="s">
        <v>541</v>
      </c>
      <c r="X1626" s="110" t="s">
        <v>541</v>
      </c>
      <c r="Y1626" s="110" t="str">
        <f>IFERROR(VLOOKUP(F1626,'Freq-Chan'!C:E,3,FALSE),"na")</f>
        <v>F1840</v>
      </c>
      <c r="Z1626" s="110" t="s">
        <v>541</v>
      </c>
      <c r="AA1626" s="110" t="s">
        <v>541</v>
      </c>
      <c r="AB1626" s="110" t="s">
        <v>541</v>
      </c>
      <c r="AC1626" s="10" t="s">
        <v>541</v>
      </c>
      <c r="AD1626" s="10" t="s">
        <v>541</v>
      </c>
    </row>
    <row r="1627" spans="1:30" x14ac:dyDescent="0.2">
      <c r="A1627" s="110">
        <v>1626</v>
      </c>
      <c r="B1627" s="132">
        <v>41852</v>
      </c>
      <c r="C1627" s="117">
        <v>3</v>
      </c>
      <c r="D1627" s="103" t="s">
        <v>8</v>
      </c>
      <c r="E1627" s="103" t="s">
        <v>306</v>
      </c>
      <c r="H1627" s="103"/>
      <c r="I1627" s="103">
        <v>45</v>
      </c>
      <c r="K1627" s="103" t="s">
        <v>364</v>
      </c>
      <c r="L1627" s="133"/>
      <c r="M1627" s="134">
        <v>2.9861111111111113E-2</v>
      </c>
      <c r="N1627" s="137" t="s">
        <v>3894</v>
      </c>
      <c r="O1627" s="133" t="s">
        <v>1585</v>
      </c>
      <c r="P1627" s="100" t="s">
        <v>3916</v>
      </c>
      <c r="Q1627" s="100" t="s">
        <v>3858</v>
      </c>
      <c r="R1627" s="226" t="s">
        <v>3912</v>
      </c>
      <c r="S1627" s="491" t="str">
        <f t="shared" si="51"/>
        <v>x</v>
      </c>
      <c r="T1627" s="492" t="str">
        <f>IFERROR(VLOOKUP(F1627,'Freq-Chan'!C:D,2,FALSE),"x")</f>
        <v>x</v>
      </c>
      <c r="U1627" s="110" t="s">
        <v>541</v>
      </c>
      <c r="V1627" s="110" t="str">
        <f t="shared" si="52"/>
        <v>FWL</v>
      </c>
      <c r="W1627" s="110" t="s">
        <v>541</v>
      </c>
      <c r="X1627" s="110" t="s">
        <v>541</v>
      </c>
      <c r="Y1627" s="110" t="str">
        <f>IFERROR(VLOOKUP(F1627,'Freq-Chan'!C:E,3,FALSE),"na")</f>
        <v>na</v>
      </c>
      <c r="Z1627" s="110" t="s">
        <v>541</v>
      </c>
      <c r="AA1627" s="110" t="s">
        <v>541</v>
      </c>
      <c r="AB1627" s="110" t="s">
        <v>541</v>
      </c>
      <c r="AC1627" s="10" t="s">
        <v>541</v>
      </c>
      <c r="AD1627" s="10" t="s">
        <v>541</v>
      </c>
    </row>
    <row r="1628" spans="1:30" x14ac:dyDescent="0.2">
      <c r="A1628" s="110">
        <v>1627</v>
      </c>
      <c r="B1628" s="132">
        <v>41852</v>
      </c>
      <c r="C1628" s="117">
        <v>3</v>
      </c>
      <c r="D1628" s="103" t="s">
        <v>70</v>
      </c>
      <c r="E1628" s="103" t="s">
        <v>306</v>
      </c>
      <c r="H1628" s="103"/>
      <c r="I1628" s="103">
        <v>50</v>
      </c>
      <c r="K1628" s="103" t="s">
        <v>1032</v>
      </c>
      <c r="L1628" s="133"/>
      <c r="M1628" s="134">
        <v>2.0833333333333332E-2</v>
      </c>
      <c r="N1628" s="137" t="s">
        <v>3883</v>
      </c>
      <c r="O1628" s="133" t="s">
        <v>1585</v>
      </c>
      <c r="Q1628" s="100" t="s">
        <v>3858</v>
      </c>
      <c r="R1628" s="226" t="s">
        <v>3912</v>
      </c>
      <c r="S1628" s="491" t="str">
        <f t="shared" si="51"/>
        <v>x</v>
      </c>
      <c r="T1628" s="492" t="str">
        <f>IFERROR(VLOOKUP(F1628,'Freq-Chan'!C:D,2,FALSE),"x")</f>
        <v>x</v>
      </c>
      <c r="U1628" s="110" t="s">
        <v>541</v>
      </c>
      <c r="V1628" s="110" t="str">
        <f t="shared" si="52"/>
        <v>FWL</v>
      </c>
      <c r="W1628" s="110" t="s">
        <v>541</v>
      </c>
      <c r="X1628" s="110" t="s">
        <v>541</v>
      </c>
      <c r="Y1628" s="110" t="str">
        <f>IFERROR(VLOOKUP(F1628,'Freq-Chan'!C:E,3,FALSE),"na")</f>
        <v>na</v>
      </c>
      <c r="Z1628" s="110" t="s">
        <v>541</v>
      </c>
      <c r="AA1628" s="110" t="s">
        <v>541</v>
      </c>
      <c r="AB1628" s="110" t="s">
        <v>541</v>
      </c>
      <c r="AC1628" s="10" t="s">
        <v>541</v>
      </c>
      <c r="AD1628" s="10" t="s">
        <v>541</v>
      </c>
    </row>
    <row r="1629" spans="1:30" x14ac:dyDescent="0.2">
      <c r="A1629" s="110">
        <v>1628</v>
      </c>
      <c r="B1629" s="132">
        <v>41852</v>
      </c>
      <c r="C1629" s="117">
        <v>3</v>
      </c>
      <c r="D1629" s="103" t="s">
        <v>70</v>
      </c>
      <c r="E1629" s="103" t="s">
        <v>306</v>
      </c>
      <c r="H1629" s="103"/>
      <c r="I1629" s="103">
        <v>50</v>
      </c>
      <c r="K1629" s="103" t="s">
        <v>365</v>
      </c>
      <c r="L1629" s="133"/>
      <c r="M1629" s="134">
        <v>1.8055555555555557E-2</v>
      </c>
      <c r="N1629" s="137" t="s">
        <v>782</v>
      </c>
      <c r="O1629" s="133" t="s">
        <v>1585</v>
      </c>
      <c r="Q1629" s="100" t="s">
        <v>3858</v>
      </c>
      <c r="R1629" s="226" t="s">
        <v>3912</v>
      </c>
      <c r="S1629" s="491" t="str">
        <f t="shared" si="51"/>
        <v>x</v>
      </c>
      <c r="T1629" s="492" t="str">
        <f>IFERROR(VLOOKUP(F1629,'Freq-Chan'!C:D,2,FALSE),"x")</f>
        <v>x</v>
      </c>
      <c r="U1629" s="110" t="s">
        <v>541</v>
      </c>
      <c r="V1629" s="110" t="str">
        <f t="shared" si="52"/>
        <v>FWL</v>
      </c>
      <c r="W1629" s="110" t="s">
        <v>541</v>
      </c>
      <c r="X1629" s="110" t="s">
        <v>541</v>
      </c>
      <c r="Y1629" s="110" t="str">
        <f>IFERROR(VLOOKUP(F1629,'Freq-Chan'!C:E,3,FALSE),"na")</f>
        <v>na</v>
      </c>
      <c r="Z1629" s="110" t="s">
        <v>541</v>
      </c>
      <c r="AA1629" s="110" t="s">
        <v>541</v>
      </c>
      <c r="AB1629" s="110" t="s">
        <v>541</v>
      </c>
      <c r="AC1629" s="10" t="s">
        <v>541</v>
      </c>
      <c r="AD1629" s="10" t="s">
        <v>541</v>
      </c>
    </row>
    <row r="1630" spans="1:30" x14ac:dyDescent="0.2">
      <c r="A1630" s="110">
        <v>1629</v>
      </c>
      <c r="B1630" s="132">
        <v>41852</v>
      </c>
      <c r="C1630" s="117">
        <v>3</v>
      </c>
      <c r="D1630" s="103" t="s">
        <v>70</v>
      </c>
      <c r="E1630" s="103" t="s">
        <v>306</v>
      </c>
      <c r="H1630" s="141"/>
      <c r="I1630" s="103">
        <v>44</v>
      </c>
      <c r="K1630" s="103" t="s">
        <v>365</v>
      </c>
      <c r="L1630" s="133"/>
      <c r="M1630" s="134">
        <v>2.2222222222222223E-2</v>
      </c>
      <c r="N1630" s="137" t="s">
        <v>3895</v>
      </c>
      <c r="O1630" s="133" t="s">
        <v>1585</v>
      </c>
      <c r="Q1630" s="100" t="s">
        <v>3858</v>
      </c>
      <c r="R1630" s="226" t="s">
        <v>3912</v>
      </c>
      <c r="S1630" s="491" t="str">
        <f t="shared" si="51"/>
        <v>x</v>
      </c>
      <c r="T1630" s="492" t="str">
        <f>IFERROR(VLOOKUP(F1630,'Freq-Chan'!C:D,2,FALSE),"x")</f>
        <v>x</v>
      </c>
      <c r="U1630" s="110" t="s">
        <v>541</v>
      </c>
      <c r="V1630" s="110" t="str">
        <f t="shared" si="52"/>
        <v>FWL</v>
      </c>
      <c r="W1630" s="110" t="s">
        <v>541</v>
      </c>
      <c r="X1630" s="110" t="s">
        <v>541</v>
      </c>
      <c r="Y1630" s="110" t="str">
        <f>IFERROR(VLOOKUP(F1630,'Freq-Chan'!C:E,3,FALSE),"na")</f>
        <v>na</v>
      </c>
      <c r="Z1630" s="110" t="s">
        <v>541</v>
      </c>
      <c r="AA1630" s="110" t="s">
        <v>541</v>
      </c>
      <c r="AB1630" s="110" t="s">
        <v>541</v>
      </c>
      <c r="AC1630" s="10" t="s">
        <v>541</v>
      </c>
      <c r="AD1630" s="10" t="s">
        <v>541</v>
      </c>
    </row>
    <row r="1631" spans="1:30" x14ac:dyDescent="0.2">
      <c r="A1631" s="110">
        <v>1630</v>
      </c>
      <c r="B1631" s="132">
        <v>41852</v>
      </c>
      <c r="C1631" s="117">
        <v>3</v>
      </c>
      <c r="D1631" s="103" t="s">
        <v>70</v>
      </c>
      <c r="E1631" s="103" t="s">
        <v>306</v>
      </c>
      <c r="H1631" s="103"/>
      <c r="I1631" s="103">
        <v>46</v>
      </c>
      <c r="K1631" s="103" t="s">
        <v>1032</v>
      </c>
      <c r="L1631" s="133"/>
      <c r="M1631" s="134">
        <v>1.5972222222222224E-2</v>
      </c>
      <c r="N1631" s="137" t="s">
        <v>3896</v>
      </c>
      <c r="O1631" s="133" t="s">
        <v>376</v>
      </c>
      <c r="Q1631" s="100" t="s">
        <v>3858</v>
      </c>
      <c r="R1631" s="226" t="s">
        <v>3912</v>
      </c>
      <c r="S1631" s="491" t="str">
        <f t="shared" si="51"/>
        <v>x</v>
      </c>
      <c r="T1631" s="492" t="str">
        <f>IFERROR(VLOOKUP(F1631,'Freq-Chan'!C:D,2,FALSE),"x")</f>
        <v>x</v>
      </c>
      <c r="U1631" s="110" t="s">
        <v>541</v>
      </c>
      <c r="V1631" s="110" t="str">
        <f t="shared" si="52"/>
        <v>FWL</v>
      </c>
      <c r="W1631" s="110" t="s">
        <v>541</v>
      </c>
      <c r="X1631" s="110" t="s">
        <v>541</v>
      </c>
      <c r="Y1631" s="110" t="str">
        <f>IFERROR(VLOOKUP(F1631,'Freq-Chan'!C:E,3,FALSE),"na")</f>
        <v>na</v>
      </c>
      <c r="Z1631" s="110" t="s">
        <v>541</v>
      </c>
      <c r="AA1631" s="110" t="s">
        <v>541</v>
      </c>
      <c r="AB1631" s="110" t="s">
        <v>541</v>
      </c>
      <c r="AC1631" s="10" t="s">
        <v>541</v>
      </c>
      <c r="AD1631" s="10" t="s">
        <v>541</v>
      </c>
    </row>
    <row r="1632" spans="1:30" x14ac:dyDescent="0.2">
      <c r="A1632" s="110">
        <v>1631</v>
      </c>
      <c r="B1632" s="132">
        <v>41852</v>
      </c>
      <c r="C1632" s="117">
        <v>3</v>
      </c>
      <c r="D1632" s="103" t="s">
        <v>70</v>
      </c>
      <c r="E1632" s="103" t="s">
        <v>306</v>
      </c>
      <c r="H1632" s="103"/>
      <c r="I1632" s="103">
        <v>47</v>
      </c>
      <c r="K1632" s="103" t="s">
        <v>1032</v>
      </c>
      <c r="L1632" s="133"/>
      <c r="M1632" s="134">
        <v>1.8749999999999999E-2</v>
      </c>
      <c r="N1632" s="137" t="s">
        <v>3897</v>
      </c>
      <c r="O1632" s="133" t="s">
        <v>376</v>
      </c>
      <c r="Q1632" s="100" t="s">
        <v>3858</v>
      </c>
      <c r="R1632" s="226" t="s">
        <v>3912</v>
      </c>
      <c r="S1632" s="491" t="str">
        <f t="shared" si="51"/>
        <v>x</v>
      </c>
      <c r="T1632" s="492" t="str">
        <f>IFERROR(VLOOKUP(F1632,'Freq-Chan'!C:D,2,FALSE),"x")</f>
        <v>x</v>
      </c>
      <c r="U1632" s="110" t="s">
        <v>541</v>
      </c>
      <c r="V1632" s="110" t="str">
        <f t="shared" si="52"/>
        <v>FWL</v>
      </c>
      <c r="W1632" s="110" t="s">
        <v>541</v>
      </c>
      <c r="X1632" s="110" t="s">
        <v>541</v>
      </c>
      <c r="Y1632" s="110" t="str">
        <f>IFERROR(VLOOKUP(F1632,'Freq-Chan'!C:E,3,FALSE),"na")</f>
        <v>na</v>
      </c>
      <c r="Z1632" s="110" t="s">
        <v>541</v>
      </c>
      <c r="AA1632" s="110" t="s">
        <v>541</v>
      </c>
      <c r="AB1632" s="110" t="s">
        <v>541</v>
      </c>
      <c r="AC1632" s="10" t="s">
        <v>541</v>
      </c>
      <c r="AD1632" s="10" t="s">
        <v>541</v>
      </c>
    </row>
    <row r="1633" spans="1:30" x14ac:dyDescent="0.2">
      <c r="A1633" s="110">
        <v>1632</v>
      </c>
      <c r="B1633" s="132">
        <v>41852</v>
      </c>
      <c r="C1633" s="117">
        <v>3</v>
      </c>
      <c r="D1633" s="103" t="s">
        <v>71</v>
      </c>
      <c r="E1633" s="103" t="s">
        <v>306</v>
      </c>
      <c r="F1633" s="103">
        <v>564</v>
      </c>
      <c r="G1633" s="103">
        <v>1</v>
      </c>
      <c r="H1633" s="103" t="s">
        <v>2339</v>
      </c>
      <c r="I1633" s="103">
        <v>63</v>
      </c>
      <c r="K1633" s="103" t="s">
        <v>364</v>
      </c>
      <c r="L1633" s="133"/>
      <c r="M1633" s="134">
        <v>4.9999999999999996E-2</v>
      </c>
      <c r="N1633" s="137" t="s">
        <v>3861</v>
      </c>
      <c r="O1633" s="133" t="s">
        <v>376</v>
      </c>
      <c r="Q1633" s="100" t="s">
        <v>3858</v>
      </c>
      <c r="R1633" s="226" t="s">
        <v>3912</v>
      </c>
      <c r="S1633" s="491" t="str">
        <f t="shared" si="51"/>
        <v>x</v>
      </c>
      <c r="T1633" s="492">
        <f>IFERROR(VLOOKUP(F1633,'Freq-Chan'!C:D,2,FALSE),"x")</f>
        <v>151.56399999999999</v>
      </c>
      <c r="U1633" s="110" t="s">
        <v>541</v>
      </c>
      <c r="V1633" s="110" t="str">
        <f t="shared" si="52"/>
        <v>FWL</v>
      </c>
      <c r="W1633" s="110" t="s">
        <v>541</v>
      </c>
      <c r="X1633" s="110" t="s">
        <v>541</v>
      </c>
      <c r="Y1633" s="110" t="str">
        <f>IFERROR(VLOOKUP(F1633,'Freq-Chan'!C:E,3,FALSE),"na")</f>
        <v>F1840</v>
      </c>
      <c r="Z1633" s="110" t="s">
        <v>541</v>
      </c>
      <c r="AA1633" s="110" t="s">
        <v>541</v>
      </c>
      <c r="AB1633" s="110" t="s">
        <v>541</v>
      </c>
      <c r="AC1633" s="10" t="s">
        <v>541</v>
      </c>
      <c r="AD1633" s="10" t="s">
        <v>541</v>
      </c>
    </row>
    <row r="1634" spans="1:30" x14ac:dyDescent="0.2">
      <c r="A1634" s="110">
        <v>1633</v>
      </c>
      <c r="B1634" s="132">
        <v>41852</v>
      </c>
      <c r="C1634" s="117">
        <v>3</v>
      </c>
      <c r="D1634" s="103" t="s">
        <v>72</v>
      </c>
      <c r="E1634" s="103" t="s">
        <v>306</v>
      </c>
      <c r="F1634" s="103">
        <v>325</v>
      </c>
      <c r="G1634" s="103">
        <v>84</v>
      </c>
      <c r="H1634" s="103" t="s">
        <v>3516</v>
      </c>
      <c r="I1634" s="103">
        <v>47</v>
      </c>
      <c r="K1634" s="103" t="s">
        <v>364</v>
      </c>
      <c r="L1634" s="133"/>
      <c r="M1634" s="134">
        <v>3.7499999999999999E-2</v>
      </c>
      <c r="N1634" s="137" t="s">
        <v>3862</v>
      </c>
      <c r="O1634" s="133" t="s">
        <v>376</v>
      </c>
      <c r="P1634" s="100" t="s">
        <v>3900</v>
      </c>
      <c r="Q1634" s="100" t="s">
        <v>3858</v>
      </c>
      <c r="R1634" s="226" t="s">
        <v>3912</v>
      </c>
      <c r="S1634" s="491" t="str">
        <f t="shared" si="51"/>
        <v>x</v>
      </c>
      <c r="T1634" s="492">
        <f>IFERROR(VLOOKUP(F1634,'Freq-Chan'!C:D,2,FALSE),"x")</f>
        <v>151.32499999999999</v>
      </c>
      <c r="U1634" s="110" t="s">
        <v>541</v>
      </c>
      <c r="V1634" s="110" t="str">
        <f t="shared" si="52"/>
        <v>FWL</v>
      </c>
      <c r="W1634" s="110" t="s">
        <v>541</v>
      </c>
      <c r="X1634" s="110" t="s">
        <v>541</v>
      </c>
      <c r="Y1634" s="110" t="str">
        <f>IFERROR(VLOOKUP(F1634,'Freq-Chan'!C:E,3,FALSE),"na")</f>
        <v>F1840</v>
      </c>
      <c r="Z1634" s="110" t="s">
        <v>541</v>
      </c>
      <c r="AA1634" s="110" t="s">
        <v>541</v>
      </c>
      <c r="AB1634" s="110" t="s">
        <v>541</v>
      </c>
      <c r="AC1634" s="10" t="s">
        <v>541</v>
      </c>
      <c r="AD1634" s="10" t="s">
        <v>541</v>
      </c>
    </row>
    <row r="1635" spans="1:30" x14ac:dyDescent="0.2">
      <c r="A1635" s="110">
        <v>1634</v>
      </c>
      <c r="B1635" s="132">
        <v>41852</v>
      </c>
      <c r="C1635" s="117">
        <v>3</v>
      </c>
      <c r="D1635" s="103" t="s">
        <v>70</v>
      </c>
      <c r="E1635" s="103" t="s">
        <v>306</v>
      </c>
      <c r="H1635" s="103"/>
      <c r="I1635" s="103">
        <v>46</v>
      </c>
      <c r="K1635" s="103" t="s">
        <v>365</v>
      </c>
      <c r="L1635" s="133"/>
      <c r="M1635" s="134">
        <v>1.5972222222222224E-2</v>
      </c>
      <c r="N1635" s="137" t="s">
        <v>3898</v>
      </c>
      <c r="O1635" s="133" t="s">
        <v>376</v>
      </c>
      <c r="Q1635" s="100" t="s">
        <v>3858</v>
      </c>
      <c r="R1635" s="226" t="s">
        <v>3912</v>
      </c>
      <c r="S1635" s="491" t="str">
        <f t="shared" si="51"/>
        <v>x</v>
      </c>
      <c r="T1635" s="492" t="str">
        <f>IFERROR(VLOOKUP(F1635,'Freq-Chan'!C:D,2,FALSE),"x")</f>
        <v>x</v>
      </c>
      <c r="U1635" s="110" t="s">
        <v>541</v>
      </c>
      <c r="V1635" s="110" t="str">
        <f t="shared" si="52"/>
        <v>FWL</v>
      </c>
      <c r="W1635" s="110" t="s">
        <v>541</v>
      </c>
      <c r="X1635" s="110" t="s">
        <v>541</v>
      </c>
      <c r="Y1635" s="110" t="str">
        <f>IFERROR(VLOOKUP(F1635,'Freq-Chan'!C:E,3,FALSE),"na")</f>
        <v>na</v>
      </c>
      <c r="Z1635" s="110" t="s">
        <v>541</v>
      </c>
      <c r="AA1635" s="110" t="s">
        <v>541</v>
      </c>
      <c r="AB1635" s="110" t="s">
        <v>541</v>
      </c>
      <c r="AC1635" s="10" t="s">
        <v>541</v>
      </c>
      <c r="AD1635" s="10" t="s">
        <v>541</v>
      </c>
    </row>
    <row r="1636" spans="1:30" x14ac:dyDescent="0.2">
      <c r="A1636" s="110">
        <v>1635</v>
      </c>
      <c r="B1636" s="132">
        <v>41852</v>
      </c>
      <c r="C1636" s="117">
        <v>3</v>
      </c>
      <c r="D1636" s="103" t="s">
        <v>8</v>
      </c>
      <c r="E1636" s="103" t="s">
        <v>306</v>
      </c>
      <c r="F1636" s="103">
        <v>586</v>
      </c>
      <c r="G1636" s="103">
        <v>39</v>
      </c>
      <c r="H1636" s="103" t="s">
        <v>2178</v>
      </c>
      <c r="I1636" s="103">
        <v>45</v>
      </c>
      <c r="K1636" s="103" t="s">
        <v>364</v>
      </c>
      <c r="L1636" s="133"/>
      <c r="M1636" s="134">
        <v>4.9999999999999996E-2</v>
      </c>
      <c r="N1636" s="137" t="s">
        <v>3899</v>
      </c>
      <c r="O1636" s="133" t="s">
        <v>376</v>
      </c>
      <c r="Q1636" s="100" t="s">
        <v>3858</v>
      </c>
      <c r="R1636" s="226" t="s">
        <v>3912</v>
      </c>
      <c r="S1636" s="491" t="str">
        <f t="shared" si="51"/>
        <v>x</v>
      </c>
      <c r="T1636" s="492">
        <f>IFERROR(VLOOKUP(F1636,'Freq-Chan'!C:D,2,FALSE),"x")</f>
        <v>151.58600000000001</v>
      </c>
      <c r="U1636" s="110" t="s">
        <v>541</v>
      </c>
      <c r="V1636" s="110" t="str">
        <f t="shared" si="52"/>
        <v>FWL</v>
      </c>
      <c r="W1636" s="110" t="s">
        <v>541</v>
      </c>
      <c r="X1636" s="110" t="s">
        <v>541</v>
      </c>
      <c r="Y1636" s="110" t="str">
        <f>IFERROR(VLOOKUP(F1636,'Freq-Chan'!C:E,3,FALSE),"na")</f>
        <v>F1840</v>
      </c>
      <c r="Z1636" s="110" t="s">
        <v>541</v>
      </c>
      <c r="AA1636" s="110" t="s">
        <v>541</v>
      </c>
      <c r="AB1636" s="110" t="s">
        <v>541</v>
      </c>
      <c r="AC1636" s="10" t="s">
        <v>541</v>
      </c>
      <c r="AD1636" s="10" t="s">
        <v>541</v>
      </c>
    </row>
    <row r="1637" spans="1:30" x14ac:dyDescent="0.2">
      <c r="A1637" s="110">
        <v>1636</v>
      </c>
      <c r="B1637" s="132">
        <v>41852</v>
      </c>
      <c r="C1637" s="117">
        <v>3</v>
      </c>
      <c r="D1637" s="103" t="s">
        <v>70</v>
      </c>
      <c r="E1637" s="103" t="s">
        <v>306</v>
      </c>
      <c r="H1637" s="103"/>
      <c r="I1637" s="103">
        <v>42</v>
      </c>
      <c r="K1637" s="103" t="s">
        <v>365</v>
      </c>
      <c r="L1637" s="133"/>
      <c r="M1637" s="134">
        <v>1.6666666666666666E-2</v>
      </c>
      <c r="N1637" s="137" t="s">
        <v>3864</v>
      </c>
      <c r="O1637" s="133" t="s">
        <v>376</v>
      </c>
      <c r="Q1637" s="100" t="s">
        <v>3858</v>
      </c>
      <c r="R1637" s="226" t="s">
        <v>3912</v>
      </c>
      <c r="S1637" s="491" t="str">
        <f t="shared" si="51"/>
        <v>x</v>
      </c>
      <c r="T1637" s="492" t="str">
        <f>IFERROR(VLOOKUP(F1637,'Freq-Chan'!C:D,2,FALSE),"x")</f>
        <v>x</v>
      </c>
      <c r="U1637" s="110" t="s">
        <v>541</v>
      </c>
      <c r="V1637" s="110" t="str">
        <f t="shared" si="52"/>
        <v>FWL</v>
      </c>
      <c r="W1637" s="110" t="s">
        <v>541</v>
      </c>
      <c r="X1637" s="110" t="s">
        <v>541</v>
      </c>
      <c r="Y1637" s="110" t="str">
        <f>IFERROR(VLOOKUP(F1637,'Freq-Chan'!C:E,3,FALSE),"na")</f>
        <v>na</v>
      </c>
      <c r="Z1637" s="110" t="s">
        <v>541</v>
      </c>
      <c r="AA1637" s="110" t="s">
        <v>541</v>
      </c>
      <c r="AB1637" s="110" t="s">
        <v>541</v>
      </c>
      <c r="AC1637" s="10" t="s">
        <v>541</v>
      </c>
      <c r="AD1637" s="10" t="s">
        <v>541</v>
      </c>
    </row>
    <row r="1638" spans="1:30" x14ac:dyDescent="0.2">
      <c r="A1638" s="110">
        <v>1637</v>
      </c>
      <c r="B1638" s="132">
        <v>41852</v>
      </c>
      <c r="C1638" s="117">
        <v>3</v>
      </c>
      <c r="D1638" s="103" t="s">
        <v>70</v>
      </c>
      <c r="E1638" s="103" t="s">
        <v>306</v>
      </c>
      <c r="H1638" s="103"/>
      <c r="I1638" s="103">
        <v>49</v>
      </c>
      <c r="K1638" s="103" t="s">
        <v>1032</v>
      </c>
      <c r="L1638" s="133"/>
      <c r="M1638" s="134">
        <v>1.5972222222222224E-2</v>
      </c>
      <c r="N1638" s="137" t="s">
        <v>3865</v>
      </c>
      <c r="O1638" s="133" t="s">
        <v>376</v>
      </c>
      <c r="Q1638" s="100" t="s">
        <v>3858</v>
      </c>
      <c r="R1638" s="226" t="s">
        <v>3912</v>
      </c>
      <c r="S1638" s="491" t="str">
        <f t="shared" si="51"/>
        <v>x</v>
      </c>
      <c r="T1638" s="492" t="str">
        <f>IFERROR(VLOOKUP(F1638,'Freq-Chan'!C:D,2,FALSE),"x")</f>
        <v>x</v>
      </c>
      <c r="U1638" s="110" t="s">
        <v>541</v>
      </c>
      <c r="V1638" s="110" t="str">
        <f t="shared" si="52"/>
        <v>FWL</v>
      </c>
      <c r="W1638" s="110" t="s">
        <v>541</v>
      </c>
      <c r="X1638" s="110" t="s">
        <v>541</v>
      </c>
      <c r="Y1638" s="110" t="str">
        <f>IFERROR(VLOOKUP(F1638,'Freq-Chan'!C:E,3,FALSE),"na")</f>
        <v>na</v>
      </c>
      <c r="Z1638" s="110" t="s">
        <v>541</v>
      </c>
      <c r="AA1638" s="110" t="s">
        <v>541</v>
      </c>
      <c r="AB1638" s="110" t="s">
        <v>541</v>
      </c>
      <c r="AC1638" s="10" t="s">
        <v>541</v>
      </c>
      <c r="AD1638" s="10" t="s">
        <v>541</v>
      </c>
    </row>
    <row r="1639" spans="1:30" x14ac:dyDescent="0.2">
      <c r="A1639" s="110">
        <v>1638</v>
      </c>
      <c r="B1639" s="132">
        <v>41852</v>
      </c>
      <c r="C1639" s="117">
        <v>3</v>
      </c>
      <c r="D1639" s="103" t="s">
        <v>70</v>
      </c>
      <c r="E1639" s="103" t="s">
        <v>306</v>
      </c>
      <c r="H1639" s="103"/>
      <c r="I1639" s="103">
        <v>49</v>
      </c>
      <c r="K1639" s="103" t="s">
        <v>365</v>
      </c>
      <c r="L1639" s="133"/>
      <c r="M1639" s="134">
        <v>1.7361111111111112E-2</v>
      </c>
      <c r="N1639" s="137" t="s">
        <v>3866</v>
      </c>
      <c r="O1639" s="133" t="s">
        <v>376</v>
      </c>
      <c r="Q1639" s="100" t="s">
        <v>3858</v>
      </c>
      <c r="R1639" s="226" t="s">
        <v>3912</v>
      </c>
      <c r="S1639" s="491" t="str">
        <f t="shared" si="51"/>
        <v>x</v>
      </c>
      <c r="T1639" s="492" t="str">
        <f>IFERROR(VLOOKUP(F1639,'Freq-Chan'!C:D,2,FALSE),"x")</f>
        <v>x</v>
      </c>
      <c r="U1639" s="110" t="s">
        <v>541</v>
      </c>
      <c r="V1639" s="110" t="str">
        <f t="shared" si="52"/>
        <v>FWL</v>
      </c>
      <c r="W1639" s="110" t="s">
        <v>541</v>
      </c>
      <c r="X1639" s="110" t="s">
        <v>541</v>
      </c>
      <c r="Y1639" s="110" t="str">
        <f>IFERROR(VLOOKUP(F1639,'Freq-Chan'!C:E,3,FALSE),"na")</f>
        <v>na</v>
      </c>
      <c r="Z1639" s="110" t="s">
        <v>541</v>
      </c>
      <c r="AA1639" s="110" t="s">
        <v>541</v>
      </c>
      <c r="AB1639" s="110" t="s">
        <v>541</v>
      </c>
      <c r="AC1639" s="10" t="s">
        <v>541</v>
      </c>
      <c r="AD1639" s="10" t="s">
        <v>541</v>
      </c>
    </row>
    <row r="1640" spans="1:30" x14ac:dyDescent="0.2">
      <c r="A1640" s="110">
        <v>1639</v>
      </c>
      <c r="B1640" s="132">
        <v>41852</v>
      </c>
      <c r="C1640" s="117">
        <v>3</v>
      </c>
      <c r="D1640" s="103" t="s">
        <v>71</v>
      </c>
      <c r="E1640" s="103" t="s">
        <v>306</v>
      </c>
      <c r="H1640" s="103"/>
      <c r="I1640" s="103">
        <v>57</v>
      </c>
      <c r="K1640" s="103" t="s">
        <v>364</v>
      </c>
      <c r="L1640" s="133"/>
      <c r="M1640" s="134">
        <v>4.3055555555555562E-2</v>
      </c>
      <c r="N1640" s="137" t="s">
        <v>3868</v>
      </c>
      <c r="O1640" s="133" t="s">
        <v>376</v>
      </c>
      <c r="P1640" s="100" t="s">
        <v>3901</v>
      </c>
      <c r="Q1640" s="100" t="s">
        <v>3858</v>
      </c>
      <c r="R1640" s="226" t="s">
        <v>3912</v>
      </c>
      <c r="S1640" s="491" t="str">
        <f t="shared" si="51"/>
        <v>x</v>
      </c>
      <c r="T1640" s="492" t="str">
        <f>IFERROR(VLOOKUP(F1640,'Freq-Chan'!C:D,2,FALSE),"x")</f>
        <v>x</v>
      </c>
      <c r="U1640" s="110" t="s">
        <v>541</v>
      </c>
      <c r="V1640" s="110" t="str">
        <f t="shared" si="52"/>
        <v>FWL</v>
      </c>
      <c r="W1640" s="110" t="s">
        <v>541</v>
      </c>
      <c r="X1640" s="110" t="s">
        <v>541</v>
      </c>
      <c r="Y1640" s="110" t="str">
        <f>IFERROR(VLOOKUP(F1640,'Freq-Chan'!C:E,3,FALSE),"na")</f>
        <v>na</v>
      </c>
      <c r="Z1640" s="110" t="s">
        <v>541</v>
      </c>
      <c r="AA1640" s="110" t="s">
        <v>541</v>
      </c>
      <c r="AB1640" s="110" t="s">
        <v>541</v>
      </c>
      <c r="AC1640" s="10" t="s">
        <v>541</v>
      </c>
      <c r="AD1640" s="10" t="s">
        <v>541</v>
      </c>
    </row>
    <row r="1641" spans="1:30" x14ac:dyDescent="0.2">
      <c r="A1641" s="110">
        <v>1640</v>
      </c>
      <c r="B1641" s="132">
        <v>41852</v>
      </c>
      <c r="C1641" s="117">
        <v>3</v>
      </c>
      <c r="D1641" s="103" t="s">
        <v>70</v>
      </c>
      <c r="E1641" s="103" t="s">
        <v>306</v>
      </c>
      <c r="H1641" s="103"/>
      <c r="I1641" s="103">
        <v>46</v>
      </c>
      <c r="K1641" s="103" t="s">
        <v>364</v>
      </c>
      <c r="L1641" s="133"/>
      <c r="M1641" s="134">
        <v>1.3888888888888888E-2</v>
      </c>
      <c r="N1641" s="137" t="s">
        <v>3869</v>
      </c>
      <c r="O1641" s="133" t="s">
        <v>1585</v>
      </c>
      <c r="Q1641" s="100" t="s">
        <v>3858</v>
      </c>
      <c r="R1641" s="226" t="s">
        <v>3912</v>
      </c>
      <c r="S1641" s="491" t="str">
        <f t="shared" si="51"/>
        <v>x</v>
      </c>
      <c r="T1641" s="492" t="str">
        <f>IFERROR(VLOOKUP(F1641,'Freq-Chan'!C:D,2,FALSE),"x")</f>
        <v>x</v>
      </c>
      <c r="U1641" s="110" t="s">
        <v>541</v>
      </c>
      <c r="V1641" s="110" t="str">
        <f t="shared" si="52"/>
        <v>FWL</v>
      </c>
      <c r="W1641" s="110" t="s">
        <v>541</v>
      </c>
      <c r="X1641" s="110" t="s">
        <v>541</v>
      </c>
      <c r="Y1641" s="110" t="str">
        <f>IFERROR(VLOOKUP(F1641,'Freq-Chan'!C:E,3,FALSE),"na")</f>
        <v>na</v>
      </c>
      <c r="Z1641" s="110" t="s">
        <v>541</v>
      </c>
      <c r="AA1641" s="110" t="s">
        <v>541</v>
      </c>
      <c r="AB1641" s="110" t="s">
        <v>541</v>
      </c>
      <c r="AC1641" s="10" t="s">
        <v>541</v>
      </c>
      <c r="AD1641" s="10" t="s">
        <v>541</v>
      </c>
    </row>
    <row r="1642" spans="1:30" x14ac:dyDescent="0.2">
      <c r="A1642" s="110">
        <v>1641</v>
      </c>
      <c r="B1642" s="132">
        <v>41852</v>
      </c>
      <c r="C1642" s="117">
        <v>3</v>
      </c>
      <c r="D1642" s="103" t="s">
        <v>70</v>
      </c>
      <c r="E1642" s="103" t="s">
        <v>306</v>
      </c>
      <c r="H1642" s="103"/>
      <c r="I1642" s="103">
        <v>47</v>
      </c>
      <c r="K1642" s="103" t="s">
        <v>365</v>
      </c>
      <c r="L1642" s="133"/>
      <c r="M1642" s="134">
        <v>1.3888888888888888E-2</v>
      </c>
      <c r="N1642" s="137" t="s">
        <v>3870</v>
      </c>
      <c r="O1642" s="133" t="s">
        <v>1585</v>
      </c>
      <c r="Q1642" s="100" t="s">
        <v>3858</v>
      </c>
      <c r="R1642" s="226" t="s">
        <v>3912</v>
      </c>
      <c r="S1642" s="491" t="str">
        <f t="shared" si="51"/>
        <v>x</v>
      </c>
      <c r="T1642" s="492" t="str">
        <f>IFERROR(VLOOKUP(F1642,'Freq-Chan'!C:D,2,FALSE),"x")</f>
        <v>x</v>
      </c>
      <c r="U1642" s="110" t="s">
        <v>541</v>
      </c>
      <c r="V1642" s="110" t="str">
        <f t="shared" si="52"/>
        <v>FWL</v>
      </c>
      <c r="W1642" s="110" t="s">
        <v>541</v>
      </c>
      <c r="X1642" s="110" t="s">
        <v>541</v>
      </c>
      <c r="Y1642" s="110" t="str">
        <f>IFERROR(VLOOKUP(F1642,'Freq-Chan'!C:E,3,FALSE),"na")</f>
        <v>na</v>
      </c>
      <c r="Z1642" s="110" t="s">
        <v>541</v>
      </c>
      <c r="AA1642" s="110" t="s">
        <v>541</v>
      </c>
      <c r="AB1642" s="110" t="s">
        <v>541</v>
      </c>
      <c r="AC1642" s="10" t="s">
        <v>541</v>
      </c>
      <c r="AD1642" s="10" t="s">
        <v>541</v>
      </c>
    </row>
    <row r="1643" spans="1:30" x14ac:dyDescent="0.2">
      <c r="A1643" s="110">
        <v>1642</v>
      </c>
      <c r="B1643" s="132">
        <v>41852</v>
      </c>
      <c r="C1643" s="117">
        <v>3</v>
      </c>
      <c r="D1643" s="103" t="s">
        <v>70</v>
      </c>
      <c r="E1643" s="103" t="s">
        <v>306</v>
      </c>
      <c r="H1643" s="103"/>
      <c r="I1643" s="103">
        <v>49</v>
      </c>
      <c r="K1643" s="103" t="s">
        <v>1032</v>
      </c>
      <c r="L1643" s="133"/>
      <c r="M1643" s="134">
        <v>2.0833333333333332E-2</v>
      </c>
      <c r="N1643" s="137" t="s">
        <v>3872</v>
      </c>
      <c r="O1643" s="133" t="s">
        <v>1585</v>
      </c>
      <c r="Q1643" s="100" t="s">
        <v>3858</v>
      </c>
      <c r="R1643" s="226" t="s">
        <v>3912</v>
      </c>
      <c r="S1643" s="491" t="str">
        <f t="shared" si="51"/>
        <v>x</v>
      </c>
      <c r="T1643" s="492" t="str">
        <f>IFERROR(VLOOKUP(F1643,'Freq-Chan'!C:D,2,FALSE),"x")</f>
        <v>x</v>
      </c>
      <c r="U1643" s="110" t="s">
        <v>541</v>
      </c>
      <c r="V1643" s="110" t="str">
        <f t="shared" si="52"/>
        <v>FWL</v>
      </c>
      <c r="W1643" s="110" t="s">
        <v>541</v>
      </c>
      <c r="X1643" s="110" t="s">
        <v>541</v>
      </c>
      <c r="Y1643" s="110" t="str">
        <f>IFERROR(VLOOKUP(F1643,'Freq-Chan'!C:E,3,FALSE),"na")</f>
        <v>na</v>
      </c>
      <c r="Z1643" s="110" t="s">
        <v>541</v>
      </c>
      <c r="AA1643" s="110" t="s">
        <v>541</v>
      </c>
      <c r="AB1643" s="110" t="s">
        <v>541</v>
      </c>
      <c r="AC1643" s="10" t="s">
        <v>541</v>
      </c>
      <c r="AD1643" s="10" t="s">
        <v>541</v>
      </c>
    </row>
    <row r="1644" spans="1:30" x14ac:dyDescent="0.2">
      <c r="A1644" s="110">
        <v>1643</v>
      </c>
      <c r="B1644" s="132">
        <v>41852</v>
      </c>
      <c r="C1644" s="117">
        <v>3</v>
      </c>
      <c r="D1644" s="103" t="s">
        <v>70</v>
      </c>
      <c r="E1644" s="103" t="s">
        <v>306</v>
      </c>
      <c r="H1644" s="103"/>
      <c r="I1644" s="103">
        <v>46</v>
      </c>
      <c r="K1644" s="103" t="s">
        <v>364</v>
      </c>
      <c r="L1644" s="133"/>
      <c r="M1644" s="134">
        <v>1.8749999999999999E-2</v>
      </c>
      <c r="N1644" s="137" t="s">
        <v>3874</v>
      </c>
      <c r="O1644" s="133" t="s">
        <v>1585</v>
      </c>
      <c r="Q1644" s="100" t="s">
        <v>3858</v>
      </c>
      <c r="R1644" s="226" t="s">
        <v>3912</v>
      </c>
      <c r="S1644" s="491" t="str">
        <f t="shared" si="51"/>
        <v>x</v>
      </c>
      <c r="T1644" s="492" t="str">
        <f>IFERROR(VLOOKUP(F1644,'Freq-Chan'!C:D,2,FALSE),"x")</f>
        <v>x</v>
      </c>
      <c r="U1644" s="110" t="s">
        <v>541</v>
      </c>
      <c r="V1644" s="110" t="str">
        <f t="shared" si="52"/>
        <v>FWL</v>
      </c>
      <c r="W1644" s="110" t="s">
        <v>541</v>
      </c>
      <c r="X1644" s="110" t="s">
        <v>541</v>
      </c>
      <c r="Y1644" s="110" t="str">
        <f>IFERROR(VLOOKUP(F1644,'Freq-Chan'!C:E,3,FALSE),"na")</f>
        <v>na</v>
      </c>
      <c r="Z1644" s="110" t="s">
        <v>541</v>
      </c>
      <c r="AA1644" s="110" t="s">
        <v>541</v>
      </c>
      <c r="AB1644" s="110" t="s">
        <v>541</v>
      </c>
      <c r="AC1644" s="10" t="s">
        <v>541</v>
      </c>
      <c r="AD1644" s="10" t="s">
        <v>541</v>
      </c>
    </row>
    <row r="1645" spans="1:30" x14ac:dyDescent="0.2">
      <c r="A1645" s="110">
        <v>1644</v>
      </c>
      <c r="B1645" s="132">
        <v>41852</v>
      </c>
      <c r="C1645" s="117">
        <v>3</v>
      </c>
      <c r="D1645" s="103" t="s">
        <v>71</v>
      </c>
      <c r="E1645" s="103" t="s">
        <v>306</v>
      </c>
      <c r="H1645" s="103"/>
      <c r="I1645" s="103">
        <v>63</v>
      </c>
      <c r="K1645" s="103" t="s">
        <v>364</v>
      </c>
      <c r="L1645" s="133"/>
      <c r="M1645" s="134">
        <v>1.5277777777777777E-2</v>
      </c>
      <c r="N1645" s="137" t="s">
        <v>3876</v>
      </c>
      <c r="O1645" s="133" t="s">
        <v>1585</v>
      </c>
      <c r="Q1645" s="100" t="s">
        <v>3858</v>
      </c>
      <c r="R1645" s="226" t="s">
        <v>3912</v>
      </c>
      <c r="S1645" s="491" t="str">
        <f t="shared" si="51"/>
        <v>x</v>
      </c>
      <c r="T1645" s="492" t="str">
        <f>IFERROR(VLOOKUP(F1645,'Freq-Chan'!C:D,2,FALSE),"x")</f>
        <v>x</v>
      </c>
      <c r="U1645" s="110" t="s">
        <v>541</v>
      </c>
      <c r="V1645" s="110" t="str">
        <f t="shared" si="52"/>
        <v>FWL</v>
      </c>
      <c r="W1645" s="110" t="s">
        <v>541</v>
      </c>
      <c r="X1645" s="110" t="s">
        <v>541</v>
      </c>
      <c r="Y1645" s="110" t="str">
        <f>IFERROR(VLOOKUP(F1645,'Freq-Chan'!C:E,3,FALSE),"na")</f>
        <v>na</v>
      </c>
      <c r="Z1645" s="110" t="s">
        <v>541</v>
      </c>
      <c r="AA1645" s="110" t="s">
        <v>541</v>
      </c>
      <c r="AB1645" s="110" t="s">
        <v>541</v>
      </c>
      <c r="AC1645" s="10" t="s">
        <v>541</v>
      </c>
      <c r="AD1645" s="10" t="s">
        <v>541</v>
      </c>
    </row>
    <row r="1646" spans="1:30" x14ac:dyDescent="0.2">
      <c r="A1646" s="110">
        <v>1645</v>
      </c>
      <c r="B1646" s="132">
        <v>41852</v>
      </c>
      <c r="C1646" s="117">
        <v>3</v>
      </c>
      <c r="D1646" s="103" t="s">
        <v>71</v>
      </c>
      <c r="E1646" s="103" t="s">
        <v>306</v>
      </c>
      <c r="H1646" s="103"/>
      <c r="I1646" s="103">
        <v>58</v>
      </c>
      <c r="K1646" s="103" t="s">
        <v>365</v>
      </c>
      <c r="L1646" s="133"/>
      <c r="M1646" s="134">
        <v>1.7361111111111112E-2</v>
      </c>
      <c r="N1646" s="137" t="s">
        <v>3424</v>
      </c>
      <c r="O1646" s="133" t="s">
        <v>1585</v>
      </c>
      <c r="Q1646" s="100" t="s">
        <v>3858</v>
      </c>
      <c r="R1646" s="226" t="s">
        <v>3912</v>
      </c>
      <c r="S1646" s="491" t="str">
        <f t="shared" si="51"/>
        <v>x</v>
      </c>
      <c r="T1646" s="492" t="str">
        <f>IFERROR(VLOOKUP(F1646,'Freq-Chan'!C:D,2,FALSE),"x")</f>
        <v>x</v>
      </c>
      <c r="U1646" s="110" t="s">
        <v>541</v>
      </c>
      <c r="V1646" s="110" t="str">
        <f t="shared" si="52"/>
        <v>FWL</v>
      </c>
      <c r="W1646" s="110" t="s">
        <v>541</v>
      </c>
      <c r="X1646" s="110" t="s">
        <v>541</v>
      </c>
      <c r="Y1646" s="110" t="str">
        <f>IFERROR(VLOOKUP(F1646,'Freq-Chan'!C:E,3,FALSE),"na")</f>
        <v>na</v>
      </c>
      <c r="Z1646" s="110" t="s">
        <v>541</v>
      </c>
      <c r="AA1646" s="110" t="s">
        <v>541</v>
      </c>
      <c r="AB1646" s="110" t="s">
        <v>541</v>
      </c>
      <c r="AC1646" s="10" t="s">
        <v>541</v>
      </c>
      <c r="AD1646" s="10" t="s">
        <v>541</v>
      </c>
    </row>
    <row r="1647" spans="1:30" x14ac:dyDescent="0.2">
      <c r="A1647" s="110">
        <v>1646</v>
      </c>
      <c r="B1647" s="132">
        <v>41852</v>
      </c>
      <c r="C1647" s="117">
        <v>3</v>
      </c>
      <c r="D1647" s="103" t="s">
        <v>71</v>
      </c>
      <c r="E1647" s="103" t="s">
        <v>306</v>
      </c>
      <c r="H1647" s="103"/>
      <c r="I1647" s="103">
        <v>59</v>
      </c>
      <c r="K1647" s="103" t="s">
        <v>364</v>
      </c>
      <c r="L1647" s="133"/>
      <c r="M1647" s="134">
        <v>1.9444444444444445E-2</v>
      </c>
      <c r="N1647" s="137" t="s">
        <v>3496</v>
      </c>
      <c r="O1647" s="133" t="s">
        <v>1585</v>
      </c>
      <c r="Q1647" s="100" t="s">
        <v>3858</v>
      </c>
      <c r="R1647" s="226" t="s">
        <v>3912</v>
      </c>
      <c r="S1647" s="491" t="str">
        <f t="shared" si="51"/>
        <v>x</v>
      </c>
      <c r="T1647" s="492" t="str">
        <f>IFERROR(VLOOKUP(F1647,'Freq-Chan'!C:D,2,FALSE),"x")</f>
        <v>x</v>
      </c>
      <c r="U1647" s="110" t="s">
        <v>541</v>
      </c>
      <c r="V1647" s="110" t="str">
        <f t="shared" si="52"/>
        <v>FWL</v>
      </c>
      <c r="W1647" s="110" t="s">
        <v>541</v>
      </c>
      <c r="X1647" s="110" t="s">
        <v>541</v>
      </c>
      <c r="Y1647" s="110" t="str">
        <f>IFERROR(VLOOKUP(F1647,'Freq-Chan'!C:E,3,FALSE),"na")</f>
        <v>na</v>
      </c>
      <c r="Z1647" s="110" t="s">
        <v>541</v>
      </c>
      <c r="AA1647" s="110" t="s">
        <v>541</v>
      </c>
      <c r="AB1647" s="110" t="s">
        <v>541</v>
      </c>
      <c r="AC1647" s="10" t="s">
        <v>541</v>
      </c>
      <c r="AD1647" s="10" t="s">
        <v>541</v>
      </c>
    </row>
    <row r="1648" spans="1:30" x14ac:dyDescent="0.2">
      <c r="A1648" s="110">
        <v>1647</v>
      </c>
      <c r="B1648" s="132">
        <v>41852</v>
      </c>
      <c r="C1648" s="117">
        <v>3</v>
      </c>
      <c r="D1648" s="103" t="s">
        <v>71</v>
      </c>
      <c r="E1648" s="103" t="s">
        <v>306</v>
      </c>
      <c r="H1648" s="103"/>
      <c r="I1648" s="103">
        <v>59</v>
      </c>
      <c r="K1648" s="103" t="s">
        <v>364</v>
      </c>
      <c r="L1648" s="133"/>
      <c r="M1648" s="134">
        <v>2.2222222222222223E-2</v>
      </c>
      <c r="N1648" s="137" t="s">
        <v>3902</v>
      </c>
      <c r="O1648" s="133" t="s">
        <v>372</v>
      </c>
      <c r="Q1648" s="100" t="s">
        <v>3813</v>
      </c>
      <c r="R1648" s="226" t="s">
        <v>3912</v>
      </c>
      <c r="S1648" s="491" t="str">
        <f t="shared" si="51"/>
        <v>x</v>
      </c>
      <c r="T1648" s="492" t="str">
        <f>IFERROR(VLOOKUP(F1648,'Freq-Chan'!C:D,2,FALSE),"x")</f>
        <v>x</v>
      </c>
      <c r="U1648" s="110" t="s">
        <v>541</v>
      </c>
      <c r="V1648" s="110" t="str">
        <f t="shared" si="52"/>
        <v>FWL</v>
      </c>
      <c r="W1648" s="110" t="s">
        <v>541</v>
      </c>
      <c r="X1648" s="110" t="s">
        <v>541</v>
      </c>
      <c r="Y1648" s="110" t="str">
        <f>IFERROR(VLOOKUP(F1648,'Freq-Chan'!C:E,3,FALSE),"na")</f>
        <v>na</v>
      </c>
      <c r="Z1648" s="110" t="s">
        <v>541</v>
      </c>
      <c r="AA1648" s="110" t="s">
        <v>541</v>
      </c>
      <c r="AB1648" s="110" t="s">
        <v>541</v>
      </c>
      <c r="AC1648" s="10" t="s">
        <v>541</v>
      </c>
      <c r="AD1648" s="10" t="s">
        <v>541</v>
      </c>
    </row>
    <row r="1649" spans="1:30" x14ac:dyDescent="0.2">
      <c r="A1649" s="110">
        <v>1648</v>
      </c>
      <c r="B1649" s="132">
        <v>41852</v>
      </c>
      <c r="C1649" s="117">
        <v>3</v>
      </c>
      <c r="D1649" s="103" t="s">
        <v>71</v>
      </c>
      <c r="E1649" s="103" t="s">
        <v>306</v>
      </c>
      <c r="H1649" s="103"/>
      <c r="I1649" s="103">
        <v>58</v>
      </c>
      <c r="K1649" s="103" t="s">
        <v>364</v>
      </c>
      <c r="L1649" s="133">
        <v>0.50347222222222221</v>
      </c>
      <c r="M1649" s="134">
        <v>2.2916666666666669E-2</v>
      </c>
      <c r="N1649" s="137" t="s">
        <v>2018</v>
      </c>
      <c r="O1649" s="133" t="s">
        <v>372</v>
      </c>
      <c r="Q1649" s="100" t="s">
        <v>3813</v>
      </c>
      <c r="R1649" s="226" t="s">
        <v>3912</v>
      </c>
      <c r="S1649" s="491">
        <f t="shared" si="51"/>
        <v>3.1250000000000001E-4</v>
      </c>
      <c r="T1649" s="492" t="str">
        <f>IFERROR(VLOOKUP(F1649,'Freq-Chan'!C:D,2,FALSE),"x")</f>
        <v>x</v>
      </c>
      <c r="U1649" s="110" t="s">
        <v>541</v>
      </c>
      <c r="V1649" s="110" t="str">
        <f t="shared" si="52"/>
        <v>FWL</v>
      </c>
      <c r="W1649" s="110" t="s">
        <v>541</v>
      </c>
      <c r="X1649" s="110" t="s">
        <v>541</v>
      </c>
      <c r="Y1649" s="110" t="str">
        <f>IFERROR(VLOOKUP(F1649,'Freq-Chan'!C:E,3,FALSE),"na")</f>
        <v>na</v>
      </c>
      <c r="Z1649" s="110" t="s">
        <v>541</v>
      </c>
      <c r="AA1649" s="110" t="s">
        <v>541</v>
      </c>
      <c r="AB1649" s="110" t="s">
        <v>541</v>
      </c>
      <c r="AC1649" s="10" t="s">
        <v>541</v>
      </c>
      <c r="AD1649" s="10" t="s">
        <v>541</v>
      </c>
    </row>
    <row r="1650" spans="1:30" x14ac:dyDescent="0.2">
      <c r="A1650" s="110">
        <v>1649</v>
      </c>
      <c r="B1650" s="132">
        <v>41852</v>
      </c>
      <c r="C1650" s="117">
        <v>3</v>
      </c>
      <c r="D1650" s="103" t="s">
        <v>71</v>
      </c>
      <c r="E1650" s="103" t="s">
        <v>306</v>
      </c>
      <c r="H1650" s="139"/>
      <c r="I1650" s="103">
        <v>64</v>
      </c>
      <c r="K1650" s="103" t="s">
        <v>364</v>
      </c>
      <c r="L1650" s="133"/>
      <c r="M1650" s="134">
        <v>3.6111111111111115E-2</v>
      </c>
      <c r="N1650" s="137" t="s">
        <v>3212</v>
      </c>
      <c r="O1650" s="133" t="s">
        <v>372</v>
      </c>
      <c r="P1650" s="100" t="s">
        <v>3907</v>
      </c>
      <c r="Q1650" s="100" t="s">
        <v>3813</v>
      </c>
      <c r="R1650" s="226" t="s">
        <v>3912</v>
      </c>
      <c r="S1650" s="491" t="str">
        <f t="shared" si="51"/>
        <v>x</v>
      </c>
      <c r="T1650" s="492" t="str">
        <f>IFERROR(VLOOKUP(F1650,'Freq-Chan'!C:D,2,FALSE),"x")</f>
        <v>x</v>
      </c>
      <c r="U1650" s="110" t="s">
        <v>541</v>
      </c>
      <c r="V1650" s="110" t="str">
        <f t="shared" si="52"/>
        <v>FWL</v>
      </c>
      <c r="W1650" s="110" t="s">
        <v>541</v>
      </c>
      <c r="X1650" s="110" t="s">
        <v>541</v>
      </c>
      <c r="Y1650" s="110" t="str">
        <f>IFERROR(VLOOKUP(F1650,'Freq-Chan'!C:E,3,FALSE),"na")</f>
        <v>na</v>
      </c>
      <c r="Z1650" s="110" t="s">
        <v>541</v>
      </c>
      <c r="AA1650" s="110" t="s">
        <v>541</v>
      </c>
      <c r="AB1650" s="110" t="s">
        <v>541</v>
      </c>
      <c r="AC1650" s="10" t="s">
        <v>541</v>
      </c>
      <c r="AD1650" s="10" t="s">
        <v>541</v>
      </c>
    </row>
    <row r="1651" spans="1:30" x14ac:dyDescent="0.2">
      <c r="A1651" s="110">
        <v>1650</v>
      </c>
      <c r="B1651" s="132">
        <v>41852</v>
      </c>
      <c r="C1651" s="117">
        <v>3</v>
      </c>
      <c r="D1651" s="103" t="s">
        <v>71</v>
      </c>
      <c r="E1651" s="103" t="s">
        <v>306</v>
      </c>
      <c r="H1651" s="103"/>
      <c r="I1651" s="103">
        <v>57</v>
      </c>
      <c r="K1651" s="103" t="s">
        <v>364</v>
      </c>
      <c r="L1651" s="133"/>
      <c r="M1651" s="134">
        <v>2.361111111111111E-2</v>
      </c>
      <c r="N1651" s="137" t="s">
        <v>1909</v>
      </c>
      <c r="O1651" s="133" t="s">
        <v>372</v>
      </c>
      <c r="Q1651" s="100" t="s">
        <v>3813</v>
      </c>
      <c r="R1651" s="226" t="s">
        <v>3912</v>
      </c>
      <c r="S1651" s="491" t="str">
        <f t="shared" si="51"/>
        <v>x</v>
      </c>
      <c r="T1651" s="492" t="str">
        <f>IFERROR(VLOOKUP(F1651,'Freq-Chan'!C:D,2,FALSE),"x")</f>
        <v>x</v>
      </c>
      <c r="U1651" s="110" t="s">
        <v>541</v>
      </c>
      <c r="V1651" s="110" t="str">
        <f t="shared" si="52"/>
        <v>FWL</v>
      </c>
      <c r="W1651" s="110" t="s">
        <v>541</v>
      </c>
      <c r="X1651" s="110" t="s">
        <v>541</v>
      </c>
      <c r="Y1651" s="110" t="str">
        <f>IFERROR(VLOOKUP(F1651,'Freq-Chan'!C:E,3,FALSE),"na")</f>
        <v>na</v>
      </c>
      <c r="Z1651" s="110" t="s">
        <v>541</v>
      </c>
      <c r="AA1651" s="110" t="s">
        <v>541</v>
      </c>
      <c r="AB1651" s="110" t="s">
        <v>541</v>
      </c>
      <c r="AC1651" s="10" t="s">
        <v>541</v>
      </c>
      <c r="AD1651" s="10" t="s">
        <v>541</v>
      </c>
    </row>
    <row r="1652" spans="1:30" x14ac:dyDescent="0.2">
      <c r="A1652" s="110">
        <v>1651</v>
      </c>
      <c r="B1652" s="132">
        <v>41852</v>
      </c>
      <c r="C1652" s="117">
        <v>3</v>
      </c>
      <c r="D1652" s="103" t="s">
        <v>71</v>
      </c>
      <c r="E1652" s="103" t="s">
        <v>306</v>
      </c>
      <c r="H1652" s="103"/>
      <c r="I1652" s="103">
        <v>57</v>
      </c>
      <c r="K1652" s="103" t="s">
        <v>364</v>
      </c>
      <c r="L1652" s="133"/>
      <c r="M1652" s="134">
        <v>2.1527777777777781E-2</v>
      </c>
      <c r="N1652" s="137" t="s">
        <v>2935</v>
      </c>
      <c r="O1652" s="133" t="s">
        <v>372</v>
      </c>
      <c r="Q1652" s="100" t="s">
        <v>3813</v>
      </c>
      <c r="R1652" s="226" t="s">
        <v>3912</v>
      </c>
      <c r="S1652" s="491" t="str">
        <f t="shared" si="51"/>
        <v>x</v>
      </c>
      <c r="T1652" s="492" t="str">
        <f>IFERROR(VLOOKUP(F1652,'Freq-Chan'!C:D,2,FALSE),"x")</f>
        <v>x</v>
      </c>
      <c r="U1652" s="110" t="s">
        <v>541</v>
      </c>
      <c r="V1652" s="110" t="str">
        <f t="shared" si="52"/>
        <v>FWL</v>
      </c>
      <c r="W1652" s="110" t="s">
        <v>541</v>
      </c>
      <c r="X1652" s="110" t="s">
        <v>541</v>
      </c>
      <c r="Y1652" s="110" t="str">
        <f>IFERROR(VLOOKUP(F1652,'Freq-Chan'!C:E,3,FALSE),"na")</f>
        <v>na</v>
      </c>
      <c r="Z1652" s="110" t="s">
        <v>541</v>
      </c>
      <c r="AA1652" s="110" t="s">
        <v>541</v>
      </c>
      <c r="AB1652" s="110" t="s">
        <v>541</v>
      </c>
      <c r="AC1652" s="10" t="s">
        <v>541</v>
      </c>
      <c r="AD1652" s="10" t="s">
        <v>541</v>
      </c>
    </row>
    <row r="1653" spans="1:30" x14ac:dyDescent="0.2">
      <c r="A1653" s="110">
        <v>1652</v>
      </c>
      <c r="B1653" s="132">
        <v>41852</v>
      </c>
      <c r="C1653" s="117">
        <v>3</v>
      </c>
      <c r="D1653" s="103" t="s">
        <v>71</v>
      </c>
      <c r="E1653" s="103" t="s">
        <v>306</v>
      </c>
      <c r="H1653" s="103"/>
      <c r="I1653" s="103">
        <v>55</v>
      </c>
      <c r="K1653" s="103" t="s">
        <v>364</v>
      </c>
      <c r="L1653" s="133"/>
      <c r="M1653" s="134">
        <v>2.2916666666666669E-2</v>
      </c>
      <c r="N1653" s="137" t="s">
        <v>3903</v>
      </c>
      <c r="O1653" s="133" t="s">
        <v>372</v>
      </c>
      <c r="P1653" s="100" t="s">
        <v>3908</v>
      </c>
      <c r="Q1653" s="100" t="s">
        <v>3813</v>
      </c>
      <c r="R1653" s="226" t="s">
        <v>3912</v>
      </c>
      <c r="S1653" s="491" t="str">
        <f t="shared" si="51"/>
        <v>x</v>
      </c>
      <c r="T1653" s="492" t="str">
        <f>IFERROR(VLOOKUP(F1653,'Freq-Chan'!C:D,2,FALSE),"x")</f>
        <v>x</v>
      </c>
      <c r="U1653" s="110" t="s">
        <v>541</v>
      </c>
      <c r="V1653" s="110" t="str">
        <f t="shared" si="52"/>
        <v>FWL</v>
      </c>
      <c r="W1653" s="110" t="s">
        <v>541</v>
      </c>
      <c r="X1653" s="110" t="s">
        <v>541</v>
      </c>
      <c r="Y1653" s="110" t="str">
        <f>IFERROR(VLOOKUP(F1653,'Freq-Chan'!C:E,3,FALSE),"na")</f>
        <v>na</v>
      </c>
      <c r="Z1653" s="110" t="s">
        <v>541</v>
      </c>
      <c r="AA1653" s="110" t="s">
        <v>541</v>
      </c>
      <c r="AB1653" s="110" t="s">
        <v>541</v>
      </c>
      <c r="AC1653" s="10" t="s">
        <v>541</v>
      </c>
      <c r="AD1653" s="10" t="s">
        <v>541</v>
      </c>
    </row>
    <row r="1654" spans="1:30" x14ac:dyDescent="0.2">
      <c r="A1654" s="110">
        <v>1653</v>
      </c>
      <c r="B1654" s="132">
        <v>41852</v>
      </c>
      <c r="C1654" s="117">
        <v>3</v>
      </c>
      <c r="D1654" s="103" t="s">
        <v>75</v>
      </c>
      <c r="E1654" s="103" t="s">
        <v>798</v>
      </c>
      <c r="H1654" s="103"/>
      <c r="J1654" s="103">
        <v>32</v>
      </c>
      <c r="K1654" s="103" t="s">
        <v>364</v>
      </c>
      <c r="L1654" s="133"/>
      <c r="M1654" s="134">
        <v>2.0833333333333332E-2</v>
      </c>
      <c r="N1654" s="137" t="s">
        <v>3904</v>
      </c>
      <c r="O1654" s="133" t="s">
        <v>372</v>
      </c>
      <c r="Q1654" s="100" t="s">
        <v>3813</v>
      </c>
      <c r="R1654" s="226" t="s">
        <v>3912</v>
      </c>
      <c r="S1654" s="491" t="str">
        <f t="shared" si="51"/>
        <v>x</v>
      </c>
      <c r="T1654" s="492" t="str">
        <f>IFERROR(VLOOKUP(F1654,'Freq-Chan'!C:D,2,FALSE),"x")</f>
        <v>x</v>
      </c>
      <c r="U1654" s="110" t="s">
        <v>541</v>
      </c>
      <c r="V1654" s="110" t="str">
        <f t="shared" si="52"/>
        <v>FWL</v>
      </c>
      <c r="W1654" s="110" t="s">
        <v>541</v>
      </c>
      <c r="X1654" s="110" t="s">
        <v>541</v>
      </c>
      <c r="Y1654" s="110" t="str">
        <f>IFERROR(VLOOKUP(F1654,'Freq-Chan'!C:E,3,FALSE),"na")</f>
        <v>na</v>
      </c>
      <c r="Z1654" s="110" t="s">
        <v>541</v>
      </c>
      <c r="AA1654" s="110" t="s">
        <v>541</v>
      </c>
      <c r="AB1654" s="110" t="s">
        <v>541</v>
      </c>
      <c r="AC1654" s="10" t="s">
        <v>541</v>
      </c>
      <c r="AD1654" s="10" t="s">
        <v>541</v>
      </c>
    </row>
    <row r="1655" spans="1:30" x14ac:dyDescent="0.2">
      <c r="A1655" s="110">
        <v>1654</v>
      </c>
      <c r="B1655" s="132">
        <v>41852</v>
      </c>
      <c r="C1655" s="117">
        <v>3</v>
      </c>
      <c r="D1655" s="103" t="s">
        <v>71</v>
      </c>
      <c r="E1655" s="103" t="s">
        <v>306</v>
      </c>
      <c r="H1655" s="103"/>
      <c r="I1655" s="103">
        <v>53</v>
      </c>
      <c r="K1655" s="103" t="s">
        <v>364</v>
      </c>
      <c r="L1655" s="133"/>
      <c r="M1655" s="134">
        <v>2.013888888888889E-2</v>
      </c>
      <c r="N1655" s="137" t="s">
        <v>2532</v>
      </c>
      <c r="O1655" s="133" t="s">
        <v>372</v>
      </c>
      <c r="Q1655" s="100" t="s">
        <v>3813</v>
      </c>
      <c r="R1655" s="226" t="s">
        <v>3912</v>
      </c>
      <c r="S1655" s="491" t="str">
        <f t="shared" si="51"/>
        <v>x</v>
      </c>
      <c r="T1655" s="492" t="str">
        <f>IFERROR(VLOOKUP(F1655,'Freq-Chan'!C:D,2,FALSE),"x")</f>
        <v>x</v>
      </c>
      <c r="U1655" s="110" t="s">
        <v>541</v>
      </c>
      <c r="V1655" s="110" t="str">
        <f t="shared" si="52"/>
        <v>FWL</v>
      </c>
      <c r="W1655" s="110" t="s">
        <v>541</v>
      </c>
      <c r="X1655" s="110" t="s">
        <v>541</v>
      </c>
      <c r="Y1655" s="110" t="str">
        <f>IFERROR(VLOOKUP(F1655,'Freq-Chan'!C:E,3,FALSE),"na")</f>
        <v>na</v>
      </c>
      <c r="Z1655" s="110" t="s">
        <v>541</v>
      </c>
      <c r="AA1655" s="110" t="s">
        <v>541</v>
      </c>
      <c r="AB1655" s="110" t="s">
        <v>541</v>
      </c>
      <c r="AC1655" s="10" t="s">
        <v>541</v>
      </c>
      <c r="AD1655" s="10" t="s">
        <v>541</v>
      </c>
    </row>
    <row r="1656" spans="1:30" x14ac:dyDescent="0.2">
      <c r="A1656" s="110">
        <v>1655</v>
      </c>
      <c r="B1656" s="132">
        <v>41852</v>
      </c>
      <c r="C1656" s="117">
        <v>3</v>
      </c>
      <c r="D1656" s="103" t="s">
        <v>71</v>
      </c>
      <c r="E1656" s="103" t="s">
        <v>306</v>
      </c>
      <c r="H1656" s="103"/>
      <c r="I1656" s="103">
        <v>55</v>
      </c>
      <c r="K1656" s="103" t="s">
        <v>364</v>
      </c>
      <c r="L1656" s="133"/>
      <c r="M1656" s="134">
        <v>3.4722222222222224E-2</v>
      </c>
      <c r="N1656" s="137" t="s">
        <v>2049</v>
      </c>
      <c r="O1656" s="133" t="s">
        <v>372</v>
      </c>
      <c r="P1656" s="100" t="s">
        <v>3907</v>
      </c>
      <c r="Q1656" s="100" t="s">
        <v>3813</v>
      </c>
      <c r="R1656" s="226" t="s">
        <v>3912</v>
      </c>
      <c r="S1656" s="491" t="str">
        <f t="shared" si="51"/>
        <v>x</v>
      </c>
      <c r="T1656" s="492" t="str">
        <f>IFERROR(VLOOKUP(F1656,'Freq-Chan'!C:D,2,FALSE),"x")</f>
        <v>x</v>
      </c>
      <c r="U1656" s="110" t="s">
        <v>541</v>
      </c>
      <c r="V1656" s="110" t="str">
        <f t="shared" si="52"/>
        <v>FWL</v>
      </c>
      <c r="W1656" s="110" t="s">
        <v>541</v>
      </c>
      <c r="X1656" s="110" t="s">
        <v>541</v>
      </c>
      <c r="Y1656" s="110" t="str">
        <f>IFERROR(VLOOKUP(F1656,'Freq-Chan'!C:E,3,FALSE),"na")</f>
        <v>na</v>
      </c>
      <c r="Z1656" s="110" t="s">
        <v>541</v>
      </c>
      <c r="AA1656" s="110" t="s">
        <v>541</v>
      </c>
      <c r="AB1656" s="110" t="s">
        <v>541</v>
      </c>
      <c r="AC1656" s="10" t="s">
        <v>541</v>
      </c>
      <c r="AD1656" s="10" t="s">
        <v>541</v>
      </c>
    </row>
    <row r="1657" spans="1:30" x14ac:dyDescent="0.2">
      <c r="A1657" s="110">
        <v>1656</v>
      </c>
      <c r="B1657" s="132">
        <v>41852</v>
      </c>
      <c r="C1657" s="117">
        <v>3</v>
      </c>
      <c r="D1657" s="103" t="s">
        <v>71</v>
      </c>
      <c r="E1657" s="103" t="s">
        <v>306</v>
      </c>
      <c r="H1657" s="103"/>
      <c r="I1657" s="103">
        <v>55</v>
      </c>
      <c r="K1657" s="103" t="s">
        <v>364</v>
      </c>
      <c r="L1657" s="133"/>
      <c r="M1657" s="134">
        <v>1.6666666666666666E-2</v>
      </c>
      <c r="N1657" s="137" t="s">
        <v>3905</v>
      </c>
      <c r="O1657" s="133" t="s">
        <v>372</v>
      </c>
      <c r="Q1657" s="100" t="s">
        <v>3813</v>
      </c>
      <c r="R1657" s="226" t="s">
        <v>3912</v>
      </c>
      <c r="S1657" s="491" t="str">
        <f t="shared" si="51"/>
        <v>x</v>
      </c>
      <c r="T1657" s="492" t="str">
        <f>IFERROR(VLOOKUP(F1657,'Freq-Chan'!C:D,2,FALSE),"x")</f>
        <v>x</v>
      </c>
      <c r="U1657" s="110" t="s">
        <v>541</v>
      </c>
      <c r="V1657" s="110" t="str">
        <f t="shared" si="52"/>
        <v>FWL</v>
      </c>
      <c r="W1657" s="110" t="s">
        <v>541</v>
      </c>
      <c r="X1657" s="110" t="s">
        <v>541</v>
      </c>
      <c r="Y1657" s="110" t="str">
        <f>IFERROR(VLOOKUP(F1657,'Freq-Chan'!C:E,3,FALSE),"na")</f>
        <v>na</v>
      </c>
      <c r="Z1657" s="110" t="s">
        <v>541</v>
      </c>
      <c r="AA1657" s="110" t="s">
        <v>541</v>
      </c>
      <c r="AB1657" s="110" t="s">
        <v>541</v>
      </c>
      <c r="AC1657" s="10" t="s">
        <v>541</v>
      </c>
      <c r="AD1657" s="10" t="s">
        <v>541</v>
      </c>
    </row>
    <row r="1658" spans="1:30" x14ac:dyDescent="0.2">
      <c r="A1658" s="110">
        <v>1657</v>
      </c>
      <c r="B1658" s="132">
        <v>41852</v>
      </c>
      <c r="C1658" s="117">
        <v>3</v>
      </c>
      <c r="D1658" s="103" t="s">
        <v>71</v>
      </c>
      <c r="E1658" s="103" t="s">
        <v>306</v>
      </c>
      <c r="F1658" s="103">
        <v>534</v>
      </c>
      <c r="G1658" s="103">
        <v>16</v>
      </c>
      <c r="H1658" s="103" t="s">
        <v>2340</v>
      </c>
      <c r="I1658" s="103">
        <v>55</v>
      </c>
      <c r="K1658" s="103" t="s">
        <v>364</v>
      </c>
      <c r="L1658" s="133"/>
      <c r="M1658" s="134">
        <v>5.0694444444444452E-2</v>
      </c>
      <c r="N1658" s="137" t="s">
        <v>3773</v>
      </c>
      <c r="O1658" s="133" t="s">
        <v>2931</v>
      </c>
      <c r="P1658" s="100" t="s">
        <v>3909</v>
      </c>
      <c r="Q1658" s="100" t="s">
        <v>3813</v>
      </c>
      <c r="R1658" s="226" t="s">
        <v>3912</v>
      </c>
      <c r="S1658" s="491" t="str">
        <f t="shared" si="51"/>
        <v>x</v>
      </c>
      <c r="T1658" s="492">
        <f>IFERROR(VLOOKUP(F1658,'Freq-Chan'!C:D,2,FALSE),"x")</f>
        <v>151.53399999999999</v>
      </c>
      <c r="U1658" s="110" t="s">
        <v>541</v>
      </c>
      <c r="V1658" s="110" t="str">
        <f t="shared" si="52"/>
        <v>FWL</v>
      </c>
      <c r="W1658" s="110" t="s">
        <v>541</v>
      </c>
      <c r="X1658" s="110" t="s">
        <v>541</v>
      </c>
      <c r="Y1658" s="110" t="str">
        <f>IFERROR(VLOOKUP(F1658,'Freq-Chan'!C:E,3,FALSE),"na")</f>
        <v>F1840</v>
      </c>
      <c r="Z1658" s="110" t="s">
        <v>541</v>
      </c>
      <c r="AA1658" s="110" t="s">
        <v>541</v>
      </c>
      <c r="AB1658" s="110" t="s">
        <v>541</v>
      </c>
      <c r="AC1658" s="10" t="s">
        <v>541</v>
      </c>
      <c r="AD1658" s="10" t="s">
        <v>541</v>
      </c>
    </row>
    <row r="1659" spans="1:30" x14ac:dyDescent="0.2">
      <c r="A1659" s="110">
        <v>1658</v>
      </c>
      <c r="B1659" s="132">
        <v>41852</v>
      </c>
      <c r="C1659" s="117">
        <v>3</v>
      </c>
      <c r="D1659" s="103" t="s">
        <v>72</v>
      </c>
      <c r="E1659" s="103" t="s">
        <v>306</v>
      </c>
      <c r="H1659" s="103"/>
      <c r="I1659" s="103">
        <v>48</v>
      </c>
      <c r="K1659" s="103" t="s">
        <v>364</v>
      </c>
      <c r="L1659" s="133"/>
      <c r="M1659" s="134">
        <v>0.13194444444444445</v>
      </c>
      <c r="N1659" s="137" t="s">
        <v>1770</v>
      </c>
      <c r="O1659" s="133" t="s">
        <v>2931</v>
      </c>
      <c r="P1659" s="100" t="s">
        <v>3910</v>
      </c>
      <c r="Q1659" s="100" t="s">
        <v>3813</v>
      </c>
      <c r="R1659" s="226" t="s">
        <v>3912</v>
      </c>
      <c r="S1659" s="491" t="str">
        <f t="shared" si="51"/>
        <v>x</v>
      </c>
      <c r="T1659" s="492" t="str">
        <f>IFERROR(VLOOKUP(F1659,'Freq-Chan'!C:D,2,FALSE),"x")</f>
        <v>x</v>
      </c>
      <c r="U1659" s="110" t="s">
        <v>541</v>
      </c>
      <c r="V1659" s="110" t="str">
        <f t="shared" si="52"/>
        <v>FWL</v>
      </c>
      <c r="W1659" s="110" t="s">
        <v>541</v>
      </c>
      <c r="X1659" s="110" t="s">
        <v>541</v>
      </c>
      <c r="Y1659" s="110" t="str">
        <f>IFERROR(VLOOKUP(F1659,'Freq-Chan'!C:E,3,FALSE),"na")</f>
        <v>na</v>
      </c>
      <c r="Z1659" s="110" t="s">
        <v>541</v>
      </c>
      <c r="AA1659" s="110" t="s">
        <v>541</v>
      </c>
      <c r="AB1659" s="110" t="s">
        <v>541</v>
      </c>
      <c r="AC1659" s="10" t="s">
        <v>541</v>
      </c>
      <c r="AD1659" s="10" t="s">
        <v>541</v>
      </c>
    </row>
    <row r="1660" spans="1:30" x14ac:dyDescent="0.2">
      <c r="A1660" s="110">
        <v>1659</v>
      </c>
      <c r="B1660" s="132">
        <v>41852</v>
      </c>
      <c r="C1660" s="117">
        <v>3</v>
      </c>
      <c r="D1660" s="103" t="s">
        <v>75</v>
      </c>
      <c r="E1660" s="103" t="s">
        <v>798</v>
      </c>
      <c r="H1660" s="103"/>
      <c r="J1660" s="103">
        <v>22</v>
      </c>
      <c r="K1660" s="103" t="s">
        <v>364</v>
      </c>
      <c r="L1660" s="133"/>
      <c r="M1660" s="134">
        <v>2.9166666666666664E-2</v>
      </c>
      <c r="N1660" s="137" t="s">
        <v>1984</v>
      </c>
      <c r="O1660" s="133" t="s">
        <v>372</v>
      </c>
      <c r="Q1660" s="100" t="s">
        <v>3813</v>
      </c>
      <c r="R1660" s="226" t="s">
        <v>3912</v>
      </c>
      <c r="S1660" s="491" t="str">
        <f t="shared" si="51"/>
        <v>x</v>
      </c>
      <c r="T1660" s="492" t="str">
        <f>IFERROR(VLOOKUP(F1660,'Freq-Chan'!C:D,2,FALSE),"x")</f>
        <v>x</v>
      </c>
      <c r="U1660" s="110" t="s">
        <v>541</v>
      </c>
      <c r="V1660" s="110" t="str">
        <f t="shared" si="52"/>
        <v>FWL</v>
      </c>
      <c r="W1660" s="110" t="s">
        <v>541</v>
      </c>
      <c r="X1660" s="110" t="s">
        <v>541</v>
      </c>
      <c r="Y1660" s="110" t="str">
        <f>IFERROR(VLOOKUP(F1660,'Freq-Chan'!C:E,3,FALSE),"na")</f>
        <v>na</v>
      </c>
      <c r="Z1660" s="110" t="s">
        <v>541</v>
      </c>
      <c r="AA1660" s="110" t="s">
        <v>541</v>
      </c>
      <c r="AB1660" s="110" t="s">
        <v>541</v>
      </c>
      <c r="AC1660" s="10" t="s">
        <v>541</v>
      </c>
      <c r="AD1660" s="10" t="s">
        <v>541</v>
      </c>
    </row>
    <row r="1661" spans="1:30" x14ac:dyDescent="0.2">
      <c r="A1661" s="110">
        <v>1660</v>
      </c>
      <c r="B1661" s="132">
        <v>41852</v>
      </c>
      <c r="C1661" s="117">
        <v>3</v>
      </c>
      <c r="D1661" s="103" t="s">
        <v>75</v>
      </c>
      <c r="E1661" s="103" t="s">
        <v>798</v>
      </c>
      <c r="H1661" s="103"/>
      <c r="J1661" s="103">
        <v>22</v>
      </c>
      <c r="K1661" s="103" t="s">
        <v>364</v>
      </c>
      <c r="L1661" s="133">
        <v>0.67569444444444438</v>
      </c>
      <c r="M1661" s="134">
        <v>2.0833333333333332E-2</v>
      </c>
      <c r="N1661" s="137" t="s">
        <v>3906</v>
      </c>
      <c r="O1661" s="133" t="s">
        <v>372</v>
      </c>
      <c r="P1661" s="100" t="s">
        <v>3911</v>
      </c>
      <c r="Q1661" s="100" t="s">
        <v>3813</v>
      </c>
      <c r="R1661" s="226" t="s">
        <v>3912</v>
      </c>
      <c r="S1661" s="491">
        <f t="shared" si="51"/>
        <v>1.35416667E-2</v>
      </c>
      <c r="T1661" s="492" t="str">
        <f>IFERROR(VLOOKUP(F1661,'Freq-Chan'!C:D,2,FALSE),"x")</f>
        <v>x</v>
      </c>
      <c r="U1661" s="110" t="s">
        <v>541</v>
      </c>
      <c r="V1661" s="110" t="str">
        <f t="shared" si="52"/>
        <v>FWL</v>
      </c>
      <c r="W1661" s="110" t="s">
        <v>541</v>
      </c>
      <c r="X1661" s="110" t="s">
        <v>541</v>
      </c>
      <c r="Y1661" s="110" t="str">
        <f>IFERROR(VLOOKUP(F1661,'Freq-Chan'!C:E,3,FALSE),"na")</f>
        <v>na</v>
      </c>
      <c r="Z1661" s="110" t="s">
        <v>541</v>
      </c>
      <c r="AA1661" s="110" t="s">
        <v>541</v>
      </c>
      <c r="AB1661" s="110" t="s">
        <v>541</v>
      </c>
      <c r="AC1661" s="10" t="s">
        <v>541</v>
      </c>
      <c r="AD1661" s="10" t="s">
        <v>541</v>
      </c>
    </row>
    <row r="1662" spans="1:30" x14ac:dyDescent="0.2">
      <c r="A1662" s="110">
        <v>1661</v>
      </c>
      <c r="B1662" s="132">
        <v>41852</v>
      </c>
      <c r="C1662" s="117">
        <v>3</v>
      </c>
      <c r="D1662" s="103" t="s">
        <v>70</v>
      </c>
      <c r="E1662" s="103" t="s">
        <v>306</v>
      </c>
      <c r="F1662" s="103">
        <v>515</v>
      </c>
      <c r="G1662" s="103">
        <v>98</v>
      </c>
      <c r="H1662" s="103" t="s">
        <v>3027</v>
      </c>
      <c r="I1662" s="103">
        <v>45</v>
      </c>
      <c r="K1662" s="103" t="s">
        <v>365</v>
      </c>
      <c r="L1662" s="133"/>
      <c r="M1662" s="134">
        <v>3.6805555555555557E-2</v>
      </c>
      <c r="N1662" s="137" t="s">
        <v>1574</v>
      </c>
      <c r="O1662" s="133" t="s">
        <v>1532</v>
      </c>
      <c r="Q1662" s="100" t="s">
        <v>3860</v>
      </c>
      <c r="R1662" s="226" t="s">
        <v>3912</v>
      </c>
      <c r="S1662" s="491" t="str">
        <f t="shared" si="51"/>
        <v>x</v>
      </c>
      <c r="T1662" s="492">
        <f>IFERROR(VLOOKUP(F1662,'Freq-Chan'!C:D,2,FALSE),"x")</f>
        <v>151.51499999999999</v>
      </c>
      <c r="U1662" s="110" t="s">
        <v>541</v>
      </c>
      <c r="V1662" s="110" t="str">
        <f t="shared" si="52"/>
        <v>FWL</v>
      </c>
      <c r="W1662" s="110" t="s">
        <v>541</v>
      </c>
      <c r="X1662" s="110" t="s">
        <v>541</v>
      </c>
      <c r="Y1662" s="110" t="str">
        <f>IFERROR(VLOOKUP(F1662,'Freq-Chan'!C:E,3,FALSE),"na")</f>
        <v>F1835</v>
      </c>
      <c r="Z1662" s="110" t="s">
        <v>541</v>
      </c>
      <c r="AA1662" s="110" t="s">
        <v>541</v>
      </c>
      <c r="AB1662" s="110" t="s">
        <v>541</v>
      </c>
      <c r="AC1662" s="10" t="s">
        <v>541</v>
      </c>
      <c r="AD1662" s="10" t="s">
        <v>541</v>
      </c>
    </row>
    <row r="1663" spans="1:30" x14ac:dyDescent="0.2">
      <c r="A1663" s="110">
        <v>1662</v>
      </c>
      <c r="B1663" s="132">
        <v>41852</v>
      </c>
      <c r="C1663" s="117">
        <v>3</v>
      </c>
      <c r="D1663" s="103" t="s">
        <v>70</v>
      </c>
      <c r="E1663" s="103" t="s">
        <v>306</v>
      </c>
      <c r="F1663" s="103">
        <v>596</v>
      </c>
      <c r="G1663" s="103">
        <v>50</v>
      </c>
      <c r="H1663" s="103" t="s">
        <v>3031</v>
      </c>
      <c r="I1663" s="103">
        <v>50</v>
      </c>
      <c r="K1663" s="103" t="s">
        <v>1032</v>
      </c>
      <c r="L1663" s="133"/>
      <c r="M1663" s="134">
        <v>3.6805555555555557E-2</v>
      </c>
      <c r="N1663" s="137" t="s">
        <v>3249</v>
      </c>
      <c r="O1663" s="133" t="s">
        <v>1532</v>
      </c>
      <c r="Q1663" s="100" t="s">
        <v>3860</v>
      </c>
      <c r="R1663" s="226" t="s">
        <v>3912</v>
      </c>
      <c r="S1663" s="491" t="str">
        <f t="shared" si="51"/>
        <v>x</v>
      </c>
      <c r="T1663" s="492">
        <f>IFERROR(VLOOKUP(F1663,'Freq-Chan'!C:D,2,FALSE),"x")</f>
        <v>151.596</v>
      </c>
      <c r="U1663" s="110" t="s">
        <v>541</v>
      </c>
      <c r="V1663" s="110" t="str">
        <f t="shared" si="52"/>
        <v>FWL</v>
      </c>
      <c r="W1663" s="110" t="s">
        <v>541</v>
      </c>
      <c r="X1663" s="110" t="s">
        <v>541</v>
      </c>
      <c r="Y1663" s="110" t="str">
        <f>IFERROR(VLOOKUP(F1663,'Freq-Chan'!C:E,3,FALSE),"na")</f>
        <v>F1835</v>
      </c>
      <c r="Z1663" s="110" t="s">
        <v>541</v>
      </c>
      <c r="AA1663" s="110" t="s">
        <v>541</v>
      </c>
      <c r="AB1663" s="110" t="s">
        <v>541</v>
      </c>
      <c r="AC1663" s="10" t="s">
        <v>541</v>
      </c>
      <c r="AD1663" s="10" t="s">
        <v>541</v>
      </c>
    </row>
    <row r="1664" spans="1:30" x14ac:dyDescent="0.2">
      <c r="A1664" s="110">
        <v>1663</v>
      </c>
      <c r="B1664" s="132">
        <v>41852</v>
      </c>
      <c r="C1664" s="117">
        <v>3</v>
      </c>
      <c r="D1664" s="103" t="s">
        <v>70</v>
      </c>
      <c r="E1664" s="103" t="s">
        <v>306</v>
      </c>
      <c r="F1664" s="103">
        <v>596</v>
      </c>
      <c r="G1664" s="103">
        <v>48</v>
      </c>
      <c r="H1664" s="103" t="s">
        <v>3032</v>
      </c>
      <c r="I1664" s="103">
        <v>52</v>
      </c>
      <c r="K1664" s="103" t="s">
        <v>1032</v>
      </c>
      <c r="L1664" s="133"/>
      <c r="M1664" s="134">
        <v>4.9999999999999996E-2</v>
      </c>
      <c r="N1664" s="137" t="s">
        <v>2812</v>
      </c>
      <c r="O1664" s="133" t="s">
        <v>950</v>
      </c>
      <c r="Q1664" s="100" t="s">
        <v>3860</v>
      </c>
      <c r="R1664" s="226" t="s">
        <v>3912</v>
      </c>
      <c r="S1664" s="491" t="str">
        <f t="shared" si="51"/>
        <v>x</v>
      </c>
      <c r="T1664" s="492">
        <f>IFERROR(VLOOKUP(F1664,'Freq-Chan'!C:D,2,FALSE),"x")</f>
        <v>151.596</v>
      </c>
      <c r="U1664" s="110" t="s">
        <v>541</v>
      </c>
      <c r="V1664" s="110" t="str">
        <f t="shared" si="52"/>
        <v>FWL</v>
      </c>
      <c r="W1664" s="110" t="s">
        <v>541</v>
      </c>
      <c r="X1664" s="110" t="s">
        <v>541</v>
      </c>
      <c r="Y1664" s="110" t="str">
        <f>IFERROR(VLOOKUP(F1664,'Freq-Chan'!C:E,3,FALSE),"na")</f>
        <v>F1835</v>
      </c>
      <c r="Z1664" s="110" t="s">
        <v>541</v>
      </c>
      <c r="AA1664" s="110" t="s">
        <v>541</v>
      </c>
      <c r="AB1664" s="110" t="s">
        <v>541</v>
      </c>
      <c r="AC1664" s="10" t="s">
        <v>541</v>
      </c>
      <c r="AD1664" s="10" t="s">
        <v>541</v>
      </c>
    </row>
    <row r="1665" spans="1:30" x14ac:dyDescent="0.2">
      <c r="A1665" s="110">
        <v>1664</v>
      </c>
      <c r="B1665" s="132">
        <v>41852</v>
      </c>
      <c r="C1665" s="117">
        <v>3</v>
      </c>
      <c r="D1665" s="103" t="s">
        <v>70</v>
      </c>
      <c r="E1665" s="103" t="s">
        <v>306</v>
      </c>
      <c r="F1665" s="103">
        <v>515</v>
      </c>
      <c r="G1665" s="103">
        <v>36</v>
      </c>
      <c r="H1665" s="103" t="s">
        <v>3033</v>
      </c>
      <c r="I1665" s="103">
        <v>48</v>
      </c>
      <c r="K1665" s="103" t="s">
        <v>365</v>
      </c>
      <c r="L1665" s="133"/>
      <c r="M1665" s="134">
        <v>4.6527777777777779E-2</v>
      </c>
      <c r="N1665" s="137" t="s">
        <v>713</v>
      </c>
      <c r="O1665" s="133" t="s">
        <v>1036</v>
      </c>
      <c r="Q1665" s="100" t="s">
        <v>3860</v>
      </c>
      <c r="R1665" s="226" t="s">
        <v>3912</v>
      </c>
      <c r="S1665" s="491" t="str">
        <f t="shared" si="51"/>
        <v>x</v>
      </c>
      <c r="T1665" s="492">
        <f>IFERROR(VLOOKUP(F1665,'Freq-Chan'!C:D,2,FALSE),"x")</f>
        <v>151.51499999999999</v>
      </c>
      <c r="U1665" s="110" t="s">
        <v>541</v>
      </c>
      <c r="V1665" s="110" t="str">
        <f t="shared" si="52"/>
        <v>FWL</v>
      </c>
      <c r="W1665" s="110" t="s">
        <v>541</v>
      </c>
      <c r="X1665" s="110" t="s">
        <v>541</v>
      </c>
      <c r="Y1665" s="110" t="str">
        <f>IFERROR(VLOOKUP(F1665,'Freq-Chan'!C:E,3,FALSE),"na")</f>
        <v>F1835</v>
      </c>
      <c r="Z1665" s="110" t="s">
        <v>541</v>
      </c>
      <c r="AA1665" s="110" t="s">
        <v>541</v>
      </c>
      <c r="AB1665" s="110" t="s">
        <v>541</v>
      </c>
      <c r="AC1665" s="10" t="s">
        <v>541</v>
      </c>
      <c r="AD1665" s="10" t="s">
        <v>541</v>
      </c>
    </row>
    <row r="1666" spans="1:30" x14ac:dyDescent="0.2">
      <c r="A1666" s="110">
        <v>1665</v>
      </c>
      <c r="B1666" s="132">
        <v>41852</v>
      </c>
      <c r="C1666" s="117">
        <v>3</v>
      </c>
      <c r="D1666" s="103" t="s">
        <v>72</v>
      </c>
      <c r="E1666" s="103" t="s">
        <v>306</v>
      </c>
      <c r="F1666" s="103">
        <v>266</v>
      </c>
      <c r="G1666" s="103">
        <v>89</v>
      </c>
      <c r="H1666" s="103" t="s">
        <v>3517</v>
      </c>
      <c r="I1666" s="103">
        <v>56</v>
      </c>
      <c r="K1666" s="103" t="s">
        <v>365</v>
      </c>
      <c r="L1666" s="133"/>
      <c r="M1666" s="134">
        <v>4.2361111111111106E-2</v>
      </c>
      <c r="N1666" s="137" t="s">
        <v>2785</v>
      </c>
      <c r="O1666" s="133" t="s">
        <v>1532</v>
      </c>
      <c r="P1666" s="100" t="s">
        <v>4466</v>
      </c>
      <c r="Q1666" s="100" t="s">
        <v>3860</v>
      </c>
      <c r="R1666" s="226" t="s">
        <v>3912</v>
      </c>
      <c r="S1666" s="491" t="str">
        <f t="shared" si="51"/>
        <v>x</v>
      </c>
      <c r="T1666" s="492">
        <f>IFERROR(VLOOKUP(F1666,'Freq-Chan'!C:D,2,FALSE),"x")</f>
        <v>151.26599999999999</v>
      </c>
      <c r="U1666" s="110" t="s">
        <v>541</v>
      </c>
      <c r="V1666" s="110" t="str">
        <f t="shared" si="52"/>
        <v>FWL</v>
      </c>
      <c r="W1666" s="110" t="s">
        <v>541</v>
      </c>
      <c r="X1666" s="110" t="s">
        <v>541</v>
      </c>
      <c r="Y1666" s="110" t="str">
        <f>IFERROR(VLOOKUP(F1666,'Freq-Chan'!C:E,3,FALSE),"na")</f>
        <v>F1840</v>
      </c>
      <c r="Z1666" s="110" t="s">
        <v>541</v>
      </c>
      <c r="AA1666" s="110" t="s">
        <v>541</v>
      </c>
      <c r="AB1666" s="110" t="s">
        <v>541</v>
      </c>
      <c r="AC1666" s="10" t="s">
        <v>541</v>
      </c>
      <c r="AD1666" s="10" t="s">
        <v>541</v>
      </c>
    </row>
    <row r="1667" spans="1:30" x14ac:dyDescent="0.2">
      <c r="A1667" s="110">
        <v>1666</v>
      </c>
      <c r="B1667" s="132">
        <v>41852</v>
      </c>
      <c r="C1667" s="117">
        <v>3</v>
      </c>
      <c r="D1667" s="103" t="s">
        <v>8</v>
      </c>
      <c r="E1667" s="103" t="s">
        <v>306</v>
      </c>
      <c r="F1667" s="103">
        <v>586</v>
      </c>
      <c r="G1667" s="103">
        <v>91</v>
      </c>
      <c r="H1667" s="103" t="s">
        <v>2189</v>
      </c>
      <c r="I1667" s="103">
        <v>48</v>
      </c>
      <c r="K1667" s="103" t="s">
        <v>1032</v>
      </c>
      <c r="L1667" s="133"/>
      <c r="M1667" s="134">
        <v>8.1250000000000003E-2</v>
      </c>
      <c r="N1667" s="137" t="s">
        <v>1785</v>
      </c>
      <c r="O1667" s="133" t="s">
        <v>1532</v>
      </c>
      <c r="Q1667" s="100" t="s">
        <v>3860</v>
      </c>
      <c r="R1667" s="226" t="s">
        <v>3912</v>
      </c>
      <c r="S1667" s="491" t="str">
        <f t="shared" ref="S1667:S1730" si="53">IF(IF(OR(L1667=0,N1667=0),"x",ROUND(N1667-L1667-(M1667*24)/(24*60),10))&lt;0,0,IF(OR(L1667=0,N1667=0),"x",ROUND(N1667-L1667-(M1667*24)/(24*60),10)))</f>
        <v>x</v>
      </c>
      <c r="T1667" s="492">
        <f>IFERROR(VLOOKUP(F1667,'Freq-Chan'!C:D,2,FALSE),"x")</f>
        <v>151.58600000000001</v>
      </c>
      <c r="U1667" s="110" t="s">
        <v>541</v>
      </c>
      <c r="V1667" s="110" t="str">
        <f t="shared" ref="V1667:V1730" si="54">IF(OR(C1667=1,C1667=2,C1667=3),"FWL","NRD")</f>
        <v>FWL</v>
      </c>
      <c r="W1667" s="110" t="s">
        <v>541</v>
      </c>
      <c r="X1667" s="110" t="s">
        <v>541</v>
      </c>
      <c r="Y1667" s="110" t="str">
        <f>IFERROR(VLOOKUP(F1667,'Freq-Chan'!C:E,3,FALSE),"na")</f>
        <v>F1840</v>
      </c>
      <c r="Z1667" s="110" t="s">
        <v>541</v>
      </c>
      <c r="AA1667" s="110" t="s">
        <v>541</v>
      </c>
      <c r="AB1667" s="110" t="s">
        <v>541</v>
      </c>
      <c r="AC1667" s="10" t="s">
        <v>541</v>
      </c>
      <c r="AD1667" s="10" t="s">
        <v>541</v>
      </c>
    </row>
    <row r="1668" spans="1:30" x14ac:dyDescent="0.2">
      <c r="A1668" s="110">
        <v>1667</v>
      </c>
      <c r="B1668" s="132">
        <v>41852</v>
      </c>
      <c r="C1668" s="117">
        <v>3</v>
      </c>
      <c r="D1668" s="103" t="s">
        <v>90</v>
      </c>
      <c r="E1668" s="103" t="s">
        <v>798</v>
      </c>
      <c r="H1668" s="103" t="s">
        <v>1719</v>
      </c>
      <c r="J1668" s="103">
        <v>38</v>
      </c>
      <c r="K1668" s="103" t="s">
        <v>364</v>
      </c>
      <c r="L1668" s="133"/>
      <c r="M1668" s="134">
        <v>2.2222222222222223E-2</v>
      </c>
      <c r="N1668" s="137" t="s">
        <v>1808</v>
      </c>
      <c r="O1668" s="133" t="s">
        <v>1532</v>
      </c>
      <c r="Q1668" s="100" t="s">
        <v>3860</v>
      </c>
      <c r="R1668" s="226" t="s">
        <v>3912</v>
      </c>
      <c r="S1668" s="491" t="str">
        <f t="shared" si="53"/>
        <v>x</v>
      </c>
      <c r="T1668" s="492" t="str">
        <f>IFERROR(VLOOKUP(F1668,'Freq-Chan'!C:D,2,FALSE),"x")</f>
        <v>x</v>
      </c>
      <c r="U1668" s="110" t="s">
        <v>541</v>
      </c>
      <c r="V1668" s="110" t="str">
        <f t="shared" si="54"/>
        <v>FWL</v>
      </c>
      <c r="W1668" s="110" t="s">
        <v>541</v>
      </c>
      <c r="X1668" s="110" t="s">
        <v>541</v>
      </c>
      <c r="Y1668" s="110" t="str">
        <f>IFERROR(VLOOKUP(F1668,'Freq-Chan'!C:E,3,FALSE),"na")</f>
        <v>na</v>
      </c>
      <c r="Z1668" s="110" t="s">
        <v>541</v>
      </c>
      <c r="AA1668" s="110" t="s">
        <v>541</v>
      </c>
      <c r="AB1668" s="110" t="s">
        <v>541</v>
      </c>
      <c r="AC1668" s="10" t="s">
        <v>541</v>
      </c>
      <c r="AD1668" s="10" t="s">
        <v>541</v>
      </c>
    </row>
    <row r="1669" spans="1:30" x14ac:dyDescent="0.2">
      <c r="A1669" s="110">
        <v>1668</v>
      </c>
      <c r="B1669" s="132">
        <v>41852</v>
      </c>
      <c r="C1669" s="117">
        <v>3</v>
      </c>
      <c r="D1669" s="103" t="s">
        <v>71</v>
      </c>
      <c r="E1669" s="103" t="s">
        <v>306</v>
      </c>
      <c r="F1669" s="103">
        <v>534</v>
      </c>
      <c r="G1669" s="103">
        <v>27</v>
      </c>
      <c r="H1669" s="103" t="s">
        <v>2346</v>
      </c>
      <c r="I1669" s="103">
        <v>60</v>
      </c>
      <c r="K1669" s="103" t="s">
        <v>365</v>
      </c>
      <c r="L1669" s="133"/>
      <c r="M1669" s="134">
        <v>3.8194444444444441E-2</v>
      </c>
      <c r="N1669" s="137" t="s">
        <v>3776</v>
      </c>
      <c r="O1669" s="133" t="s">
        <v>1532</v>
      </c>
      <c r="Q1669" s="100" t="s">
        <v>3860</v>
      </c>
      <c r="R1669" s="226" t="s">
        <v>3912</v>
      </c>
      <c r="S1669" s="491" t="str">
        <f t="shared" si="53"/>
        <v>x</v>
      </c>
      <c r="T1669" s="492">
        <f>IFERROR(VLOOKUP(F1669,'Freq-Chan'!C:D,2,FALSE),"x")</f>
        <v>151.53399999999999</v>
      </c>
      <c r="U1669" s="110" t="s">
        <v>541</v>
      </c>
      <c r="V1669" s="110" t="str">
        <f t="shared" si="54"/>
        <v>FWL</v>
      </c>
      <c r="W1669" s="110" t="s">
        <v>541</v>
      </c>
      <c r="X1669" s="110" t="s">
        <v>541</v>
      </c>
      <c r="Y1669" s="110" t="str">
        <f>IFERROR(VLOOKUP(F1669,'Freq-Chan'!C:E,3,FALSE),"na")</f>
        <v>F1840</v>
      </c>
      <c r="Z1669" s="110" t="s">
        <v>541</v>
      </c>
      <c r="AA1669" s="110" t="s">
        <v>541</v>
      </c>
      <c r="AB1669" s="110" t="s">
        <v>541</v>
      </c>
      <c r="AC1669" s="10" t="s">
        <v>541</v>
      </c>
      <c r="AD1669" s="10" t="s">
        <v>541</v>
      </c>
    </row>
    <row r="1670" spans="1:30" s="291" customFormat="1" x14ac:dyDescent="0.2">
      <c r="A1670" s="493">
        <v>1669</v>
      </c>
      <c r="B1670" s="283">
        <v>41852</v>
      </c>
      <c r="C1670" s="284">
        <v>3</v>
      </c>
      <c r="D1670" s="285" t="s">
        <v>8</v>
      </c>
      <c r="E1670" s="285" t="s">
        <v>306</v>
      </c>
      <c r="F1670" s="285">
        <v>573</v>
      </c>
      <c r="G1670" s="285">
        <v>49</v>
      </c>
      <c r="H1670" s="285" t="s">
        <v>2196</v>
      </c>
      <c r="I1670" s="285">
        <v>51</v>
      </c>
      <c r="J1670" s="285"/>
      <c r="K1670" s="285" t="s">
        <v>1032</v>
      </c>
      <c r="L1670" s="286"/>
      <c r="M1670" s="287">
        <v>3.6111111111111115E-2</v>
      </c>
      <c r="N1670" s="339" t="s">
        <v>3434</v>
      </c>
      <c r="O1670" s="286" t="s">
        <v>1532</v>
      </c>
      <c r="P1670" s="289"/>
      <c r="Q1670" s="289" t="s">
        <v>3860</v>
      </c>
      <c r="R1670" s="290" t="s">
        <v>3912</v>
      </c>
      <c r="S1670" s="494" t="str">
        <f t="shared" si="53"/>
        <v>x</v>
      </c>
      <c r="T1670" s="495">
        <f>IFERROR(VLOOKUP(F1670,'Freq-Chan'!C:D,2,FALSE),"x")</f>
        <v>151.57300000000001</v>
      </c>
      <c r="U1670" s="493" t="s">
        <v>541</v>
      </c>
      <c r="V1670" s="493" t="str">
        <f t="shared" si="54"/>
        <v>FWL</v>
      </c>
      <c r="W1670" s="493" t="s">
        <v>541</v>
      </c>
      <c r="X1670" s="493" t="s">
        <v>541</v>
      </c>
      <c r="Y1670" s="493" t="str">
        <f>IFERROR(VLOOKUP(F1670,'Freq-Chan'!C:E,3,FALSE),"na")</f>
        <v>F1840</v>
      </c>
      <c r="Z1670" s="493" t="s">
        <v>541</v>
      </c>
      <c r="AA1670" s="493" t="s">
        <v>541</v>
      </c>
      <c r="AB1670" s="493" t="s">
        <v>541</v>
      </c>
      <c r="AC1670" s="291" t="s">
        <v>541</v>
      </c>
      <c r="AD1670" s="291" t="s">
        <v>541</v>
      </c>
    </row>
    <row r="1671" spans="1:30" x14ac:dyDescent="0.2">
      <c r="A1671" s="110">
        <v>1670</v>
      </c>
      <c r="B1671" s="132">
        <v>41853</v>
      </c>
      <c r="C1671" s="117">
        <v>1</v>
      </c>
      <c r="D1671" s="103" t="s">
        <v>71</v>
      </c>
      <c r="E1671" s="103" t="s">
        <v>306</v>
      </c>
      <c r="F1671" s="103">
        <v>534</v>
      </c>
      <c r="G1671" s="103">
        <v>29</v>
      </c>
      <c r="H1671" s="103" t="s">
        <v>2343</v>
      </c>
      <c r="I1671" s="103">
        <v>57</v>
      </c>
      <c r="K1671" s="103" t="s">
        <v>1032</v>
      </c>
      <c r="L1671" s="133">
        <v>0.34097222222222223</v>
      </c>
      <c r="M1671" s="134">
        <v>4.9999999999999996E-2</v>
      </c>
      <c r="N1671" s="137" t="s">
        <v>3796</v>
      </c>
      <c r="O1671" s="133" t="s">
        <v>950</v>
      </c>
      <c r="Q1671" s="100" t="s">
        <v>3925</v>
      </c>
      <c r="R1671" s="226" t="s">
        <v>3938</v>
      </c>
      <c r="S1671" s="491">
        <f t="shared" si="53"/>
        <v>1.0972222199999999E-2</v>
      </c>
      <c r="T1671" s="492">
        <f>IFERROR(VLOOKUP(F1671,'Freq-Chan'!C:D,2,FALSE),"x")</f>
        <v>151.53399999999999</v>
      </c>
      <c r="U1671" s="110" t="s">
        <v>541</v>
      </c>
      <c r="V1671" s="110" t="str">
        <f t="shared" si="54"/>
        <v>FWL</v>
      </c>
      <c r="W1671" s="110" t="s">
        <v>541</v>
      </c>
      <c r="X1671" s="110" t="s">
        <v>541</v>
      </c>
      <c r="Y1671" s="110" t="str">
        <f>IFERROR(VLOOKUP(F1671,'Freq-Chan'!C:E,3,FALSE),"na")</f>
        <v>F1840</v>
      </c>
      <c r="Z1671" s="110" t="s">
        <v>541</v>
      </c>
      <c r="AA1671" s="110" t="s">
        <v>541</v>
      </c>
      <c r="AB1671" s="110" t="s">
        <v>541</v>
      </c>
      <c r="AC1671" s="10" t="s">
        <v>541</v>
      </c>
      <c r="AD1671" s="10" t="s">
        <v>541</v>
      </c>
    </row>
    <row r="1672" spans="1:30" x14ac:dyDescent="0.2">
      <c r="A1672" s="110">
        <v>1671</v>
      </c>
      <c r="B1672" s="132">
        <v>41853</v>
      </c>
      <c r="C1672" s="117">
        <v>1</v>
      </c>
      <c r="D1672" s="103" t="s">
        <v>70</v>
      </c>
      <c r="E1672" s="103" t="s">
        <v>306</v>
      </c>
      <c r="F1672" s="103">
        <v>596</v>
      </c>
      <c r="G1672" s="103">
        <v>86</v>
      </c>
      <c r="H1672" s="103" t="s">
        <v>3035</v>
      </c>
      <c r="I1672" s="103">
        <v>47</v>
      </c>
      <c r="K1672" s="103" t="s">
        <v>365</v>
      </c>
      <c r="L1672" s="133">
        <v>0.3430555555555555</v>
      </c>
      <c r="M1672" s="134">
        <v>4.5833333333333337E-2</v>
      </c>
      <c r="N1672" s="137" t="s">
        <v>3345</v>
      </c>
      <c r="O1672" s="133" t="s">
        <v>950</v>
      </c>
      <c r="Q1672" s="100" t="s">
        <v>3925</v>
      </c>
      <c r="R1672" s="226" t="s">
        <v>3938</v>
      </c>
      <c r="S1672" s="491">
        <f t="shared" si="53"/>
        <v>1.17361111E-2</v>
      </c>
      <c r="T1672" s="492">
        <f>IFERROR(VLOOKUP(F1672,'Freq-Chan'!C:D,2,FALSE),"x")</f>
        <v>151.596</v>
      </c>
      <c r="U1672" s="110" t="s">
        <v>541</v>
      </c>
      <c r="V1672" s="110" t="str">
        <f t="shared" si="54"/>
        <v>FWL</v>
      </c>
      <c r="W1672" s="110" t="s">
        <v>541</v>
      </c>
      <c r="X1672" s="110" t="s">
        <v>541</v>
      </c>
      <c r="Y1672" s="110" t="str">
        <f>IFERROR(VLOOKUP(F1672,'Freq-Chan'!C:E,3,FALSE),"na")</f>
        <v>F1835</v>
      </c>
      <c r="Z1672" s="110" t="s">
        <v>541</v>
      </c>
      <c r="AA1672" s="110" t="s">
        <v>541</v>
      </c>
      <c r="AB1672" s="110" t="s">
        <v>541</v>
      </c>
      <c r="AC1672" s="10" t="s">
        <v>541</v>
      </c>
      <c r="AD1672" s="10" t="s">
        <v>541</v>
      </c>
    </row>
    <row r="1673" spans="1:30" x14ac:dyDescent="0.2">
      <c r="A1673" s="110">
        <v>1672</v>
      </c>
      <c r="B1673" s="132">
        <v>41853</v>
      </c>
      <c r="C1673" s="117">
        <v>1</v>
      </c>
      <c r="D1673" s="103" t="s">
        <v>70</v>
      </c>
      <c r="E1673" s="103" t="s">
        <v>306</v>
      </c>
      <c r="F1673" s="103">
        <v>596</v>
      </c>
      <c r="G1673" s="103">
        <v>53</v>
      </c>
      <c r="H1673" s="103" t="s">
        <v>3042</v>
      </c>
      <c r="I1673" s="103">
        <v>48</v>
      </c>
      <c r="K1673" s="103" t="s">
        <v>365</v>
      </c>
      <c r="L1673" s="133"/>
      <c r="M1673" s="134">
        <v>6.25E-2</v>
      </c>
      <c r="N1673" s="137" t="s">
        <v>3402</v>
      </c>
      <c r="O1673" s="133" t="s">
        <v>950</v>
      </c>
      <c r="Q1673" s="100" t="s">
        <v>3925</v>
      </c>
      <c r="R1673" s="226" t="s">
        <v>3938</v>
      </c>
      <c r="S1673" s="491" t="str">
        <f t="shared" si="53"/>
        <v>x</v>
      </c>
      <c r="T1673" s="492">
        <f>IFERROR(VLOOKUP(F1673,'Freq-Chan'!C:D,2,FALSE),"x")</f>
        <v>151.596</v>
      </c>
      <c r="U1673" s="110" t="s">
        <v>541</v>
      </c>
      <c r="V1673" s="110" t="str">
        <f t="shared" si="54"/>
        <v>FWL</v>
      </c>
      <c r="W1673" s="110" t="s">
        <v>541</v>
      </c>
      <c r="X1673" s="110" t="s">
        <v>541</v>
      </c>
      <c r="Y1673" s="110" t="str">
        <f>IFERROR(VLOOKUP(F1673,'Freq-Chan'!C:E,3,FALSE),"na")</f>
        <v>F1835</v>
      </c>
      <c r="Z1673" s="110" t="s">
        <v>541</v>
      </c>
      <c r="AA1673" s="110" t="s">
        <v>541</v>
      </c>
      <c r="AB1673" s="110" t="s">
        <v>541</v>
      </c>
      <c r="AC1673" s="10" t="s">
        <v>541</v>
      </c>
      <c r="AD1673" s="10" t="s">
        <v>541</v>
      </c>
    </row>
    <row r="1674" spans="1:30" x14ac:dyDescent="0.2">
      <c r="A1674" s="110">
        <v>1673</v>
      </c>
      <c r="B1674" s="132">
        <v>41853</v>
      </c>
      <c r="C1674" s="117">
        <v>1</v>
      </c>
      <c r="D1674" s="103" t="s">
        <v>70</v>
      </c>
      <c r="E1674" s="103" t="s">
        <v>306</v>
      </c>
      <c r="H1674" s="103"/>
      <c r="I1674" s="103">
        <v>46</v>
      </c>
      <c r="K1674" s="103" t="s">
        <v>365</v>
      </c>
      <c r="L1674" s="133"/>
      <c r="M1674" s="134">
        <v>2.013888888888889E-2</v>
      </c>
      <c r="N1674" s="137" t="s">
        <v>3926</v>
      </c>
      <c r="O1674" s="133" t="s">
        <v>950</v>
      </c>
      <c r="Q1674" s="100" t="s">
        <v>3925</v>
      </c>
      <c r="R1674" s="226" t="s">
        <v>3938</v>
      </c>
      <c r="S1674" s="491" t="str">
        <f t="shared" si="53"/>
        <v>x</v>
      </c>
      <c r="T1674" s="492" t="str">
        <f>IFERROR(VLOOKUP(F1674,'Freq-Chan'!C:D,2,FALSE),"x")</f>
        <v>x</v>
      </c>
      <c r="U1674" s="110" t="s">
        <v>541</v>
      </c>
      <c r="V1674" s="110" t="str">
        <f t="shared" si="54"/>
        <v>FWL</v>
      </c>
      <c r="W1674" s="110" t="s">
        <v>541</v>
      </c>
      <c r="X1674" s="110" t="s">
        <v>541</v>
      </c>
      <c r="Y1674" s="110" t="str">
        <f>IFERROR(VLOOKUP(F1674,'Freq-Chan'!C:E,3,FALSE),"na")</f>
        <v>na</v>
      </c>
      <c r="Z1674" s="110" t="s">
        <v>541</v>
      </c>
      <c r="AA1674" s="110" t="s">
        <v>541</v>
      </c>
      <c r="AB1674" s="110" t="s">
        <v>541</v>
      </c>
      <c r="AC1674" s="10" t="s">
        <v>541</v>
      </c>
      <c r="AD1674" s="10" t="s">
        <v>541</v>
      </c>
    </row>
    <row r="1675" spans="1:30" x14ac:dyDescent="0.2">
      <c r="A1675" s="110">
        <v>1674</v>
      </c>
      <c r="B1675" s="132">
        <v>41853</v>
      </c>
      <c r="C1675" s="117">
        <v>1</v>
      </c>
      <c r="D1675" s="103" t="s">
        <v>70</v>
      </c>
      <c r="E1675" s="103" t="s">
        <v>306</v>
      </c>
      <c r="H1675" s="103"/>
      <c r="I1675" s="103">
        <v>46</v>
      </c>
      <c r="K1675" s="103" t="s">
        <v>365</v>
      </c>
      <c r="L1675" s="133"/>
      <c r="M1675" s="134">
        <v>2.0833333333333332E-2</v>
      </c>
      <c r="N1675" s="137" t="s">
        <v>3352</v>
      </c>
      <c r="O1675" s="133" t="s">
        <v>950</v>
      </c>
      <c r="Q1675" s="100" t="s">
        <v>3925</v>
      </c>
      <c r="R1675" s="226" t="s">
        <v>3938</v>
      </c>
      <c r="S1675" s="491" t="str">
        <f t="shared" si="53"/>
        <v>x</v>
      </c>
      <c r="T1675" s="492" t="str">
        <f>IFERROR(VLOOKUP(F1675,'Freq-Chan'!C:D,2,FALSE),"x")</f>
        <v>x</v>
      </c>
      <c r="U1675" s="110" t="s">
        <v>541</v>
      </c>
      <c r="V1675" s="110" t="str">
        <f t="shared" si="54"/>
        <v>FWL</v>
      </c>
      <c r="W1675" s="110" t="s">
        <v>541</v>
      </c>
      <c r="X1675" s="110" t="s">
        <v>541</v>
      </c>
      <c r="Y1675" s="110" t="str">
        <f>IFERROR(VLOOKUP(F1675,'Freq-Chan'!C:E,3,FALSE),"na")</f>
        <v>na</v>
      </c>
      <c r="Z1675" s="110" t="s">
        <v>541</v>
      </c>
      <c r="AA1675" s="110" t="s">
        <v>541</v>
      </c>
      <c r="AB1675" s="110" t="s">
        <v>541</v>
      </c>
      <c r="AC1675" s="10" t="s">
        <v>541</v>
      </c>
      <c r="AD1675" s="10" t="s">
        <v>541</v>
      </c>
    </row>
    <row r="1676" spans="1:30" x14ac:dyDescent="0.2">
      <c r="A1676" s="110">
        <v>1675</v>
      </c>
      <c r="B1676" s="132">
        <v>41853</v>
      </c>
      <c r="C1676" s="117">
        <v>1</v>
      </c>
      <c r="D1676" s="103" t="s">
        <v>70</v>
      </c>
      <c r="E1676" s="103" t="s">
        <v>306</v>
      </c>
      <c r="F1676" s="103">
        <v>596</v>
      </c>
      <c r="G1676" s="103">
        <v>87</v>
      </c>
      <c r="H1676" s="103" t="s">
        <v>3043</v>
      </c>
      <c r="I1676" s="103">
        <v>52</v>
      </c>
      <c r="K1676" s="103" t="s">
        <v>1032</v>
      </c>
      <c r="L1676" s="133"/>
      <c r="M1676" s="134">
        <v>4.2361111111111106E-2</v>
      </c>
      <c r="N1676" s="137" t="s">
        <v>3797</v>
      </c>
      <c r="O1676" s="133" t="s">
        <v>1585</v>
      </c>
      <c r="Q1676" s="100" t="s">
        <v>3925</v>
      </c>
      <c r="R1676" s="226" t="s">
        <v>3938</v>
      </c>
      <c r="S1676" s="491" t="str">
        <f t="shared" si="53"/>
        <v>x</v>
      </c>
      <c r="T1676" s="492">
        <f>IFERROR(VLOOKUP(F1676,'Freq-Chan'!C:D,2,FALSE),"x")</f>
        <v>151.596</v>
      </c>
      <c r="U1676" s="110" t="s">
        <v>541</v>
      </c>
      <c r="V1676" s="110" t="str">
        <f t="shared" si="54"/>
        <v>FWL</v>
      </c>
      <c r="W1676" s="110" t="s">
        <v>541</v>
      </c>
      <c r="X1676" s="110" t="s">
        <v>541</v>
      </c>
      <c r="Y1676" s="110" t="str">
        <f>IFERROR(VLOOKUP(F1676,'Freq-Chan'!C:E,3,FALSE),"na")</f>
        <v>F1835</v>
      </c>
      <c r="Z1676" s="110" t="s">
        <v>541</v>
      </c>
      <c r="AA1676" s="110" t="s">
        <v>541</v>
      </c>
      <c r="AB1676" s="110" t="s">
        <v>541</v>
      </c>
      <c r="AC1676" s="10" t="s">
        <v>541</v>
      </c>
      <c r="AD1676" s="10" t="s">
        <v>541</v>
      </c>
    </row>
    <row r="1677" spans="1:30" x14ac:dyDescent="0.2">
      <c r="A1677" s="110">
        <v>1676</v>
      </c>
      <c r="B1677" s="132">
        <v>41853</v>
      </c>
      <c r="C1677" s="117">
        <v>1</v>
      </c>
      <c r="D1677" s="103" t="s">
        <v>70</v>
      </c>
      <c r="E1677" s="103" t="s">
        <v>306</v>
      </c>
      <c r="H1677" s="103"/>
      <c r="I1677" s="103">
        <v>46</v>
      </c>
      <c r="K1677" s="103" t="s">
        <v>365</v>
      </c>
      <c r="L1677" s="133"/>
      <c r="M1677" s="134">
        <v>2.1527777777777781E-2</v>
      </c>
      <c r="N1677" s="137" t="s">
        <v>2892</v>
      </c>
      <c r="O1677" s="133" t="s">
        <v>1585</v>
      </c>
      <c r="Q1677" s="100" t="s">
        <v>3925</v>
      </c>
      <c r="R1677" s="226" t="s">
        <v>3938</v>
      </c>
      <c r="S1677" s="491" t="str">
        <f t="shared" si="53"/>
        <v>x</v>
      </c>
      <c r="T1677" s="492" t="str">
        <f>IFERROR(VLOOKUP(F1677,'Freq-Chan'!C:D,2,FALSE),"x")</f>
        <v>x</v>
      </c>
      <c r="U1677" s="110" t="s">
        <v>541</v>
      </c>
      <c r="V1677" s="110" t="str">
        <f t="shared" si="54"/>
        <v>FWL</v>
      </c>
      <c r="W1677" s="110" t="s">
        <v>541</v>
      </c>
      <c r="X1677" s="110" t="s">
        <v>541</v>
      </c>
      <c r="Y1677" s="110" t="str">
        <f>IFERROR(VLOOKUP(F1677,'Freq-Chan'!C:E,3,FALSE),"na")</f>
        <v>na</v>
      </c>
      <c r="Z1677" s="110" t="s">
        <v>541</v>
      </c>
      <c r="AA1677" s="110" t="s">
        <v>541</v>
      </c>
      <c r="AB1677" s="110" t="s">
        <v>541</v>
      </c>
      <c r="AC1677" s="10" t="s">
        <v>541</v>
      </c>
      <c r="AD1677" s="10" t="s">
        <v>541</v>
      </c>
    </row>
    <row r="1678" spans="1:30" x14ac:dyDescent="0.2">
      <c r="A1678" s="110">
        <v>1677</v>
      </c>
      <c r="B1678" s="132">
        <v>41853</v>
      </c>
      <c r="C1678" s="117">
        <v>1</v>
      </c>
      <c r="D1678" s="103" t="s">
        <v>71</v>
      </c>
      <c r="E1678" s="103" t="s">
        <v>306</v>
      </c>
      <c r="F1678" s="103">
        <v>534</v>
      </c>
      <c r="G1678" s="103">
        <v>98</v>
      </c>
      <c r="H1678" s="103" t="s">
        <v>2353</v>
      </c>
      <c r="I1678" s="103">
        <v>57</v>
      </c>
      <c r="K1678" s="103" t="s">
        <v>1032</v>
      </c>
      <c r="L1678" s="133"/>
      <c r="M1678" s="134">
        <v>4.4444444444444446E-2</v>
      </c>
      <c r="N1678" s="137" t="s">
        <v>2839</v>
      </c>
      <c r="O1678" s="133" t="s">
        <v>1585</v>
      </c>
      <c r="Q1678" s="100" t="s">
        <v>3925</v>
      </c>
      <c r="R1678" s="226" t="s">
        <v>3938</v>
      </c>
      <c r="S1678" s="491" t="str">
        <f t="shared" si="53"/>
        <v>x</v>
      </c>
      <c r="T1678" s="492">
        <f>IFERROR(VLOOKUP(F1678,'Freq-Chan'!C:D,2,FALSE),"x")</f>
        <v>151.53399999999999</v>
      </c>
      <c r="U1678" s="110" t="s">
        <v>541</v>
      </c>
      <c r="V1678" s="110" t="str">
        <f t="shared" si="54"/>
        <v>FWL</v>
      </c>
      <c r="W1678" s="110" t="s">
        <v>541</v>
      </c>
      <c r="X1678" s="110" t="s">
        <v>541</v>
      </c>
      <c r="Y1678" s="110" t="str">
        <f>IFERROR(VLOOKUP(F1678,'Freq-Chan'!C:E,3,FALSE),"na")</f>
        <v>F1840</v>
      </c>
      <c r="Z1678" s="110" t="s">
        <v>541</v>
      </c>
      <c r="AA1678" s="110" t="s">
        <v>541</v>
      </c>
      <c r="AB1678" s="110" t="s">
        <v>541</v>
      </c>
      <c r="AC1678" s="10" t="s">
        <v>541</v>
      </c>
      <c r="AD1678" s="10" t="s">
        <v>541</v>
      </c>
    </row>
    <row r="1679" spans="1:30" x14ac:dyDescent="0.2">
      <c r="A1679" s="110">
        <v>1678</v>
      </c>
      <c r="B1679" s="132">
        <v>41853</v>
      </c>
      <c r="C1679" s="117">
        <v>1</v>
      </c>
      <c r="D1679" s="103" t="s">
        <v>70</v>
      </c>
      <c r="E1679" s="103" t="s">
        <v>306</v>
      </c>
      <c r="H1679" s="103"/>
      <c r="I1679" s="110">
        <v>45</v>
      </c>
      <c r="K1679" s="103" t="s">
        <v>365</v>
      </c>
      <c r="L1679" s="133"/>
      <c r="M1679" s="134">
        <v>1.5972222222222224E-2</v>
      </c>
      <c r="N1679" s="137" t="s">
        <v>2718</v>
      </c>
      <c r="O1679" s="133" t="s">
        <v>1585</v>
      </c>
      <c r="Q1679" s="100" t="s">
        <v>3925</v>
      </c>
      <c r="R1679" s="226" t="s">
        <v>3938</v>
      </c>
      <c r="S1679" s="491" t="str">
        <f t="shared" si="53"/>
        <v>x</v>
      </c>
      <c r="T1679" s="492" t="str">
        <f>IFERROR(VLOOKUP(F1679,'Freq-Chan'!C:D,2,FALSE),"x")</f>
        <v>x</v>
      </c>
      <c r="U1679" s="110" t="s">
        <v>541</v>
      </c>
      <c r="V1679" s="110" t="str">
        <f t="shared" si="54"/>
        <v>FWL</v>
      </c>
      <c r="W1679" s="110" t="s">
        <v>541</v>
      </c>
      <c r="X1679" s="110" t="s">
        <v>541</v>
      </c>
      <c r="Y1679" s="110" t="str">
        <f>IFERROR(VLOOKUP(F1679,'Freq-Chan'!C:E,3,FALSE),"na")</f>
        <v>na</v>
      </c>
      <c r="Z1679" s="110" t="s">
        <v>541</v>
      </c>
      <c r="AA1679" s="110" t="s">
        <v>541</v>
      </c>
      <c r="AB1679" s="110" t="s">
        <v>541</v>
      </c>
      <c r="AC1679" s="10" t="s">
        <v>541</v>
      </c>
      <c r="AD1679" s="10" t="s">
        <v>541</v>
      </c>
    </row>
    <row r="1680" spans="1:30" x14ac:dyDescent="0.2">
      <c r="A1680" s="110">
        <v>1679</v>
      </c>
      <c r="B1680" s="132">
        <v>41853</v>
      </c>
      <c r="C1680" s="117">
        <v>1</v>
      </c>
      <c r="D1680" s="103" t="s">
        <v>70</v>
      </c>
      <c r="E1680" s="103" t="s">
        <v>306</v>
      </c>
      <c r="F1680" s="103">
        <v>596</v>
      </c>
      <c r="G1680" s="103">
        <v>82</v>
      </c>
      <c r="H1680" s="103" t="s">
        <v>3044</v>
      </c>
      <c r="I1680" s="103">
        <v>50</v>
      </c>
      <c r="K1680" s="103" t="s">
        <v>1032</v>
      </c>
      <c r="L1680" s="133"/>
      <c r="M1680" s="134">
        <v>4.2361111111111106E-2</v>
      </c>
      <c r="N1680" s="137" t="s">
        <v>3209</v>
      </c>
      <c r="O1680" s="133" t="s">
        <v>1585</v>
      </c>
      <c r="Q1680" s="100" t="s">
        <v>3925</v>
      </c>
      <c r="R1680" s="226" t="s">
        <v>3938</v>
      </c>
      <c r="S1680" s="491" t="str">
        <f t="shared" si="53"/>
        <v>x</v>
      </c>
      <c r="T1680" s="492">
        <f>IFERROR(VLOOKUP(F1680,'Freq-Chan'!C:D,2,FALSE),"x")</f>
        <v>151.596</v>
      </c>
      <c r="U1680" s="110" t="s">
        <v>541</v>
      </c>
      <c r="V1680" s="110" t="str">
        <f t="shared" si="54"/>
        <v>FWL</v>
      </c>
      <c r="W1680" s="110" t="s">
        <v>541</v>
      </c>
      <c r="X1680" s="110" t="s">
        <v>541</v>
      </c>
      <c r="Y1680" s="110" t="str">
        <f>IFERROR(VLOOKUP(F1680,'Freq-Chan'!C:E,3,FALSE),"na")</f>
        <v>F1835</v>
      </c>
      <c r="Z1680" s="110" t="s">
        <v>541</v>
      </c>
      <c r="AA1680" s="110" t="s">
        <v>541</v>
      </c>
      <c r="AB1680" s="110" t="s">
        <v>541</v>
      </c>
      <c r="AC1680" s="10" t="s">
        <v>541</v>
      </c>
      <c r="AD1680" s="10" t="s">
        <v>541</v>
      </c>
    </row>
    <row r="1681" spans="1:30" x14ac:dyDescent="0.2">
      <c r="A1681" s="110">
        <v>1680</v>
      </c>
      <c r="B1681" s="132">
        <v>41853</v>
      </c>
      <c r="C1681" s="117">
        <v>1</v>
      </c>
      <c r="D1681" s="103" t="s">
        <v>71</v>
      </c>
      <c r="E1681" s="103" t="s">
        <v>306</v>
      </c>
      <c r="F1681" s="103">
        <v>534</v>
      </c>
      <c r="G1681" s="103">
        <v>73</v>
      </c>
      <c r="H1681" s="103" t="s">
        <v>2354</v>
      </c>
      <c r="I1681" s="103">
        <v>58</v>
      </c>
      <c r="K1681" s="103" t="s">
        <v>364</v>
      </c>
      <c r="L1681" s="133"/>
      <c r="M1681" s="134">
        <v>3.2638888888888891E-2</v>
      </c>
      <c r="N1681" s="137" t="s">
        <v>3169</v>
      </c>
      <c r="O1681" s="133" t="s">
        <v>950</v>
      </c>
      <c r="Q1681" s="100" t="s">
        <v>3925</v>
      </c>
      <c r="R1681" s="226" t="s">
        <v>3938</v>
      </c>
      <c r="S1681" s="491" t="str">
        <f t="shared" si="53"/>
        <v>x</v>
      </c>
      <c r="T1681" s="492">
        <f>IFERROR(VLOOKUP(F1681,'Freq-Chan'!C:D,2,FALSE),"x")</f>
        <v>151.53399999999999</v>
      </c>
      <c r="U1681" s="110" t="s">
        <v>541</v>
      </c>
      <c r="V1681" s="110" t="str">
        <f t="shared" si="54"/>
        <v>FWL</v>
      </c>
      <c r="W1681" s="110" t="s">
        <v>541</v>
      </c>
      <c r="X1681" s="110" t="s">
        <v>541</v>
      </c>
      <c r="Y1681" s="110" t="str">
        <f>IFERROR(VLOOKUP(F1681,'Freq-Chan'!C:E,3,FALSE),"na")</f>
        <v>F1840</v>
      </c>
      <c r="Z1681" s="110" t="s">
        <v>541</v>
      </c>
      <c r="AA1681" s="110" t="s">
        <v>541</v>
      </c>
      <c r="AB1681" s="110" t="s">
        <v>541</v>
      </c>
      <c r="AC1681" s="10" t="s">
        <v>541</v>
      </c>
      <c r="AD1681" s="10" t="s">
        <v>541</v>
      </c>
    </row>
    <row r="1682" spans="1:30" x14ac:dyDescent="0.2">
      <c r="A1682" s="110">
        <v>1681</v>
      </c>
      <c r="B1682" s="132">
        <v>41853</v>
      </c>
      <c r="C1682" s="117">
        <v>1</v>
      </c>
      <c r="D1682" s="103" t="s">
        <v>70</v>
      </c>
      <c r="E1682" s="103" t="s">
        <v>306</v>
      </c>
      <c r="H1682" s="103"/>
      <c r="I1682" s="103">
        <v>45</v>
      </c>
      <c r="K1682" s="103" t="s">
        <v>365</v>
      </c>
      <c r="L1682" s="133"/>
      <c r="M1682" s="134">
        <v>2.5694444444444447E-2</v>
      </c>
      <c r="N1682" s="137" t="s">
        <v>3385</v>
      </c>
      <c r="O1682" s="133" t="s">
        <v>950</v>
      </c>
      <c r="Q1682" s="100" t="s">
        <v>3925</v>
      </c>
      <c r="R1682" s="226" t="s">
        <v>3938</v>
      </c>
      <c r="S1682" s="491" t="str">
        <f t="shared" si="53"/>
        <v>x</v>
      </c>
      <c r="T1682" s="492" t="str">
        <f>IFERROR(VLOOKUP(F1682,'Freq-Chan'!C:D,2,FALSE),"x")</f>
        <v>x</v>
      </c>
      <c r="U1682" s="110" t="s">
        <v>541</v>
      </c>
      <c r="V1682" s="110" t="str">
        <f t="shared" si="54"/>
        <v>FWL</v>
      </c>
      <c r="W1682" s="110" t="s">
        <v>541</v>
      </c>
      <c r="X1682" s="110" t="s">
        <v>541</v>
      </c>
      <c r="Y1682" s="110" t="str">
        <f>IFERROR(VLOOKUP(F1682,'Freq-Chan'!C:E,3,FALSE),"na")</f>
        <v>na</v>
      </c>
      <c r="Z1682" s="110" t="s">
        <v>541</v>
      </c>
      <c r="AA1682" s="110" t="s">
        <v>541</v>
      </c>
      <c r="AB1682" s="110" t="s">
        <v>541</v>
      </c>
      <c r="AC1682" s="10" t="s">
        <v>541</v>
      </c>
      <c r="AD1682" s="10" t="s">
        <v>541</v>
      </c>
    </row>
    <row r="1683" spans="1:30" x14ac:dyDescent="0.2">
      <c r="A1683" s="110">
        <v>1682</v>
      </c>
      <c r="B1683" s="132">
        <v>41853</v>
      </c>
      <c r="C1683" s="117">
        <v>1</v>
      </c>
      <c r="D1683" s="103" t="s">
        <v>70</v>
      </c>
      <c r="E1683" s="103" t="s">
        <v>306</v>
      </c>
      <c r="H1683" s="103"/>
      <c r="I1683" s="103">
        <v>48</v>
      </c>
      <c r="K1683" s="103" t="s">
        <v>365</v>
      </c>
      <c r="L1683" s="133"/>
      <c r="M1683" s="134">
        <v>2.1527777777777781E-2</v>
      </c>
      <c r="N1683" s="137" t="s">
        <v>3386</v>
      </c>
      <c r="O1683" s="133" t="s">
        <v>950</v>
      </c>
      <c r="Q1683" s="100" t="s">
        <v>3925</v>
      </c>
      <c r="R1683" s="226" t="s">
        <v>3938</v>
      </c>
      <c r="S1683" s="491" t="str">
        <f t="shared" si="53"/>
        <v>x</v>
      </c>
      <c r="T1683" s="492" t="str">
        <f>IFERROR(VLOOKUP(F1683,'Freq-Chan'!C:D,2,FALSE),"x")</f>
        <v>x</v>
      </c>
      <c r="U1683" s="110" t="s">
        <v>541</v>
      </c>
      <c r="V1683" s="110" t="str">
        <f t="shared" si="54"/>
        <v>FWL</v>
      </c>
      <c r="W1683" s="110" t="s">
        <v>541</v>
      </c>
      <c r="X1683" s="110" t="s">
        <v>541</v>
      </c>
      <c r="Y1683" s="110" t="str">
        <f>IFERROR(VLOOKUP(F1683,'Freq-Chan'!C:E,3,FALSE),"na")</f>
        <v>na</v>
      </c>
      <c r="Z1683" s="110" t="s">
        <v>541</v>
      </c>
      <c r="AA1683" s="110" t="s">
        <v>541</v>
      </c>
      <c r="AB1683" s="110" t="s">
        <v>541</v>
      </c>
      <c r="AC1683" s="10" t="s">
        <v>541</v>
      </c>
      <c r="AD1683" s="10" t="s">
        <v>541</v>
      </c>
    </row>
    <row r="1684" spans="1:30" x14ac:dyDescent="0.2">
      <c r="A1684" s="110">
        <v>1683</v>
      </c>
      <c r="B1684" s="132">
        <v>41853</v>
      </c>
      <c r="C1684" s="117">
        <v>1</v>
      </c>
      <c r="D1684" s="103" t="s">
        <v>70</v>
      </c>
      <c r="E1684" s="103" t="s">
        <v>306</v>
      </c>
      <c r="H1684" s="103"/>
      <c r="I1684" s="103">
        <v>46</v>
      </c>
      <c r="K1684" s="103" t="s">
        <v>365</v>
      </c>
      <c r="L1684" s="133"/>
      <c r="M1684" s="134">
        <v>1.8749999999999999E-2</v>
      </c>
      <c r="N1684" s="137" t="s">
        <v>3730</v>
      </c>
      <c r="O1684" s="133" t="s">
        <v>950</v>
      </c>
      <c r="Q1684" s="100" t="s">
        <v>3925</v>
      </c>
      <c r="R1684" s="226" t="s">
        <v>3938</v>
      </c>
      <c r="S1684" s="491" t="str">
        <f t="shared" si="53"/>
        <v>x</v>
      </c>
      <c r="T1684" s="492" t="str">
        <f>IFERROR(VLOOKUP(F1684,'Freq-Chan'!C:D,2,FALSE),"x")</f>
        <v>x</v>
      </c>
      <c r="U1684" s="110" t="s">
        <v>541</v>
      </c>
      <c r="V1684" s="110" t="str">
        <f t="shared" si="54"/>
        <v>FWL</v>
      </c>
      <c r="W1684" s="110" t="s">
        <v>541</v>
      </c>
      <c r="X1684" s="110" t="s">
        <v>541</v>
      </c>
      <c r="Y1684" s="110" t="str">
        <f>IFERROR(VLOOKUP(F1684,'Freq-Chan'!C:E,3,FALSE),"na")</f>
        <v>na</v>
      </c>
      <c r="Z1684" s="110" t="s">
        <v>541</v>
      </c>
      <c r="AA1684" s="110" t="s">
        <v>541</v>
      </c>
      <c r="AB1684" s="110" t="s">
        <v>541</v>
      </c>
      <c r="AC1684" s="10" t="s">
        <v>541</v>
      </c>
      <c r="AD1684" s="10" t="s">
        <v>541</v>
      </c>
    </row>
    <row r="1685" spans="1:30" x14ac:dyDescent="0.2">
      <c r="A1685" s="110">
        <v>1684</v>
      </c>
      <c r="B1685" s="132">
        <v>41853</v>
      </c>
      <c r="C1685" s="117">
        <v>1</v>
      </c>
      <c r="D1685" s="103" t="s">
        <v>71</v>
      </c>
      <c r="E1685" s="103" t="s">
        <v>306</v>
      </c>
      <c r="H1685" s="103"/>
      <c r="I1685" s="103">
        <v>62</v>
      </c>
      <c r="K1685" s="103" t="s">
        <v>364</v>
      </c>
      <c r="L1685" s="133"/>
      <c r="M1685" s="134">
        <v>1.7361111111111112E-2</v>
      </c>
      <c r="N1685" s="137" t="s">
        <v>3927</v>
      </c>
      <c r="O1685" s="133" t="s">
        <v>950</v>
      </c>
      <c r="Q1685" s="100" t="s">
        <v>3925</v>
      </c>
      <c r="R1685" s="226" t="s">
        <v>3938</v>
      </c>
      <c r="S1685" s="491" t="str">
        <f t="shared" si="53"/>
        <v>x</v>
      </c>
      <c r="T1685" s="492" t="str">
        <f>IFERROR(VLOOKUP(F1685,'Freq-Chan'!C:D,2,FALSE),"x")</f>
        <v>x</v>
      </c>
      <c r="U1685" s="110" t="s">
        <v>541</v>
      </c>
      <c r="V1685" s="110" t="str">
        <f t="shared" si="54"/>
        <v>FWL</v>
      </c>
      <c r="W1685" s="110" t="s">
        <v>541</v>
      </c>
      <c r="X1685" s="110" t="s">
        <v>541</v>
      </c>
      <c r="Y1685" s="110" t="str">
        <f>IFERROR(VLOOKUP(F1685,'Freq-Chan'!C:E,3,FALSE),"na")</f>
        <v>na</v>
      </c>
      <c r="Z1685" s="110" t="s">
        <v>541</v>
      </c>
      <c r="AA1685" s="110" t="s">
        <v>541</v>
      </c>
      <c r="AB1685" s="110" t="s">
        <v>541</v>
      </c>
      <c r="AC1685" s="10" t="s">
        <v>541</v>
      </c>
      <c r="AD1685" s="10" t="s">
        <v>541</v>
      </c>
    </row>
    <row r="1686" spans="1:30" x14ac:dyDescent="0.2">
      <c r="A1686" s="110">
        <v>1685</v>
      </c>
      <c r="B1686" s="132">
        <v>41853</v>
      </c>
      <c r="C1686" s="117">
        <v>1</v>
      </c>
      <c r="D1686" s="103" t="s">
        <v>70</v>
      </c>
      <c r="E1686" s="103" t="s">
        <v>306</v>
      </c>
      <c r="H1686" s="103"/>
      <c r="I1686" s="103">
        <v>53</v>
      </c>
      <c r="K1686" s="103" t="s">
        <v>1032</v>
      </c>
      <c r="L1686" s="133"/>
      <c r="M1686" s="134">
        <v>2.2916666666666669E-2</v>
      </c>
      <c r="N1686" s="137" t="s">
        <v>3732</v>
      </c>
      <c r="O1686" s="133" t="s">
        <v>950</v>
      </c>
      <c r="Q1686" s="100" t="s">
        <v>3925</v>
      </c>
      <c r="R1686" s="226" t="s">
        <v>3938</v>
      </c>
      <c r="S1686" s="491" t="str">
        <f t="shared" si="53"/>
        <v>x</v>
      </c>
      <c r="T1686" s="492" t="str">
        <f>IFERROR(VLOOKUP(F1686,'Freq-Chan'!C:D,2,FALSE),"x")</f>
        <v>x</v>
      </c>
      <c r="U1686" s="110" t="s">
        <v>541</v>
      </c>
      <c r="V1686" s="110" t="str">
        <f t="shared" si="54"/>
        <v>FWL</v>
      </c>
      <c r="W1686" s="110" t="s">
        <v>541</v>
      </c>
      <c r="X1686" s="110" t="s">
        <v>541</v>
      </c>
      <c r="Y1686" s="110" t="str">
        <f>IFERROR(VLOOKUP(F1686,'Freq-Chan'!C:E,3,FALSE),"na")</f>
        <v>na</v>
      </c>
      <c r="Z1686" s="110" t="s">
        <v>541</v>
      </c>
      <c r="AA1686" s="110" t="s">
        <v>541</v>
      </c>
      <c r="AB1686" s="110" t="s">
        <v>541</v>
      </c>
      <c r="AC1686" s="10" t="s">
        <v>541</v>
      </c>
      <c r="AD1686" s="10" t="s">
        <v>541</v>
      </c>
    </row>
    <row r="1687" spans="1:30" x14ac:dyDescent="0.2">
      <c r="A1687" s="110">
        <v>1686</v>
      </c>
      <c r="B1687" s="132">
        <v>41853</v>
      </c>
      <c r="C1687" s="117">
        <v>1</v>
      </c>
      <c r="D1687" s="103" t="s">
        <v>70</v>
      </c>
      <c r="E1687" s="103" t="s">
        <v>306</v>
      </c>
      <c r="H1687" s="103"/>
      <c r="I1687" s="103">
        <v>50</v>
      </c>
      <c r="K1687" s="103" t="s">
        <v>1032</v>
      </c>
      <c r="L1687" s="133"/>
      <c r="M1687" s="134">
        <v>1.4583333333333332E-2</v>
      </c>
      <c r="N1687" s="137" t="s">
        <v>3301</v>
      </c>
      <c r="O1687" s="133" t="s">
        <v>950</v>
      </c>
      <c r="Q1687" s="100" t="s">
        <v>3925</v>
      </c>
      <c r="R1687" s="226" t="s">
        <v>3938</v>
      </c>
      <c r="S1687" s="491" t="str">
        <f t="shared" si="53"/>
        <v>x</v>
      </c>
      <c r="T1687" s="492" t="str">
        <f>IFERROR(VLOOKUP(F1687,'Freq-Chan'!C:D,2,FALSE),"x")</f>
        <v>x</v>
      </c>
      <c r="U1687" s="110" t="s">
        <v>541</v>
      </c>
      <c r="V1687" s="110" t="str">
        <f t="shared" si="54"/>
        <v>FWL</v>
      </c>
      <c r="W1687" s="110" t="s">
        <v>541</v>
      </c>
      <c r="X1687" s="110" t="s">
        <v>541</v>
      </c>
      <c r="Y1687" s="110" t="str">
        <f>IFERROR(VLOOKUP(F1687,'Freq-Chan'!C:E,3,FALSE),"na")</f>
        <v>na</v>
      </c>
      <c r="Z1687" s="110" t="s">
        <v>541</v>
      </c>
      <c r="AA1687" s="110" t="s">
        <v>541</v>
      </c>
      <c r="AB1687" s="110" t="s">
        <v>541</v>
      </c>
      <c r="AC1687" s="10" t="s">
        <v>541</v>
      </c>
      <c r="AD1687" s="10" t="s">
        <v>541</v>
      </c>
    </row>
    <row r="1688" spans="1:30" x14ac:dyDescent="0.2">
      <c r="A1688" s="110">
        <v>1687</v>
      </c>
      <c r="B1688" s="132">
        <v>41853</v>
      </c>
      <c r="C1688" s="117">
        <v>1</v>
      </c>
      <c r="D1688" s="103" t="s">
        <v>70</v>
      </c>
      <c r="E1688" s="103" t="s">
        <v>306</v>
      </c>
      <c r="H1688" s="103"/>
      <c r="I1688" s="103">
        <v>43</v>
      </c>
      <c r="K1688" s="103" t="s">
        <v>365</v>
      </c>
      <c r="L1688" s="133"/>
      <c r="M1688" s="134">
        <v>1.8055555555555557E-2</v>
      </c>
      <c r="N1688" s="137" t="s">
        <v>3404</v>
      </c>
      <c r="O1688" s="133" t="s">
        <v>950</v>
      </c>
      <c r="Q1688" s="100" t="s">
        <v>3925</v>
      </c>
      <c r="R1688" s="226" t="s">
        <v>3938</v>
      </c>
      <c r="S1688" s="491" t="str">
        <f t="shared" si="53"/>
        <v>x</v>
      </c>
      <c r="T1688" s="492" t="str">
        <f>IFERROR(VLOOKUP(F1688,'Freq-Chan'!C:D,2,FALSE),"x")</f>
        <v>x</v>
      </c>
      <c r="U1688" s="110" t="s">
        <v>541</v>
      </c>
      <c r="V1688" s="110" t="str">
        <f t="shared" si="54"/>
        <v>FWL</v>
      </c>
      <c r="W1688" s="110" t="s">
        <v>541</v>
      </c>
      <c r="X1688" s="110" t="s">
        <v>541</v>
      </c>
      <c r="Y1688" s="110" t="str">
        <f>IFERROR(VLOOKUP(F1688,'Freq-Chan'!C:E,3,FALSE),"na")</f>
        <v>na</v>
      </c>
      <c r="Z1688" s="110" t="s">
        <v>541</v>
      </c>
      <c r="AA1688" s="110" t="s">
        <v>541</v>
      </c>
      <c r="AB1688" s="110" t="s">
        <v>541</v>
      </c>
      <c r="AC1688" s="10" t="s">
        <v>541</v>
      </c>
      <c r="AD1688" s="10" t="s">
        <v>541</v>
      </c>
    </row>
    <row r="1689" spans="1:30" x14ac:dyDescent="0.2">
      <c r="A1689" s="110">
        <v>1688</v>
      </c>
      <c r="B1689" s="132">
        <v>41853</v>
      </c>
      <c r="C1689" s="117">
        <v>1</v>
      </c>
      <c r="D1689" s="103" t="s">
        <v>70</v>
      </c>
      <c r="E1689" s="103" t="s">
        <v>306</v>
      </c>
      <c r="H1689" s="103"/>
      <c r="I1689" s="103">
        <v>44</v>
      </c>
      <c r="K1689" s="103" t="s">
        <v>365</v>
      </c>
      <c r="L1689" s="133"/>
      <c r="M1689" s="134">
        <v>1.8749999999999999E-2</v>
      </c>
      <c r="N1689" s="137" t="s">
        <v>3928</v>
      </c>
      <c r="O1689" s="133" t="s">
        <v>950</v>
      </c>
      <c r="Q1689" s="100" t="s">
        <v>3925</v>
      </c>
      <c r="R1689" s="226" t="s">
        <v>3938</v>
      </c>
      <c r="S1689" s="491" t="str">
        <f t="shared" si="53"/>
        <v>x</v>
      </c>
      <c r="T1689" s="492" t="str">
        <f>IFERROR(VLOOKUP(F1689,'Freq-Chan'!C:D,2,FALSE),"x")</f>
        <v>x</v>
      </c>
      <c r="U1689" s="110" t="s">
        <v>541</v>
      </c>
      <c r="V1689" s="110" t="str">
        <f t="shared" si="54"/>
        <v>FWL</v>
      </c>
      <c r="W1689" s="110" t="s">
        <v>541</v>
      </c>
      <c r="X1689" s="110" t="s">
        <v>541</v>
      </c>
      <c r="Y1689" s="110" t="str">
        <f>IFERROR(VLOOKUP(F1689,'Freq-Chan'!C:E,3,FALSE),"na")</f>
        <v>na</v>
      </c>
      <c r="Z1689" s="110" t="s">
        <v>541</v>
      </c>
      <c r="AA1689" s="110" t="s">
        <v>541</v>
      </c>
      <c r="AB1689" s="110" t="s">
        <v>541</v>
      </c>
      <c r="AC1689" s="10" t="s">
        <v>541</v>
      </c>
      <c r="AD1689" s="10" t="s">
        <v>541</v>
      </c>
    </row>
    <row r="1690" spans="1:30" x14ac:dyDescent="0.2">
      <c r="A1690" s="110">
        <v>1689</v>
      </c>
      <c r="B1690" s="132">
        <v>41853</v>
      </c>
      <c r="C1690" s="117">
        <v>1</v>
      </c>
      <c r="D1690" s="103" t="s">
        <v>71</v>
      </c>
      <c r="E1690" s="103" t="s">
        <v>306</v>
      </c>
      <c r="H1690" s="103"/>
      <c r="I1690" s="103">
        <v>62</v>
      </c>
      <c r="K1690" s="103" t="s">
        <v>364</v>
      </c>
      <c r="L1690" s="133"/>
      <c r="M1690" s="134">
        <v>1.9444444444444445E-2</v>
      </c>
      <c r="N1690" s="137" t="s">
        <v>3929</v>
      </c>
      <c r="O1690" s="133" t="s">
        <v>950</v>
      </c>
      <c r="Q1690" s="100" t="s">
        <v>3925</v>
      </c>
      <c r="R1690" s="226" t="s">
        <v>3938</v>
      </c>
      <c r="S1690" s="491" t="str">
        <f t="shared" si="53"/>
        <v>x</v>
      </c>
      <c r="T1690" s="492" t="str">
        <f>IFERROR(VLOOKUP(F1690,'Freq-Chan'!C:D,2,FALSE),"x")</f>
        <v>x</v>
      </c>
      <c r="U1690" s="110" t="s">
        <v>541</v>
      </c>
      <c r="V1690" s="110" t="str">
        <f t="shared" si="54"/>
        <v>FWL</v>
      </c>
      <c r="W1690" s="110" t="s">
        <v>541</v>
      </c>
      <c r="X1690" s="110" t="s">
        <v>541</v>
      </c>
      <c r="Y1690" s="110" t="str">
        <f>IFERROR(VLOOKUP(F1690,'Freq-Chan'!C:E,3,FALSE),"na")</f>
        <v>na</v>
      </c>
      <c r="Z1690" s="110" t="s">
        <v>541</v>
      </c>
      <c r="AA1690" s="110" t="s">
        <v>541</v>
      </c>
      <c r="AB1690" s="110" t="s">
        <v>541</v>
      </c>
      <c r="AC1690" s="10" t="s">
        <v>541</v>
      </c>
      <c r="AD1690" s="10" t="s">
        <v>541</v>
      </c>
    </row>
    <row r="1691" spans="1:30" x14ac:dyDescent="0.2">
      <c r="A1691" s="110">
        <v>1690</v>
      </c>
      <c r="B1691" s="132">
        <v>41853</v>
      </c>
      <c r="C1691" s="117">
        <v>1</v>
      </c>
      <c r="D1691" s="103" t="s">
        <v>71</v>
      </c>
      <c r="E1691" s="103" t="s">
        <v>306</v>
      </c>
      <c r="H1691" s="103"/>
      <c r="I1691" s="103">
        <v>53</v>
      </c>
      <c r="K1691" s="103" t="s">
        <v>364</v>
      </c>
      <c r="L1691" s="133"/>
      <c r="M1691" s="134">
        <v>1.8055555555555557E-2</v>
      </c>
      <c r="N1691" s="137" t="s">
        <v>3806</v>
      </c>
      <c r="O1691" s="133" t="s">
        <v>950</v>
      </c>
      <c r="Q1691" s="100" t="s">
        <v>3919</v>
      </c>
      <c r="R1691" s="226" t="s">
        <v>3938</v>
      </c>
      <c r="S1691" s="491" t="str">
        <f t="shared" si="53"/>
        <v>x</v>
      </c>
      <c r="T1691" s="492" t="str">
        <f>IFERROR(VLOOKUP(F1691,'Freq-Chan'!C:D,2,FALSE),"x")</f>
        <v>x</v>
      </c>
      <c r="U1691" s="110" t="s">
        <v>541</v>
      </c>
      <c r="V1691" s="110" t="str">
        <f t="shared" si="54"/>
        <v>FWL</v>
      </c>
      <c r="W1691" s="110" t="s">
        <v>541</v>
      </c>
      <c r="X1691" s="110" t="s">
        <v>541</v>
      </c>
      <c r="Y1691" s="110" t="str">
        <f>IFERROR(VLOOKUP(F1691,'Freq-Chan'!C:E,3,FALSE),"na")</f>
        <v>na</v>
      </c>
      <c r="Z1691" s="110" t="s">
        <v>541</v>
      </c>
      <c r="AA1691" s="110" t="s">
        <v>541</v>
      </c>
      <c r="AB1691" s="110" t="s">
        <v>541</v>
      </c>
      <c r="AC1691" s="10" t="s">
        <v>541</v>
      </c>
      <c r="AD1691" s="10" t="s">
        <v>541</v>
      </c>
    </row>
    <row r="1692" spans="1:30" x14ac:dyDescent="0.2">
      <c r="A1692" s="110">
        <v>1691</v>
      </c>
      <c r="B1692" s="132">
        <v>41853</v>
      </c>
      <c r="C1692" s="117">
        <v>1</v>
      </c>
      <c r="D1692" s="103" t="s">
        <v>71</v>
      </c>
      <c r="E1692" s="103" t="s">
        <v>306</v>
      </c>
      <c r="H1692" s="103"/>
      <c r="I1692" s="103">
        <v>59</v>
      </c>
      <c r="K1692" s="103" t="s">
        <v>364</v>
      </c>
      <c r="L1692" s="133"/>
      <c r="M1692" s="134">
        <v>1.5277777777777777E-2</v>
      </c>
      <c r="N1692" s="137" t="s">
        <v>3212</v>
      </c>
      <c r="O1692" s="133" t="s">
        <v>950</v>
      </c>
      <c r="Q1692" s="100" t="s">
        <v>3919</v>
      </c>
      <c r="R1692" s="226" t="s">
        <v>3938</v>
      </c>
      <c r="S1692" s="491" t="str">
        <f t="shared" si="53"/>
        <v>x</v>
      </c>
      <c r="T1692" s="492" t="str">
        <f>IFERROR(VLOOKUP(F1692,'Freq-Chan'!C:D,2,FALSE),"x")</f>
        <v>x</v>
      </c>
      <c r="U1692" s="110" t="s">
        <v>541</v>
      </c>
      <c r="V1692" s="110" t="str">
        <f t="shared" si="54"/>
        <v>FWL</v>
      </c>
      <c r="W1692" s="110" t="s">
        <v>541</v>
      </c>
      <c r="X1692" s="110" t="s">
        <v>541</v>
      </c>
      <c r="Y1692" s="110" t="str">
        <f>IFERROR(VLOOKUP(F1692,'Freq-Chan'!C:E,3,FALSE),"na")</f>
        <v>na</v>
      </c>
      <c r="Z1692" s="110" t="s">
        <v>541</v>
      </c>
      <c r="AA1692" s="110" t="s">
        <v>541</v>
      </c>
      <c r="AB1692" s="110" t="s">
        <v>541</v>
      </c>
      <c r="AC1692" s="10" t="s">
        <v>541</v>
      </c>
      <c r="AD1692" s="10" t="s">
        <v>541</v>
      </c>
    </row>
    <row r="1693" spans="1:30" x14ac:dyDescent="0.2">
      <c r="A1693" s="110">
        <v>1692</v>
      </c>
      <c r="B1693" s="132">
        <v>41853</v>
      </c>
      <c r="C1693" s="117">
        <v>1</v>
      </c>
      <c r="D1693" s="103" t="s">
        <v>71</v>
      </c>
      <c r="E1693" s="103" t="s">
        <v>306</v>
      </c>
      <c r="H1693" s="103"/>
      <c r="I1693" s="103">
        <v>60</v>
      </c>
      <c r="K1693" s="103" t="s">
        <v>364</v>
      </c>
      <c r="L1693" s="133"/>
      <c r="M1693" s="134">
        <v>1.9444444444444445E-2</v>
      </c>
      <c r="N1693" s="137" t="s">
        <v>1909</v>
      </c>
      <c r="O1693" s="133" t="s">
        <v>1585</v>
      </c>
      <c r="Q1693" s="100" t="s">
        <v>3919</v>
      </c>
      <c r="R1693" s="226" t="s">
        <v>3938</v>
      </c>
      <c r="S1693" s="491" t="str">
        <f t="shared" si="53"/>
        <v>x</v>
      </c>
      <c r="T1693" s="492" t="str">
        <f>IFERROR(VLOOKUP(F1693,'Freq-Chan'!C:D,2,FALSE),"x")</f>
        <v>x</v>
      </c>
      <c r="U1693" s="110" t="s">
        <v>541</v>
      </c>
      <c r="V1693" s="110" t="str">
        <f t="shared" si="54"/>
        <v>FWL</v>
      </c>
      <c r="W1693" s="110" t="s">
        <v>541</v>
      </c>
      <c r="X1693" s="110" t="s">
        <v>541</v>
      </c>
      <c r="Y1693" s="110" t="str">
        <f>IFERROR(VLOOKUP(F1693,'Freq-Chan'!C:E,3,FALSE),"na")</f>
        <v>na</v>
      </c>
      <c r="Z1693" s="110" t="s">
        <v>541</v>
      </c>
      <c r="AA1693" s="110" t="s">
        <v>541</v>
      </c>
      <c r="AB1693" s="110" t="s">
        <v>541</v>
      </c>
      <c r="AC1693" s="10" t="s">
        <v>541</v>
      </c>
      <c r="AD1693" s="10" t="s">
        <v>541</v>
      </c>
    </row>
    <row r="1694" spans="1:30" x14ac:dyDescent="0.2">
      <c r="A1694" s="110">
        <v>1693</v>
      </c>
      <c r="B1694" s="132">
        <v>41853</v>
      </c>
      <c r="C1694" s="117">
        <v>1</v>
      </c>
      <c r="D1694" s="103" t="s">
        <v>71</v>
      </c>
      <c r="E1694" s="103" t="s">
        <v>306</v>
      </c>
      <c r="H1694" s="103"/>
      <c r="I1694" s="103">
        <v>48</v>
      </c>
      <c r="K1694" s="103" t="s">
        <v>364</v>
      </c>
      <c r="L1694" s="133"/>
      <c r="M1694" s="134">
        <v>2.013888888888889E-2</v>
      </c>
      <c r="N1694" s="137" t="s">
        <v>3287</v>
      </c>
      <c r="O1694" s="133" t="s">
        <v>1585</v>
      </c>
      <c r="Q1694" s="100" t="s">
        <v>3919</v>
      </c>
      <c r="R1694" s="226" t="s">
        <v>3938</v>
      </c>
      <c r="S1694" s="491" t="str">
        <f t="shared" si="53"/>
        <v>x</v>
      </c>
      <c r="T1694" s="492" t="str">
        <f>IFERROR(VLOOKUP(F1694,'Freq-Chan'!C:D,2,FALSE),"x")</f>
        <v>x</v>
      </c>
      <c r="U1694" s="110" t="s">
        <v>541</v>
      </c>
      <c r="V1694" s="110" t="str">
        <f t="shared" si="54"/>
        <v>FWL</v>
      </c>
      <c r="W1694" s="110" t="s">
        <v>541</v>
      </c>
      <c r="X1694" s="110" t="s">
        <v>541</v>
      </c>
      <c r="Y1694" s="110" t="str">
        <f>IFERROR(VLOOKUP(F1694,'Freq-Chan'!C:E,3,FALSE),"na")</f>
        <v>na</v>
      </c>
      <c r="Z1694" s="110" t="s">
        <v>541</v>
      </c>
      <c r="AA1694" s="110" t="s">
        <v>541</v>
      </c>
      <c r="AB1694" s="110" t="s">
        <v>541</v>
      </c>
      <c r="AC1694" s="10" t="s">
        <v>541</v>
      </c>
      <c r="AD1694" s="10" t="s">
        <v>541</v>
      </c>
    </row>
    <row r="1695" spans="1:30" x14ac:dyDescent="0.2">
      <c r="A1695" s="110">
        <v>1694</v>
      </c>
      <c r="B1695" s="132">
        <v>41853</v>
      </c>
      <c r="C1695" s="117">
        <v>1</v>
      </c>
      <c r="D1695" s="103" t="s">
        <v>71</v>
      </c>
      <c r="E1695" s="103" t="s">
        <v>306</v>
      </c>
      <c r="H1695" s="103"/>
      <c r="I1695" s="103">
        <v>63</v>
      </c>
      <c r="K1695" s="103" t="s">
        <v>364</v>
      </c>
      <c r="L1695" s="133"/>
      <c r="M1695" s="134">
        <v>2.013888888888889E-2</v>
      </c>
      <c r="N1695" s="137" t="s">
        <v>3930</v>
      </c>
      <c r="O1695" s="133" t="s">
        <v>1585</v>
      </c>
      <c r="Q1695" s="100" t="s">
        <v>3919</v>
      </c>
      <c r="R1695" s="226" t="s">
        <v>3938</v>
      </c>
      <c r="S1695" s="491" t="str">
        <f t="shared" si="53"/>
        <v>x</v>
      </c>
      <c r="T1695" s="492" t="str">
        <f>IFERROR(VLOOKUP(F1695,'Freq-Chan'!C:D,2,FALSE),"x")</f>
        <v>x</v>
      </c>
      <c r="U1695" s="110" t="s">
        <v>541</v>
      </c>
      <c r="V1695" s="110" t="str">
        <f t="shared" si="54"/>
        <v>FWL</v>
      </c>
      <c r="W1695" s="110" t="s">
        <v>541</v>
      </c>
      <c r="X1695" s="110" t="s">
        <v>541</v>
      </c>
      <c r="Y1695" s="110" t="str">
        <f>IFERROR(VLOOKUP(F1695,'Freq-Chan'!C:E,3,FALSE),"na")</f>
        <v>na</v>
      </c>
      <c r="Z1695" s="110" t="s">
        <v>541</v>
      </c>
      <c r="AA1695" s="110" t="s">
        <v>541</v>
      </c>
      <c r="AB1695" s="110" t="s">
        <v>541</v>
      </c>
      <c r="AC1695" s="10" t="s">
        <v>541</v>
      </c>
      <c r="AD1695" s="10" t="s">
        <v>541</v>
      </c>
    </row>
    <row r="1696" spans="1:30" x14ac:dyDescent="0.2">
      <c r="A1696" s="110">
        <v>1695</v>
      </c>
      <c r="B1696" s="132">
        <v>41853</v>
      </c>
      <c r="C1696" s="117">
        <v>1</v>
      </c>
      <c r="D1696" s="103" t="s">
        <v>71</v>
      </c>
      <c r="E1696" s="103" t="s">
        <v>306</v>
      </c>
      <c r="H1696" s="103"/>
      <c r="I1696" s="103">
        <v>63</v>
      </c>
      <c r="K1696" s="103" t="s">
        <v>364</v>
      </c>
      <c r="L1696" s="133"/>
      <c r="M1696" s="134">
        <v>2.1527777777777781E-2</v>
      </c>
      <c r="N1696" s="137" t="s">
        <v>3433</v>
      </c>
      <c r="O1696" s="133" t="s">
        <v>1585</v>
      </c>
      <c r="Q1696" s="100" t="s">
        <v>3919</v>
      </c>
      <c r="R1696" s="226" t="s">
        <v>3938</v>
      </c>
      <c r="S1696" s="491" t="str">
        <f t="shared" si="53"/>
        <v>x</v>
      </c>
      <c r="T1696" s="492" t="str">
        <f>IFERROR(VLOOKUP(F1696,'Freq-Chan'!C:D,2,FALSE),"x")</f>
        <v>x</v>
      </c>
      <c r="U1696" s="110" t="s">
        <v>541</v>
      </c>
      <c r="V1696" s="110" t="str">
        <f t="shared" si="54"/>
        <v>FWL</v>
      </c>
      <c r="W1696" s="110" t="s">
        <v>541</v>
      </c>
      <c r="X1696" s="110" t="s">
        <v>541</v>
      </c>
      <c r="Y1696" s="110" t="str">
        <f>IFERROR(VLOOKUP(F1696,'Freq-Chan'!C:E,3,FALSE),"na")</f>
        <v>na</v>
      </c>
      <c r="Z1696" s="110" t="s">
        <v>541</v>
      </c>
      <c r="AA1696" s="110" t="s">
        <v>541</v>
      </c>
      <c r="AB1696" s="110" t="s">
        <v>541</v>
      </c>
      <c r="AC1696" s="10" t="s">
        <v>541</v>
      </c>
      <c r="AD1696" s="10" t="s">
        <v>541</v>
      </c>
    </row>
    <row r="1697" spans="1:30" x14ac:dyDescent="0.2">
      <c r="A1697" s="110">
        <v>1696</v>
      </c>
      <c r="B1697" s="132">
        <v>41853</v>
      </c>
      <c r="C1697" s="117">
        <v>1</v>
      </c>
      <c r="D1697" s="103" t="s">
        <v>71</v>
      </c>
      <c r="E1697" s="103" t="s">
        <v>306</v>
      </c>
      <c r="H1697" s="103"/>
      <c r="I1697" s="103">
        <v>49</v>
      </c>
      <c r="K1697" s="103" t="s">
        <v>364</v>
      </c>
      <c r="L1697" s="133"/>
      <c r="M1697" s="134">
        <v>2.7083333333333334E-2</v>
      </c>
      <c r="N1697" s="137" t="s">
        <v>3931</v>
      </c>
      <c r="O1697" s="133" t="s">
        <v>1585</v>
      </c>
      <c r="Q1697" s="100" t="s">
        <v>3919</v>
      </c>
      <c r="R1697" s="226" t="s">
        <v>3938</v>
      </c>
      <c r="S1697" s="491" t="str">
        <f t="shared" si="53"/>
        <v>x</v>
      </c>
      <c r="T1697" s="492" t="str">
        <f>IFERROR(VLOOKUP(F1697,'Freq-Chan'!C:D,2,FALSE),"x")</f>
        <v>x</v>
      </c>
      <c r="U1697" s="110" t="s">
        <v>541</v>
      </c>
      <c r="V1697" s="110" t="str">
        <f t="shared" si="54"/>
        <v>FWL</v>
      </c>
      <c r="W1697" s="110" t="s">
        <v>541</v>
      </c>
      <c r="X1697" s="110" t="s">
        <v>541</v>
      </c>
      <c r="Y1697" s="110" t="str">
        <f>IFERROR(VLOOKUP(F1697,'Freq-Chan'!C:E,3,FALSE),"na")</f>
        <v>na</v>
      </c>
      <c r="Z1697" s="110" t="s">
        <v>541</v>
      </c>
      <c r="AA1697" s="110" t="s">
        <v>541</v>
      </c>
      <c r="AB1697" s="110" t="s">
        <v>541</v>
      </c>
      <c r="AC1697" s="10" t="s">
        <v>541</v>
      </c>
      <c r="AD1697" s="10" t="s">
        <v>541</v>
      </c>
    </row>
    <row r="1698" spans="1:30" x14ac:dyDescent="0.2">
      <c r="A1698" s="110">
        <v>1697</v>
      </c>
      <c r="B1698" s="132">
        <v>41853</v>
      </c>
      <c r="C1698" s="117">
        <v>1</v>
      </c>
      <c r="D1698" s="103" t="s">
        <v>71</v>
      </c>
      <c r="E1698" s="103" t="s">
        <v>306</v>
      </c>
      <c r="H1698" s="103"/>
      <c r="I1698" s="103">
        <v>61</v>
      </c>
      <c r="K1698" s="103" t="s">
        <v>365</v>
      </c>
      <c r="L1698" s="133"/>
      <c r="M1698" s="134">
        <v>1.5277777777777777E-2</v>
      </c>
      <c r="N1698" s="137" t="s">
        <v>2720</v>
      </c>
      <c r="O1698" s="133" t="s">
        <v>1532</v>
      </c>
      <c r="Q1698" s="100" t="s">
        <v>3920</v>
      </c>
      <c r="R1698" s="226" t="s">
        <v>3938</v>
      </c>
      <c r="S1698" s="491" t="str">
        <f t="shared" si="53"/>
        <v>x</v>
      </c>
      <c r="T1698" s="492" t="str">
        <f>IFERROR(VLOOKUP(F1698,'Freq-Chan'!C:D,2,FALSE),"x")</f>
        <v>x</v>
      </c>
      <c r="U1698" s="110" t="s">
        <v>541</v>
      </c>
      <c r="V1698" s="110" t="str">
        <f t="shared" si="54"/>
        <v>FWL</v>
      </c>
      <c r="W1698" s="110" t="s">
        <v>541</v>
      </c>
      <c r="X1698" s="110" t="s">
        <v>541</v>
      </c>
      <c r="Y1698" s="110" t="str">
        <f>IFERROR(VLOOKUP(F1698,'Freq-Chan'!C:E,3,FALSE),"na")</f>
        <v>na</v>
      </c>
      <c r="Z1698" s="110" t="s">
        <v>541</v>
      </c>
      <c r="AA1698" s="110" t="s">
        <v>541</v>
      </c>
      <c r="AB1698" s="110" t="s">
        <v>541</v>
      </c>
      <c r="AC1698" s="10" t="s">
        <v>541</v>
      </c>
      <c r="AD1698" s="10" t="s">
        <v>541</v>
      </c>
    </row>
    <row r="1699" spans="1:30" x14ac:dyDescent="0.2">
      <c r="A1699" s="110">
        <v>1698</v>
      </c>
      <c r="B1699" s="132">
        <v>41853</v>
      </c>
      <c r="C1699" s="117">
        <v>1</v>
      </c>
      <c r="D1699" s="103" t="s">
        <v>71</v>
      </c>
      <c r="E1699" s="103" t="s">
        <v>306</v>
      </c>
      <c r="H1699" s="103"/>
      <c r="I1699" s="103">
        <v>60</v>
      </c>
      <c r="K1699" s="103" t="s">
        <v>1032</v>
      </c>
      <c r="L1699" s="133"/>
      <c r="M1699" s="134">
        <v>1.8749999999999999E-2</v>
      </c>
      <c r="N1699" s="137" t="s">
        <v>710</v>
      </c>
      <c r="O1699" s="133" t="s">
        <v>1532</v>
      </c>
      <c r="Q1699" s="100" t="s">
        <v>3920</v>
      </c>
      <c r="R1699" s="226" t="s">
        <v>3938</v>
      </c>
      <c r="S1699" s="491" t="str">
        <f t="shared" si="53"/>
        <v>x</v>
      </c>
      <c r="T1699" s="492" t="str">
        <f>IFERROR(VLOOKUP(F1699,'Freq-Chan'!C:D,2,FALSE),"x")</f>
        <v>x</v>
      </c>
      <c r="U1699" s="110" t="s">
        <v>541</v>
      </c>
      <c r="V1699" s="110" t="str">
        <f t="shared" si="54"/>
        <v>FWL</v>
      </c>
      <c r="W1699" s="110" t="s">
        <v>541</v>
      </c>
      <c r="X1699" s="110" t="s">
        <v>541</v>
      </c>
      <c r="Y1699" s="110" t="str">
        <f>IFERROR(VLOOKUP(F1699,'Freq-Chan'!C:E,3,FALSE),"na")</f>
        <v>na</v>
      </c>
      <c r="Z1699" s="110" t="s">
        <v>541</v>
      </c>
      <c r="AA1699" s="110" t="s">
        <v>541</v>
      </c>
      <c r="AB1699" s="110" t="s">
        <v>541</v>
      </c>
      <c r="AC1699" s="10" t="s">
        <v>541</v>
      </c>
      <c r="AD1699" s="10" t="s">
        <v>541</v>
      </c>
    </row>
    <row r="1700" spans="1:30" s="291" customFormat="1" x14ac:dyDescent="0.2">
      <c r="A1700" s="493">
        <v>1699</v>
      </c>
      <c r="B1700" s="283">
        <v>41853</v>
      </c>
      <c r="C1700" s="284">
        <v>1</v>
      </c>
      <c r="D1700" s="285" t="s">
        <v>71</v>
      </c>
      <c r="E1700" s="285" t="s">
        <v>306</v>
      </c>
      <c r="F1700" s="285"/>
      <c r="G1700" s="285"/>
      <c r="H1700" s="285"/>
      <c r="I1700" s="285">
        <v>53</v>
      </c>
      <c r="J1700" s="285"/>
      <c r="K1700" s="285" t="s">
        <v>365</v>
      </c>
      <c r="L1700" s="286"/>
      <c r="M1700" s="287">
        <v>1.4583333333333332E-2</v>
      </c>
      <c r="N1700" s="339" t="s">
        <v>1664</v>
      </c>
      <c r="O1700" s="286" t="s">
        <v>1532</v>
      </c>
      <c r="P1700" s="289"/>
      <c r="Q1700" s="289" t="s">
        <v>3920</v>
      </c>
      <c r="R1700" s="290" t="s">
        <v>3938</v>
      </c>
      <c r="S1700" s="494" t="str">
        <f t="shared" si="53"/>
        <v>x</v>
      </c>
      <c r="T1700" s="495" t="str">
        <f>IFERROR(VLOOKUP(F1700,'Freq-Chan'!C:D,2,FALSE),"x")</f>
        <v>x</v>
      </c>
      <c r="U1700" s="493" t="s">
        <v>541</v>
      </c>
      <c r="V1700" s="493" t="str">
        <f t="shared" si="54"/>
        <v>FWL</v>
      </c>
      <c r="W1700" s="493" t="s">
        <v>541</v>
      </c>
      <c r="X1700" s="493" t="s">
        <v>541</v>
      </c>
      <c r="Y1700" s="493" t="str">
        <f>IFERROR(VLOOKUP(F1700,'Freq-Chan'!C:E,3,FALSE),"na")</f>
        <v>na</v>
      </c>
      <c r="Z1700" s="493" t="s">
        <v>541</v>
      </c>
      <c r="AA1700" s="493" t="s">
        <v>541</v>
      </c>
      <c r="AB1700" s="493" t="s">
        <v>541</v>
      </c>
      <c r="AC1700" s="291" t="s">
        <v>541</v>
      </c>
      <c r="AD1700" s="291" t="s">
        <v>541</v>
      </c>
    </row>
    <row r="1701" spans="1:30" x14ac:dyDescent="0.2">
      <c r="A1701" s="110">
        <v>1700</v>
      </c>
      <c r="B1701" s="132">
        <v>41853</v>
      </c>
      <c r="C1701" s="117">
        <v>2</v>
      </c>
      <c r="D1701" s="103" t="s">
        <v>71</v>
      </c>
      <c r="E1701" s="103" t="s">
        <v>306</v>
      </c>
      <c r="H1701" s="103"/>
      <c r="I1701" s="103">
        <v>56</v>
      </c>
      <c r="K1701" s="103" t="s">
        <v>364</v>
      </c>
      <c r="L1701" s="133"/>
      <c r="M1701" s="134">
        <v>2.0833333333333332E-2</v>
      </c>
      <c r="N1701" s="137" t="s">
        <v>3210</v>
      </c>
      <c r="O1701" s="133" t="s">
        <v>950</v>
      </c>
      <c r="Q1701" s="100" t="s">
        <v>3919</v>
      </c>
      <c r="R1701" s="226" t="s">
        <v>3938</v>
      </c>
      <c r="S1701" s="491" t="str">
        <f t="shared" si="53"/>
        <v>x</v>
      </c>
      <c r="T1701" s="492" t="str">
        <f>IFERROR(VLOOKUP(F1701,'Freq-Chan'!C:D,2,FALSE),"x")</f>
        <v>x</v>
      </c>
      <c r="U1701" s="110" t="s">
        <v>541</v>
      </c>
      <c r="V1701" s="110" t="str">
        <f t="shared" si="54"/>
        <v>FWL</v>
      </c>
      <c r="W1701" s="110" t="s">
        <v>541</v>
      </c>
      <c r="X1701" s="110" t="s">
        <v>541</v>
      </c>
      <c r="Y1701" s="110" t="str">
        <f>IFERROR(VLOOKUP(F1701,'Freq-Chan'!C:E,3,FALSE),"na")</f>
        <v>na</v>
      </c>
      <c r="Z1701" s="110" t="s">
        <v>541</v>
      </c>
      <c r="AA1701" s="110" t="s">
        <v>541</v>
      </c>
      <c r="AB1701" s="110" t="s">
        <v>541</v>
      </c>
      <c r="AC1701" s="10" t="s">
        <v>541</v>
      </c>
      <c r="AD1701" s="10" t="s">
        <v>541</v>
      </c>
    </row>
    <row r="1702" spans="1:30" x14ac:dyDescent="0.2">
      <c r="A1702" s="110">
        <v>1701</v>
      </c>
      <c r="B1702" s="132">
        <v>41853</v>
      </c>
      <c r="C1702" s="117">
        <v>2</v>
      </c>
      <c r="D1702" s="103" t="s">
        <v>70</v>
      </c>
      <c r="E1702" s="103" t="s">
        <v>306</v>
      </c>
      <c r="F1702" s="103">
        <v>596</v>
      </c>
      <c r="G1702" s="103">
        <v>54</v>
      </c>
      <c r="H1702" s="103" t="s">
        <v>3045</v>
      </c>
      <c r="I1702" s="103">
        <v>46</v>
      </c>
      <c r="K1702" s="103" t="s">
        <v>365</v>
      </c>
      <c r="L1702" s="133"/>
      <c r="M1702" s="134">
        <v>4.8611111111111112E-2</v>
      </c>
      <c r="N1702" s="137" t="s">
        <v>3735</v>
      </c>
      <c r="O1702" s="133" t="s">
        <v>950</v>
      </c>
      <c r="Q1702" s="100" t="s">
        <v>3919</v>
      </c>
      <c r="R1702" s="226" t="s">
        <v>3938</v>
      </c>
      <c r="S1702" s="491" t="str">
        <f t="shared" si="53"/>
        <v>x</v>
      </c>
      <c r="T1702" s="492">
        <f>IFERROR(VLOOKUP(F1702,'Freq-Chan'!C:D,2,FALSE),"x")</f>
        <v>151.596</v>
      </c>
      <c r="U1702" s="110" t="s">
        <v>541</v>
      </c>
      <c r="V1702" s="110" t="str">
        <f t="shared" si="54"/>
        <v>FWL</v>
      </c>
      <c r="W1702" s="110" t="s">
        <v>541</v>
      </c>
      <c r="X1702" s="110" t="s">
        <v>541</v>
      </c>
      <c r="Y1702" s="110" t="str">
        <f>IFERROR(VLOOKUP(F1702,'Freq-Chan'!C:E,3,FALSE),"na")</f>
        <v>F1835</v>
      </c>
      <c r="Z1702" s="110" t="s">
        <v>541</v>
      </c>
      <c r="AA1702" s="110" t="s">
        <v>541</v>
      </c>
      <c r="AB1702" s="110" t="s">
        <v>541</v>
      </c>
      <c r="AC1702" s="10" t="s">
        <v>541</v>
      </c>
      <c r="AD1702" s="10" t="s">
        <v>541</v>
      </c>
    </row>
    <row r="1703" spans="1:30" x14ac:dyDescent="0.2">
      <c r="A1703" s="110">
        <v>1702</v>
      </c>
      <c r="B1703" s="132">
        <v>41853</v>
      </c>
      <c r="C1703" s="117">
        <v>2</v>
      </c>
      <c r="D1703" s="103" t="s">
        <v>72</v>
      </c>
      <c r="E1703" s="103" t="s">
        <v>306</v>
      </c>
      <c r="F1703" s="103">
        <v>325</v>
      </c>
      <c r="G1703" s="103">
        <v>24</v>
      </c>
      <c r="H1703" s="103" t="s">
        <v>3510</v>
      </c>
      <c r="I1703" s="103">
        <v>48</v>
      </c>
      <c r="K1703" s="103" t="s">
        <v>364</v>
      </c>
      <c r="L1703" s="133">
        <v>0.51527777777777783</v>
      </c>
      <c r="M1703" s="134">
        <v>4.0972222222222222E-2</v>
      </c>
      <c r="N1703" s="137" t="s">
        <v>3839</v>
      </c>
      <c r="O1703" s="133" t="s">
        <v>1585</v>
      </c>
      <c r="Q1703" s="100" t="s">
        <v>3919</v>
      </c>
      <c r="R1703" s="226" t="s">
        <v>3938</v>
      </c>
      <c r="S1703" s="491">
        <f t="shared" si="53"/>
        <v>1.1122685199999999E-2</v>
      </c>
      <c r="T1703" s="492">
        <f>IFERROR(VLOOKUP(F1703,'Freq-Chan'!C:D,2,FALSE),"x")</f>
        <v>151.32499999999999</v>
      </c>
      <c r="U1703" s="110" t="s">
        <v>541</v>
      </c>
      <c r="V1703" s="110" t="str">
        <f t="shared" si="54"/>
        <v>FWL</v>
      </c>
      <c r="W1703" s="110" t="s">
        <v>541</v>
      </c>
      <c r="X1703" s="110" t="s">
        <v>541</v>
      </c>
      <c r="Y1703" s="110" t="str">
        <f>IFERROR(VLOOKUP(F1703,'Freq-Chan'!C:E,3,FALSE),"na")</f>
        <v>F1840</v>
      </c>
      <c r="Z1703" s="110" t="s">
        <v>541</v>
      </c>
      <c r="AA1703" s="110" t="s">
        <v>541</v>
      </c>
      <c r="AB1703" s="110" t="s">
        <v>541</v>
      </c>
      <c r="AC1703" s="10" t="s">
        <v>541</v>
      </c>
      <c r="AD1703" s="10" t="s">
        <v>541</v>
      </c>
    </row>
    <row r="1704" spans="1:30" x14ac:dyDescent="0.2">
      <c r="A1704" s="110">
        <v>1703</v>
      </c>
      <c r="B1704" s="132">
        <v>41853</v>
      </c>
      <c r="C1704" s="117">
        <v>2</v>
      </c>
      <c r="D1704" s="103" t="s">
        <v>71</v>
      </c>
      <c r="E1704" s="103" t="s">
        <v>306</v>
      </c>
      <c r="H1704" s="103"/>
      <c r="I1704" s="103">
        <v>53</v>
      </c>
      <c r="K1704" s="103" t="s">
        <v>365</v>
      </c>
      <c r="L1704" s="133"/>
      <c r="M1704" s="134">
        <v>1.5972222222222224E-2</v>
      </c>
      <c r="N1704" s="137" t="s">
        <v>3933</v>
      </c>
      <c r="O1704" s="133" t="s">
        <v>3932</v>
      </c>
      <c r="Q1704" s="100" t="s">
        <v>3920</v>
      </c>
      <c r="R1704" s="226" t="s">
        <v>3938</v>
      </c>
      <c r="S1704" s="491" t="str">
        <f t="shared" si="53"/>
        <v>x</v>
      </c>
      <c r="T1704" s="492" t="str">
        <f>IFERROR(VLOOKUP(F1704,'Freq-Chan'!C:D,2,FALSE),"x")</f>
        <v>x</v>
      </c>
      <c r="U1704" s="110" t="s">
        <v>541</v>
      </c>
      <c r="V1704" s="110" t="str">
        <f t="shared" si="54"/>
        <v>FWL</v>
      </c>
      <c r="W1704" s="110" t="s">
        <v>541</v>
      </c>
      <c r="X1704" s="110" t="s">
        <v>541</v>
      </c>
      <c r="Y1704" s="110" t="str">
        <f>IFERROR(VLOOKUP(F1704,'Freq-Chan'!C:E,3,FALSE),"na")</f>
        <v>na</v>
      </c>
      <c r="Z1704" s="110" t="s">
        <v>541</v>
      </c>
      <c r="AA1704" s="110" t="s">
        <v>541</v>
      </c>
      <c r="AB1704" s="110" t="s">
        <v>541</v>
      </c>
      <c r="AC1704" s="10" t="s">
        <v>541</v>
      </c>
      <c r="AD1704" s="10" t="s">
        <v>541</v>
      </c>
    </row>
    <row r="1705" spans="1:30" x14ac:dyDescent="0.2">
      <c r="A1705" s="110">
        <v>1704</v>
      </c>
      <c r="B1705" s="132">
        <v>41853</v>
      </c>
      <c r="C1705" s="117">
        <v>2</v>
      </c>
      <c r="D1705" s="103" t="s">
        <v>71</v>
      </c>
      <c r="E1705" s="103" t="s">
        <v>306</v>
      </c>
      <c r="H1705" s="103"/>
      <c r="I1705" s="103">
        <v>59</v>
      </c>
      <c r="K1705" s="103" t="s">
        <v>365</v>
      </c>
      <c r="L1705" s="133"/>
      <c r="M1705" s="134">
        <v>2.361111111111111E-2</v>
      </c>
      <c r="N1705" s="137" t="s">
        <v>3906</v>
      </c>
      <c r="O1705" s="133" t="s">
        <v>3932</v>
      </c>
      <c r="Q1705" s="100" t="s">
        <v>3920</v>
      </c>
      <c r="R1705" s="226" t="s">
        <v>3938</v>
      </c>
      <c r="S1705" s="491" t="str">
        <f t="shared" si="53"/>
        <v>x</v>
      </c>
      <c r="T1705" s="492" t="str">
        <f>IFERROR(VLOOKUP(F1705,'Freq-Chan'!C:D,2,FALSE),"x")</f>
        <v>x</v>
      </c>
      <c r="U1705" s="110" t="s">
        <v>541</v>
      </c>
      <c r="V1705" s="110" t="str">
        <f t="shared" si="54"/>
        <v>FWL</v>
      </c>
      <c r="W1705" s="110" t="s">
        <v>541</v>
      </c>
      <c r="X1705" s="110" t="s">
        <v>541</v>
      </c>
      <c r="Y1705" s="110" t="str">
        <f>IFERROR(VLOOKUP(F1705,'Freq-Chan'!C:E,3,FALSE),"na")</f>
        <v>na</v>
      </c>
      <c r="Z1705" s="110" t="s">
        <v>541</v>
      </c>
      <c r="AA1705" s="110" t="s">
        <v>541</v>
      </c>
      <c r="AB1705" s="110" t="s">
        <v>541</v>
      </c>
      <c r="AC1705" s="10" t="s">
        <v>541</v>
      </c>
      <c r="AD1705" s="10" t="s">
        <v>541</v>
      </c>
    </row>
    <row r="1706" spans="1:30" x14ac:dyDescent="0.2">
      <c r="A1706" s="110">
        <v>1705</v>
      </c>
      <c r="B1706" s="132">
        <v>41853</v>
      </c>
      <c r="C1706" s="117">
        <v>2</v>
      </c>
      <c r="D1706" s="103" t="s">
        <v>8</v>
      </c>
      <c r="E1706" s="103" t="s">
        <v>306</v>
      </c>
      <c r="F1706" s="103">
        <v>573</v>
      </c>
      <c r="G1706" s="103">
        <v>31</v>
      </c>
      <c r="H1706" s="103" t="s">
        <v>2199</v>
      </c>
      <c r="I1706" s="103">
        <v>44</v>
      </c>
      <c r="K1706" s="103" t="s">
        <v>1032</v>
      </c>
      <c r="L1706" s="133"/>
      <c r="M1706" s="134">
        <v>4.7222222222222221E-2</v>
      </c>
      <c r="N1706" s="137" t="s">
        <v>3182</v>
      </c>
      <c r="O1706" s="133" t="s">
        <v>1532</v>
      </c>
      <c r="Q1706" s="100" t="s">
        <v>3920</v>
      </c>
      <c r="R1706" s="226" t="s">
        <v>3938</v>
      </c>
      <c r="S1706" s="491" t="str">
        <f t="shared" si="53"/>
        <v>x</v>
      </c>
      <c r="T1706" s="492">
        <f>IFERROR(VLOOKUP(F1706,'Freq-Chan'!C:D,2,FALSE),"x")</f>
        <v>151.57300000000001</v>
      </c>
      <c r="U1706" s="110" t="s">
        <v>541</v>
      </c>
      <c r="V1706" s="110" t="str">
        <f t="shared" si="54"/>
        <v>FWL</v>
      </c>
      <c r="W1706" s="110" t="s">
        <v>541</v>
      </c>
      <c r="X1706" s="110" t="s">
        <v>541</v>
      </c>
      <c r="Y1706" s="110" t="str">
        <f>IFERROR(VLOOKUP(F1706,'Freq-Chan'!C:E,3,FALSE),"na")</f>
        <v>F1840</v>
      </c>
      <c r="Z1706" s="110" t="s">
        <v>541</v>
      </c>
      <c r="AA1706" s="110" t="s">
        <v>541</v>
      </c>
      <c r="AB1706" s="110" t="s">
        <v>541</v>
      </c>
      <c r="AC1706" s="10" t="s">
        <v>541</v>
      </c>
      <c r="AD1706" s="10" t="s">
        <v>541</v>
      </c>
    </row>
    <row r="1707" spans="1:30" s="291" customFormat="1" x14ac:dyDescent="0.2">
      <c r="A1707" s="493">
        <v>1706</v>
      </c>
      <c r="B1707" s="283">
        <v>41853</v>
      </c>
      <c r="C1707" s="284">
        <v>2</v>
      </c>
      <c r="D1707" s="285" t="s">
        <v>70</v>
      </c>
      <c r="E1707" s="285" t="s">
        <v>306</v>
      </c>
      <c r="F1707" s="285">
        <v>515</v>
      </c>
      <c r="G1707" s="285">
        <v>0</v>
      </c>
      <c r="H1707" s="285" t="s">
        <v>3046</v>
      </c>
      <c r="I1707" s="285">
        <v>45</v>
      </c>
      <c r="J1707" s="285"/>
      <c r="K1707" s="285" t="s">
        <v>365</v>
      </c>
      <c r="L1707" s="286"/>
      <c r="M1707" s="287">
        <v>5.1388888888888894E-2</v>
      </c>
      <c r="N1707" s="339" t="s">
        <v>3934</v>
      </c>
      <c r="O1707" s="286" t="s">
        <v>1532</v>
      </c>
      <c r="P1707" s="289"/>
      <c r="Q1707" s="289" t="s">
        <v>3920</v>
      </c>
      <c r="R1707" s="290" t="s">
        <v>3938</v>
      </c>
      <c r="S1707" s="494" t="str">
        <f t="shared" si="53"/>
        <v>x</v>
      </c>
      <c r="T1707" s="495">
        <f>IFERROR(VLOOKUP(F1707,'Freq-Chan'!C:D,2,FALSE),"x")</f>
        <v>151.51499999999999</v>
      </c>
      <c r="U1707" s="493" t="s">
        <v>541</v>
      </c>
      <c r="V1707" s="493" t="str">
        <f t="shared" si="54"/>
        <v>FWL</v>
      </c>
      <c r="W1707" s="493" t="s">
        <v>541</v>
      </c>
      <c r="X1707" s="493" t="s">
        <v>541</v>
      </c>
      <c r="Y1707" s="493" t="str">
        <f>IFERROR(VLOOKUP(F1707,'Freq-Chan'!C:E,3,FALSE),"na")</f>
        <v>F1835</v>
      </c>
      <c r="Z1707" s="493" t="s">
        <v>541</v>
      </c>
      <c r="AA1707" s="493" t="s">
        <v>541</v>
      </c>
      <c r="AB1707" s="493" t="s">
        <v>541</v>
      </c>
      <c r="AC1707" s="291" t="s">
        <v>541</v>
      </c>
      <c r="AD1707" s="291" t="s">
        <v>541</v>
      </c>
    </row>
    <row r="1708" spans="1:30" x14ac:dyDescent="0.2">
      <c r="A1708" s="110">
        <v>1707</v>
      </c>
      <c r="B1708" s="132">
        <v>41853</v>
      </c>
      <c r="C1708" s="117">
        <v>3</v>
      </c>
      <c r="D1708" s="103" t="s">
        <v>70</v>
      </c>
      <c r="E1708" s="103" t="s">
        <v>306</v>
      </c>
      <c r="F1708" s="103">
        <v>596</v>
      </c>
      <c r="G1708" s="103">
        <v>92</v>
      </c>
      <c r="H1708" s="103" t="s">
        <v>3034</v>
      </c>
      <c r="I1708" s="103">
        <v>47</v>
      </c>
      <c r="K1708" s="103" t="s">
        <v>365</v>
      </c>
      <c r="L1708" s="133"/>
      <c r="M1708" s="134">
        <v>4.7222222222222221E-2</v>
      </c>
      <c r="N1708" s="137" t="s">
        <v>2689</v>
      </c>
      <c r="O1708" s="133" t="s">
        <v>1532</v>
      </c>
      <c r="Q1708" s="100" t="s">
        <v>3922</v>
      </c>
      <c r="R1708" s="226" t="s">
        <v>3938</v>
      </c>
      <c r="S1708" s="491" t="str">
        <f t="shared" si="53"/>
        <v>x</v>
      </c>
      <c r="T1708" s="492">
        <f>IFERROR(VLOOKUP(F1708,'Freq-Chan'!C:D,2,FALSE),"x")</f>
        <v>151.596</v>
      </c>
      <c r="U1708" s="110" t="s">
        <v>541</v>
      </c>
      <c r="V1708" s="110" t="str">
        <f t="shared" si="54"/>
        <v>FWL</v>
      </c>
      <c r="W1708" s="110" t="s">
        <v>541</v>
      </c>
      <c r="X1708" s="110" t="s">
        <v>541</v>
      </c>
      <c r="Y1708" s="110" t="str">
        <f>IFERROR(VLOOKUP(F1708,'Freq-Chan'!C:E,3,FALSE),"na")</f>
        <v>F1835</v>
      </c>
      <c r="Z1708" s="110" t="s">
        <v>541</v>
      </c>
      <c r="AA1708" s="110" t="s">
        <v>541</v>
      </c>
      <c r="AB1708" s="110" t="s">
        <v>541</v>
      </c>
      <c r="AC1708" s="10" t="s">
        <v>541</v>
      </c>
      <c r="AD1708" s="10" t="s">
        <v>541</v>
      </c>
    </row>
    <row r="1709" spans="1:30" x14ac:dyDescent="0.2">
      <c r="A1709" s="110">
        <v>1708</v>
      </c>
      <c r="B1709" s="132">
        <v>41853</v>
      </c>
      <c r="C1709" s="117">
        <v>3</v>
      </c>
      <c r="D1709" s="103" t="s">
        <v>70</v>
      </c>
      <c r="E1709" s="103" t="s">
        <v>306</v>
      </c>
      <c r="F1709" s="103">
        <v>515</v>
      </c>
      <c r="G1709" s="103">
        <v>58</v>
      </c>
      <c r="H1709" s="103" t="s">
        <v>3039</v>
      </c>
      <c r="I1709" s="103">
        <v>47</v>
      </c>
      <c r="K1709" s="103" t="s">
        <v>365</v>
      </c>
      <c r="L1709" s="133"/>
      <c r="M1709" s="134">
        <v>3.6805555555555557E-2</v>
      </c>
      <c r="N1709" s="137" t="s">
        <v>3401</v>
      </c>
      <c r="O1709" s="133" t="s">
        <v>1532</v>
      </c>
      <c r="Q1709" s="100" t="s">
        <v>3922</v>
      </c>
      <c r="R1709" s="226" t="s">
        <v>3938</v>
      </c>
      <c r="S1709" s="491" t="str">
        <f t="shared" si="53"/>
        <v>x</v>
      </c>
      <c r="T1709" s="492">
        <f>IFERROR(VLOOKUP(F1709,'Freq-Chan'!C:D,2,FALSE),"x")</f>
        <v>151.51499999999999</v>
      </c>
      <c r="U1709" s="110" t="s">
        <v>541</v>
      </c>
      <c r="V1709" s="110" t="str">
        <f t="shared" si="54"/>
        <v>FWL</v>
      </c>
      <c r="W1709" s="110" t="s">
        <v>541</v>
      </c>
      <c r="X1709" s="110" t="s">
        <v>541</v>
      </c>
      <c r="Y1709" s="110" t="str">
        <f>IFERROR(VLOOKUP(F1709,'Freq-Chan'!C:E,3,FALSE),"na")</f>
        <v>F1835</v>
      </c>
      <c r="Z1709" s="110" t="s">
        <v>541</v>
      </c>
      <c r="AA1709" s="110" t="s">
        <v>541</v>
      </c>
      <c r="AB1709" s="110" t="s">
        <v>541</v>
      </c>
      <c r="AC1709" s="10" t="s">
        <v>541</v>
      </c>
      <c r="AD1709" s="10" t="s">
        <v>541</v>
      </c>
    </row>
    <row r="1710" spans="1:30" x14ac:dyDescent="0.2">
      <c r="A1710" s="110">
        <v>1709</v>
      </c>
      <c r="B1710" s="132">
        <v>41853</v>
      </c>
      <c r="C1710" s="117">
        <v>3</v>
      </c>
      <c r="D1710" s="103" t="s">
        <v>70</v>
      </c>
      <c r="E1710" s="103" t="s">
        <v>306</v>
      </c>
      <c r="F1710" s="103">
        <v>515</v>
      </c>
      <c r="G1710" s="103">
        <v>61</v>
      </c>
      <c r="H1710" s="103" t="s">
        <v>3040</v>
      </c>
      <c r="I1710" s="103">
        <v>48</v>
      </c>
      <c r="K1710" s="103" t="s">
        <v>1032</v>
      </c>
      <c r="L1710" s="133"/>
      <c r="M1710" s="134">
        <v>5.0694444444444452E-2</v>
      </c>
      <c r="N1710" s="137" t="s">
        <v>3294</v>
      </c>
      <c r="O1710" s="133" t="s">
        <v>1532</v>
      </c>
      <c r="Q1710" s="100" t="s">
        <v>3922</v>
      </c>
      <c r="R1710" s="226" t="s">
        <v>3938</v>
      </c>
      <c r="S1710" s="491" t="str">
        <f t="shared" si="53"/>
        <v>x</v>
      </c>
      <c r="T1710" s="492">
        <f>IFERROR(VLOOKUP(F1710,'Freq-Chan'!C:D,2,FALSE),"x")</f>
        <v>151.51499999999999</v>
      </c>
      <c r="U1710" s="110" t="s">
        <v>541</v>
      </c>
      <c r="V1710" s="110" t="str">
        <f t="shared" si="54"/>
        <v>FWL</v>
      </c>
      <c r="W1710" s="110" t="s">
        <v>541</v>
      </c>
      <c r="X1710" s="110" t="s">
        <v>541</v>
      </c>
      <c r="Y1710" s="110" t="str">
        <f>IFERROR(VLOOKUP(F1710,'Freq-Chan'!C:E,3,FALSE),"na")</f>
        <v>F1835</v>
      </c>
      <c r="Z1710" s="110" t="s">
        <v>541</v>
      </c>
      <c r="AA1710" s="110" t="s">
        <v>541</v>
      </c>
      <c r="AB1710" s="110" t="s">
        <v>541</v>
      </c>
      <c r="AC1710" s="10" t="s">
        <v>541</v>
      </c>
      <c r="AD1710" s="10" t="s">
        <v>541</v>
      </c>
    </row>
    <row r="1711" spans="1:30" x14ac:dyDescent="0.2">
      <c r="A1711" s="110">
        <v>1710</v>
      </c>
      <c r="B1711" s="132">
        <v>41853</v>
      </c>
      <c r="C1711" s="117">
        <v>3</v>
      </c>
      <c r="D1711" s="103" t="s">
        <v>71</v>
      </c>
      <c r="E1711" s="103" t="s">
        <v>306</v>
      </c>
      <c r="F1711" s="103">
        <v>564</v>
      </c>
      <c r="G1711" s="103">
        <v>27</v>
      </c>
      <c r="H1711" s="103" t="s">
        <v>2347</v>
      </c>
      <c r="I1711" s="103">
        <v>60</v>
      </c>
      <c r="K1711" s="103" t="s">
        <v>365</v>
      </c>
      <c r="L1711" s="133"/>
      <c r="M1711" s="134">
        <v>4.8611111111111112E-2</v>
      </c>
      <c r="N1711" s="137" t="s">
        <v>3352</v>
      </c>
      <c r="O1711" s="133" t="s">
        <v>1532</v>
      </c>
      <c r="Q1711" s="100" t="s">
        <v>3922</v>
      </c>
      <c r="R1711" s="226" t="s">
        <v>3938</v>
      </c>
      <c r="S1711" s="491" t="str">
        <f t="shared" si="53"/>
        <v>x</v>
      </c>
      <c r="T1711" s="492">
        <f>IFERROR(VLOOKUP(F1711,'Freq-Chan'!C:D,2,FALSE),"x")</f>
        <v>151.56399999999999</v>
      </c>
      <c r="U1711" s="110" t="s">
        <v>541</v>
      </c>
      <c r="V1711" s="110" t="str">
        <f t="shared" si="54"/>
        <v>FWL</v>
      </c>
      <c r="W1711" s="110" t="s">
        <v>541</v>
      </c>
      <c r="X1711" s="110" t="s">
        <v>541</v>
      </c>
      <c r="Y1711" s="110" t="str">
        <f>IFERROR(VLOOKUP(F1711,'Freq-Chan'!C:E,3,FALSE),"na")</f>
        <v>F1840</v>
      </c>
      <c r="Z1711" s="110" t="s">
        <v>541</v>
      </c>
      <c r="AA1711" s="110" t="s">
        <v>541</v>
      </c>
      <c r="AB1711" s="110" t="s">
        <v>541</v>
      </c>
      <c r="AC1711" s="10" t="s">
        <v>541</v>
      </c>
      <c r="AD1711" s="10" t="s">
        <v>541</v>
      </c>
    </row>
    <row r="1712" spans="1:30" x14ac:dyDescent="0.2">
      <c r="A1712" s="110">
        <v>1711</v>
      </c>
      <c r="B1712" s="132">
        <v>41853</v>
      </c>
      <c r="C1712" s="117">
        <v>3</v>
      </c>
      <c r="D1712" s="103" t="s">
        <v>71</v>
      </c>
      <c r="E1712" s="103" t="s">
        <v>306</v>
      </c>
      <c r="F1712" s="103">
        <v>564</v>
      </c>
      <c r="G1712" s="103">
        <v>69</v>
      </c>
      <c r="H1712" s="103" t="s">
        <v>2348</v>
      </c>
      <c r="I1712" s="103">
        <v>60</v>
      </c>
      <c r="K1712" s="103" t="s">
        <v>1032</v>
      </c>
      <c r="L1712" s="133"/>
      <c r="M1712" s="134">
        <v>6.25E-2</v>
      </c>
      <c r="N1712" s="137" t="s">
        <v>2653</v>
      </c>
      <c r="O1712" s="133" t="s">
        <v>1532</v>
      </c>
      <c r="Q1712" s="100" t="s">
        <v>3922</v>
      </c>
      <c r="R1712" s="226" t="s">
        <v>3938</v>
      </c>
      <c r="S1712" s="491" t="str">
        <f t="shared" si="53"/>
        <v>x</v>
      </c>
      <c r="T1712" s="492">
        <f>IFERROR(VLOOKUP(F1712,'Freq-Chan'!C:D,2,FALSE),"x")</f>
        <v>151.56399999999999</v>
      </c>
      <c r="U1712" s="110" t="s">
        <v>541</v>
      </c>
      <c r="V1712" s="110" t="str">
        <f t="shared" si="54"/>
        <v>FWL</v>
      </c>
      <c r="W1712" s="110" t="s">
        <v>541</v>
      </c>
      <c r="X1712" s="110" t="s">
        <v>541</v>
      </c>
      <c r="Y1712" s="110" t="str">
        <f>IFERROR(VLOOKUP(F1712,'Freq-Chan'!C:E,3,FALSE),"na")</f>
        <v>F1840</v>
      </c>
      <c r="Z1712" s="110" t="s">
        <v>541</v>
      </c>
      <c r="AA1712" s="110" t="s">
        <v>541</v>
      </c>
      <c r="AB1712" s="110" t="s">
        <v>541</v>
      </c>
      <c r="AC1712" s="10" t="s">
        <v>541</v>
      </c>
      <c r="AD1712" s="10" t="s">
        <v>541</v>
      </c>
    </row>
    <row r="1713" spans="1:30" x14ac:dyDescent="0.2">
      <c r="A1713" s="110">
        <v>1712</v>
      </c>
      <c r="B1713" s="132">
        <v>41853</v>
      </c>
      <c r="C1713" s="117">
        <v>3</v>
      </c>
      <c r="D1713" s="103" t="s">
        <v>70</v>
      </c>
      <c r="E1713" s="103" t="s">
        <v>306</v>
      </c>
      <c r="H1713" s="103"/>
      <c r="I1713" s="103">
        <v>48</v>
      </c>
      <c r="K1713" s="103" t="s">
        <v>1032</v>
      </c>
      <c r="L1713" s="133"/>
      <c r="M1713" s="134">
        <v>2.0833333333333332E-2</v>
      </c>
      <c r="N1713" s="137" t="s">
        <v>1796</v>
      </c>
      <c r="O1713" s="133" t="s">
        <v>1532</v>
      </c>
      <c r="Q1713" s="100" t="s">
        <v>3922</v>
      </c>
      <c r="R1713" s="226" t="s">
        <v>3938</v>
      </c>
      <c r="S1713" s="491" t="str">
        <f t="shared" si="53"/>
        <v>x</v>
      </c>
      <c r="T1713" s="492" t="str">
        <f>IFERROR(VLOOKUP(F1713,'Freq-Chan'!C:D,2,FALSE),"x")</f>
        <v>x</v>
      </c>
      <c r="U1713" s="110" t="s">
        <v>541</v>
      </c>
      <c r="V1713" s="110" t="str">
        <f t="shared" si="54"/>
        <v>FWL</v>
      </c>
      <c r="W1713" s="110" t="s">
        <v>541</v>
      </c>
      <c r="X1713" s="110" t="s">
        <v>541</v>
      </c>
      <c r="Y1713" s="110" t="str">
        <f>IFERROR(VLOOKUP(F1713,'Freq-Chan'!C:E,3,FALSE),"na")</f>
        <v>na</v>
      </c>
      <c r="Z1713" s="110" t="s">
        <v>541</v>
      </c>
      <c r="AA1713" s="110" t="s">
        <v>541</v>
      </c>
      <c r="AB1713" s="110" t="s">
        <v>541</v>
      </c>
      <c r="AC1713" s="10" t="s">
        <v>541</v>
      </c>
      <c r="AD1713" s="10" t="s">
        <v>541</v>
      </c>
    </row>
    <row r="1714" spans="1:30" x14ac:dyDescent="0.2">
      <c r="A1714" s="110">
        <v>1713</v>
      </c>
      <c r="B1714" s="132">
        <v>41853</v>
      </c>
      <c r="C1714" s="117">
        <v>3</v>
      </c>
      <c r="D1714" s="103" t="s">
        <v>70</v>
      </c>
      <c r="E1714" s="103" t="s">
        <v>306</v>
      </c>
      <c r="H1714" s="103"/>
      <c r="I1714" s="103">
        <v>44</v>
      </c>
      <c r="K1714" s="103" t="s">
        <v>365</v>
      </c>
      <c r="L1714" s="133"/>
      <c r="M1714" s="134">
        <v>2.013888888888889E-2</v>
      </c>
      <c r="N1714" s="137" t="s">
        <v>2777</v>
      </c>
      <c r="O1714" s="133" t="s">
        <v>1036</v>
      </c>
      <c r="Q1714" s="100" t="s">
        <v>3922</v>
      </c>
      <c r="R1714" s="226" t="s">
        <v>3938</v>
      </c>
      <c r="S1714" s="491" t="str">
        <f t="shared" si="53"/>
        <v>x</v>
      </c>
      <c r="T1714" s="492" t="str">
        <f>IFERROR(VLOOKUP(F1714,'Freq-Chan'!C:D,2,FALSE),"x")</f>
        <v>x</v>
      </c>
      <c r="U1714" s="110" t="s">
        <v>541</v>
      </c>
      <c r="V1714" s="110" t="str">
        <f t="shared" si="54"/>
        <v>FWL</v>
      </c>
      <c r="W1714" s="110" t="s">
        <v>541</v>
      </c>
      <c r="X1714" s="110" t="s">
        <v>541</v>
      </c>
      <c r="Y1714" s="110" t="str">
        <f>IFERROR(VLOOKUP(F1714,'Freq-Chan'!C:E,3,FALSE),"na")</f>
        <v>na</v>
      </c>
      <c r="Z1714" s="110" t="s">
        <v>541</v>
      </c>
      <c r="AA1714" s="110" t="s">
        <v>541</v>
      </c>
      <c r="AB1714" s="110" t="s">
        <v>541</v>
      </c>
      <c r="AC1714" s="10" t="s">
        <v>541</v>
      </c>
      <c r="AD1714" s="10" t="s">
        <v>541</v>
      </c>
    </row>
    <row r="1715" spans="1:30" x14ac:dyDescent="0.2">
      <c r="A1715" s="110">
        <v>1714</v>
      </c>
      <c r="B1715" s="132">
        <v>41853</v>
      </c>
      <c r="C1715" s="117">
        <v>3</v>
      </c>
      <c r="D1715" s="103" t="s">
        <v>70</v>
      </c>
      <c r="E1715" s="103" t="s">
        <v>306</v>
      </c>
      <c r="H1715" s="103"/>
      <c r="I1715" s="103">
        <v>45</v>
      </c>
      <c r="K1715" s="103" t="s">
        <v>365</v>
      </c>
      <c r="L1715" s="133"/>
      <c r="M1715" s="134">
        <v>1.7361111111111112E-2</v>
      </c>
      <c r="N1715" s="137" t="s">
        <v>2839</v>
      </c>
      <c r="O1715" s="133" t="s">
        <v>3932</v>
      </c>
      <c r="Q1715" s="100" t="s">
        <v>3922</v>
      </c>
      <c r="R1715" s="226" t="s">
        <v>3938</v>
      </c>
      <c r="S1715" s="491" t="str">
        <f t="shared" si="53"/>
        <v>x</v>
      </c>
      <c r="T1715" s="492" t="str">
        <f>IFERROR(VLOOKUP(F1715,'Freq-Chan'!C:D,2,FALSE),"x")</f>
        <v>x</v>
      </c>
      <c r="U1715" s="110" t="s">
        <v>541</v>
      </c>
      <c r="V1715" s="110" t="str">
        <f t="shared" si="54"/>
        <v>FWL</v>
      </c>
      <c r="W1715" s="110" t="s">
        <v>541</v>
      </c>
      <c r="X1715" s="110" t="s">
        <v>541</v>
      </c>
      <c r="Y1715" s="110" t="str">
        <f>IFERROR(VLOOKUP(F1715,'Freq-Chan'!C:E,3,FALSE),"na")</f>
        <v>na</v>
      </c>
      <c r="Z1715" s="110" t="s">
        <v>541</v>
      </c>
      <c r="AA1715" s="110" t="s">
        <v>541</v>
      </c>
      <c r="AB1715" s="110" t="s">
        <v>541</v>
      </c>
      <c r="AC1715" s="10" t="s">
        <v>541</v>
      </c>
      <c r="AD1715" s="10" t="s">
        <v>541</v>
      </c>
    </row>
    <row r="1716" spans="1:30" x14ac:dyDescent="0.2">
      <c r="A1716" s="110">
        <v>1715</v>
      </c>
      <c r="B1716" s="132">
        <v>41853</v>
      </c>
      <c r="C1716" s="117">
        <v>3</v>
      </c>
      <c r="D1716" s="103" t="s">
        <v>70</v>
      </c>
      <c r="E1716" s="103" t="s">
        <v>306</v>
      </c>
      <c r="H1716" s="103"/>
      <c r="I1716" s="103">
        <v>47</v>
      </c>
      <c r="K1716" s="103" t="s">
        <v>365</v>
      </c>
      <c r="L1716" s="133"/>
      <c r="M1716" s="134">
        <v>1.9444444444444445E-2</v>
      </c>
      <c r="N1716" s="137" t="s">
        <v>2754</v>
      </c>
      <c r="O1716" s="133" t="s">
        <v>3932</v>
      </c>
      <c r="Q1716" s="100" t="s">
        <v>3922</v>
      </c>
      <c r="R1716" s="226" t="s">
        <v>3938</v>
      </c>
      <c r="S1716" s="491" t="str">
        <f t="shared" si="53"/>
        <v>x</v>
      </c>
      <c r="T1716" s="492" t="str">
        <f>IFERROR(VLOOKUP(F1716,'Freq-Chan'!C:D,2,FALSE),"x")</f>
        <v>x</v>
      </c>
      <c r="U1716" s="110" t="s">
        <v>541</v>
      </c>
      <c r="V1716" s="110" t="str">
        <f t="shared" si="54"/>
        <v>FWL</v>
      </c>
      <c r="W1716" s="110" t="s">
        <v>541</v>
      </c>
      <c r="X1716" s="110" t="s">
        <v>541</v>
      </c>
      <c r="Y1716" s="110" t="str">
        <f>IFERROR(VLOOKUP(F1716,'Freq-Chan'!C:E,3,FALSE),"na")</f>
        <v>na</v>
      </c>
      <c r="Z1716" s="110" t="s">
        <v>541</v>
      </c>
      <c r="AA1716" s="110" t="s">
        <v>541</v>
      </c>
      <c r="AB1716" s="110" t="s">
        <v>541</v>
      </c>
      <c r="AC1716" s="10" t="s">
        <v>541</v>
      </c>
      <c r="AD1716" s="10" t="s">
        <v>541</v>
      </c>
    </row>
    <row r="1717" spans="1:30" x14ac:dyDescent="0.2">
      <c r="A1717" s="110">
        <v>1716</v>
      </c>
      <c r="B1717" s="132">
        <v>41853</v>
      </c>
      <c r="C1717" s="117">
        <v>3</v>
      </c>
      <c r="D1717" s="103" t="s">
        <v>70</v>
      </c>
      <c r="E1717" s="103" t="s">
        <v>306</v>
      </c>
      <c r="H1717" s="103"/>
      <c r="I1717" s="103">
        <v>44</v>
      </c>
      <c r="K1717" s="103" t="s">
        <v>365</v>
      </c>
      <c r="L1717" s="133"/>
      <c r="M1717" s="134">
        <v>1.0416666666666666E-2</v>
      </c>
      <c r="N1717" s="137" t="s">
        <v>3935</v>
      </c>
      <c r="O1717" s="133" t="s">
        <v>3932</v>
      </c>
      <c r="Q1717" s="100" t="s">
        <v>3922</v>
      </c>
      <c r="R1717" s="226" t="s">
        <v>3938</v>
      </c>
      <c r="S1717" s="491" t="str">
        <f t="shared" si="53"/>
        <v>x</v>
      </c>
      <c r="T1717" s="492" t="str">
        <f>IFERROR(VLOOKUP(F1717,'Freq-Chan'!C:D,2,FALSE),"x")</f>
        <v>x</v>
      </c>
      <c r="U1717" s="110" t="s">
        <v>541</v>
      </c>
      <c r="V1717" s="110" t="str">
        <f t="shared" si="54"/>
        <v>FWL</v>
      </c>
      <c r="W1717" s="110" t="s">
        <v>541</v>
      </c>
      <c r="X1717" s="110" t="s">
        <v>541</v>
      </c>
      <c r="Y1717" s="110" t="str">
        <f>IFERROR(VLOOKUP(F1717,'Freq-Chan'!C:E,3,FALSE),"na")</f>
        <v>na</v>
      </c>
      <c r="Z1717" s="110" t="s">
        <v>541</v>
      </c>
      <c r="AA1717" s="110" t="s">
        <v>541</v>
      </c>
      <c r="AB1717" s="110" t="s">
        <v>541</v>
      </c>
      <c r="AC1717" s="10" t="s">
        <v>541</v>
      </c>
      <c r="AD1717" s="10" t="s">
        <v>541</v>
      </c>
    </row>
    <row r="1718" spans="1:30" x14ac:dyDescent="0.2">
      <c r="A1718" s="110">
        <v>1717</v>
      </c>
      <c r="B1718" s="132">
        <v>41853</v>
      </c>
      <c r="C1718" s="117">
        <v>3</v>
      </c>
      <c r="D1718" s="103" t="s">
        <v>70</v>
      </c>
      <c r="E1718" s="103" t="s">
        <v>306</v>
      </c>
      <c r="H1718" s="103"/>
      <c r="I1718" s="103">
        <v>46</v>
      </c>
      <c r="K1718" s="103" t="s">
        <v>1032</v>
      </c>
      <c r="L1718" s="133"/>
      <c r="M1718" s="134">
        <v>2.0833333333333332E-2</v>
      </c>
      <c r="N1718" s="137" t="s">
        <v>2838</v>
      </c>
      <c r="O1718" s="133" t="s">
        <v>3932</v>
      </c>
      <c r="Q1718" s="100" t="s">
        <v>3922</v>
      </c>
      <c r="R1718" s="226" t="s">
        <v>3938</v>
      </c>
      <c r="S1718" s="491" t="str">
        <f t="shared" si="53"/>
        <v>x</v>
      </c>
      <c r="T1718" s="492" t="str">
        <f>IFERROR(VLOOKUP(F1718,'Freq-Chan'!C:D,2,FALSE),"x")</f>
        <v>x</v>
      </c>
      <c r="U1718" s="110" t="s">
        <v>541</v>
      </c>
      <c r="V1718" s="110" t="str">
        <f t="shared" si="54"/>
        <v>FWL</v>
      </c>
      <c r="W1718" s="110" t="s">
        <v>541</v>
      </c>
      <c r="X1718" s="110" t="s">
        <v>541</v>
      </c>
      <c r="Y1718" s="110" t="str">
        <f>IFERROR(VLOOKUP(F1718,'Freq-Chan'!C:E,3,FALSE),"na")</f>
        <v>na</v>
      </c>
      <c r="Z1718" s="110" t="s">
        <v>541</v>
      </c>
      <c r="AA1718" s="110" t="s">
        <v>541</v>
      </c>
      <c r="AB1718" s="110" t="s">
        <v>541</v>
      </c>
      <c r="AC1718" s="10" t="s">
        <v>541</v>
      </c>
      <c r="AD1718" s="10" t="s">
        <v>541</v>
      </c>
    </row>
    <row r="1719" spans="1:30" x14ac:dyDescent="0.2">
      <c r="A1719" s="110">
        <v>1718</v>
      </c>
      <c r="B1719" s="132">
        <v>41853</v>
      </c>
      <c r="C1719" s="117">
        <v>3</v>
      </c>
      <c r="D1719" s="103" t="s">
        <v>70</v>
      </c>
      <c r="E1719" s="103" t="s">
        <v>306</v>
      </c>
      <c r="H1719" s="103"/>
      <c r="I1719" s="103">
        <v>44</v>
      </c>
      <c r="K1719" s="103" t="s">
        <v>1032</v>
      </c>
      <c r="L1719" s="133"/>
      <c r="M1719" s="134">
        <v>1.3888888888888888E-2</v>
      </c>
      <c r="N1719" s="137" t="s">
        <v>3322</v>
      </c>
      <c r="O1719" s="133" t="s">
        <v>3932</v>
      </c>
      <c r="Q1719" s="100" t="s">
        <v>3922</v>
      </c>
      <c r="R1719" s="226" t="s">
        <v>3938</v>
      </c>
      <c r="S1719" s="491" t="str">
        <f t="shared" si="53"/>
        <v>x</v>
      </c>
      <c r="T1719" s="492" t="str">
        <f>IFERROR(VLOOKUP(F1719,'Freq-Chan'!C:D,2,FALSE),"x")</f>
        <v>x</v>
      </c>
      <c r="U1719" s="110" t="s">
        <v>541</v>
      </c>
      <c r="V1719" s="110" t="str">
        <f t="shared" si="54"/>
        <v>FWL</v>
      </c>
      <c r="W1719" s="110" t="s">
        <v>541</v>
      </c>
      <c r="X1719" s="110" t="s">
        <v>541</v>
      </c>
      <c r="Y1719" s="110" t="str">
        <f>IFERROR(VLOOKUP(F1719,'Freq-Chan'!C:E,3,FALSE),"na")</f>
        <v>na</v>
      </c>
      <c r="Z1719" s="110" t="s">
        <v>541</v>
      </c>
      <c r="AA1719" s="110" t="s">
        <v>541</v>
      </c>
      <c r="AB1719" s="110" t="s">
        <v>541</v>
      </c>
      <c r="AC1719" s="10" t="s">
        <v>541</v>
      </c>
      <c r="AD1719" s="10" t="s">
        <v>541</v>
      </c>
    </row>
    <row r="1720" spans="1:30" x14ac:dyDescent="0.2">
      <c r="A1720" s="110">
        <v>1719</v>
      </c>
      <c r="B1720" s="132">
        <v>41853</v>
      </c>
      <c r="C1720" s="117">
        <v>3</v>
      </c>
      <c r="D1720" s="103" t="s">
        <v>71</v>
      </c>
      <c r="E1720" s="103" t="s">
        <v>306</v>
      </c>
      <c r="H1720" s="103"/>
      <c r="I1720" s="103">
        <v>55</v>
      </c>
      <c r="K1720" s="103" t="s">
        <v>365</v>
      </c>
      <c r="L1720" s="133"/>
      <c r="M1720" s="134">
        <v>1.3888888888888888E-2</v>
      </c>
      <c r="N1720" s="137" t="s">
        <v>3209</v>
      </c>
      <c r="O1720" s="133" t="s">
        <v>3932</v>
      </c>
      <c r="Q1720" s="100" t="s">
        <v>3922</v>
      </c>
      <c r="R1720" s="226" t="s">
        <v>3938</v>
      </c>
      <c r="S1720" s="491" t="str">
        <f t="shared" si="53"/>
        <v>x</v>
      </c>
      <c r="T1720" s="492" t="str">
        <f>IFERROR(VLOOKUP(F1720,'Freq-Chan'!C:D,2,FALSE),"x")</f>
        <v>x</v>
      </c>
      <c r="U1720" s="110" t="s">
        <v>541</v>
      </c>
      <c r="V1720" s="110" t="str">
        <f t="shared" si="54"/>
        <v>FWL</v>
      </c>
      <c r="W1720" s="110" t="s">
        <v>541</v>
      </c>
      <c r="X1720" s="110" t="s">
        <v>541</v>
      </c>
      <c r="Y1720" s="110" t="str">
        <f>IFERROR(VLOOKUP(F1720,'Freq-Chan'!C:E,3,FALSE),"na")</f>
        <v>na</v>
      </c>
      <c r="Z1720" s="110" t="s">
        <v>541</v>
      </c>
      <c r="AA1720" s="110" t="s">
        <v>541</v>
      </c>
      <c r="AB1720" s="110" t="s">
        <v>541</v>
      </c>
      <c r="AC1720" s="10" t="s">
        <v>541</v>
      </c>
      <c r="AD1720" s="10" t="s">
        <v>541</v>
      </c>
    </row>
    <row r="1721" spans="1:30" x14ac:dyDescent="0.2">
      <c r="A1721" s="110">
        <v>1720</v>
      </c>
      <c r="B1721" s="132">
        <v>41853</v>
      </c>
      <c r="C1721" s="117">
        <v>3</v>
      </c>
      <c r="D1721" s="103" t="s">
        <v>70</v>
      </c>
      <c r="E1721" s="103" t="s">
        <v>306</v>
      </c>
      <c r="H1721" s="103"/>
      <c r="I1721" s="103">
        <v>50</v>
      </c>
      <c r="K1721" s="103" t="s">
        <v>1032</v>
      </c>
      <c r="L1721" s="133"/>
      <c r="M1721" s="134">
        <v>1.5277777777777777E-2</v>
      </c>
      <c r="N1721" s="137" t="s">
        <v>2737</v>
      </c>
      <c r="O1721" s="133" t="s">
        <v>3932</v>
      </c>
      <c r="Q1721" s="100" t="s">
        <v>3922</v>
      </c>
      <c r="R1721" s="226" t="s">
        <v>3938</v>
      </c>
      <c r="S1721" s="491" t="str">
        <f t="shared" si="53"/>
        <v>x</v>
      </c>
      <c r="T1721" s="492" t="str">
        <f>IFERROR(VLOOKUP(F1721,'Freq-Chan'!C:D,2,FALSE),"x")</f>
        <v>x</v>
      </c>
      <c r="U1721" s="110" t="s">
        <v>541</v>
      </c>
      <c r="V1721" s="110" t="str">
        <f t="shared" si="54"/>
        <v>FWL</v>
      </c>
      <c r="W1721" s="110" t="s">
        <v>541</v>
      </c>
      <c r="X1721" s="110" t="s">
        <v>541</v>
      </c>
      <c r="Y1721" s="110" t="str">
        <f>IFERROR(VLOOKUP(F1721,'Freq-Chan'!C:E,3,FALSE),"na")</f>
        <v>na</v>
      </c>
      <c r="Z1721" s="110" t="s">
        <v>541</v>
      </c>
      <c r="AA1721" s="110" t="s">
        <v>541</v>
      </c>
      <c r="AB1721" s="110" t="s">
        <v>541</v>
      </c>
      <c r="AC1721" s="10" t="s">
        <v>541</v>
      </c>
      <c r="AD1721" s="10" t="s">
        <v>541</v>
      </c>
    </row>
    <row r="1722" spans="1:30" x14ac:dyDescent="0.2">
      <c r="A1722" s="110">
        <v>1721</v>
      </c>
      <c r="B1722" s="132">
        <v>41853</v>
      </c>
      <c r="C1722" s="117">
        <v>3</v>
      </c>
      <c r="D1722" s="103" t="s">
        <v>71</v>
      </c>
      <c r="E1722" s="103" t="s">
        <v>306</v>
      </c>
      <c r="H1722" s="103"/>
      <c r="I1722" s="103">
        <v>61</v>
      </c>
      <c r="K1722" s="103" t="s">
        <v>1032</v>
      </c>
      <c r="L1722" s="133"/>
      <c r="M1722" s="134">
        <v>1.3888888888888888E-2</v>
      </c>
      <c r="N1722" s="137" t="s">
        <v>2591</v>
      </c>
      <c r="O1722" s="133" t="s">
        <v>3932</v>
      </c>
      <c r="Q1722" s="100" t="s">
        <v>3922</v>
      </c>
      <c r="R1722" s="226" t="s">
        <v>3938</v>
      </c>
      <c r="S1722" s="491" t="str">
        <f t="shared" si="53"/>
        <v>x</v>
      </c>
      <c r="T1722" s="492" t="str">
        <f>IFERROR(VLOOKUP(F1722,'Freq-Chan'!C:D,2,FALSE),"x")</f>
        <v>x</v>
      </c>
      <c r="U1722" s="110" t="s">
        <v>541</v>
      </c>
      <c r="V1722" s="110" t="str">
        <f t="shared" si="54"/>
        <v>FWL</v>
      </c>
      <c r="W1722" s="110" t="s">
        <v>541</v>
      </c>
      <c r="X1722" s="110" t="s">
        <v>541</v>
      </c>
      <c r="Y1722" s="110" t="str">
        <f>IFERROR(VLOOKUP(F1722,'Freq-Chan'!C:E,3,FALSE),"na")</f>
        <v>na</v>
      </c>
      <c r="Z1722" s="110" t="s">
        <v>541</v>
      </c>
      <c r="AA1722" s="110" t="s">
        <v>541</v>
      </c>
      <c r="AB1722" s="110" t="s">
        <v>541</v>
      </c>
      <c r="AC1722" s="10" t="s">
        <v>541</v>
      </c>
      <c r="AD1722" s="10" t="s">
        <v>541</v>
      </c>
    </row>
    <row r="1723" spans="1:30" x14ac:dyDescent="0.2">
      <c r="A1723" s="110">
        <v>1722</v>
      </c>
      <c r="B1723" s="132">
        <v>41853</v>
      </c>
      <c r="C1723" s="117">
        <v>3</v>
      </c>
      <c r="D1723" s="103" t="s">
        <v>71</v>
      </c>
      <c r="E1723" s="103" t="s">
        <v>306</v>
      </c>
      <c r="H1723" s="103"/>
      <c r="I1723" s="103">
        <v>63</v>
      </c>
      <c r="K1723" s="103" t="s">
        <v>365</v>
      </c>
      <c r="L1723" s="133"/>
      <c r="M1723" s="134">
        <v>2.0833333333333332E-2</v>
      </c>
      <c r="N1723" s="137" t="s">
        <v>3735</v>
      </c>
      <c r="O1723" s="133" t="s">
        <v>3932</v>
      </c>
      <c r="Q1723" s="100" t="s">
        <v>3922</v>
      </c>
      <c r="R1723" s="226" t="s">
        <v>3938</v>
      </c>
      <c r="S1723" s="491" t="str">
        <f t="shared" si="53"/>
        <v>x</v>
      </c>
      <c r="T1723" s="492" t="str">
        <f>IFERROR(VLOOKUP(F1723,'Freq-Chan'!C:D,2,FALSE),"x")</f>
        <v>x</v>
      </c>
      <c r="U1723" s="110" t="s">
        <v>541</v>
      </c>
      <c r="V1723" s="110" t="str">
        <f t="shared" si="54"/>
        <v>FWL</v>
      </c>
      <c r="W1723" s="110" t="s">
        <v>541</v>
      </c>
      <c r="X1723" s="110" t="s">
        <v>541</v>
      </c>
      <c r="Y1723" s="110" t="str">
        <f>IFERROR(VLOOKUP(F1723,'Freq-Chan'!C:E,3,FALSE),"na")</f>
        <v>na</v>
      </c>
      <c r="Z1723" s="110" t="s">
        <v>541</v>
      </c>
      <c r="AA1723" s="110" t="s">
        <v>541</v>
      </c>
      <c r="AB1723" s="110" t="s">
        <v>541</v>
      </c>
      <c r="AC1723" s="10" t="s">
        <v>541</v>
      </c>
      <c r="AD1723" s="10" t="s">
        <v>541</v>
      </c>
    </row>
    <row r="1724" spans="1:30" x14ac:dyDescent="0.2">
      <c r="A1724" s="110">
        <v>1723</v>
      </c>
      <c r="B1724" s="132">
        <v>41853</v>
      </c>
      <c r="C1724" s="117">
        <v>3</v>
      </c>
      <c r="D1724" s="103" t="s">
        <v>70</v>
      </c>
      <c r="E1724" s="103" t="s">
        <v>306</v>
      </c>
      <c r="H1724" s="103"/>
      <c r="I1724" s="103">
        <v>43</v>
      </c>
      <c r="K1724" s="103" t="s">
        <v>365</v>
      </c>
      <c r="L1724" s="133"/>
      <c r="M1724" s="134">
        <v>1.9444444444444445E-2</v>
      </c>
      <c r="N1724" s="137" t="s">
        <v>763</v>
      </c>
      <c r="O1724" s="133" t="s">
        <v>3932</v>
      </c>
      <c r="Q1724" s="100" t="s">
        <v>3922</v>
      </c>
      <c r="R1724" s="226" t="s">
        <v>3938</v>
      </c>
      <c r="S1724" s="491" t="str">
        <f t="shared" si="53"/>
        <v>x</v>
      </c>
      <c r="T1724" s="492" t="str">
        <f>IFERROR(VLOOKUP(F1724,'Freq-Chan'!C:D,2,FALSE),"x")</f>
        <v>x</v>
      </c>
      <c r="U1724" s="110" t="s">
        <v>541</v>
      </c>
      <c r="V1724" s="110" t="str">
        <f t="shared" si="54"/>
        <v>FWL</v>
      </c>
      <c r="W1724" s="110" t="s">
        <v>541</v>
      </c>
      <c r="X1724" s="110" t="s">
        <v>541</v>
      </c>
      <c r="Y1724" s="110" t="str">
        <f>IFERROR(VLOOKUP(F1724,'Freq-Chan'!C:E,3,FALSE),"na")</f>
        <v>na</v>
      </c>
      <c r="Z1724" s="110" t="s">
        <v>541</v>
      </c>
      <c r="AA1724" s="110" t="s">
        <v>541</v>
      </c>
      <c r="AB1724" s="110" t="s">
        <v>541</v>
      </c>
      <c r="AC1724" s="10" t="s">
        <v>541</v>
      </c>
      <c r="AD1724" s="10" t="s">
        <v>541</v>
      </c>
    </row>
    <row r="1725" spans="1:30" x14ac:dyDescent="0.2">
      <c r="A1725" s="110">
        <v>1724</v>
      </c>
      <c r="B1725" s="132">
        <v>41853</v>
      </c>
      <c r="C1725" s="117">
        <v>3</v>
      </c>
      <c r="D1725" s="103" t="s">
        <v>71</v>
      </c>
      <c r="E1725" s="103" t="s">
        <v>306</v>
      </c>
      <c r="H1725" s="103"/>
      <c r="I1725" s="103">
        <v>61</v>
      </c>
      <c r="K1725" s="103" t="s">
        <v>1032</v>
      </c>
      <c r="L1725" s="133"/>
      <c r="M1725" s="134">
        <v>1.5277777777777777E-2</v>
      </c>
      <c r="N1725" s="137" t="s">
        <v>3936</v>
      </c>
      <c r="O1725" s="133" t="s">
        <v>3932</v>
      </c>
      <c r="Q1725" s="100" t="s">
        <v>3922</v>
      </c>
      <c r="R1725" s="226" t="s">
        <v>3938</v>
      </c>
      <c r="S1725" s="491" t="str">
        <f t="shared" si="53"/>
        <v>x</v>
      </c>
      <c r="T1725" s="492" t="str">
        <f>IFERROR(VLOOKUP(F1725,'Freq-Chan'!C:D,2,FALSE),"x")</f>
        <v>x</v>
      </c>
      <c r="U1725" s="110" t="s">
        <v>541</v>
      </c>
      <c r="V1725" s="110" t="str">
        <f t="shared" si="54"/>
        <v>FWL</v>
      </c>
      <c r="W1725" s="110" t="s">
        <v>541</v>
      </c>
      <c r="X1725" s="110" t="s">
        <v>541</v>
      </c>
      <c r="Y1725" s="110" t="str">
        <f>IFERROR(VLOOKUP(F1725,'Freq-Chan'!C:E,3,FALSE),"na")</f>
        <v>na</v>
      </c>
      <c r="Z1725" s="110" t="s">
        <v>541</v>
      </c>
      <c r="AA1725" s="110" t="s">
        <v>541</v>
      </c>
      <c r="AB1725" s="110" t="s">
        <v>541</v>
      </c>
      <c r="AC1725" s="10" t="s">
        <v>541</v>
      </c>
      <c r="AD1725" s="10" t="s">
        <v>541</v>
      </c>
    </row>
    <row r="1726" spans="1:30" x14ac:dyDescent="0.2">
      <c r="A1726" s="110">
        <v>1725</v>
      </c>
      <c r="B1726" s="132">
        <v>41853</v>
      </c>
      <c r="C1726" s="117">
        <v>3</v>
      </c>
      <c r="D1726" s="103" t="s">
        <v>71</v>
      </c>
      <c r="E1726" s="103" t="s">
        <v>306</v>
      </c>
      <c r="H1726" s="103"/>
      <c r="I1726" s="103">
        <v>62</v>
      </c>
      <c r="K1726" s="103" t="s">
        <v>1032</v>
      </c>
      <c r="L1726" s="133"/>
      <c r="M1726" s="134">
        <v>2.0833333333333332E-2</v>
      </c>
      <c r="N1726" s="137" t="s">
        <v>3717</v>
      </c>
      <c r="O1726" s="133" t="s">
        <v>3932</v>
      </c>
      <c r="Q1726" s="100" t="s">
        <v>3922</v>
      </c>
      <c r="R1726" s="226" t="s">
        <v>3938</v>
      </c>
      <c r="S1726" s="491" t="str">
        <f t="shared" si="53"/>
        <v>x</v>
      </c>
      <c r="T1726" s="492" t="str">
        <f>IFERROR(VLOOKUP(F1726,'Freq-Chan'!C:D,2,FALSE),"x")</f>
        <v>x</v>
      </c>
      <c r="U1726" s="110" t="s">
        <v>541</v>
      </c>
      <c r="V1726" s="110" t="str">
        <f t="shared" si="54"/>
        <v>FWL</v>
      </c>
      <c r="W1726" s="110" t="s">
        <v>541</v>
      </c>
      <c r="X1726" s="110" t="s">
        <v>541</v>
      </c>
      <c r="Y1726" s="110" t="str">
        <f>IFERROR(VLOOKUP(F1726,'Freq-Chan'!C:E,3,FALSE),"na")</f>
        <v>na</v>
      </c>
      <c r="Z1726" s="110" t="s">
        <v>541</v>
      </c>
      <c r="AA1726" s="110" t="s">
        <v>541</v>
      </c>
      <c r="AB1726" s="110" t="s">
        <v>541</v>
      </c>
      <c r="AC1726" s="10" t="s">
        <v>541</v>
      </c>
      <c r="AD1726" s="10" t="s">
        <v>541</v>
      </c>
    </row>
    <row r="1727" spans="1:30" x14ac:dyDescent="0.2">
      <c r="A1727" s="110">
        <v>1726</v>
      </c>
      <c r="B1727" s="132">
        <v>41853</v>
      </c>
      <c r="C1727" s="117">
        <v>3</v>
      </c>
      <c r="D1727" s="103" t="s">
        <v>71</v>
      </c>
      <c r="E1727" s="103" t="s">
        <v>306</v>
      </c>
      <c r="H1727" s="103"/>
      <c r="I1727" s="103">
        <v>59</v>
      </c>
      <c r="K1727" s="103" t="s">
        <v>364</v>
      </c>
      <c r="L1727" s="133"/>
      <c r="M1727" s="134">
        <v>1.5277777777777777E-2</v>
      </c>
      <c r="N1727" s="137" t="s">
        <v>3281</v>
      </c>
      <c r="O1727" s="133" t="s">
        <v>2931</v>
      </c>
      <c r="Q1727" s="100" t="s">
        <v>3924</v>
      </c>
      <c r="R1727" s="226" t="s">
        <v>3938</v>
      </c>
      <c r="S1727" s="491" t="str">
        <f t="shared" si="53"/>
        <v>x</v>
      </c>
      <c r="T1727" s="492" t="str">
        <f>IFERROR(VLOOKUP(F1727,'Freq-Chan'!C:D,2,FALSE),"x")</f>
        <v>x</v>
      </c>
      <c r="U1727" s="110" t="s">
        <v>541</v>
      </c>
      <c r="V1727" s="110" t="str">
        <f t="shared" si="54"/>
        <v>FWL</v>
      </c>
      <c r="W1727" s="110" t="s">
        <v>541</v>
      </c>
      <c r="X1727" s="110" t="s">
        <v>541</v>
      </c>
      <c r="Y1727" s="110" t="str">
        <f>IFERROR(VLOOKUP(F1727,'Freq-Chan'!C:E,3,FALSE),"na")</f>
        <v>na</v>
      </c>
      <c r="Z1727" s="110" t="s">
        <v>541</v>
      </c>
      <c r="AA1727" s="110" t="s">
        <v>541</v>
      </c>
      <c r="AB1727" s="110" t="s">
        <v>541</v>
      </c>
      <c r="AC1727" s="10" t="s">
        <v>541</v>
      </c>
      <c r="AD1727" s="10" t="s">
        <v>541</v>
      </c>
    </row>
    <row r="1728" spans="1:30" x14ac:dyDescent="0.2">
      <c r="A1728" s="110">
        <v>1727</v>
      </c>
      <c r="B1728" s="132">
        <v>41853</v>
      </c>
      <c r="C1728" s="117">
        <v>3</v>
      </c>
      <c r="D1728" s="103" t="s">
        <v>71</v>
      </c>
      <c r="E1728" s="103" t="s">
        <v>306</v>
      </c>
      <c r="H1728" s="103"/>
      <c r="I1728" s="103">
        <v>59</v>
      </c>
      <c r="K1728" s="103" t="s">
        <v>364</v>
      </c>
      <c r="L1728" s="133"/>
      <c r="M1728" s="134">
        <v>1.6666666666666666E-2</v>
      </c>
      <c r="N1728" s="137" t="s">
        <v>3806</v>
      </c>
      <c r="O1728" s="133" t="s">
        <v>2931</v>
      </c>
      <c r="Q1728" s="100" t="s">
        <v>3924</v>
      </c>
      <c r="R1728" s="226" t="s">
        <v>3938</v>
      </c>
      <c r="S1728" s="491" t="str">
        <f t="shared" si="53"/>
        <v>x</v>
      </c>
      <c r="T1728" s="492" t="str">
        <f>IFERROR(VLOOKUP(F1728,'Freq-Chan'!C:D,2,FALSE),"x")</f>
        <v>x</v>
      </c>
      <c r="U1728" s="110" t="s">
        <v>541</v>
      </c>
      <c r="V1728" s="110" t="str">
        <f t="shared" si="54"/>
        <v>FWL</v>
      </c>
      <c r="W1728" s="110" t="s">
        <v>541</v>
      </c>
      <c r="X1728" s="110" t="s">
        <v>541</v>
      </c>
      <c r="Y1728" s="110" t="str">
        <f>IFERROR(VLOOKUP(F1728,'Freq-Chan'!C:E,3,FALSE),"na")</f>
        <v>na</v>
      </c>
      <c r="Z1728" s="110" t="s">
        <v>541</v>
      </c>
      <c r="AA1728" s="110" t="s">
        <v>541</v>
      </c>
      <c r="AB1728" s="110" t="s">
        <v>541</v>
      </c>
      <c r="AC1728" s="10" t="s">
        <v>541</v>
      </c>
      <c r="AD1728" s="10" t="s">
        <v>541</v>
      </c>
    </row>
    <row r="1729" spans="1:30" x14ac:dyDescent="0.2">
      <c r="A1729" s="110">
        <v>1728</v>
      </c>
      <c r="B1729" s="132">
        <v>41853</v>
      </c>
      <c r="C1729" s="117">
        <v>3</v>
      </c>
      <c r="D1729" s="103" t="s">
        <v>71</v>
      </c>
      <c r="E1729" s="103" t="s">
        <v>306</v>
      </c>
      <c r="H1729" s="103"/>
      <c r="I1729" s="103">
        <v>57</v>
      </c>
      <c r="K1729" s="103" t="s">
        <v>364</v>
      </c>
      <c r="L1729" s="133"/>
      <c r="M1729" s="134">
        <v>4.9305555555555554E-2</v>
      </c>
      <c r="N1729" s="137" t="s">
        <v>2017</v>
      </c>
      <c r="O1729" s="133" t="s">
        <v>2931</v>
      </c>
      <c r="Q1729" s="100" t="s">
        <v>3924</v>
      </c>
      <c r="R1729" s="226" t="s">
        <v>3938</v>
      </c>
      <c r="S1729" s="491" t="str">
        <f t="shared" si="53"/>
        <v>x</v>
      </c>
      <c r="T1729" s="492" t="str">
        <f>IFERROR(VLOOKUP(F1729,'Freq-Chan'!C:D,2,FALSE),"x")</f>
        <v>x</v>
      </c>
      <c r="U1729" s="110" t="s">
        <v>541</v>
      </c>
      <c r="V1729" s="110" t="str">
        <f t="shared" si="54"/>
        <v>FWL</v>
      </c>
      <c r="W1729" s="110" t="s">
        <v>541</v>
      </c>
      <c r="X1729" s="110" t="s">
        <v>541</v>
      </c>
      <c r="Y1729" s="110" t="str">
        <f>IFERROR(VLOOKUP(F1729,'Freq-Chan'!C:E,3,FALSE),"na")</f>
        <v>na</v>
      </c>
      <c r="Z1729" s="110" t="s">
        <v>541</v>
      </c>
      <c r="AA1729" s="110" t="s">
        <v>541</v>
      </c>
      <c r="AB1729" s="110" t="s">
        <v>541</v>
      </c>
      <c r="AC1729" s="10" t="s">
        <v>541</v>
      </c>
      <c r="AD1729" s="10" t="s">
        <v>541</v>
      </c>
    </row>
    <row r="1730" spans="1:30" x14ac:dyDescent="0.2">
      <c r="A1730" s="110">
        <v>1729</v>
      </c>
      <c r="B1730" s="132">
        <v>41853</v>
      </c>
      <c r="C1730" s="117">
        <v>3</v>
      </c>
      <c r="D1730" s="103" t="s">
        <v>70</v>
      </c>
      <c r="E1730" s="103" t="s">
        <v>306</v>
      </c>
      <c r="H1730" s="103"/>
      <c r="I1730" s="103">
        <v>47</v>
      </c>
      <c r="K1730" s="103" t="s">
        <v>364</v>
      </c>
      <c r="L1730" s="133"/>
      <c r="M1730" s="134">
        <v>2.7777777777777776E-2</v>
      </c>
      <c r="N1730" s="137" t="s">
        <v>2018</v>
      </c>
      <c r="O1730" s="133" t="s">
        <v>2931</v>
      </c>
      <c r="Q1730" s="100" t="s">
        <v>3924</v>
      </c>
      <c r="R1730" s="226" t="s">
        <v>3938</v>
      </c>
      <c r="S1730" s="491" t="str">
        <f t="shared" si="53"/>
        <v>x</v>
      </c>
      <c r="T1730" s="492" t="str">
        <f>IFERROR(VLOOKUP(F1730,'Freq-Chan'!C:D,2,FALSE),"x")</f>
        <v>x</v>
      </c>
      <c r="U1730" s="110" t="s">
        <v>541</v>
      </c>
      <c r="V1730" s="110" t="str">
        <f t="shared" si="54"/>
        <v>FWL</v>
      </c>
      <c r="W1730" s="110" t="s">
        <v>541</v>
      </c>
      <c r="X1730" s="110" t="s">
        <v>541</v>
      </c>
      <c r="Y1730" s="110" t="str">
        <f>IFERROR(VLOOKUP(F1730,'Freq-Chan'!C:E,3,FALSE),"na")</f>
        <v>na</v>
      </c>
      <c r="Z1730" s="110" t="s">
        <v>541</v>
      </c>
      <c r="AA1730" s="110" t="s">
        <v>541</v>
      </c>
      <c r="AB1730" s="110" t="s">
        <v>541</v>
      </c>
      <c r="AC1730" s="10" t="s">
        <v>541</v>
      </c>
      <c r="AD1730" s="10" t="s">
        <v>541</v>
      </c>
    </row>
    <row r="1731" spans="1:30" x14ac:dyDescent="0.2">
      <c r="A1731" s="110">
        <v>1730</v>
      </c>
      <c r="B1731" s="132">
        <v>41853</v>
      </c>
      <c r="C1731" s="117">
        <v>3</v>
      </c>
      <c r="D1731" s="103" t="s">
        <v>70</v>
      </c>
      <c r="E1731" s="103" t="s">
        <v>306</v>
      </c>
      <c r="F1731" s="103">
        <v>596</v>
      </c>
      <c r="G1731" s="103">
        <v>66</v>
      </c>
      <c r="H1731" s="103" t="s">
        <v>3041</v>
      </c>
      <c r="I1731" s="103">
        <v>46</v>
      </c>
      <c r="K1731" s="103" t="s">
        <v>365</v>
      </c>
      <c r="L1731" s="133"/>
      <c r="M1731" s="134">
        <v>5.6250000000000001E-2</v>
      </c>
      <c r="N1731" s="137" t="s">
        <v>764</v>
      </c>
      <c r="O1731" s="133" t="s">
        <v>2931</v>
      </c>
      <c r="Q1731" s="100" t="s">
        <v>3924</v>
      </c>
      <c r="R1731" s="226" t="s">
        <v>3938</v>
      </c>
      <c r="S1731" s="491" t="str">
        <f t="shared" ref="S1731:S1794" si="55">IF(IF(OR(L1731=0,N1731=0),"x",ROUND(N1731-L1731-(M1731*24)/(24*60),10))&lt;0,0,IF(OR(L1731=0,N1731=0),"x",ROUND(N1731-L1731-(M1731*24)/(24*60),10)))</f>
        <v>x</v>
      </c>
      <c r="T1731" s="492">
        <f>IFERROR(VLOOKUP(F1731,'Freq-Chan'!C:D,2,FALSE),"x")</f>
        <v>151.596</v>
      </c>
      <c r="U1731" s="110" t="s">
        <v>541</v>
      </c>
      <c r="V1731" s="110" t="str">
        <f t="shared" ref="V1731:V1794" si="56">IF(OR(C1731=1,C1731=2,C1731=3),"FWL","NRD")</f>
        <v>FWL</v>
      </c>
      <c r="W1731" s="110" t="s">
        <v>541</v>
      </c>
      <c r="X1731" s="110" t="s">
        <v>541</v>
      </c>
      <c r="Y1731" s="110" t="str">
        <f>IFERROR(VLOOKUP(F1731,'Freq-Chan'!C:E,3,FALSE),"na")</f>
        <v>F1835</v>
      </c>
      <c r="Z1731" s="110" t="s">
        <v>541</v>
      </c>
      <c r="AA1731" s="110" t="s">
        <v>541</v>
      </c>
      <c r="AB1731" s="110" t="s">
        <v>541</v>
      </c>
      <c r="AC1731" s="10" t="s">
        <v>541</v>
      </c>
      <c r="AD1731" s="10" t="s">
        <v>541</v>
      </c>
    </row>
    <row r="1732" spans="1:30" x14ac:dyDescent="0.2">
      <c r="A1732" s="110">
        <v>1731</v>
      </c>
      <c r="B1732" s="132">
        <v>41853</v>
      </c>
      <c r="C1732" s="117">
        <v>3</v>
      </c>
      <c r="D1732" s="103" t="s">
        <v>70</v>
      </c>
      <c r="E1732" s="103" t="s">
        <v>306</v>
      </c>
      <c r="H1732" s="103"/>
      <c r="I1732" s="103">
        <v>45</v>
      </c>
      <c r="K1732" s="103" t="s">
        <v>365</v>
      </c>
      <c r="L1732" s="133"/>
      <c r="M1732" s="134">
        <v>1.6666666666666666E-2</v>
      </c>
      <c r="N1732" s="137" t="s">
        <v>3903</v>
      </c>
      <c r="O1732" s="133" t="s">
        <v>2931</v>
      </c>
      <c r="Q1732" s="100" t="s">
        <v>3924</v>
      </c>
      <c r="R1732" s="226" t="s">
        <v>3938</v>
      </c>
      <c r="S1732" s="491" t="str">
        <f t="shared" si="55"/>
        <v>x</v>
      </c>
      <c r="T1732" s="492" t="str">
        <f>IFERROR(VLOOKUP(F1732,'Freq-Chan'!C:D,2,FALSE),"x")</f>
        <v>x</v>
      </c>
      <c r="U1732" s="110" t="s">
        <v>541</v>
      </c>
      <c r="V1732" s="110" t="str">
        <f t="shared" si="56"/>
        <v>FWL</v>
      </c>
      <c r="W1732" s="110" t="s">
        <v>541</v>
      </c>
      <c r="X1732" s="110" t="s">
        <v>541</v>
      </c>
      <c r="Y1732" s="110" t="str">
        <f>IFERROR(VLOOKUP(F1732,'Freq-Chan'!C:E,3,FALSE),"na")</f>
        <v>na</v>
      </c>
      <c r="Z1732" s="110" t="s">
        <v>541</v>
      </c>
      <c r="AA1732" s="110" t="s">
        <v>541</v>
      </c>
      <c r="AB1732" s="110" t="s">
        <v>541</v>
      </c>
      <c r="AC1732" s="10" t="s">
        <v>541</v>
      </c>
      <c r="AD1732" s="10" t="s">
        <v>541</v>
      </c>
    </row>
    <row r="1733" spans="1:30" x14ac:dyDescent="0.2">
      <c r="A1733" s="110">
        <v>1732</v>
      </c>
      <c r="B1733" s="132">
        <v>41853</v>
      </c>
      <c r="C1733" s="117">
        <v>3</v>
      </c>
      <c r="D1733" s="103" t="s">
        <v>70</v>
      </c>
      <c r="E1733" s="103" t="s">
        <v>306</v>
      </c>
      <c r="H1733" s="103"/>
      <c r="I1733" s="103">
        <v>49</v>
      </c>
      <c r="K1733" s="103" t="s">
        <v>364</v>
      </c>
      <c r="L1733" s="133"/>
      <c r="M1733" s="134">
        <v>2.0833333333333332E-2</v>
      </c>
      <c r="N1733" s="137" t="s">
        <v>2048</v>
      </c>
      <c r="O1733" s="133" t="s">
        <v>2931</v>
      </c>
      <c r="Q1733" s="100" t="s">
        <v>3924</v>
      </c>
      <c r="R1733" s="226" t="s">
        <v>3938</v>
      </c>
      <c r="S1733" s="491" t="str">
        <f t="shared" si="55"/>
        <v>x</v>
      </c>
      <c r="T1733" s="492" t="str">
        <f>IFERROR(VLOOKUP(F1733,'Freq-Chan'!C:D,2,FALSE),"x")</f>
        <v>x</v>
      </c>
      <c r="U1733" s="110" t="s">
        <v>541</v>
      </c>
      <c r="V1733" s="110" t="str">
        <f t="shared" si="56"/>
        <v>FWL</v>
      </c>
      <c r="W1733" s="110" t="s">
        <v>541</v>
      </c>
      <c r="X1733" s="110" t="s">
        <v>541</v>
      </c>
      <c r="Y1733" s="110" t="str">
        <f>IFERROR(VLOOKUP(F1733,'Freq-Chan'!C:E,3,FALSE),"na")</f>
        <v>na</v>
      </c>
      <c r="Z1733" s="110" t="s">
        <v>541</v>
      </c>
      <c r="AA1733" s="110" t="s">
        <v>541</v>
      </c>
      <c r="AB1733" s="110" t="s">
        <v>541</v>
      </c>
      <c r="AC1733" s="10" t="s">
        <v>541</v>
      </c>
      <c r="AD1733" s="10" t="s">
        <v>541</v>
      </c>
    </row>
    <row r="1734" spans="1:30" x14ac:dyDescent="0.2">
      <c r="A1734" s="110">
        <v>1733</v>
      </c>
      <c r="B1734" s="132">
        <v>41853</v>
      </c>
      <c r="C1734" s="117">
        <v>3</v>
      </c>
      <c r="D1734" s="103" t="s">
        <v>71</v>
      </c>
      <c r="E1734" s="103" t="s">
        <v>306</v>
      </c>
      <c r="F1734" s="103">
        <v>596</v>
      </c>
      <c r="G1734" s="103">
        <v>35</v>
      </c>
      <c r="H1734" s="103"/>
      <c r="I1734" s="103">
        <v>54</v>
      </c>
      <c r="K1734" s="103" t="s">
        <v>364</v>
      </c>
      <c r="L1734" s="133"/>
      <c r="M1734" s="134">
        <v>3.125E-2</v>
      </c>
      <c r="N1734" s="137" t="s">
        <v>3358</v>
      </c>
      <c r="O1734" s="133" t="s">
        <v>376</v>
      </c>
      <c r="P1734" s="100" t="s">
        <v>3993</v>
      </c>
      <c r="Q1734" s="100" t="s">
        <v>3924</v>
      </c>
      <c r="R1734" s="226" t="s">
        <v>3938</v>
      </c>
      <c r="S1734" s="491" t="str">
        <f t="shared" si="55"/>
        <v>x</v>
      </c>
      <c r="T1734" s="492">
        <f>IFERROR(VLOOKUP(F1734,'Freq-Chan'!C:D,2,FALSE),"x")</f>
        <v>151.596</v>
      </c>
      <c r="U1734" s="110" t="s">
        <v>541</v>
      </c>
      <c r="V1734" s="110" t="str">
        <f t="shared" si="56"/>
        <v>FWL</v>
      </c>
      <c r="W1734" s="110" t="s">
        <v>541</v>
      </c>
      <c r="X1734" s="110" t="s">
        <v>541</v>
      </c>
      <c r="Y1734" s="110" t="str">
        <f>IFERROR(VLOOKUP(F1734,'Freq-Chan'!C:E,3,FALSE),"na")</f>
        <v>F1835</v>
      </c>
      <c r="Z1734" s="110" t="s">
        <v>541</v>
      </c>
      <c r="AA1734" s="110" t="s">
        <v>541</v>
      </c>
      <c r="AB1734" s="110" t="s">
        <v>541</v>
      </c>
      <c r="AC1734" s="10" t="s">
        <v>541</v>
      </c>
      <c r="AD1734" s="10" t="s">
        <v>541</v>
      </c>
    </row>
    <row r="1735" spans="1:30" x14ac:dyDescent="0.2">
      <c r="A1735" s="110">
        <v>1734</v>
      </c>
      <c r="B1735" s="132">
        <v>41853</v>
      </c>
      <c r="C1735" s="117">
        <v>3</v>
      </c>
      <c r="D1735" s="103" t="s">
        <v>70</v>
      </c>
      <c r="E1735" s="103" t="s">
        <v>306</v>
      </c>
      <c r="F1735" s="103">
        <v>596</v>
      </c>
      <c r="G1735" s="103">
        <v>97</v>
      </c>
      <c r="H1735" s="103" t="s">
        <v>3049</v>
      </c>
      <c r="I1735" s="103">
        <v>47</v>
      </c>
      <c r="K1735" s="103" t="s">
        <v>364</v>
      </c>
      <c r="L1735" s="133"/>
      <c r="M1735" s="134">
        <v>5.2777777777777778E-2</v>
      </c>
      <c r="N1735" s="137" t="s">
        <v>2534</v>
      </c>
      <c r="O1735" s="133" t="s">
        <v>376</v>
      </c>
      <c r="Q1735" s="100" t="s">
        <v>3924</v>
      </c>
      <c r="R1735" s="226" t="s">
        <v>3938</v>
      </c>
      <c r="S1735" s="491" t="str">
        <f t="shared" si="55"/>
        <v>x</v>
      </c>
      <c r="T1735" s="492">
        <f>IFERROR(VLOOKUP(F1735,'Freq-Chan'!C:D,2,FALSE),"x")</f>
        <v>151.596</v>
      </c>
      <c r="U1735" s="110" t="s">
        <v>541</v>
      </c>
      <c r="V1735" s="110" t="str">
        <f t="shared" si="56"/>
        <v>FWL</v>
      </c>
      <c r="W1735" s="110" t="s">
        <v>541</v>
      </c>
      <c r="X1735" s="110" t="s">
        <v>541</v>
      </c>
      <c r="Y1735" s="110" t="str">
        <f>IFERROR(VLOOKUP(F1735,'Freq-Chan'!C:E,3,FALSE),"na")</f>
        <v>F1835</v>
      </c>
      <c r="Z1735" s="110" t="s">
        <v>541</v>
      </c>
      <c r="AA1735" s="110" t="s">
        <v>541</v>
      </c>
      <c r="AB1735" s="110" t="s">
        <v>541</v>
      </c>
      <c r="AC1735" s="10" t="s">
        <v>541</v>
      </c>
      <c r="AD1735" s="10" t="s">
        <v>541</v>
      </c>
    </row>
    <row r="1736" spans="1:30" x14ac:dyDescent="0.2">
      <c r="A1736" s="110">
        <v>1735</v>
      </c>
      <c r="B1736" s="132">
        <v>41853</v>
      </c>
      <c r="C1736" s="117">
        <v>3</v>
      </c>
      <c r="D1736" s="103" t="s">
        <v>71</v>
      </c>
      <c r="E1736" s="103" t="s">
        <v>306</v>
      </c>
      <c r="H1736" s="103"/>
      <c r="I1736" s="103">
        <v>65</v>
      </c>
      <c r="K1736" s="103" t="s">
        <v>364</v>
      </c>
      <c r="L1736" s="133"/>
      <c r="M1736" s="134">
        <v>2.361111111111111E-2</v>
      </c>
      <c r="N1736" s="137" t="s">
        <v>1964</v>
      </c>
      <c r="O1736" s="133" t="s">
        <v>376</v>
      </c>
      <c r="Q1736" s="100" t="s">
        <v>3924</v>
      </c>
      <c r="R1736" s="226" t="s">
        <v>3938</v>
      </c>
      <c r="S1736" s="491" t="str">
        <f t="shared" si="55"/>
        <v>x</v>
      </c>
      <c r="T1736" s="492" t="str">
        <f>IFERROR(VLOOKUP(F1736,'Freq-Chan'!C:D,2,FALSE),"x")</f>
        <v>x</v>
      </c>
      <c r="U1736" s="110" t="s">
        <v>541</v>
      </c>
      <c r="V1736" s="110" t="str">
        <f t="shared" si="56"/>
        <v>FWL</v>
      </c>
      <c r="W1736" s="110" t="s">
        <v>541</v>
      </c>
      <c r="X1736" s="110" t="s">
        <v>541</v>
      </c>
      <c r="Y1736" s="110" t="str">
        <f>IFERROR(VLOOKUP(F1736,'Freq-Chan'!C:E,3,FALSE),"na")</f>
        <v>na</v>
      </c>
      <c r="Z1736" s="110" t="s">
        <v>541</v>
      </c>
      <c r="AA1736" s="110" t="s">
        <v>541</v>
      </c>
      <c r="AB1736" s="110" t="s">
        <v>541</v>
      </c>
      <c r="AC1736" s="10" t="s">
        <v>541</v>
      </c>
      <c r="AD1736" s="10" t="s">
        <v>541</v>
      </c>
    </row>
    <row r="1737" spans="1:30" x14ac:dyDescent="0.2">
      <c r="A1737" s="110">
        <v>1736</v>
      </c>
      <c r="B1737" s="132">
        <v>41853</v>
      </c>
      <c r="C1737" s="117">
        <v>3</v>
      </c>
      <c r="D1737" s="103" t="s">
        <v>71</v>
      </c>
      <c r="E1737" s="103" t="s">
        <v>306</v>
      </c>
      <c r="H1737" s="103"/>
      <c r="I1737" s="103">
        <v>55</v>
      </c>
      <c r="K1737" s="103" t="s">
        <v>364</v>
      </c>
      <c r="L1737" s="133"/>
      <c r="M1737" s="134">
        <v>1.6666666666666666E-2</v>
      </c>
      <c r="N1737" s="137" t="s">
        <v>3176</v>
      </c>
      <c r="O1737" s="133" t="s">
        <v>376</v>
      </c>
      <c r="Q1737" s="100" t="s">
        <v>3924</v>
      </c>
      <c r="R1737" s="226" t="s">
        <v>3938</v>
      </c>
      <c r="S1737" s="491" t="str">
        <f t="shared" si="55"/>
        <v>x</v>
      </c>
      <c r="T1737" s="492" t="str">
        <f>IFERROR(VLOOKUP(F1737,'Freq-Chan'!C:D,2,FALSE),"x")</f>
        <v>x</v>
      </c>
      <c r="U1737" s="110" t="s">
        <v>541</v>
      </c>
      <c r="V1737" s="110" t="str">
        <f t="shared" si="56"/>
        <v>FWL</v>
      </c>
      <c r="W1737" s="110" t="s">
        <v>541</v>
      </c>
      <c r="X1737" s="110" t="s">
        <v>541</v>
      </c>
      <c r="Y1737" s="110" t="str">
        <f>IFERROR(VLOOKUP(F1737,'Freq-Chan'!C:E,3,FALSE),"na")</f>
        <v>na</v>
      </c>
      <c r="Z1737" s="110" t="s">
        <v>541</v>
      </c>
      <c r="AA1737" s="110" t="s">
        <v>541</v>
      </c>
      <c r="AB1737" s="110" t="s">
        <v>541</v>
      </c>
      <c r="AC1737" s="10" t="s">
        <v>541</v>
      </c>
      <c r="AD1737" s="10" t="s">
        <v>541</v>
      </c>
    </row>
    <row r="1738" spans="1:30" x14ac:dyDescent="0.2">
      <c r="A1738" s="110">
        <v>1737</v>
      </c>
      <c r="B1738" s="132">
        <v>41853</v>
      </c>
      <c r="C1738" s="117">
        <v>3</v>
      </c>
      <c r="D1738" s="103" t="s">
        <v>71</v>
      </c>
      <c r="E1738" s="103" t="s">
        <v>306</v>
      </c>
      <c r="H1738" s="103"/>
      <c r="I1738" s="103">
        <v>59</v>
      </c>
      <c r="K1738" s="103" t="s">
        <v>364</v>
      </c>
      <c r="L1738" s="133"/>
      <c r="M1738" s="134">
        <v>2.0833333333333332E-2</v>
      </c>
      <c r="N1738" s="137" t="s">
        <v>3718</v>
      </c>
      <c r="O1738" s="133" t="s">
        <v>376</v>
      </c>
      <c r="Q1738" s="100" t="s">
        <v>3924</v>
      </c>
      <c r="R1738" s="226" t="s">
        <v>3938</v>
      </c>
      <c r="S1738" s="491" t="str">
        <f t="shared" si="55"/>
        <v>x</v>
      </c>
      <c r="T1738" s="492" t="str">
        <f>IFERROR(VLOOKUP(F1738,'Freq-Chan'!C:D,2,FALSE),"x")</f>
        <v>x</v>
      </c>
      <c r="U1738" s="110" t="s">
        <v>541</v>
      </c>
      <c r="V1738" s="110" t="str">
        <f t="shared" si="56"/>
        <v>FWL</v>
      </c>
      <c r="W1738" s="110" t="s">
        <v>541</v>
      </c>
      <c r="X1738" s="110" t="s">
        <v>541</v>
      </c>
      <c r="Y1738" s="110" t="str">
        <f>IFERROR(VLOOKUP(F1738,'Freq-Chan'!C:E,3,FALSE),"na")</f>
        <v>na</v>
      </c>
      <c r="Z1738" s="110" t="s">
        <v>541</v>
      </c>
      <c r="AA1738" s="110" t="s">
        <v>541</v>
      </c>
      <c r="AB1738" s="110" t="s">
        <v>541</v>
      </c>
      <c r="AC1738" s="10" t="s">
        <v>541</v>
      </c>
      <c r="AD1738" s="10" t="s">
        <v>541</v>
      </c>
    </row>
    <row r="1739" spans="1:30" x14ac:dyDescent="0.2">
      <c r="A1739" s="110">
        <v>1738</v>
      </c>
      <c r="B1739" s="132">
        <v>41853</v>
      </c>
      <c r="C1739" s="117">
        <v>3</v>
      </c>
      <c r="D1739" s="103" t="s">
        <v>71</v>
      </c>
      <c r="E1739" s="103" t="s">
        <v>306</v>
      </c>
      <c r="H1739" s="103"/>
      <c r="I1739" s="103">
        <v>67</v>
      </c>
      <c r="K1739" s="103" t="s">
        <v>364</v>
      </c>
      <c r="L1739" s="133"/>
      <c r="M1739" s="134">
        <v>2.2222222222222223E-2</v>
      </c>
      <c r="N1739" s="137" t="s">
        <v>3930</v>
      </c>
      <c r="O1739" s="133" t="s">
        <v>376</v>
      </c>
      <c r="Q1739" s="100" t="s">
        <v>3924</v>
      </c>
      <c r="R1739" s="226" t="s">
        <v>3938</v>
      </c>
      <c r="S1739" s="491" t="str">
        <f t="shared" si="55"/>
        <v>x</v>
      </c>
      <c r="T1739" s="492" t="str">
        <f>IFERROR(VLOOKUP(F1739,'Freq-Chan'!C:D,2,FALSE),"x")</f>
        <v>x</v>
      </c>
      <c r="U1739" s="110" t="s">
        <v>541</v>
      </c>
      <c r="V1739" s="110" t="str">
        <f t="shared" si="56"/>
        <v>FWL</v>
      </c>
      <c r="W1739" s="110" t="s">
        <v>541</v>
      </c>
      <c r="X1739" s="110" t="s">
        <v>541</v>
      </c>
      <c r="Y1739" s="110" t="str">
        <f>IFERROR(VLOOKUP(F1739,'Freq-Chan'!C:E,3,FALSE),"na")</f>
        <v>na</v>
      </c>
      <c r="Z1739" s="110" t="s">
        <v>541</v>
      </c>
      <c r="AA1739" s="110" t="s">
        <v>541</v>
      </c>
      <c r="AB1739" s="110" t="s">
        <v>541</v>
      </c>
      <c r="AC1739" s="10" t="s">
        <v>541</v>
      </c>
      <c r="AD1739" s="10" t="s">
        <v>541</v>
      </c>
    </row>
    <row r="1740" spans="1:30" x14ac:dyDescent="0.2">
      <c r="A1740" s="110">
        <v>1739</v>
      </c>
      <c r="B1740" s="132">
        <v>41853</v>
      </c>
      <c r="C1740" s="117">
        <v>3</v>
      </c>
      <c r="D1740" s="103" t="s">
        <v>71</v>
      </c>
      <c r="E1740" s="103" t="s">
        <v>306</v>
      </c>
      <c r="H1740" s="103"/>
      <c r="I1740" s="103">
        <v>64</v>
      </c>
      <c r="K1740" s="103" t="s">
        <v>364</v>
      </c>
      <c r="L1740" s="133"/>
      <c r="M1740" s="134">
        <v>1.5972222222222224E-2</v>
      </c>
      <c r="N1740" s="137" t="s">
        <v>1983</v>
      </c>
      <c r="O1740" s="133" t="s">
        <v>376</v>
      </c>
      <c r="Q1740" s="100" t="s">
        <v>3924</v>
      </c>
      <c r="R1740" s="226" t="s">
        <v>3938</v>
      </c>
      <c r="S1740" s="491" t="str">
        <f t="shared" si="55"/>
        <v>x</v>
      </c>
      <c r="T1740" s="492" t="str">
        <f>IFERROR(VLOOKUP(F1740,'Freq-Chan'!C:D,2,FALSE),"x")</f>
        <v>x</v>
      </c>
      <c r="U1740" s="110" t="s">
        <v>541</v>
      </c>
      <c r="V1740" s="110" t="str">
        <f t="shared" si="56"/>
        <v>FWL</v>
      </c>
      <c r="W1740" s="110" t="s">
        <v>541</v>
      </c>
      <c r="X1740" s="110" t="s">
        <v>541</v>
      </c>
      <c r="Y1740" s="110" t="str">
        <f>IFERROR(VLOOKUP(F1740,'Freq-Chan'!C:E,3,FALSE),"na")</f>
        <v>na</v>
      </c>
      <c r="Z1740" s="110" t="s">
        <v>541</v>
      </c>
      <c r="AA1740" s="110" t="s">
        <v>541</v>
      </c>
      <c r="AB1740" s="110" t="s">
        <v>541</v>
      </c>
      <c r="AC1740" s="10" t="s">
        <v>541</v>
      </c>
      <c r="AD1740" s="10" t="s">
        <v>541</v>
      </c>
    </row>
    <row r="1741" spans="1:30" x14ac:dyDescent="0.2">
      <c r="A1741" s="110">
        <v>1740</v>
      </c>
      <c r="B1741" s="132">
        <v>41853</v>
      </c>
      <c r="C1741" s="117">
        <v>3</v>
      </c>
      <c r="D1741" s="103" t="s">
        <v>75</v>
      </c>
      <c r="E1741" s="103" t="s">
        <v>798</v>
      </c>
      <c r="H1741" s="103"/>
      <c r="J1741" s="103">
        <v>23</v>
      </c>
      <c r="K1741" s="103" t="s">
        <v>364</v>
      </c>
      <c r="L1741" s="133"/>
      <c r="M1741" s="134">
        <v>2.013888888888889E-2</v>
      </c>
      <c r="N1741" s="137" t="s">
        <v>3937</v>
      </c>
      <c r="O1741" s="133" t="s">
        <v>376</v>
      </c>
      <c r="Q1741" s="100" t="s">
        <v>3924</v>
      </c>
      <c r="R1741" s="226" t="s">
        <v>3938</v>
      </c>
      <c r="S1741" s="491" t="str">
        <f t="shared" si="55"/>
        <v>x</v>
      </c>
      <c r="T1741" s="492" t="str">
        <f>IFERROR(VLOOKUP(F1741,'Freq-Chan'!C:D,2,FALSE),"x")</f>
        <v>x</v>
      </c>
      <c r="U1741" s="110" t="s">
        <v>541</v>
      </c>
      <c r="V1741" s="110" t="str">
        <f t="shared" si="56"/>
        <v>FWL</v>
      </c>
      <c r="W1741" s="110" t="s">
        <v>541</v>
      </c>
      <c r="X1741" s="110" t="s">
        <v>541</v>
      </c>
      <c r="Y1741" s="110" t="str">
        <f>IFERROR(VLOOKUP(F1741,'Freq-Chan'!C:E,3,FALSE),"na")</f>
        <v>na</v>
      </c>
      <c r="Z1741" s="110" t="s">
        <v>541</v>
      </c>
      <c r="AA1741" s="110" t="s">
        <v>541</v>
      </c>
      <c r="AB1741" s="110" t="s">
        <v>541</v>
      </c>
      <c r="AC1741" s="10" t="s">
        <v>541</v>
      </c>
      <c r="AD1741" s="10" t="s">
        <v>541</v>
      </c>
    </row>
    <row r="1742" spans="1:30" x14ac:dyDescent="0.2">
      <c r="A1742" s="110">
        <v>1741</v>
      </c>
      <c r="B1742" s="132">
        <v>41853</v>
      </c>
      <c r="C1742" s="117">
        <v>3</v>
      </c>
      <c r="D1742" s="103" t="s">
        <v>70</v>
      </c>
      <c r="E1742" s="103" t="s">
        <v>306</v>
      </c>
      <c r="F1742" s="103">
        <v>515</v>
      </c>
      <c r="G1742" s="103">
        <v>52</v>
      </c>
      <c r="H1742" s="103" t="s">
        <v>3050</v>
      </c>
      <c r="I1742" s="103">
        <v>50</v>
      </c>
      <c r="K1742" s="103" t="s">
        <v>1032</v>
      </c>
      <c r="L1742" s="133"/>
      <c r="M1742" s="134">
        <v>4.4444444444444446E-2</v>
      </c>
      <c r="N1742" s="137" t="s">
        <v>1803</v>
      </c>
      <c r="O1742" s="133" t="s">
        <v>1585</v>
      </c>
      <c r="Q1742" s="100" t="s">
        <v>3925</v>
      </c>
      <c r="R1742" s="226" t="s">
        <v>3938</v>
      </c>
      <c r="S1742" s="491" t="str">
        <f t="shared" si="55"/>
        <v>x</v>
      </c>
      <c r="T1742" s="492">
        <f>IFERROR(VLOOKUP(F1742,'Freq-Chan'!C:D,2,FALSE),"x")</f>
        <v>151.51499999999999</v>
      </c>
      <c r="U1742" s="110" t="s">
        <v>541</v>
      </c>
      <c r="V1742" s="110" t="str">
        <f t="shared" si="56"/>
        <v>FWL</v>
      </c>
      <c r="W1742" s="110" t="s">
        <v>541</v>
      </c>
      <c r="X1742" s="110" t="s">
        <v>541</v>
      </c>
      <c r="Y1742" s="110" t="str">
        <f>IFERROR(VLOOKUP(F1742,'Freq-Chan'!C:E,3,FALSE),"na")</f>
        <v>F1835</v>
      </c>
      <c r="Z1742" s="110" t="s">
        <v>541</v>
      </c>
      <c r="AA1742" s="110" t="s">
        <v>541</v>
      </c>
      <c r="AB1742" s="110" t="s">
        <v>541</v>
      </c>
      <c r="AC1742" s="10" t="s">
        <v>541</v>
      </c>
      <c r="AD1742" s="10" t="s">
        <v>541</v>
      </c>
    </row>
    <row r="1743" spans="1:30" x14ac:dyDescent="0.2">
      <c r="A1743" s="110">
        <v>1742</v>
      </c>
      <c r="B1743" s="132">
        <v>41853</v>
      </c>
      <c r="C1743" s="117">
        <v>3</v>
      </c>
      <c r="D1743" s="103" t="s">
        <v>72</v>
      </c>
      <c r="E1743" s="103" t="s">
        <v>306</v>
      </c>
      <c r="F1743" s="103">
        <v>266</v>
      </c>
      <c r="G1743" s="103">
        <v>35</v>
      </c>
      <c r="H1743" s="103" t="s">
        <v>3518</v>
      </c>
      <c r="I1743" s="103">
        <v>57</v>
      </c>
      <c r="K1743" s="103" t="s">
        <v>364</v>
      </c>
      <c r="L1743" s="133">
        <v>0.78819444444444453</v>
      </c>
      <c r="M1743" s="134">
        <v>4.9999999999999996E-2</v>
      </c>
      <c r="N1743" s="137" t="s">
        <v>3315</v>
      </c>
      <c r="O1743" s="133" t="s">
        <v>950</v>
      </c>
      <c r="P1743" s="100" t="s">
        <v>4466</v>
      </c>
      <c r="Q1743" s="100" t="s">
        <v>3925</v>
      </c>
      <c r="R1743" s="226" t="s">
        <v>3938</v>
      </c>
      <c r="S1743" s="491">
        <f t="shared" si="55"/>
        <v>1.0972222199999999E-2</v>
      </c>
      <c r="T1743" s="492">
        <f>IFERROR(VLOOKUP(F1743,'Freq-Chan'!C:D,2,FALSE),"x")</f>
        <v>151.26599999999999</v>
      </c>
      <c r="U1743" s="110" t="s">
        <v>541</v>
      </c>
      <c r="V1743" s="110" t="str">
        <f t="shared" si="56"/>
        <v>FWL</v>
      </c>
      <c r="W1743" s="110" t="s">
        <v>541</v>
      </c>
      <c r="X1743" s="110" t="s">
        <v>541</v>
      </c>
      <c r="Y1743" s="110" t="str">
        <f>IFERROR(VLOOKUP(F1743,'Freq-Chan'!C:E,3,FALSE),"na")</f>
        <v>F1840</v>
      </c>
      <c r="Z1743" s="110" t="s">
        <v>541</v>
      </c>
      <c r="AA1743" s="110" t="s">
        <v>541</v>
      </c>
      <c r="AB1743" s="110" t="s">
        <v>541</v>
      </c>
      <c r="AC1743" s="10" t="s">
        <v>541</v>
      </c>
      <c r="AD1743" s="10" t="s">
        <v>541</v>
      </c>
    </row>
    <row r="1744" spans="1:30" s="291" customFormat="1" x14ac:dyDescent="0.2">
      <c r="A1744" s="493">
        <v>1743</v>
      </c>
      <c r="B1744" s="283">
        <v>41853</v>
      </c>
      <c r="C1744" s="284">
        <v>3</v>
      </c>
      <c r="D1744" s="285" t="s">
        <v>72</v>
      </c>
      <c r="E1744" s="285" t="s">
        <v>306</v>
      </c>
      <c r="F1744" s="285">
        <v>325</v>
      </c>
      <c r="G1744" s="285">
        <v>4</v>
      </c>
      <c r="H1744" s="285" t="s">
        <v>3519</v>
      </c>
      <c r="I1744" s="285">
        <v>54</v>
      </c>
      <c r="J1744" s="285"/>
      <c r="K1744" s="285" t="s">
        <v>364</v>
      </c>
      <c r="L1744" s="286">
        <v>0.80486111111111114</v>
      </c>
      <c r="M1744" s="287">
        <v>4.8611111111111112E-2</v>
      </c>
      <c r="N1744" s="339" t="s">
        <v>1852</v>
      </c>
      <c r="O1744" s="286" t="s">
        <v>1585</v>
      </c>
      <c r="P1744" s="289"/>
      <c r="Q1744" s="289" t="s">
        <v>3925</v>
      </c>
      <c r="R1744" s="290" t="s">
        <v>3938</v>
      </c>
      <c r="S1744" s="494">
        <f t="shared" si="55"/>
        <v>2.6620369999999999E-3</v>
      </c>
      <c r="T1744" s="495">
        <f>IFERROR(VLOOKUP(F1744,'Freq-Chan'!C:D,2,FALSE),"x")</f>
        <v>151.32499999999999</v>
      </c>
      <c r="U1744" s="493" t="s">
        <v>541</v>
      </c>
      <c r="V1744" s="493" t="str">
        <f t="shared" si="56"/>
        <v>FWL</v>
      </c>
      <c r="W1744" s="493" t="s">
        <v>541</v>
      </c>
      <c r="X1744" s="493" t="s">
        <v>541</v>
      </c>
      <c r="Y1744" s="493" t="str">
        <f>IFERROR(VLOOKUP(F1744,'Freq-Chan'!C:E,3,FALSE),"na")</f>
        <v>F1840</v>
      </c>
      <c r="Z1744" s="493" t="s">
        <v>541</v>
      </c>
      <c r="AA1744" s="493" t="s">
        <v>541</v>
      </c>
      <c r="AB1744" s="493" t="s">
        <v>541</v>
      </c>
      <c r="AC1744" s="291" t="s">
        <v>541</v>
      </c>
      <c r="AD1744" s="291" t="s">
        <v>541</v>
      </c>
    </row>
    <row r="1745" spans="1:30" x14ac:dyDescent="0.2">
      <c r="A1745" s="110">
        <v>1744</v>
      </c>
      <c r="B1745" s="132">
        <v>41854</v>
      </c>
      <c r="C1745" s="117">
        <v>1</v>
      </c>
      <c r="D1745" s="103" t="s">
        <v>71</v>
      </c>
      <c r="E1745" s="103" t="s">
        <v>306</v>
      </c>
      <c r="F1745" s="103">
        <v>534</v>
      </c>
      <c r="G1745" s="103">
        <v>11</v>
      </c>
      <c r="H1745" s="103" t="s">
        <v>2356</v>
      </c>
      <c r="I1745" s="103">
        <v>60</v>
      </c>
      <c r="K1745" s="103" t="s">
        <v>365</v>
      </c>
      <c r="L1745" s="133"/>
      <c r="M1745" s="134">
        <v>4.7222222222222221E-2</v>
      </c>
      <c r="N1745" s="137" t="s">
        <v>2892</v>
      </c>
      <c r="O1745" s="133" t="s">
        <v>950</v>
      </c>
      <c r="Q1745" s="100" t="s">
        <v>3954</v>
      </c>
      <c r="R1745" s="226" t="s">
        <v>3958</v>
      </c>
      <c r="S1745" s="491" t="str">
        <f t="shared" si="55"/>
        <v>x</v>
      </c>
      <c r="T1745" s="492">
        <f>IFERROR(VLOOKUP(F1745,'Freq-Chan'!C:D,2,FALSE),"x")</f>
        <v>151.53399999999999</v>
      </c>
      <c r="U1745" s="110" t="s">
        <v>541</v>
      </c>
      <c r="V1745" s="110" t="str">
        <f t="shared" si="56"/>
        <v>FWL</v>
      </c>
      <c r="W1745" s="110" t="s">
        <v>541</v>
      </c>
      <c r="X1745" s="110" t="s">
        <v>541</v>
      </c>
      <c r="Y1745" s="110" t="str">
        <f>IFERROR(VLOOKUP(F1745,'Freq-Chan'!C:E,3,FALSE),"na")</f>
        <v>F1840</v>
      </c>
      <c r="Z1745" s="110" t="s">
        <v>541</v>
      </c>
      <c r="AA1745" s="110" t="s">
        <v>541</v>
      </c>
      <c r="AB1745" s="110" t="s">
        <v>541</v>
      </c>
      <c r="AC1745" s="10" t="s">
        <v>541</v>
      </c>
      <c r="AD1745" s="10" t="s">
        <v>541</v>
      </c>
    </row>
    <row r="1746" spans="1:30" x14ac:dyDescent="0.2">
      <c r="A1746" s="110">
        <v>1745</v>
      </c>
      <c r="B1746" s="132">
        <v>41854</v>
      </c>
      <c r="C1746" s="117">
        <v>1</v>
      </c>
      <c r="D1746" s="103" t="s">
        <v>70</v>
      </c>
      <c r="E1746" s="103" t="s">
        <v>306</v>
      </c>
      <c r="F1746" s="103">
        <v>596</v>
      </c>
      <c r="G1746" s="103">
        <v>42</v>
      </c>
      <c r="H1746" s="103" t="s">
        <v>3056</v>
      </c>
      <c r="I1746" s="103">
        <v>46</v>
      </c>
      <c r="K1746" s="103" t="s">
        <v>365</v>
      </c>
      <c r="L1746" s="133"/>
      <c r="M1746" s="134">
        <v>4.4444444444444446E-2</v>
      </c>
      <c r="N1746" s="135" t="s">
        <v>2754</v>
      </c>
      <c r="O1746" s="133" t="s">
        <v>950</v>
      </c>
      <c r="Q1746" s="100" t="s">
        <v>3954</v>
      </c>
      <c r="R1746" s="226" t="s">
        <v>3958</v>
      </c>
      <c r="S1746" s="491" t="str">
        <f t="shared" si="55"/>
        <v>x</v>
      </c>
      <c r="T1746" s="492">
        <f>IFERROR(VLOOKUP(F1746,'Freq-Chan'!C:D,2,FALSE),"x")</f>
        <v>151.596</v>
      </c>
      <c r="U1746" s="110" t="s">
        <v>541</v>
      </c>
      <c r="V1746" s="110" t="str">
        <f t="shared" si="56"/>
        <v>FWL</v>
      </c>
      <c r="W1746" s="110" t="s">
        <v>541</v>
      </c>
      <c r="X1746" s="110" t="s">
        <v>541</v>
      </c>
      <c r="Y1746" s="110" t="str">
        <f>IFERROR(VLOOKUP(F1746,'Freq-Chan'!C:E,3,FALSE),"na")</f>
        <v>F1835</v>
      </c>
      <c r="Z1746" s="110" t="s">
        <v>541</v>
      </c>
      <c r="AA1746" s="110" t="s">
        <v>541</v>
      </c>
      <c r="AB1746" s="110" t="s">
        <v>541</v>
      </c>
      <c r="AC1746" s="10" t="s">
        <v>541</v>
      </c>
      <c r="AD1746" s="10" t="s">
        <v>541</v>
      </c>
    </row>
    <row r="1747" spans="1:30" x14ac:dyDescent="0.2">
      <c r="A1747" s="110">
        <v>1746</v>
      </c>
      <c r="B1747" s="132">
        <v>41854</v>
      </c>
      <c r="C1747" s="117">
        <v>1</v>
      </c>
      <c r="D1747" s="103" t="s">
        <v>71</v>
      </c>
      <c r="E1747" s="103" t="s">
        <v>306</v>
      </c>
      <c r="H1747" s="103"/>
      <c r="I1747" s="103">
        <v>57</v>
      </c>
      <c r="K1747" s="103" t="s">
        <v>365</v>
      </c>
      <c r="L1747" s="133"/>
      <c r="M1747" s="134">
        <v>1.5277777777777777E-2</v>
      </c>
      <c r="N1747" s="137" t="s">
        <v>2718</v>
      </c>
      <c r="O1747" s="133" t="s">
        <v>3932</v>
      </c>
      <c r="Q1747" s="100" t="s">
        <v>3954</v>
      </c>
      <c r="R1747" s="226" t="s">
        <v>3958</v>
      </c>
      <c r="S1747" s="491" t="str">
        <f t="shared" si="55"/>
        <v>x</v>
      </c>
      <c r="T1747" s="492" t="str">
        <f>IFERROR(VLOOKUP(F1747,'Freq-Chan'!C:D,2,FALSE),"x")</f>
        <v>x</v>
      </c>
      <c r="U1747" s="110" t="s">
        <v>541</v>
      </c>
      <c r="V1747" s="110" t="str">
        <f t="shared" si="56"/>
        <v>FWL</v>
      </c>
      <c r="W1747" s="110" t="s">
        <v>541</v>
      </c>
      <c r="X1747" s="110" t="s">
        <v>541</v>
      </c>
      <c r="Y1747" s="110" t="str">
        <f>IFERROR(VLOOKUP(F1747,'Freq-Chan'!C:E,3,FALSE),"na")</f>
        <v>na</v>
      </c>
      <c r="Z1747" s="110" t="s">
        <v>541</v>
      </c>
      <c r="AA1747" s="110" t="s">
        <v>541</v>
      </c>
      <c r="AB1747" s="110" t="s">
        <v>541</v>
      </c>
      <c r="AC1747" s="10" t="s">
        <v>541</v>
      </c>
      <c r="AD1747" s="10" t="s">
        <v>541</v>
      </c>
    </row>
    <row r="1748" spans="1:30" x14ac:dyDescent="0.2">
      <c r="A1748" s="110">
        <v>1747</v>
      </c>
      <c r="B1748" s="132">
        <v>41854</v>
      </c>
      <c r="C1748" s="117">
        <v>1</v>
      </c>
      <c r="D1748" s="103" t="s">
        <v>70</v>
      </c>
      <c r="E1748" s="103" t="s">
        <v>306</v>
      </c>
      <c r="H1748" s="103"/>
      <c r="I1748" s="103">
        <v>45</v>
      </c>
      <c r="K1748" s="103" t="s">
        <v>365</v>
      </c>
      <c r="L1748" s="133"/>
      <c r="M1748" s="134">
        <v>1.5277777777777777E-2</v>
      </c>
      <c r="N1748" s="135" t="s">
        <v>3322</v>
      </c>
      <c r="O1748" s="133" t="s">
        <v>3932</v>
      </c>
      <c r="Q1748" s="100" t="s">
        <v>3954</v>
      </c>
      <c r="R1748" s="226" t="s">
        <v>3958</v>
      </c>
      <c r="S1748" s="491" t="str">
        <f t="shared" si="55"/>
        <v>x</v>
      </c>
      <c r="T1748" s="492" t="str">
        <f>IFERROR(VLOOKUP(F1748,'Freq-Chan'!C:D,2,FALSE),"x")</f>
        <v>x</v>
      </c>
      <c r="U1748" s="110" t="s">
        <v>541</v>
      </c>
      <c r="V1748" s="110" t="str">
        <f t="shared" si="56"/>
        <v>FWL</v>
      </c>
      <c r="W1748" s="110" t="s">
        <v>541</v>
      </c>
      <c r="X1748" s="110" t="s">
        <v>541</v>
      </c>
      <c r="Y1748" s="110" t="str">
        <f>IFERROR(VLOOKUP(F1748,'Freq-Chan'!C:E,3,FALSE),"na")</f>
        <v>na</v>
      </c>
      <c r="Z1748" s="110" t="s">
        <v>541</v>
      </c>
      <c r="AA1748" s="110" t="s">
        <v>541</v>
      </c>
      <c r="AB1748" s="110" t="s">
        <v>541</v>
      </c>
      <c r="AC1748" s="10" t="s">
        <v>541</v>
      </c>
      <c r="AD1748" s="10" t="s">
        <v>541</v>
      </c>
    </row>
    <row r="1749" spans="1:30" x14ac:dyDescent="0.2">
      <c r="A1749" s="110">
        <v>1748</v>
      </c>
      <c r="B1749" s="132">
        <v>41854</v>
      </c>
      <c r="C1749" s="117">
        <v>1</v>
      </c>
      <c r="D1749" s="103" t="s">
        <v>70</v>
      </c>
      <c r="E1749" s="103" t="s">
        <v>306</v>
      </c>
      <c r="H1749" s="103"/>
      <c r="I1749" s="103">
        <v>47</v>
      </c>
      <c r="K1749" s="103" t="s">
        <v>1032</v>
      </c>
      <c r="L1749" s="133"/>
      <c r="M1749" s="134">
        <v>1.3194444444444444E-2</v>
      </c>
      <c r="N1749" s="135" t="s">
        <v>3209</v>
      </c>
      <c r="O1749" s="133" t="s">
        <v>3932</v>
      </c>
      <c r="Q1749" s="100" t="s">
        <v>3954</v>
      </c>
      <c r="R1749" s="226" t="s">
        <v>3958</v>
      </c>
      <c r="S1749" s="491" t="str">
        <f t="shared" si="55"/>
        <v>x</v>
      </c>
      <c r="T1749" s="492" t="str">
        <f>IFERROR(VLOOKUP(F1749,'Freq-Chan'!C:D,2,FALSE),"x")</f>
        <v>x</v>
      </c>
      <c r="U1749" s="110" t="s">
        <v>541</v>
      </c>
      <c r="V1749" s="110" t="str">
        <f t="shared" si="56"/>
        <v>FWL</v>
      </c>
      <c r="W1749" s="110" t="s">
        <v>541</v>
      </c>
      <c r="X1749" s="110" t="s">
        <v>541</v>
      </c>
      <c r="Y1749" s="110" t="str">
        <f>IFERROR(VLOOKUP(F1749,'Freq-Chan'!C:E,3,FALSE),"na")</f>
        <v>na</v>
      </c>
      <c r="Z1749" s="110" t="s">
        <v>541</v>
      </c>
      <c r="AA1749" s="110" t="s">
        <v>541</v>
      </c>
      <c r="AB1749" s="110" t="s">
        <v>541</v>
      </c>
      <c r="AC1749" s="10" t="s">
        <v>541</v>
      </c>
      <c r="AD1749" s="10" t="s">
        <v>541</v>
      </c>
    </row>
    <row r="1750" spans="1:30" x14ac:dyDescent="0.2">
      <c r="A1750" s="110">
        <v>1749</v>
      </c>
      <c r="B1750" s="132">
        <v>41854</v>
      </c>
      <c r="C1750" s="117">
        <v>1</v>
      </c>
      <c r="D1750" s="103" t="s">
        <v>70</v>
      </c>
      <c r="E1750" s="103" t="s">
        <v>306</v>
      </c>
      <c r="H1750" s="103"/>
      <c r="I1750" s="103">
        <v>47</v>
      </c>
      <c r="K1750" s="103" t="s">
        <v>365</v>
      </c>
      <c r="L1750" s="133"/>
      <c r="M1750" s="134">
        <v>1.3888888888888888E-2</v>
      </c>
      <c r="N1750" s="135" t="s">
        <v>2737</v>
      </c>
      <c r="O1750" s="133" t="s">
        <v>3932</v>
      </c>
      <c r="Q1750" s="100" t="s">
        <v>3954</v>
      </c>
      <c r="R1750" s="226" t="s">
        <v>3958</v>
      </c>
      <c r="S1750" s="491" t="str">
        <f t="shared" si="55"/>
        <v>x</v>
      </c>
      <c r="T1750" s="492" t="str">
        <f>IFERROR(VLOOKUP(F1750,'Freq-Chan'!C:D,2,FALSE),"x")</f>
        <v>x</v>
      </c>
      <c r="U1750" s="110" t="s">
        <v>541</v>
      </c>
      <c r="V1750" s="110" t="str">
        <f t="shared" si="56"/>
        <v>FWL</v>
      </c>
      <c r="W1750" s="110" t="s">
        <v>541</v>
      </c>
      <c r="X1750" s="110" t="s">
        <v>541</v>
      </c>
      <c r="Y1750" s="110" t="str">
        <f>IFERROR(VLOOKUP(F1750,'Freq-Chan'!C:E,3,FALSE),"na")</f>
        <v>na</v>
      </c>
      <c r="Z1750" s="110" t="s">
        <v>541</v>
      </c>
      <c r="AA1750" s="110" t="s">
        <v>541</v>
      </c>
      <c r="AB1750" s="110" t="s">
        <v>541</v>
      </c>
      <c r="AC1750" s="10" t="s">
        <v>541</v>
      </c>
      <c r="AD1750" s="10" t="s">
        <v>541</v>
      </c>
    </row>
    <row r="1751" spans="1:30" x14ac:dyDescent="0.2">
      <c r="A1751" s="110">
        <v>1750</v>
      </c>
      <c r="B1751" s="132">
        <v>41854</v>
      </c>
      <c r="C1751" s="117">
        <v>1</v>
      </c>
      <c r="D1751" s="103" t="s">
        <v>70</v>
      </c>
      <c r="E1751" s="103" t="s">
        <v>306</v>
      </c>
      <c r="H1751" s="103"/>
      <c r="I1751" s="103">
        <v>46</v>
      </c>
      <c r="K1751" s="103" t="s">
        <v>365</v>
      </c>
      <c r="L1751" s="133">
        <v>0.41111111111111115</v>
      </c>
      <c r="M1751" s="134">
        <v>1.3194444444444444E-2</v>
      </c>
      <c r="N1751" s="135" t="s">
        <v>3169</v>
      </c>
      <c r="O1751" s="133" t="s">
        <v>3932</v>
      </c>
      <c r="Q1751" s="100" t="s">
        <v>3954</v>
      </c>
      <c r="R1751" s="226" t="s">
        <v>3958</v>
      </c>
      <c r="S1751" s="491">
        <f t="shared" si="55"/>
        <v>4.7453699999999997E-4</v>
      </c>
      <c r="T1751" s="492" t="str">
        <f>IFERROR(VLOOKUP(F1751,'Freq-Chan'!C:D,2,FALSE),"x")</f>
        <v>x</v>
      </c>
      <c r="U1751" s="110" t="s">
        <v>541</v>
      </c>
      <c r="V1751" s="110" t="str">
        <f t="shared" si="56"/>
        <v>FWL</v>
      </c>
      <c r="W1751" s="110" t="s">
        <v>541</v>
      </c>
      <c r="X1751" s="110" t="s">
        <v>541</v>
      </c>
      <c r="Y1751" s="110" t="str">
        <f>IFERROR(VLOOKUP(F1751,'Freq-Chan'!C:E,3,FALSE),"na")</f>
        <v>na</v>
      </c>
      <c r="Z1751" s="110" t="s">
        <v>541</v>
      </c>
      <c r="AA1751" s="110" t="s">
        <v>541</v>
      </c>
      <c r="AB1751" s="110" t="s">
        <v>541</v>
      </c>
      <c r="AC1751" s="10" t="s">
        <v>541</v>
      </c>
      <c r="AD1751" s="10" t="s">
        <v>541</v>
      </c>
    </row>
    <row r="1752" spans="1:30" x14ac:dyDescent="0.2">
      <c r="A1752" s="110">
        <v>1751</v>
      </c>
      <c r="B1752" s="132">
        <v>41854</v>
      </c>
      <c r="C1752" s="117">
        <v>1</v>
      </c>
      <c r="D1752" s="103" t="s">
        <v>70</v>
      </c>
      <c r="E1752" s="103" t="s">
        <v>306</v>
      </c>
      <c r="H1752" s="103"/>
      <c r="I1752" s="103">
        <v>43</v>
      </c>
      <c r="K1752" s="103" t="s">
        <v>1032</v>
      </c>
      <c r="L1752" s="133"/>
      <c r="M1752" s="134">
        <v>1.6666666666666666E-2</v>
      </c>
      <c r="N1752" s="135" t="s">
        <v>3169</v>
      </c>
      <c r="O1752" s="133" t="s">
        <v>3932</v>
      </c>
      <c r="Q1752" s="100" t="s">
        <v>3954</v>
      </c>
      <c r="R1752" s="226" t="s">
        <v>3958</v>
      </c>
      <c r="S1752" s="491" t="str">
        <f t="shared" si="55"/>
        <v>x</v>
      </c>
      <c r="T1752" s="492" t="str">
        <f>IFERROR(VLOOKUP(F1752,'Freq-Chan'!C:D,2,FALSE),"x")</f>
        <v>x</v>
      </c>
      <c r="U1752" s="110" t="s">
        <v>541</v>
      </c>
      <c r="V1752" s="110" t="str">
        <f t="shared" si="56"/>
        <v>FWL</v>
      </c>
      <c r="W1752" s="110" t="s">
        <v>541</v>
      </c>
      <c r="X1752" s="110" t="s">
        <v>541</v>
      </c>
      <c r="Y1752" s="110" t="str">
        <f>IFERROR(VLOOKUP(F1752,'Freq-Chan'!C:E,3,FALSE),"na")</f>
        <v>na</v>
      </c>
      <c r="Z1752" s="110" t="s">
        <v>541</v>
      </c>
      <c r="AA1752" s="110" t="s">
        <v>541</v>
      </c>
      <c r="AB1752" s="110" t="s">
        <v>541</v>
      </c>
      <c r="AC1752" s="10" t="s">
        <v>541</v>
      </c>
      <c r="AD1752" s="10" t="s">
        <v>541</v>
      </c>
    </row>
    <row r="1753" spans="1:30" x14ac:dyDescent="0.2">
      <c r="A1753" s="110">
        <v>1752</v>
      </c>
      <c r="B1753" s="132">
        <v>41854</v>
      </c>
      <c r="C1753" s="117">
        <v>1</v>
      </c>
      <c r="D1753" s="103" t="s">
        <v>70</v>
      </c>
      <c r="E1753" s="103" t="s">
        <v>306</v>
      </c>
      <c r="H1753" s="103"/>
      <c r="I1753" s="103">
        <v>48</v>
      </c>
      <c r="K1753" s="103" t="s">
        <v>1032</v>
      </c>
      <c r="L1753" s="133"/>
      <c r="M1753" s="134">
        <v>1.1805555555555555E-2</v>
      </c>
      <c r="N1753" s="135" t="s">
        <v>3384</v>
      </c>
      <c r="O1753" s="133" t="s">
        <v>3932</v>
      </c>
      <c r="Q1753" s="100" t="s">
        <v>3954</v>
      </c>
      <c r="R1753" s="226" t="s">
        <v>3958</v>
      </c>
      <c r="S1753" s="491" t="str">
        <f t="shared" si="55"/>
        <v>x</v>
      </c>
      <c r="T1753" s="492" t="str">
        <f>IFERROR(VLOOKUP(F1753,'Freq-Chan'!C:D,2,FALSE),"x")</f>
        <v>x</v>
      </c>
      <c r="U1753" s="110" t="s">
        <v>541</v>
      </c>
      <c r="V1753" s="110" t="str">
        <f t="shared" si="56"/>
        <v>FWL</v>
      </c>
      <c r="W1753" s="110" t="s">
        <v>541</v>
      </c>
      <c r="X1753" s="110" t="s">
        <v>541</v>
      </c>
      <c r="Y1753" s="110" t="str">
        <f>IFERROR(VLOOKUP(F1753,'Freq-Chan'!C:E,3,FALSE),"na")</f>
        <v>na</v>
      </c>
      <c r="Z1753" s="110" t="s">
        <v>541</v>
      </c>
      <c r="AA1753" s="110" t="s">
        <v>541</v>
      </c>
      <c r="AB1753" s="110" t="s">
        <v>541</v>
      </c>
      <c r="AC1753" s="10" t="s">
        <v>541</v>
      </c>
      <c r="AD1753" s="10" t="s">
        <v>541</v>
      </c>
    </row>
    <row r="1754" spans="1:30" x14ac:dyDescent="0.2">
      <c r="A1754" s="110">
        <v>1753</v>
      </c>
      <c r="B1754" s="132">
        <v>41854</v>
      </c>
      <c r="C1754" s="117">
        <v>1</v>
      </c>
      <c r="D1754" s="103" t="s">
        <v>70</v>
      </c>
      <c r="E1754" s="103" t="s">
        <v>306</v>
      </c>
      <c r="H1754" s="103"/>
      <c r="I1754" s="103">
        <v>45</v>
      </c>
      <c r="K1754" s="103" t="s">
        <v>365</v>
      </c>
      <c r="L1754" s="133"/>
      <c r="M1754" s="134">
        <v>1.3888888888888888E-2</v>
      </c>
      <c r="N1754" s="135" t="s">
        <v>2934</v>
      </c>
      <c r="O1754" s="133" t="s">
        <v>3932</v>
      </c>
      <c r="Q1754" s="100" t="s">
        <v>3954</v>
      </c>
      <c r="R1754" s="226" t="s">
        <v>3958</v>
      </c>
      <c r="S1754" s="491" t="str">
        <f t="shared" si="55"/>
        <v>x</v>
      </c>
      <c r="T1754" s="492" t="str">
        <f>IFERROR(VLOOKUP(F1754,'Freq-Chan'!C:D,2,FALSE),"x")</f>
        <v>x</v>
      </c>
      <c r="U1754" s="110" t="s">
        <v>541</v>
      </c>
      <c r="V1754" s="110" t="str">
        <f t="shared" si="56"/>
        <v>FWL</v>
      </c>
      <c r="W1754" s="110" t="s">
        <v>541</v>
      </c>
      <c r="X1754" s="110" t="s">
        <v>541</v>
      </c>
      <c r="Y1754" s="110" t="str">
        <f>IFERROR(VLOOKUP(F1754,'Freq-Chan'!C:E,3,FALSE),"na")</f>
        <v>na</v>
      </c>
      <c r="Z1754" s="110" t="s">
        <v>541</v>
      </c>
      <c r="AA1754" s="110" t="s">
        <v>541</v>
      </c>
      <c r="AB1754" s="110" t="s">
        <v>541</v>
      </c>
      <c r="AC1754" s="10" t="s">
        <v>541</v>
      </c>
      <c r="AD1754" s="10" t="s">
        <v>541</v>
      </c>
    </row>
    <row r="1755" spans="1:30" x14ac:dyDescent="0.2">
      <c r="A1755" s="110">
        <v>1754</v>
      </c>
      <c r="B1755" s="132">
        <v>41854</v>
      </c>
      <c r="C1755" s="117">
        <v>1</v>
      </c>
      <c r="D1755" s="103" t="s">
        <v>70</v>
      </c>
      <c r="E1755" s="103" t="s">
        <v>306</v>
      </c>
      <c r="H1755" s="103"/>
      <c r="I1755" s="103">
        <v>44</v>
      </c>
      <c r="K1755" s="103" t="s">
        <v>1032</v>
      </c>
      <c r="L1755" s="133"/>
      <c r="M1755" s="134">
        <v>1.5972222222222224E-2</v>
      </c>
      <c r="N1755" s="135" t="s">
        <v>3386</v>
      </c>
      <c r="O1755" s="133" t="s">
        <v>3932</v>
      </c>
      <c r="Q1755" s="100" t="s">
        <v>3954</v>
      </c>
      <c r="R1755" s="226" t="s">
        <v>3958</v>
      </c>
      <c r="S1755" s="491" t="str">
        <f t="shared" si="55"/>
        <v>x</v>
      </c>
      <c r="T1755" s="492" t="str">
        <f>IFERROR(VLOOKUP(F1755,'Freq-Chan'!C:D,2,FALSE),"x")</f>
        <v>x</v>
      </c>
      <c r="U1755" s="110" t="s">
        <v>541</v>
      </c>
      <c r="V1755" s="110" t="str">
        <f t="shared" si="56"/>
        <v>FWL</v>
      </c>
      <c r="W1755" s="110" t="s">
        <v>541</v>
      </c>
      <c r="X1755" s="110" t="s">
        <v>541</v>
      </c>
      <c r="Y1755" s="110" t="str">
        <f>IFERROR(VLOOKUP(F1755,'Freq-Chan'!C:E,3,FALSE),"na")</f>
        <v>na</v>
      </c>
      <c r="Z1755" s="110" t="s">
        <v>541</v>
      </c>
      <c r="AA1755" s="110" t="s">
        <v>541</v>
      </c>
      <c r="AB1755" s="110" t="s">
        <v>541</v>
      </c>
      <c r="AC1755" s="10" t="s">
        <v>541</v>
      </c>
      <c r="AD1755" s="10" t="s">
        <v>541</v>
      </c>
    </row>
    <row r="1756" spans="1:30" x14ac:dyDescent="0.2">
      <c r="A1756" s="110">
        <v>1755</v>
      </c>
      <c r="B1756" s="132">
        <v>41854</v>
      </c>
      <c r="C1756" s="117">
        <v>1</v>
      </c>
      <c r="D1756" s="103" t="s">
        <v>70</v>
      </c>
      <c r="E1756" s="103" t="s">
        <v>306</v>
      </c>
      <c r="H1756" s="103"/>
      <c r="I1756" s="103">
        <v>45</v>
      </c>
      <c r="K1756" s="103" t="s">
        <v>365</v>
      </c>
      <c r="L1756" s="133"/>
      <c r="M1756" s="134">
        <v>1.4583333333333332E-2</v>
      </c>
      <c r="N1756" s="135" t="s">
        <v>3960</v>
      </c>
      <c r="O1756" s="133" t="s">
        <v>3932</v>
      </c>
      <c r="Q1756" s="100" t="s">
        <v>3954</v>
      </c>
      <c r="R1756" s="226" t="s">
        <v>3958</v>
      </c>
      <c r="S1756" s="491" t="str">
        <f t="shared" si="55"/>
        <v>x</v>
      </c>
      <c r="T1756" s="492" t="str">
        <f>IFERROR(VLOOKUP(F1756,'Freq-Chan'!C:D,2,FALSE),"x")</f>
        <v>x</v>
      </c>
      <c r="U1756" s="110" t="s">
        <v>541</v>
      </c>
      <c r="V1756" s="110" t="str">
        <f t="shared" si="56"/>
        <v>FWL</v>
      </c>
      <c r="W1756" s="110" t="s">
        <v>541</v>
      </c>
      <c r="X1756" s="110" t="s">
        <v>541</v>
      </c>
      <c r="Y1756" s="110" t="str">
        <f>IFERROR(VLOOKUP(F1756,'Freq-Chan'!C:E,3,FALSE),"na")</f>
        <v>na</v>
      </c>
      <c r="Z1756" s="110" t="s">
        <v>541</v>
      </c>
      <c r="AA1756" s="110" t="s">
        <v>541</v>
      </c>
      <c r="AB1756" s="110" t="s">
        <v>541</v>
      </c>
      <c r="AC1756" s="10" t="s">
        <v>541</v>
      </c>
      <c r="AD1756" s="10" t="s">
        <v>541</v>
      </c>
    </row>
    <row r="1757" spans="1:30" x14ac:dyDescent="0.2">
      <c r="A1757" s="110">
        <v>1756</v>
      </c>
      <c r="B1757" s="132">
        <v>41854</v>
      </c>
      <c r="C1757" s="117">
        <v>1</v>
      </c>
      <c r="D1757" s="103" t="s">
        <v>71</v>
      </c>
      <c r="E1757" s="103" t="s">
        <v>306</v>
      </c>
      <c r="H1757" s="103"/>
      <c r="I1757" s="103">
        <v>56</v>
      </c>
      <c r="K1757" s="103" t="s">
        <v>365</v>
      </c>
      <c r="L1757" s="133"/>
      <c r="M1757" s="134">
        <v>1.8055555555555557E-2</v>
      </c>
      <c r="N1757" s="135" t="s">
        <v>3945</v>
      </c>
      <c r="O1757" s="133" t="s">
        <v>950</v>
      </c>
      <c r="Q1757" s="100" t="s">
        <v>3954</v>
      </c>
      <c r="R1757" s="226" t="s">
        <v>3958</v>
      </c>
      <c r="S1757" s="491" t="str">
        <f t="shared" si="55"/>
        <v>x</v>
      </c>
      <c r="T1757" s="492" t="str">
        <f>IFERROR(VLOOKUP(F1757,'Freq-Chan'!C:D,2,FALSE),"x")</f>
        <v>x</v>
      </c>
      <c r="U1757" s="110" t="s">
        <v>541</v>
      </c>
      <c r="V1757" s="110" t="str">
        <f t="shared" si="56"/>
        <v>FWL</v>
      </c>
      <c r="W1757" s="110" t="s">
        <v>541</v>
      </c>
      <c r="X1757" s="110" t="s">
        <v>541</v>
      </c>
      <c r="Y1757" s="110" t="str">
        <f>IFERROR(VLOOKUP(F1757,'Freq-Chan'!C:E,3,FALSE),"na")</f>
        <v>na</v>
      </c>
      <c r="Z1757" s="110" t="s">
        <v>541</v>
      </c>
      <c r="AA1757" s="110" t="s">
        <v>541</v>
      </c>
      <c r="AB1757" s="110" t="s">
        <v>541</v>
      </c>
      <c r="AC1757" s="10" t="s">
        <v>541</v>
      </c>
      <c r="AD1757" s="10" t="s">
        <v>541</v>
      </c>
    </row>
    <row r="1758" spans="1:30" x14ac:dyDescent="0.2">
      <c r="A1758" s="110">
        <v>1757</v>
      </c>
      <c r="B1758" s="132">
        <v>41854</v>
      </c>
      <c r="C1758" s="117">
        <v>1</v>
      </c>
      <c r="D1758" s="103" t="s">
        <v>71</v>
      </c>
      <c r="E1758" s="103" t="s">
        <v>306</v>
      </c>
      <c r="H1758" s="103"/>
      <c r="I1758" s="103">
        <v>60</v>
      </c>
      <c r="K1758" s="103" t="s">
        <v>1032</v>
      </c>
      <c r="L1758" s="133"/>
      <c r="M1758" s="134">
        <v>1.8055555555555557E-2</v>
      </c>
      <c r="N1758" s="135" t="s">
        <v>3301</v>
      </c>
      <c r="O1758" s="133" t="s">
        <v>950</v>
      </c>
      <c r="Q1758" s="100" t="s">
        <v>3954</v>
      </c>
      <c r="R1758" s="226" t="s">
        <v>3958</v>
      </c>
      <c r="S1758" s="491" t="str">
        <f t="shared" si="55"/>
        <v>x</v>
      </c>
      <c r="T1758" s="492" t="str">
        <f>IFERROR(VLOOKUP(F1758,'Freq-Chan'!C:D,2,FALSE),"x")</f>
        <v>x</v>
      </c>
      <c r="U1758" s="110" t="s">
        <v>541</v>
      </c>
      <c r="V1758" s="110" t="str">
        <f t="shared" si="56"/>
        <v>FWL</v>
      </c>
      <c r="W1758" s="110" t="s">
        <v>541</v>
      </c>
      <c r="X1758" s="110" t="s">
        <v>541</v>
      </c>
      <c r="Y1758" s="110" t="str">
        <f>IFERROR(VLOOKUP(F1758,'Freq-Chan'!C:E,3,FALSE),"na")</f>
        <v>na</v>
      </c>
      <c r="Z1758" s="110" t="s">
        <v>541</v>
      </c>
      <c r="AA1758" s="110" t="s">
        <v>541</v>
      </c>
      <c r="AB1758" s="110" t="s">
        <v>541</v>
      </c>
      <c r="AC1758" s="10" t="s">
        <v>541</v>
      </c>
      <c r="AD1758" s="10" t="s">
        <v>541</v>
      </c>
    </row>
    <row r="1759" spans="1:30" x14ac:dyDescent="0.2">
      <c r="A1759" s="110">
        <v>1758</v>
      </c>
      <c r="B1759" s="132">
        <v>41854</v>
      </c>
      <c r="C1759" s="117">
        <v>1</v>
      </c>
      <c r="D1759" s="103" t="s">
        <v>72</v>
      </c>
      <c r="E1759" s="103" t="s">
        <v>306</v>
      </c>
      <c r="F1759" s="103">
        <v>266</v>
      </c>
      <c r="G1759" s="103">
        <v>82</v>
      </c>
      <c r="H1759" s="103" t="s">
        <v>3514</v>
      </c>
      <c r="I1759" s="103">
        <v>49</v>
      </c>
      <c r="K1759" s="103" t="s">
        <v>365</v>
      </c>
      <c r="L1759" s="133"/>
      <c r="M1759" s="134">
        <v>5.0694444444444452E-2</v>
      </c>
      <c r="N1759" s="135" t="s">
        <v>3805</v>
      </c>
      <c r="O1759" s="133" t="s">
        <v>3932</v>
      </c>
      <c r="P1759" s="100" t="s">
        <v>4466</v>
      </c>
      <c r="Q1759" s="100" t="s">
        <v>3954</v>
      </c>
      <c r="R1759" s="226" t="s">
        <v>3958</v>
      </c>
      <c r="S1759" s="491" t="str">
        <f t="shared" si="55"/>
        <v>x</v>
      </c>
      <c r="T1759" s="492">
        <f>IFERROR(VLOOKUP(F1759,'Freq-Chan'!C:D,2,FALSE),"x")</f>
        <v>151.26599999999999</v>
      </c>
      <c r="U1759" s="110" t="s">
        <v>541</v>
      </c>
      <c r="V1759" s="110" t="str">
        <f t="shared" si="56"/>
        <v>FWL</v>
      </c>
      <c r="W1759" s="110" t="s">
        <v>541</v>
      </c>
      <c r="X1759" s="110" t="s">
        <v>541</v>
      </c>
      <c r="Y1759" s="110" t="str">
        <f>IFERROR(VLOOKUP(F1759,'Freq-Chan'!C:E,3,FALSE),"na")</f>
        <v>F1840</v>
      </c>
      <c r="Z1759" s="110" t="s">
        <v>541</v>
      </c>
      <c r="AA1759" s="110" t="s">
        <v>541</v>
      </c>
      <c r="AB1759" s="110" t="s">
        <v>541</v>
      </c>
      <c r="AC1759" s="10" t="s">
        <v>541</v>
      </c>
      <c r="AD1759" s="10" t="s">
        <v>541</v>
      </c>
    </row>
    <row r="1760" spans="1:30" x14ac:dyDescent="0.2">
      <c r="A1760" s="110">
        <v>1759</v>
      </c>
      <c r="B1760" s="132">
        <v>41854</v>
      </c>
      <c r="C1760" s="117">
        <v>1</v>
      </c>
      <c r="D1760" s="103" t="s">
        <v>71</v>
      </c>
      <c r="E1760" s="103" t="s">
        <v>306</v>
      </c>
      <c r="H1760" s="103"/>
      <c r="I1760" s="103">
        <v>62</v>
      </c>
      <c r="K1760" s="103" t="s">
        <v>365</v>
      </c>
      <c r="L1760" s="133"/>
      <c r="M1760" s="134">
        <v>1.6666666666666666E-2</v>
      </c>
      <c r="N1760" s="135" t="s">
        <v>3354</v>
      </c>
      <c r="O1760" s="133" t="s">
        <v>950</v>
      </c>
      <c r="Q1760" s="100" t="s">
        <v>3954</v>
      </c>
      <c r="R1760" s="226" t="s">
        <v>3958</v>
      </c>
      <c r="S1760" s="491" t="str">
        <f t="shared" si="55"/>
        <v>x</v>
      </c>
      <c r="T1760" s="492" t="str">
        <f>IFERROR(VLOOKUP(F1760,'Freq-Chan'!C:D,2,FALSE),"x")</f>
        <v>x</v>
      </c>
      <c r="U1760" s="110" t="s">
        <v>541</v>
      </c>
      <c r="V1760" s="110" t="str">
        <f t="shared" si="56"/>
        <v>FWL</v>
      </c>
      <c r="W1760" s="110" t="s">
        <v>541</v>
      </c>
      <c r="X1760" s="110" t="s">
        <v>541</v>
      </c>
      <c r="Y1760" s="110" t="str">
        <f>IFERROR(VLOOKUP(F1760,'Freq-Chan'!C:E,3,FALSE),"na")</f>
        <v>na</v>
      </c>
      <c r="Z1760" s="110" t="s">
        <v>541</v>
      </c>
      <c r="AA1760" s="110" t="s">
        <v>541</v>
      </c>
      <c r="AB1760" s="110" t="s">
        <v>541</v>
      </c>
      <c r="AC1760" s="10" t="s">
        <v>541</v>
      </c>
      <c r="AD1760" s="10" t="s">
        <v>541</v>
      </c>
    </row>
    <row r="1761" spans="1:30" x14ac:dyDescent="0.2">
      <c r="A1761" s="110">
        <v>1760</v>
      </c>
      <c r="B1761" s="132">
        <v>41854</v>
      </c>
      <c r="C1761" s="117">
        <v>1</v>
      </c>
      <c r="D1761" s="103" t="s">
        <v>71</v>
      </c>
      <c r="E1761" s="103" t="s">
        <v>306</v>
      </c>
      <c r="H1761" s="103"/>
      <c r="I1761" s="103">
        <v>61</v>
      </c>
      <c r="K1761" s="103" t="s">
        <v>1032</v>
      </c>
      <c r="L1761" s="133"/>
      <c r="M1761" s="134">
        <v>1.5972222222222224E-2</v>
      </c>
      <c r="N1761" s="135" t="s">
        <v>2512</v>
      </c>
      <c r="O1761" s="133" t="s">
        <v>950</v>
      </c>
      <c r="Q1761" s="100" t="s">
        <v>3954</v>
      </c>
      <c r="R1761" s="226" t="s">
        <v>3958</v>
      </c>
      <c r="S1761" s="491" t="str">
        <f t="shared" si="55"/>
        <v>x</v>
      </c>
      <c r="T1761" s="492" t="str">
        <f>IFERROR(VLOOKUP(F1761,'Freq-Chan'!C:D,2,FALSE),"x")</f>
        <v>x</v>
      </c>
      <c r="U1761" s="110" t="s">
        <v>541</v>
      </c>
      <c r="V1761" s="110" t="str">
        <f t="shared" si="56"/>
        <v>FWL</v>
      </c>
      <c r="W1761" s="110" t="s">
        <v>541</v>
      </c>
      <c r="X1761" s="110" t="s">
        <v>541</v>
      </c>
      <c r="Y1761" s="110" t="str">
        <f>IFERROR(VLOOKUP(F1761,'Freq-Chan'!C:E,3,FALSE),"na")</f>
        <v>na</v>
      </c>
      <c r="Z1761" s="110" t="s">
        <v>541</v>
      </c>
      <c r="AA1761" s="110" t="s">
        <v>541</v>
      </c>
      <c r="AB1761" s="110" t="s">
        <v>541</v>
      </c>
      <c r="AC1761" s="10" t="s">
        <v>541</v>
      </c>
      <c r="AD1761" s="10" t="s">
        <v>541</v>
      </c>
    </row>
    <row r="1762" spans="1:30" x14ac:dyDescent="0.2">
      <c r="A1762" s="110">
        <v>1761</v>
      </c>
      <c r="B1762" s="132">
        <v>41854</v>
      </c>
      <c r="C1762" s="117">
        <v>1</v>
      </c>
      <c r="D1762" s="103" t="s">
        <v>70</v>
      </c>
      <c r="E1762" s="103" t="s">
        <v>306</v>
      </c>
      <c r="F1762" s="103">
        <v>515</v>
      </c>
      <c r="G1762" s="103">
        <v>79</v>
      </c>
      <c r="H1762" s="103" t="s">
        <v>3057</v>
      </c>
      <c r="I1762" s="103">
        <v>50</v>
      </c>
      <c r="K1762" s="103" t="s">
        <v>1032</v>
      </c>
      <c r="L1762" s="133"/>
      <c r="M1762" s="134">
        <v>5.8333333333333327E-2</v>
      </c>
      <c r="N1762" s="135" t="s">
        <v>3281</v>
      </c>
      <c r="O1762" s="133" t="s">
        <v>3932</v>
      </c>
      <c r="Q1762" s="100" t="s">
        <v>3954</v>
      </c>
      <c r="R1762" s="226" t="s">
        <v>3958</v>
      </c>
      <c r="S1762" s="491" t="str">
        <f t="shared" si="55"/>
        <v>x</v>
      </c>
      <c r="T1762" s="492">
        <f>IFERROR(VLOOKUP(F1762,'Freq-Chan'!C:D,2,FALSE),"x")</f>
        <v>151.51499999999999</v>
      </c>
      <c r="U1762" s="110" t="s">
        <v>541</v>
      </c>
      <c r="V1762" s="110" t="str">
        <f t="shared" si="56"/>
        <v>FWL</v>
      </c>
      <c r="W1762" s="110" t="s">
        <v>541</v>
      </c>
      <c r="X1762" s="110" t="s">
        <v>541</v>
      </c>
      <c r="Y1762" s="110" t="str">
        <f>IFERROR(VLOOKUP(F1762,'Freq-Chan'!C:E,3,FALSE),"na")</f>
        <v>F1835</v>
      </c>
      <c r="Z1762" s="110" t="s">
        <v>541</v>
      </c>
      <c r="AA1762" s="110" t="s">
        <v>541</v>
      </c>
      <c r="AB1762" s="110" t="s">
        <v>541</v>
      </c>
      <c r="AC1762" s="10" t="s">
        <v>541</v>
      </c>
      <c r="AD1762" s="10" t="s">
        <v>541</v>
      </c>
    </row>
    <row r="1763" spans="1:30" x14ac:dyDescent="0.2">
      <c r="A1763" s="110">
        <v>1762</v>
      </c>
      <c r="B1763" s="132">
        <v>41854</v>
      </c>
      <c r="C1763" s="117">
        <v>1</v>
      </c>
      <c r="D1763" s="103" t="s">
        <v>71</v>
      </c>
      <c r="E1763" s="103" t="s">
        <v>306</v>
      </c>
      <c r="F1763" s="103">
        <v>564</v>
      </c>
      <c r="G1763" s="103">
        <v>17</v>
      </c>
      <c r="H1763" s="103" t="s">
        <v>2357</v>
      </c>
      <c r="I1763" s="103">
        <v>56</v>
      </c>
      <c r="K1763" s="103" t="s">
        <v>1032</v>
      </c>
      <c r="L1763" s="133"/>
      <c r="M1763" s="134">
        <v>4.6527777777777779E-2</v>
      </c>
      <c r="N1763" s="135" t="s">
        <v>2631</v>
      </c>
      <c r="O1763" s="133" t="s">
        <v>950</v>
      </c>
      <c r="Q1763" s="100" t="s">
        <v>3954</v>
      </c>
      <c r="R1763" s="226" t="s">
        <v>3958</v>
      </c>
      <c r="S1763" s="491" t="str">
        <f t="shared" si="55"/>
        <v>x</v>
      </c>
      <c r="T1763" s="492">
        <f>IFERROR(VLOOKUP(F1763,'Freq-Chan'!C:D,2,FALSE),"x")</f>
        <v>151.56399999999999</v>
      </c>
      <c r="U1763" s="110" t="s">
        <v>541</v>
      </c>
      <c r="V1763" s="110" t="str">
        <f t="shared" si="56"/>
        <v>FWL</v>
      </c>
      <c r="W1763" s="110" t="s">
        <v>541</v>
      </c>
      <c r="X1763" s="110" t="s">
        <v>541</v>
      </c>
      <c r="Y1763" s="110" t="str">
        <f>IFERROR(VLOOKUP(F1763,'Freq-Chan'!C:E,3,FALSE),"na")</f>
        <v>F1840</v>
      </c>
      <c r="Z1763" s="110" t="s">
        <v>541</v>
      </c>
      <c r="AA1763" s="110" t="s">
        <v>541</v>
      </c>
      <c r="AB1763" s="110" t="s">
        <v>541</v>
      </c>
      <c r="AC1763" s="10" t="s">
        <v>541</v>
      </c>
      <c r="AD1763" s="10" t="s">
        <v>541</v>
      </c>
    </row>
    <row r="1764" spans="1:30" x14ac:dyDescent="0.2">
      <c r="A1764" s="110">
        <v>1763</v>
      </c>
      <c r="B1764" s="132">
        <v>41854</v>
      </c>
      <c r="C1764" s="117">
        <v>1</v>
      </c>
      <c r="D1764" s="103" t="s">
        <v>70</v>
      </c>
      <c r="E1764" s="103" t="s">
        <v>306</v>
      </c>
      <c r="F1764" s="103">
        <v>515</v>
      </c>
      <c r="G1764" s="103">
        <v>80</v>
      </c>
      <c r="H1764" s="103" t="s">
        <v>3059</v>
      </c>
      <c r="I1764" s="103">
        <v>46</v>
      </c>
      <c r="K1764" s="103" t="s">
        <v>1032</v>
      </c>
      <c r="L1764" s="133"/>
      <c r="M1764" s="134">
        <v>7.2916666666666671E-2</v>
      </c>
      <c r="N1764" s="135" t="s">
        <v>2780</v>
      </c>
      <c r="O1764" s="133" t="s">
        <v>3932</v>
      </c>
      <c r="Q1764" s="100" t="s">
        <v>3954</v>
      </c>
      <c r="R1764" s="226" t="s">
        <v>3958</v>
      </c>
      <c r="S1764" s="491" t="str">
        <f t="shared" si="55"/>
        <v>x</v>
      </c>
      <c r="T1764" s="492">
        <f>IFERROR(VLOOKUP(F1764,'Freq-Chan'!C:D,2,FALSE),"x")</f>
        <v>151.51499999999999</v>
      </c>
      <c r="U1764" s="110" t="s">
        <v>541</v>
      </c>
      <c r="V1764" s="110" t="str">
        <f t="shared" si="56"/>
        <v>FWL</v>
      </c>
      <c r="W1764" s="110" t="s">
        <v>541</v>
      </c>
      <c r="X1764" s="110" t="s">
        <v>541</v>
      </c>
      <c r="Y1764" s="110" t="str">
        <f>IFERROR(VLOOKUP(F1764,'Freq-Chan'!C:E,3,FALSE),"na")</f>
        <v>F1835</v>
      </c>
      <c r="Z1764" s="110" t="s">
        <v>541</v>
      </c>
      <c r="AA1764" s="110" t="s">
        <v>541</v>
      </c>
      <c r="AB1764" s="110" t="s">
        <v>541</v>
      </c>
      <c r="AC1764" s="10" t="s">
        <v>541</v>
      </c>
      <c r="AD1764" s="10" t="s">
        <v>541</v>
      </c>
    </row>
    <row r="1765" spans="1:30" x14ac:dyDescent="0.2">
      <c r="A1765" s="110">
        <v>1764</v>
      </c>
      <c r="B1765" s="132">
        <v>41854</v>
      </c>
      <c r="C1765" s="117">
        <v>1</v>
      </c>
      <c r="D1765" s="103" t="s">
        <v>71</v>
      </c>
      <c r="E1765" s="103" t="s">
        <v>306</v>
      </c>
      <c r="F1765" s="103">
        <v>564</v>
      </c>
      <c r="G1765" s="103">
        <v>76</v>
      </c>
      <c r="H1765" s="103" t="s">
        <v>2358</v>
      </c>
      <c r="I1765" s="103">
        <v>63</v>
      </c>
      <c r="K1765" s="103" t="s">
        <v>1032</v>
      </c>
      <c r="L1765" s="133"/>
      <c r="M1765" s="134">
        <v>3.888888888888889E-2</v>
      </c>
      <c r="N1765" s="135" t="s">
        <v>3339</v>
      </c>
      <c r="O1765" s="133" t="s">
        <v>1532</v>
      </c>
      <c r="Q1765" s="100" t="s">
        <v>3955</v>
      </c>
      <c r="R1765" s="226" t="s">
        <v>3958</v>
      </c>
      <c r="S1765" s="491" t="str">
        <f t="shared" si="55"/>
        <v>x</v>
      </c>
      <c r="T1765" s="492">
        <f>IFERROR(VLOOKUP(F1765,'Freq-Chan'!C:D,2,FALSE),"x")</f>
        <v>151.56399999999999</v>
      </c>
      <c r="U1765" s="110" t="s">
        <v>541</v>
      </c>
      <c r="V1765" s="110" t="str">
        <f t="shared" si="56"/>
        <v>FWL</v>
      </c>
      <c r="W1765" s="110" t="s">
        <v>541</v>
      </c>
      <c r="X1765" s="110" t="s">
        <v>541</v>
      </c>
      <c r="Y1765" s="110" t="str">
        <f>IFERROR(VLOOKUP(F1765,'Freq-Chan'!C:E,3,FALSE),"na")</f>
        <v>F1840</v>
      </c>
      <c r="Z1765" s="110" t="s">
        <v>541</v>
      </c>
      <c r="AA1765" s="110" t="s">
        <v>541</v>
      </c>
      <c r="AB1765" s="110" t="s">
        <v>541</v>
      </c>
      <c r="AC1765" s="10" t="s">
        <v>541</v>
      </c>
      <c r="AD1765" s="10" t="s">
        <v>541</v>
      </c>
    </row>
    <row r="1766" spans="1:30" x14ac:dyDescent="0.2">
      <c r="A1766" s="110">
        <v>1765</v>
      </c>
      <c r="B1766" s="132">
        <v>41854</v>
      </c>
      <c r="C1766" s="117">
        <v>1</v>
      </c>
      <c r="D1766" s="103" t="s">
        <v>70</v>
      </c>
      <c r="E1766" s="103" t="s">
        <v>306</v>
      </c>
      <c r="F1766" s="103">
        <v>596</v>
      </c>
      <c r="G1766" s="103">
        <v>29</v>
      </c>
      <c r="H1766" s="103" t="s">
        <v>3060</v>
      </c>
      <c r="I1766" s="103">
        <v>47</v>
      </c>
      <c r="K1766" s="103" t="s">
        <v>1032</v>
      </c>
      <c r="L1766" s="133"/>
      <c r="M1766" s="134">
        <v>4.0972222222222222E-2</v>
      </c>
      <c r="N1766" s="135" t="s">
        <v>1946</v>
      </c>
      <c r="O1766" s="133" t="s">
        <v>1532</v>
      </c>
      <c r="Q1766" s="100" t="s">
        <v>3955</v>
      </c>
      <c r="R1766" s="226" t="s">
        <v>3958</v>
      </c>
      <c r="S1766" s="491" t="str">
        <f t="shared" si="55"/>
        <v>x</v>
      </c>
      <c r="T1766" s="492">
        <f>IFERROR(VLOOKUP(F1766,'Freq-Chan'!C:D,2,FALSE),"x")</f>
        <v>151.596</v>
      </c>
      <c r="U1766" s="110" t="s">
        <v>541</v>
      </c>
      <c r="V1766" s="110" t="str">
        <f t="shared" si="56"/>
        <v>FWL</v>
      </c>
      <c r="W1766" s="110" t="s">
        <v>541</v>
      </c>
      <c r="X1766" s="110" t="s">
        <v>541</v>
      </c>
      <c r="Y1766" s="110" t="str">
        <f>IFERROR(VLOOKUP(F1766,'Freq-Chan'!C:E,3,FALSE),"na")</f>
        <v>F1835</v>
      </c>
      <c r="Z1766" s="110" t="s">
        <v>541</v>
      </c>
      <c r="AA1766" s="110" t="s">
        <v>541</v>
      </c>
      <c r="AB1766" s="110" t="s">
        <v>541</v>
      </c>
      <c r="AC1766" s="10" t="s">
        <v>541</v>
      </c>
      <c r="AD1766" s="10" t="s">
        <v>541</v>
      </c>
    </row>
    <row r="1767" spans="1:30" x14ac:dyDescent="0.2">
      <c r="A1767" s="110">
        <v>1766</v>
      </c>
      <c r="B1767" s="132">
        <v>41854</v>
      </c>
      <c r="C1767" s="117">
        <v>1</v>
      </c>
      <c r="D1767" s="103" t="s">
        <v>71</v>
      </c>
      <c r="E1767" s="103" t="s">
        <v>306</v>
      </c>
      <c r="F1767" s="103">
        <v>564</v>
      </c>
      <c r="G1767" s="103">
        <v>98</v>
      </c>
      <c r="H1767" s="103" t="s">
        <v>2359</v>
      </c>
      <c r="I1767" s="103">
        <v>60</v>
      </c>
      <c r="K1767" s="103" t="s">
        <v>364</v>
      </c>
      <c r="L1767" s="133"/>
      <c r="M1767" s="134">
        <v>5.1388888888888894E-2</v>
      </c>
      <c r="N1767" s="137" t="s">
        <v>3229</v>
      </c>
      <c r="O1767" s="133" t="s">
        <v>1532</v>
      </c>
      <c r="Q1767" s="100" t="s">
        <v>3955</v>
      </c>
      <c r="R1767" s="226" t="s">
        <v>3958</v>
      </c>
      <c r="S1767" s="491" t="str">
        <f t="shared" si="55"/>
        <v>x</v>
      </c>
      <c r="T1767" s="492">
        <f>IFERROR(VLOOKUP(F1767,'Freq-Chan'!C:D,2,FALSE),"x")</f>
        <v>151.56399999999999</v>
      </c>
      <c r="U1767" s="110" t="s">
        <v>541</v>
      </c>
      <c r="V1767" s="110" t="str">
        <f t="shared" si="56"/>
        <v>FWL</v>
      </c>
      <c r="W1767" s="110" t="s">
        <v>541</v>
      </c>
      <c r="X1767" s="110" t="s">
        <v>541</v>
      </c>
      <c r="Y1767" s="110" t="str">
        <f>IFERROR(VLOOKUP(F1767,'Freq-Chan'!C:E,3,FALSE),"na")</f>
        <v>F1840</v>
      </c>
      <c r="Z1767" s="110" t="s">
        <v>541</v>
      </c>
      <c r="AA1767" s="110" t="s">
        <v>541</v>
      </c>
      <c r="AB1767" s="110" t="s">
        <v>541</v>
      </c>
      <c r="AC1767" s="10" t="s">
        <v>541</v>
      </c>
      <c r="AD1767" s="10" t="s">
        <v>541</v>
      </c>
    </row>
    <row r="1768" spans="1:30" x14ac:dyDescent="0.2">
      <c r="A1768" s="110">
        <v>1767</v>
      </c>
      <c r="B1768" s="132">
        <v>41854</v>
      </c>
      <c r="C1768" s="117">
        <v>1</v>
      </c>
      <c r="D1768" s="103" t="s">
        <v>71</v>
      </c>
      <c r="E1768" s="103" t="s">
        <v>306</v>
      </c>
      <c r="F1768" s="103">
        <v>534</v>
      </c>
      <c r="G1768" s="103">
        <v>85</v>
      </c>
      <c r="H1768" s="103" t="s">
        <v>2360</v>
      </c>
      <c r="I1768" s="103">
        <v>62</v>
      </c>
      <c r="K1768" s="103" t="s">
        <v>364</v>
      </c>
      <c r="L1768" s="133"/>
      <c r="M1768" s="140">
        <v>6.1805555555555558E-2</v>
      </c>
      <c r="N1768" s="135" t="s">
        <v>1914</v>
      </c>
      <c r="O1768" s="133" t="s">
        <v>1532</v>
      </c>
      <c r="Q1768" s="100" t="s">
        <v>3955</v>
      </c>
      <c r="R1768" s="226" t="s">
        <v>3958</v>
      </c>
      <c r="S1768" s="491" t="str">
        <f t="shared" si="55"/>
        <v>x</v>
      </c>
      <c r="T1768" s="492">
        <f>IFERROR(VLOOKUP(F1768,'Freq-Chan'!C:D,2,FALSE),"x")</f>
        <v>151.53399999999999</v>
      </c>
      <c r="U1768" s="110" t="s">
        <v>541</v>
      </c>
      <c r="V1768" s="110" t="str">
        <f t="shared" si="56"/>
        <v>FWL</v>
      </c>
      <c r="W1768" s="110" t="s">
        <v>541</v>
      </c>
      <c r="X1768" s="110" t="s">
        <v>541</v>
      </c>
      <c r="Y1768" s="110" t="str">
        <f>IFERROR(VLOOKUP(F1768,'Freq-Chan'!C:E,3,FALSE),"na")</f>
        <v>F1840</v>
      </c>
      <c r="Z1768" s="110" t="s">
        <v>541</v>
      </c>
      <c r="AA1768" s="110" t="s">
        <v>541</v>
      </c>
      <c r="AB1768" s="110" t="s">
        <v>541</v>
      </c>
      <c r="AC1768" s="10" t="s">
        <v>541</v>
      </c>
      <c r="AD1768" s="10" t="s">
        <v>541</v>
      </c>
    </row>
    <row r="1769" spans="1:30" x14ac:dyDescent="0.2">
      <c r="A1769" s="110">
        <v>1768</v>
      </c>
      <c r="B1769" s="132">
        <v>41854</v>
      </c>
      <c r="C1769" s="117">
        <v>1</v>
      </c>
      <c r="D1769" s="103" t="s">
        <v>8</v>
      </c>
      <c r="E1769" s="103" t="s">
        <v>306</v>
      </c>
      <c r="F1769" s="103">
        <v>573</v>
      </c>
      <c r="G1769" s="103">
        <v>62</v>
      </c>
      <c r="H1769" s="103" t="s">
        <v>2202</v>
      </c>
      <c r="I1769" s="103">
        <v>51</v>
      </c>
      <c r="K1769" s="103" t="s">
        <v>364</v>
      </c>
      <c r="L1769" s="133"/>
      <c r="M1769" s="134">
        <v>4.8611111111111112E-2</v>
      </c>
      <c r="N1769" s="135" t="s">
        <v>719</v>
      </c>
      <c r="O1769" s="133" t="s">
        <v>1532</v>
      </c>
      <c r="Q1769" s="100" t="s">
        <v>3955</v>
      </c>
      <c r="R1769" s="226" t="s">
        <v>3958</v>
      </c>
      <c r="S1769" s="491" t="str">
        <f t="shared" si="55"/>
        <v>x</v>
      </c>
      <c r="T1769" s="492">
        <f>IFERROR(VLOOKUP(F1769,'Freq-Chan'!C:D,2,FALSE),"x")</f>
        <v>151.57300000000001</v>
      </c>
      <c r="U1769" s="110" t="s">
        <v>541</v>
      </c>
      <c r="V1769" s="110" t="str">
        <f t="shared" si="56"/>
        <v>FWL</v>
      </c>
      <c r="W1769" s="110" t="s">
        <v>541</v>
      </c>
      <c r="X1769" s="110" t="s">
        <v>541</v>
      </c>
      <c r="Y1769" s="110" t="str">
        <f>IFERROR(VLOOKUP(F1769,'Freq-Chan'!C:E,3,FALSE),"na")</f>
        <v>F1840</v>
      </c>
      <c r="Z1769" s="110" t="s">
        <v>541</v>
      </c>
      <c r="AA1769" s="110" t="s">
        <v>541</v>
      </c>
      <c r="AB1769" s="110" t="s">
        <v>541</v>
      </c>
      <c r="AC1769" s="10" t="s">
        <v>541</v>
      </c>
      <c r="AD1769" s="10" t="s">
        <v>541</v>
      </c>
    </row>
    <row r="1770" spans="1:30" x14ac:dyDescent="0.2">
      <c r="A1770" s="110">
        <v>1769</v>
      </c>
      <c r="B1770" s="132">
        <v>41854</v>
      </c>
      <c r="C1770" s="117">
        <v>1</v>
      </c>
      <c r="D1770" s="103" t="s">
        <v>71</v>
      </c>
      <c r="E1770" s="103" t="s">
        <v>306</v>
      </c>
      <c r="H1770" s="103"/>
      <c r="I1770" s="103">
        <v>60</v>
      </c>
      <c r="K1770" s="103" t="s">
        <v>365</v>
      </c>
      <c r="L1770" s="133">
        <v>0.78680555555555554</v>
      </c>
      <c r="M1770" s="134">
        <v>2.0833333333333332E-2</v>
      </c>
      <c r="N1770" s="135" t="s">
        <v>3776</v>
      </c>
      <c r="O1770" s="133" t="s">
        <v>1532</v>
      </c>
      <c r="Q1770" s="100" t="s">
        <v>3955</v>
      </c>
      <c r="R1770" s="226" t="s">
        <v>3958</v>
      </c>
      <c r="S1770" s="491">
        <f t="shared" si="55"/>
        <v>3.1250000000000002E-3</v>
      </c>
      <c r="T1770" s="492" t="str">
        <f>IFERROR(VLOOKUP(F1770,'Freq-Chan'!C:D,2,FALSE),"x")</f>
        <v>x</v>
      </c>
      <c r="U1770" s="110" t="s">
        <v>541</v>
      </c>
      <c r="V1770" s="110" t="str">
        <f t="shared" si="56"/>
        <v>FWL</v>
      </c>
      <c r="W1770" s="110" t="s">
        <v>541</v>
      </c>
      <c r="X1770" s="110" t="s">
        <v>541</v>
      </c>
      <c r="Y1770" s="110" t="str">
        <f>IFERROR(VLOOKUP(F1770,'Freq-Chan'!C:E,3,FALSE),"na")</f>
        <v>na</v>
      </c>
      <c r="Z1770" s="110" t="s">
        <v>541</v>
      </c>
      <c r="AA1770" s="110" t="s">
        <v>541</v>
      </c>
      <c r="AB1770" s="110" t="s">
        <v>541</v>
      </c>
      <c r="AC1770" s="10" t="s">
        <v>541</v>
      </c>
      <c r="AD1770" s="10" t="s">
        <v>541</v>
      </c>
    </row>
    <row r="1771" spans="1:30" x14ac:dyDescent="0.2">
      <c r="A1771" s="110">
        <v>1770</v>
      </c>
      <c r="B1771" s="132">
        <v>41854</v>
      </c>
      <c r="C1771" s="117">
        <v>1</v>
      </c>
      <c r="D1771" s="103" t="s">
        <v>70</v>
      </c>
      <c r="E1771" s="103" t="s">
        <v>306</v>
      </c>
      <c r="F1771" s="103">
        <v>515</v>
      </c>
      <c r="G1771" s="103">
        <v>15</v>
      </c>
      <c r="H1771" s="103" t="s">
        <v>3061</v>
      </c>
      <c r="I1771" s="103">
        <v>48</v>
      </c>
      <c r="K1771" s="103" t="s">
        <v>1032</v>
      </c>
      <c r="L1771" s="133"/>
      <c r="M1771" s="134">
        <v>3.4722222222222224E-2</v>
      </c>
      <c r="N1771" s="135" t="s">
        <v>3946</v>
      </c>
      <c r="O1771" s="133" t="s">
        <v>1585</v>
      </c>
      <c r="Q1771" s="100" t="s">
        <v>3955</v>
      </c>
      <c r="R1771" s="226" t="s">
        <v>3958</v>
      </c>
      <c r="S1771" s="491" t="str">
        <f t="shared" si="55"/>
        <v>x</v>
      </c>
      <c r="T1771" s="492">
        <f>IFERROR(VLOOKUP(F1771,'Freq-Chan'!C:D,2,FALSE),"x")</f>
        <v>151.51499999999999</v>
      </c>
      <c r="U1771" s="110" t="s">
        <v>541</v>
      </c>
      <c r="V1771" s="110" t="str">
        <f t="shared" si="56"/>
        <v>FWL</v>
      </c>
      <c r="W1771" s="110" t="s">
        <v>541</v>
      </c>
      <c r="X1771" s="110" t="s">
        <v>541</v>
      </c>
      <c r="Y1771" s="110" t="str">
        <f>IFERROR(VLOOKUP(F1771,'Freq-Chan'!C:E,3,FALSE),"na")</f>
        <v>F1835</v>
      </c>
      <c r="Z1771" s="110" t="s">
        <v>541</v>
      </c>
      <c r="AA1771" s="110" t="s">
        <v>541</v>
      </c>
      <c r="AB1771" s="110" t="s">
        <v>541</v>
      </c>
      <c r="AC1771" s="10" t="s">
        <v>541</v>
      </c>
      <c r="AD1771" s="10" t="s">
        <v>541</v>
      </c>
    </row>
    <row r="1772" spans="1:30" s="291" customFormat="1" x14ac:dyDescent="0.2">
      <c r="A1772" s="493">
        <v>1771</v>
      </c>
      <c r="B1772" s="283">
        <v>41854</v>
      </c>
      <c r="C1772" s="284">
        <v>1</v>
      </c>
      <c r="D1772" s="285" t="s">
        <v>71</v>
      </c>
      <c r="E1772" s="285" t="s">
        <v>306</v>
      </c>
      <c r="F1772" s="285"/>
      <c r="G1772" s="285"/>
      <c r="H1772" s="285"/>
      <c r="I1772" s="285">
        <v>56</v>
      </c>
      <c r="J1772" s="285"/>
      <c r="K1772" s="285" t="s">
        <v>364</v>
      </c>
      <c r="L1772" s="286"/>
      <c r="M1772" s="287">
        <v>1.8749999999999999E-2</v>
      </c>
      <c r="N1772" s="288" t="s">
        <v>3947</v>
      </c>
      <c r="O1772" s="286" t="s">
        <v>1585</v>
      </c>
      <c r="P1772" s="289"/>
      <c r="Q1772" s="289" t="s">
        <v>3955</v>
      </c>
      <c r="R1772" s="290" t="s">
        <v>3958</v>
      </c>
      <c r="S1772" s="494" t="str">
        <f t="shared" si="55"/>
        <v>x</v>
      </c>
      <c r="T1772" s="495" t="str">
        <f>IFERROR(VLOOKUP(F1772,'Freq-Chan'!C:D,2,FALSE),"x")</f>
        <v>x</v>
      </c>
      <c r="U1772" s="493" t="s">
        <v>541</v>
      </c>
      <c r="V1772" s="493" t="str">
        <f t="shared" si="56"/>
        <v>FWL</v>
      </c>
      <c r="W1772" s="493" t="s">
        <v>541</v>
      </c>
      <c r="X1772" s="493" t="s">
        <v>541</v>
      </c>
      <c r="Y1772" s="493" t="str">
        <f>IFERROR(VLOOKUP(F1772,'Freq-Chan'!C:E,3,FALSE),"na")</f>
        <v>na</v>
      </c>
      <c r="Z1772" s="493" t="s">
        <v>541</v>
      </c>
      <c r="AA1772" s="493" t="s">
        <v>541</v>
      </c>
      <c r="AB1772" s="493" t="s">
        <v>541</v>
      </c>
      <c r="AC1772" s="291" t="s">
        <v>541</v>
      </c>
      <c r="AD1772" s="291" t="s">
        <v>541</v>
      </c>
    </row>
    <row r="1773" spans="1:30" x14ac:dyDescent="0.2">
      <c r="A1773" s="110">
        <v>1772</v>
      </c>
      <c r="B1773" s="132">
        <v>41854</v>
      </c>
      <c r="C1773" s="117">
        <v>2</v>
      </c>
      <c r="D1773" s="103" t="s">
        <v>71</v>
      </c>
      <c r="E1773" s="103" t="s">
        <v>306</v>
      </c>
      <c r="F1773" s="103">
        <v>534</v>
      </c>
      <c r="G1773" s="103">
        <v>87</v>
      </c>
      <c r="H1773" s="103" t="s">
        <v>2355</v>
      </c>
      <c r="I1773" s="103">
        <v>62</v>
      </c>
      <c r="K1773" s="103" t="s">
        <v>365</v>
      </c>
      <c r="L1773" s="133">
        <v>0.37638888888888888</v>
      </c>
      <c r="M1773" s="134">
        <v>4.5833333333333337E-2</v>
      </c>
      <c r="N1773" s="135" t="s">
        <v>2689</v>
      </c>
      <c r="O1773" s="133" t="s">
        <v>1585</v>
      </c>
      <c r="Q1773" s="100" t="s">
        <v>3954</v>
      </c>
      <c r="R1773" s="226" t="s">
        <v>3958</v>
      </c>
      <c r="S1773" s="491">
        <f t="shared" si="55"/>
        <v>1.17361111E-2</v>
      </c>
      <c r="T1773" s="492">
        <f>IFERROR(VLOOKUP(F1773,'Freq-Chan'!C:D,2,FALSE),"x")</f>
        <v>151.53399999999999</v>
      </c>
      <c r="U1773" s="110" t="s">
        <v>541</v>
      </c>
      <c r="V1773" s="110" t="str">
        <f t="shared" si="56"/>
        <v>FWL</v>
      </c>
      <c r="W1773" s="110" t="s">
        <v>541</v>
      </c>
      <c r="X1773" s="110" t="s">
        <v>541</v>
      </c>
      <c r="Y1773" s="110" t="str">
        <f>IFERROR(VLOOKUP(F1773,'Freq-Chan'!C:E,3,FALSE),"na")</f>
        <v>F1840</v>
      </c>
      <c r="Z1773" s="110" t="s">
        <v>541</v>
      </c>
      <c r="AA1773" s="110" t="s">
        <v>541</v>
      </c>
      <c r="AB1773" s="110" t="s">
        <v>541</v>
      </c>
      <c r="AC1773" s="10" t="s">
        <v>541</v>
      </c>
      <c r="AD1773" s="10" t="s">
        <v>541</v>
      </c>
    </row>
    <row r="1774" spans="1:30" x14ac:dyDescent="0.2">
      <c r="A1774" s="110">
        <v>1773</v>
      </c>
      <c r="B1774" s="132">
        <v>41854</v>
      </c>
      <c r="C1774" s="117">
        <v>2</v>
      </c>
      <c r="D1774" s="103" t="s">
        <v>70</v>
      </c>
      <c r="E1774" s="103" t="s">
        <v>306</v>
      </c>
      <c r="F1774" s="103">
        <v>515</v>
      </c>
      <c r="G1774" s="103">
        <v>42</v>
      </c>
      <c r="H1774" s="103" t="s">
        <v>3058</v>
      </c>
      <c r="I1774" s="103">
        <v>45</v>
      </c>
      <c r="K1774" s="103" t="s">
        <v>365</v>
      </c>
      <c r="L1774" s="133"/>
      <c r="M1774" s="134">
        <v>3.888888888888889E-2</v>
      </c>
      <c r="N1774" s="135" t="s">
        <v>3948</v>
      </c>
      <c r="O1774" s="133" t="s">
        <v>1585</v>
      </c>
      <c r="Q1774" s="100" t="s">
        <v>3954</v>
      </c>
      <c r="R1774" s="226" t="s">
        <v>3958</v>
      </c>
      <c r="S1774" s="491" t="str">
        <f t="shared" si="55"/>
        <v>x</v>
      </c>
      <c r="T1774" s="492">
        <f>IFERROR(VLOOKUP(F1774,'Freq-Chan'!C:D,2,FALSE),"x")</f>
        <v>151.51499999999999</v>
      </c>
      <c r="U1774" s="110" t="s">
        <v>541</v>
      </c>
      <c r="V1774" s="110" t="str">
        <f t="shared" si="56"/>
        <v>FWL</v>
      </c>
      <c r="W1774" s="110" t="s">
        <v>541</v>
      </c>
      <c r="X1774" s="110" t="s">
        <v>541</v>
      </c>
      <c r="Y1774" s="110" t="str">
        <f>IFERROR(VLOOKUP(F1774,'Freq-Chan'!C:E,3,FALSE),"na")</f>
        <v>F1835</v>
      </c>
      <c r="Z1774" s="110" t="s">
        <v>541</v>
      </c>
      <c r="AA1774" s="110" t="s">
        <v>541</v>
      </c>
      <c r="AB1774" s="110" t="s">
        <v>541</v>
      </c>
      <c r="AC1774" s="10" t="s">
        <v>541</v>
      </c>
      <c r="AD1774" s="10" t="s">
        <v>541</v>
      </c>
    </row>
    <row r="1775" spans="1:30" x14ac:dyDescent="0.2">
      <c r="A1775" s="110">
        <v>1774</v>
      </c>
      <c r="B1775" s="132">
        <v>41854</v>
      </c>
      <c r="C1775" s="117">
        <v>2</v>
      </c>
      <c r="D1775" s="103" t="s">
        <v>8</v>
      </c>
      <c r="E1775" s="103" t="s">
        <v>306</v>
      </c>
      <c r="F1775" s="103">
        <v>573</v>
      </c>
      <c r="G1775" s="103">
        <v>86</v>
      </c>
      <c r="H1775" s="103" t="s">
        <v>2203</v>
      </c>
      <c r="I1775" s="103">
        <v>46</v>
      </c>
      <c r="K1775" s="103" t="s">
        <v>364</v>
      </c>
      <c r="L1775" s="133"/>
      <c r="M1775" s="134">
        <v>5.5555555555555552E-2</v>
      </c>
      <c r="N1775" s="135" t="s">
        <v>1692</v>
      </c>
      <c r="O1775" s="133" t="s">
        <v>1585</v>
      </c>
      <c r="Q1775" s="100" t="s">
        <v>3956</v>
      </c>
      <c r="R1775" s="226" t="s">
        <v>3958</v>
      </c>
      <c r="S1775" s="491" t="str">
        <f t="shared" si="55"/>
        <v>x</v>
      </c>
      <c r="T1775" s="492">
        <f>IFERROR(VLOOKUP(F1775,'Freq-Chan'!C:D,2,FALSE),"x")</f>
        <v>151.57300000000001</v>
      </c>
      <c r="U1775" s="110" t="s">
        <v>541</v>
      </c>
      <c r="V1775" s="110" t="str">
        <f t="shared" si="56"/>
        <v>FWL</v>
      </c>
      <c r="W1775" s="110" t="s">
        <v>541</v>
      </c>
      <c r="X1775" s="110" t="s">
        <v>541</v>
      </c>
      <c r="Y1775" s="110" t="str">
        <f>IFERROR(VLOOKUP(F1775,'Freq-Chan'!C:E,3,FALSE),"na")</f>
        <v>F1840</v>
      </c>
      <c r="Z1775" s="110" t="s">
        <v>541</v>
      </c>
      <c r="AA1775" s="110" t="s">
        <v>541</v>
      </c>
      <c r="AB1775" s="110" t="s">
        <v>541</v>
      </c>
      <c r="AC1775" s="10" t="s">
        <v>541</v>
      </c>
      <c r="AD1775" s="10" t="s">
        <v>541</v>
      </c>
    </row>
    <row r="1776" spans="1:30" s="291" customFormat="1" x14ac:dyDescent="0.2">
      <c r="A1776" s="493">
        <v>1775</v>
      </c>
      <c r="B1776" s="283">
        <v>41854</v>
      </c>
      <c r="C1776" s="284">
        <v>2</v>
      </c>
      <c r="D1776" s="285" t="s">
        <v>71</v>
      </c>
      <c r="E1776" s="285" t="s">
        <v>306</v>
      </c>
      <c r="F1776" s="285"/>
      <c r="G1776" s="285"/>
      <c r="H1776" s="285"/>
      <c r="I1776" s="285">
        <v>57</v>
      </c>
      <c r="J1776" s="285"/>
      <c r="K1776" s="285" t="s">
        <v>364</v>
      </c>
      <c r="L1776" s="286"/>
      <c r="M1776" s="287">
        <v>2.013888888888889E-2</v>
      </c>
      <c r="N1776" s="288" t="s">
        <v>1917</v>
      </c>
      <c r="O1776" s="286" t="s">
        <v>1585</v>
      </c>
      <c r="P1776" s="289"/>
      <c r="Q1776" s="289" t="s">
        <v>3956</v>
      </c>
      <c r="R1776" s="290" t="s">
        <v>3958</v>
      </c>
      <c r="S1776" s="494" t="str">
        <f t="shared" si="55"/>
        <v>x</v>
      </c>
      <c r="T1776" s="495" t="str">
        <f>IFERROR(VLOOKUP(F1776,'Freq-Chan'!C:D,2,FALSE),"x")</f>
        <v>x</v>
      </c>
      <c r="U1776" s="493" t="s">
        <v>541</v>
      </c>
      <c r="V1776" s="493" t="str">
        <f t="shared" si="56"/>
        <v>FWL</v>
      </c>
      <c r="W1776" s="493" t="s">
        <v>541</v>
      </c>
      <c r="X1776" s="493" t="s">
        <v>541</v>
      </c>
      <c r="Y1776" s="493" t="str">
        <f>IFERROR(VLOOKUP(F1776,'Freq-Chan'!C:E,3,FALSE),"na")</f>
        <v>na</v>
      </c>
      <c r="Z1776" s="493" t="s">
        <v>541</v>
      </c>
      <c r="AA1776" s="493" t="s">
        <v>541</v>
      </c>
      <c r="AB1776" s="493" t="s">
        <v>541</v>
      </c>
      <c r="AC1776" s="291" t="s">
        <v>541</v>
      </c>
      <c r="AD1776" s="291" t="s">
        <v>541</v>
      </c>
    </row>
    <row r="1777" spans="1:30" x14ac:dyDescent="0.2">
      <c r="A1777" s="110">
        <v>1776</v>
      </c>
      <c r="B1777" s="132">
        <v>41854</v>
      </c>
      <c r="C1777" s="117">
        <v>3</v>
      </c>
      <c r="D1777" s="103" t="s">
        <v>70</v>
      </c>
      <c r="E1777" s="103" t="s">
        <v>306</v>
      </c>
      <c r="F1777" s="103">
        <v>596</v>
      </c>
      <c r="G1777" s="103">
        <v>96</v>
      </c>
      <c r="H1777" s="103" t="s">
        <v>3051</v>
      </c>
      <c r="I1777" s="103">
        <v>49</v>
      </c>
      <c r="K1777" s="103" t="s">
        <v>1032</v>
      </c>
      <c r="L1777" s="133"/>
      <c r="M1777" s="134">
        <v>3.9583333333333331E-2</v>
      </c>
      <c r="N1777" s="135" t="s">
        <v>3349</v>
      </c>
      <c r="O1777" s="133" t="s">
        <v>1585</v>
      </c>
      <c r="Q1777" s="100" t="s">
        <v>3956</v>
      </c>
      <c r="R1777" s="226" t="s">
        <v>3958</v>
      </c>
      <c r="S1777" s="491" t="str">
        <f t="shared" si="55"/>
        <v>x</v>
      </c>
      <c r="T1777" s="492">
        <f>IFERROR(VLOOKUP(F1777,'Freq-Chan'!C:D,2,FALSE),"x")</f>
        <v>151.596</v>
      </c>
      <c r="U1777" s="110" t="s">
        <v>541</v>
      </c>
      <c r="V1777" s="110" t="str">
        <f t="shared" si="56"/>
        <v>FWL</v>
      </c>
      <c r="W1777" s="110" t="s">
        <v>541</v>
      </c>
      <c r="X1777" s="110" t="s">
        <v>541</v>
      </c>
      <c r="Y1777" s="110" t="str">
        <f>IFERROR(VLOOKUP(F1777,'Freq-Chan'!C:E,3,FALSE),"na")</f>
        <v>F1835</v>
      </c>
      <c r="Z1777" s="110" t="s">
        <v>541</v>
      </c>
      <c r="AA1777" s="110" t="s">
        <v>541</v>
      </c>
      <c r="AB1777" s="110" t="s">
        <v>541</v>
      </c>
      <c r="AC1777" s="10" t="s">
        <v>541</v>
      </c>
      <c r="AD1777" s="10" t="s">
        <v>541</v>
      </c>
    </row>
    <row r="1778" spans="1:30" x14ac:dyDescent="0.2">
      <c r="A1778" s="110">
        <v>1777</v>
      </c>
      <c r="B1778" s="132">
        <v>41854</v>
      </c>
      <c r="C1778" s="117">
        <v>3</v>
      </c>
      <c r="D1778" s="103" t="s">
        <v>70</v>
      </c>
      <c r="E1778" s="103" t="s">
        <v>306</v>
      </c>
      <c r="F1778" s="103">
        <v>596</v>
      </c>
      <c r="G1778" s="103">
        <v>2</v>
      </c>
      <c r="H1778" s="103" t="s">
        <v>3048</v>
      </c>
      <c r="I1778" s="103">
        <v>53</v>
      </c>
      <c r="K1778" s="103" t="s">
        <v>1032</v>
      </c>
      <c r="L1778" s="133"/>
      <c r="M1778" s="134">
        <v>4.3750000000000004E-2</v>
      </c>
      <c r="N1778" s="135" t="s">
        <v>3961</v>
      </c>
      <c r="O1778" s="133" t="s">
        <v>1585</v>
      </c>
      <c r="Q1778" s="100" t="s">
        <v>3956</v>
      </c>
      <c r="R1778" s="226" t="s">
        <v>3958</v>
      </c>
      <c r="S1778" s="491" t="str">
        <f t="shared" si="55"/>
        <v>x</v>
      </c>
      <c r="T1778" s="492">
        <f>IFERROR(VLOOKUP(F1778,'Freq-Chan'!C:D,2,FALSE),"x")</f>
        <v>151.596</v>
      </c>
      <c r="U1778" s="110" t="s">
        <v>541</v>
      </c>
      <c r="V1778" s="110" t="str">
        <f t="shared" si="56"/>
        <v>FWL</v>
      </c>
      <c r="W1778" s="110" t="s">
        <v>541</v>
      </c>
      <c r="X1778" s="110" t="s">
        <v>541</v>
      </c>
      <c r="Y1778" s="110" t="str">
        <f>IFERROR(VLOOKUP(F1778,'Freq-Chan'!C:E,3,FALSE),"na")</f>
        <v>F1835</v>
      </c>
      <c r="Z1778" s="110" t="s">
        <v>541</v>
      </c>
      <c r="AA1778" s="110" t="s">
        <v>541</v>
      </c>
      <c r="AB1778" s="110" t="s">
        <v>541</v>
      </c>
      <c r="AC1778" s="10" t="s">
        <v>541</v>
      </c>
      <c r="AD1778" s="10" t="s">
        <v>541</v>
      </c>
    </row>
    <row r="1779" spans="1:30" x14ac:dyDescent="0.2">
      <c r="A1779" s="110">
        <v>1778</v>
      </c>
      <c r="B1779" s="132">
        <v>41854</v>
      </c>
      <c r="C1779" s="117">
        <v>3</v>
      </c>
      <c r="D1779" s="103" t="s">
        <v>70</v>
      </c>
      <c r="E1779" s="103" t="s">
        <v>306</v>
      </c>
      <c r="F1779" s="103">
        <v>596</v>
      </c>
      <c r="G1779" s="103">
        <v>59</v>
      </c>
      <c r="H1779" s="103" t="s">
        <v>3052</v>
      </c>
      <c r="I1779" s="103">
        <v>47</v>
      </c>
      <c r="K1779" s="103" t="s">
        <v>1032</v>
      </c>
      <c r="L1779" s="133"/>
      <c r="M1779" s="134">
        <v>4.5833333333333337E-2</v>
      </c>
      <c r="N1779" s="135" t="s">
        <v>3715</v>
      </c>
      <c r="O1779" s="133" t="s">
        <v>1585</v>
      </c>
      <c r="Q1779" s="100" t="s">
        <v>3956</v>
      </c>
      <c r="R1779" s="226" t="s">
        <v>3958</v>
      </c>
      <c r="S1779" s="491" t="str">
        <f t="shared" si="55"/>
        <v>x</v>
      </c>
      <c r="T1779" s="492">
        <f>IFERROR(VLOOKUP(F1779,'Freq-Chan'!C:D,2,FALSE),"x")</f>
        <v>151.596</v>
      </c>
      <c r="U1779" s="110" t="s">
        <v>541</v>
      </c>
      <c r="V1779" s="110" t="str">
        <f t="shared" si="56"/>
        <v>FWL</v>
      </c>
      <c r="W1779" s="110" t="s">
        <v>541</v>
      </c>
      <c r="X1779" s="110" t="s">
        <v>541</v>
      </c>
      <c r="Y1779" s="110" t="str">
        <f>IFERROR(VLOOKUP(F1779,'Freq-Chan'!C:E,3,FALSE),"na")</f>
        <v>F1835</v>
      </c>
      <c r="Z1779" s="110" t="s">
        <v>541</v>
      </c>
      <c r="AA1779" s="110" t="s">
        <v>541</v>
      </c>
      <c r="AB1779" s="110" t="s">
        <v>541</v>
      </c>
      <c r="AC1779" s="10" t="s">
        <v>541</v>
      </c>
      <c r="AD1779" s="10" t="s">
        <v>541</v>
      </c>
    </row>
    <row r="1780" spans="1:30" x14ac:dyDescent="0.2">
      <c r="A1780" s="110">
        <v>1779</v>
      </c>
      <c r="B1780" s="132">
        <v>41854</v>
      </c>
      <c r="C1780" s="117">
        <v>3</v>
      </c>
      <c r="D1780" s="103" t="s">
        <v>70</v>
      </c>
      <c r="E1780" s="103" t="s">
        <v>306</v>
      </c>
      <c r="H1780" s="103"/>
      <c r="I1780" s="103">
        <v>44</v>
      </c>
      <c r="K1780" s="103" t="s">
        <v>1032</v>
      </c>
      <c r="L1780" s="133"/>
      <c r="M1780" s="134">
        <v>2.0833333333333332E-2</v>
      </c>
      <c r="N1780" s="135" t="s">
        <v>3399</v>
      </c>
      <c r="O1780" s="133" t="s">
        <v>1585</v>
      </c>
      <c r="Q1780" s="100" t="s">
        <v>3956</v>
      </c>
      <c r="R1780" s="226" t="s">
        <v>3958</v>
      </c>
      <c r="S1780" s="491" t="str">
        <f t="shared" si="55"/>
        <v>x</v>
      </c>
      <c r="T1780" s="492" t="str">
        <f>IFERROR(VLOOKUP(F1780,'Freq-Chan'!C:D,2,FALSE),"x")</f>
        <v>x</v>
      </c>
      <c r="U1780" s="110" t="s">
        <v>541</v>
      </c>
      <c r="V1780" s="110" t="str">
        <f t="shared" si="56"/>
        <v>FWL</v>
      </c>
      <c r="W1780" s="110" t="s">
        <v>541</v>
      </c>
      <c r="X1780" s="110" t="s">
        <v>541</v>
      </c>
      <c r="Y1780" s="110" t="str">
        <f>IFERROR(VLOOKUP(F1780,'Freq-Chan'!C:E,3,FALSE),"na")</f>
        <v>na</v>
      </c>
      <c r="Z1780" s="110" t="s">
        <v>541</v>
      </c>
      <c r="AA1780" s="110" t="s">
        <v>541</v>
      </c>
      <c r="AB1780" s="110" t="s">
        <v>541</v>
      </c>
      <c r="AC1780" s="10" t="s">
        <v>541</v>
      </c>
      <c r="AD1780" s="10" t="s">
        <v>541</v>
      </c>
    </row>
    <row r="1781" spans="1:30" x14ac:dyDescent="0.2">
      <c r="A1781" s="110">
        <v>1780</v>
      </c>
      <c r="B1781" s="132">
        <v>41854</v>
      </c>
      <c r="C1781" s="117">
        <v>3</v>
      </c>
      <c r="D1781" s="103" t="s">
        <v>70</v>
      </c>
      <c r="E1781" s="103" t="s">
        <v>306</v>
      </c>
      <c r="H1781" s="103"/>
      <c r="I1781" s="103">
        <v>47</v>
      </c>
      <c r="K1781" s="103" t="s">
        <v>365</v>
      </c>
      <c r="L1781" s="133"/>
      <c r="M1781" s="134">
        <v>1.8055555555555557E-2</v>
      </c>
      <c r="N1781" s="137" t="s">
        <v>839</v>
      </c>
      <c r="O1781" s="133" t="s">
        <v>1585</v>
      </c>
      <c r="Q1781" s="100" t="s">
        <v>3956</v>
      </c>
      <c r="R1781" s="226" t="s">
        <v>3958</v>
      </c>
      <c r="S1781" s="491" t="str">
        <f t="shared" si="55"/>
        <v>x</v>
      </c>
      <c r="T1781" s="492" t="str">
        <f>IFERROR(VLOOKUP(F1781,'Freq-Chan'!C:D,2,FALSE),"x")</f>
        <v>x</v>
      </c>
      <c r="U1781" s="110" t="s">
        <v>541</v>
      </c>
      <c r="V1781" s="110" t="str">
        <f t="shared" si="56"/>
        <v>FWL</v>
      </c>
      <c r="W1781" s="110" t="s">
        <v>541</v>
      </c>
      <c r="X1781" s="110" t="s">
        <v>541</v>
      </c>
      <c r="Y1781" s="110" t="str">
        <f>IFERROR(VLOOKUP(F1781,'Freq-Chan'!C:E,3,FALSE),"na")</f>
        <v>na</v>
      </c>
      <c r="Z1781" s="110" t="s">
        <v>541</v>
      </c>
      <c r="AA1781" s="110" t="s">
        <v>541</v>
      </c>
      <c r="AB1781" s="110" t="s">
        <v>541</v>
      </c>
      <c r="AC1781" s="10" t="s">
        <v>541</v>
      </c>
      <c r="AD1781" s="10" t="s">
        <v>541</v>
      </c>
    </row>
    <row r="1782" spans="1:30" x14ac:dyDescent="0.2">
      <c r="A1782" s="110">
        <v>1781</v>
      </c>
      <c r="B1782" s="132">
        <v>41854</v>
      </c>
      <c r="C1782" s="117">
        <v>3</v>
      </c>
      <c r="D1782" s="103" t="s">
        <v>70</v>
      </c>
      <c r="E1782" s="103" t="s">
        <v>306</v>
      </c>
      <c r="H1782" s="103"/>
      <c r="I1782" s="103">
        <v>48</v>
      </c>
      <c r="K1782" s="103" t="s">
        <v>1032</v>
      </c>
      <c r="L1782" s="133"/>
      <c r="M1782" s="134">
        <v>1.9444444444444445E-2</v>
      </c>
      <c r="N1782" s="135" t="s">
        <v>3398</v>
      </c>
      <c r="O1782" s="133" t="s">
        <v>1585</v>
      </c>
      <c r="Q1782" s="100" t="s">
        <v>3956</v>
      </c>
      <c r="R1782" s="226" t="s">
        <v>3958</v>
      </c>
      <c r="S1782" s="491" t="str">
        <f t="shared" si="55"/>
        <v>x</v>
      </c>
      <c r="T1782" s="492" t="str">
        <f>IFERROR(VLOOKUP(F1782,'Freq-Chan'!C:D,2,FALSE),"x")</f>
        <v>x</v>
      </c>
      <c r="U1782" s="110" t="s">
        <v>541</v>
      </c>
      <c r="V1782" s="110" t="str">
        <f t="shared" si="56"/>
        <v>FWL</v>
      </c>
      <c r="W1782" s="110" t="s">
        <v>541</v>
      </c>
      <c r="X1782" s="110" t="s">
        <v>541</v>
      </c>
      <c r="Y1782" s="110" t="str">
        <f>IFERROR(VLOOKUP(F1782,'Freq-Chan'!C:E,3,FALSE),"na")</f>
        <v>na</v>
      </c>
      <c r="Z1782" s="110" t="s">
        <v>541</v>
      </c>
      <c r="AA1782" s="110" t="s">
        <v>541</v>
      </c>
      <c r="AB1782" s="110" t="s">
        <v>541</v>
      </c>
      <c r="AC1782" s="10" t="s">
        <v>541</v>
      </c>
      <c r="AD1782" s="10" t="s">
        <v>541</v>
      </c>
    </row>
    <row r="1783" spans="1:30" x14ac:dyDescent="0.2">
      <c r="A1783" s="110">
        <v>1782</v>
      </c>
      <c r="B1783" s="132">
        <v>41854</v>
      </c>
      <c r="C1783" s="117">
        <v>3</v>
      </c>
      <c r="D1783" s="103" t="s">
        <v>70</v>
      </c>
      <c r="E1783" s="103" t="s">
        <v>306</v>
      </c>
      <c r="H1783" s="103"/>
      <c r="I1783" s="103">
        <v>46</v>
      </c>
      <c r="K1783" s="103" t="s">
        <v>365</v>
      </c>
      <c r="L1783" s="133"/>
      <c r="M1783" s="134">
        <v>1.3888888888888888E-2</v>
      </c>
      <c r="N1783" s="135" t="s">
        <v>3398</v>
      </c>
      <c r="O1783" s="133" t="s">
        <v>1585</v>
      </c>
      <c r="Q1783" s="100" t="s">
        <v>3956</v>
      </c>
      <c r="R1783" s="226" t="s">
        <v>3958</v>
      </c>
      <c r="S1783" s="491" t="str">
        <f t="shared" si="55"/>
        <v>x</v>
      </c>
      <c r="T1783" s="492" t="str">
        <f>IFERROR(VLOOKUP(F1783,'Freq-Chan'!C:D,2,FALSE),"x")</f>
        <v>x</v>
      </c>
      <c r="U1783" s="110" t="s">
        <v>541</v>
      </c>
      <c r="V1783" s="110" t="str">
        <f t="shared" si="56"/>
        <v>FWL</v>
      </c>
      <c r="W1783" s="110" t="s">
        <v>541</v>
      </c>
      <c r="X1783" s="110" t="s">
        <v>541</v>
      </c>
      <c r="Y1783" s="110" t="str">
        <f>IFERROR(VLOOKUP(F1783,'Freq-Chan'!C:E,3,FALSE),"na")</f>
        <v>na</v>
      </c>
      <c r="Z1783" s="110" t="s">
        <v>541</v>
      </c>
      <c r="AA1783" s="110" t="s">
        <v>541</v>
      </c>
      <c r="AB1783" s="110" t="s">
        <v>541</v>
      </c>
      <c r="AC1783" s="10" t="s">
        <v>541</v>
      </c>
      <c r="AD1783" s="10" t="s">
        <v>541</v>
      </c>
    </row>
    <row r="1784" spans="1:30" x14ac:dyDescent="0.2">
      <c r="A1784" s="110">
        <v>1783</v>
      </c>
      <c r="B1784" s="132">
        <v>41854</v>
      </c>
      <c r="C1784" s="117">
        <v>3</v>
      </c>
      <c r="D1784" s="103" t="s">
        <v>70</v>
      </c>
      <c r="E1784" s="103" t="s">
        <v>306</v>
      </c>
      <c r="H1784" s="103"/>
      <c r="I1784" s="103">
        <v>52</v>
      </c>
      <c r="K1784" s="103" t="s">
        <v>1032</v>
      </c>
      <c r="L1784" s="133"/>
      <c r="M1784" s="134">
        <v>1.8055555555555557E-2</v>
      </c>
      <c r="N1784" s="135" t="s">
        <v>3400</v>
      </c>
      <c r="O1784" s="133" t="s">
        <v>1585</v>
      </c>
      <c r="Q1784" s="100" t="s">
        <v>3956</v>
      </c>
      <c r="R1784" s="226" t="s">
        <v>3958</v>
      </c>
      <c r="S1784" s="491" t="str">
        <f t="shared" si="55"/>
        <v>x</v>
      </c>
      <c r="T1784" s="492" t="str">
        <f>IFERROR(VLOOKUP(F1784,'Freq-Chan'!C:D,2,FALSE),"x")</f>
        <v>x</v>
      </c>
      <c r="U1784" s="110" t="s">
        <v>541</v>
      </c>
      <c r="V1784" s="110" t="str">
        <f t="shared" si="56"/>
        <v>FWL</v>
      </c>
      <c r="W1784" s="110" t="s">
        <v>541</v>
      </c>
      <c r="X1784" s="110" t="s">
        <v>541</v>
      </c>
      <c r="Y1784" s="110" t="str">
        <f>IFERROR(VLOOKUP(F1784,'Freq-Chan'!C:E,3,FALSE),"na")</f>
        <v>na</v>
      </c>
      <c r="Z1784" s="110" t="s">
        <v>541</v>
      </c>
      <c r="AA1784" s="110" t="s">
        <v>541</v>
      </c>
      <c r="AB1784" s="110" t="s">
        <v>541</v>
      </c>
      <c r="AC1784" s="10" t="s">
        <v>541</v>
      </c>
      <c r="AD1784" s="10" t="s">
        <v>541</v>
      </c>
    </row>
    <row r="1785" spans="1:30" x14ac:dyDescent="0.2">
      <c r="A1785" s="110">
        <v>1784</v>
      </c>
      <c r="B1785" s="132">
        <v>41854</v>
      </c>
      <c r="C1785" s="117">
        <v>3</v>
      </c>
      <c r="D1785" s="103" t="s">
        <v>71</v>
      </c>
      <c r="E1785" s="103" t="s">
        <v>306</v>
      </c>
      <c r="H1785" s="103"/>
      <c r="I1785" s="103">
        <v>61</v>
      </c>
      <c r="K1785" s="103" t="s">
        <v>364</v>
      </c>
      <c r="L1785" s="133"/>
      <c r="M1785" s="134">
        <v>1.5277777777777777E-2</v>
      </c>
      <c r="N1785" s="135" t="s">
        <v>3450</v>
      </c>
      <c r="O1785" s="133" t="s">
        <v>1585</v>
      </c>
      <c r="Q1785" s="100" t="s">
        <v>3956</v>
      </c>
      <c r="R1785" s="226" t="s">
        <v>3958</v>
      </c>
      <c r="S1785" s="491" t="str">
        <f t="shared" si="55"/>
        <v>x</v>
      </c>
      <c r="T1785" s="492" t="str">
        <f>IFERROR(VLOOKUP(F1785,'Freq-Chan'!C:D,2,FALSE),"x")</f>
        <v>x</v>
      </c>
      <c r="U1785" s="110" t="s">
        <v>541</v>
      </c>
      <c r="V1785" s="110" t="str">
        <f t="shared" si="56"/>
        <v>FWL</v>
      </c>
      <c r="W1785" s="110" t="s">
        <v>541</v>
      </c>
      <c r="X1785" s="110" t="s">
        <v>541</v>
      </c>
      <c r="Y1785" s="110" t="str">
        <f>IFERROR(VLOOKUP(F1785,'Freq-Chan'!C:E,3,FALSE),"na")</f>
        <v>na</v>
      </c>
      <c r="Z1785" s="110" t="s">
        <v>541</v>
      </c>
      <c r="AA1785" s="110" t="s">
        <v>541</v>
      </c>
      <c r="AB1785" s="110" t="s">
        <v>541</v>
      </c>
      <c r="AC1785" s="10" t="s">
        <v>541</v>
      </c>
      <c r="AD1785" s="10" t="s">
        <v>541</v>
      </c>
    </row>
    <row r="1786" spans="1:30" x14ac:dyDescent="0.2">
      <c r="A1786" s="110">
        <v>1785</v>
      </c>
      <c r="B1786" s="132">
        <v>41854</v>
      </c>
      <c r="C1786" s="117">
        <v>3</v>
      </c>
      <c r="D1786" s="103" t="s">
        <v>70</v>
      </c>
      <c r="E1786" s="103" t="s">
        <v>306</v>
      </c>
      <c r="H1786" s="103"/>
      <c r="I1786" s="103">
        <v>46</v>
      </c>
      <c r="K1786" s="103" t="s">
        <v>1032</v>
      </c>
      <c r="L1786" s="133"/>
      <c r="M1786" s="134">
        <v>1.3888888888888888E-2</v>
      </c>
      <c r="N1786" s="135" t="s">
        <v>3450</v>
      </c>
      <c r="O1786" s="133" t="s">
        <v>1585</v>
      </c>
      <c r="Q1786" s="100" t="s">
        <v>3956</v>
      </c>
      <c r="R1786" s="226" t="s">
        <v>3958</v>
      </c>
      <c r="S1786" s="491" t="str">
        <f t="shared" si="55"/>
        <v>x</v>
      </c>
      <c r="T1786" s="492" t="str">
        <f>IFERROR(VLOOKUP(F1786,'Freq-Chan'!C:D,2,FALSE),"x")</f>
        <v>x</v>
      </c>
      <c r="U1786" s="110" t="s">
        <v>541</v>
      </c>
      <c r="V1786" s="110" t="str">
        <f t="shared" si="56"/>
        <v>FWL</v>
      </c>
      <c r="W1786" s="110" t="s">
        <v>541</v>
      </c>
      <c r="X1786" s="110" t="s">
        <v>541</v>
      </c>
      <c r="Y1786" s="110" t="str">
        <f>IFERROR(VLOOKUP(F1786,'Freq-Chan'!C:E,3,FALSE),"na")</f>
        <v>na</v>
      </c>
      <c r="Z1786" s="110" t="s">
        <v>541</v>
      </c>
      <c r="AA1786" s="110" t="s">
        <v>541</v>
      </c>
      <c r="AB1786" s="110" t="s">
        <v>541</v>
      </c>
      <c r="AC1786" s="10" t="s">
        <v>541</v>
      </c>
      <c r="AD1786" s="10" t="s">
        <v>541</v>
      </c>
    </row>
    <row r="1787" spans="1:30" x14ac:dyDescent="0.2">
      <c r="A1787" s="110">
        <v>1786</v>
      </c>
      <c r="B1787" s="132">
        <v>41854</v>
      </c>
      <c r="C1787" s="117">
        <v>3</v>
      </c>
      <c r="D1787" s="103" t="s">
        <v>70</v>
      </c>
      <c r="E1787" s="103" t="s">
        <v>306</v>
      </c>
      <c r="H1787" s="103"/>
      <c r="I1787" s="103">
        <v>45</v>
      </c>
      <c r="K1787" s="103" t="s">
        <v>365</v>
      </c>
      <c r="L1787" s="133"/>
      <c r="M1787" s="134">
        <v>1.3888888888888888E-2</v>
      </c>
      <c r="N1787" s="135" t="s">
        <v>1571</v>
      </c>
      <c r="O1787" s="133" t="s">
        <v>1585</v>
      </c>
      <c r="Q1787" s="100" t="s">
        <v>3956</v>
      </c>
      <c r="R1787" s="226" t="s">
        <v>3958</v>
      </c>
      <c r="S1787" s="491" t="str">
        <f t="shared" si="55"/>
        <v>x</v>
      </c>
      <c r="T1787" s="492" t="str">
        <f>IFERROR(VLOOKUP(F1787,'Freq-Chan'!C:D,2,FALSE),"x")</f>
        <v>x</v>
      </c>
      <c r="U1787" s="110" t="s">
        <v>541</v>
      </c>
      <c r="V1787" s="110" t="str">
        <f t="shared" si="56"/>
        <v>FWL</v>
      </c>
      <c r="W1787" s="110" t="s">
        <v>541</v>
      </c>
      <c r="X1787" s="110" t="s">
        <v>541</v>
      </c>
      <c r="Y1787" s="110" t="str">
        <f>IFERROR(VLOOKUP(F1787,'Freq-Chan'!C:E,3,FALSE),"na")</f>
        <v>na</v>
      </c>
      <c r="Z1787" s="110" t="s">
        <v>541</v>
      </c>
      <c r="AA1787" s="110" t="s">
        <v>541</v>
      </c>
      <c r="AB1787" s="110" t="s">
        <v>541</v>
      </c>
      <c r="AC1787" s="10" t="s">
        <v>541</v>
      </c>
      <c r="AD1787" s="10" t="s">
        <v>541</v>
      </c>
    </row>
    <row r="1788" spans="1:30" x14ac:dyDescent="0.2">
      <c r="A1788" s="110">
        <v>1787</v>
      </c>
      <c r="B1788" s="132">
        <v>41854</v>
      </c>
      <c r="C1788" s="117">
        <v>3</v>
      </c>
      <c r="D1788" s="103" t="s">
        <v>70</v>
      </c>
      <c r="E1788" s="103" t="s">
        <v>306</v>
      </c>
      <c r="H1788" s="103"/>
      <c r="I1788" s="103">
        <v>44</v>
      </c>
      <c r="K1788" s="103" t="s">
        <v>365</v>
      </c>
      <c r="L1788" s="133"/>
      <c r="M1788" s="134">
        <v>1.9444444444444445E-2</v>
      </c>
      <c r="N1788" s="137" t="s">
        <v>3451</v>
      </c>
      <c r="O1788" s="133" t="s">
        <v>1585</v>
      </c>
      <c r="Q1788" s="100" t="s">
        <v>3956</v>
      </c>
      <c r="R1788" s="226" t="s">
        <v>3958</v>
      </c>
      <c r="S1788" s="491" t="str">
        <f t="shared" si="55"/>
        <v>x</v>
      </c>
      <c r="T1788" s="492" t="str">
        <f>IFERROR(VLOOKUP(F1788,'Freq-Chan'!C:D,2,FALSE),"x")</f>
        <v>x</v>
      </c>
      <c r="U1788" s="110" t="s">
        <v>541</v>
      </c>
      <c r="V1788" s="110" t="str">
        <f t="shared" si="56"/>
        <v>FWL</v>
      </c>
      <c r="W1788" s="110" t="s">
        <v>541</v>
      </c>
      <c r="X1788" s="110" t="s">
        <v>541</v>
      </c>
      <c r="Y1788" s="110" t="str">
        <f>IFERROR(VLOOKUP(F1788,'Freq-Chan'!C:E,3,FALSE),"na")</f>
        <v>na</v>
      </c>
      <c r="Z1788" s="110" t="s">
        <v>541</v>
      </c>
      <c r="AA1788" s="110" t="s">
        <v>541</v>
      </c>
      <c r="AB1788" s="110" t="s">
        <v>541</v>
      </c>
      <c r="AC1788" s="10" t="s">
        <v>541</v>
      </c>
      <c r="AD1788" s="10" t="s">
        <v>541</v>
      </c>
    </row>
    <row r="1789" spans="1:30" x14ac:dyDescent="0.2">
      <c r="A1789" s="110">
        <v>1788</v>
      </c>
      <c r="B1789" s="132">
        <v>41854</v>
      </c>
      <c r="C1789" s="117">
        <v>3</v>
      </c>
      <c r="D1789" s="103" t="s">
        <v>70</v>
      </c>
      <c r="E1789" s="103" t="s">
        <v>306</v>
      </c>
      <c r="H1789" s="103"/>
      <c r="I1789" s="103">
        <v>48</v>
      </c>
      <c r="K1789" s="103" t="s">
        <v>365</v>
      </c>
      <c r="L1789" s="133"/>
      <c r="M1789" s="134">
        <v>1.3194444444444444E-2</v>
      </c>
      <c r="N1789" s="135" t="s">
        <v>3333</v>
      </c>
      <c r="O1789" s="133" t="s">
        <v>1585</v>
      </c>
      <c r="Q1789" s="100" t="s">
        <v>3956</v>
      </c>
      <c r="R1789" s="226" t="s">
        <v>3958</v>
      </c>
      <c r="S1789" s="491" t="str">
        <f t="shared" si="55"/>
        <v>x</v>
      </c>
      <c r="T1789" s="492" t="str">
        <f>IFERROR(VLOOKUP(F1789,'Freq-Chan'!C:D,2,FALSE),"x")</f>
        <v>x</v>
      </c>
      <c r="U1789" s="110" t="s">
        <v>541</v>
      </c>
      <c r="V1789" s="110" t="str">
        <f t="shared" si="56"/>
        <v>FWL</v>
      </c>
      <c r="W1789" s="110" t="s">
        <v>541</v>
      </c>
      <c r="X1789" s="110" t="s">
        <v>541</v>
      </c>
      <c r="Y1789" s="110" t="str">
        <f>IFERROR(VLOOKUP(F1789,'Freq-Chan'!C:E,3,FALSE),"na")</f>
        <v>na</v>
      </c>
      <c r="Z1789" s="110" t="s">
        <v>541</v>
      </c>
      <c r="AA1789" s="110" t="s">
        <v>541</v>
      </c>
      <c r="AB1789" s="110" t="s">
        <v>541</v>
      </c>
      <c r="AC1789" s="10" t="s">
        <v>541</v>
      </c>
      <c r="AD1789" s="10" t="s">
        <v>541</v>
      </c>
    </row>
    <row r="1790" spans="1:30" x14ac:dyDescent="0.2">
      <c r="A1790" s="110">
        <v>1789</v>
      </c>
      <c r="B1790" s="132">
        <v>41854</v>
      </c>
      <c r="C1790" s="117">
        <v>3</v>
      </c>
      <c r="D1790" s="103" t="s">
        <v>70</v>
      </c>
      <c r="E1790" s="103" t="s">
        <v>306</v>
      </c>
      <c r="H1790" s="103"/>
      <c r="I1790" s="103">
        <v>46</v>
      </c>
      <c r="K1790" s="103" t="s">
        <v>365</v>
      </c>
      <c r="L1790" s="133"/>
      <c r="M1790" s="134">
        <v>1.3194444444444444E-2</v>
      </c>
      <c r="N1790" s="135" t="s">
        <v>2689</v>
      </c>
      <c r="O1790" s="133" t="s">
        <v>1585</v>
      </c>
      <c r="Q1790" s="100" t="s">
        <v>3956</v>
      </c>
      <c r="R1790" s="226" t="s">
        <v>3958</v>
      </c>
      <c r="S1790" s="491" t="str">
        <f t="shared" si="55"/>
        <v>x</v>
      </c>
      <c r="T1790" s="492" t="str">
        <f>IFERROR(VLOOKUP(F1790,'Freq-Chan'!C:D,2,FALSE),"x")</f>
        <v>x</v>
      </c>
      <c r="U1790" s="110" t="s">
        <v>541</v>
      </c>
      <c r="V1790" s="110" t="str">
        <f t="shared" si="56"/>
        <v>FWL</v>
      </c>
      <c r="W1790" s="110" t="s">
        <v>541</v>
      </c>
      <c r="X1790" s="110" t="s">
        <v>541</v>
      </c>
      <c r="Y1790" s="110" t="str">
        <f>IFERROR(VLOOKUP(F1790,'Freq-Chan'!C:E,3,FALSE),"na")</f>
        <v>na</v>
      </c>
      <c r="Z1790" s="110" t="s">
        <v>541</v>
      </c>
      <c r="AA1790" s="110" t="s">
        <v>541</v>
      </c>
      <c r="AB1790" s="110" t="s">
        <v>541</v>
      </c>
      <c r="AC1790" s="10" t="s">
        <v>541</v>
      </c>
      <c r="AD1790" s="10" t="s">
        <v>541</v>
      </c>
    </row>
    <row r="1791" spans="1:30" x14ac:dyDescent="0.2">
      <c r="A1791" s="110">
        <v>1790</v>
      </c>
      <c r="B1791" s="132">
        <v>41854</v>
      </c>
      <c r="C1791" s="117">
        <v>3</v>
      </c>
      <c r="D1791" s="103" t="s">
        <v>70</v>
      </c>
      <c r="E1791" s="103" t="s">
        <v>306</v>
      </c>
      <c r="H1791" s="103"/>
      <c r="I1791" s="103">
        <v>45</v>
      </c>
      <c r="K1791" s="103" t="s">
        <v>365</v>
      </c>
      <c r="L1791" s="133"/>
      <c r="M1791" s="134">
        <v>1.9444444444444445E-2</v>
      </c>
      <c r="N1791" s="135" t="s">
        <v>3334</v>
      </c>
      <c r="O1791" s="133" t="s">
        <v>1585</v>
      </c>
      <c r="Q1791" s="100" t="s">
        <v>3956</v>
      </c>
      <c r="R1791" s="226" t="s">
        <v>3958</v>
      </c>
      <c r="S1791" s="491" t="str">
        <f t="shared" si="55"/>
        <v>x</v>
      </c>
      <c r="T1791" s="492" t="str">
        <f>IFERROR(VLOOKUP(F1791,'Freq-Chan'!C:D,2,FALSE),"x")</f>
        <v>x</v>
      </c>
      <c r="U1791" s="110" t="s">
        <v>541</v>
      </c>
      <c r="V1791" s="110" t="str">
        <f t="shared" si="56"/>
        <v>FWL</v>
      </c>
      <c r="W1791" s="110" t="s">
        <v>541</v>
      </c>
      <c r="X1791" s="110" t="s">
        <v>541</v>
      </c>
      <c r="Y1791" s="110" t="str">
        <f>IFERROR(VLOOKUP(F1791,'Freq-Chan'!C:E,3,FALSE),"na")</f>
        <v>na</v>
      </c>
      <c r="Z1791" s="110" t="s">
        <v>541</v>
      </c>
      <c r="AA1791" s="110" t="s">
        <v>541</v>
      </c>
      <c r="AB1791" s="110" t="s">
        <v>541</v>
      </c>
      <c r="AC1791" s="10" t="s">
        <v>541</v>
      </c>
      <c r="AD1791" s="10" t="s">
        <v>541</v>
      </c>
    </row>
    <row r="1792" spans="1:30" x14ac:dyDescent="0.2">
      <c r="A1792" s="110">
        <v>1791</v>
      </c>
      <c r="B1792" s="132">
        <v>41854</v>
      </c>
      <c r="C1792" s="117">
        <v>3</v>
      </c>
      <c r="D1792" s="103" t="s">
        <v>71</v>
      </c>
      <c r="E1792" s="103" t="s">
        <v>306</v>
      </c>
      <c r="H1792" s="103"/>
      <c r="I1792" s="103">
        <v>61</v>
      </c>
      <c r="K1792" s="103" t="s">
        <v>1032</v>
      </c>
      <c r="L1792" s="133"/>
      <c r="M1792" s="134">
        <v>2.1527777777777781E-2</v>
      </c>
      <c r="N1792" s="135" t="s">
        <v>3293</v>
      </c>
      <c r="O1792" s="133" t="s">
        <v>1532</v>
      </c>
      <c r="Q1792" s="100" t="s">
        <v>3956</v>
      </c>
      <c r="R1792" s="226" t="s">
        <v>3958</v>
      </c>
      <c r="S1792" s="491" t="str">
        <f t="shared" si="55"/>
        <v>x</v>
      </c>
      <c r="T1792" s="492" t="str">
        <f>IFERROR(VLOOKUP(F1792,'Freq-Chan'!C:D,2,FALSE),"x")</f>
        <v>x</v>
      </c>
      <c r="U1792" s="110" t="s">
        <v>541</v>
      </c>
      <c r="V1792" s="110" t="str">
        <f t="shared" si="56"/>
        <v>FWL</v>
      </c>
      <c r="W1792" s="110" t="s">
        <v>541</v>
      </c>
      <c r="X1792" s="110" t="s">
        <v>541</v>
      </c>
      <c r="Y1792" s="110" t="str">
        <f>IFERROR(VLOOKUP(F1792,'Freq-Chan'!C:E,3,FALSE),"na")</f>
        <v>na</v>
      </c>
      <c r="Z1792" s="110" t="s">
        <v>541</v>
      </c>
      <c r="AA1792" s="110" t="s">
        <v>541</v>
      </c>
      <c r="AB1792" s="110" t="s">
        <v>541</v>
      </c>
      <c r="AC1792" s="10" t="s">
        <v>541</v>
      </c>
      <c r="AD1792" s="10" t="s">
        <v>541</v>
      </c>
    </row>
    <row r="1793" spans="1:30" x14ac:dyDescent="0.2">
      <c r="A1793" s="110">
        <v>1792</v>
      </c>
      <c r="B1793" s="132">
        <v>41854</v>
      </c>
      <c r="C1793" s="117">
        <v>3</v>
      </c>
      <c r="D1793" s="103" t="s">
        <v>70</v>
      </c>
      <c r="E1793" s="103" t="s">
        <v>306</v>
      </c>
      <c r="H1793" s="103"/>
      <c r="I1793" s="103">
        <v>48</v>
      </c>
      <c r="K1793" s="103" t="s">
        <v>365</v>
      </c>
      <c r="L1793" s="133"/>
      <c r="M1793" s="134">
        <v>1.8749999999999999E-2</v>
      </c>
      <c r="N1793" s="135" t="s">
        <v>2691</v>
      </c>
      <c r="O1793" s="133" t="s">
        <v>1532</v>
      </c>
      <c r="Q1793" s="100" t="s">
        <v>3956</v>
      </c>
      <c r="R1793" s="226" t="s">
        <v>3958</v>
      </c>
      <c r="S1793" s="491" t="str">
        <f t="shared" si="55"/>
        <v>x</v>
      </c>
      <c r="T1793" s="492" t="str">
        <f>IFERROR(VLOOKUP(F1793,'Freq-Chan'!C:D,2,FALSE),"x")</f>
        <v>x</v>
      </c>
      <c r="U1793" s="110" t="s">
        <v>541</v>
      </c>
      <c r="V1793" s="110" t="str">
        <f t="shared" si="56"/>
        <v>FWL</v>
      </c>
      <c r="W1793" s="110" t="s">
        <v>541</v>
      </c>
      <c r="X1793" s="110" t="s">
        <v>541</v>
      </c>
      <c r="Y1793" s="110" t="str">
        <f>IFERROR(VLOOKUP(F1793,'Freq-Chan'!C:E,3,FALSE),"na")</f>
        <v>na</v>
      </c>
      <c r="Z1793" s="110" t="s">
        <v>541</v>
      </c>
      <c r="AA1793" s="110" t="s">
        <v>541</v>
      </c>
      <c r="AB1793" s="110" t="s">
        <v>541</v>
      </c>
      <c r="AC1793" s="10" t="s">
        <v>541</v>
      </c>
      <c r="AD1793" s="10" t="s">
        <v>541</v>
      </c>
    </row>
    <row r="1794" spans="1:30" x14ac:dyDescent="0.2">
      <c r="A1794" s="110">
        <v>1793</v>
      </c>
      <c r="B1794" s="132">
        <v>41854</v>
      </c>
      <c r="C1794" s="117">
        <v>3</v>
      </c>
      <c r="D1794" s="103" t="s">
        <v>88</v>
      </c>
      <c r="E1794" s="103" t="s">
        <v>798</v>
      </c>
      <c r="H1794" s="103" t="s">
        <v>3962</v>
      </c>
      <c r="J1794" s="103">
        <v>24</v>
      </c>
      <c r="K1794" s="103" t="s">
        <v>364</v>
      </c>
      <c r="L1794" s="133"/>
      <c r="M1794" s="134">
        <v>2.0833333333333332E-2</v>
      </c>
      <c r="N1794" s="135" t="s">
        <v>3735</v>
      </c>
      <c r="O1794" s="133" t="s">
        <v>1585</v>
      </c>
      <c r="Q1794" s="100" t="s">
        <v>3956</v>
      </c>
      <c r="R1794" s="226" t="s">
        <v>3958</v>
      </c>
      <c r="S1794" s="491" t="str">
        <f t="shared" si="55"/>
        <v>x</v>
      </c>
      <c r="T1794" s="492" t="str">
        <f>IFERROR(VLOOKUP(F1794,'Freq-Chan'!C:D,2,FALSE),"x")</f>
        <v>x</v>
      </c>
      <c r="U1794" s="110" t="s">
        <v>541</v>
      </c>
      <c r="V1794" s="110" t="str">
        <f t="shared" si="56"/>
        <v>FWL</v>
      </c>
      <c r="W1794" s="110" t="s">
        <v>541</v>
      </c>
      <c r="X1794" s="110" t="s">
        <v>541</v>
      </c>
      <c r="Y1794" s="110" t="str">
        <f>IFERROR(VLOOKUP(F1794,'Freq-Chan'!C:E,3,FALSE),"na")</f>
        <v>na</v>
      </c>
      <c r="Z1794" s="110" t="s">
        <v>541</v>
      </c>
      <c r="AA1794" s="110" t="s">
        <v>541</v>
      </c>
      <c r="AB1794" s="110" t="s">
        <v>541</v>
      </c>
      <c r="AC1794" s="10" t="s">
        <v>541</v>
      </c>
      <c r="AD1794" s="10" t="s">
        <v>541</v>
      </c>
    </row>
    <row r="1795" spans="1:30" x14ac:dyDescent="0.2">
      <c r="A1795" s="110">
        <v>1794</v>
      </c>
      <c r="B1795" s="132">
        <v>41854</v>
      </c>
      <c r="C1795" s="117">
        <v>3</v>
      </c>
      <c r="D1795" s="103" t="s">
        <v>70</v>
      </c>
      <c r="E1795" s="103" t="s">
        <v>306</v>
      </c>
      <c r="F1795" s="103">
        <v>515</v>
      </c>
      <c r="G1795" s="103">
        <v>47</v>
      </c>
      <c r="H1795" s="103" t="s">
        <v>3053</v>
      </c>
      <c r="I1795" s="103">
        <v>44</v>
      </c>
      <c r="K1795" s="103" t="s">
        <v>1032</v>
      </c>
      <c r="L1795" s="133"/>
      <c r="M1795" s="134">
        <v>4.1666666666666664E-2</v>
      </c>
      <c r="N1795" s="135" t="s">
        <v>3834</v>
      </c>
      <c r="O1795" s="133" t="s">
        <v>373</v>
      </c>
      <c r="Q1795" s="100" t="s">
        <v>3938</v>
      </c>
      <c r="R1795" s="226" t="s">
        <v>3958</v>
      </c>
      <c r="S1795" s="491" t="str">
        <f t="shared" ref="S1795:S1858" si="57">IF(IF(OR(L1795=0,N1795=0),"x",ROUND(N1795-L1795-(M1795*24)/(24*60),10))&lt;0,0,IF(OR(L1795=0,N1795=0),"x",ROUND(N1795-L1795-(M1795*24)/(24*60),10)))</f>
        <v>x</v>
      </c>
      <c r="T1795" s="492">
        <f>IFERROR(VLOOKUP(F1795,'Freq-Chan'!C:D,2,FALSE),"x")</f>
        <v>151.51499999999999</v>
      </c>
      <c r="U1795" s="110" t="s">
        <v>541</v>
      </c>
      <c r="V1795" s="110" t="str">
        <f t="shared" ref="V1795:V1858" si="58">IF(OR(C1795=1,C1795=2,C1795=3),"FWL","NRD")</f>
        <v>FWL</v>
      </c>
      <c r="W1795" s="110" t="s">
        <v>541</v>
      </c>
      <c r="X1795" s="110" t="s">
        <v>541</v>
      </c>
      <c r="Y1795" s="110" t="str">
        <f>IFERROR(VLOOKUP(F1795,'Freq-Chan'!C:E,3,FALSE),"na")</f>
        <v>F1835</v>
      </c>
      <c r="Z1795" s="110" t="s">
        <v>541</v>
      </c>
      <c r="AA1795" s="110" t="s">
        <v>541</v>
      </c>
      <c r="AB1795" s="110" t="s">
        <v>541</v>
      </c>
      <c r="AC1795" s="10" t="s">
        <v>541</v>
      </c>
      <c r="AD1795" s="10" t="s">
        <v>541</v>
      </c>
    </row>
    <row r="1796" spans="1:30" x14ac:dyDescent="0.2">
      <c r="A1796" s="110">
        <v>1795</v>
      </c>
      <c r="B1796" s="132">
        <v>41854</v>
      </c>
      <c r="C1796" s="117">
        <v>3</v>
      </c>
      <c r="D1796" s="103" t="s">
        <v>88</v>
      </c>
      <c r="E1796" s="103" t="s">
        <v>798</v>
      </c>
      <c r="H1796" s="103"/>
      <c r="J1796" s="103">
        <v>14</v>
      </c>
      <c r="K1796" s="103" t="s">
        <v>364</v>
      </c>
      <c r="L1796" s="133"/>
      <c r="M1796" s="134">
        <v>6.25E-2</v>
      </c>
      <c r="N1796" s="135" t="s">
        <v>1984</v>
      </c>
      <c r="O1796" s="133" t="s">
        <v>373</v>
      </c>
      <c r="Q1796" s="100" t="s">
        <v>3938</v>
      </c>
      <c r="R1796" s="226" t="s">
        <v>3958</v>
      </c>
      <c r="S1796" s="491" t="str">
        <f t="shared" si="57"/>
        <v>x</v>
      </c>
      <c r="T1796" s="492" t="str">
        <f>IFERROR(VLOOKUP(F1796,'Freq-Chan'!C:D,2,FALSE),"x")</f>
        <v>x</v>
      </c>
      <c r="U1796" s="110" t="s">
        <v>541</v>
      </c>
      <c r="V1796" s="110" t="str">
        <f t="shared" si="58"/>
        <v>FWL</v>
      </c>
      <c r="W1796" s="110" t="s">
        <v>541</v>
      </c>
      <c r="X1796" s="110" t="s">
        <v>541</v>
      </c>
      <c r="Y1796" s="110" t="str">
        <f>IFERROR(VLOOKUP(F1796,'Freq-Chan'!C:E,3,FALSE),"na")</f>
        <v>na</v>
      </c>
      <c r="Z1796" s="110" t="s">
        <v>541</v>
      </c>
      <c r="AA1796" s="110" t="s">
        <v>541</v>
      </c>
      <c r="AB1796" s="110" t="s">
        <v>541</v>
      </c>
      <c r="AC1796" s="10" t="s">
        <v>541</v>
      </c>
      <c r="AD1796" s="10" t="s">
        <v>541</v>
      </c>
    </row>
    <row r="1797" spans="1:30" x14ac:dyDescent="0.2">
      <c r="A1797" s="110">
        <v>1796</v>
      </c>
      <c r="B1797" s="132">
        <v>41854</v>
      </c>
      <c r="C1797" s="117">
        <v>3</v>
      </c>
      <c r="D1797" s="103" t="s">
        <v>71</v>
      </c>
      <c r="E1797" s="103" t="s">
        <v>306</v>
      </c>
      <c r="F1797" s="103">
        <v>534</v>
      </c>
      <c r="G1797" s="103">
        <v>13</v>
      </c>
      <c r="H1797" s="103" t="s">
        <v>2349</v>
      </c>
      <c r="I1797" s="103">
        <v>53</v>
      </c>
      <c r="K1797" s="103" t="s">
        <v>1032</v>
      </c>
      <c r="L1797" s="133"/>
      <c r="M1797" s="134">
        <v>5.6250000000000001E-2</v>
      </c>
      <c r="N1797" s="135" t="s">
        <v>3308</v>
      </c>
      <c r="O1797" s="133" t="s">
        <v>2931</v>
      </c>
      <c r="Q1797" s="100" t="s">
        <v>3938</v>
      </c>
      <c r="R1797" s="226" t="s">
        <v>3958</v>
      </c>
      <c r="S1797" s="491" t="str">
        <f t="shared" si="57"/>
        <v>x</v>
      </c>
      <c r="T1797" s="492">
        <f>IFERROR(VLOOKUP(F1797,'Freq-Chan'!C:D,2,FALSE),"x")</f>
        <v>151.53399999999999</v>
      </c>
      <c r="U1797" s="110" t="s">
        <v>541</v>
      </c>
      <c r="V1797" s="110" t="str">
        <f t="shared" si="58"/>
        <v>FWL</v>
      </c>
      <c r="W1797" s="110" t="s">
        <v>541</v>
      </c>
      <c r="X1797" s="110" t="s">
        <v>541</v>
      </c>
      <c r="Y1797" s="110" t="str">
        <f>IFERROR(VLOOKUP(F1797,'Freq-Chan'!C:E,3,FALSE),"na")</f>
        <v>F1840</v>
      </c>
      <c r="Z1797" s="110" t="s">
        <v>541</v>
      </c>
      <c r="AA1797" s="110" t="s">
        <v>541</v>
      </c>
      <c r="AB1797" s="110" t="s">
        <v>541</v>
      </c>
      <c r="AC1797" s="10" t="s">
        <v>541</v>
      </c>
      <c r="AD1797" s="10" t="s">
        <v>541</v>
      </c>
    </row>
    <row r="1798" spans="1:30" x14ac:dyDescent="0.2">
      <c r="A1798" s="110">
        <v>1797</v>
      </c>
      <c r="B1798" s="132">
        <v>41854</v>
      </c>
      <c r="C1798" s="117">
        <v>3</v>
      </c>
      <c r="D1798" s="103" t="s">
        <v>70</v>
      </c>
      <c r="E1798" s="103" t="s">
        <v>306</v>
      </c>
      <c r="F1798" s="103">
        <v>515</v>
      </c>
      <c r="G1798" s="103">
        <v>48</v>
      </c>
      <c r="H1798" s="103" t="s">
        <v>3055</v>
      </c>
      <c r="I1798" s="103">
        <v>52</v>
      </c>
      <c r="K1798" s="103" t="s">
        <v>1032</v>
      </c>
      <c r="L1798" s="133"/>
      <c r="M1798" s="134">
        <v>4.5138888888888888E-2</v>
      </c>
      <c r="N1798" s="135" t="s">
        <v>3949</v>
      </c>
      <c r="O1798" s="133" t="s">
        <v>373</v>
      </c>
      <c r="Q1798" s="100" t="s">
        <v>3938</v>
      </c>
      <c r="R1798" s="226" t="s">
        <v>3958</v>
      </c>
      <c r="S1798" s="491" t="str">
        <f t="shared" si="57"/>
        <v>x</v>
      </c>
      <c r="T1798" s="492">
        <f>IFERROR(VLOOKUP(F1798,'Freq-Chan'!C:D,2,FALSE),"x")</f>
        <v>151.51499999999999</v>
      </c>
      <c r="U1798" s="110" t="s">
        <v>541</v>
      </c>
      <c r="V1798" s="110" t="str">
        <f t="shared" si="58"/>
        <v>FWL</v>
      </c>
      <c r="W1798" s="110" t="s">
        <v>541</v>
      </c>
      <c r="X1798" s="110" t="s">
        <v>541</v>
      </c>
      <c r="Y1798" s="110" t="str">
        <f>IFERROR(VLOOKUP(F1798,'Freq-Chan'!C:E,3,FALSE),"na")</f>
        <v>F1835</v>
      </c>
      <c r="Z1798" s="110" t="s">
        <v>541</v>
      </c>
      <c r="AA1798" s="110" t="s">
        <v>541</v>
      </c>
      <c r="AB1798" s="110" t="s">
        <v>541</v>
      </c>
      <c r="AC1798" s="10" t="s">
        <v>541</v>
      </c>
      <c r="AD1798" s="10" t="s">
        <v>541</v>
      </c>
    </row>
    <row r="1799" spans="1:30" x14ac:dyDescent="0.2">
      <c r="A1799" s="110">
        <v>1798</v>
      </c>
      <c r="B1799" s="132">
        <v>41854</v>
      </c>
      <c r="C1799" s="117">
        <v>3</v>
      </c>
      <c r="D1799" s="103" t="s">
        <v>71</v>
      </c>
      <c r="E1799" s="103" t="s">
        <v>306</v>
      </c>
      <c r="F1799" s="103">
        <v>564</v>
      </c>
      <c r="G1799" s="103">
        <v>74</v>
      </c>
      <c r="H1799" s="103" t="s">
        <v>2350</v>
      </c>
      <c r="I1799" s="103">
        <v>57</v>
      </c>
      <c r="K1799" s="103" t="s">
        <v>364</v>
      </c>
      <c r="L1799" s="133"/>
      <c r="M1799" s="134">
        <v>4.3055555555555562E-2</v>
      </c>
      <c r="N1799" s="135" t="s">
        <v>1664</v>
      </c>
      <c r="O1799" s="133" t="s">
        <v>373</v>
      </c>
      <c r="Q1799" s="100" t="s">
        <v>3938</v>
      </c>
      <c r="R1799" s="226" t="s">
        <v>3958</v>
      </c>
      <c r="S1799" s="491" t="str">
        <f t="shared" si="57"/>
        <v>x</v>
      </c>
      <c r="T1799" s="492">
        <f>IFERROR(VLOOKUP(F1799,'Freq-Chan'!C:D,2,FALSE),"x")</f>
        <v>151.56399999999999</v>
      </c>
      <c r="U1799" s="110" t="s">
        <v>541</v>
      </c>
      <c r="V1799" s="110" t="str">
        <f t="shared" si="58"/>
        <v>FWL</v>
      </c>
      <c r="W1799" s="110" t="s">
        <v>541</v>
      </c>
      <c r="X1799" s="110" t="s">
        <v>541</v>
      </c>
      <c r="Y1799" s="110" t="str">
        <f>IFERROR(VLOOKUP(F1799,'Freq-Chan'!C:E,3,FALSE),"na")</f>
        <v>F1840</v>
      </c>
      <c r="Z1799" s="110" t="s">
        <v>541</v>
      </c>
      <c r="AA1799" s="110" t="s">
        <v>541</v>
      </c>
      <c r="AB1799" s="110" t="s">
        <v>541</v>
      </c>
      <c r="AC1799" s="10" t="s">
        <v>541</v>
      </c>
      <c r="AD1799" s="10" t="s">
        <v>541</v>
      </c>
    </row>
    <row r="1800" spans="1:30" x14ac:dyDescent="0.2">
      <c r="A1800" s="110">
        <v>1799</v>
      </c>
      <c r="B1800" s="132">
        <v>41854</v>
      </c>
      <c r="C1800" s="117">
        <v>3</v>
      </c>
      <c r="D1800" s="103" t="s">
        <v>75</v>
      </c>
      <c r="E1800" s="103" t="s">
        <v>798</v>
      </c>
      <c r="H1800" s="103"/>
      <c r="J1800" s="103">
        <v>21</v>
      </c>
      <c r="K1800" s="103" t="s">
        <v>364</v>
      </c>
      <c r="L1800" s="133"/>
      <c r="M1800" s="134">
        <v>1.5277777777777777E-2</v>
      </c>
      <c r="N1800" s="137" t="s">
        <v>3950</v>
      </c>
      <c r="O1800" s="133" t="s">
        <v>373</v>
      </c>
      <c r="Q1800" s="100" t="s">
        <v>3938</v>
      </c>
      <c r="R1800" s="226" t="s">
        <v>3958</v>
      </c>
      <c r="S1800" s="491" t="str">
        <f t="shared" si="57"/>
        <v>x</v>
      </c>
      <c r="T1800" s="492" t="str">
        <f>IFERROR(VLOOKUP(F1800,'Freq-Chan'!C:D,2,FALSE),"x")</f>
        <v>x</v>
      </c>
      <c r="U1800" s="110" t="s">
        <v>541</v>
      </c>
      <c r="V1800" s="110" t="str">
        <f t="shared" si="58"/>
        <v>FWL</v>
      </c>
      <c r="W1800" s="110" t="s">
        <v>541</v>
      </c>
      <c r="X1800" s="110" t="s">
        <v>541</v>
      </c>
      <c r="Y1800" s="110" t="str">
        <f>IFERROR(VLOOKUP(F1800,'Freq-Chan'!C:E,3,FALSE),"na")</f>
        <v>na</v>
      </c>
      <c r="Z1800" s="110" t="s">
        <v>541</v>
      </c>
      <c r="AA1800" s="110" t="s">
        <v>541</v>
      </c>
      <c r="AB1800" s="110" t="s">
        <v>541</v>
      </c>
      <c r="AC1800" s="10" t="s">
        <v>541</v>
      </c>
      <c r="AD1800" s="10" t="s">
        <v>541</v>
      </c>
    </row>
    <row r="1801" spans="1:30" x14ac:dyDescent="0.2">
      <c r="A1801" s="110">
        <v>1800</v>
      </c>
      <c r="B1801" s="132">
        <v>41854</v>
      </c>
      <c r="C1801" s="117">
        <v>3</v>
      </c>
      <c r="D1801" s="103" t="s">
        <v>71</v>
      </c>
      <c r="E1801" s="103" t="s">
        <v>306</v>
      </c>
      <c r="F1801" s="103">
        <v>534</v>
      </c>
      <c r="G1801" s="103">
        <v>24</v>
      </c>
      <c r="H1801" s="103" t="s">
        <v>2351</v>
      </c>
      <c r="I1801" s="103">
        <v>64</v>
      </c>
      <c r="K1801" s="103" t="s">
        <v>364</v>
      </c>
      <c r="L1801" s="133"/>
      <c r="M1801" s="134">
        <v>7.6388888888888895E-2</v>
      </c>
      <c r="N1801" s="137" t="s">
        <v>3951</v>
      </c>
      <c r="O1801" s="133" t="s">
        <v>2931</v>
      </c>
      <c r="Q1801" s="100" t="s">
        <v>3938</v>
      </c>
      <c r="R1801" s="226" t="s">
        <v>3958</v>
      </c>
      <c r="S1801" s="491" t="str">
        <f t="shared" si="57"/>
        <v>x</v>
      </c>
      <c r="T1801" s="492">
        <f>IFERROR(VLOOKUP(F1801,'Freq-Chan'!C:D,2,FALSE),"x")</f>
        <v>151.53399999999999</v>
      </c>
      <c r="U1801" s="110" t="s">
        <v>541</v>
      </c>
      <c r="V1801" s="110" t="str">
        <f t="shared" si="58"/>
        <v>FWL</v>
      </c>
      <c r="W1801" s="110" t="s">
        <v>541</v>
      </c>
      <c r="X1801" s="110" t="s">
        <v>541</v>
      </c>
      <c r="Y1801" s="110" t="str">
        <f>IFERROR(VLOOKUP(F1801,'Freq-Chan'!C:E,3,FALSE),"na")</f>
        <v>F1840</v>
      </c>
      <c r="Z1801" s="110" t="s">
        <v>541</v>
      </c>
      <c r="AA1801" s="110" t="s">
        <v>541</v>
      </c>
      <c r="AB1801" s="110" t="s">
        <v>541</v>
      </c>
      <c r="AC1801" s="10" t="s">
        <v>541</v>
      </c>
      <c r="AD1801" s="10" t="s">
        <v>541</v>
      </c>
    </row>
    <row r="1802" spans="1:30" x14ac:dyDescent="0.2">
      <c r="A1802" s="110">
        <v>1801</v>
      </c>
      <c r="B1802" s="132">
        <v>41854</v>
      </c>
      <c r="C1802" s="117">
        <v>3</v>
      </c>
      <c r="D1802" s="103" t="s">
        <v>71</v>
      </c>
      <c r="E1802" s="103" t="s">
        <v>306</v>
      </c>
      <c r="F1802" s="103">
        <v>534</v>
      </c>
      <c r="G1802" s="103">
        <v>49</v>
      </c>
      <c r="H1802" s="103"/>
      <c r="I1802" s="103">
        <v>63</v>
      </c>
      <c r="K1802" s="103" t="s">
        <v>364</v>
      </c>
      <c r="L1802" s="133"/>
      <c r="M1802" s="134">
        <v>6.9444444444444434E-2</v>
      </c>
      <c r="N1802" s="137" t="s">
        <v>1849</v>
      </c>
      <c r="O1802" s="133" t="s">
        <v>373</v>
      </c>
      <c r="P1802" s="100" t="s">
        <v>3952</v>
      </c>
      <c r="Q1802" s="100" t="s">
        <v>3938</v>
      </c>
      <c r="R1802" s="226" t="s">
        <v>3958</v>
      </c>
      <c r="S1802" s="491" t="str">
        <f t="shared" si="57"/>
        <v>x</v>
      </c>
      <c r="T1802" s="492">
        <f>IFERROR(VLOOKUP(F1802,'Freq-Chan'!C:D,2,FALSE),"x")</f>
        <v>151.53399999999999</v>
      </c>
      <c r="U1802" s="110" t="s">
        <v>541</v>
      </c>
      <c r="V1802" s="110" t="str">
        <f t="shared" si="58"/>
        <v>FWL</v>
      </c>
      <c r="W1802" s="110" t="s">
        <v>541</v>
      </c>
      <c r="X1802" s="110" t="s">
        <v>541</v>
      </c>
      <c r="Y1802" s="110" t="str">
        <f>IFERROR(VLOOKUP(F1802,'Freq-Chan'!C:E,3,FALSE),"na")</f>
        <v>F1840</v>
      </c>
      <c r="Z1802" s="110" t="s">
        <v>541</v>
      </c>
      <c r="AA1802" s="110" t="s">
        <v>541</v>
      </c>
      <c r="AB1802" s="110" t="s">
        <v>541</v>
      </c>
      <c r="AC1802" s="10" t="s">
        <v>541</v>
      </c>
      <c r="AD1802" s="10" t="s">
        <v>541</v>
      </c>
    </row>
    <row r="1803" spans="1:30" x14ac:dyDescent="0.2">
      <c r="A1803" s="110">
        <v>1802</v>
      </c>
      <c r="B1803" s="132">
        <v>41854</v>
      </c>
      <c r="C1803" s="117">
        <v>3</v>
      </c>
      <c r="D1803" s="103" t="s">
        <v>71</v>
      </c>
      <c r="E1803" s="103" t="s">
        <v>306</v>
      </c>
      <c r="F1803" s="103">
        <v>534</v>
      </c>
      <c r="G1803" s="103">
        <v>0</v>
      </c>
      <c r="H1803" s="103" t="s">
        <v>2371</v>
      </c>
      <c r="I1803" s="103">
        <v>55</v>
      </c>
      <c r="K1803" s="103" t="s">
        <v>365</v>
      </c>
      <c r="L1803" s="133"/>
      <c r="M1803" s="134">
        <v>6.0416666666666667E-2</v>
      </c>
      <c r="N1803" s="137" t="s">
        <v>3391</v>
      </c>
      <c r="O1803" s="133" t="s">
        <v>3932</v>
      </c>
      <c r="Q1803" s="100" t="s">
        <v>3954</v>
      </c>
      <c r="R1803" s="226" t="s">
        <v>3958</v>
      </c>
      <c r="S1803" s="491" t="str">
        <f t="shared" si="57"/>
        <v>x</v>
      </c>
      <c r="T1803" s="492">
        <f>IFERROR(VLOOKUP(F1803,'Freq-Chan'!C:D,2,FALSE),"x")</f>
        <v>151.53399999999999</v>
      </c>
      <c r="U1803" s="110" t="s">
        <v>541</v>
      </c>
      <c r="V1803" s="110" t="str">
        <f t="shared" si="58"/>
        <v>FWL</v>
      </c>
      <c r="W1803" s="110" t="s">
        <v>541</v>
      </c>
      <c r="X1803" s="110" t="s">
        <v>541</v>
      </c>
      <c r="Y1803" s="110" t="str">
        <f>IFERROR(VLOOKUP(F1803,'Freq-Chan'!C:E,3,FALSE),"na")</f>
        <v>F1840</v>
      </c>
      <c r="Z1803" s="110" t="s">
        <v>541</v>
      </c>
      <c r="AA1803" s="110" t="s">
        <v>541</v>
      </c>
      <c r="AB1803" s="110" t="s">
        <v>541</v>
      </c>
      <c r="AC1803" s="10" t="s">
        <v>541</v>
      </c>
      <c r="AD1803" s="10" t="s">
        <v>541</v>
      </c>
    </row>
    <row r="1804" spans="1:30" x14ac:dyDescent="0.2">
      <c r="A1804" s="110">
        <v>1803</v>
      </c>
      <c r="B1804" s="132">
        <v>41854</v>
      </c>
      <c r="C1804" s="117">
        <v>3</v>
      </c>
      <c r="D1804" s="103" t="s">
        <v>70</v>
      </c>
      <c r="E1804" s="103" t="s">
        <v>306</v>
      </c>
      <c r="F1804" s="103">
        <v>515</v>
      </c>
      <c r="G1804" s="103">
        <v>77</v>
      </c>
      <c r="H1804" s="103" t="s">
        <v>3054</v>
      </c>
      <c r="I1804" s="103">
        <v>48</v>
      </c>
      <c r="K1804" s="103" t="s">
        <v>1032</v>
      </c>
      <c r="L1804" s="133"/>
      <c r="M1804" s="134">
        <v>5.7638888888888885E-2</v>
      </c>
      <c r="N1804" s="137" t="s">
        <v>1785</v>
      </c>
      <c r="O1804" s="133" t="s">
        <v>3932</v>
      </c>
      <c r="Q1804" s="100" t="s">
        <v>3954</v>
      </c>
      <c r="R1804" s="226" t="s">
        <v>3958</v>
      </c>
      <c r="S1804" s="491" t="str">
        <f t="shared" si="57"/>
        <v>x</v>
      </c>
      <c r="T1804" s="492">
        <f>IFERROR(VLOOKUP(F1804,'Freq-Chan'!C:D,2,FALSE),"x")</f>
        <v>151.51499999999999</v>
      </c>
      <c r="U1804" s="110" t="s">
        <v>541</v>
      </c>
      <c r="V1804" s="110" t="str">
        <f t="shared" si="58"/>
        <v>FWL</v>
      </c>
      <c r="W1804" s="110" t="s">
        <v>541</v>
      </c>
      <c r="X1804" s="110" t="s">
        <v>541</v>
      </c>
      <c r="Y1804" s="110" t="str">
        <f>IFERROR(VLOOKUP(F1804,'Freq-Chan'!C:E,3,FALSE),"na")</f>
        <v>F1835</v>
      </c>
      <c r="Z1804" s="110" t="s">
        <v>541</v>
      </c>
      <c r="AA1804" s="110" t="s">
        <v>541</v>
      </c>
      <c r="AB1804" s="110" t="s">
        <v>541</v>
      </c>
      <c r="AC1804" s="10" t="s">
        <v>541</v>
      </c>
      <c r="AD1804" s="10" t="s">
        <v>541</v>
      </c>
    </row>
    <row r="1805" spans="1:30" s="291" customFormat="1" x14ac:dyDescent="0.2">
      <c r="A1805" s="493">
        <v>1804</v>
      </c>
      <c r="B1805" s="283">
        <v>41854</v>
      </c>
      <c r="C1805" s="284">
        <v>3</v>
      </c>
      <c r="D1805" s="285" t="s">
        <v>71</v>
      </c>
      <c r="E1805" s="285" t="s">
        <v>306</v>
      </c>
      <c r="F1805" s="285">
        <v>564</v>
      </c>
      <c r="G1805" s="285">
        <v>9</v>
      </c>
      <c r="H1805" s="285" t="s">
        <v>2370</v>
      </c>
      <c r="I1805" s="285">
        <v>54</v>
      </c>
      <c r="J1805" s="285"/>
      <c r="K1805" s="285" t="s">
        <v>1032</v>
      </c>
      <c r="L1805" s="286">
        <v>0.7729166666666667</v>
      </c>
      <c r="M1805" s="287">
        <v>6.0416666666666667E-2</v>
      </c>
      <c r="N1805" s="339" t="s">
        <v>882</v>
      </c>
      <c r="O1805" s="286" t="s">
        <v>3932</v>
      </c>
      <c r="P1805" s="289"/>
      <c r="Q1805" s="289" t="s">
        <v>3954</v>
      </c>
      <c r="R1805" s="290" t="s">
        <v>3958</v>
      </c>
      <c r="S1805" s="494">
        <f t="shared" si="57"/>
        <v>1.14930556E-2</v>
      </c>
      <c r="T1805" s="495">
        <f>IFERROR(VLOOKUP(F1805,'Freq-Chan'!C:D,2,FALSE),"x")</f>
        <v>151.56399999999999</v>
      </c>
      <c r="U1805" s="493" t="s">
        <v>541</v>
      </c>
      <c r="V1805" s="493" t="str">
        <f t="shared" si="58"/>
        <v>FWL</v>
      </c>
      <c r="W1805" s="493" t="s">
        <v>541</v>
      </c>
      <c r="X1805" s="493" t="s">
        <v>541</v>
      </c>
      <c r="Y1805" s="493" t="str">
        <f>IFERROR(VLOOKUP(F1805,'Freq-Chan'!C:E,3,FALSE),"na")</f>
        <v>F1840</v>
      </c>
      <c r="Z1805" s="493" t="s">
        <v>541</v>
      </c>
      <c r="AA1805" s="493" t="s">
        <v>541</v>
      </c>
      <c r="AB1805" s="493" t="s">
        <v>541</v>
      </c>
      <c r="AC1805" s="291" t="s">
        <v>541</v>
      </c>
      <c r="AD1805" s="291" t="s">
        <v>541</v>
      </c>
    </row>
    <row r="1806" spans="1:30" x14ac:dyDescent="0.2">
      <c r="A1806" s="110">
        <v>1805</v>
      </c>
      <c r="B1806" s="132">
        <v>41855</v>
      </c>
      <c r="C1806" s="117">
        <v>1</v>
      </c>
      <c r="D1806" s="103" t="s">
        <v>70</v>
      </c>
      <c r="E1806" s="103" t="s">
        <v>306</v>
      </c>
      <c r="F1806" s="103">
        <v>515</v>
      </c>
      <c r="G1806" s="103">
        <v>67</v>
      </c>
      <c r="H1806" s="103" t="s">
        <v>3068</v>
      </c>
      <c r="I1806" s="103">
        <v>49</v>
      </c>
      <c r="K1806" s="103" t="s">
        <v>1032</v>
      </c>
      <c r="L1806" s="133"/>
      <c r="M1806" s="134">
        <v>4.5833333333333337E-2</v>
      </c>
      <c r="N1806" s="137" t="s">
        <v>2047</v>
      </c>
      <c r="O1806" s="133" t="s">
        <v>376</v>
      </c>
      <c r="Q1806" s="100" t="s">
        <v>3963</v>
      </c>
      <c r="R1806" s="226" t="s">
        <v>3991</v>
      </c>
      <c r="S1806" s="491" t="str">
        <f t="shared" si="57"/>
        <v>x</v>
      </c>
      <c r="T1806" s="492">
        <f>IFERROR(VLOOKUP(F1806,'Freq-Chan'!C:D,2,FALSE),"x")</f>
        <v>151.51499999999999</v>
      </c>
      <c r="U1806" s="110" t="s">
        <v>541</v>
      </c>
      <c r="V1806" s="110" t="str">
        <f t="shared" si="58"/>
        <v>FWL</v>
      </c>
      <c r="W1806" s="110" t="s">
        <v>541</v>
      </c>
      <c r="X1806" s="110" t="s">
        <v>541</v>
      </c>
      <c r="Y1806" s="110" t="str">
        <f>IFERROR(VLOOKUP(F1806,'Freq-Chan'!C:E,3,FALSE),"na")</f>
        <v>F1835</v>
      </c>
      <c r="Z1806" s="110" t="s">
        <v>541</v>
      </c>
      <c r="AA1806" s="110" t="s">
        <v>541</v>
      </c>
      <c r="AB1806" s="110" t="s">
        <v>541</v>
      </c>
      <c r="AC1806" s="10" t="s">
        <v>541</v>
      </c>
      <c r="AD1806" s="10" t="s">
        <v>541</v>
      </c>
    </row>
    <row r="1807" spans="1:30" x14ac:dyDescent="0.2">
      <c r="A1807" s="110">
        <v>1806</v>
      </c>
      <c r="B1807" s="132">
        <v>41855</v>
      </c>
      <c r="C1807" s="117">
        <v>1</v>
      </c>
      <c r="D1807" s="103" t="s">
        <v>71</v>
      </c>
      <c r="E1807" s="103" t="s">
        <v>306</v>
      </c>
      <c r="H1807" s="103"/>
      <c r="I1807" s="103">
        <v>60</v>
      </c>
      <c r="K1807" s="103" t="s">
        <v>1032</v>
      </c>
      <c r="L1807" s="133"/>
      <c r="M1807" s="134">
        <v>0.1111111111111111</v>
      </c>
      <c r="N1807" s="137" t="s">
        <v>3351</v>
      </c>
      <c r="O1807" s="133" t="s">
        <v>376</v>
      </c>
      <c r="P1807" s="100" t="s">
        <v>3969</v>
      </c>
      <c r="Q1807" s="100" t="s">
        <v>3963</v>
      </c>
      <c r="R1807" s="226" t="s">
        <v>3991</v>
      </c>
      <c r="S1807" s="491" t="str">
        <f t="shared" si="57"/>
        <v>x</v>
      </c>
      <c r="T1807" s="492" t="str">
        <f>IFERROR(VLOOKUP(F1807,'Freq-Chan'!C:D,2,FALSE),"x")</f>
        <v>x</v>
      </c>
      <c r="U1807" s="110" t="s">
        <v>541</v>
      </c>
      <c r="V1807" s="110" t="str">
        <f t="shared" si="58"/>
        <v>FWL</v>
      </c>
      <c r="W1807" s="110" t="s">
        <v>541</v>
      </c>
      <c r="X1807" s="110" t="s">
        <v>541</v>
      </c>
      <c r="Y1807" s="110" t="str">
        <f>IFERROR(VLOOKUP(F1807,'Freq-Chan'!C:E,3,FALSE),"na")</f>
        <v>na</v>
      </c>
      <c r="Z1807" s="110" t="s">
        <v>541</v>
      </c>
      <c r="AA1807" s="110" t="s">
        <v>541</v>
      </c>
      <c r="AB1807" s="110" t="s">
        <v>541</v>
      </c>
      <c r="AC1807" s="10" t="s">
        <v>541</v>
      </c>
      <c r="AD1807" s="10" t="s">
        <v>541</v>
      </c>
    </row>
    <row r="1808" spans="1:30" x14ac:dyDescent="0.2">
      <c r="A1808" s="110">
        <v>1807</v>
      </c>
      <c r="B1808" s="132">
        <v>41855</v>
      </c>
      <c r="C1808" s="117">
        <v>1</v>
      </c>
      <c r="D1808" s="103" t="s">
        <v>70</v>
      </c>
      <c r="E1808" s="103" t="s">
        <v>306</v>
      </c>
      <c r="H1808" s="103"/>
      <c r="I1808" s="103">
        <v>45</v>
      </c>
      <c r="K1808" s="103" t="s">
        <v>1032</v>
      </c>
      <c r="L1808" s="133"/>
      <c r="M1808" s="134">
        <v>1.5972222222222224E-2</v>
      </c>
      <c r="N1808" s="137" t="s">
        <v>3961</v>
      </c>
      <c r="O1808" s="133" t="s">
        <v>376</v>
      </c>
      <c r="Q1808" s="100" t="s">
        <v>3963</v>
      </c>
      <c r="R1808" s="226" t="s">
        <v>3991</v>
      </c>
      <c r="S1808" s="491" t="str">
        <f t="shared" si="57"/>
        <v>x</v>
      </c>
      <c r="T1808" s="492" t="str">
        <f>IFERROR(VLOOKUP(F1808,'Freq-Chan'!C:D,2,FALSE),"x")</f>
        <v>x</v>
      </c>
      <c r="U1808" s="110" t="s">
        <v>541</v>
      </c>
      <c r="V1808" s="110" t="str">
        <f t="shared" si="58"/>
        <v>FWL</v>
      </c>
      <c r="W1808" s="110" t="s">
        <v>541</v>
      </c>
      <c r="X1808" s="110" t="s">
        <v>541</v>
      </c>
      <c r="Y1808" s="110" t="str">
        <f>IFERROR(VLOOKUP(F1808,'Freq-Chan'!C:E,3,FALSE),"na")</f>
        <v>na</v>
      </c>
      <c r="Z1808" s="110" t="s">
        <v>541</v>
      </c>
      <c r="AA1808" s="110" t="s">
        <v>541</v>
      </c>
      <c r="AB1808" s="110" t="s">
        <v>541</v>
      </c>
      <c r="AC1808" s="10" t="s">
        <v>541</v>
      </c>
      <c r="AD1808" s="10" t="s">
        <v>541</v>
      </c>
    </row>
    <row r="1809" spans="1:30" x14ac:dyDescent="0.2">
      <c r="A1809" s="110">
        <v>1808</v>
      </c>
      <c r="B1809" s="132">
        <v>41855</v>
      </c>
      <c r="C1809" s="117">
        <v>1</v>
      </c>
      <c r="D1809" s="103" t="s">
        <v>70</v>
      </c>
      <c r="E1809" s="103" t="s">
        <v>306</v>
      </c>
      <c r="H1809" s="103"/>
      <c r="I1809" s="103">
        <v>49</v>
      </c>
      <c r="K1809" s="103" t="s">
        <v>1032</v>
      </c>
      <c r="L1809" s="133"/>
      <c r="M1809" s="134">
        <v>1.4583333333333332E-2</v>
      </c>
      <c r="N1809" s="137" t="s">
        <v>3399</v>
      </c>
      <c r="O1809" s="133" t="s">
        <v>376</v>
      </c>
      <c r="Q1809" s="100" t="s">
        <v>3963</v>
      </c>
      <c r="R1809" s="226" t="s">
        <v>3991</v>
      </c>
      <c r="S1809" s="491" t="str">
        <f t="shared" si="57"/>
        <v>x</v>
      </c>
      <c r="T1809" s="492" t="str">
        <f>IFERROR(VLOOKUP(F1809,'Freq-Chan'!C:D,2,FALSE),"x")</f>
        <v>x</v>
      </c>
      <c r="U1809" s="110" t="s">
        <v>541</v>
      </c>
      <c r="V1809" s="110" t="str">
        <f t="shared" si="58"/>
        <v>FWL</v>
      </c>
      <c r="W1809" s="110" t="s">
        <v>541</v>
      </c>
      <c r="X1809" s="110" t="s">
        <v>541</v>
      </c>
      <c r="Y1809" s="110" t="str">
        <f>IFERROR(VLOOKUP(F1809,'Freq-Chan'!C:E,3,FALSE),"na")</f>
        <v>na</v>
      </c>
      <c r="Z1809" s="110" t="s">
        <v>541</v>
      </c>
      <c r="AA1809" s="110" t="s">
        <v>541</v>
      </c>
      <c r="AB1809" s="110" t="s">
        <v>541</v>
      </c>
      <c r="AC1809" s="10" t="s">
        <v>541</v>
      </c>
      <c r="AD1809" s="10" t="s">
        <v>541</v>
      </c>
    </row>
    <row r="1810" spans="1:30" x14ac:dyDescent="0.2">
      <c r="A1810" s="110">
        <v>1809</v>
      </c>
      <c r="B1810" s="132">
        <v>41855</v>
      </c>
      <c r="C1810" s="117">
        <v>1</v>
      </c>
      <c r="D1810" s="103" t="s">
        <v>70</v>
      </c>
      <c r="E1810" s="103" t="s">
        <v>306</v>
      </c>
      <c r="H1810" s="103"/>
      <c r="I1810" s="103">
        <v>49</v>
      </c>
      <c r="K1810" s="103" t="s">
        <v>1032</v>
      </c>
      <c r="L1810" s="133"/>
      <c r="M1810" s="134">
        <v>1.9444444444444445E-2</v>
      </c>
      <c r="N1810" s="137" t="s">
        <v>839</v>
      </c>
      <c r="O1810" s="133" t="s">
        <v>376</v>
      </c>
      <c r="Q1810" s="100" t="s">
        <v>3963</v>
      </c>
      <c r="R1810" s="226" t="s">
        <v>3991</v>
      </c>
      <c r="S1810" s="491" t="str">
        <f t="shared" si="57"/>
        <v>x</v>
      </c>
      <c r="T1810" s="492" t="str">
        <f>IFERROR(VLOOKUP(F1810,'Freq-Chan'!C:D,2,FALSE),"x")</f>
        <v>x</v>
      </c>
      <c r="U1810" s="110" t="s">
        <v>541</v>
      </c>
      <c r="V1810" s="110" t="str">
        <f t="shared" si="58"/>
        <v>FWL</v>
      </c>
      <c r="W1810" s="110" t="s">
        <v>541</v>
      </c>
      <c r="X1810" s="110" t="s">
        <v>541</v>
      </c>
      <c r="Y1810" s="110" t="str">
        <f>IFERROR(VLOOKUP(F1810,'Freq-Chan'!C:E,3,FALSE),"na")</f>
        <v>na</v>
      </c>
      <c r="Z1810" s="110" t="s">
        <v>541</v>
      </c>
      <c r="AA1810" s="110" t="s">
        <v>541</v>
      </c>
      <c r="AB1810" s="110" t="s">
        <v>541</v>
      </c>
      <c r="AC1810" s="10" t="s">
        <v>541</v>
      </c>
      <c r="AD1810" s="10" t="s">
        <v>541</v>
      </c>
    </row>
    <row r="1811" spans="1:30" x14ac:dyDescent="0.2">
      <c r="A1811" s="110">
        <v>1810</v>
      </c>
      <c r="B1811" s="132">
        <v>41855</v>
      </c>
      <c r="C1811" s="117">
        <v>1</v>
      </c>
      <c r="D1811" s="103" t="s">
        <v>70</v>
      </c>
      <c r="E1811" s="103" t="s">
        <v>306</v>
      </c>
      <c r="H1811" s="103"/>
      <c r="I1811" s="103">
        <v>45</v>
      </c>
      <c r="K1811" s="103" t="s">
        <v>365</v>
      </c>
      <c r="L1811" s="133"/>
      <c r="M1811" s="134">
        <v>2.013888888888889E-2</v>
      </c>
      <c r="N1811" s="137" t="s">
        <v>839</v>
      </c>
      <c r="O1811" s="133" t="s">
        <v>376</v>
      </c>
      <c r="Q1811" s="100" t="s">
        <v>3963</v>
      </c>
      <c r="R1811" s="226" t="s">
        <v>3991</v>
      </c>
      <c r="S1811" s="491" t="str">
        <f t="shared" si="57"/>
        <v>x</v>
      </c>
      <c r="T1811" s="492" t="str">
        <f>IFERROR(VLOOKUP(F1811,'Freq-Chan'!C:D,2,FALSE),"x")</f>
        <v>x</v>
      </c>
      <c r="U1811" s="110" t="s">
        <v>541</v>
      </c>
      <c r="V1811" s="110" t="str">
        <f t="shared" si="58"/>
        <v>FWL</v>
      </c>
      <c r="W1811" s="110" t="s">
        <v>541</v>
      </c>
      <c r="X1811" s="110" t="s">
        <v>541</v>
      </c>
      <c r="Y1811" s="110" t="str">
        <f>IFERROR(VLOOKUP(F1811,'Freq-Chan'!C:E,3,FALSE),"na")</f>
        <v>na</v>
      </c>
      <c r="Z1811" s="110" t="s">
        <v>541</v>
      </c>
      <c r="AA1811" s="110" t="s">
        <v>541</v>
      </c>
      <c r="AB1811" s="110" t="s">
        <v>541</v>
      </c>
      <c r="AC1811" s="10" t="s">
        <v>541</v>
      </c>
      <c r="AD1811" s="10" t="s">
        <v>541</v>
      </c>
    </row>
    <row r="1812" spans="1:30" x14ac:dyDescent="0.2">
      <c r="A1812" s="110">
        <v>1811</v>
      </c>
      <c r="B1812" s="132">
        <v>41855</v>
      </c>
      <c r="C1812" s="117">
        <v>1</v>
      </c>
      <c r="D1812" s="103" t="s">
        <v>71</v>
      </c>
      <c r="E1812" s="103" t="s">
        <v>306</v>
      </c>
      <c r="F1812" s="103">
        <v>534</v>
      </c>
      <c r="G1812" s="103">
        <v>15</v>
      </c>
      <c r="H1812" s="103" t="s">
        <v>2363</v>
      </c>
      <c r="I1812" s="103">
        <v>60</v>
      </c>
      <c r="K1812" s="103" t="s">
        <v>365</v>
      </c>
      <c r="L1812" s="133"/>
      <c r="M1812" s="134">
        <v>4.027777777777778E-2</v>
      </c>
      <c r="N1812" s="137" t="s">
        <v>3400</v>
      </c>
      <c r="O1812" s="133" t="s">
        <v>376</v>
      </c>
      <c r="Q1812" s="100" t="s">
        <v>3963</v>
      </c>
      <c r="R1812" s="226" t="s">
        <v>3991</v>
      </c>
      <c r="S1812" s="491" t="str">
        <f t="shared" si="57"/>
        <v>x</v>
      </c>
      <c r="T1812" s="492">
        <f>IFERROR(VLOOKUP(F1812,'Freq-Chan'!C:D,2,FALSE),"x")</f>
        <v>151.53399999999999</v>
      </c>
      <c r="U1812" s="110" t="s">
        <v>541</v>
      </c>
      <c r="V1812" s="110" t="str">
        <f t="shared" si="58"/>
        <v>FWL</v>
      </c>
      <c r="W1812" s="110" t="s">
        <v>541</v>
      </c>
      <c r="X1812" s="110" t="s">
        <v>541</v>
      </c>
      <c r="Y1812" s="110" t="str">
        <f>IFERROR(VLOOKUP(F1812,'Freq-Chan'!C:E,3,FALSE),"na")</f>
        <v>F1840</v>
      </c>
      <c r="Z1812" s="110" t="s">
        <v>541</v>
      </c>
      <c r="AA1812" s="110" t="s">
        <v>541</v>
      </c>
      <c r="AB1812" s="110" t="s">
        <v>541</v>
      </c>
      <c r="AC1812" s="10" t="s">
        <v>541</v>
      </c>
      <c r="AD1812" s="10" t="s">
        <v>541</v>
      </c>
    </row>
    <row r="1813" spans="1:30" x14ac:dyDescent="0.2">
      <c r="A1813" s="110">
        <v>1812</v>
      </c>
      <c r="B1813" s="132">
        <v>41855</v>
      </c>
      <c r="C1813" s="117">
        <v>1</v>
      </c>
      <c r="D1813" s="103" t="s">
        <v>70</v>
      </c>
      <c r="E1813" s="103" t="s">
        <v>306</v>
      </c>
      <c r="H1813" s="103"/>
      <c r="I1813" s="103">
        <v>42</v>
      </c>
      <c r="K1813" s="103" t="s">
        <v>1032</v>
      </c>
      <c r="L1813" s="133"/>
      <c r="M1813" s="134">
        <v>1.7361111111111112E-2</v>
      </c>
      <c r="N1813" s="137" t="s">
        <v>3450</v>
      </c>
      <c r="O1813" s="133" t="s">
        <v>376</v>
      </c>
      <c r="Q1813" s="100" t="s">
        <v>3963</v>
      </c>
      <c r="R1813" s="226" t="s">
        <v>3991</v>
      </c>
      <c r="S1813" s="491" t="str">
        <f t="shared" si="57"/>
        <v>x</v>
      </c>
      <c r="T1813" s="492" t="str">
        <f>IFERROR(VLOOKUP(F1813,'Freq-Chan'!C:D,2,FALSE),"x")</f>
        <v>x</v>
      </c>
      <c r="U1813" s="110" t="s">
        <v>541</v>
      </c>
      <c r="V1813" s="110" t="str">
        <f t="shared" si="58"/>
        <v>FWL</v>
      </c>
      <c r="W1813" s="110" t="s">
        <v>541</v>
      </c>
      <c r="X1813" s="110" t="s">
        <v>541</v>
      </c>
      <c r="Y1813" s="110" t="str">
        <f>IFERROR(VLOOKUP(F1813,'Freq-Chan'!C:E,3,FALSE),"na")</f>
        <v>na</v>
      </c>
      <c r="Z1813" s="110" t="s">
        <v>541</v>
      </c>
      <c r="AA1813" s="110" t="s">
        <v>541</v>
      </c>
      <c r="AB1813" s="110" t="s">
        <v>541</v>
      </c>
      <c r="AC1813" s="10" t="s">
        <v>541</v>
      </c>
      <c r="AD1813" s="10" t="s">
        <v>541</v>
      </c>
    </row>
    <row r="1814" spans="1:30" x14ac:dyDescent="0.2">
      <c r="A1814" s="110">
        <v>1813</v>
      </c>
      <c r="B1814" s="132">
        <v>41855</v>
      </c>
      <c r="C1814" s="117">
        <v>1</v>
      </c>
      <c r="D1814" s="103" t="s">
        <v>70</v>
      </c>
      <c r="E1814" s="103" t="s">
        <v>306</v>
      </c>
      <c r="H1814" s="103"/>
      <c r="I1814" s="103">
        <v>45</v>
      </c>
      <c r="K1814" s="103" t="s">
        <v>1032</v>
      </c>
      <c r="L1814" s="133"/>
      <c r="M1814" s="134">
        <v>1.6666666666666666E-2</v>
      </c>
      <c r="N1814" s="137" t="s">
        <v>1571</v>
      </c>
      <c r="O1814" s="133" t="s">
        <v>376</v>
      </c>
      <c r="Q1814" s="100" t="s">
        <v>3963</v>
      </c>
      <c r="R1814" s="226" t="s">
        <v>3991</v>
      </c>
      <c r="S1814" s="491" t="str">
        <f t="shared" si="57"/>
        <v>x</v>
      </c>
      <c r="T1814" s="492" t="str">
        <f>IFERROR(VLOOKUP(F1814,'Freq-Chan'!C:D,2,FALSE),"x")</f>
        <v>x</v>
      </c>
      <c r="U1814" s="110" t="s">
        <v>541</v>
      </c>
      <c r="V1814" s="110" t="str">
        <f t="shared" si="58"/>
        <v>FWL</v>
      </c>
      <c r="W1814" s="110" t="s">
        <v>541</v>
      </c>
      <c r="X1814" s="110" t="s">
        <v>541</v>
      </c>
      <c r="Y1814" s="110" t="str">
        <f>IFERROR(VLOOKUP(F1814,'Freq-Chan'!C:E,3,FALSE),"na")</f>
        <v>na</v>
      </c>
      <c r="Z1814" s="110" t="s">
        <v>541</v>
      </c>
      <c r="AA1814" s="110" t="s">
        <v>541</v>
      </c>
      <c r="AB1814" s="110" t="s">
        <v>541</v>
      </c>
      <c r="AC1814" s="10" t="s">
        <v>541</v>
      </c>
      <c r="AD1814" s="10" t="s">
        <v>541</v>
      </c>
    </row>
    <row r="1815" spans="1:30" x14ac:dyDescent="0.2">
      <c r="A1815" s="110">
        <v>1814</v>
      </c>
      <c r="B1815" s="132">
        <v>41855</v>
      </c>
      <c r="C1815" s="117">
        <v>1</v>
      </c>
      <c r="D1815" s="103" t="s">
        <v>70</v>
      </c>
      <c r="E1815" s="103" t="s">
        <v>306</v>
      </c>
      <c r="H1815" s="103"/>
      <c r="I1815" s="103">
        <v>46</v>
      </c>
      <c r="K1815" s="103" t="s">
        <v>365</v>
      </c>
      <c r="L1815" s="133"/>
      <c r="M1815" s="134">
        <v>1.5972222222222224E-2</v>
      </c>
      <c r="N1815" s="137" t="s">
        <v>3451</v>
      </c>
      <c r="O1815" s="133" t="s">
        <v>376</v>
      </c>
      <c r="Q1815" s="100" t="s">
        <v>3963</v>
      </c>
      <c r="R1815" s="226" t="s">
        <v>3991</v>
      </c>
      <c r="S1815" s="491" t="str">
        <f t="shared" si="57"/>
        <v>x</v>
      </c>
      <c r="T1815" s="492" t="str">
        <f>IFERROR(VLOOKUP(F1815,'Freq-Chan'!C:D,2,FALSE),"x")</f>
        <v>x</v>
      </c>
      <c r="U1815" s="110" t="s">
        <v>541</v>
      </c>
      <c r="V1815" s="110" t="str">
        <f t="shared" si="58"/>
        <v>FWL</v>
      </c>
      <c r="W1815" s="110" t="s">
        <v>541</v>
      </c>
      <c r="X1815" s="110" t="s">
        <v>541</v>
      </c>
      <c r="Y1815" s="110" t="str">
        <f>IFERROR(VLOOKUP(F1815,'Freq-Chan'!C:E,3,FALSE),"na")</f>
        <v>na</v>
      </c>
      <c r="Z1815" s="110" t="s">
        <v>541</v>
      </c>
      <c r="AA1815" s="110" t="s">
        <v>541</v>
      </c>
      <c r="AB1815" s="110" t="s">
        <v>541</v>
      </c>
      <c r="AC1815" s="10" t="s">
        <v>541</v>
      </c>
      <c r="AD1815" s="10" t="s">
        <v>541</v>
      </c>
    </row>
    <row r="1816" spans="1:30" x14ac:dyDescent="0.2">
      <c r="A1816" s="110">
        <v>1815</v>
      </c>
      <c r="B1816" s="132">
        <v>41855</v>
      </c>
      <c r="C1816" s="117">
        <v>1</v>
      </c>
      <c r="D1816" s="103" t="s">
        <v>70</v>
      </c>
      <c r="E1816" s="103" t="s">
        <v>306</v>
      </c>
      <c r="H1816" s="103"/>
      <c r="I1816" s="103">
        <v>45</v>
      </c>
      <c r="K1816" s="103" t="s">
        <v>365</v>
      </c>
      <c r="L1816" s="133"/>
      <c r="M1816" s="134">
        <v>1.5277777777777777E-2</v>
      </c>
      <c r="N1816" s="137" t="s">
        <v>2689</v>
      </c>
      <c r="O1816" s="133" t="s">
        <v>376</v>
      </c>
      <c r="Q1816" s="100" t="s">
        <v>3963</v>
      </c>
      <c r="R1816" s="226" t="s">
        <v>3991</v>
      </c>
      <c r="S1816" s="491" t="str">
        <f t="shared" si="57"/>
        <v>x</v>
      </c>
      <c r="T1816" s="492" t="str">
        <f>IFERROR(VLOOKUP(F1816,'Freq-Chan'!C:D,2,FALSE),"x")</f>
        <v>x</v>
      </c>
      <c r="U1816" s="110" t="s">
        <v>541</v>
      </c>
      <c r="V1816" s="110" t="str">
        <f t="shared" si="58"/>
        <v>FWL</v>
      </c>
      <c r="W1816" s="110" t="s">
        <v>541</v>
      </c>
      <c r="X1816" s="110" t="s">
        <v>541</v>
      </c>
      <c r="Y1816" s="110" t="str">
        <f>IFERROR(VLOOKUP(F1816,'Freq-Chan'!C:E,3,FALSE),"na")</f>
        <v>na</v>
      </c>
      <c r="Z1816" s="110" t="s">
        <v>541</v>
      </c>
      <c r="AA1816" s="110" t="s">
        <v>541</v>
      </c>
      <c r="AB1816" s="110" t="s">
        <v>541</v>
      </c>
      <c r="AC1816" s="10" t="s">
        <v>541</v>
      </c>
      <c r="AD1816" s="10" t="s">
        <v>541</v>
      </c>
    </row>
    <row r="1817" spans="1:30" x14ac:dyDescent="0.2">
      <c r="A1817" s="110">
        <v>1816</v>
      </c>
      <c r="B1817" s="132">
        <v>41855</v>
      </c>
      <c r="C1817" s="117">
        <v>1</v>
      </c>
      <c r="D1817" s="103" t="s">
        <v>70</v>
      </c>
      <c r="E1817" s="103" t="s">
        <v>306</v>
      </c>
      <c r="H1817" s="103"/>
      <c r="I1817" s="103">
        <v>44</v>
      </c>
      <c r="K1817" s="103" t="s">
        <v>1032</v>
      </c>
      <c r="L1817" s="133"/>
      <c r="M1817" s="134">
        <v>1.4583333333333332E-2</v>
      </c>
      <c r="N1817" s="137" t="s">
        <v>3334</v>
      </c>
      <c r="O1817" s="133" t="s">
        <v>376</v>
      </c>
      <c r="Q1817" s="100" t="s">
        <v>3963</v>
      </c>
      <c r="R1817" s="226" t="s">
        <v>3991</v>
      </c>
      <c r="S1817" s="491" t="str">
        <f t="shared" si="57"/>
        <v>x</v>
      </c>
      <c r="T1817" s="492" t="str">
        <f>IFERROR(VLOOKUP(F1817,'Freq-Chan'!C:D,2,FALSE),"x")</f>
        <v>x</v>
      </c>
      <c r="U1817" s="110" t="s">
        <v>541</v>
      </c>
      <c r="V1817" s="110" t="str">
        <f t="shared" si="58"/>
        <v>FWL</v>
      </c>
      <c r="W1817" s="110" t="s">
        <v>541</v>
      </c>
      <c r="X1817" s="110" t="s">
        <v>541</v>
      </c>
      <c r="Y1817" s="110" t="str">
        <f>IFERROR(VLOOKUP(F1817,'Freq-Chan'!C:E,3,FALSE),"na")</f>
        <v>na</v>
      </c>
      <c r="Z1817" s="110" t="s">
        <v>541</v>
      </c>
      <c r="AA1817" s="110" t="s">
        <v>541</v>
      </c>
      <c r="AB1817" s="110" t="s">
        <v>541</v>
      </c>
      <c r="AC1817" s="10" t="s">
        <v>541</v>
      </c>
      <c r="AD1817" s="10" t="s">
        <v>541</v>
      </c>
    </row>
    <row r="1818" spans="1:30" x14ac:dyDescent="0.2">
      <c r="A1818" s="110">
        <v>1817</v>
      </c>
      <c r="B1818" s="132">
        <v>41855</v>
      </c>
      <c r="C1818" s="117">
        <v>1</v>
      </c>
      <c r="D1818" s="103" t="s">
        <v>71</v>
      </c>
      <c r="E1818" s="103" t="s">
        <v>306</v>
      </c>
      <c r="H1818" s="103"/>
      <c r="I1818" s="103">
        <v>61</v>
      </c>
      <c r="K1818" s="103" t="s">
        <v>1032</v>
      </c>
      <c r="L1818" s="133"/>
      <c r="M1818" s="134">
        <v>1.7361111111111112E-2</v>
      </c>
      <c r="N1818" s="137" t="s">
        <v>3292</v>
      </c>
      <c r="O1818" s="133" t="s">
        <v>376</v>
      </c>
      <c r="Q1818" s="100" t="s">
        <v>3963</v>
      </c>
      <c r="R1818" s="226" t="s">
        <v>3991</v>
      </c>
      <c r="S1818" s="491" t="str">
        <f t="shared" si="57"/>
        <v>x</v>
      </c>
      <c r="T1818" s="492" t="str">
        <f>IFERROR(VLOOKUP(F1818,'Freq-Chan'!C:D,2,FALSE),"x")</f>
        <v>x</v>
      </c>
      <c r="U1818" s="110" t="s">
        <v>541</v>
      </c>
      <c r="V1818" s="110" t="str">
        <f t="shared" si="58"/>
        <v>FWL</v>
      </c>
      <c r="W1818" s="110" t="s">
        <v>541</v>
      </c>
      <c r="X1818" s="110" t="s">
        <v>541</v>
      </c>
      <c r="Y1818" s="110" t="str">
        <f>IFERROR(VLOOKUP(F1818,'Freq-Chan'!C:E,3,FALSE),"na")</f>
        <v>na</v>
      </c>
      <c r="Z1818" s="110" t="s">
        <v>541</v>
      </c>
      <c r="AA1818" s="110" t="s">
        <v>541</v>
      </c>
      <c r="AB1818" s="110" t="s">
        <v>541</v>
      </c>
      <c r="AC1818" s="10" t="s">
        <v>541</v>
      </c>
      <c r="AD1818" s="10" t="s">
        <v>541</v>
      </c>
    </row>
    <row r="1819" spans="1:30" x14ac:dyDescent="0.2">
      <c r="A1819" s="110">
        <v>1818</v>
      </c>
      <c r="B1819" s="132">
        <v>41855</v>
      </c>
      <c r="C1819" s="117">
        <v>1</v>
      </c>
      <c r="D1819" s="103" t="s">
        <v>70</v>
      </c>
      <c r="E1819" s="103" t="s">
        <v>306</v>
      </c>
      <c r="H1819" s="103"/>
      <c r="I1819" s="103">
        <v>46</v>
      </c>
      <c r="K1819" s="103" t="s">
        <v>365</v>
      </c>
      <c r="L1819" s="133"/>
      <c r="M1819" s="134">
        <v>1.6666666666666666E-2</v>
      </c>
      <c r="N1819" s="137" t="s">
        <v>3752</v>
      </c>
      <c r="O1819" s="133" t="s">
        <v>376</v>
      </c>
      <c r="Q1819" s="100" t="s">
        <v>3963</v>
      </c>
      <c r="R1819" s="226" t="s">
        <v>3991</v>
      </c>
      <c r="S1819" s="491" t="str">
        <f t="shared" si="57"/>
        <v>x</v>
      </c>
      <c r="T1819" s="492" t="str">
        <f>IFERROR(VLOOKUP(F1819,'Freq-Chan'!C:D,2,FALSE),"x")</f>
        <v>x</v>
      </c>
      <c r="U1819" s="110" t="s">
        <v>541</v>
      </c>
      <c r="V1819" s="110" t="str">
        <f t="shared" si="58"/>
        <v>FWL</v>
      </c>
      <c r="W1819" s="110" t="s">
        <v>541</v>
      </c>
      <c r="X1819" s="110" t="s">
        <v>541</v>
      </c>
      <c r="Y1819" s="110" t="str">
        <f>IFERROR(VLOOKUP(F1819,'Freq-Chan'!C:E,3,FALSE),"na")</f>
        <v>na</v>
      </c>
      <c r="Z1819" s="110" t="s">
        <v>541</v>
      </c>
      <c r="AA1819" s="110" t="s">
        <v>541</v>
      </c>
      <c r="AB1819" s="110" t="s">
        <v>541</v>
      </c>
      <c r="AC1819" s="10" t="s">
        <v>541</v>
      </c>
      <c r="AD1819" s="10" t="s">
        <v>541</v>
      </c>
    </row>
    <row r="1820" spans="1:30" x14ac:dyDescent="0.2">
      <c r="A1820" s="110">
        <v>1819</v>
      </c>
      <c r="B1820" s="132">
        <v>41855</v>
      </c>
      <c r="C1820" s="117">
        <v>1</v>
      </c>
      <c r="D1820" s="103" t="s">
        <v>70</v>
      </c>
      <c r="E1820" s="103" t="s">
        <v>306</v>
      </c>
      <c r="H1820" s="103"/>
      <c r="I1820" s="103">
        <v>45</v>
      </c>
      <c r="K1820" s="103" t="s">
        <v>365</v>
      </c>
      <c r="L1820" s="133"/>
      <c r="M1820" s="134">
        <v>1.7361111111111112E-2</v>
      </c>
      <c r="N1820" s="137" t="s">
        <v>3293</v>
      </c>
      <c r="O1820" s="133" t="s">
        <v>376</v>
      </c>
      <c r="Q1820" s="100" t="s">
        <v>3963</v>
      </c>
      <c r="R1820" s="226" t="s">
        <v>3991</v>
      </c>
      <c r="S1820" s="491" t="str">
        <f t="shared" si="57"/>
        <v>x</v>
      </c>
      <c r="T1820" s="492" t="str">
        <f>IFERROR(VLOOKUP(F1820,'Freq-Chan'!C:D,2,FALSE),"x")</f>
        <v>x</v>
      </c>
      <c r="U1820" s="110" t="s">
        <v>541</v>
      </c>
      <c r="V1820" s="110" t="str">
        <f t="shared" si="58"/>
        <v>FWL</v>
      </c>
      <c r="W1820" s="110" t="s">
        <v>541</v>
      </c>
      <c r="X1820" s="110" t="s">
        <v>541</v>
      </c>
      <c r="Y1820" s="110" t="str">
        <f>IFERROR(VLOOKUP(F1820,'Freq-Chan'!C:E,3,FALSE),"na")</f>
        <v>na</v>
      </c>
      <c r="Z1820" s="110" t="s">
        <v>541</v>
      </c>
      <c r="AA1820" s="110" t="s">
        <v>541</v>
      </c>
      <c r="AB1820" s="110" t="s">
        <v>541</v>
      </c>
      <c r="AC1820" s="10" t="s">
        <v>541</v>
      </c>
      <c r="AD1820" s="10" t="s">
        <v>541</v>
      </c>
    </row>
    <row r="1821" spans="1:30" x14ac:dyDescent="0.2">
      <c r="A1821" s="110">
        <v>1820</v>
      </c>
      <c r="B1821" s="132">
        <v>41855</v>
      </c>
      <c r="C1821" s="117">
        <v>1</v>
      </c>
      <c r="D1821" s="103" t="s">
        <v>71</v>
      </c>
      <c r="E1821" s="103" t="s">
        <v>306</v>
      </c>
      <c r="H1821" s="103"/>
      <c r="I1821" s="103">
        <v>61</v>
      </c>
      <c r="K1821" s="103" t="s">
        <v>1032</v>
      </c>
      <c r="L1821" s="133"/>
      <c r="M1821" s="134">
        <v>1.7361111111111112E-2</v>
      </c>
      <c r="N1821" s="137" t="s">
        <v>3491</v>
      </c>
      <c r="O1821" s="133" t="s">
        <v>376</v>
      </c>
      <c r="Q1821" s="100" t="s">
        <v>3963</v>
      </c>
      <c r="R1821" s="226" t="s">
        <v>3991</v>
      </c>
      <c r="S1821" s="491" t="str">
        <f t="shared" si="57"/>
        <v>x</v>
      </c>
      <c r="T1821" s="492" t="str">
        <f>IFERROR(VLOOKUP(F1821,'Freq-Chan'!C:D,2,FALSE),"x")</f>
        <v>x</v>
      </c>
      <c r="U1821" s="110" t="s">
        <v>541</v>
      </c>
      <c r="V1821" s="110" t="str">
        <f t="shared" si="58"/>
        <v>FWL</v>
      </c>
      <c r="W1821" s="110" t="s">
        <v>541</v>
      </c>
      <c r="X1821" s="110" t="s">
        <v>541</v>
      </c>
      <c r="Y1821" s="110" t="str">
        <f>IFERROR(VLOOKUP(F1821,'Freq-Chan'!C:E,3,FALSE),"na")</f>
        <v>na</v>
      </c>
      <c r="Z1821" s="110" t="s">
        <v>541</v>
      </c>
      <c r="AA1821" s="110" t="s">
        <v>541</v>
      </c>
      <c r="AB1821" s="110" t="s">
        <v>541</v>
      </c>
      <c r="AC1821" s="10" t="s">
        <v>541</v>
      </c>
      <c r="AD1821" s="10" t="s">
        <v>541</v>
      </c>
    </row>
    <row r="1822" spans="1:30" x14ac:dyDescent="0.2">
      <c r="A1822" s="110">
        <v>1821</v>
      </c>
      <c r="B1822" s="132">
        <v>41855</v>
      </c>
      <c r="C1822" s="117">
        <v>1</v>
      </c>
      <c r="D1822" s="103" t="s">
        <v>70</v>
      </c>
      <c r="E1822" s="103" t="s">
        <v>306</v>
      </c>
      <c r="H1822" s="103"/>
      <c r="I1822" s="103">
        <v>45</v>
      </c>
      <c r="K1822" s="103" t="s">
        <v>1032</v>
      </c>
      <c r="L1822" s="133"/>
      <c r="M1822" s="134">
        <v>1.8749999999999999E-2</v>
      </c>
      <c r="N1822" s="137" t="s">
        <v>3401</v>
      </c>
      <c r="O1822" s="133" t="s">
        <v>376</v>
      </c>
      <c r="Q1822" s="100" t="s">
        <v>3963</v>
      </c>
      <c r="R1822" s="226" t="s">
        <v>3991</v>
      </c>
      <c r="S1822" s="491" t="str">
        <f t="shared" si="57"/>
        <v>x</v>
      </c>
      <c r="T1822" s="492" t="str">
        <f>IFERROR(VLOOKUP(F1822,'Freq-Chan'!C:D,2,FALSE),"x")</f>
        <v>x</v>
      </c>
      <c r="U1822" s="110" t="s">
        <v>541</v>
      </c>
      <c r="V1822" s="110" t="str">
        <f t="shared" si="58"/>
        <v>FWL</v>
      </c>
      <c r="W1822" s="110" t="s">
        <v>541</v>
      </c>
      <c r="X1822" s="110" t="s">
        <v>541</v>
      </c>
      <c r="Y1822" s="110" t="str">
        <f>IFERROR(VLOOKUP(F1822,'Freq-Chan'!C:E,3,FALSE),"na")</f>
        <v>na</v>
      </c>
      <c r="Z1822" s="110" t="s">
        <v>541</v>
      </c>
      <c r="AA1822" s="110" t="s">
        <v>541</v>
      </c>
      <c r="AB1822" s="110" t="s">
        <v>541</v>
      </c>
      <c r="AC1822" s="10" t="s">
        <v>541</v>
      </c>
      <c r="AD1822" s="10" t="s">
        <v>541</v>
      </c>
    </row>
    <row r="1823" spans="1:30" x14ac:dyDescent="0.2">
      <c r="A1823" s="110">
        <v>1822</v>
      </c>
      <c r="B1823" s="132">
        <v>41855</v>
      </c>
      <c r="C1823" s="117">
        <v>1</v>
      </c>
      <c r="D1823" s="103" t="s">
        <v>70</v>
      </c>
      <c r="E1823" s="103" t="s">
        <v>306</v>
      </c>
      <c r="H1823" s="103"/>
      <c r="I1823" s="103">
        <v>48</v>
      </c>
      <c r="K1823" s="103" t="s">
        <v>365</v>
      </c>
      <c r="L1823" s="133"/>
      <c r="M1823" s="134">
        <v>1.4583333333333332E-2</v>
      </c>
      <c r="N1823" s="137" t="s">
        <v>3926</v>
      </c>
      <c r="O1823" s="133" t="s">
        <v>376</v>
      </c>
      <c r="Q1823" s="100" t="s">
        <v>3963</v>
      </c>
      <c r="R1823" s="226" t="s">
        <v>3991</v>
      </c>
      <c r="S1823" s="491" t="str">
        <f t="shared" si="57"/>
        <v>x</v>
      </c>
      <c r="T1823" s="492" t="str">
        <f>IFERROR(VLOOKUP(F1823,'Freq-Chan'!C:D,2,FALSE),"x")</f>
        <v>x</v>
      </c>
      <c r="U1823" s="110" t="s">
        <v>541</v>
      </c>
      <c r="V1823" s="110" t="str">
        <f t="shared" si="58"/>
        <v>FWL</v>
      </c>
      <c r="W1823" s="110" t="s">
        <v>541</v>
      </c>
      <c r="X1823" s="110" t="s">
        <v>541</v>
      </c>
      <c r="Y1823" s="110" t="str">
        <f>IFERROR(VLOOKUP(F1823,'Freq-Chan'!C:E,3,FALSE),"na")</f>
        <v>na</v>
      </c>
      <c r="Z1823" s="110" t="s">
        <v>541</v>
      </c>
      <c r="AA1823" s="110" t="s">
        <v>541</v>
      </c>
      <c r="AB1823" s="110" t="s">
        <v>541</v>
      </c>
      <c r="AC1823" s="10" t="s">
        <v>541</v>
      </c>
      <c r="AD1823" s="10" t="s">
        <v>541</v>
      </c>
    </row>
    <row r="1824" spans="1:30" x14ac:dyDescent="0.2">
      <c r="A1824" s="110">
        <v>1823</v>
      </c>
      <c r="B1824" s="132">
        <v>41855</v>
      </c>
      <c r="C1824" s="117">
        <v>1</v>
      </c>
      <c r="D1824" s="103" t="s">
        <v>8</v>
      </c>
      <c r="E1824" s="103" t="s">
        <v>306</v>
      </c>
      <c r="H1824" s="103"/>
      <c r="I1824" s="103">
        <v>52</v>
      </c>
      <c r="K1824" s="103" t="s">
        <v>364</v>
      </c>
      <c r="L1824" s="133"/>
      <c r="M1824" s="134">
        <v>1.8055555555555557E-2</v>
      </c>
      <c r="N1824" s="137" t="s">
        <v>3496</v>
      </c>
      <c r="O1824" s="133" t="s">
        <v>950</v>
      </c>
      <c r="P1824" s="100" t="s">
        <v>3970</v>
      </c>
      <c r="Q1824" s="100" t="s">
        <v>3963</v>
      </c>
      <c r="R1824" s="226" t="s">
        <v>3991</v>
      </c>
      <c r="S1824" s="491" t="str">
        <f t="shared" si="57"/>
        <v>x</v>
      </c>
      <c r="T1824" s="492" t="str">
        <f>IFERROR(VLOOKUP(F1824,'Freq-Chan'!C:D,2,FALSE),"x")</f>
        <v>x</v>
      </c>
      <c r="U1824" s="110" t="s">
        <v>541</v>
      </c>
      <c r="V1824" s="110" t="str">
        <f t="shared" si="58"/>
        <v>FWL</v>
      </c>
      <c r="W1824" s="110" t="s">
        <v>541</v>
      </c>
      <c r="X1824" s="110" t="s">
        <v>541</v>
      </c>
      <c r="Y1824" s="110" t="str">
        <f>IFERROR(VLOOKUP(F1824,'Freq-Chan'!C:E,3,FALSE),"na")</f>
        <v>na</v>
      </c>
      <c r="Z1824" s="110" t="s">
        <v>541</v>
      </c>
      <c r="AA1824" s="110" t="s">
        <v>541</v>
      </c>
      <c r="AB1824" s="110" t="s">
        <v>541</v>
      </c>
      <c r="AC1824" s="10" t="s">
        <v>541</v>
      </c>
      <c r="AD1824" s="10" t="s">
        <v>541</v>
      </c>
    </row>
    <row r="1825" spans="1:30" x14ac:dyDescent="0.2">
      <c r="A1825" s="110">
        <v>1824</v>
      </c>
      <c r="B1825" s="132">
        <v>41855</v>
      </c>
      <c r="C1825" s="117">
        <v>1</v>
      </c>
      <c r="D1825" s="103" t="s">
        <v>177</v>
      </c>
      <c r="E1825" s="103" t="s">
        <v>0</v>
      </c>
      <c r="H1825" s="103"/>
      <c r="I1825" s="103">
        <v>32</v>
      </c>
      <c r="K1825" s="103" t="s">
        <v>1032</v>
      </c>
      <c r="L1825" s="133"/>
      <c r="M1825" s="134">
        <v>2.1527777777777781E-2</v>
      </c>
      <c r="N1825" s="137" t="s">
        <v>1652</v>
      </c>
      <c r="O1825" s="133" t="s">
        <v>950</v>
      </c>
      <c r="P1825" s="100" t="s">
        <v>776</v>
      </c>
      <c r="Q1825" s="100" t="s">
        <v>3963</v>
      </c>
      <c r="R1825" s="226" t="s">
        <v>3991</v>
      </c>
      <c r="S1825" s="491" t="str">
        <f t="shared" si="57"/>
        <v>x</v>
      </c>
      <c r="T1825" s="492" t="str">
        <f>IFERROR(VLOOKUP(F1825,'Freq-Chan'!C:D,2,FALSE),"x")</f>
        <v>x</v>
      </c>
      <c r="U1825" s="110" t="s">
        <v>541</v>
      </c>
      <c r="V1825" s="110" t="str">
        <f t="shared" si="58"/>
        <v>FWL</v>
      </c>
      <c r="W1825" s="110" t="s">
        <v>541</v>
      </c>
      <c r="X1825" s="110" t="s">
        <v>541</v>
      </c>
      <c r="Y1825" s="110" t="str">
        <f>IFERROR(VLOOKUP(F1825,'Freq-Chan'!C:E,3,FALSE),"na")</f>
        <v>na</v>
      </c>
      <c r="Z1825" s="110" t="s">
        <v>541</v>
      </c>
      <c r="AA1825" s="110" t="s">
        <v>541</v>
      </c>
      <c r="AB1825" s="110" t="s">
        <v>541</v>
      </c>
      <c r="AC1825" s="10" t="s">
        <v>541</v>
      </c>
      <c r="AD1825" s="10" t="s">
        <v>541</v>
      </c>
    </row>
    <row r="1826" spans="1:30" x14ac:dyDescent="0.2">
      <c r="A1826" s="110">
        <v>1825</v>
      </c>
      <c r="B1826" s="132">
        <v>41855</v>
      </c>
      <c r="C1826" s="117">
        <v>1</v>
      </c>
      <c r="D1826" s="103" t="s">
        <v>71</v>
      </c>
      <c r="E1826" s="103" t="s">
        <v>306</v>
      </c>
      <c r="H1826" s="103"/>
      <c r="I1826" s="103">
        <v>63</v>
      </c>
      <c r="K1826" s="103" t="s">
        <v>364</v>
      </c>
      <c r="L1826" s="133"/>
      <c r="M1826" s="134">
        <v>1.6666666666666666E-2</v>
      </c>
      <c r="N1826" s="137" t="s">
        <v>3801</v>
      </c>
      <c r="O1826" s="133" t="s">
        <v>950</v>
      </c>
      <c r="Q1826" s="100" t="s">
        <v>3963</v>
      </c>
      <c r="R1826" s="226" t="s">
        <v>3991</v>
      </c>
      <c r="S1826" s="491" t="str">
        <f t="shared" si="57"/>
        <v>x</v>
      </c>
      <c r="T1826" s="492" t="str">
        <f>IFERROR(VLOOKUP(F1826,'Freq-Chan'!C:D,2,FALSE),"x")</f>
        <v>x</v>
      </c>
      <c r="U1826" s="110" t="s">
        <v>541</v>
      </c>
      <c r="V1826" s="110" t="str">
        <f t="shared" si="58"/>
        <v>FWL</v>
      </c>
      <c r="W1826" s="110" t="s">
        <v>541</v>
      </c>
      <c r="X1826" s="110" t="s">
        <v>541</v>
      </c>
      <c r="Y1826" s="110" t="str">
        <f>IFERROR(VLOOKUP(F1826,'Freq-Chan'!C:E,3,FALSE),"na")</f>
        <v>na</v>
      </c>
      <c r="Z1826" s="110" t="s">
        <v>541</v>
      </c>
      <c r="AA1826" s="110" t="s">
        <v>541</v>
      </c>
      <c r="AB1826" s="110" t="s">
        <v>541</v>
      </c>
      <c r="AC1826" s="10" t="s">
        <v>541</v>
      </c>
      <c r="AD1826" s="10" t="s">
        <v>541</v>
      </c>
    </row>
    <row r="1827" spans="1:30" x14ac:dyDescent="0.2">
      <c r="A1827" s="110">
        <v>1826</v>
      </c>
      <c r="B1827" s="132">
        <v>41855</v>
      </c>
      <c r="C1827" s="117">
        <v>1</v>
      </c>
      <c r="D1827" s="103" t="s">
        <v>70</v>
      </c>
      <c r="E1827" s="103" t="s">
        <v>306</v>
      </c>
      <c r="F1827" s="103">
        <v>515</v>
      </c>
      <c r="G1827" s="103">
        <v>93</v>
      </c>
      <c r="H1827" s="103" t="s">
        <v>3070</v>
      </c>
      <c r="I1827" s="103">
        <v>50</v>
      </c>
      <c r="K1827" s="103" t="s">
        <v>365</v>
      </c>
      <c r="L1827" s="133"/>
      <c r="M1827" s="134">
        <v>3.888888888888889E-2</v>
      </c>
      <c r="N1827" s="137" t="s">
        <v>903</v>
      </c>
      <c r="O1827" s="133" t="s">
        <v>2931</v>
      </c>
      <c r="Q1827" s="100" t="s">
        <v>3965</v>
      </c>
      <c r="R1827" s="226" t="s">
        <v>3991</v>
      </c>
      <c r="S1827" s="491" t="str">
        <f t="shared" si="57"/>
        <v>x</v>
      </c>
      <c r="T1827" s="492">
        <f>IFERROR(VLOOKUP(F1827,'Freq-Chan'!C:D,2,FALSE),"x")</f>
        <v>151.51499999999999</v>
      </c>
      <c r="U1827" s="110" t="s">
        <v>541</v>
      </c>
      <c r="V1827" s="110" t="str">
        <f t="shared" si="58"/>
        <v>FWL</v>
      </c>
      <c r="W1827" s="110" t="s">
        <v>541</v>
      </c>
      <c r="X1827" s="110" t="s">
        <v>541</v>
      </c>
      <c r="Y1827" s="110" t="str">
        <f>IFERROR(VLOOKUP(F1827,'Freq-Chan'!C:E,3,FALSE),"na")</f>
        <v>F1835</v>
      </c>
      <c r="Z1827" s="110" t="s">
        <v>541</v>
      </c>
      <c r="AA1827" s="110" t="s">
        <v>541</v>
      </c>
      <c r="AB1827" s="110" t="s">
        <v>541</v>
      </c>
      <c r="AC1827" s="10" t="s">
        <v>541</v>
      </c>
      <c r="AD1827" s="10" t="s">
        <v>541</v>
      </c>
    </row>
    <row r="1828" spans="1:30" x14ac:dyDescent="0.2">
      <c r="A1828" s="110">
        <v>1827</v>
      </c>
      <c r="B1828" s="132">
        <v>41855</v>
      </c>
      <c r="C1828" s="117">
        <v>1</v>
      </c>
      <c r="D1828" s="103" t="s">
        <v>71</v>
      </c>
      <c r="E1828" s="103" t="s">
        <v>306</v>
      </c>
      <c r="F1828" s="103">
        <v>564</v>
      </c>
      <c r="G1828" s="103">
        <v>64</v>
      </c>
      <c r="H1828" s="103" t="s">
        <v>2364</v>
      </c>
      <c r="I1828" s="103">
        <v>59</v>
      </c>
      <c r="K1828" s="103" t="s">
        <v>365</v>
      </c>
      <c r="L1828" s="133">
        <v>0.58194444444444449</v>
      </c>
      <c r="M1828" s="134">
        <v>4.5138888888888888E-2</v>
      </c>
      <c r="N1828" s="137" t="s">
        <v>1838</v>
      </c>
      <c r="O1828" s="133" t="s">
        <v>2931</v>
      </c>
      <c r="Q1828" s="100" t="s">
        <v>3965</v>
      </c>
      <c r="R1828" s="226" t="s">
        <v>3991</v>
      </c>
      <c r="S1828" s="491">
        <f t="shared" si="57"/>
        <v>8.2754630000000003E-3</v>
      </c>
      <c r="T1828" s="492">
        <f>IFERROR(VLOOKUP(F1828,'Freq-Chan'!C:D,2,FALSE),"x")</f>
        <v>151.56399999999999</v>
      </c>
      <c r="U1828" s="110" t="s">
        <v>541</v>
      </c>
      <c r="V1828" s="110" t="str">
        <f t="shared" si="58"/>
        <v>FWL</v>
      </c>
      <c r="W1828" s="110" t="s">
        <v>541</v>
      </c>
      <c r="X1828" s="110" t="s">
        <v>541</v>
      </c>
      <c r="Y1828" s="110" t="str">
        <f>IFERROR(VLOOKUP(F1828,'Freq-Chan'!C:E,3,FALSE),"na")</f>
        <v>F1840</v>
      </c>
      <c r="Z1828" s="110" t="s">
        <v>541</v>
      </c>
      <c r="AA1828" s="110" t="s">
        <v>541</v>
      </c>
      <c r="AB1828" s="110" t="s">
        <v>541</v>
      </c>
      <c r="AC1828" s="10" t="s">
        <v>541</v>
      </c>
      <c r="AD1828" s="10" t="s">
        <v>541</v>
      </c>
    </row>
    <row r="1829" spans="1:30" x14ac:dyDescent="0.2">
      <c r="A1829" s="110">
        <v>1828</v>
      </c>
      <c r="B1829" s="132">
        <v>41855</v>
      </c>
      <c r="C1829" s="117">
        <v>1</v>
      </c>
      <c r="D1829" s="103" t="s">
        <v>71</v>
      </c>
      <c r="E1829" s="103" t="s">
        <v>306</v>
      </c>
      <c r="F1829" s="103">
        <v>564</v>
      </c>
      <c r="G1829" s="103">
        <v>48</v>
      </c>
      <c r="H1829" s="103" t="s">
        <v>2365</v>
      </c>
      <c r="I1829" s="103">
        <v>52</v>
      </c>
      <c r="K1829" s="103" t="s">
        <v>364</v>
      </c>
      <c r="L1829" s="133"/>
      <c r="M1829" s="134">
        <v>3.9583333333333331E-2</v>
      </c>
      <c r="N1829" s="137" t="s">
        <v>3971</v>
      </c>
      <c r="O1829" s="133" t="s">
        <v>2931</v>
      </c>
      <c r="Q1829" s="100" t="s">
        <v>3965</v>
      </c>
      <c r="R1829" s="226" t="s">
        <v>3991</v>
      </c>
      <c r="S1829" s="491" t="str">
        <f t="shared" si="57"/>
        <v>x</v>
      </c>
      <c r="T1829" s="492">
        <f>IFERROR(VLOOKUP(F1829,'Freq-Chan'!C:D,2,FALSE),"x")</f>
        <v>151.56399999999999</v>
      </c>
      <c r="U1829" s="110" t="s">
        <v>541</v>
      </c>
      <c r="V1829" s="110" t="str">
        <f t="shared" si="58"/>
        <v>FWL</v>
      </c>
      <c r="W1829" s="110" t="s">
        <v>541</v>
      </c>
      <c r="X1829" s="110" t="s">
        <v>541</v>
      </c>
      <c r="Y1829" s="110" t="str">
        <f>IFERROR(VLOOKUP(F1829,'Freq-Chan'!C:E,3,FALSE),"na")</f>
        <v>F1840</v>
      </c>
      <c r="Z1829" s="110" t="s">
        <v>541</v>
      </c>
      <c r="AA1829" s="110" t="s">
        <v>541</v>
      </c>
      <c r="AB1829" s="110" t="s">
        <v>541</v>
      </c>
      <c r="AC1829" s="10" t="s">
        <v>541</v>
      </c>
      <c r="AD1829" s="10" t="s">
        <v>541</v>
      </c>
    </row>
    <row r="1830" spans="1:30" x14ac:dyDescent="0.2">
      <c r="A1830" s="110">
        <v>1829</v>
      </c>
      <c r="B1830" s="132">
        <v>41855</v>
      </c>
      <c r="C1830" s="117">
        <v>1</v>
      </c>
      <c r="D1830" s="103" t="s">
        <v>71</v>
      </c>
      <c r="E1830" s="103" t="s">
        <v>306</v>
      </c>
      <c r="F1830" s="103">
        <v>564</v>
      </c>
      <c r="G1830" s="103">
        <v>52</v>
      </c>
      <c r="H1830" s="103" t="s">
        <v>2372</v>
      </c>
      <c r="I1830" s="103">
        <v>63</v>
      </c>
      <c r="K1830" s="103" t="s">
        <v>364</v>
      </c>
      <c r="L1830" s="133"/>
      <c r="M1830" s="134">
        <v>4.6527777777777779E-2</v>
      </c>
      <c r="N1830" s="137" t="s">
        <v>2595</v>
      </c>
      <c r="O1830" s="133" t="s">
        <v>1585</v>
      </c>
      <c r="Q1830" s="100" t="s">
        <v>3965</v>
      </c>
      <c r="R1830" s="226" t="s">
        <v>3991</v>
      </c>
      <c r="S1830" s="491" t="str">
        <f t="shared" si="57"/>
        <v>x</v>
      </c>
      <c r="T1830" s="492">
        <f>IFERROR(VLOOKUP(F1830,'Freq-Chan'!C:D,2,FALSE),"x")</f>
        <v>151.56399999999999</v>
      </c>
      <c r="U1830" s="110" t="s">
        <v>541</v>
      </c>
      <c r="V1830" s="110" t="str">
        <f t="shared" si="58"/>
        <v>FWL</v>
      </c>
      <c r="W1830" s="110" t="s">
        <v>541</v>
      </c>
      <c r="X1830" s="110" t="s">
        <v>541</v>
      </c>
      <c r="Y1830" s="110" t="str">
        <f>IFERROR(VLOOKUP(F1830,'Freq-Chan'!C:E,3,FALSE),"na")</f>
        <v>F1840</v>
      </c>
      <c r="Z1830" s="110" t="s">
        <v>541</v>
      </c>
      <c r="AA1830" s="110" t="s">
        <v>541</v>
      </c>
      <c r="AB1830" s="110" t="s">
        <v>541</v>
      </c>
      <c r="AC1830" s="10" t="s">
        <v>541</v>
      </c>
      <c r="AD1830" s="10" t="s">
        <v>541</v>
      </c>
    </row>
    <row r="1831" spans="1:30" x14ac:dyDescent="0.2">
      <c r="A1831" s="110">
        <v>1830</v>
      </c>
      <c r="B1831" s="132">
        <v>41855</v>
      </c>
      <c r="C1831" s="117">
        <v>1</v>
      </c>
      <c r="D1831" s="103" t="s">
        <v>72</v>
      </c>
      <c r="E1831" s="103" t="s">
        <v>306</v>
      </c>
      <c r="F1831" s="103">
        <v>325</v>
      </c>
      <c r="G1831" s="103">
        <v>58</v>
      </c>
      <c r="H1831" s="103" t="s">
        <v>3515</v>
      </c>
      <c r="I1831" s="103">
        <v>57</v>
      </c>
      <c r="K1831" s="103" t="s">
        <v>364</v>
      </c>
      <c r="L1831" s="133"/>
      <c r="M1831" s="134">
        <v>4.0972222222222222E-2</v>
      </c>
      <c r="N1831" s="137" t="s">
        <v>2720</v>
      </c>
      <c r="O1831" s="133" t="s">
        <v>1585</v>
      </c>
      <c r="Q1831" s="100" t="s">
        <v>3965</v>
      </c>
      <c r="R1831" s="226" t="s">
        <v>3991</v>
      </c>
      <c r="S1831" s="491" t="str">
        <f t="shared" si="57"/>
        <v>x</v>
      </c>
      <c r="T1831" s="492">
        <f>IFERROR(VLOOKUP(F1831,'Freq-Chan'!C:D,2,FALSE),"x")</f>
        <v>151.32499999999999</v>
      </c>
      <c r="U1831" s="110" t="s">
        <v>541</v>
      </c>
      <c r="V1831" s="110" t="str">
        <f t="shared" si="58"/>
        <v>FWL</v>
      </c>
      <c r="W1831" s="110" t="s">
        <v>541</v>
      </c>
      <c r="X1831" s="110" t="s">
        <v>541</v>
      </c>
      <c r="Y1831" s="110" t="str">
        <f>IFERROR(VLOOKUP(F1831,'Freq-Chan'!C:E,3,FALSE),"na")</f>
        <v>F1840</v>
      </c>
      <c r="Z1831" s="110" t="s">
        <v>541</v>
      </c>
      <c r="AA1831" s="110" t="s">
        <v>541</v>
      </c>
      <c r="AB1831" s="110" t="s">
        <v>541</v>
      </c>
      <c r="AC1831" s="10" t="s">
        <v>541</v>
      </c>
      <c r="AD1831" s="10" t="s">
        <v>541</v>
      </c>
    </row>
    <row r="1832" spans="1:30" x14ac:dyDescent="0.2">
      <c r="A1832" s="110">
        <v>1831</v>
      </c>
      <c r="B1832" s="132">
        <v>41855</v>
      </c>
      <c r="C1832" s="117">
        <v>1</v>
      </c>
      <c r="D1832" s="103" t="s">
        <v>71</v>
      </c>
      <c r="E1832" s="103" t="s">
        <v>306</v>
      </c>
      <c r="F1832" s="103">
        <v>564</v>
      </c>
      <c r="G1832" s="103">
        <v>11</v>
      </c>
      <c r="H1832" s="103" t="s">
        <v>2373</v>
      </c>
      <c r="I1832" s="103">
        <v>65</v>
      </c>
      <c r="K1832" s="103" t="s">
        <v>364</v>
      </c>
      <c r="L1832" s="133"/>
      <c r="M1832" s="134">
        <v>5.347222222222222E-2</v>
      </c>
      <c r="N1832" s="137" t="s">
        <v>366</v>
      </c>
      <c r="O1832" s="133" t="s">
        <v>1585</v>
      </c>
      <c r="Q1832" s="100" t="s">
        <v>3965</v>
      </c>
      <c r="R1832" s="226" t="s">
        <v>3991</v>
      </c>
      <c r="S1832" s="491" t="str">
        <f t="shared" si="57"/>
        <v>x</v>
      </c>
      <c r="T1832" s="492">
        <f>IFERROR(VLOOKUP(F1832,'Freq-Chan'!C:D,2,FALSE),"x")</f>
        <v>151.56399999999999</v>
      </c>
      <c r="U1832" s="110" t="s">
        <v>541</v>
      </c>
      <c r="V1832" s="110" t="str">
        <f t="shared" si="58"/>
        <v>FWL</v>
      </c>
      <c r="W1832" s="110" t="s">
        <v>541</v>
      </c>
      <c r="X1832" s="110" t="s">
        <v>541</v>
      </c>
      <c r="Y1832" s="110" t="str">
        <f>IFERROR(VLOOKUP(F1832,'Freq-Chan'!C:E,3,FALSE),"na")</f>
        <v>F1840</v>
      </c>
      <c r="Z1832" s="110" t="s">
        <v>541</v>
      </c>
      <c r="AA1832" s="110" t="s">
        <v>541</v>
      </c>
      <c r="AB1832" s="110" t="s">
        <v>541</v>
      </c>
      <c r="AC1832" s="10" t="s">
        <v>541</v>
      </c>
      <c r="AD1832" s="10" t="s">
        <v>541</v>
      </c>
    </row>
    <row r="1833" spans="1:30" x14ac:dyDescent="0.2">
      <c r="A1833" s="110">
        <v>1832</v>
      </c>
      <c r="B1833" s="132">
        <v>41855</v>
      </c>
      <c r="C1833" s="117">
        <v>1</v>
      </c>
      <c r="D1833" s="103" t="s">
        <v>71</v>
      </c>
      <c r="E1833" s="103" t="s">
        <v>306</v>
      </c>
      <c r="H1833" s="103"/>
      <c r="I1833" s="103">
        <v>59</v>
      </c>
      <c r="K1833" s="103" t="s">
        <v>364</v>
      </c>
      <c r="L1833" s="133"/>
      <c r="M1833" s="134">
        <v>2.013888888888889E-2</v>
      </c>
      <c r="N1833" s="137" t="s">
        <v>1884</v>
      </c>
      <c r="O1833" s="133" t="s">
        <v>1585</v>
      </c>
      <c r="Q1833" s="100" t="s">
        <v>3965</v>
      </c>
      <c r="R1833" s="226" t="s">
        <v>3991</v>
      </c>
      <c r="S1833" s="491" t="str">
        <f t="shared" si="57"/>
        <v>x</v>
      </c>
      <c r="T1833" s="492" t="str">
        <f>IFERROR(VLOOKUP(F1833,'Freq-Chan'!C:D,2,FALSE),"x")</f>
        <v>x</v>
      </c>
      <c r="U1833" s="110" t="s">
        <v>541</v>
      </c>
      <c r="V1833" s="110" t="str">
        <f t="shared" si="58"/>
        <v>FWL</v>
      </c>
      <c r="W1833" s="110" t="s">
        <v>541</v>
      </c>
      <c r="X1833" s="110" t="s">
        <v>541</v>
      </c>
      <c r="Y1833" s="110" t="str">
        <f>IFERROR(VLOOKUP(F1833,'Freq-Chan'!C:E,3,FALSE),"na")</f>
        <v>na</v>
      </c>
      <c r="Z1833" s="110" t="s">
        <v>541</v>
      </c>
      <c r="AA1833" s="110" t="s">
        <v>541</v>
      </c>
      <c r="AB1833" s="110" t="s">
        <v>541</v>
      </c>
      <c r="AC1833" s="10" t="s">
        <v>541</v>
      </c>
      <c r="AD1833" s="10" t="s">
        <v>541</v>
      </c>
    </row>
    <row r="1834" spans="1:30" x14ac:dyDescent="0.2">
      <c r="A1834" s="110">
        <v>1833</v>
      </c>
      <c r="B1834" s="132">
        <v>41855</v>
      </c>
      <c r="C1834" s="117">
        <v>1</v>
      </c>
      <c r="D1834" s="103" t="s">
        <v>72</v>
      </c>
      <c r="E1834" s="103" t="s">
        <v>306</v>
      </c>
      <c r="F1834" s="103">
        <v>266</v>
      </c>
      <c r="G1834" s="103">
        <v>29</v>
      </c>
      <c r="H1834" s="103" t="s">
        <v>3523</v>
      </c>
      <c r="I1834" s="103">
        <v>51</v>
      </c>
      <c r="K1834" s="103" t="s">
        <v>364</v>
      </c>
      <c r="L1834" s="133"/>
      <c r="M1834" s="134">
        <v>5.486111111111111E-2</v>
      </c>
      <c r="N1834" s="137" t="s">
        <v>3972</v>
      </c>
      <c r="O1834" s="133" t="s">
        <v>2931</v>
      </c>
      <c r="P1834" s="100" t="s">
        <v>4466</v>
      </c>
      <c r="Q1834" s="100" t="s">
        <v>3965</v>
      </c>
      <c r="R1834" s="226" t="s">
        <v>3991</v>
      </c>
      <c r="S1834" s="491" t="str">
        <f t="shared" si="57"/>
        <v>x</v>
      </c>
      <c r="T1834" s="492">
        <f>IFERROR(VLOOKUP(F1834,'Freq-Chan'!C:D,2,FALSE),"x")</f>
        <v>151.26599999999999</v>
      </c>
      <c r="U1834" s="110" t="s">
        <v>541</v>
      </c>
      <c r="V1834" s="110" t="str">
        <f t="shared" si="58"/>
        <v>FWL</v>
      </c>
      <c r="W1834" s="110" t="s">
        <v>541</v>
      </c>
      <c r="X1834" s="110" t="s">
        <v>541</v>
      </c>
      <c r="Y1834" s="110" t="str">
        <f>IFERROR(VLOOKUP(F1834,'Freq-Chan'!C:E,3,FALSE),"na")</f>
        <v>F1840</v>
      </c>
      <c r="Z1834" s="110" t="s">
        <v>541</v>
      </c>
      <c r="AA1834" s="110" t="s">
        <v>541</v>
      </c>
      <c r="AB1834" s="110" t="s">
        <v>541</v>
      </c>
      <c r="AC1834" s="10" t="s">
        <v>541</v>
      </c>
      <c r="AD1834" s="10" t="s">
        <v>541</v>
      </c>
    </row>
    <row r="1835" spans="1:30" x14ac:dyDescent="0.2">
      <c r="A1835" s="110">
        <v>1834</v>
      </c>
      <c r="B1835" s="132">
        <v>41855</v>
      </c>
      <c r="C1835" s="117">
        <v>1</v>
      </c>
      <c r="D1835" s="103" t="s">
        <v>71</v>
      </c>
      <c r="E1835" s="103" t="s">
        <v>306</v>
      </c>
      <c r="H1835" s="103"/>
      <c r="I1835" s="103">
        <v>65</v>
      </c>
      <c r="K1835" s="103" t="s">
        <v>364</v>
      </c>
      <c r="L1835" s="133"/>
      <c r="M1835" s="134">
        <v>3.9583333333333331E-2</v>
      </c>
      <c r="N1835" s="137" t="s">
        <v>391</v>
      </c>
      <c r="O1835" s="133" t="s">
        <v>1585</v>
      </c>
      <c r="Q1835" s="100" t="s">
        <v>3965</v>
      </c>
      <c r="R1835" s="226" t="s">
        <v>3991</v>
      </c>
      <c r="S1835" s="491" t="str">
        <f t="shared" si="57"/>
        <v>x</v>
      </c>
      <c r="T1835" s="492" t="str">
        <f>IFERROR(VLOOKUP(F1835,'Freq-Chan'!C:D,2,FALSE),"x")</f>
        <v>x</v>
      </c>
      <c r="U1835" s="110" t="s">
        <v>541</v>
      </c>
      <c r="V1835" s="110" t="str">
        <f t="shared" si="58"/>
        <v>FWL</v>
      </c>
      <c r="W1835" s="110" t="s">
        <v>541</v>
      </c>
      <c r="X1835" s="110" t="s">
        <v>541</v>
      </c>
      <c r="Y1835" s="110" t="str">
        <f>IFERROR(VLOOKUP(F1835,'Freq-Chan'!C:E,3,FALSE),"na")</f>
        <v>na</v>
      </c>
      <c r="Z1835" s="110" t="s">
        <v>541</v>
      </c>
      <c r="AA1835" s="110" t="s">
        <v>541</v>
      </c>
      <c r="AB1835" s="110" t="s">
        <v>541</v>
      </c>
      <c r="AC1835" s="10" t="s">
        <v>541</v>
      </c>
      <c r="AD1835" s="10" t="s">
        <v>541</v>
      </c>
    </row>
    <row r="1836" spans="1:30" x14ac:dyDescent="0.2">
      <c r="A1836" s="110">
        <v>1835</v>
      </c>
      <c r="B1836" s="132">
        <v>41855</v>
      </c>
      <c r="C1836" s="117">
        <v>1</v>
      </c>
      <c r="D1836" s="103" t="s">
        <v>71</v>
      </c>
      <c r="E1836" s="103" t="s">
        <v>306</v>
      </c>
      <c r="H1836" s="103"/>
      <c r="I1836" s="103">
        <v>62</v>
      </c>
      <c r="K1836" s="103" t="s">
        <v>364</v>
      </c>
      <c r="L1836" s="133"/>
      <c r="M1836" s="134">
        <v>1.9444444444444445E-2</v>
      </c>
      <c r="N1836" s="137" t="s">
        <v>2840</v>
      </c>
      <c r="O1836" s="133" t="s">
        <v>1585</v>
      </c>
      <c r="Q1836" s="100" t="s">
        <v>3965</v>
      </c>
      <c r="R1836" s="226" t="s">
        <v>3991</v>
      </c>
      <c r="S1836" s="491" t="str">
        <f t="shared" si="57"/>
        <v>x</v>
      </c>
      <c r="T1836" s="492" t="str">
        <f>IFERROR(VLOOKUP(F1836,'Freq-Chan'!C:D,2,FALSE),"x")</f>
        <v>x</v>
      </c>
      <c r="U1836" s="110" t="s">
        <v>541</v>
      </c>
      <c r="V1836" s="110" t="str">
        <f t="shared" si="58"/>
        <v>FWL</v>
      </c>
      <c r="W1836" s="110" t="s">
        <v>541</v>
      </c>
      <c r="X1836" s="110" t="s">
        <v>541</v>
      </c>
      <c r="Y1836" s="110" t="str">
        <f>IFERROR(VLOOKUP(F1836,'Freq-Chan'!C:E,3,FALSE),"na")</f>
        <v>na</v>
      </c>
      <c r="Z1836" s="110" t="s">
        <v>541</v>
      </c>
      <c r="AA1836" s="110" t="s">
        <v>541</v>
      </c>
      <c r="AB1836" s="110" t="s">
        <v>541</v>
      </c>
      <c r="AC1836" s="10" t="s">
        <v>541</v>
      </c>
      <c r="AD1836" s="10" t="s">
        <v>541</v>
      </c>
    </row>
    <row r="1837" spans="1:30" x14ac:dyDescent="0.2">
      <c r="A1837" s="110">
        <v>1836</v>
      </c>
      <c r="B1837" s="132">
        <v>41855</v>
      </c>
      <c r="C1837" s="117">
        <v>1</v>
      </c>
      <c r="D1837" s="103" t="s">
        <v>71</v>
      </c>
      <c r="E1837" s="103" t="s">
        <v>306</v>
      </c>
      <c r="H1837" s="103"/>
      <c r="I1837" s="103">
        <v>60</v>
      </c>
      <c r="K1837" s="103" t="s">
        <v>364</v>
      </c>
      <c r="L1837" s="133"/>
      <c r="M1837" s="134">
        <v>1.5277777777777777E-2</v>
      </c>
      <c r="N1837" s="137" t="s">
        <v>3914</v>
      </c>
      <c r="O1837" s="133" t="s">
        <v>1585</v>
      </c>
      <c r="Q1837" s="100" t="s">
        <v>3965</v>
      </c>
      <c r="R1837" s="226" t="s">
        <v>3991</v>
      </c>
      <c r="S1837" s="491" t="str">
        <f t="shared" si="57"/>
        <v>x</v>
      </c>
      <c r="T1837" s="492" t="str">
        <f>IFERROR(VLOOKUP(F1837,'Freq-Chan'!C:D,2,FALSE),"x")</f>
        <v>x</v>
      </c>
      <c r="U1837" s="110" t="s">
        <v>541</v>
      </c>
      <c r="V1837" s="110" t="str">
        <f t="shared" si="58"/>
        <v>FWL</v>
      </c>
      <c r="W1837" s="110" t="s">
        <v>541</v>
      </c>
      <c r="X1837" s="110" t="s">
        <v>541</v>
      </c>
      <c r="Y1837" s="110" t="str">
        <f>IFERROR(VLOOKUP(F1837,'Freq-Chan'!C:E,3,FALSE),"na")</f>
        <v>na</v>
      </c>
      <c r="Z1837" s="110" t="s">
        <v>541</v>
      </c>
      <c r="AA1837" s="110" t="s">
        <v>541</v>
      </c>
      <c r="AB1837" s="110" t="s">
        <v>541</v>
      </c>
      <c r="AC1837" s="10" t="s">
        <v>541</v>
      </c>
      <c r="AD1837" s="10" t="s">
        <v>541</v>
      </c>
    </row>
    <row r="1838" spans="1:30" x14ac:dyDescent="0.2">
      <c r="A1838" s="110">
        <v>1837</v>
      </c>
      <c r="B1838" s="132">
        <v>41855</v>
      </c>
      <c r="C1838" s="117">
        <v>1</v>
      </c>
      <c r="D1838" s="103" t="s">
        <v>71</v>
      </c>
      <c r="E1838" s="103" t="s">
        <v>306</v>
      </c>
      <c r="H1838" s="103"/>
      <c r="I1838" s="103">
        <v>54</v>
      </c>
      <c r="K1838" s="103" t="s">
        <v>365</v>
      </c>
      <c r="L1838" s="133"/>
      <c r="M1838" s="134">
        <v>1.3888888888888888E-2</v>
      </c>
      <c r="N1838" s="137" t="s">
        <v>2745</v>
      </c>
      <c r="O1838" s="133" t="s">
        <v>1532</v>
      </c>
      <c r="Q1838" s="100" t="s">
        <v>3966</v>
      </c>
      <c r="R1838" s="226" t="s">
        <v>3991</v>
      </c>
      <c r="S1838" s="491" t="str">
        <f t="shared" si="57"/>
        <v>x</v>
      </c>
      <c r="T1838" s="492" t="str">
        <f>IFERROR(VLOOKUP(F1838,'Freq-Chan'!C:D,2,FALSE),"x")</f>
        <v>x</v>
      </c>
      <c r="U1838" s="110" t="s">
        <v>541</v>
      </c>
      <c r="V1838" s="110" t="str">
        <f t="shared" si="58"/>
        <v>FWL</v>
      </c>
      <c r="W1838" s="110" t="s">
        <v>541</v>
      </c>
      <c r="X1838" s="110" t="s">
        <v>541</v>
      </c>
      <c r="Y1838" s="110" t="str">
        <f>IFERROR(VLOOKUP(F1838,'Freq-Chan'!C:E,3,FALSE),"na")</f>
        <v>na</v>
      </c>
      <c r="Z1838" s="110" t="s">
        <v>541</v>
      </c>
      <c r="AA1838" s="110" t="s">
        <v>541</v>
      </c>
      <c r="AB1838" s="110" t="s">
        <v>541</v>
      </c>
      <c r="AC1838" s="10" t="s">
        <v>541</v>
      </c>
      <c r="AD1838" s="10" t="s">
        <v>541</v>
      </c>
    </row>
    <row r="1839" spans="1:30" s="291" customFormat="1" x14ac:dyDescent="0.2">
      <c r="A1839" s="493">
        <v>1838</v>
      </c>
      <c r="B1839" s="283">
        <v>41855</v>
      </c>
      <c r="C1839" s="284">
        <v>1</v>
      </c>
      <c r="D1839" s="285" t="s">
        <v>71</v>
      </c>
      <c r="E1839" s="285" t="s">
        <v>306</v>
      </c>
      <c r="F1839" s="285"/>
      <c r="G1839" s="285"/>
      <c r="H1839" s="285"/>
      <c r="I1839" s="285">
        <v>56</v>
      </c>
      <c r="J1839" s="285"/>
      <c r="K1839" s="285" t="s">
        <v>365</v>
      </c>
      <c r="L1839" s="286"/>
      <c r="M1839" s="287">
        <v>1.5972222222222224E-2</v>
      </c>
      <c r="N1839" s="339" t="s">
        <v>1803</v>
      </c>
      <c r="O1839" s="286" t="s">
        <v>1532</v>
      </c>
      <c r="P1839" s="289"/>
      <c r="Q1839" s="289" t="s">
        <v>3966</v>
      </c>
      <c r="R1839" s="290" t="s">
        <v>3991</v>
      </c>
      <c r="S1839" s="494" t="str">
        <f t="shared" si="57"/>
        <v>x</v>
      </c>
      <c r="T1839" s="495" t="str">
        <f>IFERROR(VLOOKUP(F1839,'Freq-Chan'!C:D,2,FALSE),"x")</f>
        <v>x</v>
      </c>
      <c r="U1839" s="493" t="s">
        <v>541</v>
      </c>
      <c r="V1839" s="493" t="str">
        <f t="shared" si="58"/>
        <v>FWL</v>
      </c>
      <c r="W1839" s="493" t="s">
        <v>541</v>
      </c>
      <c r="X1839" s="493" t="s">
        <v>541</v>
      </c>
      <c r="Y1839" s="493" t="str">
        <f>IFERROR(VLOOKUP(F1839,'Freq-Chan'!C:E,3,FALSE),"na")</f>
        <v>na</v>
      </c>
      <c r="Z1839" s="493" t="s">
        <v>541</v>
      </c>
      <c r="AA1839" s="493" t="s">
        <v>541</v>
      </c>
      <c r="AB1839" s="493" t="s">
        <v>541</v>
      </c>
      <c r="AC1839" s="291" t="s">
        <v>541</v>
      </c>
      <c r="AD1839" s="291" t="s">
        <v>541</v>
      </c>
    </row>
    <row r="1840" spans="1:30" x14ac:dyDescent="0.2">
      <c r="A1840" s="110">
        <v>1839</v>
      </c>
      <c r="B1840" s="132">
        <v>41855</v>
      </c>
      <c r="C1840" s="117">
        <v>2</v>
      </c>
      <c r="D1840" s="103" t="s">
        <v>70</v>
      </c>
      <c r="E1840" s="103" t="s">
        <v>306</v>
      </c>
      <c r="F1840" s="103">
        <v>596</v>
      </c>
      <c r="G1840" s="103">
        <v>67</v>
      </c>
      <c r="H1840" s="103" t="s">
        <v>3069</v>
      </c>
      <c r="I1840" s="103">
        <v>47</v>
      </c>
      <c r="K1840" s="103" t="s">
        <v>365</v>
      </c>
      <c r="L1840" s="133"/>
      <c r="M1840" s="134">
        <v>5.4166666666666669E-2</v>
      </c>
      <c r="N1840" s="137" t="s">
        <v>3936</v>
      </c>
      <c r="O1840" s="133" t="s">
        <v>950</v>
      </c>
      <c r="Q1840" s="100" t="s">
        <v>3967</v>
      </c>
      <c r="R1840" s="226" t="s">
        <v>3991</v>
      </c>
      <c r="S1840" s="491" t="str">
        <f t="shared" si="57"/>
        <v>x</v>
      </c>
      <c r="T1840" s="492">
        <f>IFERROR(VLOOKUP(F1840,'Freq-Chan'!C:D,2,FALSE),"x")</f>
        <v>151.596</v>
      </c>
      <c r="U1840" s="110" t="s">
        <v>541</v>
      </c>
      <c r="V1840" s="110" t="str">
        <f t="shared" si="58"/>
        <v>FWL</v>
      </c>
      <c r="W1840" s="110" t="s">
        <v>541</v>
      </c>
      <c r="X1840" s="110" t="s">
        <v>541</v>
      </c>
      <c r="Y1840" s="110" t="str">
        <f>IFERROR(VLOOKUP(F1840,'Freq-Chan'!C:E,3,FALSE),"na")</f>
        <v>F1835</v>
      </c>
      <c r="Z1840" s="110" t="s">
        <v>541</v>
      </c>
      <c r="AA1840" s="110" t="s">
        <v>541</v>
      </c>
      <c r="AB1840" s="110" t="s">
        <v>541</v>
      </c>
      <c r="AC1840" s="10" t="s">
        <v>541</v>
      </c>
      <c r="AD1840" s="10" t="s">
        <v>541</v>
      </c>
    </row>
    <row r="1841" spans="1:30" x14ac:dyDescent="0.2">
      <c r="A1841" s="110">
        <v>1840</v>
      </c>
      <c r="B1841" s="132">
        <v>41855</v>
      </c>
      <c r="C1841" s="117">
        <v>2</v>
      </c>
      <c r="D1841" s="103" t="s">
        <v>71</v>
      </c>
      <c r="E1841" s="103" t="s">
        <v>306</v>
      </c>
      <c r="F1841" s="103">
        <v>534</v>
      </c>
      <c r="G1841" s="103">
        <v>80</v>
      </c>
      <c r="H1841" s="103" t="s">
        <v>2375</v>
      </c>
      <c r="I1841" s="103">
        <v>59</v>
      </c>
      <c r="K1841" s="103" t="s">
        <v>364</v>
      </c>
      <c r="L1841" s="133"/>
      <c r="M1841" s="134">
        <v>4.0972222222222222E-2</v>
      </c>
      <c r="N1841" s="137" t="s">
        <v>3885</v>
      </c>
      <c r="O1841" s="133" t="s">
        <v>2931</v>
      </c>
      <c r="Q1841" s="100" t="s">
        <v>3973</v>
      </c>
      <c r="R1841" s="226" t="s">
        <v>3991</v>
      </c>
      <c r="S1841" s="491" t="str">
        <f t="shared" si="57"/>
        <v>x</v>
      </c>
      <c r="T1841" s="492">
        <f>IFERROR(VLOOKUP(F1841,'Freq-Chan'!C:D,2,FALSE),"x")</f>
        <v>151.53399999999999</v>
      </c>
      <c r="U1841" s="110" t="s">
        <v>541</v>
      </c>
      <c r="V1841" s="110" t="str">
        <f t="shared" si="58"/>
        <v>FWL</v>
      </c>
      <c r="W1841" s="110" t="s">
        <v>541</v>
      </c>
      <c r="X1841" s="110" t="s">
        <v>541</v>
      </c>
      <c r="Y1841" s="110" t="str">
        <f>IFERROR(VLOOKUP(F1841,'Freq-Chan'!C:E,3,FALSE),"na")</f>
        <v>F1840</v>
      </c>
      <c r="Z1841" s="110" t="s">
        <v>541</v>
      </c>
      <c r="AA1841" s="110" t="s">
        <v>541</v>
      </c>
      <c r="AB1841" s="110" t="s">
        <v>541</v>
      </c>
      <c r="AC1841" s="10" t="s">
        <v>541</v>
      </c>
      <c r="AD1841" s="10" t="s">
        <v>541</v>
      </c>
    </row>
    <row r="1842" spans="1:30" x14ac:dyDescent="0.2">
      <c r="A1842" s="110">
        <v>1841</v>
      </c>
      <c r="B1842" s="132">
        <v>41855</v>
      </c>
      <c r="C1842" s="117">
        <v>2</v>
      </c>
      <c r="D1842" s="103" t="s">
        <v>70</v>
      </c>
      <c r="E1842" s="103" t="s">
        <v>306</v>
      </c>
      <c r="F1842" s="103">
        <v>515</v>
      </c>
      <c r="G1842" s="103">
        <v>71</v>
      </c>
      <c r="H1842" s="103" t="s">
        <v>3071</v>
      </c>
      <c r="I1842" s="103">
        <v>46</v>
      </c>
      <c r="K1842" s="103" t="s">
        <v>365</v>
      </c>
      <c r="L1842" s="133"/>
      <c r="M1842" s="134">
        <v>4.8611111111111112E-2</v>
      </c>
      <c r="N1842" s="137" t="s">
        <v>3974</v>
      </c>
      <c r="O1842" s="133" t="s">
        <v>2931</v>
      </c>
      <c r="Q1842" s="100" t="s">
        <v>3973</v>
      </c>
      <c r="R1842" s="226" t="s">
        <v>3991</v>
      </c>
      <c r="S1842" s="491" t="str">
        <f t="shared" si="57"/>
        <v>x</v>
      </c>
      <c r="T1842" s="492">
        <f>IFERROR(VLOOKUP(F1842,'Freq-Chan'!C:D,2,FALSE),"x")</f>
        <v>151.51499999999999</v>
      </c>
      <c r="U1842" s="110" t="s">
        <v>541</v>
      </c>
      <c r="V1842" s="110" t="str">
        <f t="shared" si="58"/>
        <v>FWL</v>
      </c>
      <c r="W1842" s="110" t="s">
        <v>541</v>
      </c>
      <c r="X1842" s="110" t="s">
        <v>541</v>
      </c>
      <c r="Y1842" s="110" t="str">
        <f>IFERROR(VLOOKUP(F1842,'Freq-Chan'!C:E,3,FALSE),"na")</f>
        <v>F1835</v>
      </c>
      <c r="Z1842" s="110" t="s">
        <v>541</v>
      </c>
      <c r="AA1842" s="110" t="s">
        <v>541</v>
      </c>
      <c r="AB1842" s="110" t="s">
        <v>541</v>
      </c>
      <c r="AC1842" s="10" t="s">
        <v>541</v>
      </c>
      <c r="AD1842" s="10" t="s">
        <v>541</v>
      </c>
    </row>
    <row r="1843" spans="1:30" x14ac:dyDescent="0.2">
      <c r="A1843" s="110">
        <v>1842</v>
      </c>
      <c r="B1843" s="132">
        <v>41855</v>
      </c>
      <c r="C1843" s="117">
        <v>2</v>
      </c>
      <c r="D1843" s="103" t="s">
        <v>71</v>
      </c>
      <c r="E1843" s="103" t="s">
        <v>306</v>
      </c>
      <c r="H1843" s="103"/>
      <c r="I1843" s="103">
        <v>61</v>
      </c>
      <c r="K1843" s="103" t="s">
        <v>364</v>
      </c>
      <c r="L1843" s="133"/>
      <c r="M1843" s="134">
        <v>1.8749999999999999E-2</v>
      </c>
      <c r="N1843" s="137" t="s">
        <v>3758</v>
      </c>
      <c r="O1843" s="133" t="s">
        <v>2931</v>
      </c>
      <c r="Q1843" s="100" t="s">
        <v>3973</v>
      </c>
      <c r="R1843" s="226" t="s">
        <v>3991</v>
      </c>
      <c r="S1843" s="491" t="str">
        <f t="shared" si="57"/>
        <v>x</v>
      </c>
      <c r="T1843" s="492" t="str">
        <f>IFERROR(VLOOKUP(F1843,'Freq-Chan'!C:D,2,FALSE),"x")</f>
        <v>x</v>
      </c>
      <c r="U1843" s="110" t="s">
        <v>541</v>
      </c>
      <c r="V1843" s="110" t="str">
        <f t="shared" si="58"/>
        <v>FWL</v>
      </c>
      <c r="W1843" s="110" t="s">
        <v>541</v>
      </c>
      <c r="X1843" s="110" t="s">
        <v>541</v>
      </c>
      <c r="Y1843" s="110" t="str">
        <f>IFERROR(VLOOKUP(F1843,'Freq-Chan'!C:E,3,FALSE),"na")</f>
        <v>na</v>
      </c>
      <c r="Z1843" s="110" t="s">
        <v>541</v>
      </c>
      <c r="AA1843" s="110" t="s">
        <v>541</v>
      </c>
      <c r="AB1843" s="110" t="s">
        <v>541</v>
      </c>
      <c r="AC1843" s="10" t="s">
        <v>541</v>
      </c>
      <c r="AD1843" s="10" t="s">
        <v>541</v>
      </c>
    </row>
    <row r="1844" spans="1:30" x14ac:dyDescent="0.2">
      <c r="A1844" s="110">
        <v>1843</v>
      </c>
      <c r="B1844" s="132">
        <v>41855</v>
      </c>
      <c r="C1844" s="117">
        <v>2</v>
      </c>
      <c r="D1844" s="103" t="s">
        <v>70</v>
      </c>
      <c r="E1844" s="103" t="s">
        <v>306</v>
      </c>
      <c r="H1844" s="103"/>
      <c r="I1844" s="103">
        <v>45</v>
      </c>
      <c r="K1844" s="103" t="s">
        <v>365</v>
      </c>
      <c r="L1844" s="133"/>
      <c r="M1844" s="134">
        <v>2.0833333333333332E-2</v>
      </c>
      <c r="N1844" s="137" t="s">
        <v>2634</v>
      </c>
      <c r="O1844" s="133" t="s">
        <v>2931</v>
      </c>
      <c r="Q1844" s="100" t="s">
        <v>3973</v>
      </c>
      <c r="R1844" s="226" t="s">
        <v>3991</v>
      </c>
      <c r="S1844" s="491" t="str">
        <f t="shared" si="57"/>
        <v>x</v>
      </c>
      <c r="T1844" s="492" t="str">
        <f>IFERROR(VLOOKUP(F1844,'Freq-Chan'!C:D,2,FALSE),"x")</f>
        <v>x</v>
      </c>
      <c r="U1844" s="110" t="s">
        <v>541</v>
      </c>
      <c r="V1844" s="110" t="str">
        <f t="shared" si="58"/>
        <v>FWL</v>
      </c>
      <c r="W1844" s="110" t="s">
        <v>541</v>
      </c>
      <c r="X1844" s="110" t="s">
        <v>541</v>
      </c>
      <c r="Y1844" s="110" t="str">
        <f>IFERROR(VLOOKUP(F1844,'Freq-Chan'!C:E,3,FALSE),"na")</f>
        <v>na</v>
      </c>
      <c r="Z1844" s="110" t="s">
        <v>541</v>
      </c>
      <c r="AA1844" s="110" t="s">
        <v>541</v>
      </c>
      <c r="AB1844" s="110" t="s">
        <v>541</v>
      </c>
      <c r="AC1844" s="10" t="s">
        <v>541</v>
      </c>
      <c r="AD1844" s="10" t="s">
        <v>541</v>
      </c>
    </row>
    <row r="1845" spans="1:30" x14ac:dyDescent="0.2">
      <c r="A1845" s="110">
        <v>1844</v>
      </c>
      <c r="B1845" s="132">
        <v>41855</v>
      </c>
      <c r="C1845" s="117">
        <v>2</v>
      </c>
      <c r="D1845" s="103" t="s">
        <v>71</v>
      </c>
      <c r="E1845" s="103" t="s">
        <v>306</v>
      </c>
      <c r="H1845" s="103"/>
      <c r="I1845" s="103">
        <v>60</v>
      </c>
      <c r="K1845" s="103" t="s">
        <v>364</v>
      </c>
      <c r="L1845" s="133"/>
      <c r="M1845" s="134">
        <v>2.361111111111111E-2</v>
      </c>
      <c r="N1845" s="137" t="s">
        <v>3226</v>
      </c>
      <c r="O1845" s="133" t="s">
        <v>2931</v>
      </c>
      <c r="Q1845" s="100" t="s">
        <v>3973</v>
      </c>
      <c r="R1845" s="226" t="s">
        <v>3991</v>
      </c>
      <c r="S1845" s="491" t="str">
        <f t="shared" si="57"/>
        <v>x</v>
      </c>
      <c r="T1845" s="492" t="str">
        <f>IFERROR(VLOOKUP(F1845,'Freq-Chan'!C:D,2,FALSE),"x")</f>
        <v>x</v>
      </c>
      <c r="U1845" s="110" t="s">
        <v>541</v>
      </c>
      <c r="V1845" s="110" t="str">
        <f t="shared" si="58"/>
        <v>FWL</v>
      </c>
      <c r="W1845" s="110" t="s">
        <v>541</v>
      </c>
      <c r="X1845" s="110" t="s">
        <v>541</v>
      </c>
      <c r="Y1845" s="110" t="str">
        <f>IFERROR(VLOOKUP(F1845,'Freq-Chan'!C:E,3,FALSE),"na")</f>
        <v>na</v>
      </c>
      <c r="Z1845" s="110" t="s">
        <v>541</v>
      </c>
      <c r="AA1845" s="110" t="s">
        <v>541</v>
      </c>
      <c r="AB1845" s="110" t="s">
        <v>541</v>
      </c>
      <c r="AC1845" s="10" t="s">
        <v>541</v>
      </c>
      <c r="AD1845" s="10" t="s">
        <v>541</v>
      </c>
    </row>
    <row r="1846" spans="1:30" x14ac:dyDescent="0.2">
      <c r="A1846" s="110">
        <v>1845</v>
      </c>
      <c r="B1846" s="132">
        <v>41855</v>
      </c>
      <c r="C1846" s="117">
        <v>2</v>
      </c>
      <c r="D1846" s="103" t="s">
        <v>71</v>
      </c>
      <c r="E1846" s="103" t="s">
        <v>306</v>
      </c>
      <c r="H1846" s="103"/>
      <c r="I1846" s="103">
        <v>57</v>
      </c>
      <c r="K1846" s="103" t="s">
        <v>364</v>
      </c>
      <c r="L1846" s="133"/>
      <c r="M1846" s="134">
        <v>1.9444444444444445E-2</v>
      </c>
      <c r="N1846" s="137" t="s">
        <v>3975</v>
      </c>
      <c r="O1846" s="133" t="s">
        <v>2931</v>
      </c>
      <c r="Q1846" s="100" t="s">
        <v>3973</v>
      </c>
      <c r="R1846" s="226" t="s">
        <v>3991</v>
      </c>
      <c r="S1846" s="491" t="str">
        <f t="shared" si="57"/>
        <v>x</v>
      </c>
      <c r="T1846" s="492" t="str">
        <f>IFERROR(VLOOKUP(F1846,'Freq-Chan'!C:D,2,FALSE),"x")</f>
        <v>x</v>
      </c>
      <c r="U1846" s="110" t="s">
        <v>541</v>
      </c>
      <c r="V1846" s="110" t="str">
        <f t="shared" si="58"/>
        <v>FWL</v>
      </c>
      <c r="W1846" s="110" t="s">
        <v>541</v>
      </c>
      <c r="X1846" s="110" t="s">
        <v>541</v>
      </c>
      <c r="Y1846" s="110" t="str">
        <f>IFERROR(VLOOKUP(F1846,'Freq-Chan'!C:E,3,FALSE),"na")</f>
        <v>na</v>
      </c>
      <c r="Z1846" s="110" t="s">
        <v>541</v>
      </c>
      <c r="AA1846" s="110" t="s">
        <v>541</v>
      </c>
      <c r="AB1846" s="110" t="s">
        <v>541</v>
      </c>
      <c r="AC1846" s="10" t="s">
        <v>541</v>
      </c>
      <c r="AD1846" s="10" t="s">
        <v>541</v>
      </c>
    </row>
    <row r="1847" spans="1:30" x14ac:dyDescent="0.2">
      <c r="A1847" s="110">
        <v>1846</v>
      </c>
      <c r="B1847" s="132">
        <v>41855</v>
      </c>
      <c r="C1847" s="117">
        <v>2</v>
      </c>
      <c r="D1847" s="103" t="s">
        <v>70</v>
      </c>
      <c r="E1847" s="103" t="s">
        <v>306</v>
      </c>
      <c r="H1847" s="103"/>
      <c r="I1847" s="103">
        <v>44</v>
      </c>
      <c r="K1847" s="103" t="s">
        <v>365</v>
      </c>
      <c r="L1847" s="133"/>
      <c r="M1847" s="134">
        <v>2.2916666666666669E-2</v>
      </c>
      <c r="N1847" s="137" t="s">
        <v>3976</v>
      </c>
      <c r="O1847" s="133" t="s">
        <v>2931</v>
      </c>
      <c r="Q1847" s="100" t="s">
        <v>3973</v>
      </c>
      <c r="R1847" s="226" t="s">
        <v>3991</v>
      </c>
      <c r="S1847" s="491" t="str">
        <f t="shared" si="57"/>
        <v>x</v>
      </c>
      <c r="T1847" s="492" t="str">
        <f>IFERROR(VLOOKUP(F1847,'Freq-Chan'!C:D,2,FALSE),"x")</f>
        <v>x</v>
      </c>
      <c r="U1847" s="110" t="s">
        <v>541</v>
      </c>
      <c r="V1847" s="110" t="str">
        <f t="shared" si="58"/>
        <v>FWL</v>
      </c>
      <c r="W1847" s="110" t="s">
        <v>541</v>
      </c>
      <c r="X1847" s="110" t="s">
        <v>541</v>
      </c>
      <c r="Y1847" s="110" t="str">
        <f>IFERROR(VLOOKUP(F1847,'Freq-Chan'!C:E,3,FALSE),"na")</f>
        <v>na</v>
      </c>
      <c r="Z1847" s="110" t="s">
        <v>541</v>
      </c>
      <c r="AA1847" s="110" t="s">
        <v>541</v>
      </c>
      <c r="AB1847" s="110" t="s">
        <v>541</v>
      </c>
      <c r="AC1847" s="10" t="s">
        <v>541</v>
      </c>
      <c r="AD1847" s="10" t="s">
        <v>541</v>
      </c>
    </row>
    <row r="1848" spans="1:30" x14ac:dyDescent="0.2">
      <c r="A1848" s="110">
        <v>1847</v>
      </c>
      <c r="B1848" s="132">
        <v>41855</v>
      </c>
      <c r="C1848" s="117">
        <v>2</v>
      </c>
      <c r="D1848" s="103" t="s">
        <v>71</v>
      </c>
      <c r="E1848" s="103" t="s">
        <v>306</v>
      </c>
      <c r="H1848" s="103"/>
      <c r="I1848" s="103">
        <v>60</v>
      </c>
      <c r="K1848" s="103" t="s">
        <v>364</v>
      </c>
      <c r="L1848" s="133"/>
      <c r="M1848" s="134">
        <v>2.9861111111111113E-2</v>
      </c>
      <c r="N1848" s="137" t="s">
        <v>3289</v>
      </c>
      <c r="O1848" s="133" t="s">
        <v>1585</v>
      </c>
      <c r="Q1848" s="100" t="s">
        <v>3973</v>
      </c>
      <c r="R1848" s="226" t="s">
        <v>3991</v>
      </c>
      <c r="S1848" s="491" t="str">
        <f t="shared" si="57"/>
        <v>x</v>
      </c>
      <c r="T1848" s="492" t="str">
        <f>IFERROR(VLOOKUP(F1848,'Freq-Chan'!C:D,2,FALSE),"x")</f>
        <v>x</v>
      </c>
      <c r="U1848" s="110" t="s">
        <v>541</v>
      </c>
      <c r="V1848" s="110" t="str">
        <f t="shared" si="58"/>
        <v>FWL</v>
      </c>
      <c r="W1848" s="110" t="s">
        <v>541</v>
      </c>
      <c r="X1848" s="110" t="s">
        <v>541</v>
      </c>
      <c r="Y1848" s="110" t="str">
        <f>IFERROR(VLOOKUP(F1848,'Freq-Chan'!C:E,3,FALSE),"na")</f>
        <v>na</v>
      </c>
      <c r="Z1848" s="110" t="s">
        <v>541</v>
      </c>
      <c r="AA1848" s="110" t="s">
        <v>541</v>
      </c>
      <c r="AB1848" s="110" t="s">
        <v>541</v>
      </c>
      <c r="AC1848" s="10" t="s">
        <v>541</v>
      </c>
      <c r="AD1848" s="10" t="s">
        <v>541</v>
      </c>
    </row>
    <row r="1849" spans="1:30" x14ac:dyDescent="0.2">
      <c r="A1849" s="110">
        <v>1848</v>
      </c>
      <c r="B1849" s="132">
        <v>41855</v>
      </c>
      <c r="C1849" s="117">
        <v>2</v>
      </c>
      <c r="D1849" s="103" t="s">
        <v>71</v>
      </c>
      <c r="E1849" s="103" t="s">
        <v>306</v>
      </c>
      <c r="H1849" s="103"/>
      <c r="I1849" s="103">
        <v>62</v>
      </c>
      <c r="K1849" s="103" t="s">
        <v>364</v>
      </c>
      <c r="L1849" s="133"/>
      <c r="M1849" s="134">
        <v>2.2222222222222223E-2</v>
      </c>
      <c r="N1849" s="137" t="s">
        <v>3807</v>
      </c>
      <c r="O1849" s="133" t="s">
        <v>1585</v>
      </c>
      <c r="Q1849" s="100" t="s">
        <v>3973</v>
      </c>
      <c r="R1849" s="226" t="s">
        <v>3991</v>
      </c>
      <c r="S1849" s="491" t="str">
        <f t="shared" si="57"/>
        <v>x</v>
      </c>
      <c r="T1849" s="492" t="str">
        <f>IFERROR(VLOOKUP(F1849,'Freq-Chan'!C:D,2,FALSE),"x")</f>
        <v>x</v>
      </c>
      <c r="U1849" s="110" t="s">
        <v>541</v>
      </c>
      <c r="V1849" s="110" t="str">
        <f t="shared" si="58"/>
        <v>FWL</v>
      </c>
      <c r="W1849" s="110" t="s">
        <v>541</v>
      </c>
      <c r="X1849" s="110" t="s">
        <v>541</v>
      </c>
      <c r="Y1849" s="110" t="str">
        <f>IFERROR(VLOOKUP(F1849,'Freq-Chan'!C:E,3,FALSE),"na")</f>
        <v>na</v>
      </c>
      <c r="Z1849" s="110" t="s">
        <v>541</v>
      </c>
      <c r="AA1849" s="110" t="s">
        <v>541</v>
      </c>
      <c r="AB1849" s="110" t="s">
        <v>541</v>
      </c>
      <c r="AC1849" s="10" t="s">
        <v>541</v>
      </c>
      <c r="AD1849" s="10" t="s">
        <v>541</v>
      </c>
    </row>
    <row r="1850" spans="1:30" x14ac:dyDescent="0.2">
      <c r="A1850" s="110">
        <v>1849</v>
      </c>
      <c r="B1850" s="132">
        <v>41855</v>
      </c>
      <c r="C1850" s="117">
        <v>2</v>
      </c>
      <c r="D1850" s="103" t="s">
        <v>8</v>
      </c>
      <c r="E1850" s="103" t="s">
        <v>306</v>
      </c>
      <c r="F1850" s="103">
        <v>573</v>
      </c>
      <c r="G1850" s="103">
        <v>91</v>
      </c>
      <c r="H1850" s="103" t="s">
        <v>2204</v>
      </c>
      <c r="I1850" s="103">
        <v>51</v>
      </c>
      <c r="K1850" s="103" t="s">
        <v>1032</v>
      </c>
      <c r="L1850" s="133"/>
      <c r="M1850" s="134">
        <v>5.0694444444444452E-2</v>
      </c>
      <c r="N1850" s="137" t="s">
        <v>1987</v>
      </c>
      <c r="O1850" s="133" t="s">
        <v>2931</v>
      </c>
      <c r="Q1850" s="100" t="s">
        <v>3973</v>
      </c>
      <c r="R1850" s="226" t="s">
        <v>3991</v>
      </c>
      <c r="S1850" s="491" t="str">
        <f t="shared" si="57"/>
        <v>x</v>
      </c>
      <c r="T1850" s="492">
        <f>IFERROR(VLOOKUP(F1850,'Freq-Chan'!C:D,2,FALSE),"x")</f>
        <v>151.57300000000001</v>
      </c>
      <c r="U1850" s="110" t="s">
        <v>541</v>
      </c>
      <c r="V1850" s="110" t="str">
        <f t="shared" si="58"/>
        <v>FWL</v>
      </c>
      <c r="W1850" s="110" t="s">
        <v>541</v>
      </c>
      <c r="X1850" s="110" t="s">
        <v>541</v>
      </c>
      <c r="Y1850" s="110" t="str">
        <f>IFERROR(VLOOKUP(F1850,'Freq-Chan'!C:E,3,FALSE),"na")</f>
        <v>F1840</v>
      </c>
      <c r="Z1850" s="110" t="s">
        <v>541</v>
      </c>
      <c r="AA1850" s="110" t="s">
        <v>541</v>
      </c>
      <c r="AB1850" s="110" t="s">
        <v>541</v>
      </c>
      <c r="AC1850" s="10" t="s">
        <v>541</v>
      </c>
      <c r="AD1850" s="10" t="s">
        <v>541</v>
      </c>
    </row>
    <row r="1851" spans="1:30" x14ac:dyDescent="0.2">
      <c r="A1851" s="110">
        <v>1850</v>
      </c>
      <c r="B1851" s="132">
        <v>41855</v>
      </c>
      <c r="C1851" s="117">
        <v>2</v>
      </c>
      <c r="D1851" s="103" t="s">
        <v>70</v>
      </c>
      <c r="E1851" s="103" t="s">
        <v>306</v>
      </c>
      <c r="H1851" s="103"/>
      <c r="I1851" s="103">
        <v>48</v>
      </c>
      <c r="K1851" s="103" t="s">
        <v>1032</v>
      </c>
      <c r="L1851" s="133"/>
      <c r="M1851" s="134">
        <v>3.3333333333333333E-2</v>
      </c>
      <c r="N1851" s="137" t="s">
        <v>881</v>
      </c>
      <c r="O1851" s="133" t="s">
        <v>1532</v>
      </c>
      <c r="Q1851" s="100" t="s">
        <v>3966</v>
      </c>
      <c r="R1851" s="226" t="s">
        <v>3991</v>
      </c>
      <c r="S1851" s="491" t="str">
        <f t="shared" si="57"/>
        <v>x</v>
      </c>
      <c r="T1851" s="492" t="str">
        <f>IFERROR(VLOOKUP(F1851,'Freq-Chan'!C:D,2,FALSE),"x")</f>
        <v>x</v>
      </c>
      <c r="U1851" s="110" t="s">
        <v>541</v>
      </c>
      <c r="V1851" s="110" t="str">
        <f t="shared" si="58"/>
        <v>FWL</v>
      </c>
      <c r="W1851" s="110" t="s">
        <v>541</v>
      </c>
      <c r="X1851" s="110" t="s">
        <v>541</v>
      </c>
      <c r="Y1851" s="110" t="str">
        <f>IFERROR(VLOOKUP(F1851,'Freq-Chan'!C:E,3,FALSE),"na")</f>
        <v>na</v>
      </c>
      <c r="Z1851" s="110" t="s">
        <v>541</v>
      </c>
      <c r="AA1851" s="110" t="s">
        <v>541</v>
      </c>
      <c r="AB1851" s="110" t="s">
        <v>541</v>
      </c>
      <c r="AC1851" s="10" t="s">
        <v>541</v>
      </c>
      <c r="AD1851" s="10" t="s">
        <v>541</v>
      </c>
    </row>
    <row r="1852" spans="1:30" x14ac:dyDescent="0.2">
      <c r="A1852" s="110">
        <v>1851</v>
      </c>
      <c r="B1852" s="132">
        <v>41855</v>
      </c>
      <c r="C1852" s="117">
        <v>2</v>
      </c>
      <c r="D1852" s="103" t="s">
        <v>8</v>
      </c>
      <c r="E1852" s="103" t="s">
        <v>306</v>
      </c>
      <c r="F1852" s="103">
        <v>586</v>
      </c>
      <c r="G1852" s="103">
        <v>28</v>
      </c>
      <c r="H1852" s="103" t="s">
        <v>2207</v>
      </c>
      <c r="I1852" s="103">
        <v>54</v>
      </c>
      <c r="K1852" s="103" t="s">
        <v>365</v>
      </c>
      <c r="L1852" s="133"/>
      <c r="M1852" s="134">
        <v>6.5277777777777782E-2</v>
      </c>
      <c r="N1852" s="137" t="s">
        <v>2950</v>
      </c>
      <c r="O1852" s="133" t="s">
        <v>3932</v>
      </c>
      <c r="Q1852" s="100" t="s">
        <v>3966</v>
      </c>
      <c r="R1852" s="226" t="s">
        <v>3991</v>
      </c>
      <c r="S1852" s="491" t="str">
        <f t="shared" si="57"/>
        <v>x</v>
      </c>
      <c r="T1852" s="492">
        <f>IFERROR(VLOOKUP(F1852,'Freq-Chan'!C:D,2,FALSE),"x")</f>
        <v>151.58600000000001</v>
      </c>
      <c r="U1852" s="110" t="s">
        <v>541</v>
      </c>
      <c r="V1852" s="110" t="str">
        <f t="shared" si="58"/>
        <v>FWL</v>
      </c>
      <c r="W1852" s="110" t="s">
        <v>541</v>
      </c>
      <c r="X1852" s="110" t="s">
        <v>541</v>
      </c>
      <c r="Y1852" s="110" t="str">
        <f>IFERROR(VLOOKUP(F1852,'Freq-Chan'!C:E,3,FALSE),"na")</f>
        <v>F1840</v>
      </c>
      <c r="Z1852" s="110" t="s">
        <v>541</v>
      </c>
      <c r="AA1852" s="110" t="s">
        <v>541</v>
      </c>
      <c r="AB1852" s="110" t="s">
        <v>541</v>
      </c>
      <c r="AC1852" s="10" t="s">
        <v>541</v>
      </c>
      <c r="AD1852" s="10" t="s">
        <v>541</v>
      </c>
    </row>
    <row r="1853" spans="1:30" x14ac:dyDescent="0.2">
      <c r="A1853" s="110">
        <v>1852</v>
      </c>
      <c r="B1853" s="132">
        <v>41855</v>
      </c>
      <c r="C1853" s="117">
        <v>2</v>
      </c>
      <c r="D1853" s="103" t="s">
        <v>70</v>
      </c>
      <c r="E1853" s="103" t="s">
        <v>306</v>
      </c>
      <c r="H1853" s="103"/>
      <c r="I1853" s="103">
        <v>41</v>
      </c>
      <c r="K1853" s="103" t="s">
        <v>1032</v>
      </c>
      <c r="L1853" s="133"/>
      <c r="M1853" s="134">
        <v>2.0833333333333332E-2</v>
      </c>
      <c r="N1853" s="137" t="s">
        <v>3977</v>
      </c>
      <c r="O1853" s="133" t="s">
        <v>1532</v>
      </c>
      <c r="Q1853" s="100" t="s">
        <v>3966</v>
      </c>
      <c r="R1853" s="226" t="s">
        <v>3991</v>
      </c>
      <c r="S1853" s="491" t="str">
        <f t="shared" si="57"/>
        <v>x</v>
      </c>
      <c r="T1853" s="492" t="str">
        <f>IFERROR(VLOOKUP(F1853,'Freq-Chan'!C:D,2,FALSE),"x")</f>
        <v>x</v>
      </c>
      <c r="U1853" s="110" t="s">
        <v>541</v>
      </c>
      <c r="V1853" s="110" t="str">
        <f t="shared" si="58"/>
        <v>FWL</v>
      </c>
      <c r="W1853" s="110" t="s">
        <v>541</v>
      </c>
      <c r="X1853" s="110" t="s">
        <v>541</v>
      </c>
      <c r="Y1853" s="110" t="str">
        <f>IFERROR(VLOOKUP(F1853,'Freq-Chan'!C:E,3,FALSE),"na")</f>
        <v>na</v>
      </c>
      <c r="Z1853" s="110" t="s">
        <v>541</v>
      </c>
      <c r="AA1853" s="110" t="s">
        <v>541</v>
      </c>
      <c r="AB1853" s="110" t="s">
        <v>541</v>
      </c>
      <c r="AC1853" s="10" t="s">
        <v>541</v>
      </c>
      <c r="AD1853" s="10" t="s">
        <v>541</v>
      </c>
    </row>
    <row r="1854" spans="1:30" x14ac:dyDescent="0.2">
      <c r="A1854" s="110">
        <v>1853</v>
      </c>
      <c r="B1854" s="132">
        <v>41855</v>
      </c>
      <c r="C1854" s="117">
        <v>2</v>
      </c>
      <c r="D1854" s="103" t="s">
        <v>71</v>
      </c>
      <c r="E1854" s="103" t="s">
        <v>306</v>
      </c>
      <c r="H1854" s="103"/>
      <c r="I1854" s="103">
        <v>61</v>
      </c>
      <c r="K1854" s="103" t="s">
        <v>1032</v>
      </c>
      <c r="L1854" s="133"/>
      <c r="M1854" s="134">
        <v>1.8749999999999999E-2</v>
      </c>
      <c r="N1854" s="137" t="s">
        <v>3978</v>
      </c>
      <c r="O1854" s="133" t="s">
        <v>1532</v>
      </c>
      <c r="Q1854" s="100" t="s">
        <v>3966</v>
      </c>
      <c r="R1854" s="226" t="s">
        <v>3991</v>
      </c>
      <c r="S1854" s="491" t="str">
        <f t="shared" si="57"/>
        <v>x</v>
      </c>
      <c r="T1854" s="492" t="str">
        <f>IFERROR(VLOOKUP(F1854,'Freq-Chan'!C:D,2,FALSE),"x")</f>
        <v>x</v>
      </c>
      <c r="U1854" s="110" t="s">
        <v>541</v>
      </c>
      <c r="V1854" s="110" t="str">
        <f t="shared" si="58"/>
        <v>FWL</v>
      </c>
      <c r="W1854" s="110" t="s">
        <v>541</v>
      </c>
      <c r="X1854" s="110" t="s">
        <v>541</v>
      </c>
      <c r="Y1854" s="110" t="str">
        <f>IFERROR(VLOOKUP(F1854,'Freq-Chan'!C:E,3,FALSE),"na")</f>
        <v>na</v>
      </c>
      <c r="Z1854" s="110" t="s">
        <v>541</v>
      </c>
      <c r="AA1854" s="110" t="s">
        <v>541</v>
      </c>
      <c r="AB1854" s="110" t="s">
        <v>541</v>
      </c>
      <c r="AC1854" s="10" t="s">
        <v>541</v>
      </c>
      <c r="AD1854" s="10" t="s">
        <v>541</v>
      </c>
    </row>
    <row r="1855" spans="1:30" x14ac:dyDescent="0.2">
      <c r="A1855" s="110">
        <v>1854</v>
      </c>
      <c r="B1855" s="132">
        <v>41855</v>
      </c>
      <c r="C1855" s="117">
        <v>2</v>
      </c>
      <c r="D1855" s="103" t="s">
        <v>71</v>
      </c>
      <c r="E1855" s="103" t="s">
        <v>306</v>
      </c>
      <c r="H1855" s="103"/>
      <c r="I1855" s="103">
        <v>60</v>
      </c>
      <c r="K1855" s="103" t="s">
        <v>1032</v>
      </c>
      <c r="L1855" s="133"/>
      <c r="M1855" s="134">
        <v>1.6666666666666666E-2</v>
      </c>
      <c r="N1855" s="137" t="s">
        <v>1809</v>
      </c>
      <c r="O1855" s="133" t="s">
        <v>1532</v>
      </c>
      <c r="Q1855" s="100" t="s">
        <v>3966</v>
      </c>
      <c r="R1855" s="226" t="s">
        <v>3991</v>
      </c>
      <c r="S1855" s="491" t="str">
        <f t="shared" si="57"/>
        <v>x</v>
      </c>
      <c r="T1855" s="492" t="str">
        <f>IFERROR(VLOOKUP(F1855,'Freq-Chan'!C:D,2,FALSE),"x")</f>
        <v>x</v>
      </c>
      <c r="U1855" s="110" t="s">
        <v>541</v>
      </c>
      <c r="V1855" s="110" t="str">
        <f t="shared" si="58"/>
        <v>FWL</v>
      </c>
      <c r="W1855" s="110" t="s">
        <v>541</v>
      </c>
      <c r="X1855" s="110" t="s">
        <v>541</v>
      </c>
      <c r="Y1855" s="110" t="str">
        <f>IFERROR(VLOOKUP(F1855,'Freq-Chan'!C:E,3,FALSE),"na")</f>
        <v>na</v>
      </c>
      <c r="Z1855" s="110" t="s">
        <v>541</v>
      </c>
      <c r="AA1855" s="110" t="s">
        <v>541</v>
      </c>
      <c r="AB1855" s="110" t="s">
        <v>541</v>
      </c>
      <c r="AC1855" s="10" t="s">
        <v>541</v>
      </c>
      <c r="AD1855" s="10" t="s">
        <v>541</v>
      </c>
    </row>
    <row r="1856" spans="1:30" s="291" customFormat="1" x14ac:dyDescent="0.2">
      <c r="A1856" s="493">
        <v>1855</v>
      </c>
      <c r="B1856" s="283">
        <v>41855</v>
      </c>
      <c r="C1856" s="284">
        <v>2</v>
      </c>
      <c r="D1856" s="285" t="s">
        <v>70</v>
      </c>
      <c r="E1856" s="285" t="s">
        <v>306</v>
      </c>
      <c r="F1856" s="285"/>
      <c r="G1856" s="285"/>
      <c r="H1856" s="285"/>
      <c r="I1856" s="285">
        <v>45</v>
      </c>
      <c r="J1856" s="285"/>
      <c r="K1856" s="285" t="s">
        <v>1032</v>
      </c>
      <c r="L1856" s="286"/>
      <c r="M1856" s="287">
        <v>1.2499999999999999E-2</v>
      </c>
      <c r="N1856" s="339" t="s">
        <v>3979</v>
      </c>
      <c r="O1856" s="286" t="s">
        <v>1532</v>
      </c>
      <c r="P1856" s="289"/>
      <c r="Q1856" s="289" t="s">
        <v>3966</v>
      </c>
      <c r="R1856" s="290" t="s">
        <v>3991</v>
      </c>
      <c r="S1856" s="494" t="str">
        <f t="shared" si="57"/>
        <v>x</v>
      </c>
      <c r="T1856" s="495" t="str">
        <f>IFERROR(VLOOKUP(F1856,'Freq-Chan'!C:D,2,FALSE),"x")</f>
        <v>x</v>
      </c>
      <c r="U1856" s="493" t="s">
        <v>541</v>
      </c>
      <c r="V1856" s="493" t="str">
        <f t="shared" si="58"/>
        <v>FWL</v>
      </c>
      <c r="W1856" s="493" t="s">
        <v>541</v>
      </c>
      <c r="X1856" s="493" t="s">
        <v>541</v>
      </c>
      <c r="Y1856" s="493" t="str">
        <f>IFERROR(VLOOKUP(F1856,'Freq-Chan'!C:E,3,FALSE),"na")</f>
        <v>na</v>
      </c>
      <c r="Z1856" s="493" t="s">
        <v>541</v>
      </c>
      <c r="AA1856" s="493" t="s">
        <v>541</v>
      </c>
      <c r="AB1856" s="493" t="s">
        <v>541</v>
      </c>
      <c r="AC1856" s="291" t="s">
        <v>541</v>
      </c>
      <c r="AD1856" s="291" t="s">
        <v>541</v>
      </c>
    </row>
    <row r="1857" spans="1:30" x14ac:dyDescent="0.2">
      <c r="A1857" s="110">
        <v>1856</v>
      </c>
      <c r="B1857" s="132">
        <v>41855</v>
      </c>
      <c r="C1857" s="117">
        <v>3</v>
      </c>
      <c r="D1857" s="103" t="s">
        <v>70</v>
      </c>
      <c r="E1857" s="103" t="s">
        <v>306</v>
      </c>
      <c r="F1857" s="103">
        <v>515</v>
      </c>
      <c r="G1857" s="103">
        <v>62</v>
      </c>
      <c r="H1857" s="103" t="s">
        <v>3062</v>
      </c>
      <c r="I1857" s="103">
        <v>50</v>
      </c>
      <c r="K1857" s="103" t="s">
        <v>1032</v>
      </c>
      <c r="L1857" s="133"/>
      <c r="M1857" s="134">
        <v>6.3194444444444442E-2</v>
      </c>
      <c r="N1857" s="137" t="s">
        <v>3980</v>
      </c>
      <c r="O1857" s="133" t="s">
        <v>3932</v>
      </c>
      <c r="Q1857" s="100" t="s">
        <v>3968</v>
      </c>
      <c r="R1857" s="226" t="s">
        <v>3991</v>
      </c>
      <c r="S1857" s="491" t="str">
        <f t="shared" si="57"/>
        <v>x</v>
      </c>
      <c r="T1857" s="492">
        <f>IFERROR(VLOOKUP(F1857,'Freq-Chan'!C:D,2,FALSE),"x")</f>
        <v>151.51499999999999</v>
      </c>
      <c r="U1857" s="110" t="s">
        <v>541</v>
      </c>
      <c r="V1857" s="110" t="str">
        <f t="shared" si="58"/>
        <v>FWL</v>
      </c>
      <c r="W1857" s="110" t="s">
        <v>541</v>
      </c>
      <c r="X1857" s="110" t="s">
        <v>541</v>
      </c>
      <c r="Y1857" s="110" t="str">
        <f>IFERROR(VLOOKUP(F1857,'Freq-Chan'!C:E,3,FALSE),"na")</f>
        <v>F1835</v>
      </c>
      <c r="Z1857" s="110" t="s">
        <v>541</v>
      </c>
      <c r="AA1857" s="110" t="s">
        <v>541</v>
      </c>
      <c r="AB1857" s="110" t="s">
        <v>541</v>
      </c>
      <c r="AC1857" s="10" t="s">
        <v>541</v>
      </c>
      <c r="AD1857" s="10" t="s">
        <v>541</v>
      </c>
    </row>
    <row r="1858" spans="1:30" x14ac:dyDescent="0.2">
      <c r="A1858" s="110">
        <v>1857</v>
      </c>
      <c r="B1858" s="132">
        <v>41855</v>
      </c>
      <c r="C1858" s="117">
        <v>3</v>
      </c>
      <c r="D1858" s="103" t="s">
        <v>71</v>
      </c>
      <c r="E1858" s="103" t="s">
        <v>306</v>
      </c>
      <c r="F1858" s="103">
        <v>534</v>
      </c>
      <c r="G1858" s="103">
        <v>55</v>
      </c>
      <c r="H1858" s="103" t="s">
        <v>2369</v>
      </c>
      <c r="I1858" s="103">
        <v>53</v>
      </c>
      <c r="K1858" s="103" t="s">
        <v>365</v>
      </c>
      <c r="L1858" s="133"/>
      <c r="M1858" s="134">
        <v>5.486111111111111E-2</v>
      </c>
      <c r="N1858" s="137" t="s">
        <v>3425</v>
      </c>
      <c r="O1858" s="133" t="s">
        <v>3932</v>
      </c>
      <c r="Q1858" s="100" t="s">
        <v>3968</v>
      </c>
      <c r="R1858" s="226" t="s">
        <v>3991</v>
      </c>
      <c r="S1858" s="491" t="str">
        <f t="shared" si="57"/>
        <v>x</v>
      </c>
      <c r="T1858" s="492">
        <f>IFERROR(VLOOKUP(F1858,'Freq-Chan'!C:D,2,FALSE),"x")</f>
        <v>151.53399999999999</v>
      </c>
      <c r="U1858" s="110" t="s">
        <v>541</v>
      </c>
      <c r="V1858" s="110" t="str">
        <f t="shared" si="58"/>
        <v>FWL</v>
      </c>
      <c r="W1858" s="110" t="s">
        <v>541</v>
      </c>
      <c r="X1858" s="110" t="s">
        <v>541</v>
      </c>
      <c r="Y1858" s="110" t="str">
        <f>IFERROR(VLOOKUP(F1858,'Freq-Chan'!C:E,3,FALSE),"na")</f>
        <v>F1840</v>
      </c>
      <c r="Z1858" s="110" t="s">
        <v>541</v>
      </c>
      <c r="AA1858" s="110" t="s">
        <v>541</v>
      </c>
      <c r="AB1858" s="110" t="s">
        <v>541</v>
      </c>
      <c r="AC1858" s="10" t="s">
        <v>541</v>
      </c>
      <c r="AD1858" s="10" t="s">
        <v>541</v>
      </c>
    </row>
    <row r="1859" spans="1:30" x14ac:dyDescent="0.2">
      <c r="A1859" s="110">
        <v>1858</v>
      </c>
      <c r="B1859" s="132">
        <v>41855</v>
      </c>
      <c r="C1859" s="117">
        <v>3</v>
      </c>
      <c r="D1859" s="103" t="s">
        <v>71</v>
      </c>
      <c r="E1859" s="103" t="s">
        <v>306</v>
      </c>
      <c r="F1859" s="103">
        <v>534</v>
      </c>
      <c r="G1859" s="103">
        <v>51</v>
      </c>
      <c r="H1859" s="103" t="s">
        <v>2352</v>
      </c>
      <c r="I1859" s="103">
        <v>54</v>
      </c>
      <c r="K1859" s="103" t="s">
        <v>365</v>
      </c>
      <c r="L1859" s="133"/>
      <c r="M1859" s="134">
        <v>3.9583333333333331E-2</v>
      </c>
      <c r="N1859" s="137" t="s">
        <v>3205</v>
      </c>
      <c r="O1859" s="133" t="s">
        <v>3932</v>
      </c>
      <c r="Q1859" s="100" t="s">
        <v>3968</v>
      </c>
      <c r="R1859" s="226" t="s">
        <v>3991</v>
      </c>
      <c r="S1859" s="491" t="str">
        <f t="shared" ref="S1859:S1922" si="59">IF(IF(OR(L1859=0,N1859=0),"x",ROUND(N1859-L1859-(M1859*24)/(24*60),10))&lt;0,0,IF(OR(L1859=0,N1859=0),"x",ROUND(N1859-L1859-(M1859*24)/(24*60),10)))</f>
        <v>x</v>
      </c>
      <c r="T1859" s="492">
        <f>IFERROR(VLOOKUP(F1859,'Freq-Chan'!C:D,2,FALSE),"x")</f>
        <v>151.53399999999999</v>
      </c>
      <c r="U1859" s="110" t="s">
        <v>541</v>
      </c>
      <c r="V1859" s="110" t="str">
        <f t="shared" ref="V1859:V1922" si="60">IF(OR(C1859=1,C1859=2,C1859=3),"FWL","NRD")</f>
        <v>FWL</v>
      </c>
      <c r="W1859" s="110" t="s">
        <v>541</v>
      </c>
      <c r="X1859" s="110" t="s">
        <v>541</v>
      </c>
      <c r="Y1859" s="110" t="str">
        <f>IFERROR(VLOOKUP(F1859,'Freq-Chan'!C:E,3,FALSE),"na")</f>
        <v>F1840</v>
      </c>
      <c r="Z1859" s="110" t="s">
        <v>541</v>
      </c>
      <c r="AA1859" s="110" t="s">
        <v>541</v>
      </c>
      <c r="AB1859" s="110" t="s">
        <v>541</v>
      </c>
      <c r="AC1859" s="10" t="s">
        <v>541</v>
      </c>
      <c r="AD1859" s="10" t="s">
        <v>541</v>
      </c>
    </row>
    <row r="1860" spans="1:30" x14ac:dyDescent="0.2">
      <c r="A1860" s="110">
        <v>1859</v>
      </c>
      <c r="B1860" s="132">
        <v>41855</v>
      </c>
      <c r="C1860" s="117">
        <v>3</v>
      </c>
      <c r="D1860" s="103" t="s">
        <v>70</v>
      </c>
      <c r="E1860" s="103" t="s">
        <v>306</v>
      </c>
      <c r="H1860" s="103"/>
      <c r="I1860" s="103">
        <v>46</v>
      </c>
      <c r="K1860" s="103" t="s">
        <v>1032</v>
      </c>
      <c r="L1860" s="133"/>
      <c r="M1860" s="134">
        <v>1.2499999999999999E-2</v>
      </c>
      <c r="N1860" s="135" t="s">
        <v>3481</v>
      </c>
      <c r="O1860" s="133" t="s">
        <v>1532</v>
      </c>
      <c r="Q1860" s="100" t="s">
        <v>3968</v>
      </c>
      <c r="R1860" s="226" t="s">
        <v>3991</v>
      </c>
      <c r="S1860" s="491" t="str">
        <f t="shared" si="59"/>
        <v>x</v>
      </c>
      <c r="T1860" s="492" t="str">
        <f>IFERROR(VLOOKUP(F1860,'Freq-Chan'!C:D,2,FALSE),"x")</f>
        <v>x</v>
      </c>
      <c r="U1860" s="110" t="s">
        <v>541</v>
      </c>
      <c r="V1860" s="110" t="str">
        <f t="shared" si="60"/>
        <v>FWL</v>
      </c>
      <c r="W1860" s="110" t="s">
        <v>541</v>
      </c>
      <c r="X1860" s="110" t="s">
        <v>541</v>
      </c>
      <c r="Y1860" s="110" t="str">
        <f>IFERROR(VLOOKUP(F1860,'Freq-Chan'!C:E,3,FALSE),"na")</f>
        <v>na</v>
      </c>
      <c r="Z1860" s="110" t="s">
        <v>541</v>
      </c>
      <c r="AA1860" s="110" t="s">
        <v>541</v>
      </c>
      <c r="AB1860" s="110" t="s">
        <v>541</v>
      </c>
      <c r="AC1860" s="10" t="s">
        <v>541</v>
      </c>
      <c r="AD1860" s="10" t="s">
        <v>541</v>
      </c>
    </row>
    <row r="1861" spans="1:30" x14ac:dyDescent="0.2">
      <c r="A1861" s="110">
        <v>1860</v>
      </c>
      <c r="B1861" s="132">
        <v>41855</v>
      </c>
      <c r="C1861" s="117">
        <v>3</v>
      </c>
      <c r="D1861" s="103" t="s">
        <v>70</v>
      </c>
      <c r="E1861" s="103" t="s">
        <v>306</v>
      </c>
      <c r="H1861" s="103"/>
      <c r="I1861" s="103">
        <v>45</v>
      </c>
      <c r="K1861" s="103" t="s">
        <v>365</v>
      </c>
      <c r="L1861" s="133"/>
      <c r="M1861" s="134">
        <v>1.3194444444444444E-2</v>
      </c>
      <c r="N1861" s="137" t="s">
        <v>2591</v>
      </c>
      <c r="O1861" s="133" t="s">
        <v>1532</v>
      </c>
      <c r="Q1861" s="100" t="s">
        <v>3968</v>
      </c>
      <c r="R1861" s="226" t="s">
        <v>3991</v>
      </c>
      <c r="S1861" s="491" t="str">
        <f t="shared" si="59"/>
        <v>x</v>
      </c>
      <c r="T1861" s="492" t="str">
        <f>IFERROR(VLOOKUP(F1861,'Freq-Chan'!C:D,2,FALSE),"x")</f>
        <v>x</v>
      </c>
      <c r="U1861" s="110" t="s">
        <v>541</v>
      </c>
      <c r="V1861" s="110" t="str">
        <f t="shared" si="60"/>
        <v>FWL</v>
      </c>
      <c r="W1861" s="110" t="s">
        <v>541</v>
      </c>
      <c r="X1861" s="110" t="s">
        <v>541</v>
      </c>
      <c r="Y1861" s="110" t="str">
        <f>IFERROR(VLOOKUP(F1861,'Freq-Chan'!C:E,3,FALSE),"na")</f>
        <v>na</v>
      </c>
      <c r="Z1861" s="110" t="s">
        <v>541</v>
      </c>
      <c r="AA1861" s="110" t="s">
        <v>541</v>
      </c>
      <c r="AB1861" s="110" t="s">
        <v>541</v>
      </c>
      <c r="AC1861" s="10" t="s">
        <v>541</v>
      </c>
      <c r="AD1861" s="10" t="s">
        <v>541</v>
      </c>
    </row>
    <row r="1862" spans="1:30" x14ac:dyDescent="0.2">
      <c r="A1862" s="110">
        <v>1861</v>
      </c>
      <c r="B1862" s="132">
        <v>41855</v>
      </c>
      <c r="C1862" s="117">
        <v>3</v>
      </c>
      <c r="D1862" s="103" t="s">
        <v>70</v>
      </c>
      <c r="E1862" s="103" t="s">
        <v>306</v>
      </c>
      <c r="H1862" s="103"/>
      <c r="I1862" s="103">
        <v>42</v>
      </c>
      <c r="K1862" s="103" t="s">
        <v>1032</v>
      </c>
      <c r="L1862" s="133"/>
      <c r="M1862" s="134">
        <v>1.2499999999999999E-2</v>
      </c>
      <c r="N1862" s="137" t="s">
        <v>3210</v>
      </c>
      <c r="O1862" s="133" t="s">
        <v>1532</v>
      </c>
      <c r="Q1862" s="100" t="s">
        <v>3968</v>
      </c>
      <c r="R1862" s="226" t="s">
        <v>3991</v>
      </c>
      <c r="S1862" s="491" t="str">
        <f t="shared" si="59"/>
        <v>x</v>
      </c>
      <c r="T1862" s="492" t="str">
        <f>IFERROR(VLOOKUP(F1862,'Freq-Chan'!C:D,2,FALSE),"x")</f>
        <v>x</v>
      </c>
      <c r="U1862" s="110" t="s">
        <v>541</v>
      </c>
      <c r="V1862" s="110" t="str">
        <f t="shared" si="60"/>
        <v>FWL</v>
      </c>
      <c r="W1862" s="110" t="s">
        <v>541</v>
      </c>
      <c r="X1862" s="110" t="s">
        <v>541</v>
      </c>
      <c r="Y1862" s="110" t="str">
        <f>IFERROR(VLOOKUP(F1862,'Freq-Chan'!C:E,3,FALSE),"na")</f>
        <v>na</v>
      </c>
      <c r="Z1862" s="110" t="s">
        <v>541</v>
      </c>
      <c r="AA1862" s="110" t="s">
        <v>541</v>
      </c>
      <c r="AB1862" s="110" t="s">
        <v>541</v>
      </c>
      <c r="AC1862" s="10" t="s">
        <v>541</v>
      </c>
      <c r="AD1862" s="10" t="s">
        <v>541</v>
      </c>
    </row>
    <row r="1863" spans="1:30" x14ac:dyDescent="0.2">
      <c r="A1863" s="110">
        <v>1862</v>
      </c>
      <c r="B1863" s="132">
        <v>41855</v>
      </c>
      <c r="C1863" s="117">
        <v>3</v>
      </c>
      <c r="D1863" s="103" t="s">
        <v>70</v>
      </c>
      <c r="E1863" s="103" t="s">
        <v>306</v>
      </c>
      <c r="H1863" s="103"/>
      <c r="I1863" s="103">
        <v>44</v>
      </c>
      <c r="K1863" s="103" t="s">
        <v>1032</v>
      </c>
      <c r="L1863" s="133"/>
      <c r="M1863" s="134">
        <v>1.3888888888888888E-2</v>
      </c>
      <c r="N1863" s="137" t="s">
        <v>3981</v>
      </c>
      <c r="O1863" s="133" t="s">
        <v>1532</v>
      </c>
      <c r="Q1863" s="100" t="s">
        <v>3968</v>
      </c>
      <c r="R1863" s="226" t="s">
        <v>3991</v>
      </c>
      <c r="S1863" s="491" t="str">
        <f t="shared" si="59"/>
        <v>x</v>
      </c>
      <c r="T1863" s="492" t="str">
        <f>IFERROR(VLOOKUP(F1863,'Freq-Chan'!C:D,2,FALSE),"x")</f>
        <v>x</v>
      </c>
      <c r="U1863" s="110" t="s">
        <v>541</v>
      </c>
      <c r="V1863" s="110" t="str">
        <f t="shared" si="60"/>
        <v>FWL</v>
      </c>
      <c r="W1863" s="110" t="s">
        <v>541</v>
      </c>
      <c r="X1863" s="110" t="s">
        <v>541</v>
      </c>
      <c r="Y1863" s="110" t="str">
        <f>IFERROR(VLOOKUP(F1863,'Freq-Chan'!C:E,3,FALSE),"na")</f>
        <v>na</v>
      </c>
      <c r="Z1863" s="110" t="s">
        <v>541</v>
      </c>
      <c r="AA1863" s="110" t="s">
        <v>541</v>
      </c>
      <c r="AB1863" s="110" t="s">
        <v>541</v>
      </c>
      <c r="AC1863" s="10" t="s">
        <v>541</v>
      </c>
      <c r="AD1863" s="10" t="s">
        <v>541</v>
      </c>
    </row>
    <row r="1864" spans="1:30" x14ac:dyDescent="0.2">
      <c r="A1864" s="110">
        <v>1863</v>
      </c>
      <c r="B1864" s="132">
        <v>41855</v>
      </c>
      <c r="C1864" s="117">
        <v>3</v>
      </c>
      <c r="D1864" s="103" t="s">
        <v>70</v>
      </c>
      <c r="E1864" s="103" t="s">
        <v>306</v>
      </c>
      <c r="H1864" s="103"/>
      <c r="I1864" s="103">
        <v>41</v>
      </c>
      <c r="K1864" s="103" t="s">
        <v>365</v>
      </c>
      <c r="L1864" s="133"/>
      <c r="M1864" s="134">
        <v>1.6666666666666666E-2</v>
      </c>
      <c r="N1864" s="137" t="s">
        <v>3733</v>
      </c>
      <c r="O1864" s="133" t="s">
        <v>1532</v>
      </c>
      <c r="Q1864" s="100" t="s">
        <v>3968</v>
      </c>
      <c r="R1864" s="226" t="s">
        <v>3991</v>
      </c>
      <c r="S1864" s="491" t="str">
        <f t="shared" si="59"/>
        <v>x</v>
      </c>
      <c r="T1864" s="492" t="str">
        <f>IFERROR(VLOOKUP(F1864,'Freq-Chan'!C:D,2,FALSE),"x")</f>
        <v>x</v>
      </c>
      <c r="U1864" s="110" t="s">
        <v>541</v>
      </c>
      <c r="V1864" s="110" t="str">
        <f t="shared" si="60"/>
        <v>FWL</v>
      </c>
      <c r="W1864" s="110" t="s">
        <v>541</v>
      </c>
      <c r="X1864" s="110" t="s">
        <v>541</v>
      </c>
      <c r="Y1864" s="110" t="str">
        <f>IFERROR(VLOOKUP(F1864,'Freq-Chan'!C:E,3,FALSE),"na")</f>
        <v>na</v>
      </c>
      <c r="Z1864" s="110" t="s">
        <v>541</v>
      </c>
      <c r="AA1864" s="110" t="s">
        <v>541</v>
      </c>
      <c r="AB1864" s="110" t="s">
        <v>541</v>
      </c>
      <c r="AC1864" s="10" t="s">
        <v>541</v>
      </c>
      <c r="AD1864" s="10" t="s">
        <v>541</v>
      </c>
    </row>
    <row r="1865" spans="1:30" x14ac:dyDescent="0.2">
      <c r="A1865" s="110">
        <v>1864</v>
      </c>
      <c r="B1865" s="132">
        <v>41855</v>
      </c>
      <c r="C1865" s="117">
        <v>3</v>
      </c>
      <c r="D1865" s="103" t="s">
        <v>71</v>
      </c>
      <c r="E1865" s="103" t="s">
        <v>306</v>
      </c>
      <c r="H1865" s="103"/>
      <c r="I1865" s="103">
        <v>59</v>
      </c>
      <c r="K1865" s="103" t="s">
        <v>365</v>
      </c>
      <c r="L1865" s="133"/>
      <c r="M1865" s="134">
        <v>1.4583333333333332E-2</v>
      </c>
      <c r="N1865" s="137" t="s">
        <v>3734</v>
      </c>
      <c r="O1865" s="133" t="s">
        <v>1532</v>
      </c>
      <c r="Q1865" s="100" t="s">
        <v>3968</v>
      </c>
      <c r="R1865" s="226" t="s">
        <v>3991</v>
      </c>
      <c r="S1865" s="491" t="str">
        <f t="shared" si="59"/>
        <v>x</v>
      </c>
      <c r="T1865" s="492" t="str">
        <f>IFERROR(VLOOKUP(F1865,'Freq-Chan'!C:D,2,FALSE),"x")</f>
        <v>x</v>
      </c>
      <c r="U1865" s="110" t="s">
        <v>541</v>
      </c>
      <c r="V1865" s="110" t="str">
        <f t="shared" si="60"/>
        <v>FWL</v>
      </c>
      <c r="W1865" s="110" t="s">
        <v>541</v>
      </c>
      <c r="X1865" s="110" t="s">
        <v>541</v>
      </c>
      <c r="Y1865" s="110" t="str">
        <f>IFERROR(VLOOKUP(F1865,'Freq-Chan'!C:E,3,FALSE),"na")</f>
        <v>na</v>
      </c>
      <c r="Z1865" s="110" t="s">
        <v>541</v>
      </c>
      <c r="AA1865" s="110" t="s">
        <v>541</v>
      </c>
      <c r="AB1865" s="110" t="s">
        <v>541</v>
      </c>
      <c r="AC1865" s="10" t="s">
        <v>541</v>
      </c>
      <c r="AD1865" s="10" t="s">
        <v>541</v>
      </c>
    </row>
    <row r="1866" spans="1:30" x14ac:dyDescent="0.2">
      <c r="A1866" s="110">
        <v>1865</v>
      </c>
      <c r="B1866" s="132">
        <v>41855</v>
      </c>
      <c r="C1866" s="117">
        <v>3</v>
      </c>
      <c r="D1866" s="103" t="s">
        <v>70</v>
      </c>
      <c r="E1866" s="103" t="s">
        <v>306</v>
      </c>
      <c r="H1866" s="103"/>
      <c r="I1866" s="103">
        <v>48</v>
      </c>
      <c r="K1866" s="103" t="s">
        <v>1032</v>
      </c>
      <c r="L1866" s="133"/>
      <c r="M1866" s="134">
        <v>1.2499999999999999E-2</v>
      </c>
      <c r="N1866" s="137" t="s">
        <v>3735</v>
      </c>
      <c r="O1866" s="133" t="s">
        <v>1532</v>
      </c>
      <c r="Q1866" s="100" t="s">
        <v>3968</v>
      </c>
      <c r="R1866" s="226" t="s">
        <v>3991</v>
      </c>
      <c r="S1866" s="491" t="str">
        <f t="shared" si="59"/>
        <v>x</v>
      </c>
      <c r="T1866" s="492" t="str">
        <f>IFERROR(VLOOKUP(F1866,'Freq-Chan'!C:D,2,FALSE),"x")</f>
        <v>x</v>
      </c>
      <c r="U1866" s="110" t="s">
        <v>541</v>
      </c>
      <c r="V1866" s="110" t="str">
        <f t="shared" si="60"/>
        <v>FWL</v>
      </c>
      <c r="W1866" s="110" t="s">
        <v>541</v>
      </c>
      <c r="X1866" s="110" t="s">
        <v>541</v>
      </c>
      <c r="Y1866" s="110" t="str">
        <f>IFERROR(VLOOKUP(F1866,'Freq-Chan'!C:E,3,FALSE),"na")</f>
        <v>na</v>
      </c>
      <c r="Z1866" s="110" t="s">
        <v>541</v>
      </c>
      <c r="AA1866" s="110" t="s">
        <v>541</v>
      </c>
      <c r="AB1866" s="110" t="s">
        <v>541</v>
      </c>
      <c r="AC1866" s="10" t="s">
        <v>541</v>
      </c>
      <c r="AD1866" s="10" t="s">
        <v>541</v>
      </c>
    </row>
    <row r="1867" spans="1:30" x14ac:dyDescent="0.2">
      <c r="A1867" s="110">
        <v>1866</v>
      </c>
      <c r="B1867" s="132">
        <v>41855</v>
      </c>
      <c r="C1867" s="117">
        <v>3</v>
      </c>
      <c r="D1867" s="103" t="s">
        <v>71</v>
      </c>
      <c r="E1867" s="103" t="s">
        <v>306</v>
      </c>
      <c r="H1867" s="103"/>
      <c r="I1867" s="103">
        <v>59</v>
      </c>
      <c r="K1867" s="103" t="s">
        <v>365</v>
      </c>
      <c r="L1867" s="133"/>
      <c r="M1867" s="134">
        <v>1.6666666666666666E-2</v>
      </c>
      <c r="N1867" s="137" t="s">
        <v>1905</v>
      </c>
      <c r="O1867" s="133" t="s">
        <v>1532</v>
      </c>
      <c r="Q1867" s="100" t="s">
        <v>3968</v>
      </c>
      <c r="R1867" s="226" t="s">
        <v>3991</v>
      </c>
      <c r="S1867" s="491" t="str">
        <f t="shared" si="59"/>
        <v>x</v>
      </c>
      <c r="T1867" s="492" t="str">
        <f>IFERROR(VLOOKUP(F1867,'Freq-Chan'!C:D,2,FALSE),"x")</f>
        <v>x</v>
      </c>
      <c r="U1867" s="110" t="s">
        <v>541</v>
      </c>
      <c r="V1867" s="110" t="str">
        <f t="shared" si="60"/>
        <v>FWL</v>
      </c>
      <c r="W1867" s="110" t="s">
        <v>541</v>
      </c>
      <c r="X1867" s="110" t="s">
        <v>541</v>
      </c>
      <c r="Y1867" s="110" t="str">
        <f>IFERROR(VLOOKUP(F1867,'Freq-Chan'!C:E,3,FALSE),"na")</f>
        <v>na</v>
      </c>
      <c r="Z1867" s="110" t="s">
        <v>541</v>
      </c>
      <c r="AA1867" s="110" t="s">
        <v>541</v>
      </c>
      <c r="AB1867" s="110" t="s">
        <v>541</v>
      </c>
      <c r="AC1867" s="10" t="s">
        <v>541</v>
      </c>
      <c r="AD1867" s="10" t="s">
        <v>541</v>
      </c>
    </row>
    <row r="1868" spans="1:30" x14ac:dyDescent="0.2">
      <c r="A1868" s="110">
        <v>1867</v>
      </c>
      <c r="B1868" s="132">
        <v>41855</v>
      </c>
      <c r="C1868" s="117">
        <v>3</v>
      </c>
      <c r="D1868" s="103" t="s">
        <v>70</v>
      </c>
      <c r="E1868" s="103" t="s">
        <v>306</v>
      </c>
      <c r="H1868" s="103"/>
      <c r="I1868" s="103">
        <v>46</v>
      </c>
      <c r="K1868" s="103" t="s">
        <v>1032</v>
      </c>
      <c r="L1868" s="133"/>
      <c r="M1868" s="134">
        <v>1.8749999999999999E-2</v>
      </c>
      <c r="N1868" s="137" t="s">
        <v>3936</v>
      </c>
      <c r="O1868" s="133" t="s">
        <v>1532</v>
      </c>
      <c r="Q1868" s="100" t="s">
        <v>3968</v>
      </c>
      <c r="R1868" s="226" t="s">
        <v>3991</v>
      </c>
      <c r="S1868" s="491" t="str">
        <f t="shared" si="59"/>
        <v>x</v>
      </c>
      <c r="T1868" s="492" t="str">
        <f>IFERROR(VLOOKUP(F1868,'Freq-Chan'!C:D,2,FALSE),"x")</f>
        <v>x</v>
      </c>
      <c r="U1868" s="110" t="s">
        <v>541</v>
      </c>
      <c r="V1868" s="110" t="str">
        <f t="shared" si="60"/>
        <v>FWL</v>
      </c>
      <c r="W1868" s="110" t="s">
        <v>541</v>
      </c>
      <c r="X1868" s="110" t="s">
        <v>541</v>
      </c>
      <c r="Y1868" s="110" t="str">
        <f>IFERROR(VLOOKUP(F1868,'Freq-Chan'!C:E,3,FALSE),"na")</f>
        <v>na</v>
      </c>
      <c r="Z1868" s="110" t="s">
        <v>541</v>
      </c>
      <c r="AA1868" s="110" t="s">
        <v>541</v>
      </c>
      <c r="AB1868" s="110" t="s">
        <v>541</v>
      </c>
      <c r="AC1868" s="10" t="s">
        <v>541</v>
      </c>
      <c r="AD1868" s="10" t="s">
        <v>541</v>
      </c>
    </row>
    <row r="1869" spans="1:30" x14ac:dyDescent="0.2">
      <c r="A1869" s="110">
        <v>1868</v>
      </c>
      <c r="B1869" s="132">
        <v>41855</v>
      </c>
      <c r="C1869" s="117">
        <v>3</v>
      </c>
      <c r="D1869" s="103" t="s">
        <v>70</v>
      </c>
      <c r="E1869" s="103" t="s">
        <v>306</v>
      </c>
      <c r="H1869" s="103"/>
      <c r="I1869" s="103">
        <v>45</v>
      </c>
      <c r="K1869" s="103" t="s">
        <v>365</v>
      </c>
      <c r="L1869" s="133"/>
      <c r="M1869" s="134">
        <v>1.4583333333333332E-2</v>
      </c>
      <c r="N1869" s="137" t="s">
        <v>3717</v>
      </c>
      <c r="O1869" s="133" t="s">
        <v>1532</v>
      </c>
      <c r="Q1869" s="100" t="s">
        <v>3968</v>
      </c>
      <c r="R1869" s="226" t="s">
        <v>3991</v>
      </c>
      <c r="S1869" s="491" t="str">
        <f t="shared" si="59"/>
        <v>x</v>
      </c>
      <c r="T1869" s="492" t="str">
        <f>IFERROR(VLOOKUP(F1869,'Freq-Chan'!C:D,2,FALSE),"x")</f>
        <v>x</v>
      </c>
      <c r="U1869" s="110" t="s">
        <v>541</v>
      </c>
      <c r="V1869" s="110" t="str">
        <f t="shared" si="60"/>
        <v>FWL</v>
      </c>
      <c r="W1869" s="110" t="s">
        <v>541</v>
      </c>
      <c r="X1869" s="110" t="s">
        <v>541</v>
      </c>
      <c r="Y1869" s="110" t="str">
        <f>IFERROR(VLOOKUP(F1869,'Freq-Chan'!C:E,3,FALSE),"na")</f>
        <v>na</v>
      </c>
      <c r="Z1869" s="110" t="s">
        <v>541</v>
      </c>
      <c r="AA1869" s="110" t="s">
        <v>541</v>
      </c>
      <c r="AB1869" s="110" t="s">
        <v>541</v>
      </c>
      <c r="AC1869" s="10" t="s">
        <v>541</v>
      </c>
      <c r="AD1869" s="10" t="s">
        <v>541</v>
      </c>
    </row>
    <row r="1870" spans="1:30" x14ac:dyDescent="0.2">
      <c r="A1870" s="110">
        <v>1869</v>
      </c>
      <c r="B1870" s="132">
        <v>41855</v>
      </c>
      <c r="C1870" s="117">
        <v>3</v>
      </c>
      <c r="D1870" s="103" t="s">
        <v>71</v>
      </c>
      <c r="E1870" s="103" t="s">
        <v>306</v>
      </c>
      <c r="F1870" s="103">
        <v>564</v>
      </c>
      <c r="G1870" s="103">
        <v>97</v>
      </c>
      <c r="H1870" s="103" t="s">
        <v>2361</v>
      </c>
      <c r="I1870" s="103">
        <v>55</v>
      </c>
      <c r="K1870" s="103" t="s">
        <v>1032</v>
      </c>
      <c r="L1870" s="133"/>
      <c r="M1870" s="134">
        <v>5.347222222222222E-2</v>
      </c>
      <c r="N1870" s="137" t="s">
        <v>3902</v>
      </c>
      <c r="O1870" s="133" t="s">
        <v>3932</v>
      </c>
      <c r="Q1870" s="100" t="s">
        <v>3968</v>
      </c>
      <c r="R1870" s="226" t="s">
        <v>3991</v>
      </c>
      <c r="S1870" s="491" t="str">
        <f t="shared" si="59"/>
        <v>x</v>
      </c>
      <c r="T1870" s="492">
        <f>IFERROR(VLOOKUP(F1870,'Freq-Chan'!C:D,2,FALSE),"x")</f>
        <v>151.56399999999999</v>
      </c>
      <c r="U1870" s="110" t="s">
        <v>541</v>
      </c>
      <c r="V1870" s="110" t="str">
        <f t="shared" si="60"/>
        <v>FWL</v>
      </c>
      <c r="W1870" s="110" t="s">
        <v>541</v>
      </c>
      <c r="X1870" s="110" t="s">
        <v>541</v>
      </c>
      <c r="Y1870" s="110" t="str">
        <f>IFERROR(VLOOKUP(F1870,'Freq-Chan'!C:E,3,FALSE),"na")</f>
        <v>F1840</v>
      </c>
      <c r="Z1870" s="110" t="s">
        <v>541</v>
      </c>
      <c r="AA1870" s="110" t="s">
        <v>541</v>
      </c>
      <c r="AB1870" s="110" t="s">
        <v>541</v>
      </c>
      <c r="AC1870" s="10" t="s">
        <v>541</v>
      </c>
      <c r="AD1870" s="10" t="s">
        <v>541</v>
      </c>
    </row>
    <row r="1871" spans="1:30" x14ac:dyDescent="0.2">
      <c r="A1871" s="110">
        <v>1870</v>
      </c>
      <c r="B1871" s="132">
        <v>41855</v>
      </c>
      <c r="C1871" s="117">
        <v>3</v>
      </c>
      <c r="D1871" s="103" t="s">
        <v>70</v>
      </c>
      <c r="E1871" s="103" t="s">
        <v>306</v>
      </c>
      <c r="F1871" s="103">
        <v>515</v>
      </c>
      <c r="G1871" s="103">
        <v>14</v>
      </c>
      <c r="H1871" s="103" t="s">
        <v>3063</v>
      </c>
      <c r="I1871" s="103">
        <v>41</v>
      </c>
      <c r="K1871" s="103" t="s">
        <v>1032</v>
      </c>
      <c r="L1871" s="133"/>
      <c r="M1871" s="134">
        <v>5.4166666666666669E-2</v>
      </c>
      <c r="N1871" s="137" t="s">
        <v>2814</v>
      </c>
      <c r="O1871" s="133" t="s">
        <v>3932</v>
      </c>
      <c r="Q1871" s="100" t="s">
        <v>3968</v>
      </c>
      <c r="R1871" s="226" t="s">
        <v>3991</v>
      </c>
      <c r="S1871" s="491" t="str">
        <f t="shared" si="59"/>
        <v>x</v>
      </c>
      <c r="T1871" s="492">
        <f>IFERROR(VLOOKUP(F1871,'Freq-Chan'!C:D,2,FALSE),"x")</f>
        <v>151.51499999999999</v>
      </c>
      <c r="U1871" s="110" t="s">
        <v>541</v>
      </c>
      <c r="V1871" s="110" t="str">
        <f t="shared" si="60"/>
        <v>FWL</v>
      </c>
      <c r="W1871" s="110" t="s">
        <v>541</v>
      </c>
      <c r="X1871" s="110" t="s">
        <v>541</v>
      </c>
      <c r="Y1871" s="110" t="str">
        <f>IFERROR(VLOOKUP(F1871,'Freq-Chan'!C:E,3,FALSE),"na")</f>
        <v>F1835</v>
      </c>
      <c r="Z1871" s="110" t="s">
        <v>541</v>
      </c>
      <c r="AA1871" s="110" t="s">
        <v>541</v>
      </c>
      <c r="AB1871" s="110" t="s">
        <v>541</v>
      </c>
      <c r="AC1871" s="10" t="s">
        <v>541</v>
      </c>
      <c r="AD1871" s="10" t="s">
        <v>541</v>
      </c>
    </row>
    <row r="1872" spans="1:30" x14ac:dyDescent="0.2">
      <c r="A1872" s="110">
        <v>1871</v>
      </c>
      <c r="B1872" s="132">
        <v>41855</v>
      </c>
      <c r="C1872" s="117">
        <v>3</v>
      </c>
      <c r="D1872" s="103" t="s">
        <v>71</v>
      </c>
      <c r="E1872" s="103" t="s">
        <v>306</v>
      </c>
      <c r="H1872" s="103"/>
      <c r="I1872" s="103">
        <v>63</v>
      </c>
      <c r="K1872" s="103" t="s">
        <v>1032</v>
      </c>
      <c r="L1872" s="133"/>
      <c r="M1872" s="134">
        <v>2.013888888888889E-2</v>
      </c>
      <c r="N1872" s="137" t="s">
        <v>3903</v>
      </c>
      <c r="O1872" s="133" t="s">
        <v>1532</v>
      </c>
      <c r="Q1872" s="100" t="s">
        <v>3968</v>
      </c>
      <c r="R1872" s="226" t="s">
        <v>3991</v>
      </c>
      <c r="S1872" s="491" t="str">
        <f t="shared" si="59"/>
        <v>x</v>
      </c>
      <c r="T1872" s="492" t="str">
        <f>IFERROR(VLOOKUP(F1872,'Freq-Chan'!C:D,2,FALSE),"x")</f>
        <v>x</v>
      </c>
      <c r="U1872" s="110" t="s">
        <v>541</v>
      </c>
      <c r="V1872" s="110" t="str">
        <f t="shared" si="60"/>
        <v>FWL</v>
      </c>
      <c r="W1872" s="110" t="s">
        <v>541</v>
      </c>
      <c r="X1872" s="110" t="s">
        <v>541</v>
      </c>
      <c r="Y1872" s="110" t="str">
        <f>IFERROR(VLOOKUP(F1872,'Freq-Chan'!C:E,3,FALSE),"na")</f>
        <v>na</v>
      </c>
      <c r="Z1872" s="110" t="s">
        <v>541</v>
      </c>
      <c r="AA1872" s="110" t="s">
        <v>541</v>
      </c>
      <c r="AB1872" s="110" t="s">
        <v>541</v>
      </c>
      <c r="AC1872" s="10" t="s">
        <v>541</v>
      </c>
      <c r="AD1872" s="10" t="s">
        <v>541</v>
      </c>
    </row>
    <row r="1873" spans="1:30" x14ac:dyDescent="0.2">
      <c r="A1873" s="110">
        <v>1872</v>
      </c>
      <c r="B1873" s="132">
        <v>41855</v>
      </c>
      <c r="C1873" s="117">
        <v>3</v>
      </c>
      <c r="D1873" s="103" t="s">
        <v>70</v>
      </c>
      <c r="E1873" s="103" t="s">
        <v>306</v>
      </c>
      <c r="H1873" s="103"/>
      <c r="I1873" s="103">
        <v>47</v>
      </c>
      <c r="K1873" s="103" t="s">
        <v>365</v>
      </c>
      <c r="L1873" s="133"/>
      <c r="M1873" s="134">
        <v>1.1805555555555555E-2</v>
      </c>
      <c r="N1873" s="137" t="s">
        <v>1654</v>
      </c>
      <c r="O1873" s="133" t="s">
        <v>1532</v>
      </c>
      <c r="Q1873" s="100" t="s">
        <v>3968</v>
      </c>
      <c r="R1873" s="226" t="s">
        <v>3991</v>
      </c>
      <c r="S1873" s="491" t="str">
        <f t="shared" si="59"/>
        <v>x</v>
      </c>
      <c r="T1873" s="492" t="str">
        <f>IFERROR(VLOOKUP(F1873,'Freq-Chan'!C:D,2,FALSE),"x")</f>
        <v>x</v>
      </c>
      <c r="U1873" s="110" t="s">
        <v>541</v>
      </c>
      <c r="V1873" s="110" t="str">
        <f t="shared" si="60"/>
        <v>FWL</v>
      </c>
      <c r="W1873" s="110" t="s">
        <v>541</v>
      </c>
      <c r="X1873" s="110" t="s">
        <v>541</v>
      </c>
      <c r="Y1873" s="110" t="str">
        <f>IFERROR(VLOOKUP(F1873,'Freq-Chan'!C:E,3,FALSE),"na")</f>
        <v>na</v>
      </c>
      <c r="Z1873" s="110" t="s">
        <v>541</v>
      </c>
      <c r="AA1873" s="110" t="s">
        <v>541</v>
      </c>
      <c r="AB1873" s="110" t="s">
        <v>541</v>
      </c>
      <c r="AC1873" s="10" t="s">
        <v>541</v>
      </c>
      <c r="AD1873" s="10" t="s">
        <v>541</v>
      </c>
    </row>
    <row r="1874" spans="1:30" x14ac:dyDescent="0.2">
      <c r="A1874" s="110">
        <v>1873</v>
      </c>
      <c r="B1874" s="132">
        <v>41855</v>
      </c>
      <c r="C1874" s="117">
        <v>3</v>
      </c>
      <c r="D1874" s="103" t="s">
        <v>71</v>
      </c>
      <c r="E1874" s="103" t="s">
        <v>306</v>
      </c>
      <c r="H1874" s="103"/>
      <c r="I1874" s="103">
        <v>60</v>
      </c>
      <c r="K1874" s="103" t="s">
        <v>365</v>
      </c>
      <c r="L1874" s="133"/>
      <c r="M1874" s="134">
        <v>1.5972222222222224E-2</v>
      </c>
      <c r="N1874" s="137" t="s">
        <v>2048</v>
      </c>
      <c r="O1874" s="133" t="s">
        <v>1532</v>
      </c>
      <c r="Q1874" s="100" t="s">
        <v>3968</v>
      </c>
      <c r="R1874" s="226" t="s">
        <v>3991</v>
      </c>
      <c r="S1874" s="491" t="str">
        <f t="shared" si="59"/>
        <v>x</v>
      </c>
      <c r="T1874" s="492" t="str">
        <f>IFERROR(VLOOKUP(F1874,'Freq-Chan'!C:D,2,FALSE),"x")</f>
        <v>x</v>
      </c>
      <c r="U1874" s="110" t="s">
        <v>541</v>
      </c>
      <c r="V1874" s="110" t="str">
        <f t="shared" si="60"/>
        <v>FWL</v>
      </c>
      <c r="W1874" s="110" t="s">
        <v>541</v>
      </c>
      <c r="X1874" s="110" t="s">
        <v>541</v>
      </c>
      <c r="Y1874" s="110" t="str">
        <f>IFERROR(VLOOKUP(F1874,'Freq-Chan'!C:E,3,FALSE),"na")</f>
        <v>na</v>
      </c>
      <c r="Z1874" s="110" t="s">
        <v>541</v>
      </c>
      <c r="AA1874" s="110" t="s">
        <v>541</v>
      </c>
      <c r="AB1874" s="110" t="s">
        <v>541</v>
      </c>
      <c r="AC1874" s="10" t="s">
        <v>541</v>
      </c>
      <c r="AD1874" s="10" t="s">
        <v>541</v>
      </c>
    </row>
    <row r="1875" spans="1:30" x14ac:dyDescent="0.2">
      <c r="A1875" s="110">
        <v>1874</v>
      </c>
      <c r="B1875" s="132">
        <v>41855</v>
      </c>
      <c r="C1875" s="117">
        <v>3</v>
      </c>
      <c r="D1875" s="103" t="s">
        <v>70</v>
      </c>
      <c r="E1875" s="103" t="s">
        <v>306</v>
      </c>
      <c r="H1875" s="103"/>
      <c r="I1875" s="103">
        <v>43</v>
      </c>
      <c r="K1875" s="103" t="s">
        <v>1032</v>
      </c>
      <c r="L1875" s="133"/>
      <c r="M1875" s="134">
        <v>1.3888888888888888E-2</v>
      </c>
      <c r="N1875" s="137" t="s">
        <v>765</v>
      </c>
      <c r="O1875" s="133" t="s">
        <v>1532</v>
      </c>
      <c r="Q1875" s="100" t="s">
        <v>3968</v>
      </c>
      <c r="R1875" s="226" t="s">
        <v>3991</v>
      </c>
      <c r="S1875" s="491" t="str">
        <f t="shared" si="59"/>
        <v>x</v>
      </c>
      <c r="T1875" s="492" t="str">
        <f>IFERROR(VLOOKUP(F1875,'Freq-Chan'!C:D,2,FALSE),"x")</f>
        <v>x</v>
      </c>
      <c r="U1875" s="110" t="s">
        <v>541</v>
      </c>
      <c r="V1875" s="110" t="str">
        <f t="shared" si="60"/>
        <v>FWL</v>
      </c>
      <c r="W1875" s="110" t="s">
        <v>541</v>
      </c>
      <c r="X1875" s="110" t="s">
        <v>541</v>
      </c>
      <c r="Y1875" s="110" t="str">
        <f>IFERROR(VLOOKUP(F1875,'Freq-Chan'!C:E,3,FALSE),"na")</f>
        <v>na</v>
      </c>
      <c r="Z1875" s="110" t="s">
        <v>541</v>
      </c>
      <c r="AA1875" s="110" t="s">
        <v>541</v>
      </c>
      <c r="AB1875" s="110" t="s">
        <v>541</v>
      </c>
      <c r="AC1875" s="10" t="s">
        <v>541</v>
      </c>
      <c r="AD1875" s="10" t="s">
        <v>541</v>
      </c>
    </row>
    <row r="1876" spans="1:30" x14ac:dyDescent="0.2">
      <c r="A1876" s="110">
        <v>1875</v>
      </c>
      <c r="B1876" s="132">
        <v>41855</v>
      </c>
      <c r="C1876" s="117">
        <v>3</v>
      </c>
      <c r="D1876" s="103" t="s">
        <v>70</v>
      </c>
      <c r="E1876" s="103" t="s">
        <v>306</v>
      </c>
      <c r="H1876" s="103"/>
      <c r="I1876" s="103">
        <v>44</v>
      </c>
      <c r="K1876" s="103" t="s">
        <v>365</v>
      </c>
      <c r="L1876" s="133"/>
      <c r="M1876" s="134">
        <v>1.5972222222222224E-2</v>
      </c>
      <c r="N1876" s="135" t="s">
        <v>3357</v>
      </c>
      <c r="O1876" s="133" t="s">
        <v>1532</v>
      </c>
      <c r="Q1876" s="100" t="s">
        <v>3968</v>
      </c>
      <c r="R1876" s="226" t="s">
        <v>3991</v>
      </c>
      <c r="S1876" s="491" t="str">
        <f t="shared" si="59"/>
        <v>x</v>
      </c>
      <c r="T1876" s="492" t="str">
        <f>IFERROR(VLOOKUP(F1876,'Freq-Chan'!C:D,2,FALSE),"x")</f>
        <v>x</v>
      </c>
      <c r="U1876" s="110" t="s">
        <v>541</v>
      </c>
      <c r="V1876" s="110" t="str">
        <f t="shared" si="60"/>
        <v>FWL</v>
      </c>
      <c r="W1876" s="110" t="s">
        <v>541</v>
      </c>
      <c r="X1876" s="110" t="s">
        <v>541</v>
      </c>
      <c r="Y1876" s="110" t="str">
        <f>IFERROR(VLOOKUP(F1876,'Freq-Chan'!C:E,3,FALSE),"na")</f>
        <v>na</v>
      </c>
      <c r="Z1876" s="110" t="s">
        <v>541</v>
      </c>
      <c r="AA1876" s="110" t="s">
        <v>541</v>
      </c>
      <c r="AB1876" s="110" t="s">
        <v>541</v>
      </c>
      <c r="AC1876" s="10" t="s">
        <v>541</v>
      </c>
      <c r="AD1876" s="10" t="s">
        <v>541</v>
      </c>
    </row>
    <row r="1877" spans="1:30" x14ac:dyDescent="0.2">
      <c r="A1877" s="110">
        <v>1876</v>
      </c>
      <c r="B1877" s="132">
        <v>41855</v>
      </c>
      <c r="C1877" s="117">
        <v>3</v>
      </c>
      <c r="D1877" s="103" t="s">
        <v>71</v>
      </c>
      <c r="E1877" s="103" t="s">
        <v>306</v>
      </c>
      <c r="H1877" s="103"/>
      <c r="I1877" s="103">
        <v>57</v>
      </c>
      <c r="K1877" s="103" t="s">
        <v>365</v>
      </c>
      <c r="L1877" s="133"/>
      <c r="M1877" s="134">
        <v>1.3194444444444444E-2</v>
      </c>
      <c r="N1877" s="137" t="s">
        <v>2694</v>
      </c>
      <c r="O1877" s="133" t="s">
        <v>1532</v>
      </c>
      <c r="Q1877" s="100" t="s">
        <v>3968</v>
      </c>
      <c r="R1877" s="226" t="s">
        <v>3991</v>
      </c>
      <c r="S1877" s="491" t="str">
        <f t="shared" si="59"/>
        <v>x</v>
      </c>
      <c r="T1877" s="492" t="str">
        <f>IFERROR(VLOOKUP(F1877,'Freq-Chan'!C:D,2,FALSE),"x")</f>
        <v>x</v>
      </c>
      <c r="U1877" s="110" t="s">
        <v>541</v>
      </c>
      <c r="V1877" s="110" t="str">
        <f t="shared" si="60"/>
        <v>FWL</v>
      </c>
      <c r="W1877" s="110" t="s">
        <v>541</v>
      </c>
      <c r="X1877" s="110" t="s">
        <v>541</v>
      </c>
      <c r="Y1877" s="110" t="str">
        <f>IFERROR(VLOOKUP(F1877,'Freq-Chan'!C:E,3,FALSE),"na")</f>
        <v>na</v>
      </c>
      <c r="Z1877" s="110" t="s">
        <v>541</v>
      </c>
      <c r="AA1877" s="110" t="s">
        <v>541</v>
      </c>
      <c r="AB1877" s="110" t="s">
        <v>541</v>
      </c>
      <c r="AC1877" s="10" t="s">
        <v>541</v>
      </c>
      <c r="AD1877" s="10" t="s">
        <v>541</v>
      </c>
    </row>
    <row r="1878" spans="1:30" x14ac:dyDescent="0.2">
      <c r="A1878" s="110">
        <v>1877</v>
      </c>
      <c r="B1878" s="132">
        <v>41855</v>
      </c>
      <c r="C1878" s="117">
        <v>3</v>
      </c>
      <c r="D1878" s="103" t="s">
        <v>71</v>
      </c>
      <c r="E1878" s="103" t="s">
        <v>306</v>
      </c>
      <c r="H1878" s="103"/>
      <c r="I1878" s="103">
        <v>55</v>
      </c>
      <c r="K1878" s="103" t="s">
        <v>365</v>
      </c>
      <c r="L1878" s="133"/>
      <c r="M1878" s="134">
        <v>1.2499999999999999E-2</v>
      </c>
      <c r="N1878" s="137" t="s">
        <v>3428</v>
      </c>
      <c r="O1878" s="133" t="s">
        <v>1532</v>
      </c>
      <c r="Q1878" s="100" t="s">
        <v>3968</v>
      </c>
      <c r="R1878" s="226" t="s">
        <v>3991</v>
      </c>
      <c r="S1878" s="491" t="str">
        <f t="shared" si="59"/>
        <v>x</v>
      </c>
      <c r="T1878" s="492" t="str">
        <f>IFERROR(VLOOKUP(F1878,'Freq-Chan'!C:D,2,FALSE),"x")</f>
        <v>x</v>
      </c>
      <c r="U1878" s="110" t="s">
        <v>541</v>
      </c>
      <c r="V1878" s="110" t="str">
        <f t="shared" si="60"/>
        <v>FWL</v>
      </c>
      <c r="W1878" s="110" t="s">
        <v>541</v>
      </c>
      <c r="X1878" s="110" t="s">
        <v>541</v>
      </c>
      <c r="Y1878" s="110" t="str">
        <f>IFERROR(VLOOKUP(F1878,'Freq-Chan'!C:E,3,FALSE),"na")</f>
        <v>na</v>
      </c>
      <c r="Z1878" s="110" t="s">
        <v>541</v>
      </c>
      <c r="AA1878" s="110" t="s">
        <v>541</v>
      </c>
      <c r="AB1878" s="110" t="s">
        <v>541</v>
      </c>
      <c r="AC1878" s="10" t="s">
        <v>541</v>
      </c>
      <c r="AD1878" s="10" t="s">
        <v>541</v>
      </c>
    </row>
    <row r="1879" spans="1:30" x14ac:dyDescent="0.2">
      <c r="A1879" s="110">
        <v>1878</v>
      </c>
      <c r="B1879" s="132">
        <v>41855</v>
      </c>
      <c r="C1879" s="117">
        <v>3</v>
      </c>
      <c r="D1879" s="103" t="s">
        <v>71</v>
      </c>
      <c r="E1879" s="103" t="s">
        <v>306</v>
      </c>
      <c r="H1879" s="103"/>
      <c r="I1879" s="103">
        <v>62</v>
      </c>
      <c r="K1879" s="103" t="s">
        <v>365</v>
      </c>
      <c r="L1879" s="133"/>
      <c r="M1879" s="134">
        <v>1.8055555555555557E-2</v>
      </c>
      <c r="N1879" s="137" t="s">
        <v>3982</v>
      </c>
      <c r="O1879" s="133" t="s">
        <v>1532</v>
      </c>
      <c r="Q1879" s="100" t="s">
        <v>3968</v>
      </c>
      <c r="R1879" s="226" t="s">
        <v>3991</v>
      </c>
      <c r="S1879" s="491" t="str">
        <f t="shared" si="59"/>
        <v>x</v>
      </c>
      <c r="T1879" s="492" t="str">
        <f>IFERROR(VLOOKUP(F1879,'Freq-Chan'!C:D,2,FALSE),"x")</f>
        <v>x</v>
      </c>
      <c r="U1879" s="110" t="s">
        <v>541</v>
      </c>
      <c r="V1879" s="110" t="str">
        <f t="shared" si="60"/>
        <v>FWL</v>
      </c>
      <c r="W1879" s="110" t="s">
        <v>541</v>
      </c>
      <c r="X1879" s="110" t="s">
        <v>541</v>
      </c>
      <c r="Y1879" s="110" t="str">
        <f>IFERROR(VLOOKUP(F1879,'Freq-Chan'!C:E,3,FALSE),"na")</f>
        <v>na</v>
      </c>
      <c r="Z1879" s="110" t="s">
        <v>541</v>
      </c>
      <c r="AA1879" s="110" t="s">
        <v>541</v>
      </c>
      <c r="AB1879" s="110" t="s">
        <v>541</v>
      </c>
      <c r="AC1879" s="10" t="s">
        <v>541</v>
      </c>
      <c r="AD1879" s="10" t="s">
        <v>541</v>
      </c>
    </row>
    <row r="1880" spans="1:30" x14ac:dyDescent="0.2">
      <c r="A1880" s="110">
        <v>1879</v>
      </c>
      <c r="B1880" s="132">
        <v>41855</v>
      </c>
      <c r="C1880" s="117">
        <v>3</v>
      </c>
      <c r="D1880" s="103" t="s">
        <v>8</v>
      </c>
      <c r="E1880" s="103" t="s">
        <v>0</v>
      </c>
      <c r="H1880" s="103"/>
      <c r="I1880" s="103">
        <v>39</v>
      </c>
      <c r="K1880" s="103" t="s">
        <v>1032</v>
      </c>
      <c r="L1880" s="133"/>
      <c r="M1880" s="134">
        <v>1.7361111111111112E-2</v>
      </c>
      <c r="N1880" s="137" t="s">
        <v>2593</v>
      </c>
      <c r="O1880" s="133" t="s">
        <v>1532</v>
      </c>
      <c r="P1880" s="100" t="s">
        <v>776</v>
      </c>
      <c r="Q1880" s="100" t="s">
        <v>3968</v>
      </c>
      <c r="R1880" s="226" t="s">
        <v>3991</v>
      </c>
      <c r="S1880" s="491" t="str">
        <f t="shared" si="59"/>
        <v>x</v>
      </c>
      <c r="T1880" s="492" t="str">
        <f>IFERROR(VLOOKUP(F1880,'Freq-Chan'!C:D,2,FALSE),"x")</f>
        <v>x</v>
      </c>
      <c r="U1880" s="110" t="s">
        <v>541</v>
      </c>
      <c r="V1880" s="110" t="str">
        <f t="shared" si="60"/>
        <v>FWL</v>
      </c>
      <c r="W1880" s="110" t="s">
        <v>541</v>
      </c>
      <c r="X1880" s="110" t="s">
        <v>541</v>
      </c>
      <c r="Y1880" s="110" t="str">
        <f>IFERROR(VLOOKUP(F1880,'Freq-Chan'!C:E,3,FALSE),"na")</f>
        <v>na</v>
      </c>
      <c r="Z1880" s="110" t="s">
        <v>541</v>
      </c>
      <c r="AA1880" s="110" t="s">
        <v>541</v>
      </c>
      <c r="AB1880" s="110" t="s">
        <v>541</v>
      </c>
      <c r="AC1880" s="10" t="s">
        <v>541</v>
      </c>
      <c r="AD1880" s="10" t="s">
        <v>541</v>
      </c>
    </row>
    <row r="1881" spans="1:30" x14ac:dyDescent="0.2">
      <c r="A1881" s="110">
        <v>1880</v>
      </c>
      <c r="B1881" s="132">
        <v>41855</v>
      </c>
      <c r="C1881" s="117">
        <v>3</v>
      </c>
      <c r="D1881" s="103" t="s">
        <v>71</v>
      </c>
      <c r="E1881" s="103" t="s">
        <v>306</v>
      </c>
      <c r="H1881" s="103"/>
      <c r="I1881" s="103">
        <v>60</v>
      </c>
      <c r="K1881" s="103" t="s">
        <v>1032</v>
      </c>
      <c r="L1881" s="133"/>
      <c r="M1881" s="134">
        <v>1.7361111111111112E-2</v>
      </c>
      <c r="N1881" s="137" t="s">
        <v>3983</v>
      </c>
      <c r="O1881" s="133" t="s">
        <v>3932</v>
      </c>
      <c r="Q1881" s="100" t="s">
        <v>3968</v>
      </c>
      <c r="R1881" s="226" t="s">
        <v>3991</v>
      </c>
      <c r="S1881" s="491" t="str">
        <f t="shared" si="59"/>
        <v>x</v>
      </c>
      <c r="T1881" s="492" t="str">
        <f>IFERROR(VLOOKUP(F1881,'Freq-Chan'!C:D,2,FALSE),"x")</f>
        <v>x</v>
      </c>
      <c r="U1881" s="110" t="s">
        <v>541</v>
      </c>
      <c r="V1881" s="110" t="str">
        <f t="shared" si="60"/>
        <v>FWL</v>
      </c>
      <c r="W1881" s="110" t="s">
        <v>541</v>
      </c>
      <c r="X1881" s="110" t="s">
        <v>541</v>
      </c>
      <c r="Y1881" s="110" t="str">
        <f>IFERROR(VLOOKUP(F1881,'Freq-Chan'!C:E,3,FALSE),"na")</f>
        <v>na</v>
      </c>
      <c r="Z1881" s="110" t="s">
        <v>541</v>
      </c>
      <c r="AA1881" s="110" t="s">
        <v>541</v>
      </c>
      <c r="AB1881" s="110" t="s">
        <v>541</v>
      </c>
      <c r="AC1881" s="10" t="s">
        <v>541</v>
      </c>
      <c r="AD1881" s="10" t="s">
        <v>541</v>
      </c>
    </row>
    <row r="1882" spans="1:30" x14ac:dyDescent="0.2">
      <c r="A1882" s="110">
        <v>1881</v>
      </c>
      <c r="B1882" s="132">
        <v>41855</v>
      </c>
      <c r="C1882" s="117">
        <v>3</v>
      </c>
      <c r="D1882" s="103" t="s">
        <v>72</v>
      </c>
      <c r="E1882" s="103" t="s">
        <v>306</v>
      </c>
      <c r="F1882" s="103">
        <v>325</v>
      </c>
      <c r="G1882" s="103">
        <v>11</v>
      </c>
      <c r="H1882" s="137" t="s">
        <v>3392</v>
      </c>
      <c r="I1882" s="103">
        <v>52</v>
      </c>
      <c r="K1882" s="103" t="s">
        <v>365</v>
      </c>
      <c r="L1882" s="133"/>
      <c r="M1882" s="134">
        <v>4.7916666666666663E-2</v>
      </c>
      <c r="N1882" s="137" t="s">
        <v>3984</v>
      </c>
      <c r="O1882" s="133" t="s">
        <v>1532</v>
      </c>
      <c r="Q1882" s="100" t="s">
        <v>3968</v>
      </c>
      <c r="R1882" s="226" t="s">
        <v>3991</v>
      </c>
      <c r="S1882" s="491" t="str">
        <f t="shared" si="59"/>
        <v>x</v>
      </c>
      <c r="T1882" s="492">
        <f>IFERROR(VLOOKUP(F1882,'Freq-Chan'!C:D,2,FALSE),"x")</f>
        <v>151.32499999999999</v>
      </c>
      <c r="U1882" s="110" t="s">
        <v>541</v>
      </c>
      <c r="V1882" s="110" t="str">
        <f t="shared" si="60"/>
        <v>FWL</v>
      </c>
      <c r="W1882" s="110" t="s">
        <v>541</v>
      </c>
      <c r="X1882" s="110" t="s">
        <v>541</v>
      </c>
      <c r="Y1882" s="110" t="str">
        <f>IFERROR(VLOOKUP(F1882,'Freq-Chan'!C:E,3,FALSE),"na")</f>
        <v>F1840</v>
      </c>
      <c r="Z1882" s="110" t="s">
        <v>541</v>
      </c>
      <c r="AA1882" s="110" t="s">
        <v>541</v>
      </c>
      <c r="AB1882" s="110" t="s">
        <v>541</v>
      </c>
      <c r="AC1882" s="10" t="s">
        <v>541</v>
      </c>
      <c r="AD1882" s="10" t="s">
        <v>541</v>
      </c>
    </row>
    <row r="1883" spans="1:30" x14ac:dyDescent="0.2">
      <c r="A1883" s="110">
        <v>1882</v>
      </c>
      <c r="B1883" s="132">
        <v>41855</v>
      </c>
      <c r="C1883" s="117">
        <v>3</v>
      </c>
      <c r="D1883" s="103" t="s">
        <v>71</v>
      </c>
      <c r="E1883" s="103" t="s">
        <v>306</v>
      </c>
      <c r="I1883" s="103">
        <v>57</v>
      </c>
      <c r="K1883" s="103" t="s">
        <v>365</v>
      </c>
      <c r="L1883" s="133"/>
      <c r="M1883" s="134">
        <v>1.3888888888888888E-2</v>
      </c>
      <c r="N1883" s="137" t="s">
        <v>2631</v>
      </c>
      <c r="O1883" s="133" t="s">
        <v>3932</v>
      </c>
      <c r="Q1883" s="100" t="s">
        <v>3968</v>
      </c>
      <c r="R1883" s="226" t="s">
        <v>3991</v>
      </c>
      <c r="S1883" s="491" t="str">
        <f t="shared" si="59"/>
        <v>x</v>
      </c>
      <c r="T1883" s="492" t="str">
        <f>IFERROR(VLOOKUP(F1883,'Freq-Chan'!C:D,2,FALSE),"x")</f>
        <v>x</v>
      </c>
      <c r="U1883" s="110" t="s">
        <v>541</v>
      </c>
      <c r="V1883" s="110" t="str">
        <f t="shared" si="60"/>
        <v>FWL</v>
      </c>
      <c r="W1883" s="110" t="s">
        <v>541</v>
      </c>
      <c r="X1883" s="110" t="s">
        <v>541</v>
      </c>
      <c r="Y1883" s="110" t="str">
        <f>IFERROR(VLOOKUP(F1883,'Freq-Chan'!C:E,3,FALSE),"na")</f>
        <v>na</v>
      </c>
      <c r="Z1883" s="110" t="s">
        <v>541</v>
      </c>
      <c r="AA1883" s="110" t="s">
        <v>541</v>
      </c>
      <c r="AB1883" s="110" t="s">
        <v>541</v>
      </c>
      <c r="AC1883" s="10" t="s">
        <v>541</v>
      </c>
      <c r="AD1883" s="10" t="s">
        <v>541</v>
      </c>
    </row>
    <row r="1884" spans="1:30" x14ac:dyDescent="0.2">
      <c r="A1884" s="110">
        <v>1883</v>
      </c>
      <c r="B1884" s="132">
        <v>41855</v>
      </c>
      <c r="C1884" s="117">
        <v>3</v>
      </c>
      <c r="D1884" s="103" t="s">
        <v>177</v>
      </c>
      <c r="E1884" s="103" t="s">
        <v>0</v>
      </c>
      <c r="I1884" s="103">
        <v>31</v>
      </c>
      <c r="K1884" s="103" t="s">
        <v>364</v>
      </c>
      <c r="L1884" s="133"/>
      <c r="M1884" s="134">
        <v>1.2499999999999999E-2</v>
      </c>
      <c r="N1884" s="137" t="s">
        <v>3985</v>
      </c>
      <c r="O1884" s="133" t="s">
        <v>3932</v>
      </c>
      <c r="P1884" s="100" t="s">
        <v>776</v>
      </c>
      <c r="Q1884" s="100" t="s">
        <v>3968</v>
      </c>
      <c r="R1884" s="226" t="s">
        <v>3991</v>
      </c>
      <c r="S1884" s="491" t="str">
        <f t="shared" si="59"/>
        <v>x</v>
      </c>
      <c r="T1884" s="492" t="str">
        <f>IFERROR(VLOOKUP(F1884,'Freq-Chan'!C:D,2,FALSE),"x")</f>
        <v>x</v>
      </c>
      <c r="U1884" s="110" t="s">
        <v>541</v>
      </c>
      <c r="V1884" s="110" t="str">
        <f t="shared" si="60"/>
        <v>FWL</v>
      </c>
      <c r="W1884" s="110" t="s">
        <v>541</v>
      </c>
      <c r="X1884" s="110" t="s">
        <v>541</v>
      </c>
      <c r="Y1884" s="110" t="str">
        <f>IFERROR(VLOOKUP(F1884,'Freq-Chan'!C:E,3,FALSE),"na")</f>
        <v>na</v>
      </c>
      <c r="Z1884" s="110" t="s">
        <v>541</v>
      </c>
      <c r="AA1884" s="110" t="s">
        <v>541</v>
      </c>
      <c r="AB1884" s="110" t="s">
        <v>541</v>
      </c>
      <c r="AC1884" s="10" t="s">
        <v>541</v>
      </c>
      <c r="AD1884" s="10" t="s">
        <v>541</v>
      </c>
    </row>
    <row r="1885" spans="1:30" x14ac:dyDescent="0.2">
      <c r="A1885" s="110">
        <v>1884</v>
      </c>
      <c r="B1885" s="132">
        <v>41855</v>
      </c>
      <c r="C1885" s="117">
        <v>3</v>
      </c>
      <c r="D1885" s="103" t="s">
        <v>70</v>
      </c>
      <c r="E1885" s="103" t="s">
        <v>306</v>
      </c>
      <c r="F1885" s="103">
        <v>515</v>
      </c>
      <c r="G1885" s="103">
        <v>97</v>
      </c>
      <c r="H1885" s="137" t="s">
        <v>3064</v>
      </c>
      <c r="I1885" s="103">
        <v>48</v>
      </c>
      <c r="K1885" s="103" t="s">
        <v>365</v>
      </c>
      <c r="L1885" s="133"/>
      <c r="M1885" s="134">
        <v>3.5416666666666666E-2</v>
      </c>
      <c r="N1885" s="137" t="s">
        <v>3986</v>
      </c>
      <c r="O1885" s="133" t="s">
        <v>376</v>
      </c>
      <c r="Q1885" s="100" t="s">
        <v>3967</v>
      </c>
      <c r="R1885" s="226" t="s">
        <v>3991</v>
      </c>
      <c r="S1885" s="491" t="str">
        <f t="shared" si="59"/>
        <v>x</v>
      </c>
      <c r="T1885" s="492">
        <f>IFERROR(VLOOKUP(F1885,'Freq-Chan'!C:D,2,FALSE),"x")</f>
        <v>151.51499999999999</v>
      </c>
      <c r="U1885" s="110" t="s">
        <v>541</v>
      </c>
      <c r="V1885" s="110" t="str">
        <f t="shared" si="60"/>
        <v>FWL</v>
      </c>
      <c r="W1885" s="110" t="s">
        <v>541</v>
      </c>
      <c r="X1885" s="110" t="s">
        <v>541</v>
      </c>
      <c r="Y1885" s="110" t="str">
        <f>IFERROR(VLOOKUP(F1885,'Freq-Chan'!C:E,3,FALSE),"na")</f>
        <v>F1835</v>
      </c>
      <c r="Z1885" s="110" t="s">
        <v>541</v>
      </c>
      <c r="AA1885" s="110" t="s">
        <v>541</v>
      </c>
      <c r="AB1885" s="110" t="s">
        <v>541</v>
      </c>
      <c r="AC1885" s="10" t="s">
        <v>541</v>
      </c>
      <c r="AD1885" s="10" t="s">
        <v>541</v>
      </c>
    </row>
    <row r="1886" spans="1:30" x14ac:dyDescent="0.2">
      <c r="A1886" s="110">
        <v>1885</v>
      </c>
      <c r="B1886" s="132">
        <v>41855</v>
      </c>
      <c r="C1886" s="117">
        <v>3</v>
      </c>
      <c r="D1886" s="103" t="s">
        <v>71</v>
      </c>
      <c r="E1886" s="103" t="s">
        <v>306</v>
      </c>
      <c r="F1886" s="103">
        <v>534</v>
      </c>
      <c r="G1886" s="103">
        <v>52</v>
      </c>
      <c r="H1886" s="137" t="s">
        <v>2362</v>
      </c>
      <c r="I1886" s="103">
        <v>61</v>
      </c>
      <c r="K1886" s="103" t="s">
        <v>365</v>
      </c>
      <c r="L1886" s="133"/>
      <c r="M1886" s="134">
        <v>7.0833333333333331E-2</v>
      </c>
      <c r="N1886" s="137" t="s">
        <v>3987</v>
      </c>
      <c r="O1886" s="133" t="s">
        <v>376</v>
      </c>
      <c r="Q1886" s="100" t="s">
        <v>3967</v>
      </c>
      <c r="R1886" s="226" t="s">
        <v>3991</v>
      </c>
      <c r="S1886" s="491" t="str">
        <f t="shared" si="59"/>
        <v>x</v>
      </c>
      <c r="T1886" s="492">
        <f>IFERROR(VLOOKUP(F1886,'Freq-Chan'!C:D,2,FALSE),"x")</f>
        <v>151.53399999999999</v>
      </c>
      <c r="U1886" s="110" t="s">
        <v>541</v>
      </c>
      <c r="V1886" s="110" t="str">
        <f t="shared" si="60"/>
        <v>FWL</v>
      </c>
      <c r="W1886" s="110" t="s">
        <v>541</v>
      </c>
      <c r="X1886" s="110" t="s">
        <v>541</v>
      </c>
      <c r="Y1886" s="110" t="str">
        <f>IFERROR(VLOOKUP(F1886,'Freq-Chan'!C:E,3,FALSE),"na")</f>
        <v>F1840</v>
      </c>
      <c r="Z1886" s="110" t="s">
        <v>541</v>
      </c>
      <c r="AA1886" s="110" t="s">
        <v>541</v>
      </c>
      <c r="AB1886" s="110" t="s">
        <v>541</v>
      </c>
      <c r="AC1886" s="10" t="s">
        <v>541</v>
      </c>
      <c r="AD1886" s="10" t="s">
        <v>541</v>
      </c>
    </row>
    <row r="1887" spans="1:30" x14ac:dyDescent="0.2">
      <c r="A1887" s="110">
        <v>1886</v>
      </c>
      <c r="B1887" s="132">
        <v>41855</v>
      </c>
      <c r="C1887" s="117">
        <v>3</v>
      </c>
      <c r="D1887" s="103" t="s">
        <v>71</v>
      </c>
      <c r="E1887" s="103" t="s">
        <v>306</v>
      </c>
      <c r="F1887" s="103">
        <v>534</v>
      </c>
      <c r="G1887" s="103">
        <v>53</v>
      </c>
      <c r="H1887" s="137" t="s">
        <v>2366</v>
      </c>
      <c r="I1887" s="103">
        <v>59</v>
      </c>
      <c r="K1887" s="103" t="s">
        <v>1032</v>
      </c>
      <c r="L1887" s="133"/>
      <c r="M1887" s="134">
        <v>4.4444444444444446E-2</v>
      </c>
      <c r="N1887" s="137" t="s">
        <v>3882</v>
      </c>
      <c r="O1887" s="133" t="s">
        <v>950</v>
      </c>
      <c r="P1887" s="100" t="s">
        <v>3988</v>
      </c>
      <c r="Q1887" s="100" t="s">
        <v>3967</v>
      </c>
      <c r="R1887" s="226" t="s">
        <v>3991</v>
      </c>
      <c r="S1887" s="491" t="str">
        <f t="shared" si="59"/>
        <v>x</v>
      </c>
      <c r="T1887" s="492">
        <f>IFERROR(VLOOKUP(F1887,'Freq-Chan'!C:D,2,FALSE),"x")</f>
        <v>151.53399999999999</v>
      </c>
      <c r="U1887" s="110" t="s">
        <v>541</v>
      </c>
      <c r="V1887" s="110" t="str">
        <f t="shared" si="60"/>
        <v>FWL</v>
      </c>
      <c r="W1887" s="110" t="s">
        <v>541</v>
      </c>
      <c r="X1887" s="110" t="s">
        <v>541</v>
      </c>
      <c r="Y1887" s="110" t="str">
        <f>IFERROR(VLOOKUP(F1887,'Freq-Chan'!C:E,3,FALSE),"na")</f>
        <v>F1840</v>
      </c>
      <c r="Z1887" s="110" t="s">
        <v>541</v>
      </c>
      <c r="AA1887" s="110" t="s">
        <v>541</v>
      </c>
      <c r="AB1887" s="110" t="s">
        <v>541</v>
      </c>
      <c r="AC1887" s="10" t="s">
        <v>541</v>
      </c>
      <c r="AD1887" s="10" t="s">
        <v>541</v>
      </c>
    </row>
    <row r="1888" spans="1:30" x14ac:dyDescent="0.2">
      <c r="A1888" s="110">
        <v>1887</v>
      </c>
      <c r="B1888" s="132">
        <v>41855</v>
      </c>
      <c r="C1888" s="117">
        <v>3</v>
      </c>
      <c r="D1888" s="103" t="s">
        <v>70</v>
      </c>
      <c r="E1888" s="103" t="s">
        <v>306</v>
      </c>
      <c r="F1888" s="103">
        <v>596</v>
      </c>
      <c r="G1888" s="103">
        <v>88</v>
      </c>
      <c r="H1888" s="137" t="s">
        <v>3065</v>
      </c>
      <c r="I1888" s="103">
        <v>46</v>
      </c>
      <c r="K1888" s="103" t="s">
        <v>364</v>
      </c>
      <c r="L1888" s="133"/>
      <c r="M1888" s="134">
        <v>3.9583333333333331E-2</v>
      </c>
      <c r="N1888" s="137" t="s">
        <v>3248</v>
      </c>
      <c r="O1888" s="133" t="s">
        <v>950</v>
      </c>
      <c r="Q1888" s="100" t="s">
        <v>3967</v>
      </c>
      <c r="R1888" s="226" t="s">
        <v>3991</v>
      </c>
      <c r="S1888" s="491" t="str">
        <f t="shared" si="59"/>
        <v>x</v>
      </c>
      <c r="T1888" s="492">
        <f>IFERROR(VLOOKUP(F1888,'Freq-Chan'!C:D,2,FALSE),"x")</f>
        <v>151.596</v>
      </c>
      <c r="U1888" s="110" t="s">
        <v>541</v>
      </c>
      <c r="V1888" s="110" t="str">
        <f t="shared" si="60"/>
        <v>FWL</v>
      </c>
      <c r="W1888" s="110" t="s">
        <v>541</v>
      </c>
      <c r="X1888" s="110" t="s">
        <v>541</v>
      </c>
      <c r="Y1888" s="110" t="str">
        <f>IFERROR(VLOOKUP(F1888,'Freq-Chan'!C:E,3,FALSE),"na")</f>
        <v>F1835</v>
      </c>
      <c r="Z1888" s="110" t="s">
        <v>541</v>
      </c>
      <c r="AA1888" s="110" t="s">
        <v>541</v>
      </c>
      <c r="AB1888" s="110" t="s">
        <v>541</v>
      </c>
      <c r="AC1888" s="10" t="s">
        <v>541</v>
      </c>
      <c r="AD1888" s="10" t="s">
        <v>541</v>
      </c>
    </row>
    <row r="1889" spans="1:30" x14ac:dyDescent="0.2">
      <c r="A1889" s="110">
        <v>1888</v>
      </c>
      <c r="B1889" s="132">
        <v>41855</v>
      </c>
      <c r="C1889" s="117">
        <v>3</v>
      </c>
      <c r="D1889" s="103" t="s">
        <v>75</v>
      </c>
      <c r="E1889" s="103" t="s">
        <v>798</v>
      </c>
      <c r="J1889" s="103">
        <v>21</v>
      </c>
      <c r="K1889" s="103" t="s">
        <v>364</v>
      </c>
      <c r="L1889" s="133"/>
      <c r="M1889" s="134">
        <v>2.7083333333333334E-2</v>
      </c>
      <c r="N1889" s="137" t="s">
        <v>3989</v>
      </c>
      <c r="O1889" s="133" t="s">
        <v>950</v>
      </c>
      <c r="Q1889" s="100" t="s">
        <v>3967</v>
      </c>
      <c r="R1889" s="226" t="s">
        <v>3991</v>
      </c>
      <c r="S1889" s="491" t="str">
        <f t="shared" si="59"/>
        <v>x</v>
      </c>
      <c r="T1889" s="492" t="str">
        <f>IFERROR(VLOOKUP(F1889,'Freq-Chan'!C:D,2,FALSE),"x")</f>
        <v>x</v>
      </c>
      <c r="U1889" s="110" t="s">
        <v>541</v>
      </c>
      <c r="V1889" s="110" t="str">
        <f t="shared" si="60"/>
        <v>FWL</v>
      </c>
      <c r="W1889" s="110" t="s">
        <v>541</v>
      </c>
      <c r="X1889" s="110" t="s">
        <v>541</v>
      </c>
      <c r="Y1889" s="110" t="str">
        <f>IFERROR(VLOOKUP(F1889,'Freq-Chan'!C:E,3,FALSE),"na")</f>
        <v>na</v>
      </c>
      <c r="Z1889" s="110" t="s">
        <v>541</v>
      </c>
      <c r="AA1889" s="110" t="s">
        <v>541</v>
      </c>
      <c r="AB1889" s="110" t="s">
        <v>541</v>
      </c>
      <c r="AC1889" s="10" t="s">
        <v>541</v>
      </c>
      <c r="AD1889" s="10" t="s">
        <v>541</v>
      </c>
    </row>
    <row r="1890" spans="1:30" x14ac:dyDescent="0.2">
      <c r="A1890" s="110">
        <v>1889</v>
      </c>
      <c r="B1890" s="132">
        <v>41855</v>
      </c>
      <c r="C1890" s="117">
        <v>3</v>
      </c>
      <c r="D1890" s="103" t="s">
        <v>72</v>
      </c>
      <c r="E1890" s="103" t="s">
        <v>306</v>
      </c>
      <c r="F1890" s="103">
        <v>325</v>
      </c>
      <c r="G1890" s="103">
        <v>18</v>
      </c>
      <c r="H1890" s="137" t="s">
        <v>3520</v>
      </c>
      <c r="I1890" s="103">
        <v>58</v>
      </c>
      <c r="K1890" s="103" t="s">
        <v>364</v>
      </c>
      <c r="L1890" s="133"/>
      <c r="M1890" s="134">
        <v>4.2361111111111106E-2</v>
      </c>
      <c r="N1890" s="137" t="s">
        <v>1803</v>
      </c>
      <c r="O1890" s="133" t="s">
        <v>950</v>
      </c>
      <c r="Q1890" s="100" t="s">
        <v>3967</v>
      </c>
      <c r="R1890" s="226" t="s">
        <v>3991</v>
      </c>
      <c r="S1890" s="491" t="str">
        <f t="shared" si="59"/>
        <v>x</v>
      </c>
      <c r="T1890" s="492">
        <f>IFERROR(VLOOKUP(F1890,'Freq-Chan'!C:D,2,FALSE),"x")</f>
        <v>151.32499999999999</v>
      </c>
      <c r="U1890" s="110" t="s">
        <v>541</v>
      </c>
      <c r="V1890" s="110" t="str">
        <f t="shared" si="60"/>
        <v>FWL</v>
      </c>
      <c r="W1890" s="110" t="s">
        <v>541</v>
      </c>
      <c r="X1890" s="110" t="s">
        <v>541</v>
      </c>
      <c r="Y1890" s="110" t="str">
        <f>IFERROR(VLOOKUP(F1890,'Freq-Chan'!C:E,3,FALSE),"na")</f>
        <v>F1840</v>
      </c>
      <c r="Z1890" s="110" t="s">
        <v>541</v>
      </c>
      <c r="AA1890" s="110" t="s">
        <v>541</v>
      </c>
      <c r="AB1890" s="110" t="s">
        <v>541</v>
      </c>
      <c r="AC1890" s="10" t="s">
        <v>541</v>
      </c>
      <c r="AD1890" s="10" t="s">
        <v>541</v>
      </c>
    </row>
    <row r="1891" spans="1:30" x14ac:dyDescent="0.2">
      <c r="A1891" s="110">
        <v>1890</v>
      </c>
      <c r="B1891" s="132">
        <v>41855</v>
      </c>
      <c r="C1891" s="117">
        <v>3</v>
      </c>
      <c r="D1891" s="103" t="s">
        <v>71</v>
      </c>
      <c r="E1891" s="103" t="s">
        <v>306</v>
      </c>
      <c r="F1891" s="103">
        <v>534</v>
      </c>
      <c r="G1891" s="103">
        <v>88</v>
      </c>
      <c r="H1891" s="137" t="s">
        <v>2367</v>
      </c>
      <c r="I1891" s="103">
        <v>61</v>
      </c>
      <c r="K1891" s="103" t="s">
        <v>1032</v>
      </c>
      <c r="L1891" s="133"/>
      <c r="M1891" s="134">
        <v>5.1388888888888894E-2</v>
      </c>
      <c r="N1891" s="137" t="s">
        <v>2561</v>
      </c>
      <c r="O1891" s="133" t="s">
        <v>950</v>
      </c>
      <c r="Q1891" s="100" t="s">
        <v>3967</v>
      </c>
      <c r="R1891" s="226" t="s">
        <v>3991</v>
      </c>
      <c r="S1891" s="491" t="str">
        <f t="shared" si="59"/>
        <v>x</v>
      </c>
      <c r="T1891" s="492">
        <f>IFERROR(VLOOKUP(F1891,'Freq-Chan'!C:D,2,FALSE),"x")</f>
        <v>151.53399999999999</v>
      </c>
      <c r="U1891" s="110" t="s">
        <v>541</v>
      </c>
      <c r="V1891" s="110" t="str">
        <f t="shared" si="60"/>
        <v>FWL</v>
      </c>
      <c r="W1891" s="110" t="s">
        <v>541</v>
      </c>
      <c r="X1891" s="110" t="s">
        <v>541</v>
      </c>
      <c r="Y1891" s="110" t="str">
        <f>IFERROR(VLOOKUP(F1891,'Freq-Chan'!C:E,3,FALSE),"na")</f>
        <v>F1840</v>
      </c>
      <c r="Z1891" s="110" t="s">
        <v>541</v>
      </c>
      <c r="AA1891" s="110" t="s">
        <v>541</v>
      </c>
      <c r="AB1891" s="110" t="s">
        <v>541</v>
      </c>
      <c r="AC1891" s="10" t="s">
        <v>541</v>
      </c>
      <c r="AD1891" s="10" t="s">
        <v>541</v>
      </c>
    </row>
    <row r="1892" spans="1:30" s="291" customFormat="1" x14ac:dyDescent="0.2">
      <c r="A1892" s="493">
        <v>1891</v>
      </c>
      <c r="B1892" s="283">
        <v>41855</v>
      </c>
      <c r="C1892" s="284">
        <v>3</v>
      </c>
      <c r="D1892" s="285" t="s">
        <v>8</v>
      </c>
      <c r="E1892" s="285" t="s">
        <v>306</v>
      </c>
      <c r="F1892" s="285">
        <v>573</v>
      </c>
      <c r="G1892" s="285">
        <v>37</v>
      </c>
      <c r="H1892" s="339" t="s">
        <v>2197</v>
      </c>
      <c r="I1892" s="285">
        <v>51</v>
      </c>
      <c r="J1892" s="285"/>
      <c r="K1892" s="285" t="s">
        <v>364</v>
      </c>
      <c r="L1892" s="286"/>
      <c r="M1892" s="287">
        <v>3.6805555555555557E-2</v>
      </c>
      <c r="N1892" s="339" t="s">
        <v>3990</v>
      </c>
      <c r="O1892" s="286" t="s">
        <v>950</v>
      </c>
      <c r="P1892" s="289"/>
      <c r="Q1892" s="289" t="s">
        <v>3967</v>
      </c>
      <c r="R1892" s="290" t="s">
        <v>3991</v>
      </c>
      <c r="S1892" s="494" t="str">
        <f t="shared" si="59"/>
        <v>x</v>
      </c>
      <c r="T1892" s="495">
        <f>IFERROR(VLOOKUP(F1892,'Freq-Chan'!C:D,2,FALSE),"x")</f>
        <v>151.57300000000001</v>
      </c>
      <c r="U1892" s="493" t="s">
        <v>541</v>
      </c>
      <c r="V1892" s="493" t="str">
        <f t="shared" si="60"/>
        <v>FWL</v>
      </c>
      <c r="W1892" s="493" t="s">
        <v>541</v>
      </c>
      <c r="X1892" s="493" t="s">
        <v>541</v>
      </c>
      <c r="Y1892" s="493" t="str">
        <f>IFERROR(VLOOKUP(F1892,'Freq-Chan'!C:E,3,FALSE),"na")</f>
        <v>F1840</v>
      </c>
      <c r="Z1892" s="493" t="s">
        <v>541</v>
      </c>
      <c r="AA1892" s="493" t="s">
        <v>541</v>
      </c>
      <c r="AB1892" s="493" t="s">
        <v>541</v>
      </c>
      <c r="AC1892" s="291" t="s">
        <v>541</v>
      </c>
      <c r="AD1892" s="291" t="s">
        <v>541</v>
      </c>
    </row>
    <row r="1893" spans="1:30" x14ac:dyDescent="0.2">
      <c r="A1893" s="110">
        <v>1892</v>
      </c>
      <c r="B1893" s="132">
        <v>41856</v>
      </c>
      <c r="C1893" s="117">
        <v>1</v>
      </c>
      <c r="D1893" s="103" t="s">
        <v>70</v>
      </c>
      <c r="E1893" s="103" t="s">
        <v>306</v>
      </c>
      <c r="F1893" s="103">
        <v>515</v>
      </c>
      <c r="G1893" s="103">
        <v>46</v>
      </c>
      <c r="H1893" s="137" t="s">
        <v>3072</v>
      </c>
      <c r="I1893" s="103">
        <v>47</v>
      </c>
      <c r="K1893" s="103" t="s">
        <v>365</v>
      </c>
      <c r="L1893" s="133"/>
      <c r="M1893" s="134">
        <v>4.2361111111111106E-2</v>
      </c>
      <c r="N1893" s="137" t="s">
        <v>3169</v>
      </c>
      <c r="O1893" s="133" t="s">
        <v>3932</v>
      </c>
      <c r="Q1893" s="100" t="s">
        <v>4018</v>
      </c>
      <c r="R1893" s="226" t="s">
        <v>4026</v>
      </c>
      <c r="S1893" s="491" t="str">
        <f t="shared" si="59"/>
        <v>x</v>
      </c>
      <c r="T1893" s="492">
        <f>IFERROR(VLOOKUP(F1893,'Freq-Chan'!C:D,2,FALSE),"x")</f>
        <v>151.51499999999999</v>
      </c>
      <c r="U1893" s="110" t="s">
        <v>541</v>
      </c>
      <c r="V1893" s="110" t="str">
        <f t="shared" si="60"/>
        <v>FWL</v>
      </c>
      <c r="W1893" s="110" t="s">
        <v>541</v>
      </c>
      <c r="X1893" s="110" t="s">
        <v>541</v>
      </c>
      <c r="Y1893" s="110" t="str">
        <f>IFERROR(VLOOKUP(F1893,'Freq-Chan'!C:E,3,FALSE),"na")</f>
        <v>F1835</v>
      </c>
      <c r="Z1893" s="110" t="s">
        <v>541</v>
      </c>
      <c r="AA1893" s="110" t="s">
        <v>541</v>
      </c>
      <c r="AB1893" s="110" t="s">
        <v>541</v>
      </c>
      <c r="AC1893" s="10" t="s">
        <v>541</v>
      </c>
      <c r="AD1893" s="10" t="s">
        <v>541</v>
      </c>
    </row>
    <row r="1894" spans="1:30" x14ac:dyDescent="0.2">
      <c r="A1894" s="110">
        <v>1893</v>
      </c>
      <c r="B1894" s="132">
        <v>41856</v>
      </c>
      <c r="C1894" s="117">
        <v>1</v>
      </c>
      <c r="D1894" s="103" t="s">
        <v>70</v>
      </c>
      <c r="E1894" s="103" t="s">
        <v>306</v>
      </c>
      <c r="F1894" s="103">
        <v>596</v>
      </c>
      <c r="G1894" s="103">
        <v>75</v>
      </c>
      <c r="H1894" s="137" t="s">
        <v>3073</v>
      </c>
      <c r="I1894" s="103">
        <v>48</v>
      </c>
      <c r="K1894" s="103" t="s">
        <v>1032</v>
      </c>
      <c r="L1894" s="133"/>
      <c r="M1894" s="134">
        <v>6.805555555555555E-2</v>
      </c>
      <c r="N1894" s="137" t="s">
        <v>3385</v>
      </c>
      <c r="O1894" s="133" t="s">
        <v>3932</v>
      </c>
      <c r="Q1894" s="100" t="s">
        <v>4018</v>
      </c>
      <c r="R1894" s="226" t="s">
        <v>4026</v>
      </c>
      <c r="S1894" s="491" t="str">
        <f t="shared" si="59"/>
        <v>x</v>
      </c>
      <c r="T1894" s="492">
        <f>IFERROR(VLOOKUP(F1894,'Freq-Chan'!C:D,2,FALSE),"x")</f>
        <v>151.596</v>
      </c>
      <c r="U1894" s="110" t="s">
        <v>541</v>
      </c>
      <c r="V1894" s="110" t="str">
        <f t="shared" si="60"/>
        <v>FWL</v>
      </c>
      <c r="W1894" s="110" t="s">
        <v>541</v>
      </c>
      <c r="X1894" s="110" t="s">
        <v>541</v>
      </c>
      <c r="Y1894" s="110" t="str">
        <f>IFERROR(VLOOKUP(F1894,'Freq-Chan'!C:E,3,FALSE),"na")</f>
        <v>F1835</v>
      </c>
      <c r="Z1894" s="110" t="s">
        <v>541</v>
      </c>
      <c r="AA1894" s="110" t="s">
        <v>541</v>
      </c>
      <c r="AB1894" s="110" t="s">
        <v>541</v>
      </c>
      <c r="AC1894" s="10" t="s">
        <v>541</v>
      </c>
      <c r="AD1894" s="10" t="s">
        <v>541</v>
      </c>
    </row>
    <row r="1895" spans="1:30" x14ac:dyDescent="0.2">
      <c r="A1895" s="110">
        <v>1894</v>
      </c>
      <c r="B1895" s="132">
        <v>41856</v>
      </c>
      <c r="C1895" s="117">
        <v>1</v>
      </c>
      <c r="D1895" s="103" t="s">
        <v>70</v>
      </c>
      <c r="E1895" s="103" t="s">
        <v>306</v>
      </c>
      <c r="I1895" s="103">
        <v>44</v>
      </c>
      <c r="K1895" s="103" t="s">
        <v>1032</v>
      </c>
      <c r="L1895" s="133"/>
      <c r="M1895" s="134">
        <v>1.1805555555555555E-2</v>
      </c>
      <c r="N1895" s="137" t="s">
        <v>3927</v>
      </c>
      <c r="O1895" s="133" t="s">
        <v>1585</v>
      </c>
      <c r="Q1895" s="100" t="s">
        <v>4018</v>
      </c>
      <c r="R1895" s="226" t="s">
        <v>4026</v>
      </c>
      <c r="S1895" s="491" t="str">
        <f t="shared" si="59"/>
        <v>x</v>
      </c>
      <c r="T1895" s="492" t="str">
        <f>IFERROR(VLOOKUP(F1895,'Freq-Chan'!C:D,2,FALSE),"x")</f>
        <v>x</v>
      </c>
      <c r="U1895" s="110" t="s">
        <v>541</v>
      </c>
      <c r="V1895" s="110" t="str">
        <f t="shared" si="60"/>
        <v>FWL</v>
      </c>
      <c r="W1895" s="110" t="s">
        <v>541</v>
      </c>
      <c r="X1895" s="110" t="s">
        <v>541</v>
      </c>
      <c r="Y1895" s="110" t="str">
        <f>IFERROR(VLOOKUP(F1895,'Freq-Chan'!C:E,3,FALSE),"na")</f>
        <v>na</v>
      </c>
      <c r="Z1895" s="110" t="s">
        <v>541</v>
      </c>
      <c r="AA1895" s="110" t="s">
        <v>541</v>
      </c>
      <c r="AB1895" s="110" t="s">
        <v>541</v>
      </c>
      <c r="AC1895" s="10" t="s">
        <v>541</v>
      </c>
      <c r="AD1895" s="10" t="s">
        <v>541</v>
      </c>
    </row>
    <row r="1896" spans="1:30" x14ac:dyDescent="0.2">
      <c r="A1896" s="110">
        <v>1895</v>
      </c>
      <c r="B1896" s="132">
        <v>41856</v>
      </c>
      <c r="C1896" s="117">
        <v>1</v>
      </c>
      <c r="D1896" s="103" t="s">
        <v>70</v>
      </c>
      <c r="E1896" s="103" t="s">
        <v>306</v>
      </c>
      <c r="I1896" s="103">
        <v>45</v>
      </c>
      <c r="K1896" s="103" t="s">
        <v>1032</v>
      </c>
      <c r="L1896" s="133"/>
      <c r="M1896" s="134">
        <v>1.2499999999999999E-2</v>
      </c>
      <c r="N1896" s="137" t="s">
        <v>3945</v>
      </c>
      <c r="O1896" s="133" t="s">
        <v>1585</v>
      </c>
      <c r="Q1896" s="100" t="s">
        <v>4018</v>
      </c>
      <c r="R1896" s="226" t="s">
        <v>4026</v>
      </c>
      <c r="S1896" s="491" t="str">
        <f t="shared" si="59"/>
        <v>x</v>
      </c>
      <c r="T1896" s="492" t="str">
        <f>IFERROR(VLOOKUP(F1896,'Freq-Chan'!C:D,2,FALSE),"x")</f>
        <v>x</v>
      </c>
      <c r="U1896" s="110" t="s">
        <v>541</v>
      </c>
      <c r="V1896" s="110" t="str">
        <f t="shared" si="60"/>
        <v>FWL</v>
      </c>
      <c r="W1896" s="110" t="s">
        <v>541</v>
      </c>
      <c r="X1896" s="110" t="s">
        <v>541</v>
      </c>
      <c r="Y1896" s="110" t="str">
        <f>IFERROR(VLOOKUP(F1896,'Freq-Chan'!C:E,3,FALSE),"na")</f>
        <v>na</v>
      </c>
      <c r="Z1896" s="110" t="s">
        <v>541</v>
      </c>
      <c r="AA1896" s="110" t="s">
        <v>541</v>
      </c>
      <c r="AB1896" s="110" t="s">
        <v>541</v>
      </c>
      <c r="AC1896" s="10" t="s">
        <v>541</v>
      </c>
      <c r="AD1896" s="10" t="s">
        <v>541</v>
      </c>
    </row>
    <row r="1897" spans="1:30" x14ac:dyDescent="0.2">
      <c r="A1897" s="110">
        <v>1896</v>
      </c>
      <c r="B1897" s="132">
        <v>41856</v>
      </c>
      <c r="C1897" s="117">
        <v>1</v>
      </c>
      <c r="D1897" s="103" t="s">
        <v>8</v>
      </c>
      <c r="E1897" s="103" t="s">
        <v>306</v>
      </c>
      <c r="F1897" s="103">
        <v>586</v>
      </c>
      <c r="G1897" s="103">
        <v>37</v>
      </c>
      <c r="H1897" s="103" t="s">
        <v>2208</v>
      </c>
      <c r="I1897" s="103">
        <v>49</v>
      </c>
      <c r="K1897" s="103" t="s">
        <v>365</v>
      </c>
      <c r="L1897" s="133"/>
      <c r="M1897" s="134">
        <v>4.9999999999999996E-2</v>
      </c>
      <c r="N1897" s="137" t="s">
        <v>3469</v>
      </c>
      <c r="O1897" s="133" t="s">
        <v>3932</v>
      </c>
      <c r="Q1897" s="100" t="s">
        <v>4018</v>
      </c>
      <c r="R1897" s="226" t="s">
        <v>4026</v>
      </c>
      <c r="S1897" s="491" t="str">
        <f t="shared" si="59"/>
        <v>x</v>
      </c>
      <c r="T1897" s="492">
        <f>IFERROR(VLOOKUP(F1897,'Freq-Chan'!C:D,2,FALSE),"x")</f>
        <v>151.58600000000001</v>
      </c>
      <c r="U1897" s="110" t="s">
        <v>541</v>
      </c>
      <c r="V1897" s="110" t="str">
        <f t="shared" si="60"/>
        <v>FWL</v>
      </c>
      <c r="W1897" s="110" t="s">
        <v>541</v>
      </c>
      <c r="X1897" s="110" t="s">
        <v>541</v>
      </c>
      <c r="Y1897" s="110" t="str">
        <f>IFERROR(VLOOKUP(F1897,'Freq-Chan'!C:E,3,FALSE),"na")</f>
        <v>F1840</v>
      </c>
      <c r="Z1897" s="110" t="s">
        <v>541</v>
      </c>
      <c r="AA1897" s="110" t="s">
        <v>541</v>
      </c>
      <c r="AB1897" s="110" t="s">
        <v>541</v>
      </c>
      <c r="AC1897" s="10" t="s">
        <v>541</v>
      </c>
      <c r="AD1897" s="10" t="s">
        <v>541</v>
      </c>
    </row>
    <row r="1898" spans="1:30" x14ac:dyDescent="0.2">
      <c r="A1898" s="110">
        <v>1897</v>
      </c>
      <c r="B1898" s="132">
        <v>41856</v>
      </c>
      <c r="C1898" s="117">
        <v>1</v>
      </c>
      <c r="D1898" s="103" t="s">
        <v>70</v>
      </c>
      <c r="E1898" s="103" t="s">
        <v>306</v>
      </c>
      <c r="H1898" s="103"/>
      <c r="I1898" s="103">
        <v>46</v>
      </c>
      <c r="K1898" s="103" t="s">
        <v>365</v>
      </c>
      <c r="L1898" s="133"/>
      <c r="M1898" s="134">
        <v>1.5277777777777777E-2</v>
      </c>
      <c r="N1898" s="137" t="s">
        <v>3999</v>
      </c>
      <c r="O1898" s="133" t="s">
        <v>1585</v>
      </c>
      <c r="Q1898" s="100" t="s">
        <v>4018</v>
      </c>
      <c r="R1898" s="226" t="s">
        <v>4026</v>
      </c>
      <c r="S1898" s="491" t="str">
        <f t="shared" si="59"/>
        <v>x</v>
      </c>
      <c r="T1898" s="492" t="str">
        <f>IFERROR(VLOOKUP(F1898,'Freq-Chan'!C:D,2,FALSE),"x")</f>
        <v>x</v>
      </c>
      <c r="U1898" s="110" t="s">
        <v>541</v>
      </c>
      <c r="V1898" s="110" t="str">
        <f t="shared" si="60"/>
        <v>FWL</v>
      </c>
      <c r="W1898" s="110" t="s">
        <v>541</v>
      </c>
      <c r="X1898" s="110" t="s">
        <v>541</v>
      </c>
      <c r="Y1898" s="110" t="str">
        <f>IFERROR(VLOOKUP(F1898,'Freq-Chan'!C:E,3,FALSE),"na")</f>
        <v>na</v>
      </c>
      <c r="Z1898" s="110" t="s">
        <v>541</v>
      </c>
      <c r="AA1898" s="110" t="s">
        <v>541</v>
      </c>
      <c r="AB1898" s="110" t="s">
        <v>541</v>
      </c>
      <c r="AC1898" s="10" t="s">
        <v>541</v>
      </c>
      <c r="AD1898" s="10" t="s">
        <v>541</v>
      </c>
    </row>
    <row r="1899" spans="1:30" x14ac:dyDescent="0.2">
      <c r="A1899" s="110">
        <v>1898</v>
      </c>
      <c r="B1899" s="132">
        <v>41856</v>
      </c>
      <c r="C1899" s="117">
        <v>1</v>
      </c>
      <c r="D1899" s="103" t="s">
        <v>70</v>
      </c>
      <c r="E1899" s="103" t="s">
        <v>306</v>
      </c>
      <c r="H1899" s="103"/>
      <c r="I1899" s="103">
        <v>48</v>
      </c>
      <c r="K1899" s="103" t="s">
        <v>1032</v>
      </c>
      <c r="L1899" s="133"/>
      <c r="M1899" s="134">
        <v>1.4583333333333332E-2</v>
      </c>
      <c r="N1899" s="137" t="s">
        <v>3470</v>
      </c>
      <c r="O1899" s="133" t="s">
        <v>1585</v>
      </c>
      <c r="Q1899" s="100" t="s">
        <v>4018</v>
      </c>
      <c r="R1899" s="226" t="s">
        <v>4026</v>
      </c>
      <c r="S1899" s="491" t="str">
        <f t="shared" si="59"/>
        <v>x</v>
      </c>
      <c r="T1899" s="492" t="str">
        <f>IFERROR(VLOOKUP(F1899,'Freq-Chan'!C:D,2,FALSE),"x")</f>
        <v>x</v>
      </c>
      <c r="U1899" s="110" t="s">
        <v>541</v>
      </c>
      <c r="V1899" s="110" t="str">
        <f t="shared" si="60"/>
        <v>FWL</v>
      </c>
      <c r="W1899" s="110" t="s">
        <v>541</v>
      </c>
      <c r="X1899" s="110" t="s">
        <v>541</v>
      </c>
      <c r="Y1899" s="110" t="str">
        <f>IFERROR(VLOOKUP(F1899,'Freq-Chan'!C:E,3,FALSE),"na")</f>
        <v>na</v>
      </c>
      <c r="Z1899" s="110" t="s">
        <v>541</v>
      </c>
      <c r="AA1899" s="110" t="s">
        <v>541</v>
      </c>
      <c r="AB1899" s="110" t="s">
        <v>541</v>
      </c>
      <c r="AC1899" s="10" t="s">
        <v>541</v>
      </c>
      <c r="AD1899" s="10" t="s">
        <v>541</v>
      </c>
    </row>
    <row r="1900" spans="1:30" x14ac:dyDescent="0.2">
      <c r="A1900" s="110">
        <v>1899</v>
      </c>
      <c r="B1900" s="132">
        <v>41856</v>
      </c>
      <c r="C1900" s="117">
        <v>1</v>
      </c>
      <c r="D1900" s="103" t="s">
        <v>70</v>
      </c>
      <c r="E1900" s="103" t="s">
        <v>306</v>
      </c>
      <c r="H1900" s="103"/>
      <c r="I1900" s="103">
        <v>43</v>
      </c>
      <c r="K1900" s="103" t="s">
        <v>365</v>
      </c>
      <c r="L1900" s="133"/>
      <c r="M1900" s="134">
        <v>1.0416666666666666E-2</v>
      </c>
      <c r="N1900" s="137" t="s">
        <v>3805</v>
      </c>
      <c r="O1900" s="133" t="s">
        <v>1585</v>
      </c>
      <c r="Q1900" s="100" t="s">
        <v>4018</v>
      </c>
      <c r="R1900" s="226" t="s">
        <v>4026</v>
      </c>
      <c r="S1900" s="491" t="str">
        <f t="shared" si="59"/>
        <v>x</v>
      </c>
      <c r="T1900" s="492" t="str">
        <f>IFERROR(VLOOKUP(F1900,'Freq-Chan'!C:D,2,FALSE),"x")</f>
        <v>x</v>
      </c>
      <c r="U1900" s="110" t="s">
        <v>541</v>
      </c>
      <c r="V1900" s="110" t="str">
        <f t="shared" si="60"/>
        <v>FWL</v>
      </c>
      <c r="W1900" s="110" t="s">
        <v>541</v>
      </c>
      <c r="X1900" s="110" t="s">
        <v>541</v>
      </c>
      <c r="Y1900" s="110" t="str">
        <f>IFERROR(VLOOKUP(F1900,'Freq-Chan'!C:E,3,FALSE),"na")</f>
        <v>na</v>
      </c>
      <c r="Z1900" s="110" t="s">
        <v>541</v>
      </c>
      <c r="AA1900" s="110" t="s">
        <v>541</v>
      </c>
      <c r="AB1900" s="110" t="s">
        <v>541</v>
      </c>
      <c r="AC1900" s="10" t="s">
        <v>541</v>
      </c>
      <c r="AD1900" s="10" t="s">
        <v>541</v>
      </c>
    </row>
    <row r="1901" spans="1:30" x14ac:dyDescent="0.2">
      <c r="A1901" s="110">
        <v>1900</v>
      </c>
      <c r="B1901" s="132">
        <v>41856</v>
      </c>
      <c r="C1901" s="117">
        <v>1</v>
      </c>
      <c r="D1901" s="103" t="s">
        <v>70</v>
      </c>
      <c r="E1901" s="103" t="s">
        <v>306</v>
      </c>
      <c r="H1901" s="103"/>
      <c r="I1901" s="103">
        <v>46</v>
      </c>
      <c r="K1901" s="103" t="s">
        <v>365</v>
      </c>
      <c r="L1901" s="133"/>
      <c r="M1901" s="134">
        <v>2.0833333333333332E-2</v>
      </c>
      <c r="N1901" s="137" t="s">
        <v>3472</v>
      </c>
      <c r="O1901" s="133" t="s">
        <v>1585</v>
      </c>
      <c r="Q1901" s="100" t="s">
        <v>4018</v>
      </c>
      <c r="R1901" s="226" t="s">
        <v>4026</v>
      </c>
      <c r="S1901" s="491" t="str">
        <f t="shared" si="59"/>
        <v>x</v>
      </c>
      <c r="T1901" s="492" t="str">
        <f>IFERROR(VLOOKUP(F1901,'Freq-Chan'!C:D,2,FALSE),"x")</f>
        <v>x</v>
      </c>
      <c r="U1901" s="110" t="s">
        <v>541</v>
      </c>
      <c r="V1901" s="110" t="str">
        <f t="shared" si="60"/>
        <v>FWL</v>
      </c>
      <c r="W1901" s="110" t="s">
        <v>541</v>
      </c>
      <c r="X1901" s="110" t="s">
        <v>541</v>
      </c>
      <c r="Y1901" s="110" t="str">
        <f>IFERROR(VLOOKUP(F1901,'Freq-Chan'!C:E,3,FALSE),"na")</f>
        <v>na</v>
      </c>
      <c r="Z1901" s="110" t="s">
        <v>541</v>
      </c>
      <c r="AA1901" s="110" t="s">
        <v>541</v>
      </c>
      <c r="AB1901" s="110" t="s">
        <v>541</v>
      </c>
      <c r="AC1901" s="10" t="s">
        <v>541</v>
      </c>
      <c r="AD1901" s="10" t="s">
        <v>541</v>
      </c>
    </row>
    <row r="1902" spans="1:30" x14ac:dyDescent="0.2">
      <c r="A1902" s="110">
        <v>1901</v>
      </c>
      <c r="B1902" s="132">
        <v>41856</v>
      </c>
      <c r="C1902" s="117">
        <v>1</v>
      </c>
      <c r="D1902" s="103" t="s">
        <v>71</v>
      </c>
      <c r="E1902" s="103" t="s">
        <v>306</v>
      </c>
      <c r="F1902" s="103">
        <v>564</v>
      </c>
      <c r="G1902" s="103">
        <v>62</v>
      </c>
      <c r="H1902" s="103" t="s">
        <v>2374</v>
      </c>
      <c r="I1902" s="103">
        <v>65</v>
      </c>
      <c r="K1902" s="103" t="s">
        <v>1032</v>
      </c>
      <c r="L1902" s="133"/>
      <c r="M1902" s="134">
        <v>5.347222222222222E-2</v>
      </c>
      <c r="N1902" s="137" t="s">
        <v>3474</v>
      </c>
      <c r="O1902" s="133" t="s">
        <v>3932</v>
      </c>
      <c r="Q1902" s="100" t="s">
        <v>4018</v>
      </c>
      <c r="R1902" s="226" t="s">
        <v>4026</v>
      </c>
      <c r="S1902" s="491" t="str">
        <f t="shared" si="59"/>
        <v>x</v>
      </c>
      <c r="T1902" s="492">
        <f>IFERROR(VLOOKUP(F1902,'Freq-Chan'!C:D,2,FALSE),"x")</f>
        <v>151.56399999999999</v>
      </c>
      <c r="U1902" s="110" t="s">
        <v>541</v>
      </c>
      <c r="V1902" s="110" t="str">
        <f t="shared" si="60"/>
        <v>FWL</v>
      </c>
      <c r="W1902" s="110" t="s">
        <v>541</v>
      </c>
      <c r="X1902" s="110" t="s">
        <v>541</v>
      </c>
      <c r="Y1902" s="110" t="str">
        <f>IFERROR(VLOOKUP(F1902,'Freq-Chan'!C:E,3,FALSE),"na")</f>
        <v>F1840</v>
      </c>
      <c r="Z1902" s="110" t="s">
        <v>541</v>
      </c>
      <c r="AA1902" s="110" t="s">
        <v>541</v>
      </c>
      <c r="AB1902" s="110" t="s">
        <v>541</v>
      </c>
      <c r="AC1902" s="10" t="s">
        <v>541</v>
      </c>
      <c r="AD1902" s="10" t="s">
        <v>541</v>
      </c>
    </row>
    <row r="1903" spans="1:30" x14ac:dyDescent="0.2">
      <c r="A1903" s="110">
        <v>1902</v>
      </c>
      <c r="B1903" s="132">
        <v>41856</v>
      </c>
      <c r="C1903" s="117">
        <v>1</v>
      </c>
      <c r="D1903" s="103" t="s">
        <v>70</v>
      </c>
      <c r="E1903" s="103" t="s">
        <v>306</v>
      </c>
      <c r="H1903" s="103"/>
      <c r="I1903" s="103">
        <v>45</v>
      </c>
      <c r="K1903" s="103" t="s">
        <v>365</v>
      </c>
      <c r="L1903" s="133"/>
      <c r="M1903" s="134">
        <v>1.3194444444444444E-2</v>
      </c>
      <c r="N1903" s="137" t="s">
        <v>2512</v>
      </c>
      <c r="O1903" s="133" t="s">
        <v>1585</v>
      </c>
      <c r="Q1903" s="100" t="s">
        <v>4018</v>
      </c>
      <c r="R1903" s="226" t="s">
        <v>4026</v>
      </c>
      <c r="S1903" s="491" t="str">
        <f t="shared" si="59"/>
        <v>x</v>
      </c>
      <c r="T1903" s="492" t="str">
        <f>IFERROR(VLOOKUP(F1903,'Freq-Chan'!C:D,2,FALSE),"x")</f>
        <v>x</v>
      </c>
      <c r="U1903" s="110" t="s">
        <v>541</v>
      </c>
      <c r="V1903" s="110" t="str">
        <f t="shared" si="60"/>
        <v>FWL</v>
      </c>
      <c r="W1903" s="110" t="s">
        <v>541</v>
      </c>
      <c r="X1903" s="110" t="s">
        <v>541</v>
      </c>
      <c r="Y1903" s="110" t="str">
        <f>IFERROR(VLOOKUP(F1903,'Freq-Chan'!C:E,3,FALSE),"na")</f>
        <v>na</v>
      </c>
      <c r="Z1903" s="110" t="s">
        <v>541</v>
      </c>
      <c r="AA1903" s="110" t="s">
        <v>541</v>
      </c>
      <c r="AB1903" s="110" t="s">
        <v>541</v>
      </c>
      <c r="AC1903" s="10" t="s">
        <v>541</v>
      </c>
      <c r="AD1903" s="10" t="s">
        <v>541</v>
      </c>
    </row>
    <row r="1904" spans="1:30" x14ac:dyDescent="0.2">
      <c r="A1904" s="110">
        <v>1903</v>
      </c>
      <c r="B1904" s="132">
        <v>41856</v>
      </c>
      <c r="C1904" s="117">
        <v>1</v>
      </c>
      <c r="D1904" s="103" t="s">
        <v>70</v>
      </c>
      <c r="E1904" s="103" t="s">
        <v>306</v>
      </c>
      <c r="H1904" s="103"/>
      <c r="I1904" s="103">
        <v>45</v>
      </c>
      <c r="K1904" s="103" t="s">
        <v>365</v>
      </c>
      <c r="L1904" s="133"/>
      <c r="M1904" s="134">
        <v>1.5277777777777777E-2</v>
      </c>
      <c r="N1904" s="137" t="s">
        <v>3492</v>
      </c>
      <c r="O1904" s="133" t="s">
        <v>1585</v>
      </c>
      <c r="Q1904" s="100" t="s">
        <v>4018</v>
      </c>
      <c r="R1904" s="226" t="s">
        <v>4026</v>
      </c>
      <c r="S1904" s="491" t="str">
        <f t="shared" si="59"/>
        <v>x</v>
      </c>
      <c r="T1904" s="492" t="str">
        <f>IFERROR(VLOOKUP(F1904,'Freq-Chan'!C:D,2,FALSE),"x")</f>
        <v>x</v>
      </c>
      <c r="U1904" s="110" t="s">
        <v>541</v>
      </c>
      <c r="V1904" s="110" t="str">
        <f t="shared" si="60"/>
        <v>FWL</v>
      </c>
      <c r="W1904" s="110" t="s">
        <v>541</v>
      </c>
      <c r="X1904" s="110" t="s">
        <v>541</v>
      </c>
      <c r="Y1904" s="110" t="str">
        <f>IFERROR(VLOOKUP(F1904,'Freq-Chan'!C:E,3,FALSE),"na")</f>
        <v>na</v>
      </c>
      <c r="Z1904" s="110" t="s">
        <v>541</v>
      </c>
      <c r="AA1904" s="110" t="s">
        <v>541</v>
      </c>
      <c r="AB1904" s="110" t="s">
        <v>541</v>
      </c>
      <c r="AC1904" s="10" t="s">
        <v>541</v>
      </c>
      <c r="AD1904" s="10" t="s">
        <v>541</v>
      </c>
    </row>
    <row r="1905" spans="1:30" x14ac:dyDescent="0.2">
      <c r="A1905" s="110">
        <v>1904</v>
      </c>
      <c r="B1905" s="132">
        <v>41856</v>
      </c>
      <c r="C1905" s="117">
        <v>1</v>
      </c>
      <c r="D1905" s="103" t="s">
        <v>70</v>
      </c>
      <c r="E1905" s="103" t="s">
        <v>306</v>
      </c>
      <c r="H1905" s="103"/>
      <c r="I1905" s="103">
        <v>47</v>
      </c>
      <c r="K1905" s="103" t="s">
        <v>365</v>
      </c>
      <c r="L1905" s="133"/>
      <c r="M1905" s="134">
        <v>1.7361111111111112E-2</v>
      </c>
      <c r="N1905" s="137" t="s">
        <v>3799</v>
      </c>
      <c r="O1905" s="133" t="s">
        <v>1585</v>
      </c>
      <c r="Q1905" s="100" t="s">
        <v>4018</v>
      </c>
      <c r="R1905" s="226" t="s">
        <v>4026</v>
      </c>
      <c r="S1905" s="491" t="str">
        <f t="shared" si="59"/>
        <v>x</v>
      </c>
      <c r="T1905" s="492" t="str">
        <f>IFERROR(VLOOKUP(F1905,'Freq-Chan'!C:D,2,FALSE),"x")</f>
        <v>x</v>
      </c>
      <c r="U1905" s="110" t="s">
        <v>541</v>
      </c>
      <c r="V1905" s="110" t="str">
        <f t="shared" si="60"/>
        <v>FWL</v>
      </c>
      <c r="W1905" s="110" t="s">
        <v>541</v>
      </c>
      <c r="X1905" s="110" t="s">
        <v>541</v>
      </c>
      <c r="Y1905" s="110" t="str">
        <f>IFERROR(VLOOKUP(F1905,'Freq-Chan'!C:E,3,FALSE),"na")</f>
        <v>na</v>
      </c>
      <c r="Z1905" s="110" t="s">
        <v>541</v>
      </c>
      <c r="AA1905" s="110" t="s">
        <v>541</v>
      </c>
      <c r="AB1905" s="110" t="s">
        <v>541</v>
      </c>
      <c r="AC1905" s="10" t="s">
        <v>541</v>
      </c>
      <c r="AD1905" s="10" t="s">
        <v>541</v>
      </c>
    </row>
    <row r="1906" spans="1:30" x14ac:dyDescent="0.2">
      <c r="A1906" s="110">
        <v>1905</v>
      </c>
      <c r="B1906" s="132">
        <v>41856</v>
      </c>
      <c r="C1906" s="117">
        <v>1</v>
      </c>
      <c r="D1906" s="103" t="s">
        <v>70</v>
      </c>
      <c r="E1906" s="103" t="s">
        <v>306</v>
      </c>
      <c r="H1906" s="103"/>
      <c r="I1906" s="103">
        <v>48</v>
      </c>
      <c r="K1906" s="103" t="s">
        <v>1032</v>
      </c>
      <c r="L1906" s="133"/>
      <c r="M1906" s="134">
        <v>1.3194444444444444E-2</v>
      </c>
      <c r="N1906" s="137" t="s">
        <v>3493</v>
      </c>
      <c r="O1906" s="133" t="s">
        <v>1585</v>
      </c>
      <c r="Q1906" s="100" t="s">
        <v>4018</v>
      </c>
      <c r="R1906" s="226" t="s">
        <v>4026</v>
      </c>
      <c r="S1906" s="491" t="str">
        <f t="shared" si="59"/>
        <v>x</v>
      </c>
      <c r="T1906" s="492" t="str">
        <f>IFERROR(VLOOKUP(F1906,'Freq-Chan'!C:D,2,FALSE),"x")</f>
        <v>x</v>
      </c>
      <c r="U1906" s="110" t="s">
        <v>541</v>
      </c>
      <c r="V1906" s="110" t="str">
        <f t="shared" si="60"/>
        <v>FWL</v>
      </c>
      <c r="W1906" s="110" t="s">
        <v>541</v>
      </c>
      <c r="X1906" s="110" t="s">
        <v>541</v>
      </c>
      <c r="Y1906" s="110" t="str">
        <f>IFERROR(VLOOKUP(F1906,'Freq-Chan'!C:E,3,FALSE),"na")</f>
        <v>na</v>
      </c>
      <c r="Z1906" s="110" t="s">
        <v>541</v>
      </c>
      <c r="AA1906" s="110" t="s">
        <v>541</v>
      </c>
      <c r="AB1906" s="110" t="s">
        <v>541</v>
      </c>
      <c r="AC1906" s="10" t="s">
        <v>541</v>
      </c>
      <c r="AD1906" s="10" t="s">
        <v>541</v>
      </c>
    </row>
    <row r="1907" spans="1:30" x14ac:dyDescent="0.2">
      <c r="A1907" s="110">
        <v>1906</v>
      </c>
      <c r="B1907" s="132">
        <v>41856</v>
      </c>
      <c r="C1907" s="117">
        <v>1</v>
      </c>
      <c r="D1907" s="103" t="s">
        <v>70</v>
      </c>
      <c r="E1907" s="103" t="s">
        <v>306</v>
      </c>
      <c r="H1907" s="103"/>
      <c r="I1907" s="103">
        <v>49</v>
      </c>
      <c r="K1907" s="103" t="s">
        <v>1032</v>
      </c>
      <c r="L1907" s="133"/>
      <c r="M1907" s="134">
        <v>1.8749999999999999E-2</v>
      </c>
      <c r="N1907" s="137" t="s">
        <v>3494</v>
      </c>
      <c r="O1907" s="133" t="s">
        <v>1585</v>
      </c>
      <c r="Q1907" s="100" t="s">
        <v>4018</v>
      </c>
      <c r="R1907" s="226" t="s">
        <v>4026</v>
      </c>
      <c r="S1907" s="491" t="str">
        <f t="shared" si="59"/>
        <v>x</v>
      </c>
      <c r="T1907" s="492" t="str">
        <f>IFERROR(VLOOKUP(F1907,'Freq-Chan'!C:D,2,FALSE),"x")</f>
        <v>x</v>
      </c>
      <c r="U1907" s="110" t="s">
        <v>541</v>
      </c>
      <c r="V1907" s="110" t="str">
        <f t="shared" si="60"/>
        <v>FWL</v>
      </c>
      <c r="W1907" s="110" t="s">
        <v>541</v>
      </c>
      <c r="X1907" s="110" t="s">
        <v>541</v>
      </c>
      <c r="Y1907" s="110" t="str">
        <f>IFERROR(VLOOKUP(F1907,'Freq-Chan'!C:E,3,FALSE),"na")</f>
        <v>na</v>
      </c>
      <c r="Z1907" s="110" t="s">
        <v>541</v>
      </c>
      <c r="AA1907" s="110" t="s">
        <v>541</v>
      </c>
      <c r="AB1907" s="110" t="s">
        <v>541</v>
      </c>
      <c r="AC1907" s="10" t="s">
        <v>541</v>
      </c>
      <c r="AD1907" s="10" t="s">
        <v>541</v>
      </c>
    </row>
    <row r="1908" spans="1:30" x14ac:dyDescent="0.2">
      <c r="A1908" s="110">
        <v>1907</v>
      </c>
      <c r="B1908" s="132">
        <v>41856</v>
      </c>
      <c r="C1908" s="117">
        <v>1</v>
      </c>
      <c r="D1908" s="103" t="s">
        <v>70</v>
      </c>
      <c r="E1908" s="103" t="s">
        <v>306</v>
      </c>
      <c r="H1908" s="103"/>
      <c r="I1908" s="103">
        <v>49</v>
      </c>
      <c r="K1908" s="103" t="s">
        <v>1032</v>
      </c>
      <c r="L1908" s="133"/>
      <c r="M1908" s="134">
        <v>1.3194444444444444E-2</v>
      </c>
      <c r="N1908" s="137" t="s">
        <v>4000</v>
      </c>
      <c r="O1908" s="133" t="s">
        <v>1585</v>
      </c>
      <c r="Q1908" s="100" t="s">
        <v>4018</v>
      </c>
      <c r="R1908" s="226" t="s">
        <v>4026</v>
      </c>
      <c r="S1908" s="491" t="str">
        <f t="shared" si="59"/>
        <v>x</v>
      </c>
      <c r="T1908" s="492" t="str">
        <f>IFERROR(VLOOKUP(F1908,'Freq-Chan'!C:D,2,FALSE),"x")</f>
        <v>x</v>
      </c>
      <c r="U1908" s="110" t="s">
        <v>541</v>
      </c>
      <c r="V1908" s="110" t="str">
        <f t="shared" si="60"/>
        <v>FWL</v>
      </c>
      <c r="W1908" s="110" t="s">
        <v>541</v>
      </c>
      <c r="X1908" s="110" t="s">
        <v>541</v>
      </c>
      <c r="Y1908" s="110" t="str">
        <f>IFERROR(VLOOKUP(F1908,'Freq-Chan'!C:E,3,FALSE),"na")</f>
        <v>na</v>
      </c>
      <c r="Z1908" s="110" t="s">
        <v>541</v>
      </c>
      <c r="AA1908" s="110" t="s">
        <v>541</v>
      </c>
      <c r="AB1908" s="110" t="s">
        <v>541</v>
      </c>
      <c r="AC1908" s="10" t="s">
        <v>541</v>
      </c>
      <c r="AD1908" s="10" t="s">
        <v>541</v>
      </c>
    </row>
    <row r="1909" spans="1:30" x14ac:dyDescent="0.2">
      <c r="A1909" s="110">
        <v>1908</v>
      </c>
      <c r="B1909" s="132">
        <v>41856</v>
      </c>
      <c r="C1909" s="117">
        <v>1</v>
      </c>
      <c r="D1909" s="103" t="s">
        <v>70</v>
      </c>
      <c r="E1909" s="103" t="s">
        <v>306</v>
      </c>
      <c r="H1909" s="103"/>
      <c r="I1909" s="103">
        <v>45</v>
      </c>
      <c r="K1909" s="103" t="s">
        <v>365</v>
      </c>
      <c r="L1909" s="133"/>
      <c r="M1909" s="134">
        <v>1.1111111111111112E-2</v>
      </c>
      <c r="N1909" s="137" t="s">
        <v>395</v>
      </c>
      <c r="O1909" s="133" t="s">
        <v>1585</v>
      </c>
      <c r="Q1909" s="100" t="s">
        <v>4018</v>
      </c>
      <c r="R1909" s="226" t="s">
        <v>4026</v>
      </c>
      <c r="S1909" s="491" t="str">
        <f t="shared" si="59"/>
        <v>x</v>
      </c>
      <c r="T1909" s="492" t="str">
        <f>IFERROR(VLOOKUP(F1909,'Freq-Chan'!C:D,2,FALSE),"x")</f>
        <v>x</v>
      </c>
      <c r="U1909" s="110" t="s">
        <v>541</v>
      </c>
      <c r="V1909" s="110" t="str">
        <f t="shared" si="60"/>
        <v>FWL</v>
      </c>
      <c r="W1909" s="110" t="s">
        <v>541</v>
      </c>
      <c r="X1909" s="110" t="s">
        <v>541</v>
      </c>
      <c r="Y1909" s="110" t="str">
        <f>IFERROR(VLOOKUP(F1909,'Freq-Chan'!C:E,3,FALSE),"na")</f>
        <v>na</v>
      </c>
      <c r="Z1909" s="110" t="s">
        <v>541</v>
      </c>
      <c r="AA1909" s="110" t="s">
        <v>541</v>
      </c>
      <c r="AB1909" s="110" t="s">
        <v>541</v>
      </c>
      <c r="AC1909" s="10" t="s">
        <v>541</v>
      </c>
      <c r="AD1909" s="10" t="s">
        <v>541</v>
      </c>
    </row>
    <row r="1910" spans="1:30" x14ac:dyDescent="0.2">
      <c r="A1910" s="110">
        <v>1909</v>
      </c>
      <c r="B1910" s="132">
        <v>41856</v>
      </c>
      <c r="C1910" s="117">
        <v>1</v>
      </c>
      <c r="D1910" s="103" t="s">
        <v>72</v>
      </c>
      <c r="E1910" s="103" t="s">
        <v>306</v>
      </c>
      <c r="F1910" s="103">
        <v>266</v>
      </c>
      <c r="G1910" s="103">
        <v>24</v>
      </c>
      <c r="H1910" s="103" t="s">
        <v>3453</v>
      </c>
      <c r="I1910" s="103">
        <v>54</v>
      </c>
      <c r="K1910" s="103" t="s">
        <v>364</v>
      </c>
      <c r="L1910" s="133"/>
      <c r="M1910" s="134">
        <v>3.5416666666666666E-2</v>
      </c>
      <c r="N1910" s="137" t="s">
        <v>3426</v>
      </c>
      <c r="O1910" s="133" t="s">
        <v>1532</v>
      </c>
      <c r="P1910" s="100" t="s">
        <v>4466</v>
      </c>
      <c r="Q1910" s="100" t="s">
        <v>4020</v>
      </c>
      <c r="R1910" s="226" t="s">
        <v>4026</v>
      </c>
      <c r="S1910" s="491" t="str">
        <f t="shared" si="59"/>
        <v>x</v>
      </c>
      <c r="T1910" s="492">
        <f>IFERROR(VLOOKUP(F1910,'Freq-Chan'!C:D,2,FALSE),"x")</f>
        <v>151.26599999999999</v>
      </c>
      <c r="U1910" s="110" t="s">
        <v>541</v>
      </c>
      <c r="V1910" s="110" t="str">
        <f t="shared" si="60"/>
        <v>FWL</v>
      </c>
      <c r="W1910" s="110" t="s">
        <v>541</v>
      </c>
      <c r="X1910" s="110" t="s">
        <v>541</v>
      </c>
      <c r="Y1910" s="110" t="str">
        <f>IFERROR(VLOOKUP(F1910,'Freq-Chan'!C:E,3,FALSE),"na")</f>
        <v>F1840</v>
      </c>
      <c r="Z1910" s="110" t="s">
        <v>541</v>
      </c>
      <c r="AA1910" s="110" t="s">
        <v>541</v>
      </c>
      <c r="AB1910" s="110" t="s">
        <v>541</v>
      </c>
      <c r="AC1910" s="10" t="s">
        <v>541</v>
      </c>
      <c r="AD1910" s="10" t="s">
        <v>541</v>
      </c>
    </row>
    <row r="1911" spans="1:30" x14ac:dyDescent="0.2">
      <c r="A1911" s="110">
        <v>1910</v>
      </c>
      <c r="B1911" s="132">
        <v>41856</v>
      </c>
      <c r="C1911" s="117">
        <v>1</v>
      </c>
      <c r="D1911" s="103" t="s">
        <v>70</v>
      </c>
      <c r="E1911" s="103" t="s">
        <v>306</v>
      </c>
      <c r="F1911" s="103">
        <v>515</v>
      </c>
      <c r="G1911" s="103">
        <v>24</v>
      </c>
      <c r="H1911" s="103" t="s">
        <v>3080</v>
      </c>
      <c r="I1911" s="103">
        <v>45</v>
      </c>
      <c r="K1911" s="103" t="s">
        <v>365</v>
      </c>
      <c r="L1911" s="133"/>
      <c r="M1911" s="134">
        <v>4.3750000000000004E-2</v>
      </c>
      <c r="N1911" s="137" t="s">
        <v>4024</v>
      </c>
      <c r="O1911" s="133" t="s">
        <v>2931</v>
      </c>
      <c r="Q1911" s="100" t="s">
        <v>4020</v>
      </c>
      <c r="R1911" s="226" t="s">
        <v>4026</v>
      </c>
      <c r="S1911" s="491" t="str">
        <f t="shared" si="59"/>
        <v>x</v>
      </c>
      <c r="T1911" s="492">
        <f>IFERROR(VLOOKUP(F1911,'Freq-Chan'!C:D,2,FALSE),"x")</f>
        <v>151.51499999999999</v>
      </c>
      <c r="U1911" s="110" t="s">
        <v>541</v>
      </c>
      <c r="V1911" s="110" t="str">
        <f t="shared" si="60"/>
        <v>FWL</v>
      </c>
      <c r="W1911" s="110" t="s">
        <v>541</v>
      </c>
      <c r="X1911" s="110" t="s">
        <v>541</v>
      </c>
      <c r="Y1911" s="110" t="str">
        <f>IFERROR(VLOOKUP(F1911,'Freq-Chan'!C:E,3,FALSE),"na")</f>
        <v>F1835</v>
      </c>
      <c r="Z1911" s="110" t="s">
        <v>541</v>
      </c>
      <c r="AA1911" s="110" t="s">
        <v>541</v>
      </c>
      <c r="AB1911" s="110" t="s">
        <v>541</v>
      </c>
      <c r="AC1911" s="10" t="s">
        <v>541</v>
      </c>
      <c r="AD1911" s="10" t="s">
        <v>541</v>
      </c>
    </row>
    <row r="1912" spans="1:30" x14ac:dyDescent="0.2">
      <c r="A1912" s="110">
        <v>1911</v>
      </c>
      <c r="B1912" s="132">
        <v>41856</v>
      </c>
      <c r="C1912" s="117">
        <v>1</v>
      </c>
      <c r="D1912" s="103" t="s">
        <v>71</v>
      </c>
      <c r="E1912" s="103" t="s">
        <v>306</v>
      </c>
      <c r="F1912" s="103">
        <v>564</v>
      </c>
      <c r="G1912" s="103">
        <v>32</v>
      </c>
      <c r="H1912" s="103" t="s">
        <v>2385</v>
      </c>
      <c r="I1912" s="103">
        <v>53</v>
      </c>
      <c r="K1912" s="103" t="s">
        <v>364</v>
      </c>
      <c r="L1912" s="133"/>
      <c r="M1912" s="134">
        <v>4.8611111111111112E-2</v>
      </c>
      <c r="N1912" s="137" t="s">
        <v>391</v>
      </c>
      <c r="O1912" s="133" t="s">
        <v>1532</v>
      </c>
      <c r="Q1912" s="100" t="s">
        <v>4020</v>
      </c>
      <c r="R1912" s="226" t="s">
        <v>4026</v>
      </c>
      <c r="S1912" s="491" t="str">
        <f t="shared" si="59"/>
        <v>x</v>
      </c>
      <c r="T1912" s="492">
        <f>IFERROR(VLOOKUP(F1912,'Freq-Chan'!C:D,2,FALSE),"x")</f>
        <v>151.56399999999999</v>
      </c>
      <c r="U1912" s="110" t="s">
        <v>541</v>
      </c>
      <c r="V1912" s="110" t="str">
        <f t="shared" si="60"/>
        <v>FWL</v>
      </c>
      <c r="W1912" s="110" t="s">
        <v>541</v>
      </c>
      <c r="X1912" s="110" t="s">
        <v>541</v>
      </c>
      <c r="Y1912" s="110" t="str">
        <f>IFERROR(VLOOKUP(F1912,'Freq-Chan'!C:E,3,FALSE),"na")</f>
        <v>F1840</v>
      </c>
      <c r="Z1912" s="110" t="s">
        <v>541</v>
      </c>
      <c r="AA1912" s="110" t="s">
        <v>541</v>
      </c>
      <c r="AB1912" s="110" t="s">
        <v>541</v>
      </c>
      <c r="AC1912" s="10" t="s">
        <v>541</v>
      </c>
      <c r="AD1912" s="10" t="s">
        <v>541</v>
      </c>
    </row>
    <row r="1913" spans="1:30" x14ac:dyDescent="0.2">
      <c r="A1913" s="110">
        <v>1912</v>
      </c>
      <c r="B1913" s="132">
        <v>41856</v>
      </c>
      <c r="C1913" s="117">
        <v>1</v>
      </c>
      <c r="D1913" s="103" t="s">
        <v>71</v>
      </c>
      <c r="E1913" s="103" t="s">
        <v>306</v>
      </c>
      <c r="H1913" s="103"/>
      <c r="I1913" s="103">
        <v>57</v>
      </c>
      <c r="K1913" s="103" t="s">
        <v>364</v>
      </c>
      <c r="L1913" s="133"/>
      <c r="M1913" s="134">
        <v>1.5972222222222224E-2</v>
      </c>
      <c r="N1913" s="137" t="s">
        <v>845</v>
      </c>
      <c r="O1913" s="133" t="s">
        <v>1532</v>
      </c>
      <c r="Q1913" s="100" t="s">
        <v>4020</v>
      </c>
      <c r="R1913" s="226" t="s">
        <v>4026</v>
      </c>
      <c r="S1913" s="491" t="str">
        <f t="shared" si="59"/>
        <v>x</v>
      </c>
      <c r="T1913" s="492" t="str">
        <f>IFERROR(VLOOKUP(F1913,'Freq-Chan'!C:D,2,FALSE),"x")</f>
        <v>x</v>
      </c>
      <c r="U1913" s="110" t="s">
        <v>541</v>
      </c>
      <c r="V1913" s="110" t="str">
        <f t="shared" si="60"/>
        <v>FWL</v>
      </c>
      <c r="W1913" s="110" t="s">
        <v>541</v>
      </c>
      <c r="X1913" s="110" t="s">
        <v>541</v>
      </c>
      <c r="Y1913" s="110" t="str">
        <f>IFERROR(VLOOKUP(F1913,'Freq-Chan'!C:E,3,FALSE),"na")</f>
        <v>na</v>
      </c>
      <c r="Z1913" s="110" t="s">
        <v>541</v>
      </c>
      <c r="AA1913" s="110" t="s">
        <v>541</v>
      </c>
      <c r="AB1913" s="110" t="s">
        <v>541</v>
      </c>
      <c r="AC1913" s="10" t="s">
        <v>541</v>
      </c>
      <c r="AD1913" s="10" t="s">
        <v>541</v>
      </c>
    </row>
    <row r="1914" spans="1:30" x14ac:dyDescent="0.2">
      <c r="A1914" s="110">
        <v>1913</v>
      </c>
      <c r="B1914" s="132">
        <v>41856</v>
      </c>
      <c r="C1914" s="117">
        <v>1</v>
      </c>
      <c r="D1914" s="103" t="s">
        <v>71</v>
      </c>
      <c r="E1914" s="103" t="s">
        <v>306</v>
      </c>
      <c r="H1914" s="103"/>
      <c r="I1914" s="103">
        <v>55</v>
      </c>
      <c r="K1914" s="103" t="s">
        <v>364</v>
      </c>
      <c r="L1914" s="133"/>
      <c r="M1914" s="134">
        <v>1.3194444444444444E-2</v>
      </c>
      <c r="N1914" s="137" t="s">
        <v>4001</v>
      </c>
      <c r="O1914" s="133" t="s">
        <v>950</v>
      </c>
      <c r="Q1914" s="100" t="s">
        <v>4019</v>
      </c>
      <c r="R1914" s="226" t="s">
        <v>4026</v>
      </c>
      <c r="S1914" s="491" t="str">
        <f t="shared" si="59"/>
        <v>x</v>
      </c>
      <c r="T1914" s="492" t="str">
        <f>IFERROR(VLOOKUP(F1914,'Freq-Chan'!C:D,2,FALSE),"x")</f>
        <v>x</v>
      </c>
      <c r="U1914" s="110" t="s">
        <v>541</v>
      </c>
      <c r="V1914" s="110" t="str">
        <f t="shared" si="60"/>
        <v>FWL</v>
      </c>
      <c r="W1914" s="110" t="s">
        <v>541</v>
      </c>
      <c r="X1914" s="110" t="s">
        <v>541</v>
      </c>
      <c r="Y1914" s="110" t="str">
        <f>IFERROR(VLOOKUP(F1914,'Freq-Chan'!C:E,3,FALSE),"na")</f>
        <v>na</v>
      </c>
      <c r="Z1914" s="110" t="s">
        <v>541</v>
      </c>
      <c r="AA1914" s="110" t="s">
        <v>541</v>
      </c>
      <c r="AB1914" s="110" t="s">
        <v>541</v>
      </c>
      <c r="AC1914" s="10" t="s">
        <v>541</v>
      </c>
      <c r="AD1914" s="10" t="s">
        <v>541</v>
      </c>
    </row>
    <row r="1915" spans="1:30" x14ac:dyDescent="0.2">
      <c r="A1915" s="110">
        <v>1914</v>
      </c>
      <c r="B1915" s="132">
        <v>41856</v>
      </c>
      <c r="C1915" s="117">
        <v>1</v>
      </c>
      <c r="D1915" s="103" t="s">
        <v>8</v>
      </c>
      <c r="E1915" s="103" t="s">
        <v>306</v>
      </c>
      <c r="F1915" s="103">
        <v>573</v>
      </c>
      <c r="G1915" s="103">
        <v>53</v>
      </c>
      <c r="H1915" s="103" t="s">
        <v>2212</v>
      </c>
      <c r="I1915" s="103">
        <v>50</v>
      </c>
      <c r="K1915" s="103" t="s">
        <v>364</v>
      </c>
      <c r="L1915" s="133"/>
      <c r="M1915" s="134">
        <v>4.0972222222222222E-2</v>
      </c>
      <c r="N1915" s="137" t="s">
        <v>714</v>
      </c>
      <c r="O1915" s="133" t="s">
        <v>950</v>
      </c>
      <c r="P1915" s="100" t="s">
        <v>4005</v>
      </c>
      <c r="Q1915" s="100" t="s">
        <v>4019</v>
      </c>
      <c r="R1915" s="226" t="s">
        <v>4026</v>
      </c>
      <c r="S1915" s="491" t="str">
        <f t="shared" si="59"/>
        <v>x</v>
      </c>
      <c r="T1915" s="492">
        <f>IFERROR(VLOOKUP(F1915,'Freq-Chan'!C:D,2,FALSE),"x")</f>
        <v>151.57300000000001</v>
      </c>
      <c r="U1915" s="110" t="s">
        <v>541</v>
      </c>
      <c r="V1915" s="110" t="str">
        <f t="shared" si="60"/>
        <v>FWL</v>
      </c>
      <c r="W1915" s="110" t="s">
        <v>541</v>
      </c>
      <c r="X1915" s="110" t="s">
        <v>541</v>
      </c>
      <c r="Y1915" s="110" t="str">
        <f>IFERROR(VLOOKUP(F1915,'Freq-Chan'!C:E,3,FALSE),"na")</f>
        <v>F1840</v>
      </c>
      <c r="Z1915" s="110" t="s">
        <v>541</v>
      </c>
      <c r="AA1915" s="110" t="s">
        <v>541</v>
      </c>
      <c r="AB1915" s="110" t="s">
        <v>541</v>
      </c>
      <c r="AC1915" s="10" t="s">
        <v>541</v>
      </c>
      <c r="AD1915" s="10" t="s">
        <v>541</v>
      </c>
    </row>
    <row r="1916" spans="1:30" x14ac:dyDescent="0.2">
      <c r="A1916" s="110">
        <v>1915</v>
      </c>
      <c r="B1916" s="132">
        <v>41856</v>
      </c>
      <c r="C1916" s="117">
        <v>1</v>
      </c>
      <c r="D1916" s="103" t="s">
        <v>71</v>
      </c>
      <c r="E1916" s="103" t="s">
        <v>306</v>
      </c>
      <c r="H1916" s="103"/>
      <c r="I1916" s="103">
        <v>57</v>
      </c>
      <c r="K1916" s="103" t="s">
        <v>364</v>
      </c>
      <c r="L1916" s="133"/>
      <c r="M1916" s="134">
        <v>1.7361111111111112E-2</v>
      </c>
      <c r="N1916" s="137" t="s">
        <v>2785</v>
      </c>
      <c r="O1916" s="133" t="s">
        <v>950</v>
      </c>
      <c r="Q1916" s="100" t="s">
        <v>4019</v>
      </c>
      <c r="R1916" s="226" t="s">
        <v>4026</v>
      </c>
      <c r="S1916" s="491" t="str">
        <f t="shared" si="59"/>
        <v>x</v>
      </c>
      <c r="T1916" s="492" t="str">
        <f>IFERROR(VLOOKUP(F1916,'Freq-Chan'!C:D,2,FALSE),"x")</f>
        <v>x</v>
      </c>
      <c r="U1916" s="110" t="s">
        <v>541</v>
      </c>
      <c r="V1916" s="110" t="str">
        <f t="shared" si="60"/>
        <v>FWL</v>
      </c>
      <c r="W1916" s="110" t="s">
        <v>541</v>
      </c>
      <c r="X1916" s="110" t="s">
        <v>541</v>
      </c>
      <c r="Y1916" s="110" t="str">
        <f>IFERROR(VLOOKUP(F1916,'Freq-Chan'!C:E,3,FALSE),"na")</f>
        <v>na</v>
      </c>
      <c r="Z1916" s="110" t="s">
        <v>541</v>
      </c>
      <c r="AA1916" s="110" t="s">
        <v>541</v>
      </c>
      <c r="AB1916" s="110" t="s">
        <v>541</v>
      </c>
      <c r="AC1916" s="10" t="s">
        <v>541</v>
      </c>
      <c r="AD1916" s="10" t="s">
        <v>541</v>
      </c>
    </row>
    <row r="1917" spans="1:30" x14ac:dyDescent="0.2">
      <c r="A1917" s="110">
        <v>1916</v>
      </c>
      <c r="B1917" s="132">
        <v>41856</v>
      </c>
      <c r="C1917" s="117">
        <v>1</v>
      </c>
      <c r="D1917" s="103" t="s">
        <v>71</v>
      </c>
      <c r="E1917" s="103" t="s">
        <v>306</v>
      </c>
      <c r="H1917" s="103"/>
      <c r="I1917" s="103">
        <v>53</v>
      </c>
      <c r="K1917" s="103" t="s">
        <v>364</v>
      </c>
      <c r="L1917" s="133"/>
      <c r="M1917" s="134">
        <v>2.1527777777777781E-2</v>
      </c>
      <c r="N1917" s="137" t="s">
        <v>3389</v>
      </c>
      <c r="O1917" s="133" t="s">
        <v>950</v>
      </c>
      <c r="Q1917" s="100" t="s">
        <v>4019</v>
      </c>
      <c r="R1917" s="226" t="s">
        <v>4026</v>
      </c>
      <c r="S1917" s="491" t="str">
        <f t="shared" si="59"/>
        <v>x</v>
      </c>
      <c r="T1917" s="492" t="str">
        <f>IFERROR(VLOOKUP(F1917,'Freq-Chan'!C:D,2,FALSE),"x")</f>
        <v>x</v>
      </c>
      <c r="U1917" s="110" t="s">
        <v>541</v>
      </c>
      <c r="V1917" s="110" t="str">
        <f t="shared" si="60"/>
        <v>FWL</v>
      </c>
      <c r="W1917" s="110" t="s">
        <v>541</v>
      </c>
      <c r="X1917" s="110" t="s">
        <v>541</v>
      </c>
      <c r="Y1917" s="110" t="str">
        <f>IFERROR(VLOOKUP(F1917,'Freq-Chan'!C:E,3,FALSE),"na")</f>
        <v>na</v>
      </c>
      <c r="Z1917" s="110" t="s">
        <v>541</v>
      </c>
      <c r="AA1917" s="110" t="s">
        <v>541</v>
      </c>
      <c r="AB1917" s="110" t="s">
        <v>541</v>
      </c>
      <c r="AC1917" s="10" t="s">
        <v>541</v>
      </c>
      <c r="AD1917" s="10" t="s">
        <v>541</v>
      </c>
    </row>
    <row r="1918" spans="1:30" x14ac:dyDescent="0.2">
      <c r="A1918" s="110">
        <v>1917</v>
      </c>
      <c r="B1918" s="132">
        <v>41856</v>
      </c>
      <c r="C1918" s="117">
        <v>1</v>
      </c>
      <c r="D1918" s="103" t="s">
        <v>8</v>
      </c>
      <c r="E1918" s="103" t="s">
        <v>306</v>
      </c>
      <c r="F1918" s="103">
        <v>573</v>
      </c>
      <c r="G1918" s="103">
        <v>47</v>
      </c>
      <c r="H1918" s="103" t="s">
        <v>2214</v>
      </c>
      <c r="I1918" s="103">
        <v>54</v>
      </c>
      <c r="K1918" s="103" t="s">
        <v>364</v>
      </c>
      <c r="L1918" s="133"/>
      <c r="M1918" s="134">
        <v>3.9583333333333331E-2</v>
      </c>
      <c r="N1918" s="137" t="s">
        <v>4002</v>
      </c>
      <c r="O1918" s="133" t="s">
        <v>376</v>
      </c>
      <c r="Q1918" s="100" t="s">
        <v>4019</v>
      </c>
      <c r="R1918" s="226" t="s">
        <v>4026</v>
      </c>
      <c r="S1918" s="491" t="str">
        <f t="shared" si="59"/>
        <v>x</v>
      </c>
      <c r="T1918" s="492">
        <f>IFERROR(VLOOKUP(F1918,'Freq-Chan'!C:D,2,FALSE),"x")</f>
        <v>151.57300000000001</v>
      </c>
      <c r="U1918" s="110" t="s">
        <v>541</v>
      </c>
      <c r="V1918" s="110" t="str">
        <f t="shared" si="60"/>
        <v>FWL</v>
      </c>
      <c r="W1918" s="110" t="s">
        <v>541</v>
      </c>
      <c r="X1918" s="110" t="s">
        <v>541</v>
      </c>
      <c r="Y1918" s="110" t="str">
        <f>IFERROR(VLOOKUP(F1918,'Freq-Chan'!C:E,3,FALSE),"na")</f>
        <v>F1840</v>
      </c>
      <c r="Z1918" s="110" t="s">
        <v>541</v>
      </c>
      <c r="AA1918" s="110" t="s">
        <v>541</v>
      </c>
      <c r="AB1918" s="110" t="s">
        <v>541</v>
      </c>
      <c r="AC1918" s="10" t="s">
        <v>541</v>
      </c>
      <c r="AD1918" s="10" t="s">
        <v>541</v>
      </c>
    </row>
    <row r="1919" spans="1:30" x14ac:dyDescent="0.2">
      <c r="A1919" s="110">
        <v>1918</v>
      </c>
      <c r="B1919" s="132">
        <v>41856</v>
      </c>
      <c r="C1919" s="117">
        <v>1</v>
      </c>
      <c r="D1919" s="103" t="s">
        <v>71</v>
      </c>
      <c r="E1919" s="103" t="s">
        <v>306</v>
      </c>
      <c r="H1919" s="103"/>
      <c r="I1919" s="103">
        <v>59</v>
      </c>
      <c r="K1919" s="103" t="s">
        <v>365</v>
      </c>
      <c r="L1919" s="133"/>
      <c r="M1919" s="134">
        <v>1.8749999999999999E-2</v>
      </c>
      <c r="N1919" s="137" t="s">
        <v>2841</v>
      </c>
      <c r="O1919" s="133" t="s">
        <v>376</v>
      </c>
      <c r="Q1919" s="100" t="s">
        <v>4019</v>
      </c>
      <c r="R1919" s="226" t="s">
        <v>4026</v>
      </c>
      <c r="S1919" s="491" t="str">
        <f t="shared" si="59"/>
        <v>x</v>
      </c>
      <c r="T1919" s="492" t="str">
        <f>IFERROR(VLOOKUP(F1919,'Freq-Chan'!C:D,2,FALSE),"x")</f>
        <v>x</v>
      </c>
      <c r="U1919" s="110" t="s">
        <v>541</v>
      </c>
      <c r="V1919" s="110" t="str">
        <f t="shared" si="60"/>
        <v>FWL</v>
      </c>
      <c r="W1919" s="110" t="s">
        <v>541</v>
      </c>
      <c r="X1919" s="110" t="s">
        <v>541</v>
      </c>
      <c r="Y1919" s="110" t="str">
        <f>IFERROR(VLOOKUP(F1919,'Freq-Chan'!C:E,3,FALSE),"na")</f>
        <v>na</v>
      </c>
      <c r="Z1919" s="110" t="s">
        <v>541</v>
      </c>
      <c r="AA1919" s="110" t="s">
        <v>541</v>
      </c>
      <c r="AB1919" s="110" t="s">
        <v>541</v>
      </c>
      <c r="AC1919" s="10" t="s">
        <v>541</v>
      </c>
      <c r="AD1919" s="10" t="s">
        <v>541</v>
      </c>
    </row>
    <row r="1920" spans="1:30" x14ac:dyDescent="0.2">
      <c r="A1920" s="110">
        <v>1919</v>
      </c>
      <c r="B1920" s="132">
        <v>41856</v>
      </c>
      <c r="C1920" s="117">
        <v>1</v>
      </c>
      <c r="D1920" s="103" t="s">
        <v>71</v>
      </c>
      <c r="E1920" s="103" t="s">
        <v>306</v>
      </c>
      <c r="H1920" s="103"/>
      <c r="I1920" s="103">
        <v>58</v>
      </c>
      <c r="K1920" s="103" t="s">
        <v>365</v>
      </c>
      <c r="L1920" s="133"/>
      <c r="M1920" s="134">
        <v>1.4583333333333332E-2</v>
      </c>
      <c r="N1920" s="137" t="s">
        <v>4003</v>
      </c>
      <c r="O1920" s="133" t="s">
        <v>376</v>
      </c>
      <c r="Q1920" s="100" t="s">
        <v>4019</v>
      </c>
      <c r="R1920" s="226" t="s">
        <v>4026</v>
      </c>
      <c r="S1920" s="491" t="str">
        <f t="shared" si="59"/>
        <v>x</v>
      </c>
      <c r="T1920" s="492" t="str">
        <f>IFERROR(VLOOKUP(F1920,'Freq-Chan'!C:D,2,FALSE),"x")</f>
        <v>x</v>
      </c>
      <c r="U1920" s="110" t="s">
        <v>541</v>
      </c>
      <c r="V1920" s="110" t="str">
        <f t="shared" si="60"/>
        <v>FWL</v>
      </c>
      <c r="W1920" s="110" t="s">
        <v>541</v>
      </c>
      <c r="X1920" s="110" t="s">
        <v>541</v>
      </c>
      <c r="Y1920" s="110" t="str">
        <f>IFERROR(VLOOKUP(F1920,'Freq-Chan'!C:E,3,FALSE),"na")</f>
        <v>na</v>
      </c>
      <c r="Z1920" s="110" t="s">
        <v>541</v>
      </c>
      <c r="AA1920" s="110" t="s">
        <v>541</v>
      </c>
      <c r="AB1920" s="110" t="s">
        <v>541</v>
      </c>
      <c r="AC1920" s="10" t="s">
        <v>541</v>
      </c>
      <c r="AD1920" s="10" t="s">
        <v>541</v>
      </c>
    </row>
    <row r="1921" spans="1:30" x14ac:dyDescent="0.2">
      <c r="A1921" s="110">
        <v>1920</v>
      </c>
      <c r="B1921" s="132">
        <v>41856</v>
      </c>
      <c r="C1921" s="117">
        <v>1</v>
      </c>
      <c r="D1921" s="103" t="s">
        <v>70</v>
      </c>
      <c r="E1921" s="103" t="s">
        <v>306</v>
      </c>
      <c r="F1921" s="103">
        <v>515</v>
      </c>
      <c r="G1921" s="103">
        <v>34</v>
      </c>
      <c r="H1921" s="142" t="s">
        <v>3082</v>
      </c>
      <c r="I1921" s="103">
        <v>48</v>
      </c>
      <c r="K1921" s="103" t="s">
        <v>1032</v>
      </c>
      <c r="L1921" s="133"/>
      <c r="M1921" s="134">
        <v>4.0972222222222222E-2</v>
      </c>
      <c r="N1921" s="137" t="s">
        <v>1690</v>
      </c>
      <c r="O1921" s="133" t="s">
        <v>376</v>
      </c>
      <c r="Q1921" s="100" t="s">
        <v>4019</v>
      </c>
      <c r="R1921" s="226" t="s">
        <v>4026</v>
      </c>
      <c r="S1921" s="491" t="str">
        <f t="shared" si="59"/>
        <v>x</v>
      </c>
      <c r="T1921" s="492">
        <f>IFERROR(VLOOKUP(F1921,'Freq-Chan'!C:D,2,FALSE),"x")</f>
        <v>151.51499999999999</v>
      </c>
      <c r="U1921" s="110" t="s">
        <v>541</v>
      </c>
      <c r="V1921" s="110" t="str">
        <f t="shared" si="60"/>
        <v>FWL</v>
      </c>
      <c r="W1921" s="110" t="s">
        <v>541</v>
      </c>
      <c r="X1921" s="110" t="s">
        <v>541</v>
      </c>
      <c r="Y1921" s="110" t="str">
        <f>IFERROR(VLOOKUP(F1921,'Freq-Chan'!C:E,3,FALSE),"na")</f>
        <v>F1835</v>
      </c>
      <c r="Z1921" s="110" t="s">
        <v>541</v>
      </c>
      <c r="AA1921" s="110" t="s">
        <v>541</v>
      </c>
      <c r="AB1921" s="110" t="s">
        <v>541</v>
      </c>
      <c r="AC1921" s="10" t="s">
        <v>541</v>
      </c>
      <c r="AD1921" s="10" t="s">
        <v>541</v>
      </c>
    </row>
    <row r="1922" spans="1:30" s="291" customFormat="1" x14ac:dyDescent="0.2">
      <c r="A1922" s="493">
        <v>1921</v>
      </c>
      <c r="B1922" s="283">
        <v>41856</v>
      </c>
      <c r="C1922" s="284">
        <v>1</v>
      </c>
      <c r="D1922" s="285" t="s">
        <v>71</v>
      </c>
      <c r="E1922" s="285" t="s">
        <v>306</v>
      </c>
      <c r="F1922" s="285"/>
      <c r="G1922" s="285"/>
      <c r="H1922" s="285"/>
      <c r="I1922" s="285">
        <v>60</v>
      </c>
      <c r="J1922" s="285"/>
      <c r="K1922" s="285" t="s">
        <v>365</v>
      </c>
      <c r="L1922" s="286"/>
      <c r="M1922" s="287">
        <v>2.013888888888889E-2</v>
      </c>
      <c r="N1922" s="339" t="s">
        <v>2657</v>
      </c>
      <c r="O1922" s="286" t="s">
        <v>376</v>
      </c>
      <c r="P1922" s="289"/>
      <c r="Q1922" s="289" t="s">
        <v>4019</v>
      </c>
      <c r="R1922" s="290" t="s">
        <v>4026</v>
      </c>
      <c r="S1922" s="494" t="str">
        <f t="shared" si="59"/>
        <v>x</v>
      </c>
      <c r="T1922" s="495" t="str">
        <f>IFERROR(VLOOKUP(F1922,'Freq-Chan'!C:D,2,FALSE),"x")</f>
        <v>x</v>
      </c>
      <c r="U1922" s="493" t="s">
        <v>541</v>
      </c>
      <c r="V1922" s="493" t="str">
        <f t="shared" si="60"/>
        <v>FWL</v>
      </c>
      <c r="W1922" s="493" t="s">
        <v>541</v>
      </c>
      <c r="X1922" s="493" t="s">
        <v>541</v>
      </c>
      <c r="Y1922" s="493" t="str">
        <f>IFERROR(VLOOKUP(F1922,'Freq-Chan'!C:E,3,FALSE),"na")</f>
        <v>na</v>
      </c>
      <c r="Z1922" s="493" t="s">
        <v>541</v>
      </c>
      <c r="AA1922" s="493" t="s">
        <v>541</v>
      </c>
      <c r="AB1922" s="493" t="s">
        <v>541</v>
      </c>
      <c r="AC1922" s="291" t="s">
        <v>541</v>
      </c>
      <c r="AD1922" s="291" t="s">
        <v>541</v>
      </c>
    </row>
    <row r="1923" spans="1:30" x14ac:dyDescent="0.2">
      <c r="A1923" s="110">
        <v>1922</v>
      </c>
      <c r="B1923" s="132">
        <v>41856</v>
      </c>
      <c r="C1923" s="117">
        <v>2</v>
      </c>
      <c r="D1923" s="103" t="s">
        <v>71</v>
      </c>
      <c r="E1923" s="103" t="s">
        <v>306</v>
      </c>
      <c r="F1923" s="103">
        <v>564</v>
      </c>
      <c r="G1923" s="103">
        <v>10</v>
      </c>
      <c r="H1923" s="142" t="s">
        <v>2381</v>
      </c>
      <c r="I1923" s="103">
        <v>59</v>
      </c>
      <c r="K1923" s="103" t="s">
        <v>365</v>
      </c>
      <c r="L1923" s="133"/>
      <c r="M1923" s="134">
        <v>4.4444444444444446E-2</v>
      </c>
      <c r="N1923" s="137" t="s">
        <v>3210</v>
      </c>
      <c r="O1923" s="133" t="s">
        <v>1585</v>
      </c>
      <c r="Q1923" s="100" t="s">
        <v>4018</v>
      </c>
      <c r="R1923" s="226" t="s">
        <v>4026</v>
      </c>
      <c r="S1923" s="491" t="str">
        <f t="shared" ref="S1923:S1986" si="61">IF(IF(OR(L1923=0,N1923=0),"x",ROUND(N1923-L1923-(M1923*24)/(24*60),10))&lt;0,0,IF(OR(L1923=0,N1923=0),"x",ROUND(N1923-L1923-(M1923*24)/(24*60),10)))</f>
        <v>x</v>
      </c>
      <c r="T1923" s="492">
        <f>IFERROR(VLOOKUP(F1923,'Freq-Chan'!C:D,2,FALSE),"x")</f>
        <v>151.56399999999999</v>
      </c>
      <c r="U1923" s="110" t="s">
        <v>541</v>
      </c>
      <c r="V1923" s="110" t="str">
        <f t="shared" ref="V1923:V1986" si="62">IF(OR(C1923=1,C1923=2,C1923=3),"FWL","NRD")</f>
        <v>FWL</v>
      </c>
      <c r="W1923" s="110" t="s">
        <v>541</v>
      </c>
      <c r="X1923" s="110" t="s">
        <v>541</v>
      </c>
      <c r="Y1923" s="110" t="str">
        <f>IFERROR(VLOOKUP(F1923,'Freq-Chan'!C:E,3,FALSE),"na")</f>
        <v>F1840</v>
      </c>
      <c r="Z1923" s="110" t="s">
        <v>541</v>
      </c>
      <c r="AA1923" s="110" t="s">
        <v>541</v>
      </c>
      <c r="AB1923" s="110" t="s">
        <v>541</v>
      </c>
      <c r="AC1923" s="10" t="s">
        <v>541</v>
      </c>
      <c r="AD1923" s="10" t="s">
        <v>541</v>
      </c>
    </row>
    <row r="1924" spans="1:30" x14ac:dyDescent="0.2">
      <c r="A1924" s="110">
        <v>1923</v>
      </c>
      <c r="B1924" s="132">
        <v>41856</v>
      </c>
      <c r="C1924" s="117">
        <v>2</v>
      </c>
      <c r="D1924" s="103" t="s">
        <v>71</v>
      </c>
      <c r="E1924" s="103" t="s">
        <v>306</v>
      </c>
      <c r="F1924" s="103">
        <v>564</v>
      </c>
      <c r="G1924" s="103">
        <v>40</v>
      </c>
      <c r="H1924" s="103" t="s">
        <v>2382</v>
      </c>
      <c r="I1924" s="103">
        <v>62</v>
      </c>
      <c r="K1924" s="103" t="s">
        <v>1032</v>
      </c>
      <c r="L1924" s="133"/>
      <c r="M1924" s="134">
        <v>6.0416666666666667E-2</v>
      </c>
      <c r="N1924" s="137" t="s">
        <v>763</v>
      </c>
      <c r="O1924" s="133" t="s">
        <v>1585</v>
      </c>
      <c r="Q1924" s="100" t="s">
        <v>4018</v>
      </c>
      <c r="R1924" s="226" t="s">
        <v>4026</v>
      </c>
      <c r="S1924" s="491" t="str">
        <f t="shared" si="61"/>
        <v>x</v>
      </c>
      <c r="T1924" s="492">
        <f>IFERROR(VLOOKUP(F1924,'Freq-Chan'!C:D,2,FALSE),"x")</f>
        <v>151.56399999999999</v>
      </c>
      <c r="U1924" s="110" t="s">
        <v>541</v>
      </c>
      <c r="V1924" s="110" t="str">
        <f t="shared" si="62"/>
        <v>FWL</v>
      </c>
      <c r="W1924" s="110" t="s">
        <v>541</v>
      </c>
      <c r="X1924" s="110" t="s">
        <v>541</v>
      </c>
      <c r="Y1924" s="110" t="str">
        <f>IFERROR(VLOOKUP(F1924,'Freq-Chan'!C:E,3,FALSE),"na")</f>
        <v>F1840</v>
      </c>
      <c r="Z1924" s="110" t="s">
        <v>541</v>
      </c>
      <c r="AA1924" s="110" t="s">
        <v>541</v>
      </c>
      <c r="AB1924" s="110" t="s">
        <v>541</v>
      </c>
      <c r="AC1924" s="10" t="s">
        <v>541</v>
      </c>
      <c r="AD1924" s="10" t="s">
        <v>541</v>
      </c>
    </row>
    <row r="1925" spans="1:30" x14ac:dyDescent="0.2">
      <c r="A1925" s="110">
        <v>1924</v>
      </c>
      <c r="B1925" s="132">
        <v>41856</v>
      </c>
      <c r="C1925" s="117">
        <v>2</v>
      </c>
      <c r="D1925" s="103" t="s">
        <v>71</v>
      </c>
      <c r="E1925" s="103" t="s">
        <v>306</v>
      </c>
      <c r="F1925" s="103">
        <v>534</v>
      </c>
      <c r="G1925" s="103">
        <v>2</v>
      </c>
      <c r="H1925" s="103" t="s">
        <v>2383</v>
      </c>
      <c r="I1925" s="103">
        <v>60</v>
      </c>
      <c r="K1925" s="103" t="s">
        <v>1032</v>
      </c>
      <c r="L1925" s="133">
        <v>0.49444444444444446</v>
      </c>
      <c r="M1925" s="134">
        <v>3.4722222222222224E-2</v>
      </c>
      <c r="N1925" s="137" t="s">
        <v>3881</v>
      </c>
      <c r="O1925" s="133" t="s">
        <v>1532</v>
      </c>
      <c r="Q1925" s="100" t="s">
        <v>3991</v>
      </c>
      <c r="R1925" s="226" t="s">
        <v>4026</v>
      </c>
      <c r="S1925" s="491">
        <f t="shared" ref="S1925:S1970" si="63">IF(IF(OR(L1925=0,N1925=0),"x",ROUND(N1925-L1925-(M1925*24)/(24*60),10))&lt;0,0,IF(OR(L1925=0,N1925=0),"x",ROUND(N1925-L1925-(M1925*24)/(24*60),10)))</f>
        <v>1.5046295999999999E-3</v>
      </c>
      <c r="T1925" s="492">
        <f>IFERROR(VLOOKUP(F1925,'Freq-Chan'!C:D,2,FALSE),"x")</f>
        <v>151.53399999999999</v>
      </c>
      <c r="U1925" s="110" t="s">
        <v>541</v>
      </c>
      <c r="V1925" s="110" t="str">
        <f t="shared" ref="V1925:V1970" si="64">IF(OR(C1925=1,C1925=2,C1925=3),"FWL","NRD")</f>
        <v>FWL</v>
      </c>
      <c r="W1925" s="110" t="s">
        <v>541</v>
      </c>
      <c r="X1925" s="110" t="s">
        <v>541</v>
      </c>
      <c r="Y1925" s="110" t="str">
        <f>IFERROR(VLOOKUP(F1925,'Freq-Chan'!C:E,3,FALSE),"na")</f>
        <v>F1840</v>
      </c>
      <c r="Z1925" s="110" t="s">
        <v>541</v>
      </c>
      <c r="AA1925" s="110" t="s">
        <v>541</v>
      </c>
      <c r="AB1925" s="110" t="s">
        <v>541</v>
      </c>
      <c r="AC1925" s="10" t="s">
        <v>541</v>
      </c>
      <c r="AD1925" s="10" t="s">
        <v>541</v>
      </c>
    </row>
    <row r="1926" spans="1:30" x14ac:dyDescent="0.2">
      <c r="A1926" s="110">
        <v>1925</v>
      </c>
      <c r="B1926" s="132">
        <v>41856</v>
      </c>
      <c r="C1926" s="117">
        <v>2</v>
      </c>
      <c r="D1926" s="103" t="s">
        <v>71</v>
      </c>
      <c r="E1926" s="103" t="s">
        <v>306</v>
      </c>
      <c r="F1926" s="103">
        <v>534</v>
      </c>
      <c r="G1926" s="103">
        <v>38</v>
      </c>
      <c r="H1926" s="142" t="s">
        <v>2384</v>
      </c>
      <c r="I1926" s="103">
        <v>59</v>
      </c>
      <c r="K1926" s="103" t="s">
        <v>364</v>
      </c>
      <c r="L1926" s="133"/>
      <c r="M1926" s="134">
        <v>4.3750000000000004E-2</v>
      </c>
      <c r="N1926" s="137" t="s">
        <v>2052</v>
      </c>
      <c r="O1926" s="133" t="s">
        <v>1532</v>
      </c>
      <c r="P1926" s="100" t="s">
        <v>4006</v>
      </c>
      <c r="Q1926" s="100" t="s">
        <v>3991</v>
      </c>
      <c r="R1926" s="226" t="s">
        <v>4026</v>
      </c>
      <c r="S1926" s="491" t="str">
        <f t="shared" si="63"/>
        <v>x</v>
      </c>
      <c r="T1926" s="492">
        <f>IFERROR(VLOOKUP(F1926,'Freq-Chan'!C:D,2,FALSE),"x")</f>
        <v>151.53399999999999</v>
      </c>
      <c r="U1926" s="110" t="s">
        <v>541</v>
      </c>
      <c r="V1926" s="110" t="str">
        <f t="shared" si="64"/>
        <v>FWL</v>
      </c>
      <c r="W1926" s="110" t="s">
        <v>541</v>
      </c>
      <c r="X1926" s="110" t="s">
        <v>541</v>
      </c>
      <c r="Y1926" s="110" t="str">
        <f>IFERROR(VLOOKUP(F1926,'Freq-Chan'!C:E,3,FALSE),"na")</f>
        <v>F1840</v>
      </c>
      <c r="Z1926" s="110" t="s">
        <v>541</v>
      </c>
      <c r="AA1926" s="110" t="s">
        <v>541</v>
      </c>
      <c r="AB1926" s="110" t="s">
        <v>541</v>
      </c>
      <c r="AC1926" s="10" t="s">
        <v>541</v>
      </c>
      <c r="AD1926" s="10" t="s">
        <v>541</v>
      </c>
    </row>
    <row r="1927" spans="1:30" x14ac:dyDescent="0.2">
      <c r="A1927" s="110">
        <v>1926</v>
      </c>
      <c r="B1927" s="132">
        <v>41856</v>
      </c>
      <c r="C1927" s="117">
        <v>2</v>
      </c>
      <c r="D1927" s="103" t="s">
        <v>70</v>
      </c>
      <c r="E1927" s="103" t="s">
        <v>306</v>
      </c>
      <c r="F1927" s="103">
        <v>515</v>
      </c>
      <c r="G1927" s="103">
        <v>54</v>
      </c>
      <c r="H1927" s="103" t="s">
        <v>3081</v>
      </c>
      <c r="I1927" s="103">
        <v>44</v>
      </c>
      <c r="K1927" s="103" t="s">
        <v>1032</v>
      </c>
      <c r="L1927" s="133"/>
      <c r="M1927" s="134">
        <v>3.3333333333333333E-2</v>
      </c>
      <c r="N1927" s="137" t="s">
        <v>3798</v>
      </c>
      <c r="O1927" s="133" t="s">
        <v>1532</v>
      </c>
      <c r="Q1927" s="100" t="s">
        <v>3991</v>
      </c>
      <c r="R1927" s="226" t="s">
        <v>4026</v>
      </c>
      <c r="S1927" s="491" t="str">
        <f t="shared" si="63"/>
        <v>x</v>
      </c>
      <c r="T1927" s="492">
        <f>IFERROR(VLOOKUP(F1927,'Freq-Chan'!C:D,2,FALSE),"x")</f>
        <v>151.51499999999999</v>
      </c>
      <c r="U1927" s="110" t="s">
        <v>541</v>
      </c>
      <c r="V1927" s="110" t="str">
        <f t="shared" si="64"/>
        <v>FWL</v>
      </c>
      <c r="W1927" s="110" t="s">
        <v>541</v>
      </c>
      <c r="X1927" s="110" t="s">
        <v>541</v>
      </c>
      <c r="Y1927" s="110" t="str">
        <f>IFERROR(VLOOKUP(F1927,'Freq-Chan'!C:E,3,FALSE),"na")</f>
        <v>F1835</v>
      </c>
      <c r="Z1927" s="110" t="s">
        <v>541</v>
      </c>
      <c r="AA1927" s="110" t="s">
        <v>541</v>
      </c>
      <c r="AB1927" s="110" t="s">
        <v>541</v>
      </c>
      <c r="AC1927" s="10" t="s">
        <v>541</v>
      </c>
      <c r="AD1927" s="10" t="s">
        <v>541</v>
      </c>
    </row>
    <row r="1928" spans="1:30" x14ac:dyDescent="0.2">
      <c r="A1928" s="110">
        <v>1927</v>
      </c>
      <c r="B1928" s="132">
        <v>41856</v>
      </c>
      <c r="C1928" s="117">
        <v>2</v>
      </c>
      <c r="D1928" s="103" t="s">
        <v>8</v>
      </c>
      <c r="E1928" s="103" t="s">
        <v>306</v>
      </c>
      <c r="F1928" s="103">
        <v>586</v>
      </c>
      <c r="G1928" s="103">
        <v>6</v>
      </c>
      <c r="H1928" s="103" t="s">
        <v>2211</v>
      </c>
      <c r="I1928" s="103">
        <v>48</v>
      </c>
      <c r="K1928" s="103" t="s">
        <v>364</v>
      </c>
      <c r="L1928" s="133"/>
      <c r="M1928" s="134">
        <v>4.027777777777778E-2</v>
      </c>
      <c r="N1928" s="137" t="s">
        <v>2851</v>
      </c>
      <c r="O1928" s="133" t="s">
        <v>950</v>
      </c>
      <c r="Q1928" s="100" t="s">
        <v>4021</v>
      </c>
      <c r="R1928" s="226" t="s">
        <v>4026</v>
      </c>
      <c r="S1928" s="491" t="str">
        <f t="shared" si="63"/>
        <v>x</v>
      </c>
      <c r="T1928" s="492">
        <f>IFERROR(VLOOKUP(F1928,'Freq-Chan'!C:D,2,FALSE),"x")</f>
        <v>151.58600000000001</v>
      </c>
      <c r="U1928" s="110" t="s">
        <v>541</v>
      </c>
      <c r="V1928" s="110" t="str">
        <f t="shared" si="64"/>
        <v>FWL</v>
      </c>
      <c r="W1928" s="110" t="s">
        <v>541</v>
      </c>
      <c r="X1928" s="110" t="s">
        <v>541</v>
      </c>
      <c r="Y1928" s="110" t="str">
        <f>IFERROR(VLOOKUP(F1928,'Freq-Chan'!C:E,3,FALSE),"na")</f>
        <v>F1840</v>
      </c>
      <c r="Z1928" s="110" t="s">
        <v>541</v>
      </c>
      <c r="AA1928" s="110" t="s">
        <v>541</v>
      </c>
      <c r="AB1928" s="110" t="s">
        <v>541</v>
      </c>
      <c r="AC1928" s="10" t="s">
        <v>541</v>
      </c>
      <c r="AD1928" s="10" t="s">
        <v>541</v>
      </c>
    </row>
    <row r="1929" spans="1:30" x14ac:dyDescent="0.2">
      <c r="A1929" s="110">
        <v>1928</v>
      </c>
      <c r="B1929" s="132">
        <v>41856</v>
      </c>
      <c r="C1929" s="117">
        <v>2</v>
      </c>
      <c r="D1929" s="103" t="s">
        <v>71</v>
      </c>
      <c r="E1929" s="103" t="s">
        <v>306</v>
      </c>
      <c r="H1929" s="103"/>
      <c r="I1929" s="103">
        <v>59</v>
      </c>
      <c r="K1929" s="103" t="s">
        <v>364</v>
      </c>
      <c r="L1929" s="133"/>
      <c r="M1929" s="134">
        <v>2.0833333333333332E-2</v>
      </c>
      <c r="N1929" s="137" t="s">
        <v>882</v>
      </c>
      <c r="O1929" s="133" t="s">
        <v>950</v>
      </c>
      <c r="P1929" s="100" t="s">
        <v>4007</v>
      </c>
      <c r="Q1929" s="100" t="s">
        <v>4021</v>
      </c>
      <c r="R1929" s="226" t="s">
        <v>4026</v>
      </c>
      <c r="S1929" s="491" t="str">
        <f t="shared" si="63"/>
        <v>x</v>
      </c>
      <c r="T1929" s="492" t="str">
        <f>IFERROR(VLOOKUP(F1929,'Freq-Chan'!C:D,2,FALSE),"x")</f>
        <v>x</v>
      </c>
      <c r="U1929" s="110" t="s">
        <v>541</v>
      </c>
      <c r="V1929" s="110" t="str">
        <f t="shared" si="64"/>
        <v>FWL</v>
      </c>
      <c r="W1929" s="110" t="s">
        <v>541</v>
      </c>
      <c r="X1929" s="110" t="s">
        <v>541</v>
      </c>
      <c r="Y1929" s="110" t="str">
        <f>IFERROR(VLOOKUP(F1929,'Freq-Chan'!C:E,3,FALSE),"na")</f>
        <v>na</v>
      </c>
      <c r="Z1929" s="110" t="s">
        <v>541</v>
      </c>
      <c r="AA1929" s="110" t="s">
        <v>541</v>
      </c>
      <c r="AB1929" s="110" t="s">
        <v>541</v>
      </c>
      <c r="AC1929" s="10" t="s">
        <v>541</v>
      </c>
      <c r="AD1929" s="10" t="s">
        <v>541</v>
      </c>
    </row>
    <row r="1930" spans="1:30" x14ac:dyDescent="0.2">
      <c r="A1930" s="110">
        <v>1929</v>
      </c>
      <c r="B1930" s="132">
        <v>41856</v>
      </c>
      <c r="C1930" s="117">
        <v>2</v>
      </c>
      <c r="D1930" s="103" t="s">
        <v>8</v>
      </c>
      <c r="E1930" s="103" t="s">
        <v>306</v>
      </c>
      <c r="F1930" s="103">
        <v>573</v>
      </c>
      <c r="G1930" s="103">
        <v>16</v>
      </c>
      <c r="H1930" s="103" t="s">
        <v>2219</v>
      </c>
      <c r="I1930" s="103">
        <v>57</v>
      </c>
      <c r="K1930" s="103" t="s">
        <v>365</v>
      </c>
      <c r="L1930" s="133"/>
      <c r="M1930" s="134">
        <v>5.5555555555555552E-2</v>
      </c>
      <c r="N1930" s="137" t="s">
        <v>4004</v>
      </c>
      <c r="O1930" s="133" t="s">
        <v>376</v>
      </c>
      <c r="P1930" s="100" t="s">
        <v>4008</v>
      </c>
      <c r="Q1930" s="100" t="s">
        <v>4021</v>
      </c>
      <c r="R1930" s="226" t="s">
        <v>4026</v>
      </c>
      <c r="S1930" s="491" t="str">
        <f t="shared" si="63"/>
        <v>x</v>
      </c>
      <c r="T1930" s="492">
        <f>IFERROR(VLOOKUP(F1930,'Freq-Chan'!C:D,2,FALSE),"x")</f>
        <v>151.57300000000001</v>
      </c>
      <c r="U1930" s="110" t="s">
        <v>541</v>
      </c>
      <c r="V1930" s="110" t="str">
        <f t="shared" si="64"/>
        <v>FWL</v>
      </c>
      <c r="W1930" s="110" t="s">
        <v>541</v>
      </c>
      <c r="X1930" s="110" t="s">
        <v>541</v>
      </c>
      <c r="Y1930" s="110" t="str">
        <f>IFERROR(VLOOKUP(F1930,'Freq-Chan'!C:E,3,FALSE),"na")</f>
        <v>F1840</v>
      </c>
      <c r="Z1930" s="110" t="s">
        <v>541</v>
      </c>
      <c r="AA1930" s="110" t="s">
        <v>541</v>
      </c>
      <c r="AB1930" s="110" t="s">
        <v>541</v>
      </c>
      <c r="AC1930" s="10" t="s">
        <v>541</v>
      </c>
      <c r="AD1930" s="10" t="s">
        <v>541</v>
      </c>
    </row>
    <row r="1931" spans="1:30" x14ac:dyDescent="0.2">
      <c r="A1931" s="110">
        <v>1930</v>
      </c>
      <c r="B1931" s="132">
        <v>41856</v>
      </c>
      <c r="C1931" s="117">
        <v>2</v>
      </c>
      <c r="D1931" s="103" t="s">
        <v>71</v>
      </c>
      <c r="E1931" s="103" t="s">
        <v>306</v>
      </c>
      <c r="H1931" s="103"/>
      <c r="I1931" s="103">
        <v>64</v>
      </c>
      <c r="K1931" s="103" t="s">
        <v>364</v>
      </c>
      <c r="L1931" s="133"/>
      <c r="M1931" s="134">
        <v>2.9861111111111113E-2</v>
      </c>
      <c r="N1931" s="137" t="s">
        <v>3252</v>
      </c>
      <c r="O1931" s="133" t="s">
        <v>950</v>
      </c>
      <c r="Q1931" s="100" t="s">
        <v>4021</v>
      </c>
      <c r="R1931" s="226" t="s">
        <v>4026</v>
      </c>
      <c r="S1931" s="491" t="str">
        <f t="shared" si="63"/>
        <v>x</v>
      </c>
      <c r="T1931" s="492" t="str">
        <f>IFERROR(VLOOKUP(F1931,'Freq-Chan'!C:D,2,FALSE),"x")</f>
        <v>x</v>
      </c>
      <c r="U1931" s="110" t="s">
        <v>541</v>
      </c>
      <c r="V1931" s="110" t="str">
        <f t="shared" si="64"/>
        <v>FWL</v>
      </c>
      <c r="W1931" s="110" t="s">
        <v>541</v>
      </c>
      <c r="X1931" s="110" t="s">
        <v>541</v>
      </c>
      <c r="Y1931" s="110" t="str">
        <f>IFERROR(VLOOKUP(F1931,'Freq-Chan'!C:E,3,FALSE),"na")</f>
        <v>na</v>
      </c>
      <c r="Z1931" s="110" t="s">
        <v>541</v>
      </c>
      <c r="AA1931" s="110" t="s">
        <v>541</v>
      </c>
      <c r="AB1931" s="110" t="s">
        <v>541</v>
      </c>
      <c r="AC1931" s="10" t="s">
        <v>541</v>
      </c>
      <c r="AD1931" s="10" t="s">
        <v>541</v>
      </c>
    </row>
    <row r="1932" spans="1:30" s="291" customFormat="1" x14ac:dyDescent="0.2">
      <c r="A1932" s="493">
        <v>1931</v>
      </c>
      <c r="B1932" s="283">
        <v>41856</v>
      </c>
      <c r="C1932" s="284">
        <v>2</v>
      </c>
      <c r="D1932" s="285" t="s">
        <v>71</v>
      </c>
      <c r="E1932" s="285" t="s">
        <v>306</v>
      </c>
      <c r="F1932" s="285"/>
      <c r="G1932" s="285"/>
      <c r="H1932" s="285"/>
      <c r="I1932" s="285">
        <v>66</v>
      </c>
      <c r="J1932" s="285"/>
      <c r="K1932" s="285" t="s">
        <v>1032</v>
      </c>
      <c r="L1932" s="286"/>
      <c r="M1932" s="287">
        <v>2.013888888888889E-2</v>
      </c>
      <c r="N1932" s="339" t="s">
        <v>2538</v>
      </c>
      <c r="O1932" s="286" t="s">
        <v>376</v>
      </c>
      <c r="P1932" s="289"/>
      <c r="Q1932" s="289" t="s">
        <v>4021</v>
      </c>
      <c r="R1932" s="290" t="s">
        <v>4026</v>
      </c>
      <c r="S1932" s="494" t="str">
        <f t="shared" si="63"/>
        <v>x</v>
      </c>
      <c r="T1932" s="495" t="str">
        <f>IFERROR(VLOOKUP(F1932,'Freq-Chan'!C:D,2,FALSE),"x")</f>
        <v>x</v>
      </c>
      <c r="U1932" s="493" t="s">
        <v>541</v>
      </c>
      <c r="V1932" s="493" t="str">
        <f t="shared" si="64"/>
        <v>FWL</v>
      </c>
      <c r="W1932" s="493" t="s">
        <v>541</v>
      </c>
      <c r="X1932" s="493" t="s">
        <v>541</v>
      </c>
      <c r="Y1932" s="493" t="str">
        <f>IFERROR(VLOOKUP(F1932,'Freq-Chan'!C:E,3,FALSE),"na")</f>
        <v>na</v>
      </c>
      <c r="Z1932" s="493" t="s">
        <v>541</v>
      </c>
      <c r="AA1932" s="493" t="s">
        <v>541</v>
      </c>
      <c r="AB1932" s="493" t="s">
        <v>541</v>
      </c>
      <c r="AC1932" s="291" t="s">
        <v>541</v>
      </c>
      <c r="AD1932" s="291" t="s">
        <v>541</v>
      </c>
    </row>
    <row r="1933" spans="1:30" x14ac:dyDescent="0.2">
      <c r="A1933" s="110">
        <v>1932</v>
      </c>
      <c r="B1933" s="132">
        <v>41856</v>
      </c>
      <c r="C1933" s="117">
        <v>3</v>
      </c>
      <c r="D1933" s="103" t="s">
        <v>70</v>
      </c>
      <c r="E1933" s="103" t="s">
        <v>306</v>
      </c>
      <c r="F1933" s="103">
        <v>515</v>
      </c>
      <c r="G1933" s="103">
        <v>10</v>
      </c>
      <c r="H1933" s="103" t="s">
        <v>3066</v>
      </c>
      <c r="I1933" s="103">
        <v>50</v>
      </c>
      <c r="K1933" s="103" t="s">
        <v>1032</v>
      </c>
      <c r="L1933" s="133"/>
      <c r="M1933" s="134">
        <v>4.3750000000000004E-2</v>
      </c>
      <c r="N1933" s="137" t="s">
        <v>4009</v>
      </c>
      <c r="O1933" s="133" t="s">
        <v>376</v>
      </c>
      <c r="Q1933" s="100" t="s">
        <v>4021</v>
      </c>
      <c r="R1933" s="226" t="s">
        <v>4026</v>
      </c>
      <c r="S1933" s="491" t="str">
        <f t="shared" si="63"/>
        <v>x</v>
      </c>
      <c r="T1933" s="492">
        <f>IFERROR(VLOOKUP(F1933,'Freq-Chan'!C:D,2,FALSE),"x")</f>
        <v>151.51499999999999</v>
      </c>
      <c r="U1933" s="110" t="s">
        <v>541</v>
      </c>
      <c r="V1933" s="110" t="str">
        <f t="shared" si="64"/>
        <v>FWL</v>
      </c>
      <c r="W1933" s="110" t="s">
        <v>541</v>
      </c>
      <c r="X1933" s="110" t="s">
        <v>541</v>
      </c>
      <c r="Y1933" s="110" t="str">
        <f>IFERROR(VLOOKUP(F1933,'Freq-Chan'!C:E,3,FALSE),"na")</f>
        <v>F1835</v>
      </c>
      <c r="Z1933" s="110" t="s">
        <v>541</v>
      </c>
      <c r="AA1933" s="110" t="s">
        <v>541</v>
      </c>
      <c r="AB1933" s="110" t="s">
        <v>541</v>
      </c>
      <c r="AC1933" s="10" t="s">
        <v>541</v>
      </c>
      <c r="AD1933" s="10" t="s">
        <v>541</v>
      </c>
    </row>
    <row r="1934" spans="1:30" x14ac:dyDescent="0.2">
      <c r="A1934" s="110">
        <v>1933</v>
      </c>
      <c r="B1934" s="132">
        <v>41856</v>
      </c>
      <c r="C1934" s="117">
        <v>3</v>
      </c>
      <c r="D1934" s="103" t="s">
        <v>70</v>
      </c>
      <c r="E1934" s="103" t="s">
        <v>306</v>
      </c>
      <c r="F1934" s="103">
        <v>596</v>
      </c>
      <c r="G1934" s="103">
        <v>1</v>
      </c>
      <c r="H1934" s="103" t="s">
        <v>3067</v>
      </c>
      <c r="I1934" s="103">
        <v>48</v>
      </c>
      <c r="K1934" s="103" t="s">
        <v>1032</v>
      </c>
      <c r="L1934" s="133"/>
      <c r="M1934" s="134">
        <v>4.7222222222222221E-2</v>
      </c>
      <c r="N1934" s="137" t="s">
        <v>4010</v>
      </c>
      <c r="O1934" s="133" t="s">
        <v>376</v>
      </c>
      <c r="Q1934" s="100" t="s">
        <v>4021</v>
      </c>
      <c r="R1934" s="226" t="s">
        <v>4026</v>
      </c>
      <c r="S1934" s="491" t="str">
        <f t="shared" si="63"/>
        <v>x</v>
      </c>
      <c r="T1934" s="492">
        <f>IFERROR(VLOOKUP(F1934,'Freq-Chan'!C:D,2,FALSE),"x")</f>
        <v>151.596</v>
      </c>
      <c r="U1934" s="110" t="s">
        <v>541</v>
      </c>
      <c r="V1934" s="110" t="str">
        <f t="shared" si="64"/>
        <v>FWL</v>
      </c>
      <c r="W1934" s="110" t="s">
        <v>541</v>
      </c>
      <c r="X1934" s="110" t="s">
        <v>541</v>
      </c>
      <c r="Y1934" s="110" t="str">
        <f>IFERROR(VLOOKUP(F1934,'Freq-Chan'!C:E,3,FALSE),"na")</f>
        <v>F1835</v>
      </c>
      <c r="Z1934" s="110" t="s">
        <v>541</v>
      </c>
      <c r="AA1934" s="110" t="s">
        <v>541</v>
      </c>
      <c r="AB1934" s="110" t="s">
        <v>541</v>
      </c>
      <c r="AC1934" s="10" t="s">
        <v>541</v>
      </c>
      <c r="AD1934" s="10" t="s">
        <v>541</v>
      </c>
    </row>
    <row r="1935" spans="1:30" x14ac:dyDescent="0.2">
      <c r="A1935" s="110">
        <v>1934</v>
      </c>
      <c r="B1935" s="132">
        <v>41856</v>
      </c>
      <c r="C1935" s="117">
        <v>3</v>
      </c>
      <c r="D1935" s="103" t="s">
        <v>71</v>
      </c>
      <c r="E1935" s="103" t="s">
        <v>306</v>
      </c>
      <c r="F1935" s="103">
        <v>534</v>
      </c>
      <c r="G1935" s="103">
        <v>41</v>
      </c>
      <c r="H1935" s="103" t="s">
        <v>2368</v>
      </c>
      <c r="I1935" s="103">
        <v>62</v>
      </c>
      <c r="K1935" s="103" t="s">
        <v>365</v>
      </c>
      <c r="L1935" s="133"/>
      <c r="M1935" s="134">
        <v>4.0972222222222222E-2</v>
      </c>
      <c r="N1935" s="137" t="s">
        <v>3898</v>
      </c>
      <c r="O1935" s="133" t="s">
        <v>376</v>
      </c>
      <c r="Q1935" s="100" t="s">
        <v>4021</v>
      </c>
      <c r="R1935" s="226" t="s">
        <v>4026</v>
      </c>
      <c r="S1935" s="491" t="str">
        <f t="shared" si="63"/>
        <v>x</v>
      </c>
      <c r="T1935" s="492">
        <f>IFERROR(VLOOKUP(F1935,'Freq-Chan'!C:D,2,FALSE),"x")</f>
        <v>151.53399999999999</v>
      </c>
      <c r="U1935" s="110" t="s">
        <v>541</v>
      </c>
      <c r="V1935" s="110" t="str">
        <f t="shared" si="64"/>
        <v>FWL</v>
      </c>
      <c r="W1935" s="110" t="s">
        <v>541</v>
      </c>
      <c r="X1935" s="110" t="s">
        <v>541</v>
      </c>
      <c r="Y1935" s="110" t="str">
        <f>IFERROR(VLOOKUP(F1935,'Freq-Chan'!C:E,3,FALSE),"na")</f>
        <v>F1840</v>
      </c>
      <c r="Z1935" s="110" t="s">
        <v>541</v>
      </c>
      <c r="AA1935" s="110" t="s">
        <v>541</v>
      </c>
      <c r="AB1935" s="110" t="s">
        <v>541</v>
      </c>
      <c r="AC1935" s="10" t="s">
        <v>541</v>
      </c>
      <c r="AD1935" s="10" t="s">
        <v>541</v>
      </c>
    </row>
    <row r="1936" spans="1:30" x14ac:dyDescent="0.2">
      <c r="A1936" s="110">
        <v>1935</v>
      </c>
      <c r="B1936" s="132">
        <v>41856</v>
      </c>
      <c r="C1936" s="117">
        <v>3</v>
      </c>
      <c r="D1936" s="103" t="s">
        <v>70</v>
      </c>
      <c r="E1936" s="103" t="s">
        <v>306</v>
      </c>
      <c r="H1936" s="103"/>
      <c r="I1936" s="103">
        <v>47</v>
      </c>
      <c r="K1936" s="103" t="s">
        <v>365</v>
      </c>
      <c r="L1936" s="133"/>
      <c r="M1936" s="134">
        <v>1.9444444444444445E-2</v>
      </c>
      <c r="N1936" s="137" t="s">
        <v>3863</v>
      </c>
      <c r="O1936" s="133" t="s">
        <v>376</v>
      </c>
      <c r="Q1936" s="100" t="s">
        <v>4021</v>
      </c>
      <c r="R1936" s="226" t="s">
        <v>4026</v>
      </c>
      <c r="S1936" s="491" t="str">
        <f t="shared" si="63"/>
        <v>x</v>
      </c>
      <c r="T1936" s="492" t="str">
        <f>IFERROR(VLOOKUP(F1936,'Freq-Chan'!C:D,2,FALSE),"x")</f>
        <v>x</v>
      </c>
      <c r="U1936" s="110" t="s">
        <v>541</v>
      </c>
      <c r="V1936" s="110" t="str">
        <f t="shared" si="64"/>
        <v>FWL</v>
      </c>
      <c r="W1936" s="110" t="s">
        <v>541</v>
      </c>
      <c r="X1936" s="110" t="s">
        <v>541</v>
      </c>
      <c r="Y1936" s="110" t="str">
        <f>IFERROR(VLOOKUP(F1936,'Freq-Chan'!C:E,3,FALSE),"na")</f>
        <v>na</v>
      </c>
      <c r="Z1936" s="110" t="s">
        <v>541</v>
      </c>
      <c r="AA1936" s="110" t="s">
        <v>541</v>
      </c>
      <c r="AB1936" s="110" t="s">
        <v>541</v>
      </c>
      <c r="AC1936" s="10" t="s">
        <v>541</v>
      </c>
      <c r="AD1936" s="10" t="s">
        <v>541</v>
      </c>
    </row>
    <row r="1937" spans="1:30" x14ac:dyDescent="0.2">
      <c r="A1937" s="110">
        <v>1936</v>
      </c>
      <c r="B1937" s="132">
        <v>41856</v>
      </c>
      <c r="C1937" s="117">
        <v>3</v>
      </c>
      <c r="D1937" s="103" t="s">
        <v>70</v>
      </c>
      <c r="E1937" s="103" t="s">
        <v>306</v>
      </c>
      <c r="H1937" s="103"/>
      <c r="I1937" s="103">
        <v>45</v>
      </c>
      <c r="K1937" s="103" t="s">
        <v>364</v>
      </c>
      <c r="L1937" s="133"/>
      <c r="M1937" s="134">
        <v>1.5972222222222224E-2</v>
      </c>
      <c r="N1937" s="137" t="s">
        <v>3899</v>
      </c>
      <c r="O1937" s="133" t="s">
        <v>950</v>
      </c>
      <c r="Q1937" s="100" t="s">
        <v>4021</v>
      </c>
      <c r="R1937" s="226" t="s">
        <v>4026</v>
      </c>
      <c r="S1937" s="491" t="str">
        <f t="shared" si="63"/>
        <v>x</v>
      </c>
      <c r="T1937" s="492" t="str">
        <f>IFERROR(VLOOKUP(F1937,'Freq-Chan'!C:D,2,FALSE),"x")</f>
        <v>x</v>
      </c>
      <c r="U1937" s="110" t="s">
        <v>541</v>
      </c>
      <c r="V1937" s="110" t="str">
        <f t="shared" si="64"/>
        <v>FWL</v>
      </c>
      <c r="W1937" s="110" t="s">
        <v>541</v>
      </c>
      <c r="X1937" s="110" t="s">
        <v>541</v>
      </c>
      <c r="Y1937" s="110" t="str">
        <f>IFERROR(VLOOKUP(F1937,'Freq-Chan'!C:E,3,FALSE),"na")</f>
        <v>na</v>
      </c>
      <c r="Z1937" s="110" t="s">
        <v>541</v>
      </c>
      <c r="AA1937" s="110" t="s">
        <v>541</v>
      </c>
      <c r="AB1937" s="110" t="s">
        <v>541</v>
      </c>
      <c r="AC1937" s="10" t="s">
        <v>541</v>
      </c>
      <c r="AD1937" s="10" t="s">
        <v>541</v>
      </c>
    </row>
    <row r="1938" spans="1:30" x14ac:dyDescent="0.2">
      <c r="A1938" s="110">
        <v>1937</v>
      </c>
      <c r="B1938" s="132">
        <v>41856</v>
      </c>
      <c r="C1938" s="117">
        <v>3</v>
      </c>
      <c r="D1938" s="103" t="s">
        <v>70</v>
      </c>
      <c r="E1938" s="103" t="s">
        <v>306</v>
      </c>
      <c r="H1938" s="103"/>
      <c r="I1938" s="103">
        <v>48</v>
      </c>
      <c r="K1938" s="103" t="s">
        <v>365</v>
      </c>
      <c r="L1938" s="133"/>
      <c r="M1938" s="134">
        <v>1.6666666666666666E-2</v>
      </c>
      <c r="N1938" s="137" t="s">
        <v>4011</v>
      </c>
      <c r="O1938" s="133" t="s">
        <v>950</v>
      </c>
      <c r="Q1938" s="100" t="s">
        <v>4021</v>
      </c>
      <c r="R1938" s="226" t="s">
        <v>4026</v>
      </c>
      <c r="S1938" s="491" t="str">
        <f t="shared" si="63"/>
        <v>x</v>
      </c>
      <c r="T1938" s="492" t="str">
        <f>IFERROR(VLOOKUP(F1938,'Freq-Chan'!C:D,2,FALSE),"x")</f>
        <v>x</v>
      </c>
      <c r="U1938" s="110" t="s">
        <v>541</v>
      </c>
      <c r="V1938" s="110" t="str">
        <f t="shared" si="64"/>
        <v>FWL</v>
      </c>
      <c r="W1938" s="110" t="s">
        <v>541</v>
      </c>
      <c r="X1938" s="110" t="s">
        <v>541</v>
      </c>
      <c r="Y1938" s="110" t="str">
        <f>IFERROR(VLOOKUP(F1938,'Freq-Chan'!C:E,3,FALSE),"na")</f>
        <v>na</v>
      </c>
      <c r="Z1938" s="110" t="s">
        <v>541</v>
      </c>
      <c r="AA1938" s="110" t="s">
        <v>541</v>
      </c>
      <c r="AB1938" s="110" t="s">
        <v>541</v>
      </c>
      <c r="AC1938" s="10" t="s">
        <v>541</v>
      </c>
      <c r="AD1938" s="10" t="s">
        <v>541</v>
      </c>
    </row>
    <row r="1939" spans="1:30" x14ac:dyDescent="0.2">
      <c r="A1939" s="110">
        <v>1938</v>
      </c>
      <c r="B1939" s="132">
        <v>41856</v>
      </c>
      <c r="C1939" s="117">
        <v>3</v>
      </c>
      <c r="D1939" s="103" t="s">
        <v>70</v>
      </c>
      <c r="E1939" s="103" t="s">
        <v>306</v>
      </c>
      <c r="H1939" s="103"/>
      <c r="I1939" s="103">
        <v>50</v>
      </c>
      <c r="K1939" s="103" t="s">
        <v>1032</v>
      </c>
      <c r="L1939" s="133"/>
      <c r="M1939" s="134">
        <v>1.6666666666666666E-2</v>
      </c>
      <c r="N1939" s="137" t="s">
        <v>3864</v>
      </c>
      <c r="O1939" s="133" t="s">
        <v>950</v>
      </c>
      <c r="Q1939" s="100" t="s">
        <v>4021</v>
      </c>
      <c r="R1939" s="226" t="s">
        <v>4026</v>
      </c>
      <c r="S1939" s="491" t="str">
        <f t="shared" si="63"/>
        <v>x</v>
      </c>
      <c r="T1939" s="492" t="str">
        <f>IFERROR(VLOOKUP(F1939,'Freq-Chan'!C:D,2,FALSE),"x")</f>
        <v>x</v>
      </c>
      <c r="U1939" s="110" t="s">
        <v>541</v>
      </c>
      <c r="V1939" s="110" t="str">
        <f t="shared" si="64"/>
        <v>FWL</v>
      </c>
      <c r="W1939" s="110" t="s">
        <v>541</v>
      </c>
      <c r="X1939" s="110" t="s">
        <v>541</v>
      </c>
      <c r="Y1939" s="110" t="str">
        <f>IFERROR(VLOOKUP(F1939,'Freq-Chan'!C:E,3,FALSE),"na")</f>
        <v>na</v>
      </c>
      <c r="Z1939" s="110" t="s">
        <v>541</v>
      </c>
      <c r="AA1939" s="110" t="s">
        <v>541</v>
      </c>
      <c r="AB1939" s="110" t="s">
        <v>541</v>
      </c>
      <c r="AC1939" s="10" t="s">
        <v>541</v>
      </c>
      <c r="AD1939" s="10" t="s">
        <v>541</v>
      </c>
    </row>
    <row r="1940" spans="1:30" x14ac:dyDescent="0.2">
      <c r="A1940" s="110">
        <v>1939</v>
      </c>
      <c r="B1940" s="132">
        <v>41856</v>
      </c>
      <c r="C1940" s="117">
        <v>3</v>
      </c>
      <c r="D1940" s="103" t="s">
        <v>70</v>
      </c>
      <c r="E1940" s="103" t="s">
        <v>306</v>
      </c>
      <c r="H1940" s="103"/>
      <c r="I1940" s="103">
        <v>46</v>
      </c>
      <c r="K1940" s="103" t="s">
        <v>365</v>
      </c>
      <c r="L1940" s="133"/>
      <c r="M1940" s="134">
        <v>1.3194444444444444E-2</v>
      </c>
      <c r="N1940" s="137" t="s">
        <v>3865</v>
      </c>
      <c r="O1940" s="133" t="s">
        <v>950</v>
      </c>
      <c r="Q1940" s="100" t="s">
        <v>4021</v>
      </c>
      <c r="R1940" s="226" t="s">
        <v>4026</v>
      </c>
      <c r="S1940" s="491" t="str">
        <f t="shared" si="63"/>
        <v>x</v>
      </c>
      <c r="T1940" s="492" t="str">
        <f>IFERROR(VLOOKUP(F1940,'Freq-Chan'!C:D,2,FALSE),"x")</f>
        <v>x</v>
      </c>
      <c r="U1940" s="110" t="s">
        <v>541</v>
      </c>
      <c r="V1940" s="110" t="str">
        <f t="shared" si="64"/>
        <v>FWL</v>
      </c>
      <c r="W1940" s="110" t="s">
        <v>541</v>
      </c>
      <c r="X1940" s="110" t="s">
        <v>541</v>
      </c>
      <c r="Y1940" s="110" t="str">
        <f>IFERROR(VLOOKUP(F1940,'Freq-Chan'!C:E,3,FALSE),"na")</f>
        <v>na</v>
      </c>
      <c r="Z1940" s="110" t="s">
        <v>541</v>
      </c>
      <c r="AA1940" s="110" t="s">
        <v>541</v>
      </c>
      <c r="AB1940" s="110" t="s">
        <v>541</v>
      </c>
      <c r="AC1940" s="10" t="s">
        <v>541</v>
      </c>
      <c r="AD1940" s="10" t="s">
        <v>541</v>
      </c>
    </row>
    <row r="1941" spans="1:30" x14ac:dyDescent="0.2">
      <c r="A1941" s="110">
        <v>1940</v>
      </c>
      <c r="B1941" s="132">
        <v>41856</v>
      </c>
      <c r="C1941" s="117">
        <v>3</v>
      </c>
      <c r="D1941" s="103" t="s">
        <v>70</v>
      </c>
      <c r="E1941" s="103" t="s">
        <v>306</v>
      </c>
      <c r="H1941" s="103"/>
      <c r="I1941" s="103">
        <v>45</v>
      </c>
      <c r="K1941" s="103" t="s">
        <v>365</v>
      </c>
      <c r="L1941" s="133"/>
      <c r="M1941" s="134">
        <v>1.3888888888888888E-2</v>
      </c>
      <c r="N1941" s="137" t="s">
        <v>4012</v>
      </c>
      <c r="O1941" s="133" t="s">
        <v>950</v>
      </c>
      <c r="Q1941" s="100" t="s">
        <v>4021</v>
      </c>
      <c r="R1941" s="226" t="s">
        <v>4026</v>
      </c>
      <c r="S1941" s="491" t="str">
        <f t="shared" si="63"/>
        <v>x</v>
      </c>
      <c r="T1941" s="492" t="str">
        <f>IFERROR(VLOOKUP(F1941,'Freq-Chan'!C:D,2,FALSE),"x")</f>
        <v>x</v>
      </c>
      <c r="U1941" s="110" t="s">
        <v>541</v>
      </c>
      <c r="V1941" s="110" t="str">
        <f t="shared" si="64"/>
        <v>FWL</v>
      </c>
      <c r="W1941" s="110" t="s">
        <v>541</v>
      </c>
      <c r="X1941" s="110" t="s">
        <v>541</v>
      </c>
      <c r="Y1941" s="110" t="str">
        <f>IFERROR(VLOOKUP(F1941,'Freq-Chan'!C:E,3,FALSE),"na")</f>
        <v>na</v>
      </c>
      <c r="Z1941" s="110" t="s">
        <v>541</v>
      </c>
      <c r="AA1941" s="110" t="s">
        <v>541</v>
      </c>
      <c r="AB1941" s="110" t="s">
        <v>541</v>
      </c>
      <c r="AC1941" s="10" t="s">
        <v>541</v>
      </c>
      <c r="AD1941" s="10" t="s">
        <v>541</v>
      </c>
    </row>
    <row r="1942" spans="1:30" x14ac:dyDescent="0.2">
      <c r="A1942" s="110">
        <v>1941</v>
      </c>
      <c r="B1942" s="132">
        <v>41856</v>
      </c>
      <c r="C1942" s="117">
        <v>3</v>
      </c>
      <c r="D1942" s="103" t="s">
        <v>70</v>
      </c>
      <c r="E1942" s="103" t="s">
        <v>306</v>
      </c>
      <c r="H1942" s="103"/>
      <c r="I1942" s="103">
        <v>46</v>
      </c>
      <c r="K1942" s="103" t="s">
        <v>365</v>
      </c>
      <c r="L1942" s="133"/>
      <c r="M1942" s="134">
        <v>1.4583333333333332E-2</v>
      </c>
      <c r="N1942" s="137" t="s">
        <v>3868</v>
      </c>
      <c r="O1942" s="133" t="s">
        <v>950</v>
      </c>
      <c r="Q1942" s="100" t="s">
        <v>4021</v>
      </c>
      <c r="R1942" s="226" t="s">
        <v>4026</v>
      </c>
      <c r="S1942" s="491" t="str">
        <f t="shared" si="63"/>
        <v>x</v>
      </c>
      <c r="T1942" s="492" t="str">
        <f>IFERROR(VLOOKUP(F1942,'Freq-Chan'!C:D,2,FALSE),"x")</f>
        <v>x</v>
      </c>
      <c r="U1942" s="110" t="s">
        <v>541</v>
      </c>
      <c r="V1942" s="110" t="str">
        <f t="shared" si="64"/>
        <v>FWL</v>
      </c>
      <c r="W1942" s="110" t="s">
        <v>541</v>
      </c>
      <c r="X1942" s="110" t="s">
        <v>541</v>
      </c>
      <c r="Y1942" s="110" t="str">
        <f>IFERROR(VLOOKUP(F1942,'Freq-Chan'!C:E,3,FALSE),"na")</f>
        <v>na</v>
      </c>
      <c r="Z1942" s="110" t="s">
        <v>541</v>
      </c>
      <c r="AA1942" s="110" t="s">
        <v>541</v>
      </c>
      <c r="AB1942" s="110" t="s">
        <v>541</v>
      </c>
      <c r="AC1942" s="10" t="s">
        <v>541</v>
      </c>
      <c r="AD1942" s="10" t="s">
        <v>541</v>
      </c>
    </row>
    <row r="1943" spans="1:30" x14ac:dyDescent="0.2">
      <c r="A1943" s="110">
        <v>1942</v>
      </c>
      <c r="B1943" s="132">
        <v>41856</v>
      </c>
      <c r="C1943" s="117">
        <v>3</v>
      </c>
      <c r="D1943" s="103" t="s">
        <v>70</v>
      </c>
      <c r="E1943" s="103" t="s">
        <v>306</v>
      </c>
      <c r="H1943" s="103"/>
      <c r="I1943" s="103">
        <v>46</v>
      </c>
      <c r="K1943" s="103" t="s">
        <v>365</v>
      </c>
      <c r="L1943" s="133"/>
      <c r="M1943" s="134">
        <v>1.5972222222222224E-2</v>
      </c>
      <c r="N1943" s="137" t="s">
        <v>4012</v>
      </c>
      <c r="O1943" s="133" t="s">
        <v>950</v>
      </c>
      <c r="Q1943" s="100" t="s">
        <v>4021</v>
      </c>
      <c r="R1943" s="226" t="s">
        <v>4026</v>
      </c>
      <c r="S1943" s="491" t="str">
        <f t="shared" si="63"/>
        <v>x</v>
      </c>
      <c r="T1943" s="492" t="str">
        <f>IFERROR(VLOOKUP(F1943,'Freq-Chan'!C:D,2,FALSE),"x")</f>
        <v>x</v>
      </c>
      <c r="U1943" s="110" t="s">
        <v>541</v>
      </c>
      <c r="V1943" s="110" t="str">
        <f t="shared" si="64"/>
        <v>FWL</v>
      </c>
      <c r="W1943" s="110" t="s">
        <v>541</v>
      </c>
      <c r="X1943" s="110" t="s">
        <v>541</v>
      </c>
      <c r="Y1943" s="110" t="str">
        <f>IFERROR(VLOOKUP(F1943,'Freq-Chan'!C:E,3,FALSE),"na")</f>
        <v>na</v>
      </c>
      <c r="Z1943" s="110" t="s">
        <v>541</v>
      </c>
      <c r="AA1943" s="110" t="s">
        <v>541</v>
      </c>
      <c r="AB1943" s="110" t="s">
        <v>541</v>
      </c>
      <c r="AC1943" s="10" t="s">
        <v>541</v>
      </c>
      <c r="AD1943" s="10" t="s">
        <v>541</v>
      </c>
    </row>
    <row r="1944" spans="1:30" x14ac:dyDescent="0.2">
      <c r="A1944" s="110">
        <v>1943</v>
      </c>
      <c r="B1944" s="132">
        <v>41856</v>
      </c>
      <c r="C1944" s="117">
        <v>3</v>
      </c>
      <c r="D1944" s="103" t="s">
        <v>70</v>
      </c>
      <c r="E1944" s="103" t="s">
        <v>306</v>
      </c>
      <c r="H1944" s="103"/>
      <c r="I1944" s="103">
        <v>46</v>
      </c>
      <c r="K1944" s="103" t="s">
        <v>365</v>
      </c>
      <c r="L1944" s="133"/>
      <c r="M1944" s="134">
        <v>1.6666666666666666E-2</v>
      </c>
      <c r="N1944" s="137" t="s">
        <v>3870</v>
      </c>
      <c r="O1944" s="133" t="s">
        <v>950</v>
      </c>
      <c r="Q1944" s="100" t="s">
        <v>4021</v>
      </c>
      <c r="R1944" s="226" t="s">
        <v>4026</v>
      </c>
      <c r="S1944" s="491" t="str">
        <f t="shared" si="63"/>
        <v>x</v>
      </c>
      <c r="T1944" s="492" t="str">
        <f>IFERROR(VLOOKUP(F1944,'Freq-Chan'!C:D,2,FALSE),"x")</f>
        <v>x</v>
      </c>
      <c r="U1944" s="110" t="s">
        <v>541</v>
      </c>
      <c r="V1944" s="110" t="str">
        <f t="shared" si="64"/>
        <v>FWL</v>
      </c>
      <c r="W1944" s="110" t="s">
        <v>541</v>
      </c>
      <c r="X1944" s="110" t="s">
        <v>541</v>
      </c>
      <c r="Y1944" s="110" t="str">
        <f>IFERROR(VLOOKUP(F1944,'Freq-Chan'!C:E,3,FALSE),"na")</f>
        <v>na</v>
      </c>
      <c r="Z1944" s="110" t="s">
        <v>541</v>
      </c>
      <c r="AA1944" s="110" t="s">
        <v>541</v>
      </c>
      <c r="AB1944" s="110" t="s">
        <v>541</v>
      </c>
      <c r="AC1944" s="10" t="s">
        <v>541</v>
      </c>
      <c r="AD1944" s="10" t="s">
        <v>541</v>
      </c>
    </row>
    <row r="1945" spans="1:30" x14ac:dyDescent="0.2">
      <c r="A1945" s="110">
        <v>1944</v>
      </c>
      <c r="B1945" s="132">
        <v>41856</v>
      </c>
      <c r="C1945" s="117">
        <v>3</v>
      </c>
      <c r="D1945" s="103" t="s">
        <v>71</v>
      </c>
      <c r="E1945" s="103" t="s">
        <v>306</v>
      </c>
      <c r="F1945" s="103">
        <v>564</v>
      </c>
      <c r="G1945" s="103">
        <v>56</v>
      </c>
      <c r="H1945" s="103" t="s">
        <v>2376</v>
      </c>
      <c r="I1945" s="103">
        <v>52</v>
      </c>
      <c r="K1945" s="103" t="s">
        <v>364</v>
      </c>
      <c r="L1945" s="133"/>
      <c r="M1945" s="134">
        <v>5.7638888888888885E-2</v>
      </c>
      <c r="N1945" s="135" t="s">
        <v>3873</v>
      </c>
      <c r="O1945" s="133" t="s">
        <v>950</v>
      </c>
      <c r="Q1945" s="100" t="s">
        <v>4021</v>
      </c>
      <c r="R1945" s="226" t="s">
        <v>4026</v>
      </c>
      <c r="S1945" s="491" t="str">
        <f t="shared" si="63"/>
        <v>x</v>
      </c>
      <c r="T1945" s="492">
        <f>IFERROR(VLOOKUP(F1945,'Freq-Chan'!C:D,2,FALSE),"x")</f>
        <v>151.56399999999999</v>
      </c>
      <c r="U1945" s="110" t="s">
        <v>541</v>
      </c>
      <c r="V1945" s="110" t="str">
        <f t="shared" si="64"/>
        <v>FWL</v>
      </c>
      <c r="W1945" s="110" t="s">
        <v>541</v>
      </c>
      <c r="X1945" s="110" t="s">
        <v>541</v>
      </c>
      <c r="Y1945" s="110" t="str">
        <f>IFERROR(VLOOKUP(F1945,'Freq-Chan'!C:E,3,FALSE),"na")</f>
        <v>F1840</v>
      </c>
      <c r="Z1945" s="110" t="s">
        <v>541</v>
      </c>
      <c r="AA1945" s="110" t="s">
        <v>541</v>
      </c>
      <c r="AB1945" s="110" t="s">
        <v>541</v>
      </c>
      <c r="AC1945" s="10" t="s">
        <v>541</v>
      </c>
      <c r="AD1945" s="10" t="s">
        <v>541</v>
      </c>
    </row>
    <row r="1946" spans="1:30" x14ac:dyDescent="0.2">
      <c r="A1946" s="110">
        <v>1945</v>
      </c>
      <c r="B1946" s="132">
        <v>41856</v>
      </c>
      <c r="C1946" s="117">
        <v>3</v>
      </c>
      <c r="D1946" s="103" t="s">
        <v>70</v>
      </c>
      <c r="E1946" s="103" t="s">
        <v>306</v>
      </c>
      <c r="H1946" s="103"/>
      <c r="I1946" s="103">
        <v>46</v>
      </c>
      <c r="K1946" s="103" t="s">
        <v>1032</v>
      </c>
      <c r="L1946" s="133"/>
      <c r="M1946" s="134">
        <v>1.5277777777777777E-2</v>
      </c>
      <c r="N1946" s="137" t="s">
        <v>3875</v>
      </c>
      <c r="O1946" s="133" t="s">
        <v>950</v>
      </c>
      <c r="Q1946" s="100" t="s">
        <v>4021</v>
      </c>
      <c r="R1946" s="226" t="s">
        <v>4026</v>
      </c>
      <c r="S1946" s="491" t="str">
        <f t="shared" si="63"/>
        <v>x</v>
      </c>
      <c r="T1946" s="492" t="str">
        <f>IFERROR(VLOOKUP(F1946,'Freq-Chan'!C:D,2,FALSE),"x")</f>
        <v>x</v>
      </c>
      <c r="U1946" s="110" t="s">
        <v>541</v>
      </c>
      <c r="V1946" s="110" t="str">
        <f t="shared" si="64"/>
        <v>FWL</v>
      </c>
      <c r="W1946" s="110" t="s">
        <v>541</v>
      </c>
      <c r="X1946" s="110" t="s">
        <v>541</v>
      </c>
      <c r="Y1946" s="110" t="str">
        <f>IFERROR(VLOOKUP(F1946,'Freq-Chan'!C:E,3,FALSE),"na")</f>
        <v>na</v>
      </c>
      <c r="Z1946" s="110" t="s">
        <v>541</v>
      </c>
      <c r="AA1946" s="110" t="s">
        <v>541</v>
      </c>
      <c r="AB1946" s="110" t="s">
        <v>541</v>
      </c>
      <c r="AC1946" s="10" t="s">
        <v>541</v>
      </c>
      <c r="AD1946" s="10" t="s">
        <v>541</v>
      </c>
    </row>
    <row r="1947" spans="1:30" x14ac:dyDescent="0.2">
      <c r="A1947" s="110">
        <v>1946</v>
      </c>
      <c r="B1947" s="132">
        <v>41856</v>
      </c>
      <c r="C1947" s="117">
        <v>3</v>
      </c>
      <c r="D1947" s="103" t="s">
        <v>75</v>
      </c>
      <c r="E1947" s="103" t="s">
        <v>798</v>
      </c>
      <c r="H1947" s="103"/>
      <c r="J1947" s="103">
        <v>16</v>
      </c>
      <c r="K1947" s="103" t="s">
        <v>364</v>
      </c>
      <c r="L1947" s="133"/>
      <c r="M1947" s="134">
        <v>2.0833333333333332E-2</v>
      </c>
      <c r="N1947" s="135" t="s">
        <v>3799</v>
      </c>
      <c r="O1947" s="133" t="s">
        <v>950</v>
      </c>
      <c r="Q1947" s="100" t="s">
        <v>4021</v>
      </c>
      <c r="R1947" s="226" t="s">
        <v>4026</v>
      </c>
      <c r="S1947" s="491" t="str">
        <f t="shared" si="63"/>
        <v>x</v>
      </c>
      <c r="T1947" s="492" t="str">
        <f>IFERROR(VLOOKUP(F1947,'Freq-Chan'!C:D,2,FALSE),"x")</f>
        <v>x</v>
      </c>
      <c r="U1947" s="110" t="s">
        <v>541</v>
      </c>
      <c r="V1947" s="110" t="str">
        <f t="shared" si="64"/>
        <v>FWL</v>
      </c>
      <c r="W1947" s="110" t="s">
        <v>541</v>
      </c>
      <c r="X1947" s="110" t="s">
        <v>541</v>
      </c>
      <c r="Y1947" s="110" t="str">
        <f>IFERROR(VLOOKUP(F1947,'Freq-Chan'!C:E,3,FALSE),"na")</f>
        <v>na</v>
      </c>
      <c r="Z1947" s="110" t="s">
        <v>541</v>
      </c>
      <c r="AA1947" s="110" t="s">
        <v>541</v>
      </c>
      <c r="AB1947" s="110" t="s">
        <v>541</v>
      </c>
      <c r="AC1947" s="10" t="s">
        <v>541</v>
      </c>
      <c r="AD1947" s="10" t="s">
        <v>541</v>
      </c>
    </row>
    <row r="1948" spans="1:30" x14ac:dyDescent="0.2">
      <c r="A1948" s="110">
        <v>1947</v>
      </c>
      <c r="B1948" s="132">
        <v>41856</v>
      </c>
      <c r="C1948" s="117">
        <v>3</v>
      </c>
      <c r="D1948" s="103" t="s">
        <v>71</v>
      </c>
      <c r="E1948" s="103" t="s">
        <v>306</v>
      </c>
      <c r="F1948" s="103">
        <v>564</v>
      </c>
      <c r="G1948" s="103">
        <v>18</v>
      </c>
      <c r="H1948" s="103" t="s">
        <v>2377</v>
      </c>
      <c r="I1948" s="103">
        <v>57</v>
      </c>
      <c r="K1948" s="103" t="s">
        <v>364</v>
      </c>
      <c r="L1948" s="133"/>
      <c r="M1948" s="134">
        <v>4.7916666666666663E-2</v>
      </c>
      <c r="N1948" s="135" t="s">
        <v>3210</v>
      </c>
      <c r="O1948" s="133" t="s">
        <v>950</v>
      </c>
      <c r="Q1948" s="100" t="s">
        <v>4021</v>
      </c>
      <c r="R1948" s="226" t="s">
        <v>4026</v>
      </c>
      <c r="S1948" s="491" t="str">
        <f t="shared" si="63"/>
        <v>x</v>
      </c>
      <c r="T1948" s="492">
        <f>IFERROR(VLOOKUP(F1948,'Freq-Chan'!C:D,2,FALSE),"x")</f>
        <v>151.56399999999999</v>
      </c>
      <c r="U1948" s="110" t="s">
        <v>541</v>
      </c>
      <c r="V1948" s="110" t="str">
        <f t="shared" si="64"/>
        <v>FWL</v>
      </c>
      <c r="W1948" s="110" t="s">
        <v>541</v>
      </c>
      <c r="X1948" s="110" t="s">
        <v>541</v>
      </c>
      <c r="Y1948" s="110" t="str">
        <f>IFERROR(VLOOKUP(F1948,'Freq-Chan'!C:E,3,FALSE),"na")</f>
        <v>F1840</v>
      </c>
      <c r="Z1948" s="110" t="s">
        <v>541</v>
      </c>
      <c r="AA1948" s="110" t="s">
        <v>541</v>
      </c>
      <c r="AB1948" s="110" t="s">
        <v>541</v>
      </c>
      <c r="AC1948" s="10" t="s">
        <v>541</v>
      </c>
      <c r="AD1948" s="10" t="s">
        <v>541</v>
      </c>
    </row>
    <row r="1949" spans="1:30" x14ac:dyDescent="0.2">
      <c r="A1949" s="110">
        <v>1948</v>
      </c>
      <c r="B1949" s="132">
        <v>41856</v>
      </c>
      <c r="C1949" s="117">
        <v>3</v>
      </c>
      <c r="D1949" s="103" t="s">
        <v>71</v>
      </c>
      <c r="E1949" s="103" t="s">
        <v>306</v>
      </c>
      <c r="F1949" s="103">
        <v>564</v>
      </c>
      <c r="G1949" s="103">
        <v>87</v>
      </c>
      <c r="H1949" s="103" t="s">
        <v>2378</v>
      </c>
      <c r="I1949" s="103">
        <v>61</v>
      </c>
      <c r="K1949" s="103" t="s">
        <v>1032</v>
      </c>
      <c r="L1949" s="133"/>
      <c r="M1949" s="134">
        <v>7.0833333333333331E-2</v>
      </c>
      <c r="N1949" s="135" t="s">
        <v>3303</v>
      </c>
      <c r="O1949" s="133" t="s">
        <v>376</v>
      </c>
      <c r="Q1949" s="100" t="s">
        <v>4021</v>
      </c>
      <c r="R1949" s="226" t="s">
        <v>4026</v>
      </c>
      <c r="S1949" s="491" t="str">
        <f t="shared" si="63"/>
        <v>x</v>
      </c>
      <c r="T1949" s="492">
        <f>IFERROR(VLOOKUP(F1949,'Freq-Chan'!C:D,2,FALSE),"x")</f>
        <v>151.56399999999999</v>
      </c>
      <c r="U1949" s="110" t="s">
        <v>541</v>
      </c>
      <c r="V1949" s="110" t="str">
        <f t="shared" si="64"/>
        <v>FWL</v>
      </c>
      <c r="W1949" s="110" t="s">
        <v>541</v>
      </c>
      <c r="X1949" s="110" t="s">
        <v>541</v>
      </c>
      <c r="Y1949" s="110" t="str">
        <f>IFERROR(VLOOKUP(F1949,'Freq-Chan'!C:E,3,FALSE),"na")</f>
        <v>F1840</v>
      </c>
      <c r="Z1949" s="110" t="s">
        <v>541</v>
      </c>
      <c r="AA1949" s="110" t="s">
        <v>541</v>
      </c>
      <c r="AB1949" s="110" t="s">
        <v>541</v>
      </c>
      <c r="AC1949" s="10" t="s">
        <v>541</v>
      </c>
      <c r="AD1949" s="10" t="s">
        <v>541</v>
      </c>
    </row>
    <row r="1950" spans="1:30" x14ac:dyDescent="0.2">
      <c r="A1950" s="110">
        <v>1949</v>
      </c>
      <c r="B1950" s="132">
        <v>41856</v>
      </c>
      <c r="C1950" s="117">
        <v>3</v>
      </c>
      <c r="D1950" s="103" t="s">
        <v>70</v>
      </c>
      <c r="E1950" s="103" t="s">
        <v>306</v>
      </c>
      <c r="F1950" s="103">
        <v>596</v>
      </c>
      <c r="G1950" s="103">
        <v>47</v>
      </c>
      <c r="H1950" s="103" t="s">
        <v>3074</v>
      </c>
      <c r="I1950" s="103">
        <v>49</v>
      </c>
      <c r="K1950" s="103" t="s">
        <v>1032</v>
      </c>
      <c r="L1950" s="133"/>
      <c r="M1950" s="134">
        <v>4.8611111111111112E-2</v>
      </c>
      <c r="N1950" s="135" t="s">
        <v>4013</v>
      </c>
      <c r="O1950" s="133" t="s">
        <v>376</v>
      </c>
      <c r="Q1950" s="100" t="s">
        <v>4021</v>
      </c>
      <c r="R1950" s="226" t="s">
        <v>4026</v>
      </c>
      <c r="S1950" s="491" t="str">
        <f t="shared" si="63"/>
        <v>x</v>
      </c>
      <c r="T1950" s="492">
        <f>IFERROR(VLOOKUP(F1950,'Freq-Chan'!C:D,2,FALSE),"x")</f>
        <v>151.596</v>
      </c>
      <c r="U1950" s="110" t="s">
        <v>541</v>
      </c>
      <c r="V1950" s="110" t="str">
        <f t="shared" si="64"/>
        <v>FWL</v>
      </c>
      <c r="W1950" s="110" t="s">
        <v>541</v>
      </c>
      <c r="X1950" s="110" t="s">
        <v>541</v>
      </c>
      <c r="Y1950" s="110" t="str">
        <f>IFERROR(VLOOKUP(F1950,'Freq-Chan'!C:E,3,FALSE),"na")</f>
        <v>F1835</v>
      </c>
      <c r="Z1950" s="110" t="s">
        <v>541</v>
      </c>
      <c r="AA1950" s="110" t="s">
        <v>541</v>
      </c>
      <c r="AB1950" s="110" t="s">
        <v>541</v>
      </c>
      <c r="AC1950" s="10" t="s">
        <v>541</v>
      </c>
      <c r="AD1950" s="10" t="s">
        <v>541</v>
      </c>
    </row>
    <row r="1951" spans="1:30" x14ac:dyDescent="0.2">
      <c r="A1951" s="110">
        <v>1950</v>
      </c>
      <c r="B1951" s="132">
        <v>41856</v>
      </c>
      <c r="C1951" s="117">
        <v>3</v>
      </c>
      <c r="D1951" s="103" t="s">
        <v>8</v>
      </c>
      <c r="E1951" s="103" t="s">
        <v>306</v>
      </c>
      <c r="F1951" s="103">
        <v>573</v>
      </c>
      <c r="G1951" s="103">
        <v>95</v>
      </c>
      <c r="H1951" s="103" t="s">
        <v>2200</v>
      </c>
      <c r="I1951" s="103">
        <v>47</v>
      </c>
      <c r="K1951" s="103" t="s">
        <v>364</v>
      </c>
      <c r="L1951" s="133"/>
      <c r="M1951" s="134">
        <v>4.1666666666666664E-2</v>
      </c>
      <c r="N1951" s="135" t="s">
        <v>3212</v>
      </c>
      <c r="O1951" s="133" t="s">
        <v>376</v>
      </c>
      <c r="Q1951" s="100" t="s">
        <v>4021</v>
      </c>
      <c r="R1951" s="226" t="s">
        <v>4026</v>
      </c>
      <c r="S1951" s="491" t="str">
        <f t="shared" si="63"/>
        <v>x</v>
      </c>
      <c r="T1951" s="492">
        <f>IFERROR(VLOOKUP(F1951,'Freq-Chan'!C:D,2,FALSE),"x")</f>
        <v>151.57300000000001</v>
      </c>
      <c r="U1951" s="110" t="s">
        <v>541</v>
      </c>
      <c r="V1951" s="110" t="str">
        <f t="shared" si="64"/>
        <v>FWL</v>
      </c>
      <c r="W1951" s="110" t="s">
        <v>541</v>
      </c>
      <c r="X1951" s="110" t="s">
        <v>541</v>
      </c>
      <c r="Y1951" s="110" t="str">
        <f>IFERROR(VLOOKUP(F1951,'Freq-Chan'!C:E,3,FALSE),"na")</f>
        <v>F1840</v>
      </c>
      <c r="Z1951" s="110" t="s">
        <v>541</v>
      </c>
      <c r="AA1951" s="110" t="s">
        <v>541</v>
      </c>
      <c r="AB1951" s="110" t="s">
        <v>541</v>
      </c>
      <c r="AC1951" s="10" t="s">
        <v>541</v>
      </c>
      <c r="AD1951" s="10" t="s">
        <v>541</v>
      </c>
    </row>
    <row r="1952" spans="1:30" x14ac:dyDescent="0.2">
      <c r="A1952" s="110">
        <v>1951</v>
      </c>
      <c r="B1952" s="132">
        <v>41856</v>
      </c>
      <c r="C1952" s="117">
        <v>3</v>
      </c>
      <c r="D1952" s="103" t="s">
        <v>72</v>
      </c>
      <c r="E1952" s="103" t="s">
        <v>306</v>
      </c>
      <c r="H1952" s="103"/>
      <c r="I1952" s="103">
        <v>37</v>
      </c>
      <c r="K1952" s="103" t="s">
        <v>364</v>
      </c>
      <c r="L1952" s="133"/>
      <c r="M1952" s="134">
        <v>3.4027777777777775E-2</v>
      </c>
      <c r="N1952" s="135" t="s">
        <v>3357</v>
      </c>
      <c r="O1952" s="133" t="s">
        <v>376</v>
      </c>
      <c r="P1952" s="100" t="s">
        <v>776</v>
      </c>
      <c r="Q1952" s="100" t="s">
        <v>4021</v>
      </c>
      <c r="R1952" s="226" t="s">
        <v>4026</v>
      </c>
      <c r="S1952" s="491" t="str">
        <f t="shared" si="63"/>
        <v>x</v>
      </c>
      <c r="T1952" s="492" t="str">
        <f>IFERROR(VLOOKUP(F1952,'Freq-Chan'!C:D,2,FALSE),"x")</f>
        <v>x</v>
      </c>
      <c r="U1952" s="110" t="s">
        <v>541</v>
      </c>
      <c r="V1952" s="110" t="str">
        <f t="shared" si="64"/>
        <v>FWL</v>
      </c>
      <c r="W1952" s="110" t="s">
        <v>541</v>
      </c>
      <c r="X1952" s="110" t="s">
        <v>541</v>
      </c>
      <c r="Y1952" s="110" t="str">
        <f>IFERROR(VLOOKUP(F1952,'Freq-Chan'!C:E,3,FALSE),"na")</f>
        <v>na</v>
      </c>
      <c r="Z1952" s="110" t="s">
        <v>541</v>
      </c>
      <c r="AA1952" s="110" t="s">
        <v>541</v>
      </c>
      <c r="AB1952" s="110" t="s">
        <v>541</v>
      </c>
      <c r="AC1952" s="10" t="s">
        <v>541</v>
      </c>
      <c r="AD1952" s="10" t="s">
        <v>541</v>
      </c>
    </row>
    <row r="1953" spans="1:30" x14ac:dyDescent="0.2">
      <c r="A1953" s="110">
        <v>1952</v>
      </c>
      <c r="B1953" s="132">
        <v>41856</v>
      </c>
      <c r="C1953" s="117">
        <v>3</v>
      </c>
      <c r="D1953" s="103" t="s">
        <v>2</v>
      </c>
      <c r="E1953" s="103" t="s">
        <v>306</v>
      </c>
      <c r="H1953" s="103"/>
      <c r="I1953" s="103">
        <v>53</v>
      </c>
      <c r="K1953" s="103" t="s">
        <v>364</v>
      </c>
      <c r="L1953" s="133"/>
      <c r="M1953" s="134">
        <v>1.8055555555555557E-2</v>
      </c>
      <c r="N1953" s="135" t="s">
        <v>4014</v>
      </c>
      <c r="O1953" s="133" t="s">
        <v>950</v>
      </c>
      <c r="P1953" s="100" t="s">
        <v>4025</v>
      </c>
      <c r="Q1953" s="100" t="s">
        <v>4021</v>
      </c>
      <c r="R1953" s="226" t="s">
        <v>4026</v>
      </c>
      <c r="S1953" s="491" t="str">
        <f t="shared" si="63"/>
        <v>x</v>
      </c>
      <c r="T1953" s="492" t="str">
        <f>IFERROR(VLOOKUP(F1953,'Freq-Chan'!C:D,2,FALSE),"x")</f>
        <v>x</v>
      </c>
      <c r="U1953" s="110" t="s">
        <v>541</v>
      </c>
      <c r="V1953" s="110" t="str">
        <f t="shared" si="64"/>
        <v>FWL</v>
      </c>
      <c r="W1953" s="110" t="s">
        <v>541</v>
      </c>
      <c r="X1953" s="110" t="s">
        <v>541</v>
      </c>
      <c r="Y1953" s="110" t="str">
        <f>IFERROR(VLOOKUP(F1953,'Freq-Chan'!C:E,3,FALSE),"na")</f>
        <v>na</v>
      </c>
      <c r="Z1953" s="110" t="s">
        <v>541</v>
      </c>
      <c r="AA1953" s="110" t="s">
        <v>541</v>
      </c>
      <c r="AB1953" s="110" t="s">
        <v>541</v>
      </c>
      <c r="AC1953" s="10" t="s">
        <v>541</v>
      </c>
      <c r="AD1953" s="10" t="s">
        <v>541</v>
      </c>
    </row>
    <row r="1954" spans="1:30" x14ac:dyDescent="0.2">
      <c r="A1954" s="110">
        <v>1953</v>
      </c>
      <c r="B1954" s="132">
        <v>41856</v>
      </c>
      <c r="C1954" s="117">
        <v>3</v>
      </c>
      <c r="D1954" s="103" t="s">
        <v>2</v>
      </c>
      <c r="E1954" s="103" t="s">
        <v>306</v>
      </c>
      <c r="H1954" s="103"/>
      <c r="I1954" s="103">
        <v>62</v>
      </c>
      <c r="K1954" s="103" t="s">
        <v>364</v>
      </c>
      <c r="L1954" s="133"/>
      <c r="M1954" s="134">
        <v>1.8055555555555557E-2</v>
      </c>
      <c r="N1954" s="137" t="s">
        <v>3284</v>
      </c>
      <c r="O1954" s="133" t="s">
        <v>950</v>
      </c>
      <c r="P1954" s="100" t="s">
        <v>4015</v>
      </c>
      <c r="Q1954" s="100" t="s">
        <v>4021</v>
      </c>
      <c r="R1954" s="226" t="s">
        <v>4026</v>
      </c>
      <c r="S1954" s="491" t="str">
        <f t="shared" si="63"/>
        <v>x</v>
      </c>
      <c r="T1954" s="492" t="str">
        <f>IFERROR(VLOOKUP(F1954,'Freq-Chan'!C:D,2,FALSE),"x")</f>
        <v>x</v>
      </c>
      <c r="U1954" s="110" t="s">
        <v>541</v>
      </c>
      <c r="V1954" s="110" t="str">
        <f t="shared" si="64"/>
        <v>FWL</v>
      </c>
      <c r="W1954" s="110" t="s">
        <v>541</v>
      </c>
      <c r="X1954" s="110" t="s">
        <v>541</v>
      </c>
      <c r="Y1954" s="110" t="str">
        <f>IFERROR(VLOOKUP(F1954,'Freq-Chan'!C:E,3,FALSE),"na")</f>
        <v>na</v>
      </c>
      <c r="Z1954" s="110" t="s">
        <v>541</v>
      </c>
      <c r="AA1954" s="110" t="s">
        <v>541</v>
      </c>
      <c r="AB1954" s="110" t="s">
        <v>541</v>
      </c>
      <c r="AC1954" s="10" t="s">
        <v>541</v>
      </c>
      <c r="AD1954" s="10" t="s">
        <v>541</v>
      </c>
    </row>
    <row r="1955" spans="1:30" x14ac:dyDescent="0.2">
      <c r="A1955" s="110">
        <v>1954</v>
      </c>
      <c r="B1955" s="132">
        <v>41856</v>
      </c>
      <c r="C1955" s="117">
        <v>3</v>
      </c>
      <c r="D1955" s="103" t="s">
        <v>70</v>
      </c>
      <c r="E1955" s="103" t="s">
        <v>306</v>
      </c>
      <c r="F1955" s="103">
        <v>515</v>
      </c>
      <c r="G1955" s="103">
        <v>68</v>
      </c>
      <c r="H1955" s="103" t="s">
        <v>3075</v>
      </c>
      <c r="I1955" s="103">
        <v>47</v>
      </c>
      <c r="K1955" s="103" t="s">
        <v>365</v>
      </c>
      <c r="L1955" s="133"/>
      <c r="M1955" s="134">
        <v>5.1388888888888894E-2</v>
      </c>
      <c r="N1955" s="137" t="s">
        <v>3289</v>
      </c>
      <c r="O1955" s="133" t="s">
        <v>3932</v>
      </c>
      <c r="Q1955" s="100" t="s">
        <v>4018</v>
      </c>
      <c r="R1955" s="226" t="s">
        <v>4026</v>
      </c>
      <c r="S1955" s="491" t="str">
        <f t="shared" si="63"/>
        <v>x</v>
      </c>
      <c r="T1955" s="492">
        <f>IFERROR(VLOOKUP(F1955,'Freq-Chan'!C:D,2,FALSE),"x")</f>
        <v>151.51499999999999</v>
      </c>
      <c r="U1955" s="110" t="s">
        <v>541</v>
      </c>
      <c r="V1955" s="110" t="str">
        <f t="shared" si="64"/>
        <v>FWL</v>
      </c>
      <c r="W1955" s="110" t="s">
        <v>541</v>
      </c>
      <c r="X1955" s="110" t="s">
        <v>541</v>
      </c>
      <c r="Y1955" s="110" t="str">
        <f>IFERROR(VLOOKUP(F1955,'Freq-Chan'!C:E,3,FALSE),"na")</f>
        <v>F1835</v>
      </c>
      <c r="Z1955" s="110" t="s">
        <v>541</v>
      </c>
      <c r="AA1955" s="110" t="s">
        <v>541</v>
      </c>
      <c r="AB1955" s="110" t="s">
        <v>541</v>
      </c>
      <c r="AC1955" s="10" t="s">
        <v>541</v>
      </c>
      <c r="AD1955" s="10" t="s">
        <v>541</v>
      </c>
    </row>
    <row r="1956" spans="1:30" x14ac:dyDescent="0.2">
      <c r="A1956" s="110">
        <v>1955</v>
      </c>
      <c r="B1956" s="132">
        <v>41856</v>
      </c>
      <c r="C1956" s="117">
        <v>3</v>
      </c>
      <c r="D1956" s="103" t="s">
        <v>70</v>
      </c>
      <c r="E1956" s="103" t="s">
        <v>306</v>
      </c>
      <c r="F1956" s="103">
        <v>596</v>
      </c>
      <c r="G1956" s="103">
        <v>64</v>
      </c>
      <c r="H1956" s="103" t="s">
        <v>3076</v>
      </c>
      <c r="I1956" s="103">
        <v>45</v>
      </c>
      <c r="K1956" s="103" t="s">
        <v>365</v>
      </c>
      <c r="L1956" s="133"/>
      <c r="M1956" s="134">
        <v>4.9999999999999996E-2</v>
      </c>
      <c r="N1956" s="135" t="s">
        <v>3807</v>
      </c>
      <c r="O1956" s="133" t="s">
        <v>3932</v>
      </c>
      <c r="Q1956" s="100" t="s">
        <v>4018</v>
      </c>
      <c r="R1956" s="226" t="s">
        <v>4026</v>
      </c>
      <c r="S1956" s="491" t="str">
        <f t="shared" si="63"/>
        <v>x</v>
      </c>
      <c r="T1956" s="492">
        <f>IFERROR(VLOOKUP(F1956,'Freq-Chan'!C:D,2,FALSE),"x")</f>
        <v>151.596</v>
      </c>
      <c r="U1956" s="110" t="s">
        <v>541</v>
      </c>
      <c r="V1956" s="110" t="str">
        <f t="shared" si="64"/>
        <v>FWL</v>
      </c>
      <c r="W1956" s="110" t="s">
        <v>541</v>
      </c>
      <c r="X1956" s="110" t="s">
        <v>541</v>
      </c>
      <c r="Y1956" s="110" t="str">
        <f>IFERROR(VLOOKUP(F1956,'Freq-Chan'!C:E,3,FALSE),"na")</f>
        <v>F1835</v>
      </c>
      <c r="Z1956" s="110" t="s">
        <v>541</v>
      </c>
      <c r="AA1956" s="110" t="s">
        <v>541</v>
      </c>
      <c r="AB1956" s="110" t="s">
        <v>541</v>
      </c>
      <c r="AC1956" s="10" t="s">
        <v>541</v>
      </c>
      <c r="AD1956" s="10" t="s">
        <v>541</v>
      </c>
    </row>
    <row r="1957" spans="1:30" x14ac:dyDescent="0.2">
      <c r="A1957" s="110">
        <v>1956</v>
      </c>
      <c r="B1957" s="132">
        <v>41856</v>
      </c>
      <c r="C1957" s="117">
        <v>3</v>
      </c>
      <c r="D1957" s="103" t="s">
        <v>71</v>
      </c>
      <c r="E1957" s="103" t="s">
        <v>306</v>
      </c>
      <c r="F1957" s="103">
        <v>534</v>
      </c>
      <c r="G1957" s="103">
        <v>47</v>
      </c>
      <c r="H1957" s="103" t="s">
        <v>2379</v>
      </c>
      <c r="I1957" s="103">
        <v>56</v>
      </c>
      <c r="K1957" s="103" t="s">
        <v>365</v>
      </c>
      <c r="L1957" s="133"/>
      <c r="M1957" s="134">
        <v>4.027777777777778E-2</v>
      </c>
      <c r="N1957" s="135" t="s">
        <v>768</v>
      </c>
      <c r="O1957" s="133" t="s">
        <v>3932</v>
      </c>
      <c r="Q1957" s="100" t="s">
        <v>4018</v>
      </c>
      <c r="R1957" s="226" t="s">
        <v>4026</v>
      </c>
      <c r="S1957" s="491" t="str">
        <f t="shared" si="63"/>
        <v>x</v>
      </c>
      <c r="T1957" s="492">
        <f>IFERROR(VLOOKUP(F1957,'Freq-Chan'!C:D,2,FALSE),"x")</f>
        <v>151.53399999999999</v>
      </c>
      <c r="U1957" s="110" t="s">
        <v>541</v>
      </c>
      <c r="V1957" s="110" t="str">
        <f t="shared" si="64"/>
        <v>FWL</v>
      </c>
      <c r="W1957" s="110" t="s">
        <v>541</v>
      </c>
      <c r="X1957" s="110" t="s">
        <v>541</v>
      </c>
      <c r="Y1957" s="110" t="str">
        <f>IFERROR(VLOOKUP(F1957,'Freq-Chan'!C:E,3,FALSE),"na")</f>
        <v>F1840</v>
      </c>
      <c r="Z1957" s="110" t="s">
        <v>541</v>
      </c>
      <c r="AA1957" s="110" t="s">
        <v>541</v>
      </c>
      <c r="AB1957" s="110" t="s">
        <v>541</v>
      </c>
      <c r="AC1957" s="10" t="s">
        <v>541</v>
      </c>
      <c r="AD1957" s="10" t="s">
        <v>541</v>
      </c>
    </row>
    <row r="1958" spans="1:30" x14ac:dyDescent="0.2">
      <c r="A1958" s="110">
        <v>1957</v>
      </c>
      <c r="B1958" s="132">
        <v>41856</v>
      </c>
      <c r="C1958" s="117">
        <v>3</v>
      </c>
      <c r="D1958" s="103" t="s">
        <v>71</v>
      </c>
      <c r="E1958" s="103" t="s">
        <v>306</v>
      </c>
      <c r="F1958" s="103">
        <v>564</v>
      </c>
      <c r="G1958" s="103">
        <v>23</v>
      </c>
      <c r="H1958" s="103" t="s">
        <v>2380</v>
      </c>
      <c r="I1958" s="103">
        <v>55</v>
      </c>
      <c r="K1958" s="103" t="s">
        <v>1032</v>
      </c>
      <c r="L1958" s="133"/>
      <c r="M1958" s="134">
        <v>4.027777777777778E-2</v>
      </c>
      <c r="N1958" s="135" t="s">
        <v>1851</v>
      </c>
      <c r="O1958" s="133" t="s">
        <v>3932</v>
      </c>
      <c r="Q1958" s="100" t="s">
        <v>4018</v>
      </c>
      <c r="R1958" s="226" t="s">
        <v>4026</v>
      </c>
      <c r="S1958" s="491" t="str">
        <f t="shared" si="63"/>
        <v>x</v>
      </c>
      <c r="T1958" s="492">
        <f>IFERROR(VLOOKUP(F1958,'Freq-Chan'!C:D,2,FALSE),"x")</f>
        <v>151.56399999999999</v>
      </c>
      <c r="U1958" s="110" t="s">
        <v>541</v>
      </c>
      <c r="V1958" s="110" t="str">
        <f t="shared" si="64"/>
        <v>FWL</v>
      </c>
      <c r="W1958" s="110" t="s">
        <v>541</v>
      </c>
      <c r="X1958" s="110" t="s">
        <v>541</v>
      </c>
      <c r="Y1958" s="110" t="str">
        <f>IFERROR(VLOOKUP(F1958,'Freq-Chan'!C:E,3,FALSE),"na")</f>
        <v>F1840</v>
      </c>
      <c r="Z1958" s="110" t="s">
        <v>541</v>
      </c>
      <c r="AA1958" s="110" t="s">
        <v>541</v>
      </c>
      <c r="AB1958" s="110" t="s">
        <v>541</v>
      </c>
      <c r="AC1958" s="10" t="s">
        <v>541</v>
      </c>
      <c r="AD1958" s="10" t="s">
        <v>541</v>
      </c>
    </row>
    <row r="1959" spans="1:30" x14ac:dyDescent="0.2">
      <c r="A1959" s="110">
        <v>1958</v>
      </c>
      <c r="B1959" s="132">
        <v>41856</v>
      </c>
      <c r="C1959" s="117">
        <v>3</v>
      </c>
      <c r="D1959" s="103" t="s">
        <v>71</v>
      </c>
      <c r="E1959" s="103" t="s">
        <v>306</v>
      </c>
      <c r="H1959" s="103"/>
      <c r="I1959" s="103">
        <v>53</v>
      </c>
      <c r="K1959" s="103" t="s">
        <v>365</v>
      </c>
      <c r="L1959" s="133"/>
      <c r="M1959" s="134">
        <v>2.013888888888889E-2</v>
      </c>
      <c r="N1959" s="135" t="s">
        <v>1784</v>
      </c>
      <c r="O1959" s="133" t="s">
        <v>3932</v>
      </c>
      <c r="Q1959" s="100" t="s">
        <v>4018</v>
      </c>
      <c r="R1959" s="226" t="s">
        <v>4026</v>
      </c>
      <c r="S1959" s="491" t="str">
        <f t="shared" si="63"/>
        <v>x</v>
      </c>
      <c r="T1959" s="492" t="str">
        <f>IFERROR(VLOOKUP(F1959,'Freq-Chan'!C:D,2,FALSE),"x")</f>
        <v>x</v>
      </c>
      <c r="U1959" s="110" t="s">
        <v>541</v>
      </c>
      <c r="V1959" s="110" t="str">
        <f t="shared" si="64"/>
        <v>FWL</v>
      </c>
      <c r="W1959" s="110" t="s">
        <v>541</v>
      </c>
      <c r="X1959" s="110" t="s">
        <v>541</v>
      </c>
      <c r="Y1959" s="110" t="str">
        <f>IFERROR(VLOOKUP(F1959,'Freq-Chan'!C:E,3,FALSE),"na")</f>
        <v>na</v>
      </c>
      <c r="Z1959" s="110" t="s">
        <v>541</v>
      </c>
      <c r="AA1959" s="110" t="s">
        <v>541</v>
      </c>
      <c r="AB1959" s="110" t="s">
        <v>541</v>
      </c>
      <c r="AC1959" s="10" t="s">
        <v>541</v>
      </c>
      <c r="AD1959" s="10" t="s">
        <v>541</v>
      </c>
    </row>
    <row r="1960" spans="1:30" x14ac:dyDescent="0.2">
      <c r="A1960" s="110">
        <v>1959</v>
      </c>
      <c r="B1960" s="132">
        <v>41856</v>
      </c>
      <c r="C1960" s="117">
        <v>3</v>
      </c>
      <c r="D1960" s="103" t="s">
        <v>2</v>
      </c>
      <c r="E1960" s="103" t="s">
        <v>306</v>
      </c>
      <c r="H1960" s="103"/>
      <c r="I1960" s="103">
        <v>54</v>
      </c>
      <c r="K1960" s="103" t="s">
        <v>365</v>
      </c>
      <c r="L1960" s="133"/>
      <c r="M1960" s="134">
        <v>1.8055555555555557E-2</v>
      </c>
      <c r="N1960" s="135" t="s">
        <v>2656</v>
      </c>
      <c r="O1960" s="133" t="s">
        <v>1585</v>
      </c>
      <c r="P1960" s="100" t="s">
        <v>4017</v>
      </c>
      <c r="Q1960" s="100" t="s">
        <v>4018</v>
      </c>
      <c r="R1960" s="226" t="s">
        <v>4026</v>
      </c>
      <c r="S1960" s="491" t="str">
        <f t="shared" si="63"/>
        <v>x</v>
      </c>
      <c r="T1960" s="492" t="str">
        <f>IFERROR(VLOOKUP(F1960,'Freq-Chan'!C:D,2,FALSE),"x")</f>
        <v>x</v>
      </c>
      <c r="U1960" s="110" t="s">
        <v>541</v>
      </c>
      <c r="V1960" s="110" t="str">
        <f t="shared" si="64"/>
        <v>FWL</v>
      </c>
      <c r="W1960" s="110" t="s">
        <v>541</v>
      </c>
      <c r="X1960" s="110" t="s">
        <v>541</v>
      </c>
      <c r="Y1960" s="110" t="str">
        <f>IFERROR(VLOOKUP(F1960,'Freq-Chan'!C:E,3,FALSE),"na")</f>
        <v>na</v>
      </c>
      <c r="Z1960" s="110" t="s">
        <v>541</v>
      </c>
      <c r="AA1960" s="110" t="s">
        <v>541</v>
      </c>
      <c r="AB1960" s="110" t="s">
        <v>541</v>
      </c>
      <c r="AC1960" s="10" t="s">
        <v>541</v>
      </c>
      <c r="AD1960" s="10" t="s">
        <v>541</v>
      </c>
    </row>
    <row r="1961" spans="1:30" x14ac:dyDescent="0.2">
      <c r="A1961" s="110">
        <v>1960</v>
      </c>
      <c r="B1961" s="132">
        <v>41856</v>
      </c>
      <c r="C1961" s="117">
        <v>3</v>
      </c>
      <c r="D1961" s="103" t="s">
        <v>72</v>
      </c>
      <c r="E1961" s="103" t="s">
        <v>306</v>
      </c>
      <c r="F1961" s="103">
        <v>266</v>
      </c>
      <c r="G1961" s="103">
        <v>32</v>
      </c>
      <c r="H1961" s="103" t="s">
        <v>3521</v>
      </c>
      <c r="I1961" s="103">
        <v>57</v>
      </c>
      <c r="K1961" s="103" t="s">
        <v>365</v>
      </c>
      <c r="L1961" s="133"/>
      <c r="M1961" s="134">
        <v>5.347222222222222E-2</v>
      </c>
      <c r="N1961" s="135" t="s">
        <v>2541</v>
      </c>
      <c r="O1961" s="133" t="s">
        <v>3932</v>
      </c>
      <c r="P1961" s="100" t="s">
        <v>4466</v>
      </c>
      <c r="Q1961" s="100" t="s">
        <v>4018</v>
      </c>
      <c r="R1961" s="226" t="s">
        <v>4026</v>
      </c>
      <c r="S1961" s="491" t="str">
        <f t="shared" si="63"/>
        <v>x</v>
      </c>
      <c r="T1961" s="492">
        <f>IFERROR(VLOOKUP(F1961,'Freq-Chan'!C:D,2,FALSE),"x")</f>
        <v>151.26599999999999</v>
      </c>
      <c r="U1961" s="110" t="s">
        <v>541</v>
      </c>
      <c r="V1961" s="110" t="str">
        <f t="shared" si="64"/>
        <v>FWL</v>
      </c>
      <c r="W1961" s="110" t="s">
        <v>541</v>
      </c>
      <c r="X1961" s="110" t="s">
        <v>541</v>
      </c>
      <c r="Y1961" s="110" t="str">
        <f>IFERROR(VLOOKUP(F1961,'Freq-Chan'!C:E,3,FALSE),"na")</f>
        <v>F1840</v>
      </c>
      <c r="Z1961" s="110" t="s">
        <v>541</v>
      </c>
      <c r="AA1961" s="110" t="s">
        <v>541</v>
      </c>
      <c r="AB1961" s="110" t="s">
        <v>541</v>
      </c>
      <c r="AC1961" s="10" t="s">
        <v>541</v>
      </c>
      <c r="AD1961" s="10" t="s">
        <v>541</v>
      </c>
    </row>
    <row r="1962" spans="1:30" x14ac:dyDescent="0.2">
      <c r="A1962" s="110">
        <v>1961</v>
      </c>
      <c r="B1962" s="132">
        <v>41856</v>
      </c>
      <c r="C1962" s="117">
        <v>3</v>
      </c>
      <c r="D1962" s="103" t="s">
        <v>8</v>
      </c>
      <c r="E1962" s="103" t="s">
        <v>306</v>
      </c>
      <c r="F1962" s="103">
        <v>573</v>
      </c>
      <c r="G1962" s="103">
        <v>45</v>
      </c>
      <c r="H1962" s="103" t="s">
        <v>2201</v>
      </c>
      <c r="I1962" s="103">
        <v>51</v>
      </c>
      <c r="K1962" s="103" t="s">
        <v>365</v>
      </c>
      <c r="L1962" s="133"/>
      <c r="M1962" s="134">
        <v>5.1388888888888894E-2</v>
      </c>
      <c r="N1962" s="135" t="s">
        <v>2819</v>
      </c>
      <c r="O1962" s="133" t="s">
        <v>3932</v>
      </c>
      <c r="Q1962" s="100" t="s">
        <v>4018</v>
      </c>
      <c r="R1962" s="226" t="s">
        <v>4026</v>
      </c>
      <c r="S1962" s="491" t="str">
        <f t="shared" si="63"/>
        <v>x</v>
      </c>
      <c r="T1962" s="492">
        <f>IFERROR(VLOOKUP(F1962,'Freq-Chan'!C:D,2,FALSE),"x")</f>
        <v>151.57300000000001</v>
      </c>
      <c r="U1962" s="110" t="s">
        <v>541</v>
      </c>
      <c r="V1962" s="110" t="str">
        <f t="shared" si="64"/>
        <v>FWL</v>
      </c>
      <c r="W1962" s="110" t="s">
        <v>541</v>
      </c>
      <c r="X1962" s="110" t="s">
        <v>541</v>
      </c>
      <c r="Y1962" s="110" t="str">
        <f>IFERROR(VLOOKUP(F1962,'Freq-Chan'!C:E,3,FALSE),"na")</f>
        <v>F1840</v>
      </c>
      <c r="Z1962" s="110" t="s">
        <v>541</v>
      </c>
      <c r="AA1962" s="110" t="s">
        <v>541</v>
      </c>
      <c r="AB1962" s="110" t="s">
        <v>541</v>
      </c>
      <c r="AC1962" s="10" t="s">
        <v>541</v>
      </c>
      <c r="AD1962" s="10" t="s">
        <v>541</v>
      </c>
    </row>
    <row r="1963" spans="1:30" x14ac:dyDescent="0.2">
      <c r="A1963" s="110">
        <v>1962</v>
      </c>
      <c r="B1963" s="132">
        <v>41856</v>
      </c>
      <c r="C1963" s="117">
        <v>3</v>
      </c>
      <c r="D1963" s="103" t="s">
        <v>71</v>
      </c>
      <c r="E1963" s="103" t="s">
        <v>306</v>
      </c>
      <c r="H1963" s="103"/>
      <c r="I1963" s="103">
        <v>56</v>
      </c>
      <c r="K1963" s="103" t="s">
        <v>1032</v>
      </c>
      <c r="L1963" s="133"/>
      <c r="M1963" s="134">
        <v>1.1805555555555555E-2</v>
      </c>
      <c r="N1963" s="135" t="s">
        <v>3250</v>
      </c>
      <c r="O1963" s="133" t="s">
        <v>3932</v>
      </c>
      <c r="Q1963" s="100" t="s">
        <v>4018</v>
      </c>
      <c r="R1963" s="226" t="s">
        <v>4026</v>
      </c>
      <c r="S1963" s="491" t="str">
        <f t="shared" si="63"/>
        <v>x</v>
      </c>
      <c r="T1963" s="492" t="str">
        <f>IFERROR(VLOOKUP(F1963,'Freq-Chan'!C:D,2,FALSE),"x")</f>
        <v>x</v>
      </c>
      <c r="U1963" s="110" t="s">
        <v>541</v>
      </c>
      <c r="V1963" s="110" t="str">
        <f t="shared" si="64"/>
        <v>FWL</v>
      </c>
      <c r="W1963" s="110" t="s">
        <v>541</v>
      </c>
      <c r="X1963" s="110" t="s">
        <v>541</v>
      </c>
      <c r="Y1963" s="110" t="str">
        <f>IFERROR(VLOOKUP(F1963,'Freq-Chan'!C:E,3,FALSE),"na")</f>
        <v>na</v>
      </c>
      <c r="Z1963" s="110" t="s">
        <v>541</v>
      </c>
      <c r="AA1963" s="110" t="s">
        <v>541</v>
      </c>
      <c r="AB1963" s="110" t="s">
        <v>541</v>
      </c>
      <c r="AC1963" s="10" t="s">
        <v>541</v>
      </c>
      <c r="AD1963" s="10" t="s">
        <v>541</v>
      </c>
    </row>
    <row r="1964" spans="1:30" x14ac:dyDescent="0.2">
      <c r="A1964" s="110">
        <v>1963</v>
      </c>
      <c r="B1964" s="132">
        <v>41856</v>
      </c>
      <c r="C1964" s="117">
        <v>3</v>
      </c>
      <c r="D1964" s="103" t="s">
        <v>8</v>
      </c>
      <c r="E1964" s="103" t="s">
        <v>306</v>
      </c>
      <c r="F1964" s="103">
        <v>586</v>
      </c>
      <c r="G1964" s="103">
        <v>33</v>
      </c>
      <c r="H1964" s="103" t="s">
        <v>2205</v>
      </c>
      <c r="I1964" s="103">
        <v>54</v>
      </c>
      <c r="K1964" s="103" t="s">
        <v>365</v>
      </c>
      <c r="L1964" s="133"/>
      <c r="M1964" s="134">
        <v>4.2361111111111106E-2</v>
      </c>
      <c r="N1964" s="135" t="s">
        <v>3339</v>
      </c>
      <c r="O1964" s="133" t="s">
        <v>1585</v>
      </c>
      <c r="Q1964" s="100" t="s">
        <v>4018</v>
      </c>
      <c r="R1964" s="226" t="s">
        <v>4026</v>
      </c>
      <c r="S1964" s="491" t="str">
        <f t="shared" si="63"/>
        <v>x</v>
      </c>
      <c r="T1964" s="492">
        <f>IFERROR(VLOOKUP(F1964,'Freq-Chan'!C:D,2,FALSE),"x")</f>
        <v>151.58600000000001</v>
      </c>
      <c r="U1964" s="110" t="s">
        <v>541</v>
      </c>
      <c r="V1964" s="110" t="str">
        <f t="shared" si="64"/>
        <v>FWL</v>
      </c>
      <c r="W1964" s="110" t="s">
        <v>541</v>
      </c>
      <c r="X1964" s="110" t="s">
        <v>541</v>
      </c>
      <c r="Y1964" s="110" t="str">
        <f>IFERROR(VLOOKUP(F1964,'Freq-Chan'!C:E,3,FALSE),"na")</f>
        <v>F1840</v>
      </c>
      <c r="Z1964" s="110" t="s">
        <v>541</v>
      </c>
      <c r="AA1964" s="110" t="s">
        <v>541</v>
      </c>
      <c r="AB1964" s="110" t="s">
        <v>541</v>
      </c>
      <c r="AC1964" s="10" t="s">
        <v>541</v>
      </c>
      <c r="AD1964" s="10" t="s">
        <v>541</v>
      </c>
    </row>
    <row r="1965" spans="1:30" x14ac:dyDescent="0.2">
      <c r="A1965" s="110">
        <v>1964</v>
      </c>
      <c r="B1965" s="132">
        <v>41856</v>
      </c>
      <c r="C1965" s="117">
        <v>3</v>
      </c>
      <c r="D1965" s="103" t="s">
        <v>71</v>
      </c>
      <c r="E1965" s="103" t="s">
        <v>306</v>
      </c>
      <c r="H1965" s="103"/>
      <c r="I1965" s="103">
        <v>59</v>
      </c>
      <c r="K1965" s="103" t="s">
        <v>1032</v>
      </c>
      <c r="L1965" s="133"/>
      <c r="M1965" s="134">
        <v>1.5972222222222224E-2</v>
      </c>
      <c r="N1965" s="135" t="s">
        <v>4016</v>
      </c>
      <c r="O1965" s="133" t="s">
        <v>3932</v>
      </c>
      <c r="Q1965" s="100" t="s">
        <v>4018</v>
      </c>
      <c r="R1965" s="226" t="s">
        <v>4026</v>
      </c>
      <c r="S1965" s="491" t="str">
        <f t="shared" si="63"/>
        <v>x</v>
      </c>
      <c r="T1965" s="492" t="str">
        <f>IFERROR(VLOOKUP(F1965,'Freq-Chan'!C:D,2,FALSE),"x")</f>
        <v>x</v>
      </c>
      <c r="U1965" s="110" t="s">
        <v>541</v>
      </c>
      <c r="V1965" s="110" t="str">
        <f t="shared" si="64"/>
        <v>FWL</v>
      </c>
      <c r="W1965" s="110" t="s">
        <v>541</v>
      </c>
      <c r="X1965" s="110" t="s">
        <v>541</v>
      </c>
      <c r="Y1965" s="110" t="str">
        <f>IFERROR(VLOOKUP(F1965,'Freq-Chan'!C:E,3,FALSE),"na")</f>
        <v>na</v>
      </c>
      <c r="Z1965" s="110" t="s">
        <v>541</v>
      </c>
      <c r="AA1965" s="110" t="s">
        <v>541</v>
      </c>
      <c r="AB1965" s="110" t="s">
        <v>541</v>
      </c>
      <c r="AC1965" s="10" t="s">
        <v>541</v>
      </c>
      <c r="AD1965" s="10" t="s">
        <v>541</v>
      </c>
    </row>
    <row r="1966" spans="1:30" x14ac:dyDescent="0.2">
      <c r="A1966" s="110">
        <v>1965</v>
      </c>
      <c r="B1966" s="132">
        <v>41856</v>
      </c>
      <c r="C1966" s="117">
        <v>3</v>
      </c>
      <c r="D1966" s="103" t="s">
        <v>71</v>
      </c>
      <c r="E1966" s="103" t="s">
        <v>306</v>
      </c>
      <c r="H1966" s="103"/>
      <c r="I1966" s="103">
        <v>55</v>
      </c>
      <c r="K1966" s="103" t="s">
        <v>365</v>
      </c>
      <c r="L1966" s="133"/>
      <c r="M1966" s="134">
        <v>1.5277777777777777E-2</v>
      </c>
      <c r="N1966" s="135" t="s">
        <v>3242</v>
      </c>
      <c r="O1966" s="133" t="s">
        <v>3932</v>
      </c>
      <c r="Q1966" s="100" t="s">
        <v>4018</v>
      </c>
      <c r="R1966" s="226" t="s">
        <v>4026</v>
      </c>
      <c r="S1966" s="491" t="str">
        <f t="shared" si="63"/>
        <v>x</v>
      </c>
      <c r="T1966" s="492" t="str">
        <f>IFERROR(VLOOKUP(F1966,'Freq-Chan'!C:D,2,FALSE),"x")</f>
        <v>x</v>
      </c>
      <c r="U1966" s="110" t="s">
        <v>541</v>
      </c>
      <c r="V1966" s="110" t="str">
        <f t="shared" si="64"/>
        <v>FWL</v>
      </c>
      <c r="W1966" s="110" t="s">
        <v>541</v>
      </c>
      <c r="X1966" s="110" t="s">
        <v>541</v>
      </c>
      <c r="Y1966" s="110" t="str">
        <f>IFERROR(VLOOKUP(F1966,'Freq-Chan'!C:E,3,FALSE),"na")</f>
        <v>na</v>
      </c>
      <c r="Z1966" s="110" t="s">
        <v>541</v>
      </c>
      <c r="AA1966" s="110" t="s">
        <v>541</v>
      </c>
      <c r="AB1966" s="110" t="s">
        <v>541</v>
      </c>
      <c r="AC1966" s="10" t="s">
        <v>541</v>
      </c>
      <c r="AD1966" s="10" t="s">
        <v>541</v>
      </c>
    </row>
    <row r="1967" spans="1:30" x14ac:dyDescent="0.2">
      <c r="A1967" s="110">
        <v>1966</v>
      </c>
      <c r="B1967" s="132">
        <v>41856</v>
      </c>
      <c r="C1967" s="117">
        <v>3</v>
      </c>
      <c r="D1967" s="103" t="s">
        <v>72</v>
      </c>
      <c r="E1967" s="103" t="s">
        <v>306</v>
      </c>
      <c r="F1967" s="103">
        <v>266</v>
      </c>
      <c r="G1967" s="103">
        <v>62</v>
      </c>
      <c r="H1967" s="103" t="s">
        <v>3522</v>
      </c>
      <c r="I1967" s="103">
        <v>55</v>
      </c>
      <c r="K1967" s="103" t="s">
        <v>1032</v>
      </c>
      <c r="L1967" s="133"/>
      <c r="M1967" s="134">
        <v>5.6944444444444443E-2</v>
      </c>
      <c r="N1967" s="137" t="s">
        <v>3363</v>
      </c>
      <c r="O1967" s="133" t="s">
        <v>1585</v>
      </c>
      <c r="P1967" s="100" t="s">
        <v>4467</v>
      </c>
      <c r="Q1967" s="100" t="s">
        <v>4018</v>
      </c>
      <c r="R1967" s="226" t="s">
        <v>4026</v>
      </c>
      <c r="S1967" s="491" t="str">
        <f t="shared" si="63"/>
        <v>x</v>
      </c>
      <c r="T1967" s="492">
        <f>IFERROR(VLOOKUP(F1967,'Freq-Chan'!C:D,2,FALSE),"x")</f>
        <v>151.26599999999999</v>
      </c>
      <c r="U1967" s="110" t="s">
        <v>541</v>
      </c>
      <c r="V1967" s="110" t="str">
        <f t="shared" si="64"/>
        <v>FWL</v>
      </c>
      <c r="W1967" s="110" t="s">
        <v>541</v>
      </c>
      <c r="X1967" s="110" t="s">
        <v>541</v>
      </c>
      <c r="Y1967" s="110" t="str">
        <f>IFERROR(VLOOKUP(F1967,'Freq-Chan'!C:E,3,FALSE),"na")</f>
        <v>F1840</v>
      </c>
      <c r="Z1967" s="110" t="s">
        <v>541</v>
      </c>
      <c r="AA1967" s="110" t="s">
        <v>541</v>
      </c>
      <c r="AB1967" s="110" t="s">
        <v>541</v>
      </c>
      <c r="AC1967" s="10" t="s">
        <v>541</v>
      </c>
      <c r="AD1967" s="10" t="s">
        <v>541</v>
      </c>
    </row>
    <row r="1968" spans="1:30" x14ac:dyDescent="0.2">
      <c r="A1968" s="110">
        <v>1967</v>
      </c>
      <c r="B1968" s="132">
        <v>41856</v>
      </c>
      <c r="C1968" s="117">
        <v>3</v>
      </c>
      <c r="D1968" s="103" t="s">
        <v>71</v>
      </c>
      <c r="E1968" s="103" t="s">
        <v>306</v>
      </c>
      <c r="H1968" s="103"/>
      <c r="I1968" s="103">
        <v>56</v>
      </c>
      <c r="K1968" s="103" t="s">
        <v>365</v>
      </c>
      <c r="L1968" s="133"/>
      <c r="M1968" s="134">
        <v>1.5972222222222224E-2</v>
      </c>
      <c r="N1968" s="135" t="s">
        <v>3832</v>
      </c>
      <c r="O1968" s="133" t="s">
        <v>3932</v>
      </c>
      <c r="Q1968" s="100" t="s">
        <v>4018</v>
      </c>
      <c r="R1968" s="226" t="s">
        <v>4026</v>
      </c>
      <c r="S1968" s="491" t="str">
        <f t="shared" si="63"/>
        <v>x</v>
      </c>
      <c r="T1968" s="492" t="str">
        <f>IFERROR(VLOOKUP(F1968,'Freq-Chan'!C:D,2,FALSE),"x")</f>
        <v>x</v>
      </c>
      <c r="U1968" s="110" t="s">
        <v>541</v>
      </c>
      <c r="V1968" s="110" t="str">
        <f t="shared" si="64"/>
        <v>FWL</v>
      </c>
      <c r="W1968" s="110" t="s">
        <v>541</v>
      </c>
      <c r="X1968" s="110" t="s">
        <v>541</v>
      </c>
      <c r="Y1968" s="110" t="str">
        <f>IFERROR(VLOOKUP(F1968,'Freq-Chan'!C:E,3,FALSE),"na")</f>
        <v>na</v>
      </c>
      <c r="Z1968" s="110" t="s">
        <v>541</v>
      </c>
      <c r="AA1968" s="110" t="s">
        <v>541</v>
      </c>
      <c r="AB1968" s="110" t="s">
        <v>541</v>
      </c>
      <c r="AC1968" s="10" t="s">
        <v>541</v>
      </c>
      <c r="AD1968" s="10" t="s">
        <v>541</v>
      </c>
    </row>
    <row r="1969" spans="1:30" s="291" customFormat="1" x14ac:dyDescent="0.2">
      <c r="A1969" s="493">
        <v>1968</v>
      </c>
      <c r="B1969" s="283">
        <v>41856</v>
      </c>
      <c r="C1969" s="284">
        <v>3</v>
      </c>
      <c r="D1969" s="285" t="s">
        <v>71</v>
      </c>
      <c r="E1969" s="285" t="s">
        <v>306</v>
      </c>
      <c r="F1969" s="285"/>
      <c r="G1969" s="285"/>
      <c r="H1969" s="285"/>
      <c r="I1969" s="285">
        <v>62</v>
      </c>
      <c r="J1969" s="285"/>
      <c r="K1969" s="285" t="s">
        <v>365</v>
      </c>
      <c r="L1969" s="286"/>
      <c r="M1969" s="287">
        <v>1.6666666666666666E-2</v>
      </c>
      <c r="N1969" s="339" t="s">
        <v>3206</v>
      </c>
      <c r="O1969" s="286" t="s">
        <v>3932</v>
      </c>
      <c r="P1969" s="289"/>
      <c r="Q1969" s="289" t="s">
        <v>4018</v>
      </c>
      <c r="R1969" s="290" t="s">
        <v>4026</v>
      </c>
      <c r="S1969" s="494" t="str">
        <f t="shared" si="63"/>
        <v>x</v>
      </c>
      <c r="T1969" s="495" t="str">
        <f>IFERROR(VLOOKUP(F1969,'Freq-Chan'!C:D,2,FALSE),"x")</f>
        <v>x</v>
      </c>
      <c r="U1969" s="493" t="s">
        <v>541</v>
      </c>
      <c r="V1969" s="493" t="str">
        <f t="shared" si="64"/>
        <v>FWL</v>
      </c>
      <c r="W1969" s="493" t="s">
        <v>541</v>
      </c>
      <c r="X1969" s="493" t="s">
        <v>541</v>
      </c>
      <c r="Y1969" s="493" t="str">
        <f>IFERROR(VLOOKUP(F1969,'Freq-Chan'!C:E,3,FALSE),"na")</f>
        <v>na</v>
      </c>
      <c r="Z1969" s="493" t="s">
        <v>541</v>
      </c>
      <c r="AA1969" s="493" t="s">
        <v>541</v>
      </c>
      <c r="AB1969" s="493" t="s">
        <v>541</v>
      </c>
      <c r="AC1969" s="291" t="s">
        <v>541</v>
      </c>
      <c r="AD1969" s="291" t="s">
        <v>541</v>
      </c>
    </row>
    <row r="1970" spans="1:30" x14ac:dyDescent="0.2">
      <c r="A1970" s="110">
        <v>1969</v>
      </c>
      <c r="B1970" s="132">
        <v>41857</v>
      </c>
      <c r="C1970" s="117">
        <v>1</v>
      </c>
      <c r="D1970" s="103" t="s">
        <v>70</v>
      </c>
      <c r="E1970" s="103" t="s">
        <v>306</v>
      </c>
      <c r="F1970" s="103">
        <v>515</v>
      </c>
      <c r="G1970" s="103">
        <v>22</v>
      </c>
      <c r="H1970" s="103" t="s">
        <v>3083</v>
      </c>
      <c r="I1970" s="103">
        <v>47</v>
      </c>
      <c r="K1970" s="103" t="s">
        <v>1032</v>
      </c>
      <c r="L1970" s="133"/>
      <c r="M1970" s="134">
        <v>4.3055555555555562E-2</v>
      </c>
      <c r="N1970" s="137" t="s">
        <v>3169</v>
      </c>
      <c r="O1970" s="133" t="s">
        <v>1585</v>
      </c>
      <c r="P1970" s="100" t="s">
        <v>4041</v>
      </c>
      <c r="Q1970" s="100" t="s">
        <v>4029</v>
      </c>
      <c r="R1970" s="226" t="s">
        <v>4054</v>
      </c>
      <c r="S1970" s="491" t="str">
        <f t="shared" si="63"/>
        <v>x</v>
      </c>
      <c r="T1970" s="492">
        <f>IFERROR(VLOOKUP(F1970,'Freq-Chan'!C:D,2,FALSE),"x")</f>
        <v>151.51499999999999</v>
      </c>
      <c r="U1970" s="110" t="s">
        <v>541</v>
      </c>
      <c r="V1970" s="110" t="str">
        <f t="shared" si="64"/>
        <v>FWL</v>
      </c>
      <c r="W1970" s="110" t="s">
        <v>541</v>
      </c>
      <c r="X1970" s="110" t="s">
        <v>541</v>
      </c>
      <c r="Y1970" s="110" t="str">
        <f>IFERROR(VLOOKUP(F1970,'Freq-Chan'!C:E,3,FALSE),"na")</f>
        <v>F1835</v>
      </c>
      <c r="Z1970" s="110" t="s">
        <v>541</v>
      </c>
      <c r="AA1970" s="110" t="s">
        <v>541</v>
      </c>
      <c r="AB1970" s="110" t="s">
        <v>541</v>
      </c>
      <c r="AC1970" s="10" t="s">
        <v>541</v>
      </c>
      <c r="AD1970" s="10" t="s">
        <v>541</v>
      </c>
    </row>
    <row r="1971" spans="1:30" x14ac:dyDescent="0.2">
      <c r="A1971" s="110">
        <v>1970</v>
      </c>
      <c r="B1971" s="132">
        <v>41857</v>
      </c>
      <c r="C1971" s="117">
        <v>1</v>
      </c>
      <c r="D1971" s="103" t="s">
        <v>70</v>
      </c>
      <c r="E1971" s="103" t="s">
        <v>306</v>
      </c>
      <c r="H1971" s="103"/>
      <c r="I1971" s="103">
        <v>43</v>
      </c>
      <c r="K1971" s="103" t="s">
        <v>1032</v>
      </c>
      <c r="L1971" s="133"/>
      <c r="M1971" s="134">
        <v>1.7361111111111112E-2</v>
      </c>
      <c r="N1971" s="137" t="s">
        <v>3322</v>
      </c>
      <c r="O1971" s="133" t="s">
        <v>3932</v>
      </c>
      <c r="Q1971" s="100" t="s">
        <v>4029</v>
      </c>
      <c r="R1971" s="226" t="s">
        <v>4054</v>
      </c>
      <c r="S1971" s="491" t="str">
        <f t="shared" si="61"/>
        <v>x</v>
      </c>
      <c r="T1971" s="492" t="str">
        <f>IFERROR(VLOOKUP(F1971,'Freq-Chan'!C:D,2,FALSE),"x")</f>
        <v>x</v>
      </c>
      <c r="U1971" s="110" t="s">
        <v>541</v>
      </c>
      <c r="V1971" s="110" t="str">
        <f t="shared" si="62"/>
        <v>FWL</v>
      </c>
      <c r="W1971" s="110" t="s">
        <v>541</v>
      </c>
      <c r="X1971" s="110" t="s">
        <v>541</v>
      </c>
      <c r="Y1971" s="110" t="str">
        <f>IFERROR(VLOOKUP(F1971,'Freq-Chan'!C:E,3,FALSE),"na")</f>
        <v>na</v>
      </c>
      <c r="Z1971" s="110" t="s">
        <v>541</v>
      </c>
      <c r="AA1971" s="110" t="s">
        <v>541</v>
      </c>
      <c r="AB1971" s="110" t="s">
        <v>541</v>
      </c>
      <c r="AC1971" s="10" t="s">
        <v>541</v>
      </c>
      <c r="AD1971" s="10" t="s">
        <v>541</v>
      </c>
    </row>
    <row r="1972" spans="1:30" x14ac:dyDescent="0.2">
      <c r="A1972" s="110">
        <v>1971</v>
      </c>
      <c r="B1972" s="132">
        <v>41857</v>
      </c>
      <c r="C1972" s="117">
        <v>1</v>
      </c>
      <c r="D1972" s="103" t="s">
        <v>70</v>
      </c>
      <c r="E1972" s="103" t="s">
        <v>306</v>
      </c>
      <c r="F1972" s="103">
        <v>515</v>
      </c>
      <c r="G1972" s="103">
        <v>40</v>
      </c>
      <c r="H1972" s="103" t="s">
        <v>3084</v>
      </c>
      <c r="I1972" s="103">
        <v>47</v>
      </c>
      <c r="K1972" s="103" t="s">
        <v>365</v>
      </c>
      <c r="L1972" s="133"/>
      <c r="M1972" s="134">
        <v>7.013888888888889E-2</v>
      </c>
      <c r="N1972" s="135" t="s">
        <v>395</v>
      </c>
      <c r="O1972" s="133" t="s">
        <v>1585</v>
      </c>
      <c r="Q1972" s="100" t="s">
        <v>4029</v>
      </c>
      <c r="R1972" s="226" t="s">
        <v>4054</v>
      </c>
      <c r="S1972" s="491" t="str">
        <f t="shared" si="61"/>
        <v>x</v>
      </c>
      <c r="T1972" s="492">
        <f>IFERROR(VLOOKUP(F1972,'Freq-Chan'!C:D,2,FALSE),"x")</f>
        <v>151.51499999999999</v>
      </c>
      <c r="U1972" s="110" t="s">
        <v>541</v>
      </c>
      <c r="V1972" s="110" t="str">
        <f t="shared" si="62"/>
        <v>FWL</v>
      </c>
      <c r="W1972" s="110" t="s">
        <v>541</v>
      </c>
      <c r="X1972" s="110" t="s">
        <v>541</v>
      </c>
      <c r="Y1972" s="110" t="str">
        <f>IFERROR(VLOOKUP(F1972,'Freq-Chan'!C:E,3,FALSE),"na")</f>
        <v>F1835</v>
      </c>
      <c r="Z1972" s="110" t="s">
        <v>541</v>
      </c>
      <c r="AA1972" s="110" t="s">
        <v>541</v>
      </c>
      <c r="AB1972" s="110" t="s">
        <v>541</v>
      </c>
      <c r="AC1972" s="10" t="s">
        <v>541</v>
      </c>
      <c r="AD1972" s="10" t="s">
        <v>541</v>
      </c>
    </row>
    <row r="1973" spans="1:30" x14ac:dyDescent="0.2">
      <c r="A1973" s="110">
        <v>1972</v>
      </c>
      <c r="B1973" s="132">
        <v>41857</v>
      </c>
      <c r="C1973" s="117">
        <v>1</v>
      </c>
      <c r="D1973" s="103" t="s">
        <v>70</v>
      </c>
      <c r="E1973" s="103" t="s">
        <v>306</v>
      </c>
      <c r="H1973" s="103"/>
      <c r="I1973" s="103">
        <v>49</v>
      </c>
      <c r="K1973" s="103" t="s">
        <v>365</v>
      </c>
      <c r="L1973" s="133"/>
      <c r="M1973" s="134">
        <v>5.9027777777777783E-2</v>
      </c>
      <c r="N1973" s="135" t="s">
        <v>3386</v>
      </c>
      <c r="O1973" s="133" t="s">
        <v>3932</v>
      </c>
      <c r="P1973" s="100" t="s">
        <v>4042</v>
      </c>
      <c r="Q1973" s="100" t="s">
        <v>4029</v>
      </c>
      <c r="R1973" s="226" t="s">
        <v>4054</v>
      </c>
      <c r="S1973" s="491" t="str">
        <f t="shared" si="61"/>
        <v>x</v>
      </c>
      <c r="T1973" s="492" t="str">
        <f>IFERROR(VLOOKUP(F1973,'Freq-Chan'!C:D,2,FALSE),"x")</f>
        <v>x</v>
      </c>
      <c r="U1973" s="110" t="s">
        <v>541</v>
      </c>
      <c r="V1973" s="110" t="str">
        <f t="shared" si="62"/>
        <v>FWL</v>
      </c>
      <c r="W1973" s="110" t="s">
        <v>541</v>
      </c>
      <c r="X1973" s="110" t="s">
        <v>541</v>
      </c>
      <c r="Y1973" s="110" t="str">
        <f>IFERROR(VLOOKUP(F1973,'Freq-Chan'!C:E,3,FALSE),"na")</f>
        <v>na</v>
      </c>
      <c r="Z1973" s="110" t="s">
        <v>541</v>
      </c>
      <c r="AA1973" s="110" t="s">
        <v>541</v>
      </c>
      <c r="AB1973" s="110" t="s">
        <v>541</v>
      </c>
      <c r="AC1973" s="10" t="s">
        <v>541</v>
      </c>
      <c r="AD1973" s="10" t="s">
        <v>541</v>
      </c>
    </row>
    <row r="1974" spans="1:30" x14ac:dyDescent="0.2">
      <c r="A1974" s="110">
        <v>1973</v>
      </c>
      <c r="B1974" s="132">
        <v>41857</v>
      </c>
      <c r="C1974" s="117">
        <v>1</v>
      </c>
      <c r="D1974" s="103" t="s">
        <v>8</v>
      </c>
      <c r="E1974" s="103" t="s">
        <v>306</v>
      </c>
      <c r="F1974" s="103">
        <v>586</v>
      </c>
      <c r="G1974" s="103">
        <v>54</v>
      </c>
      <c r="H1974" s="103" t="s">
        <v>2213</v>
      </c>
      <c r="I1974" s="103">
        <v>56</v>
      </c>
      <c r="K1974" s="103" t="s">
        <v>1032</v>
      </c>
      <c r="L1974" s="133"/>
      <c r="M1974" s="134">
        <v>5.1388888888888894E-2</v>
      </c>
      <c r="N1974" s="135" t="s">
        <v>3492</v>
      </c>
      <c r="O1974" s="133" t="s">
        <v>1585</v>
      </c>
      <c r="Q1974" s="100" t="s">
        <v>4029</v>
      </c>
      <c r="R1974" s="226" t="s">
        <v>4054</v>
      </c>
      <c r="S1974" s="491" t="str">
        <f t="shared" si="61"/>
        <v>x</v>
      </c>
      <c r="T1974" s="492">
        <f>IFERROR(VLOOKUP(F1974,'Freq-Chan'!C:D,2,FALSE),"x")</f>
        <v>151.58600000000001</v>
      </c>
      <c r="U1974" s="110" t="s">
        <v>541</v>
      </c>
      <c r="V1974" s="110" t="str">
        <f t="shared" si="62"/>
        <v>FWL</v>
      </c>
      <c r="W1974" s="110" t="s">
        <v>541</v>
      </c>
      <c r="X1974" s="110" t="s">
        <v>541</v>
      </c>
      <c r="Y1974" s="110" t="str">
        <f>IFERROR(VLOOKUP(F1974,'Freq-Chan'!C:E,3,FALSE),"na")</f>
        <v>F1840</v>
      </c>
      <c r="Z1974" s="110" t="s">
        <v>541</v>
      </c>
      <c r="AA1974" s="110" t="s">
        <v>541</v>
      </c>
      <c r="AB1974" s="110" t="s">
        <v>541</v>
      </c>
      <c r="AC1974" s="10" t="s">
        <v>541</v>
      </c>
      <c r="AD1974" s="10" t="s">
        <v>541</v>
      </c>
    </row>
    <row r="1975" spans="1:30" x14ac:dyDescent="0.2">
      <c r="A1975" s="110">
        <v>1974</v>
      </c>
      <c r="B1975" s="132">
        <v>41857</v>
      </c>
      <c r="C1975" s="117">
        <v>1</v>
      </c>
      <c r="D1975" s="103" t="s">
        <v>70</v>
      </c>
      <c r="E1975" s="103" t="s">
        <v>306</v>
      </c>
      <c r="H1975" s="103"/>
      <c r="I1975" s="103">
        <v>45</v>
      </c>
      <c r="K1975" s="103" t="s">
        <v>365</v>
      </c>
      <c r="L1975" s="133"/>
      <c r="M1975" s="134">
        <v>1.8055555555555557E-2</v>
      </c>
      <c r="N1975" s="135" t="s">
        <v>3493</v>
      </c>
      <c r="O1975" s="133" t="s">
        <v>3932</v>
      </c>
      <c r="Q1975" s="100" t="s">
        <v>4029</v>
      </c>
      <c r="R1975" s="226" t="s">
        <v>4054</v>
      </c>
      <c r="S1975" s="491" t="str">
        <f t="shared" si="61"/>
        <v>x</v>
      </c>
      <c r="T1975" s="492" t="str">
        <f>IFERROR(VLOOKUP(F1975,'Freq-Chan'!C:D,2,FALSE),"x")</f>
        <v>x</v>
      </c>
      <c r="U1975" s="110" t="s">
        <v>541</v>
      </c>
      <c r="V1975" s="110" t="str">
        <f t="shared" si="62"/>
        <v>FWL</v>
      </c>
      <c r="W1975" s="110" t="s">
        <v>541</v>
      </c>
      <c r="X1975" s="110" t="s">
        <v>541</v>
      </c>
      <c r="Y1975" s="110" t="str">
        <f>IFERROR(VLOOKUP(F1975,'Freq-Chan'!C:E,3,FALSE),"na")</f>
        <v>na</v>
      </c>
      <c r="Z1975" s="110" t="s">
        <v>541</v>
      </c>
      <c r="AA1975" s="110" t="s">
        <v>541</v>
      </c>
      <c r="AB1975" s="110" t="s">
        <v>541</v>
      </c>
      <c r="AC1975" s="10" t="s">
        <v>541</v>
      </c>
      <c r="AD1975" s="10" t="s">
        <v>541</v>
      </c>
    </row>
    <row r="1976" spans="1:30" x14ac:dyDescent="0.2">
      <c r="A1976" s="110">
        <v>1975</v>
      </c>
      <c r="B1976" s="132">
        <v>41857</v>
      </c>
      <c r="C1976" s="117">
        <v>1</v>
      </c>
      <c r="D1976" s="103" t="s">
        <v>70</v>
      </c>
      <c r="E1976" s="103" t="s">
        <v>306</v>
      </c>
      <c r="H1976" s="103"/>
      <c r="I1976" s="103">
        <v>43</v>
      </c>
      <c r="K1976" s="103" t="s">
        <v>365</v>
      </c>
      <c r="L1976" s="133"/>
      <c r="M1976" s="134">
        <v>1.4583333333333332E-2</v>
      </c>
      <c r="N1976" s="135" t="s">
        <v>3496</v>
      </c>
      <c r="O1976" s="133" t="s">
        <v>3932</v>
      </c>
      <c r="Q1976" s="100" t="s">
        <v>4029</v>
      </c>
      <c r="R1976" s="226" t="s">
        <v>4054</v>
      </c>
      <c r="S1976" s="491" t="str">
        <f t="shared" si="61"/>
        <v>x</v>
      </c>
      <c r="T1976" s="492" t="str">
        <f>IFERROR(VLOOKUP(F1976,'Freq-Chan'!C:D,2,FALSE),"x")</f>
        <v>x</v>
      </c>
      <c r="U1976" s="110" t="s">
        <v>541</v>
      </c>
      <c r="V1976" s="110" t="str">
        <f t="shared" si="62"/>
        <v>FWL</v>
      </c>
      <c r="W1976" s="110" t="s">
        <v>541</v>
      </c>
      <c r="X1976" s="110" t="s">
        <v>541</v>
      </c>
      <c r="Y1976" s="110" t="str">
        <f>IFERROR(VLOOKUP(F1976,'Freq-Chan'!C:E,3,FALSE),"na")</f>
        <v>na</v>
      </c>
      <c r="Z1976" s="110" t="s">
        <v>541</v>
      </c>
      <c r="AA1976" s="110" t="s">
        <v>541</v>
      </c>
      <c r="AB1976" s="110" t="s">
        <v>541</v>
      </c>
      <c r="AC1976" s="10" t="s">
        <v>541</v>
      </c>
      <c r="AD1976" s="10" t="s">
        <v>541</v>
      </c>
    </row>
    <row r="1977" spans="1:30" x14ac:dyDescent="0.2">
      <c r="A1977" s="110">
        <v>1976</v>
      </c>
      <c r="B1977" s="132">
        <v>41857</v>
      </c>
      <c r="C1977" s="117">
        <v>1</v>
      </c>
      <c r="D1977" s="103" t="s">
        <v>71</v>
      </c>
      <c r="E1977" s="103" t="s">
        <v>306</v>
      </c>
      <c r="F1977" s="103">
        <v>534</v>
      </c>
      <c r="G1977" s="103">
        <v>48</v>
      </c>
      <c r="H1977" s="103" t="s">
        <v>2393</v>
      </c>
      <c r="I1977" s="103">
        <v>67</v>
      </c>
      <c r="K1977" s="103" t="s">
        <v>364</v>
      </c>
      <c r="L1977" s="133"/>
      <c r="M1977" s="134">
        <v>4.9305555555555554E-2</v>
      </c>
      <c r="N1977" s="135" t="s">
        <v>4013</v>
      </c>
      <c r="O1977" s="133" t="s">
        <v>950</v>
      </c>
      <c r="Q1977" s="100" t="s">
        <v>4031</v>
      </c>
      <c r="R1977" s="226" t="s">
        <v>4054</v>
      </c>
      <c r="S1977" s="491" t="str">
        <f t="shared" si="61"/>
        <v>x</v>
      </c>
      <c r="T1977" s="492">
        <f>IFERROR(VLOOKUP(F1977,'Freq-Chan'!C:D,2,FALSE),"x")</f>
        <v>151.53399999999999</v>
      </c>
      <c r="U1977" s="110" t="s">
        <v>541</v>
      </c>
      <c r="V1977" s="110" t="str">
        <f t="shared" si="62"/>
        <v>FWL</v>
      </c>
      <c r="W1977" s="110" t="s">
        <v>541</v>
      </c>
      <c r="X1977" s="110" t="s">
        <v>541</v>
      </c>
      <c r="Y1977" s="110" t="str">
        <f>IFERROR(VLOOKUP(F1977,'Freq-Chan'!C:E,3,FALSE),"na")</f>
        <v>F1840</v>
      </c>
      <c r="Z1977" s="110" t="s">
        <v>541</v>
      </c>
      <c r="AA1977" s="110" t="s">
        <v>541</v>
      </c>
      <c r="AB1977" s="110" t="s">
        <v>541</v>
      </c>
      <c r="AC1977" s="10" t="s">
        <v>541</v>
      </c>
      <c r="AD1977" s="10" t="s">
        <v>541</v>
      </c>
    </row>
    <row r="1978" spans="1:30" x14ac:dyDescent="0.2">
      <c r="A1978" s="110">
        <v>1977</v>
      </c>
      <c r="B1978" s="132">
        <v>41857</v>
      </c>
      <c r="C1978" s="117">
        <v>1</v>
      </c>
      <c r="D1978" s="103" t="s">
        <v>71</v>
      </c>
      <c r="E1978" s="103" t="s">
        <v>306</v>
      </c>
      <c r="F1978" s="103">
        <v>534</v>
      </c>
      <c r="G1978" s="103">
        <v>25</v>
      </c>
      <c r="H1978" s="103" t="s">
        <v>2395</v>
      </c>
      <c r="I1978" s="103">
        <v>58</v>
      </c>
      <c r="K1978" s="103" t="s">
        <v>1032</v>
      </c>
      <c r="L1978" s="133"/>
      <c r="M1978" s="134">
        <v>4.3750000000000004E-2</v>
      </c>
      <c r="N1978" s="137" t="s">
        <v>2814</v>
      </c>
      <c r="O1978" s="133" t="s">
        <v>2931</v>
      </c>
      <c r="Q1978" s="100" t="s">
        <v>4031</v>
      </c>
      <c r="R1978" s="226" t="s">
        <v>4054</v>
      </c>
      <c r="S1978" s="491" t="str">
        <f t="shared" si="61"/>
        <v>x</v>
      </c>
      <c r="T1978" s="492">
        <f>IFERROR(VLOOKUP(F1978,'Freq-Chan'!C:D,2,FALSE),"x")</f>
        <v>151.53399999999999</v>
      </c>
      <c r="U1978" s="110" t="s">
        <v>541</v>
      </c>
      <c r="V1978" s="110" t="str">
        <f t="shared" si="62"/>
        <v>FWL</v>
      </c>
      <c r="W1978" s="110" t="s">
        <v>541</v>
      </c>
      <c r="X1978" s="110" t="s">
        <v>541</v>
      </c>
      <c r="Y1978" s="110" t="str">
        <f>IFERROR(VLOOKUP(F1978,'Freq-Chan'!C:E,3,FALSE),"na")</f>
        <v>F1840</v>
      </c>
      <c r="Z1978" s="110" t="s">
        <v>541</v>
      </c>
      <c r="AA1978" s="110" t="s">
        <v>541</v>
      </c>
      <c r="AB1978" s="110" t="s">
        <v>541</v>
      </c>
      <c r="AC1978" s="10" t="s">
        <v>541</v>
      </c>
      <c r="AD1978" s="10" t="s">
        <v>541</v>
      </c>
    </row>
    <row r="1979" spans="1:30" x14ac:dyDescent="0.2">
      <c r="A1979" s="110">
        <v>1978</v>
      </c>
      <c r="B1979" s="132">
        <v>41857</v>
      </c>
      <c r="C1979" s="117">
        <v>1</v>
      </c>
      <c r="D1979" s="103" t="s">
        <v>70</v>
      </c>
      <c r="E1979" s="103" t="s">
        <v>306</v>
      </c>
      <c r="H1979" s="103"/>
      <c r="I1979" s="103">
        <v>45</v>
      </c>
      <c r="K1979" s="103" t="s">
        <v>365</v>
      </c>
      <c r="L1979" s="133"/>
      <c r="M1979" s="134">
        <v>1.8055555555555557E-2</v>
      </c>
      <c r="N1979" s="135" t="s">
        <v>3903</v>
      </c>
      <c r="O1979" s="133" t="s">
        <v>2931</v>
      </c>
      <c r="Q1979" s="100" t="s">
        <v>4031</v>
      </c>
      <c r="R1979" s="226" t="s">
        <v>4054</v>
      </c>
      <c r="S1979" s="491" t="str">
        <f t="shared" si="61"/>
        <v>x</v>
      </c>
      <c r="T1979" s="492" t="str">
        <f>IFERROR(VLOOKUP(F1979,'Freq-Chan'!C:D,2,FALSE),"x")</f>
        <v>x</v>
      </c>
      <c r="U1979" s="110" t="s">
        <v>541</v>
      </c>
      <c r="V1979" s="110" t="str">
        <f t="shared" si="62"/>
        <v>FWL</v>
      </c>
      <c r="W1979" s="110" t="s">
        <v>541</v>
      </c>
      <c r="X1979" s="110" t="s">
        <v>541</v>
      </c>
      <c r="Y1979" s="110" t="str">
        <f>IFERROR(VLOOKUP(F1979,'Freq-Chan'!C:E,3,FALSE),"na")</f>
        <v>na</v>
      </c>
      <c r="Z1979" s="110" t="s">
        <v>541</v>
      </c>
      <c r="AA1979" s="110" t="s">
        <v>541</v>
      </c>
      <c r="AB1979" s="110" t="s">
        <v>541</v>
      </c>
      <c r="AC1979" s="10" t="s">
        <v>541</v>
      </c>
      <c r="AD1979" s="10" t="s">
        <v>541</v>
      </c>
    </row>
    <row r="1980" spans="1:30" x14ac:dyDescent="0.2">
      <c r="A1980" s="110">
        <v>1979</v>
      </c>
      <c r="B1980" s="132">
        <v>41857</v>
      </c>
      <c r="C1980" s="117">
        <v>1</v>
      </c>
      <c r="D1980" s="103" t="s">
        <v>70</v>
      </c>
      <c r="E1980" s="103" t="s">
        <v>306</v>
      </c>
      <c r="H1980" s="103"/>
      <c r="I1980" s="103">
        <v>46</v>
      </c>
      <c r="K1980" s="103" t="s">
        <v>1032</v>
      </c>
      <c r="L1980" s="133"/>
      <c r="M1980" s="134">
        <v>1.4583333333333332E-2</v>
      </c>
      <c r="N1980" s="137" t="s">
        <v>2048</v>
      </c>
      <c r="O1980" s="133" t="s">
        <v>2931</v>
      </c>
      <c r="Q1980" s="100" t="s">
        <v>4031</v>
      </c>
      <c r="R1980" s="226" t="s">
        <v>4054</v>
      </c>
      <c r="S1980" s="491" t="str">
        <f t="shared" si="61"/>
        <v>x</v>
      </c>
      <c r="T1980" s="492" t="str">
        <f>IFERROR(VLOOKUP(F1980,'Freq-Chan'!C:D,2,FALSE),"x")</f>
        <v>x</v>
      </c>
      <c r="U1980" s="110" t="s">
        <v>541</v>
      </c>
      <c r="V1980" s="110" t="str">
        <f t="shared" si="62"/>
        <v>FWL</v>
      </c>
      <c r="W1980" s="110" t="s">
        <v>541</v>
      </c>
      <c r="X1980" s="110" t="s">
        <v>541</v>
      </c>
      <c r="Y1980" s="110" t="str">
        <f>IFERROR(VLOOKUP(F1980,'Freq-Chan'!C:E,3,FALSE),"na")</f>
        <v>na</v>
      </c>
      <c r="Z1980" s="110" t="s">
        <v>541</v>
      </c>
      <c r="AA1980" s="110" t="s">
        <v>541</v>
      </c>
      <c r="AB1980" s="110" t="s">
        <v>541</v>
      </c>
      <c r="AC1980" s="10" t="s">
        <v>541</v>
      </c>
      <c r="AD1980" s="10" t="s">
        <v>541</v>
      </c>
    </row>
    <row r="1981" spans="1:30" x14ac:dyDescent="0.2">
      <c r="A1981" s="110">
        <v>1980</v>
      </c>
      <c r="B1981" s="132">
        <v>41857</v>
      </c>
      <c r="C1981" s="117">
        <v>1</v>
      </c>
      <c r="D1981" s="103" t="s">
        <v>90</v>
      </c>
      <c r="E1981" s="103" t="s">
        <v>798</v>
      </c>
      <c r="H1981" s="103" t="s">
        <v>1719</v>
      </c>
      <c r="J1981" s="103">
        <v>40</v>
      </c>
      <c r="K1981" s="103" t="s">
        <v>364</v>
      </c>
      <c r="L1981" s="133"/>
      <c r="M1981" s="134">
        <v>5.2777777777777778E-2</v>
      </c>
      <c r="N1981" s="137" t="s">
        <v>3357</v>
      </c>
      <c r="O1981" s="133" t="s">
        <v>950</v>
      </c>
      <c r="P1981" s="100" t="s">
        <v>4043</v>
      </c>
      <c r="Q1981" s="100" t="s">
        <v>4031</v>
      </c>
      <c r="R1981" s="226" t="s">
        <v>4054</v>
      </c>
      <c r="S1981" s="491" t="str">
        <f t="shared" si="61"/>
        <v>x</v>
      </c>
      <c r="T1981" s="492" t="str">
        <f>IFERROR(VLOOKUP(F1981,'Freq-Chan'!C:D,2,FALSE),"x")</f>
        <v>x</v>
      </c>
      <c r="U1981" s="110" t="s">
        <v>541</v>
      </c>
      <c r="V1981" s="110" t="str">
        <f t="shared" si="62"/>
        <v>FWL</v>
      </c>
      <c r="W1981" s="110" t="s">
        <v>541</v>
      </c>
      <c r="X1981" s="110" t="s">
        <v>541</v>
      </c>
      <c r="Y1981" s="110" t="str">
        <f>IFERROR(VLOOKUP(F1981,'Freq-Chan'!C:E,3,FALSE),"na")</f>
        <v>na</v>
      </c>
      <c r="Z1981" s="110" t="s">
        <v>541</v>
      </c>
      <c r="AA1981" s="110" t="s">
        <v>541</v>
      </c>
      <c r="AB1981" s="110" t="s">
        <v>541</v>
      </c>
      <c r="AC1981" s="10" t="s">
        <v>541</v>
      </c>
      <c r="AD1981" s="10" t="s">
        <v>541</v>
      </c>
    </row>
    <row r="1982" spans="1:30" x14ac:dyDescent="0.2">
      <c r="A1982" s="110">
        <v>1981</v>
      </c>
      <c r="B1982" s="132">
        <v>41857</v>
      </c>
      <c r="C1982" s="117">
        <v>1</v>
      </c>
      <c r="D1982" s="103" t="s">
        <v>70</v>
      </c>
      <c r="E1982" s="103" t="s">
        <v>306</v>
      </c>
      <c r="H1982" s="103"/>
      <c r="I1982" s="103">
        <v>47</v>
      </c>
      <c r="K1982" s="103" t="s">
        <v>1032</v>
      </c>
      <c r="L1982" s="133"/>
      <c r="M1982" s="134">
        <v>2.7083333333333334E-2</v>
      </c>
      <c r="N1982" s="135" t="s">
        <v>2532</v>
      </c>
      <c r="O1982" s="133" t="s">
        <v>2931</v>
      </c>
      <c r="Q1982" s="100" t="s">
        <v>4031</v>
      </c>
      <c r="R1982" s="226" t="s">
        <v>4054</v>
      </c>
      <c r="S1982" s="491" t="str">
        <f t="shared" si="61"/>
        <v>x</v>
      </c>
      <c r="T1982" s="492" t="str">
        <f>IFERROR(VLOOKUP(F1982,'Freq-Chan'!C:D,2,FALSE),"x")</f>
        <v>x</v>
      </c>
      <c r="U1982" s="110" t="s">
        <v>541</v>
      </c>
      <c r="V1982" s="110" t="str">
        <f t="shared" si="62"/>
        <v>FWL</v>
      </c>
      <c r="W1982" s="110" t="s">
        <v>541</v>
      </c>
      <c r="X1982" s="110" t="s">
        <v>541</v>
      </c>
      <c r="Y1982" s="110" t="str">
        <f>IFERROR(VLOOKUP(F1982,'Freq-Chan'!C:E,3,FALSE),"na")</f>
        <v>na</v>
      </c>
      <c r="Z1982" s="110" t="s">
        <v>541</v>
      </c>
      <c r="AA1982" s="110" t="s">
        <v>541</v>
      </c>
      <c r="AB1982" s="110" t="s">
        <v>541</v>
      </c>
      <c r="AC1982" s="10" t="s">
        <v>541</v>
      </c>
      <c r="AD1982" s="10" t="s">
        <v>541</v>
      </c>
    </row>
    <row r="1983" spans="1:30" x14ac:dyDescent="0.2">
      <c r="A1983" s="110">
        <v>1982</v>
      </c>
      <c r="B1983" s="132">
        <v>41857</v>
      </c>
      <c r="C1983" s="117">
        <v>1</v>
      </c>
      <c r="D1983" s="103" t="s">
        <v>70</v>
      </c>
      <c r="E1983" s="103" t="s">
        <v>306</v>
      </c>
      <c r="H1983" s="103"/>
      <c r="I1983" s="103">
        <v>45</v>
      </c>
      <c r="K1983" s="103" t="s">
        <v>365</v>
      </c>
      <c r="L1983" s="133"/>
      <c r="M1983" s="134">
        <v>1.9444444444444445E-2</v>
      </c>
      <c r="N1983" s="137" t="s">
        <v>2049</v>
      </c>
      <c r="O1983" s="133" t="s">
        <v>2931</v>
      </c>
      <c r="Q1983" s="100" t="s">
        <v>4031</v>
      </c>
      <c r="R1983" s="226" t="s">
        <v>4054</v>
      </c>
      <c r="S1983" s="491" t="str">
        <f t="shared" si="61"/>
        <v>x</v>
      </c>
      <c r="T1983" s="492" t="str">
        <f>IFERROR(VLOOKUP(F1983,'Freq-Chan'!C:D,2,FALSE),"x")</f>
        <v>x</v>
      </c>
      <c r="U1983" s="110" t="s">
        <v>541</v>
      </c>
      <c r="V1983" s="110" t="str">
        <f t="shared" si="62"/>
        <v>FWL</v>
      </c>
      <c r="W1983" s="110" t="s">
        <v>541</v>
      </c>
      <c r="X1983" s="110" t="s">
        <v>541</v>
      </c>
      <c r="Y1983" s="110" t="str">
        <f>IFERROR(VLOOKUP(F1983,'Freq-Chan'!C:E,3,FALSE),"na")</f>
        <v>na</v>
      </c>
      <c r="Z1983" s="110" t="s">
        <v>541</v>
      </c>
      <c r="AA1983" s="110" t="s">
        <v>541</v>
      </c>
      <c r="AB1983" s="110" t="s">
        <v>541</v>
      </c>
      <c r="AC1983" s="10" t="s">
        <v>541</v>
      </c>
      <c r="AD1983" s="10" t="s">
        <v>541</v>
      </c>
    </row>
    <row r="1984" spans="1:30" x14ac:dyDescent="0.2">
      <c r="A1984" s="110">
        <v>1983</v>
      </c>
      <c r="B1984" s="132">
        <v>41857</v>
      </c>
      <c r="C1984" s="117">
        <v>1</v>
      </c>
      <c r="D1984" s="103" t="s">
        <v>70</v>
      </c>
      <c r="E1984" s="103" t="s">
        <v>306</v>
      </c>
      <c r="H1984" s="103"/>
      <c r="I1984" s="103">
        <v>46</v>
      </c>
      <c r="K1984" s="103" t="s">
        <v>1032</v>
      </c>
      <c r="L1984" s="133"/>
      <c r="M1984" s="134">
        <v>1.3888888888888888E-2</v>
      </c>
      <c r="N1984" s="135" t="s">
        <v>3948</v>
      </c>
      <c r="O1984" s="133" t="s">
        <v>2931</v>
      </c>
      <c r="Q1984" s="100" t="s">
        <v>4031</v>
      </c>
      <c r="R1984" s="226" t="s">
        <v>4054</v>
      </c>
      <c r="S1984" s="491" t="str">
        <f t="shared" si="61"/>
        <v>x</v>
      </c>
      <c r="T1984" s="492" t="str">
        <f>IFERROR(VLOOKUP(F1984,'Freq-Chan'!C:D,2,FALSE),"x")</f>
        <v>x</v>
      </c>
      <c r="U1984" s="110" t="s">
        <v>541</v>
      </c>
      <c r="V1984" s="110" t="str">
        <f t="shared" si="62"/>
        <v>FWL</v>
      </c>
      <c r="W1984" s="110" t="s">
        <v>541</v>
      </c>
      <c r="X1984" s="110" t="s">
        <v>541</v>
      </c>
      <c r="Y1984" s="110" t="str">
        <f>IFERROR(VLOOKUP(F1984,'Freq-Chan'!C:E,3,FALSE),"na")</f>
        <v>na</v>
      </c>
      <c r="Z1984" s="110" t="s">
        <v>541</v>
      </c>
      <c r="AA1984" s="110" t="s">
        <v>541</v>
      </c>
      <c r="AB1984" s="110" t="s">
        <v>541</v>
      </c>
      <c r="AC1984" s="10" t="s">
        <v>541</v>
      </c>
      <c r="AD1984" s="10" t="s">
        <v>541</v>
      </c>
    </row>
    <row r="1985" spans="1:30" x14ac:dyDescent="0.2">
      <c r="A1985" s="110">
        <v>1984</v>
      </c>
      <c r="B1985" s="132">
        <v>41857</v>
      </c>
      <c r="C1985" s="117">
        <v>1</v>
      </c>
      <c r="D1985" s="103" t="s">
        <v>70</v>
      </c>
      <c r="E1985" s="103" t="s">
        <v>306</v>
      </c>
      <c r="H1985" s="103"/>
      <c r="I1985" s="103">
        <v>47</v>
      </c>
      <c r="K1985" s="103" t="s">
        <v>365</v>
      </c>
      <c r="L1985" s="133"/>
      <c r="M1985" s="134">
        <v>1.7361111111111112E-2</v>
      </c>
      <c r="N1985" s="137" t="s">
        <v>3905</v>
      </c>
      <c r="O1985" s="133" t="s">
        <v>2931</v>
      </c>
      <c r="Q1985" s="100" t="s">
        <v>4031</v>
      </c>
      <c r="R1985" s="226" t="s">
        <v>4054</v>
      </c>
      <c r="S1985" s="491" t="str">
        <f t="shared" si="61"/>
        <v>x</v>
      </c>
      <c r="T1985" s="492" t="str">
        <f>IFERROR(VLOOKUP(F1985,'Freq-Chan'!C:D,2,FALSE),"x")</f>
        <v>x</v>
      </c>
      <c r="U1985" s="110" t="s">
        <v>541</v>
      </c>
      <c r="V1985" s="110" t="str">
        <f t="shared" si="62"/>
        <v>FWL</v>
      </c>
      <c r="W1985" s="110" t="s">
        <v>541</v>
      </c>
      <c r="X1985" s="110" t="s">
        <v>541</v>
      </c>
      <c r="Y1985" s="110" t="str">
        <f>IFERROR(VLOOKUP(F1985,'Freq-Chan'!C:E,3,FALSE),"na")</f>
        <v>na</v>
      </c>
      <c r="Z1985" s="110" t="s">
        <v>541</v>
      </c>
      <c r="AA1985" s="110" t="s">
        <v>541</v>
      </c>
      <c r="AB1985" s="110" t="s">
        <v>541</v>
      </c>
      <c r="AC1985" s="10" t="s">
        <v>541</v>
      </c>
      <c r="AD1985" s="10" t="s">
        <v>541</v>
      </c>
    </row>
    <row r="1986" spans="1:30" x14ac:dyDescent="0.2">
      <c r="A1986" s="110">
        <v>1985</v>
      </c>
      <c r="B1986" s="132">
        <v>41857</v>
      </c>
      <c r="C1986" s="117">
        <v>1</v>
      </c>
      <c r="D1986" s="103" t="s">
        <v>70</v>
      </c>
      <c r="E1986" s="103" t="s">
        <v>306</v>
      </c>
      <c r="H1986" s="103"/>
      <c r="I1986" s="103">
        <v>42</v>
      </c>
      <c r="K1986" s="103" t="s">
        <v>365</v>
      </c>
      <c r="L1986" s="133"/>
      <c r="M1986" s="134">
        <v>1.9444444444444445E-2</v>
      </c>
      <c r="N1986" s="135" t="s">
        <v>825</v>
      </c>
      <c r="O1986" s="133" t="s">
        <v>2931</v>
      </c>
      <c r="P1986" s="100" t="s">
        <v>4044</v>
      </c>
      <c r="Q1986" s="100" t="s">
        <v>4031</v>
      </c>
      <c r="R1986" s="226" t="s">
        <v>4054</v>
      </c>
      <c r="S1986" s="491" t="str">
        <f t="shared" si="61"/>
        <v>x</v>
      </c>
      <c r="T1986" s="492" t="str">
        <f>IFERROR(VLOOKUP(F1986,'Freq-Chan'!C:D,2,FALSE),"x")</f>
        <v>x</v>
      </c>
      <c r="U1986" s="110" t="s">
        <v>541</v>
      </c>
      <c r="V1986" s="110" t="str">
        <f t="shared" si="62"/>
        <v>FWL</v>
      </c>
      <c r="W1986" s="110" t="s">
        <v>541</v>
      </c>
      <c r="X1986" s="110" t="s">
        <v>541</v>
      </c>
      <c r="Y1986" s="110" t="str">
        <f>IFERROR(VLOOKUP(F1986,'Freq-Chan'!C:E,3,FALSE),"na")</f>
        <v>na</v>
      </c>
      <c r="Z1986" s="110" t="s">
        <v>541</v>
      </c>
      <c r="AA1986" s="110" t="s">
        <v>541</v>
      </c>
      <c r="AB1986" s="110" t="s">
        <v>541</v>
      </c>
      <c r="AC1986" s="10" t="s">
        <v>541</v>
      </c>
      <c r="AD1986" s="10" t="s">
        <v>541</v>
      </c>
    </row>
    <row r="1987" spans="1:30" x14ac:dyDescent="0.2">
      <c r="A1987" s="110">
        <v>1986</v>
      </c>
      <c r="B1987" s="132">
        <v>41857</v>
      </c>
      <c r="C1987" s="117">
        <v>1</v>
      </c>
      <c r="D1987" s="103" t="s">
        <v>71</v>
      </c>
      <c r="E1987" s="103" t="s">
        <v>306</v>
      </c>
      <c r="F1987" s="103">
        <v>564</v>
      </c>
      <c r="G1987" s="103">
        <v>96</v>
      </c>
      <c r="H1987" s="103" t="s">
        <v>2394</v>
      </c>
      <c r="I1987" s="103">
        <v>55</v>
      </c>
      <c r="K1987" s="103" t="s">
        <v>364</v>
      </c>
      <c r="L1987" s="133"/>
      <c r="M1987" s="134">
        <v>5.2083333333333336E-2</v>
      </c>
      <c r="N1987" s="137" t="s">
        <v>501</v>
      </c>
      <c r="O1987" s="133" t="s">
        <v>2931</v>
      </c>
      <c r="Q1987" s="100" t="s">
        <v>4031</v>
      </c>
      <c r="R1987" s="226" t="s">
        <v>4054</v>
      </c>
      <c r="S1987" s="491" t="str">
        <f t="shared" ref="S1987:S2034" si="65">IF(IF(OR(L1987=0,N1987=0),"x",ROUND(N1987-L1987-(M1987*24)/(24*60),10))&lt;0,0,IF(OR(L1987=0,N1987=0),"x",ROUND(N1987-L1987-(M1987*24)/(24*60),10)))</f>
        <v>x</v>
      </c>
      <c r="T1987" s="492">
        <f>IFERROR(VLOOKUP(F1987,'Freq-Chan'!C:D,2,FALSE),"x")</f>
        <v>151.56399999999999</v>
      </c>
      <c r="U1987" s="110" t="s">
        <v>541</v>
      </c>
      <c r="V1987" s="110" t="str">
        <f t="shared" ref="V1987:V2034" si="66">IF(OR(C1987=1,C1987=2,C1987=3),"FWL","NRD")</f>
        <v>FWL</v>
      </c>
      <c r="W1987" s="110" t="s">
        <v>541</v>
      </c>
      <c r="X1987" s="110" t="s">
        <v>541</v>
      </c>
      <c r="Y1987" s="110" t="str">
        <f>IFERROR(VLOOKUP(F1987,'Freq-Chan'!C:E,3,FALSE),"na")</f>
        <v>F1840</v>
      </c>
      <c r="Z1987" s="110" t="s">
        <v>541</v>
      </c>
      <c r="AA1987" s="110" t="s">
        <v>541</v>
      </c>
      <c r="AB1987" s="110" t="s">
        <v>541</v>
      </c>
      <c r="AC1987" s="10" t="s">
        <v>541</v>
      </c>
      <c r="AD1987" s="10" t="s">
        <v>541</v>
      </c>
    </row>
    <row r="1988" spans="1:30" x14ac:dyDescent="0.2">
      <c r="A1988" s="110">
        <v>1987</v>
      </c>
      <c r="B1988" s="132">
        <v>41857</v>
      </c>
      <c r="C1988" s="117">
        <v>1</v>
      </c>
      <c r="D1988" s="103" t="s">
        <v>70</v>
      </c>
      <c r="E1988" s="103" t="s">
        <v>306</v>
      </c>
      <c r="H1988" s="103"/>
      <c r="I1988" s="103">
        <v>46</v>
      </c>
      <c r="K1988" s="103" t="s">
        <v>1032</v>
      </c>
      <c r="L1988" s="133"/>
      <c r="M1988" s="134">
        <v>2.013888888888889E-2</v>
      </c>
      <c r="N1988" s="137" t="s">
        <v>2693</v>
      </c>
      <c r="O1988" s="133" t="s">
        <v>2931</v>
      </c>
      <c r="Q1988" s="100" t="s">
        <v>4031</v>
      </c>
      <c r="R1988" s="226" t="s">
        <v>4054</v>
      </c>
      <c r="S1988" s="491" t="str">
        <f t="shared" si="65"/>
        <v>x</v>
      </c>
      <c r="T1988" s="492" t="str">
        <f>IFERROR(VLOOKUP(F1988,'Freq-Chan'!C:D,2,FALSE),"x")</f>
        <v>x</v>
      </c>
      <c r="U1988" s="110" t="s">
        <v>541</v>
      </c>
      <c r="V1988" s="110" t="str">
        <f t="shared" si="66"/>
        <v>FWL</v>
      </c>
      <c r="W1988" s="110" t="s">
        <v>541</v>
      </c>
      <c r="X1988" s="110" t="s">
        <v>541</v>
      </c>
      <c r="Y1988" s="110" t="str">
        <f>IFERROR(VLOOKUP(F1988,'Freq-Chan'!C:E,3,FALSE),"na")</f>
        <v>na</v>
      </c>
      <c r="Z1988" s="110" t="s">
        <v>541</v>
      </c>
      <c r="AA1988" s="110" t="s">
        <v>541</v>
      </c>
      <c r="AB1988" s="110" t="s">
        <v>541</v>
      </c>
      <c r="AC1988" s="10" t="s">
        <v>541</v>
      </c>
      <c r="AD1988" s="10" t="s">
        <v>541</v>
      </c>
    </row>
    <row r="1989" spans="1:30" x14ac:dyDescent="0.2">
      <c r="A1989" s="110">
        <v>1988</v>
      </c>
      <c r="B1989" s="132">
        <v>41857</v>
      </c>
      <c r="C1989" s="117">
        <v>1</v>
      </c>
      <c r="D1989" s="103" t="s">
        <v>70</v>
      </c>
      <c r="E1989" s="103" t="s">
        <v>306</v>
      </c>
      <c r="H1989" s="103"/>
      <c r="I1989" s="103">
        <v>46</v>
      </c>
      <c r="K1989" s="103" t="s">
        <v>1032</v>
      </c>
      <c r="L1989" s="133"/>
      <c r="M1989" s="134">
        <v>1.6666666666666666E-2</v>
      </c>
      <c r="N1989" s="137" t="s">
        <v>2694</v>
      </c>
      <c r="O1989" s="133" t="s">
        <v>2931</v>
      </c>
      <c r="Q1989" s="100" t="s">
        <v>4031</v>
      </c>
      <c r="R1989" s="226" t="s">
        <v>4054</v>
      </c>
      <c r="S1989" s="491" t="str">
        <f t="shared" si="65"/>
        <v>x</v>
      </c>
      <c r="T1989" s="492" t="str">
        <f>IFERROR(VLOOKUP(F1989,'Freq-Chan'!C:D,2,FALSE),"x")</f>
        <v>x</v>
      </c>
      <c r="U1989" s="110" t="s">
        <v>541</v>
      </c>
      <c r="V1989" s="110" t="str">
        <f t="shared" si="66"/>
        <v>FWL</v>
      </c>
      <c r="W1989" s="110" t="s">
        <v>541</v>
      </c>
      <c r="X1989" s="110" t="s">
        <v>541</v>
      </c>
      <c r="Y1989" s="110" t="str">
        <f>IFERROR(VLOOKUP(F1989,'Freq-Chan'!C:E,3,FALSE),"na")</f>
        <v>na</v>
      </c>
      <c r="Z1989" s="110" t="s">
        <v>541</v>
      </c>
      <c r="AA1989" s="110" t="s">
        <v>541</v>
      </c>
      <c r="AB1989" s="110" t="s">
        <v>541</v>
      </c>
      <c r="AC1989" s="10" t="s">
        <v>541</v>
      </c>
      <c r="AD1989" s="10" t="s">
        <v>541</v>
      </c>
    </row>
    <row r="1990" spans="1:30" x14ac:dyDescent="0.2">
      <c r="A1990" s="110">
        <v>1989</v>
      </c>
      <c r="B1990" s="132">
        <v>41857</v>
      </c>
      <c r="C1990" s="117">
        <v>1</v>
      </c>
      <c r="D1990" s="103" t="s">
        <v>71</v>
      </c>
      <c r="E1990" s="103" t="s">
        <v>306</v>
      </c>
      <c r="H1990" s="103"/>
      <c r="I1990" s="103">
        <v>52</v>
      </c>
      <c r="K1990" s="103" t="s">
        <v>365</v>
      </c>
      <c r="L1990" s="133"/>
      <c r="M1990" s="134">
        <v>2.1527777777777781E-2</v>
      </c>
      <c r="N1990" s="137" t="s">
        <v>3358</v>
      </c>
      <c r="O1990" s="133" t="s">
        <v>950</v>
      </c>
      <c r="P1990" s="100" t="s">
        <v>4056</v>
      </c>
      <c r="Q1990" s="100" t="s">
        <v>4031</v>
      </c>
      <c r="R1990" s="226" t="s">
        <v>4054</v>
      </c>
      <c r="S1990" s="491" t="str">
        <f t="shared" si="65"/>
        <v>x</v>
      </c>
      <c r="T1990" s="492" t="str">
        <f>IFERROR(VLOOKUP(F1990,'Freq-Chan'!C:D,2,FALSE),"x")</f>
        <v>x</v>
      </c>
      <c r="U1990" s="110" t="s">
        <v>541</v>
      </c>
      <c r="V1990" s="110" t="str">
        <f t="shared" si="66"/>
        <v>FWL</v>
      </c>
      <c r="W1990" s="110" t="s">
        <v>541</v>
      </c>
      <c r="X1990" s="110" t="s">
        <v>541</v>
      </c>
      <c r="Y1990" s="110" t="str">
        <f>IFERROR(VLOOKUP(F1990,'Freq-Chan'!C:E,3,FALSE),"na")</f>
        <v>na</v>
      </c>
      <c r="Z1990" s="110" t="s">
        <v>541</v>
      </c>
      <c r="AA1990" s="110" t="s">
        <v>541</v>
      </c>
      <c r="AB1990" s="110" t="s">
        <v>541</v>
      </c>
      <c r="AC1990" s="10" t="s">
        <v>541</v>
      </c>
      <c r="AD1990" s="10" t="s">
        <v>541</v>
      </c>
    </row>
    <row r="1991" spans="1:30" x14ac:dyDescent="0.2">
      <c r="A1991" s="110">
        <v>1990</v>
      </c>
      <c r="B1991" s="132">
        <v>41857</v>
      </c>
      <c r="C1991" s="117">
        <v>1</v>
      </c>
      <c r="D1991" s="103" t="s">
        <v>71</v>
      </c>
      <c r="E1991" s="103" t="s">
        <v>306</v>
      </c>
      <c r="F1991" s="103">
        <v>564</v>
      </c>
      <c r="G1991" s="103">
        <v>82</v>
      </c>
      <c r="H1991" s="103" t="s">
        <v>2396</v>
      </c>
      <c r="I1991" s="103">
        <v>62</v>
      </c>
      <c r="K1991" s="103" t="s">
        <v>1032</v>
      </c>
      <c r="L1991" s="133"/>
      <c r="M1991" s="134">
        <v>4.5833333333333337E-2</v>
      </c>
      <c r="N1991" s="135" t="s">
        <v>3231</v>
      </c>
      <c r="O1991" s="133" t="s">
        <v>1532</v>
      </c>
      <c r="Q1991" s="100" t="s">
        <v>4033</v>
      </c>
      <c r="R1991" s="226" t="s">
        <v>4054</v>
      </c>
      <c r="S1991" s="491" t="str">
        <f t="shared" si="65"/>
        <v>x</v>
      </c>
      <c r="T1991" s="492">
        <f>IFERROR(VLOOKUP(F1991,'Freq-Chan'!C:D,2,FALSE),"x")</f>
        <v>151.56399999999999</v>
      </c>
      <c r="U1991" s="110" t="s">
        <v>541</v>
      </c>
      <c r="V1991" s="110" t="str">
        <f t="shared" si="66"/>
        <v>FWL</v>
      </c>
      <c r="W1991" s="110" t="s">
        <v>541</v>
      </c>
      <c r="X1991" s="110" t="s">
        <v>541</v>
      </c>
      <c r="Y1991" s="110" t="str">
        <f>IFERROR(VLOOKUP(F1991,'Freq-Chan'!C:E,3,FALSE),"na")</f>
        <v>F1840</v>
      </c>
      <c r="Z1991" s="110" t="s">
        <v>541</v>
      </c>
      <c r="AA1991" s="110" t="s">
        <v>541</v>
      </c>
      <c r="AB1991" s="110" t="s">
        <v>541</v>
      </c>
      <c r="AC1991" s="10" t="s">
        <v>541</v>
      </c>
      <c r="AD1991" s="10" t="s">
        <v>541</v>
      </c>
    </row>
    <row r="1992" spans="1:30" x14ac:dyDescent="0.2">
      <c r="A1992" s="110">
        <v>1991</v>
      </c>
      <c r="B1992" s="132">
        <v>41857</v>
      </c>
      <c r="C1992" s="117">
        <v>1</v>
      </c>
      <c r="D1992" s="103" t="s">
        <v>70</v>
      </c>
      <c r="E1992" s="103" t="s">
        <v>306</v>
      </c>
      <c r="F1992" s="103">
        <v>596</v>
      </c>
      <c r="G1992" s="103">
        <v>3</v>
      </c>
      <c r="H1992" s="103" t="s">
        <v>3086</v>
      </c>
      <c r="I1992" s="103">
        <v>49</v>
      </c>
      <c r="K1992" s="103" t="s">
        <v>1032</v>
      </c>
      <c r="L1992" s="133"/>
      <c r="M1992" s="134">
        <v>4.7222222222222221E-2</v>
      </c>
      <c r="N1992" s="137" t="s">
        <v>3232</v>
      </c>
      <c r="O1992" s="133" t="s">
        <v>1532</v>
      </c>
      <c r="Q1992" s="100" t="s">
        <v>4033</v>
      </c>
      <c r="R1992" s="226" t="s">
        <v>4054</v>
      </c>
      <c r="S1992" s="491" t="str">
        <f t="shared" si="65"/>
        <v>x</v>
      </c>
      <c r="T1992" s="492">
        <f>IFERROR(VLOOKUP(F1992,'Freq-Chan'!C:D,2,FALSE),"x")</f>
        <v>151.596</v>
      </c>
      <c r="U1992" s="110" t="s">
        <v>541</v>
      </c>
      <c r="V1992" s="110" t="str">
        <f t="shared" si="66"/>
        <v>FWL</v>
      </c>
      <c r="W1992" s="110" t="s">
        <v>541</v>
      </c>
      <c r="X1992" s="110" t="s">
        <v>541</v>
      </c>
      <c r="Y1992" s="110" t="str">
        <f>IFERROR(VLOOKUP(F1992,'Freq-Chan'!C:E,3,FALSE),"na")</f>
        <v>F1835</v>
      </c>
      <c r="Z1992" s="110" t="s">
        <v>541</v>
      </c>
      <c r="AA1992" s="110" t="s">
        <v>541</v>
      </c>
      <c r="AB1992" s="110" t="s">
        <v>541</v>
      </c>
      <c r="AC1992" s="10" t="s">
        <v>541</v>
      </c>
      <c r="AD1992" s="10" t="s">
        <v>541</v>
      </c>
    </row>
    <row r="1993" spans="1:30" s="291" customFormat="1" x14ac:dyDescent="0.2">
      <c r="A1993" s="493">
        <v>1992</v>
      </c>
      <c r="B1993" s="283">
        <v>41857</v>
      </c>
      <c r="C1993" s="284">
        <v>1</v>
      </c>
      <c r="D1993" s="285" t="s">
        <v>71</v>
      </c>
      <c r="E1993" s="285" t="s">
        <v>306</v>
      </c>
      <c r="F1993" s="285"/>
      <c r="G1993" s="285"/>
      <c r="H1993" s="285"/>
      <c r="I1993" s="285">
        <v>57</v>
      </c>
      <c r="J1993" s="285"/>
      <c r="K1993" s="285" t="s">
        <v>364</v>
      </c>
      <c r="L1993" s="286"/>
      <c r="M1993" s="287">
        <v>1.4583333333333332E-2</v>
      </c>
      <c r="N1993" s="288" t="s">
        <v>4045</v>
      </c>
      <c r="O1993" s="286" t="s">
        <v>1532</v>
      </c>
      <c r="P1993" s="289"/>
      <c r="Q1993" s="289" t="s">
        <v>4033</v>
      </c>
      <c r="R1993" s="290" t="s">
        <v>4054</v>
      </c>
      <c r="S1993" s="494" t="str">
        <f t="shared" si="65"/>
        <v>x</v>
      </c>
      <c r="T1993" s="495" t="str">
        <f>IFERROR(VLOOKUP(F1993,'Freq-Chan'!C:D,2,FALSE),"x")</f>
        <v>x</v>
      </c>
      <c r="U1993" s="493" t="s">
        <v>541</v>
      </c>
      <c r="V1993" s="493" t="str">
        <f t="shared" si="66"/>
        <v>FWL</v>
      </c>
      <c r="W1993" s="493" t="s">
        <v>541</v>
      </c>
      <c r="X1993" s="493" t="s">
        <v>541</v>
      </c>
      <c r="Y1993" s="493" t="str">
        <f>IFERROR(VLOOKUP(F1993,'Freq-Chan'!C:E,3,FALSE),"na")</f>
        <v>na</v>
      </c>
      <c r="Z1993" s="493" t="s">
        <v>541</v>
      </c>
      <c r="AA1993" s="493" t="s">
        <v>541</v>
      </c>
      <c r="AB1993" s="493" t="s">
        <v>541</v>
      </c>
      <c r="AC1993" s="291" t="s">
        <v>541</v>
      </c>
      <c r="AD1993" s="291" t="s">
        <v>541</v>
      </c>
    </row>
    <row r="1994" spans="1:30" x14ac:dyDescent="0.2">
      <c r="A1994" s="110">
        <v>1993</v>
      </c>
      <c r="B1994" s="132">
        <v>41857</v>
      </c>
      <c r="C1994" s="117">
        <v>2</v>
      </c>
      <c r="D1994" s="103" t="s">
        <v>71</v>
      </c>
      <c r="E1994" s="103" t="s">
        <v>306</v>
      </c>
      <c r="F1994" s="103">
        <v>564</v>
      </c>
      <c r="G1994" s="103">
        <v>93</v>
      </c>
      <c r="H1994" s="103" t="s">
        <v>2392</v>
      </c>
      <c r="I1994" s="103">
        <v>62</v>
      </c>
      <c r="K1994" s="103" t="s">
        <v>364</v>
      </c>
      <c r="L1994" s="133"/>
      <c r="M1994" s="134">
        <v>4.5833333333333337E-2</v>
      </c>
      <c r="N1994" s="137" t="s">
        <v>2015</v>
      </c>
      <c r="O1994" s="133" t="s">
        <v>950</v>
      </c>
      <c r="Q1994" s="100" t="s">
        <v>4031</v>
      </c>
      <c r="R1994" s="226" t="s">
        <v>4054</v>
      </c>
      <c r="S1994" s="491" t="str">
        <f t="shared" si="65"/>
        <v>x</v>
      </c>
      <c r="T1994" s="492">
        <f>IFERROR(VLOOKUP(F1994,'Freq-Chan'!C:D,2,FALSE),"x")</f>
        <v>151.56399999999999</v>
      </c>
      <c r="U1994" s="110" t="s">
        <v>541</v>
      </c>
      <c r="V1994" s="110" t="str">
        <f t="shared" si="66"/>
        <v>FWL</v>
      </c>
      <c r="W1994" s="110" t="s">
        <v>541</v>
      </c>
      <c r="X1994" s="110" t="s">
        <v>541</v>
      </c>
      <c r="Y1994" s="110" t="str">
        <f>IFERROR(VLOOKUP(F1994,'Freq-Chan'!C:E,3,FALSE),"na")</f>
        <v>F1840</v>
      </c>
      <c r="Z1994" s="110" t="s">
        <v>541</v>
      </c>
      <c r="AA1994" s="110" t="s">
        <v>541</v>
      </c>
      <c r="AB1994" s="110" t="s">
        <v>541</v>
      </c>
      <c r="AC1994" s="10" t="s">
        <v>541</v>
      </c>
      <c r="AD1994" s="10" t="s">
        <v>541</v>
      </c>
    </row>
    <row r="1995" spans="1:30" x14ac:dyDescent="0.2">
      <c r="A1995" s="110">
        <v>1994</v>
      </c>
      <c r="B1995" s="132">
        <v>41857</v>
      </c>
      <c r="C1995" s="117">
        <v>2</v>
      </c>
      <c r="D1995" s="103" t="s">
        <v>70</v>
      </c>
      <c r="E1995" s="103" t="s">
        <v>306</v>
      </c>
      <c r="F1995" s="103">
        <v>596</v>
      </c>
      <c r="G1995" s="103">
        <v>7</v>
      </c>
      <c r="H1995" s="103" t="s">
        <v>3085</v>
      </c>
      <c r="I1995" s="103">
        <v>42</v>
      </c>
      <c r="K1995" s="103" t="s">
        <v>365</v>
      </c>
      <c r="L1995" s="133"/>
      <c r="M1995" s="134">
        <v>5.5555555555555552E-2</v>
      </c>
      <c r="N1995" s="137" t="s">
        <v>1848</v>
      </c>
      <c r="O1995" s="133" t="s">
        <v>950</v>
      </c>
      <c r="Q1995" s="100" t="s">
        <v>4031</v>
      </c>
      <c r="R1995" s="226" t="s">
        <v>4054</v>
      </c>
      <c r="S1995" s="491" t="str">
        <f t="shared" si="65"/>
        <v>x</v>
      </c>
      <c r="T1995" s="492">
        <f>IFERROR(VLOOKUP(F1995,'Freq-Chan'!C:D,2,FALSE),"x")</f>
        <v>151.596</v>
      </c>
      <c r="U1995" s="110" t="s">
        <v>541</v>
      </c>
      <c r="V1995" s="110" t="str">
        <f t="shared" si="66"/>
        <v>FWL</v>
      </c>
      <c r="W1995" s="110" t="s">
        <v>541</v>
      </c>
      <c r="X1995" s="110" t="s">
        <v>541</v>
      </c>
      <c r="Y1995" s="110" t="str">
        <f>IFERROR(VLOOKUP(F1995,'Freq-Chan'!C:E,3,FALSE),"na")</f>
        <v>F1835</v>
      </c>
      <c r="Z1995" s="110" t="s">
        <v>541</v>
      </c>
      <c r="AA1995" s="110" t="s">
        <v>541</v>
      </c>
      <c r="AB1995" s="110" t="s">
        <v>541</v>
      </c>
      <c r="AC1995" s="10" t="s">
        <v>541</v>
      </c>
      <c r="AD1995" s="10" t="s">
        <v>541</v>
      </c>
    </row>
    <row r="1996" spans="1:30" x14ac:dyDescent="0.2">
      <c r="A1996" s="110">
        <v>1995</v>
      </c>
      <c r="B1996" s="132">
        <v>41857</v>
      </c>
      <c r="C1996" s="117">
        <v>2</v>
      </c>
      <c r="D1996" s="103" t="s">
        <v>8</v>
      </c>
      <c r="E1996" s="103" t="s">
        <v>306</v>
      </c>
      <c r="F1996" s="103">
        <v>573</v>
      </c>
      <c r="G1996" s="103">
        <v>81</v>
      </c>
      <c r="H1996" s="103" t="s">
        <v>2215</v>
      </c>
      <c r="I1996" s="103">
        <v>52</v>
      </c>
      <c r="K1996" s="103" t="s">
        <v>364</v>
      </c>
      <c r="L1996" s="133"/>
      <c r="M1996" s="134">
        <v>5.4166666666666669E-2</v>
      </c>
      <c r="N1996" s="137" t="s">
        <v>3287</v>
      </c>
      <c r="O1996" s="133" t="s">
        <v>950</v>
      </c>
      <c r="P1996" s="100" t="s">
        <v>4046</v>
      </c>
      <c r="Q1996" s="100" t="s">
        <v>4031</v>
      </c>
      <c r="R1996" s="226" t="s">
        <v>4054</v>
      </c>
      <c r="S1996" s="491" t="str">
        <f t="shared" si="65"/>
        <v>x</v>
      </c>
      <c r="T1996" s="492">
        <f>IFERROR(VLOOKUP(F1996,'Freq-Chan'!C:D,2,FALSE),"x")</f>
        <v>151.57300000000001</v>
      </c>
      <c r="U1996" s="110" t="s">
        <v>541</v>
      </c>
      <c r="V1996" s="110" t="str">
        <f t="shared" si="66"/>
        <v>FWL</v>
      </c>
      <c r="W1996" s="110" t="s">
        <v>541</v>
      </c>
      <c r="X1996" s="110" t="s">
        <v>541</v>
      </c>
      <c r="Y1996" s="110" t="str">
        <f>IFERROR(VLOOKUP(F1996,'Freq-Chan'!C:E,3,FALSE),"na")</f>
        <v>F1840</v>
      </c>
      <c r="Z1996" s="110" t="s">
        <v>541</v>
      </c>
      <c r="AA1996" s="110" t="s">
        <v>541</v>
      </c>
      <c r="AB1996" s="110" t="s">
        <v>541</v>
      </c>
      <c r="AC1996" s="10" t="s">
        <v>541</v>
      </c>
      <c r="AD1996" s="10" t="s">
        <v>541</v>
      </c>
    </row>
    <row r="1997" spans="1:30" x14ac:dyDescent="0.2">
      <c r="A1997" s="110">
        <v>1996</v>
      </c>
      <c r="B1997" s="132">
        <v>41857</v>
      </c>
      <c r="C1997" s="117">
        <v>2</v>
      </c>
      <c r="D1997" s="103" t="s">
        <v>8</v>
      </c>
      <c r="E1997" s="103" t="s">
        <v>306</v>
      </c>
      <c r="F1997" s="103">
        <v>573</v>
      </c>
      <c r="G1997" s="103">
        <v>61</v>
      </c>
      <c r="H1997" s="103" t="s">
        <v>2216</v>
      </c>
      <c r="I1997" s="103">
        <v>48</v>
      </c>
      <c r="K1997" s="103" t="s">
        <v>364</v>
      </c>
      <c r="L1997" s="133"/>
      <c r="M1997" s="134">
        <v>5.5555555555555552E-2</v>
      </c>
      <c r="N1997" s="135" t="s">
        <v>712</v>
      </c>
      <c r="O1997" s="133" t="s">
        <v>950</v>
      </c>
      <c r="Q1997" s="100" t="s">
        <v>4031</v>
      </c>
      <c r="R1997" s="226" t="s">
        <v>4054</v>
      </c>
      <c r="S1997" s="491" t="str">
        <f t="shared" si="65"/>
        <v>x</v>
      </c>
      <c r="T1997" s="492">
        <f>IFERROR(VLOOKUP(F1997,'Freq-Chan'!C:D,2,FALSE),"x")</f>
        <v>151.57300000000001</v>
      </c>
      <c r="U1997" s="110" t="s">
        <v>541</v>
      </c>
      <c r="V1997" s="110" t="str">
        <f t="shared" si="66"/>
        <v>FWL</v>
      </c>
      <c r="W1997" s="110" t="s">
        <v>541</v>
      </c>
      <c r="X1997" s="110" t="s">
        <v>541</v>
      </c>
      <c r="Y1997" s="110" t="str">
        <f>IFERROR(VLOOKUP(F1997,'Freq-Chan'!C:E,3,FALSE),"na")</f>
        <v>F1840</v>
      </c>
      <c r="Z1997" s="110" t="s">
        <v>541</v>
      </c>
      <c r="AA1997" s="110" t="s">
        <v>541</v>
      </c>
      <c r="AB1997" s="110" t="s">
        <v>541</v>
      </c>
      <c r="AC1997" s="10" t="s">
        <v>541</v>
      </c>
      <c r="AD1997" s="10" t="s">
        <v>541</v>
      </c>
    </row>
    <row r="1998" spans="1:30" x14ac:dyDescent="0.2">
      <c r="A1998" s="110">
        <v>1997</v>
      </c>
      <c r="B1998" s="132">
        <v>41857</v>
      </c>
      <c r="C1998" s="117">
        <v>2</v>
      </c>
      <c r="D1998" s="103" t="s">
        <v>72</v>
      </c>
      <c r="E1998" s="103" t="s">
        <v>306</v>
      </c>
      <c r="F1998" s="103">
        <v>266</v>
      </c>
      <c r="G1998" s="103">
        <v>8</v>
      </c>
      <c r="H1998" s="103" t="s">
        <v>3524</v>
      </c>
      <c r="I1998" s="103">
        <v>52</v>
      </c>
      <c r="K1998" s="103" t="s">
        <v>364</v>
      </c>
      <c r="L1998" s="133"/>
      <c r="M1998" s="134">
        <v>5.5555555555555552E-2</v>
      </c>
      <c r="N1998" s="135" t="s">
        <v>2709</v>
      </c>
      <c r="O1998" s="133" t="s">
        <v>950</v>
      </c>
      <c r="P1998" s="100" t="s">
        <v>4466</v>
      </c>
      <c r="Q1998" s="100" t="s">
        <v>4031</v>
      </c>
      <c r="R1998" s="226" t="s">
        <v>4054</v>
      </c>
      <c r="S1998" s="491" t="str">
        <f t="shared" si="65"/>
        <v>x</v>
      </c>
      <c r="T1998" s="492">
        <f>IFERROR(VLOOKUP(F1998,'Freq-Chan'!C:D,2,FALSE),"x")</f>
        <v>151.26599999999999</v>
      </c>
      <c r="U1998" s="110" t="s">
        <v>541</v>
      </c>
      <c r="V1998" s="110" t="str">
        <f t="shared" si="66"/>
        <v>FWL</v>
      </c>
      <c r="W1998" s="110" t="s">
        <v>541</v>
      </c>
      <c r="X1998" s="110" t="s">
        <v>541</v>
      </c>
      <c r="Y1998" s="110" t="str">
        <f>IFERROR(VLOOKUP(F1998,'Freq-Chan'!C:E,3,FALSE),"na")</f>
        <v>F1840</v>
      </c>
      <c r="Z1998" s="110" t="s">
        <v>541</v>
      </c>
      <c r="AA1998" s="110" t="s">
        <v>541</v>
      </c>
      <c r="AB1998" s="110" t="s">
        <v>541</v>
      </c>
      <c r="AC1998" s="10" t="s">
        <v>541</v>
      </c>
      <c r="AD1998" s="10" t="s">
        <v>541</v>
      </c>
    </row>
    <row r="1999" spans="1:30" x14ac:dyDescent="0.2">
      <c r="A1999" s="110">
        <v>1998</v>
      </c>
      <c r="B1999" s="132">
        <v>41857</v>
      </c>
      <c r="C1999" s="117">
        <v>2</v>
      </c>
      <c r="D1999" s="103" t="s">
        <v>71</v>
      </c>
      <c r="E1999" s="103" t="s">
        <v>306</v>
      </c>
      <c r="F1999" s="103">
        <v>564</v>
      </c>
      <c r="G1999" s="103">
        <v>85</v>
      </c>
      <c r="H1999" s="103" t="s">
        <v>2397</v>
      </c>
      <c r="I1999" s="103">
        <v>51</v>
      </c>
      <c r="K1999" s="103" t="s">
        <v>1032</v>
      </c>
      <c r="L1999" s="133"/>
      <c r="M1999" s="134">
        <v>5.9027777777777783E-2</v>
      </c>
      <c r="N1999" s="137" t="s">
        <v>3434</v>
      </c>
      <c r="O1999" s="133" t="s">
        <v>1532</v>
      </c>
      <c r="Q1999" s="100" t="s">
        <v>4036</v>
      </c>
      <c r="R1999" s="226" t="s">
        <v>4054</v>
      </c>
      <c r="S1999" s="491" t="str">
        <f t="shared" si="65"/>
        <v>x</v>
      </c>
      <c r="T1999" s="492">
        <f>IFERROR(VLOOKUP(F1999,'Freq-Chan'!C:D,2,FALSE),"x")</f>
        <v>151.56399999999999</v>
      </c>
      <c r="U1999" s="110" t="s">
        <v>541</v>
      </c>
      <c r="V1999" s="110" t="str">
        <f t="shared" si="66"/>
        <v>FWL</v>
      </c>
      <c r="W1999" s="110" t="s">
        <v>541</v>
      </c>
      <c r="X1999" s="110" t="s">
        <v>541</v>
      </c>
      <c r="Y1999" s="110" t="str">
        <f>IFERROR(VLOOKUP(F1999,'Freq-Chan'!C:E,3,FALSE),"na")</f>
        <v>F1840</v>
      </c>
      <c r="Z1999" s="110" t="s">
        <v>541</v>
      </c>
      <c r="AA1999" s="110" t="s">
        <v>541</v>
      </c>
      <c r="AB1999" s="110" t="s">
        <v>541</v>
      </c>
      <c r="AC1999" s="10" t="s">
        <v>541</v>
      </c>
      <c r="AD1999" s="10" t="s">
        <v>541</v>
      </c>
    </row>
    <row r="2000" spans="1:30" x14ac:dyDescent="0.2">
      <c r="A2000" s="110">
        <v>1999</v>
      </c>
      <c r="B2000" s="132">
        <v>41857</v>
      </c>
      <c r="C2000" s="117">
        <v>2</v>
      </c>
      <c r="D2000" s="103" t="s">
        <v>71</v>
      </c>
      <c r="E2000" s="103" t="s">
        <v>306</v>
      </c>
      <c r="H2000" s="103"/>
      <c r="I2000" s="103">
        <v>60</v>
      </c>
      <c r="K2000" s="103" t="s">
        <v>364</v>
      </c>
      <c r="L2000" s="133"/>
      <c r="M2000" s="134">
        <v>1.4583333333333332E-2</v>
      </c>
      <c r="N2000" s="135" t="s">
        <v>3407</v>
      </c>
      <c r="O2000" s="133" t="s">
        <v>1532</v>
      </c>
      <c r="Q2000" s="100" t="s">
        <v>4036</v>
      </c>
      <c r="R2000" s="226" t="s">
        <v>4054</v>
      </c>
      <c r="S2000" s="491" t="str">
        <f t="shared" si="65"/>
        <v>x</v>
      </c>
      <c r="T2000" s="492" t="str">
        <f>IFERROR(VLOOKUP(F2000,'Freq-Chan'!C:D,2,FALSE),"x")</f>
        <v>x</v>
      </c>
      <c r="U2000" s="110" t="s">
        <v>541</v>
      </c>
      <c r="V2000" s="110" t="str">
        <f t="shared" si="66"/>
        <v>FWL</v>
      </c>
      <c r="W2000" s="110" t="s">
        <v>541</v>
      </c>
      <c r="X2000" s="110" t="s">
        <v>541</v>
      </c>
      <c r="Y2000" s="110" t="str">
        <f>IFERROR(VLOOKUP(F2000,'Freq-Chan'!C:E,3,FALSE),"na")</f>
        <v>na</v>
      </c>
      <c r="Z2000" s="110" t="s">
        <v>541</v>
      </c>
      <c r="AA2000" s="110" t="s">
        <v>541</v>
      </c>
      <c r="AB2000" s="110" t="s">
        <v>541</v>
      </c>
      <c r="AC2000" s="10" t="s">
        <v>541</v>
      </c>
      <c r="AD2000" s="10" t="s">
        <v>541</v>
      </c>
    </row>
    <row r="2001" spans="1:30" x14ac:dyDescent="0.2">
      <c r="A2001" s="110">
        <v>2000</v>
      </c>
      <c r="B2001" s="132">
        <v>41857</v>
      </c>
      <c r="C2001" s="117">
        <v>2</v>
      </c>
      <c r="D2001" s="103" t="s">
        <v>70</v>
      </c>
      <c r="E2001" s="103" t="s">
        <v>306</v>
      </c>
      <c r="H2001" s="103"/>
      <c r="I2001" s="103">
        <v>46</v>
      </c>
      <c r="K2001" s="103" t="s">
        <v>365</v>
      </c>
      <c r="L2001" s="133"/>
      <c r="M2001" s="134">
        <v>1.6666666666666666E-2</v>
      </c>
      <c r="N2001" s="137" t="s">
        <v>3240</v>
      </c>
      <c r="O2001" s="133" t="s">
        <v>1532</v>
      </c>
      <c r="Q2001" s="100" t="s">
        <v>4036</v>
      </c>
      <c r="R2001" s="226" t="s">
        <v>4054</v>
      </c>
      <c r="S2001" s="491" t="str">
        <f t="shared" si="65"/>
        <v>x</v>
      </c>
      <c r="T2001" s="492" t="str">
        <f>IFERROR(VLOOKUP(F2001,'Freq-Chan'!C:D,2,FALSE),"x")</f>
        <v>x</v>
      </c>
      <c r="U2001" s="110" t="s">
        <v>541</v>
      </c>
      <c r="V2001" s="110" t="str">
        <f t="shared" si="66"/>
        <v>FWL</v>
      </c>
      <c r="W2001" s="110" t="s">
        <v>541</v>
      </c>
      <c r="X2001" s="110" t="s">
        <v>541</v>
      </c>
      <c r="Y2001" s="110" t="str">
        <f>IFERROR(VLOOKUP(F2001,'Freq-Chan'!C:E,3,FALSE),"na")</f>
        <v>na</v>
      </c>
      <c r="Z2001" s="110" t="s">
        <v>541</v>
      </c>
      <c r="AA2001" s="110" t="s">
        <v>541</v>
      </c>
      <c r="AB2001" s="110" t="s">
        <v>541</v>
      </c>
      <c r="AC2001" s="10" t="s">
        <v>541</v>
      </c>
      <c r="AD2001" s="10" t="s">
        <v>541</v>
      </c>
    </row>
    <row r="2002" spans="1:30" x14ac:dyDescent="0.2">
      <c r="A2002" s="110">
        <v>2001</v>
      </c>
      <c r="B2002" s="132">
        <v>41857</v>
      </c>
      <c r="C2002" s="117">
        <v>2</v>
      </c>
      <c r="D2002" s="103" t="s">
        <v>8</v>
      </c>
      <c r="E2002" s="103" t="s">
        <v>306</v>
      </c>
      <c r="F2002" s="103">
        <v>573</v>
      </c>
      <c r="G2002" s="103">
        <v>58</v>
      </c>
      <c r="H2002" s="103" t="s">
        <v>2217</v>
      </c>
      <c r="I2002" s="103">
        <v>55</v>
      </c>
      <c r="K2002" s="103" t="s">
        <v>364</v>
      </c>
      <c r="L2002" s="133"/>
      <c r="M2002" s="134">
        <v>4.2361111111111106E-2</v>
      </c>
      <c r="N2002" s="135" t="s">
        <v>4047</v>
      </c>
      <c r="O2002" s="133" t="s">
        <v>1532</v>
      </c>
      <c r="Q2002" s="100" t="s">
        <v>4036</v>
      </c>
      <c r="R2002" s="226" t="s">
        <v>4054</v>
      </c>
      <c r="S2002" s="491" t="str">
        <f t="shared" si="65"/>
        <v>x</v>
      </c>
      <c r="T2002" s="492">
        <f>IFERROR(VLOOKUP(F2002,'Freq-Chan'!C:D,2,FALSE),"x")</f>
        <v>151.57300000000001</v>
      </c>
      <c r="U2002" s="110" t="s">
        <v>541</v>
      </c>
      <c r="V2002" s="110" t="str">
        <f t="shared" si="66"/>
        <v>FWL</v>
      </c>
      <c r="W2002" s="110" t="s">
        <v>541</v>
      </c>
      <c r="X2002" s="110" t="s">
        <v>541</v>
      </c>
      <c r="Y2002" s="110" t="str">
        <f>IFERROR(VLOOKUP(F2002,'Freq-Chan'!C:E,3,FALSE),"na")</f>
        <v>F1840</v>
      </c>
      <c r="Z2002" s="110" t="s">
        <v>541</v>
      </c>
      <c r="AA2002" s="110" t="s">
        <v>541</v>
      </c>
      <c r="AB2002" s="110" t="s">
        <v>541</v>
      </c>
      <c r="AC2002" s="10" t="s">
        <v>541</v>
      </c>
      <c r="AD2002" s="10" t="s">
        <v>541</v>
      </c>
    </row>
    <row r="2003" spans="1:30" s="291" customFormat="1" x14ac:dyDescent="0.2">
      <c r="A2003" s="493">
        <v>2002</v>
      </c>
      <c r="B2003" s="283">
        <v>41857</v>
      </c>
      <c r="C2003" s="284">
        <v>2</v>
      </c>
      <c r="D2003" s="285" t="s">
        <v>8</v>
      </c>
      <c r="E2003" s="285" t="s">
        <v>306</v>
      </c>
      <c r="F2003" s="285">
        <v>573</v>
      </c>
      <c r="G2003" s="285">
        <v>13</v>
      </c>
      <c r="H2003" s="285" t="s">
        <v>2218</v>
      </c>
      <c r="I2003" s="285">
        <v>42</v>
      </c>
      <c r="J2003" s="285"/>
      <c r="K2003" s="285" t="s">
        <v>364</v>
      </c>
      <c r="L2003" s="286"/>
      <c r="M2003" s="287">
        <v>4.5138888888888888E-2</v>
      </c>
      <c r="N2003" s="288" t="s">
        <v>4048</v>
      </c>
      <c r="O2003" s="286" t="s">
        <v>1532</v>
      </c>
      <c r="P2003" s="289"/>
      <c r="Q2003" s="289" t="s">
        <v>4036</v>
      </c>
      <c r="R2003" s="290" t="s">
        <v>4054</v>
      </c>
      <c r="S2003" s="494" t="str">
        <f t="shared" si="65"/>
        <v>x</v>
      </c>
      <c r="T2003" s="495">
        <f>IFERROR(VLOOKUP(F2003,'Freq-Chan'!C:D,2,FALSE),"x")</f>
        <v>151.57300000000001</v>
      </c>
      <c r="U2003" s="493" t="s">
        <v>541</v>
      </c>
      <c r="V2003" s="493" t="str">
        <f t="shared" si="66"/>
        <v>FWL</v>
      </c>
      <c r="W2003" s="493" t="s">
        <v>541</v>
      </c>
      <c r="X2003" s="493" t="s">
        <v>541</v>
      </c>
      <c r="Y2003" s="493" t="str">
        <f>IFERROR(VLOOKUP(F2003,'Freq-Chan'!C:E,3,FALSE),"na")</f>
        <v>F1840</v>
      </c>
      <c r="Z2003" s="493" t="s">
        <v>541</v>
      </c>
      <c r="AA2003" s="493" t="s">
        <v>541</v>
      </c>
      <c r="AB2003" s="493" t="s">
        <v>541</v>
      </c>
      <c r="AC2003" s="291" t="s">
        <v>541</v>
      </c>
      <c r="AD2003" s="291" t="s">
        <v>541</v>
      </c>
    </row>
    <row r="2004" spans="1:30" x14ac:dyDescent="0.2">
      <c r="A2004" s="110">
        <v>2003</v>
      </c>
      <c r="B2004" s="132">
        <v>41857</v>
      </c>
      <c r="C2004" s="117">
        <v>3</v>
      </c>
      <c r="D2004" s="103" t="s">
        <v>70</v>
      </c>
      <c r="E2004" s="103" t="s">
        <v>306</v>
      </c>
      <c r="F2004" s="103">
        <v>596</v>
      </c>
      <c r="G2004" s="103">
        <v>93</v>
      </c>
      <c r="H2004" s="103" t="s">
        <v>3077</v>
      </c>
      <c r="I2004" s="103">
        <v>44</v>
      </c>
      <c r="K2004" s="103" t="s">
        <v>365</v>
      </c>
      <c r="L2004" s="133"/>
      <c r="M2004" s="134">
        <v>7.1527777777777787E-2</v>
      </c>
      <c r="N2004" s="135" t="s">
        <v>3253</v>
      </c>
      <c r="O2004" s="133" t="s">
        <v>376</v>
      </c>
      <c r="Q2004" s="100" t="s">
        <v>4033</v>
      </c>
      <c r="R2004" s="226" t="s">
        <v>4054</v>
      </c>
      <c r="S2004" s="491" t="str">
        <f t="shared" si="65"/>
        <v>x</v>
      </c>
      <c r="T2004" s="492">
        <f>IFERROR(VLOOKUP(F2004,'Freq-Chan'!C:D,2,FALSE),"x")</f>
        <v>151.596</v>
      </c>
      <c r="U2004" s="110" t="s">
        <v>541</v>
      </c>
      <c r="V2004" s="110" t="str">
        <f t="shared" si="66"/>
        <v>FWL</v>
      </c>
      <c r="W2004" s="110" t="s">
        <v>541</v>
      </c>
      <c r="X2004" s="110" t="s">
        <v>541</v>
      </c>
      <c r="Y2004" s="110" t="str">
        <f>IFERROR(VLOOKUP(F2004,'Freq-Chan'!C:E,3,FALSE),"na")</f>
        <v>F1835</v>
      </c>
      <c r="Z2004" s="110" t="s">
        <v>541</v>
      </c>
      <c r="AA2004" s="110" t="s">
        <v>541</v>
      </c>
      <c r="AB2004" s="110" t="s">
        <v>541</v>
      </c>
      <c r="AC2004" s="10" t="s">
        <v>541</v>
      </c>
      <c r="AD2004" s="10" t="s">
        <v>541</v>
      </c>
    </row>
    <row r="2005" spans="1:30" x14ac:dyDescent="0.2">
      <c r="A2005" s="110">
        <v>2004</v>
      </c>
      <c r="B2005" s="132">
        <v>41857</v>
      </c>
      <c r="C2005" s="117">
        <v>3</v>
      </c>
      <c r="D2005" s="103" t="s">
        <v>71</v>
      </c>
      <c r="E2005" s="103" t="s">
        <v>306</v>
      </c>
      <c r="F2005" s="103">
        <v>564</v>
      </c>
      <c r="G2005" s="103">
        <v>25</v>
      </c>
      <c r="H2005" s="103" t="s">
        <v>2386</v>
      </c>
      <c r="I2005" s="103">
        <v>55</v>
      </c>
      <c r="K2005" s="103" t="s">
        <v>365</v>
      </c>
      <c r="L2005" s="133"/>
      <c r="M2005" s="134">
        <v>4.7916666666666663E-2</v>
      </c>
      <c r="N2005" s="137" t="s">
        <v>1571</v>
      </c>
      <c r="O2005" s="133" t="s">
        <v>376</v>
      </c>
      <c r="Q2005" s="100" t="s">
        <v>4033</v>
      </c>
      <c r="R2005" s="226" t="s">
        <v>4054</v>
      </c>
      <c r="S2005" s="491" t="str">
        <f t="shared" si="65"/>
        <v>x</v>
      </c>
      <c r="T2005" s="492">
        <f>IFERROR(VLOOKUP(F2005,'Freq-Chan'!C:D,2,FALSE),"x")</f>
        <v>151.56399999999999</v>
      </c>
      <c r="U2005" s="110" t="s">
        <v>541</v>
      </c>
      <c r="V2005" s="110" t="str">
        <f t="shared" si="66"/>
        <v>FWL</v>
      </c>
      <c r="W2005" s="110" t="s">
        <v>541</v>
      </c>
      <c r="X2005" s="110" t="s">
        <v>541</v>
      </c>
      <c r="Y2005" s="110" t="str">
        <f>IFERROR(VLOOKUP(F2005,'Freq-Chan'!C:E,3,FALSE),"na")</f>
        <v>F1840</v>
      </c>
      <c r="Z2005" s="110" t="s">
        <v>541</v>
      </c>
      <c r="AA2005" s="110" t="s">
        <v>541</v>
      </c>
      <c r="AB2005" s="110" t="s">
        <v>541</v>
      </c>
      <c r="AC2005" s="10" t="s">
        <v>541</v>
      </c>
      <c r="AD2005" s="10" t="s">
        <v>541</v>
      </c>
    </row>
    <row r="2006" spans="1:30" x14ac:dyDescent="0.2">
      <c r="A2006" s="110">
        <v>2005</v>
      </c>
      <c r="B2006" s="132">
        <v>41857</v>
      </c>
      <c r="C2006" s="117">
        <v>3</v>
      </c>
      <c r="D2006" s="103" t="s">
        <v>70</v>
      </c>
      <c r="E2006" s="103" t="s">
        <v>306</v>
      </c>
      <c r="H2006" s="103"/>
      <c r="I2006" s="103">
        <v>48</v>
      </c>
      <c r="K2006" s="103" t="s">
        <v>365</v>
      </c>
      <c r="L2006" s="133"/>
      <c r="M2006" s="134">
        <v>1.7361111111111112E-2</v>
      </c>
      <c r="N2006" s="135" t="s">
        <v>3452</v>
      </c>
      <c r="O2006" s="133" t="s">
        <v>376</v>
      </c>
      <c r="Q2006" s="100" t="s">
        <v>4033</v>
      </c>
      <c r="R2006" s="226" t="s">
        <v>4054</v>
      </c>
      <c r="S2006" s="491" t="str">
        <f t="shared" si="65"/>
        <v>x</v>
      </c>
      <c r="T2006" s="492" t="str">
        <f>IFERROR(VLOOKUP(F2006,'Freq-Chan'!C:D,2,FALSE),"x")</f>
        <v>x</v>
      </c>
      <c r="U2006" s="110" t="s">
        <v>541</v>
      </c>
      <c r="V2006" s="110" t="str">
        <f t="shared" si="66"/>
        <v>FWL</v>
      </c>
      <c r="W2006" s="110" t="s">
        <v>541</v>
      </c>
      <c r="X2006" s="110" t="s">
        <v>541</v>
      </c>
      <c r="Y2006" s="110" t="str">
        <f>IFERROR(VLOOKUP(F2006,'Freq-Chan'!C:E,3,FALSE),"na")</f>
        <v>na</v>
      </c>
      <c r="Z2006" s="110" t="s">
        <v>541</v>
      </c>
      <c r="AA2006" s="110" t="s">
        <v>541</v>
      </c>
      <c r="AB2006" s="110" t="s">
        <v>541</v>
      </c>
      <c r="AC2006" s="10" t="s">
        <v>541</v>
      </c>
      <c r="AD2006" s="10" t="s">
        <v>541</v>
      </c>
    </row>
    <row r="2007" spans="1:30" x14ac:dyDescent="0.2">
      <c r="A2007" s="110">
        <v>2006</v>
      </c>
      <c r="B2007" s="132">
        <v>41857</v>
      </c>
      <c r="C2007" s="117">
        <v>3</v>
      </c>
      <c r="D2007" s="103" t="s">
        <v>70</v>
      </c>
      <c r="E2007" s="103" t="s">
        <v>306</v>
      </c>
      <c r="H2007" s="103"/>
      <c r="I2007" s="103">
        <v>47</v>
      </c>
      <c r="K2007" s="103" t="s">
        <v>1032</v>
      </c>
      <c r="L2007" s="133"/>
      <c r="M2007" s="134">
        <v>1.5972222222222224E-2</v>
      </c>
      <c r="N2007" s="135" t="s">
        <v>3752</v>
      </c>
      <c r="O2007" s="133" t="s">
        <v>376</v>
      </c>
      <c r="Q2007" s="100" t="s">
        <v>4033</v>
      </c>
      <c r="R2007" s="226" t="s">
        <v>4054</v>
      </c>
      <c r="S2007" s="491" t="str">
        <f t="shared" si="65"/>
        <v>x</v>
      </c>
      <c r="T2007" s="492" t="str">
        <f>IFERROR(VLOOKUP(F2007,'Freq-Chan'!C:D,2,FALSE),"x")</f>
        <v>x</v>
      </c>
      <c r="U2007" s="110" t="s">
        <v>541</v>
      </c>
      <c r="V2007" s="110" t="str">
        <f t="shared" si="66"/>
        <v>FWL</v>
      </c>
      <c r="W2007" s="110" t="s">
        <v>541</v>
      </c>
      <c r="X2007" s="110" t="s">
        <v>541</v>
      </c>
      <c r="Y2007" s="110" t="str">
        <f>IFERROR(VLOOKUP(F2007,'Freq-Chan'!C:E,3,FALSE),"na")</f>
        <v>na</v>
      </c>
      <c r="Z2007" s="110" t="s">
        <v>541</v>
      </c>
      <c r="AA2007" s="110" t="s">
        <v>541</v>
      </c>
      <c r="AB2007" s="110" t="s">
        <v>541</v>
      </c>
      <c r="AC2007" s="10" t="s">
        <v>541</v>
      </c>
      <c r="AD2007" s="10" t="s">
        <v>541</v>
      </c>
    </row>
    <row r="2008" spans="1:30" x14ac:dyDescent="0.2">
      <c r="A2008" s="110">
        <v>2007</v>
      </c>
      <c r="B2008" s="132">
        <v>41857</v>
      </c>
      <c r="C2008" s="117">
        <v>3</v>
      </c>
      <c r="D2008" s="103" t="s">
        <v>70</v>
      </c>
      <c r="E2008" s="103" t="s">
        <v>306</v>
      </c>
      <c r="H2008" s="103"/>
      <c r="I2008" s="103">
        <v>47</v>
      </c>
      <c r="K2008" s="103" t="s">
        <v>1032</v>
      </c>
      <c r="L2008" s="133"/>
      <c r="M2008" s="134">
        <v>2.0833333333333332E-2</v>
      </c>
      <c r="N2008" s="135" t="s">
        <v>3293</v>
      </c>
      <c r="O2008" s="133" t="s">
        <v>376</v>
      </c>
      <c r="Q2008" s="100" t="s">
        <v>4033</v>
      </c>
      <c r="R2008" s="226" t="s">
        <v>4054</v>
      </c>
      <c r="S2008" s="491" t="str">
        <f t="shared" si="65"/>
        <v>x</v>
      </c>
      <c r="T2008" s="492" t="str">
        <f>IFERROR(VLOOKUP(F2008,'Freq-Chan'!C:D,2,FALSE),"x")</f>
        <v>x</v>
      </c>
      <c r="U2008" s="110" t="s">
        <v>541</v>
      </c>
      <c r="V2008" s="110" t="str">
        <f t="shared" si="66"/>
        <v>FWL</v>
      </c>
      <c r="W2008" s="110" t="s">
        <v>541</v>
      </c>
      <c r="X2008" s="110" t="s">
        <v>541</v>
      </c>
      <c r="Y2008" s="110" t="str">
        <f>IFERROR(VLOOKUP(F2008,'Freq-Chan'!C:E,3,FALSE),"na")</f>
        <v>na</v>
      </c>
      <c r="Z2008" s="110" t="s">
        <v>541</v>
      </c>
      <c r="AA2008" s="110" t="s">
        <v>541</v>
      </c>
      <c r="AB2008" s="110" t="s">
        <v>541</v>
      </c>
      <c r="AC2008" s="10" t="s">
        <v>541</v>
      </c>
      <c r="AD2008" s="10" t="s">
        <v>541</v>
      </c>
    </row>
    <row r="2009" spans="1:30" x14ac:dyDescent="0.2">
      <c r="A2009" s="110">
        <v>2008</v>
      </c>
      <c r="B2009" s="132">
        <v>41857</v>
      </c>
      <c r="C2009" s="117">
        <v>3</v>
      </c>
      <c r="D2009" s="103" t="s">
        <v>70</v>
      </c>
      <c r="E2009" s="103" t="s">
        <v>306</v>
      </c>
      <c r="H2009" s="103"/>
      <c r="I2009" s="103">
        <v>49</v>
      </c>
      <c r="K2009" s="103" t="s">
        <v>365</v>
      </c>
      <c r="L2009" s="133"/>
      <c r="M2009" s="134">
        <v>1.9444444444444445E-2</v>
      </c>
      <c r="N2009" s="137" t="s">
        <v>3491</v>
      </c>
      <c r="O2009" s="133" t="s">
        <v>376</v>
      </c>
      <c r="Q2009" s="100" t="s">
        <v>4033</v>
      </c>
      <c r="R2009" s="226" t="s">
        <v>4054</v>
      </c>
      <c r="S2009" s="491" t="str">
        <f t="shared" si="65"/>
        <v>x</v>
      </c>
      <c r="T2009" s="492" t="str">
        <f>IFERROR(VLOOKUP(F2009,'Freq-Chan'!C:D,2,FALSE),"x")</f>
        <v>x</v>
      </c>
      <c r="U2009" s="110" t="s">
        <v>541</v>
      </c>
      <c r="V2009" s="110" t="str">
        <f t="shared" si="66"/>
        <v>FWL</v>
      </c>
      <c r="W2009" s="110" t="s">
        <v>541</v>
      </c>
      <c r="X2009" s="110" t="s">
        <v>541</v>
      </c>
      <c r="Y2009" s="110" t="str">
        <f>IFERROR(VLOOKUP(F2009,'Freq-Chan'!C:E,3,FALSE),"na")</f>
        <v>na</v>
      </c>
      <c r="Z2009" s="110" t="s">
        <v>541</v>
      </c>
      <c r="AA2009" s="110" t="s">
        <v>541</v>
      </c>
      <c r="AB2009" s="110" t="s">
        <v>541</v>
      </c>
      <c r="AC2009" s="10" t="s">
        <v>541</v>
      </c>
      <c r="AD2009" s="10" t="s">
        <v>541</v>
      </c>
    </row>
    <row r="2010" spans="1:30" x14ac:dyDescent="0.2">
      <c r="A2010" s="110">
        <v>2009</v>
      </c>
      <c r="B2010" s="132">
        <v>41857</v>
      </c>
      <c r="C2010" s="117">
        <v>3</v>
      </c>
      <c r="D2010" s="103" t="s">
        <v>70</v>
      </c>
      <c r="E2010" s="103" t="s">
        <v>306</v>
      </c>
      <c r="H2010" s="103"/>
      <c r="I2010" s="103">
        <v>49</v>
      </c>
      <c r="K2010" s="103" t="s">
        <v>1032</v>
      </c>
      <c r="L2010" s="133"/>
      <c r="M2010" s="134">
        <v>1.7361111111111112E-2</v>
      </c>
      <c r="N2010" s="137" t="s">
        <v>3926</v>
      </c>
      <c r="O2010" s="133" t="s">
        <v>376</v>
      </c>
      <c r="Q2010" s="100" t="s">
        <v>4033</v>
      </c>
      <c r="R2010" s="226" t="s">
        <v>4054</v>
      </c>
      <c r="S2010" s="491" t="str">
        <f t="shared" si="65"/>
        <v>x</v>
      </c>
      <c r="T2010" s="492" t="str">
        <f>IFERROR(VLOOKUP(F2010,'Freq-Chan'!C:D,2,FALSE),"x")</f>
        <v>x</v>
      </c>
      <c r="U2010" s="110" t="s">
        <v>541</v>
      </c>
      <c r="V2010" s="110" t="str">
        <f t="shared" si="66"/>
        <v>FWL</v>
      </c>
      <c r="W2010" s="110" t="s">
        <v>541</v>
      </c>
      <c r="X2010" s="110" t="s">
        <v>541</v>
      </c>
      <c r="Y2010" s="110" t="str">
        <f>IFERROR(VLOOKUP(F2010,'Freq-Chan'!C:E,3,FALSE),"na")</f>
        <v>na</v>
      </c>
      <c r="Z2010" s="110" t="s">
        <v>541</v>
      </c>
      <c r="AA2010" s="110" t="s">
        <v>541</v>
      </c>
      <c r="AB2010" s="110" t="s">
        <v>541</v>
      </c>
      <c r="AC2010" s="10" t="s">
        <v>541</v>
      </c>
      <c r="AD2010" s="10" t="s">
        <v>541</v>
      </c>
    </row>
    <row r="2011" spans="1:30" x14ac:dyDescent="0.2">
      <c r="A2011" s="110">
        <v>2010</v>
      </c>
      <c r="B2011" s="132">
        <v>41857</v>
      </c>
      <c r="C2011" s="117">
        <v>3</v>
      </c>
      <c r="D2011" s="103" t="s">
        <v>70</v>
      </c>
      <c r="E2011" s="103" t="s">
        <v>306</v>
      </c>
      <c r="H2011" s="103"/>
      <c r="I2011" s="103">
        <v>46</v>
      </c>
      <c r="K2011" s="103" t="s">
        <v>365</v>
      </c>
      <c r="L2011" s="133"/>
      <c r="M2011" s="134">
        <v>1.7361111111111112E-2</v>
      </c>
      <c r="N2011" s="135" t="s">
        <v>3294</v>
      </c>
      <c r="O2011" s="133" t="s">
        <v>376</v>
      </c>
      <c r="Q2011" s="100" t="s">
        <v>4033</v>
      </c>
      <c r="R2011" s="226" t="s">
        <v>4054</v>
      </c>
      <c r="S2011" s="491" t="str">
        <f t="shared" si="65"/>
        <v>x</v>
      </c>
      <c r="T2011" s="492" t="str">
        <f>IFERROR(VLOOKUP(F2011,'Freq-Chan'!C:D,2,FALSE),"x")</f>
        <v>x</v>
      </c>
      <c r="U2011" s="110" t="s">
        <v>541</v>
      </c>
      <c r="V2011" s="110" t="str">
        <f t="shared" si="66"/>
        <v>FWL</v>
      </c>
      <c r="W2011" s="110" t="s">
        <v>541</v>
      </c>
      <c r="X2011" s="110" t="s">
        <v>541</v>
      </c>
      <c r="Y2011" s="110" t="str">
        <f>IFERROR(VLOOKUP(F2011,'Freq-Chan'!C:E,3,FALSE),"na")</f>
        <v>na</v>
      </c>
      <c r="Z2011" s="110" t="s">
        <v>541</v>
      </c>
      <c r="AA2011" s="110" t="s">
        <v>541</v>
      </c>
      <c r="AB2011" s="110" t="s">
        <v>541</v>
      </c>
      <c r="AC2011" s="10" t="s">
        <v>541</v>
      </c>
      <c r="AD2011" s="10" t="s">
        <v>541</v>
      </c>
    </row>
    <row r="2012" spans="1:30" x14ac:dyDescent="0.2">
      <c r="A2012" s="110">
        <v>2011</v>
      </c>
      <c r="B2012" s="132">
        <v>41857</v>
      </c>
      <c r="C2012" s="117">
        <v>3</v>
      </c>
      <c r="D2012" s="103" t="s">
        <v>70</v>
      </c>
      <c r="E2012" s="103" t="s">
        <v>306</v>
      </c>
      <c r="H2012" s="103"/>
      <c r="I2012" s="103">
        <v>48</v>
      </c>
      <c r="K2012" s="103" t="s">
        <v>365</v>
      </c>
      <c r="L2012" s="133"/>
      <c r="M2012" s="134">
        <v>1.1805555555555555E-2</v>
      </c>
      <c r="N2012" s="137" t="s">
        <v>2010</v>
      </c>
      <c r="O2012" s="133" t="s">
        <v>376</v>
      </c>
      <c r="Q2012" s="100" t="s">
        <v>4033</v>
      </c>
      <c r="R2012" s="226" t="s">
        <v>4054</v>
      </c>
      <c r="S2012" s="491" t="str">
        <f t="shared" si="65"/>
        <v>x</v>
      </c>
      <c r="T2012" s="492" t="str">
        <f>IFERROR(VLOOKUP(F2012,'Freq-Chan'!C:D,2,FALSE),"x")</f>
        <v>x</v>
      </c>
      <c r="U2012" s="110" t="s">
        <v>541</v>
      </c>
      <c r="V2012" s="110" t="str">
        <f t="shared" si="66"/>
        <v>FWL</v>
      </c>
      <c r="W2012" s="110" t="s">
        <v>541</v>
      </c>
      <c r="X2012" s="110" t="s">
        <v>541</v>
      </c>
      <c r="Y2012" s="110" t="str">
        <f>IFERROR(VLOOKUP(F2012,'Freq-Chan'!C:E,3,FALSE),"na")</f>
        <v>na</v>
      </c>
      <c r="Z2012" s="110" t="s">
        <v>541</v>
      </c>
      <c r="AA2012" s="110" t="s">
        <v>541</v>
      </c>
      <c r="AB2012" s="110" t="s">
        <v>541</v>
      </c>
      <c r="AC2012" s="10" t="s">
        <v>541</v>
      </c>
      <c r="AD2012" s="10" t="s">
        <v>541</v>
      </c>
    </row>
    <row r="2013" spans="1:30" x14ac:dyDescent="0.2">
      <c r="A2013" s="110">
        <v>2012</v>
      </c>
      <c r="B2013" s="132">
        <v>41857</v>
      </c>
      <c r="C2013" s="117">
        <v>3</v>
      </c>
      <c r="D2013" s="103" t="s">
        <v>70</v>
      </c>
      <c r="E2013" s="103" t="s">
        <v>306</v>
      </c>
      <c r="H2013" s="103"/>
      <c r="I2013" s="103">
        <v>47</v>
      </c>
      <c r="K2013" s="103" t="s">
        <v>365</v>
      </c>
      <c r="L2013" s="133"/>
      <c r="M2013" s="134">
        <v>2.0833333333333332E-2</v>
      </c>
      <c r="N2013" s="137" t="s">
        <v>3402</v>
      </c>
      <c r="O2013" s="133" t="s">
        <v>376</v>
      </c>
      <c r="Q2013" s="100" t="s">
        <v>4033</v>
      </c>
      <c r="R2013" s="226" t="s">
        <v>4054</v>
      </c>
      <c r="S2013" s="491" t="str">
        <f t="shared" si="65"/>
        <v>x</v>
      </c>
      <c r="T2013" s="492" t="str">
        <f>IFERROR(VLOOKUP(F2013,'Freq-Chan'!C:D,2,FALSE),"x")</f>
        <v>x</v>
      </c>
      <c r="U2013" s="110" t="s">
        <v>541</v>
      </c>
      <c r="V2013" s="110" t="str">
        <f t="shared" si="66"/>
        <v>FWL</v>
      </c>
      <c r="W2013" s="110" t="s">
        <v>541</v>
      </c>
      <c r="X2013" s="110" t="s">
        <v>541</v>
      </c>
      <c r="Y2013" s="110" t="str">
        <f>IFERROR(VLOOKUP(F2013,'Freq-Chan'!C:E,3,FALSE),"na")</f>
        <v>na</v>
      </c>
      <c r="Z2013" s="110" t="s">
        <v>541</v>
      </c>
      <c r="AA2013" s="110" t="s">
        <v>541</v>
      </c>
      <c r="AB2013" s="110" t="s">
        <v>541</v>
      </c>
      <c r="AC2013" s="10" t="s">
        <v>541</v>
      </c>
      <c r="AD2013" s="10" t="s">
        <v>541</v>
      </c>
    </row>
    <row r="2014" spans="1:30" x14ac:dyDescent="0.2">
      <c r="A2014" s="110">
        <v>2013</v>
      </c>
      <c r="B2014" s="132">
        <v>41857</v>
      </c>
      <c r="C2014" s="117">
        <v>3</v>
      </c>
      <c r="D2014" s="103" t="s">
        <v>70</v>
      </c>
      <c r="E2014" s="103" t="s">
        <v>306</v>
      </c>
      <c r="H2014" s="103"/>
      <c r="I2014" s="103">
        <v>48</v>
      </c>
      <c r="K2014" s="103" t="s">
        <v>1032</v>
      </c>
      <c r="L2014" s="133"/>
      <c r="M2014" s="134">
        <v>2.2916666666666669E-2</v>
      </c>
      <c r="N2014" s="135" t="s">
        <v>3244</v>
      </c>
      <c r="O2014" s="133" t="s">
        <v>376</v>
      </c>
      <c r="Q2014" s="100" t="s">
        <v>4033</v>
      </c>
      <c r="R2014" s="226" t="s">
        <v>4054</v>
      </c>
      <c r="S2014" s="491" t="str">
        <f t="shared" si="65"/>
        <v>x</v>
      </c>
      <c r="T2014" s="492" t="str">
        <f>IFERROR(VLOOKUP(F2014,'Freq-Chan'!C:D,2,FALSE),"x")</f>
        <v>x</v>
      </c>
      <c r="U2014" s="110" t="s">
        <v>541</v>
      </c>
      <c r="V2014" s="110" t="str">
        <f t="shared" si="66"/>
        <v>FWL</v>
      </c>
      <c r="W2014" s="110" t="s">
        <v>541</v>
      </c>
      <c r="X2014" s="110" t="s">
        <v>541</v>
      </c>
      <c r="Y2014" s="110" t="str">
        <f>IFERROR(VLOOKUP(F2014,'Freq-Chan'!C:E,3,FALSE),"na")</f>
        <v>na</v>
      </c>
      <c r="Z2014" s="110" t="s">
        <v>541</v>
      </c>
      <c r="AA2014" s="110" t="s">
        <v>541</v>
      </c>
      <c r="AB2014" s="110" t="s">
        <v>541</v>
      </c>
      <c r="AC2014" s="10" t="s">
        <v>541</v>
      </c>
      <c r="AD2014" s="10" t="s">
        <v>541</v>
      </c>
    </row>
    <row r="2015" spans="1:30" x14ac:dyDescent="0.2">
      <c r="A2015" s="110">
        <v>2014</v>
      </c>
      <c r="B2015" s="132">
        <v>41857</v>
      </c>
      <c r="C2015" s="117">
        <v>3</v>
      </c>
      <c r="D2015" s="103" t="s">
        <v>70</v>
      </c>
      <c r="E2015" s="103" t="s">
        <v>306</v>
      </c>
      <c r="H2015" s="103"/>
      <c r="I2015" s="103">
        <v>47</v>
      </c>
      <c r="K2015" s="103" t="s">
        <v>1032</v>
      </c>
      <c r="L2015" s="133"/>
      <c r="M2015" s="134">
        <v>1.3888888888888888E-2</v>
      </c>
      <c r="N2015" s="135" t="s">
        <v>3801</v>
      </c>
      <c r="O2015" s="133" t="s">
        <v>1532</v>
      </c>
      <c r="Q2015" s="100" t="s">
        <v>4033</v>
      </c>
      <c r="R2015" s="226" t="s">
        <v>4054</v>
      </c>
      <c r="S2015" s="491" t="str">
        <f t="shared" si="65"/>
        <v>x</v>
      </c>
      <c r="T2015" s="492" t="str">
        <f>IFERROR(VLOOKUP(F2015,'Freq-Chan'!C:D,2,FALSE),"x")</f>
        <v>x</v>
      </c>
      <c r="U2015" s="110" t="s">
        <v>541</v>
      </c>
      <c r="V2015" s="110" t="str">
        <f t="shared" si="66"/>
        <v>FWL</v>
      </c>
      <c r="W2015" s="110" t="s">
        <v>541</v>
      </c>
      <c r="X2015" s="110" t="s">
        <v>541</v>
      </c>
      <c r="Y2015" s="110" t="str">
        <f>IFERROR(VLOOKUP(F2015,'Freq-Chan'!C:E,3,FALSE),"na")</f>
        <v>na</v>
      </c>
      <c r="Z2015" s="110" t="s">
        <v>541</v>
      </c>
      <c r="AA2015" s="110" t="s">
        <v>541</v>
      </c>
      <c r="AB2015" s="110" t="s">
        <v>541</v>
      </c>
      <c r="AC2015" s="10" t="s">
        <v>541</v>
      </c>
      <c r="AD2015" s="10" t="s">
        <v>541</v>
      </c>
    </row>
    <row r="2016" spans="1:30" x14ac:dyDescent="0.2">
      <c r="A2016" s="110">
        <v>2015</v>
      </c>
      <c r="B2016" s="132">
        <v>41857</v>
      </c>
      <c r="C2016" s="117">
        <v>3</v>
      </c>
      <c r="D2016" s="103" t="s">
        <v>70</v>
      </c>
      <c r="E2016" s="103" t="s">
        <v>306</v>
      </c>
      <c r="H2016" s="103"/>
      <c r="I2016" s="103">
        <v>47</v>
      </c>
      <c r="K2016" s="103" t="s">
        <v>1032</v>
      </c>
      <c r="L2016" s="133"/>
      <c r="M2016" s="134">
        <v>1.4583333333333332E-2</v>
      </c>
      <c r="N2016" s="135" t="s">
        <v>3355</v>
      </c>
      <c r="O2016" s="133" t="s">
        <v>1532</v>
      </c>
      <c r="Q2016" s="100" t="s">
        <v>4033</v>
      </c>
      <c r="R2016" s="226" t="s">
        <v>4054</v>
      </c>
      <c r="S2016" s="491" t="str">
        <f t="shared" si="65"/>
        <v>x</v>
      </c>
      <c r="T2016" s="492" t="str">
        <f>IFERROR(VLOOKUP(F2016,'Freq-Chan'!C:D,2,FALSE),"x")</f>
        <v>x</v>
      </c>
      <c r="U2016" s="110" t="s">
        <v>541</v>
      </c>
      <c r="V2016" s="110" t="str">
        <f t="shared" si="66"/>
        <v>FWL</v>
      </c>
      <c r="W2016" s="110" t="s">
        <v>541</v>
      </c>
      <c r="X2016" s="110" t="s">
        <v>541</v>
      </c>
      <c r="Y2016" s="110" t="str">
        <f>IFERROR(VLOOKUP(F2016,'Freq-Chan'!C:E,3,FALSE),"na")</f>
        <v>na</v>
      </c>
      <c r="Z2016" s="110" t="s">
        <v>541</v>
      </c>
      <c r="AA2016" s="110" t="s">
        <v>541</v>
      </c>
      <c r="AB2016" s="110" t="s">
        <v>541</v>
      </c>
      <c r="AC2016" s="10" t="s">
        <v>541</v>
      </c>
      <c r="AD2016" s="10" t="s">
        <v>541</v>
      </c>
    </row>
    <row r="2017" spans="1:30" x14ac:dyDescent="0.2">
      <c r="A2017" s="110">
        <v>2016</v>
      </c>
      <c r="B2017" s="132">
        <v>41857</v>
      </c>
      <c r="C2017" s="117">
        <v>3</v>
      </c>
      <c r="D2017" s="103" t="s">
        <v>71</v>
      </c>
      <c r="E2017" s="103" t="s">
        <v>306</v>
      </c>
      <c r="F2017" s="103">
        <v>564</v>
      </c>
      <c r="G2017" s="103">
        <v>91</v>
      </c>
      <c r="H2017" s="103" t="s">
        <v>2387</v>
      </c>
      <c r="I2017" s="103">
        <v>64</v>
      </c>
      <c r="K2017" s="103" t="s">
        <v>364</v>
      </c>
      <c r="L2017" s="133"/>
      <c r="M2017" s="134">
        <v>4.8611111111111112E-2</v>
      </c>
      <c r="N2017" s="135" t="s">
        <v>3205</v>
      </c>
      <c r="O2017" s="133" t="s">
        <v>1532</v>
      </c>
      <c r="Q2017" s="100" t="s">
        <v>4033</v>
      </c>
      <c r="R2017" s="226" t="s">
        <v>4054</v>
      </c>
      <c r="S2017" s="491" t="str">
        <f t="shared" si="65"/>
        <v>x</v>
      </c>
      <c r="T2017" s="492">
        <f>IFERROR(VLOOKUP(F2017,'Freq-Chan'!C:D,2,FALSE),"x")</f>
        <v>151.56399999999999</v>
      </c>
      <c r="U2017" s="110" t="s">
        <v>541</v>
      </c>
      <c r="V2017" s="110" t="str">
        <f t="shared" si="66"/>
        <v>FWL</v>
      </c>
      <c r="W2017" s="110" t="s">
        <v>541</v>
      </c>
      <c r="X2017" s="110" t="s">
        <v>541</v>
      </c>
      <c r="Y2017" s="110" t="str">
        <f>IFERROR(VLOOKUP(F2017,'Freq-Chan'!C:E,3,FALSE),"na")</f>
        <v>F1840</v>
      </c>
      <c r="Z2017" s="110" t="s">
        <v>541</v>
      </c>
      <c r="AA2017" s="110" t="s">
        <v>541</v>
      </c>
      <c r="AB2017" s="110" t="s">
        <v>541</v>
      </c>
      <c r="AC2017" s="10" t="s">
        <v>541</v>
      </c>
      <c r="AD2017" s="10" t="s">
        <v>541</v>
      </c>
    </row>
    <row r="2018" spans="1:30" x14ac:dyDescent="0.2">
      <c r="A2018" s="110">
        <v>2017</v>
      </c>
      <c r="B2018" s="132">
        <v>41857</v>
      </c>
      <c r="C2018" s="117">
        <v>3</v>
      </c>
      <c r="D2018" s="103" t="s">
        <v>71</v>
      </c>
      <c r="E2018" s="103" t="s">
        <v>306</v>
      </c>
      <c r="F2018" s="103">
        <v>564</v>
      </c>
      <c r="G2018" s="103">
        <v>47</v>
      </c>
      <c r="H2018" s="103" t="s">
        <v>2388</v>
      </c>
      <c r="I2018" s="103">
        <v>57</v>
      </c>
      <c r="K2018" s="103" t="s">
        <v>364</v>
      </c>
      <c r="L2018" s="133"/>
      <c r="M2018" s="134">
        <v>3.1944444444444449E-2</v>
      </c>
      <c r="N2018" s="135" t="s">
        <v>4049</v>
      </c>
      <c r="O2018" s="133" t="s">
        <v>1532</v>
      </c>
      <c r="Q2018" s="100" t="s">
        <v>4033</v>
      </c>
      <c r="R2018" s="226" t="s">
        <v>4054</v>
      </c>
      <c r="S2018" s="491" t="str">
        <f t="shared" si="65"/>
        <v>x</v>
      </c>
      <c r="T2018" s="492">
        <f>IFERROR(VLOOKUP(F2018,'Freq-Chan'!C:D,2,FALSE),"x")</f>
        <v>151.56399999999999</v>
      </c>
      <c r="U2018" s="110" t="s">
        <v>541</v>
      </c>
      <c r="V2018" s="110" t="str">
        <f t="shared" si="66"/>
        <v>FWL</v>
      </c>
      <c r="W2018" s="110" t="s">
        <v>541</v>
      </c>
      <c r="X2018" s="110" t="s">
        <v>541</v>
      </c>
      <c r="Y2018" s="110" t="str">
        <f>IFERROR(VLOOKUP(F2018,'Freq-Chan'!C:E,3,FALSE),"na")</f>
        <v>F1840</v>
      </c>
      <c r="Z2018" s="110" t="s">
        <v>541</v>
      </c>
      <c r="AA2018" s="110" t="s">
        <v>541</v>
      </c>
      <c r="AB2018" s="110" t="s">
        <v>541</v>
      </c>
      <c r="AC2018" s="10" t="s">
        <v>541</v>
      </c>
      <c r="AD2018" s="10" t="s">
        <v>541</v>
      </c>
    </row>
    <row r="2019" spans="1:30" x14ac:dyDescent="0.2">
      <c r="A2019" s="110">
        <v>2018</v>
      </c>
      <c r="B2019" s="132">
        <v>41857</v>
      </c>
      <c r="C2019" s="117">
        <v>3</v>
      </c>
      <c r="D2019" s="103" t="s">
        <v>71</v>
      </c>
      <c r="E2019" s="103" t="s">
        <v>306</v>
      </c>
      <c r="H2019" s="103"/>
      <c r="I2019" s="103">
        <v>60</v>
      </c>
      <c r="K2019" s="103" t="s">
        <v>1032</v>
      </c>
      <c r="L2019" s="133"/>
      <c r="M2019" s="134">
        <v>5.9027777777777783E-2</v>
      </c>
      <c r="N2019" s="135" t="s">
        <v>2018</v>
      </c>
      <c r="O2019" s="133" t="s">
        <v>376</v>
      </c>
      <c r="P2019" s="100" t="s">
        <v>4050</v>
      </c>
      <c r="Q2019" s="100" t="s">
        <v>4033</v>
      </c>
      <c r="R2019" s="226" t="s">
        <v>4054</v>
      </c>
      <c r="S2019" s="491" t="str">
        <f t="shared" si="65"/>
        <v>x</v>
      </c>
      <c r="T2019" s="492" t="str">
        <f>IFERROR(VLOOKUP(F2019,'Freq-Chan'!C:D,2,FALSE),"x")</f>
        <v>x</v>
      </c>
      <c r="U2019" s="110" t="s">
        <v>541</v>
      </c>
      <c r="V2019" s="110" t="str">
        <f t="shared" si="66"/>
        <v>FWL</v>
      </c>
      <c r="W2019" s="110" t="s">
        <v>541</v>
      </c>
      <c r="X2019" s="110" t="s">
        <v>541</v>
      </c>
      <c r="Y2019" s="110" t="str">
        <f>IFERROR(VLOOKUP(F2019,'Freq-Chan'!C:E,3,FALSE),"na")</f>
        <v>na</v>
      </c>
      <c r="Z2019" s="110" t="s">
        <v>541</v>
      </c>
      <c r="AA2019" s="110" t="s">
        <v>541</v>
      </c>
      <c r="AB2019" s="110" t="s">
        <v>541</v>
      </c>
      <c r="AC2019" s="10" t="s">
        <v>541</v>
      </c>
      <c r="AD2019" s="10" t="s">
        <v>541</v>
      </c>
    </row>
    <row r="2020" spans="1:30" x14ac:dyDescent="0.2">
      <c r="A2020" s="110">
        <v>2019</v>
      </c>
      <c r="B2020" s="132">
        <v>41857</v>
      </c>
      <c r="C2020" s="117">
        <v>3</v>
      </c>
      <c r="D2020" s="103" t="s">
        <v>70</v>
      </c>
      <c r="E2020" s="103" t="s">
        <v>306</v>
      </c>
      <c r="F2020" s="103">
        <v>515</v>
      </c>
      <c r="G2020" s="103">
        <v>17</v>
      </c>
      <c r="H2020" s="103" t="s">
        <v>3078</v>
      </c>
      <c r="I2020" s="103">
        <v>43</v>
      </c>
      <c r="K2020" s="103" t="s">
        <v>365</v>
      </c>
      <c r="L2020" s="133"/>
      <c r="M2020" s="134">
        <v>3.6805555555555557E-2</v>
      </c>
      <c r="N2020" s="135" t="s">
        <v>1909</v>
      </c>
      <c r="O2020" s="133" t="s">
        <v>376</v>
      </c>
      <c r="Q2020" s="100" t="s">
        <v>4033</v>
      </c>
      <c r="R2020" s="226" t="s">
        <v>4054</v>
      </c>
      <c r="S2020" s="491" t="str">
        <f t="shared" si="65"/>
        <v>x</v>
      </c>
      <c r="T2020" s="492">
        <f>IFERROR(VLOOKUP(F2020,'Freq-Chan'!C:D,2,FALSE),"x")</f>
        <v>151.51499999999999</v>
      </c>
      <c r="U2020" s="110" t="s">
        <v>541</v>
      </c>
      <c r="V2020" s="110" t="str">
        <f t="shared" si="66"/>
        <v>FWL</v>
      </c>
      <c r="W2020" s="110" t="s">
        <v>541</v>
      </c>
      <c r="X2020" s="110" t="s">
        <v>541</v>
      </c>
      <c r="Y2020" s="110" t="str">
        <f>IFERROR(VLOOKUP(F2020,'Freq-Chan'!C:E,3,FALSE),"na")</f>
        <v>F1835</v>
      </c>
      <c r="Z2020" s="110" t="s">
        <v>541</v>
      </c>
      <c r="AA2020" s="110" t="s">
        <v>541</v>
      </c>
      <c r="AB2020" s="110" t="s">
        <v>541</v>
      </c>
      <c r="AC2020" s="10" t="s">
        <v>541</v>
      </c>
      <c r="AD2020" s="10" t="s">
        <v>541</v>
      </c>
    </row>
    <row r="2021" spans="1:30" x14ac:dyDescent="0.2">
      <c r="A2021" s="110">
        <v>2020</v>
      </c>
      <c r="B2021" s="132">
        <v>41857</v>
      </c>
      <c r="C2021" s="117">
        <v>3</v>
      </c>
      <c r="D2021" s="103" t="s">
        <v>177</v>
      </c>
      <c r="E2021" s="103" t="s">
        <v>0</v>
      </c>
      <c r="H2021" s="103"/>
      <c r="I2021" s="103">
        <v>35</v>
      </c>
      <c r="K2021" s="103" t="s">
        <v>1032</v>
      </c>
      <c r="L2021" s="133"/>
      <c r="M2021" s="134">
        <v>1.5972222222222224E-2</v>
      </c>
      <c r="N2021" s="137" t="s">
        <v>722</v>
      </c>
      <c r="O2021" s="133" t="s">
        <v>376</v>
      </c>
      <c r="P2021" s="100" t="s">
        <v>4051</v>
      </c>
      <c r="Q2021" s="100" t="s">
        <v>4033</v>
      </c>
      <c r="R2021" s="226" t="s">
        <v>4054</v>
      </c>
      <c r="S2021" s="491" t="str">
        <f t="shared" si="65"/>
        <v>x</v>
      </c>
      <c r="T2021" s="492" t="str">
        <f>IFERROR(VLOOKUP(F2021,'Freq-Chan'!C:D,2,FALSE),"x")</f>
        <v>x</v>
      </c>
      <c r="U2021" s="110" t="s">
        <v>541</v>
      </c>
      <c r="V2021" s="110" t="str">
        <f t="shared" si="66"/>
        <v>FWL</v>
      </c>
      <c r="W2021" s="110" t="s">
        <v>541</v>
      </c>
      <c r="X2021" s="110" t="s">
        <v>541</v>
      </c>
      <c r="Y2021" s="110" t="str">
        <f>IFERROR(VLOOKUP(F2021,'Freq-Chan'!C:E,3,FALSE),"na")</f>
        <v>na</v>
      </c>
      <c r="Z2021" s="110" t="s">
        <v>541</v>
      </c>
      <c r="AA2021" s="110" t="s">
        <v>541</v>
      </c>
      <c r="AB2021" s="110" t="s">
        <v>541</v>
      </c>
      <c r="AC2021" s="10" t="s">
        <v>541</v>
      </c>
      <c r="AD2021" s="10" t="s">
        <v>541</v>
      </c>
    </row>
    <row r="2022" spans="1:30" x14ac:dyDescent="0.2">
      <c r="A2022" s="110">
        <v>2021</v>
      </c>
      <c r="B2022" s="132">
        <v>41857</v>
      </c>
      <c r="C2022" s="117">
        <v>3</v>
      </c>
      <c r="D2022" s="103" t="s">
        <v>71</v>
      </c>
      <c r="E2022" s="103" t="s">
        <v>306</v>
      </c>
      <c r="F2022" s="103">
        <v>534</v>
      </c>
      <c r="G2022" s="103">
        <v>36</v>
      </c>
      <c r="H2022" s="103" t="s">
        <v>2389</v>
      </c>
      <c r="I2022" s="103">
        <v>58</v>
      </c>
      <c r="K2022" s="103" t="s">
        <v>1032</v>
      </c>
      <c r="L2022" s="133"/>
      <c r="M2022" s="134">
        <v>4.6527777777777779E-2</v>
      </c>
      <c r="N2022" s="137" t="s">
        <v>1698</v>
      </c>
      <c r="O2022" s="133" t="s">
        <v>1532</v>
      </c>
      <c r="Q2022" s="100" t="s">
        <v>4033</v>
      </c>
      <c r="R2022" s="226" t="s">
        <v>4054</v>
      </c>
      <c r="S2022" s="491" t="str">
        <f t="shared" si="65"/>
        <v>x</v>
      </c>
      <c r="T2022" s="492">
        <f>IFERROR(VLOOKUP(F2022,'Freq-Chan'!C:D,2,FALSE),"x")</f>
        <v>151.53399999999999</v>
      </c>
      <c r="U2022" s="110" t="s">
        <v>541</v>
      </c>
      <c r="V2022" s="110" t="str">
        <f t="shared" si="66"/>
        <v>FWL</v>
      </c>
      <c r="W2022" s="110" t="s">
        <v>541</v>
      </c>
      <c r="X2022" s="110" t="s">
        <v>541</v>
      </c>
      <c r="Y2022" s="110" t="str">
        <f>IFERROR(VLOOKUP(F2022,'Freq-Chan'!C:E,3,FALSE),"na")</f>
        <v>F1840</v>
      </c>
      <c r="Z2022" s="110" t="s">
        <v>541</v>
      </c>
      <c r="AA2022" s="110" t="s">
        <v>541</v>
      </c>
      <c r="AB2022" s="110" t="s">
        <v>541</v>
      </c>
      <c r="AC2022" s="10" t="s">
        <v>541</v>
      </c>
      <c r="AD2022" s="10" t="s">
        <v>541</v>
      </c>
    </row>
    <row r="2023" spans="1:30" x14ac:dyDescent="0.2">
      <c r="A2023" s="110">
        <v>2022</v>
      </c>
      <c r="B2023" s="132">
        <v>41857</v>
      </c>
      <c r="C2023" s="117">
        <v>3</v>
      </c>
      <c r="D2023" s="103" t="s">
        <v>70</v>
      </c>
      <c r="E2023" s="103" t="s">
        <v>306</v>
      </c>
      <c r="F2023" s="103">
        <v>596</v>
      </c>
      <c r="G2023" s="103">
        <v>68</v>
      </c>
      <c r="H2023" s="103" t="s">
        <v>3079</v>
      </c>
      <c r="I2023" s="103">
        <v>49</v>
      </c>
      <c r="K2023" s="103" t="s">
        <v>1032</v>
      </c>
      <c r="L2023" s="133"/>
      <c r="M2023" s="134">
        <v>5.6250000000000001E-2</v>
      </c>
      <c r="N2023" s="137" t="s">
        <v>2052</v>
      </c>
      <c r="O2023" s="133" t="s">
        <v>3932</v>
      </c>
      <c r="Q2023" s="100" t="s">
        <v>4040</v>
      </c>
      <c r="R2023" s="226" t="s">
        <v>4054</v>
      </c>
      <c r="S2023" s="491" t="str">
        <f t="shared" si="65"/>
        <v>x</v>
      </c>
      <c r="T2023" s="492">
        <f>IFERROR(VLOOKUP(F2023,'Freq-Chan'!C:D,2,FALSE),"x")</f>
        <v>151.596</v>
      </c>
      <c r="U2023" s="110" t="s">
        <v>541</v>
      </c>
      <c r="V2023" s="110" t="str">
        <f t="shared" si="66"/>
        <v>FWL</v>
      </c>
      <c r="W2023" s="110" t="s">
        <v>541</v>
      </c>
      <c r="X2023" s="110" t="s">
        <v>541</v>
      </c>
      <c r="Y2023" s="110" t="str">
        <f>IFERROR(VLOOKUP(F2023,'Freq-Chan'!C:E,3,FALSE),"na")</f>
        <v>F1835</v>
      </c>
      <c r="Z2023" s="110" t="s">
        <v>541</v>
      </c>
      <c r="AA2023" s="110" t="s">
        <v>541</v>
      </c>
      <c r="AB2023" s="110" t="s">
        <v>541</v>
      </c>
      <c r="AC2023" s="10" t="s">
        <v>541</v>
      </c>
      <c r="AD2023" s="10" t="s">
        <v>541</v>
      </c>
    </row>
    <row r="2024" spans="1:30" x14ac:dyDescent="0.2">
      <c r="A2024" s="110">
        <v>2023</v>
      </c>
      <c r="B2024" s="132">
        <v>41857</v>
      </c>
      <c r="C2024" s="117">
        <v>3</v>
      </c>
      <c r="D2024" s="103" t="s">
        <v>2</v>
      </c>
      <c r="E2024" s="103" t="s">
        <v>306</v>
      </c>
      <c r="H2024" s="103"/>
      <c r="I2024" s="103">
        <v>58</v>
      </c>
      <c r="K2024" s="103" t="s">
        <v>1032</v>
      </c>
      <c r="L2024" s="133"/>
      <c r="M2024" s="134">
        <v>2.5694444444444447E-2</v>
      </c>
      <c r="N2024" s="137" t="s">
        <v>877</v>
      </c>
      <c r="O2024" s="133" t="s">
        <v>3932</v>
      </c>
      <c r="P2024" s="100" t="s">
        <v>4052</v>
      </c>
      <c r="Q2024" s="100" t="s">
        <v>4040</v>
      </c>
      <c r="R2024" s="226" t="s">
        <v>4054</v>
      </c>
      <c r="S2024" s="491" t="str">
        <f t="shared" si="65"/>
        <v>x</v>
      </c>
      <c r="T2024" s="492" t="str">
        <f>IFERROR(VLOOKUP(F2024,'Freq-Chan'!C:D,2,FALSE),"x")</f>
        <v>x</v>
      </c>
      <c r="U2024" s="110" t="s">
        <v>541</v>
      </c>
      <c r="V2024" s="110" t="str">
        <f t="shared" si="66"/>
        <v>FWL</v>
      </c>
      <c r="W2024" s="110" t="s">
        <v>541</v>
      </c>
      <c r="X2024" s="110" t="s">
        <v>541</v>
      </c>
      <c r="Y2024" s="110" t="str">
        <f>IFERROR(VLOOKUP(F2024,'Freq-Chan'!C:E,3,FALSE),"na")</f>
        <v>na</v>
      </c>
      <c r="Z2024" s="110" t="s">
        <v>541</v>
      </c>
      <c r="AA2024" s="110" t="s">
        <v>541</v>
      </c>
      <c r="AB2024" s="110" t="s">
        <v>541</v>
      </c>
      <c r="AC2024" s="10" t="s">
        <v>541</v>
      </c>
      <c r="AD2024" s="10" t="s">
        <v>541</v>
      </c>
    </row>
    <row r="2025" spans="1:30" x14ac:dyDescent="0.2">
      <c r="A2025" s="110">
        <v>2024</v>
      </c>
      <c r="B2025" s="132">
        <v>41857</v>
      </c>
      <c r="C2025" s="117">
        <v>3</v>
      </c>
      <c r="D2025" s="103" t="s">
        <v>71</v>
      </c>
      <c r="E2025" s="103" t="s">
        <v>306</v>
      </c>
      <c r="F2025" s="103">
        <v>534</v>
      </c>
      <c r="G2025" s="103">
        <v>65</v>
      </c>
      <c r="H2025" s="103" t="s">
        <v>2390</v>
      </c>
      <c r="I2025" s="103">
        <v>61</v>
      </c>
      <c r="K2025" s="103" t="s">
        <v>1032</v>
      </c>
      <c r="L2025" s="133"/>
      <c r="M2025" s="134">
        <v>4.7916666666666663E-2</v>
      </c>
      <c r="N2025" s="137" t="s">
        <v>3239</v>
      </c>
      <c r="O2025" s="133" t="s">
        <v>3932</v>
      </c>
      <c r="Q2025" s="100" t="s">
        <v>4040</v>
      </c>
      <c r="R2025" s="226" t="s">
        <v>4054</v>
      </c>
      <c r="S2025" s="491" t="str">
        <f t="shared" si="65"/>
        <v>x</v>
      </c>
      <c r="T2025" s="492">
        <f>IFERROR(VLOOKUP(F2025,'Freq-Chan'!C:D,2,FALSE),"x")</f>
        <v>151.53399999999999</v>
      </c>
      <c r="U2025" s="110" t="s">
        <v>541</v>
      </c>
      <c r="V2025" s="110" t="str">
        <f t="shared" si="66"/>
        <v>FWL</v>
      </c>
      <c r="W2025" s="110" t="s">
        <v>541</v>
      </c>
      <c r="X2025" s="110" t="s">
        <v>541</v>
      </c>
      <c r="Y2025" s="110" t="str">
        <f>IFERROR(VLOOKUP(F2025,'Freq-Chan'!C:E,3,FALSE),"na")</f>
        <v>F1840</v>
      </c>
      <c r="Z2025" s="110" t="s">
        <v>541</v>
      </c>
      <c r="AA2025" s="110" t="s">
        <v>541</v>
      </c>
      <c r="AB2025" s="110" t="s">
        <v>541</v>
      </c>
      <c r="AC2025" s="10" t="s">
        <v>541</v>
      </c>
      <c r="AD2025" s="10" t="s">
        <v>541</v>
      </c>
    </row>
    <row r="2026" spans="1:30" x14ac:dyDescent="0.2">
      <c r="A2026" s="110">
        <v>2025</v>
      </c>
      <c r="B2026" s="132">
        <v>41857</v>
      </c>
      <c r="C2026" s="117">
        <v>3</v>
      </c>
      <c r="D2026" s="103" t="s">
        <v>72</v>
      </c>
      <c r="E2026" s="103" t="s">
        <v>306</v>
      </c>
      <c r="F2026" s="103">
        <v>266</v>
      </c>
      <c r="G2026" s="103">
        <v>66</v>
      </c>
      <c r="H2026" s="103" t="s">
        <v>3526</v>
      </c>
      <c r="I2026" s="103">
        <v>49</v>
      </c>
      <c r="K2026" s="103" t="s">
        <v>1032</v>
      </c>
      <c r="L2026" s="133"/>
      <c r="M2026" s="134">
        <v>7.6388888888888895E-2</v>
      </c>
      <c r="N2026" s="137" t="s">
        <v>879</v>
      </c>
      <c r="O2026" s="133" t="s">
        <v>3932</v>
      </c>
      <c r="P2026" s="100" t="s">
        <v>4466</v>
      </c>
      <c r="Q2026" s="100" t="s">
        <v>4040</v>
      </c>
      <c r="R2026" s="226" t="s">
        <v>4054</v>
      </c>
      <c r="S2026" s="491" t="str">
        <f t="shared" si="65"/>
        <v>x</v>
      </c>
      <c r="T2026" s="492">
        <f>IFERROR(VLOOKUP(F2026,'Freq-Chan'!C:D,2,FALSE),"x")</f>
        <v>151.26599999999999</v>
      </c>
      <c r="U2026" s="110" t="s">
        <v>541</v>
      </c>
      <c r="V2026" s="110" t="str">
        <f t="shared" si="66"/>
        <v>FWL</v>
      </c>
      <c r="W2026" s="110" t="s">
        <v>541</v>
      </c>
      <c r="X2026" s="110" t="s">
        <v>541</v>
      </c>
      <c r="Y2026" s="110" t="str">
        <f>IFERROR(VLOOKUP(F2026,'Freq-Chan'!C:E,3,FALSE),"na")</f>
        <v>F1840</v>
      </c>
      <c r="Z2026" s="110" t="s">
        <v>541</v>
      </c>
      <c r="AA2026" s="110" t="s">
        <v>541</v>
      </c>
      <c r="AB2026" s="110" t="s">
        <v>541</v>
      </c>
      <c r="AC2026" s="10" t="s">
        <v>541</v>
      </c>
      <c r="AD2026" s="10" t="s">
        <v>541</v>
      </c>
    </row>
    <row r="2027" spans="1:30" x14ac:dyDescent="0.2">
      <c r="A2027" s="110">
        <v>2026</v>
      </c>
      <c r="B2027" s="132">
        <v>41857</v>
      </c>
      <c r="C2027" s="117">
        <v>3</v>
      </c>
      <c r="D2027" s="103" t="s">
        <v>71</v>
      </c>
      <c r="E2027" s="103" t="s">
        <v>306</v>
      </c>
      <c r="F2027" s="103">
        <v>564</v>
      </c>
      <c r="G2027" s="103">
        <v>73</v>
      </c>
      <c r="H2027" s="103" t="s">
        <v>2391</v>
      </c>
      <c r="I2027" s="103">
        <v>59</v>
      </c>
      <c r="K2027" s="103" t="s">
        <v>1032</v>
      </c>
      <c r="L2027" s="133"/>
      <c r="M2027" s="134">
        <v>4.3750000000000004E-2</v>
      </c>
      <c r="N2027" s="135" t="s">
        <v>2851</v>
      </c>
      <c r="O2027" s="133" t="s">
        <v>3932</v>
      </c>
      <c r="Q2027" s="100" t="s">
        <v>4040</v>
      </c>
      <c r="R2027" s="226" t="s">
        <v>4054</v>
      </c>
      <c r="S2027" s="491" t="str">
        <f t="shared" si="65"/>
        <v>x</v>
      </c>
      <c r="T2027" s="492">
        <f>IFERROR(VLOOKUP(F2027,'Freq-Chan'!C:D,2,FALSE),"x")</f>
        <v>151.56399999999999</v>
      </c>
      <c r="U2027" s="110" t="s">
        <v>541</v>
      </c>
      <c r="V2027" s="110" t="str">
        <f t="shared" si="66"/>
        <v>FWL</v>
      </c>
      <c r="W2027" s="110" t="s">
        <v>541</v>
      </c>
      <c r="X2027" s="110" t="s">
        <v>541</v>
      </c>
      <c r="Y2027" s="110" t="str">
        <f>IFERROR(VLOOKUP(F2027,'Freq-Chan'!C:E,3,FALSE),"na")</f>
        <v>F1840</v>
      </c>
      <c r="Z2027" s="110" t="s">
        <v>541</v>
      </c>
      <c r="AA2027" s="110" t="s">
        <v>541</v>
      </c>
      <c r="AB2027" s="110" t="s">
        <v>541</v>
      </c>
      <c r="AC2027" s="10" t="s">
        <v>541</v>
      </c>
      <c r="AD2027" s="10" t="s">
        <v>541</v>
      </c>
    </row>
    <row r="2028" spans="1:30" x14ac:dyDescent="0.2">
      <c r="A2028" s="110">
        <v>2027</v>
      </c>
      <c r="B2028" s="132">
        <v>41857</v>
      </c>
      <c r="C2028" s="117">
        <v>3</v>
      </c>
      <c r="D2028" s="103" t="s">
        <v>70</v>
      </c>
      <c r="E2028" s="103" t="s">
        <v>306</v>
      </c>
      <c r="F2028" s="103">
        <v>515</v>
      </c>
      <c r="G2028" s="103">
        <v>32</v>
      </c>
      <c r="H2028" s="103" t="s">
        <v>3089</v>
      </c>
      <c r="I2028" s="103">
        <v>52</v>
      </c>
      <c r="K2028" s="103" t="s">
        <v>1032</v>
      </c>
      <c r="L2028" s="133"/>
      <c r="M2028" s="134">
        <v>5.9027777777777783E-2</v>
      </c>
      <c r="N2028" s="135" t="s">
        <v>3239</v>
      </c>
      <c r="O2028" s="133" t="s">
        <v>3932</v>
      </c>
      <c r="Q2028" s="100" t="s">
        <v>4040</v>
      </c>
      <c r="R2028" s="226" t="s">
        <v>4054</v>
      </c>
      <c r="S2028" s="491" t="str">
        <f t="shared" si="65"/>
        <v>x</v>
      </c>
      <c r="T2028" s="492">
        <f>IFERROR(VLOOKUP(F2028,'Freq-Chan'!C:D,2,FALSE),"x")</f>
        <v>151.51499999999999</v>
      </c>
      <c r="U2028" s="110" t="s">
        <v>541</v>
      </c>
      <c r="V2028" s="110" t="str">
        <f t="shared" si="66"/>
        <v>FWL</v>
      </c>
      <c r="W2028" s="110" t="s">
        <v>541</v>
      </c>
      <c r="X2028" s="110" t="s">
        <v>541</v>
      </c>
      <c r="Y2028" s="110" t="str">
        <f>IFERROR(VLOOKUP(F2028,'Freq-Chan'!C:E,3,FALSE),"na")</f>
        <v>F1835</v>
      </c>
      <c r="Z2028" s="110" t="s">
        <v>541</v>
      </c>
      <c r="AA2028" s="110" t="s">
        <v>541</v>
      </c>
      <c r="AB2028" s="110" t="s">
        <v>541</v>
      </c>
      <c r="AC2028" s="10" t="s">
        <v>541</v>
      </c>
      <c r="AD2028" s="10" t="s">
        <v>541</v>
      </c>
    </row>
    <row r="2029" spans="1:30" x14ac:dyDescent="0.2">
      <c r="A2029" s="110">
        <v>2028</v>
      </c>
      <c r="B2029" s="132">
        <v>41857</v>
      </c>
      <c r="C2029" s="117">
        <v>3</v>
      </c>
      <c r="D2029" s="103" t="s">
        <v>71</v>
      </c>
      <c r="E2029" s="103" t="s">
        <v>306</v>
      </c>
      <c r="H2029" s="103"/>
      <c r="I2029" s="103">
        <v>61</v>
      </c>
      <c r="K2029" s="103" t="s">
        <v>365</v>
      </c>
      <c r="L2029" s="133"/>
      <c r="M2029" s="134">
        <v>2.0833333333333332E-2</v>
      </c>
      <c r="N2029" s="135" t="s">
        <v>4053</v>
      </c>
      <c r="O2029" s="133" t="s">
        <v>3932</v>
      </c>
      <c r="Q2029" s="100" t="s">
        <v>4040</v>
      </c>
      <c r="R2029" s="226" t="s">
        <v>4054</v>
      </c>
      <c r="S2029" s="491" t="str">
        <f t="shared" si="65"/>
        <v>x</v>
      </c>
      <c r="T2029" s="492" t="str">
        <f>IFERROR(VLOOKUP(F2029,'Freq-Chan'!C:D,2,FALSE),"x")</f>
        <v>x</v>
      </c>
      <c r="U2029" s="110" t="s">
        <v>541</v>
      </c>
      <c r="V2029" s="110" t="str">
        <f t="shared" si="66"/>
        <v>FWL</v>
      </c>
      <c r="W2029" s="110" t="s">
        <v>541</v>
      </c>
      <c r="X2029" s="110" t="s">
        <v>541</v>
      </c>
      <c r="Y2029" s="110" t="str">
        <f>IFERROR(VLOOKUP(F2029,'Freq-Chan'!C:E,3,FALSE),"na")</f>
        <v>na</v>
      </c>
      <c r="Z2029" s="110" t="s">
        <v>541</v>
      </c>
      <c r="AA2029" s="110" t="s">
        <v>541</v>
      </c>
      <c r="AB2029" s="110" t="s">
        <v>541</v>
      </c>
      <c r="AC2029" s="10" t="s">
        <v>541</v>
      </c>
      <c r="AD2029" s="10" t="s">
        <v>541</v>
      </c>
    </row>
    <row r="2030" spans="1:30" x14ac:dyDescent="0.2">
      <c r="A2030" s="110">
        <v>2029</v>
      </c>
      <c r="B2030" s="132">
        <v>41857</v>
      </c>
      <c r="C2030" s="117">
        <v>3</v>
      </c>
      <c r="D2030" s="103" t="s">
        <v>71</v>
      </c>
      <c r="E2030" s="103" t="s">
        <v>306</v>
      </c>
      <c r="H2030" s="103"/>
      <c r="I2030" s="103">
        <v>62</v>
      </c>
      <c r="K2030" s="103" t="s">
        <v>1032</v>
      </c>
      <c r="L2030" s="133"/>
      <c r="M2030" s="134">
        <v>1.8749999999999999E-2</v>
      </c>
      <c r="N2030" s="135" t="s">
        <v>3249</v>
      </c>
      <c r="O2030" s="133" t="s">
        <v>1585</v>
      </c>
      <c r="Q2030" s="100" t="s">
        <v>4040</v>
      </c>
      <c r="R2030" s="226" t="s">
        <v>4054</v>
      </c>
      <c r="S2030" s="491" t="str">
        <f t="shared" si="65"/>
        <v>x</v>
      </c>
      <c r="T2030" s="492" t="str">
        <f>IFERROR(VLOOKUP(F2030,'Freq-Chan'!C:D,2,FALSE),"x")</f>
        <v>x</v>
      </c>
      <c r="U2030" s="110" t="s">
        <v>541</v>
      </c>
      <c r="V2030" s="110" t="str">
        <f t="shared" si="66"/>
        <v>FWL</v>
      </c>
      <c r="W2030" s="110" t="s">
        <v>541</v>
      </c>
      <c r="X2030" s="110" t="s">
        <v>541</v>
      </c>
      <c r="Y2030" s="110" t="str">
        <f>IFERROR(VLOOKUP(F2030,'Freq-Chan'!C:E,3,FALSE),"na")</f>
        <v>na</v>
      </c>
      <c r="Z2030" s="110" t="s">
        <v>541</v>
      </c>
      <c r="AA2030" s="110" t="s">
        <v>541</v>
      </c>
      <c r="AB2030" s="110" t="s">
        <v>541</v>
      </c>
      <c r="AC2030" s="10" t="s">
        <v>541</v>
      </c>
      <c r="AD2030" s="10" t="s">
        <v>541</v>
      </c>
    </row>
    <row r="2031" spans="1:30" x14ac:dyDescent="0.2">
      <c r="A2031" s="110">
        <v>2030</v>
      </c>
      <c r="B2031" s="132">
        <v>41857</v>
      </c>
      <c r="C2031" s="117">
        <v>3</v>
      </c>
      <c r="D2031" s="103" t="s">
        <v>72</v>
      </c>
      <c r="E2031" s="103" t="s">
        <v>306</v>
      </c>
      <c r="F2031" s="103">
        <v>325</v>
      </c>
      <c r="G2031" s="103">
        <v>52</v>
      </c>
      <c r="H2031" s="103" t="s">
        <v>3527</v>
      </c>
      <c r="I2031" s="103">
        <v>54</v>
      </c>
      <c r="K2031" s="103" t="s">
        <v>1032</v>
      </c>
      <c r="L2031" s="133"/>
      <c r="M2031" s="134">
        <v>4.4444444444444446E-2</v>
      </c>
      <c r="N2031" s="135" t="s">
        <v>3761</v>
      </c>
      <c r="O2031" s="133" t="s">
        <v>3932</v>
      </c>
      <c r="Q2031" s="100" t="s">
        <v>4040</v>
      </c>
      <c r="R2031" s="226" t="s">
        <v>4054</v>
      </c>
      <c r="S2031" s="491" t="str">
        <f t="shared" si="65"/>
        <v>x</v>
      </c>
      <c r="T2031" s="492">
        <f>IFERROR(VLOOKUP(F2031,'Freq-Chan'!C:D,2,FALSE),"x")</f>
        <v>151.32499999999999</v>
      </c>
      <c r="U2031" s="110" t="s">
        <v>541</v>
      </c>
      <c r="V2031" s="110" t="str">
        <f t="shared" si="66"/>
        <v>FWL</v>
      </c>
      <c r="W2031" s="110" t="s">
        <v>541</v>
      </c>
      <c r="X2031" s="110" t="s">
        <v>541</v>
      </c>
      <c r="Y2031" s="110" t="str">
        <f>IFERROR(VLOOKUP(F2031,'Freq-Chan'!C:E,3,FALSE),"na")</f>
        <v>F1840</v>
      </c>
      <c r="Z2031" s="110" t="s">
        <v>541</v>
      </c>
      <c r="AA2031" s="110" t="s">
        <v>541</v>
      </c>
      <c r="AB2031" s="110" t="s">
        <v>541</v>
      </c>
      <c r="AC2031" s="10" t="s">
        <v>541</v>
      </c>
      <c r="AD2031" s="10" t="s">
        <v>541</v>
      </c>
    </row>
    <row r="2032" spans="1:30" x14ac:dyDescent="0.2">
      <c r="A2032" s="110">
        <v>2031</v>
      </c>
      <c r="B2032" s="132">
        <v>41857</v>
      </c>
      <c r="C2032" s="117">
        <v>3</v>
      </c>
      <c r="D2032" s="103" t="s">
        <v>72</v>
      </c>
      <c r="E2032" s="103" t="s">
        <v>306</v>
      </c>
      <c r="F2032" s="103">
        <v>266</v>
      </c>
      <c r="G2032" s="103">
        <v>54</v>
      </c>
      <c r="H2032" s="103" t="s">
        <v>3528</v>
      </c>
      <c r="I2032" s="103">
        <v>46</v>
      </c>
      <c r="K2032" s="103" t="s">
        <v>364</v>
      </c>
      <c r="L2032" s="133"/>
      <c r="M2032" s="134">
        <v>7.0833333333333331E-2</v>
      </c>
      <c r="N2032" s="137" t="s">
        <v>3167</v>
      </c>
      <c r="O2032" s="133" t="s">
        <v>3932</v>
      </c>
      <c r="P2032" s="100" t="s">
        <v>4466</v>
      </c>
      <c r="Q2032" s="100" t="s">
        <v>4040</v>
      </c>
      <c r="R2032" s="226" t="s">
        <v>4054</v>
      </c>
      <c r="S2032" s="491" t="str">
        <f t="shared" si="65"/>
        <v>x</v>
      </c>
      <c r="T2032" s="492">
        <f>IFERROR(VLOOKUP(F2032,'Freq-Chan'!C:D,2,FALSE),"x")</f>
        <v>151.26599999999999</v>
      </c>
      <c r="U2032" s="110" t="s">
        <v>541</v>
      </c>
      <c r="V2032" s="110" t="str">
        <f t="shared" si="66"/>
        <v>FWL</v>
      </c>
      <c r="W2032" s="110" t="s">
        <v>541</v>
      </c>
      <c r="X2032" s="110" t="s">
        <v>541</v>
      </c>
      <c r="Y2032" s="110" t="str">
        <f>IFERROR(VLOOKUP(F2032,'Freq-Chan'!C:E,3,FALSE),"na")</f>
        <v>F1840</v>
      </c>
      <c r="Z2032" s="110" t="s">
        <v>541</v>
      </c>
      <c r="AA2032" s="110" t="s">
        <v>541</v>
      </c>
      <c r="AB2032" s="110" t="s">
        <v>541</v>
      </c>
      <c r="AC2032" s="10" t="s">
        <v>541</v>
      </c>
      <c r="AD2032" s="10" t="s">
        <v>541</v>
      </c>
    </row>
    <row r="2033" spans="1:30" s="291" customFormat="1" x14ac:dyDescent="0.2">
      <c r="A2033" s="493">
        <v>2032</v>
      </c>
      <c r="B2033" s="283">
        <v>41857</v>
      </c>
      <c r="C2033" s="284">
        <v>3</v>
      </c>
      <c r="D2033" s="285" t="s">
        <v>75</v>
      </c>
      <c r="E2033" s="285" t="s">
        <v>306</v>
      </c>
      <c r="F2033" s="285"/>
      <c r="G2033" s="285"/>
      <c r="H2033" s="285"/>
      <c r="I2033" s="285"/>
      <c r="J2033" s="285">
        <v>19</v>
      </c>
      <c r="K2033" s="285" t="s">
        <v>364</v>
      </c>
      <c r="L2033" s="286"/>
      <c r="M2033" s="287">
        <v>2.9166666666666664E-2</v>
      </c>
      <c r="N2033" s="339" t="s">
        <v>3250</v>
      </c>
      <c r="O2033" s="286" t="s">
        <v>1585</v>
      </c>
      <c r="P2033" s="289"/>
      <c r="Q2033" s="289" t="s">
        <v>4040</v>
      </c>
      <c r="R2033" s="290" t="s">
        <v>4054</v>
      </c>
      <c r="S2033" s="494" t="str">
        <f t="shared" si="65"/>
        <v>x</v>
      </c>
      <c r="T2033" s="495" t="str">
        <f>IFERROR(VLOOKUP(F2033,'Freq-Chan'!C:D,2,FALSE),"x")</f>
        <v>x</v>
      </c>
      <c r="U2033" s="493" t="s">
        <v>541</v>
      </c>
      <c r="V2033" s="493" t="str">
        <f t="shared" si="66"/>
        <v>FWL</v>
      </c>
      <c r="W2033" s="493" t="s">
        <v>541</v>
      </c>
      <c r="X2033" s="493" t="s">
        <v>541</v>
      </c>
      <c r="Y2033" s="493" t="str">
        <f>IFERROR(VLOOKUP(F2033,'Freq-Chan'!C:E,3,FALSE),"na")</f>
        <v>na</v>
      </c>
      <c r="Z2033" s="493" t="s">
        <v>541</v>
      </c>
      <c r="AA2033" s="493" t="s">
        <v>541</v>
      </c>
      <c r="AB2033" s="493" t="s">
        <v>541</v>
      </c>
      <c r="AC2033" s="291" t="s">
        <v>541</v>
      </c>
      <c r="AD2033" s="291" t="s">
        <v>541</v>
      </c>
    </row>
    <row r="2034" spans="1:30" x14ac:dyDescent="0.2">
      <c r="A2034" s="110">
        <v>2033</v>
      </c>
      <c r="B2034" s="132">
        <v>41858</v>
      </c>
      <c r="C2034" s="117">
        <v>1</v>
      </c>
      <c r="D2034" s="103" t="s">
        <v>70</v>
      </c>
      <c r="E2034" s="103" t="s">
        <v>306</v>
      </c>
      <c r="F2034" s="103">
        <v>596</v>
      </c>
      <c r="G2034" s="103">
        <v>91</v>
      </c>
      <c r="H2034" s="103" t="s">
        <v>3087</v>
      </c>
      <c r="I2034" s="103">
        <v>47</v>
      </c>
      <c r="K2034" s="103" t="s">
        <v>365</v>
      </c>
      <c r="L2034" s="133"/>
      <c r="M2034" s="134">
        <v>6.0416666666666667E-2</v>
      </c>
      <c r="N2034" s="135" t="s">
        <v>839</v>
      </c>
      <c r="O2034" s="133" t="s">
        <v>1585</v>
      </c>
      <c r="Q2034" s="100" t="s">
        <v>4058</v>
      </c>
      <c r="R2034" s="226" t="s">
        <v>4090</v>
      </c>
      <c r="S2034" s="491" t="str">
        <f t="shared" si="65"/>
        <v>x</v>
      </c>
      <c r="T2034" s="492">
        <f>IFERROR(VLOOKUP(F2034,'Freq-Chan'!C:D,2,FALSE),"x")</f>
        <v>151.596</v>
      </c>
      <c r="U2034" s="110" t="s">
        <v>541</v>
      </c>
      <c r="V2034" s="110" t="str">
        <f t="shared" si="66"/>
        <v>FWL</v>
      </c>
      <c r="W2034" s="110" t="s">
        <v>541</v>
      </c>
      <c r="X2034" s="110" t="s">
        <v>541</v>
      </c>
      <c r="Y2034" s="110" t="str">
        <f>IFERROR(VLOOKUP(F2034,'Freq-Chan'!C:E,3,FALSE),"na")</f>
        <v>F1835</v>
      </c>
      <c r="Z2034" s="110" t="s">
        <v>541</v>
      </c>
      <c r="AA2034" s="110" t="s">
        <v>541</v>
      </c>
      <c r="AB2034" s="110" t="s">
        <v>541</v>
      </c>
      <c r="AC2034" s="10" t="s">
        <v>541</v>
      </c>
      <c r="AD2034" s="10" t="s">
        <v>541</v>
      </c>
    </row>
    <row r="2035" spans="1:30" x14ac:dyDescent="0.2">
      <c r="A2035" s="110">
        <v>2034</v>
      </c>
      <c r="B2035" s="132">
        <v>41858</v>
      </c>
      <c r="C2035" s="117">
        <v>1</v>
      </c>
      <c r="D2035" s="103" t="s">
        <v>71</v>
      </c>
      <c r="E2035" s="103" t="s">
        <v>306</v>
      </c>
      <c r="F2035" s="103">
        <v>564</v>
      </c>
      <c r="G2035" s="103">
        <v>89</v>
      </c>
      <c r="H2035" s="103" t="s">
        <v>2399</v>
      </c>
      <c r="I2035" s="103">
        <v>56</v>
      </c>
      <c r="K2035" s="103" t="s">
        <v>1032</v>
      </c>
      <c r="L2035" s="133"/>
      <c r="M2035" s="134">
        <v>4.8611111111111112E-2</v>
      </c>
      <c r="N2035" s="137" t="s">
        <v>3253</v>
      </c>
      <c r="O2035" s="133" t="s">
        <v>1585</v>
      </c>
      <c r="Q2035" s="100" t="s">
        <v>4058</v>
      </c>
      <c r="R2035" s="226" t="s">
        <v>4090</v>
      </c>
      <c r="S2035" s="491" t="str">
        <f t="shared" ref="S2035:S2098" si="67">IF(IF(OR(L2035=0,N2035=0),"x",ROUND(N2035-L2035-(M2035*24)/(24*60),10))&lt;0,0,IF(OR(L2035=0,N2035=0),"x",ROUND(N2035-L2035-(M2035*24)/(24*60),10)))</f>
        <v>x</v>
      </c>
      <c r="T2035" s="492">
        <f>IFERROR(VLOOKUP(F2035,'Freq-Chan'!C:D,2,FALSE),"x")</f>
        <v>151.56399999999999</v>
      </c>
      <c r="U2035" s="110" t="s">
        <v>541</v>
      </c>
      <c r="V2035" s="110" t="str">
        <f t="shared" ref="V2035:V2098" si="68">IF(OR(C2035=1,C2035=2,C2035=3),"FWL","NRD")</f>
        <v>FWL</v>
      </c>
      <c r="W2035" s="110" t="s">
        <v>541</v>
      </c>
      <c r="X2035" s="110" t="s">
        <v>541</v>
      </c>
      <c r="Y2035" s="110" t="str">
        <f>IFERROR(VLOOKUP(F2035,'Freq-Chan'!C:E,3,FALSE),"na")</f>
        <v>F1840</v>
      </c>
      <c r="Z2035" s="110" t="s">
        <v>541</v>
      </c>
      <c r="AA2035" s="110" t="s">
        <v>541</v>
      </c>
      <c r="AB2035" s="110" t="s">
        <v>541</v>
      </c>
      <c r="AC2035" s="10" t="s">
        <v>541</v>
      </c>
      <c r="AD2035" s="10" t="s">
        <v>541</v>
      </c>
    </row>
    <row r="2036" spans="1:30" x14ac:dyDescent="0.2">
      <c r="A2036" s="110">
        <v>2035</v>
      </c>
      <c r="B2036" s="132">
        <v>41858</v>
      </c>
      <c r="C2036" s="117">
        <v>1</v>
      </c>
      <c r="D2036" s="103" t="s">
        <v>71</v>
      </c>
      <c r="E2036" s="103" t="s">
        <v>306</v>
      </c>
      <c r="F2036" s="103">
        <v>564</v>
      </c>
      <c r="G2036" s="103">
        <v>50</v>
      </c>
      <c r="H2036" s="103" t="s">
        <v>2400</v>
      </c>
      <c r="I2036" s="103">
        <v>55</v>
      </c>
      <c r="K2036" s="103" t="s">
        <v>365</v>
      </c>
      <c r="L2036" s="133"/>
      <c r="M2036" s="134">
        <v>5.0694444444444452E-2</v>
      </c>
      <c r="N2036" s="135" t="s">
        <v>2691</v>
      </c>
      <c r="O2036" s="133" t="s">
        <v>1585</v>
      </c>
      <c r="Q2036" s="100" t="s">
        <v>4058</v>
      </c>
      <c r="R2036" s="226" t="s">
        <v>4090</v>
      </c>
      <c r="S2036" s="491" t="str">
        <f t="shared" si="67"/>
        <v>x</v>
      </c>
      <c r="T2036" s="492">
        <f>IFERROR(VLOOKUP(F2036,'Freq-Chan'!C:D,2,FALSE),"x")</f>
        <v>151.56399999999999</v>
      </c>
      <c r="U2036" s="110" t="s">
        <v>541</v>
      </c>
      <c r="V2036" s="110" t="str">
        <f t="shared" si="68"/>
        <v>FWL</v>
      </c>
      <c r="W2036" s="110" t="s">
        <v>541</v>
      </c>
      <c r="X2036" s="110" t="s">
        <v>541</v>
      </c>
      <c r="Y2036" s="110" t="str">
        <f>IFERROR(VLOOKUP(F2036,'Freq-Chan'!C:E,3,FALSE),"na")</f>
        <v>F1840</v>
      </c>
      <c r="Z2036" s="110" t="s">
        <v>541</v>
      </c>
      <c r="AA2036" s="110" t="s">
        <v>541</v>
      </c>
      <c r="AB2036" s="110" t="s">
        <v>541</v>
      </c>
      <c r="AC2036" s="10" t="s">
        <v>541</v>
      </c>
      <c r="AD2036" s="10" t="s">
        <v>541</v>
      </c>
    </row>
    <row r="2037" spans="1:30" x14ac:dyDescent="0.2">
      <c r="A2037" s="110">
        <v>2036</v>
      </c>
      <c r="B2037" s="132">
        <v>41858</v>
      </c>
      <c r="C2037" s="117">
        <v>1</v>
      </c>
      <c r="D2037" s="103" t="s">
        <v>70</v>
      </c>
      <c r="E2037" s="103" t="s">
        <v>306</v>
      </c>
      <c r="H2037" s="103"/>
      <c r="I2037" s="103">
        <v>47</v>
      </c>
      <c r="K2037" s="103" t="s">
        <v>1032</v>
      </c>
      <c r="L2037" s="133"/>
      <c r="M2037" s="134">
        <v>1.8055555555555557E-2</v>
      </c>
      <c r="N2037" s="135" t="s">
        <v>3452</v>
      </c>
      <c r="O2037" s="133" t="s">
        <v>1585</v>
      </c>
      <c r="Q2037" s="100" t="s">
        <v>4058</v>
      </c>
      <c r="R2037" s="226" t="s">
        <v>4090</v>
      </c>
      <c r="S2037" s="491" t="str">
        <f t="shared" si="67"/>
        <v>x</v>
      </c>
      <c r="T2037" s="492" t="str">
        <f>IFERROR(VLOOKUP(F2037,'Freq-Chan'!C:D,2,FALSE),"x")</f>
        <v>x</v>
      </c>
      <c r="U2037" s="110" t="s">
        <v>541</v>
      </c>
      <c r="V2037" s="110" t="str">
        <f t="shared" si="68"/>
        <v>FWL</v>
      </c>
      <c r="W2037" s="110" t="s">
        <v>541</v>
      </c>
      <c r="X2037" s="110" t="s">
        <v>541</v>
      </c>
      <c r="Y2037" s="110" t="str">
        <f>IFERROR(VLOOKUP(F2037,'Freq-Chan'!C:E,3,FALSE),"na")</f>
        <v>na</v>
      </c>
      <c r="Z2037" s="110" t="s">
        <v>541</v>
      </c>
      <c r="AA2037" s="110" t="s">
        <v>541</v>
      </c>
      <c r="AB2037" s="110" t="s">
        <v>541</v>
      </c>
      <c r="AC2037" s="10" t="s">
        <v>541</v>
      </c>
      <c r="AD2037" s="10" t="s">
        <v>541</v>
      </c>
    </row>
    <row r="2038" spans="1:30" x14ac:dyDescent="0.2">
      <c r="A2038" s="110">
        <v>2037</v>
      </c>
      <c r="B2038" s="132">
        <v>41858</v>
      </c>
      <c r="C2038" s="117">
        <v>1</v>
      </c>
      <c r="D2038" s="103" t="s">
        <v>71</v>
      </c>
      <c r="E2038" s="103" t="s">
        <v>306</v>
      </c>
      <c r="H2038" s="103"/>
      <c r="I2038" s="103">
        <v>61</v>
      </c>
      <c r="K2038" s="103" t="s">
        <v>365</v>
      </c>
      <c r="L2038" s="133"/>
      <c r="M2038" s="134">
        <v>1.8055555555555557E-2</v>
      </c>
      <c r="N2038" s="135" t="s">
        <v>3827</v>
      </c>
      <c r="O2038" s="133" t="s">
        <v>1585</v>
      </c>
      <c r="Q2038" s="100" t="s">
        <v>4058</v>
      </c>
      <c r="R2038" s="226" t="s">
        <v>4090</v>
      </c>
      <c r="S2038" s="491" t="str">
        <f t="shared" si="67"/>
        <v>x</v>
      </c>
      <c r="T2038" s="492" t="str">
        <f>IFERROR(VLOOKUP(F2038,'Freq-Chan'!C:D,2,FALSE),"x")</f>
        <v>x</v>
      </c>
      <c r="U2038" s="110" t="s">
        <v>541</v>
      </c>
      <c r="V2038" s="110" t="str">
        <f t="shared" si="68"/>
        <v>FWL</v>
      </c>
      <c r="W2038" s="110" t="s">
        <v>541</v>
      </c>
      <c r="X2038" s="110" t="s">
        <v>541</v>
      </c>
      <c r="Y2038" s="110" t="str">
        <f>IFERROR(VLOOKUP(F2038,'Freq-Chan'!C:E,3,FALSE),"na")</f>
        <v>na</v>
      </c>
      <c r="Z2038" s="110" t="s">
        <v>541</v>
      </c>
      <c r="AA2038" s="110" t="s">
        <v>541</v>
      </c>
      <c r="AB2038" s="110" t="s">
        <v>541</v>
      </c>
      <c r="AC2038" s="10" t="s">
        <v>541</v>
      </c>
      <c r="AD2038" s="10" t="s">
        <v>541</v>
      </c>
    </row>
    <row r="2039" spans="1:30" x14ac:dyDescent="0.2">
      <c r="A2039" s="110">
        <v>2038</v>
      </c>
      <c r="B2039" s="132">
        <v>41858</v>
      </c>
      <c r="C2039" s="117">
        <v>1</v>
      </c>
      <c r="D2039" s="103" t="s">
        <v>72</v>
      </c>
      <c r="E2039" s="103" t="s">
        <v>306</v>
      </c>
      <c r="F2039" s="103">
        <v>266</v>
      </c>
      <c r="G2039" s="103">
        <v>17</v>
      </c>
      <c r="H2039" s="103" t="s">
        <v>3525</v>
      </c>
      <c r="I2039" s="103">
        <v>60</v>
      </c>
      <c r="K2039" s="103" t="s">
        <v>364</v>
      </c>
      <c r="L2039" s="133"/>
      <c r="M2039" s="134">
        <v>5.5555555555555552E-2</v>
      </c>
      <c r="N2039" s="135" t="s">
        <v>3926</v>
      </c>
      <c r="O2039" s="133" t="s">
        <v>1585</v>
      </c>
      <c r="P2039" s="100" t="s">
        <v>4468</v>
      </c>
      <c r="Q2039" s="100" t="s">
        <v>4058</v>
      </c>
      <c r="R2039" s="226" t="s">
        <v>4090</v>
      </c>
      <c r="S2039" s="491" t="str">
        <f t="shared" si="67"/>
        <v>x</v>
      </c>
      <c r="T2039" s="492">
        <f>IFERROR(VLOOKUP(F2039,'Freq-Chan'!C:D,2,FALSE),"x")</f>
        <v>151.26599999999999</v>
      </c>
      <c r="U2039" s="110" t="s">
        <v>541</v>
      </c>
      <c r="V2039" s="110" t="str">
        <f t="shared" si="68"/>
        <v>FWL</v>
      </c>
      <c r="W2039" s="110" t="s">
        <v>541</v>
      </c>
      <c r="X2039" s="110" t="s">
        <v>541</v>
      </c>
      <c r="Y2039" s="110" t="str">
        <f>IFERROR(VLOOKUP(F2039,'Freq-Chan'!C:E,3,FALSE),"na")</f>
        <v>F1840</v>
      </c>
      <c r="Z2039" s="110" t="s">
        <v>541</v>
      </c>
      <c r="AA2039" s="110" t="s">
        <v>541</v>
      </c>
      <c r="AB2039" s="110" t="s">
        <v>541</v>
      </c>
      <c r="AC2039" s="10" t="s">
        <v>541</v>
      </c>
      <c r="AD2039" s="10" t="s">
        <v>541</v>
      </c>
    </row>
    <row r="2040" spans="1:30" x14ac:dyDescent="0.2">
      <c r="A2040" s="110">
        <v>2039</v>
      </c>
      <c r="B2040" s="132">
        <v>41858</v>
      </c>
      <c r="C2040" s="117">
        <v>1</v>
      </c>
      <c r="D2040" s="103" t="s">
        <v>70</v>
      </c>
      <c r="E2040" s="103" t="s">
        <v>306</v>
      </c>
      <c r="H2040" s="103"/>
      <c r="I2040" s="103">
        <v>45</v>
      </c>
      <c r="K2040" s="103" t="s">
        <v>365</v>
      </c>
      <c r="L2040" s="133"/>
      <c r="M2040" s="134">
        <v>1.8749999999999999E-2</v>
      </c>
      <c r="N2040" s="135" t="s">
        <v>4066</v>
      </c>
      <c r="O2040" s="133" t="s">
        <v>1585</v>
      </c>
      <c r="Q2040" s="100" t="s">
        <v>4058</v>
      </c>
      <c r="R2040" s="226" t="s">
        <v>4090</v>
      </c>
      <c r="S2040" s="491" t="str">
        <f t="shared" si="67"/>
        <v>x</v>
      </c>
      <c r="T2040" s="492" t="str">
        <f>IFERROR(VLOOKUP(F2040,'Freq-Chan'!C:D,2,FALSE),"x")</f>
        <v>x</v>
      </c>
      <c r="U2040" s="110" t="s">
        <v>541</v>
      </c>
      <c r="V2040" s="110" t="str">
        <f t="shared" si="68"/>
        <v>FWL</v>
      </c>
      <c r="W2040" s="110" t="s">
        <v>541</v>
      </c>
      <c r="X2040" s="110" t="s">
        <v>541</v>
      </c>
      <c r="Y2040" s="110" t="str">
        <f>IFERROR(VLOOKUP(F2040,'Freq-Chan'!C:E,3,FALSE),"na")</f>
        <v>na</v>
      </c>
      <c r="Z2040" s="110" t="s">
        <v>541</v>
      </c>
      <c r="AA2040" s="110" t="s">
        <v>541</v>
      </c>
      <c r="AB2040" s="110" t="s">
        <v>541</v>
      </c>
      <c r="AC2040" s="10" t="s">
        <v>541</v>
      </c>
      <c r="AD2040" s="10" t="s">
        <v>541</v>
      </c>
    </row>
    <row r="2041" spans="1:30" x14ac:dyDescent="0.2">
      <c r="A2041" s="110">
        <v>2040</v>
      </c>
      <c r="B2041" s="132">
        <v>41858</v>
      </c>
      <c r="C2041" s="117">
        <v>1</v>
      </c>
      <c r="D2041" s="103" t="s">
        <v>71</v>
      </c>
      <c r="E2041" s="103" t="s">
        <v>306</v>
      </c>
      <c r="H2041" s="103"/>
      <c r="I2041" s="103">
        <v>59</v>
      </c>
      <c r="K2041" s="103" t="s">
        <v>1032</v>
      </c>
      <c r="L2041" s="133"/>
      <c r="M2041" s="134">
        <v>1.9444444444444445E-2</v>
      </c>
      <c r="N2041" s="135" t="s">
        <v>3244</v>
      </c>
      <c r="O2041" s="133" t="s">
        <v>1585</v>
      </c>
      <c r="Q2041" s="100" t="s">
        <v>4058</v>
      </c>
      <c r="R2041" s="226" t="s">
        <v>4090</v>
      </c>
      <c r="S2041" s="491" t="str">
        <f t="shared" si="67"/>
        <v>x</v>
      </c>
      <c r="T2041" s="492" t="str">
        <f>IFERROR(VLOOKUP(F2041,'Freq-Chan'!C:D,2,FALSE),"x")</f>
        <v>x</v>
      </c>
      <c r="U2041" s="110" t="s">
        <v>541</v>
      </c>
      <c r="V2041" s="110" t="str">
        <f t="shared" si="68"/>
        <v>FWL</v>
      </c>
      <c r="W2041" s="110" t="s">
        <v>541</v>
      </c>
      <c r="X2041" s="110" t="s">
        <v>541</v>
      </c>
      <c r="Y2041" s="110" t="str">
        <f>IFERROR(VLOOKUP(F2041,'Freq-Chan'!C:E,3,FALSE),"na")</f>
        <v>na</v>
      </c>
      <c r="Z2041" s="110" t="s">
        <v>541</v>
      </c>
      <c r="AA2041" s="110" t="s">
        <v>541</v>
      </c>
      <c r="AB2041" s="110" t="s">
        <v>541</v>
      </c>
      <c r="AC2041" s="10" t="s">
        <v>541</v>
      </c>
      <c r="AD2041" s="10" t="s">
        <v>541</v>
      </c>
    </row>
    <row r="2042" spans="1:30" x14ac:dyDescent="0.2">
      <c r="A2042" s="110">
        <v>2041</v>
      </c>
      <c r="B2042" s="132">
        <v>41858</v>
      </c>
      <c r="C2042" s="117">
        <v>1</v>
      </c>
      <c r="D2042" s="103" t="s">
        <v>70</v>
      </c>
      <c r="E2042" s="103" t="s">
        <v>306</v>
      </c>
      <c r="H2042" s="103"/>
      <c r="I2042" s="103">
        <v>46</v>
      </c>
      <c r="K2042" s="103" t="s">
        <v>1032</v>
      </c>
      <c r="L2042" s="133"/>
      <c r="M2042" s="134">
        <v>1.8749999999999999E-2</v>
      </c>
      <c r="N2042" s="135" t="s">
        <v>3352</v>
      </c>
      <c r="O2042" s="133" t="s">
        <v>1585</v>
      </c>
      <c r="Q2042" s="100" t="s">
        <v>4058</v>
      </c>
      <c r="R2042" s="226" t="s">
        <v>4090</v>
      </c>
      <c r="S2042" s="491" t="str">
        <f t="shared" si="67"/>
        <v>x</v>
      </c>
      <c r="T2042" s="492" t="str">
        <f>IFERROR(VLOOKUP(F2042,'Freq-Chan'!C:D,2,FALSE),"x")</f>
        <v>x</v>
      </c>
      <c r="U2042" s="110" t="s">
        <v>541</v>
      </c>
      <c r="V2042" s="110" t="str">
        <f t="shared" si="68"/>
        <v>FWL</v>
      </c>
      <c r="W2042" s="110" t="s">
        <v>541</v>
      </c>
      <c r="X2042" s="110" t="s">
        <v>541</v>
      </c>
      <c r="Y2042" s="110" t="str">
        <f>IFERROR(VLOOKUP(F2042,'Freq-Chan'!C:E,3,FALSE),"na")</f>
        <v>na</v>
      </c>
      <c r="Z2042" s="110" t="s">
        <v>541</v>
      </c>
      <c r="AA2042" s="110" t="s">
        <v>541</v>
      </c>
      <c r="AB2042" s="110" t="s">
        <v>541</v>
      </c>
      <c r="AC2042" s="10" t="s">
        <v>541</v>
      </c>
      <c r="AD2042" s="10" t="s">
        <v>541</v>
      </c>
    </row>
    <row r="2043" spans="1:30" x14ac:dyDescent="0.2">
      <c r="A2043" s="110">
        <v>2042</v>
      </c>
      <c r="B2043" s="132">
        <v>41858</v>
      </c>
      <c r="C2043" s="117">
        <v>1</v>
      </c>
      <c r="D2043" s="103" t="s">
        <v>70</v>
      </c>
      <c r="E2043" s="103" t="s">
        <v>306</v>
      </c>
      <c r="H2043" s="103"/>
      <c r="I2043" s="103">
        <v>48</v>
      </c>
      <c r="K2043" s="103" t="s">
        <v>365</v>
      </c>
      <c r="L2043" s="133"/>
      <c r="M2043" s="134">
        <v>2.2222222222222223E-2</v>
      </c>
      <c r="N2043" s="135" t="s">
        <v>2653</v>
      </c>
      <c r="O2043" s="133" t="s">
        <v>1585</v>
      </c>
      <c r="P2043" s="100" t="s">
        <v>4067</v>
      </c>
      <c r="Q2043" s="100" t="s">
        <v>4058</v>
      </c>
      <c r="R2043" s="226" t="s">
        <v>4090</v>
      </c>
      <c r="S2043" s="491" t="str">
        <f t="shared" si="67"/>
        <v>x</v>
      </c>
      <c r="T2043" s="492" t="str">
        <f>IFERROR(VLOOKUP(F2043,'Freq-Chan'!C:D,2,FALSE),"x")</f>
        <v>x</v>
      </c>
      <c r="U2043" s="110" t="s">
        <v>541</v>
      </c>
      <c r="V2043" s="110" t="str">
        <f t="shared" si="68"/>
        <v>FWL</v>
      </c>
      <c r="W2043" s="110" t="s">
        <v>541</v>
      </c>
      <c r="X2043" s="110" t="s">
        <v>541</v>
      </c>
      <c r="Y2043" s="110" t="str">
        <f>IFERROR(VLOOKUP(F2043,'Freq-Chan'!C:E,3,FALSE),"na")</f>
        <v>na</v>
      </c>
      <c r="Z2043" s="110" t="s">
        <v>541</v>
      </c>
      <c r="AA2043" s="110" t="s">
        <v>541</v>
      </c>
      <c r="AB2043" s="110" t="s">
        <v>541</v>
      </c>
      <c r="AC2043" s="10" t="s">
        <v>541</v>
      </c>
      <c r="AD2043" s="10" t="s">
        <v>541</v>
      </c>
    </row>
    <row r="2044" spans="1:30" x14ac:dyDescent="0.2">
      <c r="A2044" s="110">
        <v>2043</v>
      </c>
      <c r="B2044" s="132">
        <v>41858</v>
      </c>
      <c r="C2044" s="117">
        <v>1</v>
      </c>
      <c r="D2044" s="103" t="s">
        <v>70</v>
      </c>
      <c r="E2044" s="103" t="s">
        <v>306</v>
      </c>
      <c r="H2044" s="103"/>
      <c r="I2044" s="103">
        <v>46</v>
      </c>
      <c r="K2044" s="103" t="s">
        <v>1032</v>
      </c>
      <c r="L2044" s="133"/>
      <c r="M2044" s="134">
        <v>1.6666666666666666E-2</v>
      </c>
      <c r="N2044" s="135" t="s">
        <v>3797</v>
      </c>
      <c r="O2044" s="133" t="s">
        <v>1585</v>
      </c>
      <c r="Q2044" s="100" t="s">
        <v>4058</v>
      </c>
      <c r="R2044" s="226" t="s">
        <v>4090</v>
      </c>
      <c r="S2044" s="491" t="str">
        <f t="shared" si="67"/>
        <v>x</v>
      </c>
      <c r="T2044" s="492" t="str">
        <f>IFERROR(VLOOKUP(F2044,'Freq-Chan'!C:D,2,FALSE),"x")</f>
        <v>x</v>
      </c>
      <c r="U2044" s="110" t="s">
        <v>541</v>
      </c>
      <c r="V2044" s="110" t="str">
        <f t="shared" si="68"/>
        <v>FWL</v>
      </c>
      <c r="W2044" s="110" t="s">
        <v>541</v>
      </c>
      <c r="X2044" s="110" t="s">
        <v>541</v>
      </c>
      <c r="Y2044" s="110" t="str">
        <f>IFERROR(VLOOKUP(F2044,'Freq-Chan'!C:E,3,FALSE),"na")</f>
        <v>na</v>
      </c>
      <c r="Z2044" s="110" t="s">
        <v>541</v>
      </c>
      <c r="AA2044" s="110" t="s">
        <v>541</v>
      </c>
      <c r="AB2044" s="110" t="s">
        <v>541</v>
      </c>
      <c r="AC2044" s="10" t="s">
        <v>541</v>
      </c>
      <c r="AD2044" s="10" t="s">
        <v>541</v>
      </c>
    </row>
    <row r="2045" spans="1:30" x14ac:dyDescent="0.2">
      <c r="A2045" s="110">
        <v>2044</v>
      </c>
      <c r="B2045" s="132">
        <v>41858</v>
      </c>
      <c r="C2045" s="117">
        <v>1</v>
      </c>
      <c r="D2045" s="103" t="s">
        <v>70</v>
      </c>
      <c r="E2045" s="103" t="s">
        <v>306</v>
      </c>
      <c r="H2045" s="103"/>
      <c r="I2045" s="103">
        <v>48</v>
      </c>
      <c r="K2045" s="103" t="s">
        <v>1032</v>
      </c>
      <c r="L2045" s="133"/>
      <c r="M2045" s="134">
        <v>1.5972222222222224E-2</v>
      </c>
      <c r="N2045" s="137" t="s">
        <v>4068</v>
      </c>
      <c r="O2045" s="133" t="s">
        <v>1585</v>
      </c>
      <c r="Q2045" s="100" t="s">
        <v>4058</v>
      </c>
      <c r="R2045" s="226" t="s">
        <v>4090</v>
      </c>
      <c r="S2045" s="491" t="str">
        <f t="shared" si="67"/>
        <v>x</v>
      </c>
      <c r="T2045" s="492" t="str">
        <f>IFERROR(VLOOKUP(F2045,'Freq-Chan'!C:D,2,FALSE),"x")</f>
        <v>x</v>
      </c>
      <c r="U2045" s="110" t="s">
        <v>541</v>
      </c>
      <c r="V2045" s="110" t="str">
        <f t="shared" si="68"/>
        <v>FWL</v>
      </c>
      <c r="W2045" s="110" t="s">
        <v>541</v>
      </c>
      <c r="X2045" s="110" t="s">
        <v>541</v>
      </c>
      <c r="Y2045" s="110" t="str">
        <f>IFERROR(VLOOKUP(F2045,'Freq-Chan'!C:E,3,FALSE),"na")</f>
        <v>na</v>
      </c>
      <c r="Z2045" s="110" t="s">
        <v>541</v>
      </c>
      <c r="AA2045" s="110" t="s">
        <v>541</v>
      </c>
      <c r="AB2045" s="110" t="s">
        <v>541</v>
      </c>
      <c r="AC2045" s="10" t="s">
        <v>541</v>
      </c>
      <c r="AD2045" s="10" t="s">
        <v>541</v>
      </c>
    </row>
    <row r="2046" spans="1:30" x14ac:dyDescent="0.2">
      <c r="A2046" s="110">
        <v>2045</v>
      </c>
      <c r="B2046" s="132">
        <v>41858</v>
      </c>
      <c r="C2046" s="117">
        <v>1</v>
      </c>
      <c r="D2046" s="103" t="s">
        <v>71</v>
      </c>
      <c r="E2046" s="103" t="s">
        <v>306</v>
      </c>
      <c r="H2046" s="103"/>
      <c r="I2046" s="103">
        <v>59</v>
      </c>
      <c r="K2046" s="103" t="s">
        <v>365</v>
      </c>
      <c r="L2046" s="133"/>
      <c r="M2046" s="134">
        <v>2.2222222222222223E-2</v>
      </c>
      <c r="N2046" s="137" t="s">
        <v>3935</v>
      </c>
      <c r="O2046" s="133" t="s">
        <v>1585</v>
      </c>
      <c r="Q2046" s="100" t="s">
        <v>4058</v>
      </c>
      <c r="R2046" s="226" t="s">
        <v>4090</v>
      </c>
      <c r="S2046" s="491" t="str">
        <f t="shared" si="67"/>
        <v>x</v>
      </c>
      <c r="T2046" s="492" t="str">
        <f>IFERROR(VLOOKUP(F2046,'Freq-Chan'!C:D,2,FALSE),"x")</f>
        <v>x</v>
      </c>
      <c r="U2046" s="110" t="s">
        <v>541</v>
      </c>
      <c r="V2046" s="110" t="str">
        <f t="shared" si="68"/>
        <v>FWL</v>
      </c>
      <c r="W2046" s="110" t="s">
        <v>541</v>
      </c>
      <c r="X2046" s="110" t="s">
        <v>541</v>
      </c>
      <c r="Y2046" s="110" t="str">
        <f>IFERROR(VLOOKUP(F2046,'Freq-Chan'!C:E,3,FALSE),"na")</f>
        <v>na</v>
      </c>
      <c r="Z2046" s="110" t="s">
        <v>541</v>
      </c>
      <c r="AA2046" s="110" t="s">
        <v>541</v>
      </c>
      <c r="AB2046" s="110" t="s">
        <v>541</v>
      </c>
      <c r="AC2046" s="10" t="s">
        <v>541</v>
      </c>
      <c r="AD2046" s="10" t="s">
        <v>541</v>
      </c>
    </row>
    <row r="2047" spans="1:30" x14ac:dyDescent="0.2">
      <c r="A2047" s="110">
        <v>2046</v>
      </c>
      <c r="B2047" s="132">
        <v>41858</v>
      </c>
      <c r="C2047" s="117">
        <v>1</v>
      </c>
      <c r="D2047" s="103" t="s">
        <v>70</v>
      </c>
      <c r="E2047" s="103" t="s">
        <v>306</v>
      </c>
      <c r="H2047" s="142"/>
      <c r="I2047" s="103">
        <v>51</v>
      </c>
      <c r="K2047" s="103" t="s">
        <v>1032</v>
      </c>
      <c r="L2047" s="133"/>
      <c r="M2047" s="134">
        <v>2.013888888888889E-2</v>
      </c>
      <c r="N2047" s="137" t="s">
        <v>2838</v>
      </c>
      <c r="O2047" s="133" t="s">
        <v>1585</v>
      </c>
      <c r="Q2047" s="100" t="s">
        <v>4058</v>
      </c>
      <c r="R2047" s="226" t="s">
        <v>4090</v>
      </c>
      <c r="S2047" s="491" t="str">
        <f t="shared" si="67"/>
        <v>x</v>
      </c>
      <c r="T2047" s="492" t="str">
        <f>IFERROR(VLOOKUP(F2047,'Freq-Chan'!C:D,2,FALSE),"x")</f>
        <v>x</v>
      </c>
      <c r="U2047" s="110" t="s">
        <v>541</v>
      </c>
      <c r="V2047" s="110" t="str">
        <f t="shared" si="68"/>
        <v>FWL</v>
      </c>
      <c r="W2047" s="110" t="s">
        <v>541</v>
      </c>
      <c r="X2047" s="110" t="s">
        <v>541</v>
      </c>
      <c r="Y2047" s="110" t="str">
        <f>IFERROR(VLOOKUP(F2047,'Freq-Chan'!C:E,3,FALSE),"na")</f>
        <v>na</v>
      </c>
      <c r="Z2047" s="110" t="s">
        <v>541</v>
      </c>
      <c r="AA2047" s="110" t="s">
        <v>541</v>
      </c>
      <c r="AB2047" s="110" t="s">
        <v>541</v>
      </c>
      <c r="AC2047" s="10" t="s">
        <v>541</v>
      </c>
      <c r="AD2047" s="10" t="s">
        <v>541</v>
      </c>
    </row>
    <row r="2048" spans="1:30" x14ac:dyDescent="0.2">
      <c r="A2048" s="110">
        <v>2047</v>
      </c>
      <c r="B2048" s="132">
        <v>41858</v>
      </c>
      <c r="C2048" s="117">
        <v>1</v>
      </c>
      <c r="D2048" s="103" t="s">
        <v>70</v>
      </c>
      <c r="E2048" s="103" t="s">
        <v>306</v>
      </c>
      <c r="H2048" s="103"/>
      <c r="I2048" s="103">
        <v>48</v>
      </c>
      <c r="K2048" s="103" t="s">
        <v>365</v>
      </c>
      <c r="L2048" s="133"/>
      <c r="M2048" s="134">
        <v>1.5277777777777777E-2</v>
      </c>
      <c r="N2048" s="137" t="s">
        <v>2718</v>
      </c>
      <c r="O2048" s="133" t="s">
        <v>1585</v>
      </c>
      <c r="Q2048" s="100" t="s">
        <v>4058</v>
      </c>
      <c r="R2048" s="226" t="s">
        <v>4090</v>
      </c>
      <c r="S2048" s="491" t="str">
        <f t="shared" si="67"/>
        <v>x</v>
      </c>
      <c r="T2048" s="492" t="str">
        <f>IFERROR(VLOOKUP(F2048,'Freq-Chan'!C:D,2,FALSE),"x")</f>
        <v>x</v>
      </c>
      <c r="U2048" s="110" t="s">
        <v>541</v>
      </c>
      <c r="V2048" s="110" t="str">
        <f t="shared" si="68"/>
        <v>FWL</v>
      </c>
      <c r="W2048" s="110" t="s">
        <v>541</v>
      </c>
      <c r="X2048" s="110" t="s">
        <v>541</v>
      </c>
      <c r="Y2048" s="110" t="str">
        <f>IFERROR(VLOOKUP(F2048,'Freq-Chan'!C:E,3,FALSE),"na")</f>
        <v>na</v>
      </c>
      <c r="Z2048" s="110" t="s">
        <v>541</v>
      </c>
      <c r="AA2048" s="110" t="s">
        <v>541</v>
      </c>
      <c r="AB2048" s="110" t="s">
        <v>541</v>
      </c>
      <c r="AC2048" s="10" t="s">
        <v>541</v>
      </c>
      <c r="AD2048" s="10" t="s">
        <v>541</v>
      </c>
    </row>
    <row r="2049" spans="1:30" x14ac:dyDescent="0.2">
      <c r="A2049" s="110">
        <v>2048</v>
      </c>
      <c r="B2049" s="132">
        <v>41858</v>
      </c>
      <c r="C2049" s="117">
        <v>1</v>
      </c>
      <c r="D2049" s="103" t="s">
        <v>70</v>
      </c>
      <c r="E2049" s="103" t="s">
        <v>306</v>
      </c>
      <c r="H2049" s="103"/>
      <c r="I2049" s="103">
        <v>47</v>
      </c>
      <c r="K2049" s="103" t="s">
        <v>365</v>
      </c>
      <c r="L2049" s="133"/>
      <c r="M2049" s="134">
        <v>1.3888888888888888E-2</v>
      </c>
      <c r="N2049" s="137" t="s">
        <v>3322</v>
      </c>
      <c r="O2049" s="133" t="s">
        <v>1585</v>
      </c>
      <c r="Q2049" s="100" t="s">
        <v>4058</v>
      </c>
      <c r="R2049" s="226" t="s">
        <v>4090</v>
      </c>
      <c r="S2049" s="491" t="str">
        <f t="shared" si="67"/>
        <v>x</v>
      </c>
      <c r="T2049" s="492" t="str">
        <f>IFERROR(VLOOKUP(F2049,'Freq-Chan'!C:D,2,FALSE),"x")</f>
        <v>x</v>
      </c>
      <c r="U2049" s="110" t="s">
        <v>541</v>
      </c>
      <c r="V2049" s="110" t="str">
        <f t="shared" si="68"/>
        <v>FWL</v>
      </c>
      <c r="W2049" s="110" t="s">
        <v>541</v>
      </c>
      <c r="X2049" s="110" t="s">
        <v>541</v>
      </c>
      <c r="Y2049" s="110" t="str">
        <f>IFERROR(VLOOKUP(F2049,'Freq-Chan'!C:E,3,FALSE),"na")</f>
        <v>na</v>
      </c>
      <c r="Z2049" s="110" t="s">
        <v>541</v>
      </c>
      <c r="AA2049" s="110" t="s">
        <v>541</v>
      </c>
      <c r="AB2049" s="110" t="s">
        <v>541</v>
      </c>
      <c r="AC2049" s="10" t="s">
        <v>541</v>
      </c>
      <c r="AD2049" s="10" t="s">
        <v>541</v>
      </c>
    </row>
    <row r="2050" spans="1:30" x14ac:dyDescent="0.2">
      <c r="A2050" s="110">
        <v>2049</v>
      </c>
      <c r="B2050" s="132">
        <v>41858</v>
      </c>
      <c r="C2050" s="117">
        <v>1</v>
      </c>
      <c r="D2050" s="103" t="s">
        <v>70</v>
      </c>
      <c r="E2050" s="103" t="s">
        <v>306</v>
      </c>
      <c r="H2050" s="103"/>
      <c r="I2050" s="103">
        <v>47</v>
      </c>
      <c r="K2050" s="103" t="s">
        <v>365</v>
      </c>
      <c r="L2050" s="133"/>
      <c r="M2050" s="134">
        <v>2.013888888888889E-2</v>
      </c>
      <c r="N2050" s="137" t="s">
        <v>2737</v>
      </c>
      <c r="O2050" s="133" t="s">
        <v>1585</v>
      </c>
      <c r="Q2050" s="100" t="s">
        <v>4058</v>
      </c>
      <c r="R2050" s="226" t="s">
        <v>4090</v>
      </c>
      <c r="S2050" s="491" t="str">
        <f t="shared" si="67"/>
        <v>x</v>
      </c>
      <c r="T2050" s="492" t="str">
        <f>IFERROR(VLOOKUP(F2050,'Freq-Chan'!C:D,2,FALSE),"x")</f>
        <v>x</v>
      </c>
      <c r="U2050" s="110" t="s">
        <v>541</v>
      </c>
      <c r="V2050" s="110" t="str">
        <f t="shared" si="68"/>
        <v>FWL</v>
      </c>
      <c r="W2050" s="110" t="s">
        <v>541</v>
      </c>
      <c r="X2050" s="110" t="s">
        <v>541</v>
      </c>
      <c r="Y2050" s="110" t="str">
        <f>IFERROR(VLOOKUP(F2050,'Freq-Chan'!C:E,3,FALSE),"na")</f>
        <v>na</v>
      </c>
      <c r="Z2050" s="110" t="s">
        <v>541</v>
      </c>
      <c r="AA2050" s="110" t="s">
        <v>541</v>
      </c>
      <c r="AB2050" s="110" t="s">
        <v>541</v>
      </c>
      <c r="AC2050" s="10" t="s">
        <v>541</v>
      </c>
      <c r="AD2050" s="10" t="s">
        <v>541</v>
      </c>
    </row>
    <row r="2051" spans="1:30" x14ac:dyDescent="0.2">
      <c r="A2051" s="110">
        <v>2050</v>
      </c>
      <c r="B2051" s="132">
        <v>41858</v>
      </c>
      <c r="C2051" s="117">
        <v>1</v>
      </c>
      <c r="D2051" s="103" t="s">
        <v>70</v>
      </c>
      <c r="E2051" s="103" t="s">
        <v>306</v>
      </c>
      <c r="H2051" s="103"/>
      <c r="I2051" s="103">
        <v>42</v>
      </c>
      <c r="K2051" s="103" t="s">
        <v>364</v>
      </c>
      <c r="L2051" s="133"/>
      <c r="M2051" s="134">
        <v>1.6666666666666666E-2</v>
      </c>
      <c r="N2051" s="137" t="s">
        <v>3382</v>
      </c>
      <c r="O2051" s="133" t="s">
        <v>1585</v>
      </c>
      <c r="Q2051" s="100" t="s">
        <v>4058</v>
      </c>
      <c r="R2051" s="226" t="s">
        <v>4090</v>
      </c>
      <c r="S2051" s="491" t="str">
        <f t="shared" si="67"/>
        <v>x</v>
      </c>
      <c r="T2051" s="492" t="str">
        <f>IFERROR(VLOOKUP(F2051,'Freq-Chan'!C:D,2,FALSE),"x")</f>
        <v>x</v>
      </c>
      <c r="U2051" s="110" t="s">
        <v>541</v>
      </c>
      <c r="V2051" s="110" t="str">
        <f t="shared" si="68"/>
        <v>FWL</v>
      </c>
      <c r="W2051" s="110" t="s">
        <v>541</v>
      </c>
      <c r="X2051" s="110" t="s">
        <v>541</v>
      </c>
      <c r="Y2051" s="110" t="str">
        <f>IFERROR(VLOOKUP(F2051,'Freq-Chan'!C:E,3,FALSE),"na")</f>
        <v>na</v>
      </c>
      <c r="Z2051" s="110" t="s">
        <v>541</v>
      </c>
      <c r="AA2051" s="110" t="s">
        <v>541</v>
      </c>
      <c r="AB2051" s="110" t="s">
        <v>541</v>
      </c>
      <c r="AC2051" s="10" t="s">
        <v>541</v>
      </c>
      <c r="AD2051" s="10" t="s">
        <v>541</v>
      </c>
    </row>
    <row r="2052" spans="1:30" x14ac:dyDescent="0.2">
      <c r="A2052" s="110">
        <v>2051</v>
      </c>
      <c r="B2052" s="132">
        <v>41858</v>
      </c>
      <c r="C2052" s="117">
        <v>1</v>
      </c>
      <c r="D2052" s="103" t="s">
        <v>72</v>
      </c>
      <c r="E2052" s="103" t="s">
        <v>306</v>
      </c>
      <c r="F2052" s="103">
        <v>266</v>
      </c>
      <c r="G2052" s="103">
        <v>26</v>
      </c>
      <c r="H2052" s="103" t="s">
        <v>3534</v>
      </c>
      <c r="I2052" s="103">
        <v>56</v>
      </c>
      <c r="K2052" s="103" t="s">
        <v>364</v>
      </c>
      <c r="L2052" s="133"/>
      <c r="M2052" s="134">
        <v>5.6250000000000001E-2</v>
      </c>
      <c r="N2052" s="135" t="s">
        <v>3386</v>
      </c>
      <c r="O2052" s="133" t="s">
        <v>1585</v>
      </c>
      <c r="P2052" s="100" t="s">
        <v>4466</v>
      </c>
      <c r="Q2052" s="100" t="s">
        <v>4058</v>
      </c>
      <c r="R2052" s="226" t="s">
        <v>4090</v>
      </c>
      <c r="S2052" s="491" t="str">
        <f t="shared" si="67"/>
        <v>x</v>
      </c>
      <c r="T2052" s="492">
        <f>IFERROR(VLOOKUP(F2052,'Freq-Chan'!C:D,2,FALSE),"x")</f>
        <v>151.26599999999999</v>
      </c>
      <c r="U2052" s="110" t="s">
        <v>541</v>
      </c>
      <c r="V2052" s="110" t="str">
        <f t="shared" si="68"/>
        <v>FWL</v>
      </c>
      <c r="W2052" s="110" t="s">
        <v>541</v>
      </c>
      <c r="X2052" s="110" t="s">
        <v>541</v>
      </c>
      <c r="Y2052" s="110" t="str">
        <f>IFERROR(VLOOKUP(F2052,'Freq-Chan'!C:E,3,FALSE),"na")</f>
        <v>F1840</v>
      </c>
      <c r="Z2052" s="110" t="s">
        <v>541</v>
      </c>
      <c r="AA2052" s="110" t="s">
        <v>541</v>
      </c>
      <c r="AB2052" s="110" t="s">
        <v>541</v>
      </c>
      <c r="AC2052" s="10" t="s">
        <v>541</v>
      </c>
      <c r="AD2052" s="10" t="s">
        <v>541</v>
      </c>
    </row>
    <row r="2053" spans="1:30" x14ac:dyDescent="0.2">
      <c r="A2053" s="110">
        <v>2052</v>
      </c>
      <c r="B2053" s="132">
        <v>41858</v>
      </c>
      <c r="C2053" s="117">
        <v>1</v>
      </c>
      <c r="D2053" s="103" t="s">
        <v>70</v>
      </c>
      <c r="E2053" s="103" t="s">
        <v>306</v>
      </c>
      <c r="H2053" s="103"/>
      <c r="I2053" s="103">
        <v>50</v>
      </c>
      <c r="K2053" s="103" t="s">
        <v>1032</v>
      </c>
      <c r="L2053" s="133"/>
      <c r="M2053" s="134">
        <v>1.9444444444444445E-2</v>
      </c>
      <c r="N2053" s="135" t="s">
        <v>3730</v>
      </c>
      <c r="O2053" s="133" t="s">
        <v>1585</v>
      </c>
      <c r="Q2053" s="100" t="s">
        <v>4058</v>
      </c>
      <c r="R2053" s="226" t="s">
        <v>4090</v>
      </c>
      <c r="S2053" s="491" t="str">
        <f t="shared" si="67"/>
        <v>x</v>
      </c>
      <c r="T2053" s="492" t="str">
        <f>IFERROR(VLOOKUP(F2053,'Freq-Chan'!C:D,2,FALSE),"x")</f>
        <v>x</v>
      </c>
      <c r="U2053" s="110" t="s">
        <v>541</v>
      </c>
      <c r="V2053" s="110" t="str">
        <f t="shared" si="68"/>
        <v>FWL</v>
      </c>
      <c r="W2053" s="110" t="s">
        <v>541</v>
      </c>
      <c r="X2053" s="110" t="s">
        <v>541</v>
      </c>
      <c r="Y2053" s="110" t="str">
        <f>IFERROR(VLOOKUP(F2053,'Freq-Chan'!C:E,3,FALSE),"na")</f>
        <v>na</v>
      </c>
      <c r="Z2053" s="110" t="s">
        <v>541</v>
      </c>
      <c r="AA2053" s="110" t="s">
        <v>541</v>
      </c>
      <c r="AB2053" s="110" t="s">
        <v>541</v>
      </c>
      <c r="AC2053" s="10" t="s">
        <v>541</v>
      </c>
      <c r="AD2053" s="10" t="s">
        <v>541</v>
      </c>
    </row>
    <row r="2054" spans="1:30" x14ac:dyDescent="0.2">
      <c r="A2054" s="110">
        <v>2053</v>
      </c>
      <c r="B2054" s="132">
        <v>41858</v>
      </c>
      <c r="C2054" s="117">
        <v>1</v>
      </c>
      <c r="D2054" s="103" t="s">
        <v>70</v>
      </c>
      <c r="E2054" s="103" t="s">
        <v>306</v>
      </c>
      <c r="H2054" s="103"/>
      <c r="I2054" s="103">
        <v>42</v>
      </c>
      <c r="K2054" s="103" t="s">
        <v>365</v>
      </c>
      <c r="L2054" s="133"/>
      <c r="M2054" s="134">
        <v>1.5277777777777777E-2</v>
      </c>
      <c r="N2054" s="135" t="s">
        <v>3733</v>
      </c>
      <c r="O2054" s="133" t="s">
        <v>1585</v>
      </c>
      <c r="Q2054" s="100" t="s">
        <v>4058</v>
      </c>
      <c r="R2054" s="226" t="s">
        <v>4090</v>
      </c>
      <c r="S2054" s="491" t="str">
        <f t="shared" si="67"/>
        <v>x</v>
      </c>
      <c r="T2054" s="492" t="str">
        <f>IFERROR(VLOOKUP(F2054,'Freq-Chan'!C:D,2,FALSE),"x")</f>
        <v>x</v>
      </c>
      <c r="U2054" s="110" t="s">
        <v>541</v>
      </c>
      <c r="V2054" s="110" t="str">
        <f t="shared" si="68"/>
        <v>FWL</v>
      </c>
      <c r="W2054" s="110" t="s">
        <v>541</v>
      </c>
      <c r="X2054" s="110" t="s">
        <v>541</v>
      </c>
      <c r="Y2054" s="110" t="str">
        <f>IFERROR(VLOOKUP(F2054,'Freq-Chan'!C:E,3,FALSE),"na")</f>
        <v>na</v>
      </c>
      <c r="Z2054" s="110" t="s">
        <v>541</v>
      </c>
      <c r="AA2054" s="110" t="s">
        <v>541</v>
      </c>
      <c r="AB2054" s="110" t="s">
        <v>541</v>
      </c>
      <c r="AC2054" s="10" t="s">
        <v>541</v>
      </c>
      <c r="AD2054" s="10" t="s">
        <v>541</v>
      </c>
    </row>
    <row r="2055" spans="1:30" x14ac:dyDescent="0.2">
      <c r="A2055" s="110">
        <v>2054</v>
      </c>
      <c r="B2055" s="132">
        <v>41858</v>
      </c>
      <c r="C2055" s="117">
        <v>1</v>
      </c>
      <c r="D2055" s="103" t="s">
        <v>70</v>
      </c>
      <c r="E2055" s="103" t="s">
        <v>306</v>
      </c>
      <c r="H2055" s="103"/>
      <c r="I2055" s="103">
        <v>48</v>
      </c>
      <c r="K2055" s="103" t="s">
        <v>365</v>
      </c>
      <c r="L2055" s="133"/>
      <c r="M2055" s="134">
        <v>1.6666666666666666E-2</v>
      </c>
      <c r="N2055" s="135" t="s">
        <v>3839</v>
      </c>
      <c r="O2055" s="133" t="s">
        <v>1585</v>
      </c>
      <c r="Q2055" s="100" t="s">
        <v>4058</v>
      </c>
      <c r="R2055" s="226" t="s">
        <v>4090</v>
      </c>
      <c r="S2055" s="491" t="str">
        <f t="shared" si="67"/>
        <v>x</v>
      </c>
      <c r="T2055" s="492" t="str">
        <f>IFERROR(VLOOKUP(F2055,'Freq-Chan'!C:D,2,FALSE),"x")</f>
        <v>x</v>
      </c>
      <c r="U2055" s="110" t="s">
        <v>541</v>
      </c>
      <c r="V2055" s="110" t="str">
        <f t="shared" si="68"/>
        <v>FWL</v>
      </c>
      <c r="W2055" s="110" t="s">
        <v>541</v>
      </c>
      <c r="X2055" s="110" t="s">
        <v>541</v>
      </c>
      <c r="Y2055" s="110" t="str">
        <f>IFERROR(VLOOKUP(F2055,'Freq-Chan'!C:E,3,FALSE),"na")</f>
        <v>na</v>
      </c>
      <c r="Z2055" s="110" t="s">
        <v>541</v>
      </c>
      <c r="AA2055" s="110" t="s">
        <v>541</v>
      </c>
      <c r="AB2055" s="110" t="s">
        <v>541</v>
      </c>
      <c r="AC2055" s="10" t="s">
        <v>541</v>
      </c>
      <c r="AD2055" s="10" t="s">
        <v>541</v>
      </c>
    </row>
    <row r="2056" spans="1:30" x14ac:dyDescent="0.2">
      <c r="A2056" s="110">
        <v>2055</v>
      </c>
      <c r="B2056" s="132">
        <v>41858</v>
      </c>
      <c r="C2056" s="117">
        <v>1</v>
      </c>
      <c r="D2056" s="103" t="s">
        <v>71</v>
      </c>
      <c r="E2056" s="103" t="s">
        <v>306</v>
      </c>
      <c r="H2056" s="103"/>
      <c r="I2056" s="103">
        <v>60</v>
      </c>
      <c r="K2056" s="103" t="s">
        <v>1032</v>
      </c>
      <c r="L2056" s="133"/>
      <c r="M2056" s="134">
        <v>1.5972222222222224E-2</v>
      </c>
      <c r="N2056" s="135" t="s">
        <v>2592</v>
      </c>
      <c r="O2056" s="133" t="s">
        <v>1585</v>
      </c>
      <c r="Q2056" s="100" t="s">
        <v>4058</v>
      </c>
      <c r="R2056" s="226" t="s">
        <v>4090</v>
      </c>
      <c r="S2056" s="491" t="str">
        <f t="shared" si="67"/>
        <v>x</v>
      </c>
      <c r="T2056" s="492" t="str">
        <f>IFERROR(VLOOKUP(F2056,'Freq-Chan'!C:D,2,FALSE),"x")</f>
        <v>x</v>
      </c>
      <c r="U2056" s="110" t="s">
        <v>541</v>
      </c>
      <c r="V2056" s="110" t="str">
        <f t="shared" si="68"/>
        <v>FWL</v>
      </c>
      <c r="W2056" s="110" t="s">
        <v>541</v>
      </c>
      <c r="X2056" s="110" t="s">
        <v>541</v>
      </c>
      <c r="Y2056" s="110" t="str">
        <f>IFERROR(VLOOKUP(F2056,'Freq-Chan'!C:E,3,FALSE),"na")</f>
        <v>na</v>
      </c>
      <c r="Z2056" s="110" t="s">
        <v>541</v>
      </c>
      <c r="AA2056" s="110" t="s">
        <v>541</v>
      </c>
      <c r="AB2056" s="110" t="s">
        <v>541</v>
      </c>
      <c r="AC2056" s="10" t="s">
        <v>541</v>
      </c>
      <c r="AD2056" s="10" t="s">
        <v>541</v>
      </c>
    </row>
    <row r="2057" spans="1:30" x14ac:dyDescent="0.2">
      <c r="A2057" s="110">
        <v>2056</v>
      </c>
      <c r="B2057" s="132">
        <v>41858</v>
      </c>
      <c r="C2057" s="117">
        <v>1</v>
      </c>
      <c r="D2057" s="103" t="s">
        <v>8</v>
      </c>
      <c r="E2057" s="103" t="s">
        <v>306</v>
      </c>
      <c r="F2057" s="103">
        <v>573</v>
      </c>
      <c r="G2057" s="103">
        <v>36</v>
      </c>
      <c r="H2057" s="103" t="s">
        <v>2226</v>
      </c>
      <c r="I2057" s="103">
        <v>56</v>
      </c>
      <c r="K2057" s="103" t="s">
        <v>1032</v>
      </c>
      <c r="L2057" s="133"/>
      <c r="M2057" s="134">
        <v>6.0416666666666667E-2</v>
      </c>
      <c r="N2057" s="137" t="s">
        <v>2895</v>
      </c>
      <c r="O2057" s="133" t="s">
        <v>1585</v>
      </c>
      <c r="Q2057" s="100" t="s">
        <v>4058</v>
      </c>
      <c r="R2057" s="226" t="s">
        <v>4090</v>
      </c>
      <c r="S2057" s="491" t="str">
        <f t="shared" si="67"/>
        <v>x</v>
      </c>
      <c r="T2057" s="492">
        <f>IFERROR(VLOOKUP(F2057,'Freq-Chan'!C:D,2,FALSE),"x")</f>
        <v>151.57300000000001</v>
      </c>
      <c r="U2057" s="110" t="s">
        <v>541</v>
      </c>
      <c r="V2057" s="110" t="str">
        <f t="shared" si="68"/>
        <v>FWL</v>
      </c>
      <c r="W2057" s="110" t="s">
        <v>541</v>
      </c>
      <c r="X2057" s="110" t="s">
        <v>541</v>
      </c>
      <c r="Y2057" s="110" t="str">
        <f>IFERROR(VLOOKUP(F2057,'Freq-Chan'!C:E,3,FALSE),"na")</f>
        <v>F1840</v>
      </c>
      <c r="Z2057" s="110" t="s">
        <v>541</v>
      </c>
      <c r="AA2057" s="110" t="s">
        <v>541</v>
      </c>
      <c r="AB2057" s="110" t="s">
        <v>541</v>
      </c>
      <c r="AC2057" s="10" t="s">
        <v>541</v>
      </c>
      <c r="AD2057" s="10" t="s">
        <v>541</v>
      </c>
    </row>
    <row r="2058" spans="1:30" x14ac:dyDescent="0.2">
      <c r="A2058" s="110">
        <v>2057</v>
      </c>
      <c r="B2058" s="132">
        <v>41858</v>
      </c>
      <c r="C2058" s="117">
        <v>1</v>
      </c>
      <c r="D2058" s="103" t="s">
        <v>71</v>
      </c>
      <c r="E2058" s="103" t="s">
        <v>306</v>
      </c>
      <c r="H2058" s="103"/>
      <c r="I2058" s="103">
        <v>62</v>
      </c>
      <c r="K2058" s="103" t="s">
        <v>1032</v>
      </c>
      <c r="L2058" s="133"/>
      <c r="M2058" s="134">
        <v>1.3888888888888888E-2</v>
      </c>
      <c r="N2058" s="137" t="s">
        <v>2897</v>
      </c>
      <c r="O2058" s="133" t="s">
        <v>1585</v>
      </c>
      <c r="Q2058" s="100" t="s">
        <v>4058</v>
      </c>
      <c r="R2058" s="226" t="s">
        <v>4090</v>
      </c>
      <c r="S2058" s="491" t="str">
        <f t="shared" si="67"/>
        <v>x</v>
      </c>
      <c r="T2058" s="492" t="str">
        <f>IFERROR(VLOOKUP(F2058,'Freq-Chan'!C:D,2,FALSE),"x")</f>
        <v>x</v>
      </c>
      <c r="U2058" s="110" t="s">
        <v>541</v>
      </c>
      <c r="V2058" s="110" t="str">
        <f t="shared" si="68"/>
        <v>FWL</v>
      </c>
      <c r="W2058" s="110" t="s">
        <v>541</v>
      </c>
      <c r="X2058" s="110" t="s">
        <v>541</v>
      </c>
      <c r="Y2058" s="110" t="str">
        <f>IFERROR(VLOOKUP(F2058,'Freq-Chan'!C:E,3,FALSE),"na")</f>
        <v>na</v>
      </c>
      <c r="Z2058" s="110" t="s">
        <v>541</v>
      </c>
      <c r="AA2058" s="110" t="s">
        <v>541</v>
      </c>
      <c r="AB2058" s="110" t="s">
        <v>541</v>
      </c>
      <c r="AC2058" s="10" t="s">
        <v>541</v>
      </c>
      <c r="AD2058" s="10" t="s">
        <v>541</v>
      </c>
    </row>
    <row r="2059" spans="1:30" x14ac:dyDescent="0.2">
      <c r="A2059" s="110">
        <v>2058</v>
      </c>
      <c r="B2059" s="132">
        <v>41858</v>
      </c>
      <c r="C2059" s="117">
        <v>1</v>
      </c>
      <c r="D2059" s="103" t="s">
        <v>71</v>
      </c>
      <c r="E2059" s="103" t="s">
        <v>306</v>
      </c>
      <c r="H2059" s="103"/>
      <c r="I2059" s="103">
        <v>60</v>
      </c>
      <c r="K2059" s="103" t="s">
        <v>1032</v>
      </c>
      <c r="L2059" s="133"/>
      <c r="M2059" s="134">
        <v>2.1527777777777781E-2</v>
      </c>
      <c r="N2059" s="137" t="s">
        <v>4069</v>
      </c>
      <c r="O2059" s="133" t="s">
        <v>376</v>
      </c>
      <c r="Q2059" s="100" t="s">
        <v>4058</v>
      </c>
      <c r="R2059" s="226" t="s">
        <v>4090</v>
      </c>
      <c r="S2059" s="491" t="str">
        <f t="shared" si="67"/>
        <v>x</v>
      </c>
      <c r="T2059" s="492" t="str">
        <f>IFERROR(VLOOKUP(F2059,'Freq-Chan'!C:D,2,FALSE),"x")</f>
        <v>x</v>
      </c>
      <c r="U2059" s="110" t="s">
        <v>541</v>
      </c>
      <c r="V2059" s="110" t="str">
        <f t="shared" si="68"/>
        <v>FWL</v>
      </c>
      <c r="W2059" s="110" t="s">
        <v>541</v>
      </c>
      <c r="X2059" s="110" t="s">
        <v>541</v>
      </c>
      <c r="Y2059" s="110" t="str">
        <f>IFERROR(VLOOKUP(F2059,'Freq-Chan'!C:E,3,FALSE),"na")</f>
        <v>na</v>
      </c>
      <c r="Z2059" s="110" t="s">
        <v>541</v>
      </c>
      <c r="AA2059" s="110" t="s">
        <v>541</v>
      </c>
      <c r="AB2059" s="110" t="s">
        <v>541</v>
      </c>
      <c r="AC2059" s="10" t="s">
        <v>541</v>
      </c>
      <c r="AD2059" s="10" t="s">
        <v>541</v>
      </c>
    </row>
    <row r="2060" spans="1:30" x14ac:dyDescent="0.2">
      <c r="A2060" s="110">
        <v>2059</v>
      </c>
      <c r="B2060" s="132">
        <v>41858</v>
      </c>
      <c r="C2060" s="117">
        <v>1</v>
      </c>
      <c r="D2060" s="103" t="s">
        <v>2</v>
      </c>
      <c r="E2060" s="103" t="s">
        <v>306</v>
      </c>
      <c r="H2060" s="103"/>
      <c r="I2060" s="103">
        <v>65</v>
      </c>
      <c r="K2060" s="103" t="s">
        <v>1032</v>
      </c>
      <c r="L2060" s="133">
        <v>0.56180555555555556</v>
      </c>
      <c r="M2060" s="134">
        <v>2.2916666666666669E-2</v>
      </c>
      <c r="N2060" s="137" t="s">
        <v>1965</v>
      </c>
      <c r="O2060" s="133" t="s">
        <v>376</v>
      </c>
      <c r="P2060" s="100" t="s">
        <v>4070</v>
      </c>
      <c r="Q2060" s="100" t="s">
        <v>4058</v>
      </c>
      <c r="R2060" s="226" t="s">
        <v>4090</v>
      </c>
      <c r="S2060" s="491">
        <f t="shared" si="67"/>
        <v>3.0902778000000001E-3</v>
      </c>
      <c r="T2060" s="492" t="str">
        <f>IFERROR(VLOOKUP(F2060,'Freq-Chan'!C:D,2,FALSE),"x")</f>
        <v>x</v>
      </c>
      <c r="U2060" s="110" t="s">
        <v>541</v>
      </c>
      <c r="V2060" s="110" t="str">
        <f t="shared" si="68"/>
        <v>FWL</v>
      </c>
      <c r="W2060" s="110" t="s">
        <v>541</v>
      </c>
      <c r="X2060" s="110" t="s">
        <v>541</v>
      </c>
      <c r="Y2060" s="110" t="str">
        <f>IFERROR(VLOOKUP(F2060,'Freq-Chan'!C:E,3,FALSE),"na")</f>
        <v>na</v>
      </c>
      <c r="Z2060" s="110" t="s">
        <v>541</v>
      </c>
      <c r="AA2060" s="110" t="s">
        <v>541</v>
      </c>
      <c r="AB2060" s="110" t="s">
        <v>541</v>
      </c>
      <c r="AC2060" s="10" t="s">
        <v>541</v>
      </c>
      <c r="AD2060" s="10" t="s">
        <v>541</v>
      </c>
    </row>
    <row r="2061" spans="1:30" x14ac:dyDescent="0.2">
      <c r="A2061" s="110">
        <v>2060</v>
      </c>
      <c r="B2061" s="132">
        <v>41858</v>
      </c>
      <c r="C2061" s="117">
        <v>1</v>
      </c>
      <c r="D2061" s="103" t="s">
        <v>8</v>
      </c>
      <c r="E2061" s="103" t="s">
        <v>306</v>
      </c>
      <c r="F2061" s="103">
        <v>586</v>
      </c>
      <c r="G2061" s="103">
        <v>71</v>
      </c>
      <c r="H2061" s="103" t="s">
        <v>2230</v>
      </c>
      <c r="I2061" s="103">
        <v>54</v>
      </c>
      <c r="K2061" s="103" t="s">
        <v>365</v>
      </c>
      <c r="L2061" s="133"/>
      <c r="M2061" s="134">
        <v>8.1944444444444445E-2</v>
      </c>
      <c r="N2061" s="137" t="s">
        <v>1966</v>
      </c>
      <c r="O2061" s="133" t="s">
        <v>1532</v>
      </c>
      <c r="P2061" s="100" t="s">
        <v>4071</v>
      </c>
      <c r="Q2061" s="100" t="s">
        <v>4060</v>
      </c>
      <c r="R2061" s="226" t="s">
        <v>4090</v>
      </c>
      <c r="S2061" s="491" t="str">
        <f t="shared" si="67"/>
        <v>x</v>
      </c>
      <c r="T2061" s="492">
        <f>IFERROR(VLOOKUP(F2061,'Freq-Chan'!C:D,2,FALSE),"x")</f>
        <v>151.58600000000001</v>
      </c>
      <c r="U2061" s="110" t="s">
        <v>541</v>
      </c>
      <c r="V2061" s="110" t="str">
        <f t="shared" si="68"/>
        <v>FWL</v>
      </c>
      <c r="W2061" s="110" t="s">
        <v>541</v>
      </c>
      <c r="X2061" s="110" t="s">
        <v>541</v>
      </c>
      <c r="Y2061" s="110" t="str">
        <f>IFERROR(VLOOKUP(F2061,'Freq-Chan'!C:E,3,FALSE),"na")</f>
        <v>F1840</v>
      </c>
      <c r="Z2061" s="110" t="s">
        <v>541</v>
      </c>
      <c r="AA2061" s="110" t="s">
        <v>541</v>
      </c>
      <c r="AB2061" s="110" t="s">
        <v>541</v>
      </c>
      <c r="AC2061" s="10" t="s">
        <v>541</v>
      </c>
      <c r="AD2061" s="10" t="s">
        <v>541</v>
      </c>
    </row>
    <row r="2062" spans="1:30" x14ac:dyDescent="0.2">
      <c r="A2062" s="110">
        <v>2061</v>
      </c>
      <c r="B2062" s="132">
        <v>41858</v>
      </c>
      <c r="C2062" s="117">
        <v>1</v>
      </c>
      <c r="D2062" s="103" t="s">
        <v>71</v>
      </c>
      <c r="E2062" s="103" t="s">
        <v>306</v>
      </c>
      <c r="H2062" s="103"/>
      <c r="I2062" s="103">
        <v>56</v>
      </c>
      <c r="K2062" s="103" t="s">
        <v>1032</v>
      </c>
      <c r="L2062" s="133"/>
      <c r="M2062" s="134">
        <v>1.5277777777777777E-2</v>
      </c>
      <c r="N2062" s="137" t="s">
        <v>1968</v>
      </c>
      <c r="O2062" s="133" t="s">
        <v>950</v>
      </c>
      <c r="Q2062" s="100" t="s">
        <v>4060</v>
      </c>
      <c r="R2062" s="226" t="s">
        <v>4090</v>
      </c>
      <c r="S2062" s="491" t="str">
        <f t="shared" si="67"/>
        <v>x</v>
      </c>
      <c r="T2062" s="492" t="str">
        <f>IFERROR(VLOOKUP(F2062,'Freq-Chan'!C:D,2,FALSE),"x")</f>
        <v>x</v>
      </c>
      <c r="U2062" s="110" t="s">
        <v>541</v>
      </c>
      <c r="V2062" s="110" t="str">
        <f t="shared" si="68"/>
        <v>FWL</v>
      </c>
      <c r="W2062" s="110" t="s">
        <v>541</v>
      </c>
      <c r="X2062" s="110" t="s">
        <v>541</v>
      </c>
      <c r="Y2062" s="110" t="str">
        <f>IFERROR(VLOOKUP(F2062,'Freq-Chan'!C:E,3,FALSE),"na")</f>
        <v>na</v>
      </c>
      <c r="Z2062" s="110" t="s">
        <v>541</v>
      </c>
      <c r="AA2062" s="110" t="s">
        <v>541</v>
      </c>
      <c r="AB2062" s="110" t="s">
        <v>541</v>
      </c>
      <c r="AC2062" s="10" t="s">
        <v>541</v>
      </c>
      <c r="AD2062" s="10" t="s">
        <v>541</v>
      </c>
    </row>
    <row r="2063" spans="1:30" x14ac:dyDescent="0.2">
      <c r="A2063" s="110">
        <v>2062</v>
      </c>
      <c r="B2063" s="132">
        <v>41858</v>
      </c>
      <c r="C2063" s="117">
        <v>1</v>
      </c>
      <c r="D2063" s="103" t="s">
        <v>71</v>
      </c>
      <c r="E2063" s="103" t="s">
        <v>306</v>
      </c>
      <c r="H2063" s="103"/>
      <c r="I2063" s="103">
        <v>59</v>
      </c>
      <c r="K2063" s="103" t="s">
        <v>365</v>
      </c>
      <c r="L2063" s="133"/>
      <c r="M2063" s="134">
        <v>1.5972222222222224E-2</v>
      </c>
      <c r="N2063" s="137" t="s">
        <v>1578</v>
      </c>
      <c r="O2063" s="133" t="s">
        <v>950</v>
      </c>
      <c r="Q2063" s="100" t="s">
        <v>4060</v>
      </c>
      <c r="R2063" s="226" t="s">
        <v>4090</v>
      </c>
      <c r="S2063" s="491" t="str">
        <f t="shared" si="67"/>
        <v>x</v>
      </c>
      <c r="T2063" s="492" t="str">
        <f>IFERROR(VLOOKUP(F2063,'Freq-Chan'!C:D,2,FALSE),"x")</f>
        <v>x</v>
      </c>
      <c r="U2063" s="110" t="s">
        <v>541</v>
      </c>
      <c r="V2063" s="110" t="str">
        <f t="shared" si="68"/>
        <v>FWL</v>
      </c>
      <c r="W2063" s="110" t="s">
        <v>541</v>
      </c>
      <c r="X2063" s="110" t="s">
        <v>541</v>
      </c>
      <c r="Y2063" s="110" t="str">
        <f>IFERROR(VLOOKUP(F2063,'Freq-Chan'!C:E,3,FALSE),"na")</f>
        <v>na</v>
      </c>
      <c r="Z2063" s="110" t="s">
        <v>541</v>
      </c>
      <c r="AA2063" s="110" t="s">
        <v>541</v>
      </c>
      <c r="AB2063" s="110" t="s">
        <v>541</v>
      </c>
      <c r="AC2063" s="10" t="s">
        <v>541</v>
      </c>
      <c r="AD2063" s="10" t="s">
        <v>541</v>
      </c>
    </row>
    <row r="2064" spans="1:30" x14ac:dyDescent="0.2">
      <c r="A2064" s="110">
        <v>2063</v>
      </c>
      <c r="B2064" s="132">
        <v>41858</v>
      </c>
      <c r="C2064" s="117">
        <v>1</v>
      </c>
      <c r="D2064" s="103" t="s">
        <v>71</v>
      </c>
      <c r="E2064" s="103" t="s">
        <v>306</v>
      </c>
      <c r="H2064" s="103"/>
      <c r="I2064" s="103">
        <v>56</v>
      </c>
      <c r="K2064" s="103" t="s">
        <v>1032</v>
      </c>
      <c r="L2064" s="133"/>
      <c r="M2064" s="134">
        <v>3.1944444444444449E-2</v>
      </c>
      <c r="N2064" s="137" t="s">
        <v>2851</v>
      </c>
      <c r="O2064" s="133" t="s">
        <v>1532</v>
      </c>
      <c r="Q2064" s="100" t="s">
        <v>4060</v>
      </c>
      <c r="R2064" s="226" t="s">
        <v>4090</v>
      </c>
      <c r="S2064" s="491" t="str">
        <f t="shared" si="67"/>
        <v>x</v>
      </c>
      <c r="T2064" s="492" t="str">
        <f>IFERROR(VLOOKUP(F2064,'Freq-Chan'!C:D,2,FALSE),"x")</f>
        <v>x</v>
      </c>
      <c r="U2064" s="110" t="s">
        <v>541</v>
      </c>
      <c r="V2064" s="110" t="str">
        <f t="shared" si="68"/>
        <v>FWL</v>
      </c>
      <c r="W2064" s="110" t="s">
        <v>541</v>
      </c>
      <c r="X2064" s="110" t="s">
        <v>541</v>
      </c>
      <c r="Y2064" s="110" t="str">
        <f>IFERROR(VLOOKUP(F2064,'Freq-Chan'!C:E,3,FALSE),"na")</f>
        <v>na</v>
      </c>
      <c r="Z2064" s="110" t="s">
        <v>541</v>
      </c>
      <c r="AA2064" s="110" t="s">
        <v>541</v>
      </c>
      <c r="AB2064" s="110" t="s">
        <v>541</v>
      </c>
      <c r="AC2064" s="10" t="s">
        <v>541</v>
      </c>
      <c r="AD2064" s="10" t="s">
        <v>541</v>
      </c>
    </row>
    <row r="2065" spans="1:30" x14ac:dyDescent="0.2">
      <c r="A2065" s="110">
        <v>2064</v>
      </c>
      <c r="B2065" s="132">
        <v>41858</v>
      </c>
      <c r="C2065" s="117">
        <v>1</v>
      </c>
      <c r="D2065" s="103" t="s">
        <v>72</v>
      </c>
      <c r="E2065" s="103" t="s">
        <v>306</v>
      </c>
      <c r="F2065" s="103">
        <v>325</v>
      </c>
      <c r="G2065" s="103">
        <v>65</v>
      </c>
      <c r="H2065" s="103" t="s">
        <v>3535</v>
      </c>
      <c r="I2065" s="103">
        <v>52</v>
      </c>
      <c r="K2065" s="103" t="s">
        <v>1032</v>
      </c>
      <c r="L2065" s="133"/>
      <c r="M2065" s="134">
        <v>5.5555555555555552E-2</v>
      </c>
      <c r="N2065" s="137" t="s">
        <v>1536</v>
      </c>
      <c r="O2065" s="133" t="s">
        <v>950</v>
      </c>
      <c r="Q2065" s="100" t="s">
        <v>4060</v>
      </c>
      <c r="R2065" s="226" t="s">
        <v>4090</v>
      </c>
      <c r="S2065" s="491" t="str">
        <f t="shared" si="67"/>
        <v>x</v>
      </c>
      <c r="T2065" s="492">
        <f>IFERROR(VLOOKUP(F2065,'Freq-Chan'!C:D,2,FALSE),"x")</f>
        <v>151.32499999999999</v>
      </c>
      <c r="U2065" s="110" t="s">
        <v>541</v>
      </c>
      <c r="V2065" s="110" t="str">
        <f t="shared" si="68"/>
        <v>FWL</v>
      </c>
      <c r="W2065" s="110" t="s">
        <v>541</v>
      </c>
      <c r="X2065" s="110" t="s">
        <v>541</v>
      </c>
      <c r="Y2065" s="110" t="str">
        <f>IFERROR(VLOOKUP(F2065,'Freq-Chan'!C:E,3,FALSE),"na")</f>
        <v>F1840</v>
      </c>
      <c r="Z2065" s="110" t="s">
        <v>541</v>
      </c>
      <c r="AA2065" s="110" t="s">
        <v>541</v>
      </c>
      <c r="AB2065" s="110" t="s">
        <v>541</v>
      </c>
      <c r="AC2065" s="10" t="s">
        <v>541</v>
      </c>
      <c r="AD2065" s="10" t="s">
        <v>541</v>
      </c>
    </row>
    <row r="2066" spans="1:30" x14ac:dyDescent="0.2">
      <c r="A2066" s="110">
        <v>2065</v>
      </c>
      <c r="B2066" s="132">
        <v>41858</v>
      </c>
      <c r="C2066" s="117">
        <v>1</v>
      </c>
      <c r="D2066" s="103" t="s">
        <v>71</v>
      </c>
      <c r="E2066" s="103" t="s">
        <v>306</v>
      </c>
      <c r="H2066" s="103"/>
      <c r="I2066" s="103">
        <v>54</v>
      </c>
      <c r="K2066" s="103" t="s">
        <v>1032</v>
      </c>
      <c r="L2066" s="133"/>
      <c r="M2066" s="134">
        <v>1.7361111111111112E-2</v>
      </c>
      <c r="N2066" s="137" t="s">
        <v>4072</v>
      </c>
      <c r="O2066" s="133" t="s">
        <v>1532</v>
      </c>
      <c r="Q2066" s="100" t="s">
        <v>4060</v>
      </c>
      <c r="R2066" s="226" t="s">
        <v>4090</v>
      </c>
      <c r="S2066" s="491" t="str">
        <f t="shared" si="67"/>
        <v>x</v>
      </c>
      <c r="T2066" s="492" t="str">
        <f>IFERROR(VLOOKUP(F2066,'Freq-Chan'!C:D,2,FALSE),"x")</f>
        <v>x</v>
      </c>
      <c r="U2066" s="110" t="s">
        <v>541</v>
      </c>
      <c r="V2066" s="110" t="str">
        <f t="shared" si="68"/>
        <v>FWL</v>
      </c>
      <c r="W2066" s="110" t="s">
        <v>541</v>
      </c>
      <c r="X2066" s="110" t="s">
        <v>541</v>
      </c>
      <c r="Y2066" s="110" t="str">
        <f>IFERROR(VLOOKUP(F2066,'Freq-Chan'!C:E,3,FALSE),"na")</f>
        <v>na</v>
      </c>
      <c r="Z2066" s="110" t="s">
        <v>541</v>
      </c>
      <c r="AA2066" s="110" t="s">
        <v>541</v>
      </c>
      <c r="AB2066" s="110" t="s">
        <v>541</v>
      </c>
      <c r="AC2066" s="10" t="s">
        <v>541</v>
      </c>
      <c r="AD2066" s="10" t="s">
        <v>541</v>
      </c>
    </row>
    <row r="2067" spans="1:30" x14ac:dyDescent="0.2">
      <c r="A2067" s="110">
        <v>2066</v>
      </c>
      <c r="B2067" s="132">
        <v>41858</v>
      </c>
      <c r="C2067" s="117">
        <v>1</v>
      </c>
      <c r="D2067" s="103" t="s">
        <v>71</v>
      </c>
      <c r="E2067" s="103" t="s">
        <v>306</v>
      </c>
      <c r="H2067" s="103"/>
      <c r="I2067" s="103">
        <v>54</v>
      </c>
      <c r="K2067" s="103" t="s">
        <v>1032</v>
      </c>
      <c r="L2067" s="133"/>
      <c r="M2067" s="134">
        <v>1.5972222222222224E-2</v>
      </c>
      <c r="N2067" s="137" t="s">
        <v>3183</v>
      </c>
      <c r="O2067" s="133" t="s">
        <v>1532</v>
      </c>
      <c r="Q2067" s="100" t="s">
        <v>4060</v>
      </c>
      <c r="R2067" s="226" t="s">
        <v>4090</v>
      </c>
      <c r="S2067" s="491" t="str">
        <f t="shared" si="67"/>
        <v>x</v>
      </c>
      <c r="T2067" s="492" t="str">
        <f>IFERROR(VLOOKUP(F2067,'Freq-Chan'!C:D,2,FALSE),"x")</f>
        <v>x</v>
      </c>
      <c r="U2067" s="110" t="s">
        <v>541</v>
      </c>
      <c r="V2067" s="110" t="str">
        <f t="shared" si="68"/>
        <v>FWL</v>
      </c>
      <c r="W2067" s="110" t="s">
        <v>541</v>
      </c>
      <c r="X2067" s="110" t="s">
        <v>541</v>
      </c>
      <c r="Y2067" s="110" t="str">
        <f>IFERROR(VLOOKUP(F2067,'Freq-Chan'!C:E,3,FALSE),"na")</f>
        <v>na</v>
      </c>
      <c r="Z2067" s="110" t="s">
        <v>541</v>
      </c>
      <c r="AA2067" s="110" t="s">
        <v>541</v>
      </c>
      <c r="AB2067" s="110" t="s">
        <v>541</v>
      </c>
      <c r="AC2067" s="10" t="s">
        <v>541</v>
      </c>
      <c r="AD2067" s="10" t="s">
        <v>541</v>
      </c>
    </row>
    <row r="2068" spans="1:30" x14ac:dyDescent="0.2">
      <c r="A2068" s="110">
        <v>2067</v>
      </c>
      <c r="B2068" s="132">
        <v>41858</v>
      </c>
      <c r="C2068" s="117">
        <v>1</v>
      </c>
      <c r="D2068" s="103" t="s">
        <v>71</v>
      </c>
      <c r="E2068" s="103" t="s">
        <v>306</v>
      </c>
      <c r="H2068" s="103"/>
      <c r="I2068" s="103">
        <v>57</v>
      </c>
      <c r="K2068" s="103" t="s">
        <v>1032</v>
      </c>
      <c r="L2068" s="133"/>
      <c r="M2068" s="134">
        <v>1.7361111111111112E-2</v>
      </c>
      <c r="N2068" s="137" t="s">
        <v>714</v>
      </c>
      <c r="O2068" s="133" t="s">
        <v>1532</v>
      </c>
      <c r="Q2068" s="100" t="s">
        <v>4060</v>
      </c>
      <c r="R2068" s="226" t="s">
        <v>4090</v>
      </c>
      <c r="S2068" s="491" t="str">
        <f t="shared" si="67"/>
        <v>x</v>
      </c>
      <c r="T2068" s="492" t="str">
        <f>IFERROR(VLOOKUP(F2068,'Freq-Chan'!C:D,2,FALSE),"x")</f>
        <v>x</v>
      </c>
      <c r="U2068" s="110" t="s">
        <v>541</v>
      </c>
      <c r="V2068" s="110" t="str">
        <f t="shared" si="68"/>
        <v>FWL</v>
      </c>
      <c r="W2068" s="110" t="s">
        <v>541</v>
      </c>
      <c r="X2068" s="110" t="s">
        <v>541</v>
      </c>
      <c r="Y2068" s="110" t="str">
        <f>IFERROR(VLOOKUP(F2068,'Freq-Chan'!C:E,3,FALSE),"na")</f>
        <v>na</v>
      </c>
      <c r="Z2068" s="110" t="s">
        <v>541</v>
      </c>
      <c r="AA2068" s="110" t="s">
        <v>541</v>
      </c>
      <c r="AB2068" s="110" t="s">
        <v>541</v>
      </c>
      <c r="AC2068" s="10" t="s">
        <v>541</v>
      </c>
      <c r="AD2068" s="10" t="s">
        <v>541</v>
      </c>
    </row>
    <row r="2069" spans="1:30" x14ac:dyDescent="0.2">
      <c r="A2069" s="110">
        <v>2068</v>
      </c>
      <c r="B2069" s="132">
        <v>41858</v>
      </c>
      <c r="C2069" s="117">
        <v>1</v>
      </c>
      <c r="D2069" s="103" t="s">
        <v>2</v>
      </c>
      <c r="E2069" s="103" t="s">
        <v>306</v>
      </c>
      <c r="H2069" s="103"/>
      <c r="I2069" s="103">
        <v>64</v>
      </c>
      <c r="K2069" s="103" t="s">
        <v>1032</v>
      </c>
      <c r="L2069" s="133"/>
      <c r="M2069" s="134">
        <v>1.3888888888888888E-2</v>
      </c>
      <c r="N2069" s="137" t="s">
        <v>2663</v>
      </c>
      <c r="O2069" s="133" t="s">
        <v>1532</v>
      </c>
      <c r="P2069" s="100" t="s">
        <v>4017</v>
      </c>
      <c r="Q2069" s="100" t="s">
        <v>4060</v>
      </c>
      <c r="R2069" s="226" t="s">
        <v>4090</v>
      </c>
      <c r="S2069" s="491" t="str">
        <f t="shared" si="67"/>
        <v>x</v>
      </c>
      <c r="T2069" s="492" t="str">
        <f>IFERROR(VLOOKUP(F2069,'Freq-Chan'!C:D,2,FALSE),"x")</f>
        <v>x</v>
      </c>
      <c r="U2069" s="110" t="s">
        <v>541</v>
      </c>
      <c r="V2069" s="110" t="str">
        <f t="shared" si="68"/>
        <v>FWL</v>
      </c>
      <c r="W2069" s="110" t="s">
        <v>541</v>
      </c>
      <c r="X2069" s="110" t="s">
        <v>541</v>
      </c>
      <c r="Y2069" s="110" t="str">
        <f>IFERROR(VLOOKUP(F2069,'Freq-Chan'!C:E,3,FALSE),"na")</f>
        <v>na</v>
      </c>
      <c r="Z2069" s="110" t="s">
        <v>541</v>
      </c>
      <c r="AA2069" s="110" t="s">
        <v>541</v>
      </c>
      <c r="AB2069" s="110" t="s">
        <v>541</v>
      </c>
      <c r="AC2069" s="10" t="s">
        <v>541</v>
      </c>
      <c r="AD2069" s="10" t="s">
        <v>541</v>
      </c>
    </row>
    <row r="2070" spans="1:30" x14ac:dyDescent="0.2">
      <c r="A2070" s="110">
        <v>2069</v>
      </c>
      <c r="B2070" s="132">
        <v>41858</v>
      </c>
      <c r="C2070" s="117">
        <v>1</v>
      </c>
      <c r="D2070" s="103" t="s">
        <v>72</v>
      </c>
      <c r="E2070" s="103" t="s">
        <v>306</v>
      </c>
      <c r="F2070" s="103">
        <v>325</v>
      </c>
      <c r="G2070" s="103">
        <v>77</v>
      </c>
      <c r="H2070" s="103" t="s">
        <v>3536</v>
      </c>
      <c r="I2070" s="103">
        <v>57</v>
      </c>
      <c r="K2070" s="103" t="s">
        <v>365</v>
      </c>
      <c r="L2070" s="133"/>
      <c r="M2070" s="134">
        <v>4.6527777777777779E-2</v>
      </c>
      <c r="N2070" s="137" t="s">
        <v>847</v>
      </c>
      <c r="O2070" s="133" t="s">
        <v>950</v>
      </c>
      <c r="Q2070" s="100" t="s">
        <v>4060</v>
      </c>
      <c r="R2070" s="226" t="s">
        <v>4090</v>
      </c>
      <c r="S2070" s="491" t="str">
        <f t="shared" si="67"/>
        <v>x</v>
      </c>
      <c r="T2070" s="492">
        <f>IFERROR(VLOOKUP(F2070,'Freq-Chan'!C:D,2,FALSE),"x")</f>
        <v>151.32499999999999</v>
      </c>
      <c r="U2070" s="110" t="s">
        <v>541</v>
      </c>
      <c r="V2070" s="110" t="str">
        <f t="shared" si="68"/>
        <v>FWL</v>
      </c>
      <c r="W2070" s="110" t="s">
        <v>541</v>
      </c>
      <c r="X2070" s="110" t="s">
        <v>541</v>
      </c>
      <c r="Y2070" s="110" t="str">
        <f>IFERROR(VLOOKUP(F2070,'Freq-Chan'!C:E,3,FALSE),"na")</f>
        <v>F1840</v>
      </c>
      <c r="Z2070" s="110" t="s">
        <v>541</v>
      </c>
      <c r="AA2070" s="110" t="s">
        <v>541</v>
      </c>
      <c r="AB2070" s="110" t="s">
        <v>541</v>
      </c>
      <c r="AC2070" s="10" t="s">
        <v>541</v>
      </c>
      <c r="AD2070" s="10" t="s">
        <v>541</v>
      </c>
    </row>
    <row r="2071" spans="1:30" x14ac:dyDescent="0.2">
      <c r="A2071" s="110">
        <v>2070</v>
      </c>
      <c r="B2071" s="132">
        <v>41858</v>
      </c>
      <c r="C2071" s="117">
        <v>1</v>
      </c>
      <c r="D2071" s="103" t="s">
        <v>8</v>
      </c>
      <c r="E2071" s="103" t="s">
        <v>306</v>
      </c>
      <c r="F2071" s="103">
        <v>586</v>
      </c>
      <c r="G2071" s="103">
        <v>84</v>
      </c>
      <c r="H2071" s="103" t="s">
        <v>2234</v>
      </c>
      <c r="I2071" s="103">
        <v>52</v>
      </c>
      <c r="K2071" s="103" t="s">
        <v>365</v>
      </c>
      <c r="L2071" s="133"/>
      <c r="M2071" s="134">
        <v>6.25E-2</v>
      </c>
      <c r="N2071" s="137" t="s">
        <v>367</v>
      </c>
      <c r="O2071" s="133" t="s">
        <v>950</v>
      </c>
      <c r="Q2071" s="100" t="s">
        <v>4060</v>
      </c>
      <c r="R2071" s="226" t="s">
        <v>4090</v>
      </c>
      <c r="S2071" s="491" t="str">
        <f t="shared" si="67"/>
        <v>x</v>
      </c>
      <c r="T2071" s="492">
        <f>IFERROR(VLOOKUP(F2071,'Freq-Chan'!C:D,2,FALSE),"x")</f>
        <v>151.58600000000001</v>
      </c>
      <c r="U2071" s="110" t="s">
        <v>541</v>
      </c>
      <c r="V2071" s="110" t="str">
        <f t="shared" si="68"/>
        <v>FWL</v>
      </c>
      <c r="W2071" s="110" t="s">
        <v>541</v>
      </c>
      <c r="X2071" s="110" t="s">
        <v>541</v>
      </c>
      <c r="Y2071" s="110" t="str">
        <f>IFERROR(VLOOKUP(F2071,'Freq-Chan'!C:E,3,FALSE),"na")</f>
        <v>F1840</v>
      </c>
      <c r="Z2071" s="110" t="s">
        <v>541</v>
      </c>
      <c r="AA2071" s="110" t="s">
        <v>541</v>
      </c>
      <c r="AB2071" s="110" t="s">
        <v>541</v>
      </c>
      <c r="AC2071" s="10" t="s">
        <v>541</v>
      </c>
      <c r="AD2071" s="10" t="s">
        <v>541</v>
      </c>
    </row>
    <row r="2072" spans="1:30" x14ac:dyDescent="0.2">
      <c r="A2072" s="110">
        <v>2071</v>
      </c>
      <c r="B2072" s="132">
        <v>41858</v>
      </c>
      <c r="C2072" s="117">
        <v>1</v>
      </c>
      <c r="D2072" s="103" t="s">
        <v>72</v>
      </c>
      <c r="E2072" s="103" t="s">
        <v>306</v>
      </c>
      <c r="F2072" s="103">
        <v>325</v>
      </c>
      <c r="G2072" s="103">
        <v>26</v>
      </c>
      <c r="H2072" s="103" t="s">
        <v>3537</v>
      </c>
      <c r="I2072" s="103">
        <v>52</v>
      </c>
      <c r="K2072" s="103" t="s">
        <v>364</v>
      </c>
      <c r="L2072" s="133"/>
      <c r="M2072" s="134">
        <v>7.0833333333333331E-2</v>
      </c>
      <c r="N2072" s="137" t="s">
        <v>904</v>
      </c>
      <c r="O2072" s="133" t="s">
        <v>950</v>
      </c>
      <c r="Q2072" s="100" t="s">
        <v>4060</v>
      </c>
      <c r="R2072" s="226" t="s">
        <v>4090</v>
      </c>
      <c r="S2072" s="491" t="str">
        <f t="shared" si="67"/>
        <v>x</v>
      </c>
      <c r="T2072" s="492">
        <f>IFERROR(VLOOKUP(F2072,'Freq-Chan'!C:D,2,FALSE),"x")</f>
        <v>151.32499999999999</v>
      </c>
      <c r="U2072" s="110" t="s">
        <v>541</v>
      </c>
      <c r="V2072" s="110" t="str">
        <f t="shared" si="68"/>
        <v>FWL</v>
      </c>
      <c r="W2072" s="110" t="s">
        <v>541</v>
      </c>
      <c r="X2072" s="110" t="s">
        <v>541</v>
      </c>
      <c r="Y2072" s="110" t="str">
        <f>IFERROR(VLOOKUP(F2072,'Freq-Chan'!C:E,3,FALSE),"na")</f>
        <v>F1840</v>
      </c>
      <c r="Z2072" s="110" t="s">
        <v>541</v>
      </c>
      <c r="AA2072" s="110" t="s">
        <v>541</v>
      </c>
      <c r="AB2072" s="110" t="s">
        <v>541</v>
      </c>
      <c r="AC2072" s="10" t="s">
        <v>541</v>
      </c>
      <c r="AD2072" s="10" t="s">
        <v>541</v>
      </c>
    </row>
    <row r="2073" spans="1:30" x14ac:dyDescent="0.2">
      <c r="A2073" s="110">
        <v>2072</v>
      </c>
      <c r="B2073" s="132">
        <v>41858</v>
      </c>
      <c r="C2073" s="117">
        <v>1</v>
      </c>
      <c r="D2073" s="103" t="s">
        <v>71</v>
      </c>
      <c r="E2073" s="103" t="s">
        <v>306</v>
      </c>
      <c r="H2073" s="103"/>
      <c r="I2073" s="103">
        <v>58</v>
      </c>
      <c r="K2073" s="103" t="s">
        <v>365</v>
      </c>
      <c r="L2073" s="133"/>
      <c r="M2073" s="134">
        <v>1.9444444444444445E-2</v>
      </c>
      <c r="N2073" s="137" t="s">
        <v>2945</v>
      </c>
      <c r="O2073" s="133" t="s">
        <v>1532</v>
      </c>
      <c r="Q2073" s="100" t="s">
        <v>4060</v>
      </c>
      <c r="R2073" s="226" t="s">
        <v>4090</v>
      </c>
      <c r="S2073" s="491" t="str">
        <f t="shared" si="67"/>
        <v>x</v>
      </c>
      <c r="T2073" s="492" t="str">
        <f>IFERROR(VLOOKUP(F2073,'Freq-Chan'!C:D,2,FALSE),"x")</f>
        <v>x</v>
      </c>
      <c r="U2073" s="110" t="s">
        <v>541</v>
      </c>
      <c r="V2073" s="110" t="str">
        <f t="shared" si="68"/>
        <v>FWL</v>
      </c>
      <c r="W2073" s="110" t="s">
        <v>541</v>
      </c>
      <c r="X2073" s="110" t="s">
        <v>541</v>
      </c>
      <c r="Y2073" s="110" t="str">
        <f>IFERROR(VLOOKUP(F2073,'Freq-Chan'!C:E,3,FALSE),"na")</f>
        <v>na</v>
      </c>
      <c r="Z2073" s="110" t="s">
        <v>541</v>
      </c>
      <c r="AA2073" s="110" t="s">
        <v>541</v>
      </c>
      <c r="AB2073" s="110" t="s">
        <v>541</v>
      </c>
      <c r="AC2073" s="10" t="s">
        <v>541</v>
      </c>
      <c r="AD2073" s="10" t="s">
        <v>541</v>
      </c>
    </row>
    <row r="2074" spans="1:30" x14ac:dyDescent="0.2">
      <c r="A2074" s="110">
        <v>2073</v>
      </c>
      <c r="B2074" s="132">
        <v>41858</v>
      </c>
      <c r="C2074" s="117">
        <v>1</v>
      </c>
      <c r="D2074" s="103" t="s">
        <v>70</v>
      </c>
      <c r="E2074" s="103" t="s">
        <v>306</v>
      </c>
      <c r="F2074" s="103">
        <v>596</v>
      </c>
      <c r="G2074" s="103">
        <v>12</v>
      </c>
      <c r="H2074" s="103" t="s">
        <v>3096</v>
      </c>
      <c r="I2074" s="103">
        <v>43</v>
      </c>
      <c r="K2074" s="103" t="s">
        <v>1032</v>
      </c>
      <c r="L2074" s="133"/>
      <c r="M2074" s="134">
        <v>2.9861111111111113E-2</v>
      </c>
      <c r="N2074" s="137" t="s">
        <v>1852</v>
      </c>
      <c r="O2074" s="133" t="s">
        <v>1532</v>
      </c>
      <c r="Q2074" s="100" t="s">
        <v>4060</v>
      </c>
      <c r="R2074" s="226" t="s">
        <v>4090</v>
      </c>
      <c r="S2074" s="491" t="str">
        <f t="shared" si="67"/>
        <v>x</v>
      </c>
      <c r="T2074" s="492">
        <f>IFERROR(VLOOKUP(F2074,'Freq-Chan'!C:D,2,FALSE),"x")</f>
        <v>151.596</v>
      </c>
      <c r="U2074" s="110" t="s">
        <v>541</v>
      </c>
      <c r="V2074" s="110" t="str">
        <f t="shared" si="68"/>
        <v>FWL</v>
      </c>
      <c r="W2074" s="110" t="s">
        <v>541</v>
      </c>
      <c r="X2074" s="110" t="s">
        <v>541</v>
      </c>
      <c r="Y2074" s="110" t="str">
        <f>IFERROR(VLOOKUP(F2074,'Freq-Chan'!C:E,3,FALSE),"na")</f>
        <v>F1835</v>
      </c>
      <c r="Z2074" s="110" t="s">
        <v>541</v>
      </c>
      <c r="AA2074" s="110" t="s">
        <v>541</v>
      </c>
      <c r="AB2074" s="110" t="s">
        <v>541</v>
      </c>
      <c r="AC2074" s="10" t="s">
        <v>541</v>
      </c>
      <c r="AD2074" s="10" t="s">
        <v>541</v>
      </c>
    </row>
    <row r="2075" spans="1:30" s="291" customFormat="1" x14ac:dyDescent="0.2">
      <c r="A2075" s="493">
        <v>2074</v>
      </c>
      <c r="B2075" s="283">
        <v>41858</v>
      </c>
      <c r="C2075" s="284">
        <v>1</v>
      </c>
      <c r="D2075" s="285" t="s">
        <v>70</v>
      </c>
      <c r="E2075" s="285" t="s">
        <v>306</v>
      </c>
      <c r="F2075" s="285">
        <v>515</v>
      </c>
      <c r="G2075" s="285">
        <v>25</v>
      </c>
      <c r="H2075" s="285" t="s">
        <v>3097</v>
      </c>
      <c r="I2075" s="285">
        <v>47</v>
      </c>
      <c r="J2075" s="285"/>
      <c r="K2075" s="285" t="s">
        <v>1032</v>
      </c>
      <c r="L2075" s="286"/>
      <c r="M2075" s="287">
        <v>2.9166666666666664E-2</v>
      </c>
      <c r="N2075" s="339" t="s">
        <v>2537</v>
      </c>
      <c r="O2075" s="286" t="s">
        <v>1532</v>
      </c>
      <c r="P2075" s="289"/>
      <c r="Q2075" s="289" t="s">
        <v>4060</v>
      </c>
      <c r="R2075" s="290" t="s">
        <v>4090</v>
      </c>
      <c r="S2075" s="494" t="str">
        <f t="shared" si="67"/>
        <v>x</v>
      </c>
      <c r="T2075" s="495">
        <f>IFERROR(VLOOKUP(F2075,'Freq-Chan'!C:D,2,FALSE),"x")</f>
        <v>151.51499999999999</v>
      </c>
      <c r="U2075" s="493" t="s">
        <v>541</v>
      </c>
      <c r="V2075" s="493" t="str">
        <f t="shared" si="68"/>
        <v>FWL</v>
      </c>
      <c r="W2075" s="493" t="s">
        <v>541</v>
      </c>
      <c r="X2075" s="493" t="s">
        <v>541</v>
      </c>
      <c r="Y2075" s="493" t="str">
        <f>IFERROR(VLOOKUP(F2075,'Freq-Chan'!C:E,3,FALSE),"na")</f>
        <v>F1835</v>
      </c>
      <c r="Z2075" s="493" t="s">
        <v>541</v>
      </c>
      <c r="AA2075" s="493" t="s">
        <v>541</v>
      </c>
      <c r="AB2075" s="493" t="s">
        <v>541</v>
      </c>
      <c r="AC2075" s="291" t="s">
        <v>541</v>
      </c>
      <c r="AD2075" s="291" t="s">
        <v>541</v>
      </c>
    </row>
    <row r="2076" spans="1:30" x14ac:dyDescent="0.2">
      <c r="A2076" s="110">
        <v>2075</v>
      </c>
      <c r="B2076" s="132">
        <v>41858</v>
      </c>
      <c r="C2076" s="117">
        <v>2</v>
      </c>
      <c r="D2076" s="103" t="s">
        <v>71</v>
      </c>
      <c r="E2076" s="103" t="s">
        <v>306</v>
      </c>
      <c r="F2076" s="103">
        <v>534</v>
      </c>
      <c r="G2076" s="103">
        <v>6</v>
      </c>
      <c r="H2076" s="103" t="s">
        <v>2401</v>
      </c>
      <c r="I2076" s="103">
        <v>56</v>
      </c>
      <c r="K2076" s="103" t="s">
        <v>1032</v>
      </c>
      <c r="L2076" s="133"/>
      <c r="M2076" s="134">
        <v>8.6111111111111124E-2</v>
      </c>
      <c r="N2076" s="135" t="s">
        <v>3799</v>
      </c>
      <c r="O2076" s="133" t="s">
        <v>376</v>
      </c>
      <c r="P2076" s="100" t="s">
        <v>4073</v>
      </c>
      <c r="Q2076" s="100" t="s">
        <v>4061</v>
      </c>
      <c r="R2076" s="226" t="s">
        <v>4090</v>
      </c>
      <c r="S2076" s="491" t="str">
        <f t="shared" si="67"/>
        <v>x</v>
      </c>
      <c r="T2076" s="492">
        <f>IFERROR(VLOOKUP(F2076,'Freq-Chan'!C:D,2,FALSE),"x")</f>
        <v>151.53399999999999</v>
      </c>
      <c r="U2076" s="110" t="s">
        <v>541</v>
      </c>
      <c r="V2076" s="110" t="str">
        <f t="shared" si="68"/>
        <v>FWL</v>
      </c>
      <c r="W2076" s="110" t="s">
        <v>541</v>
      </c>
      <c r="X2076" s="110" t="s">
        <v>541</v>
      </c>
      <c r="Y2076" s="110" t="str">
        <f>IFERROR(VLOOKUP(F2076,'Freq-Chan'!C:E,3,FALSE),"na")</f>
        <v>F1840</v>
      </c>
      <c r="Z2076" s="110" t="s">
        <v>541</v>
      </c>
      <c r="AA2076" s="110" t="s">
        <v>541</v>
      </c>
      <c r="AB2076" s="110" t="s">
        <v>541</v>
      </c>
      <c r="AC2076" s="10" t="s">
        <v>541</v>
      </c>
      <c r="AD2076" s="10" t="s">
        <v>541</v>
      </c>
    </row>
    <row r="2077" spans="1:30" x14ac:dyDescent="0.2">
      <c r="A2077" s="110">
        <v>2076</v>
      </c>
      <c r="B2077" s="132">
        <v>41858</v>
      </c>
      <c r="C2077" s="117">
        <v>2</v>
      </c>
      <c r="D2077" s="103" t="s">
        <v>8</v>
      </c>
      <c r="E2077" s="103" t="s">
        <v>306</v>
      </c>
      <c r="F2077" s="103">
        <v>573</v>
      </c>
      <c r="G2077" s="103">
        <v>92</v>
      </c>
      <c r="H2077" s="103" t="s">
        <v>2224</v>
      </c>
      <c r="I2077" s="103">
        <v>45</v>
      </c>
      <c r="K2077" s="103" t="s">
        <v>364</v>
      </c>
      <c r="L2077" s="133"/>
      <c r="M2077" s="134">
        <v>6.8749999999999992E-2</v>
      </c>
      <c r="N2077" s="135" t="s">
        <v>395</v>
      </c>
      <c r="O2077" s="133" t="s">
        <v>376</v>
      </c>
      <c r="Q2077" s="100" t="s">
        <v>4061</v>
      </c>
      <c r="R2077" s="226" t="s">
        <v>4090</v>
      </c>
      <c r="S2077" s="491" t="str">
        <f t="shared" si="67"/>
        <v>x</v>
      </c>
      <c r="T2077" s="492">
        <f>IFERROR(VLOOKUP(F2077,'Freq-Chan'!C:D,2,FALSE),"x")</f>
        <v>151.57300000000001</v>
      </c>
      <c r="U2077" s="110" t="s">
        <v>541</v>
      </c>
      <c r="V2077" s="110" t="str">
        <f t="shared" si="68"/>
        <v>FWL</v>
      </c>
      <c r="W2077" s="110" t="s">
        <v>541</v>
      </c>
      <c r="X2077" s="110" t="s">
        <v>541</v>
      </c>
      <c r="Y2077" s="110" t="str">
        <f>IFERROR(VLOOKUP(F2077,'Freq-Chan'!C:E,3,FALSE),"na")</f>
        <v>F1840</v>
      </c>
      <c r="Z2077" s="110" t="s">
        <v>541</v>
      </c>
      <c r="AA2077" s="110" t="s">
        <v>541</v>
      </c>
      <c r="AB2077" s="110" t="s">
        <v>541</v>
      </c>
      <c r="AC2077" s="10" t="s">
        <v>541</v>
      </c>
      <c r="AD2077" s="10" t="s">
        <v>541</v>
      </c>
    </row>
    <row r="2078" spans="1:30" x14ac:dyDescent="0.2">
      <c r="A2078" s="110">
        <v>2077</v>
      </c>
      <c r="B2078" s="132">
        <v>41858</v>
      </c>
      <c r="C2078" s="117">
        <v>2</v>
      </c>
      <c r="D2078" s="103" t="s">
        <v>8</v>
      </c>
      <c r="E2078" s="103" t="s">
        <v>306</v>
      </c>
      <c r="F2078" s="103">
        <v>586</v>
      </c>
      <c r="G2078" s="103">
        <v>98</v>
      </c>
      <c r="H2078" s="103" t="s">
        <v>2225</v>
      </c>
      <c r="I2078" s="103">
        <v>44</v>
      </c>
      <c r="K2078" s="103" t="s">
        <v>364</v>
      </c>
      <c r="L2078" s="133">
        <v>0.42499999999999999</v>
      </c>
      <c r="M2078" s="134">
        <v>7.0833333333333331E-2</v>
      </c>
      <c r="N2078" s="135" t="s">
        <v>3837</v>
      </c>
      <c r="O2078" s="133" t="s">
        <v>376</v>
      </c>
      <c r="Q2078" s="100" t="s">
        <v>4061</v>
      </c>
      <c r="R2078" s="226" t="s">
        <v>4090</v>
      </c>
      <c r="S2078" s="491">
        <f t="shared" si="67"/>
        <v>1.2708333299999999E-2</v>
      </c>
      <c r="T2078" s="492">
        <f>IFERROR(VLOOKUP(F2078,'Freq-Chan'!C:D,2,FALSE),"x")</f>
        <v>151.58600000000001</v>
      </c>
      <c r="U2078" s="110" t="s">
        <v>541</v>
      </c>
      <c r="V2078" s="110" t="str">
        <f t="shared" si="68"/>
        <v>FWL</v>
      </c>
      <c r="W2078" s="110" t="s">
        <v>541</v>
      </c>
      <c r="X2078" s="110" t="s">
        <v>541</v>
      </c>
      <c r="Y2078" s="110" t="str">
        <f>IFERROR(VLOOKUP(F2078,'Freq-Chan'!C:E,3,FALSE),"na")</f>
        <v>F1840</v>
      </c>
      <c r="Z2078" s="110" t="s">
        <v>541</v>
      </c>
      <c r="AA2078" s="110" t="s">
        <v>541</v>
      </c>
      <c r="AB2078" s="110" t="s">
        <v>541</v>
      </c>
      <c r="AC2078" s="10" t="s">
        <v>541</v>
      </c>
      <c r="AD2078" s="10" t="s">
        <v>541</v>
      </c>
    </row>
    <row r="2079" spans="1:30" x14ac:dyDescent="0.2">
      <c r="A2079" s="110">
        <v>2078</v>
      </c>
      <c r="B2079" s="132">
        <v>41858</v>
      </c>
      <c r="C2079" s="117">
        <v>2</v>
      </c>
      <c r="D2079" s="103" t="s">
        <v>71</v>
      </c>
      <c r="E2079" s="103" t="s">
        <v>306</v>
      </c>
      <c r="F2079" s="103">
        <v>564</v>
      </c>
      <c r="G2079" s="103">
        <v>3</v>
      </c>
      <c r="H2079" s="103" t="s">
        <v>2402</v>
      </c>
      <c r="I2079" s="103">
        <v>59</v>
      </c>
      <c r="K2079" s="103" t="s">
        <v>1032</v>
      </c>
      <c r="L2079" s="133"/>
      <c r="M2079" s="134">
        <v>5.6250000000000001E-2</v>
      </c>
      <c r="N2079" s="135" t="s">
        <v>3355</v>
      </c>
      <c r="O2079" s="133" t="s">
        <v>376</v>
      </c>
      <c r="Q2079" s="100" t="s">
        <v>4061</v>
      </c>
      <c r="R2079" s="226" t="s">
        <v>4090</v>
      </c>
      <c r="S2079" s="491" t="str">
        <f t="shared" si="67"/>
        <v>x</v>
      </c>
      <c r="T2079" s="492">
        <f>IFERROR(VLOOKUP(F2079,'Freq-Chan'!C:D,2,FALSE),"x")</f>
        <v>151.56399999999999</v>
      </c>
      <c r="U2079" s="110" t="s">
        <v>541</v>
      </c>
      <c r="V2079" s="110" t="str">
        <f t="shared" si="68"/>
        <v>FWL</v>
      </c>
      <c r="W2079" s="110" t="s">
        <v>541</v>
      </c>
      <c r="X2079" s="110" t="s">
        <v>541</v>
      </c>
      <c r="Y2079" s="110" t="str">
        <f>IFERROR(VLOOKUP(F2079,'Freq-Chan'!C:E,3,FALSE),"na")</f>
        <v>F1840</v>
      </c>
      <c r="Z2079" s="110" t="s">
        <v>541</v>
      </c>
      <c r="AA2079" s="110" t="s">
        <v>541</v>
      </c>
      <c r="AB2079" s="110" t="s">
        <v>541</v>
      </c>
      <c r="AC2079" s="10" t="s">
        <v>541</v>
      </c>
      <c r="AD2079" s="10" t="s">
        <v>541</v>
      </c>
    </row>
    <row r="2080" spans="1:30" x14ac:dyDescent="0.2">
      <c r="A2080" s="110">
        <v>2079</v>
      </c>
      <c r="B2080" s="132">
        <v>41858</v>
      </c>
      <c r="C2080" s="117">
        <v>2</v>
      </c>
      <c r="D2080" s="103" t="s">
        <v>71</v>
      </c>
      <c r="E2080" s="103" t="s">
        <v>306</v>
      </c>
      <c r="F2080" s="103">
        <v>564</v>
      </c>
      <c r="G2080" s="103">
        <v>67</v>
      </c>
      <c r="H2080" s="103" t="s">
        <v>2403</v>
      </c>
      <c r="I2080" s="103">
        <v>60</v>
      </c>
      <c r="K2080" s="103" t="s">
        <v>1032</v>
      </c>
      <c r="L2080" s="133"/>
      <c r="M2080" s="134">
        <v>4.3750000000000004E-2</v>
      </c>
      <c r="N2080" s="137" t="s">
        <v>2631</v>
      </c>
      <c r="O2080" s="133" t="s">
        <v>1585</v>
      </c>
      <c r="Q2080" s="100" t="s">
        <v>4061</v>
      </c>
      <c r="R2080" s="226" t="s">
        <v>4090</v>
      </c>
      <c r="S2080" s="491" t="str">
        <f t="shared" si="67"/>
        <v>x</v>
      </c>
      <c r="T2080" s="492">
        <f>IFERROR(VLOOKUP(F2080,'Freq-Chan'!C:D,2,FALSE),"x")</f>
        <v>151.56399999999999</v>
      </c>
      <c r="U2080" s="110" t="s">
        <v>541</v>
      </c>
      <c r="V2080" s="110" t="str">
        <f t="shared" si="68"/>
        <v>FWL</v>
      </c>
      <c r="W2080" s="110" t="s">
        <v>541</v>
      </c>
      <c r="X2080" s="110" t="s">
        <v>541</v>
      </c>
      <c r="Y2080" s="110" t="str">
        <f>IFERROR(VLOOKUP(F2080,'Freq-Chan'!C:E,3,FALSE),"na")</f>
        <v>F1840</v>
      </c>
      <c r="Z2080" s="110" t="s">
        <v>541</v>
      </c>
      <c r="AA2080" s="110" t="s">
        <v>541</v>
      </c>
      <c r="AB2080" s="110" t="s">
        <v>541</v>
      </c>
      <c r="AC2080" s="10" t="s">
        <v>541</v>
      </c>
      <c r="AD2080" s="10" t="s">
        <v>541</v>
      </c>
    </row>
    <row r="2081" spans="1:30" x14ac:dyDescent="0.2">
      <c r="A2081" s="110">
        <v>2080</v>
      </c>
      <c r="B2081" s="132">
        <v>41858</v>
      </c>
      <c r="C2081" s="117">
        <v>2</v>
      </c>
      <c r="D2081" s="103" t="s">
        <v>71</v>
      </c>
      <c r="E2081" s="103" t="s">
        <v>306</v>
      </c>
      <c r="F2081" s="103">
        <v>564</v>
      </c>
      <c r="G2081" s="103">
        <v>90</v>
      </c>
      <c r="H2081" s="103" t="s">
        <v>2404</v>
      </c>
      <c r="I2081" s="103">
        <v>62</v>
      </c>
      <c r="K2081" s="103" t="s">
        <v>1032</v>
      </c>
      <c r="L2081" s="133"/>
      <c r="M2081" s="134">
        <v>4.7916666666666663E-2</v>
      </c>
      <c r="N2081" s="135" t="s">
        <v>2632</v>
      </c>
      <c r="O2081" s="133" t="s">
        <v>1585</v>
      </c>
      <c r="P2081" s="100" t="s">
        <v>4074</v>
      </c>
      <c r="Q2081" s="100" t="s">
        <v>4061</v>
      </c>
      <c r="R2081" s="226" t="s">
        <v>4090</v>
      </c>
      <c r="S2081" s="491" t="str">
        <f t="shared" si="67"/>
        <v>x</v>
      </c>
      <c r="T2081" s="492">
        <f>IFERROR(VLOOKUP(F2081,'Freq-Chan'!C:D,2,FALSE),"x")</f>
        <v>151.56399999999999</v>
      </c>
      <c r="U2081" s="110" t="s">
        <v>541</v>
      </c>
      <c r="V2081" s="110" t="str">
        <f t="shared" si="68"/>
        <v>FWL</v>
      </c>
      <c r="W2081" s="110" t="s">
        <v>541</v>
      </c>
      <c r="X2081" s="110" t="s">
        <v>541</v>
      </c>
      <c r="Y2081" s="110" t="str">
        <f>IFERROR(VLOOKUP(F2081,'Freq-Chan'!C:E,3,FALSE),"na")</f>
        <v>F1840</v>
      </c>
      <c r="Z2081" s="110" t="s">
        <v>541</v>
      </c>
      <c r="AA2081" s="110" t="s">
        <v>541</v>
      </c>
      <c r="AB2081" s="110" t="s">
        <v>541</v>
      </c>
      <c r="AC2081" s="10" t="s">
        <v>541</v>
      </c>
      <c r="AD2081" s="10" t="s">
        <v>541</v>
      </c>
    </row>
    <row r="2082" spans="1:30" x14ac:dyDescent="0.2">
      <c r="A2082" s="110">
        <v>2081</v>
      </c>
      <c r="B2082" s="132">
        <v>41858</v>
      </c>
      <c r="C2082" s="117">
        <v>2</v>
      </c>
      <c r="D2082" s="103" t="s">
        <v>8</v>
      </c>
      <c r="E2082" s="103" t="s">
        <v>306</v>
      </c>
      <c r="F2082" s="103">
        <v>586</v>
      </c>
      <c r="G2082" s="103">
        <v>76</v>
      </c>
      <c r="H2082" s="103" t="s">
        <v>2227</v>
      </c>
      <c r="I2082" s="103">
        <v>52</v>
      </c>
      <c r="K2082" s="103" t="s">
        <v>1032</v>
      </c>
      <c r="L2082" s="133"/>
      <c r="M2082" s="134">
        <v>5.4166666666666669E-2</v>
      </c>
      <c r="N2082" s="137" t="s">
        <v>3884</v>
      </c>
      <c r="O2082" s="133" t="s">
        <v>1585</v>
      </c>
      <c r="P2082" s="100" t="s">
        <v>4092</v>
      </c>
      <c r="Q2082" s="100" t="s">
        <v>4061</v>
      </c>
      <c r="R2082" s="226" t="s">
        <v>4090</v>
      </c>
      <c r="S2082" s="491" t="str">
        <f t="shared" si="67"/>
        <v>x</v>
      </c>
      <c r="T2082" s="492">
        <f>IFERROR(VLOOKUP(F2082,'Freq-Chan'!C:D,2,FALSE),"x")</f>
        <v>151.58600000000001</v>
      </c>
      <c r="U2082" s="110" t="s">
        <v>541</v>
      </c>
      <c r="V2082" s="110" t="str">
        <f t="shared" si="68"/>
        <v>FWL</v>
      </c>
      <c r="W2082" s="110" t="s">
        <v>541</v>
      </c>
      <c r="X2082" s="110" t="s">
        <v>541</v>
      </c>
      <c r="Y2082" s="110" t="str">
        <f>IFERROR(VLOOKUP(F2082,'Freq-Chan'!C:E,3,FALSE),"na")</f>
        <v>F1840</v>
      </c>
      <c r="Z2082" s="110" t="s">
        <v>541</v>
      </c>
      <c r="AA2082" s="110" t="s">
        <v>541</v>
      </c>
      <c r="AB2082" s="110" t="s">
        <v>541</v>
      </c>
      <c r="AC2082" s="10" t="s">
        <v>541</v>
      </c>
      <c r="AD2082" s="10" t="s">
        <v>541</v>
      </c>
    </row>
    <row r="2083" spans="1:30" x14ac:dyDescent="0.2">
      <c r="A2083" s="110">
        <v>2082</v>
      </c>
      <c r="B2083" s="132">
        <v>41858</v>
      </c>
      <c r="C2083" s="117">
        <v>2</v>
      </c>
      <c r="D2083" s="103" t="s">
        <v>71</v>
      </c>
      <c r="E2083" s="103" t="s">
        <v>306</v>
      </c>
      <c r="H2083" s="103"/>
      <c r="I2083" s="103">
        <v>59</v>
      </c>
      <c r="K2083" s="103" t="s">
        <v>365</v>
      </c>
      <c r="L2083" s="133"/>
      <c r="M2083" s="134">
        <v>3.1944444444444449E-2</v>
      </c>
      <c r="N2083" s="137" t="s">
        <v>3484</v>
      </c>
      <c r="O2083" s="133" t="s">
        <v>1585</v>
      </c>
      <c r="P2083" s="100" t="s">
        <v>4075</v>
      </c>
      <c r="Q2083" s="100" t="s">
        <v>4061</v>
      </c>
      <c r="R2083" s="226" t="s">
        <v>4090</v>
      </c>
      <c r="S2083" s="491" t="str">
        <f t="shared" si="67"/>
        <v>x</v>
      </c>
      <c r="T2083" s="492" t="str">
        <f>IFERROR(VLOOKUP(F2083,'Freq-Chan'!C:D,2,FALSE),"x")</f>
        <v>x</v>
      </c>
      <c r="U2083" s="110" t="s">
        <v>541</v>
      </c>
      <c r="V2083" s="110" t="str">
        <f t="shared" si="68"/>
        <v>FWL</v>
      </c>
      <c r="W2083" s="110" t="s">
        <v>541</v>
      </c>
      <c r="X2083" s="110" t="s">
        <v>541</v>
      </c>
      <c r="Y2083" s="110" t="str">
        <f>IFERROR(VLOOKUP(F2083,'Freq-Chan'!C:E,3,FALSE),"na")</f>
        <v>na</v>
      </c>
      <c r="Z2083" s="110" t="s">
        <v>541</v>
      </c>
      <c r="AA2083" s="110" t="s">
        <v>541</v>
      </c>
      <c r="AB2083" s="110" t="s">
        <v>541</v>
      </c>
      <c r="AC2083" s="10" t="s">
        <v>541</v>
      </c>
      <c r="AD2083" s="10" t="s">
        <v>541</v>
      </c>
    </row>
    <row r="2084" spans="1:30" x14ac:dyDescent="0.2">
      <c r="A2084" s="110">
        <v>2083</v>
      </c>
      <c r="B2084" s="132">
        <v>41858</v>
      </c>
      <c r="C2084" s="117">
        <v>2</v>
      </c>
      <c r="D2084" s="103" t="s">
        <v>71</v>
      </c>
      <c r="E2084" s="103" t="s">
        <v>306</v>
      </c>
      <c r="H2084" s="103"/>
      <c r="I2084" s="103">
        <v>57</v>
      </c>
      <c r="K2084" s="103" t="s">
        <v>364</v>
      </c>
      <c r="L2084" s="133"/>
      <c r="M2084" s="134">
        <v>1.6666666666666666E-2</v>
      </c>
      <c r="N2084" s="135" t="s">
        <v>903</v>
      </c>
      <c r="O2084" s="133" t="s">
        <v>1585</v>
      </c>
      <c r="Q2084" s="100" t="s">
        <v>4061</v>
      </c>
      <c r="R2084" s="226" t="s">
        <v>4090</v>
      </c>
      <c r="S2084" s="491" t="str">
        <f t="shared" si="67"/>
        <v>x</v>
      </c>
      <c r="T2084" s="492" t="str">
        <f>IFERROR(VLOOKUP(F2084,'Freq-Chan'!C:D,2,FALSE),"x")</f>
        <v>x</v>
      </c>
      <c r="U2084" s="110" t="s">
        <v>541</v>
      </c>
      <c r="V2084" s="110" t="str">
        <f t="shared" si="68"/>
        <v>FWL</v>
      </c>
      <c r="W2084" s="110" t="s">
        <v>541</v>
      </c>
      <c r="X2084" s="110" t="s">
        <v>541</v>
      </c>
      <c r="Y2084" s="110" t="str">
        <f>IFERROR(VLOOKUP(F2084,'Freq-Chan'!C:E,3,FALSE),"na")</f>
        <v>na</v>
      </c>
      <c r="Z2084" s="110" t="s">
        <v>541</v>
      </c>
      <c r="AA2084" s="110" t="s">
        <v>541</v>
      </c>
      <c r="AB2084" s="110" t="s">
        <v>541</v>
      </c>
      <c r="AC2084" s="10" t="s">
        <v>541</v>
      </c>
      <c r="AD2084" s="10" t="s">
        <v>541</v>
      </c>
    </row>
    <row r="2085" spans="1:30" x14ac:dyDescent="0.2">
      <c r="A2085" s="110">
        <v>2084</v>
      </c>
      <c r="B2085" s="132">
        <v>41858</v>
      </c>
      <c r="C2085" s="117">
        <v>2</v>
      </c>
      <c r="D2085" s="103" t="s">
        <v>8</v>
      </c>
      <c r="E2085" s="103" t="s">
        <v>306</v>
      </c>
      <c r="F2085" s="103">
        <v>586</v>
      </c>
      <c r="G2085" s="103">
        <v>43</v>
      </c>
      <c r="H2085" s="103" t="s">
        <v>2228</v>
      </c>
      <c r="I2085" s="103">
        <v>50</v>
      </c>
      <c r="K2085" s="103" t="s">
        <v>364</v>
      </c>
      <c r="L2085" s="133"/>
      <c r="M2085" s="134">
        <v>5.2083333333333336E-2</v>
      </c>
      <c r="N2085" s="135" t="s">
        <v>2710</v>
      </c>
      <c r="O2085" s="133" t="s">
        <v>1585</v>
      </c>
      <c r="Q2085" s="100" t="s">
        <v>4061</v>
      </c>
      <c r="R2085" s="226" t="s">
        <v>4090</v>
      </c>
      <c r="S2085" s="491" t="str">
        <f t="shared" si="67"/>
        <v>x</v>
      </c>
      <c r="T2085" s="492">
        <f>IFERROR(VLOOKUP(F2085,'Freq-Chan'!C:D,2,FALSE),"x")</f>
        <v>151.58600000000001</v>
      </c>
      <c r="U2085" s="110" t="s">
        <v>541</v>
      </c>
      <c r="V2085" s="110" t="str">
        <f t="shared" si="68"/>
        <v>FWL</v>
      </c>
      <c r="W2085" s="110" t="s">
        <v>541</v>
      </c>
      <c r="X2085" s="110" t="s">
        <v>541</v>
      </c>
      <c r="Y2085" s="110" t="str">
        <f>IFERROR(VLOOKUP(F2085,'Freq-Chan'!C:E,3,FALSE),"na")</f>
        <v>F1840</v>
      </c>
      <c r="Z2085" s="110" t="s">
        <v>541</v>
      </c>
      <c r="AA2085" s="110" t="s">
        <v>541</v>
      </c>
      <c r="AB2085" s="110" t="s">
        <v>541</v>
      </c>
      <c r="AC2085" s="10" t="s">
        <v>541</v>
      </c>
      <c r="AD2085" s="10" t="s">
        <v>541</v>
      </c>
    </row>
    <row r="2086" spans="1:30" x14ac:dyDescent="0.2">
      <c r="A2086" s="110">
        <v>2085</v>
      </c>
      <c r="B2086" s="132">
        <v>41858</v>
      </c>
      <c r="C2086" s="117">
        <v>2</v>
      </c>
      <c r="D2086" s="103" t="s">
        <v>71</v>
      </c>
      <c r="E2086" s="103" t="s">
        <v>306</v>
      </c>
      <c r="H2086" s="103"/>
      <c r="I2086" s="103">
        <v>57</v>
      </c>
      <c r="K2086" s="103" t="s">
        <v>365</v>
      </c>
      <c r="L2086" s="133"/>
      <c r="M2086" s="134">
        <v>2.0833333333333332E-2</v>
      </c>
      <c r="N2086" s="135" t="s">
        <v>1838</v>
      </c>
      <c r="O2086" s="133" t="s">
        <v>1585</v>
      </c>
      <c r="P2086" s="100" t="s">
        <v>4076</v>
      </c>
      <c r="Q2086" s="100" t="s">
        <v>4061</v>
      </c>
      <c r="R2086" s="226" t="s">
        <v>4090</v>
      </c>
      <c r="S2086" s="491" t="str">
        <f t="shared" si="67"/>
        <v>x</v>
      </c>
      <c r="T2086" s="492" t="str">
        <f>IFERROR(VLOOKUP(F2086,'Freq-Chan'!C:D,2,FALSE),"x")</f>
        <v>x</v>
      </c>
      <c r="U2086" s="110" t="s">
        <v>541</v>
      </c>
      <c r="V2086" s="110" t="str">
        <f t="shared" si="68"/>
        <v>FWL</v>
      </c>
      <c r="W2086" s="110" t="s">
        <v>541</v>
      </c>
      <c r="X2086" s="110" t="s">
        <v>541</v>
      </c>
      <c r="Y2086" s="110" t="str">
        <f>IFERROR(VLOOKUP(F2086,'Freq-Chan'!C:E,3,FALSE),"na")</f>
        <v>na</v>
      </c>
      <c r="Z2086" s="110" t="s">
        <v>541</v>
      </c>
      <c r="AA2086" s="110" t="s">
        <v>541</v>
      </c>
      <c r="AB2086" s="110" t="s">
        <v>541</v>
      </c>
      <c r="AC2086" s="10" t="s">
        <v>541</v>
      </c>
      <c r="AD2086" s="10" t="s">
        <v>541</v>
      </c>
    </row>
    <row r="2087" spans="1:30" x14ac:dyDescent="0.2">
      <c r="A2087" s="110">
        <v>2086</v>
      </c>
      <c r="B2087" s="132">
        <v>41858</v>
      </c>
      <c r="C2087" s="117">
        <v>2</v>
      </c>
      <c r="D2087" s="103" t="s">
        <v>70</v>
      </c>
      <c r="E2087" s="103" t="s">
        <v>306</v>
      </c>
      <c r="H2087" s="103"/>
      <c r="I2087" s="103">
        <v>39</v>
      </c>
      <c r="K2087" s="103" t="s">
        <v>365</v>
      </c>
      <c r="L2087" s="133"/>
      <c r="M2087" s="134">
        <v>2.6388888888888889E-2</v>
      </c>
      <c r="N2087" s="137" t="s">
        <v>2022</v>
      </c>
      <c r="O2087" s="133" t="s">
        <v>1585</v>
      </c>
      <c r="P2087" s="100" t="s">
        <v>776</v>
      </c>
      <c r="Q2087" s="100" t="s">
        <v>4061</v>
      </c>
      <c r="R2087" s="226" t="s">
        <v>4090</v>
      </c>
      <c r="S2087" s="491" t="str">
        <f t="shared" si="67"/>
        <v>x</v>
      </c>
      <c r="T2087" s="492" t="str">
        <f>IFERROR(VLOOKUP(F2087,'Freq-Chan'!C:D,2,FALSE),"x")</f>
        <v>x</v>
      </c>
      <c r="U2087" s="110" t="s">
        <v>541</v>
      </c>
      <c r="V2087" s="110" t="str">
        <f t="shared" si="68"/>
        <v>FWL</v>
      </c>
      <c r="W2087" s="110" t="s">
        <v>541</v>
      </c>
      <c r="X2087" s="110" t="s">
        <v>541</v>
      </c>
      <c r="Y2087" s="110" t="str">
        <f>IFERROR(VLOOKUP(F2087,'Freq-Chan'!C:E,3,FALSE),"na")</f>
        <v>na</v>
      </c>
      <c r="Z2087" s="110" t="s">
        <v>541</v>
      </c>
      <c r="AA2087" s="110" t="s">
        <v>541</v>
      </c>
      <c r="AB2087" s="110" t="s">
        <v>541</v>
      </c>
      <c r="AC2087" s="10" t="s">
        <v>541</v>
      </c>
      <c r="AD2087" s="10" t="s">
        <v>541</v>
      </c>
    </row>
    <row r="2088" spans="1:30" x14ac:dyDescent="0.2">
      <c r="A2088" s="110">
        <v>2087</v>
      </c>
      <c r="B2088" s="132">
        <v>41858</v>
      </c>
      <c r="C2088" s="117">
        <v>2</v>
      </c>
      <c r="D2088" s="103" t="s">
        <v>71</v>
      </c>
      <c r="E2088" s="103" t="s">
        <v>306</v>
      </c>
      <c r="H2088" s="103"/>
      <c r="I2088" s="103">
        <v>54</v>
      </c>
      <c r="K2088" s="103" t="s">
        <v>365</v>
      </c>
      <c r="L2088" s="133"/>
      <c r="M2088" s="134">
        <v>1.8749999999999999E-2</v>
      </c>
      <c r="N2088" s="135" t="s">
        <v>1840</v>
      </c>
      <c r="O2088" s="133" t="s">
        <v>1585</v>
      </c>
      <c r="Q2088" s="100" t="s">
        <v>4061</v>
      </c>
      <c r="R2088" s="226" t="s">
        <v>4090</v>
      </c>
      <c r="S2088" s="491" t="str">
        <f t="shared" si="67"/>
        <v>x</v>
      </c>
      <c r="T2088" s="492" t="str">
        <f>IFERROR(VLOOKUP(F2088,'Freq-Chan'!C:D,2,FALSE),"x")</f>
        <v>x</v>
      </c>
      <c r="U2088" s="110" t="s">
        <v>541</v>
      </c>
      <c r="V2088" s="110" t="str">
        <f t="shared" si="68"/>
        <v>FWL</v>
      </c>
      <c r="W2088" s="110" t="s">
        <v>541</v>
      </c>
      <c r="X2088" s="110" t="s">
        <v>541</v>
      </c>
      <c r="Y2088" s="110" t="str">
        <f>IFERROR(VLOOKUP(F2088,'Freq-Chan'!C:E,3,FALSE),"na")</f>
        <v>na</v>
      </c>
      <c r="Z2088" s="110" t="s">
        <v>541</v>
      </c>
      <c r="AA2088" s="110" t="s">
        <v>541</v>
      </c>
      <c r="AB2088" s="110" t="s">
        <v>541</v>
      </c>
      <c r="AC2088" s="10" t="s">
        <v>541</v>
      </c>
      <c r="AD2088" s="10" t="s">
        <v>541</v>
      </c>
    </row>
    <row r="2089" spans="1:30" x14ac:dyDescent="0.2">
      <c r="A2089" s="110">
        <v>2088</v>
      </c>
      <c r="B2089" s="132">
        <v>41858</v>
      </c>
      <c r="C2089" s="117">
        <v>2</v>
      </c>
      <c r="D2089" s="103" t="s">
        <v>71</v>
      </c>
      <c r="E2089" s="103" t="s">
        <v>306</v>
      </c>
      <c r="H2089" s="103"/>
      <c r="I2089" s="103">
        <v>63</v>
      </c>
      <c r="K2089" s="103" t="s">
        <v>365</v>
      </c>
      <c r="L2089" s="133"/>
      <c r="M2089" s="134">
        <v>2.2222222222222223E-2</v>
      </c>
      <c r="N2089" s="135" t="s">
        <v>396</v>
      </c>
      <c r="O2089" s="133" t="s">
        <v>1585</v>
      </c>
      <c r="Q2089" s="100" t="s">
        <v>4061</v>
      </c>
      <c r="R2089" s="226" t="s">
        <v>4090</v>
      </c>
      <c r="S2089" s="491" t="str">
        <f t="shared" si="67"/>
        <v>x</v>
      </c>
      <c r="T2089" s="492" t="str">
        <f>IFERROR(VLOOKUP(F2089,'Freq-Chan'!C:D,2,FALSE),"x")</f>
        <v>x</v>
      </c>
      <c r="U2089" s="110" t="s">
        <v>541</v>
      </c>
      <c r="V2089" s="110" t="str">
        <f t="shared" si="68"/>
        <v>FWL</v>
      </c>
      <c r="W2089" s="110" t="s">
        <v>541</v>
      </c>
      <c r="X2089" s="110" t="s">
        <v>541</v>
      </c>
      <c r="Y2089" s="110" t="str">
        <f>IFERROR(VLOOKUP(F2089,'Freq-Chan'!C:E,3,FALSE),"na")</f>
        <v>na</v>
      </c>
      <c r="Z2089" s="110" t="s">
        <v>541</v>
      </c>
      <c r="AA2089" s="110" t="s">
        <v>541</v>
      </c>
      <c r="AB2089" s="110" t="s">
        <v>541</v>
      </c>
      <c r="AC2089" s="10" t="s">
        <v>541</v>
      </c>
      <c r="AD2089" s="10" t="s">
        <v>541</v>
      </c>
    </row>
    <row r="2090" spans="1:30" x14ac:dyDescent="0.2">
      <c r="A2090" s="110">
        <v>2089</v>
      </c>
      <c r="B2090" s="132">
        <v>41858</v>
      </c>
      <c r="C2090" s="117">
        <v>2</v>
      </c>
      <c r="D2090" s="103" t="s">
        <v>71</v>
      </c>
      <c r="E2090" s="103" t="s">
        <v>306</v>
      </c>
      <c r="H2090" s="103"/>
      <c r="I2090" s="103">
        <v>59</v>
      </c>
      <c r="K2090" s="103" t="s">
        <v>365</v>
      </c>
      <c r="L2090" s="133"/>
      <c r="M2090" s="134">
        <v>1.6666666666666666E-2</v>
      </c>
      <c r="N2090" s="135" t="s">
        <v>4077</v>
      </c>
      <c r="O2090" s="133" t="s">
        <v>1585</v>
      </c>
      <c r="Q2090" s="100" t="s">
        <v>4061</v>
      </c>
      <c r="R2090" s="226" t="s">
        <v>4090</v>
      </c>
      <c r="S2090" s="491" t="str">
        <f t="shared" si="67"/>
        <v>x</v>
      </c>
      <c r="T2090" s="492" t="str">
        <f>IFERROR(VLOOKUP(F2090,'Freq-Chan'!C:D,2,FALSE),"x")</f>
        <v>x</v>
      </c>
      <c r="U2090" s="110" t="s">
        <v>541</v>
      </c>
      <c r="V2090" s="110" t="str">
        <f t="shared" si="68"/>
        <v>FWL</v>
      </c>
      <c r="W2090" s="110" t="s">
        <v>541</v>
      </c>
      <c r="X2090" s="110" t="s">
        <v>541</v>
      </c>
      <c r="Y2090" s="110" t="str">
        <f>IFERROR(VLOOKUP(F2090,'Freq-Chan'!C:E,3,FALSE),"na")</f>
        <v>na</v>
      </c>
      <c r="Z2090" s="110" t="s">
        <v>541</v>
      </c>
      <c r="AA2090" s="110" t="s">
        <v>541</v>
      </c>
      <c r="AB2090" s="110" t="s">
        <v>541</v>
      </c>
      <c r="AC2090" s="10" t="s">
        <v>541</v>
      </c>
      <c r="AD2090" s="10" t="s">
        <v>541</v>
      </c>
    </row>
    <row r="2091" spans="1:30" x14ac:dyDescent="0.2">
      <c r="A2091" s="110">
        <v>2090</v>
      </c>
      <c r="B2091" s="132">
        <v>41858</v>
      </c>
      <c r="C2091" s="117">
        <v>2</v>
      </c>
      <c r="D2091" s="103" t="s">
        <v>71</v>
      </c>
      <c r="E2091" s="103" t="s">
        <v>306</v>
      </c>
      <c r="H2091" s="103"/>
      <c r="I2091" s="103">
        <v>60</v>
      </c>
      <c r="K2091" s="103" t="s">
        <v>1032</v>
      </c>
      <c r="L2091" s="133"/>
      <c r="M2091" s="134">
        <v>2.2222222222222223E-2</v>
      </c>
      <c r="N2091" s="137" t="s">
        <v>4078</v>
      </c>
      <c r="O2091" s="133" t="s">
        <v>1585</v>
      </c>
      <c r="Q2091" s="100" t="s">
        <v>4061</v>
      </c>
      <c r="R2091" s="226" t="s">
        <v>4090</v>
      </c>
      <c r="S2091" s="491" t="str">
        <f t="shared" si="67"/>
        <v>x</v>
      </c>
      <c r="T2091" s="492" t="str">
        <f>IFERROR(VLOOKUP(F2091,'Freq-Chan'!C:D,2,FALSE),"x")</f>
        <v>x</v>
      </c>
      <c r="U2091" s="110" t="s">
        <v>541</v>
      </c>
      <c r="V2091" s="110" t="str">
        <f t="shared" si="68"/>
        <v>FWL</v>
      </c>
      <c r="W2091" s="110" t="s">
        <v>541</v>
      </c>
      <c r="X2091" s="110" t="s">
        <v>541</v>
      </c>
      <c r="Y2091" s="110" t="str">
        <f>IFERROR(VLOOKUP(F2091,'Freq-Chan'!C:E,3,FALSE),"na")</f>
        <v>na</v>
      </c>
      <c r="Z2091" s="110" t="s">
        <v>541</v>
      </c>
      <c r="AA2091" s="110" t="s">
        <v>541</v>
      </c>
      <c r="AB2091" s="110" t="s">
        <v>541</v>
      </c>
      <c r="AC2091" s="10" t="s">
        <v>541</v>
      </c>
      <c r="AD2091" s="10" t="s">
        <v>541</v>
      </c>
    </row>
    <row r="2092" spans="1:30" x14ac:dyDescent="0.2">
      <c r="A2092" s="110">
        <v>2091</v>
      </c>
      <c r="B2092" s="132">
        <v>41858</v>
      </c>
      <c r="C2092" s="117">
        <v>2</v>
      </c>
      <c r="D2092" s="103" t="s">
        <v>8</v>
      </c>
      <c r="E2092" s="103" t="s">
        <v>306</v>
      </c>
      <c r="F2092" s="103">
        <v>573</v>
      </c>
      <c r="G2092" s="103">
        <v>59</v>
      </c>
      <c r="H2092" s="103" t="s">
        <v>2229</v>
      </c>
      <c r="I2092" s="103">
        <v>51</v>
      </c>
      <c r="K2092" s="103" t="s">
        <v>364</v>
      </c>
      <c r="L2092" s="133"/>
      <c r="M2092" s="134">
        <v>7.3611111111111113E-2</v>
      </c>
      <c r="N2092" s="137" t="s">
        <v>4079</v>
      </c>
      <c r="O2092" s="133" t="s">
        <v>1585</v>
      </c>
      <c r="P2092" s="100" t="s">
        <v>4080</v>
      </c>
      <c r="Q2092" s="100" t="s">
        <v>4061</v>
      </c>
      <c r="R2092" s="226" t="s">
        <v>4090</v>
      </c>
      <c r="S2092" s="491" t="str">
        <f t="shared" si="67"/>
        <v>x</v>
      </c>
      <c r="T2092" s="492">
        <f>IFERROR(VLOOKUP(F2092,'Freq-Chan'!C:D,2,FALSE),"x")</f>
        <v>151.57300000000001</v>
      </c>
      <c r="U2092" s="110" t="s">
        <v>541</v>
      </c>
      <c r="V2092" s="110" t="str">
        <f t="shared" si="68"/>
        <v>FWL</v>
      </c>
      <c r="W2092" s="110" t="s">
        <v>541</v>
      </c>
      <c r="X2092" s="110" t="s">
        <v>541</v>
      </c>
      <c r="Y2092" s="110" t="str">
        <f>IFERROR(VLOOKUP(F2092,'Freq-Chan'!C:E,3,FALSE),"na")</f>
        <v>F1840</v>
      </c>
      <c r="Z2092" s="110" t="s">
        <v>541</v>
      </c>
      <c r="AA2092" s="110" t="s">
        <v>541</v>
      </c>
      <c r="AB2092" s="110" t="s">
        <v>541</v>
      </c>
      <c r="AC2092" s="10" t="s">
        <v>541</v>
      </c>
      <c r="AD2092" s="10" t="s">
        <v>541</v>
      </c>
    </row>
    <row r="2093" spans="1:30" x14ac:dyDescent="0.2">
      <c r="A2093" s="110">
        <v>2092</v>
      </c>
      <c r="B2093" s="132">
        <v>41858</v>
      </c>
      <c r="C2093" s="117">
        <v>2</v>
      </c>
      <c r="D2093" s="103" t="s">
        <v>71</v>
      </c>
      <c r="E2093" s="103" t="s">
        <v>306</v>
      </c>
      <c r="H2093" s="103"/>
      <c r="I2093" s="103">
        <v>62</v>
      </c>
      <c r="K2093" s="103" t="s">
        <v>1032</v>
      </c>
      <c r="L2093" s="133"/>
      <c r="M2093" s="134">
        <v>2.2222222222222223E-2</v>
      </c>
      <c r="N2093" s="137" t="s">
        <v>4081</v>
      </c>
      <c r="O2093" s="133" t="s">
        <v>1585</v>
      </c>
      <c r="Q2093" s="100" t="s">
        <v>4061</v>
      </c>
      <c r="R2093" s="226" t="s">
        <v>4090</v>
      </c>
      <c r="S2093" s="491" t="str">
        <f t="shared" si="67"/>
        <v>x</v>
      </c>
      <c r="T2093" s="492" t="str">
        <f>IFERROR(VLOOKUP(F2093,'Freq-Chan'!C:D,2,FALSE),"x")</f>
        <v>x</v>
      </c>
      <c r="U2093" s="110" t="s">
        <v>541</v>
      </c>
      <c r="V2093" s="110" t="str">
        <f t="shared" si="68"/>
        <v>FWL</v>
      </c>
      <c r="W2093" s="110" t="s">
        <v>541</v>
      </c>
      <c r="X2093" s="110" t="s">
        <v>541</v>
      </c>
      <c r="Y2093" s="110" t="str">
        <f>IFERROR(VLOOKUP(F2093,'Freq-Chan'!C:E,3,FALSE),"na")</f>
        <v>na</v>
      </c>
      <c r="Z2093" s="110" t="s">
        <v>541</v>
      </c>
      <c r="AA2093" s="110" t="s">
        <v>541</v>
      </c>
      <c r="AB2093" s="110" t="s">
        <v>541</v>
      </c>
      <c r="AC2093" s="10" t="s">
        <v>541</v>
      </c>
      <c r="AD2093" s="10" t="s">
        <v>541</v>
      </c>
    </row>
    <row r="2094" spans="1:30" x14ac:dyDescent="0.2">
      <c r="A2094" s="110">
        <v>2093</v>
      </c>
      <c r="B2094" s="132">
        <v>41858</v>
      </c>
      <c r="C2094" s="117">
        <v>2</v>
      </c>
      <c r="D2094" s="103" t="s">
        <v>71</v>
      </c>
      <c r="E2094" s="103" t="s">
        <v>306</v>
      </c>
      <c r="H2094" s="103"/>
      <c r="I2094" s="103">
        <v>62</v>
      </c>
      <c r="K2094" s="103" t="s">
        <v>365</v>
      </c>
      <c r="L2094" s="133"/>
      <c r="M2094" s="134">
        <v>2.1527777777777781E-2</v>
      </c>
      <c r="N2094" s="137" t="s">
        <v>502</v>
      </c>
      <c r="O2094" s="133" t="s">
        <v>1585</v>
      </c>
      <c r="Q2094" s="100" t="s">
        <v>4061</v>
      </c>
      <c r="R2094" s="226" t="s">
        <v>4090</v>
      </c>
      <c r="S2094" s="491" t="str">
        <f t="shared" si="67"/>
        <v>x</v>
      </c>
      <c r="T2094" s="492" t="str">
        <f>IFERROR(VLOOKUP(F2094,'Freq-Chan'!C:D,2,FALSE),"x")</f>
        <v>x</v>
      </c>
      <c r="U2094" s="110" t="s">
        <v>541</v>
      </c>
      <c r="V2094" s="110" t="str">
        <f t="shared" si="68"/>
        <v>FWL</v>
      </c>
      <c r="W2094" s="110" t="s">
        <v>541</v>
      </c>
      <c r="X2094" s="110" t="s">
        <v>541</v>
      </c>
      <c r="Y2094" s="110" t="str">
        <f>IFERROR(VLOOKUP(F2094,'Freq-Chan'!C:E,3,FALSE),"na")</f>
        <v>na</v>
      </c>
      <c r="Z2094" s="110" t="s">
        <v>541</v>
      </c>
      <c r="AA2094" s="110" t="s">
        <v>541</v>
      </c>
      <c r="AB2094" s="110" t="s">
        <v>541</v>
      </c>
      <c r="AC2094" s="10" t="s">
        <v>541</v>
      </c>
      <c r="AD2094" s="10" t="s">
        <v>541</v>
      </c>
    </row>
    <row r="2095" spans="1:30" x14ac:dyDescent="0.2">
      <c r="A2095" s="110">
        <v>2094</v>
      </c>
      <c r="B2095" s="132">
        <v>41858</v>
      </c>
      <c r="C2095" s="117">
        <v>2</v>
      </c>
      <c r="D2095" s="103" t="s">
        <v>8</v>
      </c>
      <c r="E2095" s="103" t="s">
        <v>306</v>
      </c>
      <c r="F2095" s="103">
        <v>586</v>
      </c>
      <c r="G2095" s="103">
        <v>80</v>
      </c>
      <c r="H2095" s="103" t="s">
        <v>2231</v>
      </c>
      <c r="I2095" s="103">
        <v>44</v>
      </c>
      <c r="K2095" s="103" t="s">
        <v>364</v>
      </c>
      <c r="L2095" s="133"/>
      <c r="M2095" s="134">
        <v>4.2361111111111106E-2</v>
      </c>
      <c r="N2095" s="137" t="s">
        <v>3757</v>
      </c>
      <c r="O2095" s="133" t="s">
        <v>950</v>
      </c>
      <c r="Q2095" s="100" t="s">
        <v>4063</v>
      </c>
      <c r="R2095" s="226" t="s">
        <v>4090</v>
      </c>
      <c r="S2095" s="491" t="str">
        <f t="shared" si="67"/>
        <v>x</v>
      </c>
      <c r="T2095" s="492">
        <f>IFERROR(VLOOKUP(F2095,'Freq-Chan'!C:D,2,FALSE),"x")</f>
        <v>151.58600000000001</v>
      </c>
      <c r="U2095" s="110" t="s">
        <v>541</v>
      </c>
      <c r="V2095" s="110" t="str">
        <f t="shared" si="68"/>
        <v>FWL</v>
      </c>
      <c r="W2095" s="110" t="s">
        <v>541</v>
      </c>
      <c r="X2095" s="110" t="s">
        <v>541</v>
      </c>
      <c r="Y2095" s="110" t="str">
        <f>IFERROR(VLOOKUP(F2095,'Freq-Chan'!C:E,3,FALSE),"na")</f>
        <v>F1840</v>
      </c>
      <c r="Z2095" s="110" t="s">
        <v>541</v>
      </c>
      <c r="AA2095" s="110" t="s">
        <v>541</v>
      </c>
      <c r="AB2095" s="110" t="s">
        <v>541</v>
      </c>
      <c r="AC2095" s="10" t="s">
        <v>541</v>
      </c>
      <c r="AD2095" s="10" t="s">
        <v>541</v>
      </c>
    </row>
    <row r="2096" spans="1:30" x14ac:dyDescent="0.2">
      <c r="A2096" s="110">
        <v>2095</v>
      </c>
      <c r="B2096" s="132">
        <v>41858</v>
      </c>
      <c r="C2096" s="117">
        <v>2</v>
      </c>
      <c r="D2096" s="103" t="s">
        <v>71</v>
      </c>
      <c r="E2096" s="103" t="s">
        <v>306</v>
      </c>
      <c r="H2096" s="103"/>
      <c r="I2096" s="103">
        <v>61</v>
      </c>
      <c r="K2096" s="103" t="s">
        <v>1032</v>
      </c>
      <c r="L2096" s="133"/>
      <c r="M2096" s="134">
        <v>1.6666666666666666E-2</v>
      </c>
      <c r="N2096" s="137" t="s">
        <v>3476</v>
      </c>
      <c r="O2096" s="133" t="s">
        <v>1532</v>
      </c>
      <c r="Q2096" s="100" t="s">
        <v>4063</v>
      </c>
      <c r="R2096" s="226" t="s">
        <v>4090</v>
      </c>
      <c r="S2096" s="491" t="str">
        <f t="shared" si="67"/>
        <v>x</v>
      </c>
      <c r="T2096" s="492" t="str">
        <f>IFERROR(VLOOKUP(F2096,'Freq-Chan'!C:D,2,FALSE),"x")</f>
        <v>x</v>
      </c>
      <c r="U2096" s="110" t="s">
        <v>541</v>
      </c>
      <c r="V2096" s="110" t="str">
        <f t="shared" si="68"/>
        <v>FWL</v>
      </c>
      <c r="W2096" s="110" t="s">
        <v>541</v>
      </c>
      <c r="X2096" s="110" t="s">
        <v>541</v>
      </c>
      <c r="Y2096" s="110" t="str">
        <f>IFERROR(VLOOKUP(F2096,'Freq-Chan'!C:E,3,FALSE),"na")</f>
        <v>na</v>
      </c>
      <c r="Z2096" s="110" t="s">
        <v>541</v>
      </c>
      <c r="AA2096" s="110" t="s">
        <v>541</v>
      </c>
      <c r="AB2096" s="110" t="s">
        <v>541</v>
      </c>
      <c r="AC2096" s="10" t="s">
        <v>541</v>
      </c>
      <c r="AD2096" s="10" t="s">
        <v>541</v>
      </c>
    </row>
    <row r="2097" spans="1:30" x14ac:dyDescent="0.2">
      <c r="A2097" s="110">
        <v>2096</v>
      </c>
      <c r="B2097" s="132">
        <v>41858</v>
      </c>
      <c r="C2097" s="117">
        <v>2</v>
      </c>
      <c r="D2097" s="103" t="s">
        <v>71</v>
      </c>
      <c r="E2097" s="103" t="s">
        <v>306</v>
      </c>
      <c r="H2097" s="103"/>
      <c r="I2097" s="103">
        <v>60</v>
      </c>
      <c r="K2097" s="103" t="s">
        <v>365</v>
      </c>
      <c r="L2097" s="133"/>
      <c r="M2097" s="134">
        <v>1.8749999999999999E-2</v>
      </c>
      <c r="N2097" s="137" t="s">
        <v>969</v>
      </c>
      <c r="O2097" s="133" t="s">
        <v>1532</v>
      </c>
      <c r="Q2097" s="100" t="s">
        <v>4063</v>
      </c>
      <c r="R2097" s="226" t="s">
        <v>4090</v>
      </c>
      <c r="S2097" s="491" t="str">
        <f t="shared" si="67"/>
        <v>x</v>
      </c>
      <c r="T2097" s="492" t="str">
        <f>IFERROR(VLOOKUP(F2097,'Freq-Chan'!C:D,2,FALSE),"x")</f>
        <v>x</v>
      </c>
      <c r="U2097" s="110" t="s">
        <v>541</v>
      </c>
      <c r="V2097" s="110" t="str">
        <f t="shared" si="68"/>
        <v>FWL</v>
      </c>
      <c r="W2097" s="110" t="s">
        <v>541</v>
      </c>
      <c r="X2097" s="110" t="s">
        <v>541</v>
      </c>
      <c r="Y2097" s="110" t="str">
        <f>IFERROR(VLOOKUP(F2097,'Freq-Chan'!C:E,3,FALSE),"na")</f>
        <v>na</v>
      </c>
      <c r="Z2097" s="110" t="s">
        <v>541</v>
      </c>
      <c r="AA2097" s="110" t="s">
        <v>541</v>
      </c>
      <c r="AB2097" s="110" t="s">
        <v>541</v>
      </c>
      <c r="AC2097" s="10" t="s">
        <v>541</v>
      </c>
      <c r="AD2097" s="10" t="s">
        <v>541</v>
      </c>
    </row>
    <row r="2098" spans="1:30" x14ac:dyDescent="0.2">
      <c r="A2098" s="110">
        <v>2097</v>
      </c>
      <c r="B2098" s="132">
        <v>41858</v>
      </c>
      <c r="C2098" s="117">
        <v>2</v>
      </c>
      <c r="D2098" s="103" t="s">
        <v>70</v>
      </c>
      <c r="E2098" s="103" t="s">
        <v>306</v>
      </c>
      <c r="F2098" s="103">
        <v>596</v>
      </c>
      <c r="G2098" s="103">
        <v>58</v>
      </c>
      <c r="H2098" s="103" t="s">
        <v>3088</v>
      </c>
      <c r="I2098" s="103">
        <v>46</v>
      </c>
      <c r="K2098" s="103" t="s">
        <v>1032</v>
      </c>
      <c r="L2098" s="133"/>
      <c r="M2098" s="134">
        <v>3.9583333333333331E-2</v>
      </c>
      <c r="N2098" s="135" t="s">
        <v>383</v>
      </c>
      <c r="O2098" s="133" t="s">
        <v>950</v>
      </c>
      <c r="Q2098" s="100" t="s">
        <v>4063</v>
      </c>
      <c r="R2098" s="226" t="s">
        <v>4090</v>
      </c>
      <c r="S2098" s="491" t="str">
        <f t="shared" si="67"/>
        <v>x</v>
      </c>
      <c r="T2098" s="492">
        <f>IFERROR(VLOOKUP(F2098,'Freq-Chan'!C:D,2,FALSE),"x")</f>
        <v>151.596</v>
      </c>
      <c r="U2098" s="110" t="s">
        <v>541</v>
      </c>
      <c r="V2098" s="110" t="str">
        <f t="shared" si="68"/>
        <v>FWL</v>
      </c>
      <c r="W2098" s="110" t="s">
        <v>541</v>
      </c>
      <c r="X2098" s="110" t="s">
        <v>541</v>
      </c>
      <c r="Y2098" s="110" t="str">
        <f>IFERROR(VLOOKUP(F2098,'Freq-Chan'!C:E,3,FALSE),"na")</f>
        <v>F1835</v>
      </c>
      <c r="Z2098" s="110" t="s">
        <v>541</v>
      </c>
      <c r="AA2098" s="110" t="s">
        <v>541</v>
      </c>
      <c r="AB2098" s="110" t="s">
        <v>541</v>
      </c>
      <c r="AC2098" s="10" t="s">
        <v>541</v>
      </c>
      <c r="AD2098" s="10" t="s">
        <v>541</v>
      </c>
    </row>
    <row r="2099" spans="1:30" x14ac:dyDescent="0.2">
      <c r="A2099" s="110">
        <v>2098</v>
      </c>
      <c r="B2099" s="132">
        <v>41858</v>
      </c>
      <c r="C2099" s="117">
        <v>2</v>
      </c>
      <c r="D2099" s="103" t="s">
        <v>8</v>
      </c>
      <c r="E2099" s="103" t="s">
        <v>306</v>
      </c>
      <c r="F2099" s="103">
        <v>573</v>
      </c>
      <c r="G2099" s="103">
        <v>3</v>
      </c>
      <c r="H2099" s="103" t="s">
        <v>2232</v>
      </c>
      <c r="I2099" s="103">
        <v>59</v>
      </c>
      <c r="K2099" s="103" t="s">
        <v>1032</v>
      </c>
      <c r="L2099" s="133"/>
      <c r="M2099" s="134">
        <v>5.5555555555555552E-2</v>
      </c>
      <c r="N2099" s="135" t="s">
        <v>877</v>
      </c>
      <c r="O2099" s="133" t="s">
        <v>950</v>
      </c>
      <c r="Q2099" s="100" t="s">
        <v>4063</v>
      </c>
      <c r="R2099" s="226" t="s">
        <v>4090</v>
      </c>
      <c r="S2099" s="491" t="str">
        <f t="shared" ref="S2099:S2162" si="69">IF(IF(OR(L2099=0,N2099=0),"x",ROUND(N2099-L2099-(M2099*24)/(24*60),10))&lt;0,0,IF(OR(L2099=0,N2099=0),"x",ROUND(N2099-L2099-(M2099*24)/(24*60),10)))</f>
        <v>x</v>
      </c>
      <c r="T2099" s="492">
        <f>IFERROR(VLOOKUP(F2099,'Freq-Chan'!C:D,2,FALSE),"x")</f>
        <v>151.57300000000001</v>
      </c>
      <c r="U2099" s="110" t="s">
        <v>541</v>
      </c>
      <c r="V2099" s="110" t="str">
        <f t="shared" ref="V2099:V2162" si="70">IF(OR(C2099=1,C2099=2,C2099=3),"FWL","NRD")</f>
        <v>FWL</v>
      </c>
      <c r="W2099" s="110" t="s">
        <v>541</v>
      </c>
      <c r="X2099" s="110" t="s">
        <v>541</v>
      </c>
      <c r="Y2099" s="110" t="str">
        <f>IFERROR(VLOOKUP(F2099,'Freq-Chan'!C:E,3,FALSE),"na")</f>
        <v>F1840</v>
      </c>
      <c r="Z2099" s="110" t="s">
        <v>541</v>
      </c>
      <c r="AA2099" s="110" t="s">
        <v>541</v>
      </c>
      <c r="AB2099" s="110" t="s">
        <v>541</v>
      </c>
      <c r="AC2099" s="10" t="s">
        <v>541</v>
      </c>
      <c r="AD2099" s="10" t="s">
        <v>541</v>
      </c>
    </row>
    <row r="2100" spans="1:30" x14ac:dyDescent="0.2">
      <c r="A2100" s="110">
        <v>2099</v>
      </c>
      <c r="B2100" s="132">
        <v>41858</v>
      </c>
      <c r="C2100" s="117">
        <v>2</v>
      </c>
      <c r="D2100" s="103" t="s">
        <v>8</v>
      </c>
      <c r="E2100" s="103" t="s">
        <v>306</v>
      </c>
      <c r="F2100" s="103">
        <v>586</v>
      </c>
      <c r="G2100" s="103">
        <v>95</v>
      </c>
      <c r="H2100" s="103" t="s">
        <v>2233</v>
      </c>
      <c r="I2100" s="103">
        <v>52</v>
      </c>
      <c r="K2100" s="103" t="s">
        <v>1032</v>
      </c>
      <c r="L2100" s="133">
        <v>0.7006944444444444</v>
      </c>
      <c r="M2100" s="134">
        <v>4.7916666666666663E-2</v>
      </c>
      <c r="N2100" s="135" t="s">
        <v>4082</v>
      </c>
      <c r="O2100" s="133" t="s">
        <v>950</v>
      </c>
      <c r="Q2100" s="100" t="s">
        <v>4063</v>
      </c>
      <c r="R2100" s="226" t="s">
        <v>4090</v>
      </c>
      <c r="S2100" s="491">
        <f t="shared" si="69"/>
        <v>5.4513888999999996E-3</v>
      </c>
      <c r="T2100" s="492">
        <f>IFERROR(VLOOKUP(F2100,'Freq-Chan'!C:D,2,FALSE),"x")</f>
        <v>151.58600000000001</v>
      </c>
      <c r="U2100" s="110" t="s">
        <v>541</v>
      </c>
      <c r="V2100" s="110" t="str">
        <f t="shared" si="70"/>
        <v>FWL</v>
      </c>
      <c r="W2100" s="110" t="s">
        <v>541</v>
      </c>
      <c r="X2100" s="110" t="s">
        <v>541</v>
      </c>
      <c r="Y2100" s="110" t="str">
        <f>IFERROR(VLOOKUP(F2100,'Freq-Chan'!C:E,3,FALSE),"na")</f>
        <v>F1840</v>
      </c>
      <c r="Z2100" s="110" t="s">
        <v>541</v>
      </c>
      <c r="AA2100" s="110" t="s">
        <v>541</v>
      </c>
      <c r="AB2100" s="110" t="s">
        <v>541</v>
      </c>
      <c r="AC2100" s="10" t="s">
        <v>541</v>
      </c>
      <c r="AD2100" s="10" t="s">
        <v>541</v>
      </c>
    </row>
    <row r="2101" spans="1:30" s="291" customFormat="1" x14ac:dyDescent="0.2">
      <c r="A2101" s="493">
        <v>2100</v>
      </c>
      <c r="B2101" s="283">
        <v>41858</v>
      </c>
      <c r="C2101" s="284">
        <v>2</v>
      </c>
      <c r="D2101" s="285" t="s">
        <v>70</v>
      </c>
      <c r="E2101" s="285" t="s">
        <v>306</v>
      </c>
      <c r="F2101" s="285"/>
      <c r="G2101" s="285"/>
      <c r="H2101" s="285"/>
      <c r="I2101" s="285">
        <v>51</v>
      </c>
      <c r="J2101" s="285"/>
      <c r="K2101" s="285" t="s">
        <v>1032</v>
      </c>
      <c r="L2101" s="286"/>
      <c r="M2101" s="287">
        <v>2.4305555555555556E-2</v>
      </c>
      <c r="N2101" s="288" t="s">
        <v>1854</v>
      </c>
      <c r="O2101" s="286" t="s">
        <v>950</v>
      </c>
      <c r="P2101" s="289"/>
      <c r="Q2101" s="289" t="s">
        <v>4063</v>
      </c>
      <c r="R2101" s="290" t="s">
        <v>4090</v>
      </c>
      <c r="S2101" s="494" t="str">
        <f t="shared" si="69"/>
        <v>x</v>
      </c>
      <c r="T2101" s="495" t="str">
        <f>IFERROR(VLOOKUP(F2101,'Freq-Chan'!C:D,2,FALSE),"x")</f>
        <v>x</v>
      </c>
      <c r="U2101" s="493" t="s">
        <v>541</v>
      </c>
      <c r="V2101" s="493" t="str">
        <f t="shared" si="70"/>
        <v>FWL</v>
      </c>
      <c r="W2101" s="493" t="s">
        <v>541</v>
      </c>
      <c r="X2101" s="493" t="s">
        <v>541</v>
      </c>
      <c r="Y2101" s="493" t="str">
        <f>IFERROR(VLOOKUP(F2101,'Freq-Chan'!C:E,3,FALSE),"na")</f>
        <v>na</v>
      </c>
      <c r="Z2101" s="493" t="s">
        <v>541</v>
      </c>
      <c r="AA2101" s="493" t="s">
        <v>541</v>
      </c>
      <c r="AB2101" s="493" t="s">
        <v>541</v>
      </c>
      <c r="AC2101" s="291" t="s">
        <v>541</v>
      </c>
      <c r="AD2101" s="291" t="s">
        <v>541</v>
      </c>
    </row>
    <row r="2102" spans="1:30" x14ac:dyDescent="0.2">
      <c r="A2102" s="110">
        <v>2101</v>
      </c>
      <c r="B2102" s="132">
        <v>41858</v>
      </c>
      <c r="C2102" s="117">
        <v>3</v>
      </c>
      <c r="D2102" s="103" t="s">
        <v>71</v>
      </c>
      <c r="E2102" s="103" t="s">
        <v>306</v>
      </c>
      <c r="F2102" s="103">
        <v>534</v>
      </c>
      <c r="G2102" s="103">
        <v>83</v>
      </c>
      <c r="H2102" s="103" t="s">
        <v>2398</v>
      </c>
      <c r="I2102" s="103">
        <v>58</v>
      </c>
      <c r="K2102" s="103" t="s">
        <v>365</v>
      </c>
      <c r="L2102" s="133"/>
      <c r="M2102" s="134">
        <v>5.5555555555555552E-2</v>
      </c>
      <c r="N2102" s="137" t="s">
        <v>3452</v>
      </c>
      <c r="O2102" s="133" t="s">
        <v>1532</v>
      </c>
      <c r="Q2102" s="100" t="s">
        <v>4060</v>
      </c>
      <c r="R2102" s="226" t="s">
        <v>4090</v>
      </c>
      <c r="S2102" s="503" t="str">
        <f t="shared" si="69"/>
        <v>x</v>
      </c>
      <c r="T2102" s="492">
        <f>IFERROR(VLOOKUP(F2102,'Freq-Chan'!C:D,2,FALSE),"x")</f>
        <v>151.53399999999999</v>
      </c>
      <c r="U2102" s="110" t="s">
        <v>541</v>
      </c>
      <c r="V2102" s="110" t="str">
        <f t="shared" si="70"/>
        <v>FWL</v>
      </c>
      <c r="W2102" s="110" t="s">
        <v>541</v>
      </c>
      <c r="X2102" s="110" t="s">
        <v>541</v>
      </c>
      <c r="Y2102" s="110" t="str">
        <f>IFERROR(VLOOKUP(F2102,'Freq-Chan'!C:E,3,FALSE),"na")</f>
        <v>F1840</v>
      </c>
      <c r="Z2102" s="110" t="s">
        <v>541</v>
      </c>
      <c r="AA2102" s="110" t="s">
        <v>541</v>
      </c>
      <c r="AB2102" s="110" t="s">
        <v>541</v>
      </c>
      <c r="AC2102" s="10" t="s">
        <v>541</v>
      </c>
      <c r="AD2102" s="10" t="s">
        <v>541</v>
      </c>
    </row>
    <row r="2103" spans="1:30" x14ac:dyDescent="0.2">
      <c r="A2103" s="110">
        <v>2102</v>
      </c>
      <c r="B2103" s="132">
        <v>41858</v>
      </c>
      <c r="C2103" s="117">
        <v>3</v>
      </c>
      <c r="D2103" s="103" t="s">
        <v>71</v>
      </c>
      <c r="E2103" s="103" t="s">
        <v>306</v>
      </c>
      <c r="F2103" s="103">
        <v>564</v>
      </c>
      <c r="G2103" s="103">
        <v>26</v>
      </c>
      <c r="H2103" s="103" t="s">
        <v>2405</v>
      </c>
      <c r="I2103" s="103">
        <v>61</v>
      </c>
      <c r="K2103" s="103" t="s">
        <v>1032</v>
      </c>
      <c r="L2103" s="133"/>
      <c r="M2103" s="134">
        <v>6.6666666666666666E-2</v>
      </c>
      <c r="N2103" s="137" t="s">
        <v>3827</v>
      </c>
      <c r="O2103" s="133" t="s">
        <v>1532</v>
      </c>
      <c r="Q2103" s="100" t="s">
        <v>4060</v>
      </c>
      <c r="R2103" s="226" t="s">
        <v>4090</v>
      </c>
      <c r="S2103" s="503" t="str">
        <f t="shared" si="69"/>
        <v>x</v>
      </c>
      <c r="T2103" s="492">
        <f>IFERROR(VLOOKUP(F2103,'Freq-Chan'!C:D,2,FALSE),"x")</f>
        <v>151.56399999999999</v>
      </c>
      <c r="U2103" s="110" t="s">
        <v>541</v>
      </c>
      <c r="V2103" s="110" t="str">
        <f t="shared" si="70"/>
        <v>FWL</v>
      </c>
      <c r="W2103" s="110" t="s">
        <v>541</v>
      </c>
      <c r="X2103" s="110" t="s">
        <v>541</v>
      </c>
      <c r="Y2103" s="110" t="str">
        <f>IFERROR(VLOOKUP(F2103,'Freq-Chan'!C:E,3,FALSE),"na")</f>
        <v>F1840</v>
      </c>
      <c r="Z2103" s="110" t="s">
        <v>541</v>
      </c>
      <c r="AA2103" s="110" t="s">
        <v>541</v>
      </c>
      <c r="AB2103" s="110" t="s">
        <v>541</v>
      </c>
      <c r="AC2103" s="10" t="s">
        <v>541</v>
      </c>
      <c r="AD2103" s="10" t="s">
        <v>541</v>
      </c>
    </row>
    <row r="2104" spans="1:30" x14ac:dyDescent="0.2">
      <c r="A2104" s="110">
        <v>2103</v>
      </c>
      <c r="B2104" s="132">
        <v>41858</v>
      </c>
      <c r="C2104" s="117">
        <v>3</v>
      </c>
      <c r="D2104" s="103" t="s">
        <v>71</v>
      </c>
      <c r="E2104" s="103" t="s">
        <v>306</v>
      </c>
      <c r="F2104" s="103">
        <v>564</v>
      </c>
      <c r="G2104" s="103">
        <v>45</v>
      </c>
      <c r="H2104" s="103" t="s">
        <v>2406</v>
      </c>
      <c r="I2104" s="103">
        <v>60</v>
      </c>
      <c r="K2104" s="103" t="s">
        <v>365</v>
      </c>
      <c r="L2104" s="133"/>
      <c r="M2104" s="134">
        <v>3.8194444444444441E-2</v>
      </c>
      <c r="N2104" s="137" t="s">
        <v>3402</v>
      </c>
      <c r="O2104" s="133" t="s">
        <v>1532</v>
      </c>
      <c r="Q2104" s="100" t="s">
        <v>4060</v>
      </c>
      <c r="R2104" s="226" t="s">
        <v>4090</v>
      </c>
      <c r="S2104" s="503" t="str">
        <f t="shared" si="69"/>
        <v>x</v>
      </c>
      <c r="T2104" s="492">
        <f>IFERROR(VLOOKUP(F2104,'Freq-Chan'!C:D,2,FALSE),"x")</f>
        <v>151.56399999999999</v>
      </c>
      <c r="U2104" s="110" t="s">
        <v>541</v>
      </c>
      <c r="V2104" s="110" t="str">
        <f t="shared" si="70"/>
        <v>FWL</v>
      </c>
      <c r="W2104" s="110" t="s">
        <v>541</v>
      </c>
      <c r="X2104" s="110" t="s">
        <v>541</v>
      </c>
      <c r="Y2104" s="110" t="str">
        <f>IFERROR(VLOOKUP(F2104,'Freq-Chan'!C:E,3,FALSE),"na")</f>
        <v>F1840</v>
      </c>
      <c r="Z2104" s="110" t="s">
        <v>541</v>
      </c>
      <c r="AA2104" s="110" t="s">
        <v>541</v>
      </c>
      <c r="AB2104" s="110" t="s">
        <v>541</v>
      </c>
      <c r="AC2104" s="10" t="s">
        <v>541</v>
      </c>
      <c r="AD2104" s="10" t="s">
        <v>541</v>
      </c>
    </row>
    <row r="2105" spans="1:30" x14ac:dyDescent="0.2">
      <c r="A2105" s="110">
        <v>2104</v>
      </c>
      <c r="B2105" s="132">
        <v>41858</v>
      </c>
      <c r="C2105" s="117">
        <v>3</v>
      </c>
      <c r="D2105" s="103" t="s">
        <v>70</v>
      </c>
      <c r="E2105" s="103" t="s">
        <v>306</v>
      </c>
      <c r="F2105" s="103">
        <v>596</v>
      </c>
      <c r="G2105" s="103">
        <v>9</v>
      </c>
      <c r="H2105" s="103" t="s">
        <v>3090</v>
      </c>
      <c r="I2105" s="103">
        <v>49</v>
      </c>
      <c r="K2105" s="103" t="s">
        <v>1032</v>
      </c>
      <c r="L2105" s="133"/>
      <c r="M2105" s="134">
        <v>3.6805555555555557E-2</v>
      </c>
      <c r="N2105" s="135" t="s">
        <v>3352</v>
      </c>
      <c r="O2105" s="133" t="s">
        <v>1532</v>
      </c>
      <c r="Q2105" s="100" t="s">
        <v>4060</v>
      </c>
      <c r="R2105" s="226" t="s">
        <v>4090</v>
      </c>
      <c r="S2105" s="503" t="str">
        <f t="shared" si="69"/>
        <v>x</v>
      </c>
      <c r="T2105" s="492">
        <f>IFERROR(VLOOKUP(F2105,'Freq-Chan'!C:D,2,FALSE),"x")</f>
        <v>151.596</v>
      </c>
      <c r="U2105" s="110" t="s">
        <v>541</v>
      </c>
      <c r="V2105" s="110" t="str">
        <f t="shared" si="70"/>
        <v>FWL</v>
      </c>
      <c r="W2105" s="110" t="s">
        <v>541</v>
      </c>
      <c r="X2105" s="110" t="s">
        <v>541</v>
      </c>
      <c r="Y2105" s="110" t="str">
        <f>IFERROR(VLOOKUP(F2105,'Freq-Chan'!C:E,3,FALSE),"na")</f>
        <v>F1835</v>
      </c>
      <c r="Z2105" s="110" t="s">
        <v>541</v>
      </c>
      <c r="AA2105" s="110" t="s">
        <v>541</v>
      </c>
      <c r="AB2105" s="110" t="s">
        <v>541</v>
      </c>
      <c r="AC2105" s="10" t="s">
        <v>541</v>
      </c>
      <c r="AD2105" s="10" t="s">
        <v>541</v>
      </c>
    </row>
    <row r="2106" spans="1:30" x14ac:dyDescent="0.2">
      <c r="A2106" s="110">
        <v>2105</v>
      </c>
      <c r="B2106" s="132">
        <v>41858</v>
      </c>
      <c r="C2106" s="117">
        <v>3</v>
      </c>
      <c r="D2106" s="103" t="s">
        <v>70</v>
      </c>
      <c r="E2106" s="103" t="s">
        <v>306</v>
      </c>
      <c r="H2106" s="103"/>
      <c r="I2106" s="103">
        <v>47</v>
      </c>
      <c r="K2106" s="103" t="s">
        <v>365</v>
      </c>
      <c r="L2106" s="133"/>
      <c r="M2106" s="134">
        <v>1.7361111111111112E-2</v>
      </c>
      <c r="N2106" s="135" t="s">
        <v>4068</v>
      </c>
      <c r="O2106" s="133" t="s">
        <v>1532</v>
      </c>
      <c r="Q2106" s="100" t="s">
        <v>4060</v>
      </c>
      <c r="R2106" s="226" t="s">
        <v>4090</v>
      </c>
      <c r="S2106" s="503" t="str">
        <f t="shared" si="69"/>
        <v>x</v>
      </c>
      <c r="T2106" s="492" t="str">
        <f>IFERROR(VLOOKUP(F2106,'Freq-Chan'!C:D,2,FALSE),"x")</f>
        <v>x</v>
      </c>
      <c r="U2106" s="110" t="s">
        <v>541</v>
      </c>
      <c r="V2106" s="110" t="str">
        <f t="shared" si="70"/>
        <v>FWL</v>
      </c>
      <c r="W2106" s="110" t="s">
        <v>541</v>
      </c>
      <c r="X2106" s="110" t="s">
        <v>541</v>
      </c>
      <c r="Y2106" s="110" t="str">
        <f>IFERROR(VLOOKUP(F2106,'Freq-Chan'!C:E,3,FALSE),"na")</f>
        <v>na</v>
      </c>
      <c r="Z2106" s="110" t="s">
        <v>541</v>
      </c>
      <c r="AA2106" s="110" t="s">
        <v>541</v>
      </c>
      <c r="AB2106" s="110" t="s">
        <v>541</v>
      </c>
      <c r="AC2106" s="10" t="s">
        <v>541</v>
      </c>
      <c r="AD2106" s="10" t="s">
        <v>541</v>
      </c>
    </row>
    <row r="2107" spans="1:30" x14ac:dyDescent="0.2">
      <c r="A2107" s="110">
        <v>2106</v>
      </c>
      <c r="B2107" s="132">
        <v>41858</v>
      </c>
      <c r="C2107" s="117">
        <v>3</v>
      </c>
      <c r="D2107" s="103" t="s">
        <v>70</v>
      </c>
      <c r="E2107" s="103" t="s">
        <v>306</v>
      </c>
      <c r="H2107" s="103"/>
      <c r="I2107" s="103">
        <v>46</v>
      </c>
      <c r="K2107" s="103" t="s">
        <v>1032</v>
      </c>
      <c r="L2107" s="133"/>
      <c r="M2107" s="134">
        <v>1.3194444444444444E-2</v>
      </c>
      <c r="N2107" s="137" t="s">
        <v>4068</v>
      </c>
      <c r="O2107" s="133" t="s">
        <v>950</v>
      </c>
      <c r="Q2107" s="100" t="s">
        <v>4060</v>
      </c>
      <c r="R2107" s="226" t="s">
        <v>4090</v>
      </c>
      <c r="S2107" s="503" t="str">
        <f t="shared" si="69"/>
        <v>x</v>
      </c>
      <c r="T2107" s="492" t="str">
        <f>IFERROR(VLOOKUP(F2107,'Freq-Chan'!C:D,2,FALSE),"x")</f>
        <v>x</v>
      </c>
      <c r="U2107" s="110" t="s">
        <v>541</v>
      </c>
      <c r="V2107" s="110" t="str">
        <f t="shared" si="70"/>
        <v>FWL</v>
      </c>
      <c r="W2107" s="110" t="s">
        <v>541</v>
      </c>
      <c r="X2107" s="110" t="s">
        <v>541</v>
      </c>
      <c r="Y2107" s="110" t="str">
        <f>IFERROR(VLOOKUP(F2107,'Freq-Chan'!C:E,3,FALSE),"na")</f>
        <v>na</v>
      </c>
      <c r="Z2107" s="110" t="s">
        <v>541</v>
      </c>
      <c r="AA2107" s="110" t="s">
        <v>541</v>
      </c>
      <c r="AB2107" s="110" t="s">
        <v>541</v>
      </c>
      <c r="AC2107" s="10" t="s">
        <v>541</v>
      </c>
      <c r="AD2107" s="10" t="s">
        <v>541</v>
      </c>
    </row>
    <row r="2108" spans="1:30" x14ac:dyDescent="0.2">
      <c r="A2108" s="110">
        <v>2107</v>
      </c>
      <c r="B2108" s="132">
        <v>41858</v>
      </c>
      <c r="C2108" s="117">
        <v>3</v>
      </c>
      <c r="D2108" s="103" t="s">
        <v>72</v>
      </c>
      <c r="E2108" s="103" t="s">
        <v>306</v>
      </c>
      <c r="F2108" s="103">
        <v>325</v>
      </c>
      <c r="G2108" s="103">
        <v>97</v>
      </c>
      <c r="H2108" s="103" t="s">
        <v>3529</v>
      </c>
      <c r="I2108" s="103">
        <v>53</v>
      </c>
      <c r="K2108" s="103" t="s">
        <v>1032</v>
      </c>
      <c r="L2108" s="133"/>
      <c r="M2108" s="134">
        <v>5.486111111111111E-2</v>
      </c>
      <c r="N2108" s="137" t="s">
        <v>2777</v>
      </c>
      <c r="O2108" s="133" t="s">
        <v>1532</v>
      </c>
      <c r="Q2108" s="100" t="s">
        <v>4060</v>
      </c>
      <c r="R2108" s="226" t="s">
        <v>4090</v>
      </c>
      <c r="S2108" s="503" t="str">
        <f t="shared" si="69"/>
        <v>x</v>
      </c>
      <c r="T2108" s="492">
        <f>IFERROR(VLOOKUP(F2108,'Freq-Chan'!C:D,2,FALSE),"x")</f>
        <v>151.32499999999999</v>
      </c>
      <c r="U2108" s="110" t="s">
        <v>541</v>
      </c>
      <c r="V2108" s="110" t="str">
        <f t="shared" si="70"/>
        <v>FWL</v>
      </c>
      <c r="W2108" s="110" t="s">
        <v>541</v>
      </c>
      <c r="X2108" s="110" t="s">
        <v>541</v>
      </c>
      <c r="Y2108" s="110" t="str">
        <f>IFERROR(VLOOKUP(F2108,'Freq-Chan'!C:E,3,FALSE),"na")</f>
        <v>F1840</v>
      </c>
      <c r="Z2108" s="110" t="s">
        <v>541</v>
      </c>
      <c r="AA2108" s="110" t="s">
        <v>541</v>
      </c>
      <c r="AB2108" s="110" t="s">
        <v>541</v>
      </c>
      <c r="AC2108" s="10" t="s">
        <v>541</v>
      </c>
      <c r="AD2108" s="10" t="s">
        <v>541</v>
      </c>
    </row>
    <row r="2109" spans="1:30" x14ac:dyDescent="0.2">
      <c r="A2109" s="110">
        <v>2108</v>
      </c>
      <c r="B2109" s="132">
        <v>41858</v>
      </c>
      <c r="C2109" s="117">
        <v>3</v>
      </c>
      <c r="D2109" s="103" t="s">
        <v>70</v>
      </c>
      <c r="E2109" s="103" t="s">
        <v>306</v>
      </c>
      <c r="H2109" s="103"/>
      <c r="I2109" s="103">
        <v>50</v>
      </c>
      <c r="K2109" s="103" t="s">
        <v>1032</v>
      </c>
      <c r="L2109" s="133"/>
      <c r="M2109" s="134">
        <v>1.8055555555555557E-2</v>
      </c>
      <c r="N2109" s="137" t="s">
        <v>2839</v>
      </c>
      <c r="O2109" s="133" t="s">
        <v>950</v>
      </c>
      <c r="Q2109" s="100" t="s">
        <v>4060</v>
      </c>
      <c r="R2109" s="226" t="s">
        <v>4090</v>
      </c>
      <c r="S2109" s="503" t="str">
        <f t="shared" si="69"/>
        <v>x</v>
      </c>
      <c r="T2109" s="492" t="str">
        <f>IFERROR(VLOOKUP(F2109,'Freq-Chan'!C:D,2,FALSE),"x")</f>
        <v>x</v>
      </c>
      <c r="U2109" s="110" t="s">
        <v>541</v>
      </c>
      <c r="V2109" s="110" t="str">
        <f t="shared" si="70"/>
        <v>FWL</v>
      </c>
      <c r="W2109" s="110" t="s">
        <v>541</v>
      </c>
      <c r="X2109" s="110" t="s">
        <v>541</v>
      </c>
      <c r="Y2109" s="110" t="str">
        <f>IFERROR(VLOOKUP(F2109,'Freq-Chan'!C:E,3,FALSE),"na")</f>
        <v>na</v>
      </c>
      <c r="Z2109" s="110" t="s">
        <v>541</v>
      </c>
      <c r="AA2109" s="110" t="s">
        <v>541</v>
      </c>
      <c r="AB2109" s="110" t="s">
        <v>541</v>
      </c>
      <c r="AC2109" s="10" t="s">
        <v>541</v>
      </c>
      <c r="AD2109" s="10" t="s">
        <v>541</v>
      </c>
    </row>
    <row r="2110" spans="1:30" x14ac:dyDescent="0.2">
      <c r="A2110" s="110">
        <v>2109</v>
      </c>
      <c r="B2110" s="132">
        <v>41858</v>
      </c>
      <c r="C2110" s="117">
        <v>3</v>
      </c>
      <c r="D2110" s="103" t="s">
        <v>71</v>
      </c>
      <c r="E2110" s="103" t="s">
        <v>306</v>
      </c>
      <c r="H2110" s="103"/>
      <c r="I2110" s="103">
        <v>60</v>
      </c>
      <c r="K2110" s="103" t="s">
        <v>1032</v>
      </c>
      <c r="L2110" s="133"/>
      <c r="M2110" s="134">
        <v>2.0833333333333332E-2</v>
      </c>
      <c r="N2110" s="137" t="s">
        <v>2754</v>
      </c>
      <c r="O2110" s="133" t="s">
        <v>950</v>
      </c>
      <c r="Q2110" s="100" t="s">
        <v>4060</v>
      </c>
      <c r="R2110" s="226" t="s">
        <v>4090</v>
      </c>
      <c r="S2110" s="503" t="str">
        <f t="shared" si="69"/>
        <v>x</v>
      </c>
      <c r="T2110" s="492" t="str">
        <f>IFERROR(VLOOKUP(F2110,'Freq-Chan'!C:D,2,FALSE),"x")</f>
        <v>x</v>
      </c>
      <c r="U2110" s="110" t="s">
        <v>541</v>
      </c>
      <c r="V2110" s="110" t="str">
        <f t="shared" si="70"/>
        <v>FWL</v>
      </c>
      <c r="W2110" s="110" t="s">
        <v>541</v>
      </c>
      <c r="X2110" s="110" t="s">
        <v>541</v>
      </c>
      <c r="Y2110" s="110" t="str">
        <f>IFERROR(VLOOKUP(F2110,'Freq-Chan'!C:E,3,FALSE),"na")</f>
        <v>na</v>
      </c>
      <c r="Z2110" s="110" t="s">
        <v>541</v>
      </c>
      <c r="AA2110" s="110" t="s">
        <v>541</v>
      </c>
      <c r="AB2110" s="110" t="s">
        <v>541</v>
      </c>
      <c r="AC2110" s="10" t="s">
        <v>541</v>
      </c>
      <c r="AD2110" s="10" t="s">
        <v>541</v>
      </c>
    </row>
    <row r="2111" spans="1:30" x14ac:dyDescent="0.2">
      <c r="A2111" s="110">
        <v>2110</v>
      </c>
      <c r="B2111" s="132">
        <v>41858</v>
      </c>
      <c r="C2111" s="117">
        <v>3</v>
      </c>
      <c r="D2111" s="103" t="s">
        <v>70</v>
      </c>
      <c r="E2111" s="103" t="s">
        <v>306</v>
      </c>
      <c r="H2111" s="103"/>
      <c r="I2111" s="103">
        <v>46</v>
      </c>
      <c r="K2111" s="103" t="s">
        <v>1032</v>
      </c>
      <c r="L2111" s="133"/>
      <c r="M2111" s="134">
        <v>1.5277777777777777E-2</v>
      </c>
      <c r="N2111" s="137" t="s">
        <v>3935</v>
      </c>
      <c r="O2111" s="133" t="s">
        <v>950</v>
      </c>
      <c r="Q2111" s="100" t="s">
        <v>4060</v>
      </c>
      <c r="R2111" s="226" t="s">
        <v>4090</v>
      </c>
      <c r="S2111" s="503" t="str">
        <f t="shared" si="69"/>
        <v>x</v>
      </c>
      <c r="T2111" s="492" t="str">
        <f>IFERROR(VLOOKUP(F2111,'Freq-Chan'!C:D,2,FALSE),"x")</f>
        <v>x</v>
      </c>
      <c r="U2111" s="110" t="s">
        <v>541</v>
      </c>
      <c r="V2111" s="110" t="str">
        <f t="shared" si="70"/>
        <v>FWL</v>
      </c>
      <c r="W2111" s="110" t="s">
        <v>541</v>
      </c>
      <c r="X2111" s="110" t="s">
        <v>541</v>
      </c>
      <c r="Y2111" s="110" t="str">
        <f>IFERROR(VLOOKUP(F2111,'Freq-Chan'!C:E,3,FALSE),"na")</f>
        <v>na</v>
      </c>
      <c r="Z2111" s="110" t="s">
        <v>541</v>
      </c>
      <c r="AA2111" s="110" t="s">
        <v>541</v>
      </c>
      <c r="AB2111" s="110" t="s">
        <v>541</v>
      </c>
      <c r="AC2111" s="10" t="s">
        <v>541</v>
      </c>
      <c r="AD2111" s="10" t="s">
        <v>541</v>
      </c>
    </row>
    <row r="2112" spans="1:30" x14ac:dyDescent="0.2">
      <c r="A2112" s="110">
        <v>2111</v>
      </c>
      <c r="B2112" s="132">
        <v>41858</v>
      </c>
      <c r="C2112" s="117">
        <v>3</v>
      </c>
      <c r="D2112" s="103" t="s">
        <v>70</v>
      </c>
      <c r="E2112" s="103" t="s">
        <v>306</v>
      </c>
      <c r="H2112" s="103"/>
      <c r="I2112" s="103">
        <v>45</v>
      </c>
      <c r="K2112" s="103" t="s">
        <v>365</v>
      </c>
      <c r="L2112" s="133"/>
      <c r="M2112" s="134">
        <v>1.8749999999999999E-2</v>
      </c>
      <c r="N2112" s="135" t="s">
        <v>2838</v>
      </c>
      <c r="O2112" s="133" t="s">
        <v>950</v>
      </c>
      <c r="Q2112" s="100" t="s">
        <v>4060</v>
      </c>
      <c r="R2112" s="226" t="s">
        <v>4090</v>
      </c>
      <c r="S2112" s="503" t="str">
        <f t="shared" si="69"/>
        <v>x</v>
      </c>
      <c r="T2112" s="492" t="str">
        <f>IFERROR(VLOOKUP(F2112,'Freq-Chan'!C:D,2,FALSE),"x")</f>
        <v>x</v>
      </c>
      <c r="U2112" s="110" t="s">
        <v>541</v>
      </c>
      <c r="V2112" s="110" t="str">
        <f t="shared" si="70"/>
        <v>FWL</v>
      </c>
      <c r="W2112" s="110" t="s">
        <v>541</v>
      </c>
      <c r="X2112" s="110" t="s">
        <v>541</v>
      </c>
      <c r="Y2112" s="110" t="str">
        <f>IFERROR(VLOOKUP(F2112,'Freq-Chan'!C:E,3,FALSE),"na")</f>
        <v>na</v>
      </c>
      <c r="Z2112" s="110" t="s">
        <v>541</v>
      </c>
      <c r="AA2112" s="110" t="s">
        <v>541</v>
      </c>
      <c r="AB2112" s="110" t="s">
        <v>541</v>
      </c>
      <c r="AC2112" s="10" t="s">
        <v>541</v>
      </c>
      <c r="AD2112" s="10" t="s">
        <v>541</v>
      </c>
    </row>
    <row r="2113" spans="1:30" x14ac:dyDescent="0.2">
      <c r="A2113" s="110">
        <v>2112</v>
      </c>
      <c r="B2113" s="132">
        <v>41858</v>
      </c>
      <c r="C2113" s="117">
        <v>3</v>
      </c>
      <c r="D2113" s="103" t="s">
        <v>70</v>
      </c>
      <c r="E2113" s="103" t="s">
        <v>306</v>
      </c>
      <c r="H2113" s="103"/>
      <c r="I2113" s="103">
        <v>44</v>
      </c>
      <c r="K2113" s="103" t="s">
        <v>1032</v>
      </c>
      <c r="L2113" s="133"/>
      <c r="M2113" s="134">
        <v>1.2499999999999999E-2</v>
      </c>
      <c r="N2113" s="135" t="s">
        <v>2737</v>
      </c>
      <c r="O2113" s="133" t="s">
        <v>950</v>
      </c>
      <c r="Q2113" s="100" t="s">
        <v>4060</v>
      </c>
      <c r="R2113" s="226" t="s">
        <v>4090</v>
      </c>
      <c r="S2113" s="503" t="str">
        <f t="shared" si="69"/>
        <v>x</v>
      </c>
      <c r="T2113" s="492" t="str">
        <f>IFERROR(VLOOKUP(F2113,'Freq-Chan'!C:D,2,FALSE),"x")</f>
        <v>x</v>
      </c>
      <c r="U2113" s="110" t="s">
        <v>541</v>
      </c>
      <c r="V2113" s="110" t="str">
        <f t="shared" si="70"/>
        <v>FWL</v>
      </c>
      <c r="W2113" s="110" t="s">
        <v>541</v>
      </c>
      <c r="X2113" s="110" t="s">
        <v>541</v>
      </c>
      <c r="Y2113" s="110" t="str">
        <f>IFERROR(VLOOKUP(F2113,'Freq-Chan'!C:E,3,FALSE),"na")</f>
        <v>na</v>
      </c>
      <c r="Z2113" s="110" t="s">
        <v>541</v>
      </c>
      <c r="AA2113" s="110" t="s">
        <v>541</v>
      </c>
      <c r="AB2113" s="110" t="s">
        <v>541</v>
      </c>
      <c r="AC2113" s="10" t="s">
        <v>541</v>
      </c>
      <c r="AD2113" s="10" t="s">
        <v>541</v>
      </c>
    </row>
    <row r="2114" spans="1:30" x14ac:dyDescent="0.2">
      <c r="A2114" s="110">
        <v>2113</v>
      </c>
      <c r="B2114" s="132">
        <v>41858</v>
      </c>
      <c r="C2114" s="117">
        <v>3</v>
      </c>
      <c r="D2114" s="103" t="s">
        <v>70</v>
      </c>
      <c r="E2114" s="103" t="s">
        <v>306</v>
      </c>
      <c r="H2114" s="103"/>
      <c r="I2114" s="103">
        <v>49</v>
      </c>
      <c r="K2114" s="103" t="s">
        <v>1032</v>
      </c>
      <c r="L2114" s="133"/>
      <c r="M2114" s="134">
        <v>1.3194444444444444E-2</v>
      </c>
      <c r="N2114" s="135" t="s">
        <v>3382</v>
      </c>
      <c r="O2114" s="133" t="s">
        <v>950</v>
      </c>
      <c r="Q2114" s="100" t="s">
        <v>4060</v>
      </c>
      <c r="R2114" s="226" t="s">
        <v>4090</v>
      </c>
      <c r="S2114" s="503" t="str">
        <f t="shared" si="69"/>
        <v>x</v>
      </c>
      <c r="T2114" s="492" t="str">
        <f>IFERROR(VLOOKUP(F2114,'Freq-Chan'!C:D,2,FALSE),"x")</f>
        <v>x</v>
      </c>
      <c r="U2114" s="110" t="s">
        <v>541</v>
      </c>
      <c r="V2114" s="110" t="str">
        <f t="shared" si="70"/>
        <v>FWL</v>
      </c>
      <c r="W2114" s="110" t="s">
        <v>541</v>
      </c>
      <c r="X2114" s="110" t="s">
        <v>541</v>
      </c>
      <c r="Y2114" s="110" t="str">
        <f>IFERROR(VLOOKUP(F2114,'Freq-Chan'!C:E,3,FALSE),"na")</f>
        <v>na</v>
      </c>
      <c r="Z2114" s="110" t="s">
        <v>541</v>
      </c>
      <c r="AA2114" s="110" t="s">
        <v>541</v>
      </c>
      <c r="AB2114" s="110" t="s">
        <v>541</v>
      </c>
      <c r="AC2114" s="10" t="s">
        <v>541</v>
      </c>
      <c r="AD2114" s="10" t="s">
        <v>541</v>
      </c>
    </row>
    <row r="2115" spans="1:30" x14ac:dyDescent="0.2">
      <c r="A2115" s="110">
        <v>2114</v>
      </c>
      <c r="B2115" s="132">
        <v>41858</v>
      </c>
      <c r="C2115" s="117">
        <v>3</v>
      </c>
      <c r="D2115" s="103" t="s">
        <v>70</v>
      </c>
      <c r="E2115" s="103" t="s">
        <v>306</v>
      </c>
      <c r="H2115" s="103"/>
      <c r="I2115" s="103">
        <v>41</v>
      </c>
      <c r="K2115" s="103" t="s">
        <v>1032</v>
      </c>
      <c r="L2115" s="133"/>
      <c r="M2115" s="134">
        <v>1.0416666666666666E-2</v>
      </c>
      <c r="N2115" s="135" t="s">
        <v>3169</v>
      </c>
      <c r="O2115" s="133" t="s">
        <v>950</v>
      </c>
      <c r="Q2115" s="100" t="s">
        <v>4060</v>
      </c>
      <c r="R2115" s="226" t="s">
        <v>4090</v>
      </c>
      <c r="S2115" s="503" t="str">
        <f t="shared" si="69"/>
        <v>x</v>
      </c>
      <c r="T2115" s="492" t="str">
        <f>IFERROR(VLOOKUP(F2115,'Freq-Chan'!C:D,2,FALSE),"x")</f>
        <v>x</v>
      </c>
      <c r="U2115" s="110" t="s">
        <v>541</v>
      </c>
      <c r="V2115" s="110" t="str">
        <f t="shared" si="70"/>
        <v>FWL</v>
      </c>
      <c r="W2115" s="110" t="s">
        <v>541</v>
      </c>
      <c r="X2115" s="110" t="s">
        <v>541</v>
      </c>
      <c r="Y2115" s="110" t="str">
        <f>IFERROR(VLOOKUP(F2115,'Freq-Chan'!C:E,3,FALSE),"na")</f>
        <v>na</v>
      </c>
      <c r="Z2115" s="110" t="s">
        <v>541</v>
      </c>
      <c r="AA2115" s="110" t="s">
        <v>541</v>
      </c>
      <c r="AB2115" s="110" t="s">
        <v>541</v>
      </c>
      <c r="AC2115" s="10" t="s">
        <v>541</v>
      </c>
      <c r="AD2115" s="10" t="s">
        <v>541</v>
      </c>
    </row>
    <row r="2116" spans="1:30" x14ac:dyDescent="0.2">
      <c r="A2116" s="110">
        <v>2115</v>
      </c>
      <c r="B2116" s="132">
        <v>41858</v>
      </c>
      <c r="C2116" s="117">
        <v>3</v>
      </c>
      <c r="D2116" s="103" t="s">
        <v>71</v>
      </c>
      <c r="E2116" s="103" t="s">
        <v>306</v>
      </c>
      <c r="H2116" s="103"/>
      <c r="I2116" s="103">
        <v>62</v>
      </c>
      <c r="K2116" s="103" t="s">
        <v>365</v>
      </c>
      <c r="L2116" s="133"/>
      <c r="M2116" s="134">
        <v>1.6666666666666666E-2</v>
      </c>
      <c r="N2116" s="135" t="s">
        <v>3383</v>
      </c>
      <c r="O2116" s="133" t="s">
        <v>950</v>
      </c>
      <c r="Q2116" s="100" t="s">
        <v>4060</v>
      </c>
      <c r="R2116" s="226" t="s">
        <v>4090</v>
      </c>
      <c r="S2116" s="503" t="str">
        <f t="shared" si="69"/>
        <v>x</v>
      </c>
      <c r="T2116" s="492" t="str">
        <f>IFERROR(VLOOKUP(F2116,'Freq-Chan'!C:D,2,FALSE),"x")</f>
        <v>x</v>
      </c>
      <c r="U2116" s="110" t="s">
        <v>541</v>
      </c>
      <c r="V2116" s="110" t="str">
        <f t="shared" si="70"/>
        <v>FWL</v>
      </c>
      <c r="W2116" s="110" t="s">
        <v>541</v>
      </c>
      <c r="X2116" s="110" t="s">
        <v>541</v>
      </c>
      <c r="Y2116" s="110" t="str">
        <f>IFERROR(VLOOKUP(F2116,'Freq-Chan'!C:E,3,FALSE),"na")</f>
        <v>na</v>
      </c>
      <c r="Z2116" s="110" t="s">
        <v>541</v>
      </c>
      <c r="AA2116" s="110" t="s">
        <v>541</v>
      </c>
      <c r="AB2116" s="110" t="s">
        <v>541</v>
      </c>
      <c r="AC2116" s="10" t="s">
        <v>541</v>
      </c>
      <c r="AD2116" s="10" t="s">
        <v>541</v>
      </c>
    </row>
    <row r="2117" spans="1:30" x14ac:dyDescent="0.2">
      <c r="A2117" s="110">
        <v>2116</v>
      </c>
      <c r="B2117" s="132">
        <v>41858</v>
      </c>
      <c r="C2117" s="117">
        <v>3</v>
      </c>
      <c r="D2117" s="103" t="s">
        <v>70</v>
      </c>
      <c r="E2117" s="103" t="s">
        <v>306</v>
      </c>
      <c r="H2117" s="103"/>
      <c r="I2117" s="103">
        <v>47</v>
      </c>
      <c r="K2117" s="103" t="s">
        <v>365</v>
      </c>
      <c r="L2117" s="133"/>
      <c r="M2117" s="134">
        <v>1.3888888888888888E-2</v>
      </c>
      <c r="N2117" s="137" t="s">
        <v>3384</v>
      </c>
      <c r="O2117" s="133" t="s">
        <v>950</v>
      </c>
      <c r="Q2117" s="100" t="s">
        <v>4060</v>
      </c>
      <c r="R2117" s="226" t="s">
        <v>4090</v>
      </c>
      <c r="S2117" s="503" t="str">
        <f t="shared" si="69"/>
        <v>x</v>
      </c>
      <c r="T2117" s="492" t="str">
        <f>IFERROR(VLOOKUP(F2117,'Freq-Chan'!C:D,2,FALSE),"x")</f>
        <v>x</v>
      </c>
      <c r="U2117" s="110" t="s">
        <v>541</v>
      </c>
      <c r="V2117" s="110" t="str">
        <f t="shared" si="70"/>
        <v>FWL</v>
      </c>
      <c r="W2117" s="110" t="s">
        <v>541</v>
      </c>
      <c r="X2117" s="110" t="s">
        <v>541</v>
      </c>
      <c r="Y2117" s="110" t="str">
        <f>IFERROR(VLOOKUP(F2117,'Freq-Chan'!C:E,3,FALSE),"na")</f>
        <v>na</v>
      </c>
      <c r="Z2117" s="110" t="s">
        <v>541</v>
      </c>
      <c r="AA2117" s="110" t="s">
        <v>541</v>
      </c>
      <c r="AB2117" s="110" t="s">
        <v>541</v>
      </c>
      <c r="AC2117" s="10" t="s">
        <v>541</v>
      </c>
      <c r="AD2117" s="10" t="s">
        <v>541</v>
      </c>
    </row>
    <row r="2118" spans="1:30" x14ac:dyDescent="0.2">
      <c r="A2118" s="110">
        <v>2117</v>
      </c>
      <c r="B2118" s="132">
        <v>41858</v>
      </c>
      <c r="C2118" s="117">
        <v>3</v>
      </c>
      <c r="D2118" s="103" t="s">
        <v>70</v>
      </c>
      <c r="E2118" s="103" t="s">
        <v>306</v>
      </c>
      <c r="H2118" s="103"/>
      <c r="I2118" s="103">
        <v>46</v>
      </c>
      <c r="K2118" s="103" t="s">
        <v>1032</v>
      </c>
      <c r="L2118" s="133"/>
      <c r="M2118" s="134">
        <v>1.3194444444444444E-2</v>
      </c>
      <c r="N2118" s="137" t="s">
        <v>3385</v>
      </c>
      <c r="O2118" s="133" t="s">
        <v>950</v>
      </c>
      <c r="Q2118" s="100" t="s">
        <v>4060</v>
      </c>
      <c r="R2118" s="226" t="s">
        <v>4090</v>
      </c>
      <c r="S2118" s="503" t="str">
        <f t="shared" si="69"/>
        <v>x</v>
      </c>
      <c r="T2118" s="492" t="str">
        <f>IFERROR(VLOOKUP(F2118,'Freq-Chan'!C:D,2,FALSE),"x")</f>
        <v>x</v>
      </c>
      <c r="U2118" s="110" t="s">
        <v>541</v>
      </c>
      <c r="V2118" s="110" t="str">
        <f t="shared" si="70"/>
        <v>FWL</v>
      </c>
      <c r="W2118" s="110" t="s">
        <v>541</v>
      </c>
      <c r="X2118" s="110" t="s">
        <v>541</v>
      </c>
      <c r="Y2118" s="110" t="str">
        <f>IFERROR(VLOOKUP(F2118,'Freq-Chan'!C:E,3,FALSE),"na")</f>
        <v>na</v>
      </c>
      <c r="Z2118" s="110" t="s">
        <v>541</v>
      </c>
      <c r="AA2118" s="110" t="s">
        <v>541</v>
      </c>
      <c r="AB2118" s="110" t="s">
        <v>541</v>
      </c>
      <c r="AC2118" s="10" t="s">
        <v>541</v>
      </c>
      <c r="AD2118" s="10" t="s">
        <v>541</v>
      </c>
    </row>
    <row r="2119" spans="1:30" x14ac:dyDescent="0.2">
      <c r="A2119" s="110">
        <v>2118</v>
      </c>
      <c r="B2119" s="132">
        <v>41858</v>
      </c>
      <c r="C2119" s="117">
        <v>3</v>
      </c>
      <c r="D2119" s="103" t="s">
        <v>70</v>
      </c>
      <c r="E2119" s="103" t="s">
        <v>306</v>
      </c>
      <c r="H2119" s="103"/>
      <c r="I2119" s="103">
        <v>47</v>
      </c>
      <c r="K2119" s="103" t="s">
        <v>365</v>
      </c>
      <c r="L2119" s="133"/>
      <c r="M2119" s="134">
        <v>1.2499999999999999E-2</v>
      </c>
      <c r="N2119" s="135" t="s">
        <v>2934</v>
      </c>
      <c r="O2119" s="133" t="s">
        <v>950</v>
      </c>
      <c r="Q2119" s="100" t="s">
        <v>4060</v>
      </c>
      <c r="R2119" s="226" t="s">
        <v>4090</v>
      </c>
      <c r="S2119" s="503" t="str">
        <f t="shared" si="69"/>
        <v>x</v>
      </c>
      <c r="T2119" s="492" t="str">
        <f>IFERROR(VLOOKUP(F2119,'Freq-Chan'!C:D,2,FALSE),"x")</f>
        <v>x</v>
      </c>
      <c r="U2119" s="110" t="s">
        <v>541</v>
      </c>
      <c r="V2119" s="110" t="str">
        <f t="shared" si="70"/>
        <v>FWL</v>
      </c>
      <c r="W2119" s="110" t="s">
        <v>541</v>
      </c>
      <c r="X2119" s="110" t="s">
        <v>541</v>
      </c>
      <c r="Y2119" s="110" t="str">
        <f>IFERROR(VLOOKUP(F2119,'Freq-Chan'!C:E,3,FALSE),"na")</f>
        <v>na</v>
      </c>
      <c r="Z2119" s="110" t="s">
        <v>541</v>
      </c>
      <c r="AA2119" s="110" t="s">
        <v>541</v>
      </c>
      <c r="AB2119" s="110" t="s">
        <v>541</v>
      </c>
      <c r="AC2119" s="10" t="s">
        <v>541</v>
      </c>
      <c r="AD2119" s="10" t="s">
        <v>541</v>
      </c>
    </row>
    <row r="2120" spans="1:30" x14ac:dyDescent="0.2">
      <c r="A2120" s="110">
        <v>2119</v>
      </c>
      <c r="B2120" s="132">
        <v>41858</v>
      </c>
      <c r="C2120" s="117">
        <v>3</v>
      </c>
      <c r="D2120" s="103" t="s">
        <v>70</v>
      </c>
      <c r="E2120" s="103" t="s">
        <v>306</v>
      </c>
      <c r="F2120" s="103">
        <v>515</v>
      </c>
      <c r="G2120" s="103">
        <v>60</v>
      </c>
      <c r="H2120" s="103" t="s">
        <v>3091</v>
      </c>
      <c r="I2120" s="103">
        <v>46</v>
      </c>
      <c r="K2120" s="103" t="s">
        <v>365</v>
      </c>
      <c r="L2120" s="133"/>
      <c r="M2120" s="134">
        <v>6.25E-2</v>
      </c>
      <c r="N2120" s="135" t="s">
        <v>2655</v>
      </c>
      <c r="O2120" s="133" t="s">
        <v>3932</v>
      </c>
      <c r="Q2120" s="100" t="s">
        <v>4065</v>
      </c>
      <c r="R2120" s="226" t="s">
        <v>4090</v>
      </c>
      <c r="S2120" s="503" t="str">
        <f t="shared" si="69"/>
        <v>x</v>
      </c>
      <c r="T2120" s="492">
        <f>IFERROR(VLOOKUP(F2120,'Freq-Chan'!C:D,2,FALSE),"x")</f>
        <v>151.51499999999999</v>
      </c>
      <c r="U2120" s="110" t="s">
        <v>541</v>
      </c>
      <c r="V2120" s="110" t="str">
        <f t="shared" si="70"/>
        <v>FWL</v>
      </c>
      <c r="W2120" s="110" t="s">
        <v>541</v>
      </c>
      <c r="X2120" s="110" t="s">
        <v>541</v>
      </c>
      <c r="Y2120" s="110" t="str">
        <f>IFERROR(VLOOKUP(F2120,'Freq-Chan'!C:E,3,FALSE),"na")</f>
        <v>F1835</v>
      </c>
      <c r="Z2120" s="110" t="s">
        <v>541</v>
      </c>
      <c r="AA2120" s="110" t="s">
        <v>541</v>
      </c>
      <c r="AB2120" s="110" t="s">
        <v>541</v>
      </c>
      <c r="AC2120" s="10" t="s">
        <v>541</v>
      </c>
      <c r="AD2120" s="10" t="s">
        <v>541</v>
      </c>
    </row>
    <row r="2121" spans="1:30" x14ac:dyDescent="0.2">
      <c r="A2121" s="110">
        <v>2120</v>
      </c>
      <c r="B2121" s="132">
        <v>41858</v>
      </c>
      <c r="C2121" s="117">
        <v>3</v>
      </c>
      <c r="D2121" s="103" t="s">
        <v>71</v>
      </c>
      <c r="E2121" s="103" t="s">
        <v>306</v>
      </c>
      <c r="F2121" s="103">
        <v>564</v>
      </c>
      <c r="G2121" s="103">
        <v>22</v>
      </c>
      <c r="H2121" s="103" t="s">
        <v>2407</v>
      </c>
      <c r="I2121" s="103">
        <v>56</v>
      </c>
      <c r="K2121" s="103" t="s">
        <v>1032</v>
      </c>
      <c r="L2121" s="133"/>
      <c r="M2121" s="134">
        <v>4.1666666666666664E-2</v>
      </c>
      <c r="N2121" s="135" t="s">
        <v>3426</v>
      </c>
      <c r="O2121" s="133" t="s">
        <v>3932</v>
      </c>
      <c r="Q2121" s="100" t="s">
        <v>4065</v>
      </c>
      <c r="R2121" s="226" t="s">
        <v>4090</v>
      </c>
      <c r="S2121" s="491" t="str">
        <f t="shared" si="69"/>
        <v>x</v>
      </c>
      <c r="T2121" s="492">
        <f>IFERROR(VLOOKUP(F2121,'Freq-Chan'!C:D,2,FALSE),"x")</f>
        <v>151.56399999999999</v>
      </c>
      <c r="U2121" s="110" t="s">
        <v>541</v>
      </c>
      <c r="V2121" s="110" t="str">
        <f t="shared" si="70"/>
        <v>FWL</v>
      </c>
      <c r="W2121" s="110" t="s">
        <v>541</v>
      </c>
      <c r="X2121" s="110" t="s">
        <v>541</v>
      </c>
      <c r="Y2121" s="110" t="str">
        <f>IFERROR(VLOOKUP(F2121,'Freq-Chan'!C:E,3,FALSE),"na")</f>
        <v>F1840</v>
      </c>
      <c r="Z2121" s="110" t="s">
        <v>541</v>
      </c>
      <c r="AA2121" s="110" t="s">
        <v>541</v>
      </c>
      <c r="AB2121" s="110" t="s">
        <v>541</v>
      </c>
      <c r="AC2121" s="10" t="s">
        <v>541</v>
      </c>
      <c r="AD2121" s="10" t="s">
        <v>541</v>
      </c>
    </row>
    <row r="2122" spans="1:30" x14ac:dyDescent="0.2">
      <c r="A2122" s="110">
        <v>2121</v>
      </c>
      <c r="B2122" s="132">
        <v>41858</v>
      </c>
      <c r="C2122" s="117">
        <v>3</v>
      </c>
      <c r="D2122" s="103" t="s">
        <v>8</v>
      </c>
      <c r="E2122" s="103" t="s">
        <v>306</v>
      </c>
      <c r="F2122" s="103">
        <v>586</v>
      </c>
      <c r="G2122" s="103">
        <v>56</v>
      </c>
      <c r="H2122" s="103" t="s">
        <v>2206</v>
      </c>
      <c r="I2122" s="103">
        <v>49</v>
      </c>
      <c r="K2122" s="103" t="s">
        <v>365</v>
      </c>
      <c r="L2122" s="133"/>
      <c r="M2122" s="134">
        <v>6.1805555555555558E-2</v>
      </c>
      <c r="N2122" s="137" t="s">
        <v>3428</v>
      </c>
      <c r="O2122" s="133" t="s">
        <v>3932</v>
      </c>
      <c r="Q2122" s="100" t="s">
        <v>4065</v>
      </c>
      <c r="R2122" s="226" t="s">
        <v>4090</v>
      </c>
      <c r="S2122" s="491" t="str">
        <f t="shared" si="69"/>
        <v>x</v>
      </c>
      <c r="T2122" s="492">
        <f>IFERROR(VLOOKUP(F2122,'Freq-Chan'!C:D,2,FALSE),"x")</f>
        <v>151.58600000000001</v>
      </c>
      <c r="U2122" s="110" t="s">
        <v>541</v>
      </c>
      <c r="V2122" s="110" t="str">
        <f t="shared" si="70"/>
        <v>FWL</v>
      </c>
      <c r="W2122" s="110" t="s">
        <v>541</v>
      </c>
      <c r="X2122" s="110" t="s">
        <v>541</v>
      </c>
      <c r="Y2122" s="110" t="str">
        <f>IFERROR(VLOOKUP(F2122,'Freq-Chan'!C:E,3,FALSE),"na")</f>
        <v>F1840</v>
      </c>
      <c r="Z2122" s="110" t="s">
        <v>541</v>
      </c>
      <c r="AA2122" s="110" t="s">
        <v>541</v>
      </c>
      <c r="AB2122" s="110" t="s">
        <v>541</v>
      </c>
      <c r="AC2122" s="10" t="s">
        <v>541</v>
      </c>
      <c r="AD2122" s="10" t="s">
        <v>541</v>
      </c>
    </row>
    <row r="2123" spans="1:30" x14ac:dyDescent="0.2">
      <c r="A2123" s="110">
        <v>2122</v>
      </c>
      <c r="B2123" s="132">
        <v>41858</v>
      </c>
      <c r="C2123" s="117">
        <v>3</v>
      </c>
      <c r="D2123" s="103" t="s">
        <v>71</v>
      </c>
      <c r="E2123" s="103" t="s">
        <v>306</v>
      </c>
      <c r="H2123" s="103"/>
      <c r="I2123" s="103">
        <v>63</v>
      </c>
      <c r="K2123" s="103" t="s">
        <v>365</v>
      </c>
      <c r="L2123" s="133"/>
      <c r="M2123" s="134">
        <v>2.013888888888889E-2</v>
      </c>
      <c r="N2123" s="135" t="s">
        <v>3982</v>
      </c>
      <c r="O2123" s="133" t="s">
        <v>2931</v>
      </c>
      <c r="Q2123" s="100" t="s">
        <v>4065</v>
      </c>
      <c r="R2123" s="226" t="s">
        <v>4090</v>
      </c>
      <c r="S2123" s="491" t="str">
        <f t="shared" si="69"/>
        <v>x</v>
      </c>
      <c r="T2123" s="492" t="str">
        <f>IFERROR(VLOOKUP(F2123,'Freq-Chan'!C:D,2,FALSE),"x")</f>
        <v>x</v>
      </c>
      <c r="U2123" s="110" t="s">
        <v>541</v>
      </c>
      <c r="V2123" s="110" t="str">
        <f t="shared" si="70"/>
        <v>FWL</v>
      </c>
      <c r="W2123" s="110" t="s">
        <v>541</v>
      </c>
      <c r="X2123" s="110" t="s">
        <v>541</v>
      </c>
      <c r="Y2123" s="110" t="str">
        <f>IFERROR(VLOOKUP(F2123,'Freq-Chan'!C:E,3,FALSE),"na")</f>
        <v>na</v>
      </c>
      <c r="Z2123" s="110" t="s">
        <v>541</v>
      </c>
      <c r="AA2123" s="110" t="s">
        <v>541</v>
      </c>
      <c r="AB2123" s="110" t="s">
        <v>541</v>
      </c>
      <c r="AC2123" s="10" t="s">
        <v>541</v>
      </c>
      <c r="AD2123" s="10" t="s">
        <v>541</v>
      </c>
    </row>
    <row r="2124" spans="1:30" x14ac:dyDescent="0.2">
      <c r="A2124" s="110">
        <v>2123</v>
      </c>
      <c r="B2124" s="132">
        <v>41858</v>
      </c>
      <c r="C2124" s="117">
        <v>3</v>
      </c>
      <c r="D2124" s="103" t="s">
        <v>72</v>
      </c>
      <c r="E2124" s="103" t="s">
        <v>306</v>
      </c>
      <c r="F2124" s="103">
        <v>325</v>
      </c>
      <c r="G2124" s="103">
        <v>19</v>
      </c>
      <c r="H2124" s="103" t="s">
        <v>3530</v>
      </c>
      <c r="I2124" s="103">
        <v>55</v>
      </c>
      <c r="K2124" s="103" t="s">
        <v>365</v>
      </c>
      <c r="L2124" s="133"/>
      <c r="M2124" s="134">
        <v>4.1666666666666664E-2</v>
      </c>
      <c r="N2124" s="135" t="s">
        <v>4083</v>
      </c>
      <c r="O2124" s="133" t="s">
        <v>3932</v>
      </c>
      <c r="Q2124" s="100" t="s">
        <v>4065</v>
      </c>
      <c r="R2124" s="226" t="s">
        <v>4090</v>
      </c>
      <c r="S2124" s="491" t="str">
        <f t="shared" si="69"/>
        <v>x</v>
      </c>
      <c r="T2124" s="492">
        <f>IFERROR(VLOOKUP(F2124,'Freq-Chan'!C:D,2,FALSE),"x")</f>
        <v>151.32499999999999</v>
      </c>
      <c r="U2124" s="110" t="s">
        <v>541</v>
      </c>
      <c r="V2124" s="110" t="str">
        <f t="shared" si="70"/>
        <v>FWL</v>
      </c>
      <c r="W2124" s="110" t="s">
        <v>541</v>
      </c>
      <c r="X2124" s="110" t="s">
        <v>541</v>
      </c>
      <c r="Y2124" s="110" t="str">
        <f>IFERROR(VLOOKUP(F2124,'Freq-Chan'!C:E,3,FALSE),"na")</f>
        <v>F1840</v>
      </c>
      <c r="Z2124" s="110" t="s">
        <v>541</v>
      </c>
      <c r="AA2124" s="110" t="s">
        <v>541</v>
      </c>
      <c r="AB2124" s="110" t="s">
        <v>541</v>
      </c>
      <c r="AC2124" s="10" t="s">
        <v>541</v>
      </c>
      <c r="AD2124" s="10" t="s">
        <v>541</v>
      </c>
    </row>
    <row r="2125" spans="1:30" x14ac:dyDescent="0.2">
      <c r="A2125" s="110">
        <v>2124</v>
      </c>
      <c r="B2125" s="132">
        <v>41858</v>
      </c>
      <c r="C2125" s="117">
        <v>3</v>
      </c>
      <c r="D2125" s="103" t="s">
        <v>71</v>
      </c>
      <c r="E2125" s="103" t="s">
        <v>306</v>
      </c>
      <c r="F2125" s="103">
        <v>564</v>
      </c>
      <c r="G2125" s="103">
        <v>83</v>
      </c>
      <c r="H2125" s="103" t="s">
        <v>2408</v>
      </c>
      <c r="I2125" s="103">
        <v>58</v>
      </c>
      <c r="K2125" s="103" t="s">
        <v>365</v>
      </c>
      <c r="L2125" s="133"/>
      <c r="M2125" s="134">
        <v>5.0694444444444452E-2</v>
      </c>
      <c r="N2125" s="137" t="s">
        <v>3972</v>
      </c>
      <c r="O2125" s="133" t="s">
        <v>2931</v>
      </c>
      <c r="Q2125" s="100" t="s">
        <v>4065</v>
      </c>
      <c r="R2125" s="226" t="s">
        <v>4090</v>
      </c>
      <c r="S2125" s="491" t="str">
        <f t="shared" si="69"/>
        <v>x</v>
      </c>
      <c r="T2125" s="492">
        <f>IFERROR(VLOOKUP(F2125,'Freq-Chan'!C:D,2,FALSE),"x")</f>
        <v>151.56399999999999</v>
      </c>
      <c r="U2125" s="110" t="s">
        <v>541</v>
      </c>
      <c r="V2125" s="110" t="str">
        <f t="shared" si="70"/>
        <v>FWL</v>
      </c>
      <c r="W2125" s="110" t="s">
        <v>541</v>
      </c>
      <c r="X2125" s="110" t="s">
        <v>541</v>
      </c>
      <c r="Y2125" s="110" t="str">
        <f>IFERROR(VLOOKUP(F2125,'Freq-Chan'!C:E,3,FALSE),"na")</f>
        <v>F1840</v>
      </c>
      <c r="Z2125" s="110" t="s">
        <v>541</v>
      </c>
      <c r="AA2125" s="110" t="s">
        <v>541</v>
      </c>
      <c r="AB2125" s="110" t="s">
        <v>541</v>
      </c>
      <c r="AC2125" s="10" t="s">
        <v>541</v>
      </c>
      <c r="AD2125" s="10" t="s">
        <v>541</v>
      </c>
    </row>
    <row r="2126" spans="1:30" x14ac:dyDescent="0.2">
      <c r="A2126" s="110">
        <v>2125</v>
      </c>
      <c r="B2126" s="132">
        <v>41858</v>
      </c>
      <c r="C2126" s="117">
        <v>3</v>
      </c>
      <c r="D2126" s="103" t="s">
        <v>70</v>
      </c>
      <c r="E2126" s="103" t="s">
        <v>306</v>
      </c>
      <c r="F2126" s="103">
        <v>596</v>
      </c>
      <c r="G2126" s="103">
        <v>15</v>
      </c>
      <c r="H2126" s="103" t="s">
        <v>3093</v>
      </c>
      <c r="I2126" s="103">
        <v>45</v>
      </c>
      <c r="K2126" s="103" t="s">
        <v>1032</v>
      </c>
      <c r="L2126" s="133"/>
      <c r="M2126" s="134">
        <v>5.4166666666666669E-2</v>
      </c>
      <c r="N2126" s="137" t="s">
        <v>3755</v>
      </c>
      <c r="O2126" s="133" t="s">
        <v>2931</v>
      </c>
      <c r="Q2126" s="100" t="s">
        <v>4065</v>
      </c>
      <c r="R2126" s="226" t="s">
        <v>4090</v>
      </c>
      <c r="S2126" s="491" t="str">
        <f t="shared" si="69"/>
        <v>x</v>
      </c>
      <c r="T2126" s="492">
        <f>IFERROR(VLOOKUP(F2126,'Freq-Chan'!C:D,2,FALSE),"x")</f>
        <v>151.596</v>
      </c>
      <c r="U2126" s="110" t="s">
        <v>541</v>
      </c>
      <c r="V2126" s="110" t="str">
        <f t="shared" si="70"/>
        <v>FWL</v>
      </c>
      <c r="W2126" s="110" t="s">
        <v>541</v>
      </c>
      <c r="X2126" s="110" t="s">
        <v>541</v>
      </c>
      <c r="Y2126" s="110" t="str">
        <f>IFERROR(VLOOKUP(F2126,'Freq-Chan'!C:E,3,FALSE),"na")</f>
        <v>F1835</v>
      </c>
      <c r="Z2126" s="110" t="s">
        <v>541</v>
      </c>
      <c r="AA2126" s="110" t="s">
        <v>541</v>
      </c>
      <c r="AB2126" s="110" t="s">
        <v>541</v>
      </c>
      <c r="AC2126" s="10" t="s">
        <v>541</v>
      </c>
      <c r="AD2126" s="10" t="s">
        <v>541</v>
      </c>
    </row>
    <row r="2127" spans="1:30" x14ac:dyDescent="0.2">
      <c r="A2127" s="110">
        <v>2126</v>
      </c>
      <c r="B2127" s="132">
        <v>41858</v>
      </c>
      <c r="C2127" s="117">
        <v>3</v>
      </c>
      <c r="D2127" s="103" t="s">
        <v>72</v>
      </c>
      <c r="E2127" s="103" t="s">
        <v>306</v>
      </c>
      <c r="F2127" s="103">
        <v>325</v>
      </c>
      <c r="G2127" s="103">
        <v>62</v>
      </c>
      <c r="H2127" s="103" t="s">
        <v>3531</v>
      </c>
      <c r="I2127" s="103">
        <v>55</v>
      </c>
      <c r="K2127" s="103" t="s">
        <v>1032</v>
      </c>
      <c r="L2127" s="133"/>
      <c r="M2127" s="134">
        <v>4.9305555555555554E-2</v>
      </c>
      <c r="N2127" s="135" t="s">
        <v>711</v>
      </c>
      <c r="O2127" s="133" t="s">
        <v>2931</v>
      </c>
      <c r="Q2127" s="100" t="s">
        <v>4065</v>
      </c>
      <c r="R2127" s="226" t="s">
        <v>4090</v>
      </c>
      <c r="S2127" s="491" t="str">
        <f t="shared" si="69"/>
        <v>x</v>
      </c>
      <c r="T2127" s="492">
        <f>IFERROR(VLOOKUP(F2127,'Freq-Chan'!C:D,2,FALSE),"x")</f>
        <v>151.32499999999999</v>
      </c>
      <c r="U2127" s="110" t="s">
        <v>541</v>
      </c>
      <c r="V2127" s="110" t="str">
        <f t="shared" si="70"/>
        <v>FWL</v>
      </c>
      <c r="W2127" s="110" t="s">
        <v>541</v>
      </c>
      <c r="X2127" s="110" t="s">
        <v>541</v>
      </c>
      <c r="Y2127" s="110" t="str">
        <f>IFERROR(VLOOKUP(F2127,'Freq-Chan'!C:E,3,FALSE),"na")</f>
        <v>F1840</v>
      </c>
      <c r="Z2127" s="110" t="s">
        <v>541</v>
      </c>
      <c r="AA2127" s="110" t="s">
        <v>541</v>
      </c>
      <c r="AB2127" s="110" t="s">
        <v>541</v>
      </c>
      <c r="AC2127" s="10" t="s">
        <v>541</v>
      </c>
      <c r="AD2127" s="10" t="s">
        <v>541</v>
      </c>
    </row>
    <row r="2128" spans="1:30" x14ac:dyDescent="0.2">
      <c r="A2128" s="110">
        <v>2127</v>
      </c>
      <c r="B2128" s="132">
        <v>41858</v>
      </c>
      <c r="C2128" s="117">
        <v>3</v>
      </c>
      <c r="D2128" s="103" t="s">
        <v>71</v>
      </c>
      <c r="E2128" s="103" t="s">
        <v>306</v>
      </c>
      <c r="H2128" s="103"/>
      <c r="I2128" s="103">
        <v>60</v>
      </c>
      <c r="K2128" s="103" t="s">
        <v>1032</v>
      </c>
      <c r="L2128" s="133"/>
      <c r="M2128" s="134">
        <v>1.3888888888888888E-2</v>
      </c>
      <c r="N2128" s="137" t="s">
        <v>4084</v>
      </c>
      <c r="O2128" s="133" t="s">
        <v>3932</v>
      </c>
      <c r="Q2128" s="100" t="s">
        <v>4065</v>
      </c>
      <c r="R2128" s="226" t="s">
        <v>4090</v>
      </c>
      <c r="S2128" s="491" t="str">
        <f t="shared" si="69"/>
        <v>x</v>
      </c>
      <c r="T2128" s="492" t="str">
        <f>IFERROR(VLOOKUP(F2128,'Freq-Chan'!C:D,2,FALSE),"x")</f>
        <v>x</v>
      </c>
      <c r="U2128" s="110" t="s">
        <v>541</v>
      </c>
      <c r="V2128" s="110" t="str">
        <f t="shared" si="70"/>
        <v>FWL</v>
      </c>
      <c r="W2128" s="110" t="s">
        <v>541</v>
      </c>
      <c r="X2128" s="110" t="s">
        <v>541</v>
      </c>
      <c r="Y2128" s="110" t="str">
        <f>IFERROR(VLOOKUP(F2128,'Freq-Chan'!C:E,3,FALSE),"na")</f>
        <v>na</v>
      </c>
      <c r="Z2128" s="110" t="s">
        <v>541</v>
      </c>
      <c r="AA2128" s="110" t="s">
        <v>541</v>
      </c>
      <c r="AB2128" s="110" t="s">
        <v>541</v>
      </c>
      <c r="AC2128" s="10" t="s">
        <v>541</v>
      </c>
      <c r="AD2128" s="10" t="s">
        <v>541</v>
      </c>
    </row>
    <row r="2129" spans="1:30" x14ac:dyDescent="0.2">
      <c r="A2129" s="110">
        <v>2128</v>
      </c>
      <c r="B2129" s="132">
        <v>41858</v>
      </c>
      <c r="C2129" s="117">
        <v>3</v>
      </c>
      <c r="D2129" s="103" t="s">
        <v>71</v>
      </c>
      <c r="E2129" s="103" t="s">
        <v>306</v>
      </c>
      <c r="H2129" s="142"/>
      <c r="I2129" s="103">
        <v>66</v>
      </c>
      <c r="K2129" s="103" t="s">
        <v>1032</v>
      </c>
      <c r="L2129" s="133"/>
      <c r="M2129" s="134">
        <v>1.6666666666666666E-2</v>
      </c>
      <c r="N2129" s="135" t="s">
        <v>383</v>
      </c>
      <c r="O2129" s="133" t="s">
        <v>3932</v>
      </c>
      <c r="Q2129" s="100" t="s">
        <v>4065</v>
      </c>
      <c r="R2129" s="226" t="s">
        <v>4090</v>
      </c>
      <c r="S2129" s="491" t="str">
        <f t="shared" si="69"/>
        <v>x</v>
      </c>
      <c r="T2129" s="492" t="str">
        <f>IFERROR(VLOOKUP(F2129,'Freq-Chan'!C:D,2,FALSE),"x")</f>
        <v>x</v>
      </c>
      <c r="U2129" s="110" t="s">
        <v>541</v>
      </c>
      <c r="V2129" s="110" t="str">
        <f t="shared" si="70"/>
        <v>FWL</v>
      </c>
      <c r="W2129" s="110" t="s">
        <v>541</v>
      </c>
      <c r="X2129" s="110" t="s">
        <v>541</v>
      </c>
      <c r="Y2129" s="110" t="str">
        <f>IFERROR(VLOOKUP(F2129,'Freq-Chan'!C:E,3,FALSE),"na")</f>
        <v>na</v>
      </c>
      <c r="Z2129" s="110" t="s">
        <v>541</v>
      </c>
      <c r="AA2129" s="110" t="s">
        <v>541</v>
      </c>
      <c r="AB2129" s="110" t="s">
        <v>541</v>
      </c>
      <c r="AC2129" s="10" t="s">
        <v>541</v>
      </c>
      <c r="AD2129" s="10" t="s">
        <v>541</v>
      </c>
    </row>
    <row r="2130" spans="1:30" x14ac:dyDescent="0.2">
      <c r="A2130" s="110">
        <v>2129</v>
      </c>
      <c r="B2130" s="132">
        <v>41858</v>
      </c>
      <c r="C2130" s="117">
        <v>3</v>
      </c>
      <c r="D2130" s="103" t="s">
        <v>71</v>
      </c>
      <c r="E2130" s="103" t="s">
        <v>306</v>
      </c>
      <c r="H2130" s="103"/>
      <c r="I2130" s="103">
        <v>59</v>
      </c>
      <c r="K2130" s="103" t="s">
        <v>365</v>
      </c>
      <c r="L2130" s="133"/>
      <c r="M2130" s="134">
        <v>1.3888888888888888E-2</v>
      </c>
      <c r="N2130" s="137" t="s">
        <v>638</v>
      </c>
      <c r="O2130" s="133" t="s">
        <v>3932</v>
      </c>
      <c r="Q2130" s="100" t="s">
        <v>4065</v>
      </c>
      <c r="R2130" s="226" t="s">
        <v>4090</v>
      </c>
      <c r="S2130" s="491" t="str">
        <f t="shared" si="69"/>
        <v>x</v>
      </c>
      <c r="T2130" s="492" t="str">
        <f>IFERROR(VLOOKUP(F2130,'Freq-Chan'!C:D,2,FALSE),"x")</f>
        <v>x</v>
      </c>
      <c r="U2130" s="110" t="s">
        <v>541</v>
      </c>
      <c r="V2130" s="110" t="str">
        <f t="shared" si="70"/>
        <v>FWL</v>
      </c>
      <c r="W2130" s="110" t="s">
        <v>541</v>
      </c>
      <c r="X2130" s="110" t="s">
        <v>541</v>
      </c>
      <c r="Y2130" s="110" t="str">
        <f>IFERROR(VLOOKUP(F2130,'Freq-Chan'!C:E,3,FALSE),"na")</f>
        <v>na</v>
      </c>
      <c r="Z2130" s="110" t="s">
        <v>541</v>
      </c>
      <c r="AA2130" s="110" t="s">
        <v>541</v>
      </c>
      <c r="AB2130" s="110" t="s">
        <v>541</v>
      </c>
      <c r="AC2130" s="10" t="s">
        <v>541</v>
      </c>
      <c r="AD2130" s="10" t="s">
        <v>541</v>
      </c>
    </row>
    <row r="2131" spans="1:30" x14ac:dyDescent="0.2">
      <c r="A2131" s="110">
        <v>2130</v>
      </c>
      <c r="B2131" s="132">
        <v>41858</v>
      </c>
      <c r="C2131" s="117">
        <v>3</v>
      </c>
      <c r="D2131" s="103" t="s">
        <v>72</v>
      </c>
      <c r="E2131" s="103" t="s">
        <v>306</v>
      </c>
      <c r="F2131" s="103">
        <v>266</v>
      </c>
      <c r="G2131" s="103">
        <v>63</v>
      </c>
      <c r="H2131" s="103" t="s">
        <v>3532</v>
      </c>
      <c r="I2131" s="103">
        <v>52</v>
      </c>
      <c r="K2131" s="103" t="s">
        <v>364</v>
      </c>
      <c r="L2131" s="133"/>
      <c r="M2131" s="134">
        <v>5.4166666666666669E-2</v>
      </c>
      <c r="N2131" s="137" t="s">
        <v>2840</v>
      </c>
      <c r="O2131" s="133" t="s">
        <v>2931</v>
      </c>
      <c r="P2131" s="100" t="s">
        <v>4466</v>
      </c>
      <c r="Q2131" s="100" t="s">
        <v>4065</v>
      </c>
      <c r="R2131" s="226" t="s">
        <v>4090</v>
      </c>
      <c r="S2131" s="491" t="str">
        <f t="shared" si="69"/>
        <v>x</v>
      </c>
      <c r="T2131" s="492">
        <f>IFERROR(VLOOKUP(F2131,'Freq-Chan'!C:D,2,FALSE),"x")</f>
        <v>151.26599999999999</v>
      </c>
      <c r="U2131" s="110" t="s">
        <v>541</v>
      </c>
      <c r="V2131" s="110" t="str">
        <f t="shared" si="70"/>
        <v>FWL</v>
      </c>
      <c r="W2131" s="110" t="s">
        <v>541</v>
      </c>
      <c r="X2131" s="110" t="s">
        <v>541</v>
      </c>
      <c r="Y2131" s="110" t="str">
        <f>IFERROR(VLOOKUP(F2131,'Freq-Chan'!C:E,3,FALSE),"na")</f>
        <v>F1840</v>
      </c>
      <c r="Z2131" s="110" t="s">
        <v>541</v>
      </c>
      <c r="AA2131" s="110" t="s">
        <v>541</v>
      </c>
      <c r="AB2131" s="110" t="s">
        <v>541</v>
      </c>
      <c r="AC2131" s="10" t="s">
        <v>541</v>
      </c>
      <c r="AD2131" s="10" t="s">
        <v>541</v>
      </c>
    </row>
    <row r="2132" spans="1:30" x14ac:dyDescent="0.2">
      <c r="A2132" s="110">
        <v>2131</v>
      </c>
      <c r="B2132" s="132">
        <v>41858</v>
      </c>
      <c r="C2132" s="117">
        <v>3</v>
      </c>
      <c r="D2132" s="103" t="s">
        <v>71</v>
      </c>
      <c r="E2132" s="103" t="s">
        <v>306</v>
      </c>
      <c r="H2132" s="103"/>
      <c r="I2132" s="103">
        <v>56</v>
      </c>
      <c r="K2132" s="103" t="s">
        <v>1032</v>
      </c>
      <c r="L2132" s="133"/>
      <c r="M2132" s="134">
        <v>1.5972222222222224E-2</v>
      </c>
      <c r="N2132" s="137" t="s">
        <v>3951</v>
      </c>
      <c r="O2132" s="133" t="s">
        <v>3932</v>
      </c>
      <c r="Q2132" s="100" t="s">
        <v>4065</v>
      </c>
      <c r="R2132" s="226" t="s">
        <v>4090</v>
      </c>
      <c r="S2132" s="491" t="str">
        <f t="shared" si="69"/>
        <v>x</v>
      </c>
      <c r="T2132" s="492" t="str">
        <f>IFERROR(VLOOKUP(F2132,'Freq-Chan'!C:D,2,FALSE),"x")</f>
        <v>x</v>
      </c>
      <c r="U2132" s="110" t="s">
        <v>541</v>
      </c>
      <c r="V2132" s="110" t="str">
        <f t="shared" si="70"/>
        <v>FWL</v>
      </c>
      <c r="W2132" s="110" t="s">
        <v>541</v>
      </c>
      <c r="X2132" s="110" t="s">
        <v>541</v>
      </c>
      <c r="Y2132" s="110" t="str">
        <f>IFERROR(VLOOKUP(F2132,'Freq-Chan'!C:E,3,FALSE),"na")</f>
        <v>na</v>
      </c>
      <c r="Z2132" s="110" t="s">
        <v>541</v>
      </c>
      <c r="AA2132" s="110" t="s">
        <v>541</v>
      </c>
      <c r="AB2132" s="110" t="s">
        <v>541</v>
      </c>
      <c r="AC2132" s="10" t="s">
        <v>541</v>
      </c>
      <c r="AD2132" s="10" t="s">
        <v>541</v>
      </c>
    </row>
    <row r="2133" spans="1:30" x14ac:dyDescent="0.2">
      <c r="A2133" s="110">
        <v>2132</v>
      </c>
      <c r="B2133" s="132">
        <v>41858</v>
      </c>
      <c r="C2133" s="117">
        <v>3</v>
      </c>
      <c r="D2133" s="103" t="s">
        <v>71</v>
      </c>
      <c r="E2133" s="103" t="s">
        <v>306</v>
      </c>
      <c r="H2133" s="103"/>
      <c r="I2133" s="103">
        <v>57</v>
      </c>
      <c r="K2133" s="103" t="s">
        <v>1032</v>
      </c>
      <c r="L2133" s="133"/>
      <c r="M2133" s="134">
        <v>1.3888888888888888E-2</v>
      </c>
      <c r="N2133" s="135" t="s">
        <v>1801</v>
      </c>
      <c r="O2133" s="133" t="s">
        <v>3932</v>
      </c>
      <c r="Q2133" s="100" t="s">
        <v>4065</v>
      </c>
      <c r="R2133" s="226" t="s">
        <v>4090</v>
      </c>
      <c r="S2133" s="491" t="str">
        <f t="shared" si="69"/>
        <v>x</v>
      </c>
      <c r="T2133" s="492" t="str">
        <f>IFERROR(VLOOKUP(F2133,'Freq-Chan'!C:D,2,FALSE),"x")</f>
        <v>x</v>
      </c>
      <c r="U2133" s="110" t="s">
        <v>541</v>
      </c>
      <c r="V2133" s="110" t="str">
        <f t="shared" si="70"/>
        <v>FWL</v>
      </c>
      <c r="W2133" s="110" t="s">
        <v>541</v>
      </c>
      <c r="X2133" s="110" t="s">
        <v>541</v>
      </c>
      <c r="Y2133" s="110" t="str">
        <f>IFERROR(VLOOKUP(F2133,'Freq-Chan'!C:E,3,FALSE),"na")</f>
        <v>na</v>
      </c>
      <c r="Z2133" s="110" t="s">
        <v>541</v>
      </c>
      <c r="AA2133" s="110" t="s">
        <v>541</v>
      </c>
      <c r="AB2133" s="110" t="s">
        <v>541</v>
      </c>
      <c r="AC2133" s="10" t="s">
        <v>541</v>
      </c>
      <c r="AD2133" s="10" t="s">
        <v>541</v>
      </c>
    </row>
    <row r="2134" spans="1:30" x14ac:dyDescent="0.2">
      <c r="A2134" s="110">
        <v>2133</v>
      </c>
      <c r="B2134" s="132">
        <v>41858</v>
      </c>
      <c r="C2134" s="117">
        <v>3</v>
      </c>
      <c r="D2134" s="103" t="s">
        <v>71</v>
      </c>
      <c r="E2134" s="103" t="s">
        <v>306</v>
      </c>
      <c r="H2134" s="103"/>
      <c r="I2134" s="103">
        <v>54</v>
      </c>
      <c r="K2134" s="103" t="s">
        <v>365</v>
      </c>
      <c r="L2134" s="133"/>
      <c r="M2134" s="134">
        <v>1.2499999999999999E-2</v>
      </c>
      <c r="N2134" s="135" t="s">
        <v>1851</v>
      </c>
      <c r="O2134" s="133" t="s">
        <v>3932</v>
      </c>
      <c r="Q2134" s="100" t="s">
        <v>4065</v>
      </c>
      <c r="R2134" s="226" t="s">
        <v>4090</v>
      </c>
      <c r="S2134" s="491" t="str">
        <f t="shared" si="69"/>
        <v>x</v>
      </c>
      <c r="T2134" s="492" t="str">
        <f>IFERROR(VLOOKUP(F2134,'Freq-Chan'!C:D,2,FALSE),"x")</f>
        <v>x</v>
      </c>
      <c r="U2134" s="110" t="s">
        <v>541</v>
      </c>
      <c r="V2134" s="110" t="str">
        <f t="shared" si="70"/>
        <v>FWL</v>
      </c>
      <c r="W2134" s="110" t="s">
        <v>541</v>
      </c>
      <c r="X2134" s="110" t="s">
        <v>541</v>
      </c>
      <c r="Y2134" s="110" t="str">
        <f>IFERROR(VLOOKUP(F2134,'Freq-Chan'!C:E,3,FALSE),"na")</f>
        <v>na</v>
      </c>
      <c r="Z2134" s="110" t="s">
        <v>541</v>
      </c>
      <c r="AA2134" s="110" t="s">
        <v>541</v>
      </c>
      <c r="AB2134" s="110" t="s">
        <v>541</v>
      </c>
      <c r="AC2134" s="10" t="s">
        <v>541</v>
      </c>
      <c r="AD2134" s="10" t="s">
        <v>541</v>
      </c>
    </row>
    <row r="2135" spans="1:30" x14ac:dyDescent="0.2">
      <c r="A2135" s="110">
        <v>2134</v>
      </c>
      <c r="B2135" s="132">
        <v>41858</v>
      </c>
      <c r="C2135" s="117">
        <v>3</v>
      </c>
      <c r="D2135" s="103" t="s">
        <v>2</v>
      </c>
      <c r="E2135" s="103" t="s">
        <v>306</v>
      </c>
      <c r="H2135" s="103"/>
      <c r="I2135" s="103">
        <v>64</v>
      </c>
      <c r="K2135" s="103" t="s">
        <v>1032</v>
      </c>
      <c r="L2135" s="133"/>
      <c r="M2135" s="134">
        <v>2.0833333333333332E-2</v>
      </c>
      <c r="N2135" s="135" t="s">
        <v>4085</v>
      </c>
      <c r="O2135" s="133" t="s">
        <v>2931</v>
      </c>
      <c r="P2135" s="100" t="s">
        <v>4093</v>
      </c>
      <c r="Q2135" s="100" t="s">
        <v>4065</v>
      </c>
      <c r="R2135" s="226" t="s">
        <v>4090</v>
      </c>
      <c r="S2135" s="491" t="str">
        <f t="shared" si="69"/>
        <v>x</v>
      </c>
      <c r="T2135" s="492" t="str">
        <f>IFERROR(VLOOKUP(F2135,'Freq-Chan'!C:D,2,FALSE),"x")</f>
        <v>x</v>
      </c>
      <c r="U2135" s="110" t="s">
        <v>541</v>
      </c>
      <c r="V2135" s="110" t="str">
        <f t="shared" si="70"/>
        <v>FWL</v>
      </c>
      <c r="W2135" s="110" t="s">
        <v>541</v>
      </c>
      <c r="X2135" s="110" t="s">
        <v>541</v>
      </c>
      <c r="Y2135" s="110" t="str">
        <f>IFERROR(VLOOKUP(F2135,'Freq-Chan'!C:E,3,FALSE),"na")</f>
        <v>na</v>
      </c>
      <c r="Z2135" s="110" t="s">
        <v>541</v>
      </c>
      <c r="AA2135" s="110" t="s">
        <v>541</v>
      </c>
      <c r="AB2135" s="110" t="s">
        <v>541</v>
      </c>
      <c r="AC2135" s="10" t="s">
        <v>541</v>
      </c>
      <c r="AD2135" s="10" t="s">
        <v>541</v>
      </c>
    </row>
    <row r="2136" spans="1:30" x14ac:dyDescent="0.2">
      <c r="A2136" s="110">
        <v>2135</v>
      </c>
      <c r="B2136" s="132">
        <v>41858</v>
      </c>
      <c r="C2136" s="117">
        <v>3</v>
      </c>
      <c r="D2136" s="103" t="s">
        <v>70</v>
      </c>
      <c r="E2136" s="103" t="s">
        <v>306</v>
      </c>
      <c r="F2136" s="103">
        <v>596</v>
      </c>
      <c r="G2136" s="103">
        <v>74</v>
      </c>
      <c r="H2136" s="103" t="s">
        <v>3092</v>
      </c>
      <c r="I2136" s="103">
        <v>47</v>
      </c>
      <c r="K2136" s="103" t="s">
        <v>365</v>
      </c>
      <c r="L2136" s="133"/>
      <c r="M2136" s="134">
        <v>3.5416666666666666E-2</v>
      </c>
      <c r="N2136" s="135" t="s">
        <v>1686</v>
      </c>
      <c r="O2136" s="133" t="s">
        <v>376</v>
      </c>
      <c r="Q2136" s="100" t="s">
        <v>4094</v>
      </c>
      <c r="R2136" s="226" t="s">
        <v>4090</v>
      </c>
      <c r="S2136" s="491" t="str">
        <f t="shared" si="69"/>
        <v>x</v>
      </c>
      <c r="T2136" s="492">
        <f>IFERROR(VLOOKUP(F2136,'Freq-Chan'!C:D,2,FALSE),"x")</f>
        <v>151.596</v>
      </c>
      <c r="U2136" s="110" t="s">
        <v>541</v>
      </c>
      <c r="V2136" s="110" t="str">
        <f t="shared" si="70"/>
        <v>FWL</v>
      </c>
      <c r="W2136" s="110" t="s">
        <v>541</v>
      </c>
      <c r="X2136" s="110" t="s">
        <v>541</v>
      </c>
      <c r="Y2136" s="110" t="str">
        <f>IFERROR(VLOOKUP(F2136,'Freq-Chan'!C:E,3,FALSE),"na")</f>
        <v>F1835</v>
      </c>
      <c r="Z2136" s="110" t="s">
        <v>541</v>
      </c>
      <c r="AA2136" s="110" t="s">
        <v>541</v>
      </c>
      <c r="AB2136" s="110" t="s">
        <v>541</v>
      </c>
      <c r="AC2136" s="10" t="s">
        <v>541</v>
      </c>
      <c r="AD2136" s="10" t="s">
        <v>541</v>
      </c>
    </row>
    <row r="2137" spans="1:30" x14ac:dyDescent="0.2">
      <c r="A2137" s="110">
        <v>2136</v>
      </c>
      <c r="B2137" s="132">
        <v>41858</v>
      </c>
      <c r="C2137" s="117">
        <v>3</v>
      </c>
      <c r="D2137" s="103" t="s">
        <v>71</v>
      </c>
      <c r="E2137" s="103" t="s">
        <v>306</v>
      </c>
      <c r="F2137" s="103">
        <v>564</v>
      </c>
      <c r="G2137" s="103">
        <v>57</v>
      </c>
      <c r="H2137" s="103" t="s">
        <v>2409</v>
      </c>
      <c r="I2137" s="103">
        <v>53</v>
      </c>
      <c r="K2137" s="103" t="s">
        <v>364</v>
      </c>
      <c r="L2137" s="133"/>
      <c r="M2137" s="134">
        <v>4.3055555555555562E-2</v>
      </c>
      <c r="N2137" s="135" t="s">
        <v>4086</v>
      </c>
      <c r="O2137" s="133" t="s">
        <v>1585</v>
      </c>
      <c r="Q2137" s="100" t="s">
        <v>4094</v>
      </c>
      <c r="R2137" s="226" t="s">
        <v>4090</v>
      </c>
      <c r="S2137" s="491" t="str">
        <f t="shared" si="69"/>
        <v>x</v>
      </c>
      <c r="T2137" s="492">
        <f>IFERROR(VLOOKUP(F2137,'Freq-Chan'!C:D,2,FALSE),"x")</f>
        <v>151.56399999999999</v>
      </c>
      <c r="U2137" s="110" t="s">
        <v>541</v>
      </c>
      <c r="V2137" s="110" t="str">
        <f t="shared" si="70"/>
        <v>FWL</v>
      </c>
      <c r="W2137" s="110" t="s">
        <v>541</v>
      </c>
      <c r="X2137" s="110" t="s">
        <v>541</v>
      </c>
      <c r="Y2137" s="110" t="str">
        <f>IFERROR(VLOOKUP(F2137,'Freq-Chan'!C:E,3,FALSE),"na")</f>
        <v>F1840</v>
      </c>
      <c r="Z2137" s="110" t="s">
        <v>541</v>
      </c>
      <c r="AA2137" s="110" t="s">
        <v>541</v>
      </c>
      <c r="AB2137" s="110" t="s">
        <v>541</v>
      </c>
      <c r="AC2137" s="10" t="s">
        <v>541</v>
      </c>
      <c r="AD2137" s="10" t="s">
        <v>541</v>
      </c>
    </row>
    <row r="2138" spans="1:30" s="291" customFormat="1" x14ac:dyDescent="0.2">
      <c r="A2138" s="493">
        <v>2137</v>
      </c>
      <c r="B2138" s="283">
        <v>41858</v>
      </c>
      <c r="C2138" s="284">
        <v>3</v>
      </c>
      <c r="D2138" s="285" t="s">
        <v>72</v>
      </c>
      <c r="E2138" s="285" t="s">
        <v>306</v>
      </c>
      <c r="F2138" s="285">
        <v>325</v>
      </c>
      <c r="G2138" s="285">
        <v>64</v>
      </c>
      <c r="H2138" s="285" t="s">
        <v>3533</v>
      </c>
      <c r="I2138" s="285">
        <v>56</v>
      </c>
      <c r="J2138" s="285"/>
      <c r="K2138" s="285" t="s">
        <v>365</v>
      </c>
      <c r="L2138" s="286">
        <v>0.74930555555555556</v>
      </c>
      <c r="M2138" s="287">
        <v>5.0694444444444452E-2</v>
      </c>
      <c r="N2138" s="288" t="s">
        <v>4087</v>
      </c>
      <c r="O2138" s="286" t="s">
        <v>376</v>
      </c>
      <c r="P2138" s="289"/>
      <c r="Q2138" s="289" t="s">
        <v>4094</v>
      </c>
      <c r="R2138" s="290" t="s">
        <v>4090</v>
      </c>
      <c r="S2138" s="494">
        <f t="shared" si="69"/>
        <v>6.7939814999999999E-3</v>
      </c>
      <c r="T2138" s="495">
        <f>IFERROR(VLOOKUP(F2138,'Freq-Chan'!C:D,2,FALSE),"x")</f>
        <v>151.32499999999999</v>
      </c>
      <c r="U2138" s="493" t="s">
        <v>541</v>
      </c>
      <c r="V2138" s="493" t="str">
        <f t="shared" si="70"/>
        <v>FWL</v>
      </c>
      <c r="W2138" s="493" t="s">
        <v>541</v>
      </c>
      <c r="X2138" s="493" t="s">
        <v>541</v>
      </c>
      <c r="Y2138" s="493" t="str">
        <f>IFERROR(VLOOKUP(F2138,'Freq-Chan'!C:E,3,FALSE),"na")</f>
        <v>F1840</v>
      </c>
      <c r="Z2138" s="493" t="s">
        <v>541</v>
      </c>
      <c r="AA2138" s="493" t="s">
        <v>541</v>
      </c>
      <c r="AB2138" s="493" t="s">
        <v>541</v>
      </c>
      <c r="AC2138" s="291" t="s">
        <v>541</v>
      </c>
      <c r="AD2138" s="291" t="s">
        <v>541</v>
      </c>
    </row>
    <row r="2139" spans="1:30" x14ac:dyDescent="0.2">
      <c r="A2139" s="110">
        <v>2138</v>
      </c>
      <c r="B2139" s="132">
        <v>41859</v>
      </c>
      <c r="C2139" s="117">
        <v>1</v>
      </c>
      <c r="D2139" s="103" t="s">
        <v>70</v>
      </c>
      <c r="E2139" s="103" t="s">
        <v>306</v>
      </c>
      <c r="F2139" s="103">
        <v>515</v>
      </c>
      <c r="G2139" s="103">
        <v>51</v>
      </c>
      <c r="H2139" s="103" t="s">
        <v>3098</v>
      </c>
      <c r="I2139" s="103">
        <v>43</v>
      </c>
      <c r="K2139" s="103" t="s">
        <v>1032</v>
      </c>
      <c r="L2139" s="133"/>
      <c r="M2139" s="134">
        <v>4.5138888888888888E-2</v>
      </c>
      <c r="N2139" s="137" t="s">
        <v>3935</v>
      </c>
      <c r="O2139" s="133" t="s">
        <v>2931</v>
      </c>
      <c r="Q2139" s="100" t="s">
        <v>4098</v>
      </c>
      <c r="R2139" s="226" t="s">
        <v>4115</v>
      </c>
      <c r="S2139" s="491" t="str">
        <f t="shared" si="69"/>
        <v>x</v>
      </c>
      <c r="T2139" s="492">
        <f>IFERROR(VLOOKUP(F2139,'Freq-Chan'!C:D,2,FALSE),"x")</f>
        <v>151.51499999999999</v>
      </c>
      <c r="U2139" s="110" t="s">
        <v>541</v>
      </c>
      <c r="V2139" s="110" t="str">
        <f t="shared" si="70"/>
        <v>FWL</v>
      </c>
      <c r="W2139" s="110" t="s">
        <v>541</v>
      </c>
      <c r="X2139" s="110" t="s">
        <v>541</v>
      </c>
      <c r="Y2139" s="110" t="str">
        <f>IFERROR(VLOOKUP(F2139,'Freq-Chan'!C:E,3,FALSE),"na")</f>
        <v>F1835</v>
      </c>
      <c r="Z2139" s="110" t="s">
        <v>541</v>
      </c>
      <c r="AA2139" s="110" t="s">
        <v>541</v>
      </c>
      <c r="AB2139" s="110" t="s">
        <v>541</v>
      </c>
      <c r="AC2139" s="10" t="s">
        <v>541</v>
      </c>
      <c r="AD2139" s="10" t="s">
        <v>541</v>
      </c>
    </row>
    <row r="2140" spans="1:30" x14ac:dyDescent="0.2">
      <c r="A2140" s="110">
        <v>2139</v>
      </c>
      <c r="B2140" s="132">
        <v>41859</v>
      </c>
      <c r="C2140" s="117">
        <v>1</v>
      </c>
      <c r="D2140" s="103" t="s">
        <v>70</v>
      </c>
      <c r="E2140" s="103" t="s">
        <v>306</v>
      </c>
      <c r="H2140" s="103"/>
      <c r="I2140" s="103">
        <v>46</v>
      </c>
      <c r="K2140" s="103" t="s">
        <v>1032</v>
      </c>
      <c r="L2140" s="133"/>
      <c r="M2140" s="134">
        <v>1.1805555555555555E-2</v>
      </c>
      <c r="N2140" s="137" t="s">
        <v>2718</v>
      </c>
      <c r="O2140" s="133" t="s">
        <v>3932</v>
      </c>
      <c r="Q2140" s="100" t="s">
        <v>4098</v>
      </c>
      <c r="R2140" s="226" t="s">
        <v>4115</v>
      </c>
      <c r="S2140" s="491" t="str">
        <f t="shared" si="69"/>
        <v>x</v>
      </c>
      <c r="T2140" s="492" t="str">
        <f>IFERROR(VLOOKUP(F2140,'Freq-Chan'!C:D,2,FALSE),"x")</f>
        <v>x</v>
      </c>
      <c r="U2140" s="110" t="s">
        <v>541</v>
      </c>
      <c r="V2140" s="110" t="str">
        <f t="shared" si="70"/>
        <v>FWL</v>
      </c>
      <c r="W2140" s="110" t="s">
        <v>541</v>
      </c>
      <c r="X2140" s="110" t="s">
        <v>541</v>
      </c>
      <c r="Y2140" s="110" t="str">
        <f>IFERROR(VLOOKUP(F2140,'Freq-Chan'!C:E,3,FALSE),"na")</f>
        <v>na</v>
      </c>
      <c r="Z2140" s="110" t="s">
        <v>541</v>
      </c>
      <c r="AA2140" s="110" t="s">
        <v>541</v>
      </c>
      <c r="AB2140" s="110" t="s">
        <v>541</v>
      </c>
      <c r="AC2140" s="10" t="s">
        <v>541</v>
      </c>
      <c r="AD2140" s="10" t="s">
        <v>541</v>
      </c>
    </row>
    <row r="2141" spans="1:30" x14ac:dyDescent="0.2">
      <c r="A2141" s="110">
        <v>2140</v>
      </c>
      <c r="B2141" s="132">
        <v>41859</v>
      </c>
      <c r="C2141" s="117">
        <v>1</v>
      </c>
      <c r="D2141" s="103" t="s">
        <v>70</v>
      </c>
      <c r="E2141" s="103" t="s">
        <v>306</v>
      </c>
      <c r="H2141" s="103"/>
      <c r="I2141" s="103">
        <v>41</v>
      </c>
      <c r="K2141" s="103" t="s">
        <v>1032</v>
      </c>
      <c r="L2141" s="133"/>
      <c r="M2141" s="134">
        <v>1.4583333333333332E-2</v>
      </c>
      <c r="N2141" s="137" t="s">
        <v>3209</v>
      </c>
      <c r="O2141" s="133" t="s">
        <v>3932</v>
      </c>
      <c r="Q2141" s="100" t="s">
        <v>4098</v>
      </c>
      <c r="R2141" s="226" t="s">
        <v>4115</v>
      </c>
      <c r="S2141" s="491" t="str">
        <f t="shared" si="69"/>
        <v>x</v>
      </c>
      <c r="T2141" s="492" t="str">
        <f>IFERROR(VLOOKUP(F2141,'Freq-Chan'!C:D,2,FALSE),"x")</f>
        <v>x</v>
      </c>
      <c r="U2141" s="110" t="s">
        <v>541</v>
      </c>
      <c r="V2141" s="110" t="str">
        <f t="shared" si="70"/>
        <v>FWL</v>
      </c>
      <c r="W2141" s="110" t="s">
        <v>541</v>
      </c>
      <c r="X2141" s="110" t="s">
        <v>541</v>
      </c>
      <c r="Y2141" s="110" t="str">
        <f>IFERROR(VLOOKUP(F2141,'Freq-Chan'!C:E,3,FALSE),"na")</f>
        <v>na</v>
      </c>
      <c r="Z2141" s="110" t="s">
        <v>541</v>
      </c>
      <c r="AA2141" s="110" t="s">
        <v>541</v>
      </c>
      <c r="AB2141" s="110" t="s">
        <v>541</v>
      </c>
      <c r="AC2141" s="10" t="s">
        <v>541</v>
      </c>
      <c r="AD2141" s="10" t="s">
        <v>541</v>
      </c>
    </row>
    <row r="2142" spans="1:30" x14ac:dyDescent="0.2">
      <c r="A2142" s="110">
        <v>2141</v>
      </c>
      <c r="B2142" s="132">
        <v>41859</v>
      </c>
      <c r="C2142" s="117">
        <v>1</v>
      </c>
      <c r="D2142" s="103" t="s">
        <v>70</v>
      </c>
      <c r="E2142" s="103" t="s">
        <v>306</v>
      </c>
      <c r="H2142" s="103"/>
      <c r="I2142" s="103">
        <v>45</v>
      </c>
      <c r="K2142" s="103" t="s">
        <v>365</v>
      </c>
      <c r="L2142" s="133"/>
      <c r="M2142" s="134">
        <v>2.013888888888889E-2</v>
      </c>
      <c r="N2142" s="137" t="s">
        <v>2737</v>
      </c>
      <c r="O2142" s="133" t="s">
        <v>3932</v>
      </c>
      <c r="Q2142" s="100" t="s">
        <v>4098</v>
      </c>
      <c r="R2142" s="226" t="s">
        <v>4115</v>
      </c>
      <c r="S2142" s="491" t="str">
        <f t="shared" si="69"/>
        <v>x</v>
      </c>
      <c r="T2142" s="492" t="str">
        <f>IFERROR(VLOOKUP(F2142,'Freq-Chan'!C:D,2,FALSE),"x")</f>
        <v>x</v>
      </c>
      <c r="U2142" s="110" t="s">
        <v>541</v>
      </c>
      <c r="V2142" s="110" t="str">
        <f t="shared" si="70"/>
        <v>FWL</v>
      </c>
      <c r="W2142" s="110" t="s">
        <v>541</v>
      </c>
      <c r="X2142" s="110" t="s">
        <v>541</v>
      </c>
      <c r="Y2142" s="110" t="str">
        <f>IFERROR(VLOOKUP(F2142,'Freq-Chan'!C:E,3,FALSE),"na")</f>
        <v>na</v>
      </c>
      <c r="Z2142" s="110" t="s">
        <v>541</v>
      </c>
      <c r="AA2142" s="110" t="s">
        <v>541</v>
      </c>
      <c r="AB2142" s="110" t="s">
        <v>541</v>
      </c>
      <c r="AC2142" s="10" t="s">
        <v>541</v>
      </c>
      <c r="AD2142" s="10" t="s">
        <v>541</v>
      </c>
    </row>
    <row r="2143" spans="1:30" x14ac:dyDescent="0.2">
      <c r="A2143" s="110">
        <v>2142</v>
      </c>
      <c r="B2143" s="132">
        <v>41859</v>
      </c>
      <c r="C2143" s="117">
        <v>1</v>
      </c>
      <c r="D2143" s="103" t="s">
        <v>70</v>
      </c>
      <c r="E2143" s="103" t="s">
        <v>306</v>
      </c>
      <c r="H2143" s="103"/>
      <c r="I2143" s="103">
        <v>49</v>
      </c>
      <c r="K2143" s="103" t="s">
        <v>365</v>
      </c>
      <c r="L2143" s="133"/>
      <c r="M2143" s="134">
        <v>2.1527777777777781E-2</v>
      </c>
      <c r="N2143" s="137" t="s">
        <v>3169</v>
      </c>
      <c r="O2143" s="133" t="s">
        <v>3932</v>
      </c>
      <c r="Q2143" s="100" t="s">
        <v>4098</v>
      </c>
      <c r="R2143" s="226" t="s">
        <v>4115</v>
      </c>
      <c r="S2143" s="491" t="str">
        <f t="shared" si="69"/>
        <v>x</v>
      </c>
      <c r="T2143" s="492" t="str">
        <f>IFERROR(VLOOKUP(F2143,'Freq-Chan'!C:D,2,FALSE),"x")</f>
        <v>x</v>
      </c>
      <c r="U2143" s="110" t="s">
        <v>541</v>
      </c>
      <c r="V2143" s="110" t="str">
        <f t="shared" si="70"/>
        <v>FWL</v>
      </c>
      <c r="W2143" s="110" t="s">
        <v>541</v>
      </c>
      <c r="X2143" s="110" t="s">
        <v>541</v>
      </c>
      <c r="Y2143" s="110" t="str">
        <f>IFERROR(VLOOKUP(F2143,'Freq-Chan'!C:E,3,FALSE),"na")</f>
        <v>na</v>
      </c>
      <c r="Z2143" s="110" t="s">
        <v>541</v>
      </c>
      <c r="AA2143" s="110" t="s">
        <v>541</v>
      </c>
      <c r="AB2143" s="110" t="s">
        <v>541</v>
      </c>
      <c r="AC2143" s="10" t="s">
        <v>541</v>
      </c>
      <c r="AD2143" s="10" t="s">
        <v>541</v>
      </c>
    </row>
    <row r="2144" spans="1:30" x14ac:dyDescent="0.2">
      <c r="A2144" s="110">
        <v>2143</v>
      </c>
      <c r="B2144" s="132">
        <v>41859</v>
      </c>
      <c r="C2144" s="117">
        <v>1</v>
      </c>
      <c r="D2144" s="103" t="s">
        <v>70</v>
      </c>
      <c r="E2144" s="103" t="s">
        <v>306</v>
      </c>
      <c r="H2144" s="103"/>
      <c r="I2144" s="103">
        <v>47</v>
      </c>
      <c r="K2144" s="103" t="s">
        <v>365</v>
      </c>
      <c r="L2144" s="133"/>
      <c r="M2144" s="134">
        <v>1.2499999999999999E-2</v>
      </c>
      <c r="N2144" s="137" t="s">
        <v>3383</v>
      </c>
      <c r="O2144" s="133" t="s">
        <v>3932</v>
      </c>
      <c r="Q2144" s="100" t="s">
        <v>4098</v>
      </c>
      <c r="R2144" s="226" t="s">
        <v>4115</v>
      </c>
      <c r="S2144" s="491" t="str">
        <f t="shared" si="69"/>
        <v>x</v>
      </c>
      <c r="T2144" s="492" t="str">
        <f>IFERROR(VLOOKUP(F2144,'Freq-Chan'!C:D,2,FALSE),"x")</f>
        <v>x</v>
      </c>
      <c r="U2144" s="110" t="s">
        <v>541</v>
      </c>
      <c r="V2144" s="110" t="str">
        <f t="shared" si="70"/>
        <v>FWL</v>
      </c>
      <c r="W2144" s="110" t="s">
        <v>541</v>
      </c>
      <c r="X2144" s="110" t="s">
        <v>541</v>
      </c>
      <c r="Y2144" s="110" t="str">
        <f>IFERROR(VLOOKUP(F2144,'Freq-Chan'!C:E,3,FALSE),"na")</f>
        <v>na</v>
      </c>
      <c r="Z2144" s="110" t="s">
        <v>541</v>
      </c>
      <c r="AA2144" s="110" t="s">
        <v>541</v>
      </c>
      <c r="AB2144" s="110" t="s">
        <v>541</v>
      </c>
      <c r="AC2144" s="10" t="s">
        <v>541</v>
      </c>
      <c r="AD2144" s="10" t="s">
        <v>541</v>
      </c>
    </row>
    <row r="2145" spans="1:30" x14ac:dyDescent="0.2">
      <c r="A2145" s="110">
        <v>2144</v>
      </c>
      <c r="B2145" s="132">
        <v>41859</v>
      </c>
      <c r="C2145" s="117">
        <v>1</v>
      </c>
      <c r="D2145" s="103" t="s">
        <v>8</v>
      </c>
      <c r="E2145" s="103" t="s">
        <v>306</v>
      </c>
      <c r="F2145" s="103">
        <v>586</v>
      </c>
      <c r="G2145" s="103">
        <v>3</v>
      </c>
      <c r="H2145" s="103" t="s">
        <v>2235</v>
      </c>
      <c r="I2145" s="103">
        <v>49</v>
      </c>
      <c r="K2145" s="103" t="s">
        <v>365</v>
      </c>
      <c r="L2145" s="133"/>
      <c r="M2145" s="134">
        <v>4.7916666666666663E-2</v>
      </c>
      <c r="N2145" s="137" t="s">
        <v>3960</v>
      </c>
      <c r="O2145" s="133" t="s">
        <v>2931</v>
      </c>
      <c r="Q2145" s="100" t="s">
        <v>4098</v>
      </c>
      <c r="R2145" s="226" t="s">
        <v>4115</v>
      </c>
      <c r="S2145" s="491" t="str">
        <f t="shared" si="69"/>
        <v>x</v>
      </c>
      <c r="T2145" s="492">
        <f>IFERROR(VLOOKUP(F2145,'Freq-Chan'!C:D,2,FALSE),"x")</f>
        <v>151.58600000000001</v>
      </c>
      <c r="U2145" s="110" t="s">
        <v>541</v>
      </c>
      <c r="V2145" s="110" t="str">
        <f t="shared" si="70"/>
        <v>FWL</v>
      </c>
      <c r="W2145" s="110" t="s">
        <v>541</v>
      </c>
      <c r="X2145" s="110" t="s">
        <v>541</v>
      </c>
      <c r="Y2145" s="110" t="str">
        <f>IFERROR(VLOOKUP(F2145,'Freq-Chan'!C:E,3,FALSE),"na")</f>
        <v>F1840</v>
      </c>
      <c r="Z2145" s="110" t="s">
        <v>541</v>
      </c>
      <c r="AA2145" s="110" t="s">
        <v>541</v>
      </c>
      <c r="AB2145" s="110" t="s">
        <v>541</v>
      </c>
      <c r="AC2145" s="10" t="s">
        <v>541</v>
      </c>
      <c r="AD2145" s="10" t="s">
        <v>541</v>
      </c>
    </row>
    <row r="2146" spans="1:30" x14ac:dyDescent="0.2">
      <c r="A2146" s="110">
        <v>2145</v>
      </c>
      <c r="B2146" s="132">
        <v>41859</v>
      </c>
      <c r="C2146" s="117">
        <v>1</v>
      </c>
      <c r="D2146" s="103" t="s">
        <v>70</v>
      </c>
      <c r="E2146" s="103" t="s">
        <v>306</v>
      </c>
      <c r="H2146" s="103"/>
      <c r="I2146" s="103">
        <v>48</v>
      </c>
      <c r="K2146" s="103" t="s">
        <v>365</v>
      </c>
      <c r="L2146" s="133"/>
      <c r="M2146" s="134">
        <v>1.3888888888888888E-2</v>
      </c>
      <c r="N2146" s="137" t="s">
        <v>3730</v>
      </c>
      <c r="O2146" s="133" t="s">
        <v>3932</v>
      </c>
      <c r="Q2146" s="100" t="s">
        <v>4098</v>
      </c>
      <c r="R2146" s="226" t="s">
        <v>4115</v>
      </c>
      <c r="S2146" s="491" t="str">
        <f t="shared" si="69"/>
        <v>x</v>
      </c>
      <c r="T2146" s="492" t="str">
        <f>IFERROR(VLOOKUP(F2146,'Freq-Chan'!C:D,2,FALSE),"x")</f>
        <v>x</v>
      </c>
      <c r="U2146" s="110" t="s">
        <v>541</v>
      </c>
      <c r="V2146" s="110" t="str">
        <f t="shared" si="70"/>
        <v>FWL</v>
      </c>
      <c r="W2146" s="110" t="s">
        <v>541</v>
      </c>
      <c r="X2146" s="110" t="s">
        <v>541</v>
      </c>
      <c r="Y2146" s="110" t="str">
        <f>IFERROR(VLOOKUP(F2146,'Freq-Chan'!C:E,3,FALSE),"na")</f>
        <v>na</v>
      </c>
      <c r="Z2146" s="110" t="s">
        <v>541</v>
      </c>
      <c r="AA2146" s="110" t="s">
        <v>541</v>
      </c>
      <c r="AB2146" s="110" t="s">
        <v>541</v>
      </c>
      <c r="AC2146" s="10" t="s">
        <v>541</v>
      </c>
      <c r="AD2146" s="10" t="s">
        <v>541</v>
      </c>
    </row>
    <row r="2147" spans="1:30" x14ac:dyDescent="0.2">
      <c r="A2147" s="110">
        <v>2146</v>
      </c>
      <c r="B2147" s="132">
        <v>41859</v>
      </c>
      <c r="C2147" s="117">
        <v>1</v>
      </c>
      <c r="D2147" s="103" t="s">
        <v>70</v>
      </c>
      <c r="E2147" s="103" t="s">
        <v>306</v>
      </c>
      <c r="H2147" s="103"/>
      <c r="I2147" s="103">
        <v>48</v>
      </c>
      <c r="K2147" s="103" t="s">
        <v>365</v>
      </c>
      <c r="L2147" s="133"/>
      <c r="M2147" s="134">
        <v>1.3194444444444444E-2</v>
      </c>
      <c r="N2147" s="137" t="s">
        <v>3927</v>
      </c>
      <c r="O2147" s="133" t="s">
        <v>3932</v>
      </c>
      <c r="Q2147" s="100" t="s">
        <v>4098</v>
      </c>
      <c r="R2147" s="226" t="s">
        <v>4115</v>
      </c>
      <c r="S2147" s="491" t="str">
        <f t="shared" si="69"/>
        <v>x</v>
      </c>
      <c r="T2147" s="492" t="str">
        <f>IFERROR(VLOOKUP(F2147,'Freq-Chan'!C:D,2,FALSE),"x")</f>
        <v>x</v>
      </c>
      <c r="U2147" s="110" t="s">
        <v>541</v>
      </c>
      <c r="V2147" s="110" t="str">
        <f t="shared" si="70"/>
        <v>FWL</v>
      </c>
      <c r="W2147" s="110" t="s">
        <v>541</v>
      </c>
      <c r="X2147" s="110" t="s">
        <v>541</v>
      </c>
      <c r="Y2147" s="110" t="str">
        <f>IFERROR(VLOOKUP(F2147,'Freq-Chan'!C:E,3,FALSE),"na")</f>
        <v>na</v>
      </c>
      <c r="Z2147" s="110" t="s">
        <v>541</v>
      </c>
      <c r="AA2147" s="110" t="s">
        <v>541</v>
      </c>
      <c r="AB2147" s="110" t="s">
        <v>541</v>
      </c>
      <c r="AC2147" s="10" t="s">
        <v>541</v>
      </c>
      <c r="AD2147" s="10" t="s">
        <v>541</v>
      </c>
    </row>
    <row r="2148" spans="1:30" x14ac:dyDescent="0.2">
      <c r="A2148" s="110">
        <v>2147</v>
      </c>
      <c r="B2148" s="132">
        <v>41859</v>
      </c>
      <c r="C2148" s="117">
        <v>1</v>
      </c>
      <c r="D2148" s="103" t="s">
        <v>70</v>
      </c>
      <c r="E2148" s="103" t="s">
        <v>306</v>
      </c>
      <c r="H2148" s="103"/>
      <c r="I2148" s="103">
        <v>49</v>
      </c>
      <c r="K2148" s="103" t="s">
        <v>1032</v>
      </c>
      <c r="L2148" s="133"/>
      <c r="M2148" s="134">
        <v>1.7361111111111112E-2</v>
      </c>
      <c r="N2148" s="137" t="s">
        <v>3945</v>
      </c>
      <c r="O2148" s="133" t="s">
        <v>3932</v>
      </c>
      <c r="Q2148" s="100" t="s">
        <v>4098</v>
      </c>
      <c r="R2148" s="226" t="s">
        <v>4115</v>
      </c>
      <c r="S2148" s="491" t="str">
        <f t="shared" si="69"/>
        <v>x</v>
      </c>
      <c r="T2148" s="492" t="str">
        <f>IFERROR(VLOOKUP(F2148,'Freq-Chan'!C:D,2,FALSE),"x")</f>
        <v>x</v>
      </c>
      <c r="U2148" s="110" t="s">
        <v>541</v>
      </c>
      <c r="V2148" s="110" t="str">
        <f t="shared" si="70"/>
        <v>FWL</v>
      </c>
      <c r="W2148" s="110" t="s">
        <v>541</v>
      </c>
      <c r="X2148" s="110" t="s">
        <v>541</v>
      </c>
      <c r="Y2148" s="110" t="str">
        <f>IFERROR(VLOOKUP(F2148,'Freq-Chan'!C:E,3,FALSE),"na")</f>
        <v>na</v>
      </c>
      <c r="Z2148" s="110" t="s">
        <v>541</v>
      </c>
      <c r="AA2148" s="110" t="s">
        <v>541</v>
      </c>
      <c r="AB2148" s="110" t="s">
        <v>541</v>
      </c>
      <c r="AC2148" s="10" t="s">
        <v>541</v>
      </c>
      <c r="AD2148" s="10" t="s">
        <v>541</v>
      </c>
    </row>
    <row r="2149" spans="1:30" x14ac:dyDescent="0.2">
      <c r="A2149" s="110">
        <v>2148</v>
      </c>
      <c r="B2149" s="132">
        <v>41859</v>
      </c>
      <c r="C2149" s="117">
        <v>1</v>
      </c>
      <c r="D2149" s="103" t="s">
        <v>70</v>
      </c>
      <c r="E2149" s="103" t="s">
        <v>306</v>
      </c>
      <c r="H2149" s="103"/>
      <c r="I2149" s="103">
        <v>47</v>
      </c>
      <c r="K2149" s="103" t="s">
        <v>365</v>
      </c>
      <c r="L2149" s="133"/>
      <c r="M2149" s="134">
        <v>1.1111111111111112E-2</v>
      </c>
      <c r="N2149" s="137" t="s">
        <v>3732</v>
      </c>
      <c r="O2149" s="133" t="s">
        <v>3932</v>
      </c>
      <c r="Q2149" s="100" t="s">
        <v>4098</v>
      </c>
      <c r="R2149" s="226" t="s">
        <v>4115</v>
      </c>
      <c r="S2149" s="491" t="str">
        <f t="shared" si="69"/>
        <v>x</v>
      </c>
      <c r="T2149" s="492" t="str">
        <f>IFERROR(VLOOKUP(F2149,'Freq-Chan'!C:D,2,FALSE),"x")</f>
        <v>x</v>
      </c>
      <c r="U2149" s="110" t="s">
        <v>541</v>
      </c>
      <c r="V2149" s="110" t="str">
        <f t="shared" si="70"/>
        <v>FWL</v>
      </c>
      <c r="W2149" s="110" t="s">
        <v>541</v>
      </c>
      <c r="X2149" s="110" t="s">
        <v>541</v>
      </c>
      <c r="Y2149" s="110" t="str">
        <f>IFERROR(VLOOKUP(F2149,'Freq-Chan'!C:E,3,FALSE),"na")</f>
        <v>na</v>
      </c>
      <c r="Z2149" s="110" t="s">
        <v>541</v>
      </c>
      <c r="AA2149" s="110" t="s">
        <v>541</v>
      </c>
      <c r="AB2149" s="110" t="s">
        <v>541</v>
      </c>
      <c r="AC2149" s="10" t="s">
        <v>541</v>
      </c>
      <c r="AD2149" s="10" t="s">
        <v>541</v>
      </c>
    </row>
    <row r="2150" spans="1:30" x14ac:dyDescent="0.2">
      <c r="A2150" s="110">
        <v>2149</v>
      </c>
      <c r="B2150" s="132">
        <v>41859</v>
      </c>
      <c r="C2150" s="117">
        <v>1</v>
      </c>
      <c r="D2150" s="103" t="s">
        <v>70</v>
      </c>
      <c r="E2150" s="103" t="s">
        <v>306</v>
      </c>
      <c r="H2150" s="103"/>
      <c r="I2150" s="103">
        <v>46</v>
      </c>
      <c r="K2150" s="103" t="s">
        <v>365</v>
      </c>
      <c r="L2150" s="133"/>
      <c r="M2150" s="134">
        <v>1.1805555555555555E-2</v>
      </c>
      <c r="N2150" s="137" t="s">
        <v>3301</v>
      </c>
      <c r="O2150" s="133" t="s">
        <v>3932</v>
      </c>
      <c r="Q2150" s="100" t="s">
        <v>4098</v>
      </c>
      <c r="R2150" s="226" t="s">
        <v>4115</v>
      </c>
      <c r="S2150" s="491" t="str">
        <f t="shared" si="69"/>
        <v>x</v>
      </c>
      <c r="T2150" s="492" t="str">
        <f>IFERROR(VLOOKUP(F2150,'Freq-Chan'!C:D,2,FALSE),"x")</f>
        <v>x</v>
      </c>
      <c r="U2150" s="110" t="s">
        <v>541</v>
      </c>
      <c r="V2150" s="110" t="str">
        <f t="shared" si="70"/>
        <v>FWL</v>
      </c>
      <c r="W2150" s="110" t="s">
        <v>541</v>
      </c>
      <c r="X2150" s="110" t="s">
        <v>541</v>
      </c>
      <c r="Y2150" s="110" t="str">
        <f>IFERROR(VLOOKUP(F2150,'Freq-Chan'!C:E,3,FALSE),"na")</f>
        <v>na</v>
      </c>
      <c r="Z2150" s="110" t="s">
        <v>541</v>
      </c>
      <c r="AA2150" s="110" t="s">
        <v>541</v>
      </c>
      <c r="AB2150" s="110" t="s">
        <v>541</v>
      </c>
      <c r="AC2150" s="10" t="s">
        <v>541</v>
      </c>
      <c r="AD2150" s="10" t="s">
        <v>541</v>
      </c>
    </row>
    <row r="2151" spans="1:30" x14ac:dyDescent="0.2">
      <c r="A2151" s="110">
        <v>2150</v>
      </c>
      <c r="B2151" s="132">
        <v>41859</v>
      </c>
      <c r="C2151" s="117">
        <v>1</v>
      </c>
      <c r="D2151" s="103" t="s">
        <v>70</v>
      </c>
      <c r="E2151" s="103" t="s">
        <v>306</v>
      </c>
      <c r="H2151" s="103"/>
      <c r="I2151" s="103">
        <v>47</v>
      </c>
      <c r="K2151" s="103" t="s">
        <v>365</v>
      </c>
      <c r="L2151" s="133"/>
      <c r="M2151" s="134">
        <v>1.1805555555555555E-2</v>
      </c>
      <c r="N2151" s="137" t="s">
        <v>3404</v>
      </c>
      <c r="O2151" s="133" t="s">
        <v>3932</v>
      </c>
      <c r="Q2151" s="100" t="s">
        <v>4098</v>
      </c>
      <c r="R2151" s="226" t="s">
        <v>4115</v>
      </c>
      <c r="S2151" s="491" t="str">
        <f t="shared" si="69"/>
        <v>x</v>
      </c>
      <c r="T2151" s="492" t="str">
        <f>IFERROR(VLOOKUP(F2151,'Freq-Chan'!C:D,2,FALSE),"x")</f>
        <v>x</v>
      </c>
      <c r="U2151" s="110" t="s">
        <v>541</v>
      </c>
      <c r="V2151" s="110" t="str">
        <f t="shared" si="70"/>
        <v>FWL</v>
      </c>
      <c r="W2151" s="110" t="s">
        <v>541</v>
      </c>
      <c r="X2151" s="110" t="s">
        <v>541</v>
      </c>
      <c r="Y2151" s="110" t="str">
        <f>IFERROR(VLOOKUP(F2151,'Freq-Chan'!C:E,3,FALSE),"na")</f>
        <v>na</v>
      </c>
      <c r="Z2151" s="110" t="s">
        <v>541</v>
      </c>
      <c r="AA2151" s="110" t="s">
        <v>541</v>
      </c>
      <c r="AB2151" s="110" t="s">
        <v>541</v>
      </c>
      <c r="AC2151" s="10" t="s">
        <v>541</v>
      </c>
      <c r="AD2151" s="10" t="s">
        <v>541</v>
      </c>
    </row>
    <row r="2152" spans="1:30" x14ac:dyDescent="0.2">
      <c r="A2152" s="110">
        <v>2151</v>
      </c>
      <c r="B2152" s="132">
        <v>41859</v>
      </c>
      <c r="C2152" s="117">
        <v>1</v>
      </c>
      <c r="D2152" s="103" t="s">
        <v>71</v>
      </c>
      <c r="E2152" s="103" t="s">
        <v>306</v>
      </c>
      <c r="F2152" s="103">
        <v>564</v>
      </c>
      <c r="G2152" s="103">
        <v>88</v>
      </c>
      <c r="H2152" s="103" t="s">
        <v>2417</v>
      </c>
      <c r="I2152" s="103">
        <v>62</v>
      </c>
      <c r="K2152" s="103" t="s">
        <v>365</v>
      </c>
      <c r="L2152" s="133"/>
      <c r="M2152" s="134">
        <v>4.7916666666666663E-2</v>
      </c>
      <c r="N2152" s="137" t="s">
        <v>3805</v>
      </c>
      <c r="O2152" s="133" t="s">
        <v>2931</v>
      </c>
      <c r="Q2152" s="100" t="s">
        <v>4098</v>
      </c>
      <c r="R2152" s="226" t="s">
        <v>4115</v>
      </c>
      <c r="S2152" s="491" t="str">
        <f t="shared" si="69"/>
        <v>x</v>
      </c>
      <c r="T2152" s="492">
        <f>IFERROR(VLOOKUP(F2152,'Freq-Chan'!C:D,2,FALSE),"x")</f>
        <v>151.56399999999999</v>
      </c>
      <c r="U2152" s="110" t="s">
        <v>541</v>
      </c>
      <c r="V2152" s="110" t="str">
        <f t="shared" si="70"/>
        <v>FWL</v>
      </c>
      <c r="W2152" s="110" t="s">
        <v>541</v>
      </c>
      <c r="X2152" s="110" t="s">
        <v>541</v>
      </c>
      <c r="Y2152" s="110" t="str">
        <f>IFERROR(VLOOKUP(F2152,'Freq-Chan'!C:E,3,FALSE),"na")</f>
        <v>F1840</v>
      </c>
      <c r="Z2152" s="110" t="s">
        <v>541</v>
      </c>
      <c r="AA2152" s="110" t="s">
        <v>541</v>
      </c>
      <c r="AB2152" s="110" t="s">
        <v>541</v>
      </c>
      <c r="AC2152" s="10" t="s">
        <v>541</v>
      </c>
      <c r="AD2152" s="10" t="s">
        <v>541</v>
      </c>
    </row>
    <row r="2153" spans="1:30" x14ac:dyDescent="0.2">
      <c r="A2153" s="110">
        <v>2152</v>
      </c>
      <c r="B2153" s="132">
        <v>41859</v>
      </c>
      <c r="C2153" s="117">
        <v>1</v>
      </c>
      <c r="D2153" s="103" t="s">
        <v>71</v>
      </c>
      <c r="E2153" s="103" t="s">
        <v>306</v>
      </c>
      <c r="H2153" s="103"/>
      <c r="I2153" s="103">
        <v>57</v>
      </c>
      <c r="K2153" s="103" t="s">
        <v>1032</v>
      </c>
      <c r="L2153" s="133"/>
      <c r="M2153" s="134">
        <v>1.6666666666666666E-2</v>
      </c>
      <c r="N2153" s="137" t="s">
        <v>4105</v>
      </c>
      <c r="O2153" s="133" t="s">
        <v>2931</v>
      </c>
      <c r="Q2153" s="100" t="s">
        <v>4098</v>
      </c>
      <c r="R2153" s="226" t="s">
        <v>4115</v>
      </c>
      <c r="S2153" s="491" t="str">
        <f t="shared" si="69"/>
        <v>x</v>
      </c>
      <c r="T2153" s="492" t="str">
        <f>IFERROR(VLOOKUP(F2153,'Freq-Chan'!C:D,2,FALSE),"x")</f>
        <v>x</v>
      </c>
      <c r="U2153" s="110" t="s">
        <v>541</v>
      </c>
      <c r="V2153" s="110" t="str">
        <f t="shared" si="70"/>
        <v>FWL</v>
      </c>
      <c r="W2153" s="110" t="s">
        <v>541</v>
      </c>
      <c r="X2153" s="110" t="s">
        <v>541</v>
      </c>
      <c r="Y2153" s="110" t="str">
        <f>IFERROR(VLOOKUP(F2153,'Freq-Chan'!C:E,3,FALSE),"na")</f>
        <v>na</v>
      </c>
      <c r="Z2153" s="110" t="s">
        <v>541</v>
      </c>
      <c r="AA2153" s="110" t="s">
        <v>541</v>
      </c>
      <c r="AB2153" s="110" t="s">
        <v>541</v>
      </c>
      <c r="AC2153" s="10" t="s">
        <v>541</v>
      </c>
      <c r="AD2153" s="10" t="s">
        <v>541</v>
      </c>
    </row>
    <row r="2154" spans="1:30" x14ac:dyDescent="0.2">
      <c r="A2154" s="110">
        <v>2153</v>
      </c>
      <c r="B2154" s="132">
        <v>41859</v>
      </c>
      <c r="C2154" s="117">
        <v>1</v>
      </c>
      <c r="D2154" s="103" t="s">
        <v>8</v>
      </c>
      <c r="E2154" s="103" t="s">
        <v>306</v>
      </c>
      <c r="F2154" s="103">
        <v>586</v>
      </c>
      <c r="G2154" s="103">
        <v>58</v>
      </c>
      <c r="H2154" s="103" t="s">
        <v>2237</v>
      </c>
      <c r="I2154" s="103">
        <v>45</v>
      </c>
      <c r="K2154" s="103" t="s">
        <v>364</v>
      </c>
      <c r="L2154" s="133"/>
      <c r="M2154" s="134">
        <v>3.9583333333333331E-2</v>
      </c>
      <c r="N2154" s="135" t="s">
        <v>4104</v>
      </c>
      <c r="O2154" s="133" t="s">
        <v>1585</v>
      </c>
      <c r="Q2154" s="100" t="s">
        <v>4099</v>
      </c>
      <c r="R2154" s="226" t="s">
        <v>4115</v>
      </c>
      <c r="S2154" s="491" t="str">
        <f t="shared" si="69"/>
        <v>x</v>
      </c>
      <c r="T2154" s="492">
        <f>IFERROR(VLOOKUP(F2154,'Freq-Chan'!C:D,2,FALSE),"x")</f>
        <v>151.58600000000001</v>
      </c>
      <c r="U2154" s="110" t="s">
        <v>541</v>
      </c>
      <c r="V2154" s="110" t="str">
        <f t="shared" si="70"/>
        <v>FWL</v>
      </c>
      <c r="W2154" s="110" t="s">
        <v>541</v>
      </c>
      <c r="X2154" s="110" t="s">
        <v>541</v>
      </c>
      <c r="Y2154" s="110" t="str">
        <f>IFERROR(VLOOKUP(F2154,'Freq-Chan'!C:E,3,FALSE),"na")</f>
        <v>F1840</v>
      </c>
      <c r="Z2154" s="110" t="s">
        <v>541</v>
      </c>
      <c r="AA2154" s="110" t="s">
        <v>541</v>
      </c>
      <c r="AB2154" s="110" t="s">
        <v>541</v>
      </c>
      <c r="AC2154" s="10" t="s">
        <v>541</v>
      </c>
      <c r="AD2154" s="10" t="s">
        <v>541</v>
      </c>
    </row>
    <row r="2155" spans="1:30" x14ac:dyDescent="0.2">
      <c r="A2155" s="110">
        <v>2154</v>
      </c>
      <c r="B2155" s="132">
        <v>41859</v>
      </c>
      <c r="C2155" s="117">
        <v>1</v>
      </c>
      <c r="D2155" s="103" t="s">
        <v>71</v>
      </c>
      <c r="E2155" s="103" t="s">
        <v>306</v>
      </c>
      <c r="H2155" s="103"/>
      <c r="I2155" s="103">
        <v>59</v>
      </c>
      <c r="K2155" s="103" t="s">
        <v>364</v>
      </c>
      <c r="L2155" s="133"/>
      <c r="M2155" s="134">
        <v>1.5972222222222224E-2</v>
      </c>
      <c r="N2155" s="137" t="s">
        <v>4103</v>
      </c>
      <c r="O2155" s="133" t="s">
        <v>1532</v>
      </c>
      <c r="Q2155" s="100" t="s">
        <v>4099</v>
      </c>
      <c r="R2155" s="226" t="s">
        <v>4115</v>
      </c>
      <c r="S2155" s="491" t="str">
        <f t="shared" si="69"/>
        <v>x</v>
      </c>
      <c r="T2155" s="492" t="str">
        <f>IFERROR(VLOOKUP(F2155,'Freq-Chan'!C:D,2,FALSE),"x")</f>
        <v>x</v>
      </c>
      <c r="U2155" s="110" t="s">
        <v>541</v>
      </c>
      <c r="V2155" s="110" t="str">
        <f t="shared" si="70"/>
        <v>FWL</v>
      </c>
      <c r="W2155" s="110" t="s">
        <v>541</v>
      </c>
      <c r="X2155" s="110" t="s">
        <v>541</v>
      </c>
      <c r="Y2155" s="110" t="str">
        <f>IFERROR(VLOOKUP(F2155,'Freq-Chan'!C:E,3,FALSE),"na")</f>
        <v>na</v>
      </c>
      <c r="Z2155" s="110" t="s">
        <v>541</v>
      </c>
      <c r="AA2155" s="110" t="s">
        <v>541</v>
      </c>
      <c r="AB2155" s="110" t="s">
        <v>541</v>
      </c>
      <c r="AC2155" s="10" t="s">
        <v>541</v>
      </c>
      <c r="AD2155" s="10" t="s">
        <v>541</v>
      </c>
    </row>
    <row r="2156" spans="1:30" x14ac:dyDescent="0.2">
      <c r="A2156" s="110">
        <v>2155</v>
      </c>
      <c r="B2156" s="132">
        <v>41859</v>
      </c>
      <c r="C2156" s="117">
        <v>1</v>
      </c>
      <c r="D2156" s="103" t="s">
        <v>71</v>
      </c>
      <c r="E2156" s="103" t="s">
        <v>306</v>
      </c>
      <c r="H2156" s="103"/>
      <c r="I2156" s="103">
        <v>55</v>
      </c>
      <c r="K2156" s="103" t="s">
        <v>364</v>
      </c>
      <c r="L2156" s="133"/>
      <c r="M2156" s="134">
        <v>1.3888888888888888E-2</v>
      </c>
      <c r="N2156" s="137" t="s">
        <v>1849</v>
      </c>
      <c r="O2156" s="133" t="s">
        <v>1532</v>
      </c>
      <c r="Q2156" s="100" t="s">
        <v>4099</v>
      </c>
      <c r="R2156" s="226" t="s">
        <v>4115</v>
      </c>
      <c r="S2156" s="491" t="str">
        <f t="shared" si="69"/>
        <v>x</v>
      </c>
      <c r="T2156" s="492" t="str">
        <f>IFERROR(VLOOKUP(F2156,'Freq-Chan'!C:D,2,FALSE),"x")</f>
        <v>x</v>
      </c>
      <c r="U2156" s="110" t="s">
        <v>541</v>
      </c>
      <c r="V2156" s="110" t="str">
        <f t="shared" si="70"/>
        <v>FWL</v>
      </c>
      <c r="W2156" s="110" t="s">
        <v>541</v>
      </c>
      <c r="X2156" s="110" t="s">
        <v>541</v>
      </c>
      <c r="Y2156" s="110" t="str">
        <f>IFERROR(VLOOKUP(F2156,'Freq-Chan'!C:E,3,FALSE),"na")</f>
        <v>na</v>
      </c>
      <c r="Z2156" s="110" t="s">
        <v>541</v>
      </c>
      <c r="AA2156" s="110" t="s">
        <v>541</v>
      </c>
      <c r="AB2156" s="110" t="s">
        <v>541</v>
      </c>
      <c r="AC2156" s="10" t="s">
        <v>541</v>
      </c>
      <c r="AD2156" s="10" t="s">
        <v>541</v>
      </c>
    </row>
    <row r="2157" spans="1:30" x14ac:dyDescent="0.2">
      <c r="A2157" s="110">
        <v>2156</v>
      </c>
      <c r="B2157" s="132">
        <v>41859</v>
      </c>
      <c r="C2157" s="117">
        <v>1</v>
      </c>
      <c r="D2157" s="103" t="s">
        <v>8</v>
      </c>
      <c r="E2157" s="103" t="s">
        <v>306</v>
      </c>
      <c r="F2157" s="103">
        <v>586</v>
      </c>
      <c r="G2157" s="103">
        <v>51</v>
      </c>
      <c r="H2157" s="103" t="s">
        <v>2238</v>
      </c>
      <c r="I2157" s="103">
        <v>42</v>
      </c>
      <c r="K2157" s="103" t="s">
        <v>364</v>
      </c>
      <c r="L2157" s="133"/>
      <c r="M2157" s="134">
        <v>3.9583333333333331E-2</v>
      </c>
      <c r="N2157" s="137" t="s">
        <v>846</v>
      </c>
      <c r="O2157" s="133" t="s">
        <v>1585</v>
      </c>
      <c r="Q2157" s="100" t="s">
        <v>4099</v>
      </c>
      <c r="R2157" s="226" t="s">
        <v>4115</v>
      </c>
      <c r="S2157" s="491" t="str">
        <f t="shared" si="69"/>
        <v>x</v>
      </c>
      <c r="T2157" s="492">
        <f>IFERROR(VLOOKUP(F2157,'Freq-Chan'!C:D,2,FALSE),"x")</f>
        <v>151.58600000000001</v>
      </c>
      <c r="U2157" s="110" t="s">
        <v>541</v>
      </c>
      <c r="V2157" s="110" t="str">
        <f t="shared" si="70"/>
        <v>FWL</v>
      </c>
      <c r="W2157" s="110" t="s">
        <v>541</v>
      </c>
      <c r="X2157" s="110" t="s">
        <v>541</v>
      </c>
      <c r="Y2157" s="110" t="str">
        <f>IFERROR(VLOOKUP(F2157,'Freq-Chan'!C:E,3,FALSE),"na")</f>
        <v>F1840</v>
      </c>
      <c r="Z2157" s="110" t="s">
        <v>541</v>
      </c>
      <c r="AA2157" s="110" t="s">
        <v>541</v>
      </c>
      <c r="AB2157" s="110" t="s">
        <v>541</v>
      </c>
      <c r="AC2157" s="10" t="s">
        <v>541</v>
      </c>
      <c r="AD2157" s="10" t="s">
        <v>541</v>
      </c>
    </row>
    <row r="2158" spans="1:30" x14ac:dyDescent="0.2">
      <c r="A2158" s="110">
        <v>2157</v>
      </c>
      <c r="B2158" s="132">
        <v>41859</v>
      </c>
      <c r="C2158" s="117">
        <v>1</v>
      </c>
      <c r="D2158" s="103" t="s">
        <v>8</v>
      </c>
      <c r="E2158" s="103" t="s">
        <v>306</v>
      </c>
      <c r="F2158" s="103">
        <v>573</v>
      </c>
      <c r="G2158" s="103">
        <v>26</v>
      </c>
      <c r="H2158" s="103" t="s">
        <v>2239</v>
      </c>
      <c r="I2158" s="103">
        <v>45</v>
      </c>
      <c r="K2158" s="103" t="s">
        <v>364</v>
      </c>
      <c r="L2158" s="136"/>
      <c r="M2158" s="134">
        <v>4.1666666666666664E-2</v>
      </c>
      <c r="N2158" s="137" t="s">
        <v>3721</v>
      </c>
      <c r="O2158" s="133" t="s">
        <v>1585</v>
      </c>
      <c r="Q2158" s="100" t="s">
        <v>4099</v>
      </c>
      <c r="R2158" s="226" t="s">
        <v>4115</v>
      </c>
      <c r="S2158" s="491" t="str">
        <f t="shared" si="69"/>
        <v>x</v>
      </c>
      <c r="T2158" s="492">
        <f>IFERROR(VLOOKUP(F2158,'Freq-Chan'!C:D,2,FALSE),"x")</f>
        <v>151.57300000000001</v>
      </c>
      <c r="U2158" s="110" t="s">
        <v>541</v>
      </c>
      <c r="V2158" s="110" t="str">
        <f t="shared" si="70"/>
        <v>FWL</v>
      </c>
      <c r="W2158" s="110" t="s">
        <v>541</v>
      </c>
      <c r="X2158" s="110" t="s">
        <v>541</v>
      </c>
      <c r="Y2158" s="110" t="str">
        <f>IFERROR(VLOOKUP(F2158,'Freq-Chan'!C:E,3,FALSE),"na")</f>
        <v>F1840</v>
      </c>
      <c r="Z2158" s="110" t="s">
        <v>541</v>
      </c>
      <c r="AA2158" s="110" t="s">
        <v>541</v>
      </c>
      <c r="AB2158" s="110" t="s">
        <v>541</v>
      </c>
      <c r="AC2158" s="10" t="s">
        <v>541</v>
      </c>
      <c r="AD2158" s="10" t="s">
        <v>541</v>
      </c>
    </row>
    <row r="2159" spans="1:30" x14ac:dyDescent="0.2">
      <c r="A2159" s="110">
        <v>2158</v>
      </c>
      <c r="B2159" s="132">
        <v>41859</v>
      </c>
      <c r="C2159" s="117">
        <v>1</v>
      </c>
      <c r="D2159" s="103" t="s">
        <v>71</v>
      </c>
      <c r="E2159" s="103" t="s">
        <v>306</v>
      </c>
      <c r="H2159" s="103"/>
      <c r="I2159" s="103">
        <v>63</v>
      </c>
      <c r="K2159" s="103" t="s">
        <v>1032</v>
      </c>
      <c r="L2159" s="136"/>
      <c r="M2159" s="134">
        <v>1.3888888888888888E-2</v>
      </c>
      <c r="N2159" s="137" t="s">
        <v>2541</v>
      </c>
      <c r="O2159" s="133" t="s">
        <v>1532</v>
      </c>
      <c r="Q2159" s="100" t="s">
        <v>4099</v>
      </c>
      <c r="R2159" s="226" t="s">
        <v>4115</v>
      </c>
      <c r="S2159" s="491" t="str">
        <f t="shared" si="69"/>
        <v>x</v>
      </c>
      <c r="T2159" s="492" t="str">
        <f>IFERROR(VLOOKUP(F2159,'Freq-Chan'!C:D,2,FALSE),"x")</f>
        <v>x</v>
      </c>
      <c r="U2159" s="110" t="s">
        <v>541</v>
      </c>
      <c r="V2159" s="110" t="str">
        <f t="shared" si="70"/>
        <v>FWL</v>
      </c>
      <c r="W2159" s="110" t="s">
        <v>541</v>
      </c>
      <c r="X2159" s="110" t="s">
        <v>541</v>
      </c>
      <c r="Y2159" s="110" t="str">
        <f>IFERROR(VLOOKUP(F2159,'Freq-Chan'!C:E,3,FALSE),"na")</f>
        <v>na</v>
      </c>
      <c r="Z2159" s="110" t="s">
        <v>541</v>
      </c>
      <c r="AA2159" s="110" t="s">
        <v>541</v>
      </c>
      <c r="AB2159" s="110" t="s">
        <v>541</v>
      </c>
      <c r="AC2159" s="10" t="s">
        <v>541</v>
      </c>
      <c r="AD2159" s="10" t="s">
        <v>541</v>
      </c>
    </row>
    <row r="2160" spans="1:30" x14ac:dyDescent="0.2">
      <c r="A2160" s="110">
        <v>2159</v>
      </c>
      <c r="B2160" s="132">
        <v>41859</v>
      </c>
      <c r="C2160" s="117">
        <v>1</v>
      </c>
      <c r="D2160" s="103" t="s">
        <v>71</v>
      </c>
      <c r="E2160" s="103" t="s">
        <v>306</v>
      </c>
      <c r="H2160" s="103"/>
      <c r="I2160" s="103">
        <v>54</v>
      </c>
      <c r="K2160" s="103" t="s">
        <v>365</v>
      </c>
      <c r="L2160" s="133"/>
      <c r="M2160" s="134">
        <v>1.0416666666666666E-2</v>
      </c>
      <c r="N2160" s="137" t="s">
        <v>4106</v>
      </c>
      <c r="O2160" s="133" t="s">
        <v>1532</v>
      </c>
      <c r="Q2160" s="100" t="s">
        <v>4099</v>
      </c>
      <c r="R2160" s="226" t="s">
        <v>4115</v>
      </c>
      <c r="S2160" s="491" t="str">
        <f t="shared" si="69"/>
        <v>x</v>
      </c>
      <c r="T2160" s="492" t="str">
        <f>IFERROR(VLOOKUP(F2160,'Freq-Chan'!C:D,2,FALSE),"x")</f>
        <v>x</v>
      </c>
      <c r="U2160" s="110" t="s">
        <v>541</v>
      </c>
      <c r="V2160" s="110" t="str">
        <f t="shared" si="70"/>
        <v>FWL</v>
      </c>
      <c r="W2160" s="110" t="s">
        <v>541</v>
      </c>
      <c r="X2160" s="110" t="s">
        <v>541</v>
      </c>
      <c r="Y2160" s="110" t="str">
        <f>IFERROR(VLOOKUP(F2160,'Freq-Chan'!C:E,3,FALSE),"na")</f>
        <v>na</v>
      </c>
      <c r="Z2160" s="110" t="s">
        <v>541</v>
      </c>
      <c r="AA2160" s="110" t="s">
        <v>541</v>
      </c>
      <c r="AB2160" s="110" t="s">
        <v>541</v>
      </c>
      <c r="AC2160" s="10" t="s">
        <v>541</v>
      </c>
      <c r="AD2160" s="10" t="s">
        <v>541</v>
      </c>
    </row>
    <row r="2161" spans="1:30" x14ac:dyDescent="0.2">
      <c r="A2161" s="110">
        <v>2160</v>
      </c>
      <c r="B2161" s="132">
        <v>41859</v>
      </c>
      <c r="C2161" s="117">
        <v>1</v>
      </c>
      <c r="D2161" s="103" t="s">
        <v>71</v>
      </c>
      <c r="E2161" s="103" t="s">
        <v>306</v>
      </c>
      <c r="H2161" s="103"/>
      <c r="I2161" s="103">
        <v>59</v>
      </c>
      <c r="K2161" s="103" t="s">
        <v>365</v>
      </c>
      <c r="L2161" s="133"/>
      <c r="M2161" s="134">
        <v>1.4583333333333332E-2</v>
      </c>
      <c r="N2161" s="137" t="s">
        <v>4016</v>
      </c>
      <c r="O2161" s="133" t="s">
        <v>1585</v>
      </c>
      <c r="Q2161" s="100" t="s">
        <v>4099</v>
      </c>
      <c r="R2161" s="226" t="s">
        <v>4115</v>
      </c>
      <c r="S2161" s="491" t="str">
        <f t="shared" si="69"/>
        <v>x</v>
      </c>
      <c r="T2161" s="492" t="str">
        <f>IFERROR(VLOOKUP(F2161,'Freq-Chan'!C:D,2,FALSE),"x")</f>
        <v>x</v>
      </c>
      <c r="U2161" s="110" t="s">
        <v>541</v>
      </c>
      <c r="V2161" s="110" t="str">
        <f t="shared" si="70"/>
        <v>FWL</v>
      </c>
      <c r="W2161" s="110" t="s">
        <v>541</v>
      </c>
      <c r="X2161" s="110" t="s">
        <v>541</v>
      </c>
      <c r="Y2161" s="110" t="str">
        <f>IFERROR(VLOOKUP(F2161,'Freq-Chan'!C:E,3,FALSE),"na")</f>
        <v>na</v>
      </c>
      <c r="Z2161" s="110" t="s">
        <v>541</v>
      </c>
      <c r="AA2161" s="110" t="s">
        <v>541</v>
      </c>
      <c r="AB2161" s="110" t="s">
        <v>541</v>
      </c>
      <c r="AC2161" s="10" t="s">
        <v>541</v>
      </c>
      <c r="AD2161" s="10" t="s">
        <v>541</v>
      </c>
    </row>
    <row r="2162" spans="1:30" x14ac:dyDescent="0.2">
      <c r="A2162" s="110">
        <v>2161</v>
      </c>
      <c r="B2162" s="132">
        <v>41859</v>
      </c>
      <c r="C2162" s="117">
        <v>1</v>
      </c>
      <c r="D2162" s="103" t="s">
        <v>72</v>
      </c>
      <c r="E2162" s="103" t="s">
        <v>306</v>
      </c>
      <c r="F2162" s="103">
        <v>266</v>
      </c>
      <c r="G2162" s="103">
        <v>5</v>
      </c>
      <c r="H2162" s="103" t="s">
        <v>3538</v>
      </c>
      <c r="I2162" s="103">
        <v>55</v>
      </c>
      <c r="K2162" s="103" t="s">
        <v>364</v>
      </c>
      <c r="L2162" s="133"/>
      <c r="M2162" s="134">
        <v>5.1388888888888894E-2</v>
      </c>
      <c r="N2162" s="137" t="s">
        <v>2901</v>
      </c>
      <c r="O2162" s="133" t="s">
        <v>1532</v>
      </c>
      <c r="P2162" s="100" t="s">
        <v>4466</v>
      </c>
      <c r="Q2162" s="100" t="s">
        <v>4099</v>
      </c>
      <c r="R2162" s="226" t="s">
        <v>4115</v>
      </c>
      <c r="S2162" s="491" t="str">
        <f t="shared" si="69"/>
        <v>x</v>
      </c>
      <c r="T2162" s="492">
        <f>IFERROR(VLOOKUP(F2162,'Freq-Chan'!C:D,2,FALSE),"x")</f>
        <v>151.26599999999999</v>
      </c>
      <c r="U2162" s="110" t="s">
        <v>541</v>
      </c>
      <c r="V2162" s="110" t="str">
        <f t="shared" si="70"/>
        <v>FWL</v>
      </c>
      <c r="W2162" s="110" t="s">
        <v>541</v>
      </c>
      <c r="X2162" s="110" t="s">
        <v>541</v>
      </c>
      <c r="Y2162" s="110" t="str">
        <f>IFERROR(VLOOKUP(F2162,'Freq-Chan'!C:E,3,FALSE),"na")</f>
        <v>F1840</v>
      </c>
      <c r="Z2162" s="110" t="s">
        <v>541</v>
      </c>
      <c r="AA2162" s="110" t="s">
        <v>541</v>
      </c>
      <c r="AB2162" s="110" t="s">
        <v>541</v>
      </c>
      <c r="AC2162" s="10" t="s">
        <v>541</v>
      </c>
      <c r="AD2162" s="10" t="s">
        <v>541</v>
      </c>
    </row>
    <row r="2163" spans="1:30" x14ac:dyDescent="0.2">
      <c r="A2163" s="110">
        <v>2162</v>
      </c>
      <c r="B2163" s="132">
        <v>41859</v>
      </c>
      <c r="C2163" s="117">
        <v>1</v>
      </c>
      <c r="D2163" s="103" t="s">
        <v>71</v>
      </c>
      <c r="E2163" s="103" t="s">
        <v>306</v>
      </c>
      <c r="H2163" s="103"/>
      <c r="I2163" s="103">
        <v>62</v>
      </c>
      <c r="K2163" s="103" t="s">
        <v>365</v>
      </c>
      <c r="L2163" s="133"/>
      <c r="M2163" s="134">
        <v>1.2499999999999999E-2</v>
      </c>
      <c r="N2163" s="137" t="s">
        <v>3229</v>
      </c>
      <c r="O2163" s="133" t="s">
        <v>1585</v>
      </c>
      <c r="Q2163" s="100" t="s">
        <v>4099</v>
      </c>
      <c r="R2163" s="226" t="s">
        <v>4115</v>
      </c>
      <c r="S2163" s="491" t="str">
        <f t="shared" ref="S2163:S2226" si="71">IF(IF(OR(L2163=0,N2163=0),"x",ROUND(N2163-L2163-(M2163*24)/(24*60),10))&lt;0,0,IF(OR(L2163=0,N2163=0),"x",ROUND(N2163-L2163-(M2163*24)/(24*60),10)))</f>
        <v>x</v>
      </c>
      <c r="T2163" s="492" t="str">
        <f>IFERROR(VLOOKUP(F2163,'Freq-Chan'!C:D,2,FALSE),"x")</f>
        <v>x</v>
      </c>
      <c r="U2163" s="110" t="s">
        <v>541</v>
      </c>
      <c r="V2163" s="110" t="str">
        <f t="shared" ref="V2163:V2226" si="72">IF(OR(C2163=1,C2163=2,C2163=3),"FWL","NRD")</f>
        <v>FWL</v>
      </c>
      <c r="W2163" s="110" t="s">
        <v>541</v>
      </c>
      <c r="X2163" s="110" t="s">
        <v>541</v>
      </c>
      <c r="Y2163" s="110" t="str">
        <f>IFERROR(VLOOKUP(F2163,'Freq-Chan'!C:E,3,FALSE),"na")</f>
        <v>na</v>
      </c>
      <c r="Z2163" s="110" t="s">
        <v>541</v>
      </c>
      <c r="AA2163" s="110" t="s">
        <v>541</v>
      </c>
      <c r="AB2163" s="110" t="s">
        <v>541</v>
      </c>
      <c r="AC2163" s="10" t="s">
        <v>541</v>
      </c>
      <c r="AD2163" s="10" t="s">
        <v>541</v>
      </c>
    </row>
    <row r="2164" spans="1:30" x14ac:dyDescent="0.2">
      <c r="A2164" s="110">
        <v>2163</v>
      </c>
      <c r="B2164" s="132">
        <v>41859</v>
      </c>
      <c r="C2164" s="117">
        <v>1</v>
      </c>
      <c r="D2164" s="103" t="s">
        <v>72</v>
      </c>
      <c r="E2164" s="103" t="s">
        <v>306</v>
      </c>
      <c r="H2164" s="103"/>
      <c r="I2164" s="103">
        <v>51</v>
      </c>
      <c r="K2164" s="103" t="s">
        <v>365</v>
      </c>
      <c r="L2164" s="133"/>
      <c r="M2164" s="134">
        <v>2.013888888888889E-2</v>
      </c>
      <c r="N2164" s="137" t="s">
        <v>3390</v>
      </c>
      <c r="O2164" s="133" t="s">
        <v>1585</v>
      </c>
      <c r="P2164" s="100" t="s">
        <v>4107</v>
      </c>
      <c r="Q2164" s="100" t="s">
        <v>4099</v>
      </c>
      <c r="R2164" s="226" t="s">
        <v>4115</v>
      </c>
      <c r="S2164" s="491" t="str">
        <f t="shared" si="71"/>
        <v>x</v>
      </c>
      <c r="T2164" s="492" t="str">
        <f>IFERROR(VLOOKUP(F2164,'Freq-Chan'!C:D,2,FALSE),"x")</f>
        <v>x</v>
      </c>
      <c r="U2164" s="110" t="s">
        <v>541</v>
      </c>
      <c r="V2164" s="110" t="str">
        <f t="shared" si="72"/>
        <v>FWL</v>
      </c>
      <c r="W2164" s="110" t="s">
        <v>541</v>
      </c>
      <c r="X2164" s="110" t="s">
        <v>541</v>
      </c>
      <c r="Y2164" s="110" t="str">
        <f>IFERROR(VLOOKUP(F2164,'Freq-Chan'!C:E,3,FALSE),"na")</f>
        <v>na</v>
      </c>
      <c r="Z2164" s="110" t="s">
        <v>541</v>
      </c>
      <c r="AA2164" s="110" t="s">
        <v>541</v>
      </c>
      <c r="AB2164" s="110" t="s">
        <v>541</v>
      </c>
      <c r="AC2164" s="10" t="s">
        <v>541</v>
      </c>
      <c r="AD2164" s="10" t="s">
        <v>541</v>
      </c>
    </row>
    <row r="2165" spans="1:30" x14ac:dyDescent="0.2">
      <c r="A2165" s="110">
        <v>2164</v>
      </c>
      <c r="B2165" s="132">
        <v>41859</v>
      </c>
      <c r="C2165" s="117">
        <v>1</v>
      </c>
      <c r="D2165" s="103" t="s">
        <v>70</v>
      </c>
      <c r="E2165" s="103" t="s">
        <v>306</v>
      </c>
      <c r="F2165" s="103">
        <v>515</v>
      </c>
      <c r="G2165" s="103">
        <v>13</v>
      </c>
      <c r="H2165" s="103" t="s">
        <v>3100</v>
      </c>
      <c r="I2165" s="103">
        <v>43</v>
      </c>
      <c r="K2165" s="103" t="s">
        <v>365</v>
      </c>
      <c r="L2165" s="133"/>
      <c r="M2165" s="134">
        <v>4.9999999999999996E-2</v>
      </c>
      <c r="N2165" s="137" t="s">
        <v>3315</v>
      </c>
      <c r="O2165" s="133" t="s">
        <v>1585</v>
      </c>
      <c r="Q2165" s="100" t="s">
        <v>4099</v>
      </c>
      <c r="R2165" s="226" t="s">
        <v>4115</v>
      </c>
      <c r="S2165" s="491" t="str">
        <f t="shared" si="71"/>
        <v>x</v>
      </c>
      <c r="T2165" s="492">
        <f>IFERROR(VLOOKUP(F2165,'Freq-Chan'!C:D,2,FALSE),"x")</f>
        <v>151.51499999999999</v>
      </c>
      <c r="U2165" s="110" t="s">
        <v>541</v>
      </c>
      <c r="V2165" s="110" t="str">
        <f t="shared" si="72"/>
        <v>FWL</v>
      </c>
      <c r="W2165" s="110" t="s">
        <v>541</v>
      </c>
      <c r="X2165" s="110" t="s">
        <v>541</v>
      </c>
      <c r="Y2165" s="110" t="str">
        <f>IFERROR(VLOOKUP(F2165,'Freq-Chan'!C:E,3,FALSE),"na")</f>
        <v>F1835</v>
      </c>
      <c r="Z2165" s="110" t="s">
        <v>541</v>
      </c>
      <c r="AA2165" s="110" t="s">
        <v>541</v>
      </c>
      <c r="AB2165" s="110" t="s">
        <v>541</v>
      </c>
      <c r="AC2165" s="10" t="s">
        <v>541</v>
      </c>
      <c r="AD2165" s="10" t="s">
        <v>541</v>
      </c>
    </row>
    <row r="2166" spans="1:30" x14ac:dyDescent="0.2">
      <c r="A2166" s="110">
        <v>2165</v>
      </c>
      <c r="B2166" s="132">
        <v>41859</v>
      </c>
      <c r="C2166" s="117">
        <v>1</v>
      </c>
      <c r="D2166" s="103" t="s">
        <v>70</v>
      </c>
      <c r="E2166" s="103" t="s">
        <v>306</v>
      </c>
      <c r="F2166" s="103">
        <v>515</v>
      </c>
      <c r="G2166" s="103">
        <v>45</v>
      </c>
      <c r="H2166" s="103" t="s">
        <v>3103</v>
      </c>
      <c r="I2166" s="103">
        <v>45</v>
      </c>
      <c r="K2166" s="103" t="s">
        <v>1032</v>
      </c>
      <c r="L2166" s="133"/>
      <c r="M2166" s="134">
        <v>3.8194444444444441E-2</v>
      </c>
      <c r="N2166" s="137" t="s">
        <v>4047</v>
      </c>
      <c r="O2166" s="133" t="s">
        <v>1585</v>
      </c>
      <c r="Q2166" s="100" t="s">
        <v>4099</v>
      </c>
      <c r="R2166" s="226" t="s">
        <v>4115</v>
      </c>
      <c r="S2166" s="491" t="str">
        <f t="shared" si="71"/>
        <v>x</v>
      </c>
      <c r="T2166" s="492">
        <f>IFERROR(VLOOKUP(F2166,'Freq-Chan'!C:D,2,FALSE),"x")</f>
        <v>151.51499999999999</v>
      </c>
      <c r="U2166" s="110" t="s">
        <v>541</v>
      </c>
      <c r="V2166" s="110" t="str">
        <f t="shared" si="72"/>
        <v>FWL</v>
      </c>
      <c r="W2166" s="110" t="s">
        <v>541</v>
      </c>
      <c r="X2166" s="110" t="s">
        <v>541</v>
      </c>
      <c r="Y2166" s="110" t="str">
        <f>IFERROR(VLOOKUP(F2166,'Freq-Chan'!C:E,3,FALSE),"na")</f>
        <v>F1835</v>
      </c>
      <c r="Z2166" s="110" t="s">
        <v>541</v>
      </c>
      <c r="AA2166" s="110" t="s">
        <v>541</v>
      </c>
      <c r="AB2166" s="110" t="s">
        <v>541</v>
      </c>
      <c r="AC2166" s="10" t="s">
        <v>541</v>
      </c>
      <c r="AD2166" s="10" t="s">
        <v>541</v>
      </c>
    </row>
    <row r="2167" spans="1:30" x14ac:dyDescent="0.2">
      <c r="A2167" s="110">
        <v>2166</v>
      </c>
      <c r="B2167" s="132">
        <v>41859</v>
      </c>
      <c r="C2167" s="117">
        <v>1</v>
      </c>
      <c r="D2167" s="103" t="s">
        <v>70</v>
      </c>
      <c r="E2167" s="103" t="s">
        <v>306</v>
      </c>
      <c r="F2167" s="103">
        <v>515</v>
      </c>
      <c r="G2167" s="103">
        <v>21</v>
      </c>
      <c r="H2167" s="103" t="s">
        <v>3104</v>
      </c>
      <c r="I2167" s="103">
        <v>46</v>
      </c>
      <c r="K2167" s="103" t="s">
        <v>365</v>
      </c>
      <c r="L2167" s="133"/>
      <c r="M2167" s="134">
        <v>3.4722222222222224E-2</v>
      </c>
      <c r="N2167" s="137" t="s">
        <v>2903</v>
      </c>
      <c r="O2167" s="133" t="s">
        <v>1585</v>
      </c>
      <c r="Q2167" s="100" t="s">
        <v>4099</v>
      </c>
      <c r="R2167" s="226" t="s">
        <v>4115</v>
      </c>
      <c r="S2167" s="491" t="str">
        <f t="shared" si="71"/>
        <v>x</v>
      </c>
      <c r="T2167" s="492">
        <f>IFERROR(VLOOKUP(F2167,'Freq-Chan'!C:D,2,FALSE),"x")</f>
        <v>151.51499999999999</v>
      </c>
      <c r="U2167" s="110" t="s">
        <v>541</v>
      </c>
      <c r="V2167" s="110" t="str">
        <f t="shared" si="72"/>
        <v>FWL</v>
      </c>
      <c r="W2167" s="110" t="s">
        <v>541</v>
      </c>
      <c r="X2167" s="110" t="s">
        <v>541</v>
      </c>
      <c r="Y2167" s="110" t="str">
        <f>IFERROR(VLOOKUP(F2167,'Freq-Chan'!C:E,3,FALSE),"na")</f>
        <v>F1835</v>
      </c>
      <c r="Z2167" s="110" t="s">
        <v>541</v>
      </c>
      <c r="AA2167" s="110" t="s">
        <v>541</v>
      </c>
      <c r="AB2167" s="110" t="s">
        <v>541</v>
      </c>
      <c r="AC2167" s="10" t="s">
        <v>541</v>
      </c>
      <c r="AD2167" s="10" t="s">
        <v>541</v>
      </c>
    </row>
    <row r="2168" spans="1:30" x14ac:dyDescent="0.2">
      <c r="A2168" s="110">
        <v>2167</v>
      </c>
      <c r="B2168" s="132">
        <v>41859</v>
      </c>
      <c r="C2168" s="117">
        <v>1</v>
      </c>
      <c r="D2168" s="103" t="s">
        <v>177</v>
      </c>
      <c r="E2168" s="103" t="s">
        <v>0</v>
      </c>
      <c r="H2168" s="103"/>
      <c r="I2168" s="103">
        <v>37</v>
      </c>
      <c r="K2168" s="103" t="s">
        <v>1032</v>
      </c>
      <c r="L2168" s="133"/>
      <c r="M2168" s="134">
        <v>3.6111111111111115E-2</v>
      </c>
      <c r="N2168" s="137" t="s">
        <v>3488</v>
      </c>
      <c r="O2168" s="133" t="s">
        <v>1532</v>
      </c>
      <c r="Q2168" s="100" t="s">
        <v>4099</v>
      </c>
      <c r="R2168" s="226" t="s">
        <v>4115</v>
      </c>
      <c r="S2168" s="491" t="str">
        <f t="shared" si="71"/>
        <v>x</v>
      </c>
      <c r="T2168" s="492" t="str">
        <f>IFERROR(VLOOKUP(F2168,'Freq-Chan'!C:D,2,FALSE),"x")</f>
        <v>x</v>
      </c>
      <c r="U2168" s="110" t="s">
        <v>541</v>
      </c>
      <c r="V2168" s="110" t="str">
        <f t="shared" si="72"/>
        <v>FWL</v>
      </c>
      <c r="W2168" s="110" t="s">
        <v>541</v>
      </c>
      <c r="X2168" s="110" t="s">
        <v>541</v>
      </c>
      <c r="Y2168" s="110" t="str">
        <f>IFERROR(VLOOKUP(F2168,'Freq-Chan'!C:E,3,FALSE),"na")</f>
        <v>na</v>
      </c>
      <c r="Z2168" s="110" t="s">
        <v>541</v>
      </c>
      <c r="AA2168" s="110" t="s">
        <v>541</v>
      </c>
      <c r="AB2168" s="110" t="s">
        <v>541</v>
      </c>
      <c r="AC2168" s="10" t="s">
        <v>541</v>
      </c>
      <c r="AD2168" s="10" t="s">
        <v>541</v>
      </c>
    </row>
    <row r="2169" spans="1:30" s="291" customFormat="1" x14ac:dyDescent="0.2">
      <c r="A2169" s="493">
        <v>2168</v>
      </c>
      <c r="B2169" s="283">
        <v>41859</v>
      </c>
      <c r="C2169" s="284">
        <v>1</v>
      </c>
      <c r="D2169" s="285" t="s">
        <v>71</v>
      </c>
      <c r="E2169" s="285" t="s">
        <v>306</v>
      </c>
      <c r="F2169" s="285"/>
      <c r="G2169" s="285"/>
      <c r="H2169" s="285"/>
      <c r="I2169" s="285">
        <v>58</v>
      </c>
      <c r="J2169" s="285"/>
      <c r="K2169" s="285" t="s">
        <v>1032</v>
      </c>
      <c r="L2169" s="286"/>
      <c r="M2169" s="287">
        <v>8.3333333333333332E-3</v>
      </c>
      <c r="N2169" s="339" t="s">
        <v>3436</v>
      </c>
      <c r="O2169" s="286" t="s">
        <v>1532</v>
      </c>
      <c r="P2169" s="289"/>
      <c r="Q2169" s="289" t="s">
        <v>4099</v>
      </c>
      <c r="R2169" s="290" t="s">
        <v>4115</v>
      </c>
      <c r="S2169" s="494" t="str">
        <f t="shared" si="71"/>
        <v>x</v>
      </c>
      <c r="T2169" s="495" t="str">
        <f>IFERROR(VLOOKUP(F2169,'Freq-Chan'!C:D,2,FALSE),"x")</f>
        <v>x</v>
      </c>
      <c r="U2169" s="493" t="s">
        <v>541</v>
      </c>
      <c r="V2169" s="493" t="str">
        <f t="shared" si="72"/>
        <v>FWL</v>
      </c>
      <c r="W2169" s="493" t="s">
        <v>541</v>
      </c>
      <c r="X2169" s="493" t="s">
        <v>541</v>
      </c>
      <c r="Y2169" s="493" t="str">
        <f>IFERROR(VLOOKUP(F2169,'Freq-Chan'!C:E,3,FALSE),"na")</f>
        <v>na</v>
      </c>
      <c r="Z2169" s="493" t="s">
        <v>541</v>
      </c>
      <c r="AA2169" s="493" t="s">
        <v>541</v>
      </c>
      <c r="AB2169" s="493" t="s">
        <v>541</v>
      </c>
      <c r="AC2169" s="291" t="s">
        <v>541</v>
      </c>
      <c r="AD2169" s="291" t="s">
        <v>541</v>
      </c>
    </row>
    <row r="2170" spans="1:30" x14ac:dyDescent="0.2">
      <c r="A2170" s="110">
        <v>2169</v>
      </c>
      <c r="B2170" s="132">
        <v>41859</v>
      </c>
      <c r="C2170" s="117">
        <v>2</v>
      </c>
      <c r="D2170" s="103" t="s">
        <v>71</v>
      </c>
      <c r="E2170" s="103" t="s">
        <v>306</v>
      </c>
      <c r="F2170" s="103">
        <v>564</v>
      </c>
      <c r="G2170" s="103">
        <v>65</v>
      </c>
      <c r="H2170" s="103" t="s">
        <v>2422</v>
      </c>
      <c r="I2170" s="103">
        <v>59</v>
      </c>
      <c r="K2170" s="103" t="s">
        <v>1032</v>
      </c>
      <c r="L2170" s="133"/>
      <c r="M2170" s="134">
        <v>5.347222222222222E-2</v>
      </c>
      <c r="N2170" s="137" t="s">
        <v>3424</v>
      </c>
      <c r="O2170" s="133" t="s">
        <v>2931</v>
      </c>
      <c r="Q2170" s="100" t="s">
        <v>4098</v>
      </c>
      <c r="R2170" s="226" t="s">
        <v>4115</v>
      </c>
      <c r="S2170" s="491" t="str">
        <f t="shared" si="71"/>
        <v>x</v>
      </c>
      <c r="T2170" s="492">
        <f>IFERROR(VLOOKUP(F2170,'Freq-Chan'!C:D,2,FALSE),"x")</f>
        <v>151.56399999999999</v>
      </c>
      <c r="U2170" s="110" t="s">
        <v>541</v>
      </c>
      <c r="V2170" s="110" t="str">
        <f t="shared" si="72"/>
        <v>FWL</v>
      </c>
      <c r="W2170" s="110" t="s">
        <v>541</v>
      </c>
      <c r="X2170" s="110" t="s">
        <v>541</v>
      </c>
      <c r="Y2170" s="110" t="str">
        <f>IFERROR(VLOOKUP(F2170,'Freq-Chan'!C:E,3,FALSE),"na")</f>
        <v>F1840</v>
      </c>
      <c r="Z2170" s="110" t="s">
        <v>541</v>
      </c>
      <c r="AA2170" s="110" t="s">
        <v>541</v>
      </c>
      <c r="AB2170" s="110" t="s">
        <v>541</v>
      </c>
      <c r="AC2170" s="10" t="s">
        <v>541</v>
      </c>
      <c r="AD2170" s="10" t="s">
        <v>541</v>
      </c>
    </row>
    <row r="2171" spans="1:30" x14ac:dyDescent="0.2">
      <c r="A2171" s="110">
        <v>2170</v>
      </c>
      <c r="B2171" s="132">
        <v>41859</v>
      </c>
      <c r="C2171" s="117">
        <v>2</v>
      </c>
      <c r="D2171" s="103" t="s">
        <v>71</v>
      </c>
      <c r="E2171" s="103" t="s">
        <v>306</v>
      </c>
      <c r="F2171" s="103">
        <v>534</v>
      </c>
      <c r="G2171" s="103">
        <v>10</v>
      </c>
      <c r="H2171" s="103" t="s">
        <v>2420</v>
      </c>
      <c r="I2171" s="103">
        <v>57</v>
      </c>
      <c r="K2171" s="103" t="s">
        <v>365</v>
      </c>
      <c r="L2171" s="133"/>
      <c r="M2171" s="134">
        <v>4.7916666666666663E-2</v>
      </c>
      <c r="N2171" s="135" t="s">
        <v>3980</v>
      </c>
      <c r="O2171" s="133" t="s">
        <v>2931</v>
      </c>
      <c r="Q2171" s="100" t="s">
        <v>4098</v>
      </c>
      <c r="R2171" s="226" t="s">
        <v>4115</v>
      </c>
      <c r="S2171" s="491" t="str">
        <f t="shared" si="71"/>
        <v>x</v>
      </c>
      <c r="T2171" s="492">
        <f>IFERROR(VLOOKUP(F2171,'Freq-Chan'!C:D,2,FALSE),"x")</f>
        <v>151.53399999999999</v>
      </c>
      <c r="U2171" s="110" t="s">
        <v>541</v>
      </c>
      <c r="V2171" s="110" t="str">
        <f t="shared" si="72"/>
        <v>FWL</v>
      </c>
      <c r="W2171" s="110" t="s">
        <v>541</v>
      </c>
      <c r="X2171" s="110" t="s">
        <v>541</v>
      </c>
      <c r="Y2171" s="110" t="str">
        <f>IFERROR(VLOOKUP(F2171,'Freq-Chan'!C:E,3,FALSE),"na")</f>
        <v>F1840</v>
      </c>
      <c r="Z2171" s="110" t="s">
        <v>541</v>
      </c>
      <c r="AA2171" s="110" t="s">
        <v>541</v>
      </c>
      <c r="AB2171" s="110" t="s">
        <v>541</v>
      </c>
      <c r="AC2171" s="10" t="s">
        <v>541</v>
      </c>
      <c r="AD2171" s="10" t="s">
        <v>541</v>
      </c>
    </row>
    <row r="2172" spans="1:30" x14ac:dyDescent="0.2">
      <c r="A2172" s="110">
        <v>2171</v>
      </c>
      <c r="B2172" s="132">
        <v>41859</v>
      </c>
      <c r="C2172" s="117">
        <v>2</v>
      </c>
      <c r="D2172" s="103" t="s">
        <v>71</v>
      </c>
      <c r="E2172" s="103" t="s">
        <v>306</v>
      </c>
      <c r="F2172" s="103">
        <v>534</v>
      </c>
      <c r="G2172" s="103">
        <v>77</v>
      </c>
      <c r="H2172" s="103" t="s">
        <v>2418</v>
      </c>
      <c r="I2172" s="103">
        <v>60</v>
      </c>
      <c r="K2172" s="103" t="s">
        <v>365</v>
      </c>
      <c r="L2172" s="133"/>
      <c r="M2172" s="134">
        <v>4.8611111111111112E-2</v>
      </c>
      <c r="N2172" s="135" t="s">
        <v>3205</v>
      </c>
      <c r="O2172" s="133" t="s">
        <v>2931</v>
      </c>
      <c r="Q2172" s="100" t="s">
        <v>4098</v>
      </c>
      <c r="R2172" s="226" t="s">
        <v>4115</v>
      </c>
      <c r="S2172" s="491" t="str">
        <f t="shared" si="71"/>
        <v>x</v>
      </c>
      <c r="T2172" s="492">
        <f>IFERROR(VLOOKUP(F2172,'Freq-Chan'!C:D,2,FALSE),"x")</f>
        <v>151.53399999999999</v>
      </c>
      <c r="U2172" s="110" t="s">
        <v>541</v>
      </c>
      <c r="V2172" s="110" t="str">
        <f t="shared" si="72"/>
        <v>FWL</v>
      </c>
      <c r="W2172" s="110" t="s">
        <v>541</v>
      </c>
      <c r="X2172" s="110" t="s">
        <v>541</v>
      </c>
      <c r="Y2172" s="110" t="str">
        <f>IFERROR(VLOOKUP(F2172,'Freq-Chan'!C:E,3,FALSE),"na")</f>
        <v>F1840</v>
      </c>
      <c r="Z2172" s="110" t="s">
        <v>541</v>
      </c>
      <c r="AA2172" s="110" t="s">
        <v>541</v>
      </c>
      <c r="AB2172" s="110" t="s">
        <v>541</v>
      </c>
      <c r="AC2172" s="10" t="s">
        <v>541</v>
      </c>
      <c r="AD2172" s="10" t="s">
        <v>541</v>
      </c>
    </row>
    <row r="2173" spans="1:30" x14ac:dyDescent="0.2">
      <c r="A2173" s="110">
        <v>2172</v>
      </c>
      <c r="B2173" s="132">
        <v>41859</v>
      </c>
      <c r="C2173" s="117">
        <v>2</v>
      </c>
      <c r="D2173" s="103" t="s">
        <v>70</v>
      </c>
      <c r="E2173" s="103" t="s">
        <v>306</v>
      </c>
      <c r="F2173" s="103">
        <v>515</v>
      </c>
      <c r="G2173" s="103">
        <v>3</v>
      </c>
      <c r="H2173" s="103" t="s">
        <v>3099</v>
      </c>
      <c r="I2173" s="103">
        <v>49</v>
      </c>
      <c r="K2173" s="103" t="s">
        <v>1032</v>
      </c>
      <c r="L2173" s="133"/>
      <c r="M2173" s="134">
        <v>4.7222222222222221E-2</v>
      </c>
      <c r="N2173" s="135" t="s">
        <v>3481</v>
      </c>
      <c r="O2173" s="133" t="s">
        <v>2931</v>
      </c>
      <c r="Q2173" s="100" t="s">
        <v>4098</v>
      </c>
      <c r="R2173" s="226" t="s">
        <v>4115</v>
      </c>
      <c r="S2173" s="491" t="str">
        <f t="shared" si="71"/>
        <v>x</v>
      </c>
      <c r="T2173" s="492">
        <f>IFERROR(VLOOKUP(F2173,'Freq-Chan'!C:D,2,FALSE),"x")</f>
        <v>151.51499999999999</v>
      </c>
      <c r="U2173" s="110" t="s">
        <v>541</v>
      </c>
      <c r="V2173" s="110" t="str">
        <f t="shared" si="72"/>
        <v>FWL</v>
      </c>
      <c r="W2173" s="110" t="s">
        <v>541</v>
      </c>
      <c r="X2173" s="110" t="s">
        <v>541</v>
      </c>
      <c r="Y2173" s="110" t="str">
        <f>IFERROR(VLOOKUP(F2173,'Freq-Chan'!C:E,3,FALSE),"na")</f>
        <v>F1835</v>
      </c>
      <c r="Z2173" s="110" t="s">
        <v>541</v>
      </c>
      <c r="AA2173" s="110" t="s">
        <v>541</v>
      </c>
      <c r="AB2173" s="110" t="s">
        <v>541</v>
      </c>
      <c r="AC2173" s="10" t="s">
        <v>541</v>
      </c>
      <c r="AD2173" s="10" t="s">
        <v>541</v>
      </c>
    </row>
    <row r="2174" spans="1:30" x14ac:dyDescent="0.2">
      <c r="A2174" s="110">
        <v>2173</v>
      </c>
      <c r="B2174" s="132">
        <v>41859</v>
      </c>
      <c r="C2174" s="117">
        <v>2</v>
      </c>
      <c r="D2174" s="103" t="s">
        <v>71</v>
      </c>
      <c r="E2174" s="103" t="s">
        <v>306</v>
      </c>
      <c r="H2174" s="103"/>
      <c r="I2174" s="103">
        <v>59</v>
      </c>
      <c r="K2174" s="103" t="s">
        <v>1032</v>
      </c>
      <c r="L2174" s="133"/>
      <c r="M2174" s="134">
        <v>2.8472222222222222E-2</v>
      </c>
      <c r="N2174" s="137" t="s">
        <v>2814</v>
      </c>
      <c r="O2174" s="133" t="s">
        <v>3932</v>
      </c>
      <c r="Q2174" s="100" t="s">
        <v>4098</v>
      </c>
      <c r="R2174" s="226" t="s">
        <v>4115</v>
      </c>
      <c r="S2174" s="491" t="str">
        <f t="shared" si="71"/>
        <v>x</v>
      </c>
      <c r="T2174" s="492" t="str">
        <f>IFERROR(VLOOKUP(F2174,'Freq-Chan'!C:D,2,FALSE),"x")</f>
        <v>x</v>
      </c>
      <c r="U2174" s="110" t="s">
        <v>541</v>
      </c>
      <c r="V2174" s="110" t="str">
        <f t="shared" si="72"/>
        <v>FWL</v>
      </c>
      <c r="W2174" s="110" t="s">
        <v>541</v>
      </c>
      <c r="X2174" s="110" t="s">
        <v>541</v>
      </c>
      <c r="Y2174" s="110" t="str">
        <f>IFERROR(VLOOKUP(F2174,'Freq-Chan'!C:E,3,FALSE),"na")</f>
        <v>na</v>
      </c>
      <c r="Z2174" s="110" t="s">
        <v>541</v>
      </c>
      <c r="AA2174" s="110" t="s">
        <v>541</v>
      </c>
      <c r="AB2174" s="110" t="s">
        <v>541</v>
      </c>
      <c r="AC2174" s="10" t="s">
        <v>541</v>
      </c>
      <c r="AD2174" s="10" t="s">
        <v>541</v>
      </c>
    </row>
    <row r="2175" spans="1:30" x14ac:dyDescent="0.2">
      <c r="A2175" s="110">
        <v>2174</v>
      </c>
      <c r="B2175" s="132">
        <v>41859</v>
      </c>
      <c r="C2175" s="117">
        <v>2</v>
      </c>
      <c r="D2175" s="103" t="s">
        <v>70</v>
      </c>
      <c r="E2175" s="103" t="s">
        <v>306</v>
      </c>
      <c r="H2175" s="103"/>
      <c r="I2175" s="103">
        <v>43</v>
      </c>
      <c r="K2175" s="103" t="s">
        <v>1032</v>
      </c>
      <c r="L2175" s="133"/>
      <c r="M2175" s="134">
        <v>1.4583333333333332E-2</v>
      </c>
      <c r="N2175" s="137" t="s">
        <v>2619</v>
      </c>
      <c r="O2175" s="133" t="s">
        <v>2931</v>
      </c>
      <c r="Q2175" s="100" t="s">
        <v>4098</v>
      </c>
      <c r="R2175" s="226" t="s">
        <v>4115</v>
      </c>
      <c r="S2175" s="491" t="str">
        <f t="shared" si="71"/>
        <v>x</v>
      </c>
      <c r="T2175" s="492" t="str">
        <f>IFERROR(VLOOKUP(F2175,'Freq-Chan'!C:D,2,FALSE),"x")</f>
        <v>x</v>
      </c>
      <c r="U2175" s="110" t="s">
        <v>541</v>
      </c>
      <c r="V2175" s="110" t="str">
        <f t="shared" si="72"/>
        <v>FWL</v>
      </c>
      <c r="W2175" s="110" t="s">
        <v>541</v>
      </c>
      <c r="X2175" s="110" t="s">
        <v>541</v>
      </c>
      <c r="Y2175" s="110" t="str">
        <f>IFERROR(VLOOKUP(F2175,'Freq-Chan'!C:E,3,FALSE),"na")</f>
        <v>na</v>
      </c>
      <c r="Z2175" s="110" t="s">
        <v>541</v>
      </c>
      <c r="AA2175" s="110" t="s">
        <v>541</v>
      </c>
      <c r="AB2175" s="110" t="s">
        <v>541</v>
      </c>
      <c r="AC2175" s="10" t="s">
        <v>541</v>
      </c>
      <c r="AD2175" s="10" t="s">
        <v>541</v>
      </c>
    </row>
    <row r="2176" spans="1:30" x14ac:dyDescent="0.2">
      <c r="A2176" s="110">
        <v>2175</v>
      </c>
      <c r="B2176" s="132">
        <v>41859</v>
      </c>
      <c r="C2176" s="117">
        <v>2</v>
      </c>
      <c r="D2176" s="103" t="s">
        <v>71</v>
      </c>
      <c r="E2176" s="103" t="s">
        <v>306</v>
      </c>
      <c r="H2176" s="103"/>
      <c r="I2176" s="103">
        <v>65</v>
      </c>
      <c r="K2176" s="103" t="s">
        <v>365</v>
      </c>
      <c r="L2176" s="133"/>
      <c r="M2176" s="134">
        <v>1.6666666666666666E-2</v>
      </c>
      <c r="N2176" s="137" t="s">
        <v>3498</v>
      </c>
      <c r="O2176" s="133" t="s">
        <v>2931</v>
      </c>
      <c r="Q2176" s="100" t="s">
        <v>4098</v>
      </c>
      <c r="R2176" s="226" t="s">
        <v>4115</v>
      </c>
      <c r="S2176" s="491" t="str">
        <f t="shared" si="71"/>
        <v>x</v>
      </c>
      <c r="T2176" s="492" t="str">
        <f>IFERROR(VLOOKUP(F2176,'Freq-Chan'!C:D,2,FALSE),"x")</f>
        <v>x</v>
      </c>
      <c r="U2176" s="110" t="s">
        <v>541</v>
      </c>
      <c r="V2176" s="110" t="str">
        <f t="shared" si="72"/>
        <v>FWL</v>
      </c>
      <c r="W2176" s="110" t="s">
        <v>541</v>
      </c>
      <c r="X2176" s="110" t="s">
        <v>541</v>
      </c>
      <c r="Y2176" s="110" t="str">
        <f>IFERROR(VLOOKUP(F2176,'Freq-Chan'!C:E,3,FALSE),"na")</f>
        <v>na</v>
      </c>
      <c r="Z2176" s="110" t="s">
        <v>541</v>
      </c>
      <c r="AA2176" s="110" t="s">
        <v>541</v>
      </c>
      <c r="AB2176" s="110" t="s">
        <v>541</v>
      </c>
      <c r="AC2176" s="10" t="s">
        <v>541</v>
      </c>
      <c r="AD2176" s="10" t="s">
        <v>541</v>
      </c>
    </row>
    <row r="2177" spans="1:30" x14ac:dyDescent="0.2">
      <c r="A2177" s="110">
        <v>2176</v>
      </c>
      <c r="B2177" s="132">
        <v>41859</v>
      </c>
      <c r="C2177" s="117">
        <v>2</v>
      </c>
      <c r="D2177" s="103" t="s">
        <v>71</v>
      </c>
      <c r="E2177" s="103" t="s">
        <v>306</v>
      </c>
      <c r="H2177" s="103"/>
      <c r="I2177" s="103">
        <v>59</v>
      </c>
      <c r="K2177" s="103" t="s">
        <v>1032</v>
      </c>
      <c r="L2177" s="133"/>
      <c r="M2177" s="134">
        <v>1.5972222222222224E-2</v>
      </c>
      <c r="N2177" s="137" t="s">
        <v>4014</v>
      </c>
      <c r="O2177" s="133" t="s">
        <v>2931</v>
      </c>
      <c r="Q2177" s="100" t="s">
        <v>4098</v>
      </c>
      <c r="R2177" s="226" t="s">
        <v>4115</v>
      </c>
      <c r="S2177" s="491" t="str">
        <f t="shared" si="71"/>
        <v>x</v>
      </c>
      <c r="T2177" s="492" t="str">
        <f>IFERROR(VLOOKUP(F2177,'Freq-Chan'!C:D,2,FALSE),"x")</f>
        <v>x</v>
      </c>
      <c r="U2177" s="110" t="s">
        <v>541</v>
      </c>
      <c r="V2177" s="110" t="str">
        <f t="shared" si="72"/>
        <v>FWL</v>
      </c>
      <c r="W2177" s="110" t="s">
        <v>541</v>
      </c>
      <c r="X2177" s="110" t="s">
        <v>541</v>
      </c>
      <c r="Y2177" s="110" t="str">
        <f>IFERROR(VLOOKUP(F2177,'Freq-Chan'!C:E,3,FALSE),"na")</f>
        <v>na</v>
      </c>
      <c r="Z2177" s="110" t="s">
        <v>541</v>
      </c>
      <c r="AA2177" s="110" t="s">
        <v>541</v>
      </c>
      <c r="AB2177" s="110" t="s">
        <v>541</v>
      </c>
      <c r="AC2177" s="10" t="s">
        <v>541</v>
      </c>
      <c r="AD2177" s="10" t="s">
        <v>541</v>
      </c>
    </row>
    <row r="2178" spans="1:30" x14ac:dyDescent="0.2">
      <c r="A2178" s="110">
        <v>2177</v>
      </c>
      <c r="B2178" s="132">
        <v>41859</v>
      </c>
      <c r="C2178" s="117">
        <v>2</v>
      </c>
      <c r="D2178" s="103" t="s">
        <v>71</v>
      </c>
      <c r="E2178" s="103" t="s">
        <v>306</v>
      </c>
      <c r="F2178" s="103">
        <v>534</v>
      </c>
      <c r="G2178" s="103">
        <v>81</v>
      </c>
      <c r="H2178" s="103" t="s">
        <v>2419</v>
      </c>
      <c r="I2178" s="103">
        <v>58</v>
      </c>
      <c r="K2178" s="103" t="s">
        <v>1032</v>
      </c>
      <c r="L2178" s="133"/>
      <c r="M2178" s="134">
        <v>3.888888888888889E-2</v>
      </c>
      <c r="N2178" s="137" t="s">
        <v>4111</v>
      </c>
      <c r="O2178" s="133" t="s">
        <v>1532</v>
      </c>
      <c r="Q2178" s="100" t="s">
        <v>4099</v>
      </c>
      <c r="R2178" s="226" t="s">
        <v>4115</v>
      </c>
      <c r="S2178" s="491" t="str">
        <f t="shared" si="71"/>
        <v>x</v>
      </c>
      <c r="T2178" s="492">
        <f>IFERROR(VLOOKUP(F2178,'Freq-Chan'!C:D,2,FALSE),"x")</f>
        <v>151.53399999999999</v>
      </c>
      <c r="U2178" s="110" t="s">
        <v>541</v>
      </c>
      <c r="V2178" s="110" t="str">
        <f t="shared" si="72"/>
        <v>FWL</v>
      </c>
      <c r="W2178" s="110" t="s">
        <v>541</v>
      </c>
      <c r="X2178" s="110" t="s">
        <v>541</v>
      </c>
      <c r="Y2178" s="110" t="str">
        <f>IFERROR(VLOOKUP(F2178,'Freq-Chan'!C:E,3,FALSE),"na")</f>
        <v>F1840</v>
      </c>
      <c r="Z2178" s="110" t="s">
        <v>541</v>
      </c>
      <c r="AA2178" s="110" t="s">
        <v>541</v>
      </c>
      <c r="AB2178" s="110" t="s">
        <v>541</v>
      </c>
      <c r="AC2178" s="10" t="s">
        <v>541</v>
      </c>
      <c r="AD2178" s="10" t="s">
        <v>541</v>
      </c>
    </row>
    <row r="2179" spans="1:30" x14ac:dyDescent="0.2">
      <c r="A2179" s="110">
        <v>2178</v>
      </c>
      <c r="B2179" s="132">
        <v>41859</v>
      </c>
      <c r="C2179" s="117">
        <v>2</v>
      </c>
      <c r="D2179" s="103" t="s">
        <v>71</v>
      </c>
      <c r="E2179" s="103" t="s">
        <v>306</v>
      </c>
      <c r="F2179" s="103">
        <v>534</v>
      </c>
      <c r="G2179" s="103">
        <v>39</v>
      </c>
      <c r="H2179" s="103" t="s">
        <v>2416</v>
      </c>
      <c r="I2179" s="103">
        <v>59</v>
      </c>
      <c r="K2179" s="103" t="s">
        <v>364</v>
      </c>
      <c r="L2179" s="133"/>
      <c r="M2179" s="134">
        <v>4.6527777777777779E-2</v>
      </c>
      <c r="N2179" s="137" t="s">
        <v>4110</v>
      </c>
      <c r="O2179" s="133" t="s">
        <v>1585</v>
      </c>
      <c r="Q2179" s="100" t="s">
        <v>4099</v>
      </c>
      <c r="R2179" s="226" t="s">
        <v>4115</v>
      </c>
      <c r="S2179" s="491" t="str">
        <f t="shared" si="71"/>
        <v>x</v>
      </c>
      <c r="T2179" s="492">
        <f>IFERROR(VLOOKUP(F2179,'Freq-Chan'!C:D,2,FALSE),"x")</f>
        <v>151.53399999999999</v>
      </c>
      <c r="U2179" s="110" t="s">
        <v>541</v>
      </c>
      <c r="V2179" s="110" t="str">
        <f t="shared" si="72"/>
        <v>FWL</v>
      </c>
      <c r="W2179" s="110" t="s">
        <v>541</v>
      </c>
      <c r="X2179" s="110" t="s">
        <v>541</v>
      </c>
      <c r="Y2179" s="110" t="str">
        <f>IFERROR(VLOOKUP(F2179,'Freq-Chan'!C:E,3,FALSE),"na")</f>
        <v>F1840</v>
      </c>
      <c r="Z2179" s="110" t="s">
        <v>541</v>
      </c>
      <c r="AA2179" s="110" t="s">
        <v>541</v>
      </c>
      <c r="AB2179" s="110" t="s">
        <v>541</v>
      </c>
      <c r="AC2179" s="10" t="s">
        <v>541</v>
      </c>
      <c r="AD2179" s="10" t="s">
        <v>541</v>
      </c>
    </row>
    <row r="2180" spans="1:30" x14ac:dyDescent="0.2">
      <c r="A2180" s="110">
        <v>2179</v>
      </c>
      <c r="B2180" s="132">
        <v>41859</v>
      </c>
      <c r="C2180" s="117">
        <v>2</v>
      </c>
      <c r="D2180" s="103" t="s">
        <v>71</v>
      </c>
      <c r="E2180" s="103" t="s">
        <v>306</v>
      </c>
      <c r="H2180" s="103"/>
      <c r="I2180" s="103">
        <v>62</v>
      </c>
      <c r="K2180" s="103" t="s">
        <v>365</v>
      </c>
      <c r="L2180" s="133"/>
      <c r="M2180" s="134">
        <v>1.2499999999999999E-2</v>
      </c>
      <c r="N2180" s="137" t="s">
        <v>1686</v>
      </c>
      <c r="O2180" s="133" t="s">
        <v>1532</v>
      </c>
      <c r="Q2180" s="100" t="s">
        <v>4099</v>
      </c>
      <c r="R2180" s="226" t="s">
        <v>4115</v>
      </c>
      <c r="S2180" s="491" t="str">
        <f t="shared" si="71"/>
        <v>x</v>
      </c>
      <c r="T2180" s="492" t="str">
        <f>IFERROR(VLOOKUP(F2180,'Freq-Chan'!C:D,2,FALSE),"x")</f>
        <v>x</v>
      </c>
      <c r="U2180" s="110" t="s">
        <v>541</v>
      </c>
      <c r="V2180" s="110" t="str">
        <f t="shared" si="72"/>
        <v>FWL</v>
      </c>
      <c r="W2180" s="110" t="s">
        <v>541</v>
      </c>
      <c r="X2180" s="110" t="s">
        <v>541</v>
      </c>
      <c r="Y2180" s="110" t="str">
        <f>IFERROR(VLOOKUP(F2180,'Freq-Chan'!C:E,3,FALSE),"na")</f>
        <v>na</v>
      </c>
      <c r="Z2180" s="110" t="s">
        <v>541</v>
      </c>
      <c r="AA2180" s="110" t="s">
        <v>541</v>
      </c>
      <c r="AB2180" s="110" t="s">
        <v>541</v>
      </c>
      <c r="AC2180" s="10" t="s">
        <v>541</v>
      </c>
      <c r="AD2180" s="10" t="s">
        <v>541</v>
      </c>
    </row>
    <row r="2181" spans="1:30" x14ac:dyDescent="0.2">
      <c r="A2181" s="110">
        <v>2180</v>
      </c>
      <c r="B2181" s="132">
        <v>41859</v>
      </c>
      <c r="C2181" s="117">
        <v>2</v>
      </c>
      <c r="D2181" s="103" t="s">
        <v>71</v>
      </c>
      <c r="E2181" s="103" t="s">
        <v>306</v>
      </c>
      <c r="H2181" s="103"/>
      <c r="I2181" s="103">
        <v>55</v>
      </c>
      <c r="K2181" s="103" t="s">
        <v>365</v>
      </c>
      <c r="L2181" s="133"/>
      <c r="M2181" s="134">
        <v>1.0416666666666666E-2</v>
      </c>
      <c r="N2181" s="137" t="s">
        <v>1689</v>
      </c>
      <c r="O2181" s="133" t="s">
        <v>1532</v>
      </c>
      <c r="Q2181" s="100" t="s">
        <v>4099</v>
      </c>
      <c r="R2181" s="226" t="s">
        <v>4115</v>
      </c>
      <c r="S2181" s="491" t="str">
        <f t="shared" si="71"/>
        <v>x</v>
      </c>
      <c r="T2181" s="492" t="str">
        <f>IFERROR(VLOOKUP(F2181,'Freq-Chan'!C:D,2,FALSE),"x")</f>
        <v>x</v>
      </c>
      <c r="U2181" s="110" t="s">
        <v>541</v>
      </c>
      <c r="V2181" s="110" t="str">
        <f t="shared" si="72"/>
        <v>FWL</v>
      </c>
      <c r="W2181" s="110" t="s">
        <v>541</v>
      </c>
      <c r="X2181" s="110" t="s">
        <v>541</v>
      </c>
      <c r="Y2181" s="110" t="str">
        <f>IFERROR(VLOOKUP(F2181,'Freq-Chan'!C:E,3,FALSE),"na")</f>
        <v>na</v>
      </c>
      <c r="Z2181" s="110" t="s">
        <v>541</v>
      </c>
      <c r="AA2181" s="110" t="s">
        <v>541</v>
      </c>
      <c r="AB2181" s="110" t="s">
        <v>541</v>
      </c>
      <c r="AC2181" s="10" t="s">
        <v>541</v>
      </c>
      <c r="AD2181" s="10" t="s">
        <v>541</v>
      </c>
    </row>
    <row r="2182" spans="1:30" x14ac:dyDescent="0.2">
      <c r="A2182" s="110">
        <v>2181</v>
      </c>
      <c r="B2182" s="132">
        <v>41859</v>
      </c>
      <c r="C2182" s="117">
        <v>2</v>
      </c>
      <c r="D2182" s="103" t="s">
        <v>71</v>
      </c>
      <c r="E2182" s="103" t="s">
        <v>306</v>
      </c>
      <c r="H2182" s="103"/>
      <c r="I2182" s="103">
        <v>59</v>
      </c>
      <c r="K2182" s="103" t="s">
        <v>1032</v>
      </c>
      <c r="L2182" s="136"/>
      <c r="M2182" s="140">
        <v>1.5972222222222224E-2</v>
      </c>
      <c r="N2182" s="137" t="s">
        <v>4109</v>
      </c>
      <c r="O2182" s="133" t="s">
        <v>1532</v>
      </c>
      <c r="Q2182" s="100" t="s">
        <v>4099</v>
      </c>
      <c r="R2182" s="226" t="s">
        <v>4115</v>
      </c>
      <c r="S2182" s="491" t="str">
        <f t="shared" si="71"/>
        <v>x</v>
      </c>
      <c r="T2182" s="492" t="str">
        <f>IFERROR(VLOOKUP(F2182,'Freq-Chan'!C:D,2,FALSE),"x")</f>
        <v>x</v>
      </c>
      <c r="U2182" s="110" t="s">
        <v>541</v>
      </c>
      <c r="V2182" s="110" t="str">
        <f t="shared" si="72"/>
        <v>FWL</v>
      </c>
      <c r="W2182" s="110" t="s">
        <v>541</v>
      </c>
      <c r="X2182" s="110" t="s">
        <v>541</v>
      </c>
      <c r="Y2182" s="110" t="str">
        <f>IFERROR(VLOOKUP(F2182,'Freq-Chan'!C:E,3,FALSE),"na")</f>
        <v>na</v>
      </c>
      <c r="Z2182" s="110" t="s">
        <v>541</v>
      </c>
      <c r="AA2182" s="110" t="s">
        <v>541</v>
      </c>
      <c r="AB2182" s="110" t="s">
        <v>541</v>
      </c>
      <c r="AC2182" s="10" t="s">
        <v>541</v>
      </c>
      <c r="AD2182" s="10" t="s">
        <v>541</v>
      </c>
    </row>
    <row r="2183" spans="1:30" x14ac:dyDescent="0.2">
      <c r="A2183" s="110">
        <v>2182</v>
      </c>
      <c r="B2183" s="132">
        <v>41859</v>
      </c>
      <c r="C2183" s="117">
        <v>2</v>
      </c>
      <c r="D2183" s="103" t="s">
        <v>71</v>
      </c>
      <c r="E2183" s="103" t="s">
        <v>306</v>
      </c>
      <c r="H2183" s="103"/>
      <c r="I2183" s="103">
        <v>59</v>
      </c>
      <c r="K2183" s="103" t="s">
        <v>1032</v>
      </c>
      <c r="L2183" s="136"/>
      <c r="M2183" s="140">
        <v>2.013888888888889E-2</v>
      </c>
      <c r="N2183" s="137" t="s">
        <v>1671</v>
      </c>
      <c r="O2183" s="133" t="s">
        <v>1532</v>
      </c>
      <c r="Q2183" s="100" t="s">
        <v>4099</v>
      </c>
      <c r="R2183" s="226" t="s">
        <v>4115</v>
      </c>
      <c r="S2183" s="491" t="str">
        <f t="shared" si="71"/>
        <v>x</v>
      </c>
      <c r="T2183" s="492" t="str">
        <f>IFERROR(VLOOKUP(F2183,'Freq-Chan'!C:D,2,FALSE),"x")</f>
        <v>x</v>
      </c>
      <c r="U2183" s="110" t="s">
        <v>541</v>
      </c>
      <c r="V2183" s="110" t="str">
        <f t="shared" si="72"/>
        <v>FWL</v>
      </c>
      <c r="W2183" s="110" t="s">
        <v>541</v>
      </c>
      <c r="X2183" s="110" t="s">
        <v>541</v>
      </c>
      <c r="Y2183" s="110" t="str">
        <f>IFERROR(VLOOKUP(F2183,'Freq-Chan'!C:E,3,FALSE),"na")</f>
        <v>na</v>
      </c>
      <c r="Z2183" s="110" t="s">
        <v>541</v>
      </c>
      <c r="AA2183" s="110" t="s">
        <v>541</v>
      </c>
      <c r="AB2183" s="110" t="s">
        <v>541</v>
      </c>
      <c r="AC2183" s="10" t="s">
        <v>541</v>
      </c>
      <c r="AD2183" s="10" t="s">
        <v>541</v>
      </c>
    </row>
    <row r="2184" spans="1:30" s="291" customFormat="1" x14ac:dyDescent="0.2">
      <c r="A2184" s="493">
        <v>2183</v>
      </c>
      <c r="B2184" s="283">
        <v>41859</v>
      </c>
      <c r="C2184" s="284">
        <v>2</v>
      </c>
      <c r="D2184" s="285" t="s">
        <v>71</v>
      </c>
      <c r="E2184" s="285" t="s">
        <v>306</v>
      </c>
      <c r="F2184" s="285"/>
      <c r="G2184" s="285"/>
      <c r="H2184" s="285"/>
      <c r="I2184" s="285">
        <v>60</v>
      </c>
      <c r="J2184" s="285"/>
      <c r="K2184" s="285" t="s">
        <v>365</v>
      </c>
      <c r="L2184" s="286"/>
      <c r="M2184" s="287">
        <v>1.8055555555555557E-2</v>
      </c>
      <c r="N2184" s="288" t="s">
        <v>4108</v>
      </c>
      <c r="O2184" s="286" t="s">
        <v>1585</v>
      </c>
      <c r="P2184" s="289"/>
      <c r="Q2184" s="289" t="s">
        <v>4099</v>
      </c>
      <c r="R2184" s="290" t="s">
        <v>4115</v>
      </c>
      <c r="S2184" s="494" t="str">
        <f t="shared" si="71"/>
        <v>x</v>
      </c>
      <c r="T2184" s="495" t="str">
        <f>IFERROR(VLOOKUP(F2184,'Freq-Chan'!C:D,2,FALSE),"x")</f>
        <v>x</v>
      </c>
      <c r="U2184" s="493" t="s">
        <v>541</v>
      </c>
      <c r="V2184" s="493" t="str">
        <f t="shared" si="72"/>
        <v>FWL</v>
      </c>
      <c r="W2184" s="493" t="s">
        <v>541</v>
      </c>
      <c r="X2184" s="493" t="s">
        <v>541</v>
      </c>
      <c r="Y2184" s="493" t="str">
        <f>IFERROR(VLOOKUP(F2184,'Freq-Chan'!C:E,3,FALSE),"na")</f>
        <v>na</v>
      </c>
      <c r="Z2184" s="493" t="s">
        <v>541</v>
      </c>
      <c r="AA2184" s="493" t="s">
        <v>541</v>
      </c>
      <c r="AB2184" s="493" t="s">
        <v>541</v>
      </c>
      <c r="AC2184" s="291" t="s">
        <v>541</v>
      </c>
      <c r="AD2184" s="291" t="s">
        <v>541</v>
      </c>
    </row>
    <row r="2185" spans="1:30" x14ac:dyDescent="0.2">
      <c r="A2185" s="110">
        <v>2184</v>
      </c>
      <c r="B2185" s="132">
        <v>41859</v>
      </c>
      <c r="C2185" s="117">
        <v>3</v>
      </c>
      <c r="D2185" s="103" t="s">
        <v>70</v>
      </c>
      <c r="E2185" s="103" t="s">
        <v>306</v>
      </c>
      <c r="H2185" s="103"/>
      <c r="I2185" s="103">
        <v>46</v>
      </c>
      <c r="K2185" s="103" t="s">
        <v>1032</v>
      </c>
      <c r="L2185" s="133"/>
      <c r="M2185" s="134">
        <v>2.361111111111111E-2</v>
      </c>
      <c r="N2185" s="135" t="s">
        <v>3382</v>
      </c>
      <c r="O2185" s="133" t="s">
        <v>1585</v>
      </c>
      <c r="Q2185" s="100" t="s">
        <v>4099</v>
      </c>
      <c r="R2185" s="226" t="s">
        <v>4115</v>
      </c>
      <c r="S2185" s="491" t="str">
        <f t="shared" si="71"/>
        <v>x</v>
      </c>
      <c r="T2185" s="492" t="str">
        <f>IFERROR(VLOOKUP(F2185,'Freq-Chan'!C:D,2,FALSE),"x")</f>
        <v>x</v>
      </c>
      <c r="U2185" s="110" t="s">
        <v>541</v>
      </c>
      <c r="V2185" s="110" t="str">
        <f t="shared" si="72"/>
        <v>FWL</v>
      </c>
      <c r="W2185" s="110" t="s">
        <v>541</v>
      </c>
      <c r="X2185" s="110" t="s">
        <v>541</v>
      </c>
      <c r="Y2185" s="110" t="str">
        <f>IFERROR(VLOOKUP(F2185,'Freq-Chan'!C:E,3,FALSE),"na")</f>
        <v>na</v>
      </c>
      <c r="Z2185" s="110" t="s">
        <v>541</v>
      </c>
      <c r="AA2185" s="110" t="s">
        <v>541</v>
      </c>
      <c r="AB2185" s="110" t="s">
        <v>541</v>
      </c>
      <c r="AC2185" s="10" t="s">
        <v>541</v>
      </c>
      <c r="AD2185" s="10" t="s">
        <v>541</v>
      </c>
    </row>
    <row r="2186" spans="1:30" x14ac:dyDescent="0.2">
      <c r="A2186" s="110">
        <v>2185</v>
      </c>
      <c r="B2186" s="132">
        <v>41859</v>
      </c>
      <c r="C2186" s="117">
        <v>3</v>
      </c>
      <c r="D2186" s="103" t="s">
        <v>70</v>
      </c>
      <c r="E2186" s="103" t="s">
        <v>306</v>
      </c>
      <c r="F2186" s="103">
        <v>596</v>
      </c>
      <c r="G2186" s="103">
        <v>39</v>
      </c>
      <c r="H2186" s="103" t="s">
        <v>3094</v>
      </c>
      <c r="I2186" s="103">
        <v>45</v>
      </c>
      <c r="K2186" s="103" t="s">
        <v>365</v>
      </c>
      <c r="L2186" s="133"/>
      <c r="M2186" s="134">
        <v>3.9583333333333331E-2</v>
      </c>
      <c r="N2186" s="135" t="s">
        <v>3384</v>
      </c>
      <c r="O2186" s="133" t="s">
        <v>1532</v>
      </c>
      <c r="Q2186" s="100" t="s">
        <v>4099</v>
      </c>
      <c r="R2186" s="226" t="s">
        <v>4115</v>
      </c>
      <c r="S2186" s="491" t="str">
        <f t="shared" si="71"/>
        <v>x</v>
      </c>
      <c r="T2186" s="492">
        <f>IFERROR(VLOOKUP(F2186,'Freq-Chan'!C:D,2,FALSE),"x")</f>
        <v>151.596</v>
      </c>
      <c r="U2186" s="110" t="s">
        <v>541</v>
      </c>
      <c r="V2186" s="110" t="str">
        <f t="shared" si="72"/>
        <v>FWL</v>
      </c>
      <c r="W2186" s="110" t="s">
        <v>541</v>
      </c>
      <c r="X2186" s="110" t="s">
        <v>541</v>
      </c>
      <c r="Y2186" s="110" t="str">
        <f>IFERROR(VLOOKUP(F2186,'Freq-Chan'!C:E,3,FALSE),"na")</f>
        <v>F1835</v>
      </c>
      <c r="Z2186" s="110" t="s">
        <v>541</v>
      </c>
      <c r="AA2186" s="110" t="s">
        <v>541</v>
      </c>
      <c r="AB2186" s="110" t="s">
        <v>541</v>
      </c>
      <c r="AC2186" s="10" t="s">
        <v>541</v>
      </c>
      <c r="AD2186" s="10" t="s">
        <v>541</v>
      </c>
    </row>
    <row r="2187" spans="1:30" x14ac:dyDescent="0.2">
      <c r="A2187" s="110">
        <v>2186</v>
      </c>
      <c r="B2187" s="132">
        <v>41859</v>
      </c>
      <c r="C2187" s="117">
        <v>3</v>
      </c>
      <c r="D2187" s="103" t="s">
        <v>70</v>
      </c>
      <c r="E2187" s="103" t="s">
        <v>306</v>
      </c>
      <c r="F2187" s="103">
        <v>596</v>
      </c>
      <c r="G2187" s="103">
        <v>5</v>
      </c>
      <c r="H2187" s="103" t="s">
        <v>3095</v>
      </c>
      <c r="I2187" s="103">
        <v>47</v>
      </c>
      <c r="K2187" s="103" t="s">
        <v>365</v>
      </c>
      <c r="L2187" s="133"/>
      <c r="M2187" s="134">
        <v>4.3055555555555562E-2</v>
      </c>
      <c r="N2187" s="137" t="s">
        <v>3960</v>
      </c>
      <c r="O2187" s="133" t="s">
        <v>1532</v>
      </c>
      <c r="Q2187" s="100" t="s">
        <v>4099</v>
      </c>
      <c r="R2187" s="226" t="s">
        <v>4115</v>
      </c>
      <c r="S2187" s="491" t="str">
        <f t="shared" si="71"/>
        <v>x</v>
      </c>
      <c r="T2187" s="492">
        <f>IFERROR(VLOOKUP(F2187,'Freq-Chan'!C:D,2,FALSE),"x")</f>
        <v>151.596</v>
      </c>
      <c r="U2187" s="110" t="s">
        <v>541</v>
      </c>
      <c r="V2187" s="110" t="str">
        <f t="shared" si="72"/>
        <v>FWL</v>
      </c>
      <c r="W2187" s="110" t="s">
        <v>541</v>
      </c>
      <c r="X2187" s="110" t="s">
        <v>541</v>
      </c>
      <c r="Y2187" s="110" t="str">
        <f>IFERROR(VLOOKUP(F2187,'Freq-Chan'!C:E,3,FALSE),"na")</f>
        <v>F1835</v>
      </c>
      <c r="Z2187" s="110" t="s">
        <v>541</v>
      </c>
      <c r="AA2187" s="110" t="s">
        <v>541</v>
      </c>
      <c r="AB2187" s="110" t="s">
        <v>541</v>
      </c>
      <c r="AC2187" s="10" t="s">
        <v>541</v>
      </c>
      <c r="AD2187" s="10" t="s">
        <v>541</v>
      </c>
    </row>
    <row r="2188" spans="1:30" x14ac:dyDescent="0.2">
      <c r="A2188" s="110">
        <v>2187</v>
      </c>
      <c r="B2188" s="132">
        <v>41859</v>
      </c>
      <c r="C2188" s="117">
        <v>3</v>
      </c>
      <c r="D2188" s="103" t="s">
        <v>70</v>
      </c>
      <c r="E2188" s="103" t="s">
        <v>306</v>
      </c>
      <c r="H2188" s="103"/>
      <c r="I2188" s="103">
        <v>46</v>
      </c>
      <c r="K2188" s="103" t="s">
        <v>365</v>
      </c>
      <c r="L2188" s="133"/>
      <c r="M2188" s="134">
        <v>1.2499999999999999E-2</v>
      </c>
      <c r="N2188" s="135" t="s">
        <v>3730</v>
      </c>
      <c r="O2188" s="133" t="s">
        <v>1585</v>
      </c>
      <c r="Q2188" s="100" t="s">
        <v>4099</v>
      </c>
      <c r="R2188" s="226" t="s">
        <v>4115</v>
      </c>
      <c r="S2188" s="491" t="str">
        <f t="shared" si="71"/>
        <v>x</v>
      </c>
      <c r="T2188" s="492" t="str">
        <f>IFERROR(VLOOKUP(F2188,'Freq-Chan'!C:D,2,FALSE),"x")</f>
        <v>x</v>
      </c>
      <c r="U2188" s="110" t="s">
        <v>541</v>
      </c>
      <c r="V2188" s="110" t="str">
        <f t="shared" si="72"/>
        <v>FWL</v>
      </c>
      <c r="W2188" s="110" t="s">
        <v>541</v>
      </c>
      <c r="X2188" s="110" t="s">
        <v>541</v>
      </c>
      <c r="Y2188" s="110" t="str">
        <f>IFERROR(VLOOKUP(F2188,'Freq-Chan'!C:E,3,FALSE),"na")</f>
        <v>na</v>
      </c>
      <c r="Z2188" s="110" t="s">
        <v>541</v>
      </c>
      <c r="AA2188" s="110" t="s">
        <v>541</v>
      </c>
      <c r="AB2188" s="110" t="s">
        <v>541</v>
      </c>
      <c r="AC2188" s="10" t="s">
        <v>541</v>
      </c>
      <c r="AD2188" s="10" t="s">
        <v>541</v>
      </c>
    </row>
    <row r="2189" spans="1:30" x14ac:dyDescent="0.2">
      <c r="A2189" s="110">
        <v>2188</v>
      </c>
      <c r="B2189" s="132">
        <v>41859</v>
      </c>
      <c r="C2189" s="117">
        <v>3</v>
      </c>
      <c r="D2189" s="103" t="s">
        <v>70</v>
      </c>
      <c r="E2189" s="103" t="s">
        <v>306</v>
      </c>
      <c r="H2189" s="103"/>
      <c r="I2189" s="103">
        <v>44</v>
      </c>
      <c r="K2189" s="103" t="s">
        <v>1032</v>
      </c>
      <c r="L2189" s="133"/>
      <c r="M2189" s="134">
        <v>1.6666666666666666E-2</v>
      </c>
      <c r="N2189" s="135" t="s">
        <v>3927</v>
      </c>
      <c r="O2189" s="133" t="s">
        <v>1585</v>
      </c>
      <c r="Q2189" s="100" t="s">
        <v>4099</v>
      </c>
      <c r="R2189" s="226" t="s">
        <v>4115</v>
      </c>
      <c r="S2189" s="491" t="str">
        <f t="shared" si="71"/>
        <v>x</v>
      </c>
      <c r="T2189" s="492" t="str">
        <f>IFERROR(VLOOKUP(F2189,'Freq-Chan'!C:D,2,FALSE),"x")</f>
        <v>x</v>
      </c>
      <c r="U2189" s="110" t="s">
        <v>541</v>
      </c>
      <c r="V2189" s="110" t="str">
        <f t="shared" si="72"/>
        <v>FWL</v>
      </c>
      <c r="W2189" s="110" t="s">
        <v>541</v>
      </c>
      <c r="X2189" s="110" t="s">
        <v>541</v>
      </c>
      <c r="Y2189" s="110" t="str">
        <f>IFERROR(VLOOKUP(F2189,'Freq-Chan'!C:E,3,FALSE),"na")</f>
        <v>na</v>
      </c>
      <c r="Z2189" s="110" t="s">
        <v>541</v>
      </c>
      <c r="AA2189" s="110" t="s">
        <v>541</v>
      </c>
      <c r="AB2189" s="110" t="s">
        <v>541</v>
      </c>
      <c r="AC2189" s="10" t="s">
        <v>541</v>
      </c>
      <c r="AD2189" s="10" t="s">
        <v>541</v>
      </c>
    </row>
    <row r="2190" spans="1:30" x14ac:dyDescent="0.2">
      <c r="A2190" s="110">
        <v>2189</v>
      </c>
      <c r="B2190" s="132">
        <v>41859</v>
      </c>
      <c r="C2190" s="117">
        <v>3</v>
      </c>
      <c r="D2190" s="103" t="s">
        <v>70</v>
      </c>
      <c r="E2190" s="103" t="s">
        <v>306</v>
      </c>
      <c r="H2190" s="103"/>
      <c r="I2190" s="103">
        <v>48</v>
      </c>
      <c r="K2190" s="103" t="s">
        <v>365</v>
      </c>
      <c r="L2190" s="133"/>
      <c r="M2190" s="134">
        <v>1.3194444444444444E-2</v>
      </c>
      <c r="N2190" s="135" t="s">
        <v>3945</v>
      </c>
      <c r="O2190" s="133" t="s">
        <v>1585</v>
      </c>
      <c r="Q2190" s="100" t="s">
        <v>4099</v>
      </c>
      <c r="R2190" s="226" t="s">
        <v>4115</v>
      </c>
      <c r="S2190" s="491" t="str">
        <f t="shared" si="71"/>
        <v>x</v>
      </c>
      <c r="T2190" s="492" t="str">
        <f>IFERROR(VLOOKUP(F2190,'Freq-Chan'!C:D,2,FALSE),"x")</f>
        <v>x</v>
      </c>
      <c r="U2190" s="110" t="s">
        <v>541</v>
      </c>
      <c r="V2190" s="110" t="str">
        <f t="shared" si="72"/>
        <v>FWL</v>
      </c>
      <c r="W2190" s="110" t="s">
        <v>541</v>
      </c>
      <c r="X2190" s="110" t="s">
        <v>541</v>
      </c>
      <c r="Y2190" s="110" t="str">
        <f>IFERROR(VLOOKUP(F2190,'Freq-Chan'!C:E,3,FALSE),"na")</f>
        <v>na</v>
      </c>
      <c r="Z2190" s="110" t="s">
        <v>541</v>
      </c>
      <c r="AA2190" s="110" t="s">
        <v>541</v>
      </c>
      <c r="AB2190" s="110" t="s">
        <v>541</v>
      </c>
      <c r="AC2190" s="10" t="s">
        <v>541</v>
      </c>
      <c r="AD2190" s="10" t="s">
        <v>541</v>
      </c>
    </row>
    <row r="2191" spans="1:30" x14ac:dyDescent="0.2">
      <c r="A2191" s="110">
        <v>2190</v>
      </c>
      <c r="B2191" s="132">
        <v>41859</v>
      </c>
      <c r="C2191" s="117">
        <v>3</v>
      </c>
      <c r="D2191" s="103" t="s">
        <v>70</v>
      </c>
      <c r="E2191" s="103" t="s">
        <v>306</v>
      </c>
      <c r="H2191" s="103"/>
      <c r="I2191" s="103">
        <v>46</v>
      </c>
      <c r="K2191" s="103" t="s">
        <v>365</v>
      </c>
      <c r="L2191" s="133"/>
      <c r="M2191" s="134">
        <v>1.7361111111111112E-2</v>
      </c>
      <c r="N2191" s="137" t="s">
        <v>3732</v>
      </c>
      <c r="O2191" s="133" t="s">
        <v>1585</v>
      </c>
      <c r="Q2191" s="100" t="s">
        <v>4099</v>
      </c>
      <c r="R2191" s="226" t="s">
        <v>4115</v>
      </c>
      <c r="S2191" s="491" t="str">
        <f t="shared" si="71"/>
        <v>x</v>
      </c>
      <c r="T2191" s="492" t="str">
        <f>IFERROR(VLOOKUP(F2191,'Freq-Chan'!C:D,2,FALSE),"x")</f>
        <v>x</v>
      </c>
      <c r="U2191" s="110" t="s">
        <v>541</v>
      </c>
      <c r="V2191" s="110" t="str">
        <f t="shared" si="72"/>
        <v>FWL</v>
      </c>
      <c r="W2191" s="110" t="s">
        <v>541</v>
      </c>
      <c r="X2191" s="110" t="s">
        <v>541</v>
      </c>
      <c r="Y2191" s="110" t="str">
        <f>IFERROR(VLOOKUP(F2191,'Freq-Chan'!C:E,3,FALSE),"na")</f>
        <v>na</v>
      </c>
      <c r="Z2191" s="110" t="s">
        <v>541</v>
      </c>
      <c r="AA2191" s="110" t="s">
        <v>541</v>
      </c>
      <c r="AB2191" s="110" t="s">
        <v>541</v>
      </c>
      <c r="AC2191" s="10" t="s">
        <v>541</v>
      </c>
      <c r="AD2191" s="10" t="s">
        <v>541</v>
      </c>
    </row>
    <row r="2192" spans="1:30" x14ac:dyDescent="0.2">
      <c r="A2192" s="110">
        <v>2191</v>
      </c>
      <c r="B2192" s="132">
        <v>41859</v>
      </c>
      <c r="C2192" s="117">
        <v>3</v>
      </c>
      <c r="D2192" s="103" t="s">
        <v>70</v>
      </c>
      <c r="E2192" s="103" t="s">
        <v>306</v>
      </c>
      <c r="H2192" s="103"/>
      <c r="I2192" s="103">
        <v>49</v>
      </c>
      <c r="K2192" s="103" t="s">
        <v>1032</v>
      </c>
      <c r="L2192" s="133"/>
      <c r="M2192" s="134">
        <v>1.9444444444444445E-2</v>
      </c>
      <c r="N2192" s="137" t="s">
        <v>3403</v>
      </c>
      <c r="O2192" s="133" t="s">
        <v>1585</v>
      </c>
      <c r="Q2192" s="100" t="s">
        <v>4099</v>
      </c>
      <c r="R2192" s="226" t="s">
        <v>4115</v>
      </c>
      <c r="S2192" s="491" t="str">
        <f t="shared" si="71"/>
        <v>x</v>
      </c>
      <c r="T2192" s="492" t="str">
        <f>IFERROR(VLOOKUP(F2192,'Freq-Chan'!C:D,2,FALSE),"x")</f>
        <v>x</v>
      </c>
      <c r="U2192" s="110" t="s">
        <v>541</v>
      </c>
      <c r="V2192" s="110" t="str">
        <f t="shared" si="72"/>
        <v>FWL</v>
      </c>
      <c r="W2192" s="110" t="s">
        <v>541</v>
      </c>
      <c r="X2192" s="110" t="s">
        <v>541</v>
      </c>
      <c r="Y2192" s="110" t="str">
        <f>IFERROR(VLOOKUP(F2192,'Freq-Chan'!C:E,3,FALSE),"na")</f>
        <v>na</v>
      </c>
      <c r="Z2192" s="110" t="s">
        <v>541</v>
      </c>
      <c r="AA2192" s="110" t="s">
        <v>541</v>
      </c>
      <c r="AB2192" s="110" t="s">
        <v>541</v>
      </c>
      <c r="AC2192" s="10" t="s">
        <v>541</v>
      </c>
      <c r="AD2192" s="10" t="s">
        <v>541</v>
      </c>
    </row>
    <row r="2193" spans="1:30" x14ac:dyDescent="0.2">
      <c r="A2193" s="110">
        <v>2192</v>
      </c>
      <c r="B2193" s="132">
        <v>41859</v>
      </c>
      <c r="C2193" s="117">
        <v>3</v>
      </c>
      <c r="D2193" s="103" t="s">
        <v>70</v>
      </c>
      <c r="E2193" s="103" t="s">
        <v>306</v>
      </c>
      <c r="H2193" s="103"/>
      <c r="I2193" s="103">
        <v>52</v>
      </c>
      <c r="K2193" s="103" t="s">
        <v>1032</v>
      </c>
      <c r="L2193" s="133"/>
      <c r="M2193" s="134">
        <v>2.2222222222222223E-2</v>
      </c>
      <c r="N2193" s="137" t="s">
        <v>3404</v>
      </c>
      <c r="O2193" s="133" t="s">
        <v>1585</v>
      </c>
      <c r="Q2193" s="100" t="s">
        <v>4099</v>
      </c>
      <c r="R2193" s="226" t="s">
        <v>4115</v>
      </c>
      <c r="S2193" s="491" t="str">
        <f t="shared" si="71"/>
        <v>x</v>
      </c>
      <c r="T2193" s="492" t="str">
        <f>IFERROR(VLOOKUP(F2193,'Freq-Chan'!C:D,2,FALSE),"x")</f>
        <v>x</v>
      </c>
      <c r="U2193" s="110" t="s">
        <v>541</v>
      </c>
      <c r="V2193" s="110" t="str">
        <f t="shared" si="72"/>
        <v>FWL</v>
      </c>
      <c r="W2193" s="110" t="s">
        <v>541</v>
      </c>
      <c r="X2193" s="110" t="s">
        <v>541</v>
      </c>
      <c r="Y2193" s="110" t="str">
        <f>IFERROR(VLOOKUP(F2193,'Freq-Chan'!C:E,3,FALSE),"na")</f>
        <v>na</v>
      </c>
      <c r="Z2193" s="110" t="s">
        <v>541</v>
      </c>
      <c r="AA2193" s="110" t="s">
        <v>541</v>
      </c>
      <c r="AB2193" s="110" t="s">
        <v>541</v>
      </c>
      <c r="AC2193" s="10" t="s">
        <v>541</v>
      </c>
      <c r="AD2193" s="10" t="s">
        <v>541</v>
      </c>
    </row>
    <row r="2194" spans="1:30" x14ac:dyDescent="0.2">
      <c r="A2194" s="110">
        <v>2193</v>
      </c>
      <c r="B2194" s="132">
        <v>41859</v>
      </c>
      <c r="C2194" s="117">
        <v>3</v>
      </c>
      <c r="D2194" s="103" t="s">
        <v>70</v>
      </c>
      <c r="E2194" s="103" t="s">
        <v>306</v>
      </c>
      <c r="H2194" s="103"/>
      <c r="I2194" s="103">
        <v>43</v>
      </c>
      <c r="K2194" s="103" t="s">
        <v>365</v>
      </c>
      <c r="L2194" s="133"/>
      <c r="M2194" s="134">
        <v>2.0833333333333332E-2</v>
      </c>
      <c r="N2194" s="137" t="s">
        <v>3469</v>
      </c>
      <c r="O2194" s="133" t="s">
        <v>1585</v>
      </c>
      <c r="Q2194" s="100" t="s">
        <v>4099</v>
      </c>
      <c r="R2194" s="226" t="s">
        <v>4115</v>
      </c>
      <c r="S2194" s="491" t="str">
        <f t="shared" si="71"/>
        <v>x</v>
      </c>
      <c r="T2194" s="492" t="str">
        <f>IFERROR(VLOOKUP(F2194,'Freq-Chan'!C:D,2,FALSE),"x")</f>
        <v>x</v>
      </c>
      <c r="U2194" s="110" t="s">
        <v>541</v>
      </c>
      <c r="V2194" s="110" t="str">
        <f t="shared" si="72"/>
        <v>FWL</v>
      </c>
      <c r="W2194" s="110" t="s">
        <v>541</v>
      </c>
      <c r="X2194" s="110" t="s">
        <v>541</v>
      </c>
      <c r="Y2194" s="110" t="str">
        <f>IFERROR(VLOOKUP(F2194,'Freq-Chan'!C:E,3,FALSE),"na")</f>
        <v>na</v>
      </c>
      <c r="Z2194" s="110" t="s">
        <v>541</v>
      </c>
      <c r="AA2194" s="110" t="s">
        <v>541</v>
      </c>
      <c r="AB2194" s="110" t="s">
        <v>541</v>
      </c>
      <c r="AC2194" s="10" t="s">
        <v>541</v>
      </c>
      <c r="AD2194" s="10" t="s">
        <v>541</v>
      </c>
    </row>
    <row r="2195" spans="1:30" x14ac:dyDescent="0.2">
      <c r="A2195" s="110">
        <v>2194</v>
      </c>
      <c r="B2195" s="132">
        <v>41859</v>
      </c>
      <c r="C2195" s="117">
        <v>3</v>
      </c>
      <c r="D2195" s="103" t="s">
        <v>70</v>
      </c>
      <c r="E2195" s="103" t="s">
        <v>306</v>
      </c>
      <c r="H2195" s="103"/>
      <c r="I2195" s="103">
        <v>43</v>
      </c>
      <c r="K2195" s="103" t="s">
        <v>1032</v>
      </c>
      <c r="L2195" s="133"/>
      <c r="M2195" s="134">
        <v>2.4305555555555556E-2</v>
      </c>
      <c r="N2195" s="137" t="s">
        <v>3999</v>
      </c>
      <c r="O2195" s="133" t="s">
        <v>1585</v>
      </c>
      <c r="Q2195" s="100" t="s">
        <v>4099</v>
      </c>
      <c r="R2195" s="226" t="s">
        <v>4115</v>
      </c>
      <c r="S2195" s="491" t="str">
        <f t="shared" si="71"/>
        <v>x</v>
      </c>
      <c r="T2195" s="492" t="str">
        <f>IFERROR(VLOOKUP(F2195,'Freq-Chan'!C:D,2,FALSE),"x")</f>
        <v>x</v>
      </c>
      <c r="U2195" s="110" t="s">
        <v>541</v>
      </c>
      <c r="V2195" s="110" t="str">
        <f t="shared" si="72"/>
        <v>FWL</v>
      </c>
      <c r="W2195" s="110" t="s">
        <v>541</v>
      </c>
      <c r="X2195" s="110" t="s">
        <v>541</v>
      </c>
      <c r="Y2195" s="110" t="str">
        <f>IFERROR(VLOOKUP(F2195,'Freq-Chan'!C:E,3,FALSE),"na")</f>
        <v>na</v>
      </c>
      <c r="Z2195" s="110" t="s">
        <v>541</v>
      </c>
      <c r="AA2195" s="110" t="s">
        <v>541</v>
      </c>
      <c r="AB2195" s="110" t="s">
        <v>541</v>
      </c>
      <c r="AC2195" s="10" t="s">
        <v>541</v>
      </c>
      <c r="AD2195" s="10" t="s">
        <v>541</v>
      </c>
    </row>
    <row r="2196" spans="1:30" x14ac:dyDescent="0.2">
      <c r="A2196" s="110">
        <v>2195</v>
      </c>
      <c r="B2196" s="132">
        <v>41859</v>
      </c>
      <c r="C2196" s="117">
        <v>3</v>
      </c>
      <c r="D2196" s="103" t="s">
        <v>70</v>
      </c>
      <c r="E2196" s="103" t="s">
        <v>306</v>
      </c>
      <c r="H2196" s="103"/>
      <c r="I2196" s="103">
        <v>47</v>
      </c>
      <c r="K2196" s="103" t="s">
        <v>365</v>
      </c>
      <c r="L2196" s="133"/>
      <c r="M2196" s="134">
        <v>2.5694444444444447E-2</v>
      </c>
      <c r="N2196" s="137" t="s">
        <v>3470</v>
      </c>
      <c r="O2196" s="133" t="s">
        <v>1585</v>
      </c>
      <c r="Q2196" s="100" t="s">
        <v>4099</v>
      </c>
      <c r="R2196" s="226" t="s">
        <v>4115</v>
      </c>
      <c r="S2196" s="491" t="str">
        <f t="shared" si="71"/>
        <v>x</v>
      </c>
      <c r="T2196" s="492" t="str">
        <f>IFERROR(VLOOKUP(F2196,'Freq-Chan'!C:D,2,FALSE),"x")</f>
        <v>x</v>
      </c>
      <c r="U2196" s="110" t="s">
        <v>541</v>
      </c>
      <c r="V2196" s="110" t="str">
        <f t="shared" si="72"/>
        <v>FWL</v>
      </c>
      <c r="W2196" s="110" t="s">
        <v>541</v>
      </c>
      <c r="X2196" s="110" t="s">
        <v>541</v>
      </c>
      <c r="Y2196" s="110" t="str">
        <f>IFERROR(VLOOKUP(F2196,'Freq-Chan'!C:E,3,FALSE),"na")</f>
        <v>na</v>
      </c>
      <c r="Z2196" s="110" t="s">
        <v>541</v>
      </c>
      <c r="AA2196" s="110" t="s">
        <v>541</v>
      </c>
      <c r="AB2196" s="110" t="s">
        <v>541</v>
      </c>
      <c r="AC2196" s="10" t="s">
        <v>541</v>
      </c>
      <c r="AD2196" s="10" t="s">
        <v>541</v>
      </c>
    </row>
    <row r="2197" spans="1:30" x14ac:dyDescent="0.2">
      <c r="A2197" s="110">
        <v>2196</v>
      </c>
      <c r="B2197" s="132">
        <v>41859</v>
      </c>
      <c r="C2197" s="117">
        <v>3</v>
      </c>
      <c r="D2197" s="103" t="s">
        <v>70</v>
      </c>
      <c r="E2197" s="103" t="s">
        <v>306</v>
      </c>
      <c r="H2197" s="103"/>
      <c r="I2197" s="103">
        <v>44</v>
      </c>
      <c r="K2197" s="103" t="s">
        <v>365</v>
      </c>
      <c r="L2197" s="133"/>
      <c r="M2197" s="134">
        <v>1.3888888888888888E-2</v>
      </c>
      <c r="N2197" s="137" t="s">
        <v>3805</v>
      </c>
      <c r="O2197" s="133" t="s">
        <v>1585</v>
      </c>
      <c r="Q2197" s="100" t="s">
        <v>4099</v>
      </c>
      <c r="R2197" s="226" t="s">
        <v>4115</v>
      </c>
      <c r="S2197" s="491" t="str">
        <f t="shared" si="71"/>
        <v>x</v>
      </c>
      <c r="T2197" s="492" t="str">
        <f>IFERROR(VLOOKUP(F2197,'Freq-Chan'!C:D,2,FALSE),"x")</f>
        <v>x</v>
      </c>
      <c r="U2197" s="110" t="s">
        <v>541</v>
      </c>
      <c r="V2197" s="110" t="str">
        <f t="shared" si="72"/>
        <v>FWL</v>
      </c>
      <c r="W2197" s="110" t="s">
        <v>541</v>
      </c>
      <c r="X2197" s="110" t="s">
        <v>541</v>
      </c>
      <c r="Y2197" s="110" t="str">
        <f>IFERROR(VLOOKUP(F2197,'Freq-Chan'!C:E,3,FALSE),"na")</f>
        <v>na</v>
      </c>
      <c r="Z2197" s="110" t="s">
        <v>541</v>
      </c>
      <c r="AA2197" s="110" t="s">
        <v>541</v>
      </c>
      <c r="AB2197" s="110" t="s">
        <v>541</v>
      </c>
      <c r="AC2197" s="10" t="s">
        <v>541</v>
      </c>
      <c r="AD2197" s="10" t="s">
        <v>541</v>
      </c>
    </row>
    <row r="2198" spans="1:30" x14ac:dyDescent="0.2">
      <c r="A2198" s="110">
        <v>2197</v>
      </c>
      <c r="B2198" s="132">
        <v>41859</v>
      </c>
      <c r="C2198" s="117">
        <v>3</v>
      </c>
      <c r="D2198" s="103" t="s">
        <v>71</v>
      </c>
      <c r="E2198" s="103" t="s">
        <v>306</v>
      </c>
      <c r="F2198" s="103">
        <v>564</v>
      </c>
      <c r="G2198" s="103">
        <v>46</v>
      </c>
      <c r="H2198" s="103" t="s">
        <v>2410</v>
      </c>
      <c r="I2198" s="103">
        <v>61</v>
      </c>
      <c r="K2198" s="103" t="s">
        <v>1032</v>
      </c>
      <c r="L2198" s="133"/>
      <c r="M2198" s="134">
        <v>4.7916666666666663E-2</v>
      </c>
      <c r="N2198" s="137" t="s">
        <v>3473</v>
      </c>
      <c r="O2198" s="133" t="s">
        <v>1532</v>
      </c>
      <c r="Q2198" s="100" t="s">
        <v>4099</v>
      </c>
      <c r="R2198" s="226" t="s">
        <v>4115</v>
      </c>
      <c r="S2198" s="491" t="str">
        <f t="shared" si="71"/>
        <v>x</v>
      </c>
      <c r="T2198" s="492">
        <f>IFERROR(VLOOKUP(F2198,'Freq-Chan'!C:D,2,FALSE),"x")</f>
        <v>151.56399999999999</v>
      </c>
      <c r="U2198" s="110" t="s">
        <v>541</v>
      </c>
      <c r="V2198" s="110" t="str">
        <f t="shared" si="72"/>
        <v>FWL</v>
      </c>
      <c r="W2198" s="110" t="s">
        <v>541</v>
      </c>
      <c r="X2198" s="110" t="s">
        <v>541</v>
      </c>
      <c r="Y2198" s="110" t="str">
        <f>IFERROR(VLOOKUP(F2198,'Freq-Chan'!C:E,3,FALSE),"na")</f>
        <v>F1840</v>
      </c>
      <c r="Z2198" s="110" t="s">
        <v>541</v>
      </c>
      <c r="AA2198" s="110" t="s">
        <v>541</v>
      </c>
      <c r="AB2198" s="110" t="s">
        <v>541</v>
      </c>
      <c r="AC2198" s="10" t="s">
        <v>541</v>
      </c>
      <c r="AD2198" s="10" t="s">
        <v>541</v>
      </c>
    </row>
    <row r="2199" spans="1:30" x14ac:dyDescent="0.2">
      <c r="A2199" s="110">
        <v>2198</v>
      </c>
      <c r="B2199" s="132">
        <v>41859</v>
      </c>
      <c r="C2199" s="117">
        <v>3</v>
      </c>
      <c r="D2199" s="103" t="s">
        <v>70</v>
      </c>
      <c r="E2199" s="103" t="s">
        <v>306</v>
      </c>
      <c r="F2199" s="103">
        <v>596</v>
      </c>
      <c r="G2199" s="103">
        <v>65</v>
      </c>
      <c r="H2199" s="103" t="s">
        <v>3101</v>
      </c>
      <c r="I2199" s="103">
        <v>46</v>
      </c>
      <c r="K2199" s="103" t="s">
        <v>1032</v>
      </c>
      <c r="L2199" s="133">
        <v>0.4916666666666667</v>
      </c>
      <c r="M2199" s="134">
        <v>4.0972222222222222E-2</v>
      </c>
      <c r="N2199" s="137" t="s">
        <v>3279</v>
      </c>
      <c r="O2199" s="133" t="s">
        <v>376</v>
      </c>
      <c r="Q2199" s="100" t="s">
        <v>4113</v>
      </c>
      <c r="R2199" s="226" t="s">
        <v>4115</v>
      </c>
      <c r="S2199" s="491">
        <f t="shared" si="71"/>
        <v>7.0601850000000005E-4</v>
      </c>
      <c r="T2199" s="492">
        <f>IFERROR(VLOOKUP(F2199,'Freq-Chan'!C:D,2,FALSE),"x")</f>
        <v>151.596</v>
      </c>
      <c r="U2199" s="110" t="s">
        <v>541</v>
      </c>
      <c r="V2199" s="110" t="str">
        <f t="shared" si="72"/>
        <v>FWL</v>
      </c>
      <c r="W2199" s="110" t="s">
        <v>541</v>
      </c>
      <c r="X2199" s="110" t="s">
        <v>541</v>
      </c>
      <c r="Y2199" s="110" t="str">
        <f>IFERROR(VLOOKUP(F2199,'Freq-Chan'!C:E,3,FALSE),"na")</f>
        <v>F1835</v>
      </c>
      <c r="Z2199" s="110" t="s">
        <v>541</v>
      </c>
      <c r="AA2199" s="110" t="s">
        <v>541</v>
      </c>
      <c r="AB2199" s="110" t="s">
        <v>541</v>
      </c>
      <c r="AC2199" s="10" t="s">
        <v>541</v>
      </c>
      <c r="AD2199" s="10" t="s">
        <v>541</v>
      </c>
    </row>
    <row r="2200" spans="1:30" x14ac:dyDescent="0.2">
      <c r="A2200" s="110">
        <v>2199</v>
      </c>
      <c r="B2200" s="132">
        <v>41859</v>
      </c>
      <c r="C2200" s="117">
        <v>3</v>
      </c>
      <c r="D2200" s="103" t="s">
        <v>71</v>
      </c>
      <c r="E2200" s="103" t="s">
        <v>306</v>
      </c>
      <c r="F2200" s="103">
        <v>564</v>
      </c>
      <c r="G2200" s="103">
        <v>43</v>
      </c>
      <c r="H2200" s="103" t="s">
        <v>2411</v>
      </c>
      <c r="I2200" s="103">
        <v>59</v>
      </c>
      <c r="K2200" s="103" t="s">
        <v>1032</v>
      </c>
      <c r="L2200" s="133"/>
      <c r="M2200" s="134">
        <v>4.5833333333333337E-2</v>
      </c>
      <c r="N2200" s="137" t="s">
        <v>3881</v>
      </c>
      <c r="O2200" s="133" t="s">
        <v>376</v>
      </c>
      <c r="Q2200" s="100" t="s">
        <v>4113</v>
      </c>
      <c r="R2200" s="226" t="s">
        <v>4115</v>
      </c>
      <c r="S2200" s="491" t="str">
        <f t="shared" si="71"/>
        <v>x</v>
      </c>
      <c r="T2200" s="492">
        <f>IFERROR(VLOOKUP(F2200,'Freq-Chan'!C:D,2,FALSE),"x")</f>
        <v>151.56399999999999</v>
      </c>
      <c r="U2200" s="110" t="s">
        <v>541</v>
      </c>
      <c r="V2200" s="110" t="str">
        <f t="shared" si="72"/>
        <v>FWL</v>
      </c>
      <c r="W2200" s="110" t="s">
        <v>541</v>
      </c>
      <c r="X2200" s="110" t="s">
        <v>541</v>
      </c>
      <c r="Y2200" s="110" t="str">
        <f>IFERROR(VLOOKUP(F2200,'Freq-Chan'!C:E,3,FALSE),"na")</f>
        <v>F1840</v>
      </c>
      <c r="Z2200" s="110" t="s">
        <v>541</v>
      </c>
      <c r="AA2200" s="110" t="s">
        <v>541</v>
      </c>
      <c r="AB2200" s="110" t="s">
        <v>541</v>
      </c>
      <c r="AC2200" s="10" t="s">
        <v>541</v>
      </c>
      <c r="AD2200" s="10" t="s">
        <v>541</v>
      </c>
    </row>
    <row r="2201" spans="1:30" x14ac:dyDescent="0.2">
      <c r="A2201" s="110">
        <v>2200</v>
      </c>
      <c r="B2201" s="132">
        <v>41859</v>
      </c>
      <c r="C2201" s="117">
        <v>3</v>
      </c>
      <c r="D2201" s="103" t="s">
        <v>71</v>
      </c>
      <c r="E2201" s="103" t="s">
        <v>306</v>
      </c>
      <c r="F2201" s="103">
        <v>534</v>
      </c>
      <c r="G2201" s="103">
        <v>84</v>
      </c>
      <c r="H2201" s="103" t="s">
        <v>2412</v>
      </c>
      <c r="I2201" s="103">
        <v>61</v>
      </c>
      <c r="K2201" s="103" t="s">
        <v>365</v>
      </c>
      <c r="L2201" s="133"/>
      <c r="M2201" s="134">
        <v>5.0694444444444452E-2</v>
      </c>
      <c r="N2201" s="137" t="s">
        <v>3281</v>
      </c>
      <c r="O2201" s="133" t="s">
        <v>376</v>
      </c>
      <c r="Q2201" s="100" t="s">
        <v>4113</v>
      </c>
      <c r="R2201" s="226" t="s">
        <v>4115</v>
      </c>
      <c r="S2201" s="491" t="str">
        <f t="shared" si="71"/>
        <v>x</v>
      </c>
      <c r="T2201" s="492">
        <f>IFERROR(VLOOKUP(F2201,'Freq-Chan'!C:D,2,FALSE),"x")</f>
        <v>151.53399999999999</v>
      </c>
      <c r="U2201" s="110" t="s">
        <v>541</v>
      </c>
      <c r="V2201" s="110" t="str">
        <f t="shared" si="72"/>
        <v>FWL</v>
      </c>
      <c r="W2201" s="110" t="s">
        <v>541</v>
      </c>
      <c r="X2201" s="110" t="s">
        <v>541</v>
      </c>
      <c r="Y2201" s="110" t="str">
        <f>IFERROR(VLOOKUP(F2201,'Freq-Chan'!C:E,3,FALSE),"na")</f>
        <v>F1840</v>
      </c>
      <c r="Z2201" s="110" t="s">
        <v>541</v>
      </c>
      <c r="AA2201" s="110" t="s">
        <v>541</v>
      </c>
      <c r="AB2201" s="110" t="s">
        <v>541</v>
      </c>
      <c r="AC2201" s="10" t="s">
        <v>541</v>
      </c>
      <c r="AD2201" s="10" t="s">
        <v>541</v>
      </c>
    </row>
    <row r="2202" spans="1:30" x14ac:dyDescent="0.2">
      <c r="A2202" s="110">
        <v>2201</v>
      </c>
      <c r="B2202" s="132">
        <v>41859</v>
      </c>
      <c r="C2202" s="117">
        <v>3</v>
      </c>
      <c r="D2202" s="103" t="s">
        <v>71</v>
      </c>
      <c r="E2202" s="103" t="s">
        <v>306</v>
      </c>
      <c r="F2202" s="103">
        <v>564</v>
      </c>
      <c r="G2202" s="103">
        <v>15</v>
      </c>
      <c r="H2202" s="103" t="s">
        <v>2413</v>
      </c>
      <c r="I2202" s="103">
        <v>59</v>
      </c>
      <c r="K2202" s="103" t="s">
        <v>1032</v>
      </c>
      <c r="L2202" s="133"/>
      <c r="M2202" s="134">
        <v>3.6111111111111115E-2</v>
      </c>
      <c r="N2202" s="137" t="s">
        <v>4112</v>
      </c>
      <c r="O2202" s="133" t="s">
        <v>950</v>
      </c>
      <c r="Q2202" s="100" t="s">
        <v>4113</v>
      </c>
      <c r="R2202" s="226" t="s">
        <v>4115</v>
      </c>
      <c r="S2202" s="491" t="str">
        <f t="shared" si="71"/>
        <v>x</v>
      </c>
      <c r="T2202" s="492">
        <f>IFERROR(VLOOKUP(F2202,'Freq-Chan'!C:D,2,FALSE),"x")</f>
        <v>151.56399999999999</v>
      </c>
      <c r="U2202" s="110" t="s">
        <v>541</v>
      </c>
      <c r="V2202" s="110" t="str">
        <f t="shared" si="72"/>
        <v>FWL</v>
      </c>
      <c r="W2202" s="110" t="s">
        <v>541</v>
      </c>
      <c r="X2202" s="110" t="s">
        <v>541</v>
      </c>
      <c r="Y2202" s="110" t="str">
        <f>IFERROR(VLOOKUP(F2202,'Freq-Chan'!C:E,3,FALSE),"na")</f>
        <v>F1840</v>
      </c>
      <c r="Z2202" s="110" t="s">
        <v>541</v>
      </c>
      <c r="AA2202" s="110" t="s">
        <v>541</v>
      </c>
      <c r="AB2202" s="110" t="s">
        <v>541</v>
      </c>
      <c r="AC2202" s="10" t="s">
        <v>541</v>
      </c>
      <c r="AD2202" s="10" t="s">
        <v>541</v>
      </c>
    </row>
    <row r="2203" spans="1:30" x14ac:dyDescent="0.2">
      <c r="A2203" s="110">
        <v>2202</v>
      </c>
      <c r="B2203" s="132">
        <v>41859</v>
      </c>
      <c r="C2203" s="117">
        <v>3</v>
      </c>
      <c r="D2203" s="103" t="s">
        <v>71</v>
      </c>
      <c r="E2203" s="103" t="s">
        <v>306</v>
      </c>
      <c r="F2203" s="103">
        <v>534</v>
      </c>
      <c r="G2203" s="103">
        <v>70</v>
      </c>
      <c r="H2203" s="103" t="s">
        <v>2414</v>
      </c>
      <c r="I2203" s="103">
        <v>54</v>
      </c>
      <c r="K2203" s="103" t="s">
        <v>365</v>
      </c>
      <c r="L2203" s="133"/>
      <c r="M2203" s="134">
        <v>5.347222222222222E-2</v>
      </c>
      <c r="N2203" s="137" t="s">
        <v>3284</v>
      </c>
      <c r="O2203" s="133" t="s">
        <v>950</v>
      </c>
      <c r="Q2203" s="100" t="s">
        <v>4113</v>
      </c>
      <c r="R2203" s="226" t="s">
        <v>4115</v>
      </c>
      <c r="S2203" s="491" t="str">
        <f t="shared" si="71"/>
        <v>x</v>
      </c>
      <c r="T2203" s="492">
        <f>IFERROR(VLOOKUP(F2203,'Freq-Chan'!C:D,2,FALSE),"x")</f>
        <v>151.53399999999999</v>
      </c>
      <c r="U2203" s="110" t="s">
        <v>541</v>
      </c>
      <c r="V2203" s="110" t="str">
        <f t="shared" si="72"/>
        <v>FWL</v>
      </c>
      <c r="W2203" s="110" t="s">
        <v>541</v>
      </c>
      <c r="X2203" s="110" t="s">
        <v>541</v>
      </c>
      <c r="Y2203" s="110" t="str">
        <f>IFERROR(VLOOKUP(F2203,'Freq-Chan'!C:E,3,FALSE),"na")</f>
        <v>F1840</v>
      </c>
      <c r="Z2203" s="110" t="s">
        <v>541</v>
      </c>
      <c r="AA2203" s="110" t="s">
        <v>541</v>
      </c>
      <c r="AB2203" s="110" t="s">
        <v>541</v>
      </c>
      <c r="AC2203" s="10" t="s">
        <v>541</v>
      </c>
      <c r="AD2203" s="10" t="s">
        <v>541</v>
      </c>
    </row>
    <row r="2204" spans="1:30" x14ac:dyDescent="0.2">
      <c r="A2204" s="110">
        <v>2203</v>
      </c>
      <c r="B2204" s="132">
        <v>41859</v>
      </c>
      <c r="C2204" s="117">
        <v>3</v>
      </c>
      <c r="D2204" s="103" t="s">
        <v>71</v>
      </c>
      <c r="E2204" s="103" t="s">
        <v>306</v>
      </c>
      <c r="H2204" s="103"/>
      <c r="I2204" s="103">
        <v>59</v>
      </c>
      <c r="K2204" s="103" t="s">
        <v>365</v>
      </c>
      <c r="L2204" s="133"/>
      <c r="M2204" s="134">
        <v>1.3888888888888888E-2</v>
      </c>
      <c r="N2204" s="137" t="s">
        <v>3173</v>
      </c>
      <c r="O2204" s="133" t="s">
        <v>950</v>
      </c>
      <c r="Q2204" s="100" t="s">
        <v>4113</v>
      </c>
      <c r="R2204" s="226" t="s">
        <v>4115</v>
      </c>
      <c r="S2204" s="491" t="str">
        <f t="shared" si="71"/>
        <v>x</v>
      </c>
      <c r="T2204" s="492" t="str">
        <f>IFERROR(VLOOKUP(F2204,'Freq-Chan'!C:D,2,FALSE),"x")</f>
        <v>x</v>
      </c>
      <c r="U2204" s="110" t="s">
        <v>541</v>
      </c>
      <c r="V2204" s="110" t="str">
        <f t="shared" si="72"/>
        <v>FWL</v>
      </c>
      <c r="W2204" s="110" t="s">
        <v>541</v>
      </c>
      <c r="X2204" s="110" t="s">
        <v>541</v>
      </c>
      <c r="Y2204" s="110" t="str">
        <f>IFERROR(VLOOKUP(F2204,'Freq-Chan'!C:E,3,FALSE),"na")</f>
        <v>na</v>
      </c>
      <c r="Z2204" s="110" t="s">
        <v>541</v>
      </c>
      <c r="AA2204" s="110" t="s">
        <v>541</v>
      </c>
      <c r="AB2204" s="110" t="s">
        <v>541</v>
      </c>
      <c r="AC2204" s="10" t="s">
        <v>541</v>
      </c>
      <c r="AD2204" s="10" t="s">
        <v>541</v>
      </c>
    </row>
    <row r="2205" spans="1:30" x14ac:dyDescent="0.2">
      <c r="A2205" s="110">
        <v>2204</v>
      </c>
      <c r="B2205" s="132">
        <v>41859</v>
      </c>
      <c r="C2205" s="117">
        <v>3</v>
      </c>
      <c r="D2205" s="103" t="s">
        <v>71</v>
      </c>
      <c r="E2205" s="103" t="s">
        <v>306</v>
      </c>
      <c r="H2205" s="103"/>
      <c r="I2205" s="103">
        <v>61</v>
      </c>
      <c r="K2205" s="103" t="s">
        <v>1032</v>
      </c>
      <c r="L2205" s="133"/>
      <c r="M2205" s="134">
        <v>2.2916666666666669E-2</v>
      </c>
      <c r="N2205" s="137" t="s">
        <v>3986</v>
      </c>
      <c r="O2205" s="133" t="s">
        <v>376</v>
      </c>
      <c r="Q2205" s="100" t="s">
        <v>4101</v>
      </c>
      <c r="R2205" s="226" t="s">
        <v>4115</v>
      </c>
      <c r="S2205" s="491" t="str">
        <f t="shared" si="71"/>
        <v>x</v>
      </c>
      <c r="T2205" s="492" t="str">
        <f>IFERROR(VLOOKUP(F2205,'Freq-Chan'!C:D,2,FALSE),"x")</f>
        <v>x</v>
      </c>
      <c r="U2205" s="110" t="s">
        <v>541</v>
      </c>
      <c r="V2205" s="110" t="str">
        <f t="shared" si="72"/>
        <v>FWL</v>
      </c>
      <c r="W2205" s="110" t="s">
        <v>541</v>
      </c>
      <c r="X2205" s="110" t="s">
        <v>541</v>
      </c>
      <c r="Y2205" s="110" t="str">
        <f>IFERROR(VLOOKUP(F2205,'Freq-Chan'!C:E,3,FALSE),"na")</f>
        <v>na</v>
      </c>
      <c r="Z2205" s="110" t="s">
        <v>541</v>
      </c>
      <c r="AA2205" s="110" t="s">
        <v>541</v>
      </c>
      <c r="AB2205" s="110" t="s">
        <v>541</v>
      </c>
      <c r="AC2205" s="10" t="s">
        <v>541</v>
      </c>
      <c r="AD2205" s="10" t="s">
        <v>541</v>
      </c>
    </row>
    <row r="2206" spans="1:30" x14ac:dyDescent="0.2">
      <c r="A2206" s="110">
        <v>2205</v>
      </c>
      <c r="B2206" s="132">
        <v>41859</v>
      </c>
      <c r="C2206" s="117">
        <v>3</v>
      </c>
      <c r="D2206" s="103" t="s">
        <v>71</v>
      </c>
      <c r="E2206" s="103" t="s">
        <v>306</v>
      </c>
      <c r="H2206" s="103"/>
      <c r="I2206" s="103">
        <v>54</v>
      </c>
      <c r="K2206" s="103" t="s">
        <v>365</v>
      </c>
      <c r="L2206" s="133"/>
      <c r="M2206" s="134">
        <v>1.5972222222222224E-2</v>
      </c>
      <c r="N2206" s="137" t="s">
        <v>3178</v>
      </c>
      <c r="O2206" s="133" t="s">
        <v>376</v>
      </c>
      <c r="Q2206" s="100" t="s">
        <v>4101</v>
      </c>
      <c r="R2206" s="226" t="s">
        <v>4115</v>
      </c>
      <c r="S2206" s="491" t="str">
        <f t="shared" si="71"/>
        <v>x</v>
      </c>
      <c r="T2206" s="492" t="str">
        <f>IFERROR(VLOOKUP(F2206,'Freq-Chan'!C:D,2,FALSE),"x")</f>
        <v>x</v>
      </c>
      <c r="U2206" s="110" t="s">
        <v>541</v>
      </c>
      <c r="V2206" s="110" t="str">
        <f t="shared" si="72"/>
        <v>FWL</v>
      </c>
      <c r="W2206" s="110" t="s">
        <v>541</v>
      </c>
      <c r="X2206" s="110" t="s">
        <v>541</v>
      </c>
      <c r="Y2206" s="110" t="str">
        <f>IFERROR(VLOOKUP(F2206,'Freq-Chan'!C:E,3,FALSE),"na")</f>
        <v>na</v>
      </c>
      <c r="Z2206" s="110" t="s">
        <v>541</v>
      </c>
      <c r="AA2206" s="110" t="s">
        <v>541</v>
      </c>
      <c r="AB2206" s="110" t="s">
        <v>541</v>
      </c>
      <c r="AC2206" s="10" t="s">
        <v>541</v>
      </c>
      <c r="AD2206" s="10" t="s">
        <v>541</v>
      </c>
    </row>
    <row r="2207" spans="1:30" x14ac:dyDescent="0.2">
      <c r="A2207" s="110">
        <v>2206</v>
      </c>
      <c r="B2207" s="132">
        <v>41859</v>
      </c>
      <c r="C2207" s="117">
        <v>3</v>
      </c>
      <c r="D2207" s="103" t="s">
        <v>71</v>
      </c>
      <c r="E2207" s="103" t="s">
        <v>306</v>
      </c>
      <c r="H2207" s="103"/>
      <c r="I2207" s="103">
        <v>55</v>
      </c>
      <c r="K2207" s="103" t="s">
        <v>365</v>
      </c>
      <c r="L2207" s="133"/>
      <c r="M2207" s="134">
        <v>1.5972222222222224E-2</v>
      </c>
      <c r="N2207" s="135" t="s">
        <v>1784</v>
      </c>
      <c r="O2207" s="133" t="s">
        <v>950</v>
      </c>
      <c r="Q2207" s="100" t="s">
        <v>4101</v>
      </c>
      <c r="R2207" s="226" t="s">
        <v>4115</v>
      </c>
      <c r="S2207" s="491" t="str">
        <f t="shared" si="71"/>
        <v>x</v>
      </c>
      <c r="T2207" s="492" t="str">
        <f>IFERROR(VLOOKUP(F2207,'Freq-Chan'!C:D,2,FALSE),"x")</f>
        <v>x</v>
      </c>
      <c r="U2207" s="110" t="s">
        <v>541</v>
      </c>
      <c r="V2207" s="110" t="str">
        <f t="shared" si="72"/>
        <v>FWL</v>
      </c>
      <c r="W2207" s="110" t="s">
        <v>541</v>
      </c>
      <c r="X2207" s="110" t="s">
        <v>541</v>
      </c>
      <c r="Y2207" s="110" t="str">
        <f>IFERROR(VLOOKUP(F2207,'Freq-Chan'!C:E,3,FALSE),"na")</f>
        <v>na</v>
      </c>
      <c r="Z2207" s="110" t="s">
        <v>541</v>
      </c>
      <c r="AA2207" s="110" t="s">
        <v>541</v>
      </c>
      <c r="AB2207" s="110" t="s">
        <v>541</v>
      </c>
      <c r="AC2207" s="10" t="s">
        <v>541</v>
      </c>
      <c r="AD2207" s="10" t="s">
        <v>541</v>
      </c>
    </row>
    <row r="2208" spans="1:30" x14ac:dyDescent="0.2">
      <c r="A2208" s="110">
        <v>2207</v>
      </c>
      <c r="B2208" s="132">
        <v>41859</v>
      </c>
      <c r="C2208" s="117">
        <v>3</v>
      </c>
      <c r="D2208" s="103" t="s">
        <v>71</v>
      </c>
      <c r="E2208" s="103" t="s">
        <v>306</v>
      </c>
      <c r="H2208" s="103"/>
      <c r="I2208" s="103">
        <v>56</v>
      </c>
      <c r="K2208" s="103" t="s">
        <v>1032</v>
      </c>
      <c r="L2208" s="133"/>
      <c r="M2208" s="134">
        <v>1.8749999999999999E-2</v>
      </c>
      <c r="N2208" s="135" t="s">
        <v>1849</v>
      </c>
      <c r="O2208" s="133" t="s">
        <v>950</v>
      </c>
      <c r="Q2208" s="100" t="s">
        <v>4101</v>
      </c>
      <c r="R2208" s="226" t="s">
        <v>4115</v>
      </c>
      <c r="S2208" s="491" t="str">
        <f t="shared" si="71"/>
        <v>x</v>
      </c>
      <c r="T2208" s="492" t="str">
        <f>IFERROR(VLOOKUP(F2208,'Freq-Chan'!C:D,2,FALSE),"x")</f>
        <v>x</v>
      </c>
      <c r="U2208" s="110" t="s">
        <v>541</v>
      </c>
      <c r="V2208" s="110" t="str">
        <f t="shared" si="72"/>
        <v>FWL</v>
      </c>
      <c r="W2208" s="110" t="s">
        <v>541</v>
      </c>
      <c r="X2208" s="110" t="s">
        <v>541</v>
      </c>
      <c r="Y2208" s="110" t="str">
        <f>IFERROR(VLOOKUP(F2208,'Freq-Chan'!C:E,3,FALSE),"na")</f>
        <v>na</v>
      </c>
      <c r="Z2208" s="110" t="s">
        <v>541</v>
      </c>
      <c r="AA2208" s="110" t="s">
        <v>541</v>
      </c>
      <c r="AB2208" s="110" t="s">
        <v>541</v>
      </c>
      <c r="AC2208" s="10" t="s">
        <v>541</v>
      </c>
      <c r="AD2208" s="10" t="s">
        <v>541</v>
      </c>
    </row>
    <row r="2209" spans="1:30" x14ac:dyDescent="0.2">
      <c r="A2209" s="110">
        <v>2208</v>
      </c>
      <c r="B2209" s="132">
        <v>41859</v>
      </c>
      <c r="C2209" s="117">
        <v>3</v>
      </c>
      <c r="D2209" s="103" t="s">
        <v>71</v>
      </c>
      <c r="E2209" s="103" t="s">
        <v>306</v>
      </c>
      <c r="H2209" s="103"/>
      <c r="I2209" s="103">
        <v>60</v>
      </c>
      <c r="K2209" s="103" t="s">
        <v>365</v>
      </c>
      <c r="L2209" s="133"/>
      <c r="M2209" s="134">
        <v>1.3888888888888888E-2</v>
      </c>
      <c r="N2209" s="135" t="s">
        <v>4114</v>
      </c>
      <c r="O2209" s="133" t="s">
        <v>376</v>
      </c>
      <c r="Q2209" s="100" t="s">
        <v>4101</v>
      </c>
      <c r="R2209" s="226" t="s">
        <v>4115</v>
      </c>
      <c r="S2209" s="491" t="str">
        <f t="shared" si="71"/>
        <v>x</v>
      </c>
      <c r="T2209" s="492" t="str">
        <f>IFERROR(VLOOKUP(F2209,'Freq-Chan'!C:D,2,FALSE),"x")</f>
        <v>x</v>
      </c>
      <c r="U2209" s="110" t="s">
        <v>541</v>
      </c>
      <c r="V2209" s="110" t="str">
        <f t="shared" si="72"/>
        <v>FWL</v>
      </c>
      <c r="W2209" s="110" t="s">
        <v>541</v>
      </c>
      <c r="X2209" s="110" t="s">
        <v>541</v>
      </c>
      <c r="Y2209" s="110" t="str">
        <f>IFERROR(VLOOKUP(F2209,'Freq-Chan'!C:E,3,FALSE),"na")</f>
        <v>na</v>
      </c>
      <c r="Z2209" s="110" t="s">
        <v>541</v>
      </c>
      <c r="AA2209" s="110" t="s">
        <v>541</v>
      </c>
      <c r="AB2209" s="110" t="s">
        <v>541</v>
      </c>
      <c r="AC2209" s="10" t="s">
        <v>541</v>
      </c>
      <c r="AD2209" s="10" t="s">
        <v>541</v>
      </c>
    </row>
    <row r="2210" spans="1:30" x14ac:dyDescent="0.2">
      <c r="A2210" s="110">
        <v>2209</v>
      </c>
      <c r="B2210" s="132">
        <v>41859</v>
      </c>
      <c r="C2210" s="117">
        <v>3</v>
      </c>
      <c r="D2210" s="103" t="s">
        <v>71</v>
      </c>
      <c r="E2210" s="103" t="s">
        <v>306</v>
      </c>
      <c r="F2210" s="103">
        <v>564</v>
      </c>
      <c r="G2210" s="103">
        <v>13</v>
      </c>
      <c r="H2210" s="103" t="s">
        <v>2415</v>
      </c>
      <c r="I2210" s="103">
        <v>63</v>
      </c>
      <c r="K2210" s="103" t="s">
        <v>364</v>
      </c>
      <c r="L2210" s="133"/>
      <c r="M2210" s="134">
        <v>4.6527777777777779E-2</v>
      </c>
      <c r="N2210" s="137" t="s">
        <v>2785</v>
      </c>
      <c r="O2210" s="133" t="s">
        <v>1663</v>
      </c>
      <c r="Q2210" s="100" t="s">
        <v>4102</v>
      </c>
      <c r="R2210" s="226" t="s">
        <v>4115</v>
      </c>
      <c r="S2210" s="491" t="str">
        <f t="shared" si="71"/>
        <v>x</v>
      </c>
      <c r="T2210" s="492">
        <f>IFERROR(VLOOKUP(F2210,'Freq-Chan'!C:D,2,FALSE),"x")</f>
        <v>151.56399999999999</v>
      </c>
      <c r="U2210" s="110" t="s">
        <v>541</v>
      </c>
      <c r="V2210" s="110" t="str">
        <f t="shared" si="72"/>
        <v>FWL</v>
      </c>
      <c r="W2210" s="110" t="s">
        <v>541</v>
      </c>
      <c r="X2210" s="110" t="s">
        <v>541</v>
      </c>
      <c r="Y2210" s="110" t="str">
        <f>IFERROR(VLOOKUP(F2210,'Freq-Chan'!C:E,3,FALSE),"na")</f>
        <v>F1840</v>
      </c>
      <c r="Z2210" s="110" t="s">
        <v>541</v>
      </c>
      <c r="AA2210" s="110" t="s">
        <v>541</v>
      </c>
      <c r="AB2210" s="110" t="s">
        <v>541</v>
      </c>
      <c r="AC2210" s="10" t="s">
        <v>541</v>
      </c>
      <c r="AD2210" s="10" t="s">
        <v>541</v>
      </c>
    </row>
    <row r="2211" spans="1:30" x14ac:dyDescent="0.2">
      <c r="A2211" s="110">
        <v>2210</v>
      </c>
      <c r="B2211" s="132">
        <v>41859</v>
      </c>
      <c r="C2211" s="117">
        <v>3</v>
      </c>
      <c r="D2211" s="103" t="s">
        <v>70</v>
      </c>
      <c r="E2211" s="103" t="s">
        <v>306</v>
      </c>
      <c r="F2211" s="103">
        <v>596</v>
      </c>
      <c r="G2211" s="103">
        <v>33</v>
      </c>
      <c r="H2211" s="103" t="s">
        <v>3102</v>
      </c>
      <c r="I2211" s="103">
        <v>41</v>
      </c>
      <c r="K2211" s="103" t="s">
        <v>1032</v>
      </c>
      <c r="L2211" s="133"/>
      <c r="M2211" s="134">
        <v>3.7499999999999999E-2</v>
      </c>
      <c r="N2211" s="135" t="s">
        <v>3835</v>
      </c>
      <c r="O2211" s="133" t="s">
        <v>1663</v>
      </c>
      <c r="Q2211" s="100" t="s">
        <v>4102</v>
      </c>
      <c r="R2211" s="226" t="s">
        <v>4115</v>
      </c>
      <c r="S2211" s="491" t="str">
        <f t="shared" si="71"/>
        <v>x</v>
      </c>
      <c r="T2211" s="492">
        <f>IFERROR(VLOOKUP(F2211,'Freq-Chan'!C:D,2,FALSE),"x")</f>
        <v>151.596</v>
      </c>
      <c r="U2211" s="110" t="s">
        <v>541</v>
      </c>
      <c r="V2211" s="110" t="str">
        <f t="shared" si="72"/>
        <v>FWL</v>
      </c>
      <c r="W2211" s="110" t="s">
        <v>541</v>
      </c>
      <c r="X2211" s="110" t="s">
        <v>541</v>
      </c>
      <c r="Y2211" s="110" t="str">
        <f>IFERROR(VLOOKUP(F2211,'Freq-Chan'!C:E,3,FALSE),"na")</f>
        <v>F1835</v>
      </c>
      <c r="Z2211" s="110" t="s">
        <v>541</v>
      </c>
      <c r="AA2211" s="110" t="s">
        <v>541</v>
      </c>
      <c r="AB2211" s="110" t="s">
        <v>541</v>
      </c>
      <c r="AC2211" s="10" t="s">
        <v>541</v>
      </c>
      <c r="AD2211" s="10" t="s">
        <v>541</v>
      </c>
    </row>
    <row r="2212" spans="1:30" x14ac:dyDescent="0.2">
      <c r="A2212" s="110">
        <v>2211</v>
      </c>
      <c r="B2212" s="132">
        <v>41859</v>
      </c>
      <c r="C2212" s="117">
        <v>3</v>
      </c>
      <c r="D2212" s="103" t="s">
        <v>71</v>
      </c>
      <c r="E2212" s="103" t="s">
        <v>306</v>
      </c>
      <c r="H2212" s="103"/>
      <c r="I2212" s="103">
        <v>64</v>
      </c>
      <c r="K2212" s="103" t="s">
        <v>364</v>
      </c>
      <c r="L2212" s="133"/>
      <c r="M2212" s="134">
        <v>1.1111111111111112E-2</v>
      </c>
      <c r="N2212" s="135" t="s">
        <v>3389</v>
      </c>
      <c r="O2212" s="133" t="s">
        <v>1663</v>
      </c>
      <c r="Q2212" s="100" t="s">
        <v>4102</v>
      </c>
      <c r="R2212" s="226" t="s">
        <v>4115</v>
      </c>
      <c r="S2212" s="491" t="str">
        <f t="shared" si="71"/>
        <v>x</v>
      </c>
      <c r="T2212" s="492" t="str">
        <f>IFERROR(VLOOKUP(F2212,'Freq-Chan'!C:D,2,FALSE),"x")</f>
        <v>x</v>
      </c>
      <c r="U2212" s="110" t="s">
        <v>541</v>
      </c>
      <c r="V2212" s="110" t="str">
        <f t="shared" si="72"/>
        <v>FWL</v>
      </c>
      <c r="W2212" s="110" t="s">
        <v>541</v>
      </c>
      <c r="X2212" s="110" t="s">
        <v>541</v>
      </c>
      <c r="Y2212" s="110" t="str">
        <f>IFERROR(VLOOKUP(F2212,'Freq-Chan'!C:E,3,FALSE),"na")</f>
        <v>na</v>
      </c>
      <c r="Z2212" s="110" t="s">
        <v>541</v>
      </c>
      <c r="AA2212" s="110" t="s">
        <v>541</v>
      </c>
      <c r="AB2212" s="110" t="s">
        <v>541</v>
      </c>
      <c r="AC2212" s="10" t="s">
        <v>541</v>
      </c>
      <c r="AD2212" s="10" t="s">
        <v>541</v>
      </c>
    </row>
    <row r="2213" spans="1:30" x14ac:dyDescent="0.2">
      <c r="A2213" s="110">
        <v>2212</v>
      </c>
      <c r="B2213" s="132">
        <v>41859</v>
      </c>
      <c r="C2213" s="117">
        <v>3</v>
      </c>
      <c r="D2213" s="103" t="s">
        <v>71</v>
      </c>
      <c r="E2213" s="103" t="s">
        <v>306</v>
      </c>
      <c r="H2213" s="103"/>
      <c r="I2213" s="103">
        <v>58</v>
      </c>
      <c r="K2213" s="103" t="s">
        <v>364</v>
      </c>
      <c r="L2213" s="133"/>
      <c r="M2213" s="134">
        <v>1.3888888888888888E-2</v>
      </c>
      <c r="N2213" s="135" t="s">
        <v>3761</v>
      </c>
      <c r="O2213" s="133" t="s">
        <v>1663</v>
      </c>
      <c r="Q2213" s="100" t="s">
        <v>4102</v>
      </c>
      <c r="R2213" s="226" t="s">
        <v>4115</v>
      </c>
      <c r="S2213" s="491" t="str">
        <f t="shared" si="71"/>
        <v>x</v>
      </c>
      <c r="T2213" s="492" t="str">
        <f>IFERROR(VLOOKUP(F2213,'Freq-Chan'!C:D,2,FALSE),"x")</f>
        <v>x</v>
      </c>
      <c r="U2213" s="110" t="s">
        <v>541</v>
      </c>
      <c r="V2213" s="110" t="str">
        <f t="shared" si="72"/>
        <v>FWL</v>
      </c>
      <c r="W2213" s="110" t="s">
        <v>541</v>
      </c>
      <c r="X2213" s="110" t="s">
        <v>541</v>
      </c>
      <c r="Y2213" s="110" t="str">
        <f>IFERROR(VLOOKUP(F2213,'Freq-Chan'!C:E,3,FALSE),"na")</f>
        <v>na</v>
      </c>
      <c r="Z2213" s="110" t="s">
        <v>541</v>
      </c>
      <c r="AA2213" s="110" t="s">
        <v>541</v>
      </c>
      <c r="AB2213" s="110" t="s">
        <v>541</v>
      </c>
      <c r="AC2213" s="10" t="s">
        <v>541</v>
      </c>
      <c r="AD2213" s="10" t="s">
        <v>541</v>
      </c>
    </row>
    <row r="2214" spans="1:30" x14ac:dyDescent="0.2">
      <c r="A2214" s="110">
        <v>2213</v>
      </c>
      <c r="B2214" s="132">
        <v>41859</v>
      </c>
      <c r="C2214" s="117">
        <v>3</v>
      </c>
      <c r="D2214" s="103" t="s">
        <v>71</v>
      </c>
      <c r="E2214" s="103" t="s">
        <v>306</v>
      </c>
      <c r="H2214" s="103"/>
      <c r="I2214" s="103">
        <v>53</v>
      </c>
      <c r="K2214" s="103" t="s">
        <v>364</v>
      </c>
      <c r="L2214" s="133"/>
      <c r="M2214" s="134">
        <v>1.2499999999999999E-2</v>
      </c>
      <c r="N2214" s="135" t="s">
        <v>1833</v>
      </c>
      <c r="O2214" s="133" t="s">
        <v>1663</v>
      </c>
      <c r="Q2214" s="100" t="s">
        <v>4102</v>
      </c>
      <c r="R2214" s="226" t="s">
        <v>4115</v>
      </c>
      <c r="S2214" s="491" t="str">
        <f t="shared" si="71"/>
        <v>x</v>
      </c>
      <c r="T2214" s="492" t="str">
        <f>IFERROR(VLOOKUP(F2214,'Freq-Chan'!C:D,2,FALSE),"x")</f>
        <v>x</v>
      </c>
      <c r="U2214" s="110" t="s">
        <v>541</v>
      </c>
      <c r="V2214" s="110" t="str">
        <f t="shared" si="72"/>
        <v>FWL</v>
      </c>
      <c r="W2214" s="110" t="s">
        <v>541</v>
      </c>
      <c r="X2214" s="110" t="s">
        <v>541</v>
      </c>
      <c r="Y2214" s="110" t="str">
        <f>IFERROR(VLOOKUP(F2214,'Freq-Chan'!C:E,3,FALSE),"na")</f>
        <v>na</v>
      </c>
      <c r="Z2214" s="110" t="s">
        <v>541</v>
      </c>
      <c r="AA2214" s="110" t="s">
        <v>541</v>
      </c>
      <c r="AB2214" s="110" t="s">
        <v>541</v>
      </c>
      <c r="AC2214" s="10" t="s">
        <v>541</v>
      </c>
      <c r="AD2214" s="10" t="s">
        <v>541</v>
      </c>
    </row>
    <row r="2215" spans="1:30" x14ac:dyDescent="0.2">
      <c r="A2215" s="110">
        <v>2214</v>
      </c>
      <c r="B2215" s="132">
        <v>41859</v>
      </c>
      <c r="C2215" s="117">
        <v>3</v>
      </c>
      <c r="D2215" s="103" t="s">
        <v>8</v>
      </c>
      <c r="E2215" s="103" t="s">
        <v>306</v>
      </c>
      <c r="F2215" s="103">
        <v>573</v>
      </c>
      <c r="G2215" s="103">
        <v>89</v>
      </c>
      <c r="H2215" s="103" t="s">
        <v>2220</v>
      </c>
      <c r="I2215" s="103">
        <v>45</v>
      </c>
      <c r="K2215" s="103" t="s">
        <v>364</v>
      </c>
      <c r="L2215" s="133"/>
      <c r="M2215" s="134">
        <v>3.9583333333333331E-2</v>
      </c>
      <c r="N2215" s="135" t="s">
        <v>3361</v>
      </c>
      <c r="O2215" s="133" t="s">
        <v>555</v>
      </c>
      <c r="Q2215" s="100" t="s">
        <v>4102</v>
      </c>
      <c r="R2215" s="226" t="s">
        <v>4115</v>
      </c>
      <c r="S2215" s="491" t="str">
        <f t="shared" si="71"/>
        <v>x</v>
      </c>
      <c r="T2215" s="492">
        <f>IFERROR(VLOOKUP(F2215,'Freq-Chan'!C:D,2,FALSE),"x")</f>
        <v>151.57300000000001</v>
      </c>
      <c r="U2215" s="110" t="s">
        <v>541</v>
      </c>
      <c r="V2215" s="110" t="str">
        <f t="shared" si="72"/>
        <v>FWL</v>
      </c>
      <c r="W2215" s="110" t="s">
        <v>541</v>
      </c>
      <c r="X2215" s="110" t="s">
        <v>541</v>
      </c>
      <c r="Y2215" s="110" t="str">
        <f>IFERROR(VLOOKUP(F2215,'Freq-Chan'!C:E,3,FALSE),"na")</f>
        <v>F1840</v>
      </c>
      <c r="Z2215" s="110" t="s">
        <v>541</v>
      </c>
      <c r="AA2215" s="110" t="s">
        <v>541</v>
      </c>
      <c r="AB2215" s="110" t="s">
        <v>541</v>
      </c>
      <c r="AC2215" s="10" t="s">
        <v>541</v>
      </c>
      <c r="AD2215" s="10" t="s">
        <v>541</v>
      </c>
    </row>
    <row r="2216" spans="1:30" x14ac:dyDescent="0.2">
      <c r="A2216" s="110">
        <v>2215</v>
      </c>
      <c r="B2216" s="132">
        <v>41859</v>
      </c>
      <c r="C2216" s="117">
        <v>3</v>
      </c>
      <c r="D2216" s="103" t="s">
        <v>2</v>
      </c>
      <c r="E2216" s="103" t="s">
        <v>306</v>
      </c>
      <c r="H2216" s="103"/>
      <c r="I2216" s="103">
        <v>60</v>
      </c>
      <c r="K2216" s="103" t="s">
        <v>364</v>
      </c>
      <c r="L2216" s="133"/>
      <c r="M2216" s="134">
        <v>2.013888888888889E-2</v>
      </c>
      <c r="N2216" s="135" t="s">
        <v>3362</v>
      </c>
      <c r="O2216" s="133" t="s">
        <v>555</v>
      </c>
      <c r="Q2216" s="100" t="s">
        <v>4102</v>
      </c>
      <c r="R2216" s="226" t="s">
        <v>4115</v>
      </c>
      <c r="S2216" s="491" t="str">
        <f t="shared" si="71"/>
        <v>x</v>
      </c>
      <c r="T2216" s="492" t="str">
        <f>IFERROR(VLOOKUP(F2216,'Freq-Chan'!C:D,2,FALSE),"x")</f>
        <v>x</v>
      </c>
      <c r="U2216" s="110" t="s">
        <v>541</v>
      </c>
      <c r="V2216" s="110" t="str">
        <f t="shared" si="72"/>
        <v>FWL</v>
      </c>
      <c r="W2216" s="110" t="s">
        <v>541</v>
      </c>
      <c r="X2216" s="110" t="s">
        <v>541</v>
      </c>
      <c r="Y2216" s="110" t="str">
        <f>IFERROR(VLOOKUP(F2216,'Freq-Chan'!C:E,3,FALSE),"na")</f>
        <v>na</v>
      </c>
      <c r="Z2216" s="110" t="s">
        <v>541</v>
      </c>
      <c r="AA2216" s="110" t="s">
        <v>541</v>
      </c>
      <c r="AB2216" s="110" t="s">
        <v>541</v>
      </c>
      <c r="AC2216" s="10" t="s">
        <v>541</v>
      </c>
      <c r="AD2216" s="10" t="s">
        <v>541</v>
      </c>
    </row>
    <row r="2217" spans="1:30" s="291" customFormat="1" x14ac:dyDescent="0.2">
      <c r="A2217" s="493">
        <v>2216</v>
      </c>
      <c r="B2217" s="283">
        <v>41859</v>
      </c>
      <c r="C2217" s="284">
        <v>3</v>
      </c>
      <c r="D2217" s="285" t="s">
        <v>72</v>
      </c>
      <c r="E2217" s="285" t="s">
        <v>306</v>
      </c>
      <c r="F2217" s="285">
        <v>266</v>
      </c>
      <c r="G2217" s="285">
        <v>1</v>
      </c>
      <c r="H2217" s="285" t="s">
        <v>3539</v>
      </c>
      <c r="I2217" s="285">
        <v>48</v>
      </c>
      <c r="J2217" s="285"/>
      <c r="K2217" s="285" t="s">
        <v>364</v>
      </c>
      <c r="L2217" s="286"/>
      <c r="M2217" s="287">
        <v>3.6805555555555557E-2</v>
      </c>
      <c r="N2217" s="339" t="s">
        <v>1809</v>
      </c>
      <c r="O2217" s="286" t="s">
        <v>1663</v>
      </c>
      <c r="P2217" s="289" t="s">
        <v>4466</v>
      </c>
      <c r="Q2217" s="289" t="s">
        <v>4102</v>
      </c>
      <c r="R2217" s="290" t="s">
        <v>4115</v>
      </c>
      <c r="S2217" s="494" t="str">
        <f t="shared" si="71"/>
        <v>x</v>
      </c>
      <c r="T2217" s="495">
        <f>IFERROR(VLOOKUP(F2217,'Freq-Chan'!C:D,2,FALSE),"x")</f>
        <v>151.26599999999999</v>
      </c>
      <c r="U2217" s="493" t="s">
        <v>541</v>
      </c>
      <c r="V2217" s="493" t="str">
        <f t="shared" si="72"/>
        <v>FWL</v>
      </c>
      <c r="W2217" s="493" t="s">
        <v>541</v>
      </c>
      <c r="X2217" s="493" t="s">
        <v>541</v>
      </c>
      <c r="Y2217" s="493" t="str">
        <f>IFERROR(VLOOKUP(F2217,'Freq-Chan'!C:E,3,FALSE),"na")</f>
        <v>F1840</v>
      </c>
      <c r="Z2217" s="493" t="s">
        <v>541</v>
      </c>
      <c r="AA2217" s="493" t="s">
        <v>541</v>
      </c>
      <c r="AB2217" s="493" t="s">
        <v>541</v>
      </c>
      <c r="AC2217" s="291" t="s">
        <v>541</v>
      </c>
      <c r="AD2217" s="291" t="s">
        <v>541</v>
      </c>
    </row>
    <row r="2218" spans="1:30" x14ac:dyDescent="0.2">
      <c r="A2218" s="110">
        <v>2217</v>
      </c>
      <c r="B2218" s="132">
        <v>41860</v>
      </c>
      <c r="C2218" s="117">
        <v>1</v>
      </c>
      <c r="D2218" s="103" t="s">
        <v>71</v>
      </c>
      <c r="E2218" s="103" t="s">
        <v>306</v>
      </c>
      <c r="F2218" s="103">
        <v>564</v>
      </c>
      <c r="G2218" s="103">
        <v>59</v>
      </c>
      <c r="H2218" s="103" t="s">
        <v>2421</v>
      </c>
      <c r="I2218" s="103">
        <v>55</v>
      </c>
      <c r="K2218" s="103" t="s">
        <v>364</v>
      </c>
      <c r="L2218" s="133">
        <v>0.34722222222222227</v>
      </c>
      <c r="M2218" s="134">
        <v>4.3055555555555562E-2</v>
      </c>
      <c r="N2218" s="137" t="s">
        <v>3491</v>
      </c>
      <c r="O2218" s="133" t="s">
        <v>1532</v>
      </c>
      <c r="Q2218" s="100" t="s">
        <v>4119</v>
      </c>
      <c r="R2218" s="226" t="s">
        <v>4136</v>
      </c>
      <c r="S2218" s="491">
        <f t="shared" si="71"/>
        <v>4.65046296E-2</v>
      </c>
      <c r="T2218" s="492">
        <f>IFERROR(VLOOKUP(F2218,'Freq-Chan'!C:D,2,FALSE),"x")</f>
        <v>151.56399999999999</v>
      </c>
      <c r="U2218" s="110" t="s">
        <v>541</v>
      </c>
      <c r="V2218" s="110" t="str">
        <f t="shared" si="72"/>
        <v>FWL</v>
      </c>
      <c r="W2218" s="110" t="s">
        <v>541</v>
      </c>
      <c r="X2218" s="110" t="s">
        <v>541</v>
      </c>
      <c r="Y2218" s="110" t="str">
        <f>IFERROR(VLOOKUP(F2218,'Freq-Chan'!C:E,3,FALSE),"na")</f>
        <v>F1840</v>
      </c>
      <c r="Z2218" s="110" t="s">
        <v>541</v>
      </c>
      <c r="AA2218" s="110" t="s">
        <v>541</v>
      </c>
      <c r="AB2218" s="110" t="s">
        <v>541</v>
      </c>
      <c r="AC2218" s="10" t="s">
        <v>541</v>
      </c>
      <c r="AD2218" s="10" t="s">
        <v>541</v>
      </c>
    </row>
    <row r="2219" spans="1:30" x14ac:dyDescent="0.2">
      <c r="A2219" s="110">
        <v>2218</v>
      </c>
      <c r="B2219" s="132">
        <v>41860</v>
      </c>
      <c r="C2219" s="117">
        <v>1</v>
      </c>
      <c r="D2219" s="103" t="s">
        <v>70</v>
      </c>
      <c r="E2219" s="103" t="s">
        <v>306</v>
      </c>
      <c r="F2219" s="103">
        <v>917</v>
      </c>
      <c r="G2219" s="103">
        <v>12</v>
      </c>
      <c r="H2219" s="103" t="s">
        <v>3105</v>
      </c>
      <c r="I2219" s="103">
        <v>49</v>
      </c>
      <c r="K2219" s="103" t="s">
        <v>1032</v>
      </c>
      <c r="L2219" s="133"/>
      <c r="M2219" s="134">
        <v>3.7499999999999999E-2</v>
      </c>
      <c r="N2219" s="137" t="s">
        <v>3294</v>
      </c>
      <c r="O2219" s="133" t="s">
        <v>1532</v>
      </c>
      <c r="Q2219" s="100" t="s">
        <v>4119</v>
      </c>
      <c r="R2219" s="226" t="s">
        <v>4136</v>
      </c>
      <c r="S2219" s="491" t="str">
        <f t="shared" si="71"/>
        <v>x</v>
      </c>
      <c r="T2219" s="492">
        <f>IFERROR(VLOOKUP(F2219,'Freq-Chan'!C:D,2,FALSE),"x")</f>
        <v>151.917</v>
      </c>
      <c r="U2219" s="110" t="s">
        <v>541</v>
      </c>
      <c r="V2219" s="110" t="str">
        <f t="shared" si="72"/>
        <v>FWL</v>
      </c>
      <c r="W2219" s="110" t="s">
        <v>541</v>
      </c>
      <c r="X2219" s="110" t="s">
        <v>541</v>
      </c>
      <c r="Y2219" s="110" t="str">
        <f>IFERROR(VLOOKUP(F2219,'Freq-Chan'!C:E,3,FALSE),"na")</f>
        <v>F1835</v>
      </c>
      <c r="Z2219" s="110" t="s">
        <v>541</v>
      </c>
      <c r="AA2219" s="110" t="s">
        <v>541</v>
      </c>
      <c r="AB2219" s="110" t="s">
        <v>541</v>
      </c>
      <c r="AC2219" s="10" t="s">
        <v>541</v>
      </c>
      <c r="AD2219" s="10" t="s">
        <v>541</v>
      </c>
    </row>
    <row r="2220" spans="1:30" x14ac:dyDescent="0.2">
      <c r="A2220" s="110">
        <v>2219</v>
      </c>
      <c r="B2220" s="132">
        <v>41860</v>
      </c>
      <c r="C2220" s="117">
        <v>1</v>
      </c>
      <c r="D2220" s="103" t="s">
        <v>71</v>
      </c>
      <c r="E2220" s="103" t="s">
        <v>306</v>
      </c>
      <c r="F2220" s="103">
        <v>534</v>
      </c>
      <c r="G2220" s="103">
        <v>66</v>
      </c>
      <c r="H2220" s="103" t="s">
        <v>2429</v>
      </c>
      <c r="I2220" s="103">
        <v>60</v>
      </c>
      <c r="K2220" s="103" t="s">
        <v>365</v>
      </c>
      <c r="L2220" s="133"/>
      <c r="M2220" s="134">
        <v>3.888888888888889E-2</v>
      </c>
      <c r="N2220" s="135" t="s">
        <v>3244</v>
      </c>
      <c r="O2220" s="133" t="s">
        <v>1532</v>
      </c>
      <c r="Q2220" s="100" t="s">
        <v>4119</v>
      </c>
      <c r="R2220" s="226" t="s">
        <v>4136</v>
      </c>
      <c r="S2220" s="491" t="str">
        <f t="shared" si="71"/>
        <v>x</v>
      </c>
      <c r="T2220" s="492">
        <f>IFERROR(VLOOKUP(F2220,'Freq-Chan'!C:D,2,FALSE),"x")</f>
        <v>151.53399999999999</v>
      </c>
      <c r="U2220" s="110" t="s">
        <v>541</v>
      </c>
      <c r="V2220" s="110" t="str">
        <f t="shared" si="72"/>
        <v>FWL</v>
      </c>
      <c r="W2220" s="110" t="s">
        <v>541</v>
      </c>
      <c r="X2220" s="110" t="s">
        <v>541</v>
      </c>
      <c r="Y2220" s="110" t="str">
        <f>IFERROR(VLOOKUP(F2220,'Freq-Chan'!C:E,3,FALSE),"na")</f>
        <v>F1840</v>
      </c>
      <c r="Z2220" s="110" t="s">
        <v>541</v>
      </c>
      <c r="AA2220" s="110" t="s">
        <v>541</v>
      </c>
      <c r="AB2220" s="110" t="s">
        <v>541</v>
      </c>
      <c r="AC2220" s="10" t="s">
        <v>541</v>
      </c>
      <c r="AD2220" s="10" t="s">
        <v>541</v>
      </c>
    </row>
    <row r="2221" spans="1:30" x14ac:dyDescent="0.2">
      <c r="A2221" s="110">
        <v>2220</v>
      </c>
      <c r="B2221" s="132">
        <v>41860</v>
      </c>
      <c r="C2221" s="117">
        <v>1</v>
      </c>
      <c r="D2221" s="103" t="s">
        <v>70</v>
      </c>
      <c r="E2221" s="103" t="s">
        <v>306</v>
      </c>
      <c r="H2221" s="103"/>
      <c r="I2221" s="103">
        <v>44</v>
      </c>
      <c r="K2221" s="103" t="s">
        <v>365</v>
      </c>
      <c r="L2221" s="133"/>
      <c r="M2221" s="134">
        <v>1.6666666666666666E-2</v>
      </c>
      <c r="N2221" s="137" t="s">
        <v>2653</v>
      </c>
      <c r="O2221" s="133" t="s">
        <v>1532</v>
      </c>
      <c r="Q2221" s="100" t="s">
        <v>4119</v>
      </c>
      <c r="R2221" s="226" t="s">
        <v>4136</v>
      </c>
      <c r="S2221" s="491" t="str">
        <f t="shared" si="71"/>
        <v>x</v>
      </c>
      <c r="T2221" s="492" t="str">
        <f>IFERROR(VLOOKUP(F2221,'Freq-Chan'!C:D,2,FALSE),"x")</f>
        <v>x</v>
      </c>
      <c r="U2221" s="110" t="s">
        <v>541</v>
      </c>
      <c r="V2221" s="110" t="str">
        <f t="shared" si="72"/>
        <v>FWL</v>
      </c>
      <c r="W2221" s="110" t="s">
        <v>541</v>
      </c>
      <c r="X2221" s="110" t="s">
        <v>541</v>
      </c>
      <c r="Y2221" s="110" t="str">
        <f>IFERROR(VLOOKUP(F2221,'Freq-Chan'!C:E,3,FALSE),"na")</f>
        <v>na</v>
      </c>
      <c r="Z2221" s="110" t="s">
        <v>541</v>
      </c>
      <c r="AA2221" s="110" t="s">
        <v>541</v>
      </c>
      <c r="AB2221" s="110" t="s">
        <v>541</v>
      </c>
      <c r="AC2221" s="10" t="s">
        <v>541</v>
      </c>
      <c r="AD2221" s="10" t="s">
        <v>541</v>
      </c>
    </row>
    <row r="2222" spans="1:30" x14ac:dyDescent="0.2">
      <c r="A2222" s="110">
        <v>2221</v>
      </c>
      <c r="B2222" s="132">
        <v>41860</v>
      </c>
      <c r="C2222" s="117">
        <v>1</v>
      </c>
      <c r="D2222" s="103" t="s">
        <v>70</v>
      </c>
      <c r="E2222" s="103" t="s">
        <v>306</v>
      </c>
      <c r="H2222" s="103"/>
      <c r="I2222" s="103">
        <v>44</v>
      </c>
      <c r="K2222" s="103" t="s">
        <v>365</v>
      </c>
      <c r="L2222" s="133"/>
      <c r="M2222" s="134">
        <v>1.8055555555555557E-2</v>
      </c>
      <c r="N2222" s="137" t="s">
        <v>3797</v>
      </c>
      <c r="O2222" s="133" t="s">
        <v>1532</v>
      </c>
      <c r="Q2222" s="100" t="s">
        <v>4119</v>
      </c>
      <c r="R2222" s="226" t="s">
        <v>4136</v>
      </c>
      <c r="S2222" s="491" t="str">
        <f t="shared" si="71"/>
        <v>x</v>
      </c>
      <c r="T2222" s="492" t="str">
        <f>IFERROR(VLOOKUP(F2222,'Freq-Chan'!C:D,2,FALSE),"x")</f>
        <v>x</v>
      </c>
      <c r="U2222" s="110" t="s">
        <v>541</v>
      </c>
      <c r="V2222" s="110" t="str">
        <f t="shared" si="72"/>
        <v>FWL</v>
      </c>
      <c r="W2222" s="110" t="s">
        <v>541</v>
      </c>
      <c r="X2222" s="110" t="s">
        <v>541</v>
      </c>
      <c r="Y2222" s="110" t="str">
        <f>IFERROR(VLOOKUP(F2222,'Freq-Chan'!C:E,3,FALSE),"na")</f>
        <v>na</v>
      </c>
      <c r="Z2222" s="110" t="s">
        <v>541</v>
      </c>
      <c r="AA2222" s="110" t="s">
        <v>541</v>
      </c>
      <c r="AB2222" s="110" t="s">
        <v>541</v>
      </c>
      <c r="AC2222" s="10" t="s">
        <v>541</v>
      </c>
      <c r="AD2222" s="10" t="s">
        <v>541</v>
      </c>
    </row>
    <row r="2223" spans="1:30" x14ac:dyDescent="0.2">
      <c r="A2223" s="110">
        <v>2222</v>
      </c>
      <c r="B2223" s="132">
        <v>41860</v>
      </c>
      <c r="C2223" s="117">
        <v>1</v>
      </c>
      <c r="D2223" s="103" t="s">
        <v>70</v>
      </c>
      <c r="E2223" s="103" t="s">
        <v>306</v>
      </c>
      <c r="H2223" s="103"/>
      <c r="I2223" s="103">
        <v>47</v>
      </c>
      <c r="K2223" s="103" t="s">
        <v>1032</v>
      </c>
      <c r="L2223" s="133"/>
      <c r="M2223" s="134">
        <v>2.2222222222222223E-2</v>
      </c>
      <c r="N2223" s="137" t="s">
        <v>3717</v>
      </c>
      <c r="O2223" s="133" t="s">
        <v>555</v>
      </c>
      <c r="Q2223" s="100" t="s">
        <v>4119</v>
      </c>
      <c r="R2223" s="226" t="s">
        <v>4136</v>
      </c>
      <c r="S2223" s="491" t="str">
        <f t="shared" si="71"/>
        <v>x</v>
      </c>
      <c r="T2223" s="492" t="str">
        <f>IFERROR(VLOOKUP(F2223,'Freq-Chan'!C:D,2,FALSE),"x")</f>
        <v>x</v>
      </c>
      <c r="U2223" s="110" t="s">
        <v>541</v>
      </c>
      <c r="V2223" s="110" t="str">
        <f t="shared" si="72"/>
        <v>FWL</v>
      </c>
      <c r="W2223" s="110" t="s">
        <v>541</v>
      </c>
      <c r="X2223" s="110" t="s">
        <v>541</v>
      </c>
      <c r="Y2223" s="110" t="str">
        <f>IFERROR(VLOOKUP(F2223,'Freq-Chan'!C:E,3,FALSE),"na")</f>
        <v>na</v>
      </c>
      <c r="Z2223" s="110" t="s">
        <v>541</v>
      </c>
      <c r="AA2223" s="110" t="s">
        <v>541</v>
      </c>
      <c r="AB2223" s="110" t="s">
        <v>541</v>
      </c>
      <c r="AC2223" s="10" t="s">
        <v>541</v>
      </c>
      <c r="AD2223" s="10" t="s">
        <v>541</v>
      </c>
    </row>
    <row r="2224" spans="1:30" x14ac:dyDescent="0.2">
      <c r="A2224" s="110">
        <v>2223</v>
      </c>
      <c r="B2224" s="132">
        <v>41860</v>
      </c>
      <c r="C2224" s="117">
        <v>1</v>
      </c>
      <c r="D2224" s="103" t="s">
        <v>70</v>
      </c>
      <c r="E2224" s="103" t="s">
        <v>306</v>
      </c>
      <c r="H2224" s="103"/>
      <c r="I2224" s="103">
        <v>47</v>
      </c>
      <c r="K2224" s="103" t="s">
        <v>1032</v>
      </c>
      <c r="L2224" s="133"/>
      <c r="M2224" s="134">
        <v>2.0833333333333332E-2</v>
      </c>
      <c r="N2224" s="137" t="s">
        <v>3879</v>
      </c>
      <c r="O2224" s="133" t="s">
        <v>555</v>
      </c>
      <c r="Q2224" s="100" t="s">
        <v>4119</v>
      </c>
      <c r="R2224" s="226" t="s">
        <v>4136</v>
      </c>
      <c r="S2224" s="491" t="str">
        <f t="shared" si="71"/>
        <v>x</v>
      </c>
      <c r="T2224" s="492" t="str">
        <f>IFERROR(VLOOKUP(F2224,'Freq-Chan'!C:D,2,FALSE),"x")</f>
        <v>x</v>
      </c>
      <c r="U2224" s="110" t="s">
        <v>541</v>
      </c>
      <c r="V2224" s="110" t="str">
        <f t="shared" si="72"/>
        <v>FWL</v>
      </c>
      <c r="W2224" s="110" t="s">
        <v>541</v>
      </c>
      <c r="X2224" s="110" t="s">
        <v>541</v>
      </c>
      <c r="Y2224" s="110" t="str">
        <f>IFERROR(VLOOKUP(F2224,'Freq-Chan'!C:E,3,FALSE),"na")</f>
        <v>na</v>
      </c>
      <c r="Z2224" s="110" t="s">
        <v>541</v>
      </c>
      <c r="AA2224" s="110" t="s">
        <v>541</v>
      </c>
      <c r="AB2224" s="110" t="s">
        <v>541</v>
      </c>
      <c r="AC2224" s="10" t="s">
        <v>541</v>
      </c>
      <c r="AD2224" s="10" t="s">
        <v>541</v>
      </c>
    </row>
    <row r="2225" spans="1:30" x14ac:dyDescent="0.2">
      <c r="A2225" s="110">
        <v>2224</v>
      </c>
      <c r="B2225" s="132">
        <v>41860</v>
      </c>
      <c r="C2225" s="117">
        <v>1</v>
      </c>
      <c r="D2225" s="103" t="s">
        <v>70</v>
      </c>
      <c r="E2225" s="103" t="s">
        <v>306</v>
      </c>
      <c r="H2225" s="103"/>
      <c r="I2225" s="103">
        <v>44</v>
      </c>
      <c r="K2225" s="103" t="s">
        <v>1032</v>
      </c>
      <c r="L2225" s="133"/>
      <c r="M2225" s="134">
        <v>2.0833333333333332E-2</v>
      </c>
      <c r="N2225" s="137" t="s">
        <v>3879</v>
      </c>
      <c r="O2225" s="133" t="s">
        <v>555</v>
      </c>
      <c r="Q2225" s="100" t="s">
        <v>4119</v>
      </c>
      <c r="R2225" s="226" t="s">
        <v>4136</v>
      </c>
      <c r="S2225" s="491" t="str">
        <f t="shared" si="71"/>
        <v>x</v>
      </c>
      <c r="T2225" s="492" t="str">
        <f>IFERROR(VLOOKUP(F2225,'Freq-Chan'!C:D,2,FALSE),"x")</f>
        <v>x</v>
      </c>
      <c r="U2225" s="110" t="s">
        <v>541</v>
      </c>
      <c r="V2225" s="110" t="str">
        <f t="shared" si="72"/>
        <v>FWL</v>
      </c>
      <c r="W2225" s="110" t="s">
        <v>541</v>
      </c>
      <c r="X2225" s="110" t="s">
        <v>541</v>
      </c>
      <c r="Y2225" s="110" t="str">
        <f>IFERROR(VLOOKUP(F2225,'Freq-Chan'!C:E,3,FALSE),"na")</f>
        <v>na</v>
      </c>
      <c r="Z2225" s="110" t="s">
        <v>541</v>
      </c>
      <c r="AA2225" s="110" t="s">
        <v>541</v>
      </c>
      <c r="AB2225" s="110" t="s">
        <v>541</v>
      </c>
      <c r="AC2225" s="10" t="s">
        <v>541</v>
      </c>
      <c r="AD2225" s="10" t="s">
        <v>541</v>
      </c>
    </row>
    <row r="2226" spans="1:30" x14ac:dyDescent="0.2">
      <c r="A2226" s="110">
        <v>2225</v>
      </c>
      <c r="B2226" s="132">
        <v>41860</v>
      </c>
      <c r="C2226" s="117">
        <v>1</v>
      </c>
      <c r="D2226" s="103" t="s">
        <v>71</v>
      </c>
      <c r="E2226" s="103" t="s">
        <v>306</v>
      </c>
      <c r="H2226" s="103"/>
      <c r="I2226" s="103">
        <v>60</v>
      </c>
      <c r="K2226" s="103" t="s">
        <v>1032</v>
      </c>
      <c r="L2226" s="133"/>
      <c r="M2226" s="134">
        <v>1.8055555555555557E-2</v>
      </c>
      <c r="N2226" s="135" t="s">
        <v>2891</v>
      </c>
      <c r="O2226" s="133" t="s">
        <v>555</v>
      </c>
      <c r="Q2226" s="100" t="s">
        <v>4119</v>
      </c>
      <c r="R2226" s="226" t="s">
        <v>4136</v>
      </c>
      <c r="S2226" s="491" t="str">
        <f t="shared" si="71"/>
        <v>x</v>
      </c>
      <c r="T2226" s="492" t="str">
        <f>IFERROR(VLOOKUP(F2226,'Freq-Chan'!C:D,2,FALSE),"x")</f>
        <v>x</v>
      </c>
      <c r="U2226" s="110" t="s">
        <v>541</v>
      </c>
      <c r="V2226" s="110" t="str">
        <f t="shared" si="72"/>
        <v>FWL</v>
      </c>
      <c r="W2226" s="110" t="s">
        <v>541</v>
      </c>
      <c r="X2226" s="110" t="s">
        <v>541</v>
      </c>
      <c r="Y2226" s="110" t="str">
        <f>IFERROR(VLOOKUP(F2226,'Freq-Chan'!C:E,3,FALSE),"na")</f>
        <v>na</v>
      </c>
      <c r="Z2226" s="110" t="s">
        <v>541</v>
      </c>
      <c r="AA2226" s="110" t="s">
        <v>541</v>
      </c>
      <c r="AB2226" s="110" t="s">
        <v>541</v>
      </c>
      <c r="AC2226" s="10" t="s">
        <v>541</v>
      </c>
      <c r="AD2226" s="10" t="s">
        <v>541</v>
      </c>
    </row>
    <row r="2227" spans="1:30" x14ac:dyDescent="0.2">
      <c r="A2227" s="110">
        <v>2226</v>
      </c>
      <c r="B2227" s="132">
        <v>41860</v>
      </c>
      <c r="C2227" s="117">
        <v>1</v>
      </c>
      <c r="D2227" s="103" t="s">
        <v>71</v>
      </c>
      <c r="E2227" s="103" t="s">
        <v>306</v>
      </c>
      <c r="H2227" s="103"/>
      <c r="I2227" s="103">
        <v>57</v>
      </c>
      <c r="K2227" s="103" t="s">
        <v>1032</v>
      </c>
      <c r="L2227" s="133"/>
      <c r="M2227" s="134">
        <v>1.6666666666666666E-2</v>
      </c>
      <c r="N2227" s="135" t="s">
        <v>1874</v>
      </c>
      <c r="O2227" s="133" t="s">
        <v>1532</v>
      </c>
      <c r="Q2227" s="100" t="s">
        <v>4119</v>
      </c>
      <c r="R2227" s="226" t="s">
        <v>4136</v>
      </c>
      <c r="S2227" s="491" t="str">
        <f t="shared" ref="S2227:S2290" si="73">IF(IF(OR(L2227=0,N2227=0),"x",ROUND(N2227-L2227-(M2227*24)/(24*60),10))&lt;0,0,IF(OR(L2227=0,N2227=0),"x",ROUND(N2227-L2227-(M2227*24)/(24*60),10)))</f>
        <v>x</v>
      </c>
      <c r="T2227" s="492" t="str">
        <f>IFERROR(VLOOKUP(F2227,'Freq-Chan'!C:D,2,FALSE),"x")</f>
        <v>x</v>
      </c>
      <c r="U2227" s="110" t="s">
        <v>541</v>
      </c>
      <c r="V2227" s="110" t="str">
        <f t="shared" ref="V2227:V2290" si="74">IF(OR(C2227=1,C2227=2,C2227=3),"FWL","NRD")</f>
        <v>FWL</v>
      </c>
      <c r="W2227" s="110" t="s">
        <v>541</v>
      </c>
      <c r="X2227" s="110" t="s">
        <v>541</v>
      </c>
      <c r="Y2227" s="110" t="str">
        <f>IFERROR(VLOOKUP(F2227,'Freq-Chan'!C:E,3,FALSE),"na")</f>
        <v>na</v>
      </c>
      <c r="Z2227" s="110" t="s">
        <v>541</v>
      </c>
      <c r="AA2227" s="110" t="s">
        <v>541</v>
      </c>
      <c r="AB2227" s="110" t="s">
        <v>541</v>
      </c>
      <c r="AC2227" s="10" t="s">
        <v>541</v>
      </c>
      <c r="AD2227" s="10" t="s">
        <v>541</v>
      </c>
    </row>
    <row r="2228" spans="1:30" x14ac:dyDescent="0.2">
      <c r="A2228" s="110">
        <v>2227</v>
      </c>
      <c r="B2228" s="132">
        <v>41860</v>
      </c>
      <c r="C2228" s="117">
        <v>1</v>
      </c>
      <c r="D2228" s="103" t="s">
        <v>71</v>
      </c>
      <c r="E2228" s="103" t="s">
        <v>306</v>
      </c>
      <c r="H2228" s="103"/>
      <c r="I2228" s="103">
        <v>56</v>
      </c>
      <c r="K2228" s="103" t="s">
        <v>1032</v>
      </c>
      <c r="L2228" s="133"/>
      <c r="M2228" s="134">
        <v>2.2916666666666669E-2</v>
      </c>
      <c r="N2228" s="135" t="s">
        <v>3256</v>
      </c>
      <c r="O2228" s="133" t="s">
        <v>1532</v>
      </c>
      <c r="Q2228" s="100" t="s">
        <v>4119</v>
      </c>
      <c r="R2228" s="226" t="s">
        <v>4136</v>
      </c>
      <c r="S2228" s="491" t="str">
        <f t="shared" si="73"/>
        <v>x</v>
      </c>
      <c r="T2228" s="492" t="str">
        <f>IFERROR(VLOOKUP(F2228,'Freq-Chan'!C:D,2,FALSE),"x")</f>
        <v>x</v>
      </c>
      <c r="U2228" s="110" t="s">
        <v>541</v>
      </c>
      <c r="V2228" s="110" t="str">
        <f t="shared" si="74"/>
        <v>FWL</v>
      </c>
      <c r="W2228" s="110" t="s">
        <v>541</v>
      </c>
      <c r="X2228" s="110" t="s">
        <v>541</v>
      </c>
      <c r="Y2228" s="110" t="str">
        <f>IFERROR(VLOOKUP(F2228,'Freq-Chan'!C:E,3,FALSE),"na")</f>
        <v>na</v>
      </c>
      <c r="Z2228" s="110" t="s">
        <v>541</v>
      </c>
      <c r="AA2228" s="110" t="s">
        <v>541</v>
      </c>
      <c r="AB2228" s="110" t="s">
        <v>541</v>
      </c>
      <c r="AC2228" s="10" t="s">
        <v>541</v>
      </c>
      <c r="AD2228" s="10" t="s">
        <v>541</v>
      </c>
    </row>
    <row r="2229" spans="1:30" x14ac:dyDescent="0.2">
      <c r="A2229" s="110">
        <v>2228</v>
      </c>
      <c r="B2229" s="132">
        <v>41860</v>
      </c>
      <c r="C2229" s="117">
        <v>1</v>
      </c>
      <c r="D2229" s="103" t="s">
        <v>70</v>
      </c>
      <c r="E2229" s="103" t="s">
        <v>306</v>
      </c>
      <c r="H2229" s="103"/>
      <c r="I2229" s="103">
        <v>46</v>
      </c>
      <c r="K2229" s="103" t="s">
        <v>1032</v>
      </c>
      <c r="L2229" s="133"/>
      <c r="M2229" s="134">
        <v>1.3888888888888888E-2</v>
      </c>
      <c r="N2229" s="137" t="s">
        <v>3427</v>
      </c>
      <c r="O2229" s="133" t="s">
        <v>1532</v>
      </c>
      <c r="Q2229" s="100" t="s">
        <v>4119</v>
      </c>
      <c r="R2229" s="226" t="s">
        <v>4136</v>
      </c>
      <c r="S2229" s="491" t="str">
        <f t="shared" si="73"/>
        <v>x</v>
      </c>
      <c r="T2229" s="492" t="str">
        <f>IFERROR(VLOOKUP(F2229,'Freq-Chan'!C:D,2,FALSE),"x")</f>
        <v>x</v>
      </c>
      <c r="U2229" s="110" t="s">
        <v>541</v>
      </c>
      <c r="V2229" s="110" t="str">
        <f t="shared" si="74"/>
        <v>FWL</v>
      </c>
      <c r="W2229" s="110" t="s">
        <v>541</v>
      </c>
      <c r="X2229" s="110" t="s">
        <v>541</v>
      </c>
      <c r="Y2229" s="110" t="str">
        <f>IFERROR(VLOOKUP(F2229,'Freq-Chan'!C:E,3,FALSE),"na")</f>
        <v>na</v>
      </c>
      <c r="Z2229" s="110" t="s">
        <v>541</v>
      </c>
      <c r="AA2229" s="110" t="s">
        <v>541</v>
      </c>
      <c r="AB2229" s="110" t="s">
        <v>541</v>
      </c>
      <c r="AC2229" s="10" t="s">
        <v>541</v>
      </c>
      <c r="AD2229" s="10" t="s">
        <v>541</v>
      </c>
    </row>
    <row r="2230" spans="1:30" x14ac:dyDescent="0.2">
      <c r="A2230" s="110">
        <v>2229</v>
      </c>
      <c r="B2230" s="132">
        <v>41860</v>
      </c>
      <c r="C2230" s="117">
        <v>1</v>
      </c>
      <c r="D2230" s="103" t="s">
        <v>71</v>
      </c>
      <c r="E2230" s="103" t="s">
        <v>306</v>
      </c>
      <c r="H2230" s="103"/>
      <c r="I2230" s="103">
        <v>57</v>
      </c>
      <c r="K2230" s="103" t="s">
        <v>1032</v>
      </c>
      <c r="L2230" s="133"/>
      <c r="M2230" s="134">
        <v>1.8749999999999999E-2</v>
      </c>
      <c r="N2230" s="135" t="s">
        <v>3428</v>
      </c>
      <c r="O2230" s="133" t="s">
        <v>1532</v>
      </c>
      <c r="Q2230" s="100" t="s">
        <v>4119</v>
      </c>
      <c r="R2230" s="226" t="s">
        <v>4136</v>
      </c>
      <c r="S2230" s="491" t="str">
        <f t="shared" si="73"/>
        <v>x</v>
      </c>
      <c r="T2230" s="492" t="str">
        <f>IFERROR(VLOOKUP(F2230,'Freq-Chan'!C:D,2,FALSE),"x")</f>
        <v>x</v>
      </c>
      <c r="U2230" s="110" t="s">
        <v>541</v>
      </c>
      <c r="V2230" s="110" t="str">
        <f t="shared" si="74"/>
        <v>FWL</v>
      </c>
      <c r="W2230" s="110" t="s">
        <v>541</v>
      </c>
      <c r="X2230" s="110" t="s">
        <v>541</v>
      </c>
      <c r="Y2230" s="110" t="str">
        <f>IFERROR(VLOOKUP(F2230,'Freq-Chan'!C:E,3,FALSE),"na")</f>
        <v>na</v>
      </c>
      <c r="Z2230" s="110" t="s">
        <v>541</v>
      </c>
      <c r="AA2230" s="110" t="s">
        <v>541</v>
      </c>
      <c r="AB2230" s="110" t="s">
        <v>541</v>
      </c>
      <c r="AC2230" s="10" t="s">
        <v>541</v>
      </c>
      <c r="AD2230" s="10" t="s">
        <v>541</v>
      </c>
    </row>
    <row r="2231" spans="1:30" x14ac:dyDescent="0.2">
      <c r="A2231" s="110">
        <v>2230</v>
      </c>
      <c r="B2231" s="132">
        <v>41860</v>
      </c>
      <c r="C2231" s="117">
        <v>1</v>
      </c>
      <c r="D2231" s="103" t="s">
        <v>70</v>
      </c>
      <c r="E2231" s="103" t="s">
        <v>306</v>
      </c>
      <c r="H2231" s="103"/>
      <c r="I2231" s="103">
        <v>44</v>
      </c>
      <c r="K2231" s="103" t="s">
        <v>1032</v>
      </c>
      <c r="L2231" s="133"/>
      <c r="M2231" s="134">
        <v>1.5972222222222224E-2</v>
      </c>
      <c r="N2231" s="137" t="s">
        <v>3839</v>
      </c>
      <c r="O2231" s="133" t="s">
        <v>1532</v>
      </c>
      <c r="Q2231" s="100" t="s">
        <v>4119</v>
      </c>
      <c r="R2231" s="226" t="s">
        <v>4136</v>
      </c>
      <c r="S2231" s="491" t="str">
        <f t="shared" si="73"/>
        <v>x</v>
      </c>
      <c r="T2231" s="492" t="str">
        <f>IFERROR(VLOOKUP(F2231,'Freq-Chan'!C:D,2,FALSE),"x")</f>
        <v>x</v>
      </c>
      <c r="U2231" s="110" t="s">
        <v>541</v>
      </c>
      <c r="V2231" s="110" t="str">
        <f t="shared" si="74"/>
        <v>FWL</v>
      </c>
      <c r="W2231" s="110" t="s">
        <v>541</v>
      </c>
      <c r="X2231" s="110" t="s">
        <v>541</v>
      </c>
      <c r="Y2231" s="110" t="str">
        <f>IFERROR(VLOOKUP(F2231,'Freq-Chan'!C:E,3,FALSE),"na")</f>
        <v>na</v>
      </c>
      <c r="Z2231" s="110" t="s">
        <v>541</v>
      </c>
      <c r="AA2231" s="110" t="s">
        <v>541</v>
      </c>
      <c r="AB2231" s="110" t="s">
        <v>541</v>
      </c>
      <c r="AC2231" s="10" t="s">
        <v>541</v>
      </c>
      <c r="AD2231" s="10" t="s">
        <v>541</v>
      </c>
    </row>
    <row r="2232" spans="1:30" x14ac:dyDescent="0.2">
      <c r="A2232" s="110">
        <v>2231</v>
      </c>
      <c r="B2232" s="132">
        <v>41860</v>
      </c>
      <c r="C2232" s="117">
        <v>1</v>
      </c>
      <c r="D2232" s="103" t="s">
        <v>70</v>
      </c>
      <c r="E2232" s="103" t="s">
        <v>306</v>
      </c>
      <c r="H2232" s="103"/>
      <c r="I2232" s="103">
        <v>44</v>
      </c>
      <c r="K2232" s="103" t="s">
        <v>365</v>
      </c>
      <c r="L2232" s="133"/>
      <c r="M2232" s="134">
        <v>2.0833333333333332E-2</v>
      </c>
      <c r="N2232" s="137" t="s">
        <v>2592</v>
      </c>
      <c r="O2232" s="133" t="s">
        <v>1532</v>
      </c>
      <c r="Q2232" s="100" t="s">
        <v>4119</v>
      </c>
      <c r="R2232" s="226" t="s">
        <v>4136</v>
      </c>
      <c r="S2232" s="491" t="str">
        <f t="shared" si="73"/>
        <v>x</v>
      </c>
      <c r="T2232" s="492" t="str">
        <f>IFERROR(VLOOKUP(F2232,'Freq-Chan'!C:D,2,FALSE),"x")</f>
        <v>x</v>
      </c>
      <c r="U2232" s="110" t="s">
        <v>541</v>
      </c>
      <c r="V2232" s="110" t="str">
        <f t="shared" si="74"/>
        <v>FWL</v>
      </c>
      <c r="W2232" s="110" t="s">
        <v>541</v>
      </c>
      <c r="X2232" s="110" t="s">
        <v>541</v>
      </c>
      <c r="Y2232" s="110" t="str">
        <f>IFERROR(VLOOKUP(F2232,'Freq-Chan'!C:E,3,FALSE),"na")</f>
        <v>na</v>
      </c>
      <c r="Z2232" s="110" t="s">
        <v>541</v>
      </c>
      <c r="AA2232" s="110" t="s">
        <v>541</v>
      </c>
      <c r="AB2232" s="110" t="s">
        <v>541</v>
      </c>
      <c r="AC2232" s="10" t="s">
        <v>541</v>
      </c>
      <c r="AD2232" s="10" t="s">
        <v>541</v>
      </c>
    </row>
    <row r="2233" spans="1:30" x14ac:dyDescent="0.2">
      <c r="A2233" s="110">
        <v>2232</v>
      </c>
      <c r="B2233" s="132">
        <v>41860</v>
      </c>
      <c r="C2233" s="117">
        <v>1</v>
      </c>
      <c r="D2233" s="103" t="s">
        <v>70</v>
      </c>
      <c r="E2233" s="103" t="s">
        <v>306</v>
      </c>
      <c r="H2233" s="103"/>
      <c r="I2233" s="103">
        <v>46</v>
      </c>
      <c r="K2233" s="103" t="s">
        <v>1032</v>
      </c>
      <c r="L2233" s="133"/>
      <c r="M2233" s="134">
        <v>1.9444444444444445E-2</v>
      </c>
      <c r="N2233" s="137" t="s">
        <v>3171</v>
      </c>
      <c r="O2233" s="133" t="s">
        <v>1532</v>
      </c>
      <c r="Q2233" s="100" t="s">
        <v>4119</v>
      </c>
      <c r="R2233" s="226" t="s">
        <v>4136</v>
      </c>
      <c r="S2233" s="491" t="str">
        <f t="shared" si="73"/>
        <v>x</v>
      </c>
      <c r="T2233" s="492" t="str">
        <f>IFERROR(VLOOKUP(F2233,'Freq-Chan'!C:D,2,FALSE),"x")</f>
        <v>x</v>
      </c>
      <c r="U2233" s="110" t="s">
        <v>541</v>
      </c>
      <c r="V2233" s="110" t="str">
        <f t="shared" si="74"/>
        <v>FWL</v>
      </c>
      <c r="W2233" s="110" t="s">
        <v>541</v>
      </c>
      <c r="X2233" s="110" t="s">
        <v>541</v>
      </c>
      <c r="Y2233" s="110" t="str">
        <f>IFERROR(VLOOKUP(F2233,'Freq-Chan'!C:E,3,FALSE),"na")</f>
        <v>na</v>
      </c>
      <c r="Z2233" s="110" t="s">
        <v>541</v>
      </c>
      <c r="AA2233" s="110" t="s">
        <v>541</v>
      </c>
      <c r="AB2233" s="110" t="s">
        <v>541</v>
      </c>
      <c r="AC2233" s="10" t="s">
        <v>541</v>
      </c>
      <c r="AD2233" s="10" t="s">
        <v>541</v>
      </c>
    </row>
    <row r="2234" spans="1:30" x14ac:dyDescent="0.2">
      <c r="A2234" s="110">
        <v>2233</v>
      </c>
      <c r="B2234" s="132">
        <v>41860</v>
      </c>
      <c r="C2234" s="117">
        <v>1</v>
      </c>
      <c r="D2234" s="103" t="s">
        <v>70</v>
      </c>
      <c r="E2234" s="103" t="s">
        <v>306</v>
      </c>
      <c r="H2234" s="103"/>
      <c r="I2234" s="103">
        <v>45</v>
      </c>
      <c r="K2234" s="103" t="s">
        <v>1032</v>
      </c>
      <c r="L2234" s="133"/>
      <c r="M2234" s="134">
        <v>1.7361111111111112E-2</v>
      </c>
      <c r="N2234" s="135" t="s">
        <v>3246</v>
      </c>
      <c r="O2234" s="133" t="s">
        <v>1532</v>
      </c>
      <c r="Q2234" s="100" t="s">
        <v>4119</v>
      </c>
      <c r="R2234" s="226" t="s">
        <v>4136</v>
      </c>
      <c r="S2234" s="491" t="str">
        <f t="shared" si="73"/>
        <v>x</v>
      </c>
      <c r="T2234" s="492" t="str">
        <f>IFERROR(VLOOKUP(F2234,'Freq-Chan'!C:D,2,FALSE),"x")</f>
        <v>x</v>
      </c>
      <c r="U2234" s="110" t="s">
        <v>541</v>
      </c>
      <c r="V2234" s="110" t="str">
        <f t="shared" si="74"/>
        <v>FWL</v>
      </c>
      <c r="W2234" s="110" t="s">
        <v>541</v>
      </c>
      <c r="X2234" s="110" t="s">
        <v>541</v>
      </c>
      <c r="Y2234" s="110" t="str">
        <f>IFERROR(VLOOKUP(F2234,'Freq-Chan'!C:E,3,FALSE),"na")</f>
        <v>na</v>
      </c>
      <c r="Z2234" s="110" t="s">
        <v>541</v>
      </c>
      <c r="AA2234" s="110" t="s">
        <v>541</v>
      </c>
      <c r="AB2234" s="110" t="s">
        <v>541</v>
      </c>
      <c r="AC2234" s="10" t="s">
        <v>541</v>
      </c>
      <c r="AD2234" s="10" t="s">
        <v>541</v>
      </c>
    </row>
    <row r="2235" spans="1:30" x14ac:dyDescent="0.2">
      <c r="A2235" s="110">
        <v>2234</v>
      </c>
      <c r="B2235" s="132">
        <v>41860</v>
      </c>
      <c r="C2235" s="117">
        <v>1</v>
      </c>
      <c r="D2235" s="103" t="s">
        <v>70</v>
      </c>
      <c r="E2235" s="103" t="s">
        <v>306</v>
      </c>
      <c r="H2235" s="103"/>
      <c r="I2235" s="103">
        <v>44</v>
      </c>
      <c r="K2235" s="103" t="s">
        <v>365</v>
      </c>
      <c r="L2235" s="133"/>
      <c r="M2235" s="134">
        <v>1.5972222222222224E-2</v>
      </c>
      <c r="N2235" s="135" t="s">
        <v>4125</v>
      </c>
      <c r="O2235" s="133" t="s">
        <v>555</v>
      </c>
      <c r="Q2235" s="100" t="s">
        <v>4119</v>
      </c>
      <c r="R2235" s="226" t="s">
        <v>4136</v>
      </c>
      <c r="S2235" s="491" t="str">
        <f t="shared" si="73"/>
        <v>x</v>
      </c>
      <c r="T2235" s="492" t="str">
        <f>IFERROR(VLOOKUP(F2235,'Freq-Chan'!C:D,2,FALSE),"x")</f>
        <v>x</v>
      </c>
      <c r="U2235" s="110" t="s">
        <v>541</v>
      </c>
      <c r="V2235" s="110" t="str">
        <f t="shared" si="74"/>
        <v>FWL</v>
      </c>
      <c r="W2235" s="110" t="s">
        <v>541</v>
      </c>
      <c r="X2235" s="110" t="s">
        <v>541</v>
      </c>
      <c r="Y2235" s="110" t="str">
        <f>IFERROR(VLOOKUP(F2235,'Freq-Chan'!C:E,3,FALSE),"na")</f>
        <v>na</v>
      </c>
      <c r="Z2235" s="110" t="s">
        <v>541</v>
      </c>
      <c r="AA2235" s="110" t="s">
        <v>541</v>
      </c>
      <c r="AB2235" s="110" t="s">
        <v>541</v>
      </c>
      <c r="AC2235" s="10" t="s">
        <v>541</v>
      </c>
      <c r="AD2235" s="10" t="s">
        <v>541</v>
      </c>
    </row>
    <row r="2236" spans="1:30" x14ac:dyDescent="0.2">
      <c r="A2236" s="110">
        <v>2235</v>
      </c>
      <c r="B2236" s="132">
        <v>41860</v>
      </c>
      <c r="C2236" s="117">
        <v>1</v>
      </c>
      <c r="D2236" s="103" t="s">
        <v>71</v>
      </c>
      <c r="E2236" s="103" t="s">
        <v>306</v>
      </c>
      <c r="H2236" s="103"/>
      <c r="I2236" s="103">
        <v>57</v>
      </c>
      <c r="K2236" s="103" t="s">
        <v>364</v>
      </c>
      <c r="L2236" s="133"/>
      <c r="M2236" s="134">
        <v>1.1805555555555555E-2</v>
      </c>
      <c r="N2236" s="135" t="s">
        <v>503</v>
      </c>
      <c r="O2236" s="133" t="s">
        <v>1538</v>
      </c>
      <c r="Q2236" s="100" t="s">
        <v>4121</v>
      </c>
      <c r="R2236" s="226" t="s">
        <v>4136</v>
      </c>
      <c r="S2236" s="491" t="str">
        <f t="shared" si="73"/>
        <v>x</v>
      </c>
      <c r="T2236" s="492" t="str">
        <f>IFERROR(VLOOKUP(F2236,'Freq-Chan'!C:D,2,FALSE),"x")</f>
        <v>x</v>
      </c>
      <c r="U2236" s="110" t="s">
        <v>541</v>
      </c>
      <c r="V2236" s="110" t="str">
        <f t="shared" si="74"/>
        <v>FWL</v>
      </c>
      <c r="W2236" s="110" t="s">
        <v>541</v>
      </c>
      <c r="X2236" s="110" t="s">
        <v>541</v>
      </c>
      <c r="Y2236" s="110" t="str">
        <f>IFERROR(VLOOKUP(F2236,'Freq-Chan'!C:E,3,FALSE),"na")</f>
        <v>na</v>
      </c>
      <c r="Z2236" s="110" t="s">
        <v>541</v>
      </c>
      <c r="AA2236" s="110" t="s">
        <v>541</v>
      </c>
      <c r="AB2236" s="110" t="s">
        <v>541</v>
      </c>
      <c r="AC2236" s="10" t="s">
        <v>541</v>
      </c>
      <c r="AD2236" s="10" t="s">
        <v>541</v>
      </c>
    </row>
    <row r="2237" spans="1:30" x14ac:dyDescent="0.2">
      <c r="A2237" s="110">
        <v>2236</v>
      </c>
      <c r="B2237" s="132">
        <v>41860</v>
      </c>
      <c r="C2237" s="117">
        <v>1</v>
      </c>
      <c r="D2237" s="103" t="s">
        <v>71</v>
      </c>
      <c r="E2237" s="103" t="s">
        <v>306</v>
      </c>
      <c r="H2237" s="103"/>
      <c r="I2237" s="103">
        <v>55</v>
      </c>
      <c r="K2237" s="103" t="s">
        <v>1032</v>
      </c>
      <c r="L2237" s="133"/>
      <c r="M2237" s="134">
        <v>1.0416666666666666E-2</v>
      </c>
      <c r="N2237" s="135" t="s">
        <v>4126</v>
      </c>
      <c r="O2237" s="133" t="s">
        <v>1663</v>
      </c>
      <c r="Q2237" s="100" t="s">
        <v>4121</v>
      </c>
      <c r="R2237" s="226" t="s">
        <v>4136</v>
      </c>
      <c r="S2237" s="491" t="str">
        <f t="shared" si="73"/>
        <v>x</v>
      </c>
      <c r="T2237" s="492" t="str">
        <f>IFERROR(VLOOKUP(F2237,'Freq-Chan'!C:D,2,FALSE),"x")</f>
        <v>x</v>
      </c>
      <c r="U2237" s="110" t="s">
        <v>541</v>
      </c>
      <c r="V2237" s="110" t="str">
        <f t="shared" si="74"/>
        <v>FWL</v>
      </c>
      <c r="W2237" s="110" t="s">
        <v>541</v>
      </c>
      <c r="X2237" s="110" t="s">
        <v>541</v>
      </c>
      <c r="Y2237" s="110" t="str">
        <f>IFERROR(VLOOKUP(F2237,'Freq-Chan'!C:E,3,FALSE),"na")</f>
        <v>na</v>
      </c>
      <c r="Z2237" s="110" t="s">
        <v>541</v>
      </c>
      <c r="AA2237" s="110" t="s">
        <v>541</v>
      </c>
      <c r="AB2237" s="110" t="s">
        <v>541</v>
      </c>
      <c r="AC2237" s="10" t="s">
        <v>541</v>
      </c>
      <c r="AD2237" s="10" t="s">
        <v>541</v>
      </c>
    </row>
    <row r="2238" spans="1:30" x14ac:dyDescent="0.2">
      <c r="A2238" s="110">
        <v>2237</v>
      </c>
      <c r="B2238" s="132">
        <v>41860</v>
      </c>
      <c r="C2238" s="117">
        <v>1</v>
      </c>
      <c r="D2238" s="103" t="s">
        <v>71</v>
      </c>
      <c r="E2238" s="103" t="s">
        <v>306</v>
      </c>
      <c r="H2238" s="103"/>
      <c r="I2238" s="103">
        <v>60</v>
      </c>
      <c r="K2238" s="103" t="s">
        <v>365</v>
      </c>
      <c r="L2238" s="133"/>
      <c r="M2238" s="134">
        <v>1.2499999999999999E-2</v>
      </c>
      <c r="N2238" s="135" t="s">
        <v>2596</v>
      </c>
      <c r="O2238" s="133" t="s">
        <v>1663</v>
      </c>
      <c r="Q2238" s="100" t="s">
        <v>4121</v>
      </c>
      <c r="R2238" s="226" t="s">
        <v>4136</v>
      </c>
      <c r="S2238" s="491" t="str">
        <f t="shared" si="73"/>
        <v>x</v>
      </c>
      <c r="T2238" s="492" t="str">
        <f>IFERROR(VLOOKUP(F2238,'Freq-Chan'!C:D,2,FALSE),"x")</f>
        <v>x</v>
      </c>
      <c r="U2238" s="110" t="s">
        <v>541</v>
      </c>
      <c r="V2238" s="110" t="str">
        <f t="shared" si="74"/>
        <v>FWL</v>
      </c>
      <c r="W2238" s="110" t="s">
        <v>541</v>
      </c>
      <c r="X2238" s="110" t="s">
        <v>541</v>
      </c>
      <c r="Y2238" s="110" t="str">
        <f>IFERROR(VLOOKUP(F2238,'Freq-Chan'!C:E,3,FALSE),"na")</f>
        <v>na</v>
      </c>
      <c r="Z2238" s="110" t="s">
        <v>541</v>
      </c>
      <c r="AA2238" s="110" t="s">
        <v>541</v>
      </c>
      <c r="AB2238" s="110" t="s">
        <v>541</v>
      </c>
      <c r="AC2238" s="10" t="s">
        <v>541</v>
      </c>
      <c r="AD2238" s="10" t="s">
        <v>541</v>
      </c>
    </row>
    <row r="2239" spans="1:30" x14ac:dyDescent="0.2">
      <c r="A2239" s="110">
        <v>2238</v>
      </c>
      <c r="B2239" s="132">
        <v>41860</v>
      </c>
      <c r="C2239" s="117">
        <v>1</v>
      </c>
      <c r="D2239" s="103" t="s">
        <v>71</v>
      </c>
      <c r="E2239" s="103" t="s">
        <v>306</v>
      </c>
      <c r="H2239" s="103"/>
      <c r="I2239" s="103">
        <v>53</v>
      </c>
      <c r="K2239" s="103" t="s">
        <v>1032</v>
      </c>
      <c r="L2239" s="133"/>
      <c r="M2239" s="134">
        <v>1.1111111111111112E-2</v>
      </c>
      <c r="N2239" s="135" t="s">
        <v>1915</v>
      </c>
      <c r="O2239" s="133" t="s">
        <v>1538</v>
      </c>
      <c r="Q2239" s="100" t="s">
        <v>4121</v>
      </c>
      <c r="R2239" s="226" t="s">
        <v>4136</v>
      </c>
      <c r="S2239" s="491" t="str">
        <f t="shared" si="73"/>
        <v>x</v>
      </c>
      <c r="T2239" s="492" t="str">
        <f>IFERROR(VLOOKUP(F2239,'Freq-Chan'!C:D,2,FALSE),"x")</f>
        <v>x</v>
      </c>
      <c r="U2239" s="110" t="s">
        <v>541</v>
      </c>
      <c r="V2239" s="110" t="str">
        <f t="shared" si="74"/>
        <v>FWL</v>
      </c>
      <c r="W2239" s="110" t="s">
        <v>541</v>
      </c>
      <c r="X2239" s="110" t="s">
        <v>541</v>
      </c>
      <c r="Y2239" s="110" t="str">
        <f>IFERROR(VLOOKUP(F2239,'Freq-Chan'!C:E,3,FALSE),"na")</f>
        <v>na</v>
      </c>
      <c r="Z2239" s="110" t="s">
        <v>541</v>
      </c>
      <c r="AA2239" s="110" t="s">
        <v>541</v>
      </c>
      <c r="AB2239" s="110" t="s">
        <v>541</v>
      </c>
      <c r="AC2239" s="10" t="s">
        <v>541</v>
      </c>
      <c r="AD2239" s="10" t="s">
        <v>541</v>
      </c>
    </row>
    <row r="2240" spans="1:30" x14ac:dyDescent="0.2">
      <c r="A2240" s="110">
        <v>2239</v>
      </c>
      <c r="B2240" s="132">
        <v>41860</v>
      </c>
      <c r="C2240" s="117">
        <v>1</v>
      </c>
      <c r="D2240" s="103" t="s">
        <v>71</v>
      </c>
      <c r="E2240" s="103" t="s">
        <v>306</v>
      </c>
      <c r="H2240" s="103"/>
      <c r="I2240" s="103">
        <v>55</v>
      </c>
      <c r="K2240" s="103" t="s">
        <v>1032</v>
      </c>
      <c r="L2240" s="133"/>
      <c r="M2240" s="134">
        <v>1.0416666666666666E-2</v>
      </c>
      <c r="N2240" s="135" t="s">
        <v>2543</v>
      </c>
      <c r="O2240" s="133" t="s">
        <v>1538</v>
      </c>
      <c r="Q2240" s="100" t="s">
        <v>4121</v>
      </c>
      <c r="R2240" s="226" t="s">
        <v>4136</v>
      </c>
      <c r="S2240" s="491" t="str">
        <f t="shared" si="73"/>
        <v>x</v>
      </c>
      <c r="T2240" s="492" t="str">
        <f>IFERROR(VLOOKUP(F2240,'Freq-Chan'!C:D,2,FALSE),"x")</f>
        <v>x</v>
      </c>
      <c r="U2240" s="110" t="s">
        <v>541</v>
      </c>
      <c r="V2240" s="110" t="str">
        <f t="shared" si="74"/>
        <v>FWL</v>
      </c>
      <c r="W2240" s="110" t="s">
        <v>541</v>
      </c>
      <c r="X2240" s="110" t="s">
        <v>541</v>
      </c>
      <c r="Y2240" s="110" t="str">
        <f>IFERROR(VLOOKUP(F2240,'Freq-Chan'!C:E,3,FALSE),"na")</f>
        <v>na</v>
      </c>
      <c r="Z2240" s="110" t="s">
        <v>541</v>
      </c>
      <c r="AA2240" s="110" t="s">
        <v>541</v>
      </c>
      <c r="AB2240" s="110" t="s">
        <v>541</v>
      </c>
      <c r="AC2240" s="10" t="s">
        <v>541</v>
      </c>
      <c r="AD2240" s="10" t="s">
        <v>541</v>
      </c>
    </row>
    <row r="2241" spans="1:30" x14ac:dyDescent="0.2">
      <c r="A2241" s="110">
        <v>2240</v>
      </c>
      <c r="B2241" s="132">
        <v>41860</v>
      </c>
      <c r="C2241" s="117">
        <v>1</v>
      </c>
      <c r="D2241" s="103" t="s">
        <v>71</v>
      </c>
      <c r="E2241" s="103" t="s">
        <v>306</v>
      </c>
      <c r="H2241" s="103"/>
      <c r="I2241" s="103">
        <v>59</v>
      </c>
      <c r="K2241" s="103" t="s">
        <v>365</v>
      </c>
      <c r="L2241" s="133"/>
      <c r="M2241" s="134">
        <v>7.6388888888888886E-3</v>
      </c>
      <c r="N2241" s="135" t="s">
        <v>4128</v>
      </c>
      <c r="O2241" s="133" t="s">
        <v>1538</v>
      </c>
      <c r="Q2241" s="100" t="s">
        <v>4121</v>
      </c>
      <c r="R2241" s="226" t="s">
        <v>4136</v>
      </c>
      <c r="S2241" s="491" t="str">
        <f t="shared" si="73"/>
        <v>x</v>
      </c>
      <c r="T2241" s="492" t="str">
        <f>IFERROR(VLOOKUP(F2241,'Freq-Chan'!C:D,2,FALSE),"x")</f>
        <v>x</v>
      </c>
      <c r="U2241" s="110" t="s">
        <v>541</v>
      </c>
      <c r="V2241" s="110" t="str">
        <f t="shared" si="74"/>
        <v>FWL</v>
      </c>
      <c r="W2241" s="110" t="s">
        <v>541</v>
      </c>
      <c r="X2241" s="110" t="s">
        <v>541</v>
      </c>
      <c r="Y2241" s="110" t="str">
        <f>IFERROR(VLOOKUP(F2241,'Freq-Chan'!C:E,3,FALSE),"na")</f>
        <v>na</v>
      </c>
      <c r="Z2241" s="110" t="s">
        <v>541</v>
      </c>
      <c r="AA2241" s="110" t="s">
        <v>541</v>
      </c>
      <c r="AB2241" s="110" t="s">
        <v>541</v>
      </c>
      <c r="AC2241" s="10" t="s">
        <v>541</v>
      </c>
      <c r="AD2241" s="10" t="s">
        <v>541</v>
      </c>
    </row>
    <row r="2242" spans="1:30" x14ac:dyDescent="0.2">
      <c r="A2242" s="110">
        <v>2241</v>
      </c>
      <c r="B2242" s="132">
        <v>41860</v>
      </c>
      <c r="C2242" s="117">
        <v>1</v>
      </c>
      <c r="D2242" s="103" t="s">
        <v>70</v>
      </c>
      <c r="E2242" s="103" t="s">
        <v>306</v>
      </c>
      <c r="F2242" s="103">
        <v>596</v>
      </c>
      <c r="G2242" s="103">
        <v>77</v>
      </c>
      <c r="H2242" s="103" t="s">
        <v>3106</v>
      </c>
      <c r="I2242" s="103">
        <v>46</v>
      </c>
      <c r="K2242" s="103" t="s">
        <v>365</v>
      </c>
      <c r="L2242" s="133"/>
      <c r="M2242" s="134">
        <v>2.9861111111111113E-2</v>
      </c>
      <c r="N2242" s="135" t="s">
        <v>1772</v>
      </c>
      <c r="O2242" s="133" t="s">
        <v>1663</v>
      </c>
      <c r="Q2242" s="100" t="s">
        <v>4121</v>
      </c>
      <c r="R2242" s="226" t="s">
        <v>4136</v>
      </c>
      <c r="S2242" s="491" t="str">
        <f t="shared" si="73"/>
        <v>x</v>
      </c>
      <c r="T2242" s="492">
        <f>IFERROR(VLOOKUP(F2242,'Freq-Chan'!C:D,2,FALSE),"x")</f>
        <v>151.596</v>
      </c>
      <c r="U2242" s="110" t="s">
        <v>541</v>
      </c>
      <c r="V2242" s="110" t="str">
        <f t="shared" si="74"/>
        <v>FWL</v>
      </c>
      <c r="W2242" s="110" t="s">
        <v>541</v>
      </c>
      <c r="X2242" s="110" t="s">
        <v>541</v>
      </c>
      <c r="Y2242" s="110" t="str">
        <f>IFERROR(VLOOKUP(F2242,'Freq-Chan'!C:E,3,FALSE),"na")</f>
        <v>F1835</v>
      </c>
      <c r="Z2242" s="110" t="s">
        <v>541</v>
      </c>
      <c r="AA2242" s="110" t="s">
        <v>541</v>
      </c>
      <c r="AB2242" s="110" t="s">
        <v>541</v>
      </c>
      <c r="AC2242" s="10" t="s">
        <v>541</v>
      </c>
      <c r="AD2242" s="10" t="s">
        <v>541</v>
      </c>
    </row>
    <row r="2243" spans="1:30" x14ac:dyDescent="0.2">
      <c r="A2243" s="110">
        <v>2242</v>
      </c>
      <c r="B2243" s="132">
        <v>41860</v>
      </c>
      <c r="C2243" s="117">
        <v>1</v>
      </c>
      <c r="D2243" s="103" t="s">
        <v>70</v>
      </c>
      <c r="E2243" s="103" t="s">
        <v>306</v>
      </c>
      <c r="F2243" s="103">
        <v>596</v>
      </c>
      <c r="G2243" s="103">
        <v>25</v>
      </c>
      <c r="H2243" s="103" t="s">
        <v>3113</v>
      </c>
      <c r="I2243" s="103">
        <v>45</v>
      </c>
      <c r="K2243" s="103" t="s">
        <v>365</v>
      </c>
      <c r="L2243" s="133"/>
      <c r="M2243" s="134">
        <v>2.4305555555555556E-2</v>
      </c>
      <c r="N2243" s="135" t="s">
        <v>4127</v>
      </c>
      <c r="O2243" s="133" t="s">
        <v>1538</v>
      </c>
      <c r="Q2243" s="100" t="s">
        <v>4121</v>
      </c>
      <c r="R2243" s="226" t="s">
        <v>4136</v>
      </c>
      <c r="S2243" s="491" t="str">
        <f t="shared" si="73"/>
        <v>x</v>
      </c>
      <c r="T2243" s="492">
        <f>IFERROR(VLOOKUP(F2243,'Freq-Chan'!C:D,2,FALSE),"x")</f>
        <v>151.596</v>
      </c>
      <c r="U2243" s="110" t="s">
        <v>541</v>
      </c>
      <c r="V2243" s="110" t="str">
        <f t="shared" si="74"/>
        <v>FWL</v>
      </c>
      <c r="W2243" s="110" t="s">
        <v>541</v>
      </c>
      <c r="X2243" s="110" t="s">
        <v>541</v>
      </c>
      <c r="Y2243" s="110" t="str">
        <f>IFERROR(VLOOKUP(F2243,'Freq-Chan'!C:E,3,FALSE),"na")</f>
        <v>F1835</v>
      </c>
      <c r="Z2243" s="110" t="s">
        <v>541</v>
      </c>
      <c r="AA2243" s="110" t="s">
        <v>541</v>
      </c>
      <c r="AB2243" s="110" t="s">
        <v>541</v>
      </c>
      <c r="AC2243" s="10" t="s">
        <v>541</v>
      </c>
      <c r="AD2243" s="10" t="s">
        <v>541</v>
      </c>
    </row>
    <row r="2244" spans="1:30" x14ac:dyDescent="0.2">
      <c r="A2244" s="110">
        <v>2243</v>
      </c>
      <c r="B2244" s="132">
        <v>41860</v>
      </c>
      <c r="C2244" s="117">
        <v>1</v>
      </c>
      <c r="D2244" s="103" t="s">
        <v>70</v>
      </c>
      <c r="E2244" s="103" t="s">
        <v>306</v>
      </c>
      <c r="F2244" s="103">
        <v>596</v>
      </c>
      <c r="G2244" s="103">
        <v>83</v>
      </c>
      <c r="H2244" s="103" t="s">
        <v>3107</v>
      </c>
      <c r="I2244" s="103">
        <v>47</v>
      </c>
      <c r="K2244" s="103" t="s">
        <v>365</v>
      </c>
      <c r="L2244" s="133"/>
      <c r="M2244" s="134">
        <v>2.7777777777777776E-2</v>
      </c>
      <c r="N2244" s="135" t="s">
        <v>2056</v>
      </c>
      <c r="O2244" s="133" t="s">
        <v>1538</v>
      </c>
      <c r="Q2244" s="100" t="s">
        <v>4121</v>
      </c>
      <c r="R2244" s="226" t="s">
        <v>4136</v>
      </c>
      <c r="S2244" s="491" t="str">
        <f t="shared" si="73"/>
        <v>x</v>
      </c>
      <c r="T2244" s="492">
        <f>IFERROR(VLOOKUP(F2244,'Freq-Chan'!C:D,2,FALSE),"x")</f>
        <v>151.596</v>
      </c>
      <c r="U2244" s="110" t="s">
        <v>541</v>
      </c>
      <c r="V2244" s="110" t="str">
        <f t="shared" si="74"/>
        <v>FWL</v>
      </c>
      <c r="W2244" s="110" t="s">
        <v>541</v>
      </c>
      <c r="X2244" s="110" t="s">
        <v>541</v>
      </c>
      <c r="Y2244" s="110" t="str">
        <f>IFERROR(VLOOKUP(F2244,'Freq-Chan'!C:E,3,FALSE),"na")</f>
        <v>F1835</v>
      </c>
      <c r="Z2244" s="110" t="s">
        <v>541</v>
      </c>
      <c r="AA2244" s="110" t="s">
        <v>541</v>
      </c>
      <c r="AB2244" s="110" t="s">
        <v>541</v>
      </c>
      <c r="AC2244" s="10" t="s">
        <v>541</v>
      </c>
      <c r="AD2244" s="10" t="s">
        <v>541</v>
      </c>
    </row>
    <row r="2245" spans="1:30" s="291" customFormat="1" x14ac:dyDescent="0.2">
      <c r="A2245" s="493">
        <v>2244</v>
      </c>
      <c r="B2245" s="283">
        <v>41860</v>
      </c>
      <c r="C2245" s="284">
        <v>1</v>
      </c>
      <c r="D2245" s="285" t="s">
        <v>72</v>
      </c>
      <c r="E2245" s="285" t="s">
        <v>306</v>
      </c>
      <c r="F2245" s="285">
        <v>266</v>
      </c>
      <c r="G2245" s="285">
        <v>10</v>
      </c>
      <c r="H2245" s="285" t="s">
        <v>3543</v>
      </c>
      <c r="I2245" s="285">
        <v>58</v>
      </c>
      <c r="J2245" s="285"/>
      <c r="K2245" s="285" t="s">
        <v>1032</v>
      </c>
      <c r="L2245" s="286"/>
      <c r="M2245" s="287">
        <v>3.0555555555555555E-2</v>
      </c>
      <c r="N2245" s="288" t="s">
        <v>1878</v>
      </c>
      <c r="O2245" s="286" t="s">
        <v>1538</v>
      </c>
      <c r="P2245" s="289" t="s">
        <v>4466</v>
      </c>
      <c r="Q2245" s="289" t="s">
        <v>4121</v>
      </c>
      <c r="R2245" s="290" t="s">
        <v>4136</v>
      </c>
      <c r="S2245" s="494" t="str">
        <f t="shared" si="73"/>
        <v>x</v>
      </c>
      <c r="T2245" s="495">
        <f>IFERROR(VLOOKUP(F2245,'Freq-Chan'!C:D,2,FALSE),"x")</f>
        <v>151.26599999999999</v>
      </c>
      <c r="U2245" s="493" t="s">
        <v>541</v>
      </c>
      <c r="V2245" s="493" t="str">
        <f t="shared" si="74"/>
        <v>FWL</v>
      </c>
      <c r="W2245" s="493" t="s">
        <v>541</v>
      </c>
      <c r="X2245" s="493" t="s">
        <v>541</v>
      </c>
      <c r="Y2245" s="493" t="str">
        <f>IFERROR(VLOOKUP(F2245,'Freq-Chan'!C:E,3,FALSE),"na")</f>
        <v>F1840</v>
      </c>
      <c r="Z2245" s="493" t="s">
        <v>541</v>
      </c>
      <c r="AA2245" s="493" t="s">
        <v>541</v>
      </c>
      <c r="AB2245" s="493" t="s">
        <v>541</v>
      </c>
      <c r="AC2245" s="291" t="s">
        <v>541</v>
      </c>
      <c r="AD2245" s="291" t="s">
        <v>541</v>
      </c>
    </row>
    <row r="2246" spans="1:30" x14ac:dyDescent="0.2">
      <c r="A2246" s="110">
        <v>2245</v>
      </c>
      <c r="B2246" s="132">
        <v>41860</v>
      </c>
      <c r="C2246" s="117">
        <v>2</v>
      </c>
      <c r="D2246" s="103" t="s">
        <v>71</v>
      </c>
      <c r="E2246" s="103" t="s">
        <v>306</v>
      </c>
      <c r="F2246" s="103">
        <v>534</v>
      </c>
      <c r="G2246" s="103">
        <v>42</v>
      </c>
      <c r="H2246" s="103" t="s">
        <v>2430</v>
      </c>
      <c r="I2246" s="103">
        <v>57</v>
      </c>
      <c r="K2246" s="103" t="s">
        <v>365</v>
      </c>
      <c r="L2246" s="133"/>
      <c r="M2246" s="134">
        <v>3.7499999999999999E-2</v>
      </c>
      <c r="N2246" s="135" t="s">
        <v>3322</v>
      </c>
      <c r="O2246" s="133" t="s">
        <v>555</v>
      </c>
      <c r="Q2246" s="100" t="s">
        <v>4119</v>
      </c>
      <c r="R2246" s="226" t="s">
        <v>4136</v>
      </c>
      <c r="S2246" s="491" t="str">
        <f t="shared" si="73"/>
        <v>x</v>
      </c>
      <c r="T2246" s="492">
        <f>IFERROR(VLOOKUP(F2246,'Freq-Chan'!C:D,2,FALSE),"x")</f>
        <v>151.53399999999999</v>
      </c>
      <c r="U2246" s="110" t="s">
        <v>541</v>
      </c>
      <c r="V2246" s="110" t="str">
        <f t="shared" si="74"/>
        <v>FWL</v>
      </c>
      <c r="W2246" s="110" t="s">
        <v>541</v>
      </c>
      <c r="X2246" s="110" t="s">
        <v>541</v>
      </c>
      <c r="Y2246" s="110" t="str">
        <f>IFERROR(VLOOKUP(F2246,'Freq-Chan'!C:E,3,FALSE),"na")</f>
        <v>F1840</v>
      </c>
      <c r="Z2246" s="110" t="s">
        <v>541</v>
      </c>
      <c r="AA2246" s="110" t="s">
        <v>541</v>
      </c>
      <c r="AB2246" s="110" t="s">
        <v>541</v>
      </c>
      <c r="AC2246" s="10" t="s">
        <v>541</v>
      </c>
      <c r="AD2246" s="10" t="s">
        <v>541</v>
      </c>
    </row>
    <row r="2247" spans="1:30" x14ac:dyDescent="0.2">
      <c r="A2247" s="110">
        <v>2246</v>
      </c>
      <c r="B2247" s="132">
        <v>41860</v>
      </c>
      <c r="C2247" s="117">
        <v>2</v>
      </c>
      <c r="D2247" s="103" t="s">
        <v>71</v>
      </c>
      <c r="E2247" s="103" t="s">
        <v>306</v>
      </c>
      <c r="H2247" s="103"/>
      <c r="I2247" s="103">
        <v>60</v>
      </c>
      <c r="K2247" s="103" t="s">
        <v>364</v>
      </c>
      <c r="L2247" s="133">
        <v>0.42291666666666666</v>
      </c>
      <c r="M2247" s="134">
        <v>2.4305555555555556E-2</v>
      </c>
      <c r="N2247" s="135" t="s">
        <v>3805</v>
      </c>
      <c r="O2247" s="133" t="s">
        <v>555</v>
      </c>
      <c r="Q2247" s="100" t="s">
        <v>4119</v>
      </c>
      <c r="R2247" s="226" t="s">
        <v>4136</v>
      </c>
      <c r="S2247" s="491">
        <f t="shared" si="73"/>
        <v>9.8379629999999999E-4</v>
      </c>
      <c r="T2247" s="492" t="str">
        <f>IFERROR(VLOOKUP(F2247,'Freq-Chan'!C:D,2,FALSE),"x")</f>
        <v>x</v>
      </c>
      <c r="U2247" s="110" t="s">
        <v>541</v>
      </c>
      <c r="V2247" s="110" t="str">
        <f t="shared" si="74"/>
        <v>FWL</v>
      </c>
      <c r="W2247" s="110" t="s">
        <v>541</v>
      </c>
      <c r="X2247" s="110" t="s">
        <v>541</v>
      </c>
      <c r="Y2247" s="110" t="str">
        <f>IFERROR(VLOOKUP(F2247,'Freq-Chan'!C:E,3,FALSE),"na")</f>
        <v>na</v>
      </c>
      <c r="Z2247" s="110" t="s">
        <v>541</v>
      </c>
      <c r="AA2247" s="110" t="s">
        <v>541</v>
      </c>
      <c r="AB2247" s="110" t="s">
        <v>541</v>
      </c>
      <c r="AC2247" s="10" t="s">
        <v>541</v>
      </c>
      <c r="AD2247" s="10" t="s">
        <v>541</v>
      </c>
    </row>
    <row r="2248" spans="1:30" x14ac:dyDescent="0.2">
      <c r="A2248" s="110">
        <v>2247</v>
      </c>
      <c r="B2248" s="132">
        <v>41860</v>
      </c>
      <c r="C2248" s="117">
        <v>2</v>
      </c>
      <c r="D2248" s="103" t="s">
        <v>71</v>
      </c>
      <c r="E2248" s="103" t="s">
        <v>306</v>
      </c>
      <c r="H2248" s="103"/>
      <c r="I2248" s="103">
        <v>53</v>
      </c>
      <c r="K2248" s="103" t="s">
        <v>364</v>
      </c>
      <c r="L2248" s="133"/>
      <c r="M2248" s="134">
        <v>1.5277777777777777E-2</v>
      </c>
      <c r="N2248" s="135" t="s">
        <v>2897</v>
      </c>
      <c r="O2248" s="133" t="s">
        <v>555</v>
      </c>
      <c r="Q2248" s="100" t="s">
        <v>4119</v>
      </c>
      <c r="R2248" s="226" t="s">
        <v>4136</v>
      </c>
      <c r="S2248" s="491" t="str">
        <f t="shared" si="73"/>
        <v>x</v>
      </c>
      <c r="T2248" s="492" t="str">
        <f>IFERROR(VLOOKUP(F2248,'Freq-Chan'!C:D,2,FALSE),"x")</f>
        <v>x</v>
      </c>
      <c r="U2248" s="110" t="s">
        <v>541</v>
      </c>
      <c r="V2248" s="110" t="str">
        <f t="shared" si="74"/>
        <v>FWL</v>
      </c>
      <c r="W2248" s="110" t="s">
        <v>541</v>
      </c>
      <c r="X2248" s="110" t="s">
        <v>541</v>
      </c>
      <c r="Y2248" s="110" t="str">
        <f>IFERROR(VLOOKUP(F2248,'Freq-Chan'!C:E,3,FALSE),"na")</f>
        <v>na</v>
      </c>
      <c r="Z2248" s="110" t="s">
        <v>541</v>
      </c>
      <c r="AA2248" s="110" t="s">
        <v>541</v>
      </c>
      <c r="AB2248" s="110" t="s">
        <v>541</v>
      </c>
      <c r="AC2248" s="10" t="s">
        <v>541</v>
      </c>
      <c r="AD2248" s="10" t="s">
        <v>541</v>
      </c>
    </row>
    <row r="2249" spans="1:30" x14ac:dyDescent="0.2">
      <c r="A2249" s="110">
        <v>2248</v>
      </c>
      <c r="B2249" s="132">
        <v>41860</v>
      </c>
      <c r="C2249" s="117">
        <v>2</v>
      </c>
      <c r="D2249" s="103" t="s">
        <v>71</v>
      </c>
      <c r="E2249" s="103" t="s">
        <v>306</v>
      </c>
      <c r="H2249" s="103"/>
      <c r="I2249" s="103">
        <v>62</v>
      </c>
      <c r="K2249" s="103" t="s">
        <v>364</v>
      </c>
      <c r="L2249" s="133"/>
      <c r="M2249" s="134">
        <v>2.4999999999999998E-2</v>
      </c>
      <c r="N2249" s="137" t="s">
        <v>1535</v>
      </c>
      <c r="O2249" s="133" t="s">
        <v>1532</v>
      </c>
      <c r="Q2249" s="100" t="s">
        <v>4119</v>
      </c>
      <c r="R2249" s="226" t="s">
        <v>4136</v>
      </c>
      <c r="S2249" s="491" t="str">
        <f t="shared" si="73"/>
        <v>x</v>
      </c>
      <c r="T2249" s="492" t="str">
        <f>IFERROR(VLOOKUP(F2249,'Freq-Chan'!C:D,2,FALSE),"x")</f>
        <v>x</v>
      </c>
      <c r="U2249" s="110" t="s">
        <v>541</v>
      </c>
      <c r="V2249" s="110" t="str">
        <f t="shared" si="74"/>
        <v>FWL</v>
      </c>
      <c r="W2249" s="110" t="s">
        <v>541</v>
      </c>
      <c r="X2249" s="110" t="s">
        <v>541</v>
      </c>
      <c r="Y2249" s="110" t="str">
        <f>IFERROR(VLOOKUP(F2249,'Freq-Chan'!C:E,3,FALSE),"na")</f>
        <v>na</v>
      </c>
      <c r="Z2249" s="110" t="s">
        <v>541</v>
      </c>
      <c r="AA2249" s="110" t="s">
        <v>541</v>
      </c>
      <c r="AB2249" s="110" t="s">
        <v>541</v>
      </c>
      <c r="AC2249" s="10" t="s">
        <v>541</v>
      </c>
      <c r="AD2249" s="10" t="s">
        <v>541</v>
      </c>
    </row>
    <row r="2250" spans="1:30" x14ac:dyDescent="0.2">
      <c r="A2250" s="110">
        <v>2249</v>
      </c>
      <c r="B2250" s="132">
        <v>41860</v>
      </c>
      <c r="C2250" s="117">
        <v>2</v>
      </c>
      <c r="D2250" s="103" t="s">
        <v>71</v>
      </c>
      <c r="E2250" s="103" t="s">
        <v>306</v>
      </c>
      <c r="H2250" s="103"/>
      <c r="I2250" s="103">
        <v>61</v>
      </c>
      <c r="K2250" s="103" t="s">
        <v>1032</v>
      </c>
      <c r="L2250" s="136">
        <v>0.64444444444444449</v>
      </c>
      <c r="M2250" s="140">
        <v>1.1111111111111112E-2</v>
      </c>
      <c r="N2250" s="137" t="s">
        <v>4129</v>
      </c>
      <c r="O2250" s="133" t="s">
        <v>1663</v>
      </c>
      <c r="Q2250" s="100" t="s">
        <v>4121</v>
      </c>
      <c r="R2250" s="226" t="s">
        <v>4136</v>
      </c>
      <c r="S2250" s="491">
        <f t="shared" si="73"/>
        <v>3.287037E-3</v>
      </c>
      <c r="T2250" s="492" t="str">
        <f>IFERROR(VLOOKUP(F2250,'Freq-Chan'!C:D,2,FALSE),"x")</f>
        <v>x</v>
      </c>
      <c r="U2250" s="110" t="s">
        <v>541</v>
      </c>
      <c r="V2250" s="110" t="str">
        <f t="shared" si="74"/>
        <v>FWL</v>
      </c>
      <c r="W2250" s="110" t="s">
        <v>541</v>
      </c>
      <c r="X2250" s="110" t="s">
        <v>541</v>
      </c>
      <c r="Y2250" s="110" t="str">
        <f>IFERROR(VLOOKUP(F2250,'Freq-Chan'!C:E,3,FALSE),"na")</f>
        <v>na</v>
      </c>
      <c r="Z2250" s="110" t="s">
        <v>541</v>
      </c>
      <c r="AA2250" s="110" t="s">
        <v>541</v>
      </c>
      <c r="AB2250" s="110" t="s">
        <v>541</v>
      </c>
      <c r="AC2250" s="10" t="s">
        <v>541</v>
      </c>
      <c r="AD2250" s="10" t="s">
        <v>541</v>
      </c>
    </row>
    <row r="2251" spans="1:30" x14ac:dyDescent="0.2">
      <c r="A2251" s="110">
        <v>2250</v>
      </c>
      <c r="B2251" s="132">
        <v>41860</v>
      </c>
      <c r="C2251" s="117">
        <v>2</v>
      </c>
      <c r="D2251" s="103" t="s">
        <v>71</v>
      </c>
      <c r="E2251" s="103" t="s">
        <v>306</v>
      </c>
      <c r="H2251" s="103"/>
      <c r="I2251" s="103">
        <v>64</v>
      </c>
      <c r="K2251" s="103" t="s">
        <v>365</v>
      </c>
      <c r="L2251" s="136">
        <v>0.66666666666666663</v>
      </c>
      <c r="M2251" s="140">
        <v>1.3194444444444444E-2</v>
      </c>
      <c r="N2251" s="137" t="s">
        <v>392</v>
      </c>
      <c r="O2251" s="133" t="s">
        <v>1663</v>
      </c>
      <c r="Q2251" s="100" t="s">
        <v>4121</v>
      </c>
      <c r="R2251" s="226" t="s">
        <v>4136</v>
      </c>
      <c r="S2251" s="491">
        <f t="shared" si="73"/>
        <v>1.1689815000000001E-3</v>
      </c>
      <c r="T2251" s="492" t="str">
        <f>IFERROR(VLOOKUP(F2251,'Freq-Chan'!C:D,2,FALSE),"x")</f>
        <v>x</v>
      </c>
      <c r="U2251" s="110" t="s">
        <v>541</v>
      </c>
      <c r="V2251" s="110" t="str">
        <f t="shared" si="74"/>
        <v>FWL</v>
      </c>
      <c r="W2251" s="110" t="s">
        <v>541</v>
      </c>
      <c r="X2251" s="110" t="s">
        <v>541</v>
      </c>
      <c r="Y2251" s="110" t="str">
        <f>IFERROR(VLOOKUP(F2251,'Freq-Chan'!C:E,3,FALSE),"na")</f>
        <v>na</v>
      </c>
      <c r="Z2251" s="110" t="s">
        <v>541</v>
      </c>
      <c r="AA2251" s="110" t="s">
        <v>541</v>
      </c>
      <c r="AB2251" s="110" t="s">
        <v>541</v>
      </c>
      <c r="AC2251" s="10" t="s">
        <v>541</v>
      </c>
      <c r="AD2251" s="10" t="s">
        <v>541</v>
      </c>
    </row>
    <row r="2252" spans="1:30" x14ac:dyDescent="0.2">
      <c r="A2252" s="110">
        <v>2251</v>
      </c>
      <c r="B2252" s="132">
        <v>41860</v>
      </c>
      <c r="C2252" s="117">
        <v>2</v>
      </c>
      <c r="D2252" s="103" t="s">
        <v>71</v>
      </c>
      <c r="E2252" s="103" t="s">
        <v>306</v>
      </c>
      <c r="H2252" s="103"/>
      <c r="I2252" s="103">
        <v>61</v>
      </c>
      <c r="K2252" s="103" t="s">
        <v>365</v>
      </c>
      <c r="L2252" s="136"/>
      <c r="M2252" s="140">
        <v>1.1111111111111112E-2</v>
      </c>
      <c r="N2252" s="135" t="s">
        <v>3248</v>
      </c>
      <c r="O2252" s="133" t="s">
        <v>1538</v>
      </c>
      <c r="Q2252" s="100" t="s">
        <v>4121</v>
      </c>
      <c r="R2252" s="226" t="s">
        <v>4136</v>
      </c>
      <c r="S2252" s="491" t="str">
        <f t="shared" si="73"/>
        <v>x</v>
      </c>
      <c r="T2252" s="492" t="str">
        <f>IFERROR(VLOOKUP(F2252,'Freq-Chan'!C:D,2,FALSE),"x")</f>
        <v>x</v>
      </c>
      <c r="U2252" s="110" t="s">
        <v>541</v>
      </c>
      <c r="V2252" s="110" t="str">
        <f t="shared" si="74"/>
        <v>FWL</v>
      </c>
      <c r="W2252" s="110" t="s">
        <v>541</v>
      </c>
      <c r="X2252" s="110" t="s">
        <v>541</v>
      </c>
      <c r="Y2252" s="110" t="str">
        <f>IFERROR(VLOOKUP(F2252,'Freq-Chan'!C:E,3,FALSE),"na")</f>
        <v>na</v>
      </c>
      <c r="Z2252" s="110" t="s">
        <v>541</v>
      </c>
      <c r="AA2252" s="110" t="s">
        <v>541</v>
      </c>
      <c r="AB2252" s="110" t="s">
        <v>541</v>
      </c>
      <c r="AC2252" s="10" t="s">
        <v>541</v>
      </c>
      <c r="AD2252" s="10" t="s">
        <v>541</v>
      </c>
    </row>
    <row r="2253" spans="1:30" x14ac:dyDescent="0.2">
      <c r="A2253" s="110">
        <v>2252</v>
      </c>
      <c r="B2253" s="132">
        <v>41860</v>
      </c>
      <c r="C2253" s="117">
        <v>2</v>
      </c>
      <c r="D2253" s="103" t="s">
        <v>71</v>
      </c>
      <c r="E2253" s="103" t="s">
        <v>306</v>
      </c>
      <c r="H2253" s="103"/>
      <c r="I2253" s="103">
        <v>57</v>
      </c>
      <c r="K2253" s="103" t="s">
        <v>365</v>
      </c>
      <c r="L2253" s="133"/>
      <c r="M2253" s="134">
        <v>1.8055555555555557E-2</v>
      </c>
      <c r="N2253" s="135" t="s">
        <v>3249</v>
      </c>
      <c r="O2253" s="133" t="s">
        <v>1538</v>
      </c>
      <c r="Q2253" s="100" t="s">
        <v>4121</v>
      </c>
      <c r="R2253" s="226" t="s">
        <v>4136</v>
      </c>
      <c r="S2253" s="491" t="str">
        <f t="shared" si="73"/>
        <v>x</v>
      </c>
      <c r="T2253" s="492" t="str">
        <f>IFERROR(VLOOKUP(F2253,'Freq-Chan'!C:D,2,FALSE),"x")</f>
        <v>x</v>
      </c>
      <c r="U2253" s="110" t="s">
        <v>541</v>
      </c>
      <c r="V2253" s="110" t="str">
        <f t="shared" si="74"/>
        <v>FWL</v>
      </c>
      <c r="W2253" s="110" t="s">
        <v>541</v>
      </c>
      <c r="X2253" s="110" t="s">
        <v>541</v>
      </c>
      <c r="Y2253" s="110" t="str">
        <f>IFERROR(VLOOKUP(F2253,'Freq-Chan'!C:E,3,FALSE),"na")</f>
        <v>na</v>
      </c>
      <c r="Z2253" s="110" t="s">
        <v>541</v>
      </c>
      <c r="AA2253" s="110" t="s">
        <v>541</v>
      </c>
      <c r="AB2253" s="110" t="s">
        <v>541</v>
      </c>
      <c r="AC2253" s="10" t="s">
        <v>541</v>
      </c>
      <c r="AD2253" s="10" t="s">
        <v>541</v>
      </c>
    </row>
    <row r="2254" spans="1:30" s="291" customFormat="1" x14ac:dyDescent="0.2">
      <c r="A2254" s="493">
        <v>2253</v>
      </c>
      <c r="B2254" s="283">
        <v>41860</v>
      </c>
      <c r="C2254" s="284">
        <v>2</v>
      </c>
      <c r="D2254" s="285" t="s">
        <v>75</v>
      </c>
      <c r="E2254" s="285" t="s">
        <v>798</v>
      </c>
      <c r="F2254" s="285"/>
      <c r="G2254" s="285"/>
      <c r="H2254" s="285"/>
      <c r="I2254" s="285"/>
      <c r="J2254" s="285">
        <v>26</v>
      </c>
      <c r="K2254" s="285" t="s">
        <v>364</v>
      </c>
      <c r="L2254" s="286"/>
      <c r="M2254" s="287"/>
      <c r="N2254" s="339" t="s">
        <v>1889</v>
      </c>
      <c r="O2254" s="286" t="s">
        <v>1663</v>
      </c>
      <c r="P2254" s="289"/>
      <c r="Q2254" s="289" t="s">
        <v>4121</v>
      </c>
      <c r="R2254" s="290" t="s">
        <v>4136</v>
      </c>
      <c r="S2254" s="494" t="str">
        <f t="shared" si="73"/>
        <v>x</v>
      </c>
      <c r="T2254" s="495" t="str">
        <f>IFERROR(VLOOKUP(F2254,'Freq-Chan'!C:D,2,FALSE),"x")</f>
        <v>x</v>
      </c>
      <c r="U2254" s="493" t="s">
        <v>541</v>
      </c>
      <c r="V2254" s="493" t="str">
        <f t="shared" si="74"/>
        <v>FWL</v>
      </c>
      <c r="W2254" s="493" t="s">
        <v>541</v>
      </c>
      <c r="X2254" s="493" t="s">
        <v>541</v>
      </c>
      <c r="Y2254" s="493" t="str">
        <f>IFERROR(VLOOKUP(F2254,'Freq-Chan'!C:E,3,FALSE),"na")</f>
        <v>na</v>
      </c>
      <c r="Z2254" s="493" t="s">
        <v>541</v>
      </c>
      <c r="AA2254" s="493" t="s">
        <v>541</v>
      </c>
      <c r="AB2254" s="493" t="s">
        <v>541</v>
      </c>
      <c r="AC2254" s="291" t="s">
        <v>541</v>
      </c>
      <c r="AD2254" s="291" t="s">
        <v>541</v>
      </c>
    </row>
    <row r="2255" spans="1:30" x14ac:dyDescent="0.2">
      <c r="A2255" s="110">
        <v>2254</v>
      </c>
      <c r="B2255" s="132">
        <v>41860</v>
      </c>
      <c r="C2255" s="117">
        <v>3</v>
      </c>
      <c r="D2255" s="103" t="s">
        <v>71</v>
      </c>
      <c r="E2255" s="103" t="s">
        <v>306</v>
      </c>
      <c r="F2255" s="103">
        <v>564</v>
      </c>
      <c r="G2255" s="103">
        <v>81</v>
      </c>
      <c r="H2255" s="103" t="s">
        <v>2423</v>
      </c>
      <c r="I2255" s="103">
        <v>57</v>
      </c>
      <c r="K2255" s="103" t="s">
        <v>364</v>
      </c>
      <c r="L2255" s="133">
        <v>0.33819444444444446</v>
      </c>
      <c r="M2255" s="134">
        <v>2.9861111111111113E-2</v>
      </c>
      <c r="N2255" s="135" t="s">
        <v>2617</v>
      </c>
      <c r="O2255" s="133" t="s">
        <v>1663</v>
      </c>
      <c r="Q2255" s="100" t="s">
        <v>4123</v>
      </c>
      <c r="R2255" s="226" t="s">
        <v>4136</v>
      </c>
      <c r="S2255" s="491">
        <f t="shared" si="73"/>
        <v>2.2800925999999998E-3</v>
      </c>
      <c r="T2255" s="492">
        <f>IFERROR(VLOOKUP(F2255,'Freq-Chan'!C:D,2,FALSE),"x")</f>
        <v>151.56399999999999</v>
      </c>
      <c r="U2255" s="110" t="s">
        <v>541</v>
      </c>
      <c r="V2255" s="110" t="str">
        <f t="shared" si="74"/>
        <v>FWL</v>
      </c>
      <c r="W2255" s="110" t="s">
        <v>541</v>
      </c>
      <c r="X2255" s="110" t="s">
        <v>541</v>
      </c>
      <c r="Y2255" s="110" t="str">
        <f>IFERROR(VLOOKUP(F2255,'Freq-Chan'!C:E,3,FALSE),"na")</f>
        <v>F1840</v>
      </c>
      <c r="Z2255" s="110" t="s">
        <v>541</v>
      </c>
      <c r="AA2255" s="110" t="s">
        <v>541</v>
      </c>
      <c r="AB2255" s="110" t="s">
        <v>541</v>
      </c>
      <c r="AC2255" s="10" t="s">
        <v>541</v>
      </c>
      <c r="AD2255" s="10" t="s">
        <v>541</v>
      </c>
    </row>
    <row r="2256" spans="1:30" x14ac:dyDescent="0.2">
      <c r="A2256" s="110">
        <v>2255</v>
      </c>
      <c r="B2256" s="132">
        <v>41860</v>
      </c>
      <c r="C2256" s="117">
        <v>3</v>
      </c>
      <c r="D2256" s="103" t="s">
        <v>70</v>
      </c>
      <c r="E2256" s="103" t="s">
        <v>306</v>
      </c>
      <c r="F2256" s="103">
        <v>515</v>
      </c>
      <c r="G2256" s="103">
        <v>33</v>
      </c>
      <c r="H2256" s="103" t="s">
        <v>3109</v>
      </c>
      <c r="I2256" s="103">
        <v>48</v>
      </c>
      <c r="K2256" s="103" t="s">
        <v>364</v>
      </c>
      <c r="L2256" s="133">
        <v>0.34166666666666662</v>
      </c>
      <c r="M2256" s="134">
        <v>3.125E-2</v>
      </c>
      <c r="N2256" s="137" t="s">
        <v>3792</v>
      </c>
      <c r="O2256" s="133" t="s">
        <v>1538</v>
      </c>
      <c r="Q2256" s="100" t="s">
        <v>4123</v>
      </c>
      <c r="R2256" s="226" t="s">
        <v>4136</v>
      </c>
      <c r="S2256" s="491">
        <f t="shared" si="73"/>
        <v>2.2569444E-3</v>
      </c>
      <c r="T2256" s="492">
        <f>IFERROR(VLOOKUP(F2256,'Freq-Chan'!C:D,2,FALSE),"x")</f>
        <v>151.51499999999999</v>
      </c>
      <c r="U2256" s="110" t="s">
        <v>541</v>
      </c>
      <c r="V2256" s="110" t="str">
        <f t="shared" si="74"/>
        <v>FWL</v>
      </c>
      <c r="W2256" s="110" t="s">
        <v>541</v>
      </c>
      <c r="X2256" s="110" t="s">
        <v>541</v>
      </c>
      <c r="Y2256" s="110" t="str">
        <f>IFERROR(VLOOKUP(F2256,'Freq-Chan'!C:E,3,FALSE),"na")</f>
        <v>F1835</v>
      </c>
      <c r="Z2256" s="110" t="s">
        <v>541</v>
      </c>
      <c r="AA2256" s="110" t="s">
        <v>541</v>
      </c>
      <c r="AB2256" s="110" t="s">
        <v>541</v>
      </c>
      <c r="AC2256" s="10" t="s">
        <v>541</v>
      </c>
      <c r="AD2256" s="10" t="s">
        <v>541</v>
      </c>
    </row>
    <row r="2257" spans="1:30" x14ac:dyDescent="0.2">
      <c r="A2257" s="110">
        <v>2256</v>
      </c>
      <c r="B2257" s="132">
        <v>41860</v>
      </c>
      <c r="C2257" s="117">
        <v>3</v>
      </c>
      <c r="D2257" s="103" t="s">
        <v>70</v>
      </c>
      <c r="E2257" s="103" t="s">
        <v>306</v>
      </c>
      <c r="H2257" s="103"/>
      <c r="I2257" s="103">
        <v>44</v>
      </c>
      <c r="K2257" s="103" t="s">
        <v>1032</v>
      </c>
      <c r="L2257" s="133">
        <v>0.34375</v>
      </c>
      <c r="M2257" s="134">
        <v>1.5277777777777777E-2</v>
      </c>
      <c r="N2257" s="137" t="s">
        <v>707</v>
      </c>
      <c r="O2257" s="133" t="s">
        <v>1538</v>
      </c>
      <c r="Q2257" s="100" t="s">
        <v>4123</v>
      </c>
      <c r="R2257" s="226" t="s">
        <v>4136</v>
      </c>
      <c r="S2257" s="491">
        <f t="shared" si="73"/>
        <v>1.8287036999999999E-3</v>
      </c>
      <c r="T2257" s="492" t="str">
        <f>IFERROR(VLOOKUP(F2257,'Freq-Chan'!C:D,2,FALSE),"x")</f>
        <v>x</v>
      </c>
      <c r="U2257" s="110" t="s">
        <v>541</v>
      </c>
      <c r="V2257" s="110" t="str">
        <f t="shared" si="74"/>
        <v>FWL</v>
      </c>
      <c r="W2257" s="110" t="s">
        <v>541</v>
      </c>
      <c r="X2257" s="110" t="s">
        <v>541</v>
      </c>
      <c r="Y2257" s="110" t="str">
        <f>IFERROR(VLOOKUP(F2257,'Freq-Chan'!C:E,3,FALSE),"na")</f>
        <v>na</v>
      </c>
      <c r="Z2257" s="110" t="s">
        <v>541</v>
      </c>
      <c r="AA2257" s="110" t="s">
        <v>541</v>
      </c>
      <c r="AB2257" s="110" t="s">
        <v>541</v>
      </c>
      <c r="AC2257" s="10" t="s">
        <v>541</v>
      </c>
      <c r="AD2257" s="10" t="s">
        <v>541</v>
      </c>
    </row>
    <row r="2258" spans="1:30" x14ac:dyDescent="0.2">
      <c r="A2258" s="110">
        <v>2257</v>
      </c>
      <c r="B2258" s="132">
        <v>41860</v>
      </c>
      <c r="C2258" s="117">
        <v>3</v>
      </c>
      <c r="D2258" s="103" t="s">
        <v>70</v>
      </c>
      <c r="E2258" s="103" t="s">
        <v>306</v>
      </c>
      <c r="H2258" s="103"/>
      <c r="I2258" s="103">
        <v>46</v>
      </c>
      <c r="K2258" s="103" t="s">
        <v>1032</v>
      </c>
      <c r="L2258" s="133"/>
      <c r="M2258" s="134">
        <v>1.3888888888888888E-2</v>
      </c>
      <c r="N2258" s="137" t="s">
        <v>3714</v>
      </c>
      <c r="O2258" s="133" t="s">
        <v>1538</v>
      </c>
      <c r="Q2258" s="100" t="s">
        <v>4123</v>
      </c>
      <c r="R2258" s="226" t="s">
        <v>4136</v>
      </c>
      <c r="S2258" s="491" t="str">
        <f t="shared" si="73"/>
        <v>x</v>
      </c>
      <c r="T2258" s="492" t="str">
        <f>IFERROR(VLOOKUP(F2258,'Freq-Chan'!C:D,2,FALSE),"x")</f>
        <v>x</v>
      </c>
      <c r="U2258" s="110" t="s">
        <v>541</v>
      </c>
      <c r="V2258" s="110" t="str">
        <f t="shared" si="74"/>
        <v>FWL</v>
      </c>
      <c r="W2258" s="110" t="s">
        <v>541</v>
      </c>
      <c r="X2258" s="110" t="s">
        <v>541</v>
      </c>
      <c r="Y2258" s="110" t="str">
        <f>IFERROR(VLOOKUP(F2258,'Freq-Chan'!C:E,3,FALSE),"na")</f>
        <v>na</v>
      </c>
      <c r="Z2258" s="110" t="s">
        <v>541</v>
      </c>
      <c r="AA2258" s="110" t="s">
        <v>541</v>
      </c>
      <c r="AB2258" s="110" t="s">
        <v>541</v>
      </c>
      <c r="AC2258" s="10" t="s">
        <v>541</v>
      </c>
      <c r="AD2258" s="10" t="s">
        <v>541</v>
      </c>
    </row>
    <row r="2259" spans="1:30" x14ac:dyDescent="0.2">
      <c r="A2259" s="110">
        <v>2258</v>
      </c>
      <c r="B2259" s="132">
        <v>41860</v>
      </c>
      <c r="C2259" s="117">
        <v>3</v>
      </c>
      <c r="D2259" s="103" t="s">
        <v>70</v>
      </c>
      <c r="E2259" s="103" t="s">
        <v>306</v>
      </c>
      <c r="H2259" s="103"/>
      <c r="I2259" s="103">
        <v>45</v>
      </c>
      <c r="K2259" s="103" t="s">
        <v>1032</v>
      </c>
      <c r="L2259" s="133"/>
      <c r="M2259" s="134">
        <v>9.7222222222222224E-3</v>
      </c>
      <c r="N2259" s="137" t="s">
        <v>3768</v>
      </c>
      <c r="O2259" s="133" t="s">
        <v>1538</v>
      </c>
      <c r="Q2259" s="100" t="s">
        <v>4123</v>
      </c>
      <c r="R2259" s="226" t="s">
        <v>4136</v>
      </c>
      <c r="S2259" s="491" t="str">
        <f t="shared" si="73"/>
        <v>x</v>
      </c>
      <c r="T2259" s="492" t="str">
        <f>IFERROR(VLOOKUP(F2259,'Freq-Chan'!C:D,2,FALSE),"x")</f>
        <v>x</v>
      </c>
      <c r="U2259" s="110" t="s">
        <v>541</v>
      </c>
      <c r="V2259" s="110" t="str">
        <f t="shared" si="74"/>
        <v>FWL</v>
      </c>
      <c r="W2259" s="110" t="s">
        <v>541</v>
      </c>
      <c r="X2259" s="110" t="s">
        <v>541</v>
      </c>
      <c r="Y2259" s="110" t="str">
        <f>IFERROR(VLOOKUP(F2259,'Freq-Chan'!C:E,3,FALSE),"na")</f>
        <v>na</v>
      </c>
      <c r="Z2259" s="110" t="s">
        <v>541</v>
      </c>
      <c r="AA2259" s="110" t="s">
        <v>541</v>
      </c>
      <c r="AB2259" s="110" t="s">
        <v>541</v>
      </c>
      <c r="AC2259" s="10" t="s">
        <v>541</v>
      </c>
      <c r="AD2259" s="10" t="s">
        <v>541</v>
      </c>
    </row>
    <row r="2260" spans="1:30" x14ac:dyDescent="0.2">
      <c r="A2260" s="110">
        <v>2259</v>
      </c>
      <c r="B2260" s="132">
        <v>41860</v>
      </c>
      <c r="C2260" s="117">
        <v>3</v>
      </c>
      <c r="D2260" s="103" t="s">
        <v>70</v>
      </c>
      <c r="E2260" s="103" t="s">
        <v>306</v>
      </c>
      <c r="H2260" s="103"/>
      <c r="I2260" s="103">
        <v>43</v>
      </c>
      <c r="K2260" s="103" t="s">
        <v>365</v>
      </c>
      <c r="L2260" s="133"/>
      <c r="M2260" s="134">
        <v>1.1111111111111112E-2</v>
      </c>
      <c r="N2260" s="135" t="s">
        <v>3467</v>
      </c>
      <c r="O2260" s="133" t="s">
        <v>1538</v>
      </c>
      <c r="Q2260" s="100" t="s">
        <v>4123</v>
      </c>
      <c r="R2260" s="226" t="s">
        <v>4136</v>
      </c>
      <c r="S2260" s="491" t="str">
        <f t="shared" si="73"/>
        <v>x</v>
      </c>
      <c r="T2260" s="492" t="str">
        <f>IFERROR(VLOOKUP(F2260,'Freq-Chan'!C:D,2,FALSE),"x")</f>
        <v>x</v>
      </c>
      <c r="U2260" s="110" t="s">
        <v>541</v>
      </c>
      <c r="V2260" s="110" t="str">
        <f t="shared" si="74"/>
        <v>FWL</v>
      </c>
      <c r="W2260" s="110" t="s">
        <v>541</v>
      </c>
      <c r="X2260" s="110" t="s">
        <v>541</v>
      </c>
      <c r="Y2260" s="110" t="str">
        <f>IFERROR(VLOOKUP(F2260,'Freq-Chan'!C:E,3,FALSE),"na")</f>
        <v>na</v>
      </c>
      <c r="Z2260" s="110" t="s">
        <v>541</v>
      </c>
      <c r="AA2260" s="110" t="s">
        <v>541</v>
      </c>
      <c r="AB2260" s="110" t="s">
        <v>541</v>
      </c>
      <c r="AC2260" s="10" t="s">
        <v>541</v>
      </c>
      <c r="AD2260" s="10" t="s">
        <v>541</v>
      </c>
    </row>
    <row r="2261" spans="1:30" x14ac:dyDescent="0.2">
      <c r="A2261" s="110">
        <v>2260</v>
      </c>
      <c r="B2261" s="132">
        <v>41860</v>
      </c>
      <c r="C2261" s="117">
        <v>3</v>
      </c>
      <c r="D2261" s="103" t="s">
        <v>71</v>
      </c>
      <c r="E2261" s="103" t="s">
        <v>306</v>
      </c>
      <c r="F2261" s="103">
        <v>534</v>
      </c>
      <c r="G2261" s="103">
        <v>34</v>
      </c>
      <c r="H2261" s="103" t="s">
        <v>2425</v>
      </c>
      <c r="I2261" s="103">
        <v>57</v>
      </c>
      <c r="K2261" s="103" t="s">
        <v>365</v>
      </c>
      <c r="L2261" s="133">
        <v>0.38819444444444445</v>
      </c>
      <c r="M2261" s="134">
        <v>3.0555555555555555E-2</v>
      </c>
      <c r="N2261" s="135" t="s">
        <v>3452</v>
      </c>
      <c r="O2261" s="133" t="s">
        <v>1538</v>
      </c>
      <c r="Q2261" s="100" t="s">
        <v>4123</v>
      </c>
      <c r="R2261" s="226" t="s">
        <v>4136</v>
      </c>
      <c r="S2261" s="491">
        <f t="shared" si="73"/>
        <v>2.9629629999999999E-3</v>
      </c>
      <c r="T2261" s="492">
        <f>IFERROR(VLOOKUP(F2261,'Freq-Chan'!C:D,2,FALSE),"x")</f>
        <v>151.53399999999999</v>
      </c>
      <c r="U2261" s="110" t="s">
        <v>541</v>
      </c>
      <c r="V2261" s="110" t="str">
        <f t="shared" si="74"/>
        <v>FWL</v>
      </c>
      <c r="W2261" s="110" t="s">
        <v>541</v>
      </c>
      <c r="X2261" s="110" t="s">
        <v>541</v>
      </c>
      <c r="Y2261" s="110" t="str">
        <f>IFERROR(VLOOKUP(F2261,'Freq-Chan'!C:E,3,FALSE),"na")</f>
        <v>F1840</v>
      </c>
      <c r="Z2261" s="110" t="s">
        <v>541</v>
      </c>
      <c r="AA2261" s="110" t="s">
        <v>541</v>
      </c>
      <c r="AB2261" s="110" t="s">
        <v>541</v>
      </c>
      <c r="AC2261" s="10" t="s">
        <v>541</v>
      </c>
      <c r="AD2261" s="10" t="s">
        <v>541</v>
      </c>
    </row>
    <row r="2262" spans="1:30" x14ac:dyDescent="0.2">
      <c r="A2262" s="110">
        <v>2261</v>
      </c>
      <c r="B2262" s="132">
        <v>41860</v>
      </c>
      <c r="C2262" s="117">
        <v>3</v>
      </c>
      <c r="D2262" s="103" t="s">
        <v>70</v>
      </c>
      <c r="E2262" s="103" t="s">
        <v>306</v>
      </c>
      <c r="H2262" s="103"/>
      <c r="I2262" s="103">
        <v>44</v>
      </c>
      <c r="K2262" s="103" t="s">
        <v>1032</v>
      </c>
      <c r="L2262" s="136"/>
      <c r="M2262" s="140">
        <v>1.5277777777777777E-2</v>
      </c>
      <c r="N2262" s="135" t="s">
        <v>2691</v>
      </c>
      <c r="O2262" s="133" t="s">
        <v>1538</v>
      </c>
      <c r="Q2262" s="100" t="s">
        <v>4123</v>
      </c>
      <c r="R2262" s="226" t="s">
        <v>4136</v>
      </c>
      <c r="S2262" s="491" t="str">
        <f t="shared" si="73"/>
        <v>x</v>
      </c>
      <c r="T2262" s="492" t="str">
        <f>IFERROR(VLOOKUP(F2262,'Freq-Chan'!C:D,2,FALSE),"x")</f>
        <v>x</v>
      </c>
      <c r="U2262" s="110" t="s">
        <v>541</v>
      </c>
      <c r="V2262" s="110" t="str">
        <f t="shared" si="74"/>
        <v>FWL</v>
      </c>
      <c r="W2262" s="110" t="s">
        <v>541</v>
      </c>
      <c r="X2262" s="110" t="s">
        <v>541</v>
      </c>
      <c r="Y2262" s="110" t="str">
        <f>IFERROR(VLOOKUP(F2262,'Freq-Chan'!C:E,3,FALSE),"na")</f>
        <v>na</v>
      </c>
      <c r="Z2262" s="110" t="s">
        <v>541</v>
      </c>
      <c r="AA2262" s="110" t="s">
        <v>541</v>
      </c>
      <c r="AB2262" s="110" t="s">
        <v>541</v>
      </c>
      <c r="AC2262" s="10" t="s">
        <v>541</v>
      </c>
      <c r="AD2262" s="10" t="s">
        <v>541</v>
      </c>
    </row>
    <row r="2263" spans="1:30" x14ac:dyDescent="0.2">
      <c r="A2263" s="110">
        <v>2262</v>
      </c>
      <c r="B2263" s="132">
        <v>41860</v>
      </c>
      <c r="C2263" s="117">
        <v>3</v>
      </c>
      <c r="D2263" s="103" t="s">
        <v>70</v>
      </c>
      <c r="E2263" s="103" t="s">
        <v>306</v>
      </c>
      <c r="H2263" s="103"/>
      <c r="I2263" s="103">
        <v>45</v>
      </c>
      <c r="K2263" s="103" t="s">
        <v>1032</v>
      </c>
      <c r="L2263" s="136"/>
      <c r="M2263" s="140">
        <v>1.0416666666666666E-2</v>
      </c>
      <c r="N2263" s="135" t="s">
        <v>3293</v>
      </c>
      <c r="O2263" s="133" t="s">
        <v>1538</v>
      </c>
      <c r="Q2263" s="100" t="s">
        <v>4123</v>
      </c>
      <c r="R2263" s="226" t="s">
        <v>4136</v>
      </c>
      <c r="S2263" s="491" t="str">
        <f t="shared" si="73"/>
        <v>x</v>
      </c>
      <c r="T2263" s="492" t="str">
        <f>IFERROR(VLOOKUP(F2263,'Freq-Chan'!C:D,2,FALSE),"x")</f>
        <v>x</v>
      </c>
      <c r="U2263" s="110" t="s">
        <v>541</v>
      </c>
      <c r="V2263" s="110" t="str">
        <f t="shared" si="74"/>
        <v>FWL</v>
      </c>
      <c r="W2263" s="110" t="s">
        <v>541</v>
      </c>
      <c r="X2263" s="110" t="s">
        <v>541</v>
      </c>
      <c r="Y2263" s="110" t="str">
        <f>IFERROR(VLOOKUP(F2263,'Freq-Chan'!C:E,3,FALSE),"na")</f>
        <v>na</v>
      </c>
      <c r="Z2263" s="110" t="s">
        <v>541</v>
      </c>
      <c r="AA2263" s="110" t="s">
        <v>541</v>
      </c>
      <c r="AB2263" s="110" t="s">
        <v>541</v>
      </c>
      <c r="AC2263" s="10" t="s">
        <v>541</v>
      </c>
      <c r="AD2263" s="10" t="s">
        <v>541</v>
      </c>
    </row>
    <row r="2264" spans="1:30" x14ac:dyDescent="0.2">
      <c r="A2264" s="110">
        <v>2263</v>
      </c>
      <c r="B2264" s="132">
        <v>41860</v>
      </c>
      <c r="C2264" s="117">
        <v>3</v>
      </c>
      <c r="D2264" s="103" t="s">
        <v>70</v>
      </c>
      <c r="E2264" s="103" t="s">
        <v>306</v>
      </c>
      <c r="H2264" s="103"/>
      <c r="I2264" s="103">
        <v>46</v>
      </c>
      <c r="K2264" s="103" t="s">
        <v>365</v>
      </c>
      <c r="L2264" s="133"/>
      <c r="M2264" s="134">
        <v>9.0277777777777787E-3</v>
      </c>
      <c r="N2264" s="135" t="s">
        <v>3827</v>
      </c>
      <c r="O2264" s="133" t="s">
        <v>1538</v>
      </c>
      <c r="Q2264" s="100" t="s">
        <v>4123</v>
      </c>
      <c r="R2264" s="226" t="s">
        <v>4136</v>
      </c>
      <c r="S2264" s="491" t="str">
        <f t="shared" si="73"/>
        <v>x</v>
      </c>
      <c r="T2264" s="492" t="str">
        <f>IFERROR(VLOOKUP(F2264,'Freq-Chan'!C:D,2,FALSE),"x")</f>
        <v>x</v>
      </c>
      <c r="U2264" s="110" t="s">
        <v>541</v>
      </c>
      <c r="V2264" s="110" t="str">
        <f t="shared" si="74"/>
        <v>FWL</v>
      </c>
      <c r="W2264" s="110" t="s">
        <v>541</v>
      </c>
      <c r="X2264" s="110" t="s">
        <v>541</v>
      </c>
      <c r="Y2264" s="110" t="str">
        <f>IFERROR(VLOOKUP(F2264,'Freq-Chan'!C:E,3,FALSE),"na")</f>
        <v>na</v>
      </c>
      <c r="Z2264" s="110" t="s">
        <v>541</v>
      </c>
      <c r="AA2264" s="110" t="s">
        <v>541</v>
      </c>
      <c r="AB2264" s="110" t="s">
        <v>541</v>
      </c>
      <c r="AC2264" s="10" t="s">
        <v>541</v>
      </c>
      <c r="AD2264" s="10" t="s">
        <v>541</v>
      </c>
    </row>
    <row r="2265" spans="1:30" x14ac:dyDescent="0.2">
      <c r="A2265" s="110">
        <v>2264</v>
      </c>
      <c r="B2265" s="132">
        <v>41860</v>
      </c>
      <c r="C2265" s="117">
        <v>3</v>
      </c>
      <c r="D2265" s="103" t="s">
        <v>70</v>
      </c>
      <c r="E2265" s="103" t="s">
        <v>306</v>
      </c>
      <c r="H2265" s="103"/>
      <c r="I2265" s="103">
        <v>46</v>
      </c>
      <c r="K2265" s="103" t="s">
        <v>365</v>
      </c>
      <c r="L2265" s="133"/>
      <c r="M2265" s="134">
        <v>1.1805555555555555E-2</v>
      </c>
      <c r="N2265" s="135" t="s">
        <v>3928</v>
      </c>
      <c r="O2265" s="133" t="s">
        <v>1663</v>
      </c>
      <c r="Q2265" s="100" t="s">
        <v>4123</v>
      </c>
      <c r="R2265" s="226" t="s">
        <v>4136</v>
      </c>
      <c r="S2265" s="491" t="str">
        <f t="shared" si="73"/>
        <v>x</v>
      </c>
      <c r="T2265" s="492" t="str">
        <f>IFERROR(VLOOKUP(F2265,'Freq-Chan'!C:D,2,FALSE),"x")</f>
        <v>x</v>
      </c>
      <c r="U2265" s="110" t="s">
        <v>541</v>
      </c>
      <c r="V2265" s="110" t="str">
        <f t="shared" si="74"/>
        <v>FWL</v>
      </c>
      <c r="W2265" s="110" t="s">
        <v>541</v>
      </c>
      <c r="X2265" s="110" t="s">
        <v>541</v>
      </c>
      <c r="Y2265" s="110" t="str">
        <f>IFERROR(VLOOKUP(F2265,'Freq-Chan'!C:E,3,FALSE),"na")</f>
        <v>na</v>
      </c>
      <c r="Z2265" s="110" t="s">
        <v>541</v>
      </c>
      <c r="AA2265" s="110" t="s">
        <v>541</v>
      </c>
      <c r="AB2265" s="110" t="s">
        <v>541</v>
      </c>
      <c r="AC2265" s="10" t="s">
        <v>541</v>
      </c>
      <c r="AD2265" s="10" t="s">
        <v>541</v>
      </c>
    </row>
    <row r="2266" spans="1:30" x14ac:dyDescent="0.2">
      <c r="A2266" s="110">
        <v>2265</v>
      </c>
      <c r="B2266" s="132">
        <v>41860</v>
      </c>
      <c r="C2266" s="117">
        <v>3</v>
      </c>
      <c r="D2266" s="103" t="s">
        <v>2</v>
      </c>
      <c r="E2266" s="103" t="s">
        <v>306</v>
      </c>
      <c r="H2266" s="103"/>
      <c r="I2266" s="103">
        <v>61</v>
      </c>
      <c r="K2266" s="103" t="s">
        <v>364</v>
      </c>
      <c r="L2266" s="133"/>
      <c r="M2266" s="134">
        <v>2.4999999999999998E-2</v>
      </c>
      <c r="N2266" s="135" t="s">
        <v>3471</v>
      </c>
      <c r="O2266" s="133" t="s">
        <v>1663</v>
      </c>
      <c r="Q2266" s="100" t="s">
        <v>4123</v>
      </c>
      <c r="R2266" s="226" t="s">
        <v>4136</v>
      </c>
      <c r="S2266" s="491" t="str">
        <f t="shared" si="73"/>
        <v>x</v>
      </c>
      <c r="T2266" s="492" t="str">
        <f>IFERROR(VLOOKUP(F2266,'Freq-Chan'!C:D,2,FALSE),"x")</f>
        <v>x</v>
      </c>
      <c r="U2266" s="110" t="s">
        <v>541</v>
      </c>
      <c r="V2266" s="110" t="str">
        <f t="shared" si="74"/>
        <v>FWL</v>
      </c>
      <c r="W2266" s="110" t="s">
        <v>541</v>
      </c>
      <c r="X2266" s="110" t="s">
        <v>541</v>
      </c>
      <c r="Y2266" s="110" t="str">
        <f>IFERROR(VLOOKUP(F2266,'Freq-Chan'!C:E,3,FALSE),"na")</f>
        <v>na</v>
      </c>
      <c r="Z2266" s="110" t="s">
        <v>541</v>
      </c>
      <c r="AA2266" s="110" t="s">
        <v>541</v>
      </c>
      <c r="AB2266" s="110" t="s">
        <v>541</v>
      </c>
      <c r="AC2266" s="10" t="s">
        <v>541</v>
      </c>
      <c r="AD2266" s="10" t="s">
        <v>541</v>
      </c>
    </row>
    <row r="2267" spans="1:30" x14ac:dyDescent="0.2">
      <c r="A2267" s="110">
        <v>2266</v>
      </c>
      <c r="B2267" s="132">
        <v>41860</v>
      </c>
      <c r="C2267" s="117">
        <v>3</v>
      </c>
      <c r="D2267" s="103" t="s">
        <v>71</v>
      </c>
      <c r="E2267" s="103" t="s">
        <v>306</v>
      </c>
      <c r="H2267" s="103"/>
      <c r="I2267" s="103">
        <v>64</v>
      </c>
      <c r="K2267" s="103" t="s">
        <v>364</v>
      </c>
      <c r="L2267" s="133"/>
      <c r="M2267" s="134">
        <v>1.1111111111111112E-2</v>
      </c>
      <c r="N2267" s="135" t="s">
        <v>3473</v>
      </c>
      <c r="O2267" s="133" t="s">
        <v>1663</v>
      </c>
      <c r="Q2267" s="100" t="s">
        <v>4123</v>
      </c>
      <c r="R2267" s="226" t="s">
        <v>4136</v>
      </c>
      <c r="S2267" s="491" t="str">
        <f t="shared" si="73"/>
        <v>x</v>
      </c>
      <c r="T2267" s="492" t="str">
        <f>IFERROR(VLOOKUP(F2267,'Freq-Chan'!C:D,2,FALSE),"x")</f>
        <v>x</v>
      </c>
      <c r="U2267" s="110" t="s">
        <v>541</v>
      </c>
      <c r="V2267" s="110" t="str">
        <f t="shared" si="74"/>
        <v>FWL</v>
      </c>
      <c r="W2267" s="110" t="s">
        <v>541</v>
      </c>
      <c r="X2267" s="110" t="s">
        <v>541</v>
      </c>
      <c r="Y2267" s="110" t="str">
        <f>IFERROR(VLOOKUP(F2267,'Freq-Chan'!C:E,3,FALSE),"na")</f>
        <v>na</v>
      </c>
      <c r="Z2267" s="110" t="s">
        <v>541</v>
      </c>
      <c r="AA2267" s="110" t="s">
        <v>541</v>
      </c>
      <c r="AB2267" s="110" t="s">
        <v>541</v>
      </c>
      <c r="AC2267" s="10" t="s">
        <v>541</v>
      </c>
      <c r="AD2267" s="10" t="s">
        <v>541</v>
      </c>
    </row>
    <row r="2268" spans="1:30" x14ac:dyDescent="0.2">
      <c r="A2268" s="110">
        <v>2267</v>
      </c>
      <c r="B2268" s="132">
        <v>41860</v>
      </c>
      <c r="C2268" s="117">
        <v>3</v>
      </c>
      <c r="D2268" s="103" t="s">
        <v>71</v>
      </c>
      <c r="E2268" s="103" t="s">
        <v>306</v>
      </c>
      <c r="H2268" s="103"/>
      <c r="I2268" s="103">
        <v>59</v>
      </c>
      <c r="K2268" s="103" t="s">
        <v>1032</v>
      </c>
      <c r="L2268" s="133"/>
      <c r="M2268" s="134">
        <v>1.0416666666666666E-2</v>
      </c>
      <c r="N2268" s="135" t="s">
        <v>4131</v>
      </c>
      <c r="O2268" s="133" t="s">
        <v>1663</v>
      </c>
      <c r="Q2268" s="100" t="s">
        <v>4123</v>
      </c>
      <c r="R2268" s="226" t="s">
        <v>4136</v>
      </c>
      <c r="S2268" s="491" t="str">
        <f t="shared" si="73"/>
        <v>x</v>
      </c>
      <c r="T2268" s="492" t="str">
        <f>IFERROR(VLOOKUP(F2268,'Freq-Chan'!C:D,2,FALSE),"x")</f>
        <v>x</v>
      </c>
      <c r="U2268" s="110" t="s">
        <v>541</v>
      </c>
      <c r="V2268" s="110" t="str">
        <f t="shared" si="74"/>
        <v>FWL</v>
      </c>
      <c r="W2268" s="110" t="s">
        <v>541</v>
      </c>
      <c r="X2268" s="110" t="s">
        <v>541</v>
      </c>
      <c r="Y2268" s="110" t="str">
        <f>IFERROR(VLOOKUP(F2268,'Freq-Chan'!C:E,3,FALSE),"na")</f>
        <v>na</v>
      </c>
      <c r="Z2268" s="110" t="s">
        <v>541</v>
      </c>
      <c r="AA2268" s="110" t="s">
        <v>541</v>
      </c>
      <c r="AB2268" s="110" t="s">
        <v>541</v>
      </c>
      <c r="AC2268" s="10" t="s">
        <v>541</v>
      </c>
      <c r="AD2268" s="10" t="s">
        <v>541</v>
      </c>
    </row>
    <row r="2269" spans="1:30" x14ac:dyDescent="0.2">
      <c r="A2269" s="110">
        <v>2268</v>
      </c>
      <c r="B2269" s="132">
        <v>41860</v>
      </c>
      <c r="C2269" s="117">
        <v>3</v>
      </c>
      <c r="D2269" s="103" t="s">
        <v>70</v>
      </c>
      <c r="E2269" s="103" t="s">
        <v>306</v>
      </c>
      <c r="H2269" s="103"/>
      <c r="I2269" s="103">
        <v>46</v>
      </c>
      <c r="K2269" s="103" t="s">
        <v>1032</v>
      </c>
      <c r="L2269" s="133"/>
      <c r="M2269" s="134">
        <v>9.0277777777777787E-3</v>
      </c>
      <c r="N2269" s="135" t="s">
        <v>3354</v>
      </c>
      <c r="O2269" s="133" t="s">
        <v>1663</v>
      </c>
      <c r="Q2269" s="100" t="s">
        <v>4123</v>
      </c>
      <c r="R2269" s="226" t="s">
        <v>4136</v>
      </c>
      <c r="S2269" s="491" t="str">
        <f t="shared" si="73"/>
        <v>x</v>
      </c>
      <c r="T2269" s="492" t="str">
        <f>IFERROR(VLOOKUP(F2269,'Freq-Chan'!C:D,2,FALSE),"x")</f>
        <v>x</v>
      </c>
      <c r="U2269" s="110" t="s">
        <v>541</v>
      </c>
      <c r="V2269" s="110" t="str">
        <f t="shared" si="74"/>
        <v>FWL</v>
      </c>
      <c r="W2269" s="110" t="s">
        <v>541</v>
      </c>
      <c r="X2269" s="110" t="s">
        <v>541</v>
      </c>
      <c r="Y2269" s="110" t="str">
        <f>IFERROR(VLOOKUP(F2269,'Freq-Chan'!C:E,3,FALSE),"na")</f>
        <v>na</v>
      </c>
      <c r="Z2269" s="110" t="s">
        <v>541</v>
      </c>
      <c r="AA2269" s="110" t="s">
        <v>541</v>
      </c>
      <c r="AB2269" s="110" t="s">
        <v>541</v>
      </c>
      <c r="AC2269" s="10" t="s">
        <v>541</v>
      </c>
      <c r="AD2269" s="10" t="s">
        <v>541</v>
      </c>
    </row>
    <row r="2270" spans="1:30" x14ac:dyDescent="0.2">
      <c r="A2270" s="110">
        <v>2269</v>
      </c>
      <c r="B2270" s="132">
        <v>41860</v>
      </c>
      <c r="C2270" s="117">
        <v>3</v>
      </c>
      <c r="D2270" s="103" t="s">
        <v>70</v>
      </c>
      <c r="E2270" s="103" t="s">
        <v>306</v>
      </c>
      <c r="H2270" s="103"/>
      <c r="I2270" s="103">
        <v>47</v>
      </c>
      <c r="K2270" s="103" t="s">
        <v>365</v>
      </c>
      <c r="L2270" s="133"/>
      <c r="M2270" s="134">
        <v>9.7222222222222224E-3</v>
      </c>
      <c r="N2270" s="135" t="s">
        <v>3474</v>
      </c>
      <c r="O2270" s="133" t="s">
        <v>1663</v>
      </c>
      <c r="Q2270" s="100" t="s">
        <v>4123</v>
      </c>
      <c r="R2270" s="226" t="s">
        <v>4136</v>
      </c>
      <c r="S2270" s="491" t="str">
        <f t="shared" si="73"/>
        <v>x</v>
      </c>
      <c r="T2270" s="492" t="str">
        <f>IFERROR(VLOOKUP(F2270,'Freq-Chan'!C:D,2,FALSE),"x")</f>
        <v>x</v>
      </c>
      <c r="U2270" s="110" t="s">
        <v>541</v>
      </c>
      <c r="V2270" s="110" t="str">
        <f t="shared" si="74"/>
        <v>FWL</v>
      </c>
      <c r="W2270" s="110" t="s">
        <v>541</v>
      </c>
      <c r="X2270" s="110" t="s">
        <v>541</v>
      </c>
      <c r="Y2270" s="110" t="str">
        <f>IFERROR(VLOOKUP(F2270,'Freq-Chan'!C:E,3,FALSE),"na")</f>
        <v>na</v>
      </c>
      <c r="Z2270" s="110" t="s">
        <v>541</v>
      </c>
      <c r="AA2270" s="110" t="s">
        <v>541</v>
      </c>
      <c r="AB2270" s="110" t="s">
        <v>541</v>
      </c>
      <c r="AC2270" s="10" t="s">
        <v>541</v>
      </c>
      <c r="AD2270" s="10" t="s">
        <v>541</v>
      </c>
    </row>
    <row r="2271" spans="1:30" x14ac:dyDescent="0.2">
      <c r="A2271" s="110">
        <v>2270</v>
      </c>
      <c r="B2271" s="132">
        <v>41860</v>
      </c>
      <c r="C2271" s="117">
        <v>3</v>
      </c>
      <c r="D2271" s="103" t="s">
        <v>70</v>
      </c>
      <c r="E2271" s="103" t="s">
        <v>306</v>
      </c>
      <c r="H2271" s="103"/>
      <c r="I2271" s="103">
        <v>45</v>
      </c>
      <c r="K2271" s="103" t="s">
        <v>1032</v>
      </c>
      <c r="L2271" s="133"/>
      <c r="M2271" s="134">
        <v>9.7222222222222224E-3</v>
      </c>
      <c r="N2271" s="137" t="s">
        <v>4130</v>
      </c>
      <c r="O2271" s="133" t="s">
        <v>1663</v>
      </c>
      <c r="Q2271" s="100" t="s">
        <v>4123</v>
      </c>
      <c r="R2271" s="226" t="s">
        <v>4136</v>
      </c>
      <c r="S2271" s="491" t="str">
        <f t="shared" si="73"/>
        <v>x</v>
      </c>
      <c r="T2271" s="492" t="str">
        <f>IFERROR(VLOOKUP(F2271,'Freq-Chan'!C:D,2,FALSE),"x")</f>
        <v>x</v>
      </c>
      <c r="U2271" s="110" t="s">
        <v>541</v>
      </c>
      <c r="V2271" s="110" t="str">
        <f t="shared" si="74"/>
        <v>FWL</v>
      </c>
      <c r="W2271" s="110" t="s">
        <v>541</v>
      </c>
      <c r="X2271" s="110" t="s">
        <v>541</v>
      </c>
      <c r="Y2271" s="110" t="str">
        <f>IFERROR(VLOOKUP(F2271,'Freq-Chan'!C:E,3,FALSE),"na")</f>
        <v>na</v>
      </c>
      <c r="Z2271" s="110" t="s">
        <v>541</v>
      </c>
      <c r="AA2271" s="110" t="s">
        <v>541</v>
      </c>
      <c r="AB2271" s="110" t="s">
        <v>541</v>
      </c>
      <c r="AC2271" s="10" t="s">
        <v>541</v>
      </c>
      <c r="AD2271" s="10" t="s">
        <v>541</v>
      </c>
    </row>
    <row r="2272" spans="1:30" x14ac:dyDescent="0.2">
      <c r="A2272" s="110">
        <v>2271</v>
      </c>
      <c r="B2272" s="132">
        <v>41860</v>
      </c>
      <c r="C2272" s="117">
        <v>3</v>
      </c>
      <c r="D2272" s="103" t="s">
        <v>70</v>
      </c>
      <c r="E2272" s="103" t="s">
        <v>306</v>
      </c>
      <c r="H2272" s="103"/>
      <c r="I2272" s="103">
        <v>44</v>
      </c>
      <c r="K2272" s="103" t="s">
        <v>365</v>
      </c>
      <c r="L2272" s="133"/>
      <c r="M2272" s="134">
        <v>9.7222222222222224E-3</v>
      </c>
      <c r="N2272" s="135" t="s">
        <v>3205</v>
      </c>
      <c r="O2272" s="133" t="s">
        <v>1663</v>
      </c>
      <c r="Q2272" s="100" t="s">
        <v>4123</v>
      </c>
      <c r="R2272" s="226" t="s">
        <v>4136</v>
      </c>
      <c r="S2272" s="491" t="str">
        <f t="shared" si="73"/>
        <v>x</v>
      </c>
      <c r="T2272" s="492" t="str">
        <f>IFERROR(VLOOKUP(F2272,'Freq-Chan'!C:D,2,FALSE),"x")</f>
        <v>x</v>
      </c>
      <c r="U2272" s="110" t="s">
        <v>541</v>
      </c>
      <c r="V2272" s="110" t="str">
        <f t="shared" si="74"/>
        <v>FWL</v>
      </c>
      <c r="W2272" s="110" t="s">
        <v>541</v>
      </c>
      <c r="X2272" s="110" t="s">
        <v>541</v>
      </c>
      <c r="Y2272" s="110" t="str">
        <f>IFERROR(VLOOKUP(F2272,'Freq-Chan'!C:E,3,FALSE),"na")</f>
        <v>na</v>
      </c>
      <c r="Z2272" s="110" t="s">
        <v>541</v>
      </c>
      <c r="AA2272" s="110" t="s">
        <v>541</v>
      </c>
      <c r="AB2272" s="110" t="s">
        <v>541</v>
      </c>
      <c r="AC2272" s="10" t="s">
        <v>541</v>
      </c>
      <c r="AD2272" s="10" t="s">
        <v>541</v>
      </c>
    </row>
    <row r="2273" spans="1:30" x14ac:dyDescent="0.2">
      <c r="A2273" s="110">
        <v>2272</v>
      </c>
      <c r="B2273" s="132">
        <v>41860</v>
      </c>
      <c r="C2273" s="117">
        <v>3</v>
      </c>
      <c r="D2273" s="103" t="s">
        <v>71</v>
      </c>
      <c r="E2273" s="103" t="s">
        <v>306</v>
      </c>
      <c r="H2273" s="103"/>
      <c r="I2273" s="103">
        <v>55</v>
      </c>
      <c r="K2273" s="103" t="s">
        <v>365</v>
      </c>
      <c r="L2273" s="133"/>
      <c r="M2273" s="134">
        <v>8.3333333333333332E-3</v>
      </c>
      <c r="N2273" s="135" t="s">
        <v>3481</v>
      </c>
      <c r="O2273" s="133" t="s">
        <v>1663</v>
      </c>
      <c r="Q2273" s="100" t="s">
        <v>4123</v>
      </c>
      <c r="R2273" s="226" t="s">
        <v>4136</v>
      </c>
      <c r="S2273" s="491" t="str">
        <f t="shared" si="73"/>
        <v>x</v>
      </c>
      <c r="T2273" s="492" t="str">
        <f>IFERROR(VLOOKUP(F2273,'Freq-Chan'!C:D,2,FALSE),"x")</f>
        <v>x</v>
      </c>
      <c r="U2273" s="110" t="s">
        <v>541</v>
      </c>
      <c r="V2273" s="110" t="str">
        <f t="shared" si="74"/>
        <v>FWL</v>
      </c>
      <c r="W2273" s="110" t="s">
        <v>541</v>
      </c>
      <c r="X2273" s="110" t="s">
        <v>541</v>
      </c>
      <c r="Y2273" s="110" t="str">
        <f>IFERROR(VLOOKUP(F2273,'Freq-Chan'!C:E,3,FALSE),"na")</f>
        <v>na</v>
      </c>
      <c r="Z2273" s="110" t="s">
        <v>541</v>
      </c>
      <c r="AA2273" s="110" t="s">
        <v>541</v>
      </c>
      <c r="AB2273" s="110" t="s">
        <v>541</v>
      </c>
      <c r="AC2273" s="10" t="s">
        <v>541</v>
      </c>
      <c r="AD2273" s="10" t="s">
        <v>541</v>
      </c>
    </row>
    <row r="2274" spans="1:30" x14ac:dyDescent="0.2">
      <c r="A2274" s="110">
        <v>2273</v>
      </c>
      <c r="B2274" s="132">
        <v>41860</v>
      </c>
      <c r="C2274" s="117">
        <v>3</v>
      </c>
      <c r="D2274" s="103" t="s">
        <v>70</v>
      </c>
      <c r="E2274" s="103" t="s">
        <v>306</v>
      </c>
      <c r="F2274" s="103">
        <v>515</v>
      </c>
      <c r="G2274" s="103">
        <v>5</v>
      </c>
      <c r="H2274" s="103" t="s">
        <v>3108</v>
      </c>
      <c r="I2274" s="103">
        <v>49</v>
      </c>
      <c r="K2274" s="103" t="s">
        <v>365</v>
      </c>
      <c r="L2274" s="133"/>
      <c r="M2274" s="134">
        <v>3.6805555555555557E-2</v>
      </c>
      <c r="N2274" s="135" t="s">
        <v>2814</v>
      </c>
      <c r="O2274" s="133" t="s">
        <v>1888</v>
      </c>
      <c r="Q2274" s="100" t="s">
        <v>4115</v>
      </c>
      <c r="R2274" s="226" t="s">
        <v>4136</v>
      </c>
      <c r="S2274" s="491" t="str">
        <f t="shared" si="73"/>
        <v>x</v>
      </c>
      <c r="T2274" s="492">
        <f>IFERROR(VLOOKUP(F2274,'Freq-Chan'!C:D,2,FALSE),"x")</f>
        <v>151.51499999999999</v>
      </c>
      <c r="U2274" s="110" t="s">
        <v>541</v>
      </c>
      <c r="V2274" s="110" t="str">
        <f t="shared" si="74"/>
        <v>FWL</v>
      </c>
      <c r="W2274" s="110" t="s">
        <v>541</v>
      </c>
      <c r="X2274" s="110" t="s">
        <v>541</v>
      </c>
      <c r="Y2274" s="110" t="str">
        <f>IFERROR(VLOOKUP(F2274,'Freq-Chan'!C:E,3,FALSE),"na")</f>
        <v>F1835</v>
      </c>
      <c r="Z2274" s="110" t="s">
        <v>541</v>
      </c>
      <c r="AA2274" s="110" t="s">
        <v>541</v>
      </c>
      <c r="AB2274" s="110" t="s">
        <v>541</v>
      </c>
      <c r="AC2274" s="10" t="s">
        <v>541</v>
      </c>
      <c r="AD2274" s="10" t="s">
        <v>541</v>
      </c>
    </row>
    <row r="2275" spans="1:30" x14ac:dyDescent="0.2">
      <c r="A2275" s="110">
        <v>2274</v>
      </c>
      <c r="B2275" s="132">
        <v>41860</v>
      </c>
      <c r="C2275" s="117">
        <v>3</v>
      </c>
      <c r="D2275" s="103" t="s">
        <v>70</v>
      </c>
      <c r="E2275" s="103" t="s">
        <v>306</v>
      </c>
      <c r="F2275" s="103">
        <v>515</v>
      </c>
      <c r="G2275" s="103">
        <v>99</v>
      </c>
      <c r="H2275" s="103" t="s">
        <v>3110</v>
      </c>
      <c r="I2275" s="103">
        <v>44</v>
      </c>
      <c r="K2275" s="103" t="s">
        <v>365</v>
      </c>
      <c r="L2275" s="133"/>
      <c r="M2275" s="134">
        <v>3.4722222222222224E-2</v>
      </c>
      <c r="N2275" s="135" t="s">
        <v>2935</v>
      </c>
      <c r="O2275" s="133" t="s">
        <v>1888</v>
      </c>
      <c r="Q2275" s="100" t="s">
        <v>4115</v>
      </c>
      <c r="R2275" s="226" t="s">
        <v>4136</v>
      </c>
      <c r="S2275" s="491" t="str">
        <f t="shared" si="73"/>
        <v>x</v>
      </c>
      <c r="T2275" s="492">
        <f>IFERROR(VLOOKUP(F2275,'Freq-Chan'!C:D,2,FALSE),"x")</f>
        <v>151.51499999999999</v>
      </c>
      <c r="U2275" s="110" t="s">
        <v>541</v>
      </c>
      <c r="V2275" s="110" t="str">
        <f t="shared" si="74"/>
        <v>FWL</v>
      </c>
      <c r="W2275" s="110" t="s">
        <v>541</v>
      </c>
      <c r="X2275" s="110" t="s">
        <v>541</v>
      </c>
      <c r="Y2275" s="110" t="str">
        <f>IFERROR(VLOOKUP(F2275,'Freq-Chan'!C:E,3,FALSE),"na")</f>
        <v>F1835</v>
      </c>
      <c r="Z2275" s="110" t="s">
        <v>541</v>
      </c>
      <c r="AA2275" s="110" t="s">
        <v>541</v>
      </c>
      <c r="AB2275" s="110" t="s">
        <v>541</v>
      </c>
      <c r="AC2275" s="10" t="s">
        <v>541</v>
      </c>
      <c r="AD2275" s="10" t="s">
        <v>541</v>
      </c>
    </row>
    <row r="2276" spans="1:30" x14ac:dyDescent="0.2">
      <c r="A2276" s="110">
        <v>2275</v>
      </c>
      <c r="B2276" s="132">
        <v>41860</v>
      </c>
      <c r="C2276" s="117">
        <v>3</v>
      </c>
      <c r="D2276" s="103" t="s">
        <v>71</v>
      </c>
      <c r="E2276" s="103" t="s">
        <v>306</v>
      </c>
      <c r="I2276" s="103">
        <v>59</v>
      </c>
      <c r="K2276" s="103" t="s">
        <v>364</v>
      </c>
      <c r="L2276" s="133"/>
      <c r="M2276" s="134">
        <v>2.2222222222222223E-2</v>
      </c>
      <c r="N2276" s="135" t="s">
        <v>2048</v>
      </c>
      <c r="O2276" s="133" t="s">
        <v>1888</v>
      </c>
      <c r="Q2276" s="100" t="s">
        <v>4115</v>
      </c>
      <c r="R2276" s="226" t="s">
        <v>4136</v>
      </c>
      <c r="S2276" s="491" t="str">
        <f t="shared" si="73"/>
        <v>x</v>
      </c>
      <c r="T2276" s="492" t="str">
        <f>IFERROR(VLOOKUP(F2276,'Freq-Chan'!C:D,2,FALSE),"x")</f>
        <v>x</v>
      </c>
      <c r="U2276" s="110" t="s">
        <v>541</v>
      </c>
      <c r="V2276" s="110" t="str">
        <f t="shared" si="74"/>
        <v>FWL</v>
      </c>
      <c r="W2276" s="110" t="s">
        <v>541</v>
      </c>
      <c r="X2276" s="110" t="s">
        <v>541</v>
      </c>
      <c r="Y2276" s="110" t="str">
        <f>IFERROR(VLOOKUP(F2276,'Freq-Chan'!C:E,3,FALSE),"na")</f>
        <v>na</v>
      </c>
      <c r="Z2276" s="110" t="s">
        <v>541</v>
      </c>
      <c r="AA2276" s="110" t="s">
        <v>541</v>
      </c>
      <c r="AB2276" s="110" t="s">
        <v>541</v>
      </c>
      <c r="AC2276" s="10" t="s">
        <v>541</v>
      </c>
      <c r="AD2276" s="10" t="s">
        <v>541</v>
      </c>
    </row>
    <row r="2277" spans="1:30" x14ac:dyDescent="0.2">
      <c r="A2277" s="110">
        <v>2276</v>
      </c>
      <c r="B2277" s="132">
        <v>41860</v>
      </c>
      <c r="C2277" s="117">
        <v>3</v>
      </c>
      <c r="D2277" s="103" t="s">
        <v>71</v>
      </c>
      <c r="E2277" s="103" t="s">
        <v>306</v>
      </c>
      <c r="H2277" s="103"/>
      <c r="I2277" s="103">
        <v>62</v>
      </c>
      <c r="K2277" s="103" t="s">
        <v>1032</v>
      </c>
      <c r="L2277" s="133"/>
      <c r="M2277" s="134">
        <v>2.9166666666666664E-2</v>
      </c>
      <c r="N2277" s="135" t="s">
        <v>3904</v>
      </c>
      <c r="O2277" s="133" t="s">
        <v>1888</v>
      </c>
      <c r="Q2277" s="100" t="s">
        <v>4115</v>
      </c>
      <c r="R2277" s="226" t="s">
        <v>4136</v>
      </c>
      <c r="S2277" s="491" t="str">
        <f t="shared" si="73"/>
        <v>x</v>
      </c>
      <c r="T2277" s="492" t="str">
        <f>IFERROR(VLOOKUP(F2277,'Freq-Chan'!C:D,2,FALSE),"x")</f>
        <v>x</v>
      </c>
      <c r="U2277" s="110" t="s">
        <v>541</v>
      </c>
      <c r="V2277" s="110" t="str">
        <f t="shared" si="74"/>
        <v>FWL</v>
      </c>
      <c r="W2277" s="110" t="s">
        <v>541</v>
      </c>
      <c r="X2277" s="110" t="s">
        <v>541</v>
      </c>
      <c r="Y2277" s="110" t="str">
        <f>IFERROR(VLOOKUP(F2277,'Freq-Chan'!C:E,3,FALSE),"na")</f>
        <v>na</v>
      </c>
      <c r="Z2277" s="110" t="s">
        <v>541</v>
      </c>
      <c r="AA2277" s="110" t="s">
        <v>541</v>
      </c>
      <c r="AB2277" s="110" t="s">
        <v>541</v>
      </c>
      <c r="AC2277" s="10" t="s">
        <v>541</v>
      </c>
      <c r="AD2277" s="10" t="s">
        <v>541</v>
      </c>
    </row>
    <row r="2278" spans="1:30" x14ac:dyDescent="0.2">
      <c r="A2278" s="110">
        <v>2277</v>
      </c>
      <c r="B2278" s="132">
        <v>41860</v>
      </c>
      <c r="C2278" s="117">
        <v>3</v>
      </c>
      <c r="D2278" s="103" t="s">
        <v>71</v>
      </c>
      <c r="E2278" s="103" t="s">
        <v>306</v>
      </c>
      <c r="H2278" s="103"/>
      <c r="I2278" s="103">
        <v>56</v>
      </c>
      <c r="K2278" s="103" t="s">
        <v>364</v>
      </c>
      <c r="L2278" s="133"/>
      <c r="M2278" s="134">
        <v>1.8749999999999999E-2</v>
      </c>
      <c r="N2278" s="135" t="s">
        <v>2532</v>
      </c>
      <c r="O2278" s="133" t="s">
        <v>1888</v>
      </c>
      <c r="Q2278" s="100" t="s">
        <v>4115</v>
      </c>
      <c r="R2278" s="226" t="s">
        <v>4136</v>
      </c>
      <c r="S2278" s="491" t="str">
        <f t="shared" si="73"/>
        <v>x</v>
      </c>
      <c r="T2278" s="492" t="str">
        <f>IFERROR(VLOOKUP(F2278,'Freq-Chan'!C:D,2,FALSE),"x")</f>
        <v>x</v>
      </c>
      <c r="U2278" s="110" t="s">
        <v>541</v>
      </c>
      <c r="V2278" s="110" t="str">
        <f t="shared" si="74"/>
        <v>FWL</v>
      </c>
      <c r="W2278" s="110" t="s">
        <v>541</v>
      </c>
      <c r="X2278" s="110" t="s">
        <v>541</v>
      </c>
      <c r="Y2278" s="110" t="str">
        <f>IFERROR(VLOOKUP(F2278,'Freq-Chan'!C:E,3,FALSE),"na")</f>
        <v>na</v>
      </c>
      <c r="Z2278" s="110" t="s">
        <v>541</v>
      </c>
      <c r="AA2278" s="110" t="s">
        <v>541</v>
      </c>
      <c r="AB2278" s="110" t="s">
        <v>541</v>
      </c>
      <c r="AC2278" s="10" t="s">
        <v>541</v>
      </c>
      <c r="AD2278" s="10" t="s">
        <v>541</v>
      </c>
    </row>
    <row r="2279" spans="1:30" x14ac:dyDescent="0.2">
      <c r="A2279" s="110">
        <v>2278</v>
      </c>
      <c r="B2279" s="132">
        <v>41860</v>
      </c>
      <c r="C2279" s="117">
        <v>3</v>
      </c>
      <c r="D2279" s="103" t="s">
        <v>71</v>
      </c>
      <c r="E2279" s="103" t="s">
        <v>306</v>
      </c>
      <c r="H2279" s="103"/>
      <c r="I2279" s="103">
        <v>61</v>
      </c>
      <c r="K2279" s="103" t="s">
        <v>1032</v>
      </c>
      <c r="L2279" s="133"/>
      <c r="M2279" s="134">
        <v>1.5277777777777777E-2</v>
      </c>
      <c r="N2279" s="135" t="s">
        <v>2049</v>
      </c>
      <c r="O2279" s="133" t="s">
        <v>1888</v>
      </c>
      <c r="Q2279" s="100" t="s">
        <v>4115</v>
      </c>
      <c r="R2279" s="226" t="s">
        <v>4136</v>
      </c>
      <c r="S2279" s="491" t="str">
        <f t="shared" si="73"/>
        <v>x</v>
      </c>
      <c r="T2279" s="492" t="str">
        <f>IFERROR(VLOOKUP(F2279,'Freq-Chan'!C:D,2,FALSE),"x")</f>
        <v>x</v>
      </c>
      <c r="U2279" s="110" t="s">
        <v>541</v>
      </c>
      <c r="V2279" s="110" t="str">
        <f t="shared" si="74"/>
        <v>FWL</v>
      </c>
      <c r="W2279" s="110" t="s">
        <v>541</v>
      </c>
      <c r="X2279" s="110" t="s">
        <v>541</v>
      </c>
      <c r="Y2279" s="110" t="str">
        <f>IFERROR(VLOOKUP(F2279,'Freq-Chan'!C:E,3,FALSE),"na")</f>
        <v>na</v>
      </c>
      <c r="Z2279" s="110" t="s">
        <v>541</v>
      </c>
      <c r="AA2279" s="110" t="s">
        <v>541</v>
      </c>
      <c r="AB2279" s="110" t="s">
        <v>541</v>
      </c>
      <c r="AC2279" s="10" t="s">
        <v>541</v>
      </c>
      <c r="AD2279" s="10" t="s">
        <v>541</v>
      </c>
    </row>
    <row r="2280" spans="1:30" x14ac:dyDescent="0.2">
      <c r="A2280" s="110">
        <v>2279</v>
      </c>
      <c r="B2280" s="132">
        <v>41860</v>
      </c>
      <c r="C2280" s="117">
        <v>3</v>
      </c>
      <c r="D2280" s="103" t="s">
        <v>71</v>
      </c>
      <c r="E2280" s="103" t="s">
        <v>306</v>
      </c>
      <c r="H2280" s="103"/>
      <c r="I2280" s="103">
        <v>54</v>
      </c>
      <c r="K2280" s="103" t="s">
        <v>364</v>
      </c>
      <c r="L2280" s="133"/>
      <c r="M2280" s="134">
        <v>1.5972222222222224E-2</v>
      </c>
      <c r="N2280" s="137" t="s">
        <v>722</v>
      </c>
      <c r="O2280" s="133" t="s">
        <v>1888</v>
      </c>
      <c r="Q2280" s="100" t="s">
        <v>4115</v>
      </c>
      <c r="R2280" s="226" t="s">
        <v>4136</v>
      </c>
      <c r="S2280" s="491" t="str">
        <f t="shared" si="73"/>
        <v>x</v>
      </c>
      <c r="T2280" s="492" t="str">
        <f>IFERROR(VLOOKUP(F2280,'Freq-Chan'!C:D,2,FALSE),"x")</f>
        <v>x</v>
      </c>
      <c r="U2280" s="110" t="s">
        <v>541</v>
      </c>
      <c r="V2280" s="110" t="str">
        <f t="shared" si="74"/>
        <v>FWL</v>
      </c>
      <c r="W2280" s="110" t="s">
        <v>541</v>
      </c>
      <c r="X2280" s="110" t="s">
        <v>541</v>
      </c>
      <c r="Y2280" s="110" t="str">
        <f>IFERROR(VLOOKUP(F2280,'Freq-Chan'!C:E,3,FALSE),"na")</f>
        <v>na</v>
      </c>
      <c r="Z2280" s="110" t="s">
        <v>541</v>
      </c>
      <c r="AA2280" s="110" t="s">
        <v>541</v>
      </c>
      <c r="AB2280" s="110" t="s">
        <v>541</v>
      </c>
      <c r="AC2280" s="10" t="s">
        <v>541</v>
      </c>
      <c r="AD2280" s="10" t="s">
        <v>541</v>
      </c>
    </row>
    <row r="2281" spans="1:30" x14ac:dyDescent="0.2">
      <c r="A2281" s="110">
        <v>2280</v>
      </c>
      <c r="B2281" s="132">
        <v>41860</v>
      </c>
      <c r="C2281" s="117">
        <v>3</v>
      </c>
      <c r="D2281" s="103" t="s">
        <v>75</v>
      </c>
      <c r="E2281" s="103" t="s">
        <v>798</v>
      </c>
      <c r="H2281" s="103"/>
      <c r="J2281" s="103">
        <v>19</v>
      </c>
      <c r="K2281" s="103" t="s">
        <v>364</v>
      </c>
      <c r="L2281" s="133"/>
      <c r="M2281" s="134">
        <v>1.3888888888888888E-2</v>
      </c>
      <c r="N2281" s="135" t="s">
        <v>902</v>
      </c>
      <c r="O2281" s="133" t="s">
        <v>1888</v>
      </c>
      <c r="P2281" s="100" t="s">
        <v>4133</v>
      </c>
      <c r="Q2281" s="100" t="s">
        <v>4115</v>
      </c>
      <c r="R2281" s="226" t="s">
        <v>4136</v>
      </c>
      <c r="S2281" s="491" t="str">
        <f t="shared" si="73"/>
        <v>x</v>
      </c>
      <c r="T2281" s="492" t="str">
        <f>IFERROR(VLOOKUP(F2281,'Freq-Chan'!C:D,2,FALSE),"x")</f>
        <v>x</v>
      </c>
      <c r="U2281" s="110" t="s">
        <v>541</v>
      </c>
      <c r="V2281" s="110" t="str">
        <f t="shared" si="74"/>
        <v>FWL</v>
      </c>
      <c r="W2281" s="110" t="s">
        <v>541</v>
      </c>
      <c r="X2281" s="110" t="s">
        <v>541</v>
      </c>
      <c r="Y2281" s="110" t="str">
        <f>IFERROR(VLOOKUP(F2281,'Freq-Chan'!C:E,3,FALSE),"na")</f>
        <v>na</v>
      </c>
      <c r="Z2281" s="110" t="s">
        <v>541</v>
      </c>
      <c r="AA2281" s="110" t="s">
        <v>541</v>
      </c>
      <c r="AB2281" s="110" t="s">
        <v>541</v>
      </c>
      <c r="AC2281" s="10" t="s">
        <v>541</v>
      </c>
      <c r="AD2281" s="10" t="s">
        <v>541</v>
      </c>
    </row>
    <row r="2282" spans="1:30" x14ac:dyDescent="0.2">
      <c r="A2282" s="110">
        <v>2281</v>
      </c>
      <c r="B2282" s="132">
        <v>41860</v>
      </c>
      <c r="C2282" s="117">
        <v>3</v>
      </c>
      <c r="D2282" s="103" t="s">
        <v>72</v>
      </c>
      <c r="E2282" s="103" t="s">
        <v>306</v>
      </c>
      <c r="H2282" s="103"/>
      <c r="I2282" s="103">
        <v>48</v>
      </c>
      <c r="K2282" s="103" t="s">
        <v>364</v>
      </c>
      <c r="L2282" s="133"/>
      <c r="M2282" s="134">
        <v>1.5277777777777777E-2</v>
      </c>
      <c r="N2282" s="135" t="s">
        <v>2051</v>
      </c>
      <c r="O2282" s="133" t="s">
        <v>1888</v>
      </c>
      <c r="P2282" s="100" t="s">
        <v>4134</v>
      </c>
      <c r="Q2282" s="100" t="s">
        <v>4115</v>
      </c>
      <c r="R2282" s="226" t="s">
        <v>4136</v>
      </c>
      <c r="S2282" s="491" t="str">
        <f t="shared" si="73"/>
        <v>x</v>
      </c>
      <c r="T2282" s="492" t="str">
        <f>IFERROR(VLOOKUP(F2282,'Freq-Chan'!C:D,2,FALSE),"x")</f>
        <v>x</v>
      </c>
      <c r="U2282" s="110" t="s">
        <v>541</v>
      </c>
      <c r="V2282" s="110" t="str">
        <f t="shared" si="74"/>
        <v>FWL</v>
      </c>
      <c r="W2282" s="110" t="s">
        <v>541</v>
      </c>
      <c r="X2282" s="110" t="s">
        <v>541</v>
      </c>
      <c r="Y2282" s="110" t="str">
        <f>IFERROR(VLOOKUP(F2282,'Freq-Chan'!C:E,3,FALSE),"na")</f>
        <v>na</v>
      </c>
      <c r="Z2282" s="110" t="s">
        <v>541</v>
      </c>
      <c r="AA2282" s="110" t="s">
        <v>541</v>
      </c>
      <c r="AB2282" s="110" t="s">
        <v>541</v>
      </c>
      <c r="AC2282" s="10" t="s">
        <v>541</v>
      </c>
      <c r="AD2282" s="10" t="s">
        <v>541</v>
      </c>
    </row>
    <row r="2283" spans="1:30" x14ac:dyDescent="0.2">
      <c r="A2283" s="110">
        <v>2282</v>
      </c>
      <c r="B2283" s="132">
        <v>41860</v>
      </c>
      <c r="C2283" s="117">
        <v>3</v>
      </c>
      <c r="D2283" s="103" t="s">
        <v>71</v>
      </c>
      <c r="E2283" s="103" t="s">
        <v>306</v>
      </c>
      <c r="H2283" s="103"/>
      <c r="I2283" s="103">
        <v>59</v>
      </c>
      <c r="K2283" s="103" t="s">
        <v>1032</v>
      </c>
      <c r="L2283" s="133"/>
      <c r="M2283" s="134">
        <v>2.1527777777777781E-2</v>
      </c>
      <c r="N2283" s="135" t="s">
        <v>3258</v>
      </c>
      <c r="O2283" s="133" t="s">
        <v>1888</v>
      </c>
      <c r="Q2283" s="100" t="s">
        <v>4115</v>
      </c>
      <c r="R2283" s="226" t="s">
        <v>4136</v>
      </c>
      <c r="S2283" s="491" t="str">
        <f t="shared" si="73"/>
        <v>x</v>
      </c>
      <c r="T2283" s="492" t="str">
        <f>IFERROR(VLOOKUP(F2283,'Freq-Chan'!C:D,2,FALSE),"x")</f>
        <v>x</v>
      </c>
      <c r="U2283" s="110" t="s">
        <v>541</v>
      </c>
      <c r="V2283" s="110" t="str">
        <f t="shared" si="74"/>
        <v>FWL</v>
      </c>
      <c r="W2283" s="110" t="s">
        <v>541</v>
      </c>
      <c r="X2283" s="110" t="s">
        <v>541</v>
      </c>
      <c r="Y2283" s="110" t="str">
        <f>IFERROR(VLOOKUP(F2283,'Freq-Chan'!C:E,3,FALSE),"na")</f>
        <v>na</v>
      </c>
      <c r="Z2283" s="110" t="s">
        <v>541</v>
      </c>
      <c r="AA2283" s="110" t="s">
        <v>541</v>
      </c>
      <c r="AB2283" s="110" t="s">
        <v>541</v>
      </c>
      <c r="AC2283" s="10" t="s">
        <v>541</v>
      </c>
      <c r="AD2283" s="10" t="s">
        <v>541</v>
      </c>
    </row>
    <row r="2284" spans="1:30" x14ac:dyDescent="0.2">
      <c r="A2284" s="110">
        <v>2283</v>
      </c>
      <c r="B2284" s="132">
        <v>41860</v>
      </c>
      <c r="C2284" s="117">
        <v>3</v>
      </c>
      <c r="D2284" s="103" t="s">
        <v>71</v>
      </c>
      <c r="E2284" s="103" t="s">
        <v>306</v>
      </c>
      <c r="H2284" s="103"/>
      <c r="I2284" s="103">
        <v>53</v>
      </c>
      <c r="K2284" s="103" t="s">
        <v>365</v>
      </c>
      <c r="L2284" s="133"/>
      <c r="M2284" s="134">
        <v>2.013888888888889E-2</v>
      </c>
      <c r="N2284" s="135" t="s">
        <v>4104</v>
      </c>
      <c r="O2284" s="133" t="s">
        <v>1585</v>
      </c>
      <c r="Q2284" s="100" t="s">
        <v>4115</v>
      </c>
      <c r="R2284" s="226" t="s">
        <v>4136</v>
      </c>
      <c r="S2284" s="491" t="str">
        <f t="shared" si="73"/>
        <v>x</v>
      </c>
      <c r="T2284" s="492" t="str">
        <f>IFERROR(VLOOKUP(F2284,'Freq-Chan'!C:D,2,FALSE),"x")</f>
        <v>x</v>
      </c>
      <c r="U2284" s="110" t="s">
        <v>541</v>
      </c>
      <c r="V2284" s="110" t="str">
        <f t="shared" si="74"/>
        <v>FWL</v>
      </c>
      <c r="W2284" s="110" t="s">
        <v>541</v>
      </c>
      <c r="X2284" s="110" t="s">
        <v>541</v>
      </c>
      <c r="Y2284" s="110" t="str">
        <f>IFERROR(VLOOKUP(F2284,'Freq-Chan'!C:E,3,FALSE),"na")</f>
        <v>na</v>
      </c>
      <c r="Z2284" s="110" t="s">
        <v>541</v>
      </c>
      <c r="AA2284" s="110" t="s">
        <v>541</v>
      </c>
      <c r="AB2284" s="110" t="s">
        <v>541</v>
      </c>
      <c r="AC2284" s="10" t="s">
        <v>541</v>
      </c>
      <c r="AD2284" s="10" t="s">
        <v>541</v>
      </c>
    </row>
    <row r="2285" spans="1:30" x14ac:dyDescent="0.2">
      <c r="A2285" s="110">
        <v>2284</v>
      </c>
      <c r="B2285" s="132">
        <v>41860</v>
      </c>
      <c r="C2285" s="117">
        <v>3</v>
      </c>
      <c r="D2285" s="103" t="s">
        <v>71</v>
      </c>
      <c r="E2285" s="103" t="s">
        <v>306</v>
      </c>
      <c r="H2285" s="103"/>
      <c r="I2285" s="103">
        <v>62</v>
      </c>
      <c r="K2285" s="103" t="s">
        <v>1032</v>
      </c>
      <c r="L2285" s="133"/>
      <c r="M2285" s="134">
        <v>1.6666666666666666E-2</v>
      </c>
      <c r="N2285" s="135" t="s">
        <v>2811</v>
      </c>
      <c r="O2285" s="133" t="s">
        <v>1585</v>
      </c>
      <c r="Q2285" s="100" t="s">
        <v>4115</v>
      </c>
      <c r="R2285" s="226" t="s">
        <v>4136</v>
      </c>
      <c r="S2285" s="491" t="str">
        <f t="shared" si="73"/>
        <v>x</v>
      </c>
      <c r="T2285" s="492" t="str">
        <f>IFERROR(VLOOKUP(F2285,'Freq-Chan'!C:D,2,FALSE),"x")</f>
        <v>x</v>
      </c>
      <c r="U2285" s="110" t="s">
        <v>541</v>
      </c>
      <c r="V2285" s="110" t="str">
        <f t="shared" si="74"/>
        <v>FWL</v>
      </c>
      <c r="W2285" s="110" t="s">
        <v>541</v>
      </c>
      <c r="X2285" s="110" t="s">
        <v>541</v>
      </c>
      <c r="Y2285" s="110" t="str">
        <f>IFERROR(VLOOKUP(F2285,'Freq-Chan'!C:E,3,FALSE),"na")</f>
        <v>na</v>
      </c>
      <c r="Z2285" s="110" t="s">
        <v>541</v>
      </c>
      <c r="AA2285" s="110" t="s">
        <v>541</v>
      </c>
      <c r="AB2285" s="110" t="s">
        <v>541</v>
      </c>
      <c r="AC2285" s="10" t="s">
        <v>541</v>
      </c>
      <c r="AD2285" s="10" t="s">
        <v>541</v>
      </c>
    </row>
    <row r="2286" spans="1:30" x14ac:dyDescent="0.2">
      <c r="A2286" s="110">
        <v>2285</v>
      </c>
      <c r="B2286" s="132">
        <v>41860</v>
      </c>
      <c r="C2286" s="117">
        <v>3</v>
      </c>
      <c r="D2286" s="103" t="s">
        <v>71</v>
      </c>
      <c r="E2286" s="103" t="s">
        <v>306</v>
      </c>
      <c r="H2286" s="103"/>
      <c r="I2286" s="103">
        <v>57</v>
      </c>
      <c r="K2286" s="103" t="s">
        <v>1032</v>
      </c>
      <c r="L2286" s="133"/>
      <c r="M2286" s="134">
        <v>1.5277777777777777E-2</v>
      </c>
      <c r="N2286" s="135" t="s">
        <v>4103</v>
      </c>
      <c r="O2286" s="133" t="s">
        <v>1585</v>
      </c>
      <c r="Q2286" s="100" t="s">
        <v>4115</v>
      </c>
      <c r="R2286" s="226" t="s">
        <v>4136</v>
      </c>
      <c r="S2286" s="491" t="str">
        <f t="shared" si="73"/>
        <v>x</v>
      </c>
      <c r="T2286" s="492" t="str">
        <f>IFERROR(VLOOKUP(F2286,'Freq-Chan'!C:D,2,FALSE),"x")</f>
        <v>x</v>
      </c>
      <c r="U2286" s="110" t="s">
        <v>541</v>
      </c>
      <c r="V2286" s="110" t="str">
        <f t="shared" si="74"/>
        <v>FWL</v>
      </c>
      <c r="W2286" s="110" t="s">
        <v>541</v>
      </c>
      <c r="X2286" s="110" t="s">
        <v>541</v>
      </c>
      <c r="Y2286" s="110" t="str">
        <f>IFERROR(VLOOKUP(F2286,'Freq-Chan'!C:E,3,FALSE),"na")</f>
        <v>na</v>
      </c>
      <c r="Z2286" s="110" t="s">
        <v>541</v>
      </c>
      <c r="AA2286" s="110" t="s">
        <v>541</v>
      </c>
      <c r="AB2286" s="110" t="s">
        <v>541</v>
      </c>
      <c r="AC2286" s="10" t="s">
        <v>541</v>
      </c>
      <c r="AD2286" s="10" t="s">
        <v>541</v>
      </c>
    </row>
    <row r="2287" spans="1:30" x14ac:dyDescent="0.2">
      <c r="A2287" s="110">
        <v>2286</v>
      </c>
      <c r="B2287" s="132">
        <v>41860</v>
      </c>
      <c r="C2287" s="117">
        <v>3</v>
      </c>
      <c r="D2287" s="103" t="s">
        <v>71</v>
      </c>
      <c r="E2287" s="103" t="s">
        <v>306</v>
      </c>
      <c r="H2287" s="103"/>
      <c r="I2287" s="103">
        <v>56</v>
      </c>
      <c r="K2287" s="103" t="s">
        <v>364</v>
      </c>
      <c r="L2287" s="133"/>
      <c r="M2287" s="134">
        <v>1.9444444444444445E-2</v>
      </c>
      <c r="N2287" s="135" t="s">
        <v>3986</v>
      </c>
      <c r="O2287" s="133" t="s">
        <v>1585</v>
      </c>
      <c r="Q2287" s="100" t="s">
        <v>4115</v>
      </c>
      <c r="R2287" s="226" t="s">
        <v>4136</v>
      </c>
      <c r="S2287" s="491" t="str">
        <f t="shared" si="73"/>
        <v>x</v>
      </c>
      <c r="T2287" s="492" t="str">
        <f>IFERROR(VLOOKUP(F2287,'Freq-Chan'!C:D,2,FALSE),"x")</f>
        <v>x</v>
      </c>
      <c r="U2287" s="110" t="s">
        <v>541</v>
      </c>
      <c r="V2287" s="110" t="str">
        <f t="shared" si="74"/>
        <v>FWL</v>
      </c>
      <c r="W2287" s="110" t="s">
        <v>541</v>
      </c>
      <c r="X2287" s="110" t="s">
        <v>541</v>
      </c>
      <c r="Y2287" s="110" t="str">
        <f>IFERROR(VLOOKUP(F2287,'Freq-Chan'!C:E,3,FALSE),"na")</f>
        <v>na</v>
      </c>
      <c r="Z2287" s="110" t="s">
        <v>541</v>
      </c>
      <c r="AA2287" s="110" t="s">
        <v>541</v>
      </c>
      <c r="AB2287" s="110" t="s">
        <v>541</v>
      </c>
      <c r="AC2287" s="10" t="s">
        <v>541</v>
      </c>
      <c r="AD2287" s="10" t="s">
        <v>541</v>
      </c>
    </row>
    <row r="2288" spans="1:30" x14ac:dyDescent="0.2">
      <c r="A2288" s="110">
        <v>2287</v>
      </c>
      <c r="B2288" s="132">
        <v>41860</v>
      </c>
      <c r="C2288" s="117">
        <v>3</v>
      </c>
      <c r="D2288" s="103" t="s">
        <v>72</v>
      </c>
      <c r="E2288" s="103" t="s">
        <v>306</v>
      </c>
      <c r="F2288" s="103">
        <v>325</v>
      </c>
      <c r="G2288" s="103">
        <v>12</v>
      </c>
      <c r="H2288" s="103" t="s">
        <v>3540</v>
      </c>
      <c r="I2288" s="103">
        <v>48</v>
      </c>
      <c r="K2288" s="103" t="s">
        <v>364</v>
      </c>
      <c r="L2288" s="133"/>
      <c r="M2288" s="134">
        <v>3.9583333333333331E-2</v>
      </c>
      <c r="N2288" s="137" t="s">
        <v>4088</v>
      </c>
      <c r="O2288" s="133" t="s">
        <v>1585</v>
      </c>
      <c r="Q2288" s="100" t="s">
        <v>4115</v>
      </c>
      <c r="R2288" s="226" t="s">
        <v>4136</v>
      </c>
      <c r="S2288" s="491" t="str">
        <f t="shared" si="73"/>
        <v>x</v>
      </c>
      <c r="T2288" s="492">
        <f>IFERROR(VLOOKUP(F2288,'Freq-Chan'!C:D,2,FALSE),"x")</f>
        <v>151.32499999999999</v>
      </c>
      <c r="U2288" s="110" t="s">
        <v>541</v>
      </c>
      <c r="V2288" s="110" t="str">
        <f t="shared" si="74"/>
        <v>FWL</v>
      </c>
      <c r="W2288" s="110" t="s">
        <v>541</v>
      </c>
      <c r="X2288" s="110" t="s">
        <v>541</v>
      </c>
      <c r="Y2288" s="110" t="str">
        <f>IFERROR(VLOOKUP(F2288,'Freq-Chan'!C:E,3,FALSE),"na")</f>
        <v>F1840</v>
      </c>
      <c r="Z2288" s="110" t="s">
        <v>541</v>
      </c>
      <c r="AA2288" s="110" t="s">
        <v>541</v>
      </c>
      <c r="AB2288" s="110" t="s">
        <v>541</v>
      </c>
      <c r="AC2288" s="10" t="s">
        <v>541</v>
      </c>
      <c r="AD2288" s="10" t="s">
        <v>541</v>
      </c>
    </row>
    <row r="2289" spans="1:30" x14ac:dyDescent="0.2">
      <c r="A2289" s="110">
        <v>2288</v>
      </c>
      <c r="B2289" s="132">
        <v>41860</v>
      </c>
      <c r="C2289" s="117">
        <v>3</v>
      </c>
      <c r="D2289" s="103" t="s">
        <v>70</v>
      </c>
      <c r="E2289" s="103" t="s">
        <v>306</v>
      </c>
      <c r="F2289" s="103">
        <v>515</v>
      </c>
      <c r="G2289" s="103">
        <v>87</v>
      </c>
      <c r="H2289" s="103" t="s">
        <v>3111</v>
      </c>
      <c r="I2289" s="103">
        <v>50</v>
      </c>
      <c r="K2289" s="103" t="s">
        <v>1032</v>
      </c>
      <c r="L2289" s="133"/>
      <c r="M2289" s="134">
        <v>4.0972222222222222E-2</v>
      </c>
      <c r="N2289" s="137" t="s">
        <v>3239</v>
      </c>
      <c r="O2289" s="133" t="s">
        <v>555</v>
      </c>
      <c r="Q2289" s="100" t="s">
        <v>4132</v>
      </c>
      <c r="R2289" s="226" t="s">
        <v>4136</v>
      </c>
      <c r="S2289" s="491" t="str">
        <f t="shared" si="73"/>
        <v>x</v>
      </c>
      <c r="T2289" s="492">
        <f>IFERROR(VLOOKUP(F2289,'Freq-Chan'!C:D,2,FALSE),"x")</f>
        <v>151.51499999999999</v>
      </c>
      <c r="U2289" s="110" t="s">
        <v>541</v>
      </c>
      <c r="V2289" s="110" t="str">
        <f t="shared" si="74"/>
        <v>FWL</v>
      </c>
      <c r="W2289" s="110" t="s">
        <v>541</v>
      </c>
      <c r="X2289" s="110" t="s">
        <v>541</v>
      </c>
      <c r="Y2289" s="110" t="str">
        <f>IFERROR(VLOOKUP(F2289,'Freq-Chan'!C:E,3,FALSE),"na")</f>
        <v>F1835</v>
      </c>
      <c r="Z2289" s="110" t="s">
        <v>541</v>
      </c>
      <c r="AA2289" s="110" t="s">
        <v>541</v>
      </c>
      <c r="AB2289" s="110" t="s">
        <v>541</v>
      </c>
      <c r="AC2289" s="10" t="s">
        <v>541</v>
      </c>
      <c r="AD2289" s="10" t="s">
        <v>541</v>
      </c>
    </row>
    <row r="2290" spans="1:30" x14ac:dyDescent="0.2">
      <c r="A2290" s="110">
        <v>2289</v>
      </c>
      <c r="B2290" s="132">
        <v>41860</v>
      </c>
      <c r="C2290" s="117">
        <v>3</v>
      </c>
      <c r="D2290" s="103" t="s">
        <v>72</v>
      </c>
      <c r="E2290" s="103" t="s">
        <v>306</v>
      </c>
      <c r="H2290" s="103"/>
      <c r="I2290" s="103">
        <v>49</v>
      </c>
      <c r="K2290" s="103" t="s">
        <v>364</v>
      </c>
      <c r="L2290" s="133"/>
      <c r="M2290" s="134">
        <v>1.9444444444444445E-2</v>
      </c>
      <c r="N2290" s="137" t="s">
        <v>2543</v>
      </c>
      <c r="O2290" s="133" t="s">
        <v>555</v>
      </c>
      <c r="P2290" s="100" t="s">
        <v>4135</v>
      </c>
      <c r="Q2290" s="100" t="s">
        <v>4132</v>
      </c>
      <c r="R2290" s="226" t="s">
        <v>4136</v>
      </c>
      <c r="S2290" s="491" t="str">
        <f t="shared" si="73"/>
        <v>x</v>
      </c>
      <c r="T2290" s="492" t="str">
        <f>IFERROR(VLOOKUP(F2290,'Freq-Chan'!C:D,2,FALSE),"x")</f>
        <v>x</v>
      </c>
      <c r="U2290" s="110" t="s">
        <v>541</v>
      </c>
      <c r="V2290" s="110" t="str">
        <f t="shared" si="74"/>
        <v>FWL</v>
      </c>
      <c r="W2290" s="110" t="s">
        <v>541</v>
      </c>
      <c r="X2290" s="110" t="s">
        <v>541</v>
      </c>
      <c r="Y2290" s="110" t="str">
        <f>IFERROR(VLOOKUP(F2290,'Freq-Chan'!C:E,3,FALSE),"na")</f>
        <v>na</v>
      </c>
      <c r="Z2290" s="110" t="s">
        <v>541</v>
      </c>
      <c r="AA2290" s="110" t="s">
        <v>541</v>
      </c>
      <c r="AB2290" s="110" t="s">
        <v>541</v>
      </c>
      <c r="AC2290" s="10" t="s">
        <v>541</v>
      </c>
      <c r="AD2290" s="10" t="s">
        <v>541</v>
      </c>
    </row>
    <row r="2291" spans="1:30" x14ac:dyDescent="0.2">
      <c r="A2291" s="110">
        <v>2290</v>
      </c>
      <c r="B2291" s="132">
        <v>41860</v>
      </c>
      <c r="C2291" s="117">
        <v>3</v>
      </c>
      <c r="D2291" s="103" t="s">
        <v>72</v>
      </c>
      <c r="E2291" s="103" t="s">
        <v>306</v>
      </c>
      <c r="F2291" s="103">
        <v>266</v>
      </c>
      <c r="G2291" s="103">
        <v>21</v>
      </c>
      <c r="H2291" s="103" t="s">
        <v>3541</v>
      </c>
      <c r="I2291" s="103">
        <v>51</v>
      </c>
      <c r="K2291" s="103" t="s">
        <v>364</v>
      </c>
      <c r="L2291" s="133"/>
      <c r="M2291" s="134">
        <v>5.5555555555555552E-2</v>
      </c>
      <c r="N2291" s="137" t="s">
        <v>307</v>
      </c>
      <c r="O2291" s="133" t="s">
        <v>555</v>
      </c>
      <c r="P2291" s="100" t="s">
        <v>4466</v>
      </c>
      <c r="Q2291" s="100" t="s">
        <v>4132</v>
      </c>
      <c r="R2291" s="226" t="s">
        <v>4136</v>
      </c>
      <c r="S2291" s="491" t="str">
        <f t="shared" ref="S2291:S2354" si="75">IF(IF(OR(L2291=0,N2291=0),"x",ROUND(N2291-L2291-(M2291*24)/(24*60),10))&lt;0,0,IF(OR(L2291=0,N2291=0),"x",ROUND(N2291-L2291-(M2291*24)/(24*60),10)))</f>
        <v>x</v>
      </c>
      <c r="T2291" s="492">
        <f>IFERROR(VLOOKUP(F2291,'Freq-Chan'!C:D,2,FALSE),"x")</f>
        <v>151.26599999999999</v>
      </c>
      <c r="U2291" s="110" t="s">
        <v>541</v>
      </c>
      <c r="V2291" s="110" t="str">
        <f t="shared" ref="V2291:V2354" si="76">IF(OR(C2291=1,C2291=2,C2291=3),"FWL","NRD")</f>
        <v>FWL</v>
      </c>
      <c r="W2291" s="110" t="s">
        <v>541</v>
      </c>
      <c r="X2291" s="110" t="s">
        <v>541</v>
      </c>
      <c r="Y2291" s="110" t="str">
        <f>IFERROR(VLOOKUP(F2291,'Freq-Chan'!C:E,3,FALSE),"na")</f>
        <v>F1840</v>
      </c>
      <c r="Z2291" s="110" t="s">
        <v>541</v>
      </c>
      <c r="AA2291" s="110" t="s">
        <v>541</v>
      </c>
      <c r="AB2291" s="110" t="s">
        <v>541</v>
      </c>
      <c r="AC2291" s="10" t="s">
        <v>541</v>
      </c>
      <c r="AD2291" s="10" t="s">
        <v>541</v>
      </c>
    </row>
    <row r="2292" spans="1:30" s="291" customFormat="1" x14ac:dyDescent="0.2">
      <c r="A2292" s="493">
        <v>2291</v>
      </c>
      <c r="B2292" s="283">
        <v>41860</v>
      </c>
      <c r="C2292" s="284">
        <v>3</v>
      </c>
      <c r="D2292" s="285" t="s">
        <v>72</v>
      </c>
      <c r="E2292" s="285" t="s">
        <v>306</v>
      </c>
      <c r="F2292" s="285">
        <v>325</v>
      </c>
      <c r="G2292" s="285">
        <v>23</v>
      </c>
      <c r="H2292" s="285" t="s">
        <v>3542</v>
      </c>
      <c r="I2292" s="285">
        <v>53</v>
      </c>
      <c r="J2292" s="285"/>
      <c r="K2292" s="285" t="s">
        <v>364</v>
      </c>
      <c r="L2292" s="286"/>
      <c r="M2292" s="287">
        <v>4.4444444444444446E-2</v>
      </c>
      <c r="N2292" s="339" t="s">
        <v>3242</v>
      </c>
      <c r="O2292" s="286" t="s">
        <v>555</v>
      </c>
      <c r="P2292" s="289"/>
      <c r="Q2292" s="289" t="s">
        <v>4132</v>
      </c>
      <c r="R2292" s="290" t="s">
        <v>4136</v>
      </c>
      <c r="S2292" s="494" t="str">
        <f t="shared" si="75"/>
        <v>x</v>
      </c>
      <c r="T2292" s="495">
        <f>IFERROR(VLOOKUP(F2292,'Freq-Chan'!C:D,2,FALSE),"x")</f>
        <v>151.32499999999999</v>
      </c>
      <c r="U2292" s="493" t="s">
        <v>541</v>
      </c>
      <c r="V2292" s="493" t="str">
        <f t="shared" si="76"/>
        <v>FWL</v>
      </c>
      <c r="W2292" s="493" t="s">
        <v>541</v>
      </c>
      <c r="X2292" s="493" t="s">
        <v>541</v>
      </c>
      <c r="Y2292" s="493" t="str">
        <f>IFERROR(VLOOKUP(F2292,'Freq-Chan'!C:E,3,FALSE),"na")</f>
        <v>F1840</v>
      </c>
      <c r="Z2292" s="493" t="s">
        <v>541</v>
      </c>
      <c r="AA2292" s="493" t="s">
        <v>541</v>
      </c>
      <c r="AB2292" s="493" t="s">
        <v>541</v>
      </c>
      <c r="AC2292" s="291" t="s">
        <v>541</v>
      </c>
      <c r="AD2292" s="291" t="s">
        <v>541</v>
      </c>
    </row>
    <row r="2293" spans="1:30" x14ac:dyDescent="0.2">
      <c r="A2293" s="110">
        <v>2292</v>
      </c>
      <c r="B2293" s="132">
        <v>41861</v>
      </c>
      <c r="C2293" s="117">
        <v>1</v>
      </c>
      <c r="D2293" s="103" t="s">
        <v>71</v>
      </c>
      <c r="E2293" s="103" t="s">
        <v>306</v>
      </c>
      <c r="H2293" s="103"/>
      <c r="I2293" s="103">
        <v>58</v>
      </c>
      <c r="K2293" s="103" t="s">
        <v>365</v>
      </c>
      <c r="L2293" s="133">
        <v>0.3756944444444445</v>
      </c>
      <c r="M2293" s="134">
        <v>1.9444444444444445E-2</v>
      </c>
      <c r="N2293" s="135" t="s">
        <v>3351</v>
      </c>
      <c r="O2293" s="133" t="s">
        <v>1585</v>
      </c>
      <c r="Q2293" s="100" t="s">
        <v>4139</v>
      </c>
      <c r="R2293" s="226" t="s">
        <v>4136</v>
      </c>
      <c r="S2293" s="491">
        <f t="shared" si="75"/>
        <v>1.7592593000000001E-3</v>
      </c>
      <c r="T2293" s="492" t="str">
        <f>IFERROR(VLOOKUP(F2293,'Freq-Chan'!C:D,2,FALSE),"x")</f>
        <v>x</v>
      </c>
      <c r="U2293" s="110" t="s">
        <v>541</v>
      </c>
      <c r="V2293" s="110" t="str">
        <f t="shared" si="76"/>
        <v>FWL</v>
      </c>
      <c r="W2293" s="110" t="s">
        <v>541</v>
      </c>
      <c r="X2293" s="110" t="s">
        <v>541</v>
      </c>
      <c r="Y2293" s="110" t="str">
        <f>IFERROR(VLOOKUP(F2293,'Freq-Chan'!C:E,3,FALSE),"na")</f>
        <v>na</v>
      </c>
      <c r="Z2293" s="110" t="s">
        <v>541</v>
      </c>
      <c r="AA2293" s="110" t="s">
        <v>541</v>
      </c>
      <c r="AB2293" s="110" t="s">
        <v>541</v>
      </c>
      <c r="AC2293" s="10" t="s">
        <v>541</v>
      </c>
      <c r="AD2293" s="10" t="s">
        <v>541</v>
      </c>
    </row>
    <row r="2294" spans="1:30" x14ac:dyDescent="0.2">
      <c r="A2294" s="110">
        <v>2293</v>
      </c>
      <c r="B2294" s="132">
        <v>41861</v>
      </c>
      <c r="C2294" s="117">
        <v>1</v>
      </c>
      <c r="D2294" s="103" t="s">
        <v>70</v>
      </c>
      <c r="E2294" s="103" t="s">
        <v>306</v>
      </c>
      <c r="H2294" s="103"/>
      <c r="I2294" s="103">
        <v>45</v>
      </c>
      <c r="K2294" s="103" t="s">
        <v>365</v>
      </c>
      <c r="L2294" s="133"/>
      <c r="M2294" s="134">
        <v>1.4583333333333332E-2</v>
      </c>
      <c r="N2294" s="137" t="s">
        <v>3349</v>
      </c>
      <c r="O2294" s="133" t="s">
        <v>1585</v>
      </c>
      <c r="Q2294" s="100" t="s">
        <v>4139</v>
      </c>
      <c r="R2294" s="226" t="s">
        <v>4136</v>
      </c>
      <c r="S2294" s="491" t="str">
        <f t="shared" si="75"/>
        <v>x</v>
      </c>
      <c r="T2294" s="492" t="str">
        <f>IFERROR(VLOOKUP(F2294,'Freq-Chan'!C:D,2,FALSE),"x")</f>
        <v>x</v>
      </c>
      <c r="U2294" s="110" t="s">
        <v>541</v>
      </c>
      <c r="V2294" s="110" t="str">
        <f t="shared" si="76"/>
        <v>FWL</v>
      </c>
      <c r="W2294" s="110" t="s">
        <v>541</v>
      </c>
      <c r="X2294" s="110" t="s">
        <v>541</v>
      </c>
      <c r="Y2294" s="110" t="str">
        <f>IFERROR(VLOOKUP(F2294,'Freq-Chan'!C:E,3,FALSE),"na")</f>
        <v>na</v>
      </c>
      <c r="Z2294" s="110" t="s">
        <v>541</v>
      </c>
      <c r="AA2294" s="110" t="s">
        <v>541</v>
      </c>
      <c r="AB2294" s="110" t="s">
        <v>541</v>
      </c>
      <c r="AC2294" s="10" t="s">
        <v>541</v>
      </c>
      <c r="AD2294" s="10" t="s">
        <v>541</v>
      </c>
    </row>
    <row r="2295" spans="1:30" x14ac:dyDescent="0.2">
      <c r="A2295" s="110">
        <v>2294</v>
      </c>
      <c r="B2295" s="132">
        <v>41861</v>
      </c>
      <c r="C2295" s="117">
        <v>1</v>
      </c>
      <c r="D2295" s="103" t="s">
        <v>70</v>
      </c>
      <c r="E2295" s="103" t="s">
        <v>306</v>
      </c>
      <c r="H2295" s="103"/>
      <c r="I2295" s="103">
        <v>40</v>
      </c>
      <c r="K2295" s="103" t="s">
        <v>1032</v>
      </c>
      <c r="L2295" s="133"/>
      <c r="M2295" s="134">
        <v>1.5277777777777777E-2</v>
      </c>
      <c r="N2295" s="135" t="s">
        <v>835</v>
      </c>
      <c r="O2295" s="133" t="s">
        <v>1585</v>
      </c>
      <c r="Q2295" s="100" t="s">
        <v>4139</v>
      </c>
      <c r="R2295" s="226" t="s">
        <v>4136</v>
      </c>
      <c r="S2295" s="491" t="str">
        <f t="shared" si="75"/>
        <v>x</v>
      </c>
      <c r="T2295" s="492" t="str">
        <f>IFERROR(VLOOKUP(F2295,'Freq-Chan'!C:D,2,FALSE),"x")</f>
        <v>x</v>
      </c>
      <c r="U2295" s="110" t="s">
        <v>541</v>
      </c>
      <c r="V2295" s="110" t="str">
        <f t="shared" si="76"/>
        <v>FWL</v>
      </c>
      <c r="W2295" s="110" t="s">
        <v>541</v>
      </c>
      <c r="X2295" s="110" t="s">
        <v>541</v>
      </c>
      <c r="Y2295" s="110" t="str">
        <f>IFERROR(VLOOKUP(F2295,'Freq-Chan'!C:E,3,FALSE),"na")</f>
        <v>na</v>
      </c>
      <c r="Z2295" s="110" t="s">
        <v>541</v>
      </c>
      <c r="AA2295" s="110" t="s">
        <v>541</v>
      </c>
      <c r="AB2295" s="110" t="s">
        <v>541</v>
      </c>
      <c r="AC2295" s="10" t="s">
        <v>541</v>
      </c>
      <c r="AD2295" s="10" t="s">
        <v>541</v>
      </c>
    </row>
    <row r="2296" spans="1:30" x14ac:dyDescent="0.2">
      <c r="A2296" s="110">
        <v>2295</v>
      </c>
      <c r="B2296" s="132">
        <v>41861</v>
      </c>
      <c r="C2296" s="117">
        <v>1</v>
      </c>
      <c r="D2296" s="103" t="s">
        <v>70</v>
      </c>
      <c r="E2296" s="103" t="s">
        <v>306</v>
      </c>
      <c r="H2296" s="103"/>
      <c r="I2296" s="103">
        <v>45</v>
      </c>
      <c r="K2296" s="103" t="s">
        <v>365</v>
      </c>
      <c r="L2296" s="133"/>
      <c r="M2296" s="134">
        <v>1.3194444444444444E-2</v>
      </c>
      <c r="N2296" s="137" t="s">
        <v>3961</v>
      </c>
      <c r="O2296" s="133" t="s">
        <v>1585</v>
      </c>
      <c r="Q2296" s="100" t="s">
        <v>4139</v>
      </c>
      <c r="R2296" s="226" t="s">
        <v>4136</v>
      </c>
      <c r="S2296" s="491" t="str">
        <f t="shared" si="75"/>
        <v>x</v>
      </c>
      <c r="T2296" s="492" t="str">
        <f>IFERROR(VLOOKUP(F2296,'Freq-Chan'!C:D,2,FALSE),"x")</f>
        <v>x</v>
      </c>
      <c r="U2296" s="110" t="s">
        <v>541</v>
      </c>
      <c r="V2296" s="110" t="str">
        <f t="shared" si="76"/>
        <v>FWL</v>
      </c>
      <c r="W2296" s="110" t="s">
        <v>541</v>
      </c>
      <c r="X2296" s="110" t="s">
        <v>541</v>
      </c>
      <c r="Y2296" s="110" t="str">
        <f>IFERROR(VLOOKUP(F2296,'Freq-Chan'!C:E,3,FALSE),"na")</f>
        <v>na</v>
      </c>
      <c r="Z2296" s="110" t="s">
        <v>541</v>
      </c>
      <c r="AA2296" s="110" t="s">
        <v>541</v>
      </c>
      <c r="AB2296" s="110" t="s">
        <v>541</v>
      </c>
      <c r="AC2296" s="10" t="s">
        <v>541</v>
      </c>
      <c r="AD2296" s="10" t="s">
        <v>541</v>
      </c>
    </row>
    <row r="2297" spans="1:30" x14ac:dyDescent="0.2">
      <c r="A2297" s="110">
        <v>2296</v>
      </c>
      <c r="B2297" s="132">
        <v>41861</v>
      </c>
      <c r="C2297" s="117">
        <v>1</v>
      </c>
      <c r="D2297" s="103" t="s">
        <v>70</v>
      </c>
      <c r="E2297" s="103" t="s">
        <v>306</v>
      </c>
      <c r="H2297" s="103"/>
      <c r="I2297" s="103">
        <v>45</v>
      </c>
      <c r="K2297" s="103" t="s">
        <v>365</v>
      </c>
      <c r="L2297" s="133"/>
      <c r="M2297" s="134">
        <v>1.5277777777777777E-2</v>
      </c>
      <c r="N2297" s="135" t="s">
        <v>2527</v>
      </c>
      <c r="O2297" s="133" t="s">
        <v>1585</v>
      </c>
      <c r="Q2297" s="100" t="s">
        <v>4139</v>
      </c>
      <c r="R2297" s="226" t="s">
        <v>4136</v>
      </c>
      <c r="S2297" s="491" t="str">
        <f t="shared" si="75"/>
        <v>x</v>
      </c>
      <c r="T2297" s="492" t="str">
        <f>IFERROR(VLOOKUP(F2297,'Freq-Chan'!C:D,2,FALSE),"x")</f>
        <v>x</v>
      </c>
      <c r="U2297" s="110" t="s">
        <v>541</v>
      </c>
      <c r="V2297" s="110" t="str">
        <f t="shared" si="76"/>
        <v>FWL</v>
      </c>
      <c r="W2297" s="110" t="s">
        <v>541</v>
      </c>
      <c r="X2297" s="110" t="s">
        <v>541</v>
      </c>
      <c r="Y2297" s="110" t="str">
        <f>IFERROR(VLOOKUP(F2297,'Freq-Chan'!C:E,3,FALSE),"na")</f>
        <v>na</v>
      </c>
      <c r="Z2297" s="110" t="s">
        <v>541</v>
      </c>
      <c r="AA2297" s="110" t="s">
        <v>541</v>
      </c>
      <c r="AB2297" s="110" t="s">
        <v>541</v>
      </c>
      <c r="AC2297" s="10" t="s">
        <v>541</v>
      </c>
      <c r="AD2297" s="10" t="s">
        <v>541</v>
      </c>
    </row>
    <row r="2298" spans="1:30" x14ac:dyDescent="0.2">
      <c r="A2298" s="110">
        <v>2297</v>
      </c>
      <c r="B2298" s="132">
        <v>41861</v>
      </c>
      <c r="C2298" s="117">
        <v>1</v>
      </c>
      <c r="D2298" s="103" t="s">
        <v>72</v>
      </c>
      <c r="E2298" s="103" t="s">
        <v>306</v>
      </c>
      <c r="F2298" s="103">
        <v>325</v>
      </c>
      <c r="G2298" s="103">
        <v>40</v>
      </c>
      <c r="H2298" s="103" t="s">
        <v>3554</v>
      </c>
      <c r="I2298" s="103">
        <v>48</v>
      </c>
      <c r="K2298" s="103" t="s">
        <v>364</v>
      </c>
      <c r="L2298" s="133"/>
      <c r="M2298" s="134">
        <v>9.0277777777777776E-2</v>
      </c>
      <c r="N2298" s="135" t="s">
        <v>3253</v>
      </c>
      <c r="O2298" s="133" t="s">
        <v>1585</v>
      </c>
      <c r="Q2298" s="100" t="s">
        <v>4139</v>
      </c>
      <c r="R2298" s="226" t="s">
        <v>4136</v>
      </c>
      <c r="S2298" s="491" t="str">
        <f t="shared" si="75"/>
        <v>x</v>
      </c>
      <c r="T2298" s="492">
        <f>IFERROR(VLOOKUP(F2298,'Freq-Chan'!C:D,2,FALSE),"x")</f>
        <v>151.32499999999999</v>
      </c>
      <c r="U2298" s="110" t="s">
        <v>541</v>
      </c>
      <c r="V2298" s="110" t="str">
        <f t="shared" si="76"/>
        <v>FWL</v>
      </c>
      <c r="W2298" s="110" t="s">
        <v>541</v>
      </c>
      <c r="X2298" s="110" t="s">
        <v>541</v>
      </c>
      <c r="Y2298" s="110" t="str">
        <f>IFERROR(VLOOKUP(F2298,'Freq-Chan'!C:E,3,FALSE),"na")</f>
        <v>F1840</v>
      </c>
      <c r="Z2298" s="110" t="s">
        <v>541</v>
      </c>
      <c r="AA2298" s="110" t="s">
        <v>541</v>
      </c>
      <c r="AB2298" s="110" t="s">
        <v>541</v>
      </c>
      <c r="AC2298" s="10" t="s">
        <v>541</v>
      </c>
      <c r="AD2298" s="10" t="s">
        <v>541</v>
      </c>
    </row>
    <row r="2299" spans="1:30" x14ac:dyDescent="0.2">
      <c r="A2299" s="110">
        <v>2298</v>
      </c>
      <c r="B2299" s="132">
        <v>41861</v>
      </c>
      <c r="C2299" s="117">
        <v>1</v>
      </c>
      <c r="D2299" s="103" t="s">
        <v>71</v>
      </c>
      <c r="E2299" s="103" t="s">
        <v>306</v>
      </c>
      <c r="F2299" s="103">
        <v>534</v>
      </c>
      <c r="G2299" s="103">
        <v>19</v>
      </c>
      <c r="H2299" s="103" t="s">
        <v>2437</v>
      </c>
      <c r="I2299" s="103">
        <v>62</v>
      </c>
      <c r="K2299" s="103" t="s">
        <v>1032</v>
      </c>
      <c r="L2299" s="133"/>
      <c r="M2299" s="134">
        <v>4.8611111111111112E-2</v>
      </c>
      <c r="N2299" s="137" t="s">
        <v>3451</v>
      </c>
      <c r="O2299" s="133" t="s">
        <v>1585</v>
      </c>
      <c r="Q2299" s="100" t="s">
        <v>4139</v>
      </c>
      <c r="R2299" s="226" t="s">
        <v>4136</v>
      </c>
      <c r="S2299" s="491" t="str">
        <f t="shared" si="75"/>
        <v>x</v>
      </c>
      <c r="T2299" s="492">
        <f>IFERROR(VLOOKUP(F2299,'Freq-Chan'!C:D,2,FALSE),"x")</f>
        <v>151.53399999999999</v>
      </c>
      <c r="U2299" s="110" t="s">
        <v>541</v>
      </c>
      <c r="V2299" s="110" t="str">
        <f t="shared" si="76"/>
        <v>FWL</v>
      </c>
      <c r="W2299" s="110" t="s">
        <v>541</v>
      </c>
      <c r="X2299" s="110" t="s">
        <v>541</v>
      </c>
      <c r="Y2299" s="110" t="str">
        <f>IFERROR(VLOOKUP(F2299,'Freq-Chan'!C:E,3,FALSE),"na")</f>
        <v>F1840</v>
      </c>
      <c r="Z2299" s="110" t="s">
        <v>541</v>
      </c>
      <c r="AA2299" s="110" t="s">
        <v>541</v>
      </c>
      <c r="AB2299" s="110" t="s">
        <v>541</v>
      </c>
      <c r="AC2299" s="10" t="s">
        <v>541</v>
      </c>
      <c r="AD2299" s="10" t="s">
        <v>541</v>
      </c>
    </row>
    <row r="2300" spans="1:30" x14ac:dyDescent="0.2">
      <c r="A2300" s="110">
        <v>2299</v>
      </c>
      <c r="B2300" s="132">
        <v>41861</v>
      </c>
      <c r="C2300" s="117">
        <v>1</v>
      </c>
      <c r="D2300" s="103" t="s">
        <v>70</v>
      </c>
      <c r="E2300" s="103" t="s">
        <v>306</v>
      </c>
      <c r="H2300" s="103"/>
      <c r="I2300" s="103">
        <v>45</v>
      </c>
      <c r="K2300" s="103" t="s">
        <v>365</v>
      </c>
      <c r="L2300" s="133"/>
      <c r="M2300" s="134">
        <v>1.3194444444444444E-2</v>
      </c>
      <c r="N2300" s="137" t="s">
        <v>2689</v>
      </c>
      <c r="O2300" s="133" t="s">
        <v>1585</v>
      </c>
      <c r="Q2300" s="100" t="s">
        <v>4139</v>
      </c>
      <c r="R2300" s="226" t="s">
        <v>4136</v>
      </c>
      <c r="S2300" s="491" t="str">
        <f t="shared" si="75"/>
        <v>x</v>
      </c>
      <c r="T2300" s="492" t="str">
        <f>IFERROR(VLOOKUP(F2300,'Freq-Chan'!C:D,2,FALSE),"x")</f>
        <v>x</v>
      </c>
      <c r="U2300" s="110" t="s">
        <v>541</v>
      </c>
      <c r="V2300" s="110" t="str">
        <f t="shared" si="76"/>
        <v>FWL</v>
      </c>
      <c r="W2300" s="110" t="s">
        <v>541</v>
      </c>
      <c r="X2300" s="110" t="s">
        <v>541</v>
      </c>
      <c r="Y2300" s="110" t="str">
        <f>IFERROR(VLOOKUP(F2300,'Freq-Chan'!C:E,3,FALSE),"na")</f>
        <v>na</v>
      </c>
      <c r="Z2300" s="110" t="s">
        <v>541</v>
      </c>
      <c r="AA2300" s="110" t="s">
        <v>541</v>
      </c>
      <c r="AB2300" s="110" t="s">
        <v>541</v>
      </c>
      <c r="AC2300" s="10" t="s">
        <v>541</v>
      </c>
      <c r="AD2300" s="10" t="s">
        <v>541</v>
      </c>
    </row>
    <row r="2301" spans="1:30" x14ac:dyDescent="0.2">
      <c r="A2301" s="110">
        <v>2300</v>
      </c>
      <c r="B2301" s="132">
        <v>41861</v>
      </c>
      <c r="C2301" s="117">
        <v>1</v>
      </c>
      <c r="D2301" s="103" t="s">
        <v>70</v>
      </c>
      <c r="E2301" s="103" t="s">
        <v>306</v>
      </c>
      <c r="H2301" s="103"/>
      <c r="I2301" s="103">
        <v>50</v>
      </c>
      <c r="K2301" s="103" t="s">
        <v>1032</v>
      </c>
      <c r="L2301" s="133"/>
      <c r="M2301" s="134">
        <v>1.3194444444444444E-2</v>
      </c>
      <c r="N2301" s="137" t="s">
        <v>2691</v>
      </c>
      <c r="O2301" s="133" t="s">
        <v>1663</v>
      </c>
      <c r="Q2301" s="100" t="s">
        <v>4139</v>
      </c>
      <c r="R2301" s="226" t="s">
        <v>4136</v>
      </c>
      <c r="S2301" s="491" t="str">
        <f t="shared" si="75"/>
        <v>x</v>
      </c>
      <c r="T2301" s="492" t="str">
        <f>IFERROR(VLOOKUP(F2301,'Freq-Chan'!C:D,2,FALSE),"x")</f>
        <v>x</v>
      </c>
      <c r="U2301" s="110" t="s">
        <v>541</v>
      </c>
      <c r="V2301" s="110" t="str">
        <f t="shared" si="76"/>
        <v>FWL</v>
      </c>
      <c r="W2301" s="110" t="s">
        <v>541</v>
      </c>
      <c r="X2301" s="110" t="s">
        <v>541</v>
      </c>
      <c r="Y2301" s="110" t="str">
        <f>IFERROR(VLOOKUP(F2301,'Freq-Chan'!C:E,3,FALSE),"na")</f>
        <v>na</v>
      </c>
      <c r="Z2301" s="110" t="s">
        <v>541</v>
      </c>
      <c r="AA2301" s="110" t="s">
        <v>541</v>
      </c>
      <c r="AB2301" s="110" t="s">
        <v>541</v>
      </c>
      <c r="AC2301" s="10" t="s">
        <v>541</v>
      </c>
      <c r="AD2301" s="10" t="s">
        <v>541</v>
      </c>
    </row>
    <row r="2302" spans="1:30" x14ac:dyDescent="0.2">
      <c r="A2302" s="110">
        <v>2301</v>
      </c>
      <c r="B2302" s="132">
        <v>41861</v>
      </c>
      <c r="C2302" s="117">
        <v>1</v>
      </c>
      <c r="D2302" s="103" t="s">
        <v>70</v>
      </c>
      <c r="E2302" s="103" t="s">
        <v>306</v>
      </c>
      <c r="H2302" s="103"/>
      <c r="I2302" s="103">
        <v>45</v>
      </c>
      <c r="K2302" s="103" t="s">
        <v>365</v>
      </c>
      <c r="L2302" s="133"/>
      <c r="M2302" s="134">
        <v>1.5277777777777777E-2</v>
      </c>
      <c r="N2302" s="137" t="s">
        <v>3210</v>
      </c>
      <c r="O2302" s="133" t="s">
        <v>1663</v>
      </c>
      <c r="Q2302" s="100" t="s">
        <v>4139</v>
      </c>
      <c r="R2302" s="226" t="s">
        <v>4136</v>
      </c>
      <c r="S2302" s="491" t="str">
        <f t="shared" si="75"/>
        <v>x</v>
      </c>
      <c r="T2302" s="492" t="str">
        <f>IFERROR(VLOOKUP(F2302,'Freq-Chan'!C:D,2,FALSE),"x")</f>
        <v>x</v>
      </c>
      <c r="U2302" s="110" t="s">
        <v>541</v>
      </c>
      <c r="V2302" s="110" t="str">
        <f t="shared" si="76"/>
        <v>FWL</v>
      </c>
      <c r="W2302" s="110" t="s">
        <v>541</v>
      </c>
      <c r="X2302" s="110" t="s">
        <v>541</v>
      </c>
      <c r="Y2302" s="110" t="str">
        <f>IFERROR(VLOOKUP(F2302,'Freq-Chan'!C:E,3,FALSE),"na")</f>
        <v>na</v>
      </c>
      <c r="Z2302" s="110" t="s">
        <v>541</v>
      </c>
      <c r="AA2302" s="110" t="s">
        <v>541</v>
      </c>
      <c r="AB2302" s="110" t="s">
        <v>541</v>
      </c>
      <c r="AC2302" s="10" t="s">
        <v>541</v>
      </c>
      <c r="AD2302" s="10" t="s">
        <v>541</v>
      </c>
    </row>
    <row r="2303" spans="1:30" x14ac:dyDescent="0.2">
      <c r="A2303" s="110">
        <v>2302</v>
      </c>
      <c r="B2303" s="132">
        <v>41861</v>
      </c>
      <c r="C2303" s="117">
        <v>1</v>
      </c>
      <c r="D2303" s="103" t="s">
        <v>71</v>
      </c>
      <c r="E2303" s="103" t="s">
        <v>306</v>
      </c>
      <c r="H2303" s="103"/>
      <c r="I2303" s="103">
        <v>52</v>
      </c>
      <c r="K2303" s="103" t="s">
        <v>1032</v>
      </c>
      <c r="L2303" s="133"/>
      <c r="M2303" s="134">
        <v>1.0416666666666666E-2</v>
      </c>
      <c r="N2303" s="137" t="s">
        <v>3981</v>
      </c>
      <c r="O2303" s="133" t="s">
        <v>1663</v>
      </c>
      <c r="Q2303" s="100" t="s">
        <v>4139</v>
      </c>
      <c r="R2303" s="226" t="s">
        <v>4136</v>
      </c>
      <c r="S2303" s="491" t="str">
        <f t="shared" si="75"/>
        <v>x</v>
      </c>
      <c r="T2303" s="492" t="str">
        <f>IFERROR(VLOOKUP(F2303,'Freq-Chan'!C:D,2,FALSE),"x")</f>
        <v>x</v>
      </c>
      <c r="U2303" s="110" t="s">
        <v>541</v>
      </c>
      <c r="V2303" s="110" t="str">
        <f t="shared" si="76"/>
        <v>FWL</v>
      </c>
      <c r="W2303" s="110" t="s">
        <v>541</v>
      </c>
      <c r="X2303" s="110" t="s">
        <v>541</v>
      </c>
      <c r="Y2303" s="110" t="str">
        <f>IFERROR(VLOOKUP(F2303,'Freq-Chan'!C:E,3,FALSE),"na")</f>
        <v>na</v>
      </c>
      <c r="Z2303" s="110" t="s">
        <v>541</v>
      </c>
      <c r="AA2303" s="110" t="s">
        <v>541</v>
      </c>
      <c r="AB2303" s="110" t="s">
        <v>541</v>
      </c>
      <c r="AC2303" s="10" t="s">
        <v>541</v>
      </c>
      <c r="AD2303" s="10" t="s">
        <v>541</v>
      </c>
    </row>
    <row r="2304" spans="1:30" x14ac:dyDescent="0.2">
      <c r="A2304" s="110">
        <v>2303</v>
      </c>
      <c r="B2304" s="132">
        <v>41861</v>
      </c>
      <c r="C2304" s="117">
        <v>1</v>
      </c>
      <c r="D2304" s="103" t="s">
        <v>71</v>
      </c>
      <c r="E2304" s="103" t="s">
        <v>306</v>
      </c>
      <c r="H2304" s="103"/>
      <c r="I2304" s="103">
        <v>53</v>
      </c>
      <c r="K2304" s="103" t="s">
        <v>364</v>
      </c>
      <c r="L2304" s="133"/>
      <c r="M2304" s="134">
        <v>1.3888888888888888E-2</v>
      </c>
      <c r="N2304" s="137" t="s">
        <v>3733</v>
      </c>
      <c r="O2304" s="133" t="s">
        <v>1663</v>
      </c>
      <c r="Q2304" s="100" t="s">
        <v>4139</v>
      </c>
      <c r="R2304" s="226" t="s">
        <v>4136</v>
      </c>
      <c r="S2304" s="491" t="str">
        <f t="shared" si="75"/>
        <v>x</v>
      </c>
      <c r="T2304" s="492" t="str">
        <f>IFERROR(VLOOKUP(F2304,'Freq-Chan'!C:D,2,FALSE),"x")</f>
        <v>x</v>
      </c>
      <c r="U2304" s="110" t="s">
        <v>541</v>
      </c>
      <c r="V2304" s="110" t="str">
        <f t="shared" si="76"/>
        <v>FWL</v>
      </c>
      <c r="W2304" s="110" t="s">
        <v>541</v>
      </c>
      <c r="X2304" s="110" t="s">
        <v>541</v>
      </c>
      <c r="Y2304" s="110" t="str">
        <f>IFERROR(VLOOKUP(F2304,'Freq-Chan'!C:E,3,FALSE),"na")</f>
        <v>na</v>
      </c>
      <c r="Z2304" s="110" t="s">
        <v>541</v>
      </c>
      <c r="AA2304" s="110" t="s">
        <v>541</v>
      </c>
      <c r="AB2304" s="110" t="s">
        <v>541</v>
      </c>
      <c r="AC2304" s="10" t="s">
        <v>541</v>
      </c>
      <c r="AD2304" s="10" t="s">
        <v>541</v>
      </c>
    </row>
    <row r="2305" spans="1:30" x14ac:dyDescent="0.2">
      <c r="A2305" s="110">
        <v>2304</v>
      </c>
      <c r="B2305" s="132">
        <v>41861</v>
      </c>
      <c r="C2305" s="117">
        <v>1</v>
      </c>
      <c r="D2305" s="103" t="s">
        <v>70</v>
      </c>
      <c r="E2305" s="103" t="s">
        <v>306</v>
      </c>
      <c r="H2305" s="103"/>
      <c r="I2305" s="103">
        <v>44</v>
      </c>
      <c r="K2305" s="103" t="s">
        <v>365</v>
      </c>
      <c r="L2305" s="133"/>
      <c r="M2305" s="134">
        <v>1.5972222222222224E-2</v>
      </c>
      <c r="N2305" s="137" t="s">
        <v>3734</v>
      </c>
      <c r="O2305" s="133" t="s">
        <v>1663</v>
      </c>
      <c r="Q2305" s="100" t="s">
        <v>4139</v>
      </c>
      <c r="R2305" s="226" t="s">
        <v>4136</v>
      </c>
      <c r="S2305" s="491" t="str">
        <f t="shared" si="75"/>
        <v>x</v>
      </c>
      <c r="T2305" s="492" t="str">
        <f>IFERROR(VLOOKUP(F2305,'Freq-Chan'!C:D,2,FALSE),"x")</f>
        <v>x</v>
      </c>
      <c r="U2305" s="110" t="s">
        <v>541</v>
      </c>
      <c r="V2305" s="110" t="str">
        <f t="shared" si="76"/>
        <v>FWL</v>
      </c>
      <c r="W2305" s="110" t="s">
        <v>541</v>
      </c>
      <c r="X2305" s="110" t="s">
        <v>541</v>
      </c>
      <c r="Y2305" s="110" t="str">
        <f>IFERROR(VLOOKUP(F2305,'Freq-Chan'!C:E,3,FALSE),"na")</f>
        <v>na</v>
      </c>
      <c r="Z2305" s="110" t="s">
        <v>541</v>
      </c>
      <c r="AA2305" s="110" t="s">
        <v>541</v>
      </c>
      <c r="AB2305" s="110" t="s">
        <v>541</v>
      </c>
      <c r="AC2305" s="10" t="s">
        <v>541</v>
      </c>
      <c r="AD2305" s="10" t="s">
        <v>541</v>
      </c>
    </row>
    <row r="2306" spans="1:30" x14ac:dyDescent="0.2">
      <c r="A2306" s="110">
        <v>2305</v>
      </c>
      <c r="B2306" s="132">
        <v>41861</v>
      </c>
      <c r="C2306" s="117">
        <v>1</v>
      </c>
      <c r="D2306" s="103" t="s">
        <v>70</v>
      </c>
      <c r="E2306" s="103" t="s">
        <v>306</v>
      </c>
      <c r="H2306" s="103"/>
      <c r="I2306" s="103">
        <v>43</v>
      </c>
      <c r="K2306" s="103" t="s">
        <v>1032</v>
      </c>
      <c r="L2306" s="133"/>
      <c r="M2306" s="134">
        <v>1.0416666666666666E-2</v>
      </c>
      <c r="N2306" s="137" t="s">
        <v>3735</v>
      </c>
      <c r="O2306" s="133" t="s">
        <v>1663</v>
      </c>
      <c r="Q2306" s="100" t="s">
        <v>4139</v>
      </c>
      <c r="R2306" s="226" t="s">
        <v>4136</v>
      </c>
      <c r="S2306" s="491" t="str">
        <f t="shared" si="75"/>
        <v>x</v>
      </c>
      <c r="T2306" s="492" t="str">
        <f>IFERROR(VLOOKUP(F2306,'Freq-Chan'!C:D,2,FALSE),"x")</f>
        <v>x</v>
      </c>
      <c r="U2306" s="110" t="s">
        <v>541</v>
      </c>
      <c r="V2306" s="110" t="str">
        <f t="shared" si="76"/>
        <v>FWL</v>
      </c>
      <c r="W2306" s="110" t="s">
        <v>541</v>
      </c>
      <c r="X2306" s="110" t="s">
        <v>541</v>
      </c>
      <c r="Y2306" s="110" t="str">
        <f>IFERROR(VLOOKUP(F2306,'Freq-Chan'!C:E,3,FALSE),"na")</f>
        <v>na</v>
      </c>
      <c r="Z2306" s="110" t="s">
        <v>541</v>
      </c>
      <c r="AA2306" s="110" t="s">
        <v>541</v>
      </c>
      <c r="AB2306" s="110" t="s">
        <v>541</v>
      </c>
      <c r="AC2306" s="10" t="s">
        <v>541</v>
      </c>
      <c r="AD2306" s="10" t="s">
        <v>541</v>
      </c>
    </row>
    <row r="2307" spans="1:30" x14ac:dyDescent="0.2">
      <c r="A2307" s="110">
        <v>2306</v>
      </c>
      <c r="B2307" s="132">
        <v>41861</v>
      </c>
      <c r="C2307" s="117">
        <v>1</v>
      </c>
      <c r="D2307" s="103" t="s">
        <v>71</v>
      </c>
      <c r="E2307" s="103" t="s">
        <v>306</v>
      </c>
      <c r="H2307" s="103"/>
      <c r="I2307" s="103">
        <v>56</v>
      </c>
      <c r="K2307" s="103" t="s">
        <v>1032</v>
      </c>
      <c r="L2307" s="133"/>
      <c r="M2307" s="134">
        <v>1.3194444444444444E-2</v>
      </c>
      <c r="N2307" s="137" t="s">
        <v>763</v>
      </c>
      <c r="O2307" s="133" t="s">
        <v>1663</v>
      </c>
      <c r="Q2307" s="100" t="s">
        <v>4139</v>
      </c>
      <c r="R2307" s="226" t="s">
        <v>4136</v>
      </c>
      <c r="S2307" s="491" t="str">
        <f t="shared" si="75"/>
        <v>x</v>
      </c>
      <c r="T2307" s="492" t="str">
        <f>IFERROR(VLOOKUP(F2307,'Freq-Chan'!C:D,2,FALSE),"x")</f>
        <v>x</v>
      </c>
      <c r="U2307" s="110" t="s">
        <v>541</v>
      </c>
      <c r="V2307" s="110" t="str">
        <f t="shared" si="76"/>
        <v>FWL</v>
      </c>
      <c r="W2307" s="110" t="s">
        <v>541</v>
      </c>
      <c r="X2307" s="110" t="s">
        <v>541</v>
      </c>
      <c r="Y2307" s="110" t="str">
        <f>IFERROR(VLOOKUP(F2307,'Freq-Chan'!C:E,3,FALSE),"na")</f>
        <v>na</v>
      </c>
      <c r="Z2307" s="110" t="s">
        <v>541</v>
      </c>
      <c r="AA2307" s="110" t="s">
        <v>541</v>
      </c>
      <c r="AB2307" s="110" t="s">
        <v>541</v>
      </c>
      <c r="AC2307" s="10" t="s">
        <v>541</v>
      </c>
      <c r="AD2307" s="10" t="s">
        <v>541</v>
      </c>
    </row>
    <row r="2308" spans="1:30" x14ac:dyDescent="0.2">
      <c r="A2308" s="110">
        <v>2307</v>
      </c>
      <c r="B2308" s="132">
        <v>41861</v>
      </c>
      <c r="C2308" s="117">
        <v>1</v>
      </c>
      <c r="D2308" s="103" t="s">
        <v>70</v>
      </c>
      <c r="E2308" s="103" t="s">
        <v>306</v>
      </c>
      <c r="H2308" s="103"/>
      <c r="I2308" s="103">
        <v>46</v>
      </c>
      <c r="K2308" s="103" t="s">
        <v>365</v>
      </c>
      <c r="L2308" s="133"/>
      <c r="M2308" s="134">
        <v>1.1805555555555555E-2</v>
      </c>
      <c r="N2308" s="137" t="s">
        <v>1905</v>
      </c>
      <c r="O2308" s="133" t="s">
        <v>1663</v>
      </c>
      <c r="Q2308" s="100" t="s">
        <v>4139</v>
      </c>
      <c r="R2308" s="226" t="s">
        <v>4136</v>
      </c>
      <c r="S2308" s="491" t="str">
        <f t="shared" si="75"/>
        <v>x</v>
      </c>
      <c r="T2308" s="492" t="str">
        <f>IFERROR(VLOOKUP(F2308,'Freq-Chan'!C:D,2,FALSE),"x")</f>
        <v>x</v>
      </c>
      <c r="U2308" s="110" t="s">
        <v>541</v>
      </c>
      <c r="V2308" s="110" t="str">
        <f t="shared" si="76"/>
        <v>FWL</v>
      </c>
      <c r="W2308" s="110" t="s">
        <v>541</v>
      </c>
      <c r="X2308" s="110" t="s">
        <v>541</v>
      </c>
      <c r="Y2308" s="110" t="str">
        <f>IFERROR(VLOOKUP(F2308,'Freq-Chan'!C:E,3,FALSE),"na")</f>
        <v>na</v>
      </c>
      <c r="Z2308" s="110" t="s">
        <v>541</v>
      </c>
      <c r="AA2308" s="110" t="s">
        <v>541</v>
      </c>
      <c r="AB2308" s="110" t="s">
        <v>541</v>
      </c>
      <c r="AC2308" s="10" t="s">
        <v>541</v>
      </c>
      <c r="AD2308" s="10" t="s">
        <v>541</v>
      </c>
    </row>
    <row r="2309" spans="1:30" x14ac:dyDescent="0.2">
      <c r="A2309" s="110">
        <v>2308</v>
      </c>
      <c r="B2309" s="132">
        <v>41861</v>
      </c>
      <c r="C2309" s="117">
        <v>1</v>
      </c>
      <c r="D2309" s="103" t="s">
        <v>70</v>
      </c>
      <c r="E2309" s="103" t="s">
        <v>306</v>
      </c>
      <c r="H2309" s="103"/>
      <c r="I2309" s="103">
        <v>42</v>
      </c>
      <c r="K2309" s="103" t="s">
        <v>365</v>
      </c>
      <c r="L2309" s="133"/>
      <c r="M2309" s="134">
        <v>1.1805555555555555E-2</v>
      </c>
      <c r="N2309" s="137" t="s">
        <v>3936</v>
      </c>
      <c r="O2309" s="133" t="s">
        <v>1663</v>
      </c>
      <c r="Q2309" s="100" t="s">
        <v>4139</v>
      </c>
      <c r="R2309" s="226" t="s">
        <v>4136</v>
      </c>
      <c r="S2309" s="491" t="str">
        <f t="shared" si="75"/>
        <v>x</v>
      </c>
      <c r="T2309" s="492" t="str">
        <f>IFERROR(VLOOKUP(F2309,'Freq-Chan'!C:D,2,FALSE),"x")</f>
        <v>x</v>
      </c>
      <c r="U2309" s="110" t="s">
        <v>541</v>
      </c>
      <c r="V2309" s="110" t="str">
        <f t="shared" si="76"/>
        <v>FWL</v>
      </c>
      <c r="W2309" s="110" t="s">
        <v>541</v>
      </c>
      <c r="X2309" s="110" t="s">
        <v>541</v>
      </c>
      <c r="Y2309" s="110" t="str">
        <f>IFERROR(VLOOKUP(F2309,'Freq-Chan'!C:E,3,FALSE),"na")</f>
        <v>na</v>
      </c>
      <c r="Z2309" s="110" t="s">
        <v>541</v>
      </c>
      <c r="AA2309" s="110" t="s">
        <v>541</v>
      </c>
      <c r="AB2309" s="110" t="s">
        <v>541</v>
      </c>
      <c r="AC2309" s="10" t="s">
        <v>541</v>
      </c>
      <c r="AD2309" s="10" t="s">
        <v>541</v>
      </c>
    </row>
    <row r="2310" spans="1:30" x14ac:dyDescent="0.2">
      <c r="A2310" s="110">
        <v>2309</v>
      </c>
      <c r="B2310" s="132">
        <v>41861</v>
      </c>
      <c r="C2310" s="117">
        <v>1</v>
      </c>
      <c r="D2310" s="103" t="s">
        <v>70</v>
      </c>
      <c r="E2310" s="103" t="s">
        <v>306</v>
      </c>
      <c r="H2310" s="103"/>
      <c r="I2310" s="103">
        <v>48</v>
      </c>
      <c r="K2310" s="103" t="s">
        <v>1032</v>
      </c>
      <c r="L2310" s="133"/>
      <c r="M2310" s="134">
        <v>1.3888888888888888E-2</v>
      </c>
      <c r="N2310" s="137" t="s">
        <v>3717</v>
      </c>
      <c r="O2310" s="133" t="s">
        <v>1663</v>
      </c>
      <c r="Q2310" s="100" t="s">
        <v>4139</v>
      </c>
      <c r="R2310" s="226" t="s">
        <v>4136</v>
      </c>
      <c r="S2310" s="491" t="str">
        <f t="shared" si="75"/>
        <v>x</v>
      </c>
      <c r="T2310" s="492" t="str">
        <f>IFERROR(VLOOKUP(F2310,'Freq-Chan'!C:D,2,FALSE),"x")</f>
        <v>x</v>
      </c>
      <c r="U2310" s="110" t="s">
        <v>541</v>
      </c>
      <c r="V2310" s="110" t="str">
        <f t="shared" si="76"/>
        <v>FWL</v>
      </c>
      <c r="W2310" s="110" t="s">
        <v>541</v>
      </c>
      <c r="X2310" s="110" t="s">
        <v>541</v>
      </c>
      <c r="Y2310" s="110" t="str">
        <f>IFERROR(VLOOKUP(F2310,'Freq-Chan'!C:E,3,FALSE),"na")</f>
        <v>na</v>
      </c>
      <c r="Z2310" s="110" t="s">
        <v>541</v>
      </c>
      <c r="AA2310" s="110" t="s">
        <v>541</v>
      </c>
      <c r="AB2310" s="110" t="s">
        <v>541</v>
      </c>
      <c r="AC2310" s="10" t="s">
        <v>541</v>
      </c>
      <c r="AD2310" s="10" t="s">
        <v>541</v>
      </c>
    </row>
    <row r="2311" spans="1:30" x14ac:dyDescent="0.2">
      <c r="A2311" s="110">
        <v>2310</v>
      </c>
      <c r="B2311" s="132">
        <v>41861</v>
      </c>
      <c r="C2311" s="117">
        <v>1</v>
      </c>
      <c r="D2311" s="103" t="s">
        <v>71</v>
      </c>
      <c r="E2311" s="103" t="s">
        <v>306</v>
      </c>
      <c r="H2311" s="103"/>
      <c r="I2311" s="103">
        <v>67</v>
      </c>
      <c r="K2311" s="103" t="s">
        <v>1032</v>
      </c>
      <c r="L2311" s="133"/>
      <c r="M2311" s="134">
        <v>1.8749999999999999E-2</v>
      </c>
      <c r="N2311" s="137" t="s">
        <v>3879</v>
      </c>
      <c r="O2311" s="133" t="s">
        <v>1663</v>
      </c>
      <c r="Q2311" s="100" t="s">
        <v>4139</v>
      </c>
      <c r="R2311" s="226" t="s">
        <v>4136</v>
      </c>
      <c r="S2311" s="491" t="str">
        <f t="shared" si="75"/>
        <v>x</v>
      </c>
      <c r="T2311" s="492" t="str">
        <f>IFERROR(VLOOKUP(F2311,'Freq-Chan'!C:D,2,FALSE),"x")</f>
        <v>x</v>
      </c>
      <c r="U2311" s="110" t="s">
        <v>541</v>
      </c>
      <c r="V2311" s="110" t="str">
        <f t="shared" si="76"/>
        <v>FWL</v>
      </c>
      <c r="W2311" s="110" t="s">
        <v>541</v>
      </c>
      <c r="X2311" s="110" t="s">
        <v>541</v>
      </c>
      <c r="Y2311" s="110" t="str">
        <f>IFERROR(VLOOKUP(F2311,'Freq-Chan'!C:E,3,FALSE),"na")</f>
        <v>na</v>
      </c>
      <c r="Z2311" s="110" t="s">
        <v>541</v>
      </c>
      <c r="AA2311" s="110" t="s">
        <v>541</v>
      </c>
      <c r="AB2311" s="110" t="s">
        <v>541</v>
      </c>
      <c r="AC2311" s="10" t="s">
        <v>541</v>
      </c>
      <c r="AD2311" s="10" t="s">
        <v>541</v>
      </c>
    </row>
    <row r="2312" spans="1:30" x14ac:dyDescent="0.2">
      <c r="A2312" s="110">
        <v>2311</v>
      </c>
      <c r="B2312" s="132">
        <v>41861</v>
      </c>
      <c r="C2312" s="117">
        <v>1</v>
      </c>
      <c r="D2312" s="103" t="s">
        <v>70</v>
      </c>
      <c r="E2312" s="103" t="s">
        <v>306</v>
      </c>
      <c r="H2312" s="103"/>
      <c r="I2312" s="103">
        <v>45</v>
      </c>
      <c r="K2312" s="103" t="s">
        <v>365</v>
      </c>
      <c r="L2312" s="133"/>
      <c r="M2312" s="134">
        <v>1.3888888888888888E-2</v>
      </c>
      <c r="N2312" s="137" t="s">
        <v>899</v>
      </c>
      <c r="O2312" s="133" t="s">
        <v>1663</v>
      </c>
      <c r="Q2312" s="100" t="s">
        <v>4139</v>
      </c>
      <c r="R2312" s="226" t="s">
        <v>4136</v>
      </c>
      <c r="S2312" s="491" t="str">
        <f t="shared" si="75"/>
        <v>x</v>
      </c>
      <c r="T2312" s="492" t="str">
        <f>IFERROR(VLOOKUP(F2312,'Freq-Chan'!C:D,2,FALSE),"x")</f>
        <v>x</v>
      </c>
      <c r="U2312" s="110" t="s">
        <v>541</v>
      </c>
      <c r="V2312" s="110" t="str">
        <f t="shared" si="76"/>
        <v>FWL</v>
      </c>
      <c r="W2312" s="110" t="s">
        <v>541</v>
      </c>
      <c r="X2312" s="110" t="s">
        <v>541</v>
      </c>
      <c r="Y2312" s="110" t="str">
        <f>IFERROR(VLOOKUP(F2312,'Freq-Chan'!C:E,3,FALSE),"na")</f>
        <v>na</v>
      </c>
      <c r="Z2312" s="110" t="s">
        <v>541</v>
      </c>
      <c r="AA2312" s="110" t="s">
        <v>541</v>
      </c>
      <c r="AB2312" s="110" t="s">
        <v>541</v>
      </c>
      <c r="AC2312" s="10" t="s">
        <v>541</v>
      </c>
      <c r="AD2312" s="10" t="s">
        <v>541</v>
      </c>
    </row>
    <row r="2313" spans="1:30" x14ac:dyDescent="0.2">
      <c r="A2313" s="110">
        <v>2312</v>
      </c>
      <c r="B2313" s="132">
        <v>41861</v>
      </c>
      <c r="C2313" s="117">
        <v>1</v>
      </c>
      <c r="D2313" s="103" t="s">
        <v>71</v>
      </c>
      <c r="E2313" s="103" t="s">
        <v>306</v>
      </c>
      <c r="H2313" s="103"/>
      <c r="I2313" s="103">
        <v>62</v>
      </c>
      <c r="K2313" s="103" t="s">
        <v>1032</v>
      </c>
      <c r="L2313" s="133"/>
      <c r="M2313" s="134">
        <v>1.4583333333333332E-2</v>
      </c>
      <c r="N2313" s="137" t="s">
        <v>3830</v>
      </c>
      <c r="O2313" s="133" t="s">
        <v>1663</v>
      </c>
      <c r="Q2313" s="100" t="s">
        <v>4139</v>
      </c>
      <c r="R2313" s="226" t="s">
        <v>4136</v>
      </c>
      <c r="S2313" s="491" t="str">
        <f t="shared" si="75"/>
        <v>x</v>
      </c>
      <c r="T2313" s="492" t="str">
        <f>IFERROR(VLOOKUP(F2313,'Freq-Chan'!C:D,2,FALSE),"x")</f>
        <v>x</v>
      </c>
      <c r="U2313" s="110" t="s">
        <v>541</v>
      </c>
      <c r="V2313" s="110" t="str">
        <f t="shared" si="76"/>
        <v>FWL</v>
      </c>
      <c r="W2313" s="110" t="s">
        <v>541</v>
      </c>
      <c r="X2313" s="110" t="s">
        <v>541</v>
      </c>
      <c r="Y2313" s="110" t="str">
        <f>IFERROR(VLOOKUP(F2313,'Freq-Chan'!C:E,3,FALSE),"na")</f>
        <v>na</v>
      </c>
      <c r="Z2313" s="110" t="s">
        <v>541</v>
      </c>
      <c r="AA2313" s="110" t="s">
        <v>541</v>
      </c>
      <c r="AB2313" s="110" t="s">
        <v>541</v>
      </c>
      <c r="AC2313" s="10" t="s">
        <v>541</v>
      </c>
      <c r="AD2313" s="10" t="s">
        <v>541</v>
      </c>
    </row>
    <row r="2314" spans="1:30" x14ac:dyDescent="0.2">
      <c r="A2314" s="110">
        <v>2313</v>
      </c>
      <c r="B2314" s="132">
        <v>41861</v>
      </c>
      <c r="C2314" s="117">
        <v>1</v>
      </c>
      <c r="D2314" s="103" t="s">
        <v>70</v>
      </c>
      <c r="E2314" s="103" t="s">
        <v>306</v>
      </c>
      <c r="H2314" s="103"/>
      <c r="I2314" s="103">
        <v>45</v>
      </c>
      <c r="K2314" s="103" t="s">
        <v>365</v>
      </c>
      <c r="L2314" s="133"/>
      <c r="M2314" s="134">
        <v>1.0416666666666666E-2</v>
      </c>
      <c r="N2314" s="137" t="s">
        <v>2891</v>
      </c>
      <c r="O2314" s="133" t="s">
        <v>1663</v>
      </c>
      <c r="Q2314" s="100" t="s">
        <v>4139</v>
      </c>
      <c r="R2314" s="226" t="s">
        <v>4136</v>
      </c>
      <c r="S2314" s="491" t="str">
        <f t="shared" si="75"/>
        <v>x</v>
      </c>
      <c r="T2314" s="492" t="str">
        <f>IFERROR(VLOOKUP(F2314,'Freq-Chan'!C:D,2,FALSE),"x")</f>
        <v>x</v>
      </c>
      <c r="U2314" s="110" t="s">
        <v>541</v>
      </c>
      <c r="V2314" s="110" t="str">
        <f t="shared" si="76"/>
        <v>FWL</v>
      </c>
      <c r="W2314" s="110" t="s">
        <v>541</v>
      </c>
      <c r="X2314" s="110" t="s">
        <v>541</v>
      </c>
      <c r="Y2314" s="110" t="str">
        <f>IFERROR(VLOOKUP(F2314,'Freq-Chan'!C:E,3,FALSE),"na")</f>
        <v>na</v>
      </c>
      <c r="Z2314" s="110" t="s">
        <v>541</v>
      </c>
      <c r="AA2314" s="110" t="s">
        <v>541</v>
      </c>
      <c r="AB2314" s="110" t="s">
        <v>541</v>
      </c>
      <c r="AC2314" s="10" t="s">
        <v>541</v>
      </c>
      <c r="AD2314" s="10" t="s">
        <v>541</v>
      </c>
    </row>
    <row r="2315" spans="1:30" x14ac:dyDescent="0.2">
      <c r="A2315" s="110">
        <v>2314</v>
      </c>
      <c r="B2315" s="132">
        <v>41861</v>
      </c>
      <c r="C2315" s="117">
        <v>1</v>
      </c>
      <c r="D2315" s="103" t="s">
        <v>70</v>
      </c>
      <c r="E2315" s="103" t="s">
        <v>306</v>
      </c>
      <c r="H2315" s="103"/>
      <c r="I2315" s="103">
        <v>46</v>
      </c>
      <c r="K2315" s="103" t="s">
        <v>365</v>
      </c>
      <c r="L2315" s="136"/>
      <c r="M2315" s="140">
        <v>1.2499999999999999E-2</v>
      </c>
      <c r="N2315" s="137" t="s">
        <v>2593</v>
      </c>
      <c r="O2315" s="133" t="s">
        <v>1585</v>
      </c>
      <c r="Q2315" s="100" t="s">
        <v>4139</v>
      </c>
      <c r="R2315" s="226" t="s">
        <v>4136</v>
      </c>
      <c r="S2315" s="491" t="str">
        <f t="shared" si="75"/>
        <v>x</v>
      </c>
      <c r="T2315" s="492" t="str">
        <f>IFERROR(VLOOKUP(F2315,'Freq-Chan'!C:D,2,FALSE),"x")</f>
        <v>x</v>
      </c>
      <c r="U2315" s="110" t="s">
        <v>541</v>
      </c>
      <c r="V2315" s="110" t="str">
        <f t="shared" si="76"/>
        <v>FWL</v>
      </c>
      <c r="W2315" s="110" t="s">
        <v>541</v>
      </c>
      <c r="X2315" s="110" t="s">
        <v>541</v>
      </c>
      <c r="Y2315" s="110" t="str">
        <f>IFERROR(VLOOKUP(F2315,'Freq-Chan'!C:E,3,FALSE),"na")</f>
        <v>na</v>
      </c>
      <c r="Z2315" s="110" t="s">
        <v>541</v>
      </c>
      <c r="AA2315" s="110" t="s">
        <v>541</v>
      </c>
      <c r="AB2315" s="110" t="s">
        <v>541</v>
      </c>
      <c r="AC2315" s="10" t="s">
        <v>541</v>
      </c>
      <c r="AD2315" s="10" t="s">
        <v>541</v>
      </c>
    </row>
    <row r="2316" spans="1:30" x14ac:dyDescent="0.2">
      <c r="A2316" s="110">
        <v>2315</v>
      </c>
      <c r="B2316" s="132">
        <v>41861</v>
      </c>
      <c r="C2316" s="117">
        <v>1</v>
      </c>
      <c r="D2316" s="103" t="s">
        <v>2</v>
      </c>
      <c r="E2316" s="103" t="s">
        <v>306</v>
      </c>
      <c r="H2316" s="103"/>
      <c r="I2316" s="103">
        <v>62</v>
      </c>
      <c r="K2316" s="103" t="s">
        <v>364</v>
      </c>
      <c r="L2316" s="136"/>
      <c r="M2316" s="140">
        <v>2.2222222222222223E-2</v>
      </c>
      <c r="N2316" s="137" t="s">
        <v>840</v>
      </c>
      <c r="O2316" s="133" t="s">
        <v>1585</v>
      </c>
      <c r="P2316" s="100" t="s">
        <v>4151</v>
      </c>
      <c r="Q2316" s="100" t="s">
        <v>4139</v>
      </c>
      <c r="R2316" s="226" t="s">
        <v>4136</v>
      </c>
      <c r="S2316" s="491" t="str">
        <f t="shared" si="75"/>
        <v>x</v>
      </c>
      <c r="T2316" s="492" t="str">
        <f>IFERROR(VLOOKUP(F2316,'Freq-Chan'!C:D,2,FALSE),"x")</f>
        <v>x</v>
      </c>
      <c r="U2316" s="110" t="s">
        <v>541</v>
      </c>
      <c r="V2316" s="110" t="str">
        <f t="shared" si="76"/>
        <v>FWL</v>
      </c>
      <c r="W2316" s="110" t="s">
        <v>541</v>
      </c>
      <c r="X2316" s="110" t="s">
        <v>541</v>
      </c>
      <c r="Y2316" s="110" t="str">
        <f>IFERROR(VLOOKUP(F2316,'Freq-Chan'!C:E,3,FALSE),"na")</f>
        <v>na</v>
      </c>
      <c r="Z2316" s="110" t="s">
        <v>541</v>
      </c>
      <c r="AA2316" s="110" t="s">
        <v>541</v>
      </c>
      <c r="AB2316" s="110" t="s">
        <v>541</v>
      </c>
      <c r="AC2316" s="10" t="s">
        <v>541</v>
      </c>
      <c r="AD2316" s="10" t="s">
        <v>541</v>
      </c>
    </row>
    <row r="2317" spans="1:30" x14ac:dyDescent="0.2">
      <c r="A2317" s="110">
        <v>2316</v>
      </c>
      <c r="B2317" s="132">
        <v>41861</v>
      </c>
      <c r="C2317" s="117">
        <v>1</v>
      </c>
      <c r="D2317" s="103" t="s">
        <v>71</v>
      </c>
      <c r="E2317" s="103" t="s">
        <v>306</v>
      </c>
      <c r="H2317" s="103"/>
      <c r="I2317" s="103">
        <v>64</v>
      </c>
      <c r="K2317" s="103" t="s">
        <v>365</v>
      </c>
      <c r="L2317" s="136"/>
      <c r="M2317" s="140">
        <v>1.1805555555555555E-2</v>
      </c>
      <c r="N2317" s="137" t="s">
        <v>1798</v>
      </c>
      <c r="O2317" s="133" t="s">
        <v>1585</v>
      </c>
      <c r="Q2317" s="100" t="s">
        <v>4139</v>
      </c>
      <c r="R2317" s="226" t="s">
        <v>4136</v>
      </c>
      <c r="S2317" s="491" t="str">
        <f t="shared" si="75"/>
        <v>x</v>
      </c>
      <c r="T2317" s="492" t="str">
        <f>IFERROR(VLOOKUP(F2317,'Freq-Chan'!C:D,2,FALSE),"x")</f>
        <v>x</v>
      </c>
      <c r="U2317" s="110" t="s">
        <v>541</v>
      </c>
      <c r="V2317" s="110" t="str">
        <f t="shared" si="76"/>
        <v>FWL</v>
      </c>
      <c r="W2317" s="110" t="s">
        <v>541</v>
      </c>
      <c r="X2317" s="110" t="s">
        <v>541</v>
      </c>
      <c r="Y2317" s="110" t="str">
        <f>IFERROR(VLOOKUP(F2317,'Freq-Chan'!C:E,3,FALSE),"na")</f>
        <v>na</v>
      </c>
      <c r="Z2317" s="110" t="s">
        <v>541</v>
      </c>
      <c r="AA2317" s="110" t="s">
        <v>541</v>
      </c>
      <c r="AB2317" s="110" t="s">
        <v>541</v>
      </c>
      <c r="AC2317" s="10" t="s">
        <v>541</v>
      </c>
      <c r="AD2317" s="10" t="s">
        <v>541</v>
      </c>
    </row>
    <row r="2318" spans="1:30" x14ac:dyDescent="0.2">
      <c r="A2318" s="110">
        <v>2317</v>
      </c>
      <c r="B2318" s="132">
        <v>41861</v>
      </c>
      <c r="C2318" s="117">
        <v>1</v>
      </c>
      <c r="D2318" s="103" t="s">
        <v>71</v>
      </c>
      <c r="E2318" s="103" t="s">
        <v>306</v>
      </c>
      <c r="H2318" s="103"/>
      <c r="I2318" s="103">
        <v>61</v>
      </c>
      <c r="K2318" s="103" t="s">
        <v>1032</v>
      </c>
      <c r="L2318" s="136"/>
      <c r="M2318" s="140">
        <v>1.6666666666666666E-2</v>
      </c>
      <c r="N2318" s="137" t="s">
        <v>3305</v>
      </c>
      <c r="O2318" s="133" t="s">
        <v>1585</v>
      </c>
      <c r="Q2318" s="100" t="s">
        <v>4139</v>
      </c>
      <c r="R2318" s="226" t="s">
        <v>4136</v>
      </c>
      <c r="S2318" s="491" t="str">
        <f t="shared" si="75"/>
        <v>x</v>
      </c>
      <c r="T2318" s="492" t="str">
        <f>IFERROR(VLOOKUP(F2318,'Freq-Chan'!C:D,2,FALSE),"x")</f>
        <v>x</v>
      </c>
      <c r="U2318" s="110" t="s">
        <v>541</v>
      </c>
      <c r="V2318" s="110" t="str">
        <f t="shared" si="76"/>
        <v>FWL</v>
      </c>
      <c r="W2318" s="110" t="s">
        <v>541</v>
      </c>
      <c r="X2318" s="110" t="s">
        <v>541</v>
      </c>
      <c r="Y2318" s="110" t="str">
        <f>IFERROR(VLOOKUP(F2318,'Freq-Chan'!C:E,3,FALSE),"na")</f>
        <v>na</v>
      </c>
      <c r="Z2318" s="110" t="s">
        <v>541</v>
      </c>
      <c r="AA2318" s="110" t="s">
        <v>541</v>
      </c>
      <c r="AB2318" s="110" t="s">
        <v>541</v>
      </c>
      <c r="AC2318" s="10" t="s">
        <v>541</v>
      </c>
      <c r="AD2318" s="10" t="s">
        <v>541</v>
      </c>
    </row>
    <row r="2319" spans="1:30" x14ac:dyDescent="0.2">
      <c r="A2319" s="110">
        <v>2318</v>
      </c>
      <c r="B2319" s="132">
        <v>41861</v>
      </c>
      <c r="C2319" s="117">
        <v>1</v>
      </c>
      <c r="D2319" s="103" t="s">
        <v>71</v>
      </c>
      <c r="E2319" s="103" t="s">
        <v>306</v>
      </c>
      <c r="H2319" s="103"/>
      <c r="I2319" s="103">
        <v>55</v>
      </c>
      <c r="K2319" s="103" t="s">
        <v>364</v>
      </c>
      <c r="L2319" s="136"/>
      <c r="M2319" s="140">
        <v>1.5277777777777777E-2</v>
      </c>
      <c r="N2319" s="137" t="s">
        <v>4150</v>
      </c>
      <c r="O2319" s="133" t="s">
        <v>1585</v>
      </c>
      <c r="Q2319" s="100" t="s">
        <v>4139</v>
      </c>
      <c r="R2319" s="226" t="s">
        <v>4136</v>
      </c>
      <c r="S2319" s="491" t="str">
        <f t="shared" si="75"/>
        <v>x</v>
      </c>
      <c r="T2319" s="492" t="str">
        <f>IFERROR(VLOOKUP(F2319,'Freq-Chan'!C:D,2,FALSE),"x")</f>
        <v>x</v>
      </c>
      <c r="U2319" s="110" t="s">
        <v>541</v>
      </c>
      <c r="V2319" s="110" t="str">
        <f t="shared" si="76"/>
        <v>FWL</v>
      </c>
      <c r="W2319" s="110" t="s">
        <v>541</v>
      </c>
      <c r="X2319" s="110" t="s">
        <v>541</v>
      </c>
      <c r="Y2319" s="110" t="str">
        <f>IFERROR(VLOOKUP(F2319,'Freq-Chan'!C:E,3,FALSE),"na")</f>
        <v>na</v>
      </c>
      <c r="Z2319" s="110" t="s">
        <v>541</v>
      </c>
      <c r="AA2319" s="110" t="s">
        <v>541</v>
      </c>
      <c r="AB2319" s="110" t="s">
        <v>541</v>
      </c>
      <c r="AC2319" s="10" t="s">
        <v>541</v>
      </c>
      <c r="AD2319" s="10" t="s">
        <v>541</v>
      </c>
    </row>
    <row r="2320" spans="1:30" x14ac:dyDescent="0.2">
      <c r="A2320" s="110">
        <v>2319</v>
      </c>
      <c r="B2320" s="132">
        <v>41861</v>
      </c>
      <c r="C2320" s="117">
        <v>1</v>
      </c>
      <c r="D2320" s="103" t="s">
        <v>71</v>
      </c>
      <c r="E2320" s="103" t="s">
        <v>306</v>
      </c>
      <c r="H2320" s="103"/>
      <c r="I2320" s="103">
        <v>61</v>
      </c>
      <c r="K2320" s="103" t="s">
        <v>365</v>
      </c>
      <c r="L2320" s="136"/>
      <c r="M2320" s="140">
        <v>1.7361111111111112E-2</v>
      </c>
      <c r="N2320" s="137" t="s">
        <v>4069</v>
      </c>
      <c r="O2320" s="133" t="s">
        <v>1585</v>
      </c>
      <c r="Q2320" s="100" t="s">
        <v>4139</v>
      </c>
      <c r="R2320" s="226" t="s">
        <v>4136</v>
      </c>
      <c r="S2320" s="491" t="str">
        <f t="shared" si="75"/>
        <v>x</v>
      </c>
      <c r="T2320" s="492" t="str">
        <f>IFERROR(VLOOKUP(F2320,'Freq-Chan'!C:D,2,FALSE),"x")</f>
        <v>x</v>
      </c>
      <c r="U2320" s="110" t="s">
        <v>541</v>
      </c>
      <c r="V2320" s="110" t="str">
        <f t="shared" si="76"/>
        <v>FWL</v>
      </c>
      <c r="W2320" s="110" t="s">
        <v>541</v>
      </c>
      <c r="X2320" s="110" t="s">
        <v>541</v>
      </c>
      <c r="Y2320" s="110" t="str">
        <f>IFERROR(VLOOKUP(F2320,'Freq-Chan'!C:E,3,FALSE),"na")</f>
        <v>na</v>
      </c>
      <c r="Z2320" s="110" t="s">
        <v>541</v>
      </c>
      <c r="AA2320" s="110" t="s">
        <v>541</v>
      </c>
      <c r="AB2320" s="110" t="s">
        <v>541</v>
      </c>
      <c r="AC2320" s="10" t="s">
        <v>541</v>
      </c>
      <c r="AD2320" s="10" t="s">
        <v>541</v>
      </c>
    </row>
    <row r="2321" spans="1:30" x14ac:dyDescent="0.2">
      <c r="A2321" s="110">
        <v>2320</v>
      </c>
      <c r="B2321" s="132">
        <v>41861</v>
      </c>
      <c r="C2321" s="117">
        <v>1</v>
      </c>
      <c r="D2321" s="103" t="s">
        <v>71</v>
      </c>
      <c r="E2321" s="103" t="s">
        <v>306</v>
      </c>
      <c r="H2321" s="103"/>
      <c r="I2321" s="103">
        <v>59</v>
      </c>
      <c r="K2321" s="103" t="s">
        <v>365</v>
      </c>
      <c r="L2321" s="136"/>
      <c r="M2321" s="140">
        <v>1.3194444444444444E-2</v>
      </c>
      <c r="N2321" s="137" t="s">
        <v>1658</v>
      </c>
      <c r="O2321" s="133" t="s">
        <v>1585</v>
      </c>
      <c r="Q2321" s="100" t="s">
        <v>4139</v>
      </c>
      <c r="R2321" s="226" t="s">
        <v>4136</v>
      </c>
      <c r="S2321" s="491" t="str">
        <f t="shared" si="75"/>
        <v>x</v>
      </c>
      <c r="T2321" s="492" t="str">
        <f>IFERROR(VLOOKUP(F2321,'Freq-Chan'!C:D,2,FALSE),"x")</f>
        <v>x</v>
      </c>
      <c r="U2321" s="110" t="s">
        <v>541</v>
      </c>
      <c r="V2321" s="110" t="str">
        <f t="shared" si="76"/>
        <v>FWL</v>
      </c>
      <c r="W2321" s="110" t="s">
        <v>541</v>
      </c>
      <c r="X2321" s="110" t="s">
        <v>541</v>
      </c>
      <c r="Y2321" s="110" t="str">
        <f>IFERROR(VLOOKUP(F2321,'Freq-Chan'!C:E,3,FALSE),"na")</f>
        <v>na</v>
      </c>
      <c r="Z2321" s="110" t="s">
        <v>541</v>
      </c>
      <c r="AA2321" s="110" t="s">
        <v>541</v>
      </c>
      <c r="AB2321" s="110" t="s">
        <v>541</v>
      </c>
      <c r="AC2321" s="10" t="s">
        <v>541</v>
      </c>
      <c r="AD2321" s="10" t="s">
        <v>541</v>
      </c>
    </row>
    <row r="2322" spans="1:30" x14ac:dyDescent="0.2">
      <c r="A2322" s="110">
        <v>2321</v>
      </c>
      <c r="B2322" s="132">
        <v>41861</v>
      </c>
      <c r="C2322" s="117">
        <v>1</v>
      </c>
      <c r="D2322" s="103" t="s">
        <v>71</v>
      </c>
      <c r="E2322" s="103" t="s">
        <v>306</v>
      </c>
      <c r="H2322" s="103"/>
      <c r="I2322" s="103">
        <v>63</v>
      </c>
      <c r="K2322" s="103" t="s">
        <v>1032</v>
      </c>
      <c r="L2322" s="136"/>
      <c r="M2322" s="140">
        <v>1.6666666666666666E-2</v>
      </c>
      <c r="N2322" s="137" t="s">
        <v>1830</v>
      </c>
      <c r="O2322" s="133" t="s">
        <v>1585</v>
      </c>
      <c r="Q2322" s="100" t="s">
        <v>4139</v>
      </c>
      <c r="R2322" s="226" t="s">
        <v>4136</v>
      </c>
      <c r="S2322" s="491" t="str">
        <f t="shared" si="75"/>
        <v>x</v>
      </c>
      <c r="T2322" s="492" t="str">
        <f>IFERROR(VLOOKUP(F2322,'Freq-Chan'!C:D,2,FALSE),"x")</f>
        <v>x</v>
      </c>
      <c r="U2322" s="110" t="s">
        <v>541</v>
      </c>
      <c r="V2322" s="110" t="str">
        <f t="shared" si="76"/>
        <v>FWL</v>
      </c>
      <c r="W2322" s="110" t="s">
        <v>541</v>
      </c>
      <c r="X2322" s="110" t="s">
        <v>541</v>
      </c>
      <c r="Y2322" s="110" t="str">
        <f>IFERROR(VLOOKUP(F2322,'Freq-Chan'!C:E,3,FALSE),"na")</f>
        <v>na</v>
      </c>
      <c r="Z2322" s="110" t="s">
        <v>541</v>
      </c>
      <c r="AA2322" s="110" t="s">
        <v>541</v>
      </c>
      <c r="AB2322" s="110" t="s">
        <v>541</v>
      </c>
      <c r="AC2322" s="10" t="s">
        <v>541</v>
      </c>
      <c r="AD2322" s="10" t="s">
        <v>541</v>
      </c>
    </row>
    <row r="2323" spans="1:30" x14ac:dyDescent="0.2">
      <c r="A2323" s="110">
        <v>2322</v>
      </c>
      <c r="B2323" s="132">
        <v>41861</v>
      </c>
      <c r="C2323" s="117">
        <v>1</v>
      </c>
      <c r="D2323" s="103" t="s">
        <v>71</v>
      </c>
      <c r="E2323" s="103" t="s">
        <v>306</v>
      </c>
      <c r="H2323" s="103"/>
      <c r="I2323" s="103">
        <v>64</v>
      </c>
      <c r="K2323" s="103" t="s">
        <v>365</v>
      </c>
      <c r="L2323" s="133"/>
      <c r="M2323" s="140">
        <v>1.1805555555555555E-2</v>
      </c>
      <c r="N2323" s="137" t="s">
        <v>3287</v>
      </c>
      <c r="O2323" s="133" t="s">
        <v>1663</v>
      </c>
      <c r="Q2323" s="100" t="s">
        <v>4139</v>
      </c>
      <c r="R2323" s="226" t="s">
        <v>4136</v>
      </c>
      <c r="S2323" s="491" t="str">
        <f t="shared" si="75"/>
        <v>x</v>
      </c>
      <c r="T2323" s="492" t="str">
        <f>IFERROR(VLOOKUP(F2323,'Freq-Chan'!C:D,2,FALSE),"x")</f>
        <v>x</v>
      </c>
      <c r="U2323" s="110" t="s">
        <v>541</v>
      </c>
      <c r="V2323" s="110" t="str">
        <f t="shared" si="76"/>
        <v>FWL</v>
      </c>
      <c r="W2323" s="110" t="s">
        <v>541</v>
      </c>
      <c r="X2323" s="110" t="s">
        <v>541</v>
      </c>
      <c r="Y2323" s="110" t="str">
        <f>IFERROR(VLOOKUP(F2323,'Freq-Chan'!C:E,3,FALSE),"na")</f>
        <v>na</v>
      </c>
      <c r="Z2323" s="110" t="s">
        <v>541</v>
      </c>
      <c r="AA2323" s="110" t="s">
        <v>541</v>
      </c>
      <c r="AB2323" s="110" t="s">
        <v>541</v>
      </c>
      <c r="AC2323" s="10" t="s">
        <v>541</v>
      </c>
      <c r="AD2323" s="10" t="s">
        <v>541</v>
      </c>
    </row>
    <row r="2324" spans="1:30" x14ac:dyDescent="0.2">
      <c r="A2324" s="110">
        <v>2323</v>
      </c>
      <c r="B2324" s="132">
        <v>41861</v>
      </c>
      <c r="C2324" s="117">
        <v>1</v>
      </c>
      <c r="D2324" s="103" t="s">
        <v>71</v>
      </c>
      <c r="E2324" s="103" t="s">
        <v>306</v>
      </c>
      <c r="H2324" s="103"/>
      <c r="I2324" s="103">
        <v>59</v>
      </c>
      <c r="K2324" s="103" t="s">
        <v>365</v>
      </c>
      <c r="L2324" s="136"/>
      <c r="M2324" s="134">
        <v>1.1111111111111112E-2</v>
      </c>
      <c r="N2324" s="137" t="s">
        <v>3930</v>
      </c>
      <c r="O2324" s="133" t="s">
        <v>1585</v>
      </c>
      <c r="Q2324" s="100" t="s">
        <v>4139</v>
      </c>
      <c r="R2324" s="226" t="s">
        <v>4136</v>
      </c>
      <c r="S2324" s="491" t="str">
        <f t="shared" si="75"/>
        <v>x</v>
      </c>
      <c r="T2324" s="492" t="str">
        <f>IFERROR(VLOOKUP(F2324,'Freq-Chan'!C:D,2,FALSE),"x")</f>
        <v>x</v>
      </c>
      <c r="U2324" s="110" t="s">
        <v>541</v>
      </c>
      <c r="V2324" s="110" t="str">
        <f t="shared" si="76"/>
        <v>FWL</v>
      </c>
      <c r="W2324" s="110" t="s">
        <v>541</v>
      </c>
      <c r="X2324" s="110" t="s">
        <v>541</v>
      </c>
      <c r="Y2324" s="110" t="str">
        <f>IFERROR(VLOOKUP(F2324,'Freq-Chan'!C:E,3,FALSE),"na")</f>
        <v>na</v>
      </c>
      <c r="Z2324" s="110" t="s">
        <v>541</v>
      </c>
      <c r="AA2324" s="110" t="s">
        <v>541</v>
      </c>
      <c r="AB2324" s="110" t="s">
        <v>541</v>
      </c>
      <c r="AC2324" s="10" t="s">
        <v>541</v>
      </c>
      <c r="AD2324" s="10" t="s">
        <v>541</v>
      </c>
    </row>
    <row r="2325" spans="1:30" x14ac:dyDescent="0.2">
      <c r="A2325" s="110">
        <v>2324</v>
      </c>
      <c r="B2325" s="132">
        <v>41861</v>
      </c>
      <c r="C2325" s="117">
        <v>1</v>
      </c>
      <c r="D2325" s="103" t="s">
        <v>71</v>
      </c>
      <c r="E2325" s="103" t="s">
        <v>306</v>
      </c>
      <c r="F2325" s="103">
        <v>534</v>
      </c>
      <c r="G2325" s="103">
        <v>50</v>
      </c>
      <c r="H2325" s="103" t="s">
        <v>2433</v>
      </c>
      <c r="I2325" s="103">
        <v>56</v>
      </c>
      <c r="K2325" s="103" t="s">
        <v>1032</v>
      </c>
      <c r="L2325" s="136"/>
      <c r="M2325" s="140">
        <v>2.7083333333333334E-2</v>
      </c>
      <c r="N2325" s="137" t="s">
        <v>4108</v>
      </c>
      <c r="O2325" s="133" t="s">
        <v>1538</v>
      </c>
      <c r="Q2325" s="100" t="s">
        <v>4142</v>
      </c>
      <c r="R2325" s="226" t="s">
        <v>4136</v>
      </c>
      <c r="S2325" s="491" t="str">
        <f t="shared" si="75"/>
        <v>x</v>
      </c>
      <c r="T2325" s="492">
        <f>IFERROR(VLOOKUP(F2325,'Freq-Chan'!C:D,2,FALSE),"x")</f>
        <v>151.53399999999999</v>
      </c>
      <c r="U2325" s="110" t="s">
        <v>541</v>
      </c>
      <c r="V2325" s="110" t="str">
        <f t="shared" si="76"/>
        <v>FWL</v>
      </c>
      <c r="W2325" s="110" t="s">
        <v>541</v>
      </c>
      <c r="X2325" s="110" t="s">
        <v>541</v>
      </c>
      <c r="Y2325" s="110" t="str">
        <f>IFERROR(VLOOKUP(F2325,'Freq-Chan'!C:E,3,FALSE),"na")</f>
        <v>F1840</v>
      </c>
      <c r="Z2325" s="110" t="s">
        <v>541</v>
      </c>
      <c r="AA2325" s="110" t="s">
        <v>541</v>
      </c>
      <c r="AB2325" s="110" t="s">
        <v>541</v>
      </c>
      <c r="AC2325" s="10" t="s">
        <v>541</v>
      </c>
      <c r="AD2325" s="10" t="s">
        <v>541</v>
      </c>
    </row>
    <row r="2326" spans="1:30" s="291" customFormat="1" x14ac:dyDescent="0.2">
      <c r="A2326" s="493">
        <v>2325</v>
      </c>
      <c r="B2326" s="283">
        <v>41861</v>
      </c>
      <c r="C2326" s="284">
        <v>1</v>
      </c>
      <c r="D2326" s="285" t="s">
        <v>72</v>
      </c>
      <c r="E2326" s="285" t="s">
        <v>306</v>
      </c>
      <c r="F2326" s="285">
        <v>266</v>
      </c>
      <c r="G2326" s="285">
        <v>59</v>
      </c>
      <c r="H2326" s="285" t="s">
        <v>3544</v>
      </c>
      <c r="I2326" s="285">
        <v>53</v>
      </c>
      <c r="J2326" s="285"/>
      <c r="K2326" s="285" t="s">
        <v>364</v>
      </c>
      <c r="L2326" s="325"/>
      <c r="M2326" s="326">
        <v>2.6388888888888889E-2</v>
      </c>
      <c r="N2326" s="339" t="s">
        <v>773</v>
      </c>
      <c r="O2326" s="286" t="s">
        <v>1538</v>
      </c>
      <c r="P2326" s="289" t="s">
        <v>4466</v>
      </c>
      <c r="Q2326" s="289" t="s">
        <v>4142</v>
      </c>
      <c r="R2326" s="290" t="s">
        <v>4136</v>
      </c>
      <c r="S2326" s="494" t="str">
        <f t="shared" si="75"/>
        <v>x</v>
      </c>
      <c r="T2326" s="495">
        <f>IFERROR(VLOOKUP(F2326,'Freq-Chan'!C:D,2,FALSE),"x")</f>
        <v>151.26599999999999</v>
      </c>
      <c r="U2326" s="493" t="s">
        <v>541</v>
      </c>
      <c r="V2326" s="493" t="str">
        <f t="shared" si="76"/>
        <v>FWL</v>
      </c>
      <c r="W2326" s="493" t="s">
        <v>541</v>
      </c>
      <c r="X2326" s="493" t="s">
        <v>541</v>
      </c>
      <c r="Y2326" s="493" t="str">
        <f>IFERROR(VLOOKUP(F2326,'Freq-Chan'!C:E,3,FALSE),"na")</f>
        <v>F1840</v>
      </c>
      <c r="Z2326" s="493" t="s">
        <v>541</v>
      </c>
      <c r="AA2326" s="493" t="s">
        <v>541</v>
      </c>
      <c r="AB2326" s="493" t="s">
        <v>541</v>
      </c>
      <c r="AC2326" s="291" t="s">
        <v>541</v>
      </c>
      <c r="AD2326" s="291" t="s">
        <v>541</v>
      </c>
    </row>
    <row r="2327" spans="1:30" x14ac:dyDescent="0.2">
      <c r="A2327" s="110">
        <v>2326</v>
      </c>
      <c r="B2327" s="132">
        <v>41861</v>
      </c>
      <c r="C2327" s="117">
        <v>2</v>
      </c>
      <c r="D2327" s="103" t="s">
        <v>70</v>
      </c>
      <c r="E2327" s="103" t="s">
        <v>306</v>
      </c>
      <c r="F2327" s="103">
        <v>515</v>
      </c>
      <c r="G2327" s="103">
        <v>30</v>
      </c>
      <c r="H2327" s="103" t="s">
        <v>3124</v>
      </c>
      <c r="I2327" s="103">
        <v>47</v>
      </c>
      <c r="K2327" s="103" t="s">
        <v>1032</v>
      </c>
      <c r="L2327" s="136">
        <v>0.4381944444444445</v>
      </c>
      <c r="M2327" s="140">
        <v>4.1666666666666664E-2</v>
      </c>
      <c r="N2327" s="137" t="s">
        <v>1783</v>
      </c>
      <c r="O2327" s="133" t="s">
        <v>1663</v>
      </c>
      <c r="Q2327" s="100" t="s">
        <v>4139</v>
      </c>
      <c r="R2327" s="226" t="s">
        <v>4136</v>
      </c>
      <c r="S2327" s="491">
        <f t="shared" si="75"/>
        <v>3.4722222000000001E-3</v>
      </c>
      <c r="T2327" s="492">
        <f>IFERROR(VLOOKUP(F2327,'Freq-Chan'!C:D,2,FALSE),"x")</f>
        <v>151.51499999999999</v>
      </c>
      <c r="U2327" s="110" t="s">
        <v>541</v>
      </c>
      <c r="V2327" s="110" t="str">
        <f t="shared" si="76"/>
        <v>FWL</v>
      </c>
      <c r="W2327" s="110" t="s">
        <v>541</v>
      </c>
      <c r="X2327" s="110" t="s">
        <v>541</v>
      </c>
      <c r="Y2327" s="110" t="str">
        <f>IFERROR(VLOOKUP(F2327,'Freq-Chan'!C:E,3,FALSE),"na")</f>
        <v>F1835</v>
      </c>
      <c r="Z2327" s="110" t="s">
        <v>541</v>
      </c>
      <c r="AA2327" s="110" t="s">
        <v>541</v>
      </c>
      <c r="AB2327" s="110" t="s">
        <v>541</v>
      </c>
      <c r="AC2327" s="10" t="s">
        <v>541</v>
      </c>
      <c r="AD2327" s="10" t="s">
        <v>541</v>
      </c>
    </row>
    <row r="2328" spans="1:30" x14ac:dyDescent="0.2">
      <c r="A2328" s="110">
        <v>2327</v>
      </c>
      <c r="B2328" s="132">
        <v>41861</v>
      </c>
      <c r="C2328" s="117">
        <v>2</v>
      </c>
      <c r="D2328" s="103" t="s">
        <v>71</v>
      </c>
      <c r="E2328" s="103" t="s">
        <v>306</v>
      </c>
      <c r="H2328" s="103"/>
      <c r="I2328" s="103">
        <v>54</v>
      </c>
      <c r="K2328" s="103" t="s">
        <v>365</v>
      </c>
      <c r="L2328" s="136">
        <v>0.43333333333333335</v>
      </c>
      <c r="M2328" s="140">
        <v>1.5277777777777777E-2</v>
      </c>
      <c r="N2328" s="137" t="s">
        <v>3425</v>
      </c>
      <c r="O2328" s="133" t="s">
        <v>1663</v>
      </c>
      <c r="Q2328" s="100" t="s">
        <v>4139</v>
      </c>
      <c r="R2328" s="226" t="s">
        <v>4136</v>
      </c>
      <c r="S2328" s="491">
        <f t="shared" si="75"/>
        <v>9.4675925999999997E-3</v>
      </c>
      <c r="T2328" s="492" t="str">
        <f>IFERROR(VLOOKUP(F2328,'Freq-Chan'!C:D,2,FALSE),"x")</f>
        <v>x</v>
      </c>
      <c r="U2328" s="110" t="s">
        <v>541</v>
      </c>
      <c r="V2328" s="110" t="str">
        <f t="shared" si="76"/>
        <v>FWL</v>
      </c>
      <c r="W2328" s="110" t="s">
        <v>541</v>
      </c>
      <c r="X2328" s="110" t="s">
        <v>541</v>
      </c>
      <c r="Y2328" s="110" t="str">
        <f>IFERROR(VLOOKUP(F2328,'Freq-Chan'!C:E,3,FALSE),"na")</f>
        <v>na</v>
      </c>
      <c r="Z2328" s="110" t="s">
        <v>541</v>
      </c>
      <c r="AA2328" s="110" t="s">
        <v>541</v>
      </c>
      <c r="AB2328" s="110" t="s">
        <v>541</v>
      </c>
      <c r="AC2328" s="10" t="s">
        <v>541</v>
      </c>
      <c r="AD2328" s="10" t="s">
        <v>541</v>
      </c>
    </row>
    <row r="2329" spans="1:30" x14ac:dyDescent="0.2">
      <c r="A2329" s="110">
        <v>2328</v>
      </c>
      <c r="B2329" s="132">
        <v>41861</v>
      </c>
      <c r="C2329" s="117">
        <v>2</v>
      </c>
      <c r="D2329" s="103" t="s">
        <v>70</v>
      </c>
      <c r="E2329" s="103" t="s">
        <v>306</v>
      </c>
      <c r="F2329" s="103">
        <v>515</v>
      </c>
      <c r="G2329" s="103">
        <v>82</v>
      </c>
      <c r="H2329" s="103" t="s">
        <v>3114</v>
      </c>
      <c r="I2329" s="103">
        <v>46</v>
      </c>
      <c r="K2329" s="103" t="s">
        <v>1032</v>
      </c>
      <c r="L2329" s="136"/>
      <c r="M2329" s="140">
        <v>4.1666666666666664E-2</v>
      </c>
      <c r="N2329" s="137" t="s">
        <v>3426</v>
      </c>
      <c r="O2329" s="133" t="s">
        <v>1585</v>
      </c>
      <c r="Q2329" s="100" t="s">
        <v>4139</v>
      </c>
      <c r="R2329" s="226" t="s">
        <v>4136</v>
      </c>
      <c r="S2329" s="491" t="str">
        <f t="shared" si="75"/>
        <v>x</v>
      </c>
      <c r="T2329" s="492">
        <f>IFERROR(VLOOKUP(F2329,'Freq-Chan'!C:D,2,FALSE),"x")</f>
        <v>151.51499999999999</v>
      </c>
      <c r="U2329" s="110" t="s">
        <v>541</v>
      </c>
      <c r="V2329" s="110" t="str">
        <f t="shared" si="76"/>
        <v>FWL</v>
      </c>
      <c r="W2329" s="110" t="s">
        <v>541</v>
      </c>
      <c r="X2329" s="110" t="s">
        <v>541</v>
      </c>
      <c r="Y2329" s="110" t="str">
        <f>IFERROR(VLOOKUP(F2329,'Freq-Chan'!C:E,3,FALSE),"na")</f>
        <v>F1835</v>
      </c>
      <c r="Z2329" s="110" t="s">
        <v>541</v>
      </c>
      <c r="AA2329" s="110" t="s">
        <v>541</v>
      </c>
      <c r="AB2329" s="110" t="s">
        <v>541</v>
      </c>
      <c r="AC2329" s="10" t="s">
        <v>541</v>
      </c>
      <c r="AD2329" s="10" t="s">
        <v>541</v>
      </c>
    </row>
    <row r="2330" spans="1:30" x14ac:dyDescent="0.2">
      <c r="A2330" s="110">
        <v>2329</v>
      </c>
      <c r="B2330" s="132">
        <v>41861</v>
      </c>
      <c r="C2330" s="117">
        <v>2</v>
      </c>
      <c r="D2330" s="103" t="s">
        <v>71</v>
      </c>
      <c r="E2330" s="103" t="s">
        <v>306</v>
      </c>
      <c r="F2330" s="103">
        <v>564</v>
      </c>
      <c r="G2330" s="103">
        <v>28</v>
      </c>
      <c r="H2330" s="103" t="s">
        <v>2431</v>
      </c>
      <c r="I2330" s="103">
        <v>57</v>
      </c>
      <c r="K2330" s="103" t="s">
        <v>365</v>
      </c>
      <c r="L2330" s="133"/>
      <c r="M2330" s="134">
        <v>3.6111111111111115E-2</v>
      </c>
      <c r="N2330" s="137" t="s">
        <v>2655</v>
      </c>
      <c r="O2330" s="133" t="s">
        <v>1663</v>
      </c>
      <c r="Q2330" s="100" t="s">
        <v>4139</v>
      </c>
      <c r="R2330" s="226" t="s">
        <v>4136</v>
      </c>
      <c r="S2330" s="491" t="str">
        <f t="shared" si="75"/>
        <v>x</v>
      </c>
      <c r="T2330" s="492">
        <f>IFERROR(VLOOKUP(F2330,'Freq-Chan'!C:D,2,FALSE),"x")</f>
        <v>151.56399999999999</v>
      </c>
      <c r="U2330" s="110" t="s">
        <v>541</v>
      </c>
      <c r="V2330" s="110" t="str">
        <f t="shared" si="76"/>
        <v>FWL</v>
      </c>
      <c r="W2330" s="110" t="s">
        <v>541</v>
      </c>
      <c r="X2330" s="110" t="s">
        <v>541</v>
      </c>
      <c r="Y2330" s="110" t="str">
        <f>IFERROR(VLOOKUP(F2330,'Freq-Chan'!C:E,3,FALSE),"na")</f>
        <v>F1840</v>
      </c>
      <c r="Z2330" s="110" t="s">
        <v>541</v>
      </c>
      <c r="AA2330" s="110" t="s">
        <v>541</v>
      </c>
      <c r="AB2330" s="110" t="s">
        <v>541</v>
      </c>
      <c r="AC2330" s="10" t="s">
        <v>541</v>
      </c>
      <c r="AD2330" s="10" t="s">
        <v>541</v>
      </c>
    </row>
    <row r="2331" spans="1:30" x14ac:dyDescent="0.2">
      <c r="A2331" s="110">
        <v>2330</v>
      </c>
      <c r="B2331" s="132">
        <v>41861</v>
      </c>
      <c r="C2331" s="117">
        <v>2</v>
      </c>
      <c r="D2331" s="103" t="s">
        <v>8</v>
      </c>
      <c r="E2331" s="103" t="s">
        <v>306</v>
      </c>
      <c r="F2331" s="103">
        <v>586</v>
      </c>
      <c r="G2331" s="103">
        <v>17</v>
      </c>
      <c r="H2331" s="103" t="s">
        <v>2240</v>
      </c>
      <c r="I2331" s="103">
        <v>44</v>
      </c>
      <c r="K2331" s="103" t="s">
        <v>364</v>
      </c>
      <c r="L2331" s="133"/>
      <c r="M2331" s="134">
        <v>3.125E-2</v>
      </c>
      <c r="N2331" s="137" t="s">
        <v>3719</v>
      </c>
      <c r="O2331" s="133" t="s">
        <v>1585</v>
      </c>
      <c r="Q2331" s="100" t="s">
        <v>4139</v>
      </c>
      <c r="R2331" s="226" t="s">
        <v>4136</v>
      </c>
      <c r="S2331" s="491" t="str">
        <f t="shared" si="75"/>
        <v>x</v>
      </c>
      <c r="T2331" s="492">
        <f>IFERROR(VLOOKUP(F2331,'Freq-Chan'!C:D,2,FALSE),"x")</f>
        <v>151.58600000000001</v>
      </c>
      <c r="U2331" s="110" t="s">
        <v>541</v>
      </c>
      <c r="V2331" s="110" t="str">
        <f t="shared" si="76"/>
        <v>FWL</v>
      </c>
      <c r="W2331" s="110" t="s">
        <v>541</v>
      </c>
      <c r="X2331" s="110" t="s">
        <v>541</v>
      </c>
      <c r="Y2331" s="110" t="str">
        <f>IFERROR(VLOOKUP(F2331,'Freq-Chan'!C:E,3,FALSE),"na")</f>
        <v>F1840</v>
      </c>
      <c r="Z2331" s="110" t="s">
        <v>541</v>
      </c>
      <c r="AA2331" s="110" t="s">
        <v>541</v>
      </c>
      <c r="AB2331" s="110" t="s">
        <v>541</v>
      </c>
      <c r="AC2331" s="10" t="s">
        <v>541</v>
      </c>
      <c r="AD2331" s="10" t="s">
        <v>541</v>
      </c>
    </row>
    <row r="2332" spans="1:30" x14ac:dyDescent="0.2">
      <c r="A2332" s="110">
        <v>2331</v>
      </c>
      <c r="B2332" s="132">
        <v>41861</v>
      </c>
      <c r="C2332" s="117">
        <v>2</v>
      </c>
      <c r="D2332" s="103" t="s">
        <v>71</v>
      </c>
      <c r="E2332" s="103" t="s">
        <v>306</v>
      </c>
      <c r="H2332" s="103"/>
      <c r="I2332" s="103">
        <v>56</v>
      </c>
      <c r="K2332" s="103" t="s">
        <v>365</v>
      </c>
      <c r="L2332" s="133"/>
      <c r="M2332" s="134">
        <v>1.5277777777777777E-2</v>
      </c>
      <c r="N2332" s="137" t="s">
        <v>3984</v>
      </c>
      <c r="O2332" s="133" t="s">
        <v>1585</v>
      </c>
      <c r="Q2332" s="100" t="s">
        <v>4139</v>
      </c>
      <c r="R2332" s="226" t="s">
        <v>4136</v>
      </c>
      <c r="S2332" s="491" t="str">
        <f t="shared" si="75"/>
        <v>x</v>
      </c>
      <c r="T2332" s="492" t="str">
        <f>IFERROR(VLOOKUP(F2332,'Freq-Chan'!C:D,2,FALSE),"x")</f>
        <v>x</v>
      </c>
      <c r="U2332" s="110" t="s">
        <v>541</v>
      </c>
      <c r="V2332" s="110" t="str">
        <f t="shared" si="76"/>
        <v>FWL</v>
      </c>
      <c r="W2332" s="110" t="s">
        <v>541</v>
      </c>
      <c r="X2332" s="110" t="s">
        <v>541</v>
      </c>
      <c r="Y2332" s="110" t="str">
        <f>IFERROR(VLOOKUP(F2332,'Freq-Chan'!C:E,3,FALSE),"na")</f>
        <v>na</v>
      </c>
      <c r="Z2332" s="110" t="s">
        <v>541</v>
      </c>
      <c r="AA2332" s="110" t="s">
        <v>541</v>
      </c>
      <c r="AB2332" s="110" t="s">
        <v>541</v>
      </c>
      <c r="AC2332" s="10" t="s">
        <v>541</v>
      </c>
      <c r="AD2332" s="10" t="s">
        <v>541</v>
      </c>
    </row>
    <row r="2333" spans="1:30" x14ac:dyDescent="0.2">
      <c r="A2333" s="110">
        <v>2332</v>
      </c>
      <c r="B2333" s="132">
        <v>41861</v>
      </c>
      <c r="C2333" s="117">
        <v>2</v>
      </c>
      <c r="D2333" s="103" t="s">
        <v>71</v>
      </c>
      <c r="E2333" s="103" t="s">
        <v>306</v>
      </c>
      <c r="H2333" s="103"/>
      <c r="I2333" s="103">
        <v>58</v>
      </c>
      <c r="K2333" s="103" t="s">
        <v>1032</v>
      </c>
      <c r="L2333" s="133"/>
      <c r="M2333" s="134">
        <v>1.8749999999999999E-2</v>
      </c>
      <c r="N2333" s="137" t="s">
        <v>1660</v>
      </c>
      <c r="O2333" s="133" t="s">
        <v>1585</v>
      </c>
      <c r="Q2333" s="100" t="s">
        <v>4139</v>
      </c>
      <c r="R2333" s="226" t="s">
        <v>4136</v>
      </c>
      <c r="S2333" s="491" t="str">
        <f t="shared" si="75"/>
        <v>x</v>
      </c>
      <c r="T2333" s="492" t="str">
        <f>IFERROR(VLOOKUP(F2333,'Freq-Chan'!C:D,2,FALSE),"x")</f>
        <v>x</v>
      </c>
      <c r="U2333" s="110" t="s">
        <v>541</v>
      </c>
      <c r="V2333" s="110" t="str">
        <f t="shared" si="76"/>
        <v>FWL</v>
      </c>
      <c r="W2333" s="110" t="s">
        <v>541</v>
      </c>
      <c r="X2333" s="110" t="s">
        <v>541</v>
      </c>
      <c r="Y2333" s="110" t="str">
        <f>IFERROR(VLOOKUP(F2333,'Freq-Chan'!C:E,3,FALSE),"na")</f>
        <v>na</v>
      </c>
      <c r="Z2333" s="110" t="s">
        <v>541</v>
      </c>
      <c r="AA2333" s="110" t="s">
        <v>541</v>
      </c>
      <c r="AB2333" s="110" t="s">
        <v>541</v>
      </c>
      <c r="AC2333" s="10" t="s">
        <v>541</v>
      </c>
      <c r="AD2333" s="10" t="s">
        <v>541</v>
      </c>
    </row>
    <row r="2334" spans="1:30" x14ac:dyDescent="0.2">
      <c r="A2334" s="110">
        <v>2333</v>
      </c>
      <c r="B2334" s="132">
        <v>41861</v>
      </c>
      <c r="C2334" s="117">
        <v>2</v>
      </c>
      <c r="D2334" s="103" t="s">
        <v>71</v>
      </c>
      <c r="E2334" s="103" t="s">
        <v>306</v>
      </c>
      <c r="H2334" s="103"/>
      <c r="I2334" s="103">
        <v>54</v>
      </c>
      <c r="K2334" s="103" t="s">
        <v>1032</v>
      </c>
      <c r="L2334" s="133"/>
      <c r="M2334" s="134">
        <v>1.5972222222222224E-2</v>
      </c>
      <c r="N2334" s="137" t="s">
        <v>2632</v>
      </c>
      <c r="O2334" s="133" t="s">
        <v>1585</v>
      </c>
      <c r="Q2334" s="100" t="s">
        <v>4139</v>
      </c>
      <c r="R2334" s="226" t="s">
        <v>4136</v>
      </c>
      <c r="S2334" s="491" t="str">
        <f t="shared" si="75"/>
        <v>x</v>
      </c>
      <c r="T2334" s="492" t="str">
        <f>IFERROR(VLOOKUP(F2334,'Freq-Chan'!C:D,2,FALSE),"x")</f>
        <v>x</v>
      </c>
      <c r="U2334" s="110" t="s">
        <v>541</v>
      </c>
      <c r="V2334" s="110" t="str">
        <f t="shared" si="76"/>
        <v>FWL</v>
      </c>
      <c r="W2334" s="110" t="s">
        <v>541</v>
      </c>
      <c r="X2334" s="110" t="s">
        <v>541</v>
      </c>
      <c r="Y2334" s="110" t="str">
        <f>IFERROR(VLOOKUP(F2334,'Freq-Chan'!C:E,3,FALSE),"na")</f>
        <v>na</v>
      </c>
      <c r="Z2334" s="110" t="s">
        <v>541</v>
      </c>
      <c r="AA2334" s="110" t="s">
        <v>541</v>
      </c>
      <c r="AB2334" s="110" t="s">
        <v>541</v>
      </c>
      <c r="AC2334" s="10" t="s">
        <v>541</v>
      </c>
      <c r="AD2334" s="10" t="s">
        <v>541</v>
      </c>
    </row>
    <row r="2335" spans="1:30" x14ac:dyDescent="0.2">
      <c r="A2335" s="110">
        <v>2334</v>
      </c>
      <c r="B2335" s="132">
        <v>41861</v>
      </c>
      <c r="C2335" s="117">
        <v>2</v>
      </c>
      <c r="D2335" s="103" t="s">
        <v>8</v>
      </c>
      <c r="E2335" s="103" t="s">
        <v>306</v>
      </c>
      <c r="F2335" s="103">
        <v>586</v>
      </c>
      <c r="G2335" s="103">
        <v>50</v>
      </c>
      <c r="H2335" s="103" t="s">
        <v>2241</v>
      </c>
      <c r="I2335" s="103">
        <v>52</v>
      </c>
      <c r="K2335" s="103" t="s">
        <v>1032</v>
      </c>
      <c r="L2335" s="133"/>
      <c r="M2335" s="134">
        <v>4.3750000000000004E-2</v>
      </c>
      <c r="N2335" s="137" t="s">
        <v>3884</v>
      </c>
      <c r="O2335" s="133" t="s">
        <v>1585</v>
      </c>
      <c r="Q2335" s="100" t="s">
        <v>4139</v>
      </c>
      <c r="R2335" s="226" t="s">
        <v>4136</v>
      </c>
      <c r="S2335" s="491" t="str">
        <f t="shared" si="75"/>
        <v>x</v>
      </c>
      <c r="T2335" s="492">
        <f>IFERROR(VLOOKUP(F2335,'Freq-Chan'!C:D,2,FALSE),"x")</f>
        <v>151.58600000000001</v>
      </c>
      <c r="U2335" s="110" t="s">
        <v>541</v>
      </c>
      <c r="V2335" s="110" t="str">
        <f t="shared" si="76"/>
        <v>FWL</v>
      </c>
      <c r="W2335" s="110" t="s">
        <v>541</v>
      </c>
      <c r="X2335" s="110" t="s">
        <v>541</v>
      </c>
      <c r="Y2335" s="110" t="str">
        <f>IFERROR(VLOOKUP(F2335,'Freq-Chan'!C:E,3,FALSE),"na")</f>
        <v>F1840</v>
      </c>
      <c r="Z2335" s="110" t="s">
        <v>541</v>
      </c>
      <c r="AA2335" s="110" t="s">
        <v>541</v>
      </c>
      <c r="AB2335" s="110" t="s">
        <v>541</v>
      </c>
      <c r="AC2335" s="10" t="s">
        <v>541</v>
      </c>
      <c r="AD2335" s="10" t="s">
        <v>541</v>
      </c>
    </row>
    <row r="2336" spans="1:30" x14ac:dyDescent="0.2">
      <c r="A2336" s="110">
        <v>2335</v>
      </c>
      <c r="B2336" s="132">
        <v>41861</v>
      </c>
      <c r="C2336" s="117">
        <v>2</v>
      </c>
      <c r="D2336" s="103" t="s">
        <v>70</v>
      </c>
      <c r="E2336" s="103" t="s">
        <v>306</v>
      </c>
      <c r="F2336" s="103">
        <v>596</v>
      </c>
      <c r="G2336" s="103">
        <v>21</v>
      </c>
      <c r="H2336" s="103" t="s">
        <v>3115</v>
      </c>
      <c r="I2336" s="103">
        <v>47</v>
      </c>
      <c r="K2336" s="103" t="s">
        <v>365</v>
      </c>
      <c r="L2336" s="133"/>
      <c r="M2336" s="134">
        <v>3.4722222222222224E-2</v>
      </c>
      <c r="N2336" s="137" t="s">
        <v>2745</v>
      </c>
      <c r="O2336" s="133" t="s">
        <v>1538</v>
      </c>
      <c r="Q2336" s="100" t="s">
        <v>4142</v>
      </c>
      <c r="R2336" s="226" t="s">
        <v>4136</v>
      </c>
      <c r="S2336" s="491" t="str">
        <f t="shared" si="75"/>
        <v>x</v>
      </c>
      <c r="T2336" s="492">
        <f>IFERROR(VLOOKUP(F2336,'Freq-Chan'!C:D,2,FALSE),"x")</f>
        <v>151.596</v>
      </c>
      <c r="U2336" s="110" t="s">
        <v>541</v>
      </c>
      <c r="V2336" s="110" t="str">
        <f t="shared" si="76"/>
        <v>FWL</v>
      </c>
      <c r="W2336" s="110" t="s">
        <v>541</v>
      </c>
      <c r="X2336" s="110" t="s">
        <v>541</v>
      </c>
      <c r="Y2336" s="110" t="str">
        <f>IFERROR(VLOOKUP(F2336,'Freq-Chan'!C:E,3,FALSE),"na")</f>
        <v>F1835</v>
      </c>
      <c r="Z2336" s="110" t="s">
        <v>541</v>
      </c>
      <c r="AA2336" s="110" t="s">
        <v>541</v>
      </c>
      <c r="AB2336" s="110" t="s">
        <v>541</v>
      </c>
      <c r="AC2336" s="10" t="s">
        <v>541</v>
      </c>
      <c r="AD2336" s="10" t="s">
        <v>541</v>
      </c>
    </row>
    <row r="2337" spans="1:30" x14ac:dyDescent="0.2">
      <c r="A2337" s="110">
        <v>2336</v>
      </c>
      <c r="B2337" s="132">
        <v>41861</v>
      </c>
      <c r="C2337" s="117">
        <v>2</v>
      </c>
      <c r="D2337" s="103" t="s">
        <v>8</v>
      </c>
      <c r="E2337" s="103" t="s">
        <v>306</v>
      </c>
      <c r="F2337" s="103">
        <v>573</v>
      </c>
      <c r="G2337" s="103">
        <v>75</v>
      </c>
      <c r="H2337" s="103" t="s">
        <v>2242</v>
      </c>
      <c r="I2337" s="103">
        <v>47</v>
      </c>
      <c r="K2337" s="103" t="s">
        <v>364</v>
      </c>
      <c r="L2337" s="133"/>
      <c r="M2337" s="134">
        <v>3.6111111111111115E-2</v>
      </c>
      <c r="N2337" s="137" t="s">
        <v>4152</v>
      </c>
      <c r="O2337" s="133" t="s">
        <v>1538</v>
      </c>
      <c r="Q2337" s="100" t="s">
        <v>4142</v>
      </c>
      <c r="R2337" s="226" t="s">
        <v>4136</v>
      </c>
      <c r="S2337" s="491" t="str">
        <f t="shared" si="75"/>
        <v>x</v>
      </c>
      <c r="T2337" s="492">
        <f>IFERROR(VLOOKUP(F2337,'Freq-Chan'!C:D,2,FALSE),"x")</f>
        <v>151.57300000000001</v>
      </c>
      <c r="U2337" s="110" t="s">
        <v>541</v>
      </c>
      <c r="V2337" s="110" t="str">
        <f t="shared" si="76"/>
        <v>FWL</v>
      </c>
      <c r="W2337" s="110" t="s">
        <v>541</v>
      </c>
      <c r="X2337" s="110" t="s">
        <v>541</v>
      </c>
      <c r="Y2337" s="110" t="str">
        <f>IFERROR(VLOOKUP(F2337,'Freq-Chan'!C:E,3,FALSE),"na")</f>
        <v>F1840</v>
      </c>
      <c r="Z2337" s="110" t="s">
        <v>541</v>
      </c>
      <c r="AA2337" s="110" t="s">
        <v>541</v>
      </c>
      <c r="AB2337" s="110" t="s">
        <v>541</v>
      </c>
      <c r="AC2337" s="10" t="s">
        <v>541</v>
      </c>
      <c r="AD2337" s="10" t="s">
        <v>541</v>
      </c>
    </row>
    <row r="2338" spans="1:30" s="291" customFormat="1" x14ac:dyDescent="0.2">
      <c r="A2338" s="493">
        <v>2337</v>
      </c>
      <c r="B2338" s="283">
        <v>41861</v>
      </c>
      <c r="C2338" s="284">
        <v>2</v>
      </c>
      <c r="D2338" s="285" t="s">
        <v>70</v>
      </c>
      <c r="E2338" s="285" t="s">
        <v>306</v>
      </c>
      <c r="F2338" s="285"/>
      <c r="G2338" s="285"/>
      <c r="H2338" s="285"/>
      <c r="I2338" s="285">
        <v>50</v>
      </c>
      <c r="J2338" s="285"/>
      <c r="K2338" s="285" t="s">
        <v>365</v>
      </c>
      <c r="L2338" s="286"/>
      <c r="M2338" s="287">
        <v>1.4583333333333332E-2</v>
      </c>
      <c r="N2338" s="339" t="s">
        <v>1992</v>
      </c>
      <c r="O2338" s="286" t="s">
        <v>1538</v>
      </c>
      <c r="P2338" s="289"/>
      <c r="Q2338" s="289" t="s">
        <v>4142</v>
      </c>
      <c r="R2338" s="290" t="s">
        <v>4136</v>
      </c>
      <c r="S2338" s="494" t="str">
        <f t="shared" si="75"/>
        <v>x</v>
      </c>
      <c r="T2338" s="495" t="str">
        <f>IFERROR(VLOOKUP(F2338,'Freq-Chan'!C:D,2,FALSE),"x")</f>
        <v>x</v>
      </c>
      <c r="U2338" s="493" t="s">
        <v>541</v>
      </c>
      <c r="V2338" s="493" t="str">
        <f t="shared" si="76"/>
        <v>FWL</v>
      </c>
      <c r="W2338" s="493" t="s">
        <v>541</v>
      </c>
      <c r="X2338" s="493" t="s">
        <v>541</v>
      </c>
      <c r="Y2338" s="493" t="str">
        <f>IFERROR(VLOOKUP(F2338,'Freq-Chan'!C:E,3,FALSE),"na")</f>
        <v>na</v>
      </c>
      <c r="Z2338" s="493" t="s">
        <v>541</v>
      </c>
      <c r="AA2338" s="493" t="s">
        <v>541</v>
      </c>
      <c r="AB2338" s="493" t="s">
        <v>541</v>
      </c>
      <c r="AC2338" s="291" t="s">
        <v>541</v>
      </c>
      <c r="AD2338" s="291" t="s">
        <v>541</v>
      </c>
    </row>
    <row r="2339" spans="1:30" x14ac:dyDescent="0.2">
      <c r="A2339" s="110">
        <v>2338</v>
      </c>
      <c r="B2339" s="132">
        <v>41861</v>
      </c>
      <c r="C2339" s="117">
        <v>3</v>
      </c>
      <c r="D2339" s="103" t="s">
        <v>70</v>
      </c>
      <c r="E2339" s="103" t="s">
        <v>306</v>
      </c>
      <c r="F2339" s="103">
        <v>596</v>
      </c>
      <c r="G2339" s="103">
        <v>31</v>
      </c>
      <c r="H2339" s="103" t="s">
        <v>3112</v>
      </c>
      <c r="I2339" s="103">
        <v>43</v>
      </c>
      <c r="K2339" s="103" t="s">
        <v>365</v>
      </c>
      <c r="L2339" s="133">
        <v>0.35138888888888892</v>
      </c>
      <c r="M2339" s="134">
        <v>2.1527777777777781E-2</v>
      </c>
      <c r="N2339" s="137" t="s">
        <v>3467</v>
      </c>
      <c r="O2339" s="133" t="s">
        <v>1538</v>
      </c>
      <c r="Q2339" s="100" t="s">
        <v>4145</v>
      </c>
      <c r="R2339" s="226" t="s">
        <v>4136</v>
      </c>
      <c r="S2339" s="491">
        <f t="shared" si="75"/>
        <v>1.4918981499999999E-2</v>
      </c>
      <c r="T2339" s="492">
        <f>IFERROR(VLOOKUP(F2339,'Freq-Chan'!C:D,2,FALSE),"x")</f>
        <v>151.596</v>
      </c>
      <c r="U2339" s="110" t="s">
        <v>541</v>
      </c>
      <c r="V2339" s="110" t="str">
        <f t="shared" si="76"/>
        <v>FWL</v>
      </c>
      <c r="W2339" s="110" t="s">
        <v>541</v>
      </c>
      <c r="X2339" s="110" t="s">
        <v>541</v>
      </c>
      <c r="Y2339" s="110" t="str">
        <f>IFERROR(VLOOKUP(F2339,'Freq-Chan'!C:E,3,FALSE),"na")</f>
        <v>F1835</v>
      </c>
      <c r="Z2339" s="110" t="s">
        <v>541</v>
      </c>
      <c r="AA2339" s="110" t="s">
        <v>541</v>
      </c>
      <c r="AB2339" s="110" t="s">
        <v>541</v>
      </c>
      <c r="AC2339" s="10" t="s">
        <v>541</v>
      </c>
      <c r="AD2339" s="10" t="s">
        <v>541</v>
      </c>
    </row>
    <row r="2340" spans="1:30" x14ac:dyDescent="0.2">
      <c r="A2340" s="110">
        <v>2339</v>
      </c>
      <c r="B2340" s="132">
        <v>41861</v>
      </c>
      <c r="C2340" s="117">
        <v>3</v>
      </c>
      <c r="D2340" s="103" t="s">
        <v>70</v>
      </c>
      <c r="E2340" s="103" t="s">
        <v>306</v>
      </c>
      <c r="H2340" s="103"/>
      <c r="I2340" s="103">
        <v>47</v>
      </c>
      <c r="K2340" s="103" t="s">
        <v>1032</v>
      </c>
      <c r="L2340" s="133"/>
      <c r="M2340" s="134">
        <v>1.5972222222222224E-2</v>
      </c>
      <c r="N2340" s="137" t="s">
        <v>3768</v>
      </c>
      <c r="O2340" s="133" t="s">
        <v>1538</v>
      </c>
      <c r="Q2340" s="100" t="s">
        <v>4145</v>
      </c>
      <c r="R2340" s="226" t="s">
        <v>4136</v>
      </c>
      <c r="S2340" s="491" t="str">
        <f t="shared" si="75"/>
        <v>x</v>
      </c>
      <c r="T2340" s="492" t="str">
        <f>IFERROR(VLOOKUP(F2340,'Freq-Chan'!C:D,2,FALSE),"x")</f>
        <v>x</v>
      </c>
      <c r="U2340" s="110" t="s">
        <v>541</v>
      </c>
      <c r="V2340" s="110" t="str">
        <f t="shared" si="76"/>
        <v>FWL</v>
      </c>
      <c r="W2340" s="110" t="s">
        <v>541</v>
      </c>
      <c r="X2340" s="110" t="s">
        <v>541</v>
      </c>
      <c r="Y2340" s="110" t="str">
        <f>IFERROR(VLOOKUP(F2340,'Freq-Chan'!C:E,3,FALSE),"na")</f>
        <v>na</v>
      </c>
      <c r="Z2340" s="110" t="s">
        <v>541</v>
      </c>
      <c r="AA2340" s="110" t="s">
        <v>541</v>
      </c>
      <c r="AB2340" s="110" t="s">
        <v>541</v>
      </c>
      <c r="AC2340" s="10" t="s">
        <v>541</v>
      </c>
      <c r="AD2340" s="10" t="s">
        <v>541</v>
      </c>
    </row>
    <row r="2341" spans="1:30" x14ac:dyDescent="0.2">
      <c r="A2341" s="110">
        <v>2340</v>
      </c>
      <c r="B2341" s="132">
        <v>41861</v>
      </c>
      <c r="C2341" s="117">
        <v>3</v>
      </c>
      <c r="D2341" s="103" t="s">
        <v>71</v>
      </c>
      <c r="E2341" s="103" t="s">
        <v>306</v>
      </c>
      <c r="F2341" s="103">
        <v>534</v>
      </c>
      <c r="G2341" s="103">
        <v>7</v>
      </c>
      <c r="H2341" s="103" t="s">
        <v>2424</v>
      </c>
      <c r="I2341" s="103">
        <v>54</v>
      </c>
      <c r="K2341" s="103" t="s">
        <v>364</v>
      </c>
      <c r="L2341" s="133">
        <v>0.35555555555555557</v>
      </c>
      <c r="M2341" s="134">
        <v>2.6388888888888889E-2</v>
      </c>
      <c r="N2341" s="137" t="s">
        <v>2045</v>
      </c>
      <c r="O2341" s="133" t="s">
        <v>1538</v>
      </c>
      <c r="Q2341" s="100" t="s">
        <v>4145</v>
      </c>
      <c r="R2341" s="226" t="s">
        <v>4136</v>
      </c>
      <c r="S2341" s="491">
        <f t="shared" si="75"/>
        <v>1.34490741E-2</v>
      </c>
      <c r="T2341" s="492">
        <f>IFERROR(VLOOKUP(F2341,'Freq-Chan'!C:D,2,FALSE),"x")</f>
        <v>151.53399999999999</v>
      </c>
      <c r="U2341" s="110" t="s">
        <v>541</v>
      </c>
      <c r="V2341" s="110" t="str">
        <f t="shared" si="76"/>
        <v>FWL</v>
      </c>
      <c r="W2341" s="110" t="s">
        <v>541</v>
      </c>
      <c r="X2341" s="110" t="s">
        <v>541</v>
      </c>
      <c r="Y2341" s="110" t="str">
        <f>IFERROR(VLOOKUP(F2341,'Freq-Chan'!C:E,3,FALSE),"na")</f>
        <v>F1840</v>
      </c>
      <c r="Z2341" s="110" t="s">
        <v>541</v>
      </c>
      <c r="AA2341" s="110" t="s">
        <v>541</v>
      </c>
      <c r="AB2341" s="110" t="s">
        <v>541</v>
      </c>
      <c r="AC2341" s="10" t="s">
        <v>541</v>
      </c>
      <c r="AD2341" s="10" t="s">
        <v>541</v>
      </c>
    </row>
    <row r="2342" spans="1:30" x14ac:dyDescent="0.2">
      <c r="A2342" s="110">
        <v>2341</v>
      </c>
      <c r="B2342" s="132">
        <v>41861</v>
      </c>
      <c r="C2342" s="117">
        <v>3</v>
      </c>
      <c r="D2342" s="103" t="s">
        <v>70</v>
      </c>
      <c r="E2342" s="103" t="s">
        <v>306</v>
      </c>
      <c r="H2342" s="103"/>
      <c r="I2342" s="103">
        <v>48</v>
      </c>
      <c r="K2342" s="103" t="s">
        <v>1032</v>
      </c>
      <c r="L2342" s="133"/>
      <c r="M2342" s="134">
        <v>9.0277777777777787E-3</v>
      </c>
      <c r="N2342" s="137" t="s">
        <v>3384</v>
      </c>
      <c r="O2342" s="133" t="s">
        <v>1538</v>
      </c>
      <c r="Q2342" s="100" t="s">
        <v>4145</v>
      </c>
      <c r="R2342" s="226" t="s">
        <v>4136</v>
      </c>
      <c r="S2342" s="491" t="str">
        <f t="shared" si="75"/>
        <v>x</v>
      </c>
      <c r="T2342" s="492" t="str">
        <f>IFERROR(VLOOKUP(F2342,'Freq-Chan'!C:D,2,FALSE),"x")</f>
        <v>x</v>
      </c>
      <c r="U2342" s="110" t="s">
        <v>541</v>
      </c>
      <c r="V2342" s="110" t="str">
        <f t="shared" si="76"/>
        <v>FWL</v>
      </c>
      <c r="W2342" s="110" t="s">
        <v>541</v>
      </c>
      <c r="X2342" s="110" t="s">
        <v>541</v>
      </c>
      <c r="Y2342" s="110" t="str">
        <f>IFERROR(VLOOKUP(F2342,'Freq-Chan'!C:E,3,FALSE),"na")</f>
        <v>na</v>
      </c>
      <c r="Z2342" s="110" t="s">
        <v>541</v>
      </c>
      <c r="AA2342" s="110" t="s">
        <v>541</v>
      </c>
      <c r="AB2342" s="110" t="s">
        <v>541</v>
      </c>
      <c r="AC2342" s="10" t="s">
        <v>541</v>
      </c>
      <c r="AD2342" s="10" t="s">
        <v>541</v>
      </c>
    </row>
    <row r="2343" spans="1:30" x14ac:dyDescent="0.2">
      <c r="A2343" s="110">
        <v>2342</v>
      </c>
      <c r="B2343" s="132">
        <v>41861</v>
      </c>
      <c r="C2343" s="117">
        <v>3</v>
      </c>
      <c r="D2343" s="103" t="s">
        <v>71</v>
      </c>
      <c r="E2343" s="103" t="s">
        <v>306</v>
      </c>
      <c r="H2343" s="103"/>
      <c r="I2343" s="103">
        <v>64</v>
      </c>
      <c r="K2343" s="103" t="s">
        <v>1032</v>
      </c>
      <c r="L2343" s="133"/>
      <c r="M2343" s="134">
        <v>1.1111111111111112E-2</v>
      </c>
      <c r="N2343" s="137" t="s">
        <v>3385</v>
      </c>
      <c r="O2343" s="133" t="s">
        <v>1538</v>
      </c>
      <c r="Q2343" s="100" t="s">
        <v>4145</v>
      </c>
      <c r="R2343" s="226" t="s">
        <v>4136</v>
      </c>
      <c r="S2343" s="491" t="str">
        <f t="shared" si="75"/>
        <v>x</v>
      </c>
      <c r="T2343" s="492" t="str">
        <f>IFERROR(VLOOKUP(F2343,'Freq-Chan'!C:D,2,FALSE),"x")</f>
        <v>x</v>
      </c>
      <c r="U2343" s="110" t="s">
        <v>541</v>
      </c>
      <c r="V2343" s="110" t="str">
        <f t="shared" si="76"/>
        <v>FWL</v>
      </c>
      <c r="W2343" s="110" t="s">
        <v>541</v>
      </c>
      <c r="X2343" s="110" t="s">
        <v>541</v>
      </c>
      <c r="Y2343" s="110" t="str">
        <f>IFERROR(VLOOKUP(F2343,'Freq-Chan'!C:E,3,FALSE),"na")</f>
        <v>na</v>
      </c>
      <c r="Z2343" s="110" t="s">
        <v>541</v>
      </c>
      <c r="AA2343" s="110" t="s">
        <v>541</v>
      </c>
      <c r="AB2343" s="110" t="s">
        <v>541</v>
      </c>
      <c r="AC2343" s="10" t="s">
        <v>541</v>
      </c>
      <c r="AD2343" s="10" t="s">
        <v>541</v>
      </c>
    </row>
    <row r="2344" spans="1:30" x14ac:dyDescent="0.2">
      <c r="A2344" s="110">
        <v>2343</v>
      </c>
      <c r="B2344" s="132">
        <v>41861</v>
      </c>
      <c r="C2344" s="117">
        <v>3</v>
      </c>
      <c r="D2344" s="103" t="s">
        <v>70</v>
      </c>
      <c r="E2344" s="103" t="s">
        <v>306</v>
      </c>
      <c r="H2344" s="103"/>
      <c r="I2344" s="103">
        <v>46</v>
      </c>
      <c r="K2344" s="103" t="s">
        <v>1032</v>
      </c>
      <c r="L2344" s="133"/>
      <c r="M2344" s="134">
        <v>1.0416666666666666E-2</v>
      </c>
      <c r="N2344" s="137" t="s">
        <v>3386</v>
      </c>
      <c r="O2344" s="133" t="s">
        <v>1538</v>
      </c>
      <c r="Q2344" s="100" t="s">
        <v>4145</v>
      </c>
      <c r="R2344" s="226" t="s">
        <v>4136</v>
      </c>
      <c r="S2344" s="491" t="str">
        <f t="shared" si="75"/>
        <v>x</v>
      </c>
      <c r="T2344" s="492" t="str">
        <f>IFERROR(VLOOKUP(F2344,'Freq-Chan'!C:D,2,FALSE),"x")</f>
        <v>x</v>
      </c>
      <c r="U2344" s="110" t="s">
        <v>541</v>
      </c>
      <c r="V2344" s="110" t="str">
        <f t="shared" si="76"/>
        <v>FWL</v>
      </c>
      <c r="W2344" s="110" t="s">
        <v>541</v>
      </c>
      <c r="X2344" s="110" t="s">
        <v>541</v>
      </c>
      <c r="Y2344" s="110" t="str">
        <f>IFERROR(VLOOKUP(F2344,'Freq-Chan'!C:E,3,FALSE),"na")</f>
        <v>na</v>
      </c>
      <c r="Z2344" s="110" t="s">
        <v>541</v>
      </c>
      <c r="AA2344" s="110" t="s">
        <v>541</v>
      </c>
      <c r="AB2344" s="110" t="s">
        <v>541</v>
      </c>
      <c r="AC2344" s="10" t="s">
        <v>541</v>
      </c>
      <c r="AD2344" s="10" t="s">
        <v>541</v>
      </c>
    </row>
    <row r="2345" spans="1:30" x14ac:dyDescent="0.2">
      <c r="A2345" s="110">
        <v>2344</v>
      </c>
      <c r="B2345" s="132">
        <v>41861</v>
      </c>
      <c r="C2345" s="117">
        <v>3</v>
      </c>
      <c r="D2345" s="103" t="s">
        <v>70</v>
      </c>
      <c r="E2345" s="103" t="s">
        <v>306</v>
      </c>
      <c r="H2345" s="103"/>
      <c r="I2345" s="103">
        <v>47</v>
      </c>
      <c r="K2345" s="103" t="s">
        <v>1032</v>
      </c>
      <c r="L2345" s="133"/>
      <c r="M2345" s="134">
        <v>1.1111111111111112E-2</v>
      </c>
      <c r="N2345" s="137" t="s">
        <v>3730</v>
      </c>
      <c r="O2345" s="133" t="s">
        <v>1538</v>
      </c>
      <c r="Q2345" s="100" t="s">
        <v>4145</v>
      </c>
      <c r="R2345" s="226" t="s">
        <v>4136</v>
      </c>
      <c r="S2345" s="491" t="str">
        <f t="shared" si="75"/>
        <v>x</v>
      </c>
      <c r="T2345" s="492" t="str">
        <f>IFERROR(VLOOKUP(F2345,'Freq-Chan'!C:D,2,FALSE),"x")</f>
        <v>x</v>
      </c>
      <c r="U2345" s="110" t="s">
        <v>541</v>
      </c>
      <c r="V2345" s="110" t="str">
        <f t="shared" si="76"/>
        <v>FWL</v>
      </c>
      <c r="W2345" s="110" t="s">
        <v>541</v>
      </c>
      <c r="X2345" s="110" t="s">
        <v>541</v>
      </c>
      <c r="Y2345" s="110" t="str">
        <f>IFERROR(VLOOKUP(F2345,'Freq-Chan'!C:E,3,FALSE),"na")</f>
        <v>na</v>
      </c>
      <c r="Z2345" s="110" t="s">
        <v>541</v>
      </c>
      <c r="AA2345" s="110" t="s">
        <v>541</v>
      </c>
      <c r="AB2345" s="110" t="s">
        <v>541</v>
      </c>
      <c r="AC2345" s="10" t="s">
        <v>541</v>
      </c>
      <c r="AD2345" s="10" t="s">
        <v>541</v>
      </c>
    </row>
    <row r="2346" spans="1:30" x14ac:dyDescent="0.2">
      <c r="A2346" s="110">
        <v>2345</v>
      </c>
      <c r="B2346" s="132">
        <v>41861</v>
      </c>
      <c r="C2346" s="117">
        <v>3</v>
      </c>
      <c r="D2346" s="103" t="s">
        <v>71</v>
      </c>
      <c r="E2346" s="103" t="s">
        <v>306</v>
      </c>
      <c r="H2346" s="103"/>
      <c r="I2346" s="103">
        <v>53</v>
      </c>
      <c r="K2346" s="103" t="s">
        <v>1032</v>
      </c>
      <c r="L2346" s="133"/>
      <c r="M2346" s="134">
        <v>8.3333333333333332E-3</v>
      </c>
      <c r="N2346" s="135" t="s">
        <v>3927</v>
      </c>
      <c r="O2346" s="133" t="s">
        <v>1538</v>
      </c>
      <c r="Q2346" s="100" t="s">
        <v>4145</v>
      </c>
      <c r="R2346" s="226" t="s">
        <v>4136</v>
      </c>
      <c r="S2346" s="491" t="str">
        <f t="shared" si="75"/>
        <v>x</v>
      </c>
      <c r="T2346" s="492" t="str">
        <f>IFERROR(VLOOKUP(F2346,'Freq-Chan'!C:D,2,FALSE),"x")</f>
        <v>x</v>
      </c>
      <c r="U2346" s="110" t="s">
        <v>541</v>
      </c>
      <c r="V2346" s="110" t="str">
        <f t="shared" si="76"/>
        <v>FWL</v>
      </c>
      <c r="W2346" s="110" t="s">
        <v>541</v>
      </c>
      <c r="X2346" s="110" t="s">
        <v>541</v>
      </c>
      <c r="Y2346" s="110" t="str">
        <f>IFERROR(VLOOKUP(F2346,'Freq-Chan'!C:E,3,FALSE),"na")</f>
        <v>na</v>
      </c>
      <c r="Z2346" s="110" t="s">
        <v>541</v>
      </c>
      <c r="AA2346" s="110" t="s">
        <v>541</v>
      </c>
      <c r="AB2346" s="110" t="s">
        <v>541</v>
      </c>
      <c r="AC2346" s="10" t="s">
        <v>541</v>
      </c>
      <c r="AD2346" s="10" t="s">
        <v>541</v>
      </c>
    </row>
    <row r="2347" spans="1:30" x14ac:dyDescent="0.2">
      <c r="A2347" s="110">
        <v>2346</v>
      </c>
      <c r="B2347" s="132">
        <v>41861</v>
      </c>
      <c r="C2347" s="117">
        <v>3</v>
      </c>
      <c r="D2347" s="103" t="s">
        <v>70</v>
      </c>
      <c r="E2347" s="103" t="s">
        <v>306</v>
      </c>
      <c r="H2347" s="103"/>
      <c r="I2347" s="103">
        <v>47</v>
      </c>
      <c r="K2347" s="103" t="s">
        <v>365</v>
      </c>
      <c r="L2347" s="133"/>
      <c r="M2347" s="134">
        <v>8.3333333333333332E-3</v>
      </c>
      <c r="N2347" s="137" t="s">
        <v>393</v>
      </c>
      <c r="O2347" s="133" t="s">
        <v>1538</v>
      </c>
      <c r="Q2347" s="100" t="s">
        <v>4145</v>
      </c>
      <c r="R2347" s="226" t="s">
        <v>4136</v>
      </c>
      <c r="S2347" s="491" t="str">
        <f t="shared" si="75"/>
        <v>x</v>
      </c>
      <c r="T2347" s="492" t="str">
        <f>IFERROR(VLOOKUP(F2347,'Freq-Chan'!C:D,2,FALSE),"x")</f>
        <v>x</v>
      </c>
      <c r="U2347" s="110" t="s">
        <v>541</v>
      </c>
      <c r="V2347" s="110" t="str">
        <f t="shared" si="76"/>
        <v>FWL</v>
      </c>
      <c r="W2347" s="110" t="s">
        <v>541</v>
      </c>
      <c r="X2347" s="110" t="s">
        <v>541</v>
      </c>
      <c r="Y2347" s="110" t="str">
        <f>IFERROR(VLOOKUP(F2347,'Freq-Chan'!C:E,3,FALSE),"na")</f>
        <v>na</v>
      </c>
      <c r="Z2347" s="110" t="s">
        <v>541</v>
      </c>
      <c r="AA2347" s="110" t="s">
        <v>541</v>
      </c>
      <c r="AB2347" s="110" t="s">
        <v>541</v>
      </c>
      <c r="AC2347" s="10" t="s">
        <v>541</v>
      </c>
      <c r="AD2347" s="10" t="s">
        <v>541</v>
      </c>
    </row>
    <row r="2348" spans="1:30" x14ac:dyDescent="0.2">
      <c r="A2348" s="110">
        <v>2347</v>
      </c>
      <c r="B2348" s="132">
        <v>41861</v>
      </c>
      <c r="C2348" s="117">
        <v>3</v>
      </c>
      <c r="D2348" s="103" t="s">
        <v>71</v>
      </c>
      <c r="E2348" s="103" t="s">
        <v>306</v>
      </c>
      <c r="H2348" s="103"/>
      <c r="I2348" s="103">
        <v>50</v>
      </c>
      <c r="K2348" s="103" t="s">
        <v>364</v>
      </c>
      <c r="L2348" s="133"/>
      <c r="M2348" s="134">
        <v>8.3333333333333332E-3</v>
      </c>
      <c r="N2348" s="137" t="s">
        <v>4049</v>
      </c>
      <c r="O2348" s="133" t="s">
        <v>1538</v>
      </c>
      <c r="Q2348" s="100" t="s">
        <v>4145</v>
      </c>
      <c r="R2348" s="226" t="s">
        <v>4136</v>
      </c>
      <c r="S2348" s="491" t="str">
        <f t="shared" si="75"/>
        <v>x</v>
      </c>
      <c r="T2348" s="492" t="str">
        <f>IFERROR(VLOOKUP(F2348,'Freq-Chan'!C:D,2,FALSE),"x")</f>
        <v>x</v>
      </c>
      <c r="U2348" s="110" t="s">
        <v>541</v>
      </c>
      <c r="V2348" s="110" t="str">
        <f t="shared" si="76"/>
        <v>FWL</v>
      </c>
      <c r="W2348" s="110" t="s">
        <v>541</v>
      </c>
      <c r="X2348" s="110" t="s">
        <v>541</v>
      </c>
      <c r="Y2348" s="110" t="str">
        <f>IFERROR(VLOOKUP(F2348,'Freq-Chan'!C:E,3,FALSE),"na")</f>
        <v>na</v>
      </c>
      <c r="Z2348" s="110" t="s">
        <v>541</v>
      </c>
      <c r="AA2348" s="110" t="s">
        <v>541</v>
      </c>
      <c r="AB2348" s="110" t="s">
        <v>541</v>
      </c>
      <c r="AC2348" s="10" t="s">
        <v>541</v>
      </c>
      <c r="AD2348" s="10" t="s">
        <v>541</v>
      </c>
    </row>
    <row r="2349" spans="1:30" x14ac:dyDescent="0.2">
      <c r="A2349" s="110">
        <v>2348</v>
      </c>
      <c r="B2349" s="132">
        <v>41861</v>
      </c>
      <c r="C2349" s="117">
        <v>3</v>
      </c>
      <c r="D2349" s="103" t="s">
        <v>70</v>
      </c>
      <c r="E2349" s="103" t="s">
        <v>306</v>
      </c>
      <c r="H2349" s="103"/>
      <c r="I2349" s="103">
        <v>48</v>
      </c>
      <c r="K2349" s="103" t="s">
        <v>365</v>
      </c>
      <c r="L2349" s="133"/>
      <c r="M2349" s="134">
        <v>1.0416666666666666E-2</v>
      </c>
      <c r="N2349" s="137" t="s">
        <v>3716</v>
      </c>
      <c r="O2349" s="133" t="s">
        <v>1538</v>
      </c>
      <c r="Q2349" s="100" t="s">
        <v>4145</v>
      </c>
      <c r="R2349" s="226" t="s">
        <v>4136</v>
      </c>
      <c r="S2349" s="491" t="str">
        <f t="shared" si="75"/>
        <v>x</v>
      </c>
      <c r="T2349" s="492" t="str">
        <f>IFERROR(VLOOKUP(F2349,'Freq-Chan'!C:D,2,FALSE),"x")</f>
        <v>x</v>
      </c>
      <c r="U2349" s="110" t="s">
        <v>541</v>
      </c>
      <c r="V2349" s="110" t="str">
        <f t="shared" si="76"/>
        <v>FWL</v>
      </c>
      <c r="W2349" s="110" t="s">
        <v>541</v>
      </c>
      <c r="X2349" s="110" t="s">
        <v>541</v>
      </c>
      <c r="Y2349" s="110" t="str">
        <f>IFERROR(VLOOKUP(F2349,'Freq-Chan'!C:E,3,FALSE),"na")</f>
        <v>na</v>
      </c>
      <c r="Z2349" s="110" t="s">
        <v>541</v>
      </c>
      <c r="AA2349" s="110" t="s">
        <v>541</v>
      </c>
      <c r="AB2349" s="110" t="s">
        <v>541</v>
      </c>
      <c r="AC2349" s="10" t="s">
        <v>541</v>
      </c>
      <c r="AD2349" s="10" t="s">
        <v>541</v>
      </c>
    </row>
    <row r="2350" spans="1:30" x14ac:dyDescent="0.2">
      <c r="A2350" s="110">
        <v>2349</v>
      </c>
      <c r="B2350" s="132">
        <v>41861</v>
      </c>
      <c r="C2350" s="117">
        <v>3</v>
      </c>
      <c r="D2350" s="103" t="s">
        <v>71</v>
      </c>
      <c r="E2350" s="103" t="s">
        <v>306</v>
      </c>
      <c r="H2350" s="103"/>
      <c r="I2350" s="103">
        <v>56</v>
      </c>
      <c r="K2350" s="103" t="s">
        <v>365</v>
      </c>
      <c r="L2350" s="133"/>
      <c r="M2350" s="134">
        <v>8.3333333333333332E-3</v>
      </c>
      <c r="N2350" s="137" t="s">
        <v>3210</v>
      </c>
      <c r="O2350" s="133" t="s">
        <v>1538</v>
      </c>
      <c r="Q2350" s="100" t="s">
        <v>4145</v>
      </c>
      <c r="R2350" s="226" t="s">
        <v>4136</v>
      </c>
      <c r="S2350" s="491" t="str">
        <f t="shared" si="75"/>
        <v>x</v>
      </c>
      <c r="T2350" s="492" t="str">
        <f>IFERROR(VLOOKUP(F2350,'Freq-Chan'!C:D,2,FALSE),"x")</f>
        <v>x</v>
      </c>
      <c r="U2350" s="110" t="s">
        <v>541</v>
      </c>
      <c r="V2350" s="110" t="str">
        <f t="shared" si="76"/>
        <v>FWL</v>
      </c>
      <c r="W2350" s="110" t="s">
        <v>541</v>
      </c>
      <c r="X2350" s="110" t="s">
        <v>541</v>
      </c>
      <c r="Y2350" s="110" t="str">
        <f>IFERROR(VLOOKUP(F2350,'Freq-Chan'!C:E,3,FALSE),"na")</f>
        <v>na</v>
      </c>
      <c r="Z2350" s="110" t="s">
        <v>541</v>
      </c>
      <c r="AA2350" s="110" t="s">
        <v>541</v>
      </c>
      <c r="AB2350" s="110" t="s">
        <v>541</v>
      </c>
      <c r="AC2350" s="10" t="s">
        <v>541</v>
      </c>
      <c r="AD2350" s="10" t="s">
        <v>541</v>
      </c>
    </row>
    <row r="2351" spans="1:30" x14ac:dyDescent="0.2">
      <c r="A2351" s="110">
        <v>2350</v>
      </c>
      <c r="B2351" s="132">
        <v>41861</v>
      </c>
      <c r="C2351" s="117">
        <v>3</v>
      </c>
      <c r="D2351" s="103" t="s">
        <v>70</v>
      </c>
      <c r="E2351" s="103" t="s">
        <v>306</v>
      </c>
      <c r="H2351" s="103"/>
      <c r="I2351" s="103">
        <v>48</v>
      </c>
      <c r="K2351" s="103" t="s">
        <v>1032</v>
      </c>
      <c r="L2351" s="133"/>
      <c r="M2351" s="134">
        <v>2.013888888888889E-2</v>
      </c>
      <c r="N2351" s="137" t="s">
        <v>3281</v>
      </c>
      <c r="O2351" s="133" t="s">
        <v>1888</v>
      </c>
      <c r="Q2351" s="100" t="s">
        <v>4148</v>
      </c>
      <c r="R2351" s="226" t="s">
        <v>4136</v>
      </c>
      <c r="S2351" s="491" t="str">
        <f t="shared" si="75"/>
        <v>x</v>
      </c>
      <c r="T2351" s="492" t="str">
        <f>IFERROR(VLOOKUP(F2351,'Freq-Chan'!C:D,2,FALSE),"x")</f>
        <v>x</v>
      </c>
      <c r="U2351" s="110" t="s">
        <v>541</v>
      </c>
      <c r="V2351" s="110" t="str">
        <f t="shared" si="76"/>
        <v>FWL</v>
      </c>
      <c r="W2351" s="110" t="s">
        <v>541</v>
      </c>
      <c r="X2351" s="110" t="s">
        <v>541</v>
      </c>
      <c r="Y2351" s="110" t="str">
        <f>IFERROR(VLOOKUP(F2351,'Freq-Chan'!C:E,3,FALSE),"na")</f>
        <v>na</v>
      </c>
      <c r="Z2351" s="110" t="s">
        <v>541</v>
      </c>
      <c r="AA2351" s="110" t="s">
        <v>541</v>
      </c>
      <c r="AB2351" s="110" t="s">
        <v>541</v>
      </c>
      <c r="AC2351" s="10" t="s">
        <v>541</v>
      </c>
      <c r="AD2351" s="10" t="s">
        <v>541</v>
      </c>
    </row>
    <row r="2352" spans="1:30" x14ac:dyDescent="0.2">
      <c r="A2352" s="110">
        <v>2351</v>
      </c>
      <c r="B2352" s="132">
        <v>41861</v>
      </c>
      <c r="C2352" s="117">
        <v>3</v>
      </c>
      <c r="D2352" s="103" t="s">
        <v>71</v>
      </c>
      <c r="E2352" s="103" t="s">
        <v>306</v>
      </c>
      <c r="H2352" s="103"/>
      <c r="I2352" s="103">
        <v>50</v>
      </c>
      <c r="K2352" s="103" t="s">
        <v>365</v>
      </c>
      <c r="L2352" s="133"/>
      <c r="M2352" s="134">
        <v>1.9444444444444445E-2</v>
      </c>
      <c r="N2352" s="137" t="s">
        <v>3245</v>
      </c>
      <c r="O2352" s="133" t="s">
        <v>1888</v>
      </c>
      <c r="Q2352" s="100" t="s">
        <v>4148</v>
      </c>
      <c r="R2352" s="226" t="s">
        <v>4136</v>
      </c>
      <c r="S2352" s="491" t="str">
        <f t="shared" si="75"/>
        <v>x</v>
      </c>
      <c r="T2352" s="492" t="str">
        <f>IFERROR(VLOOKUP(F2352,'Freq-Chan'!C:D,2,FALSE),"x")</f>
        <v>x</v>
      </c>
      <c r="U2352" s="110" t="s">
        <v>541</v>
      </c>
      <c r="V2352" s="110" t="str">
        <f t="shared" si="76"/>
        <v>FWL</v>
      </c>
      <c r="W2352" s="110" t="s">
        <v>541</v>
      </c>
      <c r="X2352" s="110" t="s">
        <v>541</v>
      </c>
      <c r="Y2352" s="110" t="str">
        <f>IFERROR(VLOOKUP(F2352,'Freq-Chan'!C:E,3,FALSE),"na")</f>
        <v>na</v>
      </c>
      <c r="Z2352" s="110" t="s">
        <v>541</v>
      </c>
      <c r="AA2352" s="110" t="s">
        <v>541</v>
      </c>
      <c r="AB2352" s="110" t="s">
        <v>541</v>
      </c>
      <c r="AC2352" s="10" t="s">
        <v>541</v>
      </c>
      <c r="AD2352" s="10" t="s">
        <v>541</v>
      </c>
    </row>
    <row r="2353" spans="1:30" x14ac:dyDescent="0.2">
      <c r="A2353" s="110">
        <v>2352</v>
      </c>
      <c r="B2353" s="132">
        <v>41861</v>
      </c>
      <c r="C2353" s="117">
        <v>3</v>
      </c>
      <c r="D2353" s="103" t="s">
        <v>70</v>
      </c>
      <c r="E2353" s="103" t="s">
        <v>306</v>
      </c>
      <c r="H2353" s="103"/>
      <c r="I2353" s="103">
        <v>45</v>
      </c>
      <c r="K2353" s="103" t="s">
        <v>365</v>
      </c>
      <c r="L2353" s="133"/>
      <c r="M2353" s="134">
        <v>2.013888888888889E-2</v>
      </c>
      <c r="N2353" s="137" t="s">
        <v>4013</v>
      </c>
      <c r="O2353" s="133" t="s">
        <v>1888</v>
      </c>
      <c r="Q2353" s="100" t="s">
        <v>4148</v>
      </c>
      <c r="R2353" s="226" t="s">
        <v>4136</v>
      </c>
      <c r="S2353" s="491" t="str">
        <f t="shared" si="75"/>
        <v>x</v>
      </c>
      <c r="T2353" s="492" t="str">
        <f>IFERROR(VLOOKUP(F2353,'Freq-Chan'!C:D,2,FALSE),"x")</f>
        <v>x</v>
      </c>
      <c r="U2353" s="110" t="s">
        <v>541</v>
      </c>
      <c r="V2353" s="110" t="str">
        <f t="shared" si="76"/>
        <v>FWL</v>
      </c>
      <c r="W2353" s="110" t="s">
        <v>541</v>
      </c>
      <c r="X2353" s="110" t="s">
        <v>541</v>
      </c>
      <c r="Y2353" s="110" t="str">
        <f>IFERROR(VLOOKUP(F2353,'Freq-Chan'!C:E,3,FALSE),"na")</f>
        <v>na</v>
      </c>
      <c r="Z2353" s="110" t="s">
        <v>541</v>
      </c>
      <c r="AA2353" s="110" t="s">
        <v>541</v>
      </c>
      <c r="AB2353" s="110" t="s">
        <v>541</v>
      </c>
      <c r="AC2353" s="10" t="s">
        <v>541</v>
      </c>
      <c r="AD2353" s="10" t="s">
        <v>541</v>
      </c>
    </row>
    <row r="2354" spans="1:30" x14ac:dyDescent="0.2">
      <c r="A2354" s="110">
        <v>2353</v>
      </c>
      <c r="B2354" s="132">
        <v>41861</v>
      </c>
      <c r="C2354" s="117">
        <v>3</v>
      </c>
      <c r="D2354" s="103" t="s">
        <v>8</v>
      </c>
      <c r="E2354" s="103" t="s">
        <v>306</v>
      </c>
      <c r="F2354" s="103">
        <v>586</v>
      </c>
      <c r="G2354" s="103">
        <v>55</v>
      </c>
      <c r="H2354" s="103" t="s">
        <v>2221</v>
      </c>
      <c r="I2354" s="103">
        <v>43</v>
      </c>
      <c r="K2354" s="103" t="s">
        <v>364</v>
      </c>
      <c r="L2354" s="133"/>
      <c r="M2354" s="134">
        <v>4.1666666666666664E-2</v>
      </c>
      <c r="N2354" s="137" t="s">
        <v>3903</v>
      </c>
      <c r="O2354" s="133" t="s">
        <v>1888</v>
      </c>
      <c r="P2354" s="100" t="s">
        <v>4153</v>
      </c>
      <c r="Q2354" s="100" t="s">
        <v>4148</v>
      </c>
      <c r="R2354" s="226" t="s">
        <v>4136</v>
      </c>
      <c r="S2354" s="491" t="str">
        <f t="shared" si="75"/>
        <v>x</v>
      </c>
      <c r="T2354" s="492">
        <f>IFERROR(VLOOKUP(F2354,'Freq-Chan'!C:D,2,FALSE),"x")</f>
        <v>151.58600000000001</v>
      </c>
      <c r="U2354" s="110" t="s">
        <v>541</v>
      </c>
      <c r="V2354" s="110" t="str">
        <f t="shared" si="76"/>
        <v>FWL</v>
      </c>
      <c r="W2354" s="110" t="s">
        <v>541</v>
      </c>
      <c r="X2354" s="110" t="s">
        <v>541</v>
      </c>
      <c r="Y2354" s="110" t="str">
        <f>IFERROR(VLOOKUP(F2354,'Freq-Chan'!C:E,3,FALSE),"na")</f>
        <v>F1840</v>
      </c>
      <c r="Z2354" s="110" t="s">
        <v>541</v>
      </c>
      <c r="AA2354" s="110" t="s">
        <v>541</v>
      </c>
      <c r="AB2354" s="110" t="s">
        <v>541</v>
      </c>
      <c r="AC2354" s="10" t="s">
        <v>541</v>
      </c>
      <c r="AD2354" s="10" t="s">
        <v>541</v>
      </c>
    </row>
    <row r="2355" spans="1:30" x14ac:dyDescent="0.2">
      <c r="A2355" s="110">
        <v>2354</v>
      </c>
      <c r="B2355" s="132">
        <v>41861</v>
      </c>
      <c r="C2355" s="117">
        <v>3</v>
      </c>
      <c r="D2355" s="103" t="s">
        <v>70</v>
      </c>
      <c r="E2355" s="103" t="s">
        <v>306</v>
      </c>
      <c r="H2355" s="103"/>
      <c r="I2355" s="103">
        <v>40</v>
      </c>
      <c r="K2355" s="103" t="s">
        <v>365</v>
      </c>
      <c r="L2355" s="133"/>
      <c r="M2355" s="134">
        <v>1.7361111111111112E-2</v>
      </c>
      <c r="N2355" s="137" t="s">
        <v>2018</v>
      </c>
      <c r="O2355" s="133" t="s">
        <v>1888</v>
      </c>
      <c r="Q2355" s="100" t="s">
        <v>4148</v>
      </c>
      <c r="R2355" s="226" t="s">
        <v>4136</v>
      </c>
      <c r="S2355" s="491" t="str">
        <f t="shared" ref="S2355:S2418" si="77">IF(IF(OR(L2355=0,N2355=0),"x",ROUND(N2355-L2355-(M2355*24)/(24*60),10))&lt;0,0,IF(OR(L2355=0,N2355=0),"x",ROUND(N2355-L2355-(M2355*24)/(24*60),10)))</f>
        <v>x</v>
      </c>
      <c r="T2355" s="492" t="str">
        <f>IFERROR(VLOOKUP(F2355,'Freq-Chan'!C:D,2,FALSE),"x")</f>
        <v>x</v>
      </c>
      <c r="U2355" s="110" t="s">
        <v>541</v>
      </c>
      <c r="V2355" s="110" t="str">
        <f t="shared" ref="V2355:V2418" si="78">IF(OR(C2355=1,C2355=2,C2355=3),"FWL","NRD")</f>
        <v>FWL</v>
      </c>
      <c r="W2355" s="110" t="s">
        <v>541</v>
      </c>
      <c r="X2355" s="110" t="s">
        <v>541</v>
      </c>
      <c r="Y2355" s="110" t="str">
        <f>IFERROR(VLOOKUP(F2355,'Freq-Chan'!C:E,3,FALSE),"na")</f>
        <v>na</v>
      </c>
      <c r="Z2355" s="110" t="s">
        <v>541</v>
      </c>
      <c r="AA2355" s="110" t="s">
        <v>541</v>
      </c>
      <c r="AB2355" s="110" t="s">
        <v>541</v>
      </c>
      <c r="AC2355" s="10" t="s">
        <v>541</v>
      </c>
      <c r="AD2355" s="10" t="s">
        <v>541</v>
      </c>
    </row>
    <row r="2356" spans="1:30" x14ac:dyDescent="0.2">
      <c r="A2356" s="110">
        <v>2355</v>
      </c>
      <c r="B2356" s="132">
        <v>41861</v>
      </c>
      <c r="C2356" s="117">
        <v>3</v>
      </c>
      <c r="D2356" s="103" t="s">
        <v>71</v>
      </c>
      <c r="E2356" s="103" t="s">
        <v>306</v>
      </c>
      <c r="H2356" s="103"/>
      <c r="I2356" s="103">
        <v>57</v>
      </c>
      <c r="K2356" s="103" t="s">
        <v>1032</v>
      </c>
      <c r="L2356" s="133"/>
      <c r="M2356" s="134">
        <v>1.8055555555555557E-2</v>
      </c>
      <c r="N2356" s="137" t="s">
        <v>3834</v>
      </c>
      <c r="O2356" s="133" t="s">
        <v>1888</v>
      </c>
      <c r="Q2356" s="100" t="s">
        <v>4148</v>
      </c>
      <c r="R2356" s="226" t="s">
        <v>4136</v>
      </c>
      <c r="S2356" s="491" t="str">
        <f t="shared" si="77"/>
        <v>x</v>
      </c>
      <c r="T2356" s="492" t="str">
        <f>IFERROR(VLOOKUP(F2356,'Freq-Chan'!C:D,2,FALSE),"x")</f>
        <v>x</v>
      </c>
      <c r="U2356" s="110" t="s">
        <v>541</v>
      </c>
      <c r="V2356" s="110" t="str">
        <f t="shared" si="78"/>
        <v>FWL</v>
      </c>
      <c r="W2356" s="110" t="s">
        <v>541</v>
      </c>
      <c r="X2356" s="110" t="s">
        <v>541</v>
      </c>
      <c r="Y2356" s="110" t="str">
        <f>IFERROR(VLOOKUP(F2356,'Freq-Chan'!C:E,3,FALSE),"na")</f>
        <v>na</v>
      </c>
      <c r="Z2356" s="110" t="s">
        <v>541</v>
      </c>
      <c r="AA2356" s="110" t="s">
        <v>541</v>
      </c>
      <c r="AB2356" s="110" t="s">
        <v>541</v>
      </c>
      <c r="AC2356" s="10" t="s">
        <v>541</v>
      </c>
      <c r="AD2356" s="10" t="s">
        <v>541</v>
      </c>
    </row>
    <row r="2357" spans="1:30" x14ac:dyDescent="0.2">
      <c r="A2357" s="110">
        <v>2356</v>
      </c>
      <c r="B2357" s="132">
        <v>41861</v>
      </c>
      <c r="C2357" s="117">
        <v>3</v>
      </c>
      <c r="D2357" s="103" t="s">
        <v>70</v>
      </c>
      <c r="E2357" s="103" t="s">
        <v>306</v>
      </c>
      <c r="H2357" s="103"/>
      <c r="I2357" s="103">
        <v>48</v>
      </c>
      <c r="K2357" s="103" t="s">
        <v>1032</v>
      </c>
      <c r="L2357" s="133"/>
      <c r="M2357" s="134">
        <v>4.3055555555555562E-2</v>
      </c>
      <c r="N2357" s="137" t="s">
        <v>2814</v>
      </c>
      <c r="O2357" s="133" t="s">
        <v>1888</v>
      </c>
      <c r="Q2357" s="100" t="s">
        <v>4148</v>
      </c>
      <c r="R2357" s="226" t="s">
        <v>4136</v>
      </c>
      <c r="S2357" s="491" t="str">
        <f t="shared" si="77"/>
        <v>x</v>
      </c>
      <c r="T2357" s="492" t="str">
        <f>IFERROR(VLOOKUP(F2357,'Freq-Chan'!C:D,2,FALSE),"x")</f>
        <v>x</v>
      </c>
      <c r="U2357" s="110" t="s">
        <v>541</v>
      </c>
      <c r="V2357" s="110" t="str">
        <f t="shared" si="78"/>
        <v>FWL</v>
      </c>
      <c r="W2357" s="110" t="s">
        <v>541</v>
      </c>
      <c r="X2357" s="110" t="s">
        <v>541</v>
      </c>
      <c r="Y2357" s="110" t="str">
        <f>IFERROR(VLOOKUP(F2357,'Freq-Chan'!C:E,3,FALSE),"na")</f>
        <v>na</v>
      </c>
      <c r="Z2357" s="110" t="s">
        <v>541</v>
      </c>
      <c r="AA2357" s="110" t="s">
        <v>541</v>
      </c>
      <c r="AB2357" s="110" t="s">
        <v>541</v>
      </c>
      <c r="AC2357" s="10" t="s">
        <v>541</v>
      </c>
      <c r="AD2357" s="10" t="s">
        <v>541</v>
      </c>
    </row>
    <row r="2358" spans="1:30" x14ac:dyDescent="0.2">
      <c r="A2358" s="110">
        <v>2357</v>
      </c>
      <c r="B2358" s="132">
        <v>41861</v>
      </c>
      <c r="C2358" s="117">
        <v>3</v>
      </c>
      <c r="D2358" s="103" t="s">
        <v>70</v>
      </c>
      <c r="E2358" s="103" t="s">
        <v>306</v>
      </c>
      <c r="H2358" s="103"/>
      <c r="I2358" s="103">
        <v>45</v>
      </c>
      <c r="K2358" s="103" t="s">
        <v>365</v>
      </c>
      <c r="L2358" s="133"/>
      <c r="M2358" s="134">
        <v>4.7222222222222221E-2</v>
      </c>
      <c r="N2358" s="137" t="s">
        <v>2814</v>
      </c>
      <c r="O2358" s="133" t="s">
        <v>1888</v>
      </c>
      <c r="P2358" s="100" t="s">
        <v>4154</v>
      </c>
      <c r="Q2358" s="100" t="s">
        <v>4148</v>
      </c>
      <c r="R2358" s="226" t="s">
        <v>4136</v>
      </c>
      <c r="S2358" s="491" t="str">
        <f t="shared" si="77"/>
        <v>x</v>
      </c>
      <c r="T2358" s="492" t="str">
        <f>IFERROR(VLOOKUP(F2358,'Freq-Chan'!C:D,2,FALSE),"x")</f>
        <v>x</v>
      </c>
      <c r="U2358" s="110" t="s">
        <v>541</v>
      </c>
      <c r="V2358" s="110" t="str">
        <f t="shared" si="78"/>
        <v>FWL</v>
      </c>
      <c r="W2358" s="110" t="s">
        <v>541</v>
      </c>
      <c r="X2358" s="110" t="s">
        <v>541</v>
      </c>
      <c r="Y2358" s="110" t="str">
        <f>IFERROR(VLOOKUP(F2358,'Freq-Chan'!C:E,3,FALSE),"na")</f>
        <v>na</v>
      </c>
      <c r="Z2358" s="110" t="s">
        <v>541</v>
      </c>
      <c r="AA2358" s="110" t="s">
        <v>541</v>
      </c>
      <c r="AB2358" s="110" t="s">
        <v>541</v>
      </c>
      <c r="AC2358" s="10" t="s">
        <v>541</v>
      </c>
      <c r="AD2358" s="10" t="s">
        <v>541</v>
      </c>
    </row>
    <row r="2359" spans="1:30" x14ac:dyDescent="0.2">
      <c r="A2359" s="110">
        <v>2358</v>
      </c>
      <c r="B2359" s="132">
        <v>41861</v>
      </c>
      <c r="C2359" s="117">
        <v>3</v>
      </c>
      <c r="D2359" s="103" t="s">
        <v>71</v>
      </c>
      <c r="E2359" s="103" t="s">
        <v>306</v>
      </c>
      <c r="H2359" s="103"/>
      <c r="I2359" s="103">
        <v>59</v>
      </c>
      <c r="K2359" s="103" t="s">
        <v>365</v>
      </c>
      <c r="L2359" s="133"/>
      <c r="M2359" s="134">
        <v>1.6666666666666666E-2</v>
      </c>
      <c r="N2359" s="137" t="s">
        <v>2048</v>
      </c>
      <c r="O2359" s="133" t="s">
        <v>1888</v>
      </c>
      <c r="Q2359" s="100" t="s">
        <v>4148</v>
      </c>
      <c r="R2359" s="226" t="s">
        <v>4136</v>
      </c>
      <c r="S2359" s="491" t="str">
        <f t="shared" si="77"/>
        <v>x</v>
      </c>
      <c r="T2359" s="492" t="str">
        <f>IFERROR(VLOOKUP(F2359,'Freq-Chan'!C:D,2,FALSE),"x")</f>
        <v>x</v>
      </c>
      <c r="U2359" s="110" t="s">
        <v>541</v>
      </c>
      <c r="V2359" s="110" t="str">
        <f t="shared" si="78"/>
        <v>FWL</v>
      </c>
      <c r="W2359" s="110" t="s">
        <v>541</v>
      </c>
      <c r="X2359" s="110" t="s">
        <v>541</v>
      </c>
      <c r="Y2359" s="110" t="str">
        <f>IFERROR(VLOOKUP(F2359,'Freq-Chan'!C:E,3,FALSE),"na")</f>
        <v>na</v>
      </c>
      <c r="Z2359" s="110" t="s">
        <v>541</v>
      </c>
      <c r="AA2359" s="110" t="s">
        <v>541</v>
      </c>
      <c r="AB2359" s="110" t="s">
        <v>541</v>
      </c>
      <c r="AC2359" s="10" t="s">
        <v>541</v>
      </c>
      <c r="AD2359" s="10" t="s">
        <v>541</v>
      </c>
    </row>
    <row r="2360" spans="1:30" x14ac:dyDescent="0.2">
      <c r="A2360" s="110">
        <v>2359</v>
      </c>
      <c r="B2360" s="132">
        <v>41861</v>
      </c>
      <c r="C2360" s="117">
        <v>3</v>
      </c>
      <c r="D2360" s="103" t="s">
        <v>71</v>
      </c>
      <c r="E2360" s="103" t="s">
        <v>306</v>
      </c>
      <c r="H2360" s="103"/>
      <c r="I2360" s="103">
        <v>61</v>
      </c>
      <c r="K2360" s="103" t="s">
        <v>364</v>
      </c>
      <c r="L2360" s="133"/>
      <c r="M2360" s="134">
        <v>1.6666666666666666E-2</v>
      </c>
      <c r="N2360" s="137" t="s">
        <v>3357</v>
      </c>
      <c r="O2360" s="133" t="s">
        <v>1532</v>
      </c>
      <c r="Q2360" s="100" t="s">
        <v>4148</v>
      </c>
      <c r="R2360" s="226" t="s">
        <v>4136</v>
      </c>
      <c r="S2360" s="491" t="str">
        <f t="shared" si="77"/>
        <v>x</v>
      </c>
      <c r="T2360" s="492" t="str">
        <f>IFERROR(VLOOKUP(F2360,'Freq-Chan'!C:D,2,FALSE),"x")</f>
        <v>x</v>
      </c>
      <c r="U2360" s="110" t="s">
        <v>541</v>
      </c>
      <c r="V2360" s="110" t="str">
        <f t="shared" si="78"/>
        <v>FWL</v>
      </c>
      <c r="W2360" s="110" t="s">
        <v>541</v>
      </c>
      <c r="X2360" s="110" t="s">
        <v>541</v>
      </c>
      <c r="Y2360" s="110" t="str">
        <f>IFERROR(VLOOKUP(F2360,'Freq-Chan'!C:E,3,FALSE),"na")</f>
        <v>na</v>
      </c>
      <c r="Z2360" s="110" t="s">
        <v>541</v>
      </c>
      <c r="AA2360" s="110" t="s">
        <v>541</v>
      </c>
      <c r="AB2360" s="110" t="s">
        <v>541</v>
      </c>
      <c r="AC2360" s="10" t="s">
        <v>541</v>
      </c>
      <c r="AD2360" s="10" t="s">
        <v>541</v>
      </c>
    </row>
    <row r="2361" spans="1:30" x14ac:dyDescent="0.2">
      <c r="A2361" s="110">
        <v>2360</v>
      </c>
      <c r="B2361" s="132">
        <v>41861</v>
      </c>
      <c r="C2361" s="117">
        <v>3</v>
      </c>
      <c r="D2361" s="103" t="s">
        <v>70</v>
      </c>
      <c r="E2361" s="103" t="s">
        <v>306</v>
      </c>
      <c r="H2361" s="103"/>
      <c r="I2361" s="103">
        <v>47</v>
      </c>
      <c r="K2361" s="103" t="s">
        <v>1032</v>
      </c>
      <c r="L2361" s="133"/>
      <c r="M2361" s="134">
        <v>1.4583333333333332E-2</v>
      </c>
      <c r="N2361" s="137" t="s">
        <v>2532</v>
      </c>
      <c r="O2361" s="133" t="s">
        <v>1532</v>
      </c>
      <c r="Q2361" s="100" t="s">
        <v>4148</v>
      </c>
      <c r="R2361" s="226" t="s">
        <v>4136</v>
      </c>
      <c r="S2361" s="491" t="str">
        <f t="shared" si="77"/>
        <v>x</v>
      </c>
      <c r="T2361" s="492" t="str">
        <f>IFERROR(VLOOKUP(F2361,'Freq-Chan'!C:D,2,FALSE),"x")</f>
        <v>x</v>
      </c>
      <c r="U2361" s="110" t="s">
        <v>541</v>
      </c>
      <c r="V2361" s="110" t="str">
        <f t="shared" si="78"/>
        <v>FWL</v>
      </c>
      <c r="W2361" s="110" t="s">
        <v>541</v>
      </c>
      <c r="X2361" s="110" t="s">
        <v>541</v>
      </c>
      <c r="Y2361" s="110" t="str">
        <f>IFERROR(VLOOKUP(F2361,'Freq-Chan'!C:E,3,FALSE),"na")</f>
        <v>na</v>
      </c>
      <c r="Z2361" s="110" t="s">
        <v>541</v>
      </c>
      <c r="AA2361" s="110" t="s">
        <v>541</v>
      </c>
      <c r="AB2361" s="110" t="s">
        <v>541</v>
      </c>
      <c r="AC2361" s="10" t="s">
        <v>541</v>
      </c>
      <c r="AD2361" s="10" t="s">
        <v>541</v>
      </c>
    </row>
    <row r="2362" spans="1:30" x14ac:dyDescent="0.2">
      <c r="A2362" s="110">
        <v>2361</v>
      </c>
      <c r="B2362" s="132">
        <v>41861</v>
      </c>
      <c r="C2362" s="117">
        <v>3</v>
      </c>
      <c r="D2362" s="103" t="s">
        <v>71</v>
      </c>
      <c r="E2362" s="103" t="s">
        <v>306</v>
      </c>
      <c r="H2362" s="103"/>
      <c r="I2362" s="103">
        <v>55</v>
      </c>
      <c r="K2362" s="103" t="s">
        <v>364</v>
      </c>
      <c r="L2362" s="133"/>
      <c r="M2362" s="134">
        <v>1.5972222222222224E-2</v>
      </c>
      <c r="N2362" s="137" t="s">
        <v>1935</v>
      </c>
      <c r="O2362" s="133" t="s">
        <v>1532</v>
      </c>
      <c r="Q2362" s="100" t="s">
        <v>4148</v>
      </c>
      <c r="R2362" s="226" t="s">
        <v>4136</v>
      </c>
      <c r="S2362" s="491" t="str">
        <f t="shared" si="77"/>
        <v>x</v>
      </c>
      <c r="T2362" s="492" t="str">
        <f>IFERROR(VLOOKUP(F2362,'Freq-Chan'!C:D,2,FALSE),"x")</f>
        <v>x</v>
      </c>
      <c r="U2362" s="110" t="s">
        <v>541</v>
      </c>
      <c r="V2362" s="110" t="str">
        <f t="shared" si="78"/>
        <v>FWL</v>
      </c>
      <c r="W2362" s="110" t="s">
        <v>541</v>
      </c>
      <c r="X2362" s="110" t="s">
        <v>541</v>
      </c>
      <c r="Y2362" s="110" t="str">
        <f>IFERROR(VLOOKUP(F2362,'Freq-Chan'!C:E,3,FALSE),"na")</f>
        <v>na</v>
      </c>
      <c r="Z2362" s="110" t="s">
        <v>541</v>
      </c>
      <c r="AA2362" s="110" t="s">
        <v>541</v>
      </c>
      <c r="AB2362" s="110" t="s">
        <v>541</v>
      </c>
      <c r="AC2362" s="10" t="s">
        <v>541</v>
      </c>
      <c r="AD2362" s="10" t="s">
        <v>541</v>
      </c>
    </row>
    <row r="2363" spans="1:30" x14ac:dyDescent="0.2">
      <c r="A2363" s="110">
        <v>2362</v>
      </c>
      <c r="B2363" s="132">
        <v>41861</v>
      </c>
      <c r="C2363" s="117">
        <v>3</v>
      </c>
      <c r="D2363" s="103" t="s">
        <v>70</v>
      </c>
      <c r="E2363" s="103" t="s">
        <v>306</v>
      </c>
      <c r="H2363" s="103"/>
      <c r="I2363" s="103">
        <v>46</v>
      </c>
      <c r="K2363" s="103" t="s">
        <v>365</v>
      </c>
      <c r="L2363" s="133"/>
      <c r="M2363" s="134">
        <v>1.4583333333333332E-2</v>
      </c>
      <c r="N2363" s="137" t="s">
        <v>2049</v>
      </c>
      <c r="O2363" s="133" t="s">
        <v>1532</v>
      </c>
      <c r="Q2363" s="100" t="s">
        <v>4148</v>
      </c>
      <c r="R2363" s="226" t="s">
        <v>4136</v>
      </c>
      <c r="S2363" s="491" t="str">
        <f t="shared" si="77"/>
        <v>x</v>
      </c>
      <c r="T2363" s="492" t="str">
        <f>IFERROR(VLOOKUP(F2363,'Freq-Chan'!C:D,2,FALSE),"x")</f>
        <v>x</v>
      </c>
      <c r="U2363" s="110" t="s">
        <v>541</v>
      </c>
      <c r="V2363" s="110" t="str">
        <f t="shared" si="78"/>
        <v>FWL</v>
      </c>
      <c r="W2363" s="110" t="s">
        <v>541</v>
      </c>
      <c r="X2363" s="110" t="s">
        <v>541</v>
      </c>
      <c r="Y2363" s="110" t="str">
        <f>IFERROR(VLOOKUP(F2363,'Freq-Chan'!C:E,3,FALSE),"na")</f>
        <v>na</v>
      </c>
      <c r="Z2363" s="110" t="s">
        <v>541</v>
      </c>
      <c r="AA2363" s="110" t="s">
        <v>541</v>
      </c>
      <c r="AB2363" s="110" t="s">
        <v>541</v>
      </c>
      <c r="AC2363" s="10" t="s">
        <v>541</v>
      </c>
      <c r="AD2363" s="10" t="s">
        <v>541</v>
      </c>
    </row>
    <row r="2364" spans="1:30" x14ac:dyDescent="0.2">
      <c r="A2364" s="110">
        <v>2363</v>
      </c>
      <c r="B2364" s="132">
        <v>41861</v>
      </c>
      <c r="C2364" s="117">
        <v>3</v>
      </c>
      <c r="D2364" s="103" t="s">
        <v>72</v>
      </c>
      <c r="E2364" s="103" t="s">
        <v>306</v>
      </c>
      <c r="F2364" s="103">
        <v>325</v>
      </c>
      <c r="G2364" s="103">
        <v>89</v>
      </c>
      <c r="H2364" s="103" t="s">
        <v>3548</v>
      </c>
      <c r="I2364" s="103">
        <v>52</v>
      </c>
      <c r="K2364" s="103" t="s">
        <v>1032</v>
      </c>
      <c r="L2364" s="133"/>
      <c r="M2364" s="134">
        <v>3.888888888888889E-2</v>
      </c>
      <c r="N2364" s="137" t="s">
        <v>4105</v>
      </c>
      <c r="O2364" s="133" t="s">
        <v>1532</v>
      </c>
      <c r="Q2364" s="100" t="s">
        <v>4148</v>
      </c>
      <c r="R2364" s="226" t="s">
        <v>4136</v>
      </c>
      <c r="S2364" s="491" t="str">
        <f t="shared" si="77"/>
        <v>x</v>
      </c>
      <c r="T2364" s="492">
        <f>IFERROR(VLOOKUP(F2364,'Freq-Chan'!C:D,2,FALSE),"x")</f>
        <v>151.32499999999999</v>
      </c>
      <c r="U2364" s="110" t="s">
        <v>541</v>
      </c>
      <c r="V2364" s="110" t="str">
        <f t="shared" si="78"/>
        <v>FWL</v>
      </c>
      <c r="W2364" s="110" t="s">
        <v>541</v>
      </c>
      <c r="X2364" s="110" t="s">
        <v>541</v>
      </c>
      <c r="Y2364" s="110" t="str">
        <f>IFERROR(VLOOKUP(F2364,'Freq-Chan'!C:E,3,FALSE),"na")</f>
        <v>F1840</v>
      </c>
      <c r="Z2364" s="110" t="s">
        <v>541</v>
      </c>
      <c r="AA2364" s="110" t="s">
        <v>541</v>
      </c>
      <c r="AB2364" s="110" t="s">
        <v>541</v>
      </c>
      <c r="AC2364" s="10" t="s">
        <v>541</v>
      </c>
      <c r="AD2364" s="10" t="s">
        <v>541</v>
      </c>
    </row>
    <row r="2365" spans="1:30" x14ac:dyDescent="0.2">
      <c r="A2365" s="110">
        <v>2364</v>
      </c>
      <c r="B2365" s="132">
        <v>41861</v>
      </c>
      <c r="C2365" s="117">
        <v>3</v>
      </c>
      <c r="D2365" s="103" t="s">
        <v>72</v>
      </c>
      <c r="E2365" s="103" t="s">
        <v>306</v>
      </c>
      <c r="F2365" s="103">
        <v>266</v>
      </c>
      <c r="G2365" s="103">
        <v>78</v>
      </c>
      <c r="H2365" s="103" t="s">
        <v>3550</v>
      </c>
      <c r="I2365" s="103">
        <v>56</v>
      </c>
      <c r="K2365" s="103" t="s">
        <v>1032</v>
      </c>
      <c r="L2365" s="133"/>
      <c r="M2365" s="134">
        <v>3.9583333333333331E-2</v>
      </c>
      <c r="N2365" s="137" t="s">
        <v>3256</v>
      </c>
      <c r="O2365" s="133" t="s">
        <v>1532</v>
      </c>
      <c r="P2365" s="100" t="s">
        <v>4466</v>
      </c>
      <c r="Q2365" s="100" t="s">
        <v>4148</v>
      </c>
      <c r="R2365" s="226" t="s">
        <v>4136</v>
      </c>
      <c r="S2365" s="491" t="str">
        <f t="shared" si="77"/>
        <v>x</v>
      </c>
      <c r="T2365" s="492">
        <f>IFERROR(VLOOKUP(F2365,'Freq-Chan'!C:D,2,FALSE),"x")</f>
        <v>151.26599999999999</v>
      </c>
      <c r="U2365" s="110" t="s">
        <v>541</v>
      </c>
      <c r="V2365" s="110" t="str">
        <f t="shared" si="78"/>
        <v>FWL</v>
      </c>
      <c r="W2365" s="110" t="s">
        <v>541</v>
      </c>
      <c r="X2365" s="110" t="s">
        <v>541</v>
      </c>
      <c r="Y2365" s="110" t="str">
        <f>IFERROR(VLOOKUP(F2365,'Freq-Chan'!C:E,3,FALSE),"na")</f>
        <v>F1840</v>
      </c>
      <c r="Z2365" s="110" t="s">
        <v>541</v>
      </c>
      <c r="AA2365" s="110" t="s">
        <v>541</v>
      </c>
      <c r="AB2365" s="110" t="s">
        <v>541</v>
      </c>
      <c r="AC2365" s="10" t="s">
        <v>541</v>
      </c>
      <c r="AD2365" s="10" t="s">
        <v>541</v>
      </c>
    </row>
    <row r="2366" spans="1:30" x14ac:dyDescent="0.2">
      <c r="A2366" s="110">
        <v>2365</v>
      </c>
      <c r="B2366" s="132">
        <v>41861</v>
      </c>
      <c r="C2366" s="117">
        <v>3</v>
      </c>
      <c r="D2366" s="103" t="s">
        <v>71</v>
      </c>
      <c r="E2366" s="103" t="s">
        <v>306</v>
      </c>
      <c r="H2366" s="103"/>
      <c r="I2366" s="103">
        <v>54</v>
      </c>
      <c r="K2366" s="103" t="s">
        <v>365</v>
      </c>
      <c r="L2366" s="133"/>
      <c r="M2366" s="134">
        <v>2.6388888888888889E-2</v>
      </c>
      <c r="N2366" s="137" t="s">
        <v>2655</v>
      </c>
      <c r="O2366" s="133" t="s">
        <v>1532</v>
      </c>
      <c r="P2366" s="100" t="s">
        <v>4155</v>
      </c>
      <c r="Q2366" s="100" t="s">
        <v>4148</v>
      </c>
      <c r="R2366" s="226" t="s">
        <v>4136</v>
      </c>
      <c r="S2366" s="491" t="str">
        <f t="shared" si="77"/>
        <v>x</v>
      </c>
      <c r="T2366" s="492" t="str">
        <f>IFERROR(VLOOKUP(F2366,'Freq-Chan'!C:D,2,FALSE),"x")</f>
        <v>x</v>
      </c>
      <c r="U2366" s="110" t="s">
        <v>541</v>
      </c>
      <c r="V2366" s="110" t="str">
        <f t="shared" si="78"/>
        <v>FWL</v>
      </c>
      <c r="W2366" s="110" t="s">
        <v>541</v>
      </c>
      <c r="X2366" s="110" t="s">
        <v>541</v>
      </c>
      <c r="Y2366" s="110" t="str">
        <f>IFERROR(VLOOKUP(F2366,'Freq-Chan'!C:E,3,FALSE),"na")</f>
        <v>na</v>
      </c>
      <c r="Z2366" s="110" t="s">
        <v>541</v>
      </c>
      <c r="AA2366" s="110" t="s">
        <v>541</v>
      </c>
      <c r="AB2366" s="110" t="s">
        <v>541</v>
      </c>
      <c r="AC2366" s="10" t="s">
        <v>541</v>
      </c>
      <c r="AD2366" s="10" t="s">
        <v>541</v>
      </c>
    </row>
    <row r="2367" spans="1:30" x14ac:dyDescent="0.2">
      <c r="A2367" s="110">
        <v>2366</v>
      </c>
      <c r="B2367" s="132">
        <v>41861</v>
      </c>
      <c r="C2367" s="117">
        <v>3</v>
      </c>
      <c r="D2367" s="103" t="s">
        <v>71</v>
      </c>
      <c r="E2367" s="103" t="s">
        <v>306</v>
      </c>
      <c r="H2367" s="103"/>
      <c r="I2367" s="103">
        <v>59</v>
      </c>
      <c r="K2367" s="103" t="s">
        <v>1032</v>
      </c>
      <c r="L2367" s="133"/>
      <c r="M2367" s="134">
        <v>1.7361111111111112E-2</v>
      </c>
      <c r="N2367" s="137" t="s">
        <v>2592</v>
      </c>
      <c r="O2367" s="133" t="s">
        <v>1532</v>
      </c>
      <c r="Q2367" s="100" t="s">
        <v>4148</v>
      </c>
      <c r="R2367" s="226" t="s">
        <v>4136</v>
      </c>
      <c r="S2367" s="491" t="str">
        <f t="shared" si="77"/>
        <v>x</v>
      </c>
      <c r="T2367" s="492" t="str">
        <f>IFERROR(VLOOKUP(F2367,'Freq-Chan'!C:D,2,FALSE),"x")</f>
        <v>x</v>
      </c>
      <c r="U2367" s="110" t="s">
        <v>541</v>
      </c>
      <c r="V2367" s="110" t="str">
        <f t="shared" si="78"/>
        <v>FWL</v>
      </c>
      <c r="W2367" s="110" t="s">
        <v>541</v>
      </c>
      <c r="X2367" s="110" t="s">
        <v>541</v>
      </c>
      <c r="Y2367" s="110" t="str">
        <f>IFERROR(VLOOKUP(F2367,'Freq-Chan'!C:E,3,FALSE),"na")</f>
        <v>na</v>
      </c>
      <c r="Z2367" s="110" t="s">
        <v>541</v>
      </c>
      <c r="AA2367" s="110" t="s">
        <v>541</v>
      </c>
      <c r="AB2367" s="110" t="s">
        <v>541</v>
      </c>
      <c r="AC2367" s="10" t="s">
        <v>541</v>
      </c>
      <c r="AD2367" s="10" t="s">
        <v>541</v>
      </c>
    </row>
    <row r="2368" spans="1:30" x14ac:dyDescent="0.2">
      <c r="A2368" s="110">
        <v>2367</v>
      </c>
      <c r="B2368" s="132">
        <v>41861</v>
      </c>
      <c r="C2368" s="117">
        <v>3</v>
      </c>
      <c r="D2368" s="103" t="s">
        <v>71</v>
      </c>
      <c r="E2368" s="103" t="s">
        <v>306</v>
      </c>
      <c r="H2368" s="103"/>
      <c r="I2368" s="103">
        <v>54</v>
      </c>
      <c r="K2368" s="103" t="s">
        <v>365</v>
      </c>
      <c r="L2368" s="133"/>
      <c r="M2368" s="134">
        <v>1.5277777777777777E-2</v>
      </c>
      <c r="N2368" s="137" t="s">
        <v>3429</v>
      </c>
      <c r="O2368" s="133" t="s">
        <v>1532</v>
      </c>
      <c r="P2368" s="100" t="s">
        <v>4156</v>
      </c>
      <c r="Q2368" s="100" t="s">
        <v>4148</v>
      </c>
      <c r="R2368" s="226" t="s">
        <v>4136</v>
      </c>
      <c r="S2368" s="491" t="str">
        <f t="shared" si="77"/>
        <v>x</v>
      </c>
      <c r="T2368" s="492" t="str">
        <f>IFERROR(VLOOKUP(F2368,'Freq-Chan'!C:D,2,FALSE),"x")</f>
        <v>x</v>
      </c>
      <c r="U2368" s="110" t="s">
        <v>541</v>
      </c>
      <c r="V2368" s="110" t="str">
        <f t="shared" si="78"/>
        <v>FWL</v>
      </c>
      <c r="W2368" s="110" t="s">
        <v>541</v>
      </c>
      <c r="X2368" s="110" t="s">
        <v>541</v>
      </c>
      <c r="Y2368" s="110" t="str">
        <f>IFERROR(VLOOKUP(F2368,'Freq-Chan'!C:E,3,FALSE),"na")</f>
        <v>na</v>
      </c>
      <c r="Z2368" s="110" t="s">
        <v>541</v>
      </c>
      <c r="AA2368" s="110" t="s">
        <v>541</v>
      </c>
      <c r="AB2368" s="110" t="s">
        <v>541</v>
      </c>
      <c r="AC2368" s="10" t="s">
        <v>541</v>
      </c>
      <c r="AD2368" s="10" t="s">
        <v>541</v>
      </c>
    </row>
    <row r="2369" spans="1:30" x14ac:dyDescent="0.2">
      <c r="A2369" s="110">
        <v>2368</v>
      </c>
      <c r="B2369" s="132">
        <v>41861</v>
      </c>
      <c r="C2369" s="117">
        <v>3</v>
      </c>
      <c r="D2369" s="103" t="s">
        <v>72</v>
      </c>
      <c r="E2369" s="103" t="s">
        <v>306</v>
      </c>
      <c r="F2369" s="103">
        <v>266</v>
      </c>
      <c r="G2369" s="103">
        <v>81</v>
      </c>
      <c r="H2369" s="103" t="s">
        <v>3551</v>
      </c>
      <c r="I2369" s="103">
        <v>53</v>
      </c>
      <c r="K2369" s="103" t="s">
        <v>364</v>
      </c>
      <c r="L2369" s="133"/>
      <c r="M2369" s="134">
        <v>4.9999999999999996E-2</v>
      </c>
      <c r="N2369" s="137" t="s">
        <v>2895</v>
      </c>
      <c r="O2369" s="133" t="s">
        <v>1888</v>
      </c>
      <c r="P2369" s="100" t="s">
        <v>4466</v>
      </c>
      <c r="Q2369" s="100" t="s">
        <v>4148</v>
      </c>
      <c r="R2369" s="226" t="s">
        <v>4136</v>
      </c>
      <c r="S2369" s="491" t="str">
        <f t="shared" si="77"/>
        <v>x</v>
      </c>
      <c r="T2369" s="492">
        <f>IFERROR(VLOOKUP(F2369,'Freq-Chan'!C:D,2,FALSE),"x")</f>
        <v>151.26599999999999</v>
      </c>
      <c r="U2369" s="110" t="s">
        <v>541</v>
      </c>
      <c r="V2369" s="110" t="str">
        <f t="shared" si="78"/>
        <v>FWL</v>
      </c>
      <c r="W2369" s="110" t="s">
        <v>541</v>
      </c>
      <c r="X2369" s="110" t="s">
        <v>541</v>
      </c>
      <c r="Y2369" s="110" t="str">
        <f>IFERROR(VLOOKUP(F2369,'Freq-Chan'!C:E,3,FALSE),"na")</f>
        <v>F1840</v>
      </c>
      <c r="Z2369" s="110" t="s">
        <v>541</v>
      </c>
      <c r="AA2369" s="110" t="s">
        <v>541</v>
      </c>
      <c r="AB2369" s="110" t="s">
        <v>541</v>
      </c>
      <c r="AC2369" s="10" t="s">
        <v>541</v>
      </c>
      <c r="AD2369" s="10" t="s">
        <v>541</v>
      </c>
    </row>
    <row r="2370" spans="1:30" x14ac:dyDescent="0.2">
      <c r="A2370" s="110">
        <v>2369</v>
      </c>
      <c r="B2370" s="132">
        <v>41861</v>
      </c>
      <c r="C2370" s="117">
        <v>3</v>
      </c>
      <c r="D2370" s="103" t="s">
        <v>70</v>
      </c>
      <c r="E2370" s="103" t="s">
        <v>306</v>
      </c>
      <c r="F2370" s="103">
        <v>515</v>
      </c>
      <c r="G2370" s="103">
        <v>50</v>
      </c>
      <c r="H2370" s="103" t="s">
        <v>3116</v>
      </c>
      <c r="I2370" s="103">
        <v>49</v>
      </c>
      <c r="K2370" s="103" t="s">
        <v>1032</v>
      </c>
      <c r="L2370" s="133"/>
      <c r="M2370" s="134">
        <v>3.8194444444444441E-2</v>
      </c>
      <c r="N2370" s="137" t="s">
        <v>3983</v>
      </c>
      <c r="O2370" s="133" t="s">
        <v>1532</v>
      </c>
      <c r="Q2370" s="100" t="s">
        <v>4148</v>
      </c>
      <c r="R2370" s="226" t="s">
        <v>4136</v>
      </c>
      <c r="S2370" s="491" t="str">
        <f t="shared" si="77"/>
        <v>x</v>
      </c>
      <c r="T2370" s="492">
        <f>IFERROR(VLOOKUP(F2370,'Freq-Chan'!C:D,2,FALSE),"x")</f>
        <v>151.51499999999999</v>
      </c>
      <c r="U2370" s="110" t="s">
        <v>541</v>
      </c>
      <c r="V2370" s="110" t="str">
        <f t="shared" si="78"/>
        <v>FWL</v>
      </c>
      <c r="W2370" s="110" t="s">
        <v>541</v>
      </c>
      <c r="X2370" s="110" t="s">
        <v>541</v>
      </c>
      <c r="Y2370" s="110" t="str">
        <f>IFERROR(VLOOKUP(F2370,'Freq-Chan'!C:E,3,FALSE),"na")</f>
        <v>F1835</v>
      </c>
      <c r="Z2370" s="110" t="s">
        <v>541</v>
      </c>
      <c r="AA2370" s="110" t="s">
        <v>541</v>
      </c>
      <c r="AB2370" s="110" t="s">
        <v>541</v>
      </c>
      <c r="AC2370" s="10" t="s">
        <v>541</v>
      </c>
      <c r="AD2370" s="10" t="s">
        <v>541</v>
      </c>
    </row>
    <row r="2371" spans="1:30" x14ac:dyDescent="0.2">
      <c r="A2371" s="110">
        <v>2370</v>
      </c>
      <c r="B2371" s="132">
        <v>41861</v>
      </c>
      <c r="C2371" s="117">
        <v>3</v>
      </c>
      <c r="D2371" s="103" t="s">
        <v>71</v>
      </c>
      <c r="E2371" s="103" t="s">
        <v>306</v>
      </c>
      <c r="F2371" s="103">
        <v>564</v>
      </c>
      <c r="G2371" s="103">
        <v>77</v>
      </c>
      <c r="H2371" s="103" t="s">
        <v>2426</v>
      </c>
      <c r="I2371" s="103">
        <v>55</v>
      </c>
      <c r="K2371" s="103" t="s">
        <v>1032</v>
      </c>
      <c r="L2371" s="133"/>
      <c r="M2371" s="134">
        <v>3.5416666666666666E-2</v>
      </c>
      <c r="N2371" s="137" t="s">
        <v>1983</v>
      </c>
      <c r="O2371" s="133" t="s">
        <v>1532</v>
      </c>
      <c r="Q2371" s="100" t="s">
        <v>4148</v>
      </c>
      <c r="R2371" s="226" t="s">
        <v>4136</v>
      </c>
      <c r="S2371" s="491" t="str">
        <f t="shared" si="77"/>
        <v>x</v>
      </c>
      <c r="T2371" s="492">
        <f>IFERROR(VLOOKUP(F2371,'Freq-Chan'!C:D,2,FALSE),"x")</f>
        <v>151.56399999999999</v>
      </c>
      <c r="U2371" s="110" t="s">
        <v>541</v>
      </c>
      <c r="V2371" s="110" t="str">
        <f t="shared" si="78"/>
        <v>FWL</v>
      </c>
      <c r="W2371" s="110" t="s">
        <v>541</v>
      </c>
      <c r="X2371" s="110" t="s">
        <v>541</v>
      </c>
      <c r="Y2371" s="110" t="str">
        <f>IFERROR(VLOOKUP(F2371,'Freq-Chan'!C:E,3,FALSE),"na")</f>
        <v>F1840</v>
      </c>
      <c r="Z2371" s="110" t="s">
        <v>541</v>
      </c>
      <c r="AA2371" s="110" t="s">
        <v>541</v>
      </c>
      <c r="AB2371" s="110" t="s">
        <v>541</v>
      </c>
      <c r="AC2371" s="10" t="s">
        <v>541</v>
      </c>
      <c r="AD2371" s="10" t="s">
        <v>541</v>
      </c>
    </row>
    <row r="2372" spans="1:30" x14ac:dyDescent="0.2">
      <c r="A2372" s="110">
        <v>2371</v>
      </c>
      <c r="B2372" s="132">
        <v>41861</v>
      </c>
      <c r="C2372" s="117">
        <v>3</v>
      </c>
      <c r="D2372" s="103" t="s">
        <v>71</v>
      </c>
      <c r="E2372" s="103" t="s">
        <v>306</v>
      </c>
      <c r="H2372" s="103"/>
      <c r="I2372" s="103">
        <v>63</v>
      </c>
      <c r="K2372" s="103" t="s">
        <v>1032</v>
      </c>
      <c r="L2372" s="133"/>
      <c r="M2372" s="134">
        <v>3.6805555555555557E-2</v>
      </c>
      <c r="N2372" s="137" t="s">
        <v>3258</v>
      </c>
      <c r="O2372" s="133" t="s">
        <v>1532</v>
      </c>
      <c r="P2372" s="100" t="s">
        <v>4157</v>
      </c>
      <c r="Q2372" s="100" t="s">
        <v>4148</v>
      </c>
      <c r="R2372" s="226" t="s">
        <v>4136</v>
      </c>
      <c r="S2372" s="491" t="str">
        <f t="shared" si="77"/>
        <v>x</v>
      </c>
      <c r="T2372" s="492" t="str">
        <f>IFERROR(VLOOKUP(F2372,'Freq-Chan'!C:D,2,FALSE),"x")</f>
        <v>x</v>
      </c>
      <c r="U2372" s="110" t="s">
        <v>541</v>
      </c>
      <c r="V2372" s="110" t="str">
        <f t="shared" si="78"/>
        <v>FWL</v>
      </c>
      <c r="W2372" s="110" t="s">
        <v>541</v>
      </c>
      <c r="X2372" s="110" t="s">
        <v>541</v>
      </c>
      <c r="Y2372" s="110" t="str">
        <f>IFERROR(VLOOKUP(F2372,'Freq-Chan'!C:E,3,FALSE),"na")</f>
        <v>na</v>
      </c>
      <c r="Z2372" s="110" t="s">
        <v>541</v>
      </c>
      <c r="AA2372" s="110" t="s">
        <v>541</v>
      </c>
      <c r="AB2372" s="110" t="s">
        <v>541</v>
      </c>
      <c r="AC2372" s="10" t="s">
        <v>541</v>
      </c>
      <c r="AD2372" s="10" t="s">
        <v>541</v>
      </c>
    </row>
    <row r="2373" spans="1:30" x14ac:dyDescent="0.2">
      <c r="A2373" s="110">
        <v>2372</v>
      </c>
      <c r="B2373" s="132">
        <v>41861</v>
      </c>
      <c r="C2373" s="117">
        <v>3</v>
      </c>
      <c r="D2373" s="103" t="s">
        <v>88</v>
      </c>
      <c r="E2373" s="103" t="s">
        <v>798</v>
      </c>
      <c r="H2373" s="103"/>
      <c r="J2373" s="103">
        <v>24</v>
      </c>
      <c r="K2373" s="103" t="s">
        <v>364</v>
      </c>
      <c r="L2373" s="133"/>
      <c r="M2373" s="134">
        <v>2.2222222222222223E-2</v>
      </c>
      <c r="N2373" s="137" t="s">
        <v>3719</v>
      </c>
      <c r="O2373" s="133" t="s">
        <v>1888</v>
      </c>
      <c r="Q2373" s="100" t="s">
        <v>4148</v>
      </c>
      <c r="R2373" s="226" t="s">
        <v>4136</v>
      </c>
      <c r="S2373" s="491" t="str">
        <f t="shared" si="77"/>
        <v>x</v>
      </c>
      <c r="T2373" s="492" t="str">
        <f>IFERROR(VLOOKUP(F2373,'Freq-Chan'!C:D,2,FALSE),"x")</f>
        <v>x</v>
      </c>
      <c r="U2373" s="110" t="s">
        <v>541</v>
      </c>
      <c r="V2373" s="110" t="str">
        <f t="shared" si="78"/>
        <v>FWL</v>
      </c>
      <c r="W2373" s="110" t="s">
        <v>541</v>
      </c>
      <c r="X2373" s="110" t="s">
        <v>541</v>
      </c>
      <c r="Y2373" s="110" t="str">
        <f>IFERROR(VLOOKUP(F2373,'Freq-Chan'!C:E,3,FALSE),"na")</f>
        <v>na</v>
      </c>
      <c r="Z2373" s="110" t="s">
        <v>541</v>
      </c>
      <c r="AA2373" s="110" t="s">
        <v>541</v>
      </c>
      <c r="AB2373" s="110" t="s">
        <v>541</v>
      </c>
      <c r="AC2373" s="10" t="s">
        <v>541</v>
      </c>
      <c r="AD2373" s="10" t="s">
        <v>541</v>
      </c>
    </row>
    <row r="2374" spans="1:30" x14ac:dyDescent="0.2">
      <c r="A2374" s="110">
        <v>2373</v>
      </c>
      <c r="B2374" s="132">
        <v>41861</v>
      </c>
      <c r="C2374" s="117">
        <v>3</v>
      </c>
      <c r="D2374" s="103" t="s">
        <v>71</v>
      </c>
      <c r="E2374" s="103" t="s">
        <v>306</v>
      </c>
      <c r="H2374" s="103"/>
      <c r="I2374" s="103">
        <v>61</v>
      </c>
      <c r="K2374" s="103" t="s">
        <v>1032</v>
      </c>
      <c r="L2374" s="136"/>
      <c r="M2374" s="140">
        <v>1.7361111111111112E-2</v>
      </c>
      <c r="N2374" s="137" t="s">
        <v>3757</v>
      </c>
      <c r="O2374" s="133" t="s">
        <v>1888</v>
      </c>
      <c r="Q2374" s="100" t="s">
        <v>4148</v>
      </c>
      <c r="R2374" s="226" t="s">
        <v>4136</v>
      </c>
      <c r="S2374" s="491" t="str">
        <f t="shared" si="77"/>
        <v>x</v>
      </c>
      <c r="T2374" s="492" t="str">
        <f>IFERROR(VLOOKUP(F2374,'Freq-Chan'!C:D,2,FALSE),"x")</f>
        <v>x</v>
      </c>
      <c r="U2374" s="110" t="s">
        <v>541</v>
      </c>
      <c r="V2374" s="110" t="str">
        <f t="shared" si="78"/>
        <v>FWL</v>
      </c>
      <c r="W2374" s="110" t="s">
        <v>541</v>
      </c>
      <c r="X2374" s="110" t="s">
        <v>541</v>
      </c>
      <c r="Y2374" s="110" t="str">
        <f>IFERROR(VLOOKUP(F2374,'Freq-Chan'!C:E,3,FALSE),"na")</f>
        <v>na</v>
      </c>
      <c r="Z2374" s="110" t="s">
        <v>541</v>
      </c>
      <c r="AA2374" s="110" t="s">
        <v>541</v>
      </c>
      <c r="AB2374" s="110" t="s">
        <v>541</v>
      </c>
      <c r="AC2374" s="10" t="s">
        <v>541</v>
      </c>
      <c r="AD2374" s="10" t="s">
        <v>541</v>
      </c>
    </row>
    <row r="2375" spans="1:30" x14ac:dyDescent="0.2">
      <c r="A2375" s="110">
        <v>2374</v>
      </c>
      <c r="B2375" s="132">
        <v>41861</v>
      </c>
      <c r="C2375" s="117">
        <v>3</v>
      </c>
      <c r="D2375" s="103" t="s">
        <v>72</v>
      </c>
      <c r="E2375" s="103" t="s">
        <v>306</v>
      </c>
      <c r="F2375" s="103">
        <v>266</v>
      </c>
      <c r="G2375" s="103">
        <v>28</v>
      </c>
      <c r="H2375" s="103" t="s">
        <v>3552</v>
      </c>
      <c r="I2375" s="103">
        <v>56</v>
      </c>
      <c r="K2375" s="103" t="s">
        <v>364</v>
      </c>
      <c r="L2375" s="133"/>
      <c r="M2375" s="134">
        <v>6.1111111111111116E-2</v>
      </c>
      <c r="N2375" s="137" t="s">
        <v>638</v>
      </c>
      <c r="O2375" s="133" t="s">
        <v>1888</v>
      </c>
      <c r="P2375" s="100" t="s">
        <v>4466</v>
      </c>
      <c r="Q2375" s="100" t="s">
        <v>4148</v>
      </c>
      <c r="R2375" s="226" t="s">
        <v>4136</v>
      </c>
      <c r="S2375" s="491" t="str">
        <f t="shared" si="77"/>
        <v>x</v>
      </c>
      <c r="T2375" s="492">
        <f>IFERROR(VLOOKUP(F2375,'Freq-Chan'!C:D,2,FALSE),"x")</f>
        <v>151.26599999999999</v>
      </c>
      <c r="U2375" s="110" t="s">
        <v>541</v>
      </c>
      <c r="V2375" s="110" t="str">
        <f t="shared" si="78"/>
        <v>FWL</v>
      </c>
      <c r="W2375" s="110" t="s">
        <v>541</v>
      </c>
      <c r="X2375" s="110" t="s">
        <v>541</v>
      </c>
      <c r="Y2375" s="110" t="str">
        <f>IFERROR(VLOOKUP(F2375,'Freq-Chan'!C:E,3,FALSE),"na")</f>
        <v>F1840</v>
      </c>
      <c r="Z2375" s="110" t="s">
        <v>541</v>
      </c>
      <c r="AA2375" s="110" t="s">
        <v>541</v>
      </c>
      <c r="AB2375" s="110" t="s">
        <v>541</v>
      </c>
      <c r="AC2375" s="10" t="s">
        <v>541</v>
      </c>
      <c r="AD2375" s="10" t="s">
        <v>541</v>
      </c>
    </row>
    <row r="2376" spans="1:30" x14ac:dyDescent="0.2">
      <c r="A2376" s="110">
        <v>2375</v>
      </c>
      <c r="B2376" s="132">
        <v>41861</v>
      </c>
      <c r="C2376" s="117">
        <v>3</v>
      </c>
      <c r="D2376" s="103" t="s">
        <v>72</v>
      </c>
      <c r="E2376" s="103" t="s">
        <v>306</v>
      </c>
      <c r="F2376" s="103">
        <v>325</v>
      </c>
      <c r="G2376" s="103">
        <v>1</v>
      </c>
      <c r="H2376" s="103" t="s">
        <v>3553</v>
      </c>
      <c r="I2376" s="103">
        <v>59</v>
      </c>
      <c r="K2376" s="103" t="s">
        <v>364</v>
      </c>
      <c r="L2376" s="133"/>
      <c r="M2376" s="134">
        <v>6.3888888888888884E-2</v>
      </c>
      <c r="N2376" s="137" t="s">
        <v>3239</v>
      </c>
      <c r="O2376" s="133" t="s">
        <v>1585</v>
      </c>
      <c r="Q2376" s="100" t="s">
        <v>4139</v>
      </c>
      <c r="R2376" s="226" t="s">
        <v>4136</v>
      </c>
      <c r="S2376" s="491" t="str">
        <f t="shared" si="77"/>
        <v>x</v>
      </c>
      <c r="T2376" s="492">
        <f>IFERROR(VLOOKUP(F2376,'Freq-Chan'!C:D,2,FALSE),"x")</f>
        <v>151.32499999999999</v>
      </c>
      <c r="U2376" s="110" t="s">
        <v>541</v>
      </c>
      <c r="V2376" s="110" t="str">
        <f t="shared" si="78"/>
        <v>FWL</v>
      </c>
      <c r="W2376" s="110" t="s">
        <v>541</v>
      </c>
      <c r="X2376" s="110" t="s">
        <v>541</v>
      </c>
      <c r="Y2376" s="110" t="str">
        <f>IFERROR(VLOOKUP(F2376,'Freq-Chan'!C:E,3,FALSE),"na")</f>
        <v>F1840</v>
      </c>
      <c r="Z2376" s="110" t="s">
        <v>541</v>
      </c>
      <c r="AA2376" s="110" t="s">
        <v>541</v>
      </c>
      <c r="AB2376" s="110" t="s">
        <v>541</v>
      </c>
      <c r="AC2376" s="10" t="s">
        <v>541</v>
      </c>
      <c r="AD2376" s="10" t="s">
        <v>541</v>
      </c>
    </row>
    <row r="2377" spans="1:30" x14ac:dyDescent="0.2">
      <c r="A2377" s="110">
        <v>2376</v>
      </c>
      <c r="B2377" s="132">
        <v>41861</v>
      </c>
      <c r="C2377" s="117">
        <v>3</v>
      </c>
      <c r="D2377" s="103" t="s">
        <v>72</v>
      </c>
      <c r="E2377" s="103" t="s">
        <v>306</v>
      </c>
      <c r="F2377" s="103">
        <v>325</v>
      </c>
      <c r="G2377" s="103">
        <v>57</v>
      </c>
      <c r="H2377" s="103" t="s">
        <v>3557</v>
      </c>
      <c r="I2377" s="103">
        <v>57</v>
      </c>
      <c r="K2377" s="103" t="s">
        <v>364</v>
      </c>
      <c r="L2377" s="133"/>
      <c r="M2377" s="134">
        <v>3.9583333333333331E-2</v>
      </c>
      <c r="N2377" s="137" t="s">
        <v>714</v>
      </c>
      <c r="O2377" s="133" t="s">
        <v>1663</v>
      </c>
      <c r="Q2377" s="100" t="s">
        <v>4139</v>
      </c>
      <c r="R2377" s="226" t="s">
        <v>4136</v>
      </c>
      <c r="S2377" s="491" t="str">
        <f t="shared" si="77"/>
        <v>x</v>
      </c>
      <c r="T2377" s="492">
        <f>IFERROR(VLOOKUP(F2377,'Freq-Chan'!C:D,2,FALSE),"x")</f>
        <v>151.32499999999999</v>
      </c>
      <c r="U2377" s="110" t="s">
        <v>541</v>
      </c>
      <c r="V2377" s="110" t="str">
        <f t="shared" si="78"/>
        <v>FWL</v>
      </c>
      <c r="W2377" s="110" t="s">
        <v>541</v>
      </c>
      <c r="X2377" s="110" t="s">
        <v>541</v>
      </c>
      <c r="Y2377" s="110" t="str">
        <f>IFERROR(VLOOKUP(F2377,'Freq-Chan'!C:E,3,FALSE),"na")</f>
        <v>F1840</v>
      </c>
      <c r="Z2377" s="110" t="s">
        <v>541</v>
      </c>
      <c r="AA2377" s="110" t="s">
        <v>541</v>
      </c>
      <c r="AB2377" s="110" t="s">
        <v>541</v>
      </c>
      <c r="AC2377" s="10" t="s">
        <v>541</v>
      </c>
      <c r="AD2377" s="10" t="s">
        <v>541</v>
      </c>
    </row>
    <row r="2378" spans="1:30" x14ac:dyDescent="0.2">
      <c r="A2378" s="110">
        <v>2377</v>
      </c>
      <c r="B2378" s="132">
        <v>41861</v>
      </c>
      <c r="C2378" s="117">
        <v>3</v>
      </c>
      <c r="D2378" s="103" t="s">
        <v>72</v>
      </c>
      <c r="E2378" s="103" t="s">
        <v>306</v>
      </c>
      <c r="F2378" s="103">
        <v>325</v>
      </c>
      <c r="G2378" s="103">
        <v>74</v>
      </c>
      <c r="H2378" s="103" t="s">
        <v>3558</v>
      </c>
      <c r="I2378" s="103">
        <v>52</v>
      </c>
      <c r="K2378" s="103" t="s">
        <v>364</v>
      </c>
      <c r="L2378" s="133"/>
      <c r="M2378" s="134">
        <v>4.7222222222222221E-2</v>
      </c>
      <c r="N2378" s="137" t="s">
        <v>4158</v>
      </c>
      <c r="O2378" s="133" t="s">
        <v>1663</v>
      </c>
      <c r="Q2378" s="100" t="s">
        <v>4139</v>
      </c>
      <c r="R2378" s="226" t="s">
        <v>4136</v>
      </c>
      <c r="S2378" s="491" t="str">
        <f t="shared" si="77"/>
        <v>x</v>
      </c>
      <c r="T2378" s="492">
        <f>IFERROR(VLOOKUP(F2378,'Freq-Chan'!C:D,2,FALSE),"x")</f>
        <v>151.32499999999999</v>
      </c>
      <c r="U2378" s="110" t="s">
        <v>541</v>
      </c>
      <c r="V2378" s="110" t="str">
        <f t="shared" si="78"/>
        <v>FWL</v>
      </c>
      <c r="W2378" s="110" t="s">
        <v>541</v>
      </c>
      <c r="X2378" s="110" t="s">
        <v>541</v>
      </c>
      <c r="Y2378" s="110" t="str">
        <f>IFERROR(VLOOKUP(F2378,'Freq-Chan'!C:E,3,FALSE),"na")</f>
        <v>F1840</v>
      </c>
      <c r="Z2378" s="110" t="s">
        <v>541</v>
      </c>
      <c r="AA2378" s="110" t="s">
        <v>541</v>
      </c>
      <c r="AB2378" s="110" t="s">
        <v>541</v>
      </c>
      <c r="AC2378" s="10" t="s">
        <v>541</v>
      </c>
      <c r="AD2378" s="10" t="s">
        <v>541</v>
      </c>
    </row>
    <row r="2379" spans="1:30" x14ac:dyDescent="0.2">
      <c r="A2379" s="110">
        <v>2378</v>
      </c>
      <c r="B2379" s="132">
        <v>41861</v>
      </c>
      <c r="C2379" s="117">
        <v>3</v>
      </c>
      <c r="D2379" s="103" t="s">
        <v>72</v>
      </c>
      <c r="E2379" s="103" t="s">
        <v>306</v>
      </c>
      <c r="F2379" s="103">
        <v>266</v>
      </c>
      <c r="G2379" s="103">
        <v>61</v>
      </c>
      <c r="H2379" s="103" t="s">
        <v>3559</v>
      </c>
      <c r="I2379" s="103">
        <v>48</v>
      </c>
      <c r="K2379" s="103" t="s">
        <v>364</v>
      </c>
      <c r="L2379" s="136"/>
      <c r="M2379" s="140">
        <v>4.027777777777778E-2</v>
      </c>
      <c r="N2379" s="137" t="s">
        <v>2561</v>
      </c>
      <c r="O2379" s="133" t="s">
        <v>1585</v>
      </c>
      <c r="P2379" s="100" t="s">
        <v>4466</v>
      </c>
      <c r="Q2379" s="100" t="s">
        <v>4139</v>
      </c>
      <c r="R2379" s="226" t="s">
        <v>4136</v>
      </c>
      <c r="S2379" s="491" t="str">
        <f t="shared" si="77"/>
        <v>x</v>
      </c>
      <c r="T2379" s="492">
        <f>IFERROR(VLOOKUP(F2379,'Freq-Chan'!C:D,2,FALSE),"x")</f>
        <v>151.26599999999999</v>
      </c>
      <c r="U2379" s="110" t="s">
        <v>541</v>
      </c>
      <c r="V2379" s="110" t="str">
        <f t="shared" si="78"/>
        <v>FWL</v>
      </c>
      <c r="W2379" s="110" t="s">
        <v>541</v>
      </c>
      <c r="X2379" s="110" t="s">
        <v>541</v>
      </c>
      <c r="Y2379" s="110" t="str">
        <f>IFERROR(VLOOKUP(F2379,'Freq-Chan'!C:E,3,FALSE),"na")</f>
        <v>F1840</v>
      </c>
      <c r="Z2379" s="110" t="s">
        <v>541</v>
      </c>
      <c r="AA2379" s="110" t="s">
        <v>541</v>
      </c>
      <c r="AB2379" s="110" t="s">
        <v>541</v>
      </c>
      <c r="AC2379" s="10" t="s">
        <v>541</v>
      </c>
      <c r="AD2379" s="10" t="s">
        <v>541</v>
      </c>
    </row>
    <row r="2380" spans="1:30" x14ac:dyDescent="0.2">
      <c r="A2380" s="110">
        <v>2379</v>
      </c>
      <c r="B2380" s="132">
        <v>41861</v>
      </c>
      <c r="C2380" s="117">
        <v>3</v>
      </c>
      <c r="D2380" s="103" t="s">
        <v>8</v>
      </c>
      <c r="E2380" s="103" t="s">
        <v>306</v>
      </c>
      <c r="F2380" s="103">
        <v>586</v>
      </c>
      <c r="G2380" s="103">
        <v>40</v>
      </c>
      <c r="H2380" s="103" t="s">
        <v>2222</v>
      </c>
      <c r="I2380" s="103">
        <v>50</v>
      </c>
      <c r="K2380" s="103" t="s">
        <v>1032</v>
      </c>
      <c r="L2380" s="136"/>
      <c r="M2380" s="140">
        <v>3.6111111111111115E-2</v>
      </c>
      <c r="N2380" s="137" t="s">
        <v>1582</v>
      </c>
      <c r="O2380" s="133" t="s">
        <v>1585</v>
      </c>
      <c r="Q2380" s="100" t="s">
        <v>4139</v>
      </c>
      <c r="R2380" s="226" t="s">
        <v>4136</v>
      </c>
      <c r="S2380" s="491" t="str">
        <f t="shared" si="77"/>
        <v>x</v>
      </c>
      <c r="T2380" s="492">
        <f>IFERROR(VLOOKUP(F2380,'Freq-Chan'!C:D,2,FALSE),"x")</f>
        <v>151.58600000000001</v>
      </c>
      <c r="U2380" s="110" t="s">
        <v>541</v>
      </c>
      <c r="V2380" s="110" t="str">
        <f t="shared" si="78"/>
        <v>FWL</v>
      </c>
      <c r="W2380" s="110" t="s">
        <v>541</v>
      </c>
      <c r="X2380" s="110" t="s">
        <v>541</v>
      </c>
      <c r="Y2380" s="110" t="str">
        <f>IFERROR(VLOOKUP(F2380,'Freq-Chan'!C:E,3,FALSE),"na")</f>
        <v>F1840</v>
      </c>
      <c r="Z2380" s="110" t="s">
        <v>541</v>
      </c>
      <c r="AA2380" s="110" t="s">
        <v>541</v>
      </c>
      <c r="AB2380" s="110" t="s">
        <v>541</v>
      </c>
      <c r="AC2380" s="10" t="s">
        <v>541</v>
      </c>
      <c r="AD2380" s="10" t="s">
        <v>541</v>
      </c>
    </row>
    <row r="2381" spans="1:30" x14ac:dyDescent="0.2">
      <c r="A2381" s="110">
        <v>2380</v>
      </c>
      <c r="B2381" s="132">
        <v>41861</v>
      </c>
      <c r="C2381" s="117">
        <v>3</v>
      </c>
      <c r="D2381" s="103" t="s">
        <v>72</v>
      </c>
      <c r="E2381" s="103" t="s">
        <v>306</v>
      </c>
      <c r="F2381" s="103">
        <v>325</v>
      </c>
      <c r="G2381" s="103">
        <v>38</v>
      </c>
      <c r="H2381" s="103" t="s">
        <v>3560</v>
      </c>
      <c r="I2381" s="103">
        <v>58</v>
      </c>
      <c r="K2381" s="103" t="s">
        <v>364</v>
      </c>
      <c r="L2381" s="136"/>
      <c r="M2381" s="140">
        <v>5.1388888888888894E-2</v>
      </c>
      <c r="N2381" s="137" t="s">
        <v>1742</v>
      </c>
      <c r="O2381" s="133" t="s">
        <v>1663</v>
      </c>
      <c r="Q2381" s="100" t="s">
        <v>4139</v>
      </c>
      <c r="R2381" s="226" t="s">
        <v>4136</v>
      </c>
      <c r="S2381" s="491" t="str">
        <f t="shared" si="77"/>
        <v>x</v>
      </c>
      <c r="T2381" s="492">
        <f>IFERROR(VLOOKUP(F2381,'Freq-Chan'!C:D,2,FALSE),"x")</f>
        <v>151.32499999999999</v>
      </c>
      <c r="U2381" s="110" t="s">
        <v>541</v>
      </c>
      <c r="V2381" s="110" t="str">
        <f t="shared" si="78"/>
        <v>FWL</v>
      </c>
      <c r="W2381" s="110" t="s">
        <v>541</v>
      </c>
      <c r="X2381" s="110" t="s">
        <v>541</v>
      </c>
      <c r="Y2381" s="110" t="str">
        <f>IFERROR(VLOOKUP(F2381,'Freq-Chan'!C:E,3,FALSE),"na")</f>
        <v>F1840</v>
      </c>
      <c r="Z2381" s="110" t="s">
        <v>541</v>
      </c>
      <c r="AA2381" s="110" t="s">
        <v>541</v>
      </c>
      <c r="AB2381" s="110" t="s">
        <v>541</v>
      </c>
      <c r="AC2381" s="10" t="s">
        <v>541</v>
      </c>
      <c r="AD2381" s="10" t="s">
        <v>541</v>
      </c>
    </row>
    <row r="2382" spans="1:30" x14ac:dyDescent="0.2">
      <c r="A2382" s="110">
        <v>2381</v>
      </c>
      <c r="B2382" s="132">
        <v>41861</v>
      </c>
      <c r="C2382" s="117">
        <v>3</v>
      </c>
      <c r="D2382" s="103" t="s">
        <v>72</v>
      </c>
      <c r="E2382" s="103" t="s">
        <v>306</v>
      </c>
      <c r="F2382" s="103">
        <v>325</v>
      </c>
      <c r="G2382" s="103">
        <v>96</v>
      </c>
      <c r="H2382" s="103" t="s">
        <v>3561</v>
      </c>
      <c r="I2382" s="103">
        <v>50</v>
      </c>
      <c r="K2382" s="103" t="s">
        <v>364</v>
      </c>
      <c r="L2382" s="136"/>
      <c r="M2382" s="140">
        <v>3.1944444444444449E-2</v>
      </c>
      <c r="N2382" s="137" t="s">
        <v>1690</v>
      </c>
      <c r="O2382" s="133" t="s">
        <v>1663</v>
      </c>
      <c r="Q2382" s="100" t="s">
        <v>4139</v>
      </c>
      <c r="R2382" s="226" t="s">
        <v>4136</v>
      </c>
      <c r="S2382" s="491" t="str">
        <f t="shared" si="77"/>
        <v>x</v>
      </c>
      <c r="T2382" s="492">
        <f>IFERROR(VLOOKUP(F2382,'Freq-Chan'!C:D,2,FALSE),"x")</f>
        <v>151.32499999999999</v>
      </c>
      <c r="U2382" s="110" t="s">
        <v>541</v>
      </c>
      <c r="V2382" s="110" t="str">
        <f t="shared" si="78"/>
        <v>FWL</v>
      </c>
      <c r="W2382" s="110" t="s">
        <v>541</v>
      </c>
      <c r="X2382" s="110" t="s">
        <v>541</v>
      </c>
      <c r="Y2382" s="110" t="str">
        <f>IFERROR(VLOOKUP(F2382,'Freq-Chan'!C:E,3,FALSE),"na")</f>
        <v>F1840</v>
      </c>
      <c r="Z2382" s="110" t="s">
        <v>541</v>
      </c>
      <c r="AA2382" s="110" t="s">
        <v>541</v>
      </c>
      <c r="AB2382" s="110" t="s">
        <v>541</v>
      </c>
      <c r="AC2382" s="10" t="s">
        <v>541</v>
      </c>
      <c r="AD2382" s="10" t="s">
        <v>541</v>
      </c>
    </row>
    <row r="2383" spans="1:30" x14ac:dyDescent="0.2">
      <c r="A2383" s="110">
        <v>2382</v>
      </c>
      <c r="B2383" s="132">
        <v>41861</v>
      </c>
      <c r="C2383" s="117">
        <v>3</v>
      </c>
      <c r="D2383" s="103" t="s">
        <v>8</v>
      </c>
      <c r="E2383" s="103" t="s">
        <v>306</v>
      </c>
      <c r="F2383" s="103">
        <v>586</v>
      </c>
      <c r="G2383" s="103">
        <v>47</v>
      </c>
      <c r="H2383" s="103" t="s">
        <v>2223</v>
      </c>
      <c r="I2383" s="103">
        <v>46</v>
      </c>
      <c r="K2383" s="103" t="s">
        <v>364</v>
      </c>
      <c r="L2383" s="136"/>
      <c r="M2383" s="140">
        <v>3.9583333333333331E-2</v>
      </c>
      <c r="N2383" s="137" t="s">
        <v>2586</v>
      </c>
      <c r="O2383" s="133" t="s">
        <v>1663</v>
      </c>
      <c r="Q2383" s="100" t="s">
        <v>4139</v>
      </c>
      <c r="R2383" s="226" t="s">
        <v>4136</v>
      </c>
      <c r="S2383" s="491" t="str">
        <f t="shared" si="77"/>
        <v>x</v>
      </c>
      <c r="T2383" s="492">
        <f>IFERROR(VLOOKUP(F2383,'Freq-Chan'!C:D,2,FALSE),"x")</f>
        <v>151.58600000000001</v>
      </c>
      <c r="U2383" s="110" t="s">
        <v>541</v>
      </c>
      <c r="V2383" s="110" t="str">
        <f t="shared" si="78"/>
        <v>FWL</v>
      </c>
      <c r="W2383" s="110" t="s">
        <v>541</v>
      </c>
      <c r="X2383" s="110" t="s">
        <v>541</v>
      </c>
      <c r="Y2383" s="110" t="str">
        <f>IFERROR(VLOOKUP(F2383,'Freq-Chan'!C:E,3,FALSE),"na")</f>
        <v>F1840</v>
      </c>
      <c r="Z2383" s="110" t="s">
        <v>541</v>
      </c>
      <c r="AA2383" s="110" t="s">
        <v>541</v>
      </c>
      <c r="AB2383" s="110" t="s">
        <v>541</v>
      </c>
      <c r="AC2383" s="10" t="s">
        <v>541</v>
      </c>
      <c r="AD2383" s="10" t="s">
        <v>541</v>
      </c>
    </row>
    <row r="2384" spans="1:30" s="291" customFormat="1" x14ac:dyDescent="0.2">
      <c r="A2384" s="493">
        <v>2383</v>
      </c>
      <c r="B2384" s="283">
        <v>41861</v>
      </c>
      <c r="C2384" s="284">
        <v>3</v>
      </c>
      <c r="D2384" s="285" t="s">
        <v>72</v>
      </c>
      <c r="E2384" s="285" t="s">
        <v>306</v>
      </c>
      <c r="F2384" s="285">
        <v>266</v>
      </c>
      <c r="G2384" s="285">
        <v>25</v>
      </c>
      <c r="H2384" s="285" t="s">
        <v>3562</v>
      </c>
      <c r="I2384" s="285">
        <v>49</v>
      </c>
      <c r="J2384" s="285"/>
      <c r="K2384" s="285" t="s">
        <v>364</v>
      </c>
      <c r="L2384" s="325"/>
      <c r="M2384" s="326">
        <v>9.4444444444444442E-2</v>
      </c>
      <c r="N2384" s="339" t="s">
        <v>2521</v>
      </c>
      <c r="O2384" s="286" t="s">
        <v>1663</v>
      </c>
      <c r="P2384" s="289" t="s">
        <v>4466</v>
      </c>
      <c r="Q2384" s="289" t="s">
        <v>4139</v>
      </c>
      <c r="R2384" s="290" t="s">
        <v>4136</v>
      </c>
      <c r="S2384" s="494" t="str">
        <f t="shared" si="77"/>
        <v>x</v>
      </c>
      <c r="T2384" s="495">
        <f>IFERROR(VLOOKUP(F2384,'Freq-Chan'!C:D,2,FALSE),"x")</f>
        <v>151.26599999999999</v>
      </c>
      <c r="U2384" s="493" t="s">
        <v>541</v>
      </c>
      <c r="V2384" s="493" t="str">
        <f t="shared" si="78"/>
        <v>FWL</v>
      </c>
      <c r="W2384" s="493" t="s">
        <v>541</v>
      </c>
      <c r="X2384" s="493" t="s">
        <v>541</v>
      </c>
      <c r="Y2384" s="493" t="str">
        <f>IFERROR(VLOOKUP(F2384,'Freq-Chan'!C:E,3,FALSE),"na")</f>
        <v>F1840</v>
      </c>
      <c r="Z2384" s="493" t="s">
        <v>541</v>
      </c>
      <c r="AA2384" s="493" t="s">
        <v>541</v>
      </c>
      <c r="AB2384" s="493" t="s">
        <v>541</v>
      </c>
      <c r="AC2384" s="291" t="s">
        <v>541</v>
      </c>
      <c r="AD2384" s="291" t="s">
        <v>541</v>
      </c>
    </row>
    <row r="2385" spans="1:30" x14ac:dyDescent="0.2">
      <c r="A2385" s="110">
        <v>2384</v>
      </c>
      <c r="B2385" s="132">
        <v>41862</v>
      </c>
      <c r="C2385" s="117">
        <v>1</v>
      </c>
      <c r="D2385" s="103" t="s">
        <v>71</v>
      </c>
      <c r="E2385" s="103" t="s">
        <v>306</v>
      </c>
      <c r="F2385" s="103">
        <v>564</v>
      </c>
      <c r="G2385" s="103">
        <v>8</v>
      </c>
      <c r="H2385" s="103" t="s">
        <v>2432</v>
      </c>
      <c r="I2385" s="103">
        <v>62</v>
      </c>
      <c r="K2385" s="103" t="s">
        <v>364</v>
      </c>
      <c r="L2385" s="136">
        <v>0.33958333333333335</v>
      </c>
      <c r="M2385" s="140">
        <v>4.3750000000000004E-2</v>
      </c>
      <c r="N2385" s="137" t="s">
        <v>707</v>
      </c>
      <c r="O2385" s="133" t="s">
        <v>1888</v>
      </c>
      <c r="Q2385" s="100" t="s">
        <v>4162</v>
      </c>
      <c r="R2385" s="226" t="s">
        <v>4185</v>
      </c>
      <c r="S2385" s="491">
        <f t="shared" si="77"/>
        <v>5.5208332999999998E-3</v>
      </c>
      <c r="T2385" s="492">
        <f>IFERROR(VLOOKUP(F2385,'Freq-Chan'!C:D,2,FALSE),"x")</f>
        <v>151.56399999999999</v>
      </c>
      <c r="U2385" s="110" t="s">
        <v>541</v>
      </c>
      <c r="V2385" s="110" t="str">
        <f t="shared" si="78"/>
        <v>FWL</v>
      </c>
      <c r="W2385" s="110" t="s">
        <v>541</v>
      </c>
      <c r="X2385" s="110" t="s">
        <v>541</v>
      </c>
      <c r="Y2385" s="110" t="str">
        <f>IFERROR(VLOOKUP(F2385,'Freq-Chan'!C:E,3,FALSE),"na")</f>
        <v>F1840</v>
      </c>
      <c r="Z2385" s="110" t="s">
        <v>541</v>
      </c>
      <c r="AA2385" s="110" t="s">
        <v>541</v>
      </c>
      <c r="AB2385" s="110" t="s">
        <v>541</v>
      </c>
      <c r="AC2385" s="10" t="s">
        <v>541</v>
      </c>
      <c r="AD2385" s="10" t="s">
        <v>541</v>
      </c>
    </row>
    <row r="2386" spans="1:30" x14ac:dyDescent="0.2">
      <c r="A2386" s="110">
        <v>2385</v>
      </c>
      <c r="B2386" s="132">
        <v>41862</v>
      </c>
      <c r="C2386" s="117">
        <v>1</v>
      </c>
      <c r="D2386" s="103" t="s">
        <v>71</v>
      </c>
      <c r="E2386" s="103" t="s">
        <v>306</v>
      </c>
      <c r="H2386" s="103"/>
      <c r="I2386" s="103">
        <v>63</v>
      </c>
      <c r="K2386" s="103" t="s">
        <v>364</v>
      </c>
      <c r="L2386" s="136">
        <v>0.3430555555555555</v>
      </c>
      <c r="M2386" s="140">
        <v>2.013888888888889E-2</v>
      </c>
      <c r="N2386" s="137" t="s">
        <v>2590</v>
      </c>
      <c r="O2386" s="133" t="s">
        <v>1888</v>
      </c>
      <c r="Q2386" s="100" t="s">
        <v>4162</v>
      </c>
      <c r="R2386" s="226" t="s">
        <v>4185</v>
      </c>
      <c r="S2386" s="491">
        <f t="shared" si="77"/>
        <v>4.5254630000000004E-3</v>
      </c>
      <c r="T2386" s="492" t="str">
        <f>IFERROR(VLOOKUP(F2386,'Freq-Chan'!C:D,2,FALSE),"x")</f>
        <v>x</v>
      </c>
      <c r="U2386" s="110" t="s">
        <v>541</v>
      </c>
      <c r="V2386" s="110" t="str">
        <f t="shared" si="78"/>
        <v>FWL</v>
      </c>
      <c r="W2386" s="110" t="s">
        <v>541</v>
      </c>
      <c r="X2386" s="110" t="s">
        <v>541</v>
      </c>
      <c r="Y2386" s="110" t="str">
        <f>IFERROR(VLOOKUP(F2386,'Freq-Chan'!C:E,3,FALSE),"na")</f>
        <v>na</v>
      </c>
      <c r="Z2386" s="110" t="s">
        <v>541</v>
      </c>
      <c r="AA2386" s="110" t="s">
        <v>541</v>
      </c>
      <c r="AB2386" s="110" t="s">
        <v>541</v>
      </c>
      <c r="AC2386" s="10" t="s">
        <v>541</v>
      </c>
      <c r="AD2386" s="10" t="s">
        <v>541</v>
      </c>
    </row>
    <row r="2387" spans="1:30" x14ac:dyDescent="0.2">
      <c r="A2387" s="110">
        <v>2386</v>
      </c>
      <c r="B2387" s="132">
        <v>41862</v>
      </c>
      <c r="C2387" s="117">
        <v>1</v>
      </c>
      <c r="D2387" s="103" t="s">
        <v>71</v>
      </c>
      <c r="E2387" s="103" t="s">
        <v>306</v>
      </c>
      <c r="H2387" s="103"/>
      <c r="I2387" s="103">
        <v>57</v>
      </c>
      <c r="K2387" s="103" t="s">
        <v>365</v>
      </c>
      <c r="L2387" s="136">
        <v>0.34375</v>
      </c>
      <c r="M2387" s="140">
        <v>1.8055555555555557E-2</v>
      </c>
      <c r="N2387" s="137" t="s">
        <v>3793</v>
      </c>
      <c r="O2387" s="133" t="s">
        <v>1888</v>
      </c>
      <c r="Q2387" s="100" t="s">
        <v>4162</v>
      </c>
      <c r="R2387" s="226" t="s">
        <v>4185</v>
      </c>
      <c r="S2387" s="491">
        <f t="shared" si="77"/>
        <v>5.2546295999999996E-3</v>
      </c>
      <c r="T2387" s="492" t="str">
        <f>IFERROR(VLOOKUP(F2387,'Freq-Chan'!C:D,2,FALSE),"x")</f>
        <v>x</v>
      </c>
      <c r="U2387" s="110" t="s">
        <v>541</v>
      </c>
      <c r="V2387" s="110" t="str">
        <f t="shared" si="78"/>
        <v>FWL</v>
      </c>
      <c r="W2387" s="110" t="s">
        <v>541</v>
      </c>
      <c r="X2387" s="110" t="s">
        <v>541</v>
      </c>
      <c r="Y2387" s="110" t="str">
        <f>IFERROR(VLOOKUP(F2387,'Freq-Chan'!C:E,3,FALSE),"na")</f>
        <v>na</v>
      </c>
      <c r="Z2387" s="110" t="s">
        <v>541</v>
      </c>
      <c r="AA2387" s="110" t="s">
        <v>541</v>
      </c>
      <c r="AB2387" s="110" t="s">
        <v>541</v>
      </c>
      <c r="AC2387" s="10" t="s">
        <v>541</v>
      </c>
      <c r="AD2387" s="10" t="s">
        <v>541</v>
      </c>
    </row>
    <row r="2388" spans="1:30" x14ac:dyDescent="0.2">
      <c r="A2388" s="110">
        <v>2387</v>
      </c>
      <c r="B2388" s="132">
        <v>41862</v>
      </c>
      <c r="C2388" s="117">
        <v>1</v>
      </c>
      <c r="D2388" s="103" t="s">
        <v>70</v>
      </c>
      <c r="E2388" s="103" t="s">
        <v>306</v>
      </c>
      <c r="F2388" s="103">
        <v>515</v>
      </c>
      <c r="G2388" s="103">
        <v>95</v>
      </c>
      <c r="H2388" s="103" t="s">
        <v>3120</v>
      </c>
      <c r="I2388" s="103">
        <v>49</v>
      </c>
      <c r="K2388" s="103" t="s">
        <v>1032</v>
      </c>
      <c r="L2388" s="133"/>
      <c r="M2388" s="140">
        <v>3.2638888888888891E-2</v>
      </c>
      <c r="N2388" s="137" t="s">
        <v>3450</v>
      </c>
      <c r="O2388" s="133" t="s">
        <v>555</v>
      </c>
      <c r="Q2388" s="100" t="s">
        <v>4162</v>
      </c>
      <c r="R2388" s="226" t="s">
        <v>4185</v>
      </c>
      <c r="S2388" s="491" t="str">
        <f t="shared" si="77"/>
        <v>x</v>
      </c>
      <c r="T2388" s="492">
        <f>IFERROR(VLOOKUP(F2388,'Freq-Chan'!C:D,2,FALSE),"x")</f>
        <v>151.51499999999999</v>
      </c>
      <c r="U2388" s="110" t="s">
        <v>541</v>
      </c>
      <c r="V2388" s="110" t="str">
        <f t="shared" si="78"/>
        <v>FWL</v>
      </c>
      <c r="W2388" s="110" t="s">
        <v>541</v>
      </c>
      <c r="X2388" s="110" t="s">
        <v>541</v>
      </c>
      <c r="Y2388" s="110" t="str">
        <f>IFERROR(VLOOKUP(F2388,'Freq-Chan'!C:E,3,FALSE),"na")</f>
        <v>F1835</v>
      </c>
      <c r="Z2388" s="110" t="s">
        <v>541</v>
      </c>
      <c r="AA2388" s="110" t="s">
        <v>541</v>
      </c>
      <c r="AB2388" s="110" t="s">
        <v>541</v>
      </c>
      <c r="AC2388" s="10" t="s">
        <v>541</v>
      </c>
      <c r="AD2388" s="10" t="s">
        <v>541</v>
      </c>
    </row>
    <row r="2389" spans="1:30" x14ac:dyDescent="0.2">
      <c r="A2389" s="110">
        <v>2388</v>
      </c>
      <c r="B2389" s="132">
        <v>41862</v>
      </c>
      <c r="C2389" s="117">
        <v>1</v>
      </c>
      <c r="D2389" s="103" t="s">
        <v>71</v>
      </c>
      <c r="E2389" s="103" t="s">
        <v>306</v>
      </c>
      <c r="H2389" s="103"/>
      <c r="I2389" s="103">
        <v>58</v>
      </c>
      <c r="K2389" s="103" t="s">
        <v>364</v>
      </c>
      <c r="L2389" s="133"/>
      <c r="M2389" s="140">
        <v>1.8055555555555557E-2</v>
      </c>
      <c r="N2389" s="137" t="s">
        <v>3400</v>
      </c>
      <c r="O2389" s="133" t="s">
        <v>555</v>
      </c>
      <c r="Q2389" s="100" t="s">
        <v>4162</v>
      </c>
      <c r="R2389" s="226" t="s">
        <v>4185</v>
      </c>
      <c r="S2389" s="491" t="str">
        <f t="shared" si="77"/>
        <v>x</v>
      </c>
      <c r="T2389" s="492" t="str">
        <f>IFERROR(VLOOKUP(F2389,'Freq-Chan'!C:D,2,FALSE),"x")</f>
        <v>x</v>
      </c>
      <c r="U2389" s="110" t="s">
        <v>541</v>
      </c>
      <c r="V2389" s="110" t="str">
        <f t="shared" si="78"/>
        <v>FWL</v>
      </c>
      <c r="W2389" s="110" t="s">
        <v>541</v>
      </c>
      <c r="X2389" s="110" t="s">
        <v>541</v>
      </c>
      <c r="Y2389" s="110" t="str">
        <f>IFERROR(VLOOKUP(F2389,'Freq-Chan'!C:E,3,FALSE),"na")</f>
        <v>na</v>
      </c>
      <c r="Z2389" s="110" t="s">
        <v>541</v>
      </c>
      <c r="AA2389" s="110" t="s">
        <v>541</v>
      </c>
      <c r="AB2389" s="110" t="s">
        <v>541</v>
      </c>
      <c r="AC2389" s="10" t="s">
        <v>541</v>
      </c>
      <c r="AD2389" s="10" t="s">
        <v>541</v>
      </c>
    </row>
    <row r="2390" spans="1:30" x14ac:dyDescent="0.2">
      <c r="A2390" s="110">
        <v>2389</v>
      </c>
      <c r="B2390" s="132">
        <v>41862</v>
      </c>
      <c r="C2390" s="117">
        <v>1</v>
      </c>
      <c r="D2390" s="103" t="s">
        <v>70</v>
      </c>
      <c r="E2390" s="103" t="s">
        <v>306</v>
      </c>
      <c r="H2390" s="103"/>
      <c r="I2390" s="103">
        <v>44</v>
      </c>
      <c r="K2390" s="103" t="s">
        <v>365</v>
      </c>
      <c r="L2390" s="136"/>
      <c r="M2390" s="140">
        <v>1.1111111111111112E-2</v>
      </c>
      <c r="N2390" s="137" t="s">
        <v>3451</v>
      </c>
      <c r="O2390" s="133" t="s">
        <v>555</v>
      </c>
      <c r="Q2390" s="100" t="s">
        <v>4162</v>
      </c>
      <c r="R2390" s="226" t="s">
        <v>4185</v>
      </c>
      <c r="S2390" s="491" t="str">
        <f t="shared" si="77"/>
        <v>x</v>
      </c>
      <c r="T2390" s="492" t="str">
        <f>IFERROR(VLOOKUP(F2390,'Freq-Chan'!C:D,2,FALSE),"x")</f>
        <v>x</v>
      </c>
      <c r="U2390" s="110" t="s">
        <v>541</v>
      </c>
      <c r="V2390" s="110" t="str">
        <f t="shared" si="78"/>
        <v>FWL</v>
      </c>
      <c r="W2390" s="110" t="s">
        <v>541</v>
      </c>
      <c r="X2390" s="110" t="s">
        <v>541</v>
      </c>
      <c r="Y2390" s="110" t="str">
        <f>IFERROR(VLOOKUP(F2390,'Freq-Chan'!C:E,3,FALSE),"na")</f>
        <v>na</v>
      </c>
      <c r="Z2390" s="110" t="s">
        <v>541</v>
      </c>
      <c r="AA2390" s="110" t="s">
        <v>541</v>
      </c>
      <c r="AB2390" s="110" t="s">
        <v>541</v>
      </c>
      <c r="AC2390" s="10" t="s">
        <v>541</v>
      </c>
      <c r="AD2390" s="10" t="s">
        <v>541</v>
      </c>
    </row>
    <row r="2391" spans="1:30" x14ac:dyDescent="0.2">
      <c r="A2391" s="110">
        <v>2390</v>
      </c>
      <c r="B2391" s="132">
        <v>41862</v>
      </c>
      <c r="C2391" s="117">
        <v>1</v>
      </c>
      <c r="D2391" s="103" t="s">
        <v>70</v>
      </c>
      <c r="E2391" s="103" t="s">
        <v>306</v>
      </c>
      <c r="H2391" s="103"/>
      <c r="I2391" s="103">
        <v>48</v>
      </c>
      <c r="K2391" s="103" t="s">
        <v>365</v>
      </c>
      <c r="L2391" s="136"/>
      <c r="M2391" s="140">
        <v>1.7361111111111112E-2</v>
      </c>
      <c r="N2391" s="137" t="s">
        <v>3333</v>
      </c>
      <c r="O2391" s="133" t="s">
        <v>555</v>
      </c>
      <c r="Q2391" s="100" t="s">
        <v>4162</v>
      </c>
      <c r="R2391" s="226" t="s">
        <v>4185</v>
      </c>
      <c r="S2391" s="491" t="str">
        <f t="shared" si="77"/>
        <v>x</v>
      </c>
      <c r="T2391" s="492" t="str">
        <f>IFERROR(VLOOKUP(F2391,'Freq-Chan'!C:D,2,FALSE),"x")</f>
        <v>x</v>
      </c>
      <c r="U2391" s="110" t="s">
        <v>541</v>
      </c>
      <c r="V2391" s="110" t="str">
        <f t="shared" si="78"/>
        <v>FWL</v>
      </c>
      <c r="W2391" s="110" t="s">
        <v>541</v>
      </c>
      <c r="X2391" s="110" t="s">
        <v>541</v>
      </c>
      <c r="Y2391" s="110" t="str">
        <f>IFERROR(VLOOKUP(F2391,'Freq-Chan'!C:E,3,FALSE),"na")</f>
        <v>na</v>
      </c>
      <c r="Z2391" s="110" t="s">
        <v>541</v>
      </c>
      <c r="AA2391" s="110" t="s">
        <v>541</v>
      </c>
      <c r="AB2391" s="110" t="s">
        <v>541</v>
      </c>
      <c r="AC2391" s="10" t="s">
        <v>541</v>
      </c>
      <c r="AD2391" s="10" t="s">
        <v>541</v>
      </c>
    </row>
    <row r="2392" spans="1:30" x14ac:dyDescent="0.2">
      <c r="A2392" s="110">
        <v>2391</v>
      </c>
      <c r="B2392" s="132">
        <v>41862</v>
      </c>
      <c r="C2392" s="117">
        <v>1</v>
      </c>
      <c r="D2392" s="103" t="s">
        <v>71</v>
      </c>
      <c r="E2392" s="103" t="s">
        <v>306</v>
      </c>
      <c r="H2392" s="103"/>
      <c r="I2392" s="103">
        <v>59</v>
      </c>
      <c r="K2392" s="103" t="s">
        <v>364</v>
      </c>
      <c r="L2392" s="136"/>
      <c r="M2392" s="140">
        <v>1.5972222222222224E-2</v>
      </c>
      <c r="N2392" s="135" t="s">
        <v>2689</v>
      </c>
      <c r="O2392" s="133" t="s">
        <v>555</v>
      </c>
      <c r="Q2392" s="100" t="s">
        <v>4162</v>
      </c>
      <c r="R2392" s="226" t="s">
        <v>4185</v>
      </c>
      <c r="S2392" s="491" t="str">
        <f t="shared" si="77"/>
        <v>x</v>
      </c>
      <c r="T2392" s="492" t="str">
        <f>IFERROR(VLOOKUP(F2392,'Freq-Chan'!C:D,2,FALSE),"x")</f>
        <v>x</v>
      </c>
      <c r="U2392" s="110" t="s">
        <v>541</v>
      </c>
      <c r="V2392" s="110" t="str">
        <f t="shared" si="78"/>
        <v>FWL</v>
      </c>
      <c r="W2392" s="110" t="s">
        <v>541</v>
      </c>
      <c r="X2392" s="110" t="s">
        <v>541</v>
      </c>
      <c r="Y2392" s="110" t="str">
        <f>IFERROR(VLOOKUP(F2392,'Freq-Chan'!C:E,3,FALSE),"na")</f>
        <v>na</v>
      </c>
      <c r="Z2392" s="110" t="s">
        <v>541</v>
      </c>
      <c r="AA2392" s="110" t="s">
        <v>541</v>
      </c>
      <c r="AB2392" s="110" t="s">
        <v>541</v>
      </c>
      <c r="AC2392" s="10" t="s">
        <v>541</v>
      </c>
      <c r="AD2392" s="10" t="s">
        <v>541</v>
      </c>
    </row>
    <row r="2393" spans="1:30" x14ac:dyDescent="0.2">
      <c r="A2393" s="110">
        <v>2392</v>
      </c>
      <c r="B2393" s="132">
        <v>41862</v>
      </c>
      <c r="C2393" s="117">
        <v>1</v>
      </c>
      <c r="D2393" s="103" t="s">
        <v>71</v>
      </c>
      <c r="E2393" s="103" t="s">
        <v>306</v>
      </c>
      <c r="H2393" s="103"/>
      <c r="I2393" s="103">
        <v>57</v>
      </c>
      <c r="K2393" s="103" t="s">
        <v>365</v>
      </c>
      <c r="L2393" s="136"/>
      <c r="M2393" s="140">
        <v>1.6666666666666666E-2</v>
      </c>
      <c r="N2393" s="137" t="s">
        <v>3334</v>
      </c>
      <c r="O2393" s="133" t="s">
        <v>555</v>
      </c>
      <c r="Q2393" s="100" t="s">
        <v>4162</v>
      </c>
      <c r="R2393" s="226" t="s">
        <v>4185</v>
      </c>
      <c r="S2393" s="491" t="str">
        <f t="shared" si="77"/>
        <v>x</v>
      </c>
      <c r="T2393" s="492" t="str">
        <f>IFERROR(VLOOKUP(F2393,'Freq-Chan'!C:D,2,FALSE),"x")</f>
        <v>x</v>
      </c>
      <c r="U2393" s="110" t="s">
        <v>541</v>
      </c>
      <c r="V2393" s="110" t="str">
        <f t="shared" si="78"/>
        <v>FWL</v>
      </c>
      <c r="W2393" s="110" t="s">
        <v>541</v>
      </c>
      <c r="X2393" s="110" t="s">
        <v>541</v>
      </c>
      <c r="Y2393" s="110" t="str">
        <f>IFERROR(VLOOKUP(F2393,'Freq-Chan'!C:E,3,FALSE),"na")</f>
        <v>na</v>
      </c>
      <c r="Z2393" s="110" t="s">
        <v>541</v>
      </c>
      <c r="AA2393" s="110" t="s">
        <v>541</v>
      </c>
      <c r="AB2393" s="110" t="s">
        <v>541</v>
      </c>
      <c r="AC2393" s="10" t="s">
        <v>541</v>
      </c>
      <c r="AD2393" s="10" t="s">
        <v>541</v>
      </c>
    </row>
    <row r="2394" spans="1:30" x14ac:dyDescent="0.2">
      <c r="A2394" s="110">
        <v>2393</v>
      </c>
      <c r="B2394" s="132">
        <v>41862</v>
      </c>
      <c r="C2394" s="117">
        <v>1</v>
      </c>
      <c r="D2394" s="103" t="s">
        <v>70</v>
      </c>
      <c r="E2394" s="103" t="s">
        <v>306</v>
      </c>
      <c r="H2394" s="103"/>
      <c r="I2394" s="103">
        <v>42</v>
      </c>
      <c r="K2394" s="103" t="s">
        <v>1032</v>
      </c>
      <c r="L2394" s="136"/>
      <c r="M2394" s="140">
        <v>1.8749999999999999E-2</v>
      </c>
      <c r="N2394" s="137" t="s">
        <v>3292</v>
      </c>
      <c r="O2394" s="133" t="s">
        <v>555</v>
      </c>
      <c r="Q2394" s="100" t="s">
        <v>4162</v>
      </c>
      <c r="R2394" s="226" t="s">
        <v>4185</v>
      </c>
      <c r="S2394" s="491" t="str">
        <f t="shared" si="77"/>
        <v>x</v>
      </c>
      <c r="T2394" s="492" t="str">
        <f>IFERROR(VLOOKUP(F2394,'Freq-Chan'!C:D,2,FALSE),"x")</f>
        <v>x</v>
      </c>
      <c r="U2394" s="110" t="s">
        <v>541</v>
      </c>
      <c r="V2394" s="110" t="str">
        <f t="shared" si="78"/>
        <v>FWL</v>
      </c>
      <c r="W2394" s="110" t="s">
        <v>541</v>
      </c>
      <c r="X2394" s="110" t="s">
        <v>541</v>
      </c>
      <c r="Y2394" s="110" t="str">
        <f>IFERROR(VLOOKUP(F2394,'Freq-Chan'!C:E,3,FALSE),"na")</f>
        <v>na</v>
      </c>
      <c r="Z2394" s="110" t="s">
        <v>541</v>
      </c>
      <c r="AA2394" s="110" t="s">
        <v>541</v>
      </c>
      <c r="AB2394" s="110" t="s">
        <v>541</v>
      </c>
      <c r="AC2394" s="10" t="s">
        <v>541</v>
      </c>
      <c r="AD2394" s="10" t="s">
        <v>541</v>
      </c>
    </row>
    <row r="2395" spans="1:30" x14ac:dyDescent="0.2">
      <c r="A2395" s="110">
        <v>2394</v>
      </c>
      <c r="B2395" s="132">
        <v>41862</v>
      </c>
      <c r="C2395" s="117">
        <v>1</v>
      </c>
      <c r="D2395" s="103" t="s">
        <v>70</v>
      </c>
      <c r="E2395" s="103" t="s">
        <v>306</v>
      </c>
      <c r="H2395" s="103"/>
      <c r="I2395" s="103">
        <v>45</v>
      </c>
      <c r="K2395" s="103" t="s">
        <v>365</v>
      </c>
      <c r="L2395" s="133"/>
      <c r="M2395" s="134">
        <v>1.5277777777777777E-2</v>
      </c>
      <c r="N2395" s="137" t="s">
        <v>3292</v>
      </c>
      <c r="O2395" s="133" t="s">
        <v>555</v>
      </c>
      <c r="Q2395" s="100" t="s">
        <v>4162</v>
      </c>
      <c r="R2395" s="226" t="s">
        <v>4185</v>
      </c>
      <c r="S2395" s="491" t="str">
        <f t="shared" si="77"/>
        <v>x</v>
      </c>
      <c r="T2395" s="492" t="str">
        <f>IFERROR(VLOOKUP(F2395,'Freq-Chan'!C:D,2,FALSE),"x")</f>
        <v>x</v>
      </c>
      <c r="U2395" s="110" t="s">
        <v>541</v>
      </c>
      <c r="V2395" s="110" t="str">
        <f t="shared" si="78"/>
        <v>FWL</v>
      </c>
      <c r="W2395" s="110" t="s">
        <v>541</v>
      </c>
      <c r="X2395" s="110" t="s">
        <v>541</v>
      </c>
      <c r="Y2395" s="110" t="str">
        <f>IFERROR(VLOOKUP(F2395,'Freq-Chan'!C:E,3,FALSE),"na")</f>
        <v>na</v>
      </c>
      <c r="Z2395" s="110" t="s">
        <v>541</v>
      </c>
      <c r="AA2395" s="110" t="s">
        <v>541</v>
      </c>
      <c r="AB2395" s="110" t="s">
        <v>541</v>
      </c>
      <c r="AC2395" s="10" t="s">
        <v>541</v>
      </c>
      <c r="AD2395" s="10" t="s">
        <v>541</v>
      </c>
    </row>
    <row r="2396" spans="1:30" x14ac:dyDescent="0.2">
      <c r="A2396" s="110">
        <v>2395</v>
      </c>
      <c r="B2396" s="132">
        <v>41862</v>
      </c>
      <c r="C2396" s="117">
        <v>1</v>
      </c>
      <c r="D2396" s="103" t="s">
        <v>71</v>
      </c>
      <c r="E2396" s="103" t="s">
        <v>306</v>
      </c>
      <c r="H2396" s="103"/>
      <c r="I2396" s="103">
        <v>64</v>
      </c>
      <c r="K2396" s="103" t="s">
        <v>1032</v>
      </c>
      <c r="L2396" s="133"/>
      <c r="M2396" s="134">
        <v>2.2222222222222223E-2</v>
      </c>
      <c r="N2396" s="137" t="s">
        <v>3452</v>
      </c>
      <c r="O2396" s="133" t="s">
        <v>555</v>
      </c>
      <c r="Q2396" s="100" t="s">
        <v>4162</v>
      </c>
      <c r="R2396" s="226" t="s">
        <v>4185</v>
      </c>
      <c r="S2396" s="491" t="str">
        <f t="shared" si="77"/>
        <v>x</v>
      </c>
      <c r="T2396" s="492" t="str">
        <f>IFERROR(VLOOKUP(F2396,'Freq-Chan'!C:D,2,FALSE),"x")</f>
        <v>x</v>
      </c>
      <c r="U2396" s="110" t="s">
        <v>541</v>
      </c>
      <c r="V2396" s="110" t="str">
        <f t="shared" si="78"/>
        <v>FWL</v>
      </c>
      <c r="W2396" s="110" t="s">
        <v>541</v>
      </c>
      <c r="X2396" s="110" t="s">
        <v>541</v>
      </c>
      <c r="Y2396" s="110" t="str">
        <f>IFERROR(VLOOKUP(F2396,'Freq-Chan'!C:E,3,FALSE),"na")</f>
        <v>na</v>
      </c>
      <c r="Z2396" s="110" t="s">
        <v>541</v>
      </c>
      <c r="AA2396" s="110" t="s">
        <v>541</v>
      </c>
      <c r="AB2396" s="110" t="s">
        <v>541</v>
      </c>
      <c r="AC2396" s="10" t="s">
        <v>541</v>
      </c>
      <c r="AD2396" s="10" t="s">
        <v>541</v>
      </c>
    </row>
    <row r="2397" spans="1:30" x14ac:dyDescent="0.2">
      <c r="A2397" s="110">
        <v>2396</v>
      </c>
      <c r="B2397" s="132">
        <v>41862</v>
      </c>
      <c r="C2397" s="117">
        <v>1</v>
      </c>
      <c r="D2397" s="103" t="s">
        <v>70</v>
      </c>
      <c r="E2397" s="103" t="s">
        <v>306</v>
      </c>
      <c r="H2397" s="103"/>
      <c r="I2397" s="103">
        <v>47</v>
      </c>
      <c r="K2397" s="103" t="s">
        <v>365</v>
      </c>
      <c r="L2397" s="133"/>
      <c r="M2397" s="134">
        <v>1.8749999999999999E-2</v>
      </c>
      <c r="N2397" s="137" t="s">
        <v>3752</v>
      </c>
      <c r="O2397" s="133" t="s">
        <v>555</v>
      </c>
      <c r="P2397" s="100" t="s">
        <v>4173</v>
      </c>
      <c r="Q2397" s="100" t="s">
        <v>4162</v>
      </c>
      <c r="R2397" s="226" t="s">
        <v>4185</v>
      </c>
      <c r="S2397" s="491" t="str">
        <f t="shared" si="77"/>
        <v>x</v>
      </c>
      <c r="T2397" s="492" t="str">
        <f>IFERROR(VLOOKUP(F2397,'Freq-Chan'!C:D,2,FALSE),"x")</f>
        <v>x</v>
      </c>
      <c r="U2397" s="110" t="s">
        <v>541</v>
      </c>
      <c r="V2397" s="110" t="str">
        <f t="shared" si="78"/>
        <v>FWL</v>
      </c>
      <c r="W2397" s="110" t="s">
        <v>541</v>
      </c>
      <c r="X2397" s="110" t="s">
        <v>541</v>
      </c>
      <c r="Y2397" s="110" t="str">
        <f>IFERROR(VLOOKUP(F2397,'Freq-Chan'!C:E,3,FALSE),"na")</f>
        <v>na</v>
      </c>
      <c r="Z2397" s="110" t="s">
        <v>541</v>
      </c>
      <c r="AA2397" s="110" t="s">
        <v>541</v>
      </c>
      <c r="AB2397" s="110" t="s">
        <v>541</v>
      </c>
      <c r="AC2397" s="10" t="s">
        <v>541</v>
      </c>
      <c r="AD2397" s="10" t="s">
        <v>541</v>
      </c>
    </row>
    <row r="2398" spans="1:30" x14ac:dyDescent="0.2">
      <c r="A2398" s="110">
        <v>2397</v>
      </c>
      <c r="B2398" s="132">
        <v>41862</v>
      </c>
      <c r="C2398" s="117">
        <v>1</v>
      </c>
      <c r="D2398" s="103" t="s">
        <v>71</v>
      </c>
      <c r="E2398" s="103" t="s">
        <v>306</v>
      </c>
      <c r="H2398" s="103"/>
      <c r="I2398" s="103">
        <v>62</v>
      </c>
      <c r="K2398" s="103" t="s">
        <v>365</v>
      </c>
      <c r="L2398" s="133"/>
      <c r="M2398" s="134">
        <v>2.6388888888888889E-2</v>
      </c>
      <c r="N2398" s="137" t="s">
        <v>3827</v>
      </c>
      <c r="O2398" s="133" t="s">
        <v>555</v>
      </c>
      <c r="Q2398" s="100" t="s">
        <v>4162</v>
      </c>
      <c r="R2398" s="226" t="s">
        <v>4185</v>
      </c>
      <c r="S2398" s="491" t="str">
        <f t="shared" si="77"/>
        <v>x</v>
      </c>
      <c r="T2398" s="492" t="str">
        <f>IFERROR(VLOOKUP(F2398,'Freq-Chan'!C:D,2,FALSE),"x")</f>
        <v>x</v>
      </c>
      <c r="U2398" s="110" t="s">
        <v>541</v>
      </c>
      <c r="V2398" s="110" t="str">
        <f t="shared" si="78"/>
        <v>FWL</v>
      </c>
      <c r="W2398" s="110" t="s">
        <v>541</v>
      </c>
      <c r="X2398" s="110" t="s">
        <v>541</v>
      </c>
      <c r="Y2398" s="110" t="str">
        <f>IFERROR(VLOOKUP(F2398,'Freq-Chan'!C:E,3,FALSE),"na")</f>
        <v>na</v>
      </c>
      <c r="Z2398" s="110" t="s">
        <v>541</v>
      </c>
      <c r="AA2398" s="110" t="s">
        <v>541</v>
      </c>
      <c r="AB2398" s="110" t="s">
        <v>541</v>
      </c>
      <c r="AC2398" s="10" t="s">
        <v>541</v>
      </c>
      <c r="AD2398" s="10" t="s">
        <v>541</v>
      </c>
    </row>
    <row r="2399" spans="1:30" x14ac:dyDescent="0.2">
      <c r="A2399" s="110">
        <v>2398</v>
      </c>
      <c r="B2399" s="132">
        <v>41862</v>
      </c>
      <c r="C2399" s="117">
        <v>1</v>
      </c>
      <c r="D2399" s="103" t="s">
        <v>71</v>
      </c>
      <c r="E2399" s="103" t="s">
        <v>306</v>
      </c>
      <c r="H2399" s="103"/>
      <c r="I2399" s="103">
        <v>53</v>
      </c>
      <c r="K2399" s="103" t="s">
        <v>364</v>
      </c>
      <c r="L2399" s="133"/>
      <c r="M2399" s="134">
        <v>2.1527777777777781E-2</v>
      </c>
      <c r="N2399" s="137" t="s">
        <v>3470</v>
      </c>
      <c r="O2399" s="133" t="s">
        <v>1888</v>
      </c>
      <c r="Q2399" s="100" t="s">
        <v>4162</v>
      </c>
      <c r="R2399" s="226" t="s">
        <v>4185</v>
      </c>
      <c r="S2399" s="491" t="str">
        <f t="shared" si="77"/>
        <v>x</v>
      </c>
      <c r="T2399" s="492" t="str">
        <f>IFERROR(VLOOKUP(F2399,'Freq-Chan'!C:D,2,FALSE),"x")</f>
        <v>x</v>
      </c>
      <c r="U2399" s="110" t="s">
        <v>541</v>
      </c>
      <c r="V2399" s="110" t="str">
        <f t="shared" si="78"/>
        <v>FWL</v>
      </c>
      <c r="W2399" s="110" t="s">
        <v>541</v>
      </c>
      <c r="X2399" s="110" t="s">
        <v>541</v>
      </c>
      <c r="Y2399" s="110" t="str">
        <f>IFERROR(VLOOKUP(F2399,'Freq-Chan'!C:E,3,FALSE),"na")</f>
        <v>na</v>
      </c>
      <c r="Z2399" s="110" t="s">
        <v>541</v>
      </c>
      <c r="AA2399" s="110" t="s">
        <v>541</v>
      </c>
      <c r="AB2399" s="110" t="s">
        <v>541</v>
      </c>
      <c r="AC2399" s="10" t="s">
        <v>541</v>
      </c>
      <c r="AD2399" s="10" t="s">
        <v>541</v>
      </c>
    </row>
    <row r="2400" spans="1:30" x14ac:dyDescent="0.2">
      <c r="A2400" s="110">
        <v>2399</v>
      </c>
      <c r="B2400" s="132">
        <v>41862</v>
      </c>
      <c r="C2400" s="117">
        <v>1</v>
      </c>
      <c r="D2400" s="103" t="s">
        <v>71</v>
      </c>
      <c r="E2400" s="103" t="s">
        <v>306</v>
      </c>
      <c r="H2400" s="103"/>
      <c r="I2400" s="103">
        <v>61</v>
      </c>
      <c r="K2400" s="103" t="s">
        <v>1032</v>
      </c>
      <c r="L2400" s="133"/>
      <c r="M2400" s="134">
        <v>2.2222222222222223E-2</v>
      </c>
      <c r="N2400" s="137" t="s">
        <v>3471</v>
      </c>
      <c r="O2400" s="133" t="s">
        <v>1888</v>
      </c>
      <c r="Q2400" s="100" t="s">
        <v>4162</v>
      </c>
      <c r="R2400" s="226" t="s">
        <v>4185</v>
      </c>
      <c r="S2400" s="491" t="str">
        <f t="shared" si="77"/>
        <v>x</v>
      </c>
      <c r="T2400" s="492" t="str">
        <f>IFERROR(VLOOKUP(F2400,'Freq-Chan'!C:D,2,FALSE),"x")</f>
        <v>x</v>
      </c>
      <c r="U2400" s="110" t="s">
        <v>541</v>
      </c>
      <c r="V2400" s="110" t="str">
        <f t="shared" si="78"/>
        <v>FWL</v>
      </c>
      <c r="W2400" s="110" t="s">
        <v>541</v>
      </c>
      <c r="X2400" s="110" t="s">
        <v>541</v>
      </c>
      <c r="Y2400" s="110" t="str">
        <f>IFERROR(VLOOKUP(F2400,'Freq-Chan'!C:E,3,FALSE),"na")</f>
        <v>na</v>
      </c>
      <c r="Z2400" s="110" t="s">
        <v>541</v>
      </c>
      <c r="AA2400" s="110" t="s">
        <v>541</v>
      </c>
      <c r="AB2400" s="110" t="s">
        <v>541</v>
      </c>
      <c r="AC2400" s="10" t="s">
        <v>541</v>
      </c>
      <c r="AD2400" s="10" t="s">
        <v>541</v>
      </c>
    </row>
    <row r="2401" spans="1:30" x14ac:dyDescent="0.2">
      <c r="A2401" s="110">
        <v>2400</v>
      </c>
      <c r="B2401" s="132">
        <v>41862</v>
      </c>
      <c r="C2401" s="117">
        <v>1</v>
      </c>
      <c r="D2401" s="103" t="s">
        <v>70</v>
      </c>
      <c r="E2401" s="103" t="s">
        <v>306</v>
      </c>
      <c r="H2401" s="103"/>
      <c r="I2401" s="103">
        <v>51</v>
      </c>
      <c r="K2401" s="103" t="s">
        <v>365</v>
      </c>
      <c r="L2401" s="133"/>
      <c r="M2401" s="134">
        <v>1.8055555555555557E-2</v>
      </c>
      <c r="N2401" s="137" t="s">
        <v>3472</v>
      </c>
      <c r="O2401" s="133" t="s">
        <v>1888</v>
      </c>
      <c r="Q2401" s="100" t="s">
        <v>4162</v>
      </c>
      <c r="R2401" s="226" t="s">
        <v>4185</v>
      </c>
      <c r="S2401" s="491" t="str">
        <f t="shared" si="77"/>
        <v>x</v>
      </c>
      <c r="T2401" s="492" t="str">
        <f>IFERROR(VLOOKUP(F2401,'Freq-Chan'!C:D,2,FALSE),"x")</f>
        <v>x</v>
      </c>
      <c r="U2401" s="110" t="s">
        <v>541</v>
      </c>
      <c r="V2401" s="110" t="str">
        <f t="shared" si="78"/>
        <v>FWL</v>
      </c>
      <c r="W2401" s="110" t="s">
        <v>541</v>
      </c>
      <c r="X2401" s="110" t="s">
        <v>541</v>
      </c>
      <c r="Y2401" s="110" t="str">
        <f>IFERROR(VLOOKUP(F2401,'Freq-Chan'!C:E,3,FALSE),"na")</f>
        <v>na</v>
      </c>
      <c r="Z2401" s="110" t="s">
        <v>541</v>
      </c>
      <c r="AA2401" s="110" t="s">
        <v>541</v>
      </c>
      <c r="AB2401" s="110" t="s">
        <v>541</v>
      </c>
      <c r="AC2401" s="10" t="s">
        <v>541</v>
      </c>
      <c r="AD2401" s="10" t="s">
        <v>541</v>
      </c>
    </row>
    <row r="2402" spans="1:30" x14ac:dyDescent="0.2">
      <c r="A2402" s="110">
        <v>2401</v>
      </c>
      <c r="B2402" s="132">
        <v>41862</v>
      </c>
      <c r="C2402" s="117">
        <v>1</v>
      </c>
      <c r="D2402" s="103" t="s">
        <v>71</v>
      </c>
      <c r="E2402" s="103" t="s">
        <v>306</v>
      </c>
      <c r="H2402" s="103"/>
      <c r="I2402" s="103">
        <v>60</v>
      </c>
      <c r="K2402" s="103" t="s">
        <v>1032</v>
      </c>
      <c r="L2402" s="133"/>
      <c r="M2402" s="134">
        <v>2.1527777777777781E-2</v>
      </c>
      <c r="N2402" s="135" t="s">
        <v>3473</v>
      </c>
      <c r="O2402" s="133" t="s">
        <v>1888</v>
      </c>
      <c r="Q2402" s="100" t="s">
        <v>4162</v>
      </c>
      <c r="R2402" s="226" t="s">
        <v>4185</v>
      </c>
      <c r="S2402" s="491" t="str">
        <f t="shared" si="77"/>
        <v>x</v>
      </c>
      <c r="T2402" s="492" t="str">
        <f>IFERROR(VLOOKUP(F2402,'Freq-Chan'!C:D,2,FALSE),"x")</f>
        <v>x</v>
      </c>
      <c r="U2402" s="110" t="s">
        <v>541</v>
      </c>
      <c r="V2402" s="110" t="str">
        <f t="shared" si="78"/>
        <v>FWL</v>
      </c>
      <c r="W2402" s="110" t="s">
        <v>541</v>
      </c>
      <c r="X2402" s="110" t="s">
        <v>541</v>
      </c>
      <c r="Y2402" s="110" t="str">
        <f>IFERROR(VLOOKUP(F2402,'Freq-Chan'!C:E,3,FALSE),"na")</f>
        <v>na</v>
      </c>
      <c r="Z2402" s="110" t="s">
        <v>541</v>
      </c>
      <c r="AA2402" s="110" t="s">
        <v>541</v>
      </c>
      <c r="AB2402" s="110" t="s">
        <v>541</v>
      </c>
      <c r="AC2402" s="10" t="s">
        <v>541</v>
      </c>
      <c r="AD2402" s="10" t="s">
        <v>541</v>
      </c>
    </row>
    <row r="2403" spans="1:30" x14ac:dyDescent="0.2">
      <c r="A2403" s="110">
        <v>2402</v>
      </c>
      <c r="B2403" s="132">
        <v>41862</v>
      </c>
      <c r="C2403" s="117">
        <v>1</v>
      </c>
      <c r="D2403" s="103" t="s">
        <v>70</v>
      </c>
      <c r="E2403" s="103" t="s">
        <v>306</v>
      </c>
      <c r="H2403" s="103"/>
      <c r="I2403" s="103">
        <v>45</v>
      </c>
      <c r="K2403" s="103" t="s">
        <v>365</v>
      </c>
      <c r="L2403" s="133"/>
      <c r="M2403" s="134">
        <v>1.7361111111111112E-2</v>
      </c>
      <c r="N2403" s="137" t="s">
        <v>3981</v>
      </c>
      <c r="O2403" s="133" t="s">
        <v>555</v>
      </c>
      <c r="P2403" s="100" t="s">
        <v>4174</v>
      </c>
      <c r="Q2403" s="100" t="s">
        <v>4162</v>
      </c>
      <c r="R2403" s="226" t="s">
        <v>4185</v>
      </c>
      <c r="S2403" s="491" t="str">
        <f t="shared" si="77"/>
        <v>x</v>
      </c>
      <c r="T2403" s="492" t="str">
        <f>IFERROR(VLOOKUP(F2403,'Freq-Chan'!C:D,2,FALSE),"x")</f>
        <v>x</v>
      </c>
      <c r="U2403" s="110" t="s">
        <v>541</v>
      </c>
      <c r="V2403" s="110" t="str">
        <f t="shared" si="78"/>
        <v>FWL</v>
      </c>
      <c r="W2403" s="110" t="s">
        <v>541</v>
      </c>
      <c r="X2403" s="110" t="s">
        <v>541</v>
      </c>
      <c r="Y2403" s="110" t="str">
        <f>IFERROR(VLOOKUP(F2403,'Freq-Chan'!C:E,3,FALSE),"na")</f>
        <v>na</v>
      </c>
      <c r="Z2403" s="110" t="s">
        <v>541</v>
      </c>
      <c r="AA2403" s="110" t="s">
        <v>541</v>
      </c>
      <c r="AB2403" s="110" t="s">
        <v>541</v>
      </c>
      <c r="AC2403" s="10" t="s">
        <v>541</v>
      </c>
      <c r="AD2403" s="10" t="s">
        <v>541</v>
      </c>
    </row>
    <row r="2404" spans="1:30" x14ac:dyDescent="0.2">
      <c r="A2404" s="110">
        <v>2403</v>
      </c>
      <c r="B2404" s="132">
        <v>41862</v>
      </c>
      <c r="C2404" s="117">
        <v>1</v>
      </c>
      <c r="D2404" s="103" t="s">
        <v>8</v>
      </c>
      <c r="E2404" s="103" t="s">
        <v>306</v>
      </c>
      <c r="F2404" s="103">
        <v>573</v>
      </c>
      <c r="G2404" s="103">
        <v>93</v>
      </c>
      <c r="H2404" s="103" t="s">
        <v>2243</v>
      </c>
      <c r="I2404" s="103">
        <v>50</v>
      </c>
      <c r="K2404" s="103" t="s">
        <v>364</v>
      </c>
      <c r="L2404" s="133"/>
      <c r="M2404" s="134">
        <v>3.2638888888888891E-2</v>
      </c>
      <c r="N2404" s="137" t="s">
        <v>3735</v>
      </c>
      <c r="O2404" s="133" t="s">
        <v>555</v>
      </c>
      <c r="Q2404" s="100" t="s">
        <v>4162</v>
      </c>
      <c r="R2404" s="226" t="s">
        <v>4185</v>
      </c>
      <c r="S2404" s="491" t="str">
        <f t="shared" si="77"/>
        <v>x</v>
      </c>
      <c r="T2404" s="492">
        <f>IFERROR(VLOOKUP(F2404,'Freq-Chan'!C:D,2,FALSE),"x")</f>
        <v>151.57300000000001</v>
      </c>
      <c r="U2404" s="110" t="s">
        <v>541</v>
      </c>
      <c r="V2404" s="110" t="str">
        <f t="shared" si="78"/>
        <v>FWL</v>
      </c>
      <c r="W2404" s="110" t="s">
        <v>541</v>
      </c>
      <c r="X2404" s="110" t="s">
        <v>541</v>
      </c>
      <c r="Y2404" s="110" t="str">
        <f>IFERROR(VLOOKUP(F2404,'Freq-Chan'!C:E,3,FALSE),"na")</f>
        <v>F1840</v>
      </c>
      <c r="Z2404" s="110" t="s">
        <v>541</v>
      </c>
      <c r="AA2404" s="110" t="s">
        <v>541</v>
      </c>
      <c r="AB2404" s="110" t="s">
        <v>541</v>
      </c>
      <c r="AC2404" s="10" t="s">
        <v>541</v>
      </c>
      <c r="AD2404" s="10" t="s">
        <v>541</v>
      </c>
    </row>
    <row r="2405" spans="1:30" x14ac:dyDescent="0.2">
      <c r="A2405" s="110">
        <v>2404</v>
      </c>
      <c r="B2405" s="132">
        <v>41862</v>
      </c>
      <c r="C2405" s="117">
        <v>1</v>
      </c>
      <c r="D2405" s="103" t="s">
        <v>70</v>
      </c>
      <c r="E2405" s="103" t="s">
        <v>306</v>
      </c>
      <c r="H2405" s="103"/>
      <c r="I2405" s="103">
        <v>43</v>
      </c>
      <c r="K2405" s="103" t="s">
        <v>1032</v>
      </c>
      <c r="L2405" s="133"/>
      <c r="M2405" s="134">
        <v>2.1527777777777781E-2</v>
      </c>
      <c r="N2405" s="137" t="s">
        <v>1905</v>
      </c>
      <c r="O2405" s="133" t="s">
        <v>555</v>
      </c>
      <c r="Q2405" s="100" t="s">
        <v>4162</v>
      </c>
      <c r="R2405" s="226" t="s">
        <v>4185</v>
      </c>
      <c r="S2405" s="491" t="str">
        <f t="shared" si="77"/>
        <v>x</v>
      </c>
      <c r="T2405" s="492" t="str">
        <f>IFERROR(VLOOKUP(F2405,'Freq-Chan'!C:D,2,FALSE),"x")</f>
        <v>x</v>
      </c>
      <c r="U2405" s="110" t="s">
        <v>541</v>
      </c>
      <c r="V2405" s="110" t="str">
        <f t="shared" si="78"/>
        <v>FWL</v>
      </c>
      <c r="W2405" s="110" t="s">
        <v>541</v>
      </c>
      <c r="X2405" s="110" t="s">
        <v>541</v>
      </c>
      <c r="Y2405" s="110" t="str">
        <f>IFERROR(VLOOKUP(F2405,'Freq-Chan'!C:E,3,FALSE),"na")</f>
        <v>na</v>
      </c>
      <c r="Z2405" s="110" t="s">
        <v>541</v>
      </c>
      <c r="AA2405" s="110" t="s">
        <v>541</v>
      </c>
      <c r="AB2405" s="110" t="s">
        <v>541</v>
      </c>
      <c r="AC2405" s="10" t="s">
        <v>541</v>
      </c>
      <c r="AD2405" s="10" t="s">
        <v>541</v>
      </c>
    </row>
    <row r="2406" spans="1:30" x14ac:dyDescent="0.2">
      <c r="A2406" s="110">
        <v>2405</v>
      </c>
      <c r="B2406" s="132">
        <v>41862</v>
      </c>
      <c r="C2406" s="117">
        <v>1</v>
      </c>
      <c r="D2406" s="103" t="s">
        <v>71</v>
      </c>
      <c r="E2406" s="103" t="s">
        <v>306</v>
      </c>
      <c r="H2406" s="103"/>
      <c r="I2406" s="103">
        <v>59</v>
      </c>
      <c r="K2406" s="103" t="s">
        <v>364</v>
      </c>
      <c r="L2406" s="133"/>
      <c r="M2406" s="134">
        <v>1.5277777777777777E-2</v>
      </c>
      <c r="N2406" s="137" t="s">
        <v>3936</v>
      </c>
      <c r="O2406" s="133" t="s">
        <v>555</v>
      </c>
      <c r="Q2406" s="100" t="s">
        <v>4162</v>
      </c>
      <c r="R2406" s="226" t="s">
        <v>4185</v>
      </c>
      <c r="S2406" s="491" t="str">
        <f t="shared" si="77"/>
        <v>x</v>
      </c>
      <c r="T2406" s="492" t="str">
        <f>IFERROR(VLOOKUP(F2406,'Freq-Chan'!C:D,2,FALSE),"x")</f>
        <v>x</v>
      </c>
      <c r="U2406" s="110" t="s">
        <v>541</v>
      </c>
      <c r="V2406" s="110" t="str">
        <f t="shared" si="78"/>
        <v>FWL</v>
      </c>
      <c r="W2406" s="110" t="s">
        <v>541</v>
      </c>
      <c r="X2406" s="110" t="s">
        <v>541</v>
      </c>
      <c r="Y2406" s="110" t="str">
        <f>IFERROR(VLOOKUP(F2406,'Freq-Chan'!C:E,3,FALSE),"na")</f>
        <v>na</v>
      </c>
      <c r="Z2406" s="110" t="s">
        <v>541</v>
      </c>
      <c r="AA2406" s="110" t="s">
        <v>541</v>
      </c>
      <c r="AB2406" s="110" t="s">
        <v>541</v>
      </c>
      <c r="AC2406" s="10" t="s">
        <v>541</v>
      </c>
      <c r="AD2406" s="10" t="s">
        <v>541</v>
      </c>
    </row>
    <row r="2407" spans="1:30" x14ac:dyDescent="0.2">
      <c r="A2407" s="110">
        <v>2406</v>
      </c>
      <c r="B2407" s="132">
        <v>41862</v>
      </c>
      <c r="C2407" s="117">
        <v>1</v>
      </c>
      <c r="D2407" s="103" t="s">
        <v>71</v>
      </c>
      <c r="E2407" s="103" t="s">
        <v>306</v>
      </c>
      <c r="H2407" s="103"/>
      <c r="I2407" s="103">
        <v>52</v>
      </c>
      <c r="K2407" s="103" t="s">
        <v>364</v>
      </c>
      <c r="L2407" s="133"/>
      <c r="M2407" s="134">
        <v>1.4583333333333332E-2</v>
      </c>
      <c r="N2407" s="137" t="s">
        <v>3717</v>
      </c>
      <c r="O2407" s="133" t="s">
        <v>555</v>
      </c>
      <c r="Q2407" s="100" t="s">
        <v>4162</v>
      </c>
      <c r="R2407" s="226" t="s">
        <v>4185</v>
      </c>
      <c r="S2407" s="491" t="str">
        <f t="shared" si="77"/>
        <v>x</v>
      </c>
      <c r="T2407" s="492" t="str">
        <f>IFERROR(VLOOKUP(F2407,'Freq-Chan'!C:D,2,FALSE),"x")</f>
        <v>x</v>
      </c>
      <c r="U2407" s="110" t="s">
        <v>541</v>
      </c>
      <c r="V2407" s="110" t="str">
        <f t="shared" si="78"/>
        <v>FWL</v>
      </c>
      <c r="W2407" s="110" t="s">
        <v>541</v>
      </c>
      <c r="X2407" s="110" t="s">
        <v>541</v>
      </c>
      <c r="Y2407" s="110" t="str">
        <f>IFERROR(VLOOKUP(F2407,'Freq-Chan'!C:E,3,FALSE),"na")</f>
        <v>na</v>
      </c>
      <c r="Z2407" s="110" t="s">
        <v>541</v>
      </c>
      <c r="AA2407" s="110" t="s">
        <v>541</v>
      </c>
      <c r="AB2407" s="110" t="s">
        <v>541</v>
      </c>
      <c r="AC2407" s="10" t="s">
        <v>541</v>
      </c>
      <c r="AD2407" s="10" t="s">
        <v>541</v>
      </c>
    </row>
    <row r="2408" spans="1:30" x14ac:dyDescent="0.2">
      <c r="A2408" s="110">
        <v>2407</v>
      </c>
      <c r="B2408" s="132">
        <v>41862</v>
      </c>
      <c r="C2408" s="117">
        <v>1</v>
      </c>
      <c r="D2408" s="103" t="s">
        <v>71</v>
      </c>
      <c r="E2408" s="103" t="s">
        <v>306</v>
      </c>
      <c r="H2408" s="103"/>
      <c r="I2408" s="103">
        <v>57</v>
      </c>
      <c r="K2408" s="103" t="s">
        <v>365</v>
      </c>
      <c r="L2408" s="133"/>
      <c r="M2408" s="134">
        <v>1.3194444444444444E-2</v>
      </c>
      <c r="N2408" s="137" t="s">
        <v>3426</v>
      </c>
      <c r="O2408" s="133" t="s">
        <v>555</v>
      </c>
      <c r="Q2408" s="100" t="s">
        <v>4162</v>
      </c>
      <c r="R2408" s="226" t="s">
        <v>4185</v>
      </c>
      <c r="S2408" s="491" t="str">
        <f t="shared" si="77"/>
        <v>x</v>
      </c>
      <c r="T2408" s="492" t="str">
        <f>IFERROR(VLOOKUP(F2408,'Freq-Chan'!C:D,2,FALSE),"x")</f>
        <v>x</v>
      </c>
      <c r="U2408" s="110" t="s">
        <v>541</v>
      </c>
      <c r="V2408" s="110" t="str">
        <f t="shared" si="78"/>
        <v>FWL</v>
      </c>
      <c r="W2408" s="110" t="s">
        <v>541</v>
      </c>
      <c r="X2408" s="110" t="s">
        <v>541</v>
      </c>
      <c r="Y2408" s="110" t="str">
        <f>IFERROR(VLOOKUP(F2408,'Freq-Chan'!C:E,3,FALSE),"na")</f>
        <v>na</v>
      </c>
      <c r="Z2408" s="110" t="s">
        <v>541</v>
      </c>
      <c r="AA2408" s="110" t="s">
        <v>541</v>
      </c>
      <c r="AB2408" s="110" t="s">
        <v>541</v>
      </c>
      <c r="AC2408" s="10" t="s">
        <v>541</v>
      </c>
      <c r="AD2408" s="10" t="s">
        <v>541</v>
      </c>
    </row>
    <row r="2409" spans="1:30" x14ac:dyDescent="0.2">
      <c r="A2409" s="110">
        <v>2408</v>
      </c>
      <c r="B2409" s="132">
        <v>41862</v>
      </c>
      <c r="C2409" s="117">
        <v>1</v>
      </c>
      <c r="D2409" s="103" t="s">
        <v>71</v>
      </c>
      <c r="E2409" s="103" t="s">
        <v>306</v>
      </c>
      <c r="H2409" s="103"/>
      <c r="I2409" s="103">
        <v>60</v>
      </c>
      <c r="K2409" s="103" t="s">
        <v>365</v>
      </c>
      <c r="L2409" s="133"/>
      <c r="M2409" s="134">
        <v>1.4583333333333332E-2</v>
      </c>
      <c r="N2409" s="137" t="s">
        <v>3426</v>
      </c>
      <c r="O2409" s="133" t="s">
        <v>555</v>
      </c>
      <c r="Q2409" s="100" t="s">
        <v>4162</v>
      </c>
      <c r="R2409" s="226" t="s">
        <v>4185</v>
      </c>
      <c r="S2409" s="491" t="str">
        <f t="shared" si="77"/>
        <v>x</v>
      </c>
      <c r="T2409" s="492" t="str">
        <f>IFERROR(VLOOKUP(F2409,'Freq-Chan'!C:D,2,FALSE),"x")</f>
        <v>x</v>
      </c>
      <c r="U2409" s="110" t="s">
        <v>541</v>
      </c>
      <c r="V2409" s="110" t="str">
        <f t="shared" si="78"/>
        <v>FWL</v>
      </c>
      <c r="W2409" s="110" t="s">
        <v>541</v>
      </c>
      <c r="X2409" s="110" t="s">
        <v>541</v>
      </c>
      <c r="Y2409" s="110" t="str">
        <f>IFERROR(VLOOKUP(F2409,'Freq-Chan'!C:E,3,FALSE),"na")</f>
        <v>na</v>
      </c>
      <c r="Z2409" s="110" t="s">
        <v>541</v>
      </c>
      <c r="AA2409" s="110" t="s">
        <v>541</v>
      </c>
      <c r="AB2409" s="110" t="s">
        <v>541</v>
      </c>
      <c r="AC2409" s="10" t="s">
        <v>541</v>
      </c>
      <c r="AD2409" s="10" t="s">
        <v>541</v>
      </c>
    </row>
    <row r="2410" spans="1:30" x14ac:dyDescent="0.2">
      <c r="A2410" s="110">
        <v>2409</v>
      </c>
      <c r="B2410" s="132">
        <v>41862</v>
      </c>
      <c r="C2410" s="117">
        <v>1</v>
      </c>
      <c r="D2410" s="103" t="s">
        <v>70</v>
      </c>
      <c r="E2410" s="103" t="s">
        <v>306</v>
      </c>
      <c r="H2410" s="103"/>
      <c r="I2410" s="103">
        <v>43</v>
      </c>
      <c r="K2410" s="103" t="s">
        <v>365</v>
      </c>
      <c r="L2410" s="133"/>
      <c r="M2410" s="134">
        <v>1.1111111111111112E-2</v>
      </c>
      <c r="N2410" s="137" t="s">
        <v>3254</v>
      </c>
      <c r="O2410" s="133" t="s">
        <v>555</v>
      </c>
      <c r="Q2410" s="100" t="s">
        <v>4162</v>
      </c>
      <c r="R2410" s="226" t="s">
        <v>4185</v>
      </c>
      <c r="S2410" s="491" t="str">
        <f t="shared" si="77"/>
        <v>x</v>
      </c>
      <c r="T2410" s="492" t="str">
        <f>IFERROR(VLOOKUP(F2410,'Freq-Chan'!C:D,2,FALSE),"x")</f>
        <v>x</v>
      </c>
      <c r="U2410" s="110" t="s">
        <v>541</v>
      </c>
      <c r="V2410" s="110" t="str">
        <f t="shared" si="78"/>
        <v>FWL</v>
      </c>
      <c r="W2410" s="110" t="s">
        <v>541</v>
      </c>
      <c r="X2410" s="110" t="s">
        <v>541</v>
      </c>
      <c r="Y2410" s="110" t="str">
        <f>IFERROR(VLOOKUP(F2410,'Freq-Chan'!C:E,3,FALSE),"na")</f>
        <v>na</v>
      </c>
      <c r="Z2410" s="110" t="s">
        <v>541</v>
      </c>
      <c r="AA2410" s="110" t="s">
        <v>541</v>
      </c>
      <c r="AB2410" s="110" t="s">
        <v>541</v>
      </c>
      <c r="AC2410" s="10" t="s">
        <v>541</v>
      </c>
      <c r="AD2410" s="10" t="s">
        <v>541</v>
      </c>
    </row>
    <row r="2411" spans="1:30" x14ac:dyDescent="0.2">
      <c r="A2411" s="110">
        <v>2410</v>
      </c>
      <c r="B2411" s="132">
        <v>41862</v>
      </c>
      <c r="C2411" s="117">
        <v>1</v>
      </c>
      <c r="D2411" s="103" t="s">
        <v>8</v>
      </c>
      <c r="E2411" s="103" t="s">
        <v>306</v>
      </c>
      <c r="F2411" s="103">
        <v>573</v>
      </c>
      <c r="G2411" s="103">
        <v>18</v>
      </c>
      <c r="H2411" s="103" t="s">
        <v>2246</v>
      </c>
      <c r="I2411" s="103">
        <v>51</v>
      </c>
      <c r="K2411" s="103" t="s">
        <v>365</v>
      </c>
      <c r="L2411" s="133"/>
      <c r="M2411" s="134">
        <v>3.6111111111111115E-2</v>
      </c>
      <c r="N2411" s="137" t="s">
        <v>2693</v>
      </c>
      <c r="O2411" s="133" t="s">
        <v>555</v>
      </c>
      <c r="Q2411" s="100" t="s">
        <v>4162</v>
      </c>
      <c r="R2411" s="226" t="s">
        <v>4185</v>
      </c>
      <c r="S2411" s="491" t="str">
        <f t="shared" si="77"/>
        <v>x</v>
      </c>
      <c r="T2411" s="492">
        <f>IFERROR(VLOOKUP(F2411,'Freq-Chan'!C:D,2,FALSE),"x")</f>
        <v>151.57300000000001</v>
      </c>
      <c r="U2411" s="110" t="s">
        <v>541</v>
      </c>
      <c r="V2411" s="110" t="str">
        <f t="shared" si="78"/>
        <v>FWL</v>
      </c>
      <c r="W2411" s="110" t="s">
        <v>541</v>
      </c>
      <c r="X2411" s="110" t="s">
        <v>541</v>
      </c>
      <c r="Y2411" s="110" t="str">
        <f>IFERROR(VLOOKUP(F2411,'Freq-Chan'!C:E,3,FALSE),"na")</f>
        <v>F1840</v>
      </c>
      <c r="Z2411" s="110" t="s">
        <v>541</v>
      </c>
      <c r="AA2411" s="110" t="s">
        <v>541</v>
      </c>
      <c r="AB2411" s="110" t="s">
        <v>541</v>
      </c>
      <c r="AC2411" s="10" t="s">
        <v>541</v>
      </c>
      <c r="AD2411" s="10" t="s">
        <v>541</v>
      </c>
    </row>
    <row r="2412" spans="1:30" x14ac:dyDescent="0.2">
      <c r="A2412" s="110">
        <v>2411</v>
      </c>
      <c r="B2412" s="132">
        <v>41862</v>
      </c>
      <c r="C2412" s="117">
        <v>1</v>
      </c>
      <c r="D2412" s="103" t="s">
        <v>70</v>
      </c>
      <c r="E2412" s="103" t="s">
        <v>306</v>
      </c>
      <c r="H2412" s="103"/>
      <c r="I2412" s="103">
        <v>48</v>
      </c>
      <c r="K2412" s="103" t="s">
        <v>1032</v>
      </c>
      <c r="L2412" s="133"/>
      <c r="M2412" s="134">
        <v>1.8055555555555557E-2</v>
      </c>
      <c r="N2412" s="137" t="s">
        <v>2694</v>
      </c>
      <c r="O2412" s="133" t="s">
        <v>555</v>
      </c>
      <c r="Q2412" s="100" t="s">
        <v>4162</v>
      </c>
      <c r="R2412" s="226" t="s">
        <v>4185</v>
      </c>
      <c r="S2412" s="491" t="str">
        <f t="shared" si="77"/>
        <v>x</v>
      </c>
      <c r="T2412" s="492" t="str">
        <f>IFERROR(VLOOKUP(F2412,'Freq-Chan'!C:D,2,FALSE),"x")</f>
        <v>x</v>
      </c>
      <c r="U2412" s="110" t="s">
        <v>541</v>
      </c>
      <c r="V2412" s="110" t="str">
        <f t="shared" si="78"/>
        <v>FWL</v>
      </c>
      <c r="W2412" s="110" t="s">
        <v>541</v>
      </c>
      <c r="X2412" s="110" t="s">
        <v>541</v>
      </c>
      <c r="Y2412" s="110" t="str">
        <f>IFERROR(VLOOKUP(F2412,'Freq-Chan'!C:E,3,FALSE),"na")</f>
        <v>na</v>
      </c>
      <c r="Z2412" s="110" t="s">
        <v>541</v>
      </c>
      <c r="AA2412" s="110" t="s">
        <v>541</v>
      </c>
      <c r="AB2412" s="110" t="s">
        <v>541</v>
      </c>
      <c r="AC2412" s="10" t="s">
        <v>541</v>
      </c>
      <c r="AD2412" s="10" t="s">
        <v>541</v>
      </c>
    </row>
    <row r="2413" spans="1:30" x14ac:dyDescent="0.2">
      <c r="A2413" s="110">
        <v>2412</v>
      </c>
      <c r="B2413" s="132">
        <v>41862</v>
      </c>
      <c r="C2413" s="117">
        <v>1</v>
      </c>
      <c r="D2413" s="103" t="s">
        <v>70</v>
      </c>
      <c r="E2413" s="103" t="s">
        <v>306</v>
      </c>
      <c r="H2413" s="103"/>
      <c r="I2413" s="103">
        <v>44</v>
      </c>
      <c r="K2413" s="103" t="s">
        <v>365</v>
      </c>
      <c r="L2413" s="133"/>
      <c r="M2413" s="134">
        <v>2.2916666666666669E-2</v>
      </c>
      <c r="N2413" s="137" t="s">
        <v>2694</v>
      </c>
      <c r="O2413" s="133" t="s">
        <v>555</v>
      </c>
      <c r="Q2413" s="100" t="s">
        <v>4162</v>
      </c>
      <c r="R2413" s="226" t="s">
        <v>4185</v>
      </c>
      <c r="S2413" s="491" t="str">
        <f t="shared" si="77"/>
        <v>x</v>
      </c>
      <c r="T2413" s="492" t="str">
        <f>IFERROR(VLOOKUP(F2413,'Freq-Chan'!C:D,2,FALSE),"x")</f>
        <v>x</v>
      </c>
      <c r="U2413" s="110" t="s">
        <v>541</v>
      </c>
      <c r="V2413" s="110" t="str">
        <f t="shared" si="78"/>
        <v>FWL</v>
      </c>
      <c r="W2413" s="110" t="s">
        <v>541</v>
      </c>
      <c r="X2413" s="110" t="s">
        <v>541</v>
      </c>
      <c r="Y2413" s="110" t="str">
        <f>IFERROR(VLOOKUP(F2413,'Freq-Chan'!C:E,3,FALSE),"na")</f>
        <v>na</v>
      </c>
      <c r="Z2413" s="110" t="s">
        <v>541</v>
      </c>
      <c r="AA2413" s="110" t="s">
        <v>541</v>
      </c>
      <c r="AB2413" s="110" t="s">
        <v>541</v>
      </c>
      <c r="AC2413" s="10" t="s">
        <v>541</v>
      </c>
      <c r="AD2413" s="10" t="s">
        <v>541</v>
      </c>
    </row>
    <row r="2414" spans="1:30" x14ac:dyDescent="0.2">
      <c r="A2414" s="110">
        <v>2413</v>
      </c>
      <c r="B2414" s="132">
        <v>41862</v>
      </c>
      <c r="C2414" s="117">
        <v>1</v>
      </c>
      <c r="D2414" s="103" t="s">
        <v>70</v>
      </c>
      <c r="E2414" s="103" t="s">
        <v>306</v>
      </c>
      <c r="H2414" s="103"/>
      <c r="I2414" s="103">
        <v>46</v>
      </c>
      <c r="K2414" s="103" t="s">
        <v>365</v>
      </c>
      <c r="L2414" s="133"/>
      <c r="M2414" s="134">
        <v>1.7361111111111112E-2</v>
      </c>
      <c r="N2414" s="137" t="s">
        <v>3428</v>
      </c>
      <c r="O2414" s="133" t="s">
        <v>555</v>
      </c>
      <c r="Q2414" s="100" t="s">
        <v>4162</v>
      </c>
      <c r="R2414" s="226" t="s">
        <v>4185</v>
      </c>
      <c r="S2414" s="491" t="str">
        <f t="shared" si="77"/>
        <v>x</v>
      </c>
      <c r="T2414" s="492" t="str">
        <f>IFERROR(VLOOKUP(F2414,'Freq-Chan'!C:D,2,FALSE),"x")</f>
        <v>x</v>
      </c>
      <c r="U2414" s="110" t="s">
        <v>541</v>
      </c>
      <c r="V2414" s="110" t="str">
        <f t="shared" si="78"/>
        <v>FWL</v>
      </c>
      <c r="W2414" s="110" t="s">
        <v>541</v>
      </c>
      <c r="X2414" s="110" t="s">
        <v>541</v>
      </c>
      <c r="Y2414" s="110" t="str">
        <f>IFERROR(VLOOKUP(F2414,'Freq-Chan'!C:E,3,FALSE),"na")</f>
        <v>na</v>
      </c>
      <c r="Z2414" s="110" t="s">
        <v>541</v>
      </c>
      <c r="AA2414" s="110" t="s">
        <v>541</v>
      </c>
      <c r="AB2414" s="110" t="s">
        <v>541</v>
      </c>
      <c r="AC2414" s="10" t="s">
        <v>541</v>
      </c>
      <c r="AD2414" s="10" t="s">
        <v>541</v>
      </c>
    </row>
    <row r="2415" spans="1:30" x14ac:dyDescent="0.2">
      <c r="A2415" s="110">
        <v>2414</v>
      </c>
      <c r="B2415" s="132">
        <v>41862</v>
      </c>
      <c r="C2415" s="117">
        <v>1</v>
      </c>
      <c r="D2415" s="103" t="s">
        <v>70</v>
      </c>
      <c r="E2415" s="103" t="s">
        <v>306</v>
      </c>
      <c r="H2415" s="103"/>
      <c r="I2415" s="103">
        <v>49</v>
      </c>
      <c r="K2415" s="103" t="s">
        <v>365</v>
      </c>
      <c r="L2415" s="133"/>
      <c r="M2415" s="134">
        <v>1.6666666666666666E-2</v>
      </c>
      <c r="N2415" s="137" t="s">
        <v>3983</v>
      </c>
      <c r="O2415" s="133" t="s">
        <v>555</v>
      </c>
      <c r="Q2415" s="100" t="s">
        <v>4162</v>
      </c>
      <c r="R2415" s="226" t="s">
        <v>4185</v>
      </c>
      <c r="S2415" s="491" t="str">
        <f t="shared" si="77"/>
        <v>x</v>
      </c>
      <c r="T2415" s="492" t="str">
        <f>IFERROR(VLOOKUP(F2415,'Freq-Chan'!C:D,2,FALSE),"x")</f>
        <v>x</v>
      </c>
      <c r="U2415" s="110" t="s">
        <v>541</v>
      </c>
      <c r="V2415" s="110" t="str">
        <f t="shared" si="78"/>
        <v>FWL</v>
      </c>
      <c r="W2415" s="110" t="s">
        <v>541</v>
      </c>
      <c r="X2415" s="110" t="s">
        <v>541</v>
      </c>
      <c r="Y2415" s="110" t="str">
        <f>IFERROR(VLOOKUP(F2415,'Freq-Chan'!C:E,3,FALSE),"na")</f>
        <v>na</v>
      </c>
      <c r="Z2415" s="110" t="s">
        <v>541</v>
      </c>
      <c r="AA2415" s="110" t="s">
        <v>541</v>
      </c>
      <c r="AB2415" s="110" t="s">
        <v>541</v>
      </c>
      <c r="AC2415" s="10" t="s">
        <v>541</v>
      </c>
      <c r="AD2415" s="10" t="s">
        <v>541</v>
      </c>
    </row>
    <row r="2416" spans="1:30" x14ac:dyDescent="0.2">
      <c r="A2416" s="110">
        <v>2415</v>
      </c>
      <c r="B2416" s="132">
        <v>41862</v>
      </c>
      <c r="C2416" s="117">
        <v>1</v>
      </c>
      <c r="D2416" s="103" t="s">
        <v>70</v>
      </c>
      <c r="E2416" s="103" t="s">
        <v>306</v>
      </c>
      <c r="H2416" s="103"/>
      <c r="I2416" s="103">
        <v>48</v>
      </c>
      <c r="K2416" s="103" t="s">
        <v>365</v>
      </c>
      <c r="L2416" s="133"/>
      <c r="M2416" s="134">
        <v>1.3194444444444444E-2</v>
      </c>
      <c r="N2416" s="137" t="s">
        <v>4175</v>
      </c>
      <c r="O2416" s="133" t="s">
        <v>555</v>
      </c>
      <c r="Q2416" s="100" t="s">
        <v>4162</v>
      </c>
      <c r="R2416" s="226" t="s">
        <v>4185</v>
      </c>
      <c r="S2416" s="491" t="str">
        <f t="shared" si="77"/>
        <v>x</v>
      </c>
      <c r="T2416" s="492" t="str">
        <f>IFERROR(VLOOKUP(F2416,'Freq-Chan'!C:D,2,FALSE),"x")</f>
        <v>x</v>
      </c>
      <c r="U2416" s="110" t="s">
        <v>541</v>
      </c>
      <c r="V2416" s="110" t="str">
        <f t="shared" si="78"/>
        <v>FWL</v>
      </c>
      <c r="W2416" s="110" t="s">
        <v>541</v>
      </c>
      <c r="X2416" s="110" t="s">
        <v>541</v>
      </c>
      <c r="Y2416" s="110" t="str">
        <f>IFERROR(VLOOKUP(F2416,'Freq-Chan'!C:E,3,FALSE),"na")</f>
        <v>na</v>
      </c>
      <c r="Z2416" s="110" t="s">
        <v>541</v>
      </c>
      <c r="AA2416" s="110" t="s">
        <v>541</v>
      </c>
      <c r="AB2416" s="110" t="s">
        <v>541</v>
      </c>
      <c r="AC2416" s="10" t="s">
        <v>541</v>
      </c>
      <c r="AD2416" s="10" t="s">
        <v>541</v>
      </c>
    </row>
    <row r="2417" spans="1:30" x14ac:dyDescent="0.2">
      <c r="A2417" s="110">
        <v>2416</v>
      </c>
      <c r="B2417" s="132">
        <v>41862</v>
      </c>
      <c r="C2417" s="117">
        <v>1</v>
      </c>
      <c r="D2417" s="103" t="s">
        <v>8</v>
      </c>
      <c r="E2417" s="103" t="s">
        <v>306</v>
      </c>
      <c r="F2417" s="103">
        <v>586</v>
      </c>
      <c r="G2417" s="103">
        <v>94</v>
      </c>
      <c r="H2417" s="103" t="s">
        <v>2247</v>
      </c>
      <c r="I2417" s="103">
        <v>51</v>
      </c>
      <c r="K2417" s="103" t="s">
        <v>1032</v>
      </c>
      <c r="L2417" s="133"/>
      <c r="M2417" s="134">
        <v>3.5416666666666666E-2</v>
      </c>
      <c r="N2417" s="137" t="s">
        <v>4103</v>
      </c>
      <c r="O2417" s="133" t="s">
        <v>1585</v>
      </c>
      <c r="Q2417" s="100" t="s">
        <v>4164</v>
      </c>
      <c r="R2417" s="226" t="s">
        <v>4185</v>
      </c>
      <c r="S2417" s="491" t="str">
        <f t="shared" si="77"/>
        <v>x</v>
      </c>
      <c r="T2417" s="492">
        <f>IFERROR(VLOOKUP(F2417,'Freq-Chan'!C:D,2,FALSE),"x")</f>
        <v>151.58600000000001</v>
      </c>
      <c r="U2417" s="110" t="s">
        <v>541</v>
      </c>
      <c r="V2417" s="110" t="str">
        <f t="shared" si="78"/>
        <v>FWL</v>
      </c>
      <c r="W2417" s="110" t="s">
        <v>541</v>
      </c>
      <c r="X2417" s="110" t="s">
        <v>541</v>
      </c>
      <c r="Y2417" s="110" t="str">
        <f>IFERROR(VLOOKUP(F2417,'Freq-Chan'!C:E,3,FALSE),"na")</f>
        <v>F1840</v>
      </c>
      <c r="Z2417" s="110" t="s">
        <v>541</v>
      </c>
      <c r="AA2417" s="110" t="s">
        <v>541</v>
      </c>
      <c r="AB2417" s="110" t="s">
        <v>541</v>
      </c>
      <c r="AC2417" s="10" t="s">
        <v>541</v>
      </c>
      <c r="AD2417" s="10" t="s">
        <v>541</v>
      </c>
    </row>
    <row r="2418" spans="1:30" x14ac:dyDescent="0.2">
      <c r="A2418" s="110">
        <v>2417</v>
      </c>
      <c r="B2418" s="132">
        <v>41862</v>
      </c>
      <c r="C2418" s="117">
        <v>1</v>
      </c>
      <c r="D2418" s="103" t="s">
        <v>72</v>
      </c>
      <c r="E2418" s="103" t="s">
        <v>306</v>
      </c>
      <c r="H2418" s="103"/>
      <c r="I2418" s="103">
        <v>50</v>
      </c>
      <c r="K2418" s="103" t="s">
        <v>364</v>
      </c>
      <c r="L2418" s="133"/>
      <c r="M2418" s="134">
        <v>1.8749999999999999E-2</v>
      </c>
      <c r="N2418" s="137" t="s">
        <v>4176</v>
      </c>
      <c r="O2418" s="133" t="s">
        <v>1585</v>
      </c>
      <c r="Q2418" s="100" t="s">
        <v>4164</v>
      </c>
      <c r="R2418" s="226" t="s">
        <v>4185</v>
      </c>
      <c r="S2418" s="491" t="str">
        <f t="shared" si="77"/>
        <v>x</v>
      </c>
      <c r="T2418" s="492" t="str">
        <f>IFERROR(VLOOKUP(F2418,'Freq-Chan'!C:D,2,FALSE),"x")</f>
        <v>x</v>
      </c>
      <c r="U2418" s="110" t="s">
        <v>541</v>
      </c>
      <c r="V2418" s="110" t="str">
        <f t="shared" si="78"/>
        <v>FWL</v>
      </c>
      <c r="W2418" s="110" t="s">
        <v>541</v>
      </c>
      <c r="X2418" s="110" t="s">
        <v>541</v>
      </c>
      <c r="Y2418" s="110" t="str">
        <f>IFERROR(VLOOKUP(F2418,'Freq-Chan'!C:E,3,FALSE),"na")</f>
        <v>na</v>
      </c>
      <c r="Z2418" s="110" t="s">
        <v>541</v>
      </c>
      <c r="AA2418" s="110" t="s">
        <v>541</v>
      </c>
      <c r="AB2418" s="110" t="s">
        <v>541</v>
      </c>
      <c r="AC2418" s="10" t="s">
        <v>541</v>
      </c>
      <c r="AD2418" s="10" t="s">
        <v>541</v>
      </c>
    </row>
    <row r="2419" spans="1:30" s="291" customFormat="1" x14ac:dyDescent="0.2">
      <c r="A2419" s="493">
        <v>2418</v>
      </c>
      <c r="B2419" s="283">
        <v>41862</v>
      </c>
      <c r="C2419" s="284">
        <v>1</v>
      </c>
      <c r="D2419" s="285" t="s">
        <v>72</v>
      </c>
      <c r="E2419" s="285" t="s">
        <v>306</v>
      </c>
      <c r="F2419" s="285"/>
      <c r="G2419" s="285"/>
      <c r="H2419" s="285"/>
      <c r="I2419" s="285">
        <v>50</v>
      </c>
      <c r="J2419" s="285"/>
      <c r="K2419" s="285" t="s">
        <v>364</v>
      </c>
      <c r="L2419" s="286"/>
      <c r="M2419" s="287">
        <v>1.0416666666666666E-2</v>
      </c>
      <c r="N2419" s="288" t="s">
        <v>2745</v>
      </c>
      <c r="O2419" s="286" t="s">
        <v>1532</v>
      </c>
      <c r="P2419" s="289"/>
      <c r="Q2419" s="289" t="s">
        <v>4164</v>
      </c>
      <c r="R2419" s="290" t="s">
        <v>4185</v>
      </c>
      <c r="S2419" s="494" t="str">
        <f t="shared" ref="S2419:S2481" si="79">IF(IF(OR(L2419=0,N2419=0),"x",ROUND(N2419-L2419-(M2419*24)/(24*60),10))&lt;0,0,IF(OR(L2419=0,N2419=0),"x",ROUND(N2419-L2419-(M2419*24)/(24*60),10)))</f>
        <v>x</v>
      </c>
      <c r="T2419" s="495" t="str">
        <f>IFERROR(VLOOKUP(F2419,'Freq-Chan'!C:D,2,FALSE),"x")</f>
        <v>x</v>
      </c>
      <c r="U2419" s="493" t="s">
        <v>541</v>
      </c>
      <c r="V2419" s="493" t="str">
        <f t="shared" ref="V2419:V2481" si="80">IF(OR(C2419=1,C2419=2,C2419=3),"FWL","NRD")</f>
        <v>FWL</v>
      </c>
      <c r="W2419" s="493" t="s">
        <v>541</v>
      </c>
      <c r="X2419" s="493" t="s">
        <v>541</v>
      </c>
      <c r="Y2419" s="493" t="str">
        <f>IFERROR(VLOOKUP(F2419,'Freq-Chan'!C:E,3,FALSE),"na")</f>
        <v>na</v>
      </c>
      <c r="Z2419" s="493" t="s">
        <v>541</v>
      </c>
      <c r="AA2419" s="493" t="s">
        <v>541</v>
      </c>
      <c r="AB2419" s="493" t="s">
        <v>541</v>
      </c>
      <c r="AC2419" s="291" t="s">
        <v>541</v>
      </c>
      <c r="AD2419" s="291" t="s">
        <v>541</v>
      </c>
    </row>
    <row r="2420" spans="1:30" x14ac:dyDescent="0.2">
      <c r="A2420" s="110">
        <v>2419</v>
      </c>
      <c r="B2420" s="132">
        <v>41862</v>
      </c>
      <c r="C2420" s="117">
        <v>2</v>
      </c>
      <c r="D2420" s="103" t="s">
        <v>71</v>
      </c>
      <c r="E2420" s="103" t="s">
        <v>306</v>
      </c>
      <c r="F2420" s="103">
        <v>534</v>
      </c>
      <c r="G2420" s="103">
        <v>37</v>
      </c>
      <c r="H2420" s="103" t="s">
        <v>2434</v>
      </c>
      <c r="I2420" s="103">
        <v>52</v>
      </c>
      <c r="K2420" s="103" t="s">
        <v>1032</v>
      </c>
      <c r="L2420" s="133"/>
      <c r="M2420" s="134">
        <v>5.9027777777777783E-2</v>
      </c>
      <c r="N2420" s="135" t="s">
        <v>2892</v>
      </c>
      <c r="O2420" s="133" t="s">
        <v>1888</v>
      </c>
      <c r="Q2420" s="100" t="s">
        <v>4162</v>
      </c>
      <c r="R2420" s="226" t="s">
        <v>4185</v>
      </c>
      <c r="S2420" s="491" t="str">
        <f t="shared" si="79"/>
        <v>x</v>
      </c>
      <c r="T2420" s="492">
        <f>IFERROR(VLOOKUP(F2420,'Freq-Chan'!C:D,2,FALSE),"x")</f>
        <v>151.53399999999999</v>
      </c>
      <c r="U2420" s="110" t="s">
        <v>541</v>
      </c>
      <c r="V2420" s="110" t="str">
        <f t="shared" si="80"/>
        <v>FWL</v>
      </c>
      <c r="W2420" s="110" t="s">
        <v>541</v>
      </c>
      <c r="X2420" s="110" t="s">
        <v>541</v>
      </c>
      <c r="Y2420" s="110" t="str">
        <f>IFERROR(VLOOKUP(F2420,'Freq-Chan'!C:E,3,FALSE),"na")</f>
        <v>F1840</v>
      </c>
      <c r="Z2420" s="110" t="s">
        <v>541</v>
      </c>
      <c r="AA2420" s="110" t="s">
        <v>541</v>
      </c>
      <c r="AB2420" s="110" t="s">
        <v>541</v>
      </c>
      <c r="AC2420" s="10" t="s">
        <v>541</v>
      </c>
      <c r="AD2420" s="10" t="s">
        <v>541</v>
      </c>
    </row>
    <row r="2421" spans="1:30" x14ac:dyDescent="0.2">
      <c r="A2421" s="110">
        <v>2420</v>
      </c>
      <c r="B2421" s="132">
        <v>41862</v>
      </c>
      <c r="C2421" s="117">
        <v>2</v>
      </c>
      <c r="D2421" s="103" t="s">
        <v>71</v>
      </c>
      <c r="E2421" s="103" t="s">
        <v>306</v>
      </c>
      <c r="H2421" s="103"/>
      <c r="I2421" s="103">
        <v>53</v>
      </c>
      <c r="K2421" s="103" t="s">
        <v>365</v>
      </c>
      <c r="L2421" s="133"/>
      <c r="M2421" s="134">
        <v>1.9444444444444445E-2</v>
      </c>
      <c r="N2421" s="135" t="s">
        <v>2754</v>
      </c>
      <c r="O2421" s="133" t="s">
        <v>1888</v>
      </c>
      <c r="Q2421" s="100" t="s">
        <v>4162</v>
      </c>
      <c r="R2421" s="226" t="s">
        <v>4185</v>
      </c>
      <c r="S2421" s="491" t="str">
        <f t="shared" si="79"/>
        <v>x</v>
      </c>
      <c r="T2421" s="492" t="str">
        <f>IFERROR(VLOOKUP(F2421,'Freq-Chan'!C:D,2,FALSE),"x")</f>
        <v>x</v>
      </c>
      <c r="U2421" s="110" t="s">
        <v>541</v>
      </c>
      <c r="V2421" s="110" t="str">
        <f t="shared" si="80"/>
        <v>FWL</v>
      </c>
      <c r="W2421" s="110" t="s">
        <v>541</v>
      </c>
      <c r="X2421" s="110" t="s">
        <v>541</v>
      </c>
      <c r="Y2421" s="110" t="str">
        <f>IFERROR(VLOOKUP(F2421,'Freq-Chan'!C:E,3,FALSE),"na")</f>
        <v>na</v>
      </c>
      <c r="Z2421" s="110" t="s">
        <v>541</v>
      </c>
      <c r="AA2421" s="110" t="s">
        <v>541</v>
      </c>
      <c r="AB2421" s="110" t="s">
        <v>541</v>
      </c>
      <c r="AC2421" s="10" t="s">
        <v>541</v>
      </c>
      <c r="AD2421" s="10" t="s">
        <v>541</v>
      </c>
    </row>
    <row r="2422" spans="1:30" x14ac:dyDescent="0.2">
      <c r="A2422" s="110">
        <v>2421</v>
      </c>
      <c r="B2422" s="132">
        <v>41862</v>
      </c>
      <c r="C2422" s="117">
        <v>2</v>
      </c>
      <c r="D2422" s="103" t="s">
        <v>71</v>
      </c>
      <c r="E2422" s="103" t="s">
        <v>306</v>
      </c>
      <c r="H2422" s="103"/>
      <c r="I2422" s="103">
        <v>58</v>
      </c>
      <c r="K2422" s="103" t="s">
        <v>364</v>
      </c>
      <c r="L2422" s="133">
        <v>0.41250000000000003</v>
      </c>
      <c r="M2422" s="134">
        <v>2.361111111111111E-2</v>
      </c>
      <c r="N2422" s="135" t="s">
        <v>3386</v>
      </c>
      <c r="O2422" s="133" t="s">
        <v>1888</v>
      </c>
      <c r="Q2422" s="100" t="s">
        <v>4162</v>
      </c>
      <c r="R2422" s="226" t="s">
        <v>4185</v>
      </c>
      <c r="S2422" s="491">
        <f t="shared" si="79"/>
        <v>2.3842592999999998E-3</v>
      </c>
      <c r="T2422" s="492" t="str">
        <f>IFERROR(VLOOKUP(F2422,'Freq-Chan'!C:D,2,FALSE),"x")</f>
        <v>x</v>
      </c>
      <c r="U2422" s="110" t="s">
        <v>541</v>
      </c>
      <c r="V2422" s="110" t="str">
        <f t="shared" si="80"/>
        <v>FWL</v>
      </c>
      <c r="W2422" s="110" t="s">
        <v>541</v>
      </c>
      <c r="X2422" s="110" t="s">
        <v>541</v>
      </c>
      <c r="Y2422" s="110" t="str">
        <f>IFERROR(VLOOKUP(F2422,'Freq-Chan'!C:E,3,FALSE),"na")</f>
        <v>na</v>
      </c>
      <c r="Z2422" s="110" t="s">
        <v>541</v>
      </c>
      <c r="AA2422" s="110" t="s">
        <v>541</v>
      </c>
      <c r="AB2422" s="110" t="s">
        <v>541</v>
      </c>
      <c r="AC2422" s="10" t="s">
        <v>541</v>
      </c>
      <c r="AD2422" s="10" t="s">
        <v>541</v>
      </c>
    </row>
    <row r="2423" spans="1:30" x14ac:dyDescent="0.2">
      <c r="A2423" s="110">
        <v>2422</v>
      </c>
      <c r="B2423" s="132">
        <v>41862</v>
      </c>
      <c r="C2423" s="117">
        <v>2</v>
      </c>
      <c r="D2423" s="103" t="s">
        <v>71</v>
      </c>
      <c r="E2423" s="103" t="s">
        <v>306</v>
      </c>
      <c r="H2423" s="103"/>
      <c r="I2423" s="103">
        <v>58</v>
      </c>
      <c r="K2423" s="103" t="s">
        <v>1032</v>
      </c>
      <c r="L2423" s="133"/>
      <c r="M2423" s="134">
        <v>2.013888888888889E-2</v>
      </c>
      <c r="N2423" s="135" t="s">
        <v>3773</v>
      </c>
      <c r="O2423" s="133" t="s">
        <v>1888</v>
      </c>
      <c r="Q2423" s="100" t="s">
        <v>4162</v>
      </c>
      <c r="R2423" s="226" t="s">
        <v>4185</v>
      </c>
      <c r="S2423" s="491" t="str">
        <f t="shared" si="79"/>
        <v>x</v>
      </c>
      <c r="T2423" s="492" t="str">
        <f>IFERROR(VLOOKUP(F2423,'Freq-Chan'!C:D,2,FALSE),"x")</f>
        <v>x</v>
      </c>
      <c r="U2423" s="110" t="s">
        <v>541</v>
      </c>
      <c r="V2423" s="110" t="str">
        <f t="shared" si="80"/>
        <v>FWL</v>
      </c>
      <c r="W2423" s="110" t="s">
        <v>541</v>
      </c>
      <c r="X2423" s="110" t="s">
        <v>541</v>
      </c>
      <c r="Y2423" s="110" t="str">
        <f>IFERROR(VLOOKUP(F2423,'Freq-Chan'!C:E,3,FALSE),"na")</f>
        <v>na</v>
      </c>
      <c r="Z2423" s="110" t="s">
        <v>541</v>
      </c>
      <c r="AA2423" s="110" t="s">
        <v>541</v>
      </c>
      <c r="AB2423" s="110" t="s">
        <v>541</v>
      </c>
      <c r="AC2423" s="10" t="s">
        <v>541</v>
      </c>
      <c r="AD2423" s="10" t="s">
        <v>541</v>
      </c>
    </row>
    <row r="2424" spans="1:30" x14ac:dyDescent="0.2">
      <c r="A2424" s="110">
        <v>2423</v>
      </c>
      <c r="B2424" s="132">
        <v>41862</v>
      </c>
      <c r="C2424" s="117">
        <v>2</v>
      </c>
      <c r="D2424" s="103" t="s">
        <v>70</v>
      </c>
      <c r="E2424" s="103" t="s">
        <v>306</v>
      </c>
      <c r="F2424" s="103">
        <v>596</v>
      </c>
      <c r="G2424" s="103">
        <v>28</v>
      </c>
      <c r="H2424" s="103" t="s">
        <v>3121</v>
      </c>
      <c r="I2424" s="103">
        <v>45</v>
      </c>
      <c r="K2424" s="103" t="s">
        <v>1032</v>
      </c>
      <c r="L2424" s="133"/>
      <c r="M2424" s="134">
        <v>5.347222222222222E-2</v>
      </c>
      <c r="N2424" s="135" t="s">
        <v>3484</v>
      </c>
      <c r="O2424" s="133" t="s">
        <v>555</v>
      </c>
      <c r="Q2424" s="100" t="s">
        <v>4162</v>
      </c>
      <c r="R2424" s="226" t="s">
        <v>4185</v>
      </c>
      <c r="S2424" s="491" t="str">
        <f t="shared" si="79"/>
        <v>x</v>
      </c>
      <c r="T2424" s="492">
        <f>IFERROR(VLOOKUP(F2424,'Freq-Chan'!C:D,2,FALSE),"x")</f>
        <v>151.596</v>
      </c>
      <c r="U2424" s="110" t="s">
        <v>541</v>
      </c>
      <c r="V2424" s="110" t="str">
        <f t="shared" si="80"/>
        <v>FWL</v>
      </c>
      <c r="W2424" s="110" t="s">
        <v>541</v>
      </c>
      <c r="X2424" s="110" t="s">
        <v>541</v>
      </c>
      <c r="Y2424" s="110" t="str">
        <f>IFERROR(VLOOKUP(F2424,'Freq-Chan'!C:E,3,FALSE),"na")</f>
        <v>F1835</v>
      </c>
      <c r="Z2424" s="110" t="s">
        <v>541</v>
      </c>
      <c r="AA2424" s="110" t="s">
        <v>541</v>
      </c>
      <c r="AB2424" s="110" t="s">
        <v>541</v>
      </c>
      <c r="AC2424" s="10" t="s">
        <v>541</v>
      </c>
      <c r="AD2424" s="10" t="s">
        <v>541</v>
      </c>
    </row>
    <row r="2425" spans="1:30" x14ac:dyDescent="0.2">
      <c r="A2425" s="110">
        <v>2424</v>
      </c>
      <c r="B2425" s="132">
        <v>41862</v>
      </c>
      <c r="C2425" s="117">
        <v>2</v>
      </c>
      <c r="D2425" s="103" t="s">
        <v>71</v>
      </c>
      <c r="E2425" s="103" t="s">
        <v>306</v>
      </c>
      <c r="F2425" s="103">
        <v>534</v>
      </c>
      <c r="G2425" s="103">
        <v>30</v>
      </c>
      <c r="H2425" s="103" t="s">
        <v>2435</v>
      </c>
      <c r="I2425" s="103">
        <v>65</v>
      </c>
      <c r="K2425" s="103" t="s">
        <v>1032</v>
      </c>
      <c r="L2425" s="133"/>
      <c r="M2425" s="134">
        <v>5.9027777777777783E-2</v>
      </c>
      <c r="N2425" s="135" t="s">
        <v>4085</v>
      </c>
      <c r="O2425" s="133" t="s">
        <v>1532</v>
      </c>
      <c r="Q2425" s="100" t="s">
        <v>4168</v>
      </c>
      <c r="R2425" s="226" t="s">
        <v>4185</v>
      </c>
      <c r="S2425" s="491" t="str">
        <f t="shared" si="79"/>
        <v>x</v>
      </c>
      <c r="T2425" s="492">
        <f>IFERROR(VLOOKUP(F2425,'Freq-Chan'!C:D,2,FALSE),"x")</f>
        <v>151.53399999999999</v>
      </c>
      <c r="U2425" s="110" t="s">
        <v>541</v>
      </c>
      <c r="V2425" s="110" t="str">
        <f t="shared" si="80"/>
        <v>FWL</v>
      </c>
      <c r="W2425" s="110" t="s">
        <v>541</v>
      </c>
      <c r="X2425" s="110" t="s">
        <v>541</v>
      </c>
      <c r="Y2425" s="110" t="str">
        <f>IFERROR(VLOOKUP(F2425,'Freq-Chan'!C:E,3,FALSE),"na")</f>
        <v>F1840</v>
      </c>
      <c r="Z2425" s="110" t="s">
        <v>541</v>
      </c>
      <c r="AA2425" s="110" t="s">
        <v>541</v>
      </c>
      <c r="AB2425" s="110" t="s">
        <v>541</v>
      </c>
      <c r="AC2425" s="10" t="s">
        <v>541</v>
      </c>
      <c r="AD2425" s="10" t="s">
        <v>541</v>
      </c>
    </row>
    <row r="2426" spans="1:30" x14ac:dyDescent="0.2">
      <c r="A2426" s="110">
        <v>2425</v>
      </c>
      <c r="B2426" s="132">
        <v>41862</v>
      </c>
      <c r="C2426" s="117">
        <v>2</v>
      </c>
      <c r="D2426" s="103" t="s">
        <v>71</v>
      </c>
      <c r="E2426" s="103" t="s">
        <v>306</v>
      </c>
      <c r="H2426" s="103"/>
      <c r="I2426" s="103">
        <v>60</v>
      </c>
      <c r="K2426" s="103" t="s">
        <v>1032</v>
      </c>
      <c r="L2426" s="133"/>
      <c r="M2426" s="134">
        <v>1.9444444444444445E-2</v>
      </c>
      <c r="N2426" s="137" t="s">
        <v>1668</v>
      </c>
      <c r="O2426" s="133" t="s">
        <v>1532</v>
      </c>
      <c r="Q2426" s="100" t="s">
        <v>4168</v>
      </c>
      <c r="R2426" s="226" t="s">
        <v>4185</v>
      </c>
      <c r="S2426" s="491" t="str">
        <f t="shared" si="79"/>
        <v>x</v>
      </c>
      <c r="T2426" s="492" t="str">
        <f>IFERROR(VLOOKUP(F2426,'Freq-Chan'!C:D,2,FALSE),"x")</f>
        <v>x</v>
      </c>
      <c r="U2426" s="110" t="s">
        <v>541</v>
      </c>
      <c r="V2426" s="110" t="str">
        <f t="shared" si="80"/>
        <v>FWL</v>
      </c>
      <c r="W2426" s="110" t="s">
        <v>541</v>
      </c>
      <c r="X2426" s="110" t="s">
        <v>541</v>
      </c>
      <c r="Y2426" s="110" t="str">
        <f>IFERROR(VLOOKUP(F2426,'Freq-Chan'!C:E,3,FALSE),"na")</f>
        <v>na</v>
      </c>
      <c r="Z2426" s="110" t="s">
        <v>541</v>
      </c>
      <c r="AA2426" s="110" t="s">
        <v>541</v>
      </c>
      <c r="AB2426" s="110" t="s">
        <v>541</v>
      </c>
      <c r="AC2426" s="10" t="s">
        <v>541</v>
      </c>
      <c r="AD2426" s="10" t="s">
        <v>541</v>
      </c>
    </row>
    <row r="2427" spans="1:30" x14ac:dyDescent="0.2">
      <c r="A2427" s="110">
        <v>2426</v>
      </c>
      <c r="B2427" s="132">
        <v>41862</v>
      </c>
      <c r="C2427" s="117">
        <v>2</v>
      </c>
      <c r="D2427" s="103" t="s">
        <v>71</v>
      </c>
      <c r="E2427" s="103" t="s">
        <v>306</v>
      </c>
      <c r="H2427" s="103"/>
      <c r="I2427" s="103">
        <v>64</v>
      </c>
      <c r="K2427" s="103" t="s">
        <v>365</v>
      </c>
      <c r="L2427" s="133"/>
      <c r="M2427" s="134">
        <v>2.6388888888888889E-2</v>
      </c>
      <c r="N2427" s="135" t="s">
        <v>3882</v>
      </c>
      <c r="O2427" s="133" t="s">
        <v>1532</v>
      </c>
      <c r="Q2427" s="100" t="s">
        <v>4168</v>
      </c>
      <c r="R2427" s="226" t="s">
        <v>4185</v>
      </c>
      <c r="S2427" s="491" t="str">
        <f t="shared" si="79"/>
        <v>x</v>
      </c>
      <c r="T2427" s="492" t="str">
        <f>IFERROR(VLOOKUP(F2427,'Freq-Chan'!C:D,2,FALSE),"x")</f>
        <v>x</v>
      </c>
      <c r="U2427" s="110" t="s">
        <v>541</v>
      </c>
      <c r="V2427" s="110" t="str">
        <f t="shared" si="80"/>
        <v>FWL</v>
      </c>
      <c r="W2427" s="110" t="s">
        <v>541</v>
      </c>
      <c r="X2427" s="110" t="s">
        <v>541</v>
      </c>
      <c r="Y2427" s="110" t="str">
        <f>IFERROR(VLOOKUP(F2427,'Freq-Chan'!C:E,3,FALSE),"na")</f>
        <v>na</v>
      </c>
      <c r="Z2427" s="110" t="s">
        <v>541</v>
      </c>
      <c r="AA2427" s="110" t="s">
        <v>541</v>
      </c>
      <c r="AB2427" s="110" t="s">
        <v>541</v>
      </c>
      <c r="AC2427" s="10" t="s">
        <v>541</v>
      </c>
      <c r="AD2427" s="10" t="s">
        <v>541</v>
      </c>
    </row>
    <row r="2428" spans="1:30" x14ac:dyDescent="0.2">
      <c r="A2428" s="110">
        <v>2427</v>
      </c>
      <c r="B2428" s="132">
        <v>41862</v>
      </c>
      <c r="C2428" s="117">
        <v>2</v>
      </c>
      <c r="D2428" s="103" t="s">
        <v>71</v>
      </c>
      <c r="E2428" s="103" t="s">
        <v>306</v>
      </c>
      <c r="H2428" s="103"/>
      <c r="I2428" s="103">
        <v>53</v>
      </c>
      <c r="K2428" s="103" t="s">
        <v>1032</v>
      </c>
      <c r="L2428" s="133"/>
      <c r="M2428" s="134">
        <v>2.1527777777777781E-2</v>
      </c>
      <c r="N2428" s="135" t="s">
        <v>1579</v>
      </c>
      <c r="O2428" s="133" t="s">
        <v>1532</v>
      </c>
      <c r="Q2428" s="100" t="s">
        <v>4168</v>
      </c>
      <c r="R2428" s="226" t="s">
        <v>4185</v>
      </c>
      <c r="S2428" s="491" t="str">
        <f t="shared" si="79"/>
        <v>x</v>
      </c>
      <c r="T2428" s="492" t="str">
        <f>IFERROR(VLOOKUP(F2428,'Freq-Chan'!C:D,2,FALSE),"x")</f>
        <v>x</v>
      </c>
      <c r="U2428" s="110" t="s">
        <v>541</v>
      </c>
      <c r="V2428" s="110" t="str">
        <f t="shared" si="80"/>
        <v>FWL</v>
      </c>
      <c r="W2428" s="110" t="s">
        <v>541</v>
      </c>
      <c r="X2428" s="110" t="s">
        <v>541</v>
      </c>
      <c r="Y2428" s="110" t="str">
        <f>IFERROR(VLOOKUP(F2428,'Freq-Chan'!C:E,3,FALSE),"na")</f>
        <v>na</v>
      </c>
      <c r="Z2428" s="110" t="s">
        <v>541</v>
      </c>
      <c r="AA2428" s="110" t="s">
        <v>541</v>
      </c>
      <c r="AB2428" s="110" t="s">
        <v>541</v>
      </c>
      <c r="AC2428" s="10" t="s">
        <v>541</v>
      </c>
      <c r="AD2428" s="10" t="s">
        <v>541</v>
      </c>
    </row>
    <row r="2429" spans="1:30" x14ac:dyDescent="0.2">
      <c r="A2429" s="110">
        <v>2428</v>
      </c>
      <c r="B2429" s="132">
        <v>41862</v>
      </c>
      <c r="C2429" s="117">
        <v>2</v>
      </c>
      <c r="D2429" s="103" t="s">
        <v>71</v>
      </c>
      <c r="E2429" s="103" t="s">
        <v>306</v>
      </c>
      <c r="H2429" s="103"/>
      <c r="I2429" s="103">
        <v>59</v>
      </c>
      <c r="K2429" s="103" t="s">
        <v>1032</v>
      </c>
      <c r="L2429" s="133"/>
      <c r="M2429" s="134">
        <v>2.013888888888889E-2</v>
      </c>
      <c r="N2429" s="135" t="s">
        <v>879</v>
      </c>
      <c r="O2429" s="133" t="s">
        <v>1532</v>
      </c>
      <c r="Q2429" s="100" t="s">
        <v>4168</v>
      </c>
      <c r="R2429" s="226" t="s">
        <v>4185</v>
      </c>
      <c r="S2429" s="491" t="str">
        <f t="shared" si="79"/>
        <v>x</v>
      </c>
      <c r="T2429" s="492" t="str">
        <f>IFERROR(VLOOKUP(F2429,'Freq-Chan'!C:D,2,FALSE),"x")</f>
        <v>x</v>
      </c>
      <c r="U2429" s="110" t="s">
        <v>541</v>
      </c>
      <c r="V2429" s="110" t="str">
        <f t="shared" si="80"/>
        <v>FWL</v>
      </c>
      <c r="W2429" s="110" t="s">
        <v>541</v>
      </c>
      <c r="X2429" s="110" t="s">
        <v>541</v>
      </c>
      <c r="Y2429" s="110" t="str">
        <f>IFERROR(VLOOKUP(F2429,'Freq-Chan'!C:E,3,FALSE),"na")</f>
        <v>na</v>
      </c>
      <c r="Z2429" s="110" t="s">
        <v>541</v>
      </c>
      <c r="AA2429" s="110" t="s">
        <v>541</v>
      </c>
      <c r="AB2429" s="110" t="s">
        <v>541</v>
      </c>
      <c r="AC2429" s="10" t="s">
        <v>541</v>
      </c>
      <c r="AD2429" s="10" t="s">
        <v>541</v>
      </c>
    </row>
    <row r="2430" spans="1:30" x14ac:dyDescent="0.2">
      <c r="A2430" s="110">
        <v>2429</v>
      </c>
      <c r="B2430" s="132">
        <v>41862</v>
      </c>
      <c r="C2430" s="117">
        <v>2</v>
      </c>
      <c r="D2430" s="103" t="s">
        <v>71</v>
      </c>
      <c r="E2430" s="103" t="s">
        <v>306</v>
      </c>
      <c r="H2430" s="103"/>
      <c r="I2430" s="103">
        <v>64</v>
      </c>
      <c r="K2430" s="103" t="s">
        <v>365</v>
      </c>
      <c r="L2430" s="133"/>
      <c r="M2430" s="134">
        <v>1.8749999999999999E-2</v>
      </c>
      <c r="N2430" s="135" t="s">
        <v>4126</v>
      </c>
      <c r="O2430" s="133" t="s">
        <v>1532</v>
      </c>
      <c r="Q2430" s="100" t="s">
        <v>4168</v>
      </c>
      <c r="R2430" s="226" t="s">
        <v>4185</v>
      </c>
      <c r="S2430" s="491" t="str">
        <f t="shared" si="79"/>
        <v>x</v>
      </c>
      <c r="T2430" s="492" t="str">
        <f>IFERROR(VLOOKUP(F2430,'Freq-Chan'!C:D,2,FALSE),"x")</f>
        <v>x</v>
      </c>
      <c r="U2430" s="110" t="s">
        <v>541</v>
      </c>
      <c r="V2430" s="110" t="str">
        <f t="shared" si="80"/>
        <v>FWL</v>
      </c>
      <c r="W2430" s="110" t="s">
        <v>541</v>
      </c>
      <c r="X2430" s="110" t="s">
        <v>541</v>
      </c>
      <c r="Y2430" s="110" t="str">
        <f>IFERROR(VLOOKUP(F2430,'Freq-Chan'!C:E,3,FALSE),"na")</f>
        <v>na</v>
      </c>
      <c r="Z2430" s="110" t="s">
        <v>541</v>
      </c>
      <c r="AA2430" s="110" t="s">
        <v>541</v>
      </c>
      <c r="AB2430" s="110" t="s">
        <v>541</v>
      </c>
      <c r="AC2430" s="10" t="s">
        <v>541</v>
      </c>
      <c r="AD2430" s="10" t="s">
        <v>541</v>
      </c>
    </row>
    <row r="2431" spans="1:30" x14ac:dyDescent="0.2">
      <c r="A2431" s="110">
        <v>2430</v>
      </c>
      <c r="B2431" s="132">
        <v>41862</v>
      </c>
      <c r="C2431" s="117">
        <v>2</v>
      </c>
      <c r="D2431" s="103" t="s">
        <v>71</v>
      </c>
      <c r="E2431" s="103" t="s">
        <v>306</v>
      </c>
      <c r="H2431" s="103"/>
      <c r="I2431" s="103">
        <v>62</v>
      </c>
      <c r="K2431" s="103" t="s">
        <v>365</v>
      </c>
      <c r="L2431" s="133"/>
      <c r="M2431" s="134">
        <v>1.9444444444444445E-2</v>
      </c>
      <c r="N2431" s="137" t="s">
        <v>3313</v>
      </c>
      <c r="O2431" s="133" t="s">
        <v>1532</v>
      </c>
      <c r="Q2431" s="100" t="s">
        <v>4168</v>
      </c>
      <c r="R2431" s="226" t="s">
        <v>4185</v>
      </c>
      <c r="S2431" s="491" t="str">
        <f t="shared" si="79"/>
        <v>x</v>
      </c>
      <c r="T2431" s="492" t="str">
        <f>IFERROR(VLOOKUP(F2431,'Freq-Chan'!C:D,2,FALSE),"x")</f>
        <v>x</v>
      </c>
      <c r="U2431" s="110" t="s">
        <v>541</v>
      </c>
      <c r="V2431" s="110" t="str">
        <f t="shared" si="80"/>
        <v>FWL</v>
      </c>
      <c r="W2431" s="110" t="s">
        <v>541</v>
      </c>
      <c r="X2431" s="110" t="s">
        <v>541</v>
      </c>
      <c r="Y2431" s="110" t="str">
        <f>IFERROR(VLOOKUP(F2431,'Freq-Chan'!C:E,3,FALSE),"na")</f>
        <v>na</v>
      </c>
      <c r="Z2431" s="110" t="s">
        <v>541</v>
      </c>
      <c r="AA2431" s="110" t="s">
        <v>541</v>
      </c>
      <c r="AB2431" s="110" t="s">
        <v>541</v>
      </c>
      <c r="AC2431" s="10" t="s">
        <v>541</v>
      </c>
      <c r="AD2431" s="10" t="s">
        <v>541</v>
      </c>
    </row>
    <row r="2432" spans="1:30" x14ac:dyDescent="0.2">
      <c r="A2432" s="110">
        <v>2431</v>
      </c>
      <c r="B2432" s="132">
        <v>41862</v>
      </c>
      <c r="C2432" s="117">
        <v>2</v>
      </c>
      <c r="D2432" s="103" t="s">
        <v>71</v>
      </c>
      <c r="E2432" s="103" t="s">
        <v>306</v>
      </c>
      <c r="H2432" s="103"/>
      <c r="I2432" s="103">
        <v>62</v>
      </c>
      <c r="K2432" s="103" t="s">
        <v>365</v>
      </c>
      <c r="L2432" s="133"/>
      <c r="M2432" s="134">
        <v>2.361111111111111E-2</v>
      </c>
      <c r="N2432" s="137" t="s">
        <v>2543</v>
      </c>
      <c r="O2432" s="133" t="s">
        <v>1585</v>
      </c>
      <c r="Q2432" s="100" t="s">
        <v>4168</v>
      </c>
      <c r="R2432" s="226" t="s">
        <v>4185</v>
      </c>
      <c r="S2432" s="491" t="str">
        <f t="shared" si="79"/>
        <v>x</v>
      </c>
      <c r="T2432" s="492" t="str">
        <f>IFERROR(VLOOKUP(F2432,'Freq-Chan'!C:D,2,FALSE),"x")</f>
        <v>x</v>
      </c>
      <c r="U2432" s="110" t="s">
        <v>541</v>
      </c>
      <c r="V2432" s="110" t="str">
        <f t="shared" si="80"/>
        <v>FWL</v>
      </c>
      <c r="W2432" s="110" t="s">
        <v>541</v>
      </c>
      <c r="X2432" s="110" t="s">
        <v>541</v>
      </c>
      <c r="Y2432" s="110" t="str">
        <f>IFERROR(VLOOKUP(F2432,'Freq-Chan'!C:E,3,FALSE),"na")</f>
        <v>na</v>
      </c>
      <c r="Z2432" s="110" t="s">
        <v>541</v>
      </c>
      <c r="AA2432" s="110" t="s">
        <v>541</v>
      </c>
      <c r="AB2432" s="110" t="s">
        <v>541</v>
      </c>
      <c r="AC2432" s="10" t="s">
        <v>541</v>
      </c>
      <c r="AD2432" s="10" t="s">
        <v>541</v>
      </c>
    </row>
    <row r="2433" spans="1:30" x14ac:dyDescent="0.2">
      <c r="A2433" s="110">
        <v>2432</v>
      </c>
      <c r="B2433" s="132">
        <v>41862</v>
      </c>
      <c r="C2433" s="117">
        <v>2</v>
      </c>
      <c r="D2433" s="103" t="s">
        <v>70</v>
      </c>
      <c r="E2433" s="103" t="s">
        <v>306</v>
      </c>
      <c r="F2433" s="103">
        <v>596</v>
      </c>
      <c r="G2433" s="103">
        <v>41</v>
      </c>
      <c r="H2433" s="103" t="s">
        <v>3122</v>
      </c>
      <c r="I2433" s="103">
        <v>45</v>
      </c>
      <c r="K2433" s="103" t="s">
        <v>365</v>
      </c>
      <c r="L2433" s="133"/>
      <c r="M2433" s="134">
        <v>4.027777777777778E-2</v>
      </c>
      <c r="N2433" s="135" t="s">
        <v>719</v>
      </c>
      <c r="O2433" s="133" t="s">
        <v>1532</v>
      </c>
      <c r="Q2433" s="100" t="s">
        <v>4168</v>
      </c>
      <c r="R2433" s="226" t="s">
        <v>4185</v>
      </c>
      <c r="S2433" s="491" t="str">
        <f t="shared" si="79"/>
        <v>x</v>
      </c>
      <c r="T2433" s="492">
        <f>IFERROR(VLOOKUP(F2433,'Freq-Chan'!C:D,2,FALSE),"x")</f>
        <v>151.596</v>
      </c>
      <c r="U2433" s="110" t="s">
        <v>541</v>
      </c>
      <c r="V2433" s="110" t="str">
        <f t="shared" si="80"/>
        <v>FWL</v>
      </c>
      <c r="W2433" s="110" t="s">
        <v>541</v>
      </c>
      <c r="X2433" s="110" t="s">
        <v>541</v>
      </c>
      <c r="Y2433" s="110" t="str">
        <f>IFERROR(VLOOKUP(F2433,'Freq-Chan'!C:E,3,FALSE),"na")</f>
        <v>F1835</v>
      </c>
      <c r="Z2433" s="110" t="s">
        <v>541</v>
      </c>
      <c r="AA2433" s="110" t="s">
        <v>541</v>
      </c>
      <c r="AB2433" s="110" t="s">
        <v>541</v>
      </c>
      <c r="AC2433" s="10" t="s">
        <v>541</v>
      </c>
      <c r="AD2433" s="10" t="s">
        <v>541</v>
      </c>
    </row>
    <row r="2434" spans="1:30" s="291" customFormat="1" x14ac:dyDescent="0.2">
      <c r="A2434" s="493">
        <v>2433</v>
      </c>
      <c r="B2434" s="283">
        <v>41862</v>
      </c>
      <c r="C2434" s="284">
        <v>2</v>
      </c>
      <c r="D2434" s="285" t="s">
        <v>71</v>
      </c>
      <c r="E2434" s="285" t="s">
        <v>306</v>
      </c>
      <c r="F2434" s="285"/>
      <c r="G2434" s="285"/>
      <c r="H2434" s="285"/>
      <c r="I2434" s="285">
        <v>56</v>
      </c>
      <c r="J2434" s="285"/>
      <c r="K2434" s="285" t="s">
        <v>365</v>
      </c>
      <c r="L2434" s="286"/>
      <c r="M2434" s="287">
        <v>1.3888888888888888E-2</v>
      </c>
      <c r="N2434" s="288" t="s">
        <v>3832</v>
      </c>
      <c r="O2434" s="286" t="s">
        <v>1585</v>
      </c>
      <c r="P2434" s="289"/>
      <c r="Q2434" s="289" t="s">
        <v>4168</v>
      </c>
      <c r="R2434" s="290" t="s">
        <v>4185</v>
      </c>
      <c r="S2434" s="494" t="str">
        <f t="shared" si="79"/>
        <v>x</v>
      </c>
      <c r="T2434" s="495" t="str">
        <f>IFERROR(VLOOKUP(F2434,'Freq-Chan'!C:D,2,FALSE),"x")</f>
        <v>x</v>
      </c>
      <c r="U2434" s="493" t="s">
        <v>541</v>
      </c>
      <c r="V2434" s="493" t="str">
        <f t="shared" si="80"/>
        <v>FWL</v>
      </c>
      <c r="W2434" s="493" t="s">
        <v>541</v>
      </c>
      <c r="X2434" s="493" t="s">
        <v>541</v>
      </c>
      <c r="Y2434" s="493" t="str">
        <f>IFERROR(VLOOKUP(F2434,'Freq-Chan'!C:E,3,FALSE),"na")</f>
        <v>na</v>
      </c>
      <c r="Z2434" s="493" t="s">
        <v>541</v>
      </c>
      <c r="AA2434" s="493" t="s">
        <v>541</v>
      </c>
      <c r="AB2434" s="493" t="s">
        <v>541</v>
      </c>
      <c r="AC2434" s="291" t="s">
        <v>541</v>
      </c>
      <c r="AD2434" s="291" t="s">
        <v>541</v>
      </c>
    </row>
    <row r="2435" spans="1:30" x14ac:dyDescent="0.2">
      <c r="A2435" s="110">
        <v>2434</v>
      </c>
      <c r="B2435" s="132">
        <v>41862</v>
      </c>
      <c r="C2435" s="117">
        <v>3</v>
      </c>
      <c r="D2435" s="103" t="s">
        <v>70</v>
      </c>
      <c r="E2435" s="103" t="s">
        <v>306</v>
      </c>
      <c r="H2435" s="103"/>
      <c r="I2435" s="103">
        <v>46</v>
      </c>
      <c r="K2435" s="103" t="s">
        <v>1032</v>
      </c>
      <c r="L2435" s="133"/>
      <c r="M2435" s="134">
        <v>2.2222222222222223E-2</v>
      </c>
      <c r="N2435" s="137" t="s">
        <v>3451</v>
      </c>
      <c r="O2435" s="133" t="s">
        <v>1585</v>
      </c>
      <c r="P2435" s="100" t="s">
        <v>4178</v>
      </c>
      <c r="Q2435" s="100" t="s">
        <v>4164</v>
      </c>
      <c r="R2435" s="226" t="s">
        <v>4185</v>
      </c>
      <c r="S2435" s="491" t="str">
        <f t="shared" si="79"/>
        <v>x</v>
      </c>
      <c r="T2435" s="492" t="str">
        <f>IFERROR(VLOOKUP(F2435,'Freq-Chan'!C:D,2,FALSE),"x")</f>
        <v>x</v>
      </c>
      <c r="U2435" s="110" t="s">
        <v>541</v>
      </c>
      <c r="V2435" s="110" t="str">
        <f t="shared" si="80"/>
        <v>FWL</v>
      </c>
      <c r="W2435" s="110" t="s">
        <v>541</v>
      </c>
      <c r="X2435" s="110" t="s">
        <v>541</v>
      </c>
      <c r="Y2435" s="110" t="str">
        <f>IFERROR(VLOOKUP(F2435,'Freq-Chan'!C:E,3,FALSE),"na")</f>
        <v>na</v>
      </c>
      <c r="Z2435" s="110" t="s">
        <v>541</v>
      </c>
      <c r="AA2435" s="110" t="s">
        <v>541</v>
      </c>
      <c r="AB2435" s="110" t="s">
        <v>541</v>
      </c>
      <c r="AC2435" s="10" t="s">
        <v>541</v>
      </c>
      <c r="AD2435" s="10" t="s">
        <v>541</v>
      </c>
    </row>
    <row r="2436" spans="1:30" x14ac:dyDescent="0.2">
      <c r="A2436" s="110">
        <v>2435</v>
      </c>
      <c r="B2436" s="132">
        <v>41862</v>
      </c>
      <c r="C2436" s="117">
        <v>3</v>
      </c>
      <c r="D2436" s="103" t="s">
        <v>70</v>
      </c>
      <c r="E2436" s="103" t="s">
        <v>306</v>
      </c>
      <c r="F2436" s="103">
        <v>596</v>
      </c>
      <c r="G2436" s="103">
        <v>62</v>
      </c>
      <c r="H2436" s="103" t="s">
        <v>3117</v>
      </c>
      <c r="I2436" s="103">
        <v>46</v>
      </c>
      <c r="K2436" s="103" t="s">
        <v>365</v>
      </c>
      <c r="L2436" s="133"/>
      <c r="M2436" s="134">
        <v>4.5833333333333337E-2</v>
      </c>
      <c r="N2436" s="137" t="s">
        <v>3334</v>
      </c>
      <c r="O2436" s="133" t="s">
        <v>1585</v>
      </c>
      <c r="Q2436" s="100" t="s">
        <v>4164</v>
      </c>
      <c r="R2436" s="226" t="s">
        <v>4185</v>
      </c>
      <c r="S2436" s="491" t="str">
        <f t="shared" si="79"/>
        <v>x</v>
      </c>
      <c r="T2436" s="492">
        <f>IFERROR(VLOOKUP(F2436,'Freq-Chan'!C:D,2,FALSE),"x")</f>
        <v>151.596</v>
      </c>
      <c r="U2436" s="110" t="s">
        <v>541</v>
      </c>
      <c r="V2436" s="110" t="str">
        <f t="shared" si="80"/>
        <v>FWL</v>
      </c>
      <c r="W2436" s="110" t="s">
        <v>541</v>
      </c>
      <c r="X2436" s="110" t="s">
        <v>541</v>
      </c>
      <c r="Y2436" s="110" t="str">
        <f>IFERROR(VLOOKUP(F2436,'Freq-Chan'!C:E,3,FALSE),"na")</f>
        <v>F1835</v>
      </c>
      <c r="Z2436" s="110" t="s">
        <v>541</v>
      </c>
      <c r="AA2436" s="110" t="s">
        <v>541</v>
      </c>
      <c r="AB2436" s="110" t="s">
        <v>541</v>
      </c>
      <c r="AC2436" s="10" t="s">
        <v>541</v>
      </c>
      <c r="AD2436" s="10" t="s">
        <v>541</v>
      </c>
    </row>
    <row r="2437" spans="1:30" x14ac:dyDescent="0.2">
      <c r="A2437" s="110">
        <v>2436</v>
      </c>
      <c r="B2437" s="132">
        <v>41862</v>
      </c>
      <c r="C2437" s="117">
        <v>3</v>
      </c>
      <c r="D2437" s="103" t="s">
        <v>70</v>
      </c>
      <c r="E2437" s="103" t="s">
        <v>306</v>
      </c>
      <c r="H2437" s="103"/>
      <c r="I2437" s="103">
        <v>39</v>
      </c>
      <c r="K2437" s="103" t="s">
        <v>1032</v>
      </c>
      <c r="L2437" s="133"/>
      <c r="M2437" s="134">
        <v>1.8749999999999999E-2</v>
      </c>
      <c r="N2437" s="137" t="s">
        <v>3452</v>
      </c>
      <c r="O2437" s="133" t="s">
        <v>1532</v>
      </c>
      <c r="Q2437" s="100" t="s">
        <v>4164</v>
      </c>
      <c r="R2437" s="226" t="s">
        <v>4185</v>
      </c>
      <c r="S2437" s="491" t="str">
        <f t="shared" si="79"/>
        <v>x</v>
      </c>
      <c r="T2437" s="492" t="str">
        <f>IFERROR(VLOOKUP(F2437,'Freq-Chan'!C:D,2,FALSE),"x")</f>
        <v>x</v>
      </c>
      <c r="U2437" s="110" t="s">
        <v>541</v>
      </c>
      <c r="V2437" s="110" t="str">
        <f t="shared" si="80"/>
        <v>FWL</v>
      </c>
      <c r="W2437" s="110" t="s">
        <v>541</v>
      </c>
      <c r="X2437" s="110" t="s">
        <v>541</v>
      </c>
      <c r="Y2437" s="110" t="str">
        <f>IFERROR(VLOOKUP(F2437,'Freq-Chan'!C:E,3,FALSE),"na")</f>
        <v>na</v>
      </c>
      <c r="Z2437" s="110" t="s">
        <v>541</v>
      </c>
      <c r="AA2437" s="110" t="s">
        <v>541</v>
      </c>
      <c r="AB2437" s="110" t="s">
        <v>541</v>
      </c>
      <c r="AC2437" s="10" t="s">
        <v>541</v>
      </c>
      <c r="AD2437" s="10" t="s">
        <v>541</v>
      </c>
    </row>
    <row r="2438" spans="1:30" x14ac:dyDescent="0.2">
      <c r="A2438" s="110">
        <v>2437</v>
      </c>
      <c r="B2438" s="132">
        <v>41862</v>
      </c>
      <c r="C2438" s="117">
        <v>3</v>
      </c>
      <c r="D2438" s="103" t="s">
        <v>72</v>
      </c>
      <c r="E2438" s="103" t="s">
        <v>306</v>
      </c>
      <c r="F2438" s="103">
        <v>266</v>
      </c>
      <c r="G2438" s="103">
        <v>37</v>
      </c>
      <c r="H2438" s="103" t="s">
        <v>3563</v>
      </c>
      <c r="I2438" s="103">
        <v>49</v>
      </c>
      <c r="K2438" s="103" t="s">
        <v>1032</v>
      </c>
      <c r="L2438" s="133"/>
      <c r="M2438" s="134">
        <v>5.6250000000000001E-2</v>
      </c>
      <c r="N2438" s="137" t="s">
        <v>3293</v>
      </c>
      <c r="O2438" s="133" t="s">
        <v>1585</v>
      </c>
      <c r="P2438" s="100" t="s">
        <v>4466</v>
      </c>
      <c r="Q2438" s="100" t="s">
        <v>4164</v>
      </c>
      <c r="R2438" s="226" t="s">
        <v>4185</v>
      </c>
      <c r="S2438" s="491" t="str">
        <f t="shared" si="79"/>
        <v>x</v>
      </c>
      <c r="T2438" s="492">
        <f>IFERROR(VLOOKUP(F2438,'Freq-Chan'!C:D,2,FALSE),"x")</f>
        <v>151.26599999999999</v>
      </c>
      <c r="U2438" s="110" t="s">
        <v>541</v>
      </c>
      <c r="V2438" s="110" t="str">
        <f t="shared" si="80"/>
        <v>FWL</v>
      </c>
      <c r="W2438" s="110" t="s">
        <v>541</v>
      </c>
      <c r="X2438" s="110" t="s">
        <v>541</v>
      </c>
      <c r="Y2438" s="110" t="str">
        <f>IFERROR(VLOOKUP(F2438,'Freq-Chan'!C:E,3,FALSE),"na")</f>
        <v>F1840</v>
      </c>
      <c r="Z2438" s="110" t="s">
        <v>541</v>
      </c>
      <c r="AA2438" s="110" t="s">
        <v>541</v>
      </c>
      <c r="AB2438" s="110" t="s">
        <v>541</v>
      </c>
      <c r="AC2438" s="10" t="s">
        <v>541</v>
      </c>
      <c r="AD2438" s="10" t="s">
        <v>541</v>
      </c>
    </row>
    <row r="2439" spans="1:30" x14ac:dyDescent="0.2">
      <c r="A2439" s="110">
        <v>2438</v>
      </c>
      <c r="B2439" s="132">
        <v>41862</v>
      </c>
      <c r="C2439" s="117">
        <v>3</v>
      </c>
      <c r="D2439" s="103" t="s">
        <v>70</v>
      </c>
      <c r="E2439" s="103" t="s">
        <v>306</v>
      </c>
      <c r="H2439" s="103"/>
      <c r="I2439" s="103">
        <v>43</v>
      </c>
      <c r="K2439" s="103" t="s">
        <v>365</v>
      </c>
      <c r="L2439" s="133"/>
      <c r="M2439" s="134">
        <v>1.4583333333333332E-2</v>
      </c>
      <c r="N2439" s="137" t="s">
        <v>3827</v>
      </c>
      <c r="O2439" s="133" t="s">
        <v>1532</v>
      </c>
      <c r="Q2439" s="100" t="s">
        <v>4164</v>
      </c>
      <c r="R2439" s="226" t="s">
        <v>4185</v>
      </c>
      <c r="S2439" s="491" t="str">
        <f t="shared" si="79"/>
        <v>x</v>
      </c>
      <c r="T2439" s="492" t="str">
        <f>IFERROR(VLOOKUP(F2439,'Freq-Chan'!C:D,2,FALSE),"x")</f>
        <v>x</v>
      </c>
      <c r="U2439" s="110" t="s">
        <v>541</v>
      </c>
      <c r="V2439" s="110" t="str">
        <f t="shared" si="80"/>
        <v>FWL</v>
      </c>
      <c r="W2439" s="110" t="s">
        <v>541</v>
      </c>
      <c r="X2439" s="110" t="s">
        <v>541</v>
      </c>
      <c r="Y2439" s="110" t="str">
        <f>IFERROR(VLOOKUP(F2439,'Freq-Chan'!C:E,3,FALSE),"na")</f>
        <v>na</v>
      </c>
      <c r="Z2439" s="110" t="s">
        <v>541</v>
      </c>
      <c r="AA2439" s="110" t="s">
        <v>541</v>
      </c>
      <c r="AB2439" s="110" t="s">
        <v>541</v>
      </c>
      <c r="AC2439" s="10" t="s">
        <v>541</v>
      </c>
      <c r="AD2439" s="10" t="s">
        <v>541</v>
      </c>
    </row>
    <row r="2440" spans="1:30" x14ac:dyDescent="0.2">
      <c r="A2440" s="110">
        <v>2439</v>
      </c>
      <c r="B2440" s="132">
        <v>41862</v>
      </c>
      <c r="C2440" s="117">
        <v>3</v>
      </c>
      <c r="D2440" s="103" t="s">
        <v>70</v>
      </c>
      <c r="E2440" s="103" t="s">
        <v>306</v>
      </c>
      <c r="H2440" s="103"/>
      <c r="I2440" s="103">
        <v>45</v>
      </c>
      <c r="K2440" s="103" t="s">
        <v>365</v>
      </c>
      <c r="L2440" s="133"/>
      <c r="M2440" s="134">
        <v>1.1805555555555555E-2</v>
      </c>
      <c r="N2440" s="137" t="s">
        <v>3491</v>
      </c>
      <c r="O2440" s="133" t="s">
        <v>1532</v>
      </c>
      <c r="Q2440" s="100" t="s">
        <v>4164</v>
      </c>
      <c r="R2440" s="226" t="s">
        <v>4185</v>
      </c>
      <c r="S2440" s="491" t="str">
        <f t="shared" si="79"/>
        <v>x</v>
      </c>
      <c r="T2440" s="492" t="str">
        <f>IFERROR(VLOOKUP(F2440,'Freq-Chan'!C:D,2,FALSE),"x")</f>
        <v>x</v>
      </c>
      <c r="U2440" s="110" t="s">
        <v>541</v>
      </c>
      <c r="V2440" s="110" t="str">
        <f t="shared" si="80"/>
        <v>FWL</v>
      </c>
      <c r="W2440" s="110" t="s">
        <v>541</v>
      </c>
      <c r="X2440" s="110" t="s">
        <v>541</v>
      </c>
      <c r="Y2440" s="110" t="str">
        <f>IFERROR(VLOOKUP(F2440,'Freq-Chan'!C:E,3,FALSE),"na")</f>
        <v>na</v>
      </c>
      <c r="Z2440" s="110" t="s">
        <v>541</v>
      </c>
      <c r="AA2440" s="110" t="s">
        <v>541</v>
      </c>
      <c r="AB2440" s="110" t="s">
        <v>541</v>
      </c>
      <c r="AC2440" s="10" t="s">
        <v>541</v>
      </c>
      <c r="AD2440" s="10" t="s">
        <v>541</v>
      </c>
    </row>
    <row r="2441" spans="1:30" x14ac:dyDescent="0.2">
      <c r="A2441" s="110">
        <v>2440</v>
      </c>
      <c r="B2441" s="132">
        <v>41862</v>
      </c>
      <c r="C2441" s="117">
        <v>3</v>
      </c>
      <c r="D2441" s="103" t="s">
        <v>71</v>
      </c>
      <c r="E2441" s="103" t="s">
        <v>306</v>
      </c>
      <c r="F2441" s="103">
        <v>534</v>
      </c>
      <c r="G2441" s="103">
        <v>40</v>
      </c>
      <c r="H2441" s="103" t="s">
        <v>2428</v>
      </c>
      <c r="I2441" s="103">
        <v>58</v>
      </c>
      <c r="K2441" s="103" t="s">
        <v>365</v>
      </c>
      <c r="L2441" s="133"/>
      <c r="M2441" s="134">
        <v>3.6111111111111115E-2</v>
      </c>
      <c r="N2441" s="137" t="s">
        <v>3294</v>
      </c>
      <c r="O2441" s="133" t="s">
        <v>1585</v>
      </c>
      <c r="Q2441" s="100" t="s">
        <v>4164</v>
      </c>
      <c r="R2441" s="226" t="s">
        <v>4185</v>
      </c>
      <c r="S2441" s="491" t="str">
        <f t="shared" si="79"/>
        <v>x</v>
      </c>
      <c r="T2441" s="492">
        <f>IFERROR(VLOOKUP(F2441,'Freq-Chan'!C:D,2,FALSE),"x")</f>
        <v>151.53399999999999</v>
      </c>
      <c r="U2441" s="110" t="s">
        <v>541</v>
      </c>
      <c r="V2441" s="110" t="str">
        <f t="shared" si="80"/>
        <v>FWL</v>
      </c>
      <c r="W2441" s="110" t="s">
        <v>541</v>
      </c>
      <c r="X2441" s="110" t="s">
        <v>541</v>
      </c>
      <c r="Y2441" s="110" t="str">
        <f>IFERROR(VLOOKUP(F2441,'Freq-Chan'!C:E,3,FALSE),"na")</f>
        <v>F1840</v>
      </c>
      <c r="Z2441" s="110" t="s">
        <v>541</v>
      </c>
      <c r="AA2441" s="110" t="s">
        <v>541</v>
      </c>
      <c r="AB2441" s="110" t="s">
        <v>541</v>
      </c>
      <c r="AC2441" s="10" t="s">
        <v>541</v>
      </c>
      <c r="AD2441" s="10" t="s">
        <v>541</v>
      </c>
    </row>
    <row r="2442" spans="1:30" x14ac:dyDescent="0.2">
      <c r="A2442" s="110">
        <v>2441</v>
      </c>
      <c r="B2442" s="132">
        <v>41862</v>
      </c>
      <c r="C2442" s="117">
        <v>3</v>
      </c>
      <c r="D2442" s="103" t="s">
        <v>70</v>
      </c>
      <c r="E2442" s="103" t="s">
        <v>306</v>
      </c>
      <c r="H2442" s="103"/>
      <c r="I2442" s="103">
        <v>48</v>
      </c>
      <c r="K2442" s="103" t="s">
        <v>365</v>
      </c>
      <c r="L2442" s="133"/>
      <c r="M2442" s="134">
        <v>1.5972222222222224E-2</v>
      </c>
      <c r="N2442" s="137" t="s">
        <v>3244</v>
      </c>
      <c r="O2442" s="133" t="s">
        <v>1532</v>
      </c>
      <c r="Q2442" s="100" t="s">
        <v>4164</v>
      </c>
      <c r="R2442" s="226" t="s">
        <v>4185</v>
      </c>
      <c r="S2442" s="491" t="str">
        <f t="shared" si="79"/>
        <v>x</v>
      </c>
      <c r="T2442" s="492" t="str">
        <f>IFERROR(VLOOKUP(F2442,'Freq-Chan'!C:D,2,FALSE),"x")</f>
        <v>x</v>
      </c>
      <c r="U2442" s="110" t="s">
        <v>541</v>
      </c>
      <c r="V2442" s="110" t="str">
        <f t="shared" si="80"/>
        <v>FWL</v>
      </c>
      <c r="W2442" s="110" t="s">
        <v>541</v>
      </c>
      <c r="X2442" s="110" t="s">
        <v>541</v>
      </c>
      <c r="Y2442" s="110" t="str">
        <f>IFERROR(VLOOKUP(F2442,'Freq-Chan'!C:E,3,FALSE),"na")</f>
        <v>na</v>
      </c>
      <c r="Z2442" s="110" t="s">
        <v>541</v>
      </c>
      <c r="AA2442" s="110" t="s">
        <v>541</v>
      </c>
      <c r="AB2442" s="110" t="s">
        <v>541</v>
      </c>
      <c r="AC2442" s="10" t="s">
        <v>541</v>
      </c>
      <c r="AD2442" s="10" t="s">
        <v>541</v>
      </c>
    </row>
    <row r="2443" spans="1:30" x14ac:dyDescent="0.2">
      <c r="A2443" s="110">
        <v>2442</v>
      </c>
      <c r="B2443" s="132">
        <v>41862</v>
      </c>
      <c r="C2443" s="117">
        <v>3</v>
      </c>
      <c r="D2443" s="103" t="s">
        <v>70</v>
      </c>
      <c r="E2443" s="103" t="s">
        <v>306</v>
      </c>
      <c r="H2443" s="103"/>
      <c r="I2443" s="103">
        <v>47</v>
      </c>
      <c r="K2443" s="103" t="s">
        <v>1032</v>
      </c>
      <c r="L2443" s="133"/>
      <c r="M2443" s="134">
        <v>1.4583333333333332E-2</v>
      </c>
      <c r="N2443" s="137" t="s">
        <v>3352</v>
      </c>
      <c r="O2443" s="133" t="s">
        <v>1532</v>
      </c>
      <c r="Q2443" s="100" t="s">
        <v>4164</v>
      </c>
      <c r="R2443" s="226" t="s">
        <v>4185</v>
      </c>
      <c r="S2443" s="491" t="str">
        <f t="shared" si="79"/>
        <v>x</v>
      </c>
      <c r="T2443" s="492" t="str">
        <f>IFERROR(VLOOKUP(F2443,'Freq-Chan'!C:D,2,FALSE),"x")</f>
        <v>x</v>
      </c>
      <c r="U2443" s="110" t="s">
        <v>541</v>
      </c>
      <c r="V2443" s="110" t="str">
        <f t="shared" si="80"/>
        <v>FWL</v>
      </c>
      <c r="W2443" s="110" t="s">
        <v>541</v>
      </c>
      <c r="X2443" s="110" t="s">
        <v>541</v>
      </c>
      <c r="Y2443" s="110" t="str">
        <f>IFERROR(VLOOKUP(F2443,'Freq-Chan'!C:E,3,FALSE),"na")</f>
        <v>na</v>
      </c>
      <c r="Z2443" s="110" t="s">
        <v>541</v>
      </c>
      <c r="AA2443" s="110" t="s">
        <v>541</v>
      </c>
      <c r="AB2443" s="110" t="s">
        <v>541</v>
      </c>
      <c r="AC2443" s="10" t="s">
        <v>541</v>
      </c>
      <c r="AD2443" s="10" t="s">
        <v>541</v>
      </c>
    </row>
    <row r="2444" spans="1:30" x14ac:dyDescent="0.2">
      <c r="A2444" s="110">
        <v>2443</v>
      </c>
      <c r="B2444" s="132">
        <v>41862</v>
      </c>
      <c r="C2444" s="117">
        <v>3</v>
      </c>
      <c r="D2444" s="103" t="s">
        <v>72</v>
      </c>
      <c r="E2444" s="103" t="s">
        <v>306</v>
      </c>
      <c r="F2444" s="103">
        <v>325</v>
      </c>
      <c r="G2444" s="103">
        <v>68</v>
      </c>
      <c r="H2444" s="103" t="s">
        <v>3564</v>
      </c>
      <c r="I2444" s="103">
        <v>49</v>
      </c>
      <c r="K2444" s="103" t="s">
        <v>1032</v>
      </c>
      <c r="L2444" s="133"/>
      <c r="M2444" s="134">
        <v>4.2361111111111106E-2</v>
      </c>
      <c r="N2444" s="137" t="s">
        <v>2839</v>
      </c>
      <c r="O2444" s="133" t="s">
        <v>1585</v>
      </c>
      <c r="Q2444" s="100" t="s">
        <v>4164</v>
      </c>
      <c r="R2444" s="226" t="s">
        <v>4185</v>
      </c>
      <c r="S2444" s="491" t="str">
        <f t="shared" si="79"/>
        <v>x</v>
      </c>
      <c r="T2444" s="492">
        <f>IFERROR(VLOOKUP(F2444,'Freq-Chan'!C:D,2,FALSE),"x")</f>
        <v>151.32499999999999</v>
      </c>
      <c r="U2444" s="110" t="s">
        <v>541</v>
      </c>
      <c r="V2444" s="110" t="str">
        <f t="shared" si="80"/>
        <v>FWL</v>
      </c>
      <c r="W2444" s="110" t="s">
        <v>541</v>
      </c>
      <c r="X2444" s="110" t="s">
        <v>541</v>
      </c>
      <c r="Y2444" s="110" t="str">
        <f>IFERROR(VLOOKUP(F2444,'Freq-Chan'!C:E,3,FALSE),"na")</f>
        <v>F1840</v>
      </c>
      <c r="Z2444" s="110" t="s">
        <v>541</v>
      </c>
      <c r="AA2444" s="110" t="s">
        <v>541</v>
      </c>
      <c r="AB2444" s="110" t="s">
        <v>541</v>
      </c>
      <c r="AC2444" s="10" t="s">
        <v>541</v>
      </c>
      <c r="AD2444" s="10" t="s">
        <v>541</v>
      </c>
    </row>
    <row r="2445" spans="1:30" x14ac:dyDescent="0.2">
      <c r="A2445" s="110">
        <v>2444</v>
      </c>
      <c r="B2445" s="132">
        <v>41862</v>
      </c>
      <c r="C2445" s="117">
        <v>3</v>
      </c>
      <c r="D2445" s="103" t="s">
        <v>70</v>
      </c>
      <c r="E2445" s="103" t="s">
        <v>306</v>
      </c>
      <c r="H2445" s="103"/>
      <c r="I2445" s="103">
        <v>47</v>
      </c>
      <c r="K2445" s="103" t="s">
        <v>1032</v>
      </c>
      <c r="L2445" s="133"/>
      <c r="M2445" s="134">
        <v>1.4583333333333332E-2</v>
      </c>
      <c r="N2445" s="137" t="s">
        <v>3797</v>
      </c>
      <c r="O2445" s="133" t="s">
        <v>1532</v>
      </c>
      <c r="Q2445" s="100" t="s">
        <v>4164</v>
      </c>
      <c r="R2445" s="226" t="s">
        <v>4185</v>
      </c>
      <c r="S2445" s="491" t="str">
        <f t="shared" si="79"/>
        <v>x</v>
      </c>
      <c r="T2445" s="492" t="str">
        <f>IFERROR(VLOOKUP(F2445,'Freq-Chan'!C:D,2,FALSE),"x")</f>
        <v>x</v>
      </c>
      <c r="U2445" s="110" t="s">
        <v>541</v>
      </c>
      <c r="V2445" s="110" t="str">
        <f t="shared" si="80"/>
        <v>FWL</v>
      </c>
      <c r="W2445" s="110" t="s">
        <v>541</v>
      </c>
      <c r="X2445" s="110" t="s">
        <v>541</v>
      </c>
      <c r="Y2445" s="110" t="str">
        <f>IFERROR(VLOOKUP(F2445,'Freq-Chan'!C:E,3,FALSE),"na")</f>
        <v>na</v>
      </c>
      <c r="Z2445" s="110" t="s">
        <v>541</v>
      </c>
      <c r="AA2445" s="110" t="s">
        <v>541</v>
      </c>
      <c r="AB2445" s="110" t="s">
        <v>541</v>
      </c>
      <c r="AC2445" s="10" t="s">
        <v>541</v>
      </c>
      <c r="AD2445" s="10" t="s">
        <v>541</v>
      </c>
    </row>
    <row r="2446" spans="1:30" x14ac:dyDescent="0.2">
      <c r="A2446" s="110">
        <v>2445</v>
      </c>
      <c r="B2446" s="132">
        <v>41862</v>
      </c>
      <c r="C2446" s="117">
        <v>3</v>
      </c>
      <c r="D2446" s="103" t="s">
        <v>70</v>
      </c>
      <c r="E2446" s="103" t="s">
        <v>306</v>
      </c>
      <c r="H2446" s="103"/>
      <c r="I2446" s="103">
        <v>44</v>
      </c>
      <c r="K2446" s="103" t="s">
        <v>365</v>
      </c>
      <c r="L2446" s="133"/>
      <c r="M2446" s="134">
        <v>1.1805555555555555E-2</v>
      </c>
      <c r="N2446" s="137" t="s">
        <v>4068</v>
      </c>
      <c r="O2446" s="133" t="s">
        <v>1532</v>
      </c>
      <c r="Q2446" s="100" t="s">
        <v>4164</v>
      </c>
      <c r="R2446" s="226" t="s">
        <v>4185</v>
      </c>
      <c r="S2446" s="491" t="str">
        <f t="shared" si="79"/>
        <v>x</v>
      </c>
      <c r="T2446" s="492" t="str">
        <f>IFERROR(VLOOKUP(F2446,'Freq-Chan'!C:D,2,FALSE),"x")</f>
        <v>x</v>
      </c>
      <c r="U2446" s="110" t="s">
        <v>541</v>
      </c>
      <c r="V2446" s="110" t="str">
        <f t="shared" si="80"/>
        <v>FWL</v>
      </c>
      <c r="W2446" s="110" t="s">
        <v>541</v>
      </c>
      <c r="X2446" s="110" t="s">
        <v>541</v>
      </c>
      <c r="Y2446" s="110" t="str">
        <f>IFERROR(VLOOKUP(F2446,'Freq-Chan'!C:E,3,FALSE),"na")</f>
        <v>na</v>
      </c>
      <c r="Z2446" s="110" t="s">
        <v>541</v>
      </c>
      <c r="AA2446" s="110" t="s">
        <v>541</v>
      </c>
      <c r="AB2446" s="110" t="s">
        <v>541</v>
      </c>
      <c r="AC2446" s="10" t="s">
        <v>541</v>
      </c>
      <c r="AD2446" s="10" t="s">
        <v>541</v>
      </c>
    </row>
    <row r="2447" spans="1:30" x14ac:dyDescent="0.2">
      <c r="A2447" s="110">
        <v>2446</v>
      </c>
      <c r="B2447" s="132">
        <v>41862</v>
      </c>
      <c r="C2447" s="117">
        <v>3</v>
      </c>
      <c r="D2447" s="103" t="s">
        <v>70</v>
      </c>
      <c r="E2447" s="103" t="s">
        <v>306</v>
      </c>
      <c r="H2447" s="103"/>
      <c r="I2447" s="103">
        <v>46</v>
      </c>
      <c r="K2447" s="103" t="s">
        <v>365</v>
      </c>
      <c r="L2447" s="133"/>
      <c r="M2447" s="134">
        <v>1.3194444444444444E-2</v>
      </c>
      <c r="N2447" s="137" t="s">
        <v>1796</v>
      </c>
      <c r="O2447" s="133" t="s">
        <v>1532</v>
      </c>
      <c r="Q2447" s="100" t="s">
        <v>4164</v>
      </c>
      <c r="R2447" s="226" t="s">
        <v>4185</v>
      </c>
      <c r="S2447" s="491" t="str">
        <f t="shared" si="79"/>
        <v>x</v>
      </c>
      <c r="T2447" s="492" t="str">
        <f>IFERROR(VLOOKUP(F2447,'Freq-Chan'!C:D,2,FALSE),"x")</f>
        <v>x</v>
      </c>
      <c r="U2447" s="110" t="s">
        <v>541</v>
      </c>
      <c r="V2447" s="110" t="str">
        <f t="shared" si="80"/>
        <v>FWL</v>
      </c>
      <c r="W2447" s="110" t="s">
        <v>541</v>
      </c>
      <c r="X2447" s="110" t="s">
        <v>541</v>
      </c>
      <c r="Y2447" s="110" t="str">
        <f>IFERROR(VLOOKUP(F2447,'Freq-Chan'!C:E,3,FALSE),"na")</f>
        <v>na</v>
      </c>
      <c r="Z2447" s="110" t="s">
        <v>541</v>
      </c>
      <c r="AA2447" s="110" t="s">
        <v>541</v>
      </c>
      <c r="AB2447" s="110" t="s">
        <v>541</v>
      </c>
      <c r="AC2447" s="10" t="s">
        <v>541</v>
      </c>
      <c r="AD2447" s="10" t="s">
        <v>541</v>
      </c>
    </row>
    <row r="2448" spans="1:30" x14ac:dyDescent="0.2">
      <c r="A2448" s="110">
        <v>2447</v>
      </c>
      <c r="B2448" s="132">
        <v>41862</v>
      </c>
      <c r="C2448" s="117">
        <v>3</v>
      </c>
      <c r="D2448" s="103" t="s">
        <v>71</v>
      </c>
      <c r="E2448" s="103" t="s">
        <v>306</v>
      </c>
      <c r="H2448" s="103"/>
      <c r="I2448" s="103">
        <v>56</v>
      </c>
      <c r="K2448" s="103" t="s">
        <v>1032</v>
      </c>
      <c r="L2448" s="133"/>
      <c r="M2448" s="134">
        <v>2.1527777777777781E-2</v>
      </c>
      <c r="N2448" s="137" t="s">
        <v>2838</v>
      </c>
      <c r="O2448" s="133" t="s">
        <v>1585</v>
      </c>
      <c r="Q2448" s="100" t="s">
        <v>4164</v>
      </c>
      <c r="R2448" s="226" t="s">
        <v>4185</v>
      </c>
      <c r="S2448" s="491" t="str">
        <f t="shared" si="79"/>
        <v>x</v>
      </c>
      <c r="T2448" s="492" t="str">
        <f>IFERROR(VLOOKUP(F2448,'Freq-Chan'!C:D,2,FALSE),"x")</f>
        <v>x</v>
      </c>
      <c r="U2448" s="110" t="s">
        <v>541</v>
      </c>
      <c r="V2448" s="110" t="str">
        <f t="shared" si="80"/>
        <v>FWL</v>
      </c>
      <c r="W2448" s="110" t="s">
        <v>541</v>
      </c>
      <c r="X2448" s="110" t="s">
        <v>541</v>
      </c>
      <c r="Y2448" s="110" t="str">
        <f>IFERROR(VLOOKUP(F2448,'Freq-Chan'!C:E,3,FALSE),"na")</f>
        <v>na</v>
      </c>
      <c r="Z2448" s="110" t="s">
        <v>541</v>
      </c>
      <c r="AA2448" s="110" t="s">
        <v>541</v>
      </c>
      <c r="AB2448" s="110" t="s">
        <v>541</v>
      </c>
      <c r="AC2448" s="10" t="s">
        <v>541</v>
      </c>
      <c r="AD2448" s="10" t="s">
        <v>541</v>
      </c>
    </row>
    <row r="2449" spans="1:30" x14ac:dyDescent="0.2">
      <c r="A2449" s="110">
        <v>2448</v>
      </c>
      <c r="B2449" s="132">
        <v>41862</v>
      </c>
      <c r="C2449" s="117">
        <v>3</v>
      </c>
      <c r="D2449" s="103" t="s">
        <v>71</v>
      </c>
      <c r="E2449" s="103" t="s">
        <v>306</v>
      </c>
      <c r="H2449" s="103"/>
      <c r="I2449" s="103">
        <v>63</v>
      </c>
      <c r="K2449" s="103" t="s">
        <v>365</v>
      </c>
      <c r="L2449" s="133"/>
      <c r="M2449" s="134">
        <v>1.9444444444444445E-2</v>
      </c>
      <c r="N2449" s="137" t="s">
        <v>3322</v>
      </c>
      <c r="O2449" s="133" t="s">
        <v>1585</v>
      </c>
      <c r="Q2449" s="100" t="s">
        <v>4164</v>
      </c>
      <c r="R2449" s="226" t="s">
        <v>4185</v>
      </c>
      <c r="S2449" s="491" t="str">
        <f t="shared" si="79"/>
        <v>x</v>
      </c>
      <c r="T2449" s="492" t="str">
        <f>IFERROR(VLOOKUP(F2449,'Freq-Chan'!C:D,2,FALSE),"x")</f>
        <v>x</v>
      </c>
      <c r="U2449" s="110" t="s">
        <v>541</v>
      </c>
      <c r="V2449" s="110" t="str">
        <f t="shared" si="80"/>
        <v>FWL</v>
      </c>
      <c r="W2449" s="110" t="s">
        <v>541</v>
      </c>
      <c r="X2449" s="110" t="s">
        <v>541</v>
      </c>
      <c r="Y2449" s="110" t="str">
        <f>IFERROR(VLOOKUP(F2449,'Freq-Chan'!C:E,3,FALSE),"na")</f>
        <v>na</v>
      </c>
      <c r="Z2449" s="110" t="s">
        <v>541</v>
      </c>
      <c r="AA2449" s="110" t="s">
        <v>541</v>
      </c>
      <c r="AB2449" s="110" t="s">
        <v>541</v>
      </c>
      <c r="AC2449" s="10" t="s">
        <v>541</v>
      </c>
      <c r="AD2449" s="10" t="s">
        <v>541</v>
      </c>
    </row>
    <row r="2450" spans="1:30" x14ac:dyDescent="0.2">
      <c r="A2450" s="110">
        <v>2449</v>
      </c>
      <c r="B2450" s="132">
        <v>41862</v>
      </c>
      <c r="C2450" s="117">
        <v>3</v>
      </c>
      <c r="D2450" s="103" t="s">
        <v>70</v>
      </c>
      <c r="E2450" s="103" t="s">
        <v>306</v>
      </c>
      <c r="H2450" s="103"/>
      <c r="I2450" s="103">
        <v>50</v>
      </c>
      <c r="K2450" s="103" t="s">
        <v>1032</v>
      </c>
      <c r="L2450" s="133"/>
      <c r="M2450" s="134">
        <v>1.2499999999999999E-2</v>
      </c>
      <c r="N2450" s="137" t="s">
        <v>1652</v>
      </c>
      <c r="O2450" s="133" t="s">
        <v>1585</v>
      </c>
      <c r="Q2450" s="100" t="s">
        <v>4164</v>
      </c>
      <c r="R2450" s="226" t="s">
        <v>4185</v>
      </c>
      <c r="S2450" s="491" t="str">
        <f t="shared" si="79"/>
        <v>x</v>
      </c>
      <c r="T2450" s="492" t="str">
        <f>IFERROR(VLOOKUP(F2450,'Freq-Chan'!C:D,2,FALSE),"x")</f>
        <v>x</v>
      </c>
      <c r="U2450" s="110" t="s">
        <v>541</v>
      </c>
      <c r="V2450" s="110" t="str">
        <f t="shared" si="80"/>
        <v>FWL</v>
      </c>
      <c r="W2450" s="110" t="s">
        <v>541</v>
      </c>
      <c r="X2450" s="110" t="s">
        <v>541</v>
      </c>
      <c r="Y2450" s="110" t="str">
        <f>IFERROR(VLOOKUP(F2450,'Freq-Chan'!C:E,3,FALSE),"na")</f>
        <v>na</v>
      </c>
      <c r="Z2450" s="110" t="s">
        <v>541</v>
      </c>
      <c r="AA2450" s="110" t="s">
        <v>541</v>
      </c>
      <c r="AB2450" s="110" t="s">
        <v>541</v>
      </c>
      <c r="AC2450" s="10" t="s">
        <v>541</v>
      </c>
      <c r="AD2450" s="10" t="s">
        <v>541</v>
      </c>
    </row>
    <row r="2451" spans="1:30" x14ac:dyDescent="0.2">
      <c r="A2451" s="110">
        <v>2450</v>
      </c>
      <c r="B2451" s="132">
        <v>41862</v>
      </c>
      <c r="C2451" s="117">
        <v>3</v>
      </c>
      <c r="D2451" s="103" t="s">
        <v>71</v>
      </c>
      <c r="E2451" s="103" t="s">
        <v>306</v>
      </c>
      <c r="H2451" s="103"/>
      <c r="I2451" s="103">
        <v>60</v>
      </c>
      <c r="K2451" s="103" t="s">
        <v>365</v>
      </c>
      <c r="L2451" s="133"/>
      <c r="M2451" s="134">
        <v>1.5277777777777777E-2</v>
      </c>
      <c r="N2451" s="137" t="s">
        <v>3801</v>
      </c>
      <c r="O2451" s="133" t="s">
        <v>1585</v>
      </c>
      <c r="Q2451" s="100" t="s">
        <v>4164</v>
      </c>
      <c r="R2451" s="226" t="s">
        <v>4185</v>
      </c>
      <c r="S2451" s="491" t="str">
        <f t="shared" si="79"/>
        <v>x</v>
      </c>
      <c r="T2451" s="492" t="str">
        <f>IFERROR(VLOOKUP(F2451,'Freq-Chan'!C:D,2,FALSE),"x")</f>
        <v>x</v>
      </c>
      <c r="U2451" s="110" t="s">
        <v>541</v>
      </c>
      <c r="V2451" s="110" t="str">
        <f t="shared" si="80"/>
        <v>FWL</v>
      </c>
      <c r="W2451" s="110" t="s">
        <v>541</v>
      </c>
      <c r="X2451" s="110" t="s">
        <v>541</v>
      </c>
      <c r="Y2451" s="110" t="str">
        <f>IFERROR(VLOOKUP(F2451,'Freq-Chan'!C:E,3,FALSE),"na")</f>
        <v>na</v>
      </c>
      <c r="Z2451" s="110" t="s">
        <v>541</v>
      </c>
      <c r="AA2451" s="110" t="s">
        <v>541</v>
      </c>
      <c r="AB2451" s="110" t="s">
        <v>541</v>
      </c>
      <c r="AC2451" s="10" t="s">
        <v>541</v>
      </c>
      <c r="AD2451" s="10" t="s">
        <v>541</v>
      </c>
    </row>
    <row r="2452" spans="1:30" x14ac:dyDescent="0.2">
      <c r="A2452" s="110">
        <v>2451</v>
      </c>
      <c r="B2452" s="132">
        <v>41862</v>
      </c>
      <c r="C2452" s="117">
        <v>3</v>
      </c>
      <c r="D2452" s="103" t="s">
        <v>70</v>
      </c>
      <c r="E2452" s="103" t="s">
        <v>306</v>
      </c>
      <c r="H2452" s="103"/>
      <c r="I2452" s="103">
        <v>45</v>
      </c>
      <c r="K2452" s="103" t="s">
        <v>365</v>
      </c>
      <c r="L2452" s="133"/>
      <c r="M2452" s="134">
        <v>1.6666666666666666E-2</v>
      </c>
      <c r="N2452" s="137" t="s">
        <v>3355</v>
      </c>
      <c r="O2452" s="133" t="s">
        <v>1585</v>
      </c>
      <c r="Q2452" s="100" t="s">
        <v>4164</v>
      </c>
      <c r="R2452" s="226" t="s">
        <v>4185</v>
      </c>
      <c r="S2452" s="491" t="str">
        <f t="shared" si="79"/>
        <v>x</v>
      </c>
      <c r="T2452" s="492" t="str">
        <f>IFERROR(VLOOKUP(F2452,'Freq-Chan'!C:D,2,FALSE),"x")</f>
        <v>x</v>
      </c>
      <c r="U2452" s="110" t="s">
        <v>541</v>
      </c>
      <c r="V2452" s="110" t="str">
        <f t="shared" si="80"/>
        <v>FWL</v>
      </c>
      <c r="W2452" s="110" t="s">
        <v>541</v>
      </c>
      <c r="X2452" s="110" t="s">
        <v>541</v>
      </c>
      <c r="Y2452" s="110" t="str">
        <f>IFERROR(VLOOKUP(F2452,'Freq-Chan'!C:E,3,FALSE),"na")</f>
        <v>na</v>
      </c>
      <c r="Z2452" s="110" t="s">
        <v>541</v>
      </c>
      <c r="AA2452" s="110" t="s">
        <v>541</v>
      </c>
      <c r="AB2452" s="110" t="s">
        <v>541</v>
      </c>
      <c r="AC2452" s="10" t="s">
        <v>541</v>
      </c>
      <c r="AD2452" s="10" t="s">
        <v>541</v>
      </c>
    </row>
    <row r="2453" spans="1:30" x14ac:dyDescent="0.2">
      <c r="A2453" s="110">
        <v>2452</v>
      </c>
      <c r="B2453" s="132">
        <v>41862</v>
      </c>
      <c r="C2453" s="117">
        <v>3</v>
      </c>
      <c r="D2453" s="103" t="s">
        <v>70</v>
      </c>
      <c r="E2453" s="103" t="s">
        <v>306</v>
      </c>
      <c r="H2453" s="103"/>
      <c r="I2453" s="103">
        <v>46</v>
      </c>
      <c r="K2453" s="103" t="s">
        <v>1032</v>
      </c>
      <c r="L2453" s="133"/>
      <c r="M2453" s="134">
        <v>1.2499999999999999E-2</v>
      </c>
      <c r="N2453" s="137" t="s">
        <v>1783</v>
      </c>
      <c r="O2453" s="133" t="s">
        <v>1585</v>
      </c>
      <c r="Q2453" s="100" t="s">
        <v>4164</v>
      </c>
      <c r="R2453" s="226" t="s">
        <v>4185</v>
      </c>
      <c r="S2453" s="491" t="str">
        <f t="shared" si="79"/>
        <v>x</v>
      </c>
      <c r="T2453" s="492" t="str">
        <f>IFERROR(VLOOKUP(F2453,'Freq-Chan'!C:D,2,FALSE),"x")</f>
        <v>x</v>
      </c>
      <c r="U2453" s="110" t="s">
        <v>541</v>
      </c>
      <c r="V2453" s="110" t="str">
        <f t="shared" si="80"/>
        <v>FWL</v>
      </c>
      <c r="W2453" s="110" t="s">
        <v>541</v>
      </c>
      <c r="X2453" s="110" t="s">
        <v>541</v>
      </c>
      <c r="Y2453" s="110" t="str">
        <f>IFERROR(VLOOKUP(F2453,'Freq-Chan'!C:E,3,FALSE),"na")</f>
        <v>na</v>
      </c>
      <c r="Z2453" s="110" t="s">
        <v>541</v>
      </c>
      <c r="AA2453" s="110" t="s">
        <v>541</v>
      </c>
      <c r="AB2453" s="110" t="s">
        <v>541</v>
      </c>
      <c r="AC2453" s="10" t="s">
        <v>541</v>
      </c>
      <c r="AD2453" s="10" t="s">
        <v>541</v>
      </c>
    </row>
    <row r="2454" spans="1:30" x14ac:dyDescent="0.2">
      <c r="A2454" s="110">
        <v>2453</v>
      </c>
      <c r="B2454" s="132">
        <v>41862</v>
      </c>
      <c r="C2454" s="117">
        <v>3</v>
      </c>
      <c r="D2454" s="103" t="s">
        <v>72</v>
      </c>
      <c r="E2454" s="103" t="s">
        <v>306</v>
      </c>
      <c r="H2454" s="103"/>
      <c r="I2454" s="103">
        <v>56</v>
      </c>
      <c r="K2454" s="103" t="s">
        <v>1032</v>
      </c>
      <c r="L2454" s="133"/>
      <c r="M2454" s="134">
        <v>7.2916666666666671E-2</v>
      </c>
      <c r="N2454" s="137" t="s">
        <v>3205</v>
      </c>
      <c r="O2454" s="133" t="s">
        <v>1532</v>
      </c>
      <c r="P2454" s="100" t="s">
        <v>4177</v>
      </c>
      <c r="Q2454" s="100" t="s">
        <v>4164</v>
      </c>
      <c r="R2454" s="226" t="s">
        <v>4185</v>
      </c>
      <c r="S2454" s="491" t="str">
        <f t="shared" si="79"/>
        <v>x</v>
      </c>
      <c r="T2454" s="492" t="str">
        <f>IFERROR(VLOOKUP(F2454,'Freq-Chan'!C:D,2,FALSE),"x")</f>
        <v>x</v>
      </c>
      <c r="U2454" s="110" t="s">
        <v>541</v>
      </c>
      <c r="V2454" s="110" t="str">
        <f t="shared" si="80"/>
        <v>FWL</v>
      </c>
      <c r="W2454" s="110" t="s">
        <v>541</v>
      </c>
      <c r="X2454" s="110" t="s">
        <v>541</v>
      </c>
      <c r="Y2454" s="110" t="str">
        <f>IFERROR(VLOOKUP(F2454,'Freq-Chan'!C:E,3,FALSE),"na")</f>
        <v>na</v>
      </c>
      <c r="Z2454" s="110" t="s">
        <v>541</v>
      </c>
      <c r="AA2454" s="110" t="s">
        <v>541</v>
      </c>
      <c r="AB2454" s="110" t="s">
        <v>541</v>
      </c>
      <c r="AC2454" s="10" t="s">
        <v>541</v>
      </c>
      <c r="AD2454" s="10" t="s">
        <v>541</v>
      </c>
    </row>
    <row r="2455" spans="1:30" x14ac:dyDescent="0.2">
      <c r="A2455" s="110">
        <v>2454</v>
      </c>
      <c r="B2455" s="132">
        <v>41862</v>
      </c>
      <c r="C2455" s="117">
        <v>3</v>
      </c>
      <c r="D2455" s="103" t="s">
        <v>72</v>
      </c>
      <c r="E2455" s="103" t="s">
        <v>306</v>
      </c>
      <c r="F2455" s="103">
        <v>266</v>
      </c>
      <c r="G2455" s="103">
        <v>15</v>
      </c>
      <c r="H2455" s="103" t="s">
        <v>3565</v>
      </c>
      <c r="I2455" s="103">
        <v>53</v>
      </c>
      <c r="K2455" s="103" t="s">
        <v>365</v>
      </c>
      <c r="L2455" s="133"/>
      <c r="M2455" s="134">
        <v>3.4027777777777775E-2</v>
      </c>
      <c r="N2455" s="137" t="s">
        <v>4150</v>
      </c>
      <c r="O2455" s="133" t="s">
        <v>1538</v>
      </c>
      <c r="P2455" s="100" t="s">
        <v>4466</v>
      </c>
      <c r="Q2455" s="100" t="s">
        <v>4171</v>
      </c>
      <c r="R2455" s="226" t="s">
        <v>4185</v>
      </c>
      <c r="S2455" s="491" t="str">
        <f t="shared" si="79"/>
        <v>x</v>
      </c>
      <c r="T2455" s="492">
        <f>IFERROR(VLOOKUP(F2455,'Freq-Chan'!C:D,2,FALSE),"x")</f>
        <v>151.26599999999999</v>
      </c>
      <c r="U2455" s="110" t="s">
        <v>541</v>
      </c>
      <c r="V2455" s="110" t="str">
        <f t="shared" si="80"/>
        <v>FWL</v>
      </c>
      <c r="W2455" s="110" t="s">
        <v>541</v>
      </c>
      <c r="X2455" s="110" t="s">
        <v>541</v>
      </c>
      <c r="Y2455" s="110" t="str">
        <f>IFERROR(VLOOKUP(F2455,'Freq-Chan'!C:E,3,FALSE),"na")</f>
        <v>F1840</v>
      </c>
      <c r="Z2455" s="110" t="s">
        <v>541</v>
      </c>
      <c r="AA2455" s="110" t="s">
        <v>541</v>
      </c>
      <c r="AB2455" s="110" t="s">
        <v>541</v>
      </c>
      <c r="AC2455" s="10" t="s">
        <v>541</v>
      </c>
      <c r="AD2455" s="10" t="s">
        <v>541</v>
      </c>
    </row>
    <row r="2456" spans="1:30" x14ac:dyDescent="0.2">
      <c r="A2456" s="110">
        <v>2455</v>
      </c>
      <c r="B2456" s="132">
        <v>41862</v>
      </c>
      <c r="C2456" s="117">
        <v>3</v>
      </c>
      <c r="D2456" s="103" t="s">
        <v>72</v>
      </c>
      <c r="E2456" s="103" t="s">
        <v>306</v>
      </c>
      <c r="F2456" s="103">
        <v>266</v>
      </c>
      <c r="G2456" s="103">
        <v>53</v>
      </c>
      <c r="H2456" s="103" t="s">
        <v>3566</v>
      </c>
      <c r="I2456" s="103">
        <v>52</v>
      </c>
      <c r="K2456" s="103" t="s">
        <v>1032</v>
      </c>
      <c r="L2456" s="133"/>
      <c r="M2456" s="134">
        <v>3.125E-2</v>
      </c>
      <c r="N2456" s="135" t="s">
        <v>1658</v>
      </c>
      <c r="O2456" s="133" t="s">
        <v>1538</v>
      </c>
      <c r="P2456" s="100" t="s">
        <v>4466</v>
      </c>
      <c r="Q2456" s="100" t="s">
        <v>4171</v>
      </c>
      <c r="R2456" s="226" t="s">
        <v>4185</v>
      </c>
      <c r="S2456" s="491" t="str">
        <f t="shared" si="79"/>
        <v>x</v>
      </c>
      <c r="T2456" s="492">
        <f>IFERROR(VLOOKUP(F2456,'Freq-Chan'!C:D,2,FALSE),"x")</f>
        <v>151.26599999999999</v>
      </c>
      <c r="U2456" s="110" t="s">
        <v>541</v>
      </c>
      <c r="V2456" s="110" t="str">
        <f t="shared" si="80"/>
        <v>FWL</v>
      </c>
      <c r="W2456" s="110" t="s">
        <v>541</v>
      </c>
      <c r="X2456" s="110" t="s">
        <v>541</v>
      </c>
      <c r="Y2456" s="110" t="str">
        <f>IFERROR(VLOOKUP(F2456,'Freq-Chan'!C:E,3,FALSE),"na")</f>
        <v>F1840</v>
      </c>
      <c r="Z2456" s="110" t="s">
        <v>541</v>
      </c>
      <c r="AA2456" s="110" t="s">
        <v>541</v>
      </c>
      <c r="AB2456" s="110" t="s">
        <v>541</v>
      </c>
      <c r="AC2456" s="10" t="s">
        <v>541</v>
      </c>
      <c r="AD2456" s="10" t="s">
        <v>541</v>
      </c>
    </row>
    <row r="2457" spans="1:30" x14ac:dyDescent="0.2">
      <c r="A2457" s="110">
        <v>2456</v>
      </c>
      <c r="B2457" s="132">
        <v>41862</v>
      </c>
      <c r="C2457" s="117">
        <v>3</v>
      </c>
      <c r="D2457" s="103" t="s">
        <v>71</v>
      </c>
      <c r="E2457" s="103" t="s">
        <v>306</v>
      </c>
      <c r="H2457" s="103"/>
      <c r="I2457" s="103">
        <v>53</v>
      </c>
      <c r="K2457" s="103" t="s">
        <v>1032</v>
      </c>
      <c r="L2457" s="133"/>
      <c r="M2457" s="134">
        <v>1.1805555555555555E-2</v>
      </c>
      <c r="N2457" s="137" t="s">
        <v>2593</v>
      </c>
      <c r="O2457" s="133" t="s">
        <v>1538</v>
      </c>
      <c r="Q2457" s="100" t="s">
        <v>4171</v>
      </c>
      <c r="R2457" s="226" t="s">
        <v>4185</v>
      </c>
      <c r="S2457" s="491" t="str">
        <f t="shared" si="79"/>
        <v>x</v>
      </c>
      <c r="T2457" s="492" t="str">
        <f>IFERROR(VLOOKUP(F2457,'Freq-Chan'!C:D,2,FALSE),"x")</f>
        <v>x</v>
      </c>
      <c r="U2457" s="110" t="s">
        <v>541</v>
      </c>
      <c r="V2457" s="110" t="str">
        <f t="shared" si="80"/>
        <v>FWL</v>
      </c>
      <c r="W2457" s="110" t="s">
        <v>541</v>
      </c>
      <c r="X2457" s="110" t="s">
        <v>541</v>
      </c>
      <c r="Y2457" s="110" t="str">
        <f>IFERROR(VLOOKUP(F2457,'Freq-Chan'!C:E,3,FALSE),"na")</f>
        <v>na</v>
      </c>
      <c r="Z2457" s="110" t="s">
        <v>541</v>
      </c>
      <c r="AA2457" s="110" t="s">
        <v>541</v>
      </c>
      <c r="AB2457" s="110" t="s">
        <v>541</v>
      </c>
      <c r="AC2457" s="10" t="s">
        <v>541</v>
      </c>
      <c r="AD2457" s="10" t="s">
        <v>541</v>
      </c>
    </row>
    <row r="2458" spans="1:30" x14ac:dyDescent="0.2">
      <c r="A2458" s="110">
        <v>2457</v>
      </c>
      <c r="B2458" s="132">
        <v>41862</v>
      </c>
      <c r="C2458" s="117">
        <v>3</v>
      </c>
      <c r="D2458" s="103" t="s">
        <v>71</v>
      </c>
      <c r="E2458" s="103" t="s">
        <v>306</v>
      </c>
      <c r="H2458" s="103"/>
      <c r="I2458" s="103">
        <v>59</v>
      </c>
      <c r="K2458" s="103" t="s">
        <v>1032</v>
      </c>
      <c r="L2458" s="133"/>
      <c r="M2458" s="134">
        <v>9.0277777777777787E-3</v>
      </c>
      <c r="N2458" s="137" t="s">
        <v>1797</v>
      </c>
      <c r="O2458" s="133" t="s">
        <v>1538</v>
      </c>
      <c r="Q2458" s="100" t="s">
        <v>4171</v>
      </c>
      <c r="R2458" s="226" t="s">
        <v>4185</v>
      </c>
      <c r="S2458" s="491" t="str">
        <f t="shared" si="79"/>
        <v>x</v>
      </c>
      <c r="T2458" s="492" t="str">
        <f>IFERROR(VLOOKUP(F2458,'Freq-Chan'!C:D,2,FALSE),"x")</f>
        <v>x</v>
      </c>
      <c r="U2458" s="110" t="s">
        <v>541</v>
      </c>
      <c r="V2458" s="110" t="str">
        <f t="shared" si="80"/>
        <v>FWL</v>
      </c>
      <c r="W2458" s="110" t="s">
        <v>541</v>
      </c>
      <c r="X2458" s="110" t="s">
        <v>541</v>
      </c>
      <c r="Y2458" s="110" t="str">
        <f>IFERROR(VLOOKUP(F2458,'Freq-Chan'!C:E,3,FALSE),"na")</f>
        <v>na</v>
      </c>
      <c r="Z2458" s="110" t="s">
        <v>541</v>
      </c>
      <c r="AA2458" s="110" t="s">
        <v>541</v>
      </c>
      <c r="AB2458" s="110" t="s">
        <v>541</v>
      </c>
      <c r="AC2458" s="10" t="s">
        <v>541</v>
      </c>
      <c r="AD2458" s="10" t="s">
        <v>541</v>
      </c>
    </row>
    <row r="2459" spans="1:30" x14ac:dyDescent="0.2">
      <c r="A2459" s="110">
        <v>2458</v>
      </c>
      <c r="B2459" s="132">
        <v>41862</v>
      </c>
      <c r="C2459" s="117">
        <v>3</v>
      </c>
      <c r="D2459" s="103" t="s">
        <v>71</v>
      </c>
      <c r="E2459" s="103" t="s">
        <v>306</v>
      </c>
      <c r="H2459" s="103"/>
      <c r="I2459" s="103">
        <v>59</v>
      </c>
      <c r="K2459" s="103" t="s">
        <v>365</v>
      </c>
      <c r="L2459" s="133"/>
      <c r="M2459" s="134">
        <v>8.3333333333333332E-3</v>
      </c>
      <c r="N2459" s="137" t="s">
        <v>840</v>
      </c>
      <c r="O2459" s="133" t="s">
        <v>1538</v>
      </c>
      <c r="Q2459" s="100" t="s">
        <v>4171</v>
      </c>
      <c r="R2459" s="226" t="s">
        <v>4185</v>
      </c>
      <c r="S2459" s="491" t="str">
        <f t="shared" si="79"/>
        <v>x</v>
      </c>
      <c r="T2459" s="492" t="str">
        <f>IFERROR(VLOOKUP(F2459,'Freq-Chan'!C:D,2,FALSE),"x")</f>
        <v>x</v>
      </c>
      <c r="U2459" s="110" t="s">
        <v>541</v>
      </c>
      <c r="V2459" s="110" t="str">
        <f t="shared" si="80"/>
        <v>FWL</v>
      </c>
      <c r="W2459" s="110" t="s">
        <v>541</v>
      </c>
      <c r="X2459" s="110" t="s">
        <v>541</v>
      </c>
      <c r="Y2459" s="110" t="str">
        <f>IFERROR(VLOOKUP(F2459,'Freq-Chan'!C:E,3,FALSE),"na")</f>
        <v>na</v>
      </c>
      <c r="Z2459" s="110" t="s">
        <v>541</v>
      </c>
      <c r="AA2459" s="110" t="s">
        <v>541</v>
      </c>
      <c r="AB2459" s="110" t="s">
        <v>541</v>
      </c>
      <c r="AC2459" s="10" t="s">
        <v>541</v>
      </c>
      <c r="AD2459" s="10" t="s">
        <v>541</v>
      </c>
    </row>
    <row r="2460" spans="1:30" x14ac:dyDescent="0.2">
      <c r="A2460" s="110">
        <v>2459</v>
      </c>
      <c r="B2460" s="132">
        <v>41862</v>
      </c>
      <c r="C2460" s="117">
        <v>3</v>
      </c>
      <c r="D2460" s="103" t="s">
        <v>71</v>
      </c>
      <c r="E2460" s="103" t="s">
        <v>306</v>
      </c>
      <c r="H2460" s="103"/>
      <c r="I2460" s="103">
        <v>50</v>
      </c>
      <c r="K2460" s="103" t="s">
        <v>1032</v>
      </c>
      <c r="L2460" s="133"/>
      <c r="M2460" s="134">
        <v>1.3888888888888888E-2</v>
      </c>
      <c r="N2460" s="137" t="s">
        <v>3771</v>
      </c>
      <c r="O2460" s="133" t="s">
        <v>1538</v>
      </c>
      <c r="Q2460" s="100" t="s">
        <v>4171</v>
      </c>
      <c r="R2460" s="226" t="s">
        <v>4185</v>
      </c>
      <c r="S2460" s="491" t="str">
        <f t="shared" si="79"/>
        <v>x</v>
      </c>
      <c r="T2460" s="492" t="str">
        <f>IFERROR(VLOOKUP(F2460,'Freq-Chan'!C:D,2,FALSE),"x")</f>
        <v>x</v>
      </c>
      <c r="U2460" s="110" t="s">
        <v>541</v>
      </c>
      <c r="V2460" s="110" t="str">
        <f t="shared" si="80"/>
        <v>FWL</v>
      </c>
      <c r="W2460" s="110" t="s">
        <v>541</v>
      </c>
      <c r="X2460" s="110" t="s">
        <v>541</v>
      </c>
      <c r="Y2460" s="110" t="str">
        <f>IFERROR(VLOOKUP(F2460,'Freq-Chan'!C:E,3,FALSE),"na")</f>
        <v>na</v>
      </c>
      <c r="Z2460" s="110" t="s">
        <v>541</v>
      </c>
      <c r="AA2460" s="110" t="s">
        <v>541</v>
      </c>
      <c r="AB2460" s="110" t="s">
        <v>541</v>
      </c>
      <c r="AC2460" s="10" t="s">
        <v>541</v>
      </c>
      <c r="AD2460" s="10" t="s">
        <v>541</v>
      </c>
    </row>
    <row r="2461" spans="1:30" x14ac:dyDescent="0.2">
      <c r="A2461" s="110">
        <v>2460</v>
      </c>
      <c r="B2461" s="132">
        <v>41862</v>
      </c>
      <c r="C2461" s="117">
        <v>3</v>
      </c>
      <c r="D2461" s="103" t="s">
        <v>71</v>
      </c>
      <c r="E2461" s="103" t="s">
        <v>306</v>
      </c>
      <c r="H2461" s="103"/>
      <c r="I2461" s="103">
        <v>57</v>
      </c>
      <c r="K2461" s="103" t="s">
        <v>1032</v>
      </c>
      <c r="L2461" s="133"/>
      <c r="M2461" s="134">
        <v>7.6388888888888886E-3</v>
      </c>
      <c r="N2461" s="137" t="s">
        <v>2895</v>
      </c>
      <c r="O2461" s="133" t="s">
        <v>1538</v>
      </c>
      <c r="Q2461" s="100" t="s">
        <v>4171</v>
      </c>
      <c r="R2461" s="226" t="s">
        <v>4185</v>
      </c>
      <c r="S2461" s="491" t="str">
        <f t="shared" si="79"/>
        <v>x</v>
      </c>
      <c r="T2461" s="492" t="str">
        <f>IFERROR(VLOOKUP(F2461,'Freq-Chan'!C:D,2,FALSE),"x")</f>
        <v>x</v>
      </c>
      <c r="U2461" s="110" t="s">
        <v>541</v>
      </c>
      <c r="V2461" s="110" t="str">
        <f t="shared" si="80"/>
        <v>FWL</v>
      </c>
      <c r="W2461" s="110" t="s">
        <v>541</v>
      </c>
      <c r="X2461" s="110" t="s">
        <v>541</v>
      </c>
      <c r="Y2461" s="110" t="str">
        <f>IFERROR(VLOOKUP(F2461,'Freq-Chan'!C:E,3,FALSE),"na")</f>
        <v>na</v>
      </c>
      <c r="Z2461" s="110" t="s">
        <v>541</v>
      </c>
      <c r="AA2461" s="110" t="s">
        <v>541</v>
      </c>
      <c r="AB2461" s="110" t="s">
        <v>541</v>
      </c>
      <c r="AC2461" s="10" t="s">
        <v>541</v>
      </c>
      <c r="AD2461" s="10" t="s">
        <v>541</v>
      </c>
    </row>
    <row r="2462" spans="1:30" x14ac:dyDescent="0.2">
      <c r="A2462" s="110">
        <v>2461</v>
      </c>
      <c r="B2462" s="132">
        <v>41862</v>
      </c>
      <c r="C2462" s="117">
        <v>3</v>
      </c>
      <c r="D2462" s="103" t="s">
        <v>70</v>
      </c>
      <c r="E2462" s="103" t="s">
        <v>306</v>
      </c>
      <c r="H2462" s="103"/>
      <c r="I2462" s="103">
        <v>50</v>
      </c>
      <c r="K2462" s="103" t="s">
        <v>1032</v>
      </c>
      <c r="L2462" s="133"/>
      <c r="M2462" s="134">
        <v>9.0277777777777787E-3</v>
      </c>
      <c r="N2462" s="137" t="s">
        <v>2895</v>
      </c>
      <c r="O2462" s="133" t="s">
        <v>1538</v>
      </c>
      <c r="Q2462" s="100" t="s">
        <v>4171</v>
      </c>
      <c r="R2462" s="226" t="s">
        <v>4185</v>
      </c>
      <c r="S2462" s="491" t="str">
        <f t="shared" si="79"/>
        <v>x</v>
      </c>
      <c r="T2462" s="492" t="str">
        <f>IFERROR(VLOOKUP(F2462,'Freq-Chan'!C:D,2,FALSE),"x")</f>
        <v>x</v>
      </c>
      <c r="U2462" s="110" t="s">
        <v>541</v>
      </c>
      <c r="V2462" s="110" t="str">
        <f t="shared" si="80"/>
        <v>FWL</v>
      </c>
      <c r="W2462" s="110" t="s">
        <v>541</v>
      </c>
      <c r="X2462" s="110" t="s">
        <v>541</v>
      </c>
      <c r="Y2462" s="110" t="str">
        <f>IFERROR(VLOOKUP(F2462,'Freq-Chan'!C:E,3,FALSE),"na")</f>
        <v>na</v>
      </c>
      <c r="Z2462" s="110" t="s">
        <v>541</v>
      </c>
      <c r="AA2462" s="110" t="s">
        <v>541</v>
      </c>
      <c r="AB2462" s="110" t="s">
        <v>541</v>
      </c>
      <c r="AC2462" s="10" t="s">
        <v>541</v>
      </c>
      <c r="AD2462" s="10" t="s">
        <v>541</v>
      </c>
    </row>
    <row r="2463" spans="1:30" x14ac:dyDescent="0.2">
      <c r="A2463" s="110">
        <v>2462</v>
      </c>
      <c r="B2463" s="132">
        <v>41862</v>
      </c>
      <c r="C2463" s="117">
        <v>3</v>
      </c>
      <c r="D2463" s="103" t="s">
        <v>71</v>
      </c>
      <c r="E2463" s="103" t="s">
        <v>306</v>
      </c>
      <c r="H2463" s="103"/>
      <c r="I2463" s="103">
        <v>57</v>
      </c>
      <c r="K2463" s="103" t="s">
        <v>365</v>
      </c>
      <c r="L2463" s="133"/>
      <c r="M2463" s="134">
        <v>9.7222222222222224E-3</v>
      </c>
      <c r="N2463" s="135" t="s">
        <v>3305</v>
      </c>
      <c r="O2463" s="133" t="s">
        <v>1538</v>
      </c>
      <c r="Q2463" s="100" t="s">
        <v>4171</v>
      </c>
      <c r="R2463" s="226" t="s">
        <v>4185</v>
      </c>
      <c r="S2463" s="491" t="str">
        <f t="shared" si="79"/>
        <v>x</v>
      </c>
      <c r="T2463" s="492" t="str">
        <f>IFERROR(VLOOKUP(F2463,'Freq-Chan'!C:D,2,FALSE),"x")</f>
        <v>x</v>
      </c>
      <c r="U2463" s="110" t="s">
        <v>541</v>
      </c>
      <c r="V2463" s="110" t="str">
        <f t="shared" si="80"/>
        <v>FWL</v>
      </c>
      <c r="W2463" s="110" t="s">
        <v>541</v>
      </c>
      <c r="X2463" s="110" t="s">
        <v>541</v>
      </c>
      <c r="Y2463" s="110" t="str">
        <f>IFERROR(VLOOKUP(F2463,'Freq-Chan'!C:E,3,FALSE),"na")</f>
        <v>na</v>
      </c>
      <c r="Z2463" s="110" t="s">
        <v>541</v>
      </c>
      <c r="AA2463" s="110" t="s">
        <v>541</v>
      </c>
      <c r="AB2463" s="110" t="s">
        <v>541</v>
      </c>
      <c r="AC2463" s="10" t="s">
        <v>541</v>
      </c>
      <c r="AD2463" s="10" t="s">
        <v>541</v>
      </c>
    </row>
    <row r="2464" spans="1:30" x14ac:dyDescent="0.2">
      <c r="A2464" s="110">
        <v>2463</v>
      </c>
      <c r="B2464" s="132">
        <v>41862</v>
      </c>
      <c r="C2464" s="117">
        <v>3</v>
      </c>
      <c r="D2464" s="103" t="s">
        <v>72</v>
      </c>
      <c r="E2464" s="103" t="s">
        <v>306</v>
      </c>
      <c r="F2464" s="103">
        <v>266</v>
      </c>
      <c r="G2464" s="103">
        <v>58</v>
      </c>
      <c r="H2464" s="103" t="s">
        <v>3567</v>
      </c>
      <c r="I2464" s="103">
        <v>47</v>
      </c>
      <c r="K2464" s="103" t="s">
        <v>1032</v>
      </c>
      <c r="L2464" s="133"/>
      <c r="M2464" s="134">
        <v>3.0555555555555555E-2</v>
      </c>
      <c r="N2464" s="137" t="s">
        <v>3773</v>
      </c>
      <c r="O2464" s="133" t="s">
        <v>1538</v>
      </c>
      <c r="P2464" s="100" t="s">
        <v>4466</v>
      </c>
      <c r="Q2464" s="100" t="s">
        <v>4171</v>
      </c>
      <c r="R2464" s="226" t="s">
        <v>4185</v>
      </c>
      <c r="S2464" s="491" t="str">
        <f t="shared" si="79"/>
        <v>x</v>
      </c>
      <c r="T2464" s="492">
        <f>IFERROR(VLOOKUP(F2464,'Freq-Chan'!C:D,2,FALSE),"x")</f>
        <v>151.26599999999999</v>
      </c>
      <c r="U2464" s="110" t="s">
        <v>541</v>
      </c>
      <c r="V2464" s="110" t="str">
        <f t="shared" si="80"/>
        <v>FWL</v>
      </c>
      <c r="W2464" s="110" t="s">
        <v>541</v>
      </c>
      <c r="X2464" s="110" t="s">
        <v>541</v>
      </c>
      <c r="Y2464" s="110" t="str">
        <f>IFERROR(VLOOKUP(F2464,'Freq-Chan'!C:E,3,FALSE),"na")</f>
        <v>F1840</v>
      </c>
      <c r="Z2464" s="110" t="s">
        <v>541</v>
      </c>
      <c r="AA2464" s="110" t="s">
        <v>541</v>
      </c>
      <c r="AB2464" s="110" t="s">
        <v>541</v>
      </c>
      <c r="AC2464" s="10" t="s">
        <v>541</v>
      </c>
      <c r="AD2464" s="10" t="s">
        <v>541</v>
      </c>
    </row>
    <row r="2465" spans="1:30" x14ac:dyDescent="0.2">
      <c r="A2465" s="110">
        <v>2464</v>
      </c>
      <c r="B2465" s="132">
        <v>41862</v>
      </c>
      <c r="C2465" s="117">
        <v>3</v>
      </c>
      <c r="D2465" s="103" t="s">
        <v>71</v>
      </c>
      <c r="E2465" s="103" t="s">
        <v>306</v>
      </c>
      <c r="H2465" s="103"/>
      <c r="I2465" s="103">
        <v>53</v>
      </c>
      <c r="K2465" s="103" t="s">
        <v>1032</v>
      </c>
      <c r="L2465" s="133"/>
      <c r="M2465" s="134">
        <v>1.0416666666666666E-2</v>
      </c>
      <c r="N2465" s="135" t="s">
        <v>1830</v>
      </c>
      <c r="O2465" s="133" t="s">
        <v>1538</v>
      </c>
      <c r="Q2465" s="100" t="s">
        <v>4171</v>
      </c>
      <c r="R2465" s="226" t="s">
        <v>4185</v>
      </c>
      <c r="S2465" s="491" t="str">
        <f t="shared" si="79"/>
        <v>x</v>
      </c>
      <c r="T2465" s="492" t="str">
        <f>IFERROR(VLOOKUP(F2465,'Freq-Chan'!C:D,2,FALSE),"x")</f>
        <v>x</v>
      </c>
      <c r="U2465" s="110" t="s">
        <v>541</v>
      </c>
      <c r="V2465" s="110" t="str">
        <f t="shared" si="80"/>
        <v>FWL</v>
      </c>
      <c r="W2465" s="110" t="s">
        <v>541</v>
      </c>
      <c r="X2465" s="110" t="s">
        <v>541</v>
      </c>
      <c r="Y2465" s="110" t="str">
        <f>IFERROR(VLOOKUP(F2465,'Freq-Chan'!C:E,3,FALSE),"na")</f>
        <v>na</v>
      </c>
      <c r="Z2465" s="110" t="s">
        <v>541</v>
      </c>
      <c r="AA2465" s="110" t="s">
        <v>541</v>
      </c>
      <c r="AB2465" s="110" t="s">
        <v>541</v>
      </c>
      <c r="AC2465" s="10" t="s">
        <v>541</v>
      </c>
      <c r="AD2465" s="10" t="s">
        <v>541</v>
      </c>
    </row>
    <row r="2466" spans="1:30" x14ac:dyDescent="0.2">
      <c r="A2466" s="110">
        <v>2465</v>
      </c>
      <c r="B2466" s="132">
        <v>41862</v>
      </c>
      <c r="C2466" s="117">
        <v>3</v>
      </c>
      <c r="D2466" s="103" t="s">
        <v>71</v>
      </c>
      <c r="E2466" s="103" t="s">
        <v>306</v>
      </c>
      <c r="H2466" s="103"/>
      <c r="I2466" s="103">
        <v>57</v>
      </c>
      <c r="K2466" s="103" t="s">
        <v>365</v>
      </c>
      <c r="L2466" s="133"/>
      <c r="M2466" s="134">
        <v>1.0416666666666666E-2</v>
      </c>
      <c r="N2466" s="135" t="s">
        <v>843</v>
      </c>
      <c r="O2466" s="133" t="s">
        <v>1538</v>
      </c>
      <c r="Q2466" s="100" t="s">
        <v>4171</v>
      </c>
      <c r="R2466" s="226" t="s">
        <v>4185</v>
      </c>
      <c r="S2466" s="491" t="str">
        <f t="shared" si="79"/>
        <v>x</v>
      </c>
      <c r="T2466" s="492" t="str">
        <f>IFERROR(VLOOKUP(F2466,'Freq-Chan'!C:D,2,FALSE),"x")</f>
        <v>x</v>
      </c>
      <c r="U2466" s="110" t="s">
        <v>541</v>
      </c>
      <c r="V2466" s="110" t="str">
        <f t="shared" si="80"/>
        <v>FWL</v>
      </c>
      <c r="W2466" s="110" t="s">
        <v>541</v>
      </c>
      <c r="X2466" s="110" t="s">
        <v>541</v>
      </c>
      <c r="Y2466" s="110" t="str">
        <f>IFERROR(VLOOKUP(F2466,'Freq-Chan'!C:E,3,FALSE),"na")</f>
        <v>na</v>
      </c>
      <c r="Z2466" s="110" t="s">
        <v>541</v>
      </c>
      <c r="AA2466" s="110" t="s">
        <v>541</v>
      </c>
      <c r="AB2466" s="110" t="s">
        <v>541</v>
      </c>
      <c r="AC2466" s="10" t="s">
        <v>541</v>
      </c>
      <c r="AD2466" s="10" t="s">
        <v>541</v>
      </c>
    </row>
    <row r="2467" spans="1:30" x14ac:dyDescent="0.2">
      <c r="A2467" s="110">
        <v>2466</v>
      </c>
      <c r="B2467" s="132">
        <v>41862</v>
      </c>
      <c r="C2467" s="117">
        <v>3</v>
      </c>
      <c r="D2467" s="103" t="s">
        <v>72</v>
      </c>
      <c r="E2467" s="103" t="s">
        <v>306</v>
      </c>
      <c r="F2467" s="103">
        <v>266</v>
      </c>
      <c r="G2467" s="103">
        <v>88</v>
      </c>
      <c r="H2467" s="103" t="s">
        <v>3568</v>
      </c>
      <c r="I2467" s="103">
        <v>48</v>
      </c>
      <c r="K2467" s="103" t="s">
        <v>1032</v>
      </c>
      <c r="L2467" s="133"/>
      <c r="M2467" s="134">
        <v>2.7083333333333334E-2</v>
      </c>
      <c r="N2467" s="135" t="s">
        <v>3236</v>
      </c>
      <c r="O2467" s="133" t="s">
        <v>1538</v>
      </c>
      <c r="P2467" s="100" t="s">
        <v>4466</v>
      </c>
      <c r="Q2467" s="100" t="s">
        <v>4171</v>
      </c>
      <c r="R2467" s="226" t="s">
        <v>4185</v>
      </c>
      <c r="S2467" s="491" t="str">
        <f t="shared" si="79"/>
        <v>x</v>
      </c>
      <c r="T2467" s="492">
        <f>IFERROR(VLOOKUP(F2467,'Freq-Chan'!C:D,2,FALSE),"x")</f>
        <v>151.26599999999999</v>
      </c>
      <c r="U2467" s="110" t="s">
        <v>541</v>
      </c>
      <c r="V2467" s="110" t="str">
        <f t="shared" si="80"/>
        <v>FWL</v>
      </c>
      <c r="W2467" s="110" t="s">
        <v>541</v>
      </c>
      <c r="X2467" s="110" t="s">
        <v>541</v>
      </c>
      <c r="Y2467" s="110" t="str">
        <f>IFERROR(VLOOKUP(F2467,'Freq-Chan'!C:E,3,FALSE),"na")</f>
        <v>F1840</v>
      </c>
      <c r="Z2467" s="110" t="s">
        <v>541</v>
      </c>
      <c r="AA2467" s="110" t="s">
        <v>541</v>
      </c>
      <c r="AB2467" s="110" t="s">
        <v>541</v>
      </c>
      <c r="AC2467" s="10" t="s">
        <v>541</v>
      </c>
      <c r="AD2467" s="10" t="s">
        <v>541</v>
      </c>
    </row>
    <row r="2468" spans="1:30" x14ac:dyDescent="0.2">
      <c r="A2468" s="110">
        <v>2467</v>
      </c>
      <c r="B2468" s="132">
        <v>41862</v>
      </c>
      <c r="C2468" s="117">
        <v>3</v>
      </c>
      <c r="D2468" s="103" t="s">
        <v>71</v>
      </c>
      <c r="E2468" s="103" t="s">
        <v>306</v>
      </c>
      <c r="H2468" s="103"/>
      <c r="I2468" s="103">
        <v>60</v>
      </c>
      <c r="K2468" s="103" t="s">
        <v>1032</v>
      </c>
      <c r="L2468" s="133"/>
      <c r="M2468" s="134">
        <v>1.1805555555555555E-2</v>
      </c>
      <c r="N2468" s="137" t="s">
        <v>2619</v>
      </c>
      <c r="O2468" s="133" t="s">
        <v>1538</v>
      </c>
      <c r="Q2468" s="100" t="s">
        <v>4171</v>
      </c>
      <c r="R2468" s="226" t="s">
        <v>4185</v>
      </c>
      <c r="S2468" s="491" t="str">
        <f t="shared" si="79"/>
        <v>x</v>
      </c>
      <c r="T2468" s="492" t="str">
        <f>IFERROR(VLOOKUP(F2468,'Freq-Chan'!C:D,2,FALSE),"x")</f>
        <v>x</v>
      </c>
      <c r="U2468" s="110" t="s">
        <v>541</v>
      </c>
      <c r="V2468" s="110" t="str">
        <f t="shared" si="80"/>
        <v>FWL</v>
      </c>
      <c r="W2468" s="110" t="s">
        <v>541</v>
      </c>
      <c r="X2468" s="110" t="s">
        <v>541</v>
      </c>
      <c r="Y2468" s="110" t="str">
        <f>IFERROR(VLOOKUP(F2468,'Freq-Chan'!C:E,3,FALSE),"na")</f>
        <v>na</v>
      </c>
      <c r="Z2468" s="110" t="s">
        <v>541</v>
      </c>
      <c r="AA2468" s="110" t="s">
        <v>541</v>
      </c>
      <c r="AB2468" s="110" t="s">
        <v>541</v>
      </c>
      <c r="AC2468" s="10" t="s">
        <v>541</v>
      </c>
      <c r="AD2468" s="10" t="s">
        <v>541</v>
      </c>
    </row>
    <row r="2469" spans="1:30" x14ac:dyDescent="0.2">
      <c r="A2469" s="110">
        <v>2468</v>
      </c>
      <c r="B2469" s="132">
        <v>41862</v>
      </c>
      <c r="C2469" s="117">
        <v>3</v>
      </c>
      <c r="D2469" s="103" t="s">
        <v>8</v>
      </c>
      <c r="E2469" s="103" t="s">
        <v>306</v>
      </c>
      <c r="F2469" s="103">
        <v>573</v>
      </c>
      <c r="G2469" s="103">
        <v>76</v>
      </c>
      <c r="H2469" s="103" t="s">
        <v>2236</v>
      </c>
      <c r="I2469" s="103">
        <v>51</v>
      </c>
      <c r="K2469" s="103" t="s">
        <v>1032</v>
      </c>
      <c r="L2469" s="133"/>
      <c r="M2469" s="134">
        <v>3.1944444444444449E-2</v>
      </c>
      <c r="N2469" s="137" t="s">
        <v>2588</v>
      </c>
      <c r="O2469" s="133" t="s">
        <v>1538</v>
      </c>
      <c r="Q2469" s="100" t="s">
        <v>4171</v>
      </c>
      <c r="R2469" s="226" t="s">
        <v>4185</v>
      </c>
      <c r="S2469" s="491" t="str">
        <f t="shared" si="79"/>
        <v>x</v>
      </c>
      <c r="T2469" s="492">
        <f>IFERROR(VLOOKUP(F2469,'Freq-Chan'!C:D,2,FALSE),"x")</f>
        <v>151.57300000000001</v>
      </c>
      <c r="U2469" s="110" t="s">
        <v>541</v>
      </c>
      <c r="V2469" s="110" t="str">
        <f t="shared" si="80"/>
        <v>FWL</v>
      </c>
      <c r="W2469" s="110" t="s">
        <v>541</v>
      </c>
      <c r="X2469" s="110" t="s">
        <v>541</v>
      </c>
      <c r="Y2469" s="110" t="str">
        <f>IFERROR(VLOOKUP(F2469,'Freq-Chan'!C:E,3,FALSE),"na")</f>
        <v>F1840</v>
      </c>
      <c r="Z2469" s="110" t="s">
        <v>541</v>
      </c>
      <c r="AA2469" s="110" t="s">
        <v>541</v>
      </c>
      <c r="AB2469" s="110" t="s">
        <v>541</v>
      </c>
      <c r="AC2469" s="10" t="s">
        <v>541</v>
      </c>
      <c r="AD2469" s="10" t="s">
        <v>541</v>
      </c>
    </row>
    <row r="2470" spans="1:30" x14ac:dyDescent="0.2">
      <c r="A2470" s="110">
        <v>2469</v>
      </c>
      <c r="B2470" s="132">
        <v>41862</v>
      </c>
      <c r="C2470" s="117">
        <v>3</v>
      </c>
      <c r="D2470" s="103" t="s">
        <v>71</v>
      </c>
      <c r="E2470" s="103" t="s">
        <v>306</v>
      </c>
      <c r="H2470" s="103"/>
      <c r="I2470" s="103">
        <v>59</v>
      </c>
      <c r="K2470" s="103" t="s">
        <v>365</v>
      </c>
      <c r="L2470" s="133"/>
      <c r="M2470" s="134">
        <v>9.0277777777777787E-3</v>
      </c>
      <c r="N2470" s="135" t="s">
        <v>3286</v>
      </c>
      <c r="O2470" s="133" t="s">
        <v>1538</v>
      </c>
      <c r="Q2470" s="100" t="s">
        <v>4171</v>
      </c>
      <c r="R2470" s="226" t="s">
        <v>4185</v>
      </c>
      <c r="S2470" s="491" t="str">
        <f t="shared" si="79"/>
        <v>x</v>
      </c>
      <c r="T2470" s="492" t="str">
        <f>IFERROR(VLOOKUP(F2470,'Freq-Chan'!C:D,2,FALSE),"x")</f>
        <v>x</v>
      </c>
      <c r="U2470" s="110" t="s">
        <v>541</v>
      </c>
      <c r="V2470" s="110" t="str">
        <f t="shared" si="80"/>
        <v>FWL</v>
      </c>
      <c r="W2470" s="110" t="s">
        <v>541</v>
      </c>
      <c r="X2470" s="110" t="s">
        <v>541</v>
      </c>
      <c r="Y2470" s="110" t="str">
        <f>IFERROR(VLOOKUP(F2470,'Freq-Chan'!C:E,3,FALSE),"na")</f>
        <v>na</v>
      </c>
      <c r="Z2470" s="110" t="s">
        <v>541</v>
      </c>
      <c r="AA2470" s="110" t="s">
        <v>541</v>
      </c>
      <c r="AB2470" s="110" t="s">
        <v>541</v>
      </c>
      <c r="AC2470" s="10" t="s">
        <v>541</v>
      </c>
      <c r="AD2470" s="10" t="s">
        <v>541</v>
      </c>
    </row>
    <row r="2471" spans="1:30" x14ac:dyDescent="0.2">
      <c r="A2471" s="110">
        <v>2470</v>
      </c>
      <c r="B2471" s="132">
        <v>41862</v>
      </c>
      <c r="C2471" s="117">
        <v>3</v>
      </c>
      <c r="D2471" s="103" t="s">
        <v>72</v>
      </c>
      <c r="E2471" s="103" t="s">
        <v>306</v>
      </c>
      <c r="F2471" s="103">
        <v>325</v>
      </c>
      <c r="G2471" s="103">
        <v>37</v>
      </c>
      <c r="H2471" s="103" t="s">
        <v>3569</v>
      </c>
      <c r="I2471" s="103">
        <v>55</v>
      </c>
      <c r="K2471" s="103" t="s">
        <v>365</v>
      </c>
      <c r="L2471" s="133"/>
      <c r="M2471" s="134">
        <v>3.0555555555555555E-2</v>
      </c>
      <c r="N2471" s="135" t="s">
        <v>2685</v>
      </c>
      <c r="O2471" s="133" t="s">
        <v>1663</v>
      </c>
      <c r="Q2471" s="100" t="s">
        <v>4171</v>
      </c>
      <c r="R2471" s="226" t="s">
        <v>4185</v>
      </c>
      <c r="S2471" s="491" t="str">
        <f t="shared" si="79"/>
        <v>x</v>
      </c>
      <c r="T2471" s="492">
        <f>IFERROR(VLOOKUP(F2471,'Freq-Chan'!C:D,2,FALSE),"x")</f>
        <v>151.32499999999999</v>
      </c>
      <c r="U2471" s="110" t="s">
        <v>541</v>
      </c>
      <c r="V2471" s="110" t="str">
        <f t="shared" si="80"/>
        <v>FWL</v>
      </c>
      <c r="W2471" s="110" t="s">
        <v>541</v>
      </c>
      <c r="X2471" s="110" t="s">
        <v>541</v>
      </c>
      <c r="Y2471" s="110" t="str">
        <f>IFERROR(VLOOKUP(F2471,'Freq-Chan'!C:E,3,FALSE),"na")</f>
        <v>F1840</v>
      </c>
      <c r="Z2471" s="110" t="s">
        <v>541</v>
      </c>
      <c r="AA2471" s="110" t="s">
        <v>541</v>
      </c>
      <c r="AB2471" s="110" t="s">
        <v>541</v>
      </c>
      <c r="AC2471" s="10" t="s">
        <v>541</v>
      </c>
      <c r="AD2471" s="10" t="s">
        <v>541</v>
      </c>
    </row>
    <row r="2472" spans="1:30" x14ac:dyDescent="0.2">
      <c r="A2472" s="110">
        <v>2471</v>
      </c>
      <c r="B2472" s="132">
        <v>41862</v>
      </c>
      <c r="C2472" s="117">
        <v>3</v>
      </c>
      <c r="D2472" s="103" t="s">
        <v>75</v>
      </c>
      <c r="E2472" s="103" t="s">
        <v>798</v>
      </c>
      <c r="H2472" s="103"/>
      <c r="J2472" s="103">
        <v>19</v>
      </c>
      <c r="K2472" s="103" t="s">
        <v>364</v>
      </c>
      <c r="L2472" s="133"/>
      <c r="M2472" s="134">
        <v>1.3888888888888888E-2</v>
      </c>
      <c r="N2472" s="135" t="s">
        <v>502</v>
      </c>
      <c r="O2472" s="133" t="s">
        <v>1538</v>
      </c>
      <c r="Q2472" s="100" t="s">
        <v>4171</v>
      </c>
      <c r="R2472" s="226" t="s">
        <v>4185</v>
      </c>
      <c r="S2472" s="491" t="str">
        <f t="shared" si="79"/>
        <v>x</v>
      </c>
      <c r="T2472" s="492" t="str">
        <f>IFERROR(VLOOKUP(F2472,'Freq-Chan'!C:D,2,FALSE),"x")</f>
        <v>x</v>
      </c>
      <c r="U2472" s="110" t="s">
        <v>541</v>
      </c>
      <c r="V2472" s="110" t="str">
        <f t="shared" si="80"/>
        <v>FWL</v>
      </c>
      <c r="W2472" s="110" t="s">
        <v>541</v>
      </c>
      <c r="X2472" s="110" t="s">
        <v>541</v>
      </c>
      <c r="Y2472" s="110" t="str">
        <f>IFERROR(VLOOKUP(F2472,'Freq-Chan'!C:E,3,FALSE),"na")</f>
        <v>na</v>
      </c>
      <c r="Z2472" s="110" t="s">
        <v>541</v>
      </c>
      <c r="AA2472" s="110" t="s">
        <v>541</v>
      </c>
      <c r="AB2472" s="110" t="s">
        <v>541</v>
      </c>
      <c r="AC2472" s="10" t="s">
        <v>541</v>
      </c>
      <c r="AD2472" s="10" t="s">
        <v>541</v>
      </c>
    </row>
    <row r="2473" spans="1:30" x14ac:dyDescent="0.2">
      <c r="A2473" s="110">
        <v>2472</v>
      </c>
      <c r="B2473" s="132">
        <v>41862</v>
      </c>
      <c r="C2473" s="117">
        <v>3</v>
      </c>
      <c r="D2473" s="103" t="s">
        <v>8</v>
      </c>
      <c r="E2473" s="103" t="s">
        <v>306</v>
      </c>
      <c r="F2473" s="103">
        <v>573</v>
      </c>
      <c r="G2473" s="103">
        <v>22</v>
      </c>
      <c r="H2473" s="103" t="s">
        <v>2245</v>
      </c>
      <c r="I2473" s="103">
        <v>45</v>
      </c>
      <c r="K2473" s="103" t="s">
        <v>365</v>
      </c>
      <c r="L2473" s="133"/>
      <c r="M2473" s="134">
        <v>3.3333333333333333E-2</v>
      </c>
      <c r="N2473" s="135" t="s">
        <v>3486</v>
      </c>
      <c r="O2473" s="133" t="s">
        <v>1663</v>
      </c>
      <c r="Q2473" s="100" t="s">
        <v>4171</v>
      </c>
      <c r="R2473" s="226" t="s">
        <v>4185</v>
      </c>
      <c r="S2473" s="491" t="str">
        <f t="shared" si="79"/>
        <v>x</v>
      </c>
      <c r="T2473" s="492">
        <f>IFERROR(VLOOKUP(F2473,'Freq-Chan'!C:D,2,FALSE),"x")</f>
        <v>151.57300000000001</v>
      </c>
      <c r="U2473" s="110" t="s">
        <v>541</v>
      </c>
      <c r="V2473" s="110" t="str">
        <f t="shared" si="80"/>
        <v>FWL</v>
      </c>
      <c r="W2473" s="110" t="s">
        <v>541</v>
      </c>
      <c r="X2473" s="110" t="s">
        <v>541</v>
      </c>
      <c r="Y2473" s="110" t="str">
        <f>IFERROR(VLOOKUP(F2473,'Freq-Chan'!C:E,3,FALSE),"na")</f>
        <v>F1840</v>
      </c>
      <c r="Z2473" s="110" t="s">
        <v>541</v>
      </c>
      <c r="AA2473" s="110" t="s">
        <v>541</v>
      </c>
      <c r="AB2473" s="110" t="s">
        <v>541</v>
      </c>
      <c r="AC2473" s="10" t="s">
        <v>541</v>
      </c>
      <c r="AD2473" s="10" t="s">
        <v>541</v>
      </c>
    </row>
    <row r="2474" spans="1:30" x14ac:dyDescent="0.2">
      <c r="A2474" s="110">
        <v>2474</v>
      </c>
      <c r="B2474" s="132">
        <v>41862</v>
      </c>
      <c r="C2474" s="117">
        <v>3</v>
      </c>
      <c r="D2474" s="103" t="s">
        <v>8</v>
      </c>
      <c r="E2474" s="103" t="s">
        <v>306</v>
      </c>
      <c r="F2474" s="103">
        <v>586</v>
      </c>
      <c r="G2474" s="103">
        <v>70</v>
      </c>
      <c r="H2474" s="103" t="s">
        <v>2244</v>
      </c>
      <c r="I2474" s="103">
        <v>54</v>
      </c>
      <c r="K2474" s="103" t="s">
        <v>365</v>
      </c>
      <c r="L2474" s="133"/>
      <c r="M2474" s="134">
        <v>3.4027777777777775E-2</v>
      </c>
      <c r="N2474" s="135" t="s">
        <v>712</v>
      </c>
      <c r="O2474" s="133" t="s">
        <v>1663</v>
      </c>
      <c r="P2474" s="100" t="s">
        <v>4181</v>
      </c>
      <c r="Q2474" s="100" t="s">
        <v>4171</v>
      </c>
      <c r="R2474" s="226" t="s">
        <v>4185</v>
      </c>
      <c r="S2474" s="491" t="str">
        <f t="shared" si="79"/>
        <v>x</v>
      </c>
      <c r="T2474" s="492">
        <f>IFERROR(VLOOKUP(F2474,'Freq-Chan'!C:D,2,FALSE),"x")</f>
        <v>151.58600000000001</v>
      </c>
      <c r="U2474" s="110" t="s">
        <v>541</v>
      </c>
      <c r="V2474" s="110" t="str">
        <f t="shared" si="80"/>
        <v>FWL</v>
      </c>
      <c r="W2474" s="110" t="s">
        <v>541</v>
      </c>
      <c r="X2474" s="110" t="s">
        <v>541</v>
      </c>
      <c r="Y2474" s="110" t="str">
        <f>IFERROR(VLOOKUP(F2474,'Freq-Chan'!C:E,3,FALSE),"na")</f>
        <v>F1840</v>
      </c>
      <c r="Z2474" s="110" t="s">
        <v>541</v>
      </c>
      <c r="AA2474" s="110" t="s">
        <v>541</v>
      </c>
      <c r="AB2474" s="110" t="s">
        <v>541</v>
      </c>
      <c r="AC2474" s="10" t="s">
        <v>541</v>
      </c>
      <c r="AD2474" s="10" t="s">
        <v>541</v>
      </c>
    </row>
    <row r="2475" spans="1:30" x14ac:dyDescent="0.2">
      <c r="A2475" s="110">
        <v>2475</v>
      </c>
      <c r="B2475" s="132">
        <v>41862</v>
      </c>
      <c r="C2475" s="117">
        <v>3</v>
      </c>
      <c r="D2475" s="103" t="s">
        <v>72</v>
      </c>
      <c r="E2475" s="103" t="s">
        <v>306</v>
      </c>
      <c r="H2475" s="103"/>
      <c r="I2475" s="103">
        <v>42</v>
      </c>
      <c r="K2475" s="103" t="s">
        <v>364</v>
      </c>
      <c r="L2475" s="133"/>
      <c r="M2475" s="134">
        <v>2.0833333333333332E-2</v>
      </c>
      <c r="N2475" s="137" t="s">
        <v>4179</v>
      </c>
      <c r="O2475" s="133" t="s">
        <v>1663</v>
      </c>
      <c r="Q2475" s="100" t="s">
        <v>4171</v>
      </c>
      <c r="R2475" s="226" t="s">
        <v>4185</v>
      </c>
      <c r="S2475" s="491" t="str">
        <f t="shared" si="79"/>
        <v>x</v>
      </c>
      <c r="T2475" s="492" t="str">
        <f>IFERROR(VLOOKUP(F2475,'Freq-Chan'!C:D,2,FALSE),"x")</f>
        <v>x</v>
      </c>
      <c r="U2475" s="110" t="s">
        <v>541</v>
      </c>
      <c r="V2475" s="110" t="str">
        <f t="shared" si="80"/>
        <v>FWL</v>
      </c>
      <c r="W2475" s="110" t="s">
        <v>541</v>
      </c>
      <c r="X2475" s="110" t="s">
        <v>541</v>
      </c>
      <c r="Y2475" s="110" t="str">
        <f>IFERROR(VLOOKUP(F2475,'Freq-Chan'!C:E,3,FALSE),"na")</f>
        <v>na</v>
      </c>
      <c r="Z2475" s="110" t="s">
        <v>541</v>
      </c>
      <c r="AA2475" s="110" t="s">
        <v>541</v>
      </c>
      <c r="AB2475" s="110" t="s">
        <v>541</v>
      </c>
      <c r="AC2475" s="10" t="s">
        <v>541</v>
      </c>
      <c r="AD2475" s="10" t="s">
        <v>541</v>
      </c>
    </row>
    <row r="2476" spans="1:30" x14ac:dyDescent="0.2">
      <c r="A2476" s="110">
        <v>2476</v>
      </c>
      <c r="B2476" s="132">
        <v>41862</v>
      </c>
      <c r="C2476" s="117">
        <v>3</v>
      </c>
      <c r="D2476" s="103" t="s">
        <v>70</v>
      </c>
      <c r="E2476" s="103" t="s">
        <v>306</v>
      </c>
      <c r="F2476" s="103">
        <v>596</v>
      </c>
      <c r="G2476" s="103">
        <v>30</v>
      </c>
      <c r="H2476" s="103" t="s">
        <v>3118</v>
      </c>
      <c r="I2476" s="103">
        <v>41</v>
      </c>
      <c r="K2476" s="103" t="s">
        <v>1032</v>
      </c>
      <c r="L2476" s="133"/>
      <c r="M2476" s="134">
        <v>3.9583333333333331E-2</v>
      </c>
      <c r="N2476" s="137" t="s">
        <v>4001</v>
      </c>
      <c r="O2476" s="133" t="s">
        <v>372</v>
      </c>
      <c r="Q2476" s="100" t="s">
        <v>4172</v>
      </c>
      <c r="R2476" s="226" t="s">
        <v>4185</v>
      </c>
      <c r="S2476" s="491" t="str">
        <f t="shared" si="79"/>
        <v>x</v>
      </c>
      <c r="T2476" s="492">
        <f>IFERROR(VLOOKUP(F2476,'Freq-Chan'!C:D,2,FALSE),"x")</f>
        <v>151.596</v>
      </c>
      <c r="U2476" s="110" t="s">
        <v>541</v>
      </c>
      <c r="V2476" s="110" t="str">
        <f t="shared" si="80"/>
        <v>FWL</v>
      </c>
      <c r="W2476" s="110" t="s">
        <v>541</v>
      </c>
      <c r="X2476" s="110" t="s">
        <v>541</v>
      </c>
      <c r="Y2476" s="110" t="str">
        <f>IFERROR(VLOOKUP(F2476,'Freq-Chan'!C:E,3,FALSE),"na")</f>
        <v>F1835</v>
      </c>
      <c r="Z2476" s="110" t="s">
        <v>541</v>
      </c>
      <c r="AA2476" s="110" t="s">
        <v>541</v>
      </c>
      <c r="AB2476" s="110" t="s">
        <v>541</v>
      </c>
      <c r="AC2476" s="10" t="s">
        <v>541</v>
      </c>
      <c r="AD2476" s="10" t="s">
        <v>541</v>
      </c>
    </row>
    <row r="2477" spans="1:30" x14ac:dyDescent="0.2">
      <c r="A2477" s="110">
        <v>2477</v>
      </c>
      <c r="B2477" s="132">
        <v>41862</v>
      </c>
      <c r="C2477" s="117">
        <v>3</v>
      </c>
      <c r="D2477" s="103" t="s">
        <v>71</v>
      </c>
      <c r="E2477" s="103" t="s">
        <v>306</v>
      </c>
      <c r="F2477" s="103">
        <v>564</v>
      </c>
      <c r="G2477" s="103">
        <v>80</v>
      </c>
      <c r="H2477" s="103" t="s">
        <v>2427</v>
      </c>
      <c r="I2477" s="103">
        <v>51</v>
      </c>
      <c r="K2477" s="103" t="s">
        <v>365</v>
      </c>
      <c r="L2477" s="133"/>
      <c r="M2477" s="134">
        <v>5.347222222222222E-2</v>
      </c>
      <c r="N2477" s="137" t="s">
        <v>1741</v>
      </c>
      <c r="O2477" s="133" t="s">
        <v>1888</v>
      </c>
      <c r="Q2477" s="100" t="s">
        <v>4172</v>
      </c>
      <c r="R2477" s="226" t="s">
        <v>4185</v>
      </c>
      <c r="S2477" s="491" t="str">
        <f t="shared" si="79"/>
        <v>x</v>
      </c>
      <c r="T2477" s="492">
        <f>IFERROR(VLOOKUP(F2477,'Freq-Chan'!C:D,2,FALSE),"x")</f>
        <v>151.56399999999999</v>
      </c>
      <c r="U2477" s="110" t="s">
        <v>541</v>
      </c>
      <c r="V2477" s="110" t="str">
        <f t="shared" si="80"/>
        <v>FWL</v>
      </c>
      <c r="W2477" s="110" t="s">
        <v>541</v>
      </c>
      <c r="X2477" s="110" t="s">
        <v>541</v>
      </c>
      <c r="Y2477" s="110" t="str">
        <f>IFERROR(VLOOKUP(F2477,'Freq-Chan'!C:E,3,FALSE),"na")</f>
        <v>F1840</v>
      </c>
      <c r="Z2477" s="110" t="s">
        <v>541</v>
      </c>
      <c r="AA2477" s="110" t="s">
        <v>541</v>
      </c>
      <c r="AB2477" s="110" t="s">
        <v>541</v>
      </c>
      <c r="AC2477" s="10" t="s">
        <v>541</v>
      </c>
      <c r="AD2477" s="10" t="s">
        <v>541</v>
      </c>
    </row>
    <row r="2478" spans="1:30" x14ac:dyDescent="0.2">
      <c r="A2478" s="110">
        <v>2478</v>
      </c>
      <c r="B2478" s="132">
        <v>41862</v>
      </c>
      <c r="C2478" s="117">
        <v>3</v>
      </c>
      <c r="D2478" s="103" t="s">
        <v>8</v>
      </c>
      <c r="E2478" s="103" t="s">
        <v>306</v>
      </c>
      <c r="F2478" s="103">
        <v>586</v>
      </c>
      <c r="G2478" s="103">
        <v>24</v>
      </c>
      <c r="H2478" s="103" t="s">
        <v>2249</v>
      </c>
      <c r="I2478" s="103">
        <v>46</v>
      </c>
      <c r="K2478" s="103" t="s">
        <v>364</v>
      </c>
      <c r="L2478" s="133"/>
      <c r="M2478" s="134">
        <v>5.4166666666666669E-2</v>
      </c>
      <c r="N2478" s="137" t="s">
        <v>3229</v>
      </c>
      <c r="O2478" s="133" t="s">
        <v>1888</v>
      </c>
      <c r="Q2478" s="100" t="s">
        <v>4172</v>
      </c>
      <c r="R2478" s="226" t="s">
        <v>4185</v>
      </c>
      <c r="S2478" s="491" t="str">
        <f t="shared" si="79"/>
        <v>x</v>
      </c>
      <c r="T2478" s="492">
        <f>IFERROR(VLOOKUP(F2478,'Freq-Chan'!C:D,2,FALSE),"x")</f>
        <v>151.58600000000001</v>
      </c>
      <c r="U2478" s="110" t="s">
        <v>541</v>
      </c>
      <c r="V2478" s="110" t="str">
        <f t="shared" si="80"/>
        <v>FWL</v>
      </c>
      <c r="W2478" s="110" t="s">
        <v>541</v>
      </c>
      <c r="X2478" s="110" t="s">
        <v>541</v>
      </c>
      <c r="Y2478" s="110" t="str">
        <f>IFERROR(VLOOKUP(F2478,'Freq-Chan'!C:E,3,FALSE),"na")</f>
        <v>F1840</v>
      </c>
      <c r="Z2478" s="110" t="s">
        <v>541</v>
      </c>
      <c r="AA2478" s="110" t="s">
        <v>541</v>
      </c>
      <c r="AB2478" s="110" t="s">
        <v>541</v>
      </c>
      <c r="AC2478" s="10" t="s">
        <v>541</v>
      </c>
      <c r="AD2478" s="10" t="s">
        <v>541</v>
      </c>
    </row>
    <row r="2479" spans="1:30" x14ac:dyDescent="0.2">
      <c r="A2479" s="110">
        <v>2479</v>
      </c>
      <c r="B2479" s="132">
        <v>41862</v>
      </c>
      <c r="C2479" s="117">
        <v>3</v>
      </c>
      <c r="D2479" s="103" t="s">
        <v>8</v>
      </c>
      <c r="E2479" s="103" t="s">
        <v>306</v>
      </c>
      <c r="F2479" s="103">
        <v>586</v>
      </c>
      <c r="G2479" s="103">
        <v>36</v>
      </c>
      <c r="H2479" s="103" t="s">
        <v>2250</v>
      </c>
      <c r="I2479" s="103">
        <v>50</v>
      </c>
      <c r="K2479" s="103" t="s">
        <v>1032</v>
      </c>
      <c r="L2479" s="133"/>
      <c r="M2479" s="134">
        <v>0.11319444444444444</v>
      </c>
      <c r="N2479" s="137" t="s">
        <v>3434</v>
      </c>
      <c r="O2479" s="133" t="s">
        <v>372</v>
      </c>
      <c r="Q2479" s="100" t="s">
        <v>4172</v>
      </c>
      <c r="R2479" s="226" t="s">
        <v>4185</v>
      </c>
      <c r="S2479" s="491" t="str">
        <f t="shared" si="79"/>
        <v>x</v>
      </c>
      <c r="T2479" s="492">
        <f>IFERROR(VLOOKUP(F2479,'Freq-Chan'!C:D,2,FALSE),"x")</f>
        <v>151.58600000000001</v>
      </c>
      <c r="U2479" s="110" t="s">
        <v>541</v>
      </c>
      <c r="V2479" s="110" t="str">
        <f t="shared" si="80"/>
        <v>FWL</v>
      </c>
      <c r="W2479" s="110" t="s">
        <v>541</v>
      </c>
      <c r="X2479" s="110" t="s">
        <v>541</v>
      </c>
      <c r="Y2479" s="110" t="str">
        <f>IFERROR(VLOOKUP(F2479,'Freq-Chan'!C:E,3,FALSE),"na")</f>
        <v>F1840</v>
      </c>
      <c r="Z2479" s="110" t="s">
        <v>541</v>
      </c>
      <c r="AA2479" s="110" t="s">
        <v>541</v>
      </c>
      <c r="AB2479" s="110" t="s">
        <v>541</v>
      </c>
      <c r="AC2479" s="10" t="s">
        <v>541</v>
      </c>
      <c r="AD2479" s="10" t="s">
        <v>541</v>
      </c>
    </row>
    <row r="2480" spans="1:30" x14ac:dyDescent="0.2">
      <c r="A2480" s="110">
        <v>2480</v>
      </c>
      <c r="B2480" s="132">
        <v>41862</v>
      </c>
      <c r="C2480" s="117">
        <v>3</v>
      </c>
      <c r="D2480" s="103" t="s">
        <v>8</v>
      </c>
      <c r="E2480" s="103" t="s">
        <v>306</v>
      </c>
      <c r="F2480" s="103">
        <v>573</v>
      </c>
      <c r="G2480" s="103">
        <v>55</v>
      </c>
      <c r="H2480" s="103" t="s">
        <v>2251</v>
      </c>
      <c r="I2480" s="103">
        <v>48</v>
      </c>
      <c r="K2480" s="103" t="s">
        <v>365</v>
      </c>
      <c r="L2480" s="133"/>
      <c r="M2480" s="134">
        <v>4.7222222222222221E-2</v>
      </c>
      <c r="N2480" s="137" t="s">
        <v>772</v>
      </c>
      <c r="O2480" s="133" t="s">
        <v>372</v>
      </c>
      <c r="Q2480" s="100" t="s">
        <v>4172</v>
      </c>
      <c r="R2480" s="226" t="s">
        <v>4185</v>
      </c>
      <c r="S2480" s="491" t="str">
        <f t="shared" si="79"/>
        <v>x</v>
      </c>
      <c r="T2480" s="492">
        <f>IFERROR(VLOOKUP(F2480,'Freq-Chan'!C:D,2,FALSE),"x")</f>
        <v>151.57300000000001</v>
      </c>
      <c r="U2480" s="110" t="s">
        <v>541</v>
      </c>
      <c r="V2480" s="110" t="str">
        <f t="shared" si="80"/>
        <v>FWL</v>
      </c>
      <c r="W2480" s="110" t="s">
        <v>541</v>
      </c>
      <c r="X2480" s="110" t="s">
        <v>541</v>
      </c>
      <c r="Y2480" s="110" t="str">
        <f>IFERROR(VLOOKUP(F2480,'Freq-Chan'!C:E,3,FALSE),"na")</f>
        <v>F1840</v>
      </c>
      <c r="Z2480" s="110" t="s">
        <v>541</v>
      </c>
      <c r="AA2480" s="110" t="s">
        <v>541</v>
      </c>
      <c r="AB2480" s="110" t="s">
        <v>541</v>
      </c>
      <c r="AC2480" s="10" t="s">
        <v>541</v>
      </c>
      <c r="AD2480" s="10" t="s">
        <v>541</v>
      </c>
    </row>
    <row r="2481" spans="1:30" x14ac:dyDescent="0.2">
      <c r="A2481" s="110">
        <v>2481</v>
      </c>
      <c r="B2481" s="132">
        <v>41862</v>
      </c>
      <c r="C2481" s="117">
        <v>3</v>
      </c>
      <c r="D2481" s="103" t="s">
        <v>72</v>
      </c>
      <c r="E2481" s="103" t="s">
        <v>306</v>
      </c>
      <c r="H2481" s="103"/>
      <c r="I2481" s="103">
        <v>57</v>
      </c>
      <c r="K2481" s="103" t="s">
        <v>364</v>
      </c>
      <c r="L2481" s="133"/>
      <c r="M2481" s="134">
        <v>2.0833333333333332E-2</v>
      </c>
      <c r="N2481" s="137" t="s">
        <v>1773</v>
      </c>
      <c r="O2481" s="133" t="s">
        <v>372</v>
      </c>
      <c r="Q2481" s="100" t="s">
        <v>4172</v>
      </c>
      <c r="R2481" s="226" t="s">
        <v>4185</v>
      </c>
      <c r="S2481" s="491" t="str">
        <f t="shared" si="79"/>
        <v>x</v>
      </c>
      <c r="T2481" s="492" t="str">
        <f>IFERROR(VLOOKUP(F2481,'Freq-Chan'!C:D,2,FALSE),"x")</f>
        <v>x</v>
      </c>
      <c r="U2481" s="110" t="s">
        <v>541</v>
      </c>
      <c r="V2481" s="110" t="str">
        <f t="shared" si="80"/>
        <v>FWL</v>
      </c>
      <c r="W2481" s="110" t="s">
        <v>541</v>
      </c>
      <c r="X2481" s="110" t="s">
        <v>541</v>
      </c>
      <c r="Y2481" s="110" t="str">
        <f>IFERROR(VLOOKUP(F2481,'Freq-Chan'!C:E,3,FALSE),"na")</f>
        <v>na</v>
      </c>
      <c r="Z2481" s="110" t="s">
        <v>541</v>
      </c>
      <c r="AA2481" s="110" t="s">
        <v>541</v>
      </c>
      <c r="AB2481" s="110" t="s">
        <v>541</v>
      </c>
      <c r="AC2481" s="10" t="s">
        <v>541</v>
      </c>
      <c r="AD2481" s="10" t="s">
        <v>541</v>
      </c>
    </row>
    <row r="2482" spans="1:30" s="291" customFormat="1" x14ac:dyDescent="0.2">
      <c r="A2482" s="493">
        <v>2482</v>
      </c>
      <c r="B2482" s="283">
        <v>41862</v>
      </c>
      <c r="C2482" s="284">
        <v>3</v>
      </c>
      <c r="D2482" s="285" t="s">
        <v>72</v>
      </c>
      <c r="E2482" s="285" t="s">
        <v>306</v>
      </c>
      <c r="F2482" s="285"/>
      <c r="G2482" s="285"/>
      <c r="H2482" s="285"/>
      <c r="I2482" s="285">
        <v>58</v>
      </c>
      <c r="J2482" s="285"/>
      <c r="K2482" s="285" t="s">
        <v>364</v>
      </c>
      <c r="L2482" s="286"/>
      <c r="M2482" s="287">
        <v>2.2222222222222223E-2</v>
      </c>
      <c r="N2482" s="339" t="s">
        <v>3166</v>
      </c>
      <c r="O2482" s="286" t="s">
        <v>372</v>
      </c>
      <c r="P2482" s="289"/>
      <c r="Q2482" s="289" t="s">
        <v>4172</v>
      </c>
      <c r="R2482" s="290" t="s">
        <v>4185</v>
      </c>
      <c r="S2482" s="494" t="str">
        <f t="shared" ref="S2482:S2545" si="81">IF(IF(OR(L2482=0,N2482=0),"x",ROUND(N2482-L2482-(M2482*24)/(24*60),10))&lt;0,0,IF(OR(L2482=0,N2482=0),"x",ROUND(N2482-L2482-(M2482*24)/(24*60),10)))</f>
        <v>x</v>
      </c>
      <c r="T2482" s="495" t="str">
        <f>IFERROR(VLOOKUP(F2482,'Freq-Chan'!C:D,2,FALSE),"x")</f>
        <v>x</v>
      </c>
      <c r="U2482" s="493" t="s">
        <v>541</v>
      </c>
      <c r="V2482" s="493" t="str">
        <f t="shared" ref="V2482:V2545" si="82">IF(OR(C2482=1,C2482=2,C2482=3),"FWL","NRD")</f>
        <v>FWL</v>
      </c>
      <c r="W2482" s="493" t="s">
        <v>541</v>
      </c>
      <c r="X2482" s="493" t="s">
        <v>541</v>
      </c>
      <c r="Y2482" s="493" t="str">
        <f>IFERROR(VLOOKUP(F2482,'Freq-Chan'!C:E,3,FALSE),"na")</f>
        <v>na</v>
      </c>
      <c r="Z2482" s="493" t="s">
        <v>541</v>
      </c>
      <c r="AA2482" s="493" t="s">
        <v>541</v>
      </c>
      <c r="AB2482" s="493" t="s">
        <v>541</v>
      </c>
      <c r="AC2482" s="291" t="s">
        <v>541</v>
      </c>
      <c r="AD2482" s="291" t="s">
        <v>541</v>
      </c>
    </row>
    <row r="2483" spans="1:30" x14ac:dyDescent="0.2">
      <c r="A2483" s="110">
        <v>2483</v>
      </c>
      <c r="B2483" s="132">
        <v>41863</v>
      </c>
      <c r="C2483" s="117">
        <v>1</v>
      </c>
      <c r="D2483" s="103" t="s">
        <v>71</v>
      </c>
      <c r="E2483" s="103" t="s">
        <v>306</v>
      </c>
      <c r="F2483" s="103">
        <v>534</v>
      </c>
      <c r="G2483" s="103">
        <v>93</v>
      </c>
      <c r="H2483" s="103" t="s">
        <v>2436</v>
      </c>
      <c r="I2483" s="103">
        <v>63</v>
      </c>
      <c r="K2483" s="103" t="s">
        <v>364</v>
      </c>
      <c r="L2483" s="133">
        <v>0.33958333333333335</v>
      </c>
      <c r="M2483" s="134">
        <v>3.7499999999999999E-2</v>
      </c>
      <c r="N2483" s="137" t="s">
        <v>3836</v>
      </c>
      <c r="O2483" s="133" t="s">
        <v>555</v>
      </c>
      <c r="Q2483" s="100" t="s">
        <v>4183</v>
      </c>
      <c r="R2483" s="226" t="s">
        <v>4229</v>
      </c>
      <c r="S2483" s="491">
        <f t="shared" si="81"/>
        <v>2.1527778000000001E-3</v>
      </c>
      <c r="T2483" s="492">
        <f>IFERROR(VLOOKUP(F2483,'Freq-Chan'!C:D,2,FALSE),"x")</f>
        <v>151.53399999999999</v>
      </c>
      <c r="U2483" s="110" t="s">
        <v>541</v>
      </c>
      <c r="V2483" s="110" t="str">
        <f t="shared" si="82"/>
        <v>FWL</v>
      </c>
      <c r="W2483" s="110" t="s">
        <v>541</v>
      </c>
      <c r="X2483" s="110" t="s">
        <v>541</v>
      </c>
      <c r="Y2483" s="110" t="str">
        <f>IFERROR(VLOOKUP(F2483,'Freq-Chan'!C:E,3,FALSE),"na")</f>
        <v>F1840</v>
      </c>
      <c r="Z2483" s="110" t="s">
        <v>541</v>
      </c>
      <c r="AA2483" s="110" t="s">
        <v>541</v>
      </c>
      <c r="AB2483" s="110" t="s">
        <v>541</v>
      </c>
      <c r="AC2483" s="10" t="s">
        <v>541</v>
      </c>
      <c r="AD2483" s="10" t="s">
        <v>541</v>
      </c>
    </row>
    <row r="2484" spans="1:30" x14ac:dyDescent="0.2">
      <c r="A2484" s="110">
        <v>2484</v>
      </c>
      <c r="B2484" s="132">
        <v>41863</v>
      </c>
      <c r="C2484" s="117">
        <v>1</v>
      </c>
      <c r="D2484" s="103" t="s">
        <v>70</v>
      </c>
      <c r="E2484" s="103" t="s">
        <v>306</v>
      </c>
      <c r="F2484" s="103">
        <v>515</v>
      </c>
      <c r="G2484" s="103">
        <v>63</v>
      </c>
      <c r="H2484" s="103" t="s">
        <v>3123</v>
      </c>
      <c r="I2484" s="103">
        <v>46</v>
      </c>
      <c r="K2484" s="103" t="s">
        <v>365</v>
      </c>
      <c r="L2484" s="133"/>
      <c r="M2484" s="134">
        <v>3.4722222222222224E-2</v>
      </c>
      <c r="N2484" s="137" t="s">
        <v>1934</v>
      </c>
      <c r="O2484" s="133" t="s">
        <v>555</v>
      </c>
      <c r="Q2484" s="100" t="s">
        <v>4183</v>
      </c>
      <c r="R2484" s="226" t="s">
        <v>4229</v>
      </c>
      <c r="S2484" s="491" t="str">
        <f t="shared" si="81"/>
        <v>x</v>
      </c>
      <c r="T2484" s="492">
        <f>IFERROR(VLOOKUP(F2484,'Freq-Chan'!C:D,2,FALSE),"x")</f>
        <v>151.51499999999999</v>
      </c>
      <c r="U2484" s="110" t="s">
        <v>541</v>
      </c>
      <c r="V2484" s="110" t="str">
        <f t="shared" si="82"/>
        <v>FWL</v>
      </c>
      <c r="W2484" s="110" t="s">
        <v>541</v>
      </c>
      <c r="X2484" s="110" t="s">
        <v>541</v>
      </c>
      <c r="Y2484" s="110" t="str">
        <f>IFERROR(VLOOKUP(F2484,'Freq-Chan'!C:E,3,FALSE),"na")</f>
        <v>F1835</v>
      </c>
      <c r="Z2484" s="110" t="s">
        <v>541</v>
      </c>
      <c r="AA2484" s="110" t="s">
        <v>541</v>
      </c>
      <c r="AB2484" s="110" t="s">
        <v>541</v>
      </c>
      <c r="AC2484" s="10" t="s">
        <v>541</v>
      </c>
      <c r="AD2484" s="10" t="s">
        <v>541</v>
      </c>
    </row>
    <row r="2485" spans="1:30" x14ac:dyDescent="0.2">
      <c r="A2485" s="110">
        <v>2485</v>
      </c>
      <c r="B2485" s="132">
        <v>41863</v>
      </c>
      <c r="C2485" s="117">
        <v>1</v>
      </c>
      <c r="D2485" s="103" t="s">
        <v>70</v>
      </c>
      <c r="E2485" s="103" t="s">
        <v>306</v>
      </c>
      <c r="H2485" s="103"/>
      <c r="I2485" s="103">
        <v>43</v>
      </c>
      <c r="K2485" s="103" t="s">
        <v>365</v>
      </c>
      <c r="L2485" s="133"/>
      <c r="M2485" s="134">
        <v>1.2499999999999999E-2</v>
      </c>
      <c r="N2485" s="137" t="s">
        <v>3447</v>
      </c>
      <c r="O2485" s="133" t="s">
        <v>1663</v>
      </c>
      <c r="Q2485" s="100" t="s">
        <v>4183</v>
      </c>
      <c r="R2485" s="226" t="s">
        <v>4229</v>
      </c>
      <c r="S2485" s="491" t="str">
        <f t="shared" si="81"/>
        <v>x</v>
      </c>
      <c r="T2485" s="492" t="str">
        <f>IFERROR(VLOOKUP(F2485,'Freq-Chan'!C:D,2,FALSE),"x")</f>
        <v>x</v>
      </c>
      <c r="U2485" s="110" t="s">
        <v>541</v>
      </c>
      <c r="V2485" s="110" t="str">
        <f t="shared" si="82"/>
        <v>FWL</v>
      </c>
      <c r="W2485" s="110" t="s">
        <v>541</v>
      </c>
      <c r="X2485" s="110" t="s">
        <v>541</v>
      </c>
      <c r="Y2485" s="110" t="str">
        <f>IFERROR(VLOOKUP(F2485,'Freq-Chan'!C:E,3,FALSE),"na")</f>
        <v>na</v>
      </c>
      <c r="Z2485" s="110" t="s">
        <v>541</v>
      </c>
      <c r="AA2485" s="110" t="s">
        <v>541</v>
      </c>
      <c r="AB2485" s="110" t="s">
        <v>541</v>
      </c>
      <c r="AC2485" s="10" t="s">
        <v>541</v>
      </c>
      <c r="AD2485" s="10" t="s">
        <v>541</v>
      </c>
    </row>
    <row r="2486" spans="1:30" x14ac:dyDescent="0.2">
      <c r="A2486" s="110">
        <v>2486</v>
      </c>
      <c r="B2486" s="132">
        <v>41863</v>
      </c>
      <c r="C2486" s="117">
        <v>1</v>
      </c>
      <c r="D2486" s="103" t="s">
        <v>71</v>
      </c>
      <c r="E2486" s="103" t="s">
        <v>306</v>
      </c>
      <c r="H2486" s="103"/>
      <c r="I2486" s="103">
        <v>58</v>
      </c>
      <c r="K2486" s="103" t="s">
        <v>364</v>
      </c>
      <c r="L2486" s="133"/>
      <c r="M2486" s="134">
        <v>2.0833333333333332E-2</v>
      </c>
      <c r="N2486" s="137" t="s">
        <v>3769</v>
      </c>
      <c r="O2486" s="133" t="s">
        <v>1663</v>
      </c>
      <c r="Q2486" s="100" t="s">
        <v>4183</v>
      </c>
      <c r="R2486" s="226" t="s">
        <v>4229</v>
      </c>
      <c r="S2486" s="491" t="str">
        <f t="shared" si="81"/>
        <v>x</v>
      </c>
      <c r="T2486" s="492" t="str">
        <f>IFERROR(VLOOKUP(F2486,'Freq-Chan'!C:D,2,FALSE),"x")</f>
        <v>x</v>
      </c>
      <c r="U2486" s="110" t="s">
        <v>541</v>
      </c>
      <c r="V2486" s="110" t="str">
        <f t="shared" si="82"/>
        <v>FWL</v>
      </c>
      <c r="W2486" s="110" t="s">
        <v>541</v>
      </c>
      <c r="X2486" s="110" t="s">
        <v>541</v>
      </c>
      <c r="Y2486" s="110" t="str">
        <f>IFERROR(VLOOKUP(F2486,'Freq-Chan'!C:E,3,FALSE),"na")</f>
        <v>na</v>
      </c>
      <c r="Z2486" s="110" t="s">
        <v>541</v>
      </c>
      <c r="AA2486" s="110" t="s">
        <v>541</v>
      </c>
      <c r="AB2486" s="110" t="s">
        <v>541</v>
      </c>
      <c r="AC2486" s="10" t="s">
        <v>541</v>
      </c>
      <c r="AD2486" s="10" t="s">
        <v>541</v>
      </c>
    </row>
    <row r="2487" spans="1:30" x14ac:dyDescent="0.2">
      <c r="A2487" s="110">
        <v>2487</v>
      </c>
      <c r="B2487" s="132">
        <v>41863</v>
      </c>
      <c r="C2487" s="117">
        <v>1</v>
      </c>
      <c r="D2487" s="103" t="s">
        <v>70</v>
      </c>
      <c r="E2487" s="103" t="s">
        <v>306</v>
      </c>
      <c r="H2487" s="103"/>
      <c r="I2487" s="103">
        <v>46</v>
      </c>
      <c r="K2487" s="103" t="s">
        <v>1032</v>
      </c>
      <c r="L2487" s="133"/>
      <c r="M2487" s="134">
        <v>1.2499999999999999E-2</v>
      </c>
      <c r="N2487" s="137" t="s">
        <v>3396</v>
      </c>
      <c r="O2487" s="133" t="s">
        <v>1663</v>
      </c>
      <c r="Q2487" s="100" t="s">
        <v>4183</v>
      </c>
      <c r="R2487" s="226" t="s">
        <v>4229</v>
      </c>
      <c r="S2487" s="491" t="str">
        <f t="shared" si="81"/>
        <v>x</v>
      </c>
      <c r="T2487" s="492" t="str">
        <f>IFERROR(VLOOKUP(F2487,'Freq-Chan'!C:D,2,FALSE),"x")</f>
        <v>x</v>
      </c>
      <c r="U2487" s="110" t="s">
        <v>541</v>
      </c>
      <c r="V2487" s="110" t="str">
        <f t="shared" si="82"/>
        <v>FWL</v>
      </c>
      <c r="W2487" s="110" t="s">
        <v>541</v>
      </c>
      <c r="X2487" s="110" t="s">
        <v>541</v>
      </c>
      <c r="Y2487" s="110" t="str">
        <f>IFERROR(VLOOKUP(F2487,'Freq-Chan'!C:E,3,FALSE),"na")</f>
        <v>na</v>
      </c>
      <c r="Z2487" s="110" t="s">
        <v>541</v>
      </c>
      <c r="AA2487" s="110" t="s">
        <v>541</v>
      </c>
      <c r="AB2487" s="110" t="s">
        <v>541</v>
      </c>
      <c r="AC2487" s="10" t="s">
        <v>541</v>
      </c>
      <c r="AD2487" s="10" t="s">
        <v>541</v>
      </c>
    </row>
    <row r="2488" spans="1:30" x14ac:dyDescent="0.2">
      <c r="A2488" s="110">
        <v>2488</v>
      </c>
      <c r="B2488" s="132">
        <v>41863</v>
      </c>
      <c r="C2488" s="117">
        <v>1</v>
      </c>
      <c r="D2488" s="103" t="s">
        <v>71</v>
      </c>
      <c r="E2488" s="103" t="s">
        <v>306</v>
      </c>
      <c r="H2488" s="103"/>
      <c r="I2488" s="103">
        <v>59</v>
      </c>
      <c r="K2488" s="103" t="s">
        <v>364</v>
      </c>
      <c r="L2488" s="133"/>
      <c r="M2488" s="134">
        <v>1.3194444444444444E-2</v>
      </c>
      <c r="N2488" s="137" t="s">
        <v>3805</v>
      </c>
      <c r="O2488" s="133" t="s">
        <v>555</v>
      </c>
      <c r="Q2488" s="100" t="s">
        <v>4183</v>
      </c>
      <c r="R2488" s="226" t="s">
        <v>4229</v>
      </c>
      <c r="S2488" s="491" t="str">
        <f t="shared" si="81"/>
        <v>x</v>
      </c>
      <c r="T2488" s="492" t="str">
        <f>IFERROR(VLOOKUP(F2488,'Freq-Chan'!C:D,2,FALSE),"x")</f>
        <v>x</v>
      </c>
      <c r="U2488" s="110" t="s">
        <v>541</v>
      </c>
      <c r="V2488" s="110" t="str">
        <f t="shared" si="82"/>
        <v>FWL</v>
      </c>
      <c r="W2488" s="110" t="s">
        <v>541</v>
      </c>
      <c r="X2488" s="110" t="s">
        <v>541</v>
      </c>
      <c r="Y2488" s="110" t="str">
        <f>IFERROR(VLOOKUP(F2488,'Freq-Chan'!C:E,3,FALSE),"na")</f>
        <v>na</v>
      </c>
      <c r="Z2488" s="110" t="s">
        <v>541</v>
      </c>
      <c r="AA2488" s="110" t="s">
        <v>541</v>
      </c>
      <c r="AB2488" s="110" t="s">
        <v>541</v>
      </c>
      <c r="AC2488" s="10" t="s">
        <v>541</v>
      </c>
      <c r="AD2488" s="10" t="s">
        <v>541</v>
      </c>
    </row>
    <row r="2489" spans="1:30" x14ac:dyDescent="0.2">
      <c r="A2489" s="110">
        <v>2489</v>
      </c>
      <c r="B2489" s="132">
        <v>41863</v>
      </c>
      <c r="C2489" s="117">
        <v>1</v>
      </c>
      <c r="D2489" s="103" t="s">
        <v>71</v>
      </c>
      <c r="E2489" s="103" t="s">
        <v>306</v>
      </c>
      <c r="H2489" s="103"/>
      <c r="I2489" s="103">
        <v>53</v>
      </c>
      <c r="K2489" s="103" t="s">
        <v>364</v>
      </c>
      <c r="L2489" s="133"/>
      <c r="M2489" s="134">
        <v>1.3888888888888888E-2</v>
      </c>
      <c r="N2489" s="137" t="s">
        <v>3471</v>
      </c>
      <c r="O2489" s="133" t="s">
        <v>555</v>
      </c>
      <c r="Q2489" s="100" t="s">
        <v>4183</v>
      </c>
      <c r="R2489" s="226" t="s">
        <v>4229</v>
      </c>
      <c r="S2489" s="491" t="str">
        <f t="shared" si="81"/>
        <v>x</v>
      </c>
      <c r="T2489" s="492" t="str">
        <f>IFERROR(VLOOKUP(F2489,'Freq-Chan'!C:D,2,FALSE),"x")</f>
        <v>x</v>
      </c>
      <c r="U2489" s="110" t="s">
        <v>541</v>
      </c>
      <c r="V2489" s="110" t="str">
        <f t="shared" si="82"/>
        <v>FWL</v>
      </c>
      <c r="W2489" s="110" t="s">
        <v>541</v>
      </c>
      <c r="X2489" s="110" t="s">
        <v>541</v>
      </c>
      <c r="Y2489" s="110" t="str">
        <f>IFERROR(VLOOKUP(F2489,'Freq-Chan'!C:E,3,FALSE),"na")</f>
        <v>na</v>
      </c>
      <c r="Z2489" s="110" t="s">
        <v>541</v>
      </c>
      <c r="AA2489" s="110" t="s">
        <v>541</v>
      </c>
      <c r="AB2489" s="110" t="s">
        <v>541</v>
      </c>
      <c r="AC2489" s="10" t="s">
        <v>541</v>
      </c>
      <c r="AD2489" s="10" t="s">
        <v>541</v>
      </c>
    </row>
    <row r="2490" spans="1:30" x14ac:dyDescent="0.2">
      <c r="A2490" s="110">
        <v>2490</v>
      </c>
      <c r="B2490" s="132">
        <v>41863</v>
      </c>
      <c r="C2490" s="117">
        <v>1</v>
      </c>
      <c r="D2490" s="103" t="s">
        <v>71</v>
      </c>
      <c r="E2490" s="103" t="s">
        <v>306</v>
      </c>
      <c r="H2490" s="103"/>
      <c r="I2490" s="103">
        <v>65</v>
      </c>
      <c r="K2490" s="103" t="s">
        <v>364</v>
      </c>
      <c r="L2490" s="133"/>
      <c r="M2490" s="134">
        <v>2.2916666666666669E-2</v>
      </c>
      <c r="N2490" s="137" t="s">
        <v>1652</v>
      </c>
      <c r="O2490" s="133" t="s">
        <v>1663</v>
      </c>
      <c r="Q2490" s="100" t="s">
        <v>4183</v>
      </c>
      <c r="R2490" s="226" t="s">
        <v>4229</v>
      </c>
      <c r="S2490" s="491" t="str">
        <f t="shared" si="81"/>
        <v>x</v>
      </c>
      <c r="T2490" s="492" t="str">
        <f>IFERROR(VLOOKUP(F2490,'Freq-Chan'!C:D,2,FALSE),"x")</f>
        <v>x</v>
      </c>
      <c r="U2490" s="110" t="s">
        <v>541</v>
      </c>
      <c r="V2490" s="110" t="str">
        <f t="shared" si="82"/>
        <v>FWL</v>
      </c>
      <c r="W2490" s="110" t="s">
        <v>541</v>
      </c>
      <c r="X2490" s="110" t="s">
        <v>541</v>
      </c>
      <c r="Y2490" s="110" t="str">
        <f>IFERROR(VLOOKUP(F2490,'Freq-Chan'!C:E,3,FALSE),"na")</f>
        <v>na</v>
      </c>
      <c r="Z2490" s="110" t="s">
        <v>541</v>
      </c>
      <c r="AA2490" s="110" t="s">
        <v>541</v>
      </c>
      <c r="AB2490" s="110" t="s">
        <v>541</v>
      </c>
      <c r="AC2490" s="10" t="s">
        <v>541</v>
      </c>
      <c r="AD2490" s="10" t="s">
        <v>541</v>
      </c>
    </row>
    <row r="2491" spans="1:30" x14ac:dyDescent="0.2">
      <c r="A2491" s="110">
        <v>2491</v>
      </c>
      <c r="B2491" s="132">
        <v>41863</v>
      </c>
      <c r="C2491" s="117">
        <v>1</v>
      </c>
      <c r="D2491" s="103" t="s">
        <v>71</v>
      </c>
      <c r="E2491" s="103" t="s">
        <v>306</v>
      </c>
      <c r="H2491" s="103"/>
      <c r="I2491" s="103">
        <v>55</v>
      </c>
      <c r="K2491" s="103" t="s">
        <v>1032</v>
      </c>
      <c r="L2491" s="133"/>
      <c r="M2491" s="134">
        <v>1.8749999999999999E-2</v>
      </c>
      <c r="N2491" s="137" t="s">
        <v>764</v>
      </c>
      <c r="O2491" s="133" t="s">
        <v>1585</v>
      </c>
      <c r="Q2491" s="100" t="s">
        <v>4187</v>
      </c>
      <c r="R2491" s="226" t="s">
        <v>4229</v>
      </c>
      <c r="S2491" s="491" t="str">
        <f t="shared" si="81"/>
        <v>x</v>
      </c>
      <c r="T2491" s="492" t="str">
        <f>IFERROR(VLOOKUP(F2491,'Freq-Chan'!C:D,2,FALSE),"x")</f>
        <v>x</v>
      </c>
      <c r="U2491" s="110" t="s">
        <v>541</v>
      </c>
      <c r="V2491" s="110" t="str">
        <f t="shared" si="82"/>
        <v>FWL</v>
      </c>
      <c r="W2491" s="110" t="s">
        <v>541</v>
      </c>
      <c r="X2491" s="110" t="s">
        <v>541</v>
      </c>
      <c r="Y2491" s="110" t="str">
        <f>IFERROR(VLOOKUP(F2491,'Freq-Chan'!C:E,3,FALSE),"na")</f>
        <v>na</v>
      </c>
      <c r="Z2491" s="110" t="s">
        <v>541</v>
      </c>
      <c r="AA2491" s="110" t="s">
        <v>541</v>
      </c>
      <c r="AB2491" s="110" t="s">
        <v>541</v>
      </c>
      <c r="AC2491" s="10" t="s">
        <v>541</v>
      </c>
      <c r="AD2491" s="10" t="s">
        <v>541</v>
      </c>
    </row>
    <row r="2492" spans="1:30" x14ac:dyDescent="0.2">
      <c r="A2492" s="110">
        <v>2492</v>
      </c>
      <c r="B2492" s="132">
        <v>41863</v>
      </c>
      <c r="C2492" s="117">
        <v>1</v>
      </c>
      <c r="D2492" s="103" t="s">
        <v>71</v>
      </c>
      <c r="E2492" s="103" t="s">
        <v>306</v>
      </c>
      <c r="H2492" s="103"/>
      <c r="I2492" s="103">
        <v>53</v>
      </c>
      <c r="K2492" s="103" t="s">
        <v>364</v>
      </c>
      <c r="L2492" s="133"/>
      <c r="M2492" s="134">
        <v>1.7361111111111112E-2</v>
      </c>
      <c r="N2492" s="137" t="s">
        <v>1909</v>
      </c>
      <c r="O2492" s="133" t="s">
        <v>1585</v>
      </c>
      <c r="Q2492" s="100" t="s">
        <v>4187</v>
      </c>
      <c r="R2492" s="226" t="s">
        <v>4229</v>
      </c>
      <c r="S2492" s="491" t="str">
        <f t="shared" si="81"/>
        <v>x</v>
      </c>
      <c r="T2492" s="492" t="str">
        <f>IFERROR(VLOOKUP(F2492,'Freq-Chan'!C:D,2,FALSE),"x")</f>
        <v>x</v>
      </c>
      <c r="U2492" s="110" t="s">
        <v>541</v>
      </c>
      <c r="V2492" s="110" t="str">
        <f t="shared" si="82"/>
        <v>FWL</v>
      </c>
      <c r="W2492" s="110" t="s">
        <v>541</v>
      </c>
      <c r="X2492" s="110" t="s">
        <v>541</v>
      </c>
      <c r="Y2492" s="110" t="str">
        <f>IFERROR(VLOOKUP(F2492,'Freq-Chan'!C:E,3,FALSE),"na")</f>
        <v>na</v>
      </c>
      <c r="Z2492" s="110" t="s">
        <v>541</v>
      </c>
      <c r="AA2492" s="110" t="s">
        <v>541</v>
      </c>
      <c r="AB2492" s="110" t="s">
        <v>541</v>
      </c>
      <c r="AC2492" s="10" t="s">
        <v>541</v>
      </c>
      <c r="AD2492" s="10" t="s">
        <v>541</v>
      </c>
    </row>
    <row r="2493" spans="1:30" x14ac:dyDescent="0.2">
      <c r="A2493" s="110">
        <v>2493</v>
      </c>
      <c r="B2493" s="132">
        <v>41863</v>
      </c>
      <c r="C2493" s="117">
        <v>1</v>
      </c>
      <c r="D2493" s="103" t="s">
        <v>71</v>
      </c>
      <c r="E2493" s="103" t="s">
        <v>306</v>
      </c>
      <c r="H2493" s="103"/>
      <c r="I2493" s="103">
        <v>60</v>
      </c>
      <c r="K2493" s="103" t="s">
        <v>364</v>
      </c>
      <c r="L2493" s="133"/>
      <c r="M2493" s="134">
        <v>2.2916666666666669E-2</v>
      </c>
      <c r="N2493" s="137" t="s">
        <v>2935</v>
      </c>
      <c r="O2493" s="133" t="s">
        <v>1585</v>
      </c>
      <c r="Q2493" s="100" t="s">
        <v>4187</v>
      </c>
      <c r="R2493" s="226" t="s">
        <v>4229</v>
      </c>
      <c r="S2493" s="491" t="str">
        <f t="shared" si="81"/>
        <v>x</v>
      </c>
      <c r="T2493" s="492" t="str">
        <f>IFERROR(VLOOKUP(F2493,'Freq-Chan'!C:D,2,FALSE),"x")</f>
        <v>x</v>
      </c>
      <c r="U2493" s="110" t="s">
        <v>541</v>
      </c>
      <c r="V2493" s="110" t="str">
        <f t="shared" si="82"/>
        <v>FWL</v>
      </c>
      <c r="W2493" s="110" t="s">
        <v>541</v>
      </c>
      <c r="X2493" s="110" t="s">
        <v>541</v>
      </c>
      <c r="Y2493" s="110" t="str">
        <f>IFERROR(VLOOKUP(F2493,'Freq-Chan'!C:E,3,FALSE),"na")</f>
        <v>na</v>
      </c>
      <c r="Z2493" s="110" t="s">
        <v>541</v>
      </c>
      <c r="AA2493" s="110" t="s">
        <v>541</v>
      </c>
      <c r="AB2493" s="110" t="s">
        <v>541</v>
      </c>
      <c r="AC2493" s="10" t="s">
        <v>541</v>
      </c>
      <c r="AD2493" s="10" t="s">
        <v>541</v>
      </c>
    </row>
    <row r="2494" spans="1:30" x14ac:dyDescent="0.2">
      <c r="A2494" s="110">
        <v>2494</v>
      </c>
      <c r="B2494" s="132">
        <v>41863</v>
      </c>
      <c r="C2494" s="117">
        <v>1</v>
      </c>
      <c r="D2494" s="103" t="s">
        <v>71</v>
      </c>
      <c r="E2494" s="103" t="s">
        <v>306</v>
      </c>
      <c r="H2494" s="103"/>
      <c r="I2494" s="103">
        <v>55</v>
      </c>
      <c r="K2494" s="103" t="s">
        <v>364</v>
      </c>
      <c r="L2494" s="133"/>
      <c r="M2494" s="134">
        <v>1.7361111111111112E-2</v>
      </c>
      <c r="N2494" s="137" t="s">
        <v>3903</v>
      </c>
      <c r="O2494" s="133" t="s">
        <v>1585</v>
      </c>
      <c r="Q2494" s="100" t="s">
        <v>4187</v>
      </c>
      <c r="R2494" s="226" t="s">
        <v>4229</v>
      </c>
      <c r="S2494" s="491" t="str">
        <f t="shared" si="81"/>
        <v>x</v>
      </c>
      <c r="T2494" s="492" t="str">
        <f>IFERROR(VLOOKUP(F2494,'Freq-Chan'!C:D,2,FALSE),"x")</f>
        <v>x</v>
      </c>
      <c r="U2494" s="110" t="s">
        <v>541</v>
      </c>
      <c r="V2494" s="110" t="str">
        <f t="shared" si="82"/>
        <v>FWL</v>
      </c>
      <c r="W2494" s="110" t="s">
        <v>541</v>
      </c>
      <c r="X2494" s="110" t="s">
        <v>541</v>
      </c>
      <c r="Y2494" s="110" t="str">
        <f>IFERROR(VLOOKUP(F2494,'Freq-Chan'!C:E,3,FALSE),"na")</f>
        <v>na</v>
      </c>
      <c r="Z2494" s="110" t="s">
        <v>541</v>
      </c>
      <c r="AA2494" s="110" t="s">
        <v>541</v>
      </c>
      <c r="AB2494" s="110" t="s">
        <v>541</v>
      </c>
      <c r="AC2494" s="10" t="s">
        <v>541</v>
      </c>
      <c r="AD2494" s="10" t="s">
        <v>541</v>
      </c>
    </row>
    <row r="2495" spans="1:30" x14ac:dyDescent="0.2">
      <c r="A2495" s="110">
        <v>2495</v>
      </c>
      <c r="B2495" s="132">
        <v>41863</v>
      </c>
      <c r="C2495" s="117">
        <v>1</v>
      </c>
      <c r="D2495" s="103" t="s">
        <v>71</v>
      </c>
      <c r="E2495" s="103" t="s">
        <v>306</v>
      </c>
      <c r="H2495" s="103"/>
      <c r="I2495" s="103">
        <v>53</v>
      </c>
      <c r="K2495" s="103" t="s">
        <v>364</v>
      </c>
      <c r="L2495" s="133"/>
      <c r="M2495" s="134">
        <v>1.8749999999999999E-2</v>
      </c>
      <c r="N2495" s="137" t="s">
        <v>2048</v>
      </c>
      <c r="O2495" s="133" t="s">
        <v>1585</v>
      </c>
      <c r="Q2495" s="100" t="s">
        <v>4187</v>
      </c>
      <c r="R2495" s="226" t="s">
        <v>4229</v>
      </c>
      <c r="S2495" s="491" t="str">
        <f t="shared" si="81"/>
        <v>x</v>
      </c>
      <c r="T2495" s="492" t="str">
        <f>IFERROR(VLOOKUP(F2495,'Freq-Chan'!C:D,2,FALSE),"x")</f>
        <v>x</v>
      </c>
      <c r="U2495" s="110" t="s">
        <v>541</v>
      </c>
      <c r="V2495" s="110" t="str">
        <f t="shared" si="82"/>
        <v>FWL</v>
      </c>
      <c r="W2495" s="110" t="s">
        <v>541</v>
      </c>
      <c r="X2495" s="110" t="s">
        <v>541</v>
      </c>
      <c r="Y2495" s="110" t="str">
        <f>IFERROR(VLOOKUP(F2495,'Freq-Chan'!C:E,3,FALSE),"na")</f>
        <v>na</v>
      </c>
      <c r="Z2495" s="110" t="s">
        <v>541</v>
      </c>
      <c r="AA2495" s="110" t="s">
        <v>541</v>
      </c>
      <c r="AB2495" s="110" t="s">
        <v>541</v>
      </c>
      <c r="AC2495" s="10" t="s">
        <v>541</v>
      </c>
      <c r="AD2495" s="10" t="s">
        <v>541</v>
      </c>
    </row>
    <row r="2496" spans="1:30" x14ac:dyDescent="0.2">
      <c r="A2496" s="110">
        <v>2496</v>
      </c>
      <c r="B2496" s="132">
        <v>41863</v>
      </c>
      <c r="C2496" s="117">
        <v>1</v>
      </c>
      <c r="D2496" s="103" t="s">
        <v>70</v>
      </c>
      <c r="E2496" s="103" t="s">
        <v>306</v>
      </c>
      <c r="H2496" s="103"/>
      <c r="I2496" s="103">
        <v>44</v>
      </c>
      <c r="K2496" s="103" t="s">
        <v>365</v>
      </c>
      <c r="L2496" s="133"/>
      <c r="M2496" s="134">
        <v>2.0833333333333332E-2</v>
      </c>
      <c r="N2496" s="137" t="s">
        <v>765</v>
      </c>
      <c r="O2496" s="133" t="s">
        <v>1585</v>
      </c>
      <c r="P2496" s="100" t="s">
        <v>4192</v>
      </c>
      <c r="Q2496" s="100" t="s">
        <v>4187</v>
      </c>
      <c r="R2496" s="226" t="s">
        <v>4229</v>
      </c>
      <c r="S2496" s="491" t="str">
        <f t="shared" si="81"/>
        <v>x</v>
      </c>
      <c r="T2496" s="492" t="str">
        <f>IFERROR(VLOOKUP(F2496,'Freq-Chan'!C:D,2,FALSE),"x")</f>
        <v>x</v>
      </c>
      <c r="U2496" s="110" t="s">
        <v>541</v>
      </c>
      <c r="V2496" s="110" t="str">
        <f t="shared" si="82"/>
        <v>FWL</v>
      </c>
      <c r="W2496" s="110" t="s">
        <v>541</v>
      </c>
      <c r="X2496" s="110" t="s">
        <v>541</v>
      </c>
      <c r="Y2496" s="110" t="str">
        <f>IFERROR(VLOOKUP(F2496,'Freq-Chan'!C:E,3,FALSE),"na")</f>
        <v>na</v>
      </c>
      <c r="Z2496" s="110" t="s">
        <v>541</v>
      </c>
      <c r="AA2496" s="110" t="s">
        <v>541</v>
      </c>
      <c r="AB2496" s="110" t="s">
        <v>541</v>
      </c>
      <c r="AC2496" s="10" t="s">
        <v>541</v>
      </c>
      <c r="AD2496" s="10" t="s">
        <v>541</v>
      </c>
    </row>
    <row r="2497" spans="1:30" x14ac:dyDescent="0.2">
      <c r="A2497" s="110">
        <v>2497</v>
      </c>
      <c r="B2497" s="132">
        <v>41863</v>
      </c>
      <c r="C2497" s="117">
        <v>1</v>
      </c>
      <c r="D2497" s="103" t="s">
        <v>71</v>
      </c>
      <c r="E2497" s="103" t="s">
        <v>306</v>
      </c>
      <c r="H2497" s="103"/>
      <c r="I2497" s="103">
        <v>58</v>
      </c>
      <c r="K2497" s="103" t="s">
        <v>365</v>
      </c>
      <c r="L2497" s="133"/>
      <c r="M2497" s="134">
        <v>2.5694444444444447E-2</v>
      </c>
      <c r="N2497" s="137" t="s">
        <v>1770</v>
      </c>
      <c r="O2497" s="133" t="s">
        <v>1585</v>
      </c>
      <c r="Q2497" s="100" t="s">
        <v>4187</v>
      </c>
      <c r="R2497" s="226" t="s">
        <v>4229</v>
      </c>
      <c r="S2497" s="491" t="str">
        <f t="shared" si="81"/>
        <v>x</v>
      </c>
      <c r="T2497" s="492" t="str">
        <f>IFERROR(VLOOKUP(F2497,'Freq-Chan'!C:D,2,FALSE),"x")</f>
        <v>x</v>
      </c>
      <c r="U2497" s="110" t="s">
        <v>541</v>
      </c>
      <c r="V2497" s="110" t="str">
        <f t="shared" si="82"/>
        <v>FWL</v>
      </c>
      <c r="W2497" s="110" t="s">
        <v>541</v>
      </c>
      <c r="X2497" s="110" t="s">
        <v>541</v>
      </c>
      <c r="Y2497" s="110" t="str">
        <f>IFERROR(VLOOKUP(F2497,'Freq-Chan'!C:E,3,FALSE),"na")</f>
        <v>na</v>
      </c>
      <c r="Z2497" s="110" t="s">
        <v>541</v>
      </c>
      <c r="AA2497" s="110" t="s">
        <v>541</v>
      </c>
      <c r="AB2497" s="110" t="s">
        <v>541</v>
      </c>
      <c r="AC2497" s="10" t="s">
        <v>541</v>
      </c>
      <c r="AD2497" s="10" t="s">
        <v>541</v>
      </c>
    </row>
    <row r="2498" spans="1:30" x14ac:dyDescent="0.2">
      <c r="A2498" s="110">
        <v>2498</v>
      </c>
      <c r="B2498" s="132">
        <v>41863</v>
      </c>
      <c r="C2498" s="117">
        <v>1</v>
      </c>
      <c r="D2498" s="103" t="s">
        <v>70</v>
      </c>
      <c r="E2498" s="103" t="s">
        <v>306</v>
      </c>
      <c r="H2498" s="103"/>
      <c r="I2498" s="103">
        <v>44</v>
      </c>
      <c r="K2498" s="103" t="s">
        <v>365</v>
      </c>
      <c r="L2498" s="133"/>
      <c r="M2498" s="134">
        <v>1.6666666666666666E-2</v>
      </c>
      <c r="N2498" s="137" t="s">
        <v>3983</v>
      </c>
      <c r="O2498" s="133" t="s">
        <v>1585</v>
      </c>
      <c r="Q2498" s="100" t="s">
        <v>4187</v>
      </c>
      <c r="R2498" s="226" t="s">
        <v>4229</v>
      </c>
      <c r="S2498" s="491" t="str">
        <f t="shared" si="81"/>
        <v>x</v>
      </c>
      <c r="T2498" s="492" t="str">
        <f>IFERROR(VLOOKUP(F2498,'Freq-Chan'!C:D,2,FALSE),"x")</f>
        <v>x</v>
      </c>
      <c r="U2498" s="110" t="s">
        <v>541</v>
      </c>
      <c r="V2498" s="110" t="str">
        <f t="shared" si="82"/>
        <v>FWL</v>
      </c>
      <c r="W2498" s="110" t="s">
        <v>541</v>
      </c>
      <c r="X2498" s="110" t="s">
        <v>541</v>
      </c>
      <c r="Y2498" s="110" t="str">
        <f>IFERROR(VLOOKUP(F2498,'Freq-Chan'!C:E,3,FALSE),"na")</f>
        <v>na</v>
      </c>
      <c r="Z2498" s="110" t="s">
        <v>541</v>
      </c>
      <c r="AA2498" s="110" t="s">
        <v>541</v>
      </c>
      <c r="AB2498" s="110" t="s">
        <v>541</v>
      </c>
      <c r="AC2498" s="10" t="s">
        <v>541</v>
      </c>
      <c r="AD2498" s="10" t="s">
        <v>541</v>
      </c>
    </row>
    <row r="2499" spans="1:30" x14ac:dyDescent="0.2">
      <c r="A2499" s="110">
        <v>2499</v>
      </c>
      <c r="B2499" s="132">
        <v>41863</v>
      </c>
      <c r="C2499" s="117">
        <v>1</v>
      </c>
      <c r="D2499" s="103" t="s">
        <v>70</v>
      </c>
      <c r="E2499" s="103" t="s">
        <v>306</v>
      </c>
      <c r="H2499" s="103"/>
      <c r="I2499" s="103">
        <v>46</v>
      </c>
      <c r="K2499" s="103" t="s">
        <v>365</v>
      </c>
      <c r="L2499" s="133"/>
      <c r="M2499" s="134">
        <v>1.6666666666666666E-2</v>
      </c>
      <c r="N2499" s="137" t="s">
        <v>2780</v>
      </c>
      <c r="O2499" s="133" t="s">
        <v>1585</v>
      </c>
      <c r="Q2499" s="100" t="s">
        <v>4187</v>
      </c>
      <c r="R2499" s="226" t="s">
        <v>4229</v>
      </c>
      <c r="S2499" s="491" t="str">
        <f t="shared" si="81"/>
        <v>x</v>
      </c>
      <c r="T2499" s="492" t="str">
        <f>IFERROR(VLOOKUP(F2499,'Freq-Chan'!C:D,2,FALSE),"x")</f>
        <v>x</v>
      </c>
      <c r="U2499" s="110" t="s">
        <v>541</v>
      </c>
      <c r="V2499" s="110" t="str">
        <f t="shared" si="82"/>
        <v>FWL</v>
      </c>
      <c r="W2499" s="110" t="s">
        <v>541</v>
      </c>
      <c r="X2499" s="110" t="s">
        <v>541</v>
      </c>
      <c r="Y2499" s="110" t="str">
        <f>IFERROR(VLOOKUP(F2499,'Freq-Chan'!C:E,3,FALSE),"na")</f>
        <v>na</v>
      </c>
      <c r="Z2499" s="110" t="s">
        <v>541</v>
      </c>
      <c r="AA2499" s="110" t="s">
        <v>541</v>
      </c>
      <c r="AB2499" s="110" t="s">
        <v>541</v>
      </c>
      <c r="AC2499" s="10" t="s">
        <v>541</v>
      </c>
      <c r="AD2499" s="10" t="s">
        <v>541</v>
      </c>
    </row>
    <row r="2500" spans="1:30" x14ac:dyDescent="0.2">
      <c r="A2500" s="110">
        <v>2500</v>
      </c>
      <c r="B2500" s="132">
        <v>41863</v>
      </c>
      <c r="C2500" s="117">
        <v>1</v>
      </c>
      <c r="D2500" s="103" t="s">
        <v>70</v>
      </c>
      <c r="E2500" s="103" t="s">
        <v>306</v>
      </c>
      <c r="H2500" s="103"/>
      <c r="I2500" s="103">
        <v>44</v>
      </c>
      <c r="K2500" s="103" t="s">
        <v>1032</v>
      </c>
      <c r="L2500" s="133"/>
      <c r="M2500" s="134">
        <v>1.5972222222222224E-2</v>
      </c>
      <c r="N2500" s="137" t="s">
        <v>3246</v>
      </c>
      <c r="O2500" s="133" t="s">
        <v>1888</v>
      </c>
      <c r="Q2500" s="100" t="s">
        <v>4187</v>
      </c>
      <c r="R2500" s="226" t="s">
        <v>4229</v>
      </c>
      <c r="S2500" s="491" t="str">
        <f t="shared" si="81"/>
        <v>x</v>
      </c>
      <c r="T2500" s="492" t="str">
        <f>IFERROR(VLOOKUP(F2500,'Freq-Chan'!C:D,2,FALSE),"x")</f>
        <v>x</v>
      </c>
      <c r="U2500" s="110" t="s">
        <v>541</v>
      </c>
      <c r="V2500" s="110" t="str">
        <f t="shared" si="82"/>
        <v>FWL</v>
      </c>
      <c r="W2500" s="110" t="s">
        <v>541</v>
      </c>
      <c r="X2500" s="110" t="s">
        <v>541</v>
      </c>
      <c r="Y2500" s="110" t="str">
        <f>IFERROR(VLOOKUP(F2500,'Freq-Chan'!C:E,3,FALSE),"na")</f>
        <v>na</v>
      </c>
      <c r="Z2500" s="110" t="s">
        <v>541</v>
      </c>
      <c r="AA2500" s="110" t="s">
        <v>541</v>
      </c>
      <c r="AB2500" s="110" t="s">
        <v>541</v>
      </c>
      <c r="AC2500" s="10" t="s">
        <v>541</v>
      </c>
      <c r="AD2500" s="10" t="s">
        <v>541</v>
      </c>
    </row>
    <row r="2501" spans="1:30" x14ac:dyDescent="0.2">
      <c r="A2501" s="110">
        <v>2501</v>
      </c>
      <c r="B2501" s="132">
        <v>41863</v>
      </c>
      <c r="C2501" s="117">
        <v>1</v>
      </c>
      <c r="D2501" s="103" t="s">
        <v>72</v>
      </c>
      <c r="E2501" s="103" t="s">
        <v>306</v>
      </c>
      <c r="F2501" s="103">
        <v>266</v>
      </c>
      <c r="G2501" s="103">
        <v>84</v>
      </c>
      <c r="H2501" s="103" t="s">
        <v>3549</v>
      </c>
      <c r="I2501" s="103">
        <v>54</v>
      </c>
      <c r="K2501" s="103" t="s">
        <v>1032</v>
      </c>
      <c r="L2501" s="133"/>
      <c r="M2501" s="134">
        <v>4.1666666666666664E-2</v>
      </c>
      <c r="N2501" s="137" t="s">
        <v>3985</v>
      </c>
      <c r="O2501" s="133" t="s">
        <v>1888</v>
      </c>
      <c r="P2501" s="100" t="s">
        <v>4466</v>
      </c>
      <c r="Q2501" s="100" t="s">
        <v>4187</v>
      </c>
      <c r="R2501" s="226" t="s">
        <v>4229</v>
      </c>
      <c r="S2501" s="491" t="str">
        <f t="shared" si="81"/>
        <v>x</v>
      </c>
      <c r="T2501" s="492">
        <f>IFERROR(VLOOKUP(F2501,'Freq-Chan'!C:D,2,FALSE),"x")</f>
        <v>151.26599999999999</v>
      </c>
      <c r="U2501" s="110" t="s">
        <v>541</v>
      </c>
      <c r="V2501" s="110" t="str">
        <f t="shared" si="82"/>
        <v>FWL</v>
      </c>
      <c r="W2501" s="110" t="s">
        <v>541</v>
      </c>
      <c r="X2501" s="110" t="s">
        <v>541</v>
      </c>
      <c r="Y2501" s="110" t="str">
        <f>IFERROR(VLOOKUP(F2501,'Freq-Chan'!C:E,3,FALSE),"na")</f>
        <v>F1840</v>
      </c>
      <c r="Z2501" s="110" t="s">
        <v>541</v>
      </c>
      <c r="AA2501" s="110" t="s">
        <v>541</v>
      </c>
      <c r="AB2501" s="110" t="s">
        <v>541</v>
      </c>
      <c r="AC2501" s="10" t="s">
        <v>541</v>
      </c>
      <c r="AD2501" s="10" t="s">
        <v>541</v>
      </c>
    </row>
    <row r="2502" spans="1:30" x14ac:dyDescent="0.2">
      <c r="A2502" s="110">
        <v>2502</v>
      </c>
      <c r="B2502" s="132">
        <v>41863</v>
      </c>
      <c r="C2502" s="117">
        <v>1</v>
      </c>
      <c r="D2502" s="103" t="s">
        <v>70</v>
      </c>
      <c r="E2502" s="103" t="s">
        <v>306</v>
      </c>
      <c r="H2502" s="103"/>
      <c r="I2502" s="103">
        <v>46</v>
      </c>
      <c r="K2502" s="103" t="s">
        <v>365</v>
      </c>
      <c r="L2502" s="133"/>
      <c r="M2502" s="134">
        <v>1.6666666666666666E-2</v>
      </c>
      <c r="N2502" s="137" t="s">
        <v>4191</v>
      </c>
      <c r="O2502" s="133" t="s">
        <v>1888</v>
      </c>
      <c r="Q2502" s="100" t="s">
        <v>4187</v>
      </c>
      <c r="R2502" s="226" t="s">
        <v>4229</v>
      </c>
      <c r="S2502" s="491" t="str">
        <f t="shared" si="81"/>
        <v>x</v>
      </c>
      <c r="T2502" s="492" t="str">
        <f>IFERROR(VLOOKUP(F2502,'Freq-Chan'!C:D,2,FALSE),"x")</f>
        <v>x</v>
      </c>
      <c r="U2502" s="110" t="s">
        <v>541</v>
      </c>
      <c r="V2502" s="110" t="str">
        <f t="shared" si="82"/>
        <v>FWL</v>
      </c>
      <c r="W2502" s="110" t="s">
        <v>541</v>
      </c>
      <c r="X2502" s="110" t="s">
        <v>541</v>
      </c>
      <c r="Y2502" s="110" t="str">
        <f>IFERROR(VLOOKUP(F2502,'Freq-Chan'!C:E,3,FALSE),"na")</f>
        <v>na</v>
      </c>
      <c r="Z2502" s="110" t="s">
        <v>541</v>
      </c>
      <c r="AA2502" s="110" t="s">
        <v>541</v>
      </c>
      <c r="AB2502" s="110" t="s">
        <v>541</v>
      </c>
      <c r="AC2502" s="10" t="s">
        <v>541</v>
      </c>
      <c r="AD2502" s="10" t="s">
        <v>541</v>
      </c>
    </row>
    <row r="2503" spans="1:30" x14ac:dyDescent="0.2">
      <c r="A2503" s="110">
        <v>2503</v>
      </c>
      <c r="B2503" s="132">
        <v>41863</v>
      </c>
      <c r="C2503" s="117">
        <v>1</v>
      </c>
      <c r="D2503" s="103" t="s">
        <v>71</v>
      </c>
      <c r="E2503" s="103" t="s">
        <v>306</v>
      </c>
      <c r="H2503" s="103"/>
      <c r="I2503" s="103">
        <v>56</v>
      </c>
      <c r="K2503" s="103" t="s">
        <v>365</v>
      </c>
      <c r="L2503" s="133"/>
      <c r="M2503" s="134">
        <v>1.8749999999999999E-2</v>
      </c>
      <c r="N2503" s="137" t="s">
        <v>1661</v>
      </c>
      <c r="O2503" s="133" t="s">
        <v>1888</v>
      </c>
      <c r="Q2503" s="100" t="s">
        <v>4185</v>
      </c>
      <c r="R2503" s="226" t="s">
        <v>4229</v>
      </c>
      <c r="S2503" s="491" t="str">
        <f t="shared" si="81"/>
        <v>x</v>
      </c>
      <c r="T2503" s="492" t="str">
        <f>IFERROR(VLOOKUP(F2503,'Freq-Chan'!C:D,2,FALSE),"x")</f>
        <v>x</v>
      </c>
      <c r="U2503" s="110" t="s">
        <v>541</v>
      </c>
      <c r="V2503" s="110" t="str">
        <f t="shared" si="82"/>
        <v>FWL</v>
      </c>
      <c r="W2503" s="110" t="s">
        <v>541</v>
      </c>
      <c r="X2503" s="110" t="s">
        <v>541</v>
      </c>
      <c r="Y2503" s="110" t="str">
        <f>IFERROR(VLOOKUP(F2503,'Freq-Chan'!C:E,3,FALSE),"na")</f>
        <v>na</v>
      </c>
      <c r="Z2503" s="110" t="s">
        <v>541</v>
      </c>
      <c r="AA2503" s="110" t="s">
        <v>541</v>
      </c>
      <c r="AB2503" s="110" t="s">
        <v>541</v>
      </c>
      <c r="AC2503" s="10" t="s">
        <v>541</v>
      </c>
      <c r="AD2503" s="10" t="s">
        <v>541</v>
      </c>
    </row>
    <row r="2504" spans="1:30" x14ac:dyDescent="0.2">
      <c r="A2504" s="110">
        <v>2504</v>
      </c>
      <c r="B2504" s="132">
        <v>41863</v>
      </c>
      <c r="C2504" s="117">
        <v>1</v>
      </c>
      <c r="D2504" s="103" t="s">
        <v>70</v>
      </c>
      <c r="E2504" s="103" t="s">
        <v>306</v>
      </c>
      <c r="F2504" s="103">
        <v>596</v>
      </c>
      <c r="G2504" s="103">
        <v>89</v>
      </c>
      <c r="H2504" s="103" t="s">
        <v>3127</v>
      </c>
      <c r="I2504" s="103">
        <v>50</v>
      </c>
      <c r="K2504" s="103" t="s">
        <v>1032</v>
      </c>
      <c r="L2504" s="133"/>
      <c r="M2504" s="134">
        <v>5.6944444444444443E-2</v>
      </c>
      <c r="N2504" s="137" t="s">
        <v>3798</v>
      </c>
      <c r="O2504" s="133" t="s">
        <v>1888</v>
      </c>
      <c r="Q2504" s="100" t="s">
        <v>4185</v>
      </c>
      <c r="R2504" s="226" t="s">
        <v>4229</v>
      </c>
      <c r="S2504" s="491" t="str">
        <f t="shared" si="81"/>
        <v>x</v>
      </c>
      <c r="T2504" s="492">
        <f>IFERROR(VLOOKUP(F2504,'Freq-Chan'!C:D,2,FALSE),"x")</f>
        <v>151.596</v>
      </c>
      <c r="U2504" s="110" t="s">
        <v>541</v>
      </c>
      <c r="V2504" s="110" t="str">
        <f t="shared" si="82"/>
        <v>FWL</v>
      </c>
      <c r="W2504" s="110" t="s">
        <v>541</v>
      </c>
      <c r="X2504" s="110" t="s">
        <v>541</v>
      </c>
      <c r="Y2504" s="110" t="str">
        <f>IFERROR(VLOOKUP(F2504,'Freq-Chan'!C:E,3,FALSE),"na")</f>
        <v>F1835</v>
      </c>
      <c r="Z2504" s="110" t="s">
        <v>541</v>
      </c>
      <c r="AA2504" s="110" t="s">
        <v>541</v>
      </c>
      <c r="AB2504" s="110" t="s">
        <v>541</v>
      </c>
      <c r="AC2504" s="10" t="s">
        <v>541</v>
      </c>
      <c r="AD2504" s="10" t="s">
        <v>541</v>
      </c>
    </row>
    <row r="2505" spans="1:30" x14ac:dyDescent="0.2">
      <c r="A2505" s="110">
        <v>2505</v>
      </c>
      <c r="B2505" s="132">
        <v>41863</v>
      </c>
      <c r="C2505" s="117">
        <v>1</v>
      </c>
      <c r="D2505" s="103" t="s">
        <v>8</v>
      </c>
      <c r="E2505" s="103" t="s">
        <v>306</v>
      </c>
      <c r="F2505" s="103">
        <v>586</v>
      </c>
      <c r="G2505" s="103">
        <v>8</v>
      </c>
      <c r="H2505" s="103" t="s">
        <v>2255</v>
      </c>
      <c r="I2505" s="103">
        <v>48</v>
      </c>
      <c r="K2505" s="103" t="s">
        <v>364</v>
      </c>
      <c r="L2505" s="133"/>
      <c r="M2505" s="134">
        <v>6.0416666666666667E-2</v>
      </c>
      <c r="N2505" s="137" t="s">
        <v>768</v>
      </c>
      <c r="O2505" s="133" t="s">
        <v>1888</v>
      </c>
      <c r="Q2505" s="100" t="s">
        <v>4185</v>
      </c>
      <c r="R2505" s="226" t="s">
        <v>4229</v>
      </c>
      <c r="S2505" s="491" t="str">
        <f t="shared" si="81"/>
        <v>x</v>
      </c>
      <c r="T2505" s="492">
        <f>IFERROR(VLOOKUP(F2505,'Freq-Chan'!C:D,2,FALSE),"x")</f>
        <v>151.58600000000001</v>
      </c>
      <c r="U2505" s="110" t="s">
        <v>541</v>
      </c>
      <c r="V2505" s="110" t="str">
        <f t="shared" si="82"/>
        <v>FWL</v>
      </c>
      <c r="W2505" s="110" t="s">
        <v>541</v>
      </c>
      <c r="X2505" s="110" t="s">
        <v>541</v>
      </c>
      <c r="Y2505" s="110" t="str">
        <f>IFERROR(VLOOKUP(F2505,'Freq-Chan'!C:E,3,FALSE),"na")</f>
        <v>F1840</v>
      </c>
      <c r="Z2505" s="110" t="s">
        <v>541</v>
      </c>
      <c r="AA2505" s="110" t="s">
        <v>541</v>
      </c>
      <c r="AB2505" s="110" t="s">
        <v>541</v>
      </c>
      <c r="AC2505" s="10" t="s">
        <v>541</v>
      </c>
      <c r="AD2505" s="10" t="s">
        <v>541</v>
      </c>
    </row>
    <row r="2506" spans="1:30" x14ac:dyDescent="0.2">
      <c r="A2506" s="110">
        <v>2506</v>
      </c>
      <c r="B2506" s="132">
        <v>41863</v>
      </c>
      <c r="C2506" s="117">
        <v>1</v>
      </c>
      <c r="D2506" s="103" t="s">
        <v>70</v>
      </c>
      <c r="E2506" s="103" t="s">
        <v>306</v>
      </c>
      <c r="H2506" s="103"/>
      <c r="I2506" s="103">
        <v>45</v>
      </c>
      <c r="K2506" s="103" t="s">
        <v>365</v>
      </c>
      <c r="L2506" s="133"/>
      <c r="M2506" s="134">
        <v>2.4305555555555556E-2</v>
      </c>
      <c r="N2506" s="137" t="s">
        <v>4193</v>
      </c>
      <c r="O2506" s="133" t="s">
        <v>1888</v>
      </c>
      <c r="Q2506" s="100" t="s">
        <v>4185</v>
      </c>
      <c r="R2506" s="226" t="s">
        <v>4229</v>
      </c>
      <c r="S2506" s="491" t="str">
        <f t="shared" si="81"/>
        <v>x</v>
      </c>
      <c r="T2506" s="492" t="str">
        <f>IFERROR(VLOOKUP(F2506,'Freq-Chan'!C:D,2,FALSE),"x")</f>
        <v>x</v>
      </c>
      <c r="U2506" s="110" t="s">
        <v>541</v>
      </c>
      <c r="V2506" s="110" t="str">
        <f t="shared" si="82"/>
        <v>FWL</v>
      </c>
      <c r="W2506" s="110" t="s">
        <v>541</v>
      </c>
      <c r="X2506" s="110" t="s">
        <v>541</v>
      </c>
      <c r="Y2506" s="110" t="str">
        <f>IFERROR(VLOOKUP(F2506,'Freq-Chan'!C:E,3,FALSE),"na")</f>
        <v>na</v>
      </c>
      <c r="Z2506" s="110" t="s">
        <v>541</v>
      </c>
      <c r="AA2506" s="110" t="s">
        <v>541</v>
      </c>
      <c r="AB2506" s="110" t="s">
        <v>541</v>
      </c>
      <c r="AC2506" s="10" t="s">
        <v>541</v>
      </c>
      <c r="AD2506" s="10" t="s">
        <v>541</v>
      </c>
    </row>
    <row r="2507" spans="1:30" x14ac:dyDescent="0.2">
      <c r="A2507" s="110">
        <v>2507</v>
      </c>
      <c r="B2507" s="132">
        <v>41863</v>
      </c>
      <c r="C2507" s="117">
        <v>1</v>
      </c>
      <c r="D2507" s="103" t="s">
        <v>71</v>
      </c>
      <c r="E2507" s="103" t="s">
        <v>306</v>
      </c>
      <c r="H2507" s="103"/>
      <c r="I2507" s="103">
        <v>59</v>
      </c>
      <c r="K2507" s="103" t="s">
        <v>365</v>
      </c>
      <c r="L2507" s="133"/>
      <c r="M2507" s="134">
        <v>1.8749999999999999E-2</v>
      </c>
      <c r="N2507" s="137" t="s">
        <v>844</v>
      </c>
      <c r="O2507" s="133" t="s">
        <v>1888</v>
      </c>
      <c r="Q2507" s="100" t="s">
        <v>4185</v>
      </c>
      <c r="R2507" s="226" t="s">
        <v>4229</v>
      </c>
      <c r="S2507" s="491" t="str">
        <f t="shared" si="81"/>
        <v>x</v>
      </c>
      <c r="T2507" s="492" t="str">
        <f>IFERROR(VLOOKUP(F2507,'Freq-Chan'!C:D,2,FALSE),"x")</f>
        <v>x</v>
      </c>
      <c r="U2507" s="110" t="s">
        <v>541</v>
      </c>
      <c r="V2507" s="110" t="str">
        <f t="shared" si="82"/>
        <v>FWL</v>
      </c>
      <c r="W2507" s="110" t="s">
        <v>541</v>
      </c>
      <c r="X2507" s="110" t="s">
        <v>541</v>
      </c>
      <c r="Y2507" s="110" t="str">
        <f>IFERROR(VLOOKUP(F2507,'Freq-Chan'!C:E,3,FALSE),"na")</f>
        <v>na</v>
      </c>
      <c r="Z2507" s="110" t="s">
        <v>541</v>
      </c>
      <c r="AA2507" s="110" t="s">
        <v>541</v>
      </c>
      <c r="AB2507" s="110" t="s">
        <v>541</v>
      </c>
      <c r="AC2507" s="10" t="s">
        <v>541</v>
      </c>
      <c r="AD2507" s="10" t="s">
        <v>541</v>
      </c>
    </row>
    <row r="2508" spans="1:30" x14ac:dyDescent="0.2">
      <c r="A2508" s="110">
        <v>2508</v>
      </c>
      <c r="B2508" s="132">
        <v>41863</v>
      </c>
      <c r="C2508" s="117">
        <v>1</v>
      </c>
      <c r="D2508" s="103" t="s">
        <v>70</v>
      </c>
      <c r="E2508" s="103" t="s">
        <v>306</v>
      </c>
      <c r="H2508" s="103"/>
      <c r="I2508" s="103">
        <v>46</v>
      </c>
      <c r="K2508" s="103" t="s">
        <v>365</v>
      </c>
      <c r="L2508" s="133"/>
      <c r="M2508" s="134">
        <v>2.2222222222222223E-2</v>
      </c>
      <c r="N2508" s="137" t="s">
        <v>4082</v>
      </c>
      <c r="O2508" s="133" t="s">
        <v>1888</v>
      </c>
      <c r="Q2508" s="100" t="s">
        <v>4185</v>
      </c>
      <c r="R2508" s="226" t="s">
        <v>4229</v>
      </c>
      <c r="S2508" s="491" t="str">
        <f t="shared" si="81"/>
        <v>x</v>
      </c>
      <c r="T2508" s="492" t="str">
        <f>IFERROR(VLOOKUP(F2508,'Freq-Chan'!C:D,2,FALSE),"x")</f>
        <v>x</v>
      </c>
      <c r="U2508" s="110" t="s">
        <v>541</v>
      </c>
      <c r="V2508" s="110" t="str">
        <f t="shared" si="82"/>
        <v>FWL</v>
      </c>
      <c r="W2508" s="110" t="s">
        <v>541</v>
      </c>
      <c r="X2508" s="110" t="s">
        <v>541</v>
      </c>
      <c r="Y2508" s="110" t="str">
        <f>IFERROR(VLOOKUP(F2508,'Freq-Chan'!C:E,3,FALSE),"na")</f>
        <v>na</v>
      </c>
      <c r="Z2508" s="110" t="s">
        <v>541</v>
      </c>
      <c r="AA2508" s="110" t="s">
        <v>541</v>
      </c>
      <c r="AB2508" s="110" t="s">
        <v>541</v>
      </c>
      <c r="AC2508" s="10" t="s">
        <v>541</v>
      </c>
      <c r="AD2508" s="10" t="s">
        <v>541</v>
      </c>
    </row>
    <row r="2509" spans="1:30" x14ac:dyDescent="0.2">
      <c r="A2509" s="110">
        <v>2509</v>
      </c>
      <c r="B2509" s="132">
        <v>41863</v>
      </c>
      <c r="C2509" s="117">
        <v>1</v>
      </c>
      <c r="D2509" s="103" t="s">
        <v>71</v>
      </c>
      <c r="E2509" s="103" t="s">
        <v>306</v>
      </c>
      <c r="H2509" s="103"/>
      <c r="I2509" s="103">
        <v>60</v>
      </c>
      <c r="K2509" s="103" t="s">
        <v>365</v>
      </c>
      <c r="L2509" s="133"/>
      <c r="M2509" s="134">
        <v>1.4583333333333332E-2</v>
      </c>
      <c r="N2509" s="137" t="s">
        <v>1668</v>
      </c>
      <c r="O2509" s="133" t="s">
        <v>1888</v>
      </c>
      <c r="Q2509" s="100" t="s">
        <v>4185</v>
      </c>
      <c r="R2509" s="226" t="s">
        <v>4229</v>
      </c>
      <c r="S2509" s="491" t="str">
        <f t="shared" si="81"/>
        <v>x</v>
      </c>
      <c r="T2509" s="492" t="str">
        <f>IFERROR(VLOOKUP(F2509,'Freq-Chan'!C:D,2,FALSE),"x")</f>
        <v>x</v>
      </c>
      <c r="U2509" s="110" t="s">
        <v>541</v>
      </c>
      <c r="V2509" s="110" t="str">
        <f t="shared" si="82"/>
        <v>FWL</v>
      </c>
      <c r="W2509" s="110" t="s">
        <v>541</v>
      </c>
      <c r="X2509" s="110" t="s">
        <v>541</v>
      </c>
      <c r="Y2509" s="110" t="str">
        <f>IFERROR(VLOOKUP(F2509,'Freq-Chan'!C:E,3,FALSE),"na")</f>
        <v>na</v>
      </c>
      <c r="Z2509" s="110" t="s">
        <v>541</v>
      </c>
      <c r="AA2509" s="110" t="s">
        <v>541</v>
      </c>
      <c r="AB2509" s="110" t="s">
        <v>541</v>
      </c>
      <c r="AC2509" s="10" t="s">
        <v>541</v>
      </c>
      <c r="AD2509" s="10" t="s">
        <v>541</v>
      </c>
    </row>
    <row r="2510" spans="1:30" x14ac:dyDescent="0.2">
      <c r="A2510" s="110">
        <v>2510</v>
      </c>
      <c r="B2510" s="132">
        <v>41863</v>
      </c>
      <c r="C2510" s="117">
        <v>1</v>
      </c>
      <c r="D2510" s="103" t="s">
        <v>71</v>
      </c>
      <c r="E2510" s="103" t="s">
        <v>306</v>
      </c>
      <c r="H2510" s="103"/>
      <c r="I2510" s="103">
        <v>57</v>
      </c>
      <c r="K2510" s="103" t="s">
        <v>364</v>
      </c>
      <c r="L2510" s="133"/>
      <c r="M2510" s="134">
        <v>1.9444444444444445E-2</v>
      </c>
      <c r="N2510" s="137" t="s">
        <v>4194</v>
      </c>
      <c r="O2510" s="133" t="s">
        <v>1888</v>
      </c>
      <c r="Q2510" s="100" t="s">
        <v>4185</v>
      </c>
      <c r="R2510" s="226" t="s">
        <v>4229</v>
      </c>
      <c r="S2510" s="491" t="str">
        <f t="shared" si="81"/>
        <v>x</v>
      </c>
      <c r="T2510" s="492" t="str">
        <f>IFERROR(VLOOKUP(F2510,'Freq-Chan'!C:D,2,FALSE),"x")</f>
        <v>x</v>
      </c>
      <c r="U2510" s="110" t="s">
        <v>541</v>
      </c>
      <c r="V2510" s="110" t="str">
        <f t="shared" si="82"/>
        <v>FWL</v>
      </c>
      <c r="W2510" s="110" t="s">
        <v>541</v>
      </c>
      <c r="X2510" s="110" t="s">
        <v>541</v>
      </c>
      <c r="Y2510" s="110" t="str">
        <f>IFERROR(VLOOKUP(F2510,'Freq-Chan'!C:E,3,FALSE),"na")</f>
        <v>na</v>
      </c>
      <c r="Z2510" s="110" t="s">
        <v>541</v>
      </c>
      <c r="AA2510" s="110" t="s">
        <v>541</v>
      </c>
      <c r="AB2510" s="110" t="s">
        <v>541</v>
      </c>
      <c r="AC2510" s="10" t="s">
        <v>541</v>
      </c>
      <c r="AD2510" s="10" t="s">
        <v>541</v>
      </c>
    </row>
    <row r="2511" spans="1:30" x14ac:dyDescent="0.2">
      <c r="A2511" s="110">
        <v>2511</v>
      </c>
      <c r="B2511" s="132">
        <v>41863</v>
      </c>
      <c r="C2511" s="117">
        <v>1</v>
      </c>
      <c r="D2511" s="103" t="s">
        <v>70</v>
      </c>
      <c r="E2511" s="103" t="s">
        <v>306</v>
      </c>
      <c r="H2511" s="103"/>
      <c r="I2511" s="103">
        <v>45</v>
      </c>
      <c r="K2511" s="103" t="s">
        <v>365</v>
      </c>
      <c r="L2511" s="133"/>
      <c r="M2511" s="134">
        <v>1.8749999999999999E-2</v>
      </c>
      <c r="N2511" s="137" t="s">
        <v>2745</v>
      </c>
      <c r="O2511" s="133" t="s">
        <v>1532</v>
      </c>
      <c r="Q2511" s="100" t="s">
        <v>4184</v>
      </c>
      <c r="R2511" s="226" t="s">
        <v>4229</v>
      </c>
      <c r="S2511" s="491" t="str">
        <f t="shared" si="81"/>
        <v>x</v>
      </c>
      <c r="T2511" s="492" t="str">
        <f>IFERROR(VLOOKUP(F2511,'Freq-Chan'!C:D,2,FALSE),"x")</f>
        <v>x</v>
      </c>
      <c r="U2511" s="110" t="s">
        <v>541</v>
      </c>
      <c r="V2511" s="110" t="str">
        <f t="shared" si="82"/>
        <v>FWL</v>
      </c>
      <c r="W2511" s="110" t="s">
        <v>541</v>
      </c>
      <c r="X2511" s="110" t="s">
        <v>541</v>
      </c>
      <c r="Y2511" s="110" t="str">
        <f>IFERROR(VLOOKUP(F2511,'Freq-Chan'!C:E,3,FALSE),"na")</f>
        <v>na</v>
      </c>
      <c r="Z2511" s="110" t="s">
        <v>541</v>
      </c>
      <c r="AA2511" s="110" t="s">
        <v>541</v>
      </c>
      <c r="AB2511" s="110" t="s">
        <v>541</v>
      </c>
      <c r="AC2511" s="10" t="s">
        <v>541</v>
      </c>
      <c r="AD2511" s="10" t="s">
        <v>541</v>
      </c>
    </row>
    <row r="2512" spans="1:30" x14ac:dyDescent="0.2">
      <c r="A2512" s="110">
        <v>2512</v>
      </c>
      <c r="B2512" s="132">
        <v>41863</v>
      </c>
      <c r="C2512" s="117">
        <v>1</v>
      </c>
      <c r="D2512" s="103" t="s">
        <v>70</v>
      </c>
      <c r="E2512" s="103" t="s">
        <v>306</v>
      </c>
      <c r="H2512" s="103"/>
      <c r="I2512" s="103">
        <v>46</v>
      </c>
      <c r="K2512" s="103" t="s">
        <v>365</v>
      </c>
      <c r="L2512" s="133"/>
      <c r="M2512" s="134">
        <v>1.6666666666666666E-2</v>
      </c>
      <c r="N2512" s="137" t="s">
        <v>504</v>
      </c>
      <c r="O2512" s="133" t="s">
        <v>1532</v>
      </c>
      <c r="Q2512" s="100" t="s">
        <v>4184</v>
      </c>
      <c r="R2512" s="226" t="s">
        <v>4229</v>
      </c>
      <c r="S2512" s="491" t="str">
        <f t="shared" si="81"/>
        <v>x</v>
      </c>
      <c r="T2512" s="492" t="str">
        <f>IFERROR(VLOOKUP(F2512,'Freq-Chan'!C:D,2,FALSE),"x")</f>
        <v>x</v>
      </c>
      <c r="U2512" s="110" t="s">
        <v>541</v>
      </c>
      <c r="V2512" s="110" t="str">
        <f t="shared" si="82"/>
        <v>FWL</v>
      </c>
      <c r="W2512" s="110" t="s">
        <v>541</v>
      </c>
      <c r="X2512" s="110" t="s">
        <v>541</v>
      </c>
      <c r="Y2512" s="110" t="str">
        <f>IFERROR(VLOOKUP(F2512,'Freq-Chan'!C:E,3,FALSE),"na")</f>
        <v>na</v>
      </c>
      <c r="Z2512" s="110" t="s">
        <v>541</v>
      </c>
      <c r="AA2512" s="110" t="s">
        <v>541</v>
      </c>
      <c r="AB2512" s="110" t="s">
        <v>541</v>
      </c>
      <c r="AC2512" s="10" t="s">
        <v>541</v>
      </c>
      <c r="AD2512" s="10" t="s">
        <v>541</v>
      </c>
    </row>
    <row r="2513" spans="1:30" x14ac:dyDescent="0.2">
      <c r="A2513" s="110">
        <v>2513</v>
      </c>
      <c r="B2513" s="132">
        <v>41863</v>
      </c>
      <c r="C2513" s="117">
        <v>1</v>
      </c>
      <c r="D2513" s="103" t="s">
        <v>70</v>
      </c>
      <c r="E2513" s="103" t="s">
        <v>306</v>
      </c>
      <c r="H2513" s="103"/>
      <c r="I2513" s="103">
        <v>41</v>
      </c>
      <c r="K2513" s="103" t="s">
        <v>1032</v>
      </c>
      <c r="L2513" s="133"/>
      <c r="M2513" s="134">
        <v>1.8749999999999999E-2</v>
      </c>
      <c r="N2513" s="137" t="s">
        <v>1803</v>
      </c>
      <c r="O2513" s="133" t="s">
        <v>1532</v>
      </c>
      <c r="Q2513" s="100" t="s">
        <v>4184</v>
      </c>
      <c r="R2513" s="226" t="s">
        <v>4229</v>
      </c>
      <c r="S2513" s="491" t="str">
        <f t="shared" si="81"/>
        <v>x</v>
      </c>
      <c r="T2513" s="492" t="str">
        <f>IFERROR(VLOOKUP(F2513,'Freq-Chan'!C:D,2,FALSE),"x")</f>
        <v>x</v>
      </c>
      <c r="U2513" s="110" t="s">
        <v>541</v>
      </c>
      <c r="V2513" s="110" t="str">
        <f t="shared" si="82"/>
        <v>FWL</v>
      </c>
      <c r="W2513" s="110" t="s">
        <v>541</v>
      </c>
      <c r="X2513" s="110" t="s">
        <v>541</v>
      </c>
      <c r="Y2513" s="110" t="str">
        <f>IFERROR(VLOOKUP(F2513,'Freq-Chan'!C:E,3,FALSE),"na")</f>
        <v>na</v>
      </c>
      <c r="Z2513" s="110" t="s">
        <v>541</v>
      </c>
      <c r="AA2513" s="110" t="s">
        <v>541</v>
      </c>
      <c r="AB2513" s="110" t="s">
        <v>541</v>
      </c>
      <c r="AC2513" s="10" t="s">
        <v>541</v>
      </c>
      <c r="AD2513" s="10" t="s">
        <v>541</v>
      </c>
    </row>
    <row r="2514" spans="1:30" x14ac:dyDescent="0.2">
      <c r="A2514" s="110">
        <v>2514</v>
      </c>
      <c r="B2514" s="132">
        <v>41863</v>
      </c>
      <c r="C2514" s="117">
        <v>1</v>
      </c>
      <c r="D2514" s="103" t="s">
        <v>72</v>
      </c>
      <c r="E2514" s="103" t="s">
        <v>306</v>
      </c>
      <c r="F2514" s="103">
        <v>255</v>
      </c>
      <c r="G2514" s="103">
        <v>65</v>
      </c>
      <c r="H2514" s="103" t="s">
        <v>3555</v>
      </c>
      <c r="I2514" s="103">
        <v>48</v>
      </c>
      <c r="K2514" s="103" t="s">
        <v>364</v>
      </c>
      <c r="L2514" s="133"/>
      <c r="M2514" s="134">
        <v>3.9583333333333331E-2</v>
      </c>
      <c r="N2514" s="137" t="s">
        <v>1742</v>
      </c>
      <c r="O2514" s="133" t="s">
        <v>1532</v>
      </c>
      <c r="P2514" s="100" t="s">
        <v>4466</v>
      </c>
      <c r="Q2514" s="100" t="s">
        <v>4184</v>
      </c>
      <c r="R2514" s="226" t="s">
        <v>4229</v>
      </c>
      <c r="S2514" s="491" t="str">
        <f t="shared" si="81"/>
        <v>x</v>
      </c>
      <c r="T2514" s="492" t="str">
        <f>IFERROR(VLOOKUP(F2514,'Freq-Chan'!C:D,2,FALSE),"x")</f>
        <v>x</v>
      </c>
      <c r="U2514" s="110" t="s">
        <v>541</v>
      </c>
      <c r="V2514" s="110" t="str">
        <f t="shared" si="82"/>
        <v>FWL</v>
      </c>
      <c r="W2514" s="110" t="s">
        <v>541</v>
      </c>
      <c r="X2514" s="110" t="s">
        <v>541</v>
      </c>
      <c r="Y2514" s="110" t="str">
        <f>IFERROR(VLOOKUP(F2514,'Freq-Chan'!C:E,3,FALSE),"na")</f>
        <v>na</v>
      </c>
      <c r="Z2514" s="110" t="s">
        <v>541</v>
      </c>
      <c r="AA2514" s="110" t="s">
        <v>541</v>
      </c>
      <c r="AB2514" s="110" t="s">
        <v>541</v>
      </c>
      <c r="AC2514" s="10" t="s">
        <v>541</v>
      </c>
      <c r="AD2514" s="10" t="s">
        <v>541</v>
      </c>
    </row>
    <row r="2515" spans="1:30" s="291" customFormat="1" x14ac:dyDescent="0.2">
      <c r="A2515" s="493">
        <v>2515</v>
      </c>
      <c r="B2515" s="283">
        <v>41863</v>
      </c>
      <c r="C2515" s="284">
        <v>1</v>
      </c>
      <c r="D2515" s="285" t="s">
        <v>70</v>
      </c>
      <c r="E2515" s="285" t="s">
        <v>306</v>
      </c>
      <c r="F2515" s="285">
        <v>596</v>
      </c>
      <c r="G2515" s="285">
        <v>60</v>
      </c>
      <c r="H2515" s="285" t="s">
        <v>3128</v>
      </c>
      <c r="I2515" s="285">
        <v>48</v>
      </c>
      <c r="J2515" s="285"/>
      <c r="K2515" s="285" t="s">
        <v>1032</v>
      </c>
      <c r="L2515" s="286"/>
      <c r="M2515" s="287">
        <v>2.7777777777777776E-2</v>
      </c>
      <c r="N2515" s="339" t="s">
        <v>2521</v>
      </c>
      <c r="O2515" s="286" t="s">
        <v>1532</v>
      </c>
      <c r="P2515" s="289"/>
      <c r="Q2515" s="289" t="s">
        <v>4184</v>
      </c>
      <c r="R2515" s="290" t="s">
        <v>4229</v>
      </c>
      <c r="S2515" s="494" t="str">
        <f t="shared" si="81"/>
        <v>x</v>
      </c>
      <c r="T2515" s="495">
        <f>IFERROR(VLOOKUP(F2515,'Freq-Chan'!C:D,2,FALSE),"x")</f>
        <v>151.596</v>
      </c>
      <c r="U2515" s="493" t="s">
        <v>541</v>
      </c>
      <c r="V2515" s="493" t="str">
        <f t="shared" si="82"/>
        <v>FWL</v>
      </c>
      <c r="W2515" s="493" t="s">
        <v>541</v>
      </c>
      <c r="X2515" s="493" t="s">
        <v>541</v>
      </c>
      <c r="Y2515" s="493" t="str">
        <f>IFERROR(VLOOKUP(F2515,'Freq-Chan'!C:E,3,FALSE),"na")</f>
        <v>F1835</v>
      </c>
      <c r="Z2515" s="493" t="s">
        <v>541</v>
      </c>
      <c r="AA2515" s="493" t="s">
        <v>541</v>
      </c>
      <c r="AB2515" s="493" t="s">
        <v>541</v>
      </c>
      <c r="AC2515" s="291" t="s">
        <v>541</v>
      </c>
      <c r="AD2515" s="291" t="s">
        <v>541</v>
      </c>
    </row>
    <row r="2516" spans="1:30" x14ac:dyDescent="0.2">
      <c r="A2516" s="110">
        <v>2516</v>
      </c>
      <c r="B2516" s="132">
        <v>41863</v>
      </c>
      <c r="C2516" s="117">
        <v>2</v>
      </c>
      <c r="D2516" s="103" t="s">
        <v>71</v>
      </c>
      <c r="E2516" s="103" t="s">
        <v>306</v>
      </c>
      <c r="H2516" s="103"/>
      <c r="I2516" s="103">
        <v>62</v>
      </c>
      <c r="K2516" s="103" t="s">
        <v>364</v>
      </c>
      <c r="L2516" s="133"/>
      <c r="M2516" s="134">
        <v>1.1805555555555555E-2</v>
      </c>
      <c r="N2516" s="137" t="s">
        <v>3243</v>
      </c>
      <c r="O2516" s="133" t="s">
        <v>555</v>
      </c>
      <c r="Q2516" s="100" t="s">
        <v>4183</v>
      </c>
      <c r="R2516" s="226" t="s">
        <v>4229</v>
      </c>
      <c r="S2516" s="491" t="str">
        <f t="shared" si="81"/>
        <v>x</v>
      </c>
      <c r="T2516" s="492" t="str">
        <f>IFERROR(VLOOKUP(F2516,'Freq-Chan'!C:D,2,FALSE),"x")</f>
        <v>x</v>
      </c>
      <c r="U2516" s="110" t="s">
        <v>541</v>
      </c>
      <c r="V2516" s="110" t="str">
        <f t="shared" si="82"/>
        <v>FWL</v>
      </c>
      <c r="W2516" s="110" t="s">
        <v>541</v>
      </c>
      <c r="X2516" s="110" t="s">
        <v>541</v>
      </c>
      <c r="Y2516" s="110" t="str">
        <f>IFERROR(VLOOKUP(F2516,'Freq-Chan'!C:E,3,FALSE),"na")</f>
        <v>na</v>
      </c>
      <c r="Z2516" s="110" t="s">
        <v>541</v>
      </c>
      <c r="AA2516" s="110" t="s">
        <v>541</v>
      </c>
      <c r="AB2516" s="110" t="s">
        <v>541</v>
      </c>
      <c r="AC2516" s="10" t="s">
        <v>541</v>
      </c>
      <c r="AD2516" s="10" t="s">
        <v>541</v>
      </c>
    </row>
    <row r="2517" spans="1:30" x14ac:dyDescent="0.2">
      <c r="A2517" s="110">
        <v>2517</v>
      </c>
      <c r="B2517" s="132">
        <v>41863</v>
      </c>
      <c r="C2517" s="117">
        <v>2</v>
      </c>
      <c r="D2517" s="103" t="s">
        <v>8</v>
      </c>
      <c r="E2517" s="103" t="s">
        <v>306</v>
      </c>
      <c r="F2517" s="103">
        <v>573</v>
      </c>
      <c r="G2517" s="103">
        <v>97</v>
      </c>
      <c r="H2517" s="103" t="s">
        <v>2248</v>
      </c>
      <c r="I2517" s="103">
        <v>56</v>
      </c>
      <c r="K2517" s="103" t="s">
        <v>364</v>
      </c>
      <c r="L2517" s="133"/>
      <c r="M2517" s="134">
        <v>3.4027777777777775E-2</v>
      </c>
      <c r="N2517" s="137" t="s">
        <v>3398</v>
      </c>
      <c r="O2517" s="133" t="s">
        <v>1663</v>
      </c>
      <c r="Q2517" s="100" t="s">
        <v>4183</v>
      </c>
      <c r="R2517" s="226" t="s">
        <v>4229</v>
      </c>
      <c r="S2517" s="491" t="str">
        <f t="shared" si="81"/>
        <v>x</v>
      </c>
      <c r="T2517" s="492">
        <f>IFERROR(VLOOKUP(F2517,'Freq-Chan'!C:D,2,FALSE),"x")</f>
        <v>151.57300000000001</v>
      </c>
      <c r="U2517" s="110" t="s">
        <v>541</v>
      </c>
      <c r="V2517" s="110" t="str">
        <f t="shared" si="82"/>
        <v>FWL</v>
      </c>
      <c r="W2517" s="110" t="s">
        <v>541</v>
      </c>
      <c r="X2517" s="110" t="s">
        <v>541</v>
      </c>
      <c r="Y2517" s="110" t="str">
        <f>IFERROR(VLOOKUP(F2517,'Freq-Chan'!C:E,3,FALSE),"na")</f>
        <v>F1840</v>
      </c>
      <c r="Z2517" s="110" t="s">
        <v>541</v>
      </c>
      <c r="AA2517" s="110" t="s">
        <v>541</v>
      </c>
      <c r="AB2517" s="110" t="s">
        <v>541</v>
      </c>
      <c r="AC2517" s="10" t="s">
        <v>541</v>
      </c>
      <c r="AD2517" s="10" t="s">
        <v>541</v>
      </c>
    </row>
    <row r="2518" spans="1:30" x14ac:dyDescent="0.2">
      <c r="A2518" s="110">
        <v>2518</v>
      </c>
      <c r="B2518" s="132">
        <v>41863</v>
      </c>
      <c r="C2518" s="117">
        <v>2</v>
      </c>
      <c r="D2518" s="103" t="s">
        <v>8</v>
      </c>
      <c r="E2518" s="103" t="s">
        <v>306</v>
      </c>
      <c r="F2518" s="103">
        <v>586</v>
      </c>
      <c r="G2518" s="103">
        <v>74</v>
      </c>
      <c r="H2518" s="103" t="s">
        <v>2253</v>
      </c>
      <c r="I2518" s="103">
        <v>54</v>
      </c>
      <c r="K2518" s="103" t="s">
        <v>364</v>
      </c>
      <c r="L2518" s="133"/>
      <c r="M2518" s="134">
        <v>5.2083333333333336E-2</v>
      </c>
      <c r="N2518" s="137" t="s">
        <v>3927</v>
      </c>
      <c r="O2518" s="133" t="s">
        <v>555</v>
      </c>
      <c r="Q2518" s="100" t="s">
        <v>4183</v>
      </c>
      <c r="R2518" s="226" t="s">
        <v>4229</v>
      </c>
      <c r="S2518" s="491" t="str">
        <f t="shared" si="81"/>
        <v>x</v>
      </c>
      <c r="T2518" s="492">
        <f>IFERROR(VLOOKUP(F2518,'Freq-Chan'!C:D,2,FALSE),"x")</f>
        <v>151.58600000000001</v>
      </c>
      <c r="U2518" s="110" t="s">
        <v>541</v>
      </c>
      <c r="V2518" s="110" t="str">
        <f t="shared" si="82"/>
        <v>FWL</v>
      </c>
      <c r="W2518" s="110" t="s">
        <v>541</v>
      </c>
      <c r="X2518" s="110" t="s">
        <v>541</v>
      </c>
      <c r="Y2518" s="110" t="str">
        <f>IFERROR(VLOOKUP(F2518,'Freq-Chan'!C:E,3,FALSE),"na")</f>
        <v>F1840</v>
      </c>
      <c r="Z2518" s="110" t="s">
        <v>541</v>
      </c>
      <c r="AA2518" s="110" t="s">
        <v>541</v>
      </c>
      <c r="AB2518" s="110" t="s">
        <v>541</v>
      </c>
      <c r="AC2518" s="10" t="s">
        <v>541</v>
      </c>
      <c r="AD2518" s="10" t="s">
        <v>541</v>
      </c>
    </row>
    <row r="2519" spans="1:30" x14ac:dyDescent="0.2">
      <c r="A2519" s="110">
        <v>2519</v>
      </c>
      <c r="B2519" s="132">
        <v>41863</v>
      </c>
      <c r="C2519" s="117">
        <v>2</v>
      </c>
      <c r="D2519" s="103" t="s">
        <v>71</v>
      </c>
      <c r="E2519" s="103" t="s">
        <v>306</v>
      </c>
      <c r="H2519" s="103"/>
      <c r="I2519" s="103">
        <v>60</v>
      </c>
      <c r="K2519" s="103" t="s">
        <v>364</v>
      </c>
      <c r="L2519" s="133"/>
      <c r="M2519" s="134">
        <v>1.3194444444444444E-2</v>
      </c>
      <c r="N2519" s="137" t="s">
        <v>3481</v>
      </c>
      <c r="O2519" s="133" t="s">
        <v>555</v>
      </c>
      <c r="Q2519" s="100" t="s">
        <v>4183</v>
      </c>
      <c r="R2519" s="226" t="s">
        <v>4229</v>
      </c>
      <c r="S2519" s="491" t="str">
        <f t="shared" si="81"/>
        <v>x</v>
      </c>
      <c r="T2519" s="492" t="str">
        <f>IFERROR(VLOOKUP(F2519,'Freq-Chan'!C:D,2,FALSE),"x")</f>
        <v>x</v>
      </c>
      <c r="U2519" s="110" t="s">
        <v>541</v>
      </c>
      <c r="V2519" s="110" t="str">
        <f t="shared" si="82"/>
        <v>FWL</v>
      </c>
      <c r="W2519" s="110" t="s">
        <v>541</v>
      </c>
      <c r="X2519" s="110" t="s">
        <v>541</v>
      </c>
      <c r="Y2519" s="110" t="str">
        <f>IFERROR(VLOOKUP(F2519,'Freq-Chan'!C:E,3,FALSE),"na")</f>
        <v>na</v>
      </c>
      <c r="Z2519" s="110" t="s">
        <v>541</v>
      </c>
      <c r="AA2519" s="110" t="s">
        <v>541</v>
      </c>
      <c r="AB2519" s="110" t="s">
        <v>541</v>
      </c>
      <c r="AC2519" s="10" t="s">
        <v>541</v>
      </c>
      <c r="AD2519" s="10" t="s">
        <v>541</v>
      </c>
    </row>
    <row r="2520" spans="1:30" x14ac:dyDescent="0.2">
      <c r="A2520" s="110">
        <v>2520</v>
      </c>
      <c r="B2520" s="132">
        <v>41863</v>
      </c>
      <c r="C2520" s="117">
        <v>2</v>
      </c>
      <c r="D2520" s="103" t="s">
        <v>71</v>
      </c>
      <c r="E2520" s="103" t="s">
        <v>306</v>
      </c>
      <c r="H2520" s="103"/>
      <c r="I2520" s="103">
        <v>58</v>
      </c>
      <c r="K2520" s="103" t="s">
        <v>364</v>
      </c>
      <c r="L2520" s="133"/>
      <c r="M2520" s="134">
        <v>1.2499999999999999E-2</v>
      </c>
      <c r="N2520" s="137" t="s">
        <v>3716</v>
      </c>
      <c r="O2520" s="133" t="s">
        <v>555</v>
      </c>
      <c r="Q2520" s="100" t="s">
        <v>4183</v>
      </c>
      <c r="R2520" s="226" t="s">
        <v>4229</v>
      </c>
      <c r="S2520" s="491" t="str">
        <f t="shared" si="81"/>
        <v>x</v>
      </c>
      <c r="T2520" s="492" t="str">
        <f>IFERROR(VLOOKUP(F2520,'Freq-Chan'!C:D,2,FALSE),"x")</f>
        <v>x</v>
      </c>
      <c r="U2520" s="110" t="s">
        <v>541</v>
      </c>
      <c r="V2520" s="110" t="str">
        <f t="shared" si="82"/>
        <v>FWL</v>
      </c>
      <c r="W2520" s="110" t="s">
        <v>541</v>
      </c>
      <c r="X2520" s="110" t="s">
        <v>541</v>
      </c>
      <c r="Y2520" s="110" t="str">
        <f>IFERROR(VLOOKUP(F2520,'Freq-Chan'!C:E,3,FALSE),"na")</f>
        <v>na</v>
      </c>
      <c r="Z2520" s="110" t="s">
        <v>541</v>
      </c>
      <c r="AA2520" s="110" t="s">
        <v>541</v>
      </c>
      <c r="AB2520" s="110" t="s">
        <v>541</v>
      </c>
      <c r="AC2520" s="10" t="s">
        <v>541</v>
      </c>
      <c r="AD2520" s="10" t="s">
        <v>541</v>
      </c>
    </row>
    <row r="2521" spans="1:30" x14ac:dyDescent="0.2">
      <c r="A2521" s="110">
        <v>2521</v>
      </c>
      <c r="B2521" s="132">
        <v>41863</v>
      </c>
      <c r="C2521" s="117">
        <v>2</v>
      </c>
      <c r="D2521" s="103" t="s">
        <v>71</v>
      </c>
      <c r="E2521" s="103" t="s">
        <v>306</v>
      </c>
      <c r="F2521" s="103">
        <v>564</v>
      </c>
      <c r="G2521" s="103">
        <v>36</v>
      </c>
      <c r="H2521" s="103" t="s">
        <v>2440</v>
      </c>
      <c r="I2521" s="103">
        <v>60</v>
      </c>
      <c r="K2521" s="103" t="s">
        <v>365</v>
      </c>
      <c r="L2521" s="133"/>
      <c r="M2521" s="134">
        <v>4.8611111111111112E-2</v>
      </c>
      <c r="N2521" s="135" t="s">
        <v>3426</v>
      </c>
      <c r="O2521" s="133" t="s">
        <v>1888</v>
      </c>
      <c r="Q2521" s="100" t="s">
        <v>4187</v>
      </c>
      <c r="R2521" s="226" t="s">
        <v>4229</v>
      </c>
      <c r="S2521" s="491" t="str">
        <f t="shared" si="81"/>
        <v>x</v>
      </c>
      <c r="T2521" s="492">
        <f>IFERROR(VLOOKUP(F2521,'Freq-Chan'!C:D,2,FALSE),"x")</f>
        <v>151.56399999999999</v>
      </c>
      <c r="U2521" s="110" t="s">
        <v>541</v>
      </c>
      <c r="V2521" s="110" t="str">
        <f t="shared" si="82"/>
        <v>FWL</v>
      </c>
      <c r="W2521" s="110" t="s">
        <v>541</v>
      </c>
      <c r="X2521" s="110" t="s">
        <v>541</v>
      </c>
      <c r="Y2521" s="110" t="str">
        <f>IFERROR(VLOOKUP(F2521,'Freq-Chan'!C:E,3,FALSE),"na")</f>
        <v>F1840</v>
      </c>
      <c r="Z2521" s="110" t="s">
        <v>541</v>
      </c>
      <c r="AA2521" s="110" t="s">
        <v>541</v>
      </c>
      <c r="AB2521" s="110" t="s">
        <v>541</v>
      </c>
      <c r="AC2521" s="10" t="s">
        <v>541</v>
      </c>
      <c r="AD2521" s="10" t="s">
        <v>541</v>
      </c>
    </row>
    <row r="2522" spans="1:30" x14ac:dyDescent="0.2">
      <c r="A2522" s="110">
        <v>2522</v>
      </c>
      <c r="B2522" s="132">
        <v>41863</v>
      </c>
      <c r="C2522" s="117">
        <v>2</v>
      </c>
      <c r="D2522" s="103" t="s">
        <v>71</v>
      </c>
      <c r="E2522" s="103" t="s">
        <v>306</v>
      </c>
      <c r="F2522" s="103">
        <v>564</v>
      </c>
      <c r="G2522" s="103">
        <v>72</v>
      </c>
      <c r="H2522" s="103" t="s">
        <v>2441</v>
      </c>
      <c r="I2522" s="103">
        <v>61</v>
      </c>
      <c r="K2522" s="103" t="s">
        <v>365</v>
      </c>
      <c r="L2522" s="133"/>
      <c r="M2522" s="134">
        <v>4.6527777777777779E-2</v>
      </c>
      <c r="N2522" s="137" t="s">
        <v>3176</v>
      </c>
      <c r="O2522" s="133" t="s">
        <v>1585</v>
      </c>
      <c r="Q2522" s="100" t="s">
        <v>4187</v>
      </c>
      <c r="R2522" s="226" t="s">
        <v>4229</v>
      </c>
      <c r="S2522" s="491" t="str">
        <f t="shared" si="81"/>
        <v>x</v>
      </c>
      <c r="T2522" s="492">
        <f>IFERROR(VLOOKUP(F2522,'Freq-Chan'!C:D,2,FALSE),"x")</f>
        <v>151.56399999999999</v>
      </c>
      <c r="U2522" s="110" t="s">
        <v>541</v>
      </c>
      <c r="V2522" s="110" t="str">
        <f t="shared" si="82"/>
        <v>FWL</v>
      </c>
      <c r="W2522" s="110" t="s">
        <v>541</v>
      </c>
      <c r="X2522" s="110" t="s">
        <v>541</v>
      </c>
      <c r="Y2522" s="110" t="str">
        <f>IFERROR(VLOOKUP(F2522,'Freq-Chan'!C:E,3,FALSE),"na")</f>
        <v>F1840</v>
      </c>
      <c r="Z2522" s="110" t="s">
        <v>541</v>
      </c>
      <c r="AA2522" s="110" t="s">
        <v>541</v>
      </c>
      <c r="AB2522" s="110" t="s">
        <v>541</v>
      </c>
      <c r="AC2522" s="10" t="s">
        <v>541</v>
      </c>
      <c r="AD2522" s="10" t="s">
        <v>541</v>
      </c>
    </row>
    <row r="2523" spans="1:30" x14ac:dyDescent="0.2">
      <c r="A2523" s="110">
        <v>2523</v>
      </c>
      <c r="B2523" s="132">
        <v>41863</v>
      </c>
      <c r="C2523" s="117">
        <v>2</v>
      </c>
      <c r="D2523" s="103" t="s">
        <v>8</v>
      </c>
      <c r="E2523" s="103" t="s">
        <v>306</v>
      </c>
      <c r="F2523" s="103">
        <v>573</v>
      </c>
      <c r="G2523" s="103">
        <v>77</v>
      </c>
      <c r="H2523" s="103" t="s">
        <v>2254</v>
      </c>
      <c r="I2523" s="103">
        <v>42</v>
      </c>
      <c r="K2523" s="103" t="s">
        <v>364</v>
      </c>
      <c r="L2523" s="133"/>
      <c r="M2523" s="134">
        <v>6.7361111111111108E-2</v>
      </c>
      <c r="N2523" s="137" t="s">
        <v>499</v>
      </c>
      <c r="O2523" s="133" t="s">
        <v>1888</v>
      </c>
      <c r="Q2523" s="100" t="s">
        <v>4187</v>
      </c>
      <c r="R2523" s="226" t="s">
        <v>4229</v>
      </c>
      <c r="S2523" s="491" t="str">
        <f t="shared" si="81"/>
        <v>x</v>
      </c>
      <c r="T2523" s="492">
        <f>IFERROR(VLOOKUP(F2523,'Freq-Chan'!C:D,2,FALSE),"x")</f>
        <v>151.57300000000001</v>
      </c>
      <c r="U2523" s="110" t="s">
        <v>541</v>
      </c>
      <c r="V2523" s="110" t="str">
        <f t="shared" si="82"/>
        <v>FWL</v>
      </c>
      <c r="W2523" s="110" t="s">
        <v>541</v>
      </c>
      <c r="X2523" s="110" t="s">
        <v>541</v>
      </c>
      <c r="Y2523" s="110" t="str">
        <f>IFERROR(VLOOKUP(F2523,'Freq-Chan'!C:E,3,FALSE),"na")</f>
        <v>F1840</v>
      </c>
      <c r="Z2523" s="110" t="s">
        <v>541</v>
      </c>
      <c r="AA2523" s="110" t="s">
        <v>541</v>
      </c>
      <c r="AB2523" s="110" t="s">
        <v>541</v>
      </c>
      <c r="AC2523" s="10" t="s">
        <v>541</v>
      </c>
      <c r="AD2523" s="10" t="s">
        <v>541</v>
      </c>
    </row>
    <row r="2524" spans="1:30" x14ac:dyDescent="0.2">
      <c r="A2524" s="110">
        <v>2524</v>
      </c>
      <c r="B2524" s="132">
        <v>41863</v>
      </c>
      <c r="C2524" s="117">
        <v>2</v>
      </c>
      <c r="D2524" s="103" t="s">
        <v>71</v>
      </c>
      <c r="E2524" s="103" t="s">
        <v>306</v>
      </c>
      <c r="H2524" s="103"/>
      <c r="I2524" s="103">
        <v>58</v>
      </c>
      <c r="K2524" s="103" t="s">
        <v>1032</v>
      </c>
      <c r="L2524" s="133"/>
      <c r="M2524" s="134">
        <v>1.5972222222222224E-2</v>
      </c>
      <c r="N2524" s="137" t="s">
        <v>3987</v>
      </c>
      <c r="O2524" s="133" t="s">
        <v>1888</v>
      </c>
      <c r="Q2524" s="100" t="s">
        <v>4187</v>
      </c>
      <c r="R2524" s="226" t="s">
        <v>4229</v>
      </c>
      <c r="S2524" s="491" t="str">
        <f t="shared" si="81"/>
        <v>x</v>
      </c>
      <c r="T2524" s="492" t="str">
        <f>IFERROR(VLOOKUP(F2524,'Freq-Chan'!C:D,2,FALSE),"x")</f>
        <v>x</v>
      </c>
      <c r="U2524" s="110" t="s">
        <v>541</v>
      </c>
      <c r="V2524" s="110" t="str">
        <f t="shared" si="82"/>
        <v>FWL</v>
      </c>
      <c r="W2524" s="110" t="s">
        <v>541</v>
      </c>
      <c r="X2524" s="110" t="s">
        <v>541</v>
      </c>
      <c r="Y2524" s="110" t="str">
        <f>IFERROR(VLOOKUP(F2524,'Freq-Chan'!C:E,3,FALSE),"na")</f>
        <v>na</v>
      </c>
      <c r="Z2524" s="110" t="s">
        <v>541</v>
      </c>
      <c r="AA2524" s="110" t="s">
        <v>541</v>
      </c>
      <c r="AB2524" s="110" t="s">
        <v>541</v>
      </c>
      <c r="AC2524" s="10" t="s">
        <v>541</v>
      </c>
      <c r="AD2524" s="10" t="s">
        <v>541</v>
      </c>
    </row>
    <row r="2525" spans="1:30" x14ac:dyDescent="0.2">
      <c r="A2525" s="110">
        <v>2525</v>
      </c>
      <c r="B2525" s="132">
        <v>41863</v>
      </c>
      <c r="C2525" s="117">
        <v>2</v>
      </c>
      <c r="D2525" s="103" t="s">
        <v>71</v>
      </c>
      <c r="E2525" s="103" t="s">
        <v>306</v>
      </c>
      <c r="H2525" s="103"/>
      <c r="I2525" s="103">
        <v>63</v>
      </c>
      <c r="K2525" s="103" t="s">
        <v>365</v>
      </c>
      <c r="L2525" s="133"/>
      <c r="M2525" s="134">
        <v>2.013888888888889E-2</v>
      </c>
      <c r="N2525" s="137" t="s">
        <v>4195</v>
      </c>
      <c r="O2525" s="133" t="s">
        <v>1888</v>
      </c>
      <c r="Q2525" s="100" t="s">
        <v>4187</v>
      </c>
      <c r="R2525" s="226" t="s">
        <v>4229</v>
      </c>
      <c r="S2525" s="491" t="str">
        <f t="shared" si="81"/>
        <v>x</v>
      </c>
      <c r="T2525" s="492" t="str">
        <f>IFERROR(VLOOKUP(F2525,'Freq-Chan'!C:D,2,FALSE),"x")</f>
        <v>x</v>
      </c>
      <c r="U2525" s="110" t="s">
        <v>541</v>
      </c>
      <c r="V2525" s="110" t="str">
        <f t="shared" si="82"/>
        <v>FWL</v>
      </c>
      <c r="W2525" s="110" t="s">
        <v>541</v>
      </c>
      <c r="X2525" s="110" t="s">
        <v>541</v>
      </c>
      <c r="Y2525" s="110" t="str">
        <f>IFERROR(VLOOKUP(F2525,'Freq-Chan'!C:E,3,FALSE),"na")</f>
        <v>na</v>
      </c>
      <c r="Z2525" s="110" t="s">
        <v>541</v>
      </c>
      <c r="AA2525" s="110" t="s">
        <v>541</v>
      </c>
      <c r="AB2525" s="110" t="s">
        <v>541</v>
      </c>
      <c r="AC2525" s="10" t="s">
        <v>541</v>
      </c>
      <c r="AD2525" s="10" t="s">
        <v>541</v>
      </c>
    </row>
    <row r="2526" spans="1:30" x14ac:dyDescent="0.2">
      <c r="A2526" s="110">
        <v>2526</v>
      </c>
      <c r="B2526" s="132">
        <v>41863</v>
      </c>
      <c r="C2526" s="117">
        <v>2</v>
      </c>
      <c r="D2526" s="103" t="s">
        <v>71</v>
      </c>
      <c r="E2526" s="103" t="s">
        <v>306</v>
      </c>
      <c r="H2526" s="103"/>
      <c r="I2526" s="103">
        <v>57</v>
      </c>
      <c r="K2526" s="103" t="s">
        <v>1032</v>
      </c>
      <c r="L2526" s="133"/>
      <c r="M2526" s="134">
        <v>2.0833333333333332E-2</v>
      </c>
      <c r="N2526" s="137" t="s">
        <v>4196</v>
      </c>
      <c r="O2526" s="133" t="s">
        <v>1888</v>
      </c>
      <c r="Q2526" s="100" t="s">
        <v>4187</v>
      </c>
      <c r="R2526" s="226" t="s">
        <v>4229</v>
      </c>
      <c r="S2526" s="491" t="str">
        <f t="shared" si="81"/>
        <v>x</v>
      </c>
      <c r="T2526" s="492" t="str">
        <f>IFERROR(VLOOKUP(F2526,'Freq-Chan'!C:D,2,FALSE),"x")</f>
        <v>x</v>
      </c>
      <c r="U2526" s="110" t="s">
        <v>541</v>
      </c>
      <c r="V2526" s="110" t="str">
        <f t="shared" si="82"/>
        <v>FWL</v>
      </c>
      <c r="W2526" s="110" t="s">
        <v>541</v>
      </c>
      <c r="X2526" s="110" t="s">
        <v>541</v>
      </c>
      <c r="Y2526" s="110" t="str">
        <f>IFERROR(VLOOKUP(F2526,'Freq-Chan'!C:E,3,FALSE),"na")</f>
        <v>na</v>
      </c>
      <c r="Z2526" s="110" t="s">
        <v>541</v>
      </c>
      <c r="AA2526" s="110" t="s">
        <v>541</v>
      </c>
      <c r="AB2526" s="110" t="s">
        <v>541</v>
      </c>
      <c r="AC2526" s="10" t="s">
        <v>541</v>
      </c>
      <c r="AD2526" s="10" t="s">
        <v>541</v>
      </c>
    </row>
    <row r="2527" spans="1:30" x14ac:dyDescent="0.2">
      <c r="A2527" s="110">
        <v>2527</v>
      </c>
      <c r="B2527" s="132">
        <v>41863</v>
      </c>
      <c r="C2527" s="117">
        <v>2</v>
      </c>
      <c r="D2527" s="103" t="s">
        <v>71</v>
      </c>
      <c r="E2527" s="103" t="s">
        <v>306</v>
      </c>
      <c r="H2527" s="103"/>
      <c r="I2527" s="103">
        <v>58</v>
      </c>
      <c r="K2527" s="103" t="s">
        <v>1032</v>
      </c>
      <c r="L2527" s="133"/>
      <c r="M2527" s="134">
        <v>2.1527777777777781E-2</v>
      </c>
      <c r="N2527" s="137" t="s">
        <v>1665</v>
      </c>
      <c r="O2527" s="133" t="s">
        <v>1888</v>
      </c>
      <c r="Q2527" s="100" t="s">
        <v>4187</v>
      </c>
      <c r="R2527" s="226" t="s">
        <v>4229</v>
      </c>
      <c r="S2527" s="491" t="str">
        <f t="shared" si="81"/>
        <v>x</v>
      </c>
      <c r="T2527" s="492" t="str">
        <f>IFERROR(VLOOKUP(F2527,'Freq-Chan'!C:D,2,FALSE),"x")</f>
        <v>x</v>
      </c>
      <c r="U2527" s="110" t="s">
        <v>541</v>
      </c>
      <c r="V2527" s="110" t="str">
        <f t="shared" si="82"/>
        <v>FWL</v>
      </c>
      <c r="W2527" s="110" t="s">
        <v>541</v>
      </c>
      <c r="X2527" s="110" t="s">
        <v>541</v>
      </c>
      <c r="Y2527" s="110" t="str">
        <f>IFERROR(VLOOKUP(F2527,'Freq-Chan'!C:E,3,FALSE),"na")</f>
        <v>na</v>
      </c>
      <c r="Z2527" s="110" t="s">
        <v>541</v>
      </c>
      <c r="AA2527" s="110" t="s">
        <v>541</v>
      </c>
      <c r="AB2527" s="110" t="s">
        <v>541</v>
      </c>
      <c r="AC2527" s="10" t="s">
        <v>541</v>
      </c>
      <c r="AD2527" s="10" t="s">
        <v>541</v>
      </c>
    </row>
    <row r="2528" spans="1:30" x14ac:dyDescent="0.2">
      <c r="A2528" s="110">
        <v>2528</v>
      </c>
      <c r="B2528" s="132">
        <v>41863</v>
      </c>
      <c r="C2528" s="117">
        <v>2</v>
      </c>
      <c r="D2528" s="103" t="s">
        <v>71</v>
      </c>
      <c r="E2528" s="103" t="s">
        <v>306</v>
      </c>
      <c r="H2528" s="103"/>
      <c r="I2528" s="103">
        <v>61</v>
      </c>
      <c r="K2528" s="103" t="s">
        <v>365</v>
      </c>
      <c r="L2528" s="133"/>
      <c r="M2528" s="134">
        <v>2.013888888888889E-2</v>
      </c>
      <c r="N2528" s="137" t="s">
        <v>3405</v>
      </c>
      <c r="O2528" s="133" t="s">
        <v>1888</v>
      </c>
      <c r="Q2528" s="100" t="s">
        <v>4187</v>
      </c>
      <c r="R2528" s="226" t="s">
        <v>4229</v>
      </c>
      <c r="S2528" s="491" t="str">
        <f t="shared" si="81"/>
        <v>x</v>
      </c>
      <c r="T2528" s="492" t="str">
        <f>IFERROR(VLOOKUP(F2528,'Freq-Chan'!C:D,2,FALSE),"x")</f>
        <v>x</v>
      </c>
      <c r="U2528" s="110" t="s">
        <v>541</v>
      </c>
      <c r="V2528" s="110" t="str">
        <f t="shared" si="82"/>
        <v>FWL</v>
      </c>
      <c r="W2528" s="110" t="s">
        <v>541</v>
      </c>
      <c r="X2528" s="110" t="s">
        <v>541</v>
      </c>
      <c r="Y2528" s="110" t="str">
        <f>IFERROR(VLOOKUP(F2528,'Freq-Chan'!C:E,3,FALSE),"na")</f>
        <v>na</v>
      </c>
      <c r="Z2528" s="110" t="s">
        <v>541</v>
      </c>
      <c r="AA2528" s="110" t="s">
        <v>541</v>
      </c>
      <c r="AB2528" s="110" t="s">
        <v>541</v>
      </c>
      <c r="AC2528" s="10" t="s">
        <v>541</v>
      </c>
      <c r="AD2528" s="10" t="s">
        <v>541</v>
      </c>
    </row>
    <row r="2529" spans="1:30" x14ac:dyDescent="0.2">
      <c r="A2529" s="110">
        <v>2529</v>
      </c>
      <c r="B2529" s="132">
        <v>41863</v>
      </c>
      <c r="C2529" s="117">
        <v>2</v>
      </c>
      <c r="D2529" s="103" t="s">
        <v>71</v>
      </c>
      <c r="E2529" s="103" t="s">
        <v>306</v>
      </c>
      <c r="H2529" s="103"/>
      <c r="I2529" s="103">
        <v>57</v>
      </c>
      <c r="K2529" s="103" t="s">
        <v>364</v>
      </c>
      <c r="L2529" s="133"/>
      <c r="M2529" s="134">
        <v>2.361111111111111E-2</v>
      </c>
      <c r="N2529" s="137" t="s">
        <v>2709</v>
      </c>
      <c r="O2529" s="133" t="s">
        <v>1888</v>
      </c>
      <c r="Q2529" s="100" t="s">
        <v>4187</v>
      </c>
      <c r="R2529" s="226" t="s">
        <v>4229</v>
      </c>
      <c r="S2529" s="491" t="str">
        <f t="shared" si="81"/>
        <v>x</v>
      </c>
      <c r="T2529" s="492" t="str">
        <f>IFERROR(VLOOKUP(F2529,'Freq-Chan'!C:D,2,FALSE),"x")</f>
        <v>x</v>
      </c>
      <c r="U2529" s="110" t="s">
        <v>541</v>
      </c>
      <c r="V2529" s="110" t="str">
        <f t="shared" si="82"/>
        <v>FWL</v>
      </c>
      <c r="W2529" s="110" t="s">
        <v>541</v>
      </c>
      <c r="X2529" s="110" t="s">
        <v>541</v>
      </c>
      <c r="Y2529" s="110" t="str">
        <f>IFERROR(VLOOKUP(F2529,'Freq-Chan'!C:E,3,FALSE),"na")</f>
        <v>na</v>
      </c>
      <c r="Z2529" s="110" t="s">
        <v>541</v>
      </c>
      <c r="AA2529" s="110" t="s">
        <v>541</v>
      </c>
      <c r="AB2529" s="110" t="s">
        <v>541</v>
      </c>
      <c r="AC2529" s="10" t="s">
        <v>541</v>
      </c>
      <c r="AD2529" s="10" t="s">
        <v>541</v>
      </c>
    </row>
    <row r="2530" spans="1:30" x14ac:dyDescent="0.2">
      <c r="A2530" s="110">
        <v>2530</v>
      </c>
      <c r="B2530" s="132">
        <v>41863</v>
      </c>
      <c r="C2530" s="117">
        <v>2</v>
      </c>
      <c r="D2530" s="103" t="s">
        <v>8</v>
      </c>
      <c r="E2530" s="103" t="s">
        <v>306</v>
      </c>
      <c r="F2530" s="103">
        <v>573</v>
      </c>
      <c r="G2530" s="103">
        <v>83</v>
      </c>
      <c r="H2530" s="103" t="s">
        <v>2256</v>
      </c>
      <c r="I2530" s="103">
        <v>46</v>
      </c>
      <c r="K2530" s="103" t="s">
        <v>364</v>
      </c>
      <c r="L2530" s="133"/>
      <c r="M2530" s="134">
        <v>5.2083333333333336E-2</v>
      </c>
      <c r="N2530" s="137" t="s">
        <v>1667</v>
      </c>
      <c r="O2530" s="133" t="s">
        <v>1888</v>
      </c>
      <c r="Q2530" s="100" t="s">
        <v>4187</v>
      </c>
      <c r="R2530" s="226" t="s">
        <v>4229</v>
      </c>
      <c r="S2530" s="491" t="str">
        <f t="shared" si="81"/>
        <v>x</v>
      </c>
      <c r="T2530" s="492">
        <f>IFERROR(VLOOKUP(F2530,'Freq-Chan'!C:D,2,FALSE),"x")</f>
        <v>151.57300000000001</v>
      </c>
      <c r="U2530" s="110" t="s">
        <v>541</v>
      </c>
      <c r="V2530" s="110" t="str">
        <f t="shared" si="82"/>
        <v>FWL</v>
      </c>
      <c r="W2530" s="110" t="s">
        <v>541</v>
      </c>
      <c r="X2530" s="110" t="s">
        <v>541</v>
      </c>
      <c r="Y2530" s="110" t="str">
        <f>IFERROR(VLOOKUP(F2530,'Freq-Chan'!C:E,3,FALSE),"na")</f>
        <v>F1840</v>
      </c>
      <c r="Z2530" s="110" t="s">
        <v>541</v>
      </c>
      <c r="AA2530" s="110" t="s">
        <v>541</v>
      </c>
      <c r="AB2530" s="110" t="s">
        <v>541</v>
      </c>
      <c r="AC2530" s="10" t="s">
        <v>541</v>
      </c>
      <c r="AD2530" s="10" t="s">
        <v>541</v>
      </c>
    </row>
    <row r="2531" spans="1:30" x14ac:dyDescent="0.2">
      <c r="A2531" s="110">
        <v>2531</v>
      </c>
      <c r="B2531" s="132">
        <v>41863</v>
      </c>
      <c r="C2531" s="117">
        <v>2</v>
      </c>
      <c r="D2531" s="103" t="s">
        <v>71</v>
      </c>
      <c r="E2531" s="103" t="s">
        <v>306</v>
      </c>
      <c r="H2531" s="103"/>
      <c r="I2531" s="103">
        <v>61</v>
      </c>
      <c r="K2531" s="103" t="s">
        <v>1032</v>
      </c>
      <c r="L2531" s="133"/>
      <c r="M2531" s="134">
        <v>2.0833333333333332E-2</v>
      </c>
      <c r="N2531" s="137" t="s">
        <v>3906</v>
      </c>
      <c r="O2531" s="133" t="s">
        <v>1888</v>
      </c>
      <c r="Q2531" s="100" t="s">
        <v>4187</v>
      </c>
      <c r="R2531" s="226" t="s">
        <v>4229</v>
      </c>
      <c r="S2531" s="491" t="str">
        <f t="shared" si="81"/>
        <v>x</v>
      </c>
      <c r="T2531" s="492" t="str">
        <f>IFERROR(VLOOKUP(F2531,'Freq-Chan'!C:D,2,FALSE),"x")</f>
        <v>x</v>
      </c>
      <c r="U2531" s="110" t="s">
        <v>541</v>
      </c>
      <c r="V2531" s="110" t="str">
        <f t="shared" si="82"/>
        <v>FWL</v>
      </c>
      <c r="W2531" s="110" t="s">
        <v>541</v>
      </c>
      <c r="X2531" s="110" t="s">
        <v>541</v>
      </c>
      <c r="Y2531" s="110" t="str">
        <f>IFERROR(VLOOKUP(F2531,'Freq-Chan'!C:E,3,FALSE),"na")</f>
        <v>na</v>
      </c>
      <c r="Z2531" s="110" t="s">
        <v>541</v>
      </c>
      <c r="AA2531" s="110" t="s">
        <v>541</v>
      </c>
      <c r="AB2531" s="110" t="s">
        <v>541</v>
      </c>
      <c r="AC2531" s="10" t="s">
        <v>541</v>
      </c>
      <c r="AD2531" s="10" t="s">
        <v>541</v>
      </c>
    </row>
    <row r="2532" spans="1:30" x14ac:dyDescent="0.2">
      <c r="A2532" s="110">
        <v>2532</v>
      </c>
      <c r="B2532" s="132">
        <v>41863</v>
      </c>
      <c r="C2532" s="117">
        <v>2</v>
      </c>
      <c r="D2532" s="103" t="s">
        <v>71</v>
      </c>
      <c r="E2532" s="103" t="s">
        <v>306</v>
      </c>
      <c r="H2532" s="103"/>
      <c r="I2532" s="103">
        <v>59</v>
      </c>
      <c r="K2532" s="103" t="s">
        <v>365</v>
      </c>
      <c r="L2532" s="133"/>
      <c r="M2532" s="134">
        <v>2.013888888888889E-2</v>
      </c>
      <c r="N2532" s="137" t="s">
        <v>769</v>
      </c>
      <c r="O2532" s="133" t="s">
        <v>1888</v>
      </c>
      <c r="Q2532" s="100" t="s">
        <v>4187</v>
      </c>
      <c r="R2532" s="226" t="s">
        <v>4229</v>
      </c>
      <c r="S2532" s="491" t="str">
        <f t="shared" si="81"/>
        <v>x</v>
      </c>
      <c r="T2532" s="492" t="str">
        <f>IFERROR(VLOOKUP(F2532,'Freq-Chan'!C:D,2,FALSE),"x")</f>
        <v>x</v>
      </c>
      <c r="U2532" s="110" t="s">
        <v>541</v>
      </c>
      <c r="V2532" s="110" t="str">
        <f t="shared" si="82"/>
        <v>FWL</v>
      </c>
      <c r="W2532" s="110" t="s">
        <v>541</v>
      </c>
      <c r="X2532" s="110" t="s">
        <v>541</v>
      </c>
      <c r="Y2532" s="110" t="str">
        <f>IFERROR(VLOOKUP(F2532,'Freq-Chan'!C:E,3,FALSE),"na")</f>
        <v>na</v>
      </c>
      <c r="Z2532" s="110" t="s">
        <v>541</v>
      </c>
      <c r="AA2532" s="110" t="s">
        <v>541</v>
      </c>
      <c r="AB2532" s="110" t="s">
        <v>541</v>
      </c>
      <c r="AC2532" s="10" t="s">
        <v>541</v>
      </c>
      <c r="AD2532" s="10" t="s">
        <v>541</v>
      </c>
    </row>
    <row r="2533" spans="1:30" x14ac:dyDescent="0.2">
      <c r="A2533" s="110">
        <v>2533</v>
      </c>
      <c r="B2533" s="132">
        <v>41863</v>
      </c>
      <c r="C2533" s="117">
        <v>2</v>
      </c>
      <c r="D2533" s="103" t="s">
        <v>71</v>
      </c>
      <c r="E2533" s="103" t="s">
        <v>306</v>
      </c>
      <c r="H2533" s="103"/>
      <c r="I2533" s="103">
        <v>55</v>
      </c>
      <c r="K2533" s="103" t="s">
        <v>365</v>
      </c>
      <c r="L2533" s="133"/>
      <c r="M2533" s="134">
        <v>2.1527777777777781E-2</v>
      </c>
      <c r="N2533" s="137" t="s">
        <v>4114</v>
      </c>
      <c r="O2533" s="133" t="s">
        <v>1888</v>
      </c>
      <c r="Q2533" s="100" t="s">
        <v>4187</v>
      </c>
      <c r="R2533" s="226" t="s">
        <v>4229</v>
      </c>
      <c r="S2533" s="491" t="str">
        <f t="shared" si="81"/>
        <v>x</v>
      </c>
      <c r="T2533" s="492" t="str">
        <f>IFERROR(VLOOKUP(F2533,'Freq-Chan'!C:D,2,FALSE),"x")</f>
        <v>x</v>
      </c>
      <c r="U2533" s="110" t="s">
        <v>541</v>
      </c>
      <c r="V2533" s="110" t="str">
        <f t="shared" si="82"/>
        <v>FWL</v>
      </c>
      <c r="W2533" s="110" t="s">
        <v>541</v>
      </c>
      <c r="X2533" s="110" t="s">
        <v>541</v>
      </c>
      <c r="Y2533" s="110" t="str">
        <f>IFERROR(VLOOKUP(F2533,'Freq-Chan'!C:E,3,FALSE),"na")</f>
        <v>na</v>
      </c>
      <c r="Z2533" s="110" t="s">
        <v>541</v>
      </c>
      <c r="AA2533" s="110" t="s">
        <v>541</v>
      </c>
      <c r="AB2533" s="110" t="s">
        <v>541</v>
      </c>
      <c r="AC2533" s="10" t="s">
        <v>541</v>
      </c>
      <c r="AD2533" s="10" t="s">
        <v>541</v>
      </c>
    </row>
    <row r="2534" spans="1:30" x14ac:dyDescent="0.2">
      <c r="A2534" s="110">
        <v>2534</v>
      </c>
      <c r="B2534" s="132">
        <v>41863</v>
      </c>
      <c r="C2534" s="117">
        <v>2</v>
      </c>
      <c r="D2534" s="103" t="s">
        <v>71</v>
      </c>
      <c r="E2534" s="103" t="s">
        <v>306</v>
      </c>
      <c r="H2534" s="103"/>
      <c r="I2534" s="103">
        <v>63</v>
      </c>
      <c r="K2534" s="103" t="s">
        <v>1032</v>
      </c>
      <c r="L2534" s="133"/>
      <c r="M2534" s="134">
        <v>1.5972222222222224E-2</v>
      </c>
      <c r="N2534" s="137" t="s">
        <v>3182</v>
      </c>
      <c r="O2534" s="133" t="s">
        <v>1888</v>
      </c>
      <c r="Q2534" s="100" t="s">
        <v>4187</v>
      </c>
      <c r="R2534" s="226" t="s">
        <v>4229</v>
      </c>
      <c r="S2534" s="491" t="str">
        <f t="shared" si="81"/>
        <v>x</v>
      </c>
      <c r="T2534" s="492" t="str">
        <f>IFERROR(VLOOKUP(F2534,'Freq-Chan'!C:D,2,FALSE),"x")</f>
        <v>x</v>
      </c>
      <c r="U2534" s="110" t="s">
        <v>541</v>
      </c>
      <c r="V2534" s="110" t="str">
        <f t="shared" si="82"/>
        <v>FWL</v>
      </c>
      <c r="W2534" s="110" t="s">
        <v>541</v>
      </c>
      <c r="X2534" s="110" t="s">
        <v>541</v>
      </c>
      <c r="Y2534" s="110" t="str">
        <f>IFERROR(VLOOKUP(F2534,'Freq-Chan'!C:E,3,FALSE),"na")</f>
        <v>na</v>
      </c>
      <c r="Z2534" s="110" t="s">
        <v>541</v>
      </c>
      <c r="AA2534" s="110" t="s">
        <v>541</v>
      </c>
      <c r="AB2534" s="110" t="s">
        <v>541</v>
      </c>
      <c r="AC2534" s="10" t="s">
        <v>541</v>
      </c>
      <c r="AD2534" s="10" t="s">
        <v>541</v>
      </c>
    </row>
    <row r="2535" spans="1:30" x14ac:dyDescent="0.2">
      <c r="A2535" s="110">
        <v>2535</v>
      </c>
      <c r="B2535" s="132">
        <v>41863</v>
      </c>
      <c r="C2535" s="117">
        <v>2</v>
      </c>
      <c r="D2535" s="103" t="s">
        <v>71</v>
      </c>
      <c r="E2535" s="103" t="s">
        <v>306</v>
      </c>
      <c r="H2535" s="103"/>
      <c r="I2535" s="103">
        <v>58</v>
      </c>
      <c r="K2535" s="103" t="s">
        <v>1032</v>
      </c>
      <c r="L2535" s="133"/>
      <c r="M2535" s="134">
        <v>1.8055555555555557E-2</v>
      </c>
      <c r="N2535" s="137" t="s">
        <v>4197</v>
      </c>
      <c r="O2535" s="133" t="s">
        <v>1888</v>
      </c>
      <c r="Q2535" s="100" t="s">
        <v>4187</v>
      </c>
      <c r="R2535" s="226" t="s">
        <v>4229</v>
      </c>
      <c r="S2535" s="491" t="str">
        <f t="shared" si="81"/>
        <v>x</v>
      </c>
      <c r="T2535" s="492" t="str">
        <f>IFERROR(VLOOKUP(F2535,'Freq-Chan'!C:D,2,FALSE),"x")</f>
        <v>x</v>
      </c>
      <c r="U2535" s="110" t="s">
        <v>541</v>
      </c>
      <c r="V2535" s="110" t="str">
        <f t="shared" si="82"/>
        <v>FWL</v>
      </c>
      <c r="W2535" s="110" t="s">
        <v>541</v>
      </c>
      <c r="X2535" s="110" t="s">
        <v>541</v>
      </c>
      <c r="Y2535" s="110" t="str">
        <f>IFERROR(VLOOKUP(F2535,'Freq-Chan'!C:E,3,FALSE),"na")</f>
        <v>na</v>
      </c>
      <c r="Z2535" s="110" t="s">
        <v>541</v>
      </c>
      <c r="AA2535" s="110" t="s">
        <v>541</v>
      </c>
      <c r="AB2535" s="110" t="s">
        <v>541</v>
      </c>
      <c r="AC2535" s="10" t="s">
        <v>541</v>
      </c>
      <c r="AD2535" s="10" t="s">
        <v>541</v>
      </c>
    </row>
    <row r="2536" spans="1:30" x14ac:dyDescent="0.2">
      <c r="A2536" s="110">
        <v>2536</v>
      </c>
      <c r="B2536" s="132">
        <v>41863</v>
      </c>
      <c r="C2536" s="117">
        <v>2</v>
      </c>
      <c r="D2536" s="103" t="s">
        <v>8</v>
      </c>
      <c r="E2536" s="103" t="s">
        <v>306</v>
      </c>
      <c r="H2536" s="103"/>
      <c r="I2536" s="103">
        <v>50</v>
      </c>
      <c r="K2536" s="103" t="s">
        <v>364</v>
      </c>
      <c r="L2536" s="133"/>
      <c r="M2536" s="134">
        <v>4.3055555555555562E-2</v>
      </c>
      <c r="N2536" s="137" t="s">
        <v>1987</v>
      </c>
      <c r="O2536" s="133" t="s">
        <v>1888</v>
      </c>
      <c r="P2536" s="100" t="s">
        <v>4198</v>
      </c>
      <c r="Q2536" s="100" t="s">
        <v>4187</v>
      </c>
      <c r="R2536" s="226" t="s">
        <v>4229</v>
      </c>
      <c r="S2536" s="491" t="str">
        <f t="shared" si="81"/>
        <v>x</v>
      </c>
      <c r="T2536" s="492" t="str">
        <f>IFERROR(VLOOKUP(F2536,'Freq-Chan'!C:D,2,FALSE),"x")</f>
        <v>x</v>
      </c>
      <c r="U2536" s="110" t="s">
        <v>541</v>
      </c>
      <c r="V2536" s="110" t="str">
        <f t="shared" si="82"/>
        <v>FWL</v>
      </c>
      <c r="W2536" s="110" t="s">
        <v>541</v>
      </c>
      <c r="X2536" s="110" t="s">
        <v>541</v>
      </c>
      <c r="Y2536" s="110" t="str">
        <f>IFERROR(VLOOKUP(F2536,'Freq-Chan'!C:E,3,FALSE),"na")</f>
        <v>na</v>
      </c>
      <c r="Z2536" s="110" t="s">
        <v>541</v>
      </c>
      <c r="AA2536" s="110" t="s">
        <v>541</v>
      </c>
      <c r="AB2536" s="110" t="s">
        <v>541</v>
      </c>
      <c r="AC2536" s="10" t="s">
        <v>541</v>
      </c>
      <c r="AD2536" s="10" t="s">
        <v>541</v>
      </c>
    </row>
    <row r="2537" spans="1:30" s="291" customFormat="1" x14ac:dyDescent="0.2">
      <c r="A2537" s="493">
        <v>2537</v>
      </c>
      <c r="B2537" s="283">
        <v>41863</v>
      </c>
      <c r="C2537" s="284">
        <v>2</v>
      </c>
      <c r="D2537" s="285" t="s">
        <v>8</v>
      </c>
      <c r="E2537" s="285" t="s">
        <v>306</v>
      </c>
      <c r="F2537" s="285">
        <v>573</v>
      </c>
      <c r="G2537" s="285">
        <v>35</v>
      </c>
      <c r="H2537" s="285" t="s">
        <v>2262</v>
      </c>
      <c r="I2537" s="285">
        <v>44</v>
      </c>
      <c r="J2537" s="285"/>
      <c r="K2537" s="285" t="s">
        <v>364</v>
      </c>
      <c r="L2537" s="286"/>
      <c r="M2537" s="287">
        <v>3.0555555555555555E-2</v>
      </c>
      <c r="N2537" s="339" t="s">
        <v>2538</v>
      </c>
      <c r="O2537" s="286" t="s">
        <v>1538</v>
      </c>
      <c r="P2537" s="289"/>
      <c r="Q2537" s="289" t="s">
        <v>4184</v>
      </c>
      <c r="R2537" s="290" t="s">
        <v>4229</v>
      </c>
      <c r="S2537" s="494" t="str">
        <f t="shared" si="81"/>
        <v>x</v>
      </c>
      <c r="T2537" s="495">
        <f>IFERROR(VLOOKUP(F2537,'Freq-Chan'!C:D,2,FALSE),"x")</f>
        <v>151.57300000000001</v>
      </c>
      <c r="U2537" s="493" t="s">
        <v>541</v>
      </c>
      <c r="V2537" s="493" t="str">
        <f t="shared" si="82"/>
        <v>FWL</v>
      </c>
      <c r="W2537" s="493" t="s">
        <v>541</v>
      </c>
      <c r="X2537" s="493" t="s">
        <v>541</v>
      </c>
      <c r="Y2537" s="493" t="str">
        <f>IFERROR(VLOOKUP(F2537,'Freq-Chan'!C:E,3,FALSE),"na")</f>
        <v>F1840</v>
      </c>
      <c r="Z2537" s="493" t="s">
        <v>541</v>
      </c>
      <c r="AA2537" s="493" t="s">
        <v>541</v>
      </c>
      <c r="AB2537" s="493" t="s">
        <v>541</v>
      </c>
      <c r="AC2537" s="291" t="s">
        <v>541</v>
      </c>
      <c r="AD2537" s="291" t="s">
        <v>541</v>
      </c>
    </row>
    <row r="2538" spans="1:30" x14ac:dyDescent="0.2">
      <c r="A2538" s="110">
        <v>2538</v>
      </c>
      <c r="B2538" s="132">
        <v>41863</v>
      </c>
      <c r="C2538" s="117">
        <v>3</v>
      </c>
      <c r="D2538" s="103" t="s">
        <v>70</v>
      </c>
      <c r="E2538" s="103" t="s">
        <v>306</v>
      </c>
      <c r="F2538" s="103">
        <v>515</v>
      </c>
      <c r="G2538" s="103">
        <v>91</v>
      </c>
      <c r="H2538" s="103" t="s">
        <v>3119</v>
      </c>
      <c r="I2538" s="103">
        <v>46</v>
      </c>
      <c r="K2538" s="103" t="s">
        <v>365</v>
      </c>
      <c r="L2538" s="133">
        <v>0.33749999999999997</v>
      </c>
      <c r="M2538" s="134">
        <v>3.125E-2</v>
      </c>
      <c r="N2538" s="137" t="s">
        <v>4199</v>
      </c>
      <c r="O2538" s="133" t="s">
        <v>1532</v>
      </c>
      <c r="Q2538" s="100" t="s">
        <v>4189</v>
      </c>
      <c r="R2538" s="226" t="s">
        <v>4229</v>
      </c>
      <c r="S2538" s="491">
        <f t="shared" si="81"/>
        <v>3.6458332999999999E-3</v>
      </c>
      <c r="T2538" s="492">
        <f>IFERROR(VLOOKUP(F2538,'Freq-Chan'!C:D,2,FALSE),"x")</f>
        <v>151.51499999999999</v>
      </c>
      <c r="U2538" s="110" t="s">
        <v>541</v>
      </c>
      <c r="V2538" s="110" t="str">
        <f t="shared" si="82"/>
        <v>FWL</v>
      </c>
      <c r="W2538" s="110" t="s">
        <v>541</v>
      </c>
      <c r="X2538" s="110" t="s">
        <v>541</v>
      </c>
      <c r="Y2538" s="110" t="str">
        <f>IFERROR(VLOOKUP(F2538,'Freq-Chan'!C:E,3,FALSE),"na")</f>
        <v>F1835</v>
      </c>
      <c r="Z2538" s="110" t="s">
        <v>541</v>
      </c>
      <c r="AA2538" s="110" t="s">
        <v>541</v>
      </c>
      <c r="AB2538" s="110" t="s">
        <v>541</v>
      </c>
      <c r="AC2538" s="10" t="s">
        <v>541</v>
      </c>
      <c r="AD2538" s="10" t="s">
        <v>541</v>
      </c>
    </row>
    <row r="2539" spans="1:30" x14ac:dyDescent="0.2">
      <c r="A2539" s="110">
        <v>2539</v>
      </c>
      <c r="B2539" s="132">
        <v>41863</v>
      </c>
      <c r="C2539" s="117">
        <v>3</v>
      </c>
      <c r="D2539" s="103" t="s">
        <v>71</v>
      </c>
      <c r="E2539" s="103" t="s">
        <v>306</v>
      </c>
      <c r="F2539" s="103">
        <v>564</v>
      </c>
      <c r="G2539" s="103">
        <v>29</v>
      </c>
      <c r="H2539" s="103" t="s">
        <v>2438</v>
      </c>
      <c r="I2539" s="103">
        <v>59</v>
      </c>
      <c r="K2539" s="103" t="s">
        <v>1032</v>
      </c>
      <c r="L2539" s="133">
        <v>0.33611111111111108</v>
      </c>
      <c r="M2539" s="134">
        <v>3.125E-2</v>
      </c>
      <c r="N2539" s="137" t="s">
        <v>4200</v>
      </c>
      <c r="O2539" s="133" t="s">
        <v>1532</v>
      </c>
      <c r="Q2539" s="100" t="s">
        <v>4189</v>
      </c>
      <c r="R2539" s="226" t="s">
        <v>4229</v>
      </c>
      <c r="S2539" s="491">
        <f t="shared" si="81"/>
        <v>7.1180556000000001E-3</v>
      </c>
      <c r="T2539" s="492">
        <f>IFERROR(VLOOKUP(F2539,'Freq-Chan'!C:D,2,FALSE),"x")</f>
        <v>151.56399999999999</v>
      </c>
      <c r="U2539" s="110" t="s">
        <v>541</v>
      </c>
      <c r="V2539" s="110" t="str">
        <f t="shared" si="82"/>
        <v>FWL</v>
      </c>
      <c r="W2539" s="110" t="s">
        <v>541</v>
      </c>
      <c r="X2539" s="110" t="s">
        <v>541</v>
      </c>
      <c r="Y2539" s="110" t="str">
        <f>IFERROR(VLOOKUP(F2539,'Freq-Chan'!C:E,3,FALSE),"na")</f>
        <v>F1840</v>
      </c>
      <c r="Z2539" s="110" t="s">
        <v>541</v>
      </c>
      <c r="AA2539" s="110" t="s">
        <v>541</v>
      </c>
      <c r="AB2539" s="110" t="s">
        <v>541</v>
      </c>
      <c r="AC2539" s="10" t="s">
        <v>541</v>
      </c>
      <c r="AD2539" s="10" t="s">
        <v>541</v>
      </c>
    </row>
    <row r="2540" spans="1:30" x14ac:dyDescent="0.2">
      <c r="A2540" s="110">
        <v>2540</v>
      </c>
      <c r="B2540" s="132">
        <v>41863</v>
      </c>
      <c r="C2540" s="117">
        <v>3</v>
      </c>
      <c r="D2540" s="103" t="s">
        <v>70</v>
      </c>
      <c r="E2540" s="103" t="s">
        <v>306</v>
      </c>
      <c r="H2540" s="103"/>
      <c r="I2540" s="103">
        <v>45</v>
      </c>
      <c r="K2540" s="103" t="s">
        <v>365</v>
      </c>
      <c r="L2540" s="133"/>
      <c r="M2540" s="134">
        <v>1.9444444444444445E-2</v>
      </c>
      <c r="N2540" s="137" t="s">
        <v>3294</v>
      </c>
      <c r="O2540" s="133" t="s">
        <v>1532</v>
      </c>
      <c r="Q2540" s="100" t="s">
        <v>4189</v>
      </c>
      <c r="R2540" s="226" t="s">
        <v>4229</v>
      </c>
      <c r="S2540" s="491" t="str">
        <f t="shared" si="81"/>
        <v>x</v>
      </c>
      <c r="T2540" s="492" t="str">
        <f>IFERROR(VLOOKUP(F2540,'Freq-Chan'!C:D,2,FALSE),"x")</f>
        <v>x</v>
      </c>
      <c r="U2540" s="110" t="s">
        <v>541</v>
      </c>
      <c r="V2540" s="110" t="str">
        <f t="shared" si="82"/>
        <v>FWL</v>
      </c>
      <c r="W2540" s="110" t="s">
        <v>541</v>
      </c>
      <c r="X2540" s="110" t="s">
        <v>541</v>
      </c>
      <c r="Y2540" s="110" t="str">
        <f>IFERROR(VLOOKUP(F2540,'Freq-Chan'!C:E,3,FALSE),"na")</f>
        <v>na</v>
      </c>
      <c r="Z2540" s="110" t="s">
        <v>541</v>
      </c>
      <c r="AA2540" s="110" t="s">
        <v>541</v>
      </c>
      <c r="AB2540" s="110" t="s">
        <v>541</v>
      </c>
      <c r="AC2540" s="10" t="s">
        <v>541</v>
      </c>
      <c r="AD2540" s="10" t="s">
        <v>541</v>
      </c>
    </row>
    <row r="2541" spans="1:30" x14ac:dyDescent="0.2">
      <c r="A2541" s="110">
        <v>2541</v>
      </c>
      <c r="B2541" s="132">
        <v>41863</v>
      </c>
      <c r="C2541" s="117">
        <v>3</v>
      </c>
      <c r="D2541" s="103" t="s">
        <v>72</v>
      </c>
      <c r="E2541" s="103" t="s">
        <v>306</v>
      </c>
      <c r="F2541" s="103">
        <v>325</v>
      </c>
      <c r="G2541" s="103">
        <v>67</v>
      </c>
      <c r="H2541" s="103" t="s">
        <v>3545</v>
      </c>
      <c r="I2541" s="103">
        <v>57</v>
      </c>
      <c r="K2541" s="103" t="s">
        <v>1032</v>
      </c>
      <c r="L2541" s="133"/>
      <c r="M2541" s="134">
        <v>3.6111111111111115E-2</v>
      </c>
      <c r="N2541" s="137" t="s">
        <v>4066</v>
      </c>
      <c r="O2541" s="133" t="s">
        <v>1538</v>
      </c>
      <c r="Q2541" s="100" t="s">
        <v>4189</v>
      </c>
      <c r="R2541" s="226" t="s">
        <v>4229</v>
      </c>
      <c r="S2541" s="491" t="str">
        <f t="shared" si="81"/>
        <v>x</v>
      </c>
      <c r="T2541" s="492">
        <f>IFERROR(VLOOKUP(F2541,'Freq-Chan'!C:D,2,FALSE),"x")</f>
        <v>151.32499999999999</v>
      </c>
      <c r="U2541" s="110" t="s">
        <v>541</v>
      </c>
      <c r="V2541" s="110" t="str">
        <f t="shared" si="82"/>
        <v>FWL</v>
      </c>
      <c r="W2541" s="110" t="s">
        <v>541</v>
      </c>
      <c r="X2541" s="110" t="s">
        <v>541</v>
      </c>
      <c r="Y2541" s="110" t="str">
        <f>IFERROR(VLOOKUP(F2541,'Freq-Chan'!C:E,3,FALSE),"na")</f>
        <v>F1840</v>
      </c>
      <c r="Z2541" s="110" t="s">
        <v>541</v>
      </c>
      <c r="AA2541" s="110" t="s">
        <v>541</v>
      </c>
      <c r="AB2541" s="110" t="s">
        <v>541</v>
      </c>
      <c r="AC2541" s="10" t="s">
        <v>541</v>
      </c>
      <c r="AD2541" s="10" t="s">
        <v>541</v>
      </c>
    </row>
    <row r="2542" spans="1:30" x14ac:dyDescent="0.2">
      <c r="A2542" s="110">
        <v>2542</v>
      </c>
      <c r="B2542" s="132">
        <v>41863</v>
      </c>
      <c r="C2542" s="117">
        <v>3</v>
      </c>
      <c r="D2542" s="103" t="s">
        <v>70</v>
      </c>
      <c r="E2542" s="103" t="s">
        <v>306</v>
      </c>
      <c r="H2542" s="103"/>
      <c r="I2542" s="103">
        <v>45</v>
      </c>
      <c r="K2542" s="103" t="s">
        <v>365</v>
      </c>
      <c r="L2542" s="133"/>
      <c r="M2542" s="134">
        <v>1.9444444444444445E-2</v>
      </c>
      <c r="N2542" s="137" t="s">
        <v>3294</v>
      </c>
      <c r="O2542" s="133" t="s">
        <v>1538</v>
      </c>
      <c r="Q2542" s="100" t="s">
        <v>4189</v>
      </c>
      <c r="R2542" s="226" t="s">
        <v>4229</v>
      </c>
      <c r="S2542" s="491" t="str">
        <f t="shared" si="81"/>
        <v>x</v>
      </c>
      <c r="T2542" s="492" t="str">
        <f>IFERROR(VLOOKUP(F2542,'Freq-Chan'!C:D,2,FALSE),"x")</f>
        <v>x</v>
      </c>
      <c r="U2542" s="110" t="s">
        <v>541</v>
      </c>
      <c r="V2542" s="110" t="str">
        <f t="shared" si="82"/>
        <v>FWL</v>
      </c>
      <c r="W2542" s="110" t="s">
        <v>541</v>
      </c>
      <c r="X2542" s="110" t="s">
        <v>541</v>
      </c>
      <c r="Y2542" s="110" t="str">
        <f>IFERROR(VLOOKUP(F2542,'Freq-Chan'!C:E,3,FALSE),"na")</f>
        <v>na</v>
      </c>
      <c r="Z2542" s="110" t="s">
        <v>541</v>
      </c>
      <c r="AA2542" s="110" t="s">
        <v>541</v>
      </c>
      <c r="AB2542" s="110" t="s">
        <v>541</v>
      </c>
      <c r="AC2542" s="10" t="s">
        <v>541</v>
      </c>
      <c r="AD2542" s="10" t="s">
        <v>541</v>
      </c>
    </row>
    <row r="2543" spans="1:30" x14ac:dyDescent="0.2">
      <c r="A2543" s="110">
        <v>2543</v>
      </c>
      <c r="B2543" s="132">
        <v>41863</v>
      </c>
      <c r="C2543" s="117">
        <v>3</v>
      </c>
      <c r="D2543" s="103" t="s">
        <v>70</v>
      </c>
      <c r="E2543" s="103" t="s">
        <v>306</v>
      </c>
      <c r="H2543" s="103"/>
      <c r="I2543" s="103">
        <v>47</v>
      </c>
      <c r="K2543" s="103" t="s">
        <v>365</v>
      </c>
      <c r="L2543" s="133"/>
      <c r="M2543" s="134">
        <v>1.1111111111111112E-2</v>
      </c>
      <c r="N2543" s="137" t="s">
        <v>3244</v>
      </c>
      <c r="O2543" s="133" t="s">
        <v>1532</v>
      </c>
      <c r="Q2543" s="100" t="s">
        <v>4189</v>
      </c>
      <c r="R2543" s="226" t="s">
        <v>4229</v>
      </c>
      <c r="S2543" s="491" t="str">
        <f t="shared" si="81"/>
        <v>x</v>
      </c>
      <c r="T2543" s="492" t="str">
        <f>IFERROR(VLOOKUP(F2543,'Freq-Chan'!C:D,2,FALSE),"x")</f>
        <v>x</v>
      </c>
      <c r="U2543" s="110" t="s">
        <v>541</v>
      </c>
      <c r="V2543" s="110" t="str">
        <f t="shared" si="82"/>
        <v>FWL</v>
      </c>
      <c r="W2543" s="110" t="s">
        <v>541</v>
      </c>
      <c r="X2543" s="110" t="s">
        <v>541</v>
      </c>
      <c r="Y2543" s="110" t="str">
        <f>IFERROR(VLOOKUP(F2543,'Freq-Chan'!C:E,3,FALSE),"na")</f>
        <v>na</v>
      </c>
      <c r="Z2543" s="110" t="s">
        <v>541</v>
      </c>
      <c r="AA2543" s="110" t="s">
        <v>541</v>
      </c>
      <c r="AB2543" s="110" t="s">
        <v>541</v>
      </c>
      <c r="AC2543" s="10" t="s">
        <v>541</v>
      </c>
      <c r="AD2543" s="10" t="s">
        <v>541</v>
      </c>
    </row>
    <row r="2544" spans="1:30" x14ac:dyDescent="0.2">
      <c r="A2544" s="110">
        <v>2544</v>
      </c>
      <c r="B2544" s="132">
        <v>41863</v>
      </c>
      <c r="C2544" s="117">
        <v>3</v>
      </c>
      <c r="D2544" s="103" t="s">
        <v>71</v>
      </c>
      <c r="E2544" s="103" t="s">
        <v>306</v>
      </c>
      <c r="H2544" s="103"/>
      <c r="I2544" s="103">
        <v>56</v>
      </c>
      <c r="K2544" s="103" t="s">
        <v>365</v>
      </c>
      <c r="L2544" s="133"/>
      <c r="M2544" s="134">
        <v>1.3194444444444444E-2</v>
      </c>
      <c r="N2544" s="137" t="s">
        <v>3352</v>
      </c>
      <c r="O2544" s="133" t="s">
        <v>1532</v>
      </c>
      <c r="Q2544" s="100" t="s">
        <v>4189</v>
      </c>
      <c r="R2544" s="226" t="s">
        <v>4229</v>
      </c>
      <c r="S2544" s="491" t="str">
        <f t="shared" si="81"/>
        <v>x</v>
      </c>
      <c r="T2544" s="492" t="str">
        <f>IFERROR(VLOOKUP(F2544,'Freq-Chan'!C:D,2,FALSE),"x")</f>
        <v>x</v>
      </c>
      <c r="U2544" s="110" t="s">
        <v>541</v>
      </c>
      <c r="V2544" s="110" t="str">
        <f t="shared" si="82"/>
        <v>FWL</v>
      </c>
      <c r="W2544" s="110" t="s">
        <v>541</v>
      </c>
      <c r="X2544" s="110" t="s">
        <v>541</v>
      </c>
      <c r="Y2544" s="110" t="str">
        <f>IFERROR(VLOOKUP(F2544,'Freq-Chan'!C:E,3,FALSE),"na")</f>
        <v>na</v>
      </c>
      <c r="Z2544" s="110" t="s">
        <v>541</v>
      </c>
      <c r="AA2544" s="110" t="s">
        <v>541</v>
      </c>
      <c r="AB2544" s="110" t="s">
        <v>541</v>
      </c>
      <c r="AC2544" s="10" t="s">
        <v>541</v>
      </c>
      <c r="AD2544" s="10" t="s">
        <v>541</v>
      </c>
    </row>
    <row r="2545" spans="1:30" x14ac:dyDescent="0.2">
      <c r="A2545" s="110">
        <v>2545</v>
      </c>
      <c r="B2545" s="132">
        <v>41863</v>
      </c>
      <c r="C2545" s="117">
        <v>3</v>
      </c>
      <c r="D2545" s="103" t="s">
        <v>70</v>
      </c>
      <c r="E2545" s="103" t="s">
        <v>306</v>
      </c>
      <c r="H2545" s="103"/>
      <c r="I2545" s="103">
        <v>44</v>
      </c>
      <c r="K2545" s="103" t="s">
        <v>1032</v>
      </c>
      <c r="L2545" s="133"/>
      <c r="M2545" s="134">
        <v>1.4583333333333332E-2</v>
      </c>
      <c r="N2545" s="137" t="s">
        <v>1650</v>
      </c>
      <c r="O2545" s="133" t="s">
        <v>1532</v>
      </c>
      <c r="Q2545" s="100" t="s">
        <v>4189</v>
      </c>
      <c r="R2545" s="226" t="s">
        <v>4229</v>
      </c>
      <c r="S2545" s="491" t="str">
        <f t="shared" si="81"/>
        <v>x</v>
      </c>
      <c r="T2545" s="492" t="str">
        <f>IFERROR(VLOOKUP(F2545,'Freq-Chan'!C:D,2,FALSE),"x")</f>
        <v>x</v>
      </c>
      <c r="U2545" s="110" t="s">
        <v>541</v>
      </c>
      <c r="V2545" s="110" t="str">
        <f t="shared" si="82"/>
        <v>FWL</v>
      </c>
      <c r="W2545" s="110" t="s">
        <v>541</v>
      </c>
      <c r="X2545" s="110" t="s">
        <v>541</v>
      </c>
      <c r="Y2545" s="110" t="str">
        <f>IFERROR(VLOOKUP(F2545,'Freq-Chan'!C:E,3,FALSE),"na")</f>
        <v>na</v>
      </c>
      <c r="Z2545" s="110" t="s">
        <v>541</v>
      </c>
      <c r="AA2545" s="110" t="s">
        <v>541</v>
      </c>
      <c r="AB2545" s="110" t="s">
        <v>541</v>
      </c>
      <c r="AC2545" s="10" t="s">
        <v>541</v>
      </c>
      <c r="AD2545" s="10" t="s">
        <v>541</v>
      </c>
    </row>
    <row r="2546" spans="1:30" x14ac:dyDescent="0.2">
      <c r="A2546" s="110">
        <v>2546</v>
      </c>
      <c r="B2546" s="132">
        <v>41863</v>
      </c>
      <c r="C2546" s="117">
        <v>3</v>
      </c>
      <c r="D2546" s="103" t="s">
        <v>70</v>
      </c>
      <c r="E2546" s="103" t="s">
        <v>306</v>
      </c>
      <c r="H2546" s="103"/>
      <c r="I2546" s="103">
        <v>51</v>
      </c>
      <c r="K2546" s="103" t="s">
        <v>1032</v>
      </c>
      <c r="L2546" s="133"/>
      <c r="M2546" s="134">
        <v>2.2916666666666669E-2</v>
      </c>
      <c r="N2546" s="137" t="s">
        <v>2653</v>
      </c>
      <c r="O2546" s="133" t="s">
        <v>1532</v>
      </c>
      <c r="Q2546" s="100" t="s">
        <v>4189</v>
      </c>
      <c r="R2546" s="226" t="s">
        <v>4229</v>
      </c>
      <c r="S2546" s="491" t="str">
        <f t="shared" ref="S2546:S2609" si="83">IF(IF(OR(L2546=0,N2546=0),"x",ROUND(N2546-L2546-(M2546*24)/(24*60),10))&lt;0,0,IF(OR(L2546=0,N2546=0),"x",ROUND(N2546-L2546-(M2546*24)/(24*60),10)))</f>
        <v>x</v>
      </c>
      <c r="T2546" s="492" t="str">
        <f>IFERROR(VLOOKUP(F2546,'Freq-Chan'!C:D,2,FALSE),"x")</f>
        <v>x</v>
      </c>
      <c r="U2546" s="110" t="s">
        <v>541</v>
      </c>
      <c r="V2546" s="110" t="str">
        <f t="shared" ref="V2546:V2609" si="84">IF(OR(C2546=1,C2546=2,C2546=3),"FWL","NRD")</f>
        <v>FWL</v>
      </c>
      <c r="W2546" s="110" t="s">
        <v>541</v>
      </c>
      <c r="X2546" s="110" t="s">
        <v>541</v>
      </c>
      <c r="Y2546" s="110" t="str">
        <f>IFERROR(VLOOKUP(F2546,'Freq-Chan'!C:E,3,FALSE),"na")</f>
        <v>na</v>
      </c>
      <c r="Z2546" s="110" t="s">
        <v>541</v>
      </c>
      <c r="AA2546" s="110" t="s">
        <v>541</v>
      </c>
      <c r="AB2546" s="110" t="s">
        <v>541</v>
      </c>
      <c r="AC2546" s="10" t="s">
        <v>541</v>
      </c>
      <c r="AD2546" s="10" t="s">
        <v>541</v>
      </c>
    </row>
    <row r="2547" spans="1:30" x14ac:dyDescent="0.2">
      <c r="A2547" s="110">
        <v>2547</v>
      </c>
      <c r="B2547" s="132">
        <v>41863</v>
      </c>
      <c r="C2547" s="117">
        <v>3</v>
      </c>
      <c r="D2547" s="103" t="s">
        <v>70</v>
      </c>
      <c r="E2547" s="103" t="s">
        <v>306</v>
      </c>
      <c r="H2547" s="103"/>
      <c r="I2547" s="103">
        <v>47</v>
      </c>
      <c r="K2547" s="103" t="s">
        <v>1032</v>
      </c>
      <c r="L2547" s="133"/>
      <c r="M2547" s="134">
        <v>1.2499999999999999E-2</v>
      </c>
      <c r="N2547" s="137" t="s">
        <v>3797</v>
      </c>
      <c r="O2547" s="133" t="s">
        <v>1532</v>
      </c>
      <c r="Q2547" s="100" t="s">
        <v>4189</v>
      </c>
      <c r="R2547" s="226" t="s">
        <v>4229</v>
      </c>
      <c r="S2547" s="491" t="str">
        <f t="shared" si="83"/>
        <v>x</v>
      </c>
      <c r="T2547" s="492" t="str">
        <f>IFERROR(VLOOKUP(F2547,'Freq-Chan'!C:D,2,FALSE),"x")</f>
        <v>x</v>
      </c>
      <c r="U2547" s="110" t="s">
        <v>541</v>
      </c>
      <c r="V2547" s="110" t="str">
        <f t="shared" si="84"/>
        <v>FWL</v>
      </c>
      <c r="W2547" s="110" t="s">
        <v>541</v>
      </c>
      <c r="X2547" s="110" t="s">
        <v>541</v>
      </c>
      <c r="Y2547" s="110" t="str">
        <f>IFERROR(VLOOKUP(F2547,'Freq-Chan'!C:E,3,FALSE),"na")</f>
        <v>na</v>
      </c>
      <c r="Z2547" s="110" t="s">
        <v>541</v>
      </c>
      <c r="AA2547" s="110" t="s">
        <v>541</v>
      </c>
      <c r="AB2547" s="110" t="s">
        <v>541</v>
      </c>
      <c r="AC2547" s="10" t="s">
        <v>541</v>
      </c>
      <c r="AD2547" s="10" t="s">
        <v>541</v>
      </c>
    </row>
    <row r="2548" spans="1:30" x14ac:dyDescent="0.2">
      <c r="A2548" s="110">
        <v>2548</v>
      </c>
      <c r="B2548" s="132">
        <v>41863</v>
      </c>
      <c r="C2548" s="117">
        <v>3</v>
      </c>
      <c r="D2548" s="103" t="s">
        <v>71</v>
      </c>
      <c r="E2548" s="103" t="s">
        <v>306</v>
      </c>
      <c r="H2548" s="103"/>
      <c r="I2548" s="103">
        <v>62</v>
      </c>
      <c r="K2548" s="103" t="s">
        <v>1032</v>
      </c>
      <c r="L2548" s="133"/>
      <c r="M2548" s="134">
        <v>1.7361111111111112E-2</v>
      </c>
      <c r="N2548" s="137" t="s">
        <v>1796</v>
      </c>
      <c r="O2548" s="133" t="s">
        <v>1532</v>
      </c>
      <c r="Q2548" s="100" t="s">
        <v>4189</v>
      </c>
      <c r="R2548" s="226" t="s">
        <v>4229</v>
      </c>
      <c r="S2548" s="491" t="str">
        <f t="shared" si="83"/>
        <v>x</v>
      </c>
      <c r="T2548" s="492" t="str">
        <f>IFERROR(VLOOKUP(F2548,'Freq-Chan'!C:D,2,FALSE),"x")</f>
        <v>x</v>
      </c>
      <c r="U2548" s="110" t="s">
        <v>541</v>
      </c>
      <c r="V2548" s="110" t="str">
        <f t="shared" si="84"/>
        <v>FWL</v>
      </c>
      <c r="W2548" s="110" t="s">
        <v>541</v>
      </c>
      <c r="X2548" s="110" t="s">
        <v>541</v>
      </c>
      <c r="Y2548" s="110" t="str">
        <f>IFERROR(VLOOKUP(F2548,'Freq-Chan'!C:E,3,FALSE),"na")</f>
        <v>na</v>
      </c>
      <c r="Z2548" s="110" t="s">
        <v>541</v>
      </c>
      <c r="AA2548" s="110" t="s">
        <v>541</v>
      </c>
      <c r="AB2548" s="110" t="s">
        <v>541</v>
      </c>
      <c r="AC2548" s="10" t="s">
        <v>541</v>
      </c>
      <c r="AD2548" s="10" t="s">
        <v>541</v>
      </c>
    </row>
    <row r="2549" spans="1:30" x14ac:dyDescent="0.2">
      <c r="A2549" s="110">
        <v>2549</v>
      </c>
      <c r="B2549" s="132">
        <v>41863</v>
      </c>
      <c r="C2549" s="117">
        <v>3</v>
      </c>
      <c r="D2549" s="103" t="s">
        <v>70</v>
      </c>
      <c r="E2549" s="103" t="s">
        <v>306</v>
      </c>
      <c r="H2549" s="103"/>
      <c r="I2549" s="103">
        <v>46</v>
      </c>
      <c r="K2549" s="103" t="s">
        <v>365</v>
      </c>
      <c r="L2549" s="133"/>
      <c r="M2549" s="134">
        <v>1.4583333333333332E-2</v>
      </c>
      <c r="N2549" s="137" t="s">
        <v>2892</v>
      </c>
      <c r="O2549" s="133" t="s">
        <v>1532</v>
      </c>
      <c r="Q2549" s="100" t="s">
        <v>4189</v>
      </c>
      <c r="R2549" s="226" t="s">
        <v>4229</v>
      </c>
      <c r="S2549" s="491" t="str">
        <f t="shared" si="83"/>
        <v>x</v>
      </c>
      <c r="T2549" s="492" t="str">
        <f>IFERROR(VLOOKUP(F2549,'Freq-Chan'!C:D,2,FALSE),"x")</f>
        <v>x</v>
      </c>
      <c r="U2549" s="110" t="s">
        <v>541</v>
      </c>
      <c r="V2549" s="110" t="str">
        <f t="shared" si="84"/>
        <v>FWL</v>
      </c>
      <c r="W2549" s="110" t="s">
        <v>541</v>
      </c>
      <c r="X2549" s="110" t="s">
        <v>541</v>
      </c>
      <c r="Y2549" s="110" t="str">
        <f>IFERROR(VLOOKUP(F2549,'Freq-Chan'!C:E,3,FALSE),"na")</f>
        <v>na</v>
      </c>
      <c r="Z2549" s="110" t="s">
        <v>541</v>
      </c>
      <c r="AA2549" s="110" t="s">
        <v>541</v>
      </c>
      <c r="AB2549" s="110" t="s">
        <v>541</v>
      </c>
      <c r="AC2549" s="10" t="s">
        <v>541</v>
      </c>
      <c r="AD2549" s="10" t="s">
        <v>541</v>
      </c>
    </row>
    <row r="2550" spans="1:30" x14ac:dyDescent="0.2">
      <c r="A2550" s="110">
        <v>2550</v>
      </c>
      <c r="B2550" s="132">
        <v>41863</v>
      </c>
      <c r="C2550" s="117">
        <v>3</v>
      </c>
      <c r="D2550" s="103" t="s">
        <v>8</v>
      </c>
      <c r="E2550" s="103" t="s">
        <v>306</v>
      </c>
      <c r="F2550" s="103">
        <v>573</v>
      </c>
      <c r="G2550" s="103">
        <v>80</v>
      </c>
      <c r="H2550" s="103" t="s">
        <v>2252</v>
      </c>
      <c r="I2550" s="103">
        <v>50</v>
      </c>
      <c r="K2550" s="103" t="s">
        <v>1032</v>
      </c>
      <c r="L2550" s="133">
        <v>0.40208333333333335</v>
      </c>
      <c r="M2550" s="134">
        <v>4.0972222222222222E-2</v>
      </c>
      <c r="N2550" s="137" t="s">
        <v>2838</v>
      </c>
      <c r="O2550" s="133" t="s">
        <v>1538</v>
      </c>
      <c r="Q2550" s="100" t="s">
        <v>4189</v>
      </c>
      <c r="R2550" s="226" t="s">
        <v>4229</v>
      </c>
      <c r="S2550" s="491">
        <f t="shared" si="83"/>
        <v>4.8726851999999999E-3</v>
      </c>
      <c r="T2550" s="492">
        <f>IFERROR(VLOOKUP(F2550,'Freq-Chan'!C:D,2,FALSE),"x")</f>
        <v>151.57300000000001</v>
      </c>
      <c r="U2550" s="110" t="s">
        <v>541</v>
      </c>
      <c r="V2550" s="110" t="str">
        <f t="shared" si="84"/>
        <v>FWL</v>
      </c>
      <c r="W2550" s="110" t="s">
        <v>541</v>
      </c>
      <c r="X2550" s="110" t="s">
        <v>541</v>
      </c>
      <c r="Y2550" s="110" t="str">
        <f>IFERROR(VLOOKUP(F2550,'Freq-Chan'!C:E,3,FALSE),"na")</f>
        <v>F1840</v>
      </c>
      <c r="Z2550" s="110" t="s">
        <v>541</v>
      </c>
      <c r="AA2550" s="110" t="s">
        <v>541</v>
      </c>
      <c r="AB2550" s="110" t="s">
        <v>541</v>
      </c>
      <c r="AC2550" s="10" t="s">
        <v>541</v>
      </c>
      <c r="AD2550" s="10" t="s">
        <v>541</v>
      </c>
    </row>
    <row r="2551" spans="1:30" x14ac:dyDescent="0.2">
      <c r="A2551" s="110">
        <v>2551</v>
      </c>
      <c r="B2551" s="132">
        <v>41863</v>
      </c>
      <c r="C2551" s="117">
        <v>3</v>
      </c>
      <c r="D2551" s="103" t="s">
        <v>70</v>
      </c>
      <c r="E2551" s="103" t="s">
        <v>306</v>
      </c>
      <c r="H2551" s="103"/>
      <c r="I2551" s="103">
        <v>44</v>
      </c>
      <c r="K2551" s="103" t="s">
        <v>1032</v>
      </c>
      <c r="L2551" s="133"/>
      <c r="M2551" s="134">
        <v>1.2499999999999999E-2</v>
      </c>
      <c r="N2551" s="137" t="s">
        <v>3322</v>
      </c>
      <c r="O2551" s="133" t="s">
        <v>1532</v>
      </c>
      <c r="Q2551" s="100" t="s">
        <v>4189</v>
      </c>
      <c r="R2551" s="226" t="s">
        <v>4229</v>
      </c>
      <c r="S2551" s="491" t="str">
        <f t="shared" si="83"/>
        <v>x</v>
      </c>
      <c r="T2551" s="492" t="str">
        <f>IFERROR(VLOOKUP(F2551,'Freq-Chan'!C:D,2,FALSE),"x")</f>
        <v>x</v>
      </c>
      <c r="U2551" s="110" t="s">
        <v>541</v>
      </c>
      <c r="V2551" s="110" t="str">
        <f t="shared" si="84"/>
        <v>FWL</v>
      </c>
      <c r="W2551" s="110" t="s">
        <v>541</v>
      </c>
      <c r="X2551" s="110" t="s">
        <v>541</v>
      </c>
      <c r="Y2551" s="110" t="str">
        <f>IFERROR(VLOOKUP(F2551,'Freq-Chan'!C:E,3,FALSE),"na")</f>
        <v>na</v>
      </c>
      <c r="Z2551" s="110" t="s">
        <v>541</v>
      </c>
      <c r="AA2551" s="110" t="s">
        <v>541</v>
      </c>
      <c r="AB2551" s="110" t="s">
        <v>541</v>
      </c>
      <c r="AC2551" s="10" t="s">
        <v>541</v>
      </c>
      <c r="AD2551" s="10" t="s">
        <v>541</v>
      </c>
    </row>
    <row r="2552" spans="1:30" x14ac:dyDescent="0.2">
      <c r="A2552" s="110">
        <v>2552</v>
      </c>
      <c r="B2552" s="132">
        <v>41863</v>
      </c>
      <c r="C2552" s="117">
        <v>3</v>
      </c>
      <c r="D2552" s="103" t="s">
        <v>70</v>
      </c>
      <c r="E2552" s="103" t="s">
        <v>306</v>
      </c>
      <c r="H2552" s="103"/>
      <c r="I2552" s="103">
        <v>45</v>
      </c>
      <c r="K2552" s="103" t="s">
        <v>365</v>
      </c>
      <c r="L2552" s="133"/>
      <c r="M2552" s="134">
        <v>1.5972222222222224E-2</v>
      </c>
      <c r="N2552" s="137" t="s">
        <v>3209</v>
      </c>
      <c r="O2552" s="133" t="s">
        <v>1532</v>
      </c>
      <c r="Q2552" s="100" t="s">
        <v>4189</v>
      </c>
      <c r="R2552" s="226" t="s">
        <v>4229</v>
      </c>
      <c r="S2552" s="491" t="str">
        <f t="shared" si="83"/>
        <v>x</v>
      </c>
      <c r="T2552" s="492" t="str">
        <f>IFERROR(VLOOKUP(F2552,'Freq-Chan'!C:D,2,FALSE),"x")</f>
        <v>x</v>
      </c>
      <c r="U2552" s="110" t="s">
        <v>541</v>
      </c>
      <c r="V2552" s="110" t="str">
        <f t="shared" si="84"/>
        <v>FWL</v>
      </c>
      <c r="W2552" s="110" t="s">
        <v>541</v>
      </c>
      <c r="X2552" s="110" t="s">
        <v>541</v>
      </c>
      <c r="Y2552" s="110" t="str">
        <f>IFERROR(VLOOKUP(F2552,'Freq-Chan'!C:E,3,FALSE),"na")</f>
        <v>na</v>
      </c>
      <c r="Z2552" s="110" t="s">
        <v>541</v>
      </c>
      <c r="AA2552" s="110" t="s">
        <v>541</v>
      </c>
      <c r="AB2552" s="110" t="s">
        <v>541</v>
      </c>
      <c r="AC2552" s="10" t="s">
        <v>541</v>
      </c>
      <c r="AD2552" s="10" t="s">
        <v>541</v>
      </c>
    </row>
    <row r="2553" spans="1:30" x14ac:dyDescent="0.2">
      <c r="A2553" s="110">
        <v>2553</v>
      </c>
      <c r="B2553" s="132">
        <v>41863</v>
      </c>
      <c r="C2553" s="117">
        <v>3</v>
      </c>
      <c r="D2553" s="103" t="s">
        <v>70</v>
      </c>
      <c r="E2553" s="103" t="s">
        <v>306</v>
      </c>
      <c r="H2553" s="103"/>
      <c r="I2553" s="103">
        <v>47</v>
      </c>
      <c r="K2553" s="103" t="s">
        <v>365</v>
      </c>
      <c r="L2553" s="133"/>
      <c r="M2553" s="134">
        <v>1.2499999999999999E-2</v>
      </c>
      <c r="N2553" s="137" t="s">
        <v>3481</v>
      </c>
      <c r="O2553" s="133" t="s">
        <v>1532</v>
      </c>
      <c r="Q2553" s="100" t="s">
        <v>4189</v>
      </c>
      <c r="R2553" s="226" t="s">
        <v>4229</v>
      </c>
      <c r="S2553" s="491" t="str">
        <f t="shared" si="83"/>
        <v>x</v>
      </c>
      <c r="T2553" s="492" t="str">
        <f>IFERROR(VLOOKUP(F2553,'Freq-Chan'!C:D,2,FALSE),"x")</f>
        <v>x</v>
      </c>
      <c r="U2553" s="110" t="s">
        <v>541</v>
      </c>
      <c r="V2553" s="110" t="str">
        <f t="shared" si="84"/>
        <v>FWL</v>
      </c>
      <c r="W2553" s="110" t="s">
        <v>541</v>
      </c>
      <c r="X2553" s="110" t="s">
        <v>541</v>
      </c>
      <c r="Y2553" s="110" t="str">
        <f>IFERROR(VLOOKUP(F2553,'Freq-Chan'!C:E,3,FALSE),"na")</f>
        <v>na</v>
      </c>
      <c r="Z2553" s="110" t="s">
        <v>541</v>
      </c>
      <c r="AA2553" s="110" t="s">
        <v>541</v>
      </c>
      <c r="AB2553" s="110" t="s">
        <v>541</v>
      </c>
      <c r="AC2553" s="10" t="s">
        <v>541</v>
      </c>
      <c r="AD2553" s="10" t="s">
        <v>541</v>
      </c>
    </row>
    <row r="2554" spans="1:30" x14ac:dyDescent="0.2">
      <c r="A2554" s="110">
        <v>2554</v>
      </c>
      <c r="B2554" s="132">
        <v>41863</v>
      </c>
      <c r="C2554" s="117">
        <v>3</v>
      </c>
      <c r="D2554" s="103" t="s">
        <v>70</v>
      </c>
      <c r="E2554" s="103" t="s">
        <v>306</v>
      </c>
      <c r="H2554" s="103"/>
      <c r="I2554" s="103">
        <v>41</v>
      </c>
      <c r="K2554" s="103" t="s">
        <v>365</v>
      </c>
      <c r="L2554" s="133"/>
      <c r="M2554" s="134">
        <v>1.3194444444444444E-2</v>
      </c>
      <c r="N2554" s="137" t="s">
        <v>3716</v>
      </c>
      <c r="O2554" s="133" t="s">
        <v>1532</v>
      </c>
      <c r="Q2554" s="100" t="s">
        <v>4189</v>
      </c>
      <c r="R2554" s="226" t="s">
        <v>4229</v>
      </c>
      <c r="S2554" s="491" t="str">
        <f t="shared" si="83"/>
        <v>x</v>
      </c>
      <c r="T2554" s="492" t="str">
        <f>IFERROR(VLOOKUP(F2554,'Freq-Chan'!C:D,2,FALSE),"x")</f>
        <v>x</v>
      </c>
      <c r="U2554" s="110" t="s">
        <v>541</v>
      </c>
      <c r="V2554" s="110" t="str">
        <f t="shared" si="84"/>
        <v>FWL</v>
      </c>
      <c r="W2554" s="110" t="s">
        <v>541</v>
      </c>
      <c r="X2554" s="110" t="s">
        <v>541</v>
      </c>
      <c r="Y2554" s="110" t="str">
        <f>IFERROR(VLOOKUP(F2554,'Freq-Chan'!C:E,3,FALSE),"na")</f>
        <v>na</v>
      </c>
      <c r="Z2554" s="110" t="s">
        <v>541</v>
      </c>
      <c r="AA2554" s="110" t="s">
        <v>541</v>
      </c>
      <c r="AB2554" s="110" t="s">
        <v>541</v>
      </c>
      <c r="AC2554" s="10" t="s">
        <v>541</v>
      </c>
      <c r="AD2554" s="10" t="s">
        <v>541</v>
      </c>
    </row>
    <row r="2555" spans="1:30" x14ac:dyDescent="0.2">
      <c r="A2555" s="110">
        <v>2555</v>
      </c>
      <c r="B2555" s="132">
        <v>41863</v>
      </c>
      <c r="C2555" s="117">
        <v>3</v>
      </c>
      <c r="D2555" s="103" t="s">
        <v>70</v>
      </c>
      <c r="E2555" s="103" t="s">
        <v>306</v>
      </c>
      <c r="H2555" s="103"/>
      <c r="I2555" s="103">
        <v>42</v>
      </c>
      <c r="K2555" s="103" t="s">
        <v>365</v>
      </c>
      <c r="L2555" s="133"/>
      <c r="M2555" s="134">
        <v>1.5277777777777777E-2</v>
      </c>
      <c r="N2555" s="137" t="s">
        <v>2591</v>
      </c>
      <c r="O2555" s="133" t="s">
        <v>1532</v>
      </c>
      <c r="Q2555" s="100" t="s">
        <v>4189</v>
      </c>
      <c r="R2555" s="226" t="s">
        <v>4229</v>
      </c>
      <c r="S2555" s="491" t="str">
        <f t="shared" si="83"/>
        <v>x</v>
      </c>
      <c r="T2555" s="492" t="str">
        <f>IFERROR(VLOOKUP(F2555,'Freq-Chan'!C:D,2,FALSE),"x")</f>
        <v>x</v>
      </c>
      <c r="U2555" s="110" t="s">
        <v>541</v>
      </c>
      <c r="V2555" s="110" t="str">
        <f t="shared" si="84"/>
        <v>FWL</v>
      </c>
      <c r="W2555" s="110" t="s">
        <v>541</v>
      </c>
      <c r="X2555" s="110" t="s">
        <v>541</v>
      </c>
      <c r="Y2555" s="110" t="str">
        <f>IFERROR(VLOOKUP(F2555,'Freq-Chan'!C:E,3,FALSE),"na")</f>
        <v>na</v>
      </c>
      <c r="Z2555" s="110" t="s">
        <v>541</v>
      </c>
      <c r="AA2555" s="110" t="s">
        <v>541</v>
      </c>
      <c r="AB2555" s="110" t="s">
        <v>541</v>
      </c>
      <c r="AC2555" s="10" t="s">
        <v>541</v>
      </c>
      <c r="AD2555" s="10" t="s">
        <v>541</v>
      </c>
    </row>
    <row r="2556" spans="1:30" x14ac:dyDescent="0.2">
      <c r="A2556" s="110">
        <v>2556</v>
      </c>
      <c r="B2556" s="132">
        <v>41863</v>
      </c>
      <c r="C2556" s="117">
        <v>3</v>
      </c>
      <c r="D2556" s="103" t="s">
        <v>70</v>
      </c>
      <c r="E2556" s="103" t="s">
        <v>306</v>
      </c>
      <c r="H2556" s="103"/>
      <c r="I2556" s="103">
        <v>52</v>
      </c>
      <c r="K2556" s="103" t="s">
        <v>1032</v>
      </c>
      <c r="L2556" s="133"/>
      <c r="M2556" s="134">
        <v>1.1805555555555555E-2</v>
      </c>
      <c r="N2556" s="137" t="s">
        <v>3210</v>
      </c>
      <c r="O2556" s="133" t="s">
        <v>1532</v>
      </c>
      <c r="Q2556" s="100" t="s">
        <v>4189</v>
      </c>
      <c r="R2556" s="226" t="s">
        <v>4229</v>
      </c>
      <c r="S2556" s="491" t="str">
        <f t="shared" si="83"/>
        <v>x</v>
      </c>
      <c r="T2556" s="492" t="str">
        <f>IFERROR(VLOOKUP(F2556,'Freq-Chan'!C:D,2,FALSE),"x")</f>
        <v>x</v>
      </c>
      <c r="U2556" s="110" t="s">
        <v>541</v>
      </c>
      <c r="V2556" s="110" t="str">
        <f t="shared" si="84"/>
        <v>FWL</v>
      </c>
      <c r="W2556" s="110" t="s">
        <v>541</v>
      </c>
      <c r="X2556" s="110" t="s">
        <v>541</v>
      </c>
      <c r="Y2556" s="110" t="str">
        <f>IFERROR(VLOOKUP(F2556,'Freq-Chan'!C:E,3,FALSE),"na")</f>
        <v>na</v>
      </c>
      <c r="Z2556" s="110" t="s">
        <v>541</v>
      </c>
      <c r="AA2556" s="110" t="s">
        <v>541</v>
      </c>
      <c r="AB2556" s="110" t="s">
        <v>541</v>
      </c>
      <c r="AC2556" s="10" t="s">
        <v>541</v>
      </c>
      <c r="AD2556" s="10" t="s">
        <v>541</v>
      </c>
    </row>
    <row r="2557" spans="1:30" x14ac:dyDescent="0.2">
      <c r="A2557" s="110">
        <v>2557</v>
      </c>
      <c r="B2557" s="132">
        <v>41863</v>
      </c>
      <c r="C2557" s="117">
        <v>3</v>
      </c>
      <c r="D2557" s="103" t="s">
        <v>71</v>
      </c>
      <c r="E2557" s="103" t="s">
        <v>306</v>
      </c>
      <c r="H2557" s="103"/>
      <c r="I2557" s="103">
        <v>58</v>
      </c>
      <c r="K2557" s="103" t="s">
        <v>1032</v>
      </c>
      <c r="L2557" s="133"/>
      <c r="M2557" s="134">
        <v>1.0416666666666666E-2</v>
      </c>
      <c r="N2557" s="137" t="s">
        <v>2935</v>
      </c>
      <c r="O2557" s="133" t="s">
        <v>1532</v>
      </c>
      <c r="Q2557" s="100" t="s">
        <v>4189</v>
      </c>
      <c r="R2557" s="226" t="s">
        <v>4229</v>
      </c>
      <c r="S2557" s="491" t="str">
        <f t="shared" si="83"/>
        <v>x</v>
      </c>
      <c r="T2557" s="492" t="str">
        <f>IFERROR(VLOOKUP(F2557,'Freq-Chan'!C:D,2,FALSE),"x")</f>
        <v>x</v>
      </c>
      <c r="U2557" s="110" t="s">
        <v>541</v>
      </c>
      <c r="V2557" s="110" t="str">
        <f t="shared" si="84"/>
        <v>FWL</v>
      </c>
      <c r="W2557" s="110" t="s">
        <v>541</v>
      </c>
      <c r="X2557" s="110" t="s">
        <v>541</v>
      </c>
      <c r="Y2557" s="110" t="str">
        <f>IFERROR(VLOOKUP(F2557,'Freq-Chan'!C:E,3,FALSE),"na")</f>
        <v>na</v>
      </c>
      <c r="Z2557" s="110" t="s">
        <v>541</v>
      </c>
      <c r="AA2557" s="110" t="s">
        <v>541</v>
      </c>
      <c r="AB2557" s="110" t="s">
        <v>541</v>
      </c>
      <c r="AC2557" s="10" t="s">
        <v>541</v>
      </c>
      <c r="AD2557" s="10" t="s">
        <v>541</v>
      </c>
    </row>
    <row r="2558" spans="1:30" x14ac:dyDescent="0.2">
      <c r="A2558" s="110">
        <v>2558</v>
      </c>
      <c r="B2558" s="132">
        <v>41863</v>
      </c>
      <c r="C2558" s="117">
        <v>3</v>
      </c>
      <c r="D2558" s="103" t="s">
        <v>71</v>
      </c>
      <c r="E2558" s="103" t="s">
        <v>306</v>
      </c>
      <c r="H2558" s="103"/>
      <c r="I2558" s="103">
        <v>62</v>
      </c>
      <c r="K2558" s="103" t="s">
        <v>365</v>
      </c>
      <c r="L2558" s="133"/>
      <c r="M2558" s="134">
        <v>1.5972222222222224E-2</v>
      </c>
      <c r="N2558" s="137" t="s">
        <v>3903</v>
      </c>
      <c r="O2558" s="133" t="s">
        <v>1532</v>
      </c>
      <c r="Q2558" s="100" t="s">
        <v>4189</v>
      </c>
      <c r="R2558" s="226" t="s">
        <v>4229</v>
      </c>
      <c r="S2558" s="491" t="str">
        <f t="shared" si="83"/>
        <v>x</v>
      </c>
      <c r="T2558" s="492" t="str">
        <f>IFERROR(VLOOKUP(F2558,'Freq-Chan'!C:D,2,FALSE),"x")</f>
        <v>x</v>
      </c>
      <c r="U2558" s="110" t="s">
        <v>541</v>
      </c>
      <c r="V2558" s="110" t="str">
        <f t="shared" si="84"/>
        <v>FWL</v>
      </c>
      <c r="W2558" s="110" t="s">
        <v>541</v>
      </c>
      <c r="X2558" s="110" t="s">
        <v>541</v>
      </c>
      <c r="Y2558" s="110" t="str">
        <f>IFERROR(VLOOKUP(F2558,'Freq-Chan'!C:E,3,FALSE),"na")</f>
        <v>na</v>
      </c>
      <c r="Z2558" s="110" t="s">
        <v>541</v>
      </c>
      <c r="AA2558" s="110" t="s">
        <v>541</v>
      </c>
      <c r="AB2558" s="110" t="s">
        <v>541</v>
      </c>
      <c r="AC2558" s="10" t="s">
        <v>541</v>
      </c>
      <c r="AD2558" s="10" t="s">
        <v>541</v>
      </c>
    </row>
    <row r="2559" spans="1:30" x14ac:dyDescent="0.2">
      <c r="A2559" s="110">
        <v>2559</v>
      </c>
      <c r="B2559" s="132">
        <v>41863</v>
      </c>
      <c r="C2559" s="117">
        <v>3</v>
      </c>
      <c r="D2559" s="103" t="s">
        <v>71</v>
      </c>
      <c r="E2559" s="103" t="s">
        <v>306</v>
      </c>
      <c r="H2559" s="103"/>
      <c r="I2559" s="103">
        <v>56</v>
      </c>
      <c r="K2559" s="103" t="s">
        <v>365</v>
      </c>
      <c r="L2559" s="133"/>
      <c r="M2559" s="134">
        <v>1.3888888888888888E-2</v>
      </c>
      <c r="N2559" s="137" t="s">
        <v>1831</v>
      </c>
      <c r="O2559" s="133" t="s">
        <v>1538</v>
      </c>
      <c r="Q2559" s="100" t="s">
        <v>4189</v>
      </c>
      <c r="R2559" s="226" t="s">
        <v>4229</v>
      </c>
      <c r="S2559" s="491" t="str">
        <f t="shared" si="83"/>
        <v>x</v>
      </c>
      <c r="T2559" s="492" t="str">
        <f>IFERROR(VLOOKUP(F2559,'Freq-Chan'!C:D,2,FALSE),"x")</f>
        <v>x</v>
      </c>
      <c r="U2559" s="110" t="s">
        <v>541</v>
      </c>
      <c r="V2559" s="110" t="str">
        <f t="shared" si="84"/>
        <v>FWL</v>
      </c>
      <c r="W2559" s="110" t="s">
        <v>541</v>
      </c>
      <c r="X2559" s="110" t="s">
        <v>541</v>
      </c>
      <c r="Y2559" s="110" t="str">
        <f>IFERROR(VLOOKUP(F2559,'Freq-Chan'!C:E,3,FALSE),"na")</f>
        <v>na</v>
      </c>
      <c r="Z2559" s="110" t="s">
        <v>541</v>
      </c>
      <c r="AA2559" s="110" t="s">
        <v>541</v>
      </c>
      <c r="AB2559" s="110" t="s">
        <v>541</v>
      </c>
      <c r="AC2559" s="10" t="s">
        <v>541</v>
      </c>
      <c r="AD2559" s="10" t="s">
        <v>541</v>
      </c>
    </row>
    <row r="2560" spans="1:30" x14ac:dyDescent="0.2">
      <c r="A2560" s="110">
        <v>2560</v>
      </c>
      <c r="B2560" s="132">
        <v>41863</v>
      </c>
      <c r="C2560" s="117">
        <v>3</v>
      </c>
      <c r="D2560" s="103" t="s">
        <v>71</v>
      </c>
      <c r="E2560" s="103" t="s">
        <v>306</v>
      </c>
      <c r="H2560" s="103"/>
      <c r="I2560" s="103">
        <v>54</v>
      </c>
      <c r="K2560" s="103" t="s">
        <v>365</v>
      </c>
      <c r="L2560" s="133">
        <v>0.54583333333333328</v>
      </c>
      <c r="M2560" s="134">
        <v>1.9444444444444445E-2</v>
      </c>
      <c r="N2560" s="137" t="s">
        <v>2619</v>
      </c>
      <c r="O2560" s="133" t="s">
        <v>1538</v>
      </c>
      <c r="Q2560" s="100" t="s">
        <v>4189</v>
      </c>
      <c r="R2560" s="226" t="s">
        <v>4229</v>
      </c>
      <c r="S2560" s="491">
        <f t="shared" si="83"/>
        <v>3.7037039999999999E-4</v>
      </c>
      <c r="T2560" s="492" t="str">
        <f>IFERROR(VLOOKUP(F2560,'Freq-Chan'!C:D,2,FALSE),"x")</f>
        <v>x</v>
      </c>
      <c r="U2560" s="110" t="s">
        <v>541</v>
      </c>
      <c r="V2560" s="110" t="str">
        <f t="shared" si="84"/>
        <v>FWL</v>
      </c>
      <c r="W2560" s="110" t="s">
        <v>541</v>
      </c>
      <c r="X2560" s="110" t="s">
        <v>541</v>
      </c>
      <c r="Y2560" s="110" t="str">
        <f>IFERROR(VLOOKUP(F2560,'Freq-Chan'!C:E,3,FALSE),"na")</f>
        <v>na</v>
      </c>
      <c r="Z2560" s="110" t="s">
        <v>541</v>
      </c>
      <c r="AA2560" s="110" t="s">
        <v>541</v>
      </c>
      <c r="AB2560" s="110" t="s">
        <v>541</v>
      </c>
      <c r="AC2560" s="10" t="s">
        <v>541</v>
      </c>
      <c r="AD2560" s="10" t="s">
        <v>541</v>
      </c>
    </row>
    <row r="2561" spans="1:30" x14ac:dyDescent="0.2">
      <c r="A2561" s="110">
        <v>2561</v>
      </c>
      <c r="B2561" s="132">
        <v>41863</v>
      </c>
      <c r="C2561" s="117">
        <v>3</v>
      </c>
      <c r="D2561" s="103" t="s">
        <v>71</v>
      </c>
      <c r="E2561" s="103" t="s">
        <v>306</v>
      </c>
      <c r="H2561" s="103"/>
      <c r="I2561" s="103">
        <v>54</v>
      </c>
      <c r="K2561" s="103" t="s">
        <v>365</v>
      </c>
      <c r="L2561" s="133"/>
      <c r="M2561" s="134">
        <v>1.4583333333333332E-2</v>
      </c>
      <c r="N2561" s="137" t="s">
        <v>4125</v>
      </c>
      <c r="O2561" s="133" t="s">
        <v>1538</v>
      </c>
      <c r="Q2561" s="100" t="s">
        <v>4189</v>
      </c>
      <c r="R2561" s="226" t="s">
        <v>4229</v>
      </c>
      <c r="S2561" s="491" t="str">
        <f t="shared" si="83"/>
        <v>x</v>
      </c>
      <c r="T2561" s="492" t="str">
        <f>IFERROR(VLOOKUP(F2561,'Freq-Chan'!C:D,2,FALSE),"x")</f>
        <v>x</v>
      </c>
      <c r="U2561" s="110" t="s">
        <v>541</v>
      </c>
      <c r="V2561" s="110" t="str">
        <f t="shared" si="84"/>
        <v>FWL</v>
      </c>
      <c r="W2561" s="110" t="s">
        <v>541</v>
      </c>
      <c r="X2561" s="110" t="s">
        <v>541</v>
      </c>
      <c r="Y2561" s="110" t="str">
        <f>IFERROR(VLOOKUP(F2561,'Freq-Chan'!C:E,3,FALSE),"na")</f>
        <v>na</v>
      </c>
      <c r="Z2561" s="110" t="s">
        <v>541</v>
      </c>
      <c r="AA2561" s="110" t="s">
        <v>541</v>
      </c>
      <c r="AB2561" s="110" t="s">
        <v>541</v>
      </c>
      <c r="AC2561" s="10" t="s">
        <v>541</v>
      </c>
      <c r="AD2561" s="10" t="s">
        <v>541</v>
      </c>
    </row>
    <row r="2562" spans="1:30" x14ac:dyDescent="0.2">
      <c r="A2562" s="110">
        <v>2562</v>
      </c>
      <c r="B2562" s="132">
        <v>41863</v>
      </c>
      <c r="C2562" s="117">
        <v>3</v>
      </c>
      <c r="D2562" s="103" t="s">
        <v>72</v>
      </c>
      <c r="E2562" s="103" t="s">
        <v>306</v>
      </c>
      <c r="F2562" s="103">
        <v>325</v>
      </c>
      <c r="G2562" s="103">
        <v>99</v>
      </c>
      <c r="H2562" s="103" t="s">
        <v>3546</v>
      </c>
      <c r="I2562" s="103">
        <v>47</v>
      </c>
      <c r="K2562" s="103" t="s">
        <v>365</v>
      </c>
      <c r="L2562" s="133"/>
      <c r="M2562" s="134">
        <v>3.9583333333333331E-2</v>
      </c>
      <c r="N2562" s="137" t="s">
        <v>1660</v>
      </c>
      <c r="O2562" s="133" t="s">
        <v>1538</v>
      </c>
      <c r="Q2562" s="100" t="s">
        <v>4189</v>
      </c>
      <c r="R2562" s="226" t="s">
        <v>4229</v>
      </c>
      <c r="S2562" s="491" t="str">
        <f t="shared" si="83"/>
        <v>x</v>
      </c>
      <c r="T2562" s="492">
        <f>IFERROR(VLOOKUP(F2562,'Freq-Chan'!C:D,2,FALSE),"x")</f>
        <v>151.32499999999999</v>
      </c>
      <c r="U2562" s="110" t="s">
        <v>541</v>
      </c>
      <c r="V2562" s="110" t="str">
        <f t="shared" si="84"/>
        <v>FWL</v>
      </c>
      <c r="W2562" s="110" t="s">
        <v>541</v>
      </c>
      <c r="X2562" s="110" t="s">
        <v>541</v>
      </c>
      <c r="Y2562" s="110" t="str">
        <f>IFERROR(VLOOKUP(F2562,'Freq-Chan'!C:E,3,FALSE),"na")</f>
        <v>F1840</v>
      </c>
      <c r="Z2562" s="110" t="s">
        <v>541</v>
      </c>
      <c r="AA2562" s="110" t="s">
        <v>541</v>
      </c>
      <c r="AB2562" s="110" t="s">
        <v>541</v>
      </c>
      <c r="AC2562" s="10" t="s">
        <v>541</v>
      </c>
      <c r="AD2562" s="10" t="s">
        <v>541</v>
      </c>
    </row>
    <row r="2563" spans="1:30" x14ac:dyDescent="0.2">
      <c r="A2563" s="110">
        <v>2563</v>
      </c>
      <c r="B2563" s="132">
        <v>41863</v>
      </c>
      <c r="C2563" s="117">
        <v>3</v>
      </c>
      <c r="D2563" s="103" t="s">
        <v>72</v>
      </c>
      <c r="E2563" s="103" t="s">
        <v>306</v>
      </c>
      <c r="F2563" s="103">
        <v>325</v>
      </c>
      <c r="G2563" s="103">
        <v>33</v>
      </c>
      <c r="H2563" s="103" t="s">
        <v>3547</v>
      </c>
      <c r="I2563" s="103">
        <v>52</v>
      </c>
      <c r="K2563" s="103" t="s">
        <v>1032</v>
      </c>
      <c r="L2563" s="133"/>
      <c r="M2563" s="134">
        <v>3.4722222222222224E-2</v>
      </c>
      <c r="N2563" s="137" t="s">
        <v>1578</v>
      </c>
      <c r="O2563" s="133" t="s">
        <v>555</v>
      </c>
      <c r="Q2563" s="100" t="s">
        <v>4190</v>
      </c>
      <c r="R2563" s="226" t="s">
        <v>4229</v>
      </c>
      <c r="S2563" s="491" t="str">
        <f t="shared" si="83"/>
        <v>x</v>
      </c>
      <c r="T2563" s="492">
        <f>IFERROR(VLOOKUP(F2563,'Freq-Chan'!C:D,2,FALSE),"x")</f>
        <v>151.32499999999999</v>
      </c>
      <c r="U2563" s="110" t="s">
        <v>541</v>
      </c>
      <c r="V2563" s="110" t="str">
        <f t="shared" si="84"/>
        <v>FWL</v>
      </c>
      <c r="W2563" s="110" t="s">
        <v>541</v>
      </c>
      <c r="X2563" s="110" t="s">
        <v>541</v>
      </c>
      <c r="Y2563" s="110" t="str">
        <f>IFERROR(VLOOKUP(F2563,'Freq-Chan'!C:E,3,FALSE),"na")</f>
        <v>F1840</v>
      </c>
      <c r="Z2563" s="110" t="s">
        <v>541</v>
      </c>
      <c r="AA2563" s="110" t="s">
        <v>541</v>
      </c>
      <c r="AB2563" s="110" t="s">
        <v>541</v>
      </c>
      <c r="AC2563" s="10" t="s">
        <v>541</v>
      </c>
      <c r="AD2563" s="10" t="s">
        <v>541</v>
      </c>
    </row>
    <row r="2564" spans="1:30" x14ac:dyDescent="0.2">
      <c r="A2564" s="110">
        <v>2564</v>
      </c>
      <c r="B2564" s="132">
        <v>41863</v>
      </c>
      <c r="C2564" s="117">
        <v>3</v>
      </c>
      <c r="D2564" s="103" t="s">
        <v>8</v>
      </c>
      <c r="E2564" s="103" t="s">
        <v>306</v>
      </c>
      <c r="F2564" s="103">
        <v>586</v>
      </c>
      <c r="G2564" s="103">
        <v>97</v>
      </c>
      <c r="H2564" s="103" t="s">
        <v>2257</v>
      </c>
      <c r="I2564" s="103">
        <v>47</v>
      </c>
      <c r="K2564" s="103" t="s">
        <v>364</v>
      </c>
      <c r="L2564" s="133"/>
      <c r="M2564" s="134">
        <v>4.0972222222222222E-2</v>
      </c>
      <c r="N2564" s="135" t="s">
        <v>3721</v>
      </c>
      <c r="O2564" s="133" t="s">
        <v>1663</v>
      </c>
      <c r="Q2564" s="100" t="s">
        <v>4190</v>
      </c>
      <c r="R2564" s="226" t="s">
        <v>4229</v>
      </c>
      <c r="S2564" s="491" t="str">
        <f t="shared" si="83"/>
        <v>x</v>
      </c>
      <c r="T2564" s="492">
        <f>IFERROR(VLOOKUP(F2564,'Freq-Chan'!C:D,2,FALSE),"x")</f>
        <v>151.58600000000001</v>
      </c>
      <c r="U2564" s="110" t="s">
        <v>541</v>
      </c>
      <c r="V2564" s="110" t="str">
        <f t="shared" si="84"/>
        <v>FWL</v>
      </c>
      <c r="W2564" s="110" t="s">
        <v>541</v>
      </c>
      <c r="X2564" s="110" t="s">
        <v>541</v>
      </c>
      <c r="Y2564" s="110" t="str">
        <f>IFERROR(VLOOKUP(F2564,'Freq-Chan'!C:E,3,FALSE),"na")</f>
        <v>F1840</v>
      </c>
      <c r="Z2564" s="110" t="s">
        <v>541</v>
      </c>
      <c r="AA2564" s="110" t="s">
        <v>541</v>
      </c>
      <c r="AB2564" s="110" t="s">
        <v>541</v>
      </c>
      <c r="AC2564" s="10" t="s">
        <v>541</v>
      </c>
      <c r="AD2564" s="10" t="s">
        <v>541</v>
      </c>
    </row>
    <row r="2565" spans="1:30" x14ac:dyDescent="0.2">
      <c r="A2565" s="110">
        <v>2565</v>
      </c>
      <c r="B2565" s="132">
        <v>41863</v>
      </c>
      <c r="C2565" s="117">
        <v>3</v>
      </c>
      <c r="D2565" s="103" t="s">
        <v>71</v>
      </c>
      <c r="E2565" s="103" t="s">
        <v>306</v>
      </c>
      <c r="H2565" s="103"/>
      <c r="I2565" s="103">
        <v>56</v>
      </c>
      <c r="K2565" s="103" t="s">
        <v>1032</v>
      </c>
      <c r="L2565" s="133"/>
      <c r="M2565" s="134">
        <v>1.5277777777777777E-2</v>
      </c>
      <c r="N2565" s="137" t="s">
        <v>1665</v>
      </c>
      <c r="O2565" s="133" t="s">
        <v>1663</v>
      </c>
      <c r="Q2565" s="100" t="s">
        <v>4190</v>
      </c>
      <c r="R2565" s="226" t="s">
        <v>4229</v>
      </c>
      <c r="S2565" s="491" t="str">
        <f t="shared" si="83"/>
        <v>x</v>
      </c>
      <c r="T2565" s="492" t="str">
        <f>IFERROR(VLOOKUP(F2565,'Freq-Chan'!C:D,2,FALSE),"x")</f>
        <v>x</v>
      </c>
      <c r="U2565" s="110" t="s">
        <v>541</v>
      </c>
      <c r="V2565" s="110" t="str">
        <f t="shared" si="84"/>
        <v>FWL</v>
      </c>
      <c r="W2565" s="110" t="s">
        <v>541</v>
      </c>
      <c r="X2565" s="110" t="s">
        <v>541</v>
      </c>
      <c r="Y2565" s="110" t="str">
        <f>IFERROR(VLOOKUP(F2565,'Freq-Chan'!C:E,3,FALSE),"na")</f>
        <v>na</v>
      </c>
      <c r="Z2565" s="110" t="s">
        <v>541</v>
      </c>
      <c r="AA2565" s="110" t="s">
        <v>541</v>
      </c>
      <c r="AB2565" s="110" t="s">
        <v>541</v>
      </c>
      <c r="AC2565" s="10" t="s">
        <v>541</v>
      </c>
      <c r="AD2565" s="10" t="s">
        <v>541</v>
      </c>
    </row>
    <row r="2566" spans="1:30" x14ac:dyDescent="0.2">
      <c r="A2566" s="110">
        <v>2566</v>
      </c>
      <c r="B2566" s="132">
        <v>41863</v>
      </c>
      <c r="C2566" s="117">
        <v>3</v>
      </c>
      <c r="D2566" s="103" t="s">
        <v>71</v>
      </c>
      <c r="E2566" s="103" t="s">
        <v>306</v>
      </c>
      <c r="H2566" s="103"/>
      <c r="I2566" s="103">
        <v>58</v>
      </c>
      <c r="K2566" s="103" t="s">
        <v>364</v>
      </c>
      <c r="L2566" s="133"/>
      <c r="M2566" s="134">
        <v>1.3194444444444444E-2</v>
      </c>
      <c r="N2566" s="135" t="s">
        <v>2541</v>
      </c>
      <c r="O2566" s="133" t="s">
        <v>1663</v>
      </c>
      <c r="Q2566" s="100" t="s">
        <v>4190</v>
      </c>
      <c r="R2566" s="226" t="s">
        <v>4229</v>
      </c>
      <c r="S2566" s="491" t="str">
        <f t="shared" si="83"/>
        <v>x</v>
      </c>
      <c r="T2566" s="492" t="str">
        <f>IFERROR(VLOOKUP(F2566,'Freq-Chan'!C:D,2,FALSE),"x")</f>
        <v>x</v>
      </c>
      <c r="U2566" s="110" t="s">
        <v>541</v>
      </c>
      <c r="V2566" s="110" t="str">
        <f t="shared" si="84"/>
        <v>FWL</v>
      </c>
      <c r="W2566" s="110" t="s">
        <v>541</v>
      </c>
      <c r="X2566" s="110" t="s">
        <v>541</v>
      </c>
      <c r="Y2566" s="110" t="str">
        <f>IFERROR(VLOOKUP(F2566,'Freq-Chan'!C:E,3,FALSE),"na")</f>
        <v>na</v>
      </c>
      <c r="Z2566" s="110" t="s">
        <v>541</v>
      </c>
      <c r="AA2566" s="110" t="s">
        <v>541</v>
      </c>
      <c r="AB2566" s="110" t="s">
        <v>541</v>
      </c>
      <c r="AC2566" s="10" t="s">
        <v>541</v>
      </c>
      <c r="AD2566" s="10" t="s">
        <v>541</v>
      </c>
    </row>
    <row r="2567" spans="1:30" x14ac:dyDescent="0.2">
      <c r="A2567" s="110">
        <v>2567</v>
      </c>
      <c r="B2567" s="132">
        <v>41863</v>
      </c>
      <c r="C2567" s="117">
        <v>3</v>
      </c>
      <c r="D2567" s="103" t="s">
        <v>75</v>
      </c>
      <c r="E2567" s="103" t="s">
        <v>798</v>
      </c>
      <c r="H2567" s="103"/>
      <c r="J2567" s="103">
        <v>23</v>
      </c>
      <c r="K2567" s="103" t="s">
        <v>364</v>
      </c>
      <c r="L2567" s="133"/>
      <c r="M2567" s="134">
        <v>1.5277777777777777E-2</v>
      </c>
      <c r="N2567" s="135" t="s">
        <v>3389</v>
      </c>
      <c r="O2567" s="133" t="s">
        <v>1663</v>
      </c>
      <c r="Q2567" s="100" t="s">
        <v>4190</v>
      </c>
      <c r="R2567" s="226" t="s">
        <v>4229</v>
      </c>
      <c r="S2567" s="491" t="str">
        <f t="shared" si="83"/>
        <v>x</v>
      </c>
      <c r="T2567" s="492" t="str">
        <f>IFERROR(VLOOKUP(F2567,'Freq-Chan'!C:D,2,FALSE),"x")</f>
        <v>x</v>
      </c>
      <c r="U2567" s="110" t="s">
        <v>541</v>
      </c>
      <c r="V2567" s="110" t="str">
        <f t="shared" si="84"/>
        <v>FWL</v>
      </c>
      <c r="W2567" s="110" t="s">
        <v>541</v>
      </c>
      <c r="X2567" s="110" t="s">
        <v>541</v>
      </c>
      <c r="Y2567" s="110" t="str">
        <f>IFERROR(VLOOKUP(F2567,'Freq-Chan'!C:E,3,FALSE),"na")</f>
        <v>na</v>
      </c>
      <c r="Z2567" s="110" t="s">
        <v>541</v>
      </c>
      <c r="AA2567" s="110" t="s">
        <v>541</v>
      </c>
      <c r="AB2567" s="110" t="s">
        <v>541</v>
      </c>
      <c r="AC2567" s="10" t="s">
        <v>541</v>
      </c>
      <c r="AD2567" s="10" t="s">
        <v>541</v>
      </c>
    </row>
    <row r="2568" spans="1:30" x14ac:dyDescent="0.2">
      <c r="A2568" s="110">
        <v>2568</v>
      </c>
      <c r="B2568" s="132">
        <v>41863</v>
      </c>
      <c r="C2568" s="117">
        <v>3</v>
      </c>
      <c r="D2568" s="103" t="s">
        <v>70</v>
      </c>
      <c r="E2568" s="103" t="s">
        <v>306</v>
      </c>
      <c r="F2568" s="103">
        <v>596</v>
      </c>
      <c r="G2568" s="103">
        <v>26</v>
      </c>
      <c r="H2568" s="103" t="s">
        <v>3125</v>
      </c>
      <c r="I2568" s="103">
        <v>44</v>
      </c>
      <c r="K2568" s="103" t="s">
        <v>365</v>
      </c>
      <c r="L2568" s="133"/>
      <c r="M2568" s="134">
        <v>3.125E-2</v>
      </c>
      <c r="N2568" s="137" t="s">
        <v>4201</v>
      </c>
      <c r="O2568" s="133" t="s">
        <v>555</v>
      </c>
      <c r="Q2568" s="100" t="s">
        <v>4190</v>
      </c>
      <c r="R2568" s="226" t="s">
        <v>4229</v>
      </c>
      <c r="S2568" s="491" t="str">
        <f t="shared" si="83"/>
        <v>x</v>
      </c>
      <c r="T2568" s="492">
        <f>IFERROR(VLOOKUP(F2568,'Freq-Chan'!C:D,2,FALSE),"x")</f>
        <v>151.596</v>
      </c>
      <c r="U2568" s="110" t="s">
        <v>541</v>
      </c>
      <c r="V2568" s="110" t="str">
        <f t="shared" si="84"/>
        <v>FWL</v>
      </c>
      <c r="W2568" s="110" t="s">
        <v>541</v>
      </c>
      <c r="X2568" s="110" t="s">
        <v>541</v>
      </c>
      <c r="Y2568" s="110" t="str">
        <f>IFERROR(VLOOKUP(F2568,'Freq-Chan'!C:E,3,FALSE),"na")</f>
        <v>F1835</v>
      </c>
      <c r="Z2568" s="110" t="s">
        <v>541</v>
      </c>
      <c r="AA2568" s="110" t="s">
        <v>541</v>
      </c>
      <c r="AB2568" s="110" t="s">
        <v>541</v>
      </c>
      <c r="AC2568" s="10" t="s">
        <v>541</v>
      </c>
      <c r="AD2568" s="10" t="s">
        <v>541</v>
      </c>
    </row>
    <row r="2569" spans="1:30" x14ac:dyDescent="0.2">
      <c r="A2569" s="110">
        <v>2569</v>
      </c>
      <c r="B2569" s="132">
        <v>41863</v>
      </c>
      <c r="C2569" s="117">
        <v>3</v>
      </c>
      <c r="D2569" s="103" t="s">
        <v>71</v>
      </c>
      <c r="E2569" s="103" t="s">
        <v>306</v>
      </c>
      <c r="F2569" s="103">
        <v>534</v>
      </c>
      <c r="G2569" s="103">
        <v>58</v>
      </c>
      <c r="H2569" s="103" t="s">
        <v>2439</v>
      </c>
      <c r="I2569" s="103">
        <v>54</v>
      </c>
      <c r="K2569" s="103" t="s">
        <v>364</v>
      </c>
      <c r="L2569" s="133"/>
      <c r="M2569" s="134">
        <v>4.1666666666666664E-2</v>
      </c>
      <c r="N2569" s="135" t="s">
        <v>1773</v>
      </c>
      <c r="O2569" s="133" t="s">
        <v>555</v>
      </c>
      <c r="Q2569" s="100" t="s">
        <v>4190</v>
      </c>
      <c r="R2569" s="226" t="s">
        <v>4229</v>
      </c>
      <c r="S2569" s="491" t="str">
        <f t="shared" si="83"/>
        <v>x</v>
      </c>
      <c r="T2569" s="492">
        <f>IFERROR(VLOOKUP(F2569,'Freq-Chan'!C:D,2,FALSE),"x")</f>
        <v>151.53399999999999</v>
      </c>
      <c r="U2569" s="110" t="s">
        <v>541</v>
      </c>
      <c r="V2569" s="110" t="str">
        <f t="shared" si="84"/>
        <v>FWL</v>
      </c>
      <c r="W2569" s="110" t="s">
        <v>541</v>
      </c>
      <c r="X2569" s="110" t="s">
        <v>541</v>
      </c>
      <c r="Y2569" s="110" t="str">
        <f>IFERROR(VLOOKUP(F2569,'Freq-Chan'!C:E,3,FALSE),"na")</f>
        <v>F1840</v>
      </c>
      <c r="Z2569" s="110" t="s">
        <v>541</v>
      </c>
      <c r="AA2569" s="110" t="s">
        <v>541</v>
      </c>
      <c r="AB2569" s="110" t="s">
        <v>541</v>
      </c>
      <c r="AC2569" s="10" t="s">
        <v>541</v>
      </c>
      <c r="AD2569" s="10" t="s">
        <v>541</v>
      </c>
    </row>
    <row r="2570" spans="1:30" x14ac:dyDescent="0.2">
      <c r="A2570" s="110">
        <v>2570</v>
      </c>
      <c r="B2570" s="132">
        <v>41863</v>
      </c>
      <c r="C2570" s="117">
        <v>3</v>
      </c>
      <c r="D2570" s="103" t="s">
        <v>8</v>
      </c>
      <c r="E2570" s="103" t="s">
        <v>306</v>
      </c>
      <c r="F2570" s="103">
        <v>586</v>
      </c>
      <c r="G2570" s="103">
        <v>14</v>
      </c>
      <c r="H2570" s="103" t="s">
        <v>2258</v>
      </c>
      <c r="I2570" s="103">
        <v>44</v>
      </c>
      <c r="K2570" s="103" t="s">
        <v>364</v>
      </c>
      <c r="L2570" s="133"/>
      <c r="M2570" s="134">
        <v>4.2361111111111106E-2</v>
      </c>
      <c r="N2570" s="135" t="s">
        <v>307</v>
      </c>
      <c r="O2570" s="133" t="s">
        <v>555</v>
      </c>
      <c r="Q2570" s="100" t="s">
        <v>4190</v>
      </c>
      <c r="R2570" s="226" t="s">
        <v>4229</v>
      </c>
      <c r="S2570" s="491" t="str">
        <f t="shared" si="83"/>
        <v>x</v>
      </c>
      <c r="T2570" s="492">
        <f>IFERROR(VLOOKUP(F2570,'Freq-Chan'!C:D,2,FALSE),"x")</f>
        <v>151.58600000000001</v>
      </c>
      <c r="U2570" s="110" t="s">
        <v>541</v>
      </c>
      <c r="V2570" s="110" t="str">
        <f t="shared" si="84"/>
        <v>FWL</v>
      </c>
      <c r="W2570" s="110" t="s">
        <v>541</v>
      </c>
      <c r="X2570" s="110" t="s">
        <v>541</v>
      </c>
      <c r="Y2570" s="110" t="str">
        <f>IFERROR(VLOOKUP(F2570,'Freq-Chan'!C:E,3,FALSE),"na")</f>
        <v>F1840</v>
      </c>
      <c r="Z2570" s="110" t="s">
        <v>541</v>
      </c>
      <c r="AA2570" s="110" t="s">
        <v>541</v>
      </c>
      <c r="AB2570" s="110" t="s">
        <v>541</v>
      </c>
      <c r="AC2570" s="10" t="s">
        <v>541</v>
      </c>
      <c r="AD2570" s="10" t="s">
        <v>541</v>
      </c>
    </row>
    <row r="2571" spans="1:30" s="291" customFormat="1" x14ac:dyDescent="0.2">
      <c r="A2571" s="493">
        <v>2571</v>
      </c>
      <c r="B2571" s="283">
        <v>41863</v>
      </c>
      <c r="C2571" s="284">
        <v>3</v>
      </c>
      <c r="D2571" s="285" t="s">
        <v>72</v>
      </c>
      <c r="E2571" s="285" t="s">
        <v>306</v>
      </c>
      <c r="F2571" s="285">
        <v>325</v>
      </c>
      <c r="G2571" s="285">
        <v>22</v>
      </c>
      <c r="H2571" s="285" t="s">
        <v>3570</v>
      </c>
      <c r="I2571" s="285">
        <v>49</v>
      </c>
      <c r="J2571" s="285"/>
      <c r="K2571" s="285" t="s">
        <v>364</v>
      </c>
      <c r="L2571" s="286"/>
      <c r="M2571" s="287">
        <v>3.4722222222222224E-2</v>
      </c>
      <c r="N2571" s="339" t="s">
        <v>3242</v>
      </c>
      <c r="O2571" s="286" t="s">
        <v>555</v>
      </c>
      <c r="P2571" s="289"/>
      <c r="Q2571" s="289" t="s">
        <v>4190</v>
      </c>
      <c r="R2571" s="290" t="s">
        <v>4229</v>
      </c>
      <c r="S2571" s="494" t="str">
        <f t="shared" si="83"/>
        <v>x</v>
      </c>
      <c r="T2571" s="495">
        <f>IFERROR(VLOOKUP(F2571,'Freq-Chan'!C:D,2,FALSE),"x")</f>
        <v>151.32499999999999</v>
      </c>
      <c r="U2571" s="493" t="s">
        <v>541</v>
      </c>
      <c r="V2571" s="493" t="str">
        <f t="shared" si="84"/>
        <v>FWL</v>
      </c>
      <c r="W2571" s="493" t="s">
        <v>541</v>
      </c>
      <c r="X2571" s="493" t="s">
        <v>541</v>
      </c>
      <c r="Y2571" s="493" t="str">
        <f>IFERROR(VLOOKUP(F2571,'Freq-Chan'!C:E,3,FALSE),"na")</f>
        <v>F1840</v>
      </c>
      <c r="Z2571" s="493" t="s">
        <v>541</v>
      </c>
      <c r="AA2571" s="493" t="s">
        <v>541</v>
      </c>
      <c r="AB2571" s="493" t="s">
        <v>541</v>
      </c>
      <c r="AC2571" s="291" t="s">
        <v>541</v>
      </c>
      <c r="AD2571" s="291" t="s">
        <v>541</v>
      </c>
    </row>
    <row r="2572" spans="1:30" x14ac:dyDescent="0.2">
      <c r="A2572" s="110">
        <v>2572</v>
      </c>
      <c r="B2572" s="132">
        <v>41864</v>
      </c>
      <c r="C2572" s="117">
        <v>1</v>
      </c>
      <c r="D2572" s="103" t="s">
        <v>70</v>
      </c>
      <c r="E2572" s="103" t="s">
        <v>306</v>
      </c>
      <c r="F2572" s="103">
        <v>515</v>
      </c>
      <c r="G2572" s="103">
        <v>56</v>
      </c>
      <c r="H2572" s="103" t="s">
        <v>3132</v>
      </c>
      <c r="I2572" s="103">
        <v>42</v>
      </c>
      <c r="K2572" s="103" t="s">
        <v>1032</v>
      </c>
      <c r="L2572" s="133"/>
      <c r="M2572" s="134">
        <v>3.8194444444444441E-2</v>
      </c>
      <c r="N2572" s="137" t="s">
        <v>3399</v>
      </c>
      <c r="O2572" s="133" t="s">
        <v>1663</v>
      </c>
      <c r="Q2572" s="100" t="s">
        <v>4213</v>
      </c>
      <c r="R2572" s="226" t="s">
        <v>4214</v>
      </c>
      <c r="S2572" s="491" t="str">
        <f t="shared" si="83"/>
        <v>x</v>
      </c>
      <c r="T2572" s="492">
        <f>IFERROR(VLOOKUP(F2572,'Freq-Chan'!C:D,2,FALSE),"x")</f>
        <v>151.51499999999999</v>
      </c>
      <c r="U2572" s="110" t="s">
        <v>541</v>
      </c>
      <c r="V2572" s="110" t="str">
        <f t="shared" si="84"/>
        <v>FWL</v>
      </c>
      <c r="W2572" s="110" t="s">
        <v>541</v>
      </c>
      <c r="X2572" s="110" t="s">
        <v>541</v>
      </c>
      <c r="Y2572" s="110" t="str">
        <f>IFERROR(VLOOKUP(F2572,'Freq-Chan'!C:E,3,FALSE),"na")</f>
        <v>F1835</v>
      </c>
      <c r="Z2572" s="110" t="s">
        <v>541</v>
      </c>
      <c r="AA2572" s="110" t="s">
        <v>541</v>
      </c>
      <c r="AB2572" s="110" t="s">
        <v>541</v>
      </c>
      <c r="AC2572" s="10" t="s">
        <v>541</v>
      </c>
      <c r="AD2572" s="10" t="s">
        <v>541</v>
      </c>
    </row>
    <row r="2573" spans="1:30" x14ac:dyDescent="0.2">
      <c r="A2573" s="110">
        <v>2573</v>
      </c>
      <c r="B2573" s="132">
        <v>41864</v>
      </c>
      <c r="C2573" s="117">
        <v>1</v>
      </c>
      <c r="D2573" s="103" t="s">
        <v>71</v>
      </c>
      <c r="E2573" s="103" t="s">
        <v>306</v>
      </c>
      <c r="F2573" s="103">
        <v>534</v>
      </c>
      <c r="G2573" s="103">
        <v>54</v>
      </c>
      <c r="H2573" s="103" t="s">
        <v>2446</v>
      </c>
      <c r="I2573" s="103">
        <v>57</v>
      </c>
      <c r="K2573" s="103" t="s">
        <v>1032</v>
      </c>
      <c r="L2573" s="133"/>
      <c r="M2573" s="134">
        <v>4.5833333333333337E-2</v>
      </c>
      <c r="N2573" s="135" t="s">
        <v>839</v>
      </c>
      <c r="O2573" s="133" t="s">
        <v>1663</v>
      </c>
      <c r="Q2573" s="100" t="s">
        <v>4213</v>
      </c>
      <c r="R2573" s="226" t="s">
        <v>4214</v>
      </c>
      <c r="S2573" s="491" t="str">
        <f t="shared" si="83"/>
        <v>x</v>
      </c>
      <c r="T2573" s="492">
        <f>IFERROR(VLOOKUP(F2573,'Freq-Chan'!C:D,2,FALSE),"x")</f>
        <v>151.53399999999999</v>
      </c>
      <c r="U2573" s="110" t="s">
        <v>541</v>
      </c>
      <c r="V2573" s="110" t="str">
        <f t="shared" si="84"/>
        <v>FWL</v>
      </c>
      <c r="W2573" s="110" t="s">
        <v>541</v>
      </c>
      <c r="X2573" s="110" t="s">
        <v>541</v>
      </c>
      <c r="Y2573" s="110" t="str">
        <f>IFERROR(VLOOKUP(F2573,'Freq-Chan'!C:E,3,FALSE),"na")</f>
        <v>F1840</v>
      </c>
      <c r="Z2573" s="110" t="s">
        <v>541</v>
      </c>
      <c r="AA2573" s="110" t="s">
        <v>541</v>
      </c>
      <c r="AB2573" s="110" t="s">
        <v>541</v>
      </c>
      <c r="AC2573" s="10" t="s">
        <v>541</v>
      </c>
      <c r="AD2573" s="10" t="s">
        <v>541</v>
      </c>
    </row>
    <row r="2574" spans="1:30" x14ac:dyDescent="0.2">
      <c r="A2574" s="110">
        <v>2574</v>
      </c>
      <c r="B2574" s="132">
        <v>41864</v>
      </c>
      <c r="C2574" s="117">
        <v>1</v>
      </c>
      <c r="D2574" s="103" t="s">
        <v>71</v>
      </c>
      <c r="E2574" s="103" t="s">
        <v>306</v>
      </c>
      <c r="H2574" s="103"/>
      <c r="I2574" s="103">
        <v>62</v>
      </c>
      <c r="K2574" s="103" t="s">
        <v>1032</v>
      </c>
      <c r="L2574" s="133"/>
      <c r="M2574" s="134">
        <v>1.5972222222222224E-2</v>
      </c>
      <c r="N2574" s="135" t="s">
        <v>3400</v>
      </c>
      <c r="O2574" s="133" t="s">
        <v>1663</v>
      </c>
      <c r="Q2574" s="100" t="s">
        <v>4213</v>
      </c>
      <c r="R2574" s="226" t="s">
        <v>4214</v>
      </c>
      <c r="S2574" s="491" t="str">
        <f t="shared" si="83"/>
        <v>x</v>
      </c>
      <c r="T2574" s="492" t="str">
        <f>IFERROR(VLOOKUP(F2574,'Freq-Chan'!C:D,2,FALSE),"x")</f>
        <v>x</v>
      </c>
      <c r="U2574" s="110" t="s">
        <v>541</v>
      </c>
      <c r="V2574" s="110" t="str">
        <f t="shared" si="84"/>
        <v>FWL</v>
      </c>
      <c r="W2574" s="110" t="s">
        <v>541</v>
      </c>
      <c r="X2574" s="110" t="s">
        <v>541</v>
      </c>
      <c r="Y2574" s="110" t="str">
        <f>IFERROR(VLOOKUP(F2574,'Freq-Chan'!C:E,3,FALSE),"na")</f>
        <v>na</v>
      </c>
      <c r="Z2574" s="110" t="s">
        <v>541</v>
      </c>
      <c r="AA2574" s="110" t="s">
        <v>541</v>
      </c>
      <c r="AB2574" s="110" t="s">
        <v>541</v>
      </c>
      <c r="AC2574" s="10" t="s">
        <v>541</v>
      </c>
      <c r="AD2574" s="10" t="s">
        <v>541</v>
      </c>
    </row>
    <row r="2575" spans="1:30" x14ac:dyDescent="0.2">
      <c r="A2575" s="110">
        <v>2575</v>
      </c>
      <c r="B2575" s="132">
        <v>41864</v>
      </c>
      <c r="C2575" s="117">
        <v>1</v>
      </c>
      <c r="D2575" s="103" t="s">
        <v>70</v>
      </c>
      <c r="E2575" s="103" t="s">
        <v>306</v>
      </c>
      <c r="H2575" s="103"/>
      <c r="I2575" s="103">
        <v>46</v>
      </c>
      <c r="K2575" s="103" t="s">
        <v>365</v>
      </c>
      <c r="L2575" s="133"/>
      <c r="M2575" s="134">
        <v>1.5972222222222224E-2</v>
      </c>
      <c r="N2575" s="137" t="s">
        <v>3355</v>
      </c>
      <c r="O2575" s="133" t="s">
        <v>1585</v>
      </c>
      <c r="Q2575" s="100" t="s">
        <v>4213</v>
      </c>
      <c r="R2575" s="226" t="s">
        <v>4214</v>
      </c>
      <c r="S2575" s="491" t="str">
        <f t="shared" si="83"/>
        <v>x</v>
      </c>
      <c r="T2575" s="492" t="str">
        <f>IFERROR(VLOOKUP(F2575,'Freq-Chan'!C:D,2,FALSE),"x")</f>
        <v>x</v>
      </c>
      <c r="U2575" s="110" t="s">
        <v>541</v>
      </c>
      <c r="V2575" s="110" t="str">
        <f t="shared" si="84"/>
        <v>FWL</v>
      </c>
      <c r="W2575" s="110" t="s">
        <v>541</v>
      </c>
      <c r="X2575" s="110" t="s">
        <v>541</v>
      </c>
      <c r="Y2575" s="110" t="str">
        <f>IFERROR(VLOOKUP(F2575,'Freq-Chan'!C:E,3,FALSE),"na")</f>
        <v>na</v>
      </c>
      <c r="Z2575" s="110" t="s">
        <v>541</v>
      </c>
      <c r="AA2575" s="110" t="s">
        <v>541</v>
      </c>
      <c r="AB2575" s="110" t="s">
        <v>541</v>
      </c>
      <c r="AC2575" s="10" t="s">
        <v>541</v>
      </c>
      <c r="AD2575" s="10" t="s">
        <v>541</v>
      </c>
    </row>
    <row r="2576" spans="1:30" x14ac:dyDescent="0.2">
      <c r="A2576" s="110">
        <v>2576</v>
      </c>
      <c r="B2576" s="132">
        <v>41864</v>
      </c>
      <c r="C2576" s="117">
        <v>1</v>
      </c>
      <c r="D2576" s="103" t="s">
        <v>70</v>
      </c>
      <c r="E2576" s="103" t="s">
        <v>306</v>
      </c>
      <c r="H2576" s="103"/>
      <c r="I2576" s="103">
        <v>46</v>
      </c>
      <c r="K2576" s="103" t="s">
        <v>365</v>
      </c>
      <c r="L2576" s="133"/>
      <c r="M2576" s="134">
        <v>1.4583333333333332E-2</v>
      </c>
      <c r="N2576" s="135" t="s">
        <v>1783</v>
      </c>
      <c r="O2576" s="133" t="s">
        <v>1663</v>
      </c>
      <c r="Q2576" s="100" t="s">
        <v>4213</v>
      </c>
      <c r="R2576" s="226" t="s">
        <v>4214</v>
      </c>
      <c r="S2576" s="491" t="str">
        <f t="shared" si="83"/>
        <v>x</v>
      </c>
      <c r="T2576" s="492" t="str">
        <f>IFERROR(VLOOKUP(F2576,'Freq-Chan'!C:D,2,FALSE),"x")</f>
        <v>x</v>
      </c>
      <c r="U2576" s="110" t="s">
        <v>541</v>
      </c>
      <c r="V2576" s="110" t="str">
        <f t="shared" si="84"/>
        <v>FWL</v>
      </c>
      <c r="W2576" s="110" t="s">
        <v>541</v>
      </c>
      <c r="X2576" s="110" t="s">
        <v>541</v>
      </c>
      <c r="Y2576" s="110" t="str">
        <f>IFERROR(VLOOKUP(F2576,'Freq-Chan'!C:E,3,FALSE),"na")</f>
        <v>na</v>
      </c>
      <c r="Z2576" s="110" t="s">
        <v>541</v>
      </c>
      <c r="AA2576" s="110" t="s">
        <v>541</v>
      </c>
      <c r="AB2576" s="110" t="s">
        <v>541</v>
      </c>
      <c r="AC2576" s="10" t="s">
        <v>541</v>
      </c>
      <c r="AD2576" s="10" t="s">
        <v>541</v>
      </c>
    </row>
    <row r="2577" spans="1:30" x14ac:dyDescent="0.2">
      <c r="A2577" s="110">
        <v>2577</v>
      </c>
      <c r="B2577" s="132">
        <v>41864</v>
      </c>
      <c r="C2577" s="117">
        <v>1</v>
      </c>
      <c r="D2577" s="103" t="s">
        <v>71</v>
      </c>
      <c r="E2577" s="103" t="s">
        <v>306</v>
      </c>
      <c r="H2577" s="103"/>
      <c r="I2577" s="103">
        <v>50</v>
      </c>
      <c r="K2577" s="103" t="s">
        <v>364</v>
      </c>
      <c r="L2577" s="133"/>
      <c r="M2577" s="134">
        <v>2.2916666666666669E-2</v>
      </c>
      <c r="N2577" s="135" t="s">
        <v>3425</v>
      </c>
      <c r="O2577" s="133" t="s">
        <v>1663</v>
      </c>
      <c r="Q2577" s="100" t="s">
        <v>4213</v>
      </c>
      <c r="R2577" s="226" t="s">
        <v>4214</v>
      </c>
      <c r="S2577" s="491" t="str">
        <f t="shared" si="83"/>
        <v>x</v>
      </c>
      <c r="T2577" s="492" t="str">
        <f>IFERROR(VLOOKUP(F2577,'Freq-Chan'!C:D,2,FALSE),"x")</f>
        <v>x</v>
      </c>
      <c r="U2577" s="110" t="s">
        <v>541</v>
      </c>
      <c r="V2577" s="110" t="str">
        <f t="shared" si="84"/>
        <v>FWL</v>
      </c>
      <c r="W2577" s="110" t="s">
        <v>541</v>
      </c>
      <c r="X2577" s="110" t="s">
        <v>541</v>
      </c>
      <c r="Y2577" s="110" t="str">
        <f>IFERROR(VLOOKUP(F2577,'Freq-Chan'!C:E,3,FALSE),"na")</f>
        <v>na</v>
      </c>
      <c r="Z2577" s="110" t="s">
        <v>541</v>
      </c>
      <c r="AA2577" s="110" t="s">
        <v>541</v>
      </c>
      <c r="AB2577" s="110" t="s">
        <v>541</v>
      </c>
      <c r="AC2577" s="10" t="s">
        <v>541</v>
      </c>
      <c r="AD2577" s="10" t="s">
        <v>541</v>
      </c>
    </row>
    <row r="2578" spans="1:30" x14ac:dyDescent="0.2">
      <c r="A2578" s="110">
        <v>2578</v>
      </c>
      <c r="B2578" s="132">
        <v>41864</v>
      </c>
      <c r="C2578" s="117">
        <v>1</v>
      </c>
      <c r="D2578" s="103" t="s">
        <v>71</v>
      </c>
      <c r="E2578" s="103" t="s">
        <v>306</v>
      </c>
      <c r="H2578" s="103"/>
      <c r="I2578" s="103">
        <v>56</v>
      </c>
      <c r="K2578" s="103" t="s">
        <v>1032</v>
      </c>
      <c r="L2578" s="133"/>
      <c r="M2578" s="134">
        <v>1.5277777777777777E-2</v>
      </c>
      <c r="N2578" s="137" t="s">
        <v>1909</v>
      </c>
      <c r="O2578" s="133" t="s">
        <v>1538</v>
      </c>
      <c r="Q2578" s="100" t="s">
        <v>4229</v>
      </c>
      <c r="R2578" s="226" t="s">
        <v>4214</v>
      </c>
      <c r="S2578" s="491" t="str">
        <f t="shared" si="83"/>
        <v>x</v>
      </c>
      <c r="T2578" s="492" t="str">
        <f>IFERROR(VLOOKUP(F2578,'Freq-Chan'!C:D,2,FALSE),"x")</f>
        <v>x</v>
      </c>
      <c r="U2578" s="110" t="s">
        <v>541</v>
      </c>
      <c r="V2578" s="110" t="str">
        <f t="shared" si="84"/>
        <v>FWL</v>
      </c>
      <c r="W2578" s="110" t="s">
        <v>541</v>
      </c>
      <c r="X2578" s="110" t="s">
        <v>541</v>
      </c>
      <c r="Y2578" s="110" t="str">
        <f>IFERROR(VLOOKUP(F2578,'Freq-Chan'!C:E,3,FALSE),"na")</f>
        <v>na</v>
      </c>
      <c r="Z2578" s="110" t="s">
        <v>541</v>
      </c>
      <c r="AA2578" s="110" t="s">
        <v>541</v>
      </c>
      <c r="AB2578" s="110" t="s">
        <v>541</v>
      </c>
      <c r="AC2578" s="10" t="s">
        <v>541</v>
      </c>
      <c r="AD2578" s="10" t="s">
        <v>541</v>
      </c>
    </row>
    <row r="2579" spans="1:30" x14ac:dyDescent="0.2">
      <c r="A2579" s="110">
        <v>2579</v>
      </c>
      <c r="B2579" s="132">
        <v>41864</v>
      </c>
      <c r="C2579" s="117">
        <v>1</v>
      </c>
      <c r="D2579" s="103" t="s">
        <v>71</v>
      </c>
      <c r="E2579" s="103" t="s">
        <v>306</v>
      </c>
      <c r="H2579" s="103"/>
      <c r="I2579" s="103">
        <v>60</v>
      </c>
      <c r="K2579" s="103" t="s">
        <v>364</v>
      </c>
      <c r="L2579" s="133"/>
      <c r="M2579" s="134">
        <v>1.8749999999999999E-2</v>
      </c>
      <c r="N2579" s="135" t="s">
        <v>1654</v>
      </c>
      <c r="O2579" s="133" t="s">
        <v>1538</v>
      </c>
      <c r="Q2579" s="100" t="s">
        <v>4229</v>
      </c>
      <c r="R2579" s="226" t="s">
        <v>4214</v>
      </c>
      <c r="S2579" s="491" t="str">
        <f t="shared" si="83"/>
        <v>x</v>
      </c>
      <c r="T2579" s="492" t="str">
        <f>IFERROR(VLOOKUP(F2579,'Freq-Chan'!C:D,2,FALSE),"x")</f>
        <v>x</v>
      </c>
      <c r="U2579" s="110" t="s">
        <v>541</v>
      </c>
      <c r="V2579" s="110" t="str">
        <f t="shared" si="84"/>
        <v>FWL</v>
      </c>
      <c r="W2579" s="110" t="s">
        <v>541</v>
      </c>
      <c r="X2579" s="110" t="s">
        <v>541</v>
      </c>
      <c r="Y2579" s="110" t="str">
        <f>IFERROR(VLOOKUP(F2579,'Freq-Chan'!C:E,3,FALSE),"na")</f>
        <v>na</v>
      </c>
      <c r="Z2579" s="110" t="s">
        <v>541</v>
      </c>
      <c r="AA2579" s="110" t="s">
        <v>541</v>
      </c>
      <c r="AB2579" s="110" t="s">
        <v>541</v>
      </c>
      <c r="AC2579" s="10" t="s">
        <v>541</v>
      </c>
      <c r="AD2579" s="10" t="s">
        <v>541</v>
      </c>
    </row>
    <row r="2580" spans="1:30" x14ac:dyDescent="0.2">
      <c r="A2580" s="110">
        <v>2580</v>
      </c>
      <c r="B2580" s="132">
        <v>41864</v>
      </c>
      <c r="C2580" s="117">
        <v>1</v>
      </c>
      <c r="D2580" s="103" t="s">
        <v>70</v>
      </c>
      <c r="E2580" s="103" t="s">
        <v>306</v>
      </c>
      <c r="H2580" s="103"/>
      <c r="I2580" s="103">
        <v>46</v>
      </c>
      <c r="K2580" s="103" t="s">
        <v>365</v>
      </c>
      <c r="L2580" s="133"/>
      <c r="M2580" s="134">
        <v>1.5277777777777777E-2</v>
      </c>
      <c r="N2580" s="135" t="s">
        <v>2048</v>
      </c>
      <c r="O2580" s="133" t="s">
        <v>1538</v>
      </c>
      <c r="Q2580" s="100" t="s">
        <v>4229</v>
      </c>
      <c r="R2580" s="226" t="s">
        <v>4214</v>
      </c>
      <c r="S2580" s="491" t="str">
        <f t="shared" si="83"/>
        <v>x</v>
      </c>
      <c r="T2580" s="492" t="str">
        <f>IFERROR(VLOOKUP(F2580,'Freq-Chan'!C:D,2,FALSE),"x")</f>
        <v>x</v>
      </c>
      <c r="U2580" s="110" t="s">
        <v>541</v>
      </c>
      <c r="V2580" s="110" t="str">
        <f t="shared" si="84"/>
        <v>FWL</v>
      </c>
      <c r="W2580" s="110" t="s">
        <v>541</v>
      </c>
      <c r="X2580" s="110" t="s">
        <v>541</v>
      </c>
      <c r="Y2580" s="110" t="str">
        <f>IFERROR(VLOOKUP(F2580,'Freq-Chan'!C:E,3,FALSE),"na")</f>
        <v>na</v>
      </c>
      <c r="Z2580" s="110" t="s">
        <v>541</v>
      </c>
      <c r="AA2580" s="110" t="s">
        <v>541</v>
      </c>
      <c r="AB2580" s="110" t="s">
        <v>541</v>
      </c>
      <c r="AC2580" s="10" t="s">
        <v>541</v>
      </c>
      <c r="AD2580" s="10" t="s">
        <v>541</v>
      </c>
    </row>
    <row r="2581" spans="1:30" x14ac:dyDescent="0.2">
      <c r="A2581" s="110">
        <v>2581</v>
      </c>
      <c r="B2581" s="132">
        <v>41864</v>
      </c>
      <c r="C2581" s="117">
        <v>1</v>
      </c>
      <c r="D2581" s="103" t="s">
        <v>71</v>
      </c>
      <c r="E2581" s="103" t="s">
        <v>306</v>
      </c>
      <c r="H2581" s="103"/>
      <c r="I2581" s="103">
        <v>62</v>
      </c>
      <c r="K2581" s="103" t="s">
        <v>365</v>
      </c>
      <c r="L2581" s="133"/>
      <c r="M2581" s="134">
        <v>1.5972222222222224E-2</v>
      </c>
      <c r="N2581" s="135" t="s">
        <v>3904</v>
      </c>
      <c r="O2581" s="133" t="s">
        <v>1538</v>
      </c>
      <c r="Q2581" s="100" t="s">
        <v>4229</v>
      </c>
      <c r="R2581" s="226" t="s">
        <v>4214</v>
      </c>
      <c r="S2581" s="491" t="str">
        <f t="shared" si="83"/>
        <v>x</v>
      </c>
      <c r="T2581" s="492" t="str">
        <f>IFERROR(VLOOKUP(F2581,'Freq-Chan'!C:D,2,FALSE),"x")</f>
        <v>x</v>
      </c>
      <c r="U2581" s="110" t="s">
        <v>541</v>
      </c>
      <c r="V2581" s="110" t="str">
        <f t="shared" si="84"/>
        <v>FWL</v>
      </c>
      <c r="W2581" s="110" t="s">
        <v>541</v>
      </c>
      <c r="X2581" s="110" t="s">
        <v>541</v>
      </c>
      <c r="Y2581" s="110" t="str">
        <f>IFERROR(VLOOKUP(F2581,'Freq-Chan'!C:E,3,FALSE),"na")</f>
        <v>na</v>
      </c>
      <c r="Z2581" s="110" t="s">
        <v>541</v>
      </c>
      <c r="AA2581" s="110" t="s">
        <v>541</v>
      </c>
      <c r="AB2581" s="110" t="s">
        <v>541</v>
      </c>
      <c r="AC2581" s="10" t="s">
        <v>541</v>
      </c>
      <c r="AD2581" s="10" t="s">
        <v>541</v>
      </c>
    </row>
    <row r="2582" spans="1:30" x14ac:dyDescent="0.2">
      <c r="A2582" s="110">
        <v>2582</v>
      </c>
      <c r="B2582" s="132">
        <v>41864</v>
      </c>
      <c r="C2582" s="117">
        <v>1</v>
      </c>
      <c r="D2582" s="103" t="s">
        <v>71</v>
      </c>
      <c r="E2582" s="103" t="s">
        <v>306</v>
      </c>
      <c r="H2582" s="103"/>
      <c r="I2582" s="103">
        <v>52</v>
      </c>
      <c r="K2582" s="103" t="s">
        <v>1032</v>
      </c>
      <c r="L2582" s="133"/>
      <c r="M2582" s="134">
        <v>2.2916666666666669E-2</v>
      </c>
      <c r="N2582" s="137" t="s">
        <v>2773</v>
      </c>
      <c r="O2582" s="133" t="s">
        <v>1888</v>
      </c>
      <c r="Q2582" s="100" t="s">
        <v>4229</v>
      </c>
      <c r="R2582" s="226" t="s">
        <v>4214</v>
      </c>
      <c r="S2582" s="491" t="str">
        <f t="shared" si="83"/>
        <v>x</v>
      </c>
      <c r="T2582" s="492" t="str">
        <f>IFERROR(VLOOKUP(F2582,'Freq-Chan'!C:D,2,FALSE),"x")</f>
        <v>x</v>
      </c>
      <c r="U2582" s="110" t="s">
        <v>541</v>
      </c>
      <c r="V2582" s="110" t="str">
        <f t="shared" si="84"/>
        <v>FWL</v>
      </c>
      <c r="W2582" s="110" t="s">
        <v>541</v>
      </c>
      <c r="X2582" s="110" t="s">
        <v>541</v>
      </c>
      <c r="Y2582" s="110" t="str">
        <f>IFERROR(VLOOKUP(F2582,'Freq-Chan'!C:E,3,FALSE),"na")</f>
        <v>na</v>
      </c>
      <c r="Z2582" s="110" t="s">
        <v>541</v>
      </c>
      <c r="AA2582" s="110" t="s">
        <v>541</v>
      </c>
      <c r="AB2582" s="110" t="s">
        <v>541</v>
      </c>
      <c r="AC2582" s="10" t="s">
        <v>541</v>
      </c>
      <c r="AD2582" s="10" t="s">
        <v>541</v>
      </c>
    </row>
    <row r="2583" spans="1:30" x14ac:dyDescent="0.2">
      <c r="A2583" s="110">
        <v>2583</v>
      </c>
      <c r="B2583" s="132">
        <v>41864</v>
      </c>
      <c r="C2583" s="117">
        <v>1</v>
      </c>
      <c r="D2583" s="103" t="s">
        <v>70</v>
      </c>
      <c r="E2583" s="103" t="s">
        <v>306</v>
      </c>
      <c r="H2583" s="103"/>
      <c r="I2583" s="103">
        <v>45</v>
      </c>
      <c r="K2583" s="103" t="s">
        <v>365</v>
      </c>
      <c r="L2583" s="133"/>
      <c r="M2583" s="134">
        <v>1.8749999999999999E-2</v>
      </c>
      <c r="N2583" s="135" t="s">
        <v>3176</v>
      </c>
      <c r="O2583" s="133" t="s">
        <v>1888</v>
      </c>
      <c r="Q2583" s="100" t="s">
        <v>4229</v>
      </c>
      <c r="R2583" s="226" t="s">
        <v>4214</v>
      </c>
      <c r="S2583" s="491" t="str">
        <f t="shared" si="83"/>
        <v>x</v>
      </c>
      <c r="T2583" s="492" t="str">
        <f>IFERROR(VLOOKUP(F2583,'Freq-Chan'!C:D,2,FALSE),"x")</f>
        <v>x</v>
      </c>
      <c r="U2583" s="110" t="s">
        <v>541</v>
      </c>
      <c r="V2583" s="110" t="str">
        <f t="shared" si="84"/>
        <v>FWL</v>
      </c>
      <c r="W2583" s="110" t="s">
        <v>541</v>
      </c>
      <c r="X2583" s="110" t="s">
        <v>541</v>
      </c>
      <c r="Y2583" s="110" t="str">
        <f>IFERROR(VLOOKUP(F2583,'Freq-Chan'!C:E,3,FALSE),"na")</f>
        <v>na</v>
      </c>
      <c r="Z2583" s="110" t="s">
        <v>541</v>
      </c>
      <c r="AA2583" s="110" t="s">
        <v>541</v>
      </c>
      <c r="AB2583" s="110" t="s">
        <v>541</v>
      </c>
      <c r="AC2583" s="10" t="s">
        <v>541</v>
      </c>
      <c r="AD2583" s="10" t="s">
        <v>541</v>
      </c>
    </row>
    <row r="2584" spans="1:30" x14ac:dyDescent="0.2">
      <c r="A2584" s="110">
        <v>2584</v>
      </c>
      <c r="B2584" s="132">
        <v>41864</v>
      </c>
      <c r="C2584" s="117">
        <v>1</v>
      </c>
      <c r="D2584" s="103" t="s">
        <v>70</v>
      </c>
      <c r="E2584" s="103" t="s">
        <v>306</v>
      </c>
      <c r="H2584" s="103"/>
      <c r="I2584" s="103">
        <v>46</v>
      </c>
      <c r="K2584" s="103" t="s">
        <v>365</v>
      </c>
      <c r="L2584" s="133"/>
      <c r="M2584" s="134">
        <v>2.6388888888888889E-2</v>
      </c>
      <c r="N2584" s="135" t="s">
        <v>766</v>
      </c>
      <c r="O2584" s="133" t="s">
        <v>1888</v>
      </c>
      <c r="Q2584" s="100" t="s">
        <v>4229</v>
      </c>
      <c r="R2584" s="226" t="s">
        <v>4214</v>
      </c>
      <c r="S2584" s="491" t="str">
        <f t="shared" si="83"/>
        <v>x</v>
      </c>
      <c r="T2584" s="492" t="str">
        <f>IFERROR(VLOOKUP(F2584,'Freq-Chan'!C:D,2,FALSE),"x")</f>
        <v>x</v>
      </c>
      <c r="U2584" s="110" t="s">
        <v>541</v>
      </c>
      <c r="V2584" s="110" t="str">
        <f t="shared" si="84"/>
        <v>FWL</v>
      </c>
      <c r="W2584" s="110" t="s">
        <v>541</v>
      </c>
      <c r="X2584" s="110" t="s">
        <v>541</v>
      </c>
      <c r="Y2584" s="110" t="str">
        <f>IFERROR(VLOOKUP(F2584,'Freq-Chan'!C:E,3,FALSE),"na")</f>
        <v>na</v>
      </c>
      <c r="Z2584" s="110" t="s">
        <v>541</v>
      </c>
      <c r="AA2584" s="110" t="s">
        <v>541</v>
      </c>
      <c r="AB2584" s="110" t="s">
        <v>541</v>
      </c>
      <c r="AC2584" s="10" t="s">
        <v>541</v>
      </c>
      <c r="AD2584" s="10" t="s">
        <v>541</v>
      </c>
    </row>
    <row r="2585" spans="1:30" x14ac:dyDescent="0.2">
      <c r="A2585" s="110">
        <v>2585</v>
      </c>
      <c r="B2585" s="132">
        <v>41864</v>
      </c>
      <c r="C2585" s="117">
        <v>1</v>
      </c>
      <c r="D2585" s="103" t="s">
        <v>70</v>
      </c>
      <c r="E2585" s="103" t="s">
        <v>306</v>
      </c>
      <c r="H2585" s="103"/>
      <c r="I2585" s="103">
        <v>45</v>
      </c>
      <c r="K2585" s="103" t="s">
        <v>1032</v>
      </c>
      <c r="L2585" s="133"/>
      <c r="M2585" s="134">
        <v>2.013888888888889E-2</v>
      </c>
      <c r="N2585" s="135" t="s">
        <v>3718</v>
      </c>
      <c r="O2585" s="133" t="s">
        <v>1888</v>
      </c>
      <c r="Q2585" s="100" t="s">
        <v>4229</v>
      </c>
      <c r="R2585" s="226" t="s">
        <v>4214</v>
      </c>
      <c r="S2585" s="491" t="str">
        <f t="shared" si="83"/>
        <v>x</v>
      </c>
      <c r="T2585" s="492" t="str">
        <f>IFERROR(VLOOKUP(F2585,'Freq-Chan'!C:D,2,FALSE),"x")</f>
        <v>x</v>
      </c>
      <c r="U2585" s="110" t="s">
        <v>541</v>
      </c>
      <c r="V2585" s="110" t="str">
        <f t="shared" si="84"/>
        <v>FWL</v>
      </c>
      <c r="W2585" s="110" t="s">
        <v>541</v>
      </c>
      <c r="X2585" s="110" t="s">
        <v>541</v>
      </c>
      <c r="Y2585" s="110" t="str">
        <f>IFERROR(VLOOKUP(F2585,'Freq-Chan'!C:E,3,FALSE),"na")</f>
        <v>na</v>
      </c>
      <c r="Z2585" s="110" t="s">
        <v>541</v>
      </c>
      <c r="AA2585" s="110" t="s">
        <v>541</v>
      </c>
      <c r="AB2585" s="110" t="s">
        <v>541</v>
      </c>
      <c r="AC2585" s="10" t="s">
        <v>541</v>
      </c>
      <c r="AD2585" s="10" t="s">
        <v>541</v>
      </c>
    </row>
    <row r="2586" spans="1:30" x14ac:dyDescent="0.2">
      <c r="A2586" s="110">
        <v>2586</v>
      </c>
      <c r="B2586" s="132">
        <v>41864</v>
      </c>
      <c r="C2586" s="117">
        <v>1</v>
      </c>
      <c r="D2586" s="103" t="s">
        <v>71</v>
      </c>
      <c r="E2586" s="103" t="s">
        <v>306</v>
      </c>
      <c r="H2586" s="103"/>
      <c r="I2586" s="103">
        <v>55</v>
      </c>
      <c r="K2586" s="103" t="s">
        <v>364</v>
      </c>
      <c r="L2586" s="133"/>
      <c r="M2586" s="134">
        <v>2.2222222222222223E-2</v>
      </c>
      <c r="N2586" s="137" t="s">
        <v>499</v>
      </c>
      <c r="O2586" s="133" t="s">
        <v>1888</v>
      </c>
      <c r="Q2586" s="100" t="s">
        <v>4229</v>
      </c>
      <c r="R2586" s="226" t="s">
        <v>4214</v>
      </c>
      <c r="S2586" s="491" t="str">
        <f t="shared" si="83"/>
        <v>x</v>
      </c>
      <c r="T2586" s="492" t="str">
        <f>IFERROR(VLOOKUP(F2586,'Freq-Chan'!C:D,2,FALSE),"x")</f>
        <v>x</v>
      </c>
      <c r="U2586" s="110" t="s">
        <v>541</v>
      </c>
      <c r="V2586" s="110" t="str">
        <f t="shared" si="84"/>
        <v>FWL</v>
      </c>
      <c r="W2586" s="110" t="s">
        <v>541</v>
      </c>
      <c r="X2586" s="110" t="s">
        <v>541</v>
      </c>
      <c r="Y2586" s="110" t="str">
        <f>IFERROR(VLOOKUP(F2586,'Freq-Chan'!C:E,3,FALSE),"na")</f>
        <v>na</v>
      </c>
      <c r="Z2586" s="110" t="s">
        <v>541</v>
      </c>
      <c r="AA2586" s="110" t="s">
        <v>541</v>
      </c>
      <c r="AB2586" s="110" t="s">
        <v>541</v>
      </c>
      <c r="AC2586" s="10" t="s">
        <v>541</v>
      </c>
      <c r="AD2586" s="10" t="s">
        <v>541</v>
      </c>
    </row>
    <row r="2587" spans="1:30" x14ac:dyDescent="0.2">
      <c r="A2587" s="110">
        <v>2587</v>
      </c>
      <c r="B2587" s="132">
        <v>41864</v>
      </c>
      <c r="C2587" s="117">
        <v>1</v>
      </c>
      <c r="D2587" s="103" t="s">
        <v>70</v>
      </c>
      <c r="E2587" s="103" t="s">
        <v>306</v>
      </c>
      <c r="H2587" s="103"/>
      <c r="I2587" s="103">
        <v>45</v>
      </c>
      <c r="K2587" s="103" t="s">
        <v>365</v>
      </c>
      <c r="L2587" s="133"/>
      <c r="M2587" s="134">
        <v>1.8749999999999999E-2</v>
      </c>
      <c r="N2587" s="137" t="s">
        <v>1848</v>
      </c>
      <c r="O2587" s="133" t="s">
        <v>1888</v>
      </c>
      <c r="Q2587" s="100" t="s">
        <v>4229</v>
      </c>
      <c r="R2587" s="226" t="s">
        <v>4214</v>
      </c>
      <c r="S2587" s="491" t="str">
        <f t="shared" si="83"/>
        <v>x</v>
      </c>
      <c r="T2587" s="492" t="str">
        <f>IFERROR(VLOOKUP(F2587,'Freq-Chan'!C:D,2,FALSE),"x")</f>
        <v>x</v>
      </c>
      <c r="U2587" s="110" t="s">
        <v>541</v>
      </c>
      <c r="V2587" s="110" t="str">
        <f t="shared" si="84"/>
        <v>FWL</v>
      </c>
      <c r="W2587" s="110" t="s">
        <v>541</v>
      </c>
      <c r="X2587" s="110" t="s">
        <v>541</v>
      </c>
      <c r="Y2587" s="110" t="str">
        <f>IFERROR(VLOOKUP(F2587,'Freq-Chan'!C:E,3,FALSE),"na")</f>
        <v>na</v>
      </c>
      <c r="Z2587" s="110" t="s">
        <v>541</v>
      </c>
      <c r="AA2587" s="110" t="s">
        <v>541</v>
      </c>
      <c r="AB2587" s="110" t="s">
        <v>541</v>
      </c>
      <c r="AC2587" s="10" t="s">
        <v>541</v>
      </c>
      <c r="AD2587" s="10" t="s">
        <v>541</v>
      </c>
    </row>
    <row r="2588" spans="1:30" x14ac:dyDescent="0.2">
      <c r="A2588" s="110">
        <v>2588</v>
      </c>
      <c r="B2588" s="132">
        <v>41864</v>
      </c>
      <c r="C2588" s="117">
        <v>1</v>
      </c>
      <c r="D2588" s="103" t="s">
        <v>70</v>
      </c>
      <c r="E2588" s="103" t="s">
        <v>306</v>
      </c>
      <c r="H2588" s="103"/>
      <c r="I2588" s="103">
        <v>45</v>
      </c>
      <c r="K2588" s="103" t="s">
        <v>1032</v>
      </c>
      <c r="L2588" s="133"/>
      <c r="M2588" s="134">
        <v>1.9444444444444445E-2</v>
      </c>
      <c r="N2588" s="137" t="s">
        <v>1965</v>
      </c>
      <c r="O2588" s="133" t="s">
        <v>1888</v>
      </c>
      <c r="Q2588" s="100" t="s">
        <v>4229</v>
      </c>
      <c r="R2588" s="226" t="s">
        <v>4214</v>
      </c>
      <c r="S2588" s="491" t="str">
        <f t="shared" si="83"/>
        <v>x</v>
      </c>
      <c r="T2588" s="492" t="str">
        <f>IFERROR(VLOOKUP(F2588,'Freq-Chan'!C:D,2,FALSE),"x")</f>
        <v>x</v>
      </c>
      <c r="U2588" s="110" t="s">
        <v>541</v>
      </c>
      <c r="V2588" s="110" t="str">
        <f t="shared" si="84"/>
        <v>FWL</v>
      </c>
      <c r="W2588" s="110" t="s">
        <v>541</v>
      </c>
      <c r="X2588" s="110" t="s">
        <v>541</v>
      </c>
      <c r="Y2588" s="110" t="str">
        <f>IFERROR(VLOOKUP(F2588,'Freq-Chan'!C:E,3,FALSE),"na")</f>
        <v>na</v>
      </c>
      <c r="Z2588" s="110" t="s">
        <v>541</v>
      </c>
      <c r="AA2588" s="110" t="s">
        <v>541</v>
      </c>
      <c r="AB2588" s="110" t="s">
        <v>541</v>
      </c>
      <c r="AC2588" s="10" t="s">
        <v>541</v>
      </c>
      <c r="AD2588" s="10" t="s">
        <v>541</v>
      </c>
    </row>
    <row r="2589" spans="1:30" x14ac:dyDescent="0.2">
      <c r="A2589" s="110">
        <v>2589</v>
      </c>
      <c r="B2589" s="132">
        <v>41864</v>
      </c>
      <c r="C2589" s="117">
        <v>1</v>
      </c>
      <c r="D2589" s="103" t="s">
        <v>71</v>
      </c>
      <c r="E2589" s="103" t="s">
        <v>306</v>
      </c>
      <c r="H2589" s="103"/>
      <c r="I2589" s="103">
        <v>52</v>
      </c>
      <c r="K2589" s="103" t="s">
        <v>1032</v>
      </c>
      <c r="L2589" s="133"/>
      <c r="M2589" s="134">
        <v>2.9166666666666664E-2</v>
      </c>
      <c r="N2589" s="135" t="s">
        <v>4209</v>
      </c>
      <c r="O2589" s="133" t="s">
        <v>1888</v>
      </c>
      <c r="Q2589" s="100" t="s">
        <v>4229</v>
      </c>
      <c r="R2589" s="226" t="s">
        <v>4214</v>
      </c>
      <c r="S2589" s="491" t="str">
        <f t="shared" si="83"/>
        <v>x</v>
      </c>
      <c r="T2589" s="492" t="str">
        <f>IFERROR(VLOOKUP(F2589,'Freq-Chan'!C:D,2,FALSE),"x")</f>
        <v>x</v>
      </c>
      <c r="U2589" s="110" t="s">
        <v>541</v>
      </c>
      <c r="V2589" s="110" t="str">
        <f t="shared" si="84"/>
        <v>FWL</v>
      </c>
      <c r="W2589" s="110" t="s">
        <v>541</v>
      </c>
      <c r="X2589" s="110" t="s">
        <v>541</v>
      </c>
      <c r="Y2589" s="110" t="str">
        <f>IFERROR(VLOOKUP(F2589,'Freq-Chan'!C:E,3,FALSE),"na")</f>
        <v>na</v>
      </c>
      <c r="Z2589" s="110" t="s">
        <v>541</v>
      </c>
      <c r="AA2589" s="110" t="s">
        <v>541</v>
      </c>
      <c r="AB2589" s="110" t="s">
        <v>541</v>
      </c>
      <c r="AC2589" s="10" t="s">
        <v>541</v>
      </c>
      <c r="AD2589" s="10" t="s">
        <v>541</v>
      </c>
    </row>
    <row r="2590" spans="1:30" x14ac:dyDescent="0.2">
      <c r="A2590" s="110">
        <v>2590</v>
      </c>
      <c r="B2590" s="132">
        <v>41864</v>
      </c>
      <c r="C2590" s="117">
        <v>1</v>
      </c>
      <c r="D2590" s="103" t="s">
        <v>70</v>
      </c>
      <c r="E2590" s="103" t="s">
        <v>306</v>
      </c>
      <c r="H2590" s="103"/>
      <c r="I2590" s="103">
        <v>45</v>
      </c>
      <c r="K2590" s="103" t="s">
        <v>365</v>
      </c>
      <c r="L2590" s="133"/>
      <c r="M2590" s="134">
        <v>2.361111111111111E-2</v>
      </c>
      <c r="N2590" s="137" t="s">
        <v>2535</v>
      </c>
      <c r="O2590" s="133" t="s">
        <v>1888</v>
      </c>
      <c r="Q2590" s="100" t="s">
        <v>4229</v>
      </c>
      <c r="R2590" s="226" t="s">
        <v>4214</v>
      </c>
      <c r="S2590" s="491" t="str">
        <f t="shared" si="83"/>
        <v>x</v>
      </c>
      <c r="T2590" s="492" t="str">
        <f>IFERROR(VLOOKUP(F2590,'Freq-Chan'!C:D,2,FALSE),"x")</f>
        <v>x</v>
      </c>
      <c r="U2590" s="110" t="s">
        <v>541</v>
      </c>
      <c r="V2590" s="110" t="str">
        <f t="shared" si="84"/>
        <v>FWL</v>
      </c>
      <c r="W2590" s="110" t="s">
        <v>541</v>
      </c>
      <c r="X2590" s="110" t="s">
        <v>541</v>
      </c>
      <c r="Y2590" s="110" t="str">
        <f>IFERROR(VLOOKUP(F2590,'Freq-Chan'!C:E,3,FALSE),"na")</f>
        <v>na</v>
      </c>
      <c r="Z2590" s="110" t="s">
        <v>541</v>
      </c>
      <c r="AA2590" s="110" t="s">
        <v>541</v>
      </c>
      <c r="AB2590" s="110" t="s">
        <v>541</v>
      </c>
      <c r="AC2590" s="10" t="s">
        <v>541</v>
      </c>
      <c r="AD2590" s="10" t="s">
        <v>541</v>
      </c>
    </row>
    <row r="2591" spans="1:30" x14ac:dyDescent="0.2">
      <c r="A2591" s="110">
        <v>2591</v>
      </c>
      <c r="B2591" s="132">
        <v>41864</v>
      </c>
      <c r="C2591" s="117">
        <v>1</v>
      </c>
      <c r="D2591" s="103" t="s">
        <v>70</v>
      </c>
      <c r="E2591" s="103" t="s">
        <v>306</v>
      </c>
      <c r="H2591" s="103"/>
      <c r="I2591" s="103">
        <v>44</v>
      </c>
      <c r="K2591" s="103" t="s">
        <v>1032</v>
      </c>
      <c r="L2591" s="133"/>
      <c r="M2591" s="134">
        <v>1.6666666666666666E-2</v>
      </c>
      <c r="N2591" s="137" t="s">
        <v>3287</v>
      </c>
      <c r="O2591" s="133" t="s">
        <v>1888</v>
      </c>
      <c r="Q2591" s="100" t="s">
        <v>4229</v>
      </c>
      <c r="R2591" s="226" t="s">
        <v>4214</v>
      </c>
      <c r="S2591" s="491" t="str">
        <f t="shared" si="83"/>
        <v>x</v>
      </c>
      <c r="T2591" s="492" t="str">
        <f>IFERROR(VLOOKUP(F2591,'Freq-Chan'!C:D,2,FALSE),"x")</f>
        <v>x</v>
      </c>
      <c r="U2591" s="110" t="s">
        <v>541</v>
      </c>
      <c r="V2591" s="110" t="str">
        <f t="shared" si="84"/>
        <v>FWL</v>
      </c>
      <c r="W2591" s="110" t="s">
        <v>541</v>
      </c>
      <c r="X2591" s="110" t="s">
        <v>541</v>
      </c>
      <c r="Y2591" s="110" t="str">
        <f>IFERROR(VLOOKUP(F2591,'Freq-Chan'!C:E,3,FALSE),"na")</f>
        <v>na</v>
      </c>
      <c r="Z2591" s="110" t="s">
        <v>541</v>
      </c>
      <c r="AA2591" s="110" t="s">
        <v>541</v>
      </c>
      <c r="AB2591" s="110" t="s">
        <v>541</v>
      </c>
      <c r="AC2591" s="10" t="s">
        <v>541</v>
      </c>
      <c r="AD2591" s="10" t="s">
        <v>541</v>
      </c>
    </row>
    <row r="2592" spans="1:30" x14ac:dyDescent="0.2">
      <c r="A2592" s="110">
        <v>2592</v>
      </c>
      <c r="B2592" s="132">
        <v>41864</v>
      </c>
      <c r="C2592" s="117">
        <v>1</v>
      </c>
      <c r="D2592" s="103" t="s">
        <v>70</v>
      </c>
      <c r="E2592" s="103" t="s">
        <v>306</v>
      </c>
      <c r="H2592" s="103"/>
      <c r="I2592" s="103">
        <v>45</v>
      </c>
      <c r="K2592" s="103" t="s">
        <v>365</v>
      </c>
      <c r="L2592" s="133"/>
      <c r="M2592" s="134">
        <v>2.4999999999999998E-2</v>
      </c>
      <c r="N2592" s="135" t="s">
        <v>1535</v>
      </c>
      <c r="O2592" s="133" t="s">
        <v>1888</v>
      </c>
      <c r="Q2592" s="100" t="s">
        <v>4229</v>
      </c>
      <c r="R2592" s="226" t="s">
        <v>4214</v>
      </c>
      <c r="S2592" s="491" t="str">
        <f t="shared" si="83"/>
        <v>x</v>
      </c>
      <c r="T2592" s="492" t="str">
        <f>IFERROR(VLOOKUP(F2592,'Freq-Chan'!C:D,2,FALSE),"x")</f>
        <v>x</v>
      </c>
      <c r="U2592" s="110" t="s">
        <v>541</v>
      </c>
      <c r="V2592" s="110" t="str">
        <f t="shared" si="84"/>
        <v>FWL</v>
      </c>
      <c r="W2592" s="110" t="s">
        <v>541</v>
      </c>
      <c r="X2592" s="110" t="s">
        <v>541</v>
      </c>
      <c r="Y2592" s="110" t="str">
        <f>IFERROR(VLOOKUP(F2592,'Freq-Chan'!C:E,3,FALSE),"na")</f>
        <v>na</v>
      </c>
      <c r="Z2592" s="110" t="s">
        <v>541</v>
      </c>
      <c r="AA2592" s="110" t="s">
        <v>541</v>
      </c>
      <c r="AB2592" s="110" t="s">
        <v>541</v>
      </c>
      <c r="AC2592" s="10" t="s">
        <v>541</v>
      </c>
      <c r="AD2592" s="10" t="s">
        <v>541</v>
      </c>
    </row>
    <row r="2593" spans="1:30" x14ac:dyDescent="0.2">
      <c r="A2593" s="110">
        <v>2593</v>
      </c>
      <c r="B2593" s="132">
        <v>41864</v>
      </c>
      <c r="C2593" s="117">
        <v>1</v>
      </c>
      <c r="D2593" s="103" t="s">
        <v>71</v>
      </c>
      <c r="E2593" s="103" t="s">
        <v>306</v>
      </c>
      <c r="H2593" s="103"/>
      <c r="I2593" s="103">
        <v>58</v>
      </c>
      <c r="K2593" s="103" t="s">
        <v>365</v>
      </c>
      <c r="L2593" s="133"/>
      <c r="M2593" s="134">
        <v>2.361111111111111E-2</v>
      </c>
      <c r="N2593" s="135" t="s">
        <v>3930</v>
      </c>
      <c r="O2593" s="133" t="s">
        <v>1888</v>
      </c>
      <c r="Q2593" s="100" t="s">
        <v>4229</v>
      </c>
      <c r="R2593" s="226" t="s">
        <v>4214</v>
      </c>
      <c r="S2593" s="491" t="str">
        <f t="shared" si="83"/>
        <v>x</v>
      </c>
      <c r="T2593" s="492" t="str">
        <f>IFERROR(VLOOKUP(F2593,'Freq-Chan'!C:D,2,FALSE),"x")</f>
        <v>x</v>
      </c>
      <c r="U2593" s="110" t="s">
        <v>541</v>
      </c>
      <c r="V2593" s="110" t="str">
        <f t="shared" si="84"/>
        <v>FWL</v>
      </c>
      <c r="W2593" s="110" t="s">
        <v>541</v>
      </c>
      <c r="X2593" s="110" t="s">
        <v>541</v>
      </c>
      <c r="Y2593" s="110" t="str">
        <f>IFERROR(VLOOKUP(F2593,'Freq-Chan'!C:E,3,FALSE),"na")</f>
        <v>na</v>
      </c>
      <c r="Z2593" s="110" t="s">
        <v>541</v>
      </c>
      <c r="AA2593" s="110" t="s">
        <v>541</v>
      </c>
      <c r="AB2593" s="110" t="s">
        <v>541</v>
      </c>
      <c r="AC2593" s="10" t="s">
        <v>541</v>
      </c>
      <c r="AD2593" s="10" t="s">
        <v>541</v>
      </c>
    </row>
    <row r="2594" spans="1:30" x14ac:dyDescent="0.2">
      <c r="A2594" s="110">
        <v>2594</v>
      </c>
      <c r="B2594" s="132">
        <v>41864</v>
      </c>
      <c r="C2594" s="117">
        <v>1</v>
      </c>
      <c r="D2594" s="103" t="s">
        <v>70</v>
      </c>
      <c r="E2594" s="103" t="s">
        <v>306</v>
      </c>
      <c r="H2594" s="103"/>
      <c r="I2594" s="103">
        <v>42</v>
      </c>
      <c r="K2594" s="103" t="s">
        <v>1032</v>
      </c>
      <c r="L2594" s="133"/>
      <c r="M2594" s="134">
        <v>1.3194444444444444E-2</v>
      </c>
      <c r="N2594" s="135" t="s">
        <v>3972</v>
      </c>
      <c r="O2594" s="133" t="s">
        <v>1538</v>
      </c>
      <c r="Q2594" s="100" t="s">
        <v>4229</v>
      </c>
      <c r="R2594" s="226" t="s">
        <v>4214</v>
      </c>
      <c r="S2594" s="491" t="str">
        <f t="shared" si="83"/>
        <v>x</v>
      </c>
      <c r="T2594" s="492" t="str">
        <f>IFERROR(VLOOKUP(F2594,'Freq-Chan'!C:D,2,FALSE),"x")</f>
        <v>x</v>
      </c>
      <c r="U2594" s="110" t="s">
        <v>541</v>
      </c>
      <c r="V2594" s="110" t="str">
        <f t="shared" si="84"/>
        <v>FWL</v>
      </c>
      <c r="W2594" s="110" t="s">
        <v>541</v>
      </c>
      <c r="X2594" s="110" t="s">
        <v>541</v>
      </c>
      <c r="Y2594" s="110" t="str">
        <f>IFERROR(VLOOKUP(F2594,'Freq-Chan'!C:E,3,FALSE),"na")</f>
        <v>na</v>
      </c>
      <c r="Z2594" s="110" t="s">
        <v>541</v>
      </c>
      <c r="AA2594" s="110" t="s">
        <v>541</v>
      </c>
      <c r="AB2594" s="110" t="s">
        <v>541</v>
      </c>
      <c r="AC2594" s="10" t="s">
        <v>541</v>
      </c>
      <c r="AD2594" s="10" t="s">
        <v>541</v>
      </c>
    </row>
    <row r="2595" spans="1:30" x14ac:dyDescent="0.2">
      <c r="A2595" s="110">
        <v>2595</v>
      </c>
      <c r="B2595" s="132">
        <v>41864</v>
      </c>
      <c r="C2595" s="117">
        <v>1</v>
      </c>
      <c r="D2595" s="103" t="s">
        <v>71</v>
      </c>
      <c r="E2595" s="103" t="s">
        <v>306</v>
      </c>
      <c r="H2595" s="103"/>
      <c r="I2595" s="103">
        <v>62</v>
      </c>
      <c r="K2595" s="103" t="s">
        <v>1032</v>
      </c>
      <c r="L2595" s="133"/>
      <c r="M2595" s="134">
        <v>1.5277777777777777E-2</v>
      </c>
      <c r="N2595" s="137" t="s">
        <v>3754</v>
      </c>
      <c r="O2595" s="133" t="s">
        <v>1538</v>
      </c>
      <c r="Q2595" s="100" t="s">
        <v>4229</v>
      </c>
      <c r="R2595" s="226" t="s">
        <v>4214</v>
      </c>
      <c r="S2595" s="491" t="str">
        <f t="shared" si="83"/>
        <v>x</v>
      </c>
      <c r="T2595" s="492" t="str">
        <f>IFERROR(VLOOKUP(F2595,'Freq-Chan'!C:D,2,FALSE),"x")</f>
        <v>x</v>
      </c>
      <c r="U2595" s="110" t="s">
        <v>541</v>
      </c>
      <c r="V2595" s="110" t="str">
        <f t="shared" si="84"/>
        <v>FWL</v>
      </c>
      <c r="W2595" s="110" t="s">
        <v>541</v>
      </c>
      <c r="X2595" s="110" t="s">
        <v>541</v>
      </c>
      <c r="Y2595" s="110" t="str">
        <f>IFERROR(VLOOKUP(F2595,'Freq-Chan'!C:E,3,FALSE),"na")</f>
        <v>na</v>
      </c>
      <c r="Z2595" s="110" t="s">
        <v>541</v>
      </c>
      <c r="AA2595" s="110" t="s">
        <v>541</v>
      </c>
      <c r="AB2595" s="110" t="s">
        <v>541</v>
      </c>
      <c r="AC2595" s="10" t="s">
        <v>541</v>
      </c>
      <c r="AD2595" s="10" t="s">
        <v>541</v>
      </c>
    </row>
    <row r="2596" spans="1:30" x14ac:dyDescent="0.2">
      <c r="A2596" s="110">
        <v>2596</v>
      </c>
      <c r="B2596" s="132">
        <v>41864</v>
      </c>
      <c r="C2596" s="117">
        <v>1</v>
      </c>
      <c r="D2596" s="103" t="s">
        <v>71</v>
      </c>
      <c r="E2596" s="103" t="s">
        <v>306</v>
      </c>
      <c r="H2596" s="103"/>
      <c r="I2596" s="103">
        <v>58</v>
      </c>
      <c r="K2596" s="103" t="s">
        <v>364</v>
      </c>
      <c r="L2596" s="133"/>
      <c r="M2596" s="134">
        <v>1.3888888888888888E-2</v>
      </c>
      <c r="N2596" s="137" t="s">
        <v>712</v>
      </c>
      <c r="O2596" s="133" t="s">
        <v>1538</v>
      </c>
      <c r="Q2596" s="100" t="s">
        <v>4229</v>
      </c>
      <c r="R2596" s="226" t="s">
        <v>4214</v>
      </c>
      <c r="S2596" s="491" t="str">
        <f t="shared" si="83"/>
        <v>x</v>
      </c>
      <c r="T2596" s="492" t="str">
        <f>IFERROR(VLOOKUP(F2596,'Freq-Chan'!C:D,2,FALSE),"x")</f>
        <v>x</v>
      </c>
      <c r="U2596" s="110" t="s">
        <v>541</v>
      </c>
      <c r="V2596" s="110" t="str">
        <f t="shared" si="84"/>
        <v>FWL</v>
      </c>
      <c r="W2596" s="110" t="s">
        <v>541</v>
      </c>
      <c r="X2596" s="110" t="s">
        <v>541</v>
      </c>
      <c r="Y2596" s="110" t="str">
        <f>IFERROR(VLOOKUP(F2596,'Freq-Chan'!C:E,3,FALSE),"na")</f>
        <v>na</v>
      </c>
      <c r="Z2596" s="110" t="s">
        <v>541</v>
      </c>
      <c r="AA2596" s="110" t="s">
        <v>541</v>
      </c>
      <c r="AB2596" s="110" t="s">
        <v>541</v>
      </c>
      <c r="AC2596" s="10" t="s">
        <v>541</v>
      </c>
      <c r="AD2596" s="10" t="s">
        <v>541</v>
      </c>
    </row>
    <row r="2597" spans="1:30" x14ac:dyDescent="0.2">
      <c r="A2597" s="110">
        <v>2597</v>
      </c>
      <c r="B2597" s="132">
        <v>41864</v>
      </c>
      <c r="C2597" s="117">
        <v>1</v>
      </c>
      <c r="D2597" s="103" t="s">
        <v>70</v>
      </c>
      <c r="E2597" s="103" t="s">
        <v>306</v>
      </c>
      <c r="H2597" s="103"/>
      <c r="I2597" s="103">
        <v>45</v>
      </c>
      <c r="K2597" s="103" t="s">
        <v>365</v>
      </c>
      <c r="L2597" s="133"/>
      <c r="M2597" s="134">
        <v>1.5277777777777777E-2</v>
      </c>
      <c r="N2597" s="137" t="s">
        <v>3755</v>
      </c>
      <c r="O2597" s="133" t="s">
        <v>1538</v>
      </c>
      <c r="Q2597" s="100" t="s">
        <v>4229</v>
      </c>
      <c r="R2597" s="226" t="s">
        <v>4214</v>
      </c>
      <c r="S2597" s="491" t="str">
        <f t="shared" si="83"/>
        <v>x</v>
      </c>
      <c r="T2597" s="492" t="str">
        <f>IFERROR(VLOOKUP(F2597,'Freq-Chan'!C:D,2,FALSE),"x")</f>
        <v>x</v>
      </c>
      <c r="U2597" s="110" t="s">
        <v>541</v>
      </c>
      <c r="V2597" s="110" t="str">
        <f t="shared" si="84"/>
        <v>FWL</v>
      </c>
      <c r="W2597" s="110" t="s">
        <v>541</v>
      </c>
      <c r="X2597" s="110" t="s">
        <v>541</v>
      </c>
      <c r="Y2597" s="110" t="str">
        <f>IFERROR(VLOOKUP(F2597,'Freq-Chan'!C:E,3,FALSE),"na")</f>
        <v>na</v>
      </c>
      <c r="Z2597" s="110" t="s">
        <v>541</v>
      </c>
      <c r="AA2597" s="110" t="s">
        <v>541</v>
      </c>
      <c r="AB2597" s="110" t="s">
        <v>541</v>
      </c>
      <c r="AC2597" s="10" t="s">
        <v>541</v>
      </c>
      <c r="AD2597" s="10" t="s">
        <v>541</v>
      </c>
    </row>
    <row r="2598" spans="1:30" x14ac:dyDescent="0.2">
      <c r="A2598" s="110">
        <v>2598</v>
      </c>
      <c r="B2598" s="132">
        <v>41864</v>
      </c>
      <c r="C2598" s="117">
        <v>1</v>
      </c>
      <c r="D2598" s="103" t="s">
        <v>71</v>
      </c>
      <c r="E2598" s="103" t="s">
        <v>306</v>
      </c>
      <c r="H2598" s="103"/>
      <c r="I2598" s="103">
        <v>59</v>
      </c>
      <c r="K2598" s="103" t="s">
        <v>365</v>
      </c>
      <c r="L2598" s="133"/>
      <c r="M2598" s="134">
        <v>1.7361111111111112E-2</v>
      </c>
      <c r="N2598" s="137" t="s">
        <v>4197</v>
      </c>
      <c r="O2598" s="133" t="s">
        <v>1538</v>
      </c>
      <c r="Q2598" s="100" t="s">
        <v>4229</v>
      </c>
      <c r="R2598" s="226" t="s">
        <v>4214</v>
      </c>
      <c r="S2598" s="491" t="str">
        <f t="shared" si="83"/>
        <v>x</v>
      </c>
      <c r="T2598" s="492" t="str">
        <f>IFERROR(VLOOKUP(F2598,'Freq-Chan'!C:D,2,FALSE),"x")</f>
        <v>x</v>
      </c>
      <c r="U2598" s="110" t="s">
        <v>541</v>
      </c>
      <c r="V2598" s="110" t="str">
        <f t="shared" si="84"/>
        <v>FWL</v>
      </c>
      <c r="W2598" s="110" t="s">
        <v>541</v>
      </c>
      <c r="X2598" s="110" t="s">
        <v>541</v>
      </c>
      <c r="Y2598" s="110" t="str">
        <f>IFERROR(VLOOKUP(F2598,'Freq-Chan'!C:E,3,FALSE),"na")</f>
        <v>na</v>
      </c>
      <c r="Z2598" s="110" t="s">
        <v>541</v>
      </c>
      <c r="AA2598" s="110" t="s">
        <v>541</v>
      </c>
      <c r="AB2598" s="110" t="s">
        <v>541</v>
      </c>
      <c r="AC2598" s="10" t="s">
        <v>541</v>
      </c>
      <c r="AD2598" s="10" t="s">
        <v>541</v>
      </c>
    </row>
    <row r="2599" spans="1:30" x14ac:dyDescent="0.2">
      <c r="A2599" s="110">
        <v>2599</v>
      </c>
      <c r="B2599" s="132">
        <v>41864</v>
      </c>
      <c r="C2599" s="117">
        <v>1</v>
      </c>
      <c r="D2599" s="103" t="s">
        <v>71</v>
      </c>
      <c r="E2599" s="103" t="s">
        <v>306</v>
      </c>
      <c r="H2599" s="103"/>
      <c r="I2599" s="103">
        <v>55</v>
      </c>
      <c r="K2599" s="103" t="s">
        <v>365</v>
      </c>
      <c r="L2599" s="133"/>
      <c r="M2599" s="134">
        <v>1.3888888888888888E-2</v>
      </c>
      <c r="N2599" s="137" t="s">
        <v>4197</v>
      </c>
      <c r="O2599" s="133" t="s">
        <v>1538</v>
      </c>
      <c r="Q2599" s="100" t="s">
        <v>4229</v>
      </c>
      <c r="R2599" s="226" t="s">
        <v>4214</v>
      </c>
      <c r="S2599" s="491" t="str">
        <f t="shared" si="83"/>
        <v>x</v>
      </c>
      <c r="T2599" s="492" t="str">
        <f>IFERROR(VLOOKUP(F2599,'Freq-Chan'!C:D,2,FALSE),"x")</f>
        <v>x</v>
      </c>
      <c r="U2599" s="110" t="s">
        <v>541</v>
      </c>
      <c r="V2599" s="110" t="str">
        <f t="shared" si="84"/>
        <v>FWL</v>
      </c>
      <c r="W2599" s="110" t="s">
        <v>541</v>
      </c>
      <c r="X2599" s="110" t="s">
        <v>541</v>
      </c>
      <c r="Y2599" s="110" t="str">
        <f>IFERROR(VLOOKUP(F2599,'Freq-Chan'!C:E,3,FALSE),"na")</f>
        <v>na</v>
      </c>
      <c r="Z2599" s="110" t="s">
        <v>541</v>
      </c>
      <c r="AA2599" s="110" t="s">
        <v>541</v>
      </c>
      <c r="AB2599" s="110" t="s">
        <v>541</v>
      </c>
      <c r="AC2599" s="10" t="s">
        <v>541</v>
      </c>
      <c r="AD2599" s="10" t="s">
        <v>541</v>
      </c>
    </row>
    <row r="2600" spans="1:30" x14ac:dyDescent="0.2">
      <c r="A2600" s="110">
        <v>2600</v>
      </c>
      <c r="B2600" s="132">
        <v>41864</v>
      </c>
      <c r="C2600" s="117">
        <v>1</v>
      </c>
      <c r="D2600" s="103" t="s">
        <v>70</v>
      </c>
      <c r="E2600" s="103" t="s">
        <v>306</v>
      </c>
      <c r="H2600" s="103"/>
      <c r="I2600" s="103">
        <v>43</v>
      </c>
      <c r="K2600" s="103" t="s">
        <v>1032</v>
      </c>
      <c r="L2600" s="133"/>
      <c r="M2600" s="134">
        <v>1.6666666666666666E-2</v>
      </c>
      <c r="N2600" s="135" t="s">
        <v>4176</v>
      </c>
      <c r="O2600" s="133" t="s">
        <v>1538</v>
      </c>
      <c r="Q2600" s="100" t="s">
        <v>4229</v>
      </c>
      <c r="R2600" s="226" t="s">
        <v>4214</v>
      </c>
      <c r="S2600" s="491" t="str">
        <f t="shared" si="83"/>
        <v>x</v>
      </c>
      <c r="T2600" s="492" t="str">
        <f>IFERROR(VLOOKUP(F2600,'Freq-Chan'!C:D,2,FALSE),"x")</f>
        <v>x</v>
      </c>
      <c r="U2600" s="110" t="s">
        <v>541</v>
      </c>
      <c r="V2600" s="110" t="str">
        <f t="shared" si="84"/>
        <v>FWL</v>
      </c>
      <c r="W2600" s="110" t="s">
        <v>541</v>
      </c>
      <c r="X2600" s="110" t="s">
        <v>541</v>
      </c>
      <c r="Y2600" s="110" t="str">
        <f>IFERROR(VLOOKUP(F2600,'Freq-Chan'!C:E,3,FALSE),"na")</f>
        <v>na</v>
      </c>
      <c r="Z2600" s="110" t="s">
        <v>541</v>
      </c>
      <c r="AA2600" s="110" t="s">
        <v>541</v>
      </c>
      <c r="AB2600" s="110" t="s">
        <v>541</v>
      </c>
      <c r="AC2600" s="10" t="s">
        <v>541</v>
      </c>
      <c r="AD2600" s="10" t="s">
        <v>541</v>
      </c>
    </row>
    <row r="2601" spans="1:30" x14ac:dyDescent="0.2">
      <c r="A2601" s="110">
        <v>2601</v>
      </c>
      <c r="B2601" s="132">
        <v>41864</v>
      </c>
      <c r="C2601" s="117">
        <v>1</v>
      </c>
      <c r="D2601" s="103" t="s">
        <v>71</v>
      </c>
      <c r="E2601" s="103" t="s">
        <v>306</v>
      </c>
      <c r="H2601" s="103"/>
      <c r="I2601" s="103">
        <v>59</v>
      </c>
      <c r="K2601" s="103" t="s">
        <v>365</v>
      </c>
      <c r="L2601" s="133"/>
      <c r="M2601" s="134">
        <v>2.0833333333333332E-2</v>
      </c>
      <c r="N2601" s="137" t="s">
        <v>4179</v>
      </c>
      <c r="O2601" s="133" t="s">
        <v>1538</v>
      </c>
      <c r="Q2601" s="100" t="s">
        <v>4229</v>
      </c>
      <c r="R2601" s="226" t="s">
        <v>4214</v>
      </c>
      <c r="S2601" s="491" t="str">
        <f t="shared" si="83"/>
        <v>x</v>
      </c>
      <c r="T2601" s="492" t="str">
        <f>IFERROR(VLOOKUP(F2601,'Freq-Chan'!C:D,2,FALSE),"x")</f>
        <v>x</v>
      </c>
      <c r="U2601" s="110" t="s">
        <v>541</v>
      </c>
      <c r="V2601" s="110" t="str">
        <f t="shared" si="84"/>
        <v>FWL</v>
      </c>
      <c r="W2601" s="110" t="s">
        <v>541</v>
      </c>
      <c r="X2601" s="110" t="s">
        <v>541</v>
      </c>
      <c r="Y2601" s="110" t="str">
        <f>IFERROR(VLOOKUP(F2601,'Freq-Chan'!C:E,3,FALSE),"na")</f>
        <v>na</v>
      </c>
      <c r="Z2601" s="110" t="s">
        <v>541</v>
      </c>
      <c r="AA2601" s="110" t="s">
        <v>541</v>
      </c>
      <c r="AB2601" s="110" t="s">
        <v>541</v>
      </c>
      <c r="AC2601" s="10" t="s">
        <v>541</v>
      </c>
      <c r="AD2601" s="10" t="s">
        <v>541</v>
      </c>
    </row>
    <row r="2602" spans="1:30" x14ac:dyDescent="0.2">
      <c r="A2602" s="110">
        <v>2602</v>
      </c>
      <c r="B2602" s="132">
        <v>41864</v>
      </c>
      <c r="C2602" s="117">
        <v>1</v>
      </c>
      <c r="D2602" s="103" t="s">
        <v>72</v>
      </c>
      <c r="E2602" s="103" t="s">
        <v>306</v>
      </c>
      <c r="F2602" s="103">
        <v>325</v>
      </c>
      <c r="G2602" s="103">
        <v>35</v>
      </c>
      <c r="H2602" s="103" t="s">
        <v>3556</v>
      </c>
      <c r="I2602" s="103">
        <v>53</v>
      </c>
      <c r="K2602" s="103" t="s">
        <v>365</v>
      </c>
      <c r="L2602" s="133"/>
      <c r="M2602" s="134">
        <v>3.9583333333333331E-2</v>
      </c>
      <c r="N2602" s="137" t="s">
        <v>1988</v>
      </c>
      <c r="O2602" s="133" t="s">
        <v>1538</v>
      </c>
      <c r="Q2602" s="100" t="s">
        <v>4229</v>
      </c>
      <c r="R2602" s="226" t="s">
        <v>4214</v>
      </c>
      <c r="S2602" s="491" t="str">
        <f t="shared" si="83"/>
        <v>x</v>
      </c>
      <c r="T2602" s="492">
        <f>IFERROR(VLOOKUP(F2602,'Freq-Chan'!C:D,2,FALSE),"x")</f>
        <v>151.32499999999999</v>
      </c>
      <c r="U2602" s="110" t="s">
        <v>541</v>
      </c>
      <c r="V2602" s="110" t="str">
        <f t="shared" si="84"/>
        <v>FWL</v>
      </c>
      <c r="W2602" s="110" t="s">
        <v>541</v>
      </c>
      <c r="X2602" s="110" t="s">
        <v>541</v>
      </c>
      <c r="Y2602" s="110" t="str">
        <f>IFERROR(VLOOKUP(F2602,'Freq-Chan'!C:E,3,FALSE),"na")</f>
        <v>F1840</v>
      </c>
      <c r="Z2602" s="110" t="s">
        <v>541</v>
      </c>
      <c r="AA2602" s="110" t="s">
        <v>541</v>
      </c>
      <c r="AB2602" s="110" t="s">
        <v>541</v>
      </c>
      <c r="AC2602" s="10" t="s">
        <v>541</v>
      </c>
      <c r="AD2602" s="10" t="s">
        <v>541</v>
      </c>
    </row>
    <row r="2603" spans="1:30" x14ac:dyDescent="0.2">
      <c r="A2603" s="110">
        <v>2603</v>
      </c>
      <c r="B2603" s="132">
        <v>41864</v>
      </c>
      <c r="C2603" s="117">
        <v>1</v>
      </c>
      <c r="D2603" s="103" t="s">
        <v>72</v>
      </c>
      <c r="E2603" s="103" t="s">
        <v>306</v>
      </c>
      <c r="F2603" s="103">
        <v>325</v>
      </c>
      <c r="G2603" s="103">
        <v>54</v>
      </c>
      <c r="H2603" s="103" t="s">
        <v>3573</v>
      </c>
      <c r="I2603" s="103">
        <v>49</v>
      </c>
      <c r="K2603" s="103" t="s">
        <v>364</v>
      </c>
      <c r="L2603" s="133"/>
      <c r="M2603" s="134">
        <v>3.0555555555555555E-2</v>
      </c>
      <c r="N2603" s="137" t="s">
        <v>4002</v>
      </c>
      <c r="O2603" s="133" t="s">
        <v>555</v>
      </c>
      <c r="Q2603" s="100" t="s">
        <v>4230</v>
      </c>
      <c r="R2603" s="226" t="s">
        <v>4214</v>
      </c>
      <c r="S2603" s="491" t="str">
        <f t="shared" si="83"/>
        <v>x</v>
      </c>
      <c r="T2603" s="492">
        <f>IFERROR(VLOOKUP(F2603,'Freq-Chan'!C:D,2,FALSE),"x")</f>
        <v>151.32499999999999</v>
      </c>
      <c r="U2603" s="110" t="s">
        <v>541</v>
      </c>
      <c r="V2603" s="110" t="str">
        <f t="shared" si="84"/>
        <v>FWL</v>
      </c>
      <c r="W2603" s="110" t="s">
        <v>541</v>
      </c>
      <c r="X2603" s="110" t="s">
        <v>541</v>
      </c>
      <c r="Y2603" s="110" t="str">
        <f>IFERROR(VLOOKUP(F2603,'Freq-Chan'!C:E,3,FALSE),"na")</f>
        <v>F1840</v>
      </c>
      <c r="Z2603" s="110" t="s">
        <v>541</v>
      </c>
      <c r="AA2603" s="110" t="s">
        <v>541</v>
      </c>
      <c r="AB2603" s="110" t="s">
        <v>541</v>
      </c>
      <c r="AC2603" s="10" t="s">
        <v>541</v>
      </c>
      <c r="AD2603" s="10" t="s">
        <v>541</v>
      </c>
    </row>
    <row r="2604" spans="1:30" x14ac:dyDescent="0.2">
      <c r="A2604" s="110">
        <v>2604</v>
      </c>
      <c r="B2604" s="132">
        <v>41864</v>
      </c>
      <c r="C2604" s="117">
        <v>1</v>
      </c>
      <c r="D2604" s="103" t="s">
        <v>72</v>
      </c>
      <c r="E2604" s="103" t="s">
        <v>306</v>
      </c>
      <c r="F2604" s="103">
        <v>325</v>
      </c>
      <c r="G2604" s="103">
        <v>73</v>
      </c>
      <c r="H2604" s="103" t="s">
        <v>3574</v>
      </c>
      <c r="I2604" s="103">
        <v>61</v>
      </c>
      <c r="K2604" s="103" t="s">
        <v>364</v>
      </c>
      <c r="L2604" s="133"/>
      <c r="M2604" s="134">
        <v>6.458333333333334E-2</v>
      </c>
      <c r="N2604" s="137" t="s">
        <v>504</v>
      </c>
      <c r="O2604" s="133" t="s">
        <v>555</v>
      </c>
      <c r="Q2604" s="100" t="s">
        <v>4230</v>
      </c>
      <c r="R2604" s="226" t="s">
        <v>4214</v>
      </c>
      <c r="S2604" s="491" t="str">
        <f t="shared" si="83"/>
        <v>x</v>
      </c>
      <c r="T2604" s="492">
        <f>IFERROR(VLOOKUP(F2604,'Freq-Chan'!C:D,2,FALSE),"x")</f>
        <v>151.32499999999999</v>
      </c>
      <c r="U2604" s="110" t="s">
        <v>541</v>
      </c>
      <c r="V2604" s="110" t="str">
        <f t="shared" si="84"/>
        <v>FWL</v>
      </c>
      <c r="W2604" s="110" t="s">
        <v>541</v>
      </c>
      <c r="X2604" s="110" t="s">
        <v>541</v>
      </c>
      <c r="Y2604" s="110" t="str">
        <f>IFERROR(VLOOKUP(F2604,'Freq-Chan'!C:E,3,FALSE),"na")</f>
        <v>F1840</v>
      </c>
      <c r="Z2604" s="110" t="s">
        <v>541</v>
      </c>
      <c r="AA2604" s="110" t="s">
        <v>541</v>
      </c>
      <c r="AB2604" s="110" t="s">
        <v>541</v>
      </c>
      <c r="AC2604" s="10" t="s">
        <v>541</v>
      </c>
      <c r="AD2604" s="10" t="s">
        <v>541</v>
      </c>
    </row>
    <row r="2605" spans="1:30" x14ac:dyDescent="0.2">
      <c r="A2605" s="110">
        <v>2605</v>
      </c>
      <c r="B2605" s="132">
        <v>41864</v>
      </c>
      <c r="C2605" s="117">
        <v>1</v>
      </c>
      <c r="D2605" s="103" t="s">
        <v>72</v>
      </c>
      <c r="E2605" s="103" t="s">
        <v>306</v>
      </c>
      <c r="F2605" s="103">
        <v>325</v>
      </c>
      <c r="G2605" s="103">
        <v>5</v>
      </c>
      <c r="H2605" s="103" t="s">
        <v>3582</v>
      </c>
      <c r="I2605" s="103">
        <v>52</v>
      </c>
      <c r="K2605" s="103" t="s">
        <v>364</v>
      </c>
      <c r="L2605" s="133"/>
      <c r="M2605" s="134">
        <v>2.7777777777777776E-2</v>
      </c>
      <c r="N2605" s="137" t="s">
        <v>4210</v>
      </c>
      <c r="O2605" s="133" t="s">
        <v>555</v>
      </c>
      <c r="Q2605" s="100" t="s">
        <v>4230</v>
      </c>
      <c r="R2605" s="226" t="s">
        <v>4214</v>
      </c>
      <c r="S2605" s="491" t="str">
        <f t="shared" si="83"/>
        <v>x</v>
      </c>
      <c r="T2605" s="492">
        <f>IFERROR(VLOOKUP(F2605,'Freq-Chan'!C:D,2,FALSE),"x")</f>
        <v>151.32499999999999</v>
      </c>
      <c r="U2605" s="110" t="s">
        <v>541</v>
      </c>
      <c r="V2605" s="110" t="str">
        <f t="shared" si="84"/>
        <v>FWL</v>
      </c>
      <c r="W2605" s="110" t="s">
        <v>541</v>
      </c>
      <c r="X2605" s="110" t="s">
        <v>541</v>
      </c>
      <c r="Y2605" s="110" t="str">
        <f>IFERROR(VLOOKUP(F2605,'Freq-Chan'!C:E,3,FALSE),"na")</f>
        <v>F1840</v>
      </c>
      <c r="Z2605" s="110" t="s">
        <v>541</v>
      </c>
      <c r="AA2605" s="110" t="s">
        <v>541</v>
      </c>
      <c r="AB2605" s="110" t="s">
        <v>541</v>
      </c>
      <c r="AC2605" s="10" t="s">
        <v>541</v>
      </c>
      <c r="AD2605" s="10" t="s">
        <v>541</v>
      </c>
    </row>
    <row r="2606" spans="1:30" x14ac:dyDescent="0.2">
      <c r="A2606" s="110">
        <v>2606</v>
      </c>
      <c r="B2606" s="132">
        <v>41864</v>
      </c>
      <c r="C2606" s="117">
        <v>1</v>
      </c>
      <c r="D2606" s="103" t="s">
        <v>8</v>
      </c>
      <c r="E2606" s="103" t="s">
        <v>306</v>
      </c>
      <c r="F2606" s="103">
        <v>586</v>
      </c>
      <c r="G2606" s="103">
        <v>30</v>
      </c>
      <c r="H2606" s="103" t="s">
        <v>2263</v>
      </c>
      <c r="I2606" s="103">
        <v>51</v>
      </c>
      <c r="K2606" s="103" t="s">
        <v>364</v>
      </c>
      <c r="L2606" s="133"/>
      <c r="M2606" s="134">
        <v>3.2638888888888891E-2</v>
      </c>
      <c r="N2606" s="137" t="s">
        <v>3977</v>
      </c>
      <c r="O2606" s="133" t="s">
        <v>555</v>
      </c>
      <c r="Q2606" s="100" t="s">
        <v>4230</v>
      </c>
      <c r="R2606" s="226" t="s">
        <v>4214</v>
      </c>
      <c r="S2606" s="491" t="str">
        <f t="shared" si="83"/>
        <v>x</v>
      </c>
      <c r="T2606" s="492">
        <f>IFERROR(VLOOKUP(F2606,'Freq-Chan'!C:D,2,FALSE),"x")</f>
        <v>151.58600000000001</v>
      </c>
      <c r="U2606" s="110" t="s">
        <v>541</v>
      </c>
      <c r="V2606" s="110" t="str">
        <f t="shared" si="84"/>
        <v>FWL</v>
      </c>
      <c r="W2606" s="110" t="s">
        <v>541</v>
      </c>
      <c r="X2606" s="110" t="s">
        <v>541</v>
      </c>
      <c r="Y2606" s="110" t="str">
        <f>IFERROR(VLOOKUP(F2606,'Freq-Chan'!C:E,3,FALSE),"na")</f>
        <v>F1840</v>
      </c>
      <c r="Z2606" s="110" t="s">
        <v>541</v>
      </c>
      <c r="AA2606" s="110" t="s">
        <v>541</v>
      </c>
      <c r="AB2606" s="110" t="s">
        <v>541</v>
      </c>
      <c r="AC2606" s="10" t="s">
        <v>541</v>
      </c>
      <c r="AD2606" s="10" t="s">
        <v>541</v>
      </c>
    </row>
    <row r="2607" spans="1:30" x14ac:dyDescent="0.2">
      <c r="A2607" s="110">
        <v>2607</v>
      </c>
      <c r="B2607" s="132">
        <v>41864</v>
      </c>
      <c r="C2607" s="117">
        <v>1</v>
      </c>
      <c r="D2607" s="103" t="s">
        <v>70</v>
      </c>
      <c r="E2607" s="103" t="s">
        <v>306</v>
      </c>
      <c r="F2607" s="103">
        <v>596</v>
      </c>
      <c r="G2607" s="103">
        <v>6</v>
      </c>
      <c r="H2607" s="103" t="s">
        <v>3135</v>
      </c>
      <c r="I2607" s="103">
        <v>44</v>
      </c>
      <c r="K2607" s="103" t="s">
        <v>1032</v>
      </c>
      <c r="L2607" s="133"/>
      <c r="M2607" s="134">
        <v>3.9583333333333331E-2</v>
      </c>
      <c r="N2607" s="135" t="s">
        <v>4211</v>
      </c>
      <c r="O2607" s="133" t="s">
        <v>555</v>
      </c>
      <c r="Q2607" s="100" t="s">
        <v>4230</v>
      </c>
      <c r="R2607" s="226" t="s">
        <v>4214</v>
      </c>
      <c r="S2607" s="491" t="str">
        <f t="shared" si="83"/>
        <v>x</v>
      </c>
      <c r="T2607" s="492">
        <f>IFERROR(VLOOKUP(F2607,'Freq-Chan'!C:D,2,FALSE),"x")</f>
        <v>151.596</v>
      </c>
      <c r="U2607" s="110" t="s">
        <v>541</v>
      </c>
      <c r="V2607" s="110" t="str">
        <f t="shared" si="84"/>
        <v>FWL</v>
      </c>
      <c r="W2607" s="110" t="s">
        <v>541</v>
      </c>
      <c r="X2607" s="110" t="s">
        <v>541</v>
      </c>
      <c r="Y2607" s="110" t="str">
        <f>IFERROR(VLOOKUP(F2607,'Freq-Chan'!C:E,3,FALSE),"na")</f>
        <v>F1835</v>
      </c>
      <c r="Z2607" s="110" t="s">
        <v>541</v>
      </c>
      <c r="AA2607" s="110" t="s">
        <v>541</v>
      </c>
      <c r="AB2607" s="110" t="s">
        <v>541</v>
      </c>
      <c r="AC2607" s="10" t="s">
        <v>541</v>
      </c>
      <c r="AD2607" s="10" t="s">
        <v>541</v>
      </c>
    </row>
    <row r="2608" spans="1:30" x14ac:dyDescent="0.2">
      <c r="A2608" s="110">
        <v>2608</v>
      </c>
      <c r="B2608" s="132">
        <v>41864</v>
      </c>
      <c r="C2608" s="117">
        <v>1</v>
      </c>
      <c r="D2608" s="103" t="s">
        <v>72</v>
      </c>
      <c r="E2608" s="103" t="s">
        <v>306</v>
      </c>
      <c r="F2608" s="103">
        <v>325</v>
      </c>
      <c r="G2608" s="103">
        <v>15</v>
      </c>
      <c r="H2608" s="103" t="s">
        <v>3583</v>
      </c>
      <c r="I2608" s="103">
        <v>56</v>
      </c>
      <c r="K2608" s="103" t="s">
        <v>364</v>
      </c>
      <c r="L2608" s="133"/>
      <c r="M2608" s="134">
        <v>3.4722222222222224E-2</v>
      </c>
      <c r="N2608" s="135" t="s">
        <v>1878</v>
      </c>
      <c r="O2608" s="133" t="s">
        <v>555</v>
      </c>
      <c r="Q2608" s="100" t="s">
        <v>4230</v>
      </c>
      <c r="R2608" s="226" t="s">
        <v>4214</v>
      </c>
      <c r="S2608" s="491" t="str">
        <f t="shared" si="83"/>
        <v>x</v>
      </c>
      <c r="T2608" s="492">
        <f>IFERROR(VLOOKUP(F2608,'Freq-Chan'!C:D,2,FALSE),"x")</f>
        <v>151.32499999999999</v>
      </c>
      <c r="U2608" s="110" t="s">
        <v>541</v>
      </c>
      <c r="V2608" s="110" t="str">
        <f t="shared" si="84"/>
        <v>FWL</v>
      </c>
      <c r="W2608" s="110" t="s">
        <v>541</v>
      </c>
      <c r="X2608" s="110" t="s">
        <v>541</v>
      </c>
      <c r="Y2608" s="110" t="str">
        <f>IFERROR(VLOOKUP(F2608,'Freq-Chan'!C:E,3,FALSE),"na")</f>
        <v>F1840</v>
      </c>
      <c r="Z2608" s="110" t="s">
        <v>541</v>
      </c>
      <c r="AA2608" s="110" t="s">
        <v>541</v>
      </c>
      <c r="AB2608" s="110" t="s">
        <v>541</v>
      </c>
      <c r="AC2608" s="10" t="s">
        <v>541</v>
      </c>
      <c r="AD2608" s="10" t="s">
        <v>541</v>
      </c>
    </row>
    <row r="2609" spans="1:30" s="291" customFormat="1" x14ac:dyDescent="0.2">
      <c r="A2609" s="493">
        <v>2609</v>
      </c>
      <c r="B2609" s="283">
        <v>41864</v>
      </c>
      <c r="C2609" s="284">
        <v>1</v>
      </c>
      <c r="D2609" s="285" t="s">
        <v>8</v>
      </c>
      <c r="E2609" s="285" t="s">
        <v>306</v>
      </c>
      <c r="F2609" s="285">
        <v>586</v>
      </c>
      <c r="G2609" s="285">
        <v>0</v>
      </c>
      <c r="H2609" s="285" t="s">
        <v>4212</v>
      </c>
      <c r="I2609" s="285">
        <v>49</v>
      </c>
      <c r="J2609" s="285"/>
      <c r="K2609" s="285" t="s">
        <v>364</v>
      </c>
      <c r="L2609" s="286"/>
      <c r="M2609" s="287">
        <v>3.0555555555555555E-2</v>
      </c>
      <c r="N2609" s="288" t="s">
        <v>510</v>
      </c>
      <c r="O2609" s="286" t="s">
        <v>555</v>
      </c>
      <c r="P2609" s="289"/>
      <c r="Q2609" s="289" t="s">
        <v>4230</v>
      </c>
      <c r="R2609" s="290" t="s">
        <v>4214</v>
      </c>
      <c r="S2609" s="494" t="str">
        <f t="shared" si="83"/>
        <v>x</v>
      </c>
      <c r="T2609" s="495">
        <f>IFERROR(VLOOKUP(F2609,'Freq-Chan'!C:D,2,FALSE),"x")</f>
        <v>151.58600000000001</v>
      </c>
      <c r="U2609" s="493" t="s">
        <v>541</v>
      </c>
      <c r="V2609" s="493" t="str">
        <f t="shared" si="84"/>
        <v>FWL</v>
      </c>
      <c r="W2609" s="493" t="s">
        <v>541</v>
      </c>
      <c r="X2609" s="493" t="s">
        <v>541</v>
      </c>
      <c r="Y2609" s="493" t="str">
        <f>IFERROR(VLOOKUP(F2609,'Freq-Chan'!C:E,3,FALSE),"na")</f>
        <v>F1840</v>
      </c>
      <c r="Z2609" s="493" t="s">
        <v>541</v>
      </c>
      <c r="AA2609" s="493" t="s">
        <v>541</v>
      </c>
      <c r="AB2609" s="493" t="s">
        <v>541</v>
      </c>
      <c r="AC2609" s="291" t="s">
        <v>541</v>
      </c>
      <c r="AD2609" s="291" t="s">
        <v>541</v>
      </c>
    </row>
    <row r="2610" spans="1:30" x14ac:dyDescent="0.2">
      <c r="A2610" s="110">
        <v>2610</v>
      </c>
      <c r="B2610" s="132">
        <v>41864</v>
      </c>
      <c r="C2610" s="117">
        <v>2</v>
      </c>
      <c r="D2610" s="103" t="s">
        <v>71</v>
      </c>
      <c r="E2610" s="103" t="s">
        <v>306</v>
      </c>
      <c r="H2610" s="103"/>
      <c r="I2610" s="103">
        <v>62</v>
      </c>
      <c r="K2610" s="103" t="s">
        <v>1032</v>
      </c>
      <c r="L2610" s="133"/>
      <c r="M2610" s="134">
        <v>1.4583333333333332E-2</v>
      </c>
      <c r="N2610" s="135" t="s">
        <v>3293</v>
      </c>
      <c r="O2610" s="133" t="s">
        <v>1585</v>
      </c>
      <c r="Q2610" s="100" t="s">
        <v>4213</v>
      </c>
      <c r="R2610" s="226" t="s">
        <v>4214</v>
      </c>
      <c r="S2610" s="491" t="str">
        <f t="shared" ref="S2610:S2673" si="85">IF(IF(OR(L2610=0,N2610=0),"x",ROUND(N2610-L2610-(M2610*24)/(24*60),10))&lt;0,0,IF(OR(L2610=0,N2610=0),"x",ROUND(N2610-L2610-(M2610*24)/(24*60),10)))</f>
        <v>x</v>
      </c>
      <c r="T2610" s="492" t="str">
        <f>IFERROR(VLOOKUP(F2610,'Freq-Chan'!C:D,2,FALSE),"x")</f>
        <v>x</v>
      </c>
      <c r="U2610" s="110" t="s">
        <v>541</v>
      </c>
      <c r="V2610" s="110" t="str">
        <f t="shared" ref="V2610:V2673" si="86">IF(OR(C2610=1,C2610=2,C2610=3),"FWL","NRD")</f>
        <v>FWL</v>
      </c>
      <c r="W2610" s="110" t="s">
        <v>541</v>
      </c>
      <c r="X2610" s="110" t="s">
        <v>541</v>
      </c>
      <c r="Y2610" s="110" t="str">
        <f>IFERROR(VLOOKUP(F2610,'Freq-Chan'!C:E,3,FALSE),"na")</f>
        <v>na</v>
      </c>
      <c r="Z2610" s="110" t="s">
        <v>541</v>
      </c>
      <c r="AA2610" s="110" t="s">
        <v>541</v>
      </c>
      <c r="AB2610" s="110" t="s">
        <v>541</v>
      </c>
      <c r="AC2610" s="10" t="s">
        <v>541</v>
      </c>
      <c r="AD2610" s="10" t="s">
        <v>541</v>
      </c>
    </row>
    <row r="2611" spans="1:30" x14ac:dyDescent="0.2">
      <c r="A2611" s="110">
        <v>2611</v>
      </c>
      <c r="B2611" s="132">
        <v>41864</v>
      </c>
      <c r="C2611" s="117">
        <v>2</v>
      </c>
      <c r="D2611" s="103" t="s">
        <v>71</v>
      </c>
      <c r="E2611" s="103" t="s">
        <v>306</v>
      </c>
      <c r="H2611" s="103"/>
      <c r="I2611" s="103">
        <v>66</v>
      </c>
      <c r="K2611" s="103" t="s">
        <v>1032</v>
      </c>
      <c r="L2611" s="133"/>
      <c r="M2611" s="134">
        <v>1.3194444444444444E-2</v>
      </c>
      <c r="N2611" s="135" t="s">
        <v>3827</v>
      </c>
      <c r="O2611" s="133" t="s">
        <v>1585</v>
      </c>
      <c r="Q2611" s="100" t="s">
        <v>4213</v>
      </c>
      <c r="R2611" s="226" t="s">
        <v>4214</v>
      </c>
      <c r="S2611" s="491" t="str">
        <f t="shared" si="85"/>
        <v>x</v>
      </c>
      <c r="T2611" s="492" t="str">
        <f>IFERROR(VLOOKUP(F2611,'Freq-Chan'!C:D,2,FALSE),"x")</f>
        <v>x</v>
      </c>
      <c r="U2611" s="110" t="s">
        <v>541</v>
      </c>
      <c r="V2611" s="110" t="str">
        <f t="shared" si="86"/>
        <v>FWL</v>
      </c>
      <c r="W2611" s="110" t="s">
        <v>541</v>
      </c>
      <c r="X2611" s="110" t="s">
        <v>541</v>
      </c>
      <c r="Y2611" s="110" t="str">
        <f>IFERROR(VLOOKUP(F2611,'Freq-Chan'!C:E,3,FALSE),"na")</f>
        <v>na</v>
      </c>
      <c r="Z2611" s="110" t="s">
        <v>541</v>
      </c>
      <c r="AA2611" s="110" t="s">
        <v>541</v>
      </c>
      <c r="AB2611" s="110" t="s">
        <v>541</v>
      </c>
      <c r="AC2611" s="10" t="s">
        <v>541</v>
      </c>
      <c r="AD2611" s="10" t="s">
        <v>541</v>
      </c>
    </row>
    <row r="2612" spans="1:30" x14ac:dyDescent="0.2">
      <c r="A2612" s="110">
        <v>2612</v>
      </c>
      <c r="B2612" s="132">
        <v>41864</v>
      </c>
      <c r="C2612" s="117">
        <v>2</v>
      </c>
      <c r="D2612" s="103" t="s">
        <v>71</v>
      </c>
      <c r="E2612" s="103" t="s">
        <v>306</v>
      </c>
      <c r="H2612" s="103"/>
      <c r="I2612" s="103">
        <v>54</v>
      </c>
      <c r="K2612" s="103" t="s">
        <v>1032</v>
      </c>
      <c r="L2612" s="133"/>
      <c r="M2612" s="134">
        <v>1.6666666666666666E-2</v>
      </c>
      <c r="N2612" s="135" t="s">
        <v>3491</v>
      </c>
      <c r="O2612" s="133" t="s">
        <v>1585</v>
      </c>
      <c r="Q2612" s="100" t="s">
        <v>4213</v>
      </c>
      <c r="R2612" s="226" t="s">
        <v>4214</v>
      </c>
      <c r="S2612" s="491" t="str">
        <f t="shared" si="85"/>
        <v>x</v>
      </c>
      <c r="T2612" s="492" t="str">
        <f>IFERROR(VLOOKUP(F2612,'Freq-Chan'!C:D,2,FALSE),"x")</f>
        <v>x</v>
      </c>
      <c r="U2612" s="110" t="s">
        <v>541</v>
      </c>
      <c r="V2612" s="110" t="str">
        <f t="shared" si="86"/>
        <v>FWL</v>
      </c>
      <c r="W2612" s="110" t="s">
        <v>541</v>
      </c>
      <c r="X2612" s="110" t="s">
        <v>541</v>
      </c>
      <c r="Y2612" s="110" t="str">
        <f>IFERROR(VLOOKUP(F2612,'Freq-Chan'!C:E,3,FALSE),"na")</f>
        <v>na</v>
      </c>
      <c r="Z2612" s="110" t="s">
        <v>541</v>
      </c>
      <c r="AA2612" s="110" t="s">
        <v>541</v>
      </c>
      <c r="AB2612" s="110" t="s">
        <v>541</v>
      </c>
      <c r="AC2612" s="10" t="s">
        <v>541</v>
      </c>
      <c r="AD2612" s="10" t="s">
        <v>541</v>
      </c>
    </row>
    <row r="2613" spans="1:30" x14ac:dyDescent="0.2">
      <c r="A2613" s="110">
        <v>2613</v>
      </c>
      <c r="B2613" s="132">
        <v>41864</v>
      </c>
      <c r="C2613" s="117">
        <v>2</v>
      </c>
      <c r="D2613" s="103" t="s">
        <v>71</v>
      </c>
      <c r="E2613" s="103" t="s">
        <v>306</v>
      </c>
      <c r="H2613" s="103"/>
      <c r="I2613" s="103">
        <v>65</v>
      </c>
      <c r="K2613" s="103" t="s">
        <v>1032</v>
      </c>
      <c r="L2613" s="133"/>
      <c r="M2613" s="134">
        <v>1.5277777777777777E-2</v>
      </c>
      <c r="N2613" s="137" t="s">
        <v>3401</v>
      </c>
      <c r="O2613" s="133" t="s">
        <v>1585</v>
      </c>
      <c r="Q2613" s="100" t="s">
        <v>4213</v>
      </c>
      <c r="R2613" s="226" t="s">
        <v>4214</v>
      </c>
      <c r="S2613" s="491" t="str">
        <f t="shared" si="85"/>
        <v>x</v>
      </c>
      <c r="T2613" s="492" t="str">
        <f>IFERROR(VLOOKUP(F2613,'Freq-Chan'!C:D,2,FALSE),"x")</f>
        <v>x</v>
      </c>
      <c r="U2613" s="110" t="s">
        <v>541</v>
      </c>
      <c r="V2613" s="110" t="str">
        <f t="shared" si="86"/>
        <v>FWL</v>
      </c>
      <c r="W2613" s="110" t="s">
        <v>541</v>
      </c>
      <c r="X2613" s="110" t="s">
        <v>541</v>
      </c>
      <c r="Y2613" s="110" t="str">
        <f>IFERROR(VLOOKUP(F2613,'Freq-Chan'!C:E,3,FALSE),"na")</f>
        <v>na</v>
      </c>
      <c r="Z2613" s="110" t="s">
        <v>541</v>
      </c>
      <c r="AA2613" s="110" t="s">
        <v>541</v>
      </c>
      <c r="AB2613" s="110" t="s">
        <v>541</v>
      </c>
      <c r="AC2613" s="10" t="s">
        <v>541</v>
      </c>
      <c r="AD2613" s="10" t="s">
        <v>541</v>
      </c>
    </row>
    <row r="2614" spans="1:30" x14ac:dyDescent="0.2">
      <c r="A2614" s="110">
        <v>2614</v>
      </c>
      <c r="B2614" s="132">
        <v>41864</v>
      </c>
      <c r="C2614" s="117">
        <v>2</v>
      </c>
      <c r="D2614" s="103" t="s">
        <v>71</v>
      </c>
      <c r="E2614" s="103" t="s">
        <v>306</v>
      </c>
      <c r="H2614" s="103"/>
      <c r="I2614" s="103">
        <v>65</v>
      </c>
      <c r="K2614" s="103" t="s">
        <v>365</v>
      </c>
      <c r="L2614" s="133"/>
      <c r="M2614" s="134">
        <v>1.5972222222222224E-2</v>
      </c>
      <c r="N2614" s="137" t="s">
        <v>3294</v>
      </c>
      <c r="O2614" s="133" t="s">
        <v>1585</v>
      </c>
      <c r="P2614" s="100" t="s">
        <v>4218</v>
      </c>
      <c r="Q2614" s="100" t="s">
        <v>4213</v>
      </c>
      <c r="R2614" s="226" t="s">
        <v>4214</v>
      </c>
      <c r="S2614" s="491" t="str">
        <f t="shared" si="85"/>
        <v>x</v>
      </c>
      <c r="T2614" s="492" t="str">
        <f>IFERROR(VLOOKUP(F2614,'Freq-Chan'!C:D,2,FALSE),"x")</f>
        <v>x</v>
      </c>
      <c r="U2614" s="110" t="s">
        <v>541</v>
      </c>
      <c r="V2614" s="110" t="str">
        <f t="shared" si="86"/>
        <v>FWL</v>
      </c>
      <c r="W2614" s="110" t="s">
        <v>541</v>
      </c>
      <c r="X2614" s="110" t="s">
        <v>541</v>
      </c>
      <c r="Y2614" s="110" t="str">
        <f>IFERROR(VLOOKUP(F2614,'Freq-Chan'!C:E,3,FALSE),"na")</f>
        <v>na</v>
      </c>
      <c r="Z2614" s="110" t="s">
        <v>541</v>
      </c>
      <c r="AA2614" s="110" t="s">
        <v>541</v>
      </c>
      <c r="AB2614" s="110" t="s">
        <v>541</v>
      </c>
      <c r="AC2614" s="10" t="s">
        <v>541</v>
      </c>
      <c r="AD2614" s="10" t="s">
        <v>541</v>
      </c>
    </row>
    <row r="2615" spans="1:30" x14ac:dyDescent="0.2">
      <c r="A2615" s="110">
        <v>2615</v>
      </c>
      <c r="B2615" s="132">
        <v>41864</v>
      </c>
      <c r="C2615" s="117">
        <v>2</v>
      </c>
      <c r="D2615" s="103" t="s">
        <v>71</v>
      </c>
      <c r="E2615" s="103" t="s">
        <v>306</v>
      </c>
      <c r="H2615" s="103"/>
      <c r="I2615" s="103">
        <v>61</v>
      </c>
      <c r="K2615" s="103" t="s">
        <v>365</v>
      </c>
      <c r="L2615" s="133"/>
      <c r="M2615" s="134">
        <v>1.6666666666666666E-2</v>
      </c>
      <c r="N2615" s="137" t="s">
        <v>4000</v>
      </c>
      <c r="O2615" s="133" t="s">
        <v>1663</v>
      </c>
      <c r="Q2615" s="100" t="s">
        <v>4213</v>
      </c>
      <c r="R2615" s="226" t="s">
        <v>4214</v>
      </c>
      <c r="S2615" s="491" t="str">
        <f t="shared" si="85"/>
        <v>x</v>
      </c>
      <c r="T2615" s="492" t="str">
        <f>IFERROR(VLOOKUP(F2615,'Freq-Chan'!C:D,2,FALSE),"x")</f>
        <v>x</v>
      </c>
      <c r="U2615" s="110" t="s">
        <v>541</v>
      </c>
      <c r="V2615" s="110" t="str">
        <f t="shared" si="86"/>
        <v>FWL</v>
      </c>
      <c r="W2615" s="110" t="s">
        <v>541</v>
      </c>
      <c r="X2615" s="110" t="s">
        <v>541</v>
      </c>
      <c r="Y2615" s="110" t="str">
        <f>IFERROR(VLOOKUP(F2615,'Freq-Chan'!C:E,3,FALSE),"na")</f>
        <v>na</v>
      </c>
      <c r="Z2615" s="110" t="s">
        <v>541</v>
      </c>
      <c r="AA2615" s="110" t="s">
        <v>541</v>
      </c>
      <c r="AB2615" s="110" t="s">
        <v>541</v>
      </c>
      <c r="AC2615" s="10" t="s">
        <v>541</v>
      </c>
      <c r="AD2615" s="10" t="s">
        <v>541</v>
      </c>
    </row>
    <row r="2616" spans="1:30" x14ac:dyDescent="0.2">
      <c r="A2616" s="110">
        <v>2616</v>
      </c>
      <c r="B2616" s="132">
        <v>41864</v>
      </c>
      <c r="C2616" s="117">
        <v>2</v>
      </c>
      <c r="D2616" s="103" t="s">
        <v>71</v>
      </c>
      <c r="E2616" s="103" t="s">
        <v>306</v>
      </c>
      <c r="H2616" s="103"/>
      <c r="I2616" s="103">
        <v>59</v>
      </c>
      <c r="K2616" s="103" t="s">
        <v>1032</v>
      </c>
      <c r="L2616" s="133"/>
      <c r="M2616" s="134">
        <v>1.8749999999999999E-2</v>
      </c>
      <c r="N2616" s="137" t="s">
        <v>825</v>
      </c>
      <c r="O2616" s="133" t="s">
        <v>1888</v>
      </c>
      <c r="Q2616" s="100" t="s">
        <v>4229</v>
      </c>
      <c r="R2616" s="226" t="s">
        <v>4214</v>
      </c>
      <c r="S2616" s="491" t="str">
        <f t="shared" si="85"/>
        <v>x</v>
      </c>
      <c r="T2616" s="492" t="str">
        <f>IFERROR(VLOOKUP(F2616,'Freq-Chan'!C:D,2,FALSE),"x")</f>
        <v>x</v>
      </c>
      <c r="U2616" s="110" t="s">
        <v>541</v>
      </c>
      <c r="V2616" s="110" t="str">
        <f t="shared" si="86"/>
        <v>FWL</v>
      </c>
      <c r="W2616" s="110" t="s">
        <v>541</v>
      </c>
      <c r="X2616" s="110" t="s">
        <v>541</v>
      </c>
      <c r="Y2616" s="110" t="str">
        <f>IFERROR(VLOOKUP(F2616,'Freq-Chan'!C:E,3,FALSE),"na")</f>
        <v>na</v>
      </c>
      <c r="Z2616" s="110" t="s">
        <v>541</v>
      </c>
      <c r="AA2616" s="110" t="s">
        <v>541</v>
      </c>
      <c r="AB2616" s="110" t="s">
        <v>541</v>
      </c>
      <c r="AC2616" s="10" t="s">
        <v>541</v>
      </c>
      <c r="AD2616" s="10" t="s">
        <v>541</v>
      </c>
    </row>
    <row r="2617" spans="1:30" x14ac:dyDescent="0.2">
      <c r="A2617" s="110">
        <v>2617</v>
      </c>
      <c r="B2617" s="132">
        <v>41864</v>
      </c>
      <c r="C2617" s="117">
        <v>2</v>
      </c>
      <c r="D2617" s="103" t="s">
        <v>71</v>
      </c>
      <c r="E2617" s="103" t="s">
        <v>306</v>
      </c>
      <c r="H2617" s="103"/>
      <c r="I2617" s="103">
        <v>50</v>
      </c>
      <c r="K2617" s="103" t="s">
        <v>365</v>
      </c>
      <c r="L2617" s="133"/>
      <c r="M2617" s="134">
        <v>1.8749999999999999E-2</v>
      </c>
      <c r="N2617" s="137" t="s">
        <v>2692</v>
      </c>
      <c r="O2617" s="133" t="s">
        <v>1888</v>
      </c>
      <c r="Q2617" s="100" t="s">
        <v>4229</v>
      </c>
      <c r="R2617" s="226" t="s">
        <v>4214</v>
      </c>
      <c r="S2617" s="491" t="str">
        <f t="shared" si="85"/>
        <v>x</v>
      </c>
      <c r="T2617" s="492" t="str">
        <f>IFERROR(VLOOKUP(F2617,'Freq-Chan'!C:D,2,FALSE),"x")</f>
        <v>x</v>
      </c>
      <c r="U2617" s="110" t="s">
        <v>541</v>
      </c>
      <c r="V2617" s="110" t="str">
        <f t="shared" si="86"/>
        <v>FWL</v>
      </c>
      <c r="W2617" s="110" t="s">
        <v>541</v>
      </c>
      <c r="X2617" s="110" t="s">
        <v>541</v>
      </c>
      <c r="Y2617" s="110" t="str">
        <f>IFERROR(VLOOKUP(F2617,'Freq-Chan'!C:E,3,FALSE),"na")</f>
        <v>na</v>
      </c>
      <c r="Z2617" s="110" t="s">
        <v>541</v>
      </c>
      <c r="AA2617" s="110" t="s">
        <v>541</v>
      </c>
      <c r="AB2617" s="110" t="s">
        <v>541</v>
      </c>
      <c r="AC2617" s="10" t="s">
        <v>541</v>
      </c>
      <c r="AD2617" s="10" t="s">
        <v>541</v>
      </c>
    </row>
    <row r="2618" spans="1:30" x14ac:dyDescent="0.2">
      <c r="A2618" s="110">
        <v>2618</v>
      </c>
      <c r="B2618" s="132">
        <v>41864</v>
      </c>
      <c r="C2618" s="117">
        <v>2</v>
      </c>
      <c r="D2618" s="103" t="s">
        <v>8</v>
      </c>
      <c r="E2618" s="103" t="s">
        <v>306</v>
      </c>
      <c r="H2618" s="103"/>
      <c r="I2618" s="103">
        <v>43</v>
      </c>
      <c r="K2618" s="103" t="s">
        <v>1032</v>
      </c>
      <c r="L2618" s="133"/>
      <c r="M2618" s="134">
        <v>3.4722222222222224E-2</v>
      </c>
      <c r="N2618" s="137" t="s">
        <v>2655</v>
      </c>
      <c r="O2618" s="133" t="s">
        <v>1888</v>
      </c>
      <c r="P2618" s="100" t="s">
        <v>4225</v>
      </c>
      <c r="Q2618" s="100" t="s">
        <v>4229</v>
      </c>
      <c r="R2618" s="226" t="s">
        <v>4214</v>
      </c>
      <c r="S2618" s="491" t="str">
        <f t="shared" si="85"/>
        <v>x</v>
      </c>
      <c r="T2618" s="492" t="str">
        <f>IFERROR(VLOOKUP(F2618,'Freq-Chan'!C:D,2,FALSE),"x")</f>
        <v>x</v>
      </c>
      <c r="U2618" s="110" t="s">
        <v>541</v>
      </c>
      <c r="V2618" s="110" t="str">
        <f t="shared" si="86"/>
        <v>FWL</v>
      </c>
      <c r="W2618" s="110" t="s">
        <v>541</v>
      </c>
      <c r="X2618" s="110" t="s">
        <v>541</v>
      </c>
      <c r="Y2618" s="110" t="str">
        <f>IFERROR(VLOOKUP(F2618,'Freq-Chan'!C:E,3,FALSE),"na")</f>
        <v>na</v>
      </c>
      <c r="Z2618" s="110" t="s">
        <v>541</v>
      </c>
      <c r="AA2618" s="110" t="s">
        <v>541</v>
      </c>
      <c r="AB2618" s="110" t="s">
        <v>541</v>
      </c>
      <c r="AC2618" s="10" t="s">
        <v>541</v>
      </c>
      <c r="AD2618" s="10" t="s">
        <v>541</v>
      </c>
    </row>
    <row r="2619" spans="1:30" x14ac:dyDescent="0.2">
      <c r="A2619" s="110">
        <v>2619</v>
      </c>
      <c r="B2619" s="132">
        <v>41864</v>
      </c>
      <c r="C2619" s="117">
        <v>2</v>
      </c>
      <c r="D2619" s="103" t="s">
        <v>71</v>
      </c>
      <c r="E2619" s="103" t="s">
        <v>306</v>
      </c>
      <c r="H2619" s="103"/>
      <c r="I2619" s="103">
        <v>59</v>
      </c>
      <c r="K2619" s="103" t="s">
        <v>1032</v>
      </c>
      <c r="L2619" s="133"/>
      <c r="M2619" s="134">
        <v>1.9444444444444445E-2</v>
      </c>
      <c r="N2619" s="135" t="s">
        <v>3256</v>
      </c>
      <c r="O2619" s="133" t="s">
        <v>1888</v>
      </c>
      <c r="Q2619" s="100" t="s">
        <v>4229</v>
      </c>
      <c r="R2619" s="226" t="s">
        <v>4214</v>
      </c>
      <c r="S2619" s="491" t="str">
        <f t="shared" si="85"/>
        <v>x</v>
      </c>
      <c r="T2619" s="492" t="str">
        <f>IFERROR(VLOOKUP(F2619,'Freq-Chan'!C:D,2,FALSE),"x")</f>
        <v>x</v>
      </c>
      <c r="U2619" s="110" t="s">
        <v>541</v>
      </c>
      <c r="V2619" s="110" t="str">
        <f t="shared" si="86"/>
        <v>FWL</v>
      </c>
      <c r="W2619" s="110" t="s">
        <v>541</v>
      </c>
      <c r="X2619" s="110" t="s">
        <v>541</v>
      </c>
      <c r="Y2619" s="110" t="str">
        <f>IFERROR(VLOOKUP(F2619,'Freq-Chan'!C:E,3,FALSE),"na")</f>
        <v>na</v>
      </c>
      <c r="Z2619" s="110" t="s">
        <v>541</v>
      </c>
      <c r="AA2619" s="110" t="s">
        <v>541</v>
      </c>
      <c r="AB2619" s="110" t="s">
        <v>541</v>
      </c>
      <c r="AC2619" s="10" t="s">
        <v>541</v>
      </c>
      <c r="AD2619" s="10" t="s">
        <v>541</v>
      </c>
    </row>
    <row r="2620" spans="1:30" x14ac:dyDescent="0.2">
      <c r="A2620" s="110">
        <v>2620</v>
      </c>
      <c r="B2620" s="132">
        <v>41864</v>
      </c>
      <c r="C2620" s="117">
        <v>2</v>
      </c>
      <c r="D2620" s="103" t="s">
        <v>71</v>
      </c>
      <c r="E2620" s="103" t="s">
        <v>306</v>
      </c>
      <c r="H2620" s="103"/>
      <c r="I2620" s="103">
        <v>58</v>
      </c>
      <c r="K2620" s="103" t="s">
        <v>365</v>
      </c>
      <c r="L2620" s="133"/>
      <c r="M2620" s="134">
        <v>2.2222222222222223E-2</v>
      </c>
      <c r="N2620" s="137" t="s">
        <v>3428</v>
      </c>
      <c r="O2620" s="133" t="s">
        <v>1888</v>
      </c>
      <c r="Q2620" s="100" t="s">
        <v>4229</v>
      </c>
      <c r="R2620" s="226" t="s">
        <v>4214</v>
      </c>
      <c r="S2620" s="491" t="str">
        <f t="shared" si="85"/>
        <v>x</v>
      </c>
      <c r="T2620" s="492" t="str">
        <f>IFERROR(VLOOKUP(F2620,'Freq-Chan'!C:D,2,FALSE),"x")</f>
        <v>x</v>
      </c>
      <c r="U2620" s="110" t="s">
        <v>541</v>
      </c>
      <c r="V2620" s="110" t="str">
        <f t="shared" si="86"/>
        <v>FWL</v>
      </c>
      <c r="W2620" s="110" t="s">
        <v>541</v>
      </c>
      <c r="X2620" s="110" t="s">
        <v>541</v>
      </c>
      <c r="Y2620" s="110" t="str">
        <f>IFERROR(VLOOKUP(F2620,'Freq-Chan'!C:E,3,FALSE),"na")</f>
        <v>na</v>
      </c>
      <c r="Z2620" s="110" t="s">
        <v>541</v>
      </c>
      <c r="AA2620" s="110" t="s">
        <v>541</v>
      </c>
      <c r="AB2620" s="110" t="s">
        <v>541</v>
      </c>
      <c r="AC2620" s="10" t="s">
        <v>541</v>
      </c>
      <c r="AD2620" s="10" t="s">
        <v>541</v>
      </c>
    </row>
    <row r="2621" spans="1:30" x14ac:dyDescent="0.2">
      <c r="A2621" s="110">
        <v>2621</v>
      </c>
      <c r="B2621" s="132">
        <v>41864</v>
      </c>
      <c r="C2621" s="117">
        <v>2</v>
      </c>
      <c r="D2621" s="103" t="s">
        <v>71</v>
      </c>
      <c r="E2621" s="103" t="s">
        <v>306</v>
      </c>
      <c r="H2621" s="103"/>
      <c r="I2621" s="103">
        <v>56</v>
      </c>
      <c r="K2621" s="103" t="s">
        <v>365</v>
      </c>
      <c r="L2621" s="133"/>
      <c r="M2621" s="134">
        <v>2.013888888888889E-2</v>
      </c>
      <c r="N2621" s="137" t="s">
        <v>3839</v>
      </c>
      <c r="O2621" s="133" t="s">
        <v>1888</v>
      </c>
      <c r="Q2621" s="100" t="s">
        <v>4229</v>
      </c>
      <c r="R2621" s="226" t="s">
        <v>4214</v>
      </c>
      <c r="S2621" s="491" t="str">
        <f t="shared" si="85"/>
        <v>x</v>
      </c>
      <c r="T2621" s="492" t="str">
        <f>IFERROR(VLOOKUP(F2621,'Freq-Chan'!C:D,2,FALSE),"x")</f>
        <v>x</v>
      </c>
      <c r="U2621" s="110" t="s">
        <v>541</v>
      </c>
      <c r="V2621" s="110" t="str">
        <f t="shared" si="86"/>
        <v>FWL</v>
      </c>
      <c r="W2621" s="110" t="s">
        <v>541</v>
      </c>
      <c r="X2621" s="110" t="s">
        <v>541</v>
      </c>
      <c r="Y2621" s="110" t="str">
        <f>IFERROR(VLOOKUP(F2621,'Freq-Chan'!C:E,3,FALSE),"na")</f>
        <v>na</v>
      </c>
      <c r="Z2621" s="110" t="s">
        <v>541</v>
      </c>
      <c r="AA2621" s="110" t="s">
        <v>541</v>
      </c>
      <c r="AB2621" s="110" t="s">
        <v>541</v>
      </c>
      <c r="AC2621" s="10" t="s">
        <v>541</v>
      </c>
      <c r="AD2621" s="10" t="s">
        <v>541</v>
      </c>
    </row>
    <row r="2622" spans="1:30" x14ac:dyDescent="0.2">
      <c r="A2622" s="110">
        <v>2622</v>
      </c>
      <c r="B2622" s="132">
        <v>41864</v>
      </c>
      <c r="C2622" s="117">
        <v>2</v>
      </c>
      <c r="D2622" s="103" t="s">
        <v>71</v>
      </c>
      <c r="E2622" s="103" t="s">
        <v>306</v>
      </c>
      <c r="H2622" s="103"/>
      <c r="I2622" s="103">
        <v>53</v>
      </c>
      <c r="K2622" s="103" t="s">
        <v>1032</v>
      </c>
      <c r="L2622" s="133"/>
      <c r="M2622" s="134">
        <v>1.7361111111111112E-2</v>
      </c>
      <c r="N2622" s="137" t="s">
        <v>2592</v>
      </c>
      <c r="O2622" s="133" t="s">
        <v>1888</v>
      </c>
      <c r="Q2622" s="100" t="s">
        <v>4229</v>
      </c>
      <c r="R2622" s="226" t="s">
        <v>4214</v>
      </c>
      <c r="S2622" s="491" t="str">
        <f t="shared" si="85"/>
        <v>x</v>
      </c>
      <c r="T2622" s="492" t="str">
        <f>IFERROR(VLOOKUP(F2622,'Freq-Chan'!C:D,2,FALSE),"x")</f>
        <v>x</v>
      </c>
      <c r="U2622" s="110" t="s">
        <v>541</v>
      </c>
      <c r="V2622" s="110" t="str">
        <f t="shared" si="86"/>
        <v>FWL</v>
      </c>
      <c r="W2622" s="110" t="s">
        <v>541</v>
      </c>
      <c r="X2622" s="110" t="s">
        <v>541</v>
      </c>
      <c r="Y2622" s="110" t="str">
        <f>IFERROR(VLOOKUP(F2622,'Freq-Chan'!C:E,3,FALSE),"na")</f>
        <v>na</v>
      </c>
      <c r="Z2622" s="110" t="s">
        <v>541</v>
      </c>
      <c r="AA2622" s="110" t="s">
        <v>541</v>
      </c>
      <c r="AB2622" s="110" t="s">
        <v>541</v>
      </c>
      <c r="AC2622" s="10" t="s">
        <v>541</v>
      </c>
      <c r="AD2622" s="10" t="s">
        <v>541</v>
      </c>
    </row>
    <row r="2623" spans="1:30" x14ac:dyDescent="0.2">
      <c r="A2623" s="110">
        <v>2623</v>
      </c>
      <c r="B2623" s="132">
        <v>41864</v>
      </c>
      <c r="C2623" s="117">
        <v>2</v>
      </c>
      <c r="D2623" s="103" t="s">
        <v>71</v>
      </c>
      <c r="E2623" s="103" t="s">
        <v>306</v>
      </c>
      <c r="H2623" s="103"/>
      <c r="I2623" s="103">
        <v>63</v>
      </c>
      <c r="K2623" s="103" t="s">
        <v>1032</v>
      </c>
      <c r="L2623" s="133">
        <v>0.55277777777777781</v>
      </c>
      <c r="M2623" s="134">
        <v>2.0833333333333332E-2</v>
      </c>
      <c r="N2623" s="137" t="s">
        <v>3358</v>
      </c>
      <c r="O2623" s="133" t="s">
        <v>1888</v>
      </c>
      <c r="Q2623" s="100" t="s">
        <v>4229</v>
      </c>
      <c r="R2623" s="226" t="s">
        <v>4214</v>
      </c>
      <c r="S2623" s="491">
        <f t="shared" si="85"/>
        <v>1.0416666999999999E-3</v>
      </c>
      <c r="T2623" s="492" t="str">
        <f>IFERROR(VLOOKUP(F2623,'Freq-Chan'!C:D,2,FALSE),"x")</f>
        <v>x</v>
      </c>
      <c r="U2623" s="110" t="s">
        <v>541</v>
      </c>
      <c r="V2623" s="110" t="str">
        <f t="shared" si="86"/>
        <v>FWL</v>
      </c>
      <c r="W2623" s="110" t="s">
        <v>541</v>
      </c>
      <c r="X2623" s="110" t="s">
        <v>541</v>
      </c>
      <c r="Y2623" s="110" t="str">
        <f>IFERROR(VLOOKUP(F2623,'Freq-Chan'!C:E,3,FALSE),"na")</f>
        <v>na</v>
      </c>
      <c r="Z2623" s="110" t="s">
        <v>541</v>
      </c>
      <c r="AA2623" s="110" t="s">
        <v>541</v>
      </c>
      <c r="AB2623" s="110" t="s">
        <v>541</v>
      </c>
      <c r="AC2623" s="10" t="s">
        <v>541</v>
      </c>
      <c r="AD2623" s="10" t="s">
        <v>541</v>
      </c>
    </row>
    <row r="2624" spans="1:30" x14ac:dyDescent="0.2">
      <c r="A2624" s="110">
        <v>2624</v>
      </c>
      <c r="B2624" s="132">
        <v>41864</v>
      </c>
      <c r="C2624" s="117">
        <v>2</v>
      </c>
      <c r="D2624" s="103" t="s">
        <v>71</v>
      </c>
      <c r="E2624" s="103" t="s">
        <v>306</v>
      </c>
      <c r="F2624" s="103">
        <v>534</v>
      </c>
      <c r="G2624" s="103">
        <v>79</v>
      </c>
      <c r="H2624" s="103" t="s">
        <v>2448</v>
      </c>
      <c r="I2624" s="103">
        <v>57</v>
      </c>
      <c r="K2624" s="103" t="s">
        <v>365</v>
      </c>
      <c r="L2624" s="133"/>
      <c r="M2624" s="134">
        <v>3.0555555555555555E-2</v>
      </c>
      <c r="N2624" s="137" t="s">
        <v>1968</v>
      </c>
      <c r="O2624" s="133" t="s">
        <v>1538</v>
      </c>
      <c r="Q2624" s="100" t="s">
        <v>4229</v>
      </c>
      <c r="R2624" s="226" t="s">
        <v>4214</v>
      </c>
      <c r="S2624" s="491" t="str">
        <f t="shared" si="85"/>
        <v>x</v>
      </c>
      <c r="T2624" s="492">
        <f>IFERROR(VLOOKUP(F2624,'Freq-Chan'!C:D,2,FALSE),"x")</f>
        <v>151.53399999999999</v>
      </c>
      <c r="U2624" s="110" t="s">
        <v>541</v>
      </c>
      <c r="V2624" s="110" t="str">
        <f t="shared" si="86"/>
        <v>FWL</v>
      </c>
      <c r="W2624" s="110" t="s">
        <v>541</v>
      </c>
      <c r="X2624" s="110" t="s">
        <v>541</v>
      </c>
      <c r="Y2624" s="110" t="str">
        <f>IFERROR(VLOOKUP(F2624,'Freq-Chan'!C:E,3,FALSE),"na")</f>
        <v>F1840</v>
      </c>
      <c r="Z2624" s="110" t="s">
        <v>541</v>
      </c>
      <c r="AA2624" s="110" t="s">
        <v>541</v>
      </c>
      <c r="AB2624" s="110" t="s">
        <v>541</v>
      </c>
      <c r="AC2624" s="10" t="s">
        <v>541</v>
      </c>
      <c r="AD2624" s="10" t="s">
        <v>541</v>
      </c>
    </row>
    <row r="2625" spans="1:30" x14ac:dyDescent="0.2">
      <c r="A2625" s="110">
        <v>2625</v>
      </c>
      <c r="B2625" s="132">
        <v>41864</v>
      </c>
      <c r="C2625" s="117">
        <v>2</v>
      </c>
      <c r="D2625" s="103" t="s">
        <v>70</v>
      </c>
      <c r="E2625" s="103" t="s">
        <v>306</v>
      </c>
      <c r="F2625" s="103">
        <v>596</v>
      </c>
      <c r="G2625" s="103">
        <v>73</v>
      </c>
      <c r="H2625" s="103" t="s">
        <v>3133</v>
      </c>
      <c r="I2625" s="103">
        <v>47</v>
      </c>
      <c r="K2625" s="103" t="s">
        <v>1032</v>
      </c>
      <c r="L2625" s="133"/>
      <c r="M2625" s="134">
        <v>2.8472222222222222E-2</v>
      </c>
      <c r="N2625" s="137" t="s">
        <v>1662</v>
      </c>
      <c r="O2625" s="133" t="s">
        <v>1538</v>
      </c>
      <c r="P2625" s="100" t="s">
        <v>4226</v>
      </c>
      <c r="Q2625" s="100" t="s">
        <v>4229</v>
      </c>
      <c r="R2625" s="226" t="s">
        <v>4214</v>
      </c>
      <c r="S2625" s="491" t="str">
        <f t="shared" si="85"/>
        <v>x</v>
      </c>
      <c r="T2625" s="492">
        <f>IFERROR(VLOOKUP(F2625,'Freq-Chan'!C:D,2,FALSE),"x")</f>
        <v>151.596</v>
      </c>
      <c r="U2625" s="110" t="s">
        <v>541</v>
      </c>
      <c r="V2625" s="110" t="str">
        <f t="shared" si="86"/>
        <v>FWL</v>
      </c>
      <c r="W2625" s="110" t="s">
        <v>541</v>
      </c>
      <c r="X2625" s="110" t="s">
        <v>541</v>
      </c>
      <c r="Y2625" s="110" t="str">
        <f>IFERROR(VLOOKUP(F2625,'Freq-Chan'!C:E,3,FALSE),"na")</f>
        <v>F1835</v>
      </c>
      <c r="Z2625" s="110" t="s">
        <v>541</v>
      </c>
      <c r="AA2625" s="110" t="s">
        <v>541</v>
      </c>
      <c r="AB2625" s="110" t="s">
        <v>541</v>
      </c>
      <c r="AC2625" s="10" t="s">
        <v>541</v>
      </c>
      <c r="AD2625" s="10" t="s">
        <v>541</v>
      </c>
    </row>
    <row r="2626" spans="1:30" x14ac:dyDescent="0.2">
      <c r="A2626" s="110">
        <v>2626</v>
      </c>
      <c r="B2626" s="132">
        <v>41864</v>
      </c>
      <c r="C2626" s="117">
        <v>2</v>
      </c>
      <c r="D2626" s="103" t="s">
        <v>71</v>
      </c>
      <c r="E2626" s="103" t="s">
        <v>306</v>
      </c>
      <c r="H2626" s="103"/>
      <c r="I2626" s="103">
        <v>62</v>
      </c>
      <c r="K2626" s="103" t="s">
        <v>1032</v>
      </c>
      <c r="L2626" s="133"/>
      <c r="M2626" s="134">
        <v>2.013888888888889E-2</v>
      </c>
      <c r="N2626" s="137" t="s">
        <v>1884</v>
      </c>
      <c r="O2626" s="133" t="s">
        <v>1538</v>
      </c>
      <c r="Q2626" s="100" t="s">
        <v>4229</v>
      </c>
      <c r="R2626" s="226" t="s">
        <v>4214</v>
      </c>
      <c r="S2626" s="491" t="str">
        <f t="shared" si="85"/>
        <v>x</v>
      </c>
      <c r="T2626" s="492" t="str">
        <f>IFERROR(VLOOKUP(F2626,'Freq-Chan'!C:D,2,FALSE),"x")</f>
        <v>x</v>
      </c>
      <c r="U2626" s="110" t="s">
        <v>541</v>
      </c>
      <c r="V2626" s="110" t="str">
        <f t="shared" si="86"/>
        <v>FWL</v>
      </c>
      <c r="W2626" s="110" t="s">
        <v>541</v>
      </c>
      <c r="X2626" s="110" t="s">
        <v>541</v>
      </c>
      <c r="Y2626" s="110" t="str">
        <f>IFERROR(VLOOKUP(F2626,'Freq-Chan'!C:E,3,FALSE),"na")</f>
        <v>na</v>
      </c>
      <c r="Z2626" s="110" t="s">
        <v>541</v>
      </c>
      <c r="AA2626" s="110" t="s">
        <v>541</v>
      </c>
      <c r="AB2626" s="110" t="s">
        <v>541</v>
      </c>
      <c r="AC2626" s="10" t="s">
        <v>541</v>
      </c>
      <c r="AD2626" s="10" t="s">
        <v>541</v>
      </c>
    </row>
    <row r="2627" spans="1:30" x14ac:dyDescent="0.2">
      <c r="A2627" s="110">
        <v>2627</v>
      </c>
      <c r="B2627" s="132">
        <v>41864</v>
      </c>
      <c r="C2627" s="117">
        <v>2</v>
      </c>
      <c r="D2627" s="103" t="s">
        <v>71</v>
      </c>
      <c r="E2627" s="103" t="s">
        <v>306</v>
      </c>
      <c r="F2627" s="103">
        <v>534</v>
      </c>
      <c r="G2627" s="103">
        <v>82</v>
      </c>
      <c r="H2627" s="103" t="s">
        <v>2449</v>
      </c>
      <c r="I2627" s="103">
        <v>55</v>
      </c>
      <c r="K2627" s="103" t="s">
        <v>365</v>
      </c>
      <c r="L2627" s="133"/>
      <c r="M2627" s="134">
        <v>4.027777777777778E-2</v>
      </c>
      <c r="N2627" s="137" t="s">
        <v>4217</v>
      </c>
      <c r="O2627" s="133" t="s">
        <v>1532</v>
      </c>
      <c r="Q2627" s="100" t="s">
        <v>4230</v>
      </c>
      <c r="R2627" s="226" t="s">
        <v>4214</v>
      </c>
      <c r="S2627" s="491" t="str">
        <f t="shared" si="85"/>
        <v>x</v>
      </c>
      <c r="T2627" s="492">
        <f>IFERROR(VLOOKUP(F2627,'Freq-Chan'!C:D,2,FALSE),"x")</f>
        <v>151.53399999999999</v>
      </c>
      <c r="U2627" s="110" t="s">
        <v>541</v>
      </c>
      <c r="V2627" s="110" t="str">
        <f t="shared" si="86"/>
        <v>FWL</v>
      </c>
      <c r="W2627" s="110" t="s">
        <v>541</v>
      </c>
      <c r="X2627" s="110" t="s">
        <v>541</v>
      </c>
      <c r="Y2627" s="110" t="str">
        <f>IFERROR(VLOOKUP(F2627,'Freq-Chan'!C:E,3,FALSE),"na")</f>
        <v>F1840</v>
      </c>
      <c r="Z2627" s="110" t="s">
        <v>541</v>
      </c>
      <c r="AA2627" s="110" t="s">
        <v>541</v>
      </c>
      <c r="AB2627" s="110" t="s">
        <v>541</v>
      </c>
      <c r="AC2627" s="10" t="s">
        <v>541</v>
      </c>
      <c r="AD2627" s="10" t="s">
        <v>541</v>
      </c>
    </row>
    <row r="2628" spans="1:30" x14ac:dyDescent="0.2">
      <c r="A2628" s="110">
        <v>2628</v>
      </c>
      <c r="B2628" s="132">
        <v>41864</v>
      </c>
      <c r="C2628" s="117">
        <v>2</v>
      </c>
      <c r="D2628" s="103" t="s">
        <v>71</v>
      </c>
      <c r="E2628" s="103" t="s">
        <v>306</v>
      </c>
      <c r="F2628" s="103">
        <v>534</v>
      </c>
      <c r="G2628" s="103">
        <v>59</v>
      </c>
      <c r="H2628" s="103" t="s">
        <v>2450</v>
      </c>
      <c r="I2628" s="103">
        <v>59</v>
      </c>
      <c r="K2628" s="103" t="s">
        <v>1032</v>
      </c>
      <c r="L2628" s="133"/>
      <c r="M2628" s="134">
        <v>5.347222222222222E-2</v>
      </c>
      <c r="N2628" s="137" t="s">
        <v>1774</v>
      </c>
      <c r="O2628" s="133" t="s">
        <v>1532</v>
      </c>
      <c r="Q2628" s="100" t="s">
        <v>4230</v>
      </c>
      <c r="R2628" s="226" t="s">
        <v>4214</v>
      </c>
      <c r="S2628" s="491" t="str">
        <f t="shared" si="85"/>
        <v>x</v>
      </c>
      <c r="T2628" s="492">
        <f>IFERROR(VLOOKUP(F2628,'Freq-Chan'!C:D,2,FALSE),"x")</f>
        <v>151.53399999999999</v>
      </c>
      <c r="U2628" s="110" t="s">
        <v>541</v>
      </c>
      <c r="V2628" s="110" t="str">
        <f t="shared" si="86"/>
        <v>FWL</v>
      </c>
      <c r="W2628" s="110" t="s">
        <v>541</v>
      </c>
      <c r="X2628" s="110" t="s">
        <v>541</v>
      </c>
      <c r="Y2628" s="110" t="str">
        <f>IFERROR(VLOOKUP(F2628,'Freq-Chan'!C:E,3,FALSE),"na")</f>
        <v>F1840</v>
      </c>
      <c r="Z2628" s="110" t="s">
        <v>541</v>
      </c>
      <c r="AA2628" s="110" t="s">
        <v>541</v>
      </c>
      <c r="AB2628" s="110" t="s">
        <v>541</v>
      </c>
      <c r="AC2628" s="10" t="s">
        <v>541</v>
      </c>
      <c r="AD2628" s="10" t="s">
        <v>541</v>
      </c>
    </row>
    <row r="2629" spans="1:30" x14ac:dyDescent="0.2">
      <c r="A2629" s="110">
        <v>2629</v>
      </c>
      <c r="B2629" s="132">
        <v>41864</v>
      </c>
      <c r="C2629" s="117">
        <v>2</v>
      </c>
      <c r="D2629" s="103" t="s">
        <v>70</v>
      </c>
      <c r="E2629" s="103" t="s">
        <v>306</v>
      </c>
      <c r="F2629" s="103">
        <v>596</v>
      </c>
      <c r="G2629" s="103">
        <v>56</v>
      </c>
      <c r="H2629" s="103" t="s">
        <v>3134</v>
      </c>
      <c r="I2629" s="103">
        <v>45</v>
      </c>
      <c r="K2629" s="103" t="s">
        <v>365</v>
      </c>
      <c r="L2629" s="133"/>
      <c r="M2629" s="134">
        <v>6.458333333333334E-2</v>
      </c>
      <c r="N2629" s="137" t="s">
        <v>1742</v>
      </c>
      <c r="O2629" s="133" t="s">
        <v>1532</v>
      </c>
      <c r="Q2629" s="100" t="s">
        <v>4230</v>
      </c>
      <c r="R2629" s="226" t="s">
        <v>4214</v>
      </c>
      <c r="S2629" s="491" t="str">
        <f t="shared" si="85"/>
        <v>x</v>
      </c>
      <c r="T2629" s="492">
        <f>IFERROR(VLOOKUP(F2629,'Freq-Chan'!C:D,2,FALSE),"x")</f>
        <v>151.596</v>
      </c>
      <c r="U2629" s="110" t="s">
        <v>541</v>
      </c>
      <c r="V2629" s="110" t="str">
        <f t="shared" si="86"/>
        <v>FWL</v>
      </c>
      <c r="W2629" s="110" t="s">
        <v>541</v>
      </c>
      <c r="X2629" s="110" t="s">
        <v>541</v>
      </c>
      <c r="Y2629" s="110" t="str">
        <f>IFERROR(VLOOKUP(F2629,'Freq-Chan'!C:E,3,FALSE),"na")</f>
        <v>F1835</v>
      </c>
      <c r="Z2629" s="110" t="s">
        <v>541</v>
      </c>
      <c r="AA2629" s="110" t="s">
        <v>541</v>
      </c>
      <c r="AB2629" s="110" t="s">
        <v>541</v>
      </c>
      <c r="AC2629" s="10" t="s">
        <v>541</v>
      </c>
      <c r="AD2629" s="10" t="s">
        <v>541</v>
      </c>
    </row>
    <row r="2630" spans="1:30" s="291" customFormat="1" x14ac:dyDescent="0.2">
      <c r="A2630" s="493">
        <v>2630</v>
      </c>
      <c r="B2630" s="283">
        <v>41864</v>
      </c>
      <c r="C2630" s="284">
        <v>2</v>
      </c>
      <c r="D2630" s="285" t="s">
        <v>70</v>
      </c>
      <c r="E2630" s="285" t="s">
        <v>306</v>
      </c>
      <c r="F2630" s="285"/>
      <c r="G2630" s="285"/>
      <c r="H2630" s="285"/>
      <c r="I2630" s="285">
        <v>47</v>
      </c>
      <c r="J2630" s="285"/>
      <c r="K2630" s="285" t="s">
        <v>365</v>
      </c>
      <c r="L2630" s="286"/>
      <c r="M2630" s="287">
        <v>2.4305555555555556E-2</v>
      </c>
      <c r="N2630" s="339" t="s">
        <v>4216</v>
      </c>
      <c r="O2630" s="286" t="s">
        <v>1532</v>
      </c>
      <c r="P2630" s="289"/>
      <c r="Q2630" s="289" t="s">
        <v>4230</v>
      </c>
      <c r="R2630" s="290" t="s">
        <v>4214</v>
      </c>
      <c r="S2630" s="494" t="str">
        <f t="shared" si="85"/>
        <v>x</v>
      </c>
      <c r="T2630" s="495" t="str">
        <f>IFERROR(VLOOKUP(F2630,'Freq-Chan'!C:D,2,FALSE),"x")</f>
        <v>x</v>
      </c>
      <c r="U2630" s="493" t="s">
        <v>541</v>
      </c>
      <c r="V2630" s="493" t="str">
        <f t="shared" si="86"/>
        <v>FWL</v>
      </c>
      <c r="W2630" s="493" t="s">
        <v>541</v>
      </c>
      <c r="X2630" s="493" t="s">
        <v>541</v>
      </c>
      <c r="Y2630" s="493" t="str">
        <f>IFERROR(VLOOKUP(F2630,'Freq-Chan'!C:E,3,FALSE),"na")</f>
        <v>na</v>
      </c>
      <c r="Z2630" s="493" t="s">
        <v>541</v>
      </c>
      <c r="AA2630" s="493" t="s">
        <v>541</v>
      </c>
      <c r="AB2630" s="493" t="s">
        <v>541</v>
      </c>
      <c r="AC2630" s="291" t="s">
        <v>541</v>
      </c>
      <c r="AD2630" s="291" t="s">
        <v>541</v>
      </c>
    </row>
    <row r="2631" spans="1:30" x14ac:dyDescent="0.2">
      <c r="A2631" s="110">
        <v>2631</v>
      </c>
      <c r="B2631" s="132">
        <v>41864</v>
      </c>
      <c r="C2631" s="117">
        <v>3</v>
      </c>
      <c r="D2631" s="103" t="s">
        <v>70</v>
      </c>
      <c r="E2631" s="103" t="s">
        <v>306</v>
      </c>
      <c r="F2631" s="103">
        <v>515</v>
      </c>
      <c r="G2631" s="103">
        <v>1</v>
      </c>
      <c r="H2631" s="103" t="s">
        <v>3126</v>
      </c>
      <c r="I2631" s="103">
        <v>43</v>
      </c>
      <c r="K2631" s="103" t="s">
        <v>1032</v>
      </c>
      <c r="L2631" s="133"/>
      <c r="M2631" s="134">
        <v>3.6805555555555557E-2</v>
      </c>
      <c r="N2631" s="137" t="s">
        <v>3400</v>
      </c>
      <c r="O2631" s="133" t="s">
        <v>555</v>
      </c>
      <c r="Q2631" s="100" t="s">
        <v>4230</v>
      </c>
      <c r="R2631" s="226" t="s">
        <v>4214</v>
      </c>
      <c r="S2631" s="491" t="str">
        <f t="shared" si="85"/>
        <v>x</v>
      </c>
      <c r="T2631" s="492">
        <f>IFERROR(VLOOKUP(F2631,'Freq-Chan'!C:D,2,FALSE),"x")</f>
        <v>151.51499999999999</v>
      </c>
      <c r="U2631" s="110" t="s">
        <v>541</v>
      </c>
      <c r="V2631" s="110" t="str">
        <f t="shared" si="86"/>
        <v>FWL</v>
      </c>
      <c r="W2631" s="110" t="s">
        <v>541</v>
      </c>
      <c r="X2631" s="110" t="s">
        <v>541</v>
      </c>
      <c r="Y2631" s="110" t="str">
        <f>IFERROR(VLOOKUP(F2631,'Freq-Chan'!C:E,3,FALSE),"na")</f>
        <v>F1835</v>
      </c>
      <c r="Z2631" s="110" t="s">
        <v>541</v>
      </c>
      <c r="AA2631" s="110" t="s">
        <v>541</v>
      </c>
      <c r="AB2631" s="110" t="s">
        <v>541</v>
      </c>
      <c r="AC2631" s="10" t="s">
        <v>541</v>
      </c>
      <c r="AD2631" s="10" t="s">
        <v>541</v>
      </c>
    </row>
    <row r="2632" spans="1:30" x14ac:dyDescent="0.2">
      <c r="A2632" s="110">
        <v>2632</v>
      </c>
      <c r="B2632" s="132">
        <v>41864</v>
      </c>
      <c r="C2632" s="117">
        <v>3</v>
      </c>
      <c r="D2632" s="103" t="s">
        <v>71</v>
      </c>
      <c r="E2632" s="103" t="s">
        <v>306</v>
      </c>
      <c r="H2632" s="103"/>
      <c r="I2632" s="103">
        <v>57</v>
      </c>
      <c r="K2632" s="103" t="s">
        <v>1032</v>
      </c>
      <c r="L2632" s="133"/>
      <c r="M2632" s="134">
        <v>6.1111111111111116E-2</v>
      </c>
      <c r="N2632" s="137" t="s">
        <v>1571</v>
      </c>
      <c r="O2632" s="133" t="s">
        <v>555</v>
      </c>
      <c r="P2632" s="100" t="s">
        <v>4220</v>
      </c>
      <c r="Q2632" s="100" t="s">
        <v>4230</v>
      </c>
      <c r="R2632" s="226" t="s">
        <v>4214</v>
      </c>
      <c r="S2632" s="491" t="str">
        <f t="shared" si="85"/>
        <v>x</v>
      </c>
      <c r="T2632" s="492" t="str">
        <f>IFERROR(VLOOKUP(F2632,'Freq-Chan'!C:D,2,FALSE),"x")</f>
        <v>x</v>
      </c>
      <c r="U2632" s="110" t="s">
        <v>541</v>
      </c>
      <c r="V2632" s="110" t="str">
        <f t="shared" si="86"/>
        <v>FWL</v>
      </c>
      <c r="W2632" s="110" t="s">
        <v>541</v>
      </c>
      <c r="X2632" s="110" t="s">
        <v>541</v>
      </c>
      <c r="Y2632" s="110" t="str">
        <f>IFERROR(VLOOKUP(F2632,'Freq-Chan'!C:E,3,FALSE),"na")</f>
        <v>na</v>
      </c>
      <c r="Z2632" s="110" t="s">
        <v>541</v>
      </c>
      <c r="AA2632" s="110" t="s">
        <v>541</v>
      </c>
      <c r="AB2632" s="110" t="s">
        <v>541</v>
      </c>
      <c r="AC2632" s="10" t="s">
        <v>541</v>
      </c>
      <c r="AD2632" s="10" t="s">
        <v>541</v>
      </c>
    </row>
    <row r="2633" spans="1:30" x14ac:dyDescent="0.2">
      <c r="A2633" s="110">
        <v>2633</v>
      </c>
      <c r="B2633" s="132">
        <v>41864</v>
      </c>
      <c r="C2633" s="117">
        <v>3</v>
      </c>
      <c r="D2633" s="103" t="s">
        <v>70</v>
      </c>
      <c r="E2633" s="103" t="s">
        <v>306</v>
      </c>
      <c r="H2633" s="103"/>
      <c r="I2633" s="103">
        <v>43</v>
      </c>
      <c r="K2633" s="103" t="s">
        <v>365</v>
      </c>
      <c r="L2633" s="133"/>
      <c r="M2633" s="134">
        <v>1.4583333333333332E-2</v>
      </c>
      <c r="N2633" s="137" t="s">
        <v>3333</v>
      </c>
      <c r="O2633" s="133" t="s">
        <v>555</v>
      </c>
      <c r="Q2633" s="100" t="s">
        <v>4230</v>
      </c>
      <c r="R2633" s="226" t="s">
        <v>4214</v>
      </c>
      <c r="S2633" s="491" t="str">
        <f t="shared" si="85"/>
        <v>x</v>
      </c>
      <c r="T2633" s="492" t="str">
        <f>IFERROR(VLOOKUP(F2633,'Freq-Chan'!C:D,2,FALSE),"x")</f>
        <v>x</v>
      </c>
      <c r="U2633" s="110" t="s">
        <v>541</v>
      </c>
      <c r="V2633" s="110" t="str">
        <f t="shared" si="86"/>
        <v>FWL</v>
      </c>
      <c r="W2633" s="110" t="s">
        <v>541</v>
      </c>
      <c r="X2633" s="110" t="s">
        <v>541</v>
      </c>
      <c r="Y2633" s="110" t="str">
        <f>IFERROR(VLOOKUP(F2633,'Freq-Chan'!C:E,3,FALSE),"na")</f>
        <v>na</v>
      </c>
      <c r="Z2633" s="110" t="s">
        <v>541</v>
      </c>
      <c r="AA2633" s="110" t="s">
        <v>541</v>
      </c>
      <c r="AB2633" s="110" t="s">
        <v>541</v>
      </c>
      <c r="AC2633" s="10" t="s">
        <v>541</v>
      </c>
      <c r="AD2633" s="10" t="s">
        <v>541</v>
      </c>
    </row>
    <row r="2634" spans="1:30" x14ac:dyDescent="0.2">
      <c r="A2634" s="110">
        <v>2634</v>
      </c>
      <c r="B2634" s="132">
        <v>41864</v>
      </c>
      <c r="C2634" s="117">
        <v>3</v>
      </c>
      <c r="D2634" s="103" t="s">
        <v>70</v>
      </c>
      <c r="E2634" s="103" t="s">
        <v>306</v>
      </c>
      <c r="H2634" s="103"/>
      <c r="I2634" s="103">
        <v>49</v>
      </c>
      <c r="K2634" s="103" t="s">
        <v>1032</v>
      </c>
      <c r="L2634" s="133"/>
      <c r="M2634" s="134">
        <v>1.3888888888888888E-2</v>
      </c>
      <c r="N2634" s="137" t="s">
        <v>2689</v>
      </c>
      <c r="O2634" s="133" t="s">
        <v>555</v>
      </c>
      <c r="Q2634" s="100" t="s">
        <v>4230</v>
      </c>
      <c r="R2634" s="226" t="s">
        <v>4214</v>
      </c>
      <c r="S2634" s="491" t="str">
        <f t="shared" si="85"/>
        <v>x</v>
      </c>
      <c r="T2634" s="492" t="str">
        <f>IFERROR(VLOOKUP(F2634,'Freq-Chan'!C:D,2,FALSE),"x")</f>
        <v>x</v>
      </c>
      <c r="U2634" s="110" t="s">
        <v>541</v>
      </c>
      <c r="V2634" s="110" t="str">
        <f t="shared" si="86"/>
        <v>FWL</v>
      </c>
      <c r="W2634" s="110" t="s">
        <v>541</v>
      </c>
      <c r="X2634" s="110" t="s">
        <v>541</v>
      </c>
      <c r="Y2634" s="110" t="str">
        <f>IFERROR(VLOOKUP(F2634,'Freq-Chan'!C:E,3,FALSE),"na")</f>
        <v>na</v>
      </c>
      <c r="Z2634" s="110" t="s">
        <v>541</v>
      </c>
      <c r="AA2634" s="110" t="s">
        <v>541</v>
      </c>
      <c r="AB2634" s="110" t="s">
        <v>541</v>
      </c>
      <c r="AC2634" s="10" t="s">
        <v>541</v>
      </c>
      <c r="AD2634" s="10" t="s">
        <v>541</v>
      </c>
    </row>
    <row r="2635" spans="1:30" x14ac:dyDescent="0.2">
      <c r="A2635" s="110">
        <v>2635</v>
      </c>
      <c r="B2635" s="132">
        <v>41864</v>
      </c>
      <c r="C2635" s="117">
        <v>3</v>
      </c>
      <c r="D2635" s="103" t="s">
        <v>70</v>
      </c>
      <c r="E2635" s="103" t="s">
        <v>306</v>
      </c>
      <c r="H2635" s="103"/>
      <c r="I2635" s="103">
        <v>42</v>
      </c>
      <c r="K2635" s="103" t="s">
        <v>365</v>
      </c>
      <c r="L2635" s="133"/>
      <c r="M2635" s="134">
        <v>1.7361111111111112E-2</v>
      </c>
      <c r="N2635" s="137" t="s">
        <v>3334</v>
      </c>
      <c r="O2635" s="133" t="s">
        <v>555</v>
      </c>
      <c r="Q2635" s="100" t="s">
        <v>4230</v>
      </c>
      <c r="R2635" s="226" t="s">
        <v>4214</v>
      </c>
      <c r="S2635" s="491" t="str">
        <f t="shared" si="85"/>
        <v>x</v>
      </c>
      <c r="T2635" s="492" t="str">
        <f>IFERROR(VLOOKUP(F2635,'Freq-Chan'!C:D,2,FALSE),"x")</f>
        <v>x</v>
      </c>
      <c r="U2635" s="110" t="s">
        <v>541</v>
      </c>
      <c r="V2635" s="110" t="str">
        <f t="shared" si="86"/>
        <v>FWL</v>
      </c>
      <c r="W2635" s="110" t="s">
        <v>541</v>
      </c>
      <c r="X2635" s="110" t="s">
        <v>541</v>
      </c>
      <c r="Y2635" s="110" t="str">
        <f>IFERROR(VLOOKUP(F2635,'Freq-Chan'!C:E,3,FALSE),"na")</f>
        <v>na</v>
      </c>
      <c r="Z2635" s="110" t="s">
        <v>541</v>
      </c>
      <c r="AA2635" s="110" t="s">
        <v>541</v>
      </c>
      <c r="AB2635" s="110" t="s">
        <v>541</v>
      </c>
      <c r="AC2635" s="10" t="s">
        <v>541</v>
      </c>
      <c r="AD2635" s="10" t="s">
        <v>541</v>
      </c>
    </row>
    <row r="2636" spans="1:30" x14ac:dyDescent="0.2">
      <c r="A2636" s="110">
        <v>2636</v>
      </c>
      <c r="B2636" s="132">
        <v>41864</v>
      </c>
      <c r="C2636" s="117">
        <v>3</v>
      </c>
      <c r="D2636" s="103" t="s">
        <v>70</v>
      </c>
      <c r="E2636" s="103" t="s">
        <v>306</v>
      </c>
      <c r="H2636" s="103"/>
      <c r="I2636" s="103">
        <v>46</v>
      </c>
      <c r="K2636" s="103" t="s">
        <v>365</v>
      </c>
      <c r="L2636" s="133"/>
      <c r="M2636" s="134">
        <v>2.1527777777777781E-2</v>
      </c>
      <c r="N2636" s="137" t="s">
        <v>2691</v>
      </c>
      <c r="O2636" s="133" t="s">
        <v>555</v>
      </c>
      <c r="Q2636" s="100" t="s">
        <v>4230</v>
      </c>
      <c r="R2636" s="226" t="s">
        <v>4214</v>
      </c>
      <c r="S2636" s="491" t="str">
        <f t="shared" si="85"/>
        <v>x</v>
      </c>
      <c r="T2636" s="492" t="str">
        <f>IFERROR(VLOOKUP(F2636,'Freq-Chan'!C:D,2,FALSE),"x")</f>
        <v>x</v>
      </c>
      <c r="U2636" s="110" t="s">
        <v>541</v>
      </c>
      <c r="V2636" s="110" t="str">
        <f t="shared" si="86"/>
        <v>FWL</v>
      </c>
      <c r="W2636" s="110" t="s">
        <v>541</v>
      </c>
      <c r="X2636" s="110" t="s">
        <v>541</v>
      </c>
      <c r="Y2636" s="110" t="str">
        <f>IFERROR(VLOOKUP(F2636,'Freq-Chan'!C:E,3,FALSE),"na")</f>
        <v>na</v>
      </c>
      <c r="Z2636" s="110" t="s">
        <v>541</v>
      </c>
      <c r="AA2636" s="110" t="s">
        <v>541</v>
      </c>
      <c r="AB2636" s="110" t="s">
        <v>541</v>
      </c>
      <c r="AC2636" s="10" t="s">
        <v>541</v>
      </c>
      <c r="AD2636" s="10" t="s">
        <v>541</v>
      </c>
    </row>
    <row r="2637" spans="1:30" x14ac:dyDescent="0.2">
      <c r="A2637" s="110">
        <v>2637</v>
      </c>
      <c r="B2637" s="132">
        <v>41864</v>
      </c>
      <c r="C2637" s="117">
        <v>3</v>
      </c>
      <c r="D2637" s="103" t="s">
        <v>70</v>
      </c>
      <c r="E2637" s="103" t="s">
        <v>306</v>
      </c>
      <c r="H2637" s="103"/>
      <c r="I2637" s="103">
        <v>47</v>
      </c>
      <c r="K2637" s="103" t="s">
        <v>1032</v>
      </c>
      <c r="L2637" s="133"/>
      <c r="M2637" s="134">
        <v>2.0833333333333332E-2</v>
      </c>
      <c r="N2637" s="135" t="s">
        <v>3452</v>
      </c>
      <c r="O2637" s="133" t="s">
        <v>555</v>
      </c>
      <c r="Q2637" s="100" t="s">
        <v>4230</v>
      </c>
      <c r="R2637" s="226" t="s">
        <v>4214</v>
      </c>
      <c r="S2637" s="491" t="str">
        <f t="shared" si="85"/>
        <v>x</v>
      </c>
      <c r="T2637" s="492" t="str">
        <f>IFERROR(VLOOKUP(F2637,'Freq-Chan'!C:D,2,FALSE),"x")</f>
        <v>x</v>
      </c>
      <c r="U2637" s="110" t="s">
        <v>541</v>
      </c>
      <c r="V2637" s="110" t="str">
        <f t="shared" si="86"/>
        <v>FWL</v>
      </c>
      <c r="W2637" s="110" t="s">
        <v>541</v>
      </c>
      <c r="X2637" s="110" t="s">
        <v>541</v>
      </c>
      <c r="Y2637" s="110" t="str">
        <f>IFERROR(VLOOKUP(F2637,'Freq-Chan'!C:E,3,FALSE),"na")</f>
        <v>na</v>
      </c>
      <c r="Z2637" s="110" t="s">
        <v>541</v>
      </c>
      <c r="AA2637" s="110" t="s">
        <v>541</v>
      </c>
      <c r="AB2637" s="110" t="s">
        <v>541</v>
      </c>
      <c r="AC2637" s="10" t="s">
        <v>541</v>
      </c>
      <c r="AD2637" s="10" t="s">
        <v>541</v>
      </c>
    </row>
    <row r="2638" spans="1:30" x14ac:dyDescent="0.2">
      <c r="A2638" s="110">
        <v>2638</v>
      </c>
      <c r="B2638" s="132">
        <v>41864</v>
      </c>
      <c r="C2638" s="117">
        <v>3</v>
      </c>
      <c r="D2638" s="103" t="s">
        <v>70</v>
      </c>
      <c r="E2638" s="103" t="s">
        <v>306</v>
      </c>
      <c r="H2638" s="103"/>
      <c r="I2638" s="103">
        <v>46</v>
      </c>
      <c r="K2638" s="103" t="s">
        <v>365</v>
      </c>
      <c r="L2638" s="133"/>
      <c r="M2638" s="134">
        <v>1.9444444444444445E-2</v>
      </c>
      <c r="N2638" s="135" t="s">
        <v>3752</v>
      </c>
      <c r="O2638" s="133" t="s">
        <v>555</v>
      </c>
      <c r="Q2638" s="100" t="s">
        <v>4230</v>
      </c>
      <c r="R2638" s="226" t="s">
        <v>4214</v>
      </c>
      <c r="S2638" s="491" t="str">
        <f t="shared" si="85"/>
        <v>x</v>
      </c>
      <c r="T2638" s="492" t="str">
        <f>IFERROR(VLOOKUP(F2638,'Freq-Chan'!C:D,2,FALSE),"x")</f>
        <v>x</v>
      </c>
      <c r="U2638" s="110" t="s">
        <v>541</v>
      </c>
      <c r="V2638" s="110" t="str">
        <f t="shared" si="86"/>
        <v>FWL</v>
      </c>
      <c r="W2638" s="110" t="s">
        <v>541</v>
      </c>
      <c r="X2638" s="110" t="s">
        <v>541</v>
      </c>
      <c r="Y2638" s="110" t="str">
        <f>IFERROR(VLOOKUP(F2638,'Freq-Chan'!C:E,3,FALSE),"na")</f>
        <v>na</v>
      </c>
      <c r="Z2638" s="110" t="s">
        <v>541</v>
      </c>
      <c r="AA2638" s="110" t="s">
        <v>541</v>
      </c>
      <c r="AB2638" s="110" t="s">
        <v>541</v>
      </c>
      <c r="AC2638" s="10" t="s">
        <v>541</v>
      </c>
      <c r="AD2638" s="10" t="s">
        <v>541</v>
      </c>
    </row>
    <row r="2639" spans="1:30" x14ac:dyDescent="0.2">
      <c r="A2639" s="110">
        <v>2639</v>
      </c>
      <c r="B2639" s="132">
        <v>41864</v>
      </c>
      <c r="C2639" s="117">
        <v>3</v>
      </c>
      <c r="D2639" s="103" t="s">
        <v>70</v>
      </c>
      <c r="E2639" s="103" t="s">
        <v>306</v>
      </c>
      <c r="H2639" s="103"/>
      <c r="I2639" s="103">
        <v>43</v>
      </c>
      <c r="K2639" s="103" t="s">
        <v>1032</v>
      </c>
      <c r="L2639" s="133"/>
      <c r="M2639" s="134">
        <v>1.8055555555555557E-2</v>
      </c>
      <c r="N2639" s="135" t="s">
        <v>4049</v>
      </c>
      <c r="O2639" s="133" t="s">
        <v>555</v>
      </c>
      <c r="Q2639" s="100" t="s">
        <v>4230</v>
      </c>
      <c r="R2639" s="226" t="s">
        <v>4214</v>
      </c>
      <c r="S2639" s="491" t="str">
        <f t="shared" si="85"/>
        <v>x</v>
      </c>
      <c r="T2639" s="492" t="str">
        <f>IFERROR(VLOOKUP(F2639,'Freq-Chan'!C:D,2,FALSE),"x")</f>
        <v>x</v>
      </c>
      <c r="U2639" s="110" t="s">
        <v>541</v>
      </c>
      <c r="V2639" s="110" t="str">
        <f t="shared" si="86"/>
        <v>FWL</v>
      </c>
      <c r="W2639" s="110" t="s">
        <v>541</v>
      </c>
      <c r="X2639" s="110" t="s">
        <v>541</v>
      </c>
      <c r="Y2639" s="110" t="str">
        <f>IFERROR(VLOOKUP(F2639,'Freq-Chan'!C:E,3,FALSE),"na")</f>
        <v>na</v>
      </c>
      <c r="Z2639" s="110" t="s">
        <v>541</v>
      </c>
      <c r="AA2639" s="110" t="s">
        <v>541</v>
      </c>
      <c r="AB2639" s="110" t="s">
        <v>541</v>
      </c>
      <c r="AC2639" s="10" t="s">
        <v>541</v>
      </c>
      <c r="AD2639" s="10" t="s">
        <v>541</v>
      </c>
    </row>
    <row r="2640" spans="1:30" x14ac:dyDescent="0.2">
      <c r="A2640" s="110">
        <v>2640</v>
      </c>
      <c r="B2640" s="132">
        <v>41864</v>
      </c>
      <c r="C2640" s="117">
        <v>3</v>
      </c>
      <c r="D2640" s="103" t="s">
        <v>70</v>
      </c>
      <c r="E2640" s="103" t="s">
        <v>306</v>
      </c>
      <c r="H2640" s="103"/>
      <c r="I2640" s="103">
        <v>47</v>
      </c>
      <c r="K2640" s="103" t="s">
        <v>1032</v>
      </c>
      <c r="L2640" s="133"/>
      <c r="M2640" s="134">
        <v>1.5972222222222224E-2</v>
      </c>
      <c r="N2640" s="135" t="s">
        <v>3481</v>
      </c>
      <c r="O2640" s="133" t="s">
        <v>555</v>
      </c>
      <c r="Q2640" s="100" t="s">
        <v>4230</v>
      </c>
      <c r="R2640" s="226" t="s">
        <v>4214</v>
      </c>
      <c r="S2640" s="491" t="str">
        <f t="shared" si="85"/>
        <v>x</v>
      </c>
      <c r="T2640" s="492" t="str">
        <f>IFERROR(VLOOKUP(F2640,'Freq-Chan'!C:D,2,FALSE),"x")</f>
        <v>x</v>
      </c>
      <c r="U2640" s="110" t="s">
        <v>541</v>
      </c>
      <c r="V2640" s="110" t="str">
        <f t="shared" si="86"/>
        <v>FWL</v>
      </c>
      <c r="W2640" s="110" t="s">
        <v>541</v>
      </c>
      <c r="X2640" s="110" t="s">
        <v>541</v>
      </c>
      <c r="Y2640" s="110" t="str">
        <f>IFERROR(VLOOKUP(F2640,'Freq-Chan'!C:E,3,FALSE),"na")</f>
        <v>na</v>
      </c>
      <c r="Z2640" s="110" t="s">
        <v>541</v>
      </c>
      <c r="AA2640" s="110" t="s">
        <v>541</v>
      </c>
      <c r="AB2640" s="110" t="s">
        <v>541</v>
      </c>
      <c r="AC2640" s="10" t="s">
        <v>541</v>
      </c>
      <c r="AD2640" s="10" t="s">
        <v>541</v>
      </c>
    </row>
    <row r="2641" spans="1:30" x14ac:dyDescent="0.2">
      <c r="A2641" s="110">
        <v>2641</v>
      </c>
      <c r="B2641" s="132">
        <v>41864</v>
      </c>
      <c r="C2641" s="117">
        <v>3</v>
      </c>
      <c r="D2641" s="103" t="s">
        <v>70</v>
      </c>
      <c r="E2641" s="103" t="s">
        <v>306</v>
      </c>
      <c r="H2641" s="103"/>
      <c r="I2641" s="103">
        <v>44</v>
      </c>
      <c r="K2641" s="103" t="s">
        <v>1032</v>
      </c>
      <c r="L2641" s="133"/>
      <c r="M2641" s="134">
        <v>2.013888888888889E-2</v>
      </c>
      <c r="N2641" s="135" t="s">
        <v>2591</v>
      </c>
      <c r="O2641" s="133" t="s">
        <v>555</v>
      </c>
      <c r="Q2641" s="100" t="s">
        <v>4230</v>
      </c>
      <c r="R2641" s="226" t="s">
        <v>4214</v>
      </c>
      <c r="S2641" s="491" t="str">
        <f t="shared" si="85"/>
        <v>x</v>
      </c>
      <c r="T2641" s="492" t="str">
        <f>IFERROR(VLOOKUP(F2641,'Freq-Chan'!C:D,2,FALSE),"x")</f>
        <v>x</v>
      </c>
      <c r="U2641" s="110" t="s">
        <v>541</v>
      </c>
      <c r="V2641" s="110" t="str">
        <f t="shared" si="86"/>
        <v>FWL</v>
      </c>
      <c r="W2641" s="110" t="s">
        <v>541</v>
      </c>
      <c r="X2641" s="110" t="s">
        <v>541</v>
      </c>
      <c r="Y2641" s="110" t="str">
        <f>IFERROR(VLOOKUP(F2641,'Freq-Chan'!C:E,3,FALSE),"na")</f>
        <v>na</v>
      </c>
      <c r="Z2641" s="110" t="s">
        <v>541</v>
      </c>
      <c r="AA2641" s="110" t="s">
        <v>541</v>
      </c>
      <c r="AB2641" s="110" t="s">
        <v>541</v>
      </c>
      <c r="AC2641" s="10" t="s">
        <v>541</v>
      </c>
      <c r="AD2641" s="10" t="s">
        <v>541</v>
      </c>
    </row>
    <row r="2642" spans="1:30" x14ac:dyDescent="0.2">
      <c r="A2642" s="110">
        <v>2642</v>
      </c>
      <c r="B2642" s="132">
        <v>41864</v>
      </c>
      <c r="C2642" s="117">
        <v>3</v>
      </c>
      <c r="D2642" s="103" t="s">
        <v>71</v>
      </c>
      <c r="E2642" s="103" t="s">
        <v>306</v>
      </c>
      <c r="F2642" s="103">
        <v>534</v>
      </c>
      <c r="G2642" s="103">
        <v>89</v>
      </c>
      <c r="H2642" s="103" t="s">
        <v>2447</v>
      </c>
      <c r="I2642" s="103">
        <v>56</v>
      </c>
      <c r="K2642" s="103" t="s">
        <v>1032</v>
      </c>
      <c r="L2642" s="133"/>
      <c r="M2642" s="134">
        <v>3.7499999999999999E-2</v>
      </c>
      <c r="N2642" s="135" t="s">
        <v>3733</v>
      </c>
      <c r="O2642" s="133" t="s">
        <v>555</v>
      </c>
      <c r="Q2642" s="100" t="s">
        <v>4230</v>
      </c>
      <c r="R2642" s="226" t="s">
        <v>4214</v>
      </c>
      <c r="S2642" s="491" t="str">
        <f t="shared" si="85"/>
        <v>x</v>
      </c>
      <c r="T2642" s="492">
        <f>IFERROR(VLOOKUP(F2642,'Freq-Chan'!C:D,2,FALSE),"x")</f>
        <v>151.53399999999999</v>
      </c>
      <c r="U2642" s="110" t="s">
        <v>541</v>
      </c>
      <c r="V2642" s="110" t="str">
        <f t="shared" si="86"/>
        <v>FWL</v>
      </c>
      <c r="W2642" s="110" t="s">
        <v>541</v>
      </c>
      <c r="X2642" s="110" t="s">
        <v>541</v>
      </c>
      <c r="Y2642" s="110" t="str">
        <f>IFERROR(VLOOKUP(F2642,'Freq-Chan'!C:E,3,FALSE),"na")</f>
        <v>F1840</v>
      </c>
      <c r="Z2642" s="110" t="s">
        <v>541</v>
      </c>
      <c r="AA2642" s="110" t="s">
        <v>541</v>
      </c>
      <c r="AB2642" s="110" t="s">
        <v>541</v>
      </c>
      <c r="AC2642" s="10" t="s">
        <v>541</v>
      </c>
      <c r="AD2642" s="10" t="s">
        <v>541</v>
      </c>
    </row>
    <row r="2643" spans="1:30" x14ac:dyDescent="0.2">
      <c r="A2643" s="110">
        <v>2643</v>
      </c>
      <c r="B2643" s="132">
        <v>41864</v>
      </c>
      <c r="C2643" s="117">
        <v>3</v>
      </c>
      <c r="D2643" s="103" t="s">
        <v>70</v>
      </c>
      <c r="E2643" s="103" t="s">
        <v>306</v>
      </c>
      <c r="H2643" s="103"/>
      <c r="I2643" s="103">
        <v>48</v>
      </c>
      <c r="K2643" s="103" t="s">
        <v>1032</v>
      </c>
      <c r="L2643" s="133"/>
      <c r="M2643" s="134">
        <v>1.5972222222222224E-2</v>
      </c>
      <c r="N2643" s="135" t="s">
        <v>3735</v>
      </c>
      <c r="O2643" s="133" t="s">
        <v>555</v>
      </c>
      <c r="Q2643" s="100" t="s">
        <v>4230</v>
      </c>
      <c r="R2643" s="226" t="s">
        <v>4214</v>
      </c>
      <c r="S2643" s="491" t="str">
        <f t="shared" si="85"/>
        <v>x</v>
      </c>
      <c r="T2643" s="492" t="str">
        <f>IFERROR(VLOOKUP(F2643,'Freq-Chan'!C:D,2,FALSE),"x")</f>
        <v>x</v>
      </c>
      <c r="U2643" s="110" t="s">
        <v>541</v>
      </c>
      <c r="V2643" s="110" t="str">
        <f t="shared" si="86"/>
        <v>FWL</v>
      </c>
      <c r="W2643" s="110" t="s">
        <v>541</v>
      </c>
      <c r="X2643" s="110" t="s">
        <v>541</v>
      </c>
      <c r="Y2643" s="110" t="str">
        <f>IFERROR(VLOOKUP(F2643,'Freq-Chan'!C:E,3,FALSE),"na")</f>
        <v>na</v>
      </c>
      <c r="Z2643" s="110" t="s">
        <v>541</v>
      </c>
      <c r="AA2643" s="110" t="s">
        <v>541</v>
      </c>
      <c r="AB2643" s="110" t="s">
        <v>541</v>
      </c>
      <c r="AC2643" s="10" t="s">
        <v>541</v>
      </c>
      <c r="AD2643" s="10" t="s">
        <v>541</v>
      </c>
    </row>
    <row r="2644" spans="1:30" x14ac:dyDescent="0.2">
      <c r="A2644" s="110">
        <v>2644</v>
      </c>
      <c r="B2644" s="132">
        <v>41864</v>
      </c>
      <c r="C2644" s="117">
        <v>3</v>
      </c>
      <c r="D2644" s="103" t="s">
        <v>70</v>
      </c>
      <c r="E2644" s="103" t="s">
        <v>306</v>
      </c>
      <c r="H2644" s="103"/>
      <c r="I2644" s="103">
        <v>43</v>
      </c>
      <c r="K2644" s="103" t="s">
        <v>1032</v>
      </c>
      <c r="L2644" s="133"/>
      <c r="M2644" s="134">
        <v>2.013888888888889E-2</v>
      </c>
      <c r="N2644" s="135" t="s">
        <v>765</v>
      </c>
      <c r="O2644" s="133" t="s">
        <v>1532</v>
      </c>
      <c r="Q2644" s="100" t="s">
        <v>4230</v>
      </c>
      <c r="R2644" s="226" t="s">
        <v>4214</v>
      </c>
      <c r="S2644" s="491" t="str">
        <f t="shared" si="85"/>
        <v>x</v>
      </c>
      <c r="T2644" s="492" t="str">
        <f>IFERROR(VLOOKUP(F2644,'Freq-Chan'!C:D,2,FALSE),"x")</f>
        <v>x</v>
      </c>
      <c r="U2644" s="110" t="s">
        <v>541</v>
      </c>
      <c r="V2644" s="110" t="str">
        <f t="shared" si="86"/>
        <v>FWL</v>
      </c>
      <c r="W2644" s="110" t="s">
        <v>541</v>
      </c>
      <c r="X2644" s="110" t="s">
        <v>541</v>
      </c>
      <c r="Y2644" s="110" t="str">
        <f>IFERROR(VLOOKUP(F2644,'Freq-Chan'!C:E,3,FALSE),"na")</f>
        <v>na</v>
      </c>
      <c r="Z2644" s="110" t="s">
        <v>541</v>
      </c>
      <c r="AA2644" s="110" t="s">
        <v>541</v>
      </c>
      <c r="AB2644" s="110" t="s">
        <v>541</v>
      </c>
      <c r="AC2644" s="10" t="s">
        <v>541</v>
      </c>
      <c r="AD2644" s="10" t="s">
        <v>541</v>
      </c>
    </row>
    <row r="2645" spans="1:30" x14ac:dyDescent="0.2">
      <c r="A2645" s="110">
        <v>2645</v>
      </c>
      <c r="B2645" s="132">
        <v>41864</v>
      </c>
      <c r="C2645" s="117">
        <v>3</v>
      </c>
      <c r="D2645" s="103" t="s">
        <v>70</v>
      </c>
      <c r="E2645" s="103" t="s">
        <v>306</v>
      </c>
      <c r="H2645" s="103"/>
      <c r="I2645" s="103">
        <v>47</v>
      </c>
      <c r="K2645" s="103" t="s">
        <v>365</v>
      </c>
      <c r="L2645" s="133"/>
      <c r="M2645" s="134">
        <v>1.9444444444444445E-2</v>
      </c>
      <c r="N2645" s="135" t="s">
        <v>3357</v>
      </c>
      <c r="O2645" s="133" t="s">
        <v>1532</v>
      </c>
      <c r="Q2645" s="100" t="s">
        <v>4230</v>
      </c>
      <c r="R2645" s="226" t="s">
        <v>4214</v>
      </c>
      <c r="S2645" s="491" t="str">
        <f t="shared" si="85"/>
        <v>x</v>
      </c>
      <c r="T2645" s="492" t="str">
        <f>IFERROR(VLOOKUP(F2645,'Freq-Chan'!C:D,2,FALSE),"x")</f>
        <v>x</v>
      </c>
      <c r="U2645" s="110" t="s">
        <v>541</v>
      </c>
      <c r="V2645" s="110" t="str">
        <f t="shared" si="86"/>
        <v>FWL</v>
      </c>
      <c r="W2645" s="110" t="s">
        <v>541</v>
      </c>
      <c r="X2645" s="110" t="s">
        <v>541</v>
      </c>
      <c r="Y2645" s="110" t="str">
        <f>IFERROR(VLOOKUP(F2645,'Freq-Chan'!C:E,3,FALSE),"na")</f>
        <v>na</v>
      </c>
      <c r="Z2645" s="110" t="s">
        <v>541</v>
      </c>
      <c r="AA2645" s="110" t="s">
        <v>541</v>
      </c>
      <c r="AB2645" s="110" t="s">
        <v>541</v>
      </c>
      <c r="AC2645" s="10" t="s">
        <v>541</v>
      </c>
      <c r="AD2645" s="10" t="s">
        <v>541</v>
      </c>
    </row>
    <row r="2646" spans="1:30" x14ac:dyDescent="0.2">
      <c r="A2646" s="110">
        <v>2646</v>
      </c>
      <c r="B2646" s="132">
        <v>41864</v>
      </c>
      <c r="C2646" s="117">
        <v>3</v>
      </c>
      <c r="D2646" s="103" t="s">
        <v>71</v>
      </c>
      <c r="E2646" s="103" t="s">
        <v>306</v>
      </c>
      <c r="H2646" s="103"/>
      <c r="I2646" s="103">
        <v>57</v>
      </c>
      <c r="K2646" s="103" t="s">
        <v>364</v>
      </c>
      <c r="L2646" s="133"/>
      <c r="M2646" s="134">
        <v>1.6666666666666666E-2</v>
      </c>
      <c r="N2646" s="135" t="s">
        <v>1935</v>
      </c>
      <c r="O2646" s="133" t="s">
        <v>1532</v>
      </c>
      <c r="Q2646" s="100" t="s">
        <v>4230</v>
      </c>
      <c r="R2646" s="226" t="s">
        <v>4214</v>
      </c>
      <c r="S2646" s="491" t="str">
        <f t="shared" si="85"/>
        <v>x</v>
      </c>
      <c r="T2646" s="492" t="str">
        <f>IFERROR(VLOOKUP(F2646,'Freq-Chan'!C:D,2,FALSE),"x")</f>
        <v>x</v>
      </c>
      <c r="U2646" s="110" t="s">
        <v>541</v>
      </c>
      <c r="V2646" s="110" t="str">
        <f t="shared" si="86"/>
        <v>FWL</v>
      </c>
      <c r="W2646" s="110" t="s">
        <v>541</v>
      </c>
      <c r="X2646" s="110" t="s">
        <v>541</v>
      </c>
      <c r="Y2646" s="110" t="str">
        <f>IFERROR(VLOOKUP(F2646,'Freq-Chan'!C:E,3,FALSE),"na")</f>
        <v>na</v>
      </c>
      <c r="Z2646" s="110" t="s">
        <v>541</v>
      </c>
      <c r="AA2646" s="110" t="s">
        <v>541</v>
      </c>
      <c r="AB2646" s="110" t="s">
        <v>541</v>
      </c>
      <c r="AC2646" s="10" t="s">
        <v>541</v>
      </c>
      <c r="AD2646" s="10" t="s">
        <v>541</v>
      </c>
    </row>
    <row r="2647" spans="1:30" x14ac:dyDescent="0.2">
      <c r="A2647" s="110">
        <v>2647</v>
      </c>
      <c r="B2647" s="132">
        <v>41864</v>
      </c>
      <c r="C2647" s="117">
        <v>3</v>
      </c>
      <c r="D2647" s="103" t="s">
        <v>71</v>
      </c>
      <c r="E2647" s="103" t="s">
        <v>306</v>
      </c>
      <c r="H2647" s="103"/>
      <c r="I2647" s="103">
        <v>60</v>
      </c>
      <c r="K2647" s="103" t="s">
        <v>364</v>
      </c>
      <c r="L2647" s="133"/>
      <c r="M2647" s="134">
        <v>2.361111111111111E-2</v>
      </c>
      <c r="N2647" s="137" t="s">
        <v>2049</v>
      </c>
      <c r="O2647" s="133" t="s">
        <v>1532</v>
      </c>
      <c r="P2647" s="100" t="s">
        <v>4227</v>
      </c>
      <c r="Q2647" s="100" t="s">
        <v>4230</v>
      </c>
      <c r="R2647" s="226" t="s">
        <v>4214</v>
      </c>
      <c r="S2647" s="491" t="str">
        <f t="shared" si="85"/>
        <v>x</v>
      </c>
      <c r="T2647" s="492" t="str">
        <f>IFERROR(VLOOKUP(F2647,'Freq-Chan'!C:D,2,FALSE),"x")</f>
        <v>x</v>
      </c>
      <c r="U2647" s="110" t="s">
        <v>541</v>
      </c>
      <c r="V2647" s="110" t="str">
        <f t="shared" si="86"/>
        <v>FWL</v>
      </c>
      <c r="W2647" s="110" t="s">
        <v>541</v>
      </c>
      <c r="X2647" s="110" t="s">
        <v>541</v>
      </c>
      <c r="Y2647" s="110" t="str">
        <f>IFERROR(VLOOKUP(F2647,'Freq-Chan'!C:E,3,FALSE),"na")</f>
        <v>na</v>
      </c>
      <c r="Z2647" s="110" t="s">
        <v>541</v>
      </c>
      <c r="AA2647" s="110" t="s">
        <v>541</v>
      </c>
      <c r="AB2647" s="110" t="s">
        <v>541</v>
      </c>
      <c r="AC2647" s="10" t="s">
        <v>541</v>
      </c>
      <c r="AD2647" s="10" t="s">
        <v>541</v>
      </c>
    </row>
    <row r="2648" spans="1:30" x14ac:dyDescent="0.2">
      <c r="A2648" s="110">
        <v>2648</v>
      </c>
      <c r="B2648" s="132">
        <v>41864</v>
      </c>
      <c r="C2648" s="117">
        <v>3</v>
      </c>
      <c r="D2648" s="103" t="s">
        <v>71</v>
      </c>
      <c r="E2648" s="103" t="s">
        <v>306</v>
      </c>
      <c r="H2648" s="103"/>
      <c r="I2648" s="103">
        <v>60</v>
      </c>
      <c r="K2648" s="103" t="s">
        <v>1032</v>
      </c>
      <c r="L2648" s="133"/>
      <c r="M2648" s="134">
        <v>2.5694444444444447E-2</v>
      </c>
      <c r="N2648" s="137" t="s">
        <v>3905</v>
      </c>
      <c r="O2648" s="133" t="s">
        <v>1532</v>
      </c>
      <c r="Q2648" s="100" t="s">
        <v>4230</v>
      </c>
      <c r="R2648" s="226" t="s">
        <v>4214</v>
      </c>
      <c r="S2648" s="491" t="str">
        <f t="shared" si="85"/>
        <v>x</v>
      </c>
      <c r="T2648" s="492" t="str">
        <f>IFERROR(VLOOKUP(F2648,'Freq-Chan'!C:D,2,FALSE),"x")</f>
        <v>x</v>
      </c>
      <c r="U2648" s="110" t="s">
        <v>541</v>
      </c>
      <c r="V2648" s="110" t="str">
        <f t="shared" si="86"/>
        <v>FWL</v>
      </c>
      <c r="W2648" s="110" t="s">
        <v>541</v>
      </c>
      <c r="X2648" s="110" t="s">
        <v>541</v>
      </c>
      <c r="Y2648" s="110" t="str">
        <f>IFERROR(VLOOKUP(F2648,'Freq-Chan'!C:E,3,FALSE),"na")</f>
        <v>na</v>
      </c>
      <c r="Z2648" s="110" t="s">
        <v>541</v>
      </c>
      <c r="AA2648" s="110" t="s">
        <v>541</v>
      </c>
      <c r="AB2648" s="110" t="s">
        <v>541</v>
      </c>
      <c r="AC2648" s="10" t="s">
        <v>541</v>
      </c>
      <c r="AD2648" s="10" t="s">
        <v>541</v>
      </c>
    </row>
    <row r="2649" spans="1:30" x14ac:dyDescent="0.2">
      <c r="A2649" s="110">
        <v>2649</v>
      </c>
      <c r="B2649" s="132">
        <v>41864</v>
      </c>
      <c r="C2649" s="117">
        <v>3</v>
      </c>
      <c r="D2649" s="103" t="s">
        <v>70</v>
      </c>
      <c r="E2649" s="103" t="s">
        <v>306</v>
      </c>
      <c r="H2649" s="103"/>
      <c r="I2649" s="103">
        <v>48</v>
      </c>
      <c r="K2649" s="103" t="s">
        <v>365</v>
      </c>
      <c r="L2649" s="133"/>
      <c r="M2649" s="134">
        <v>1.5972222222222224E-2</v>
      </c>
      <c r="N2649" s="137" t="s">
        <v>4105</v>
      </c>
      <c r="O2649" s="133" t="s">
        <v>1532</v>
      </c>
      <c r="Q2649" s="100" t="s">
        <v>4230</v>
      </c>
      <c r="R2649" s="226" t="s">
        <v>4214</v>
      </c>
      <c r="S2649" s="491" t="str">
        <f t="shared" si="85"/>
        <v>x</v>
      </c>
      <c r="T2649" s="492" t="str">
        <f>IFERROR(VLOOKUP(F2649,'Freq-Chan'!C:D,2,FALSE),"x")</f>
        <v>x</v>
      </c>
      <c r="U2649" s="110" t="s">
        <v>541</v>
      </c>
      <c r="V2649" s="110" t="str">
        <f t="shared" si="86"/>
        <v>FWL</v>
      </c>
      <c r="W2649" s="110" t="s">
        <v>541</v>
      </c>
      <c r="X2649" s="110" t="s">
        <v>541</v>
      </c>
      <c r="Y2649" s="110" t="str">
        <f>IFERROR(VLOOKUP(F2649,'Freq-Chan'!C:E,3,FALSE),"na")</f>
        <v>na</v>
      </c>
      <c r="Z2649" s="110" t="s">
        <v>541</v>
      </c>
      <c r="AA2649" s="110" t="s">
        <v>541</v>
      </c>
      <c r="AB2649" s="110" t="s">
        <v>541</v>
      </c>
      <c r="AC2649" s="10" t="s">
        <v>541</v>
      </c>
      <c r="AD2649" s="10" t="s">
        <v>541</v>
      </c>
    </row>
    <row r="2650" spans="1:30" x14ac:dyDescent="0.2">
      <c r="A2650" s="110">
        <v>2650</v>
      </c>
      <c r="B2650" s="132">
        <v>41864</v>
      </c>
      <c r="C2650" s="117">
        <v>3</v>
      </c>
      <c r="D2650" s="103" t="s">
        <v>72</v>
      </c>
      <c r="E2650" s="103" t="s">
        <v>306</v>
      </c>
      <c r="F2650" s="103">
        <v>325</v>
      </c>
      <c r="G2650" s="103">
        <v>87</v>
      </c>
      <c r="H2650" s="103" t="s">
        <v>3571</v>
      </c>
      <c r="I2650" s="103">
        <v>58</v>
      </c>
      <c r="K2650" s="103" t="s">
        <v>364</v>
      </c>
      <c r="L2650" s="133"/>
      <c r="M2650" s="134">
        <v>3.5416666666666666E-2</v>
      </c>
      <c r="N2650" s="135" t="s">
        <v>2692</v>
      </c>
      <c r="O2650" s="133" t="s">
        <v>1532</v>
      </c>
      <c r="Q2650" s="100" t="s">
        <v>4230</v>
      </c>
      <c r="R2650" s="226" t="s">
        <v>4214</v>
      </c>
      <c r="S2650" s="491" t="str">
        <f t="shared" si="85"/>
        <v>x</v>
      </c>
      <c r="T2650" s="492">
        <f>IFERROR(VLOOKUP(F2650,'Freq-Chan'!C:D,2,FALSE),"x")</f>
        <v>151.32499999999999</v>
      </c>
      <c r="U2650" s="110" t="s">
        <v>541</v>
      </c>
      <c r="V2650" s="110" t="str">
        <f t="shared" si="86"/>
        <v>FWL</v>
      </c>
      <c r="W2650" s="110" t="s">
        <v>541</v>
      </c>
      <c r="X2650" s="110" t="s">
        <v>541</v>
      </c>
      <c r="Y2650" s="110" t="str">
        <f>IFERROR(VLOOKUP(F2650,'Freq-Chan'!C:E,3,FALSE),"na")</f>
        <v>F1840</v>
      </c>
      <c r="Z2650" s="110" t="s">
        <v>541</v>
      </c>
      <c r="AA2650" s="110" t="s">
        <v>541</v>
      </c>
      <c r="AB2650" s="110" t="s">
        <v>541</v>
      </c>
      <c r="AC2650" s="10" t="s">
        <v>541</v>
      </c>
      <c r="AD2650" s="10" t="s">
        <v>541</v>
      </c>
    </row>
    <row r="2651" spans="1:30" x14ac:dyDescent="0.2">
      <c r="A2651" s="110">
        <v>2651</v>
      </c>
      <c r="B2651" s="132">
        <v>41864</v>
      </c>
      <c r="C2651" s="117">
        <v>3</v>
      </c>
      <c r="D2651" s="103" t="s">
        <v>72</v>
      </c>
      <c r="E2651" s="103" t="s">
        <v>306</v>
      </c>
      <c r="F2651" s="103">
        <v>266</v>
      </c>
      <c r="G2651" s="103">
        <v>11</v>
      </c>
      <c r="H2651" s="103" t="s">
        <v>3572</v>
      </c>
      <c r="I2651" s="103">
        <v>52</v>
      </c>
      <c r="K2651" s="103" t="s">
        <v>364</v>
      </c>
      <c r="L2651" s="133"/>
      <c r="M2651" s="134">
        <v>4.6527777777777779E-2</v>
      </c>
      <c r="N2651" s="137" t="s">
        <v>2778</v>
      </c>
      <c r="O2651" s="133" t="s">
        <v>555</v>
      </c>
      <c r="P2651" s="100" t="s">
        <v>4466</v>
      </c>
      <c r="Q2651" s="100" t="s">
        <v>4230</v>
      </c>
      <c r="R2651" s="226" t="s">
        <v>4214</v>
      </c>
      <c r="S2651" s="491" t="str">
        <f t="shared" si="85"/>
        <v>x</v>
      </c>
      <c r="T2651" s="492">
        <f>IFERROR(VLOOKUP(F2651,'Freq-Chan'!C:D,2,FALSE),"x")</f>
        <v>151.26599999999999</v>
      </c>
      <c r="U2651" s="110" t="s">
        <v>541</v>
      </c>
      <c r="V2651" s="110" t="str">
        <f t="shared" si="86"/>
        <v>FWL</v>
      </c>
      <c r="W2651" s="110" t="s">
        <v>541</v>
      </c>
      <c r="X2651" s="110" t="s">
        <v>541</v>
      </c>
      <c r="Y2651" s="110" t="str">
        <f>IFERROR(VLOOKUP(F2651,'Freq-Chan'!C:E,3,FALSE),"na")</f>
        <v>F1840</v>
      </c>
      <c r="Z2651" s="110" t="s">
        <v>541</v>
      </c>
      <c r="AA2651" s="110" t="s">
        <v>541</v>
      </c>
      <c r="AB2651" s="110" t="s">
        <v>541</v>
      </c>
      <c r="AC2651" s="10" t="s">
        <v>541</v>
      </c>
      <c r="AD2651" s="10" t="s">
        <v>541</v>
      </c>
    </row>
    <row r="2652" spans="1:30" x14ac:dyDescent="0.2">
      <c r="A2652" s="110">
        <v>2652</v>
      </c>
      <c r="B2652" s="132">
        <v>41864</v>
      </c>
      <c r="C2652" s="117">
        <v>3</v>
      </c>
      <c r="D2652" s="103" t="s">
        <v>71</v>
      </c>
      <c r="E2652" s="103" t="s">
        <v>306</v>
      </c>
      <c r="H2652" s="103"/>
      <c r="I2652" s="103">
        <v>54</v>
      </c>
      <c r="K2652" s="103" t="s">
        <v>365</v>
      </c>
      <c r="L2652" s="133"/>
      <c r="M2652" s="134">
        <v>1.8055555555555557E-2</v>
      </c>
      <c r="N2652" s="137" t="s">
        <v>4014</v>
      </c>
      <c r="O2652" s="133" t="s">
        <v>555</v>
      </c>
      <c r="Q2652" s="100" t="s">
        <v>4230</v>
      </c>
      <c r="R2652" s="226" t="s">
        <v>4214</v>
      </c>
      <c r="S2652" s="491" t="str">
        <f t="shared" si="85"/>
        <v>x</v>
      </c>
      <c r="T2652" s="492" t="str">
        <f>IFERROR(VLOOKUP(F2652,'Freq-Chan'!C:D,2,FALSE),"x")</f>
        <v>x</v>
      </c>
      <c r="U2652" s="110" t="s">
        <v>541</v>
      </c>
      <c r="V2652" s="110" t="str">
        <f t="shared" si="86"/>
        <v>FWL</v>
      </c>
      <c r="W2652" s="110" t="s">
        <v>541</v>
      </c>
      <c r="X2652" s="110" t="s">
        <v>541</v>
      </c>
      <c r="Y2652" s="110" t="str">
        <f>IFERROR(VLOOKUP(F2652,'Freq-Chan'!C:E,3,FALSE),"na")</f>
        <v>na</v>
      </c>
      <c r="Z2652" s="110" t="s">
        <v>541</v>
      </c>
      <c r="AA2652" s="110" t="s">
        <v>541</v>
      </c>
      <c r="AB2652" s="110" t="s">
        <v>541</v>
      </c>
      <c r="AC2652" s="10" t="s">
        <v>541</v>
      </c>
      <c r="AD2652" s="10" t="s">
        <v>541</v>
      </c>
    </row>
    <row r="2653" spans="1:30" x14ac:dyDescent="0.2">
      <c r="A2653" s="110">
        <v>2653</v>
      </c>
      <c r="B2653" s="132">
        <v>41864</v>
      </c>
      <c r="C2653" s="117">
        <v>3</v>
      </c>
      <c r="D2653" s="103" t="s">
        <v>72</v>
      </c>
      <c r="E2653" s="103" t="s">
        <v>306</v>
      </c>
      <c r="H2653" s="103"/>
      <c r="I2653" s="103">
        <v>45</v>
      </c>
      <c r="K2653" s="103" t="s">
        <v>364</v>
      </c>
      <c r="L2653" s="133"/>
      <c r="M2653" s="134">
        <v>2.4305555555555556E-2</v>
      </c>
      <c r="N2653" s="137" t="s">
        <v>3284</v>
      </c>
      <c r="O2653" s="133" t="s">
        <v>555</v>
      </c>
      <c r="P2653" s="100" t="s">
        <v>4222</v>
      </c>
      <c r="Q2653" s="100" t="s">
        <v>4230</v>
      </c>
      <c r="R2653" s="226" t="s">
        <v>4214</v>
      </c>
      <c r="S2653" s="491" t="str">
        <f t="shared" si="85"/>
        <v>x</v>
      </c>
      <c r="T2653" s="492" t="str">
        <f>IFERROR(VLOOKUP(F2653,'Freq-Chan'!C:D,2,FALSE),"x")</f>
        <v>x</v>
      </c>
      <c r="U2653" s="110" t="s">
        <v>541</v>
      </c>
      <c r="V2653" s="110" t="str">
        <f t="shared" si="86"/>
        <v>FWL</v>
      </c>
      <c r="W2653" s="110" t="s">
        <v>541</v>
      </c>
      <c r="X2653" s="110" t="s">
        <v>541</v>
      </c>
      <c r="Y2653" s="110" t="str">
        <f>IFERROR(VLOOKUP(F2653,'Freq-Chan'!C:E,3,FALSE),"na")</f>
        <v>na</v>
      </c>
      <c r="Z2653" s="110" t="s">
        <v>541</v>
      </c>
      <c r="AA2653" s="110" t="s">
        <v>541</v>
      </c>
      <c r="AB2653" s="110" t="s">
        <v>541</v>
      </c>
      <c r="AC2653" s="10" t="s">
        <v>541</v>
      </c>
      <c r="AD2653" s="10" t="s">
        <v>541</v>
      </c>
    </row>
    <row r="2654" spans="1:30" x14ac:dyDescent="0.2">
      <c r="A2654" s="110">
        <v>2654</v>
      </c>
      <c r="B2654" s="132">
        <v>41864</v>
      </c>
      <c r="C2654" s="117">
        <v>3</v>
      </c>
      <c r="D2654" s="103" t="s">
        <v>71</v>
      </c>
      <c r="E2654" s="103" t="s">
        <v>306</v>
      </c>
      <c r="H2654" s="103"/>
      <c r="I2654" s="103">
        <v>64</v>
      </c>
      <c r="K2654" s="103" t="s">
        <v>365</v>
      </c>
      <c r="L2654" s="133"/>
      <c r="M2654" s="134">
        <v>1.5277777777777777E-2</v>
      </c>
      <c r="N2654" s="137" t="s">
        <v>1771</v>
      </c>
      <c r="O2654" s="133" t="s">
        <v>1585</v>
      </c>
      <c r="Q2654" s="100" t="s">
        <v>4213</v>
      </c>
      <c r="R2654" s="226" t="s">
        <v>4214</v>
      </c>
      <c r="S2654" s="491" t="str">
        <f t="shared" si="85"/>
        <v>x</v>
      </c>
      <c r="T2654" s="492" t="str">
        <f>IFERROR(VLOOKUP(F2654,'Freq-Chan'!C:D,2,FALSE),"x")</f>
        <v>x</v>
      </c>
      <c r="U2654" s="110" t="s">
        <v>541</v>
      </c>
      <c r="V2654" s="110" t="str">
        <f t="shared" si="86"/>
        <v>FWL</v>
      </c>
      <c r="W2654" s="110" t="s">
        <v>541</v>
      </c>
      <c r="X2654" s="110" t="s">
        <v>541</v>
      </c>
      <c r="Y2654" s="110" t="str">
        <f>IFERROR(VLOOKUP(F2654,'Freq-Chan'!C:E,3,FALSE),"na")</f>
        <v>na</v>
      </c>
      <c r="Z2654" s="110" t="s">
        <v>541</v>
      </c>
      <c r="AA2654" s="110" t="s">
        <v>541</v>
      </c>
      <c r="AB2654" s="110" t="s">
        <v>541</v>
      </c>
      <c r="AC2654" s="10" t="s">
        <v>541</v>
      </c>
      <c r="AD2654" s="10" t="s">
        <v>541</v>
      </c>
    </row>
    <row r="2655" spans="1:30" x14ac:dyDescent="0.2">
      <c r="A2655" s="110">
        <v>2655</v>
      </c>
      <c r="B2655" s="132">
        <v>41864</v>
      </c>
      <c r="C2655" s="117">
        <v>3</v>
      </c>
      <c r="D2655" s="103" t="s">
        <v>71</v>
      </c>
      <c r="E2655" s="103" t="s">
        <v>306</v>
      </c>
      <c r="H2655" s="103"/>
      <c r="I2655" s="103">
        <v>63</v>
      </c>
      <c r="K2655" s="103" t="s">
        <v>1032</v>
      </c>
      <c r="L2655" s="133"/>
      <c r="M2655" s="134">
        <v>2.013888888888889E-2</v>
      </c>
      <c r="N2655" s="137" t="s">
        <v>3758</v>
      </c>
      <c r="O2655" s="133" t="s">
        <v>1585</v>
      </c>
      <c r="Q2655" s="100" t="s">
        <v>4213</v>
      </c>
      <c r="R2655" s="226" t="s">
        <v>4214</v>
      </c>
      <c r="S2655" s="491" t="str">
        <f t="shared" si="85"/>
        <v>x</v>
      </c>
      <c r="T2655" s="492" t="str">
        <f>IFERROR(VLOOKUP(F2655,'Freq-Chan'!C:D,2,FALSE),"x")</f>
        <v>x</v>
      </c>
      <c r="U2655" s="110" t="s">
        <v>541</v>
      </c>
      <c r="V2655" s="110" t="str">
        <f t="shared" si="86"/>
        <v>FWL</v>
      </c>
      <c r="W2655" s="110" t="s">
        <v>541</v>
      </c>
      <c r="X2655" s="110" t="s">
        <v>541</v>
      </c>
      <c r="Y2655" s="110" t="str">
        <f>IFERROR(VLOOKUP(F2655,'Freq-Chan'!C:E,3,FALSE),"na")</f>
        <v>na</v>
      </c>
      <c r="Z2655" s="110" t="s">
        <v>541</v>
      </c>
      <c r="AA2655" s="110" t="s">
        <v>541</v>
      </c>
      <c r="AB2655" s="110" t="s">
        <v>541</v>
      </c>
      <c r="AC2655" s="10" t="s">
        <v>541</v>
      </c>
      <c r="AD2655" s="10" t="s">
        <v>541</v>
      </c>
    </row>
    <row r="2656" spans="1:30" x14ac:dyDescent="0.2">
      <c r="A2656" s="110">
        <v>2656</v>
      </c>
      <c r="B2656" s="132">
        <v>41864</v>
      </c>
      <c r="C2656" s="117">
        <v>3</v>
      </c>
      <c r="D2656" s="103" t="s">
        <v>8</v>
      </c>
      <c r="E2656" s="103" t="s">
        <v>306</v>
      </c>
      <c r="H2656" s="103"/>
      <c r="I2656" s="103">
        <v>45</v>
      </c>
      <c r="K2656" s="103" t="s">
        <v>364</v>
      </c>
      <c r="L2656" s="133"/>
      <c r="M2656" s="134">
        <v>1.3888888888888888E-2</v>
      </c>
      <c r="N2656" s="137" t="s">
        <v>4221</v>
      </c>
      <c r="O2656" s="133" t="s">
        <v>1585</v>
      </c>
      <c r="P2656" s="100" t="s">
        <v>4228</v>
      </c>
      <c r="Q2656" s="100" t="s">
        <v>4213</v>
      </c>
      <c r="R2656" s="226" t="s">
        <v>4214</v>
      </c>
      <c r="S2656" s="491" t="str">
        <f t="shared" si="85"/>
        <v>x</v>
      </c>
      <c r="T2656" s="492" t="str">
        <f>IFERROR(VLOOKUP(F2656,'Freq-Chan'!C:D,2,FALSE),"x")</f>
        <v>x</v>
      </c>
      <c r="U2656" s="110" t="s">
        <v>541</v>
      </c>
      <c r="V2656" s="110" t="str">
        <f t="shared" si="86"/>
        <v>FWL</v>
      </c>
      <c r="W2656" s="110" t="s">
        <v>541</v>
      </c>
      <c r="X2656" s="110" t="s">
        <v>541</v>
      </c>
      <c r="Y2656" s="110" t="str">
        <f>IFERROR(VLOOKUP(F2656,'Freq-Chan'!C:E,3,FALSE),"na")</f>
        <v>na</v>
      </c>
      <c r="Z2656" s="110" t="s">
        <v>541</v>
      </c>
      <c r="AA2656" s="110" t="s">
        <v>541</v>
      </c>
      <c r="AB2656" s="110" t="s">
        <v>541</v>
      </c>
      <c r="AC2656" s="10" t="s">
        <v>541</v>
      </c>
      <c r="AD2656" s="10" t="s">
        <v>541</v>
      </c>
    </row>
    <row r="2657" spans="1:30" x14ac:dyDescent="0.2">
      <c r="A2657" s="110">
        <v>2657</v>
      </c>
      <c r="B2657" s="132">
        <v>41864</v>
      </c>
      <c r="C2657" s="117">
        <v>3</v>
      </c>
      <c r="D2657" s="103" t="s">
        <v>71</v>
      </c>
      <c r="E2657" s="103" t="s">
        <v>306</v>
      </c>
      <c r="H2657" s="103"/>
      <c r="K2657" s="103" t="s">
        <v>364</v>
      </c>
      <c r="L2657" s="133"/>
      <c r="M2657" s="134">
        <v>6.2499999999999995E-3</v>
      </c>
      <c r="N2657" s="137" t="s">
        <v>3937</v>
      </c>
      <c r="O2657" s="133" t="s">
        <v>1585</v>
      </c>
      <c r="P2657" s="100" t="s">
        <v>4223</v>
      </c>
      <c r="Q2657" s="100" t="s">
        <v>4213</v>
      </c>
      <c r="R2657" s="226" t="s">
        <v>4214</v>
      </c>
      <c r="S2657" s="491" t="str">
        <f t="shared" si="85"/>
        <v>x</v>
      </c>
      <c r="T2657" s="492" t="str">
        <f>IFERROR(VLOOKUP(F2657,'Freq-Chan'!C:D,2,FALSE),"x")</f>
        <v>x</v>
      </c>
      <c r="U2657" s="110" t="s">
        <v>541</v>
      </c>
      <c r="V2657" s="110" t="str">
        <f t="shared" si="86"/>
        <v>FWL</v>
      </c>
      <c r="W2657" s="110" t="s">
        <v>541</v>
      </c>
      <c r="X2657" s="110" t="s">
        <v>541</v>
      </c>
      <c r="Y2657" s="110" t="str">
        <f>IFERROR(VLOOKUP(F2657,'Freq-Chan'!C:E,3,FALSE),"na")</f>
        <v>na</v>
      </c>
      <c r="Z2657" s="110" t="s">
        <v>541</v>
      </c>
      <c r="AA2657" s="110" t="s">
        <v>541</v>
      </c>
      <c r="AB2657" s="110" t="s">
        <v>541</v>
      </c>
      <c r="AC2657" s="10" t="s">
        <v>541</v>
      </c>
      <c r="AD2657" s="10" t="s">
        <v>541</v>
      </c>
    </row>
    <row r="2658" spans="1:30" x14ac:dyDescent="0.2">
      <c r="A2658" s="110">
        <v>2658</v>
      </c>
      <c r="B2658" s="132">
        <v>41864</v>
      </c>
      <c r="C2658" s="117">
        <v>3</v>
      </c>
      <c r="D2658" s="103" t="s">
        <v>72</v>
      </c>
      <c r="E2658" s="103" t="s">
        <v>306</v>
      </c>
      <c r="F2658" s="103">
        <v>266</v>
      </c>
      <c r="G2658" s="103">
        <v>38</v>
      </c>
      <c r="H2658" s="103" t="s">
        <v>3575</v>
      </c>
      <c r="I2658" s="103">
        <v>54</v>
      </c>
      <c r="K2658" s="103" t="s">
        <v>364</v>
      </c>
      <c r="L2658" s="133"/>
      <c r="M2658" s="134">
        <v>3.6805555555555557E-2</v>
      </c>
      <c r="N2658" s="137" t="s">
        <v>1581</v>
      </c>
      <c r="O2658" s="133" t="s">
        <v>1585</v>
      </c>
      <c r="P2658" s="100" t="s">
        <v>4466</v>
      </c>
      <c r="Q2658" s="100" t="s">
        <v>4213</v>
      </c>
      <c r="R2658" s="226" t="s">
        <v>4214</v>
      </c>
      <c r="S2658" s="491" t="str">
        <f t="shared" si="85"/>
        <v>x</v>
      </c>
      <c r="T2658" s="492">
        <f>IFERROR(VLOOKUP(F2658,'Freq-Chan'!C:D,2,FALSE),"x")</f>
        <v>151.26599999999999</v>
      </c>
      <c r="U2658" s="110" t="s">
        <v>541</v>
      </c>
      <c r="V2658" s="110" t="str">
        <f t="shared" si="86"/>
        <v>FWL</v>
      </c>
      <c r="W2658" s="110" t="s">
        <v>541</v>
      </c>
      <c r="X2658" s="110" t="s">
        <v>541</v>
      </c>
      <c r="Y2658" s="110" t="str">
        <f>IFERROR(VLOOKUP(F2658,'Freq-Chan'!C:E,3,FALSE),"na")</f>
        <v>F1840</v>
      </c>
      <c r="Z2658" s="110" t="s">
        <v>541</v>
      </c>
      <c r="AA2658" s="110" t="s">
        <v>541</v>
      </c>
      <c r="AB2658" s="110" t="s">
        <v>541</v>
      </c>
      <c r="AC2658" s="10" t="s">
        <v>541</v>
      </c>
      <c r="AD2658" s="10" t="s">
        <v>541</v>
      </c>
    </row>
    <row r="2659" spans="1:30" x14ac:dyDescent="0.2">
      <c r="A2659" s="110">
        <v>2659</v>
      </c>
      <c r="B2659" s="132">
        <v>41864</v>
      </c>
      <c r="C2659" s="117">
        <v>3</v>
      </c>
      <c r="D2659" s="103" t="s">
        <v>2</v>
      </c>
      <c r="E2659" s="103" t="s">
        <v>306</v>
      </c>
      <c r="H2659" s="103"/>
      <c r="I2659" s="103">
        <v>67</v>
      </c>
      <c r="K2659" s="103" t="s">
        <v>1032</v>
      </c>
      <c r="L2659" s="133"/>
      <c r="M2659" s="134">
        <v>8.3333333333333332E-3</v>
      </c>
      <c r="N2659" s="137" t="s">
        <v>2561</v>
      </c>
      <c r="O2659" s="133" t="s">
        <v>1663</v>
      </c>
      <c r="P2659" s="100" t="s">
        <v>4224</v>
      </c>
      <c r="Q2659" s="100" t="s">
        <v>4213</v>
      </c>
      <c r="R2659" s="226" t="s">
        <v>4214</v>
      </c>
      <c r="S2659" s="491" t="str">
        <f t="shared" si="85"/>
        <v>x</v>
      </c>
      <c r="T2659" s="492" t="str">
        <f>IFERROR(VLOOKUP(F2659,'Freq-Chan'!C:D,2,FALSE),"x")</f>
        <v>x</v>
      </c>
      <c r="U2659" s="110" t="s">
        <v>541</v>
      </c>
      <c r="V2659" s="110" t="str">
        <f t="shared" si="86"/>
        <v>FWL</v>
      </c>
      <c r="W2659" s="110" t="s">
        <v>541</v>
      </c>
      <c r="X2659" s="110" t="s">
        <v>541</v>
      </c>
      <c r="Y2659" s="110" t="str">
        <f>IFERROR(VLOOKUP(F2659,'Freq-Chan'!C:E,3,FALSE),"na")</f>
        <v>na</v>
      </c>
      <c r="Z2659" s="110" t="s">
        <v>541</v>
      </c>
      <c r="AA2659" s="110" t="s">
        <v>541</v>
      </c>
      <c r="AB2659" s="110" t="s">
        <v>541</v>
      </c>
      <c r="AC2659" s="10" t="s">
        <v>541</v>
      </c>
      <c r="AD2659" s="10" t="s">
        <v>541</v>
      </c>
    </row>
    <row r="2660" spans="1:30" s="291" customFormat="1" x14ac:dyDescent="0.2">
      <c r="A2660" s="493">
        <v>2660</v>
      </c>
      <c r="B2660" s="283">
        <v>41864</v>
      </c>
      <c r="C2660" s="284">
        <v>3</v>
      </c>
      <c r="D2660" s="285" t="s">
        <v>71</v>
      </c>
      <c r="E2660" s="285" t="s">
        <v>306</v>
      </c>
      <c r="F2660" s="285"/>
      <c r="G2660" s="285"/>
      <c r="H2660" s="285"/>
      <c r="I2660" s="285">
        <v>56</v>
      </c>
      <c r="J2660" s="285"/>
      <c r="K2660" s="285" t="s">
        <v>365</v>
      </c>
      <c r="L2660" s="286"/>
      <c r="M2660" s="287">
        <v>2.013888888888889E-2</v>
      </c>
      <c r="N2660" s="288" t="s">
        <v>1917</v>
      </c>
      <c r="O2660" s="286" t="s">
        <v>1663</v>
      </c>
      <c r="P2660" s="289"/>
      <c r="Q2660" s="289" t="s">
        <v>4213</v>
      </c>
      <c r="R2660" s="290" t="s">
        <v>4214</v>
      </c>
      <c r="S2660" s="494" t="str">
        <f t="shared" si="85"/>
        <v>x</v>
      </c>
      <c r="T2660" s="495" t="str">
        <f>IFERROR(VLOOKUP(F2660,'Freq-Chan'!C:D,2,FALSE),"x")</f>
        <v>x</v>
      </c>
      <c r="U2660" s="493" t="s">
        <v>541</v>
      </c>
      <c r="V2660" s="493" t="str">
        <f t="shared" si="86"/>
        <v>FWL</v>
      </c>
      <c r="W2660" s="493" t="s">
        <v>541</v>
      </c>
      <c r="X2660" s="493" t="s">
        <v>541</v>
      </c>
      <c r="Y2660" s="493" t="str">
        <f>IFERROR(VLOOKUP(F2660,'Freq-Chan'!C:E,3,FALSE),"na")</f>
        <v>na</v>
      </c>
      <c r="Z2660" s="493" t="s">
        <v>541</v>
      </c>
      <c r="AA2660" s="493" t="s">
        <v>541</v>
      </c>
      <c r="AB2660" s="493" t="s">
        <v>541</v>
      </c>
      <c r="AC2660" s="291" t="s">
        <v>541</v>
      </c>
      <c r="AD2660" s="291" t="s">
        <v>541</v>
      </c>
    </row>
    <row r="2661" spans="1:30" x14ac:dyDescent="0.2">
      <c r="A2661" s="110">
        <v>2661</v>
      </c>
      <c r="B2661" s="132">
        <v>41865</v>
      </c>
      <c r="C2661" s="117">
        <v>1</v>
      </c>
      <c r="D2661" s="103" t="s">
        <v>71</v>
      </c>
      <c r="E2661" s="103" t="s">
        <v>306</v>
      </c>
      <c r="F2661" s="103">
        <v>534</v>
      </c>
      <c r="G2661" s="103">
        <v>90</v>
      </c>
      <c r="H2661" s="103" t="s">
        <v>2451</v>
      </c>
      <c r="I2661" s="103">
        <v>56</v>
      </c>
      <c r="K2661" s="103" t="s">
        <v>1032</v>
      </c>
      <c r="L2661" s="133">
        <v>0.34027777777777773</v>
      </c>
      <c r="M2661" s="134">
        <v>3.6111111111111115E-2</v>
      </c>
      <c r="N2661" s="135" t="s">
        <v>3768</v>
      </c>
      <c r="O2661" s="133" t="s">
        <v>1585</v>
      </c>
      <c r="Q2661" s="100" t="s">
        <v>4237</v>
      </c>
      <c r="R2661" s="226" t="s">
        <v>4253</v>
      </c>
      <c r="S2661" s="491">
        <f t="shared" si="85"/>
        <v>2.5092592600000001E-2</v>
      </c>
      <c r="T2661" s="492">
        <f>IFERROR(VLOOKUP(F2661,'Freq-Chan'!C:D,2,FALSE),"x")</f>
        <v>151.53399999999999</v>
      </c>
      <c r="U2661" s="110" t="s">
        <v>541</v>
      </c>
      <c r="V2661" s="110" t="str">
        <f t="shared" si="86"/>
        <v>FWL</v>
      </c>
      <c r="W2661" s="110" t="s">
        <v>541</v>
      </c>
      <c r="X2661" s="110" t="s">
        <v>541</v>
      </c>
      <c r="Y2661" s="110" t="str">
        <f>IFERROR(VLOOKUP(F2661,'Freq-Chan'!C:E,3,FALSE),"na")</f>
        <v>F1840</v>
      </c>
      <c r="Z2661" s="110" t="s">
        <v>541</v>
      </c>
      <c r="AA2661" s="110" t="s">
        <v>541</v>
      </c>
      <c r="AB2661" s="110" t="s">
        <v>541</v>
      </c>
      <c r="AC2661" s="10" t="s">
        <v>541</v>
      </c>
      <c r="AD2661" s="10" t="s">
        <v>541</v>
      </c>
    </row>
    <row r="2662" spans="1:30" x14ac:dyDescent="0.2">
      <c r="A2662" s="110">
        <v>2662</v>
      </c>
      <c r="B2662" s="132">
        <v>41865</v>
      </c>
      <c r="C2662" s="117">
        <v>1</v>
      </c>
      <c r="D2662" s="103" t="s">
        <v>8</v>
      </c>
      <c r="E2662" s="103" t="s">
        <v>306</v>
      </c>
      <c r="F2662" s="103">
        <v>586</v>
      </c>
      <c r="G2662" s="103">
        <v>27</v>
      </c>
      <c r="H2662" s="103" t="s">
        <v>2264</v>
      </c>
      <c r="I2662" s="103">
        <v>49</v>
      </c>
      <c r="K2662" s="103" t="s">
        <v>364</v>
      </c>
      <c r="L2662" s="133"/>
      <c r="M2662" s="134">
        <v>3.5416666666666666E-2</v>
      </c>
      <c r="N2662" s="137" t="s">
        <v>3449</v>
      </c>
      <c r="O2662" s="133" t="s">
        <v>1585</v>
      </c>
      <c r="Q2662" s="100" t="s">
        <v>4237</v>
      </c>
      <c r="R2662" s="226" t="s">
        <v>4253</v>
      </c>
      <c r="S2662" s="491" t="str">
        <f t="shared" si="85"/>
        <v>x</v>
      </c>
      <c r="T2662" s="492">
        <f>IFERROR(VLOOKUP(F2662,'Freq-Chan'!C:D,2,FALSE),"x")</f>
        <v>151.58600000000001</v>
      </c>
      <c r="U2662" s="110" t="s">
        <v>541</v>
      </c>
      <c r="V2662" s="110" t="str">
        <f t="shared" si="86"/>
        <v>FWL</v>
      </c>
      <c r="W2662" s="110" t="s">
        <v>541</v>
      </c>
      <c r="X2662" s="110" t="s">
        <v>541</v>
      </c>
      <c r="Y2662" s="110" t="str">
        <f>IFERROR(VLOOKUP(F2662,'Freq-Chan'!C:E,3,FALSE),"na")</f>
        <v>F1840</v>
      </c>
      <c r="Z2662" s="110" t="s">
        <v>541</v>
      </c>
      <c r="AA2662" s="110" t="s">
        <v>541</v>
      </c>
      <c r="AB2662" s="110" t="s">
        <v>541</v>
      </c>
      <c r="AC2662" s="10" t="s">
        <v>541</v>
      </c>
      <c r="AD2662" s="10" t="s">
        <v>541</v>
      </c>
    </row>
    <row r="2663" spans="1:30" x14ac:dyDescent="0.2">
      <c r="A2663" s="110">
        <v>2663</v>
      </c>
      <c r="B2663" s="132">
        <v>41865</v>
      </c>
      <c r="C2663" s="117">
        <v>1</v>
      </c>
      <c r="D2663" s="103" t="s">
        <v>70</v>
      </c>
      <c r="E2663" s="103" t="s">
        <v>306</v>
      </c>
      <c r="F2663" s="103">
        <v>596</v>
      </c>
      <c r="G2663" s="103">
        <v>69</v>
      </c>
      <c r="H2663" s="103" t="s">
        <v>3136</v>
      </c>
      <c r="I2663" s="103">
        <v>47</v>
      </c>
      <c r="K2663" s="103" t="s">
        <v>1032</v>
      </c>
      <c r="L2663" s="133">
        <v>0.37986111111111115</v>
      </c>
      <c r="M2663" s="134">
        <v>3.888888888888889E-2</v>
      </c>
      <c r="N2663" s="135" t="s">
        <v>3715</v>
      </c>
      <c r="O2663" s="133" t="s">
        <v>555</v>
      </c>
      <c r="Q2663" s="100" t="s">
        <v>4237</v>
      </c>
      <c r="R2663" s="226" t="s">
        <v>4253</v>
      </c>
      <c r="S2663" s="491">
        <f t="shared" si="85"/>
        <v>7.4074069999999995E-4</v>
      </c>
      <c r="T2663" s="492">
        <f>IFERROR(VLOOKUP(F2663,'Freq-Chan'!C:D,2,FALSE),"x")</f>
        <v>151.596</v>
      </c>
      <c r="U2663" s="110" t="s">
        <v>541</v>
      </c>
      <c r="V2663" s="110" t="str">
        <f t="shared" si="86"/>
        <v>FWL</v>
      </c>
      <c r="W2663" s="110" t="s">
        <v>541</v>
      </c>
      <c r="X2663" s="110" t="s">
        <v>541</v>
      </c>
      <c r="Y2663" s="110" t="str">
        <f>IFERROR(VLOOKUP(F2663,'Freq-Chan'!C:E,3,FALSE),"na")</f>
        <v>F1835</v>
      </c>
      <c r="Z2663" s="110" t="s">
        <v>541</v>
      </c>
      <c r="AA2663" s="110" t="s">
        <v>541</v>
      </c>
      <c r="AB2663" s="110" t="s">
        <v>541</v>
      </c>
      <c r="AC2663" s="10" t="s">
        <v>541</v>
      </c>
      <c r="AD2663" s="10" t="s">
        <v>541</v>
      </c>
    </row>
    <row r="2664" spans="1:30" x14ac:dyDescent="0.2">
      <c r="A2664" s="110">
        <v>2664</v>
      </c>
      <c r="B2664" s="132">
        <v>41865</v>
      </c>
      <c r="C2664" s="117">
        <v>1</v>
      </c>
      <c r="D2664" s="103" t="s">
        <v>70</v>
      </c>
      <c r="E2664" s="103" t="s">
        <v>306</v>
      </c>
      <c r="H2664" s="103"/>
      <c r="I2664" s="103">
        <v>50</v>
      </c>
      <c r="K2664" s="103" t="s">
        <v>1032</v>
      </c>
      <c r="L2664" s="133">
        <v>0.37708333333333338</v>
      </c>
      <c r="M2664" s="134">
        <v>2.2222222222222223E-2</v>
      </c>
      <c r="N2664" s="137" t="s">
        <v>2527</v>
      </c>
      <c r="O2664" s="133" t="s">
        <v>555</v>
      </c>
      <c r="Q2664" s="100" t="s">
        <v>4237</v>
      </c>
      <c r="R2664" s="226" t="s">
        <v>4253</v>
      </c>
      <c r="S2664" s="491">
        <f t="shared" si="85"/>
        <v>2.4074074E-3</v>
      </c>
      <c r="T2664" s="492" t="str">
        <f>IFERROR(VLOOKUP(F2664,'Freq-Chan'!C:D,2,FALSE),"x")</f>
        <v>x</v>
      </c>
      <c r="U2664" s="110" t="s">
        <v>541</v>
      </c>
      <c r="V2664" s="110" t="str">
        <f t="shared" si="86"/>
        <v>FWL</v>
      </c>
      <c r="W2664" s="110" t="s">
        <v>541</v>
      </c>
      <c r="X2664" s="110" t="s">
        <v>541</v>
      </c>
      <c r="Y2664" s="110" t="str">
        <f>IFERROR(VLOOKUP(F2664,'Freq-Chan'!C:E,3,FALSE),"na")</f>
        <v>na</v>
      </c>
      <c r="Z2664" s="110" t="s">
        <v>541</v>
      </c>
      <c r="AA2664" s="110" t="s">
        <v>541</v>
      </c>
      <c r="AB2664" s="110" t="s">
        <v>541</v>
      </c>
      <c r="AC2664" s="10" t="s">
        <v>541</v>
      </c>
      <c r="AD2664" s="10" t="s">
        <v>541</v>
      </c>
    </row>
    <row r="2665" spans="1:30" x14ac:dyDescent="0.2">
      <c r="A2665" s="110">
        <v>2665</v>
      </c>
      <c r="B2665" s="132">
        <v>41865</v>
      </c>
      <c r="C2665" s="117">
        <v>1</v>
      </c>
      <c r="D2665" s="103" t="s">
        <v>71</v>
      </c>
      <c r="E2665" s="103" t="s">
        <v>306</v>
      </c>
      <c r="H2665" s="103"/>
      <c r="I2665" s="103">
        <v>59</v>
      </c>
      <c r="K2665" s="103" t="s">
        <v>1032</v>
      </c>
      <c r="L2665" s="133">
        <v>0.38263888888888892</v>
      </c>
      <c r="M2665" s="134">
        <v>1.8055555555555557E-2</v>
      </c>
      <c r="N2665" s="137" t="s">
        <v>839</v>
      </c>
      <c r="O2665" s="133" t="s">
        <v>555</v>
      </c>
      <c r="Q2665" s="100" t="s">
        <v>4237</v>
      </c>
      <c r="R2665" s="226" t="s">
        <v>4253</v>
      </c>
      <c r="S2665" s="491">
        <f t="shared" si="85"/>
        <v>3.9351849999999999E-4</v>
      </c>
      <c r="T2665" s="492" t="str">
        <f>IFERROR(VLOOKUP(F2665,'Freq-Chan'!C:D,2,FALSE),"x")</f>
        <v>x</v>
      </c>
      <c r="U2665" s="110" t="s">
        <v>541</v>
      </c>
      <c r="V2665" s="110" t="str">
        <f t="shared" si="86"/>
        <v>FWL</v>
      </c>
      <c r="W2665" s="110" t="s">
        <v>541</v>
      </c>
      <c r="X2665" s="110" t="s">
        <v>541</v>
      </c>
      <c r="Y2665" s="110" t="str">
        <f>IFERROR(VLOOKUP(F2665,'Freq-Chan'!C:E,3,FALSE),"na")</f>
        <v>na</v>
      </c>
      <c r="Z2665" s="110" t="s">
        <v>541</v>
      </c>
      <c r="AA2665" s="110" t="s">
        <v>541</v>
      </c>
      <c r="AB2665" s="110" t="s">
        <v>541</v>
      </c>
      <c r="AC2665" s="10" t="s">
        <v>541</v>
      </c>
      <c r="AD2665" s="10" t="s">
        <v>541</v>
      </c>
    </row>
    <row r="2666" spans="1:30" x14ac:dyDescent="0.2">
      <c r="A2666" s="110">
        <v>2666</v>
      </c>
      <c r="B2666" s="132">
        <v>41865</v>
      </c>
      <c r="C2666" s="117">
        <v>1</v>
      </c>
      <c r="D2666" s="103" t="s">
        <v>72</v>
      </c>
      <c r="E2666" s="103" t="s">
        <v>306</v>
      </c>
      <c r="F2666" s="103">
        <v>266</v>
      </c>
      <c r="G2666" s="103">
        <v>6</v>
      </c>
      <c r="H2666" s="103" t="s">
        <v>3584</v>
      </c>
      <c r="I2666" s="103">
        <v>56</v>
      </c>
      <c r="K2666" s="103" t="s">
        <v>364</v>
      </c>
      <c r="L2666" s="133"/>
      <c r="M2666" s="134">
        <v>4.5138888888888888E-2</v>
      </c>
      <c r="N2666" s="137" t="s">
        <v>395</v>
      </c>
      <c r="O2666" s="133" t="s">
        <v>1585</v>
      </c>
      <c r="P2666" s="100" t="s">
        <v>4466</v>
      </c>
      <c r="Q2666" s="100" t="s">
        <v>4237</v>
      </c>
      <c r="R2666" s="226" t="s">
        <v>4253</v>
      </c>
      <c r="S2666" s="491" t="str">
        <f t="shared" si="85"/>
        <v>x</v>
      </c>
      <c r="T2666" s="492">
        <f>IFERROR(VLOOKUP(F2666,'Freq-Chan'!C:D,2,FALSE),"x")</f>
        <v>151.26599999999999</v>
      </c>
      <c r="U2666" s="110" t="s">
        <v>541</v>
      </c>
      <c r="V2666" s="110" t="str">
        <f t="shared" si="86"/>
        <v>FWL</v>
      </c>
      <c r="W2666" s="110" t="s">
        <v>541</v>
      </c>
      <c r="X2666" s="110" t="s">
        <v>541</v>
      </c>
      <c r="Y2666" s="110" t="str">
        <f>IFERROR(VLOOKUP(F2666,'Freq-Chan'!C:E,3,FALSE),"na")</f>
        <v>F1840</v>
      </c>
      <c r="Z2666" s="110" t="s">
        <v>541</v>
      </c>
      <c r="AA2666" s="110" t="s">
        <v>541</v>
      </c>
      <c r="AB2666" s="110" t="s">
        <v>541</v>
      </c>
      <c r="AC2666" s="10" t="s">
        <v>541</v>
      </c>
      <c r="AD2666" s="10" t="s">
        <v>541</v>
      </c>
    </row>
    <row r="2667" spans="1:30" x14ac:dyDescent="0.2">
      <c r="A2667" s="110">
        <v>2667</v>
      </c>
      <c r="B2667" s="132">
        <v>41865</v>
      </c>
      <c r="C2667" s="117">
        <v>1</v>
      </c>
      <c r="D2667" s="103" t="s">
        <v>70</v>
      </c>
      <c r="E2667" s="103" t="s">
        <v>306</v>
      </c>
      <c r="H2667" s="103"/>
      <c r="I2667" s="103">
        <v>44</v>
      </c>
      <c r="K2667" s="103" t="s">
        <v>365</v>
      </c>
      <c r="L2667" s="133"/>
      <c r="M2667" s="134">
        <v>1.2499999999999999E-2</v>
      </c>
      <c r="N2667" s="137" t="s">
        <v>3496</v>
      </c>
      <c r="O2667" s="133" t="s">
        <v>1585</v>
      </c>
      <c r="Q2667" s="100" t="s">
        <v>4237</v>
      </c>
      <c r="R2667" s="226" t="s">
        <v>4253</v>
      </c>
      <c r="S2667" s="491" t="str">
        <f t="shared" si="85"/>
        <v>x</v>
      </c>
      <c r="T2667" s="492" t="str">
        <f>IFERROR(VLOOKUP(F2667,'Freq-Chan'!C:D,2,FALSE),"x")</f>
        <v>x</v>
      </c>
      <c r="U2667" s="110" t="s">
        <v>541</v>
      </c>
      <c r="V2667" s="110" t="str">
        <f t="shared" si="86"/>
        <v>FWL</v>
      </c>
      <c r="W2667" s="110" t="s">
        <v>541</v>
      </c>
      <c r="X2667" s="110" t="s">
        <v>541</v>
      </c>
      <c r="Y2667" s="110" t="str">
        <f>IFERROR(VLOOKUP(F2667,'Freq-Chan'!C:E,3,FALSE),"na")</f>
        <v>na</v>
      </c>
      <c r="Z2667" s="110" t="s">
        <v>541</v>
      </c>
      <c r="AA2667" s="110" t="s">
        <v>541</v>
      </c>
      <c r="AB2667" s="110" t="s">
        <v>541</v>
      </c>
      <c r="AC2667" s="10" t="s">
        <v>541</v>
      </c>
      <c r="AD2667" s="10" t="s">
        <v>541</v>
      </c>
    </row>
    <row r="2668" spans="1:30" x14ac:dyDescent="0.2">
      <c r="A2668" s="110">
        <v>2668</v>
      </c>
      <c r="B2668" s="132">
        <v>41865</v>
      </c>
      <c r="C2668" s="117">
        <v>1</v>
      </c>
      <c r="D2668" s="103" t="s">
        <v>70</v>
      </c>
      <c r="E2668" s="103" t="s">
        <v>306</v>
      </c>
      <c r="H2668" s="103"/>
      <c r="I2668" s="103">
        <v>45</v>
      </c>
      <c r="K2668" s="103" t="s">
        <v>365</v>
      </c>
      <c r="L2668" s="133"/>
      <c r="M2668" s="134">
        <v>1.4583333333333332E-2</v>
      </c>
      <c r="N2668" s="137" t="s">
        <v>3980</v>
      </c>
      <c r="O2668" s="133" t="s">
        <v>1585</v>
      </c>
      <c r="Q2668" s="100" t="s">
        <v>4237</v>
      </c>
      <c r="R2668" s="226" t="s">
        <v>4253</v>
      </c>
      <c r="S2668" s="491" t="str">
        <f t="shared" si="85"/>
        <v>x</v>
      </c>
      <c r="T2668" s="492" t="str">
        <f>IFERROR(VLOOKUP(F2668,'Freq-Chan'!C:D,2,FALSE),"x")</f>
        <v>x</v>
      </c>
      <c r="U2668" s="110" t="s">
        <v>541</v>
      </c>
      <c r="V2668" s="110" t="str">
        <f t="shared" si="86"/>
        <v>FWL</v>
      </c>
      <c r="W2668" s="110" t="s">
        <v>541</v>
      </c>
      <c r="X2668" s="110" t="s">
        <v>541</v>
      </c>
      <c r="Y2668" s="110" t="str">
        <f>IFERROR(VLOOKUP(F2668,'Freq-Chan'!C:E,3,FALSE),"na")</f>
        <v>na</v>
      </c>
      <c r="Z2668" s="110" t="s">
        <v>541</v>
      </c>
      <c r="AA2668" s="110" t="s">
        <v>541</v>
      </c>
      <c r="AB2668" s="110" t="s">
        <v>541</v>
      </c>
      <c r="AC2668" s="10" t="s">
        <v>541</v>
      </c>
      <c r="AD2668" s="10" t="s">
        <v>541</v>
      </c>
    </row>
    <row r="2669" spans="1:30" x14ac:dyDescent="0.2">
      <c r="A2669" s="110">
        <v>2669</v>
      </c>
      <c r="B2669" s="132">
        <v>41865</v>
      </c>
      <c r="C2669" s="117">
        <v>1</v>
      </c>
      <c r="D2669" s="103" t="s">
        <v>70</v>
      </c>
      <c r="E2669" s="103" t="s">
        <v>306</v>
      </c>
      <c r="H2669" s="103"/>
      <c r="I2669" s="103">
        <v>47</v>
      </c>
      <c r="K2669" s="103" t="s">
        <v>365</v>
      </c>
      <c r="L2669" s="133"/>
      <c r="M2669" s="134">
        <v>1.2499999999999999E-2</v>
      </c>
      <c r="N2669" s="137" t="s">
        <v>1652</v>
      </c>
      <c r="O2669" s="133" t="s">
        <v>1585</v>
      </c>
      <c r="Q2669" s="100" t="s">
        <v>4237</v>
      </c>
      <c r="R2669" s="226" t="s">
        <v>4253</v>
      </c>
      <c r="S2669" s="491" t="str">
        <f t="shared" si="85"/>
        <v>x</v>
      </c>
      <c r="T2669" s="492" t="str">
        <f>IFERROR(VLOOKUP(F2669,'Freq-Chan'!C:D,2,FALSE),"x")</f>
        <v>x</v>
      </c>
      <c r="U2669" s="110" t="s">
        <v>541</v>
      </c>
      <c r="V2669" s="110" t="str">
        <f t="shared" si="86"/>
        <v>FWL</v>
      </c>
      <c r="W2669" s="110" t="s">
        <v>541</v>
      </c>
      <c r="X2669" s="110" t="s">
        <v>541</v>
      </c>
      <c r="Y2669" s="110" t="str">
        <f>IFERROR(VLOOKUP(F2669,'Freq-Chan'!C:E,3,FALSE),"na")</f>
        <v>na</v>
      </c>
      <c r="Z2669" s="110" t="s">
        <v>541</v>
      </c>
      <c r="AA2669" s="110" t="s">
        <v>541</v>
      </c>
      <c r="AB2669" s="110" t="s">
        <v>541</v>
      </c>
      <c r="AC2669" s="10" t="s">
        <v>541</v>
      </c>
      <c r="AD2669" s="10" t="s">
        <v>541</v>
      </c>
    </row>
    <row r="2670" spans="1:30" x14ac:dyDescent="0.2">
      <c r="A2670" s="110">
        <v>2670</v>
      </c>
      <c r="B2670" s="132">
        <v>41865</v>
      </c>
      <c r="C2670" s="117">
        <v>1</v>
      </c>
      <c r="D2670" s="103" t="s">
        <v>70</v>
      </c>
      <c r="E2670" s="103" t="s">
        <v>306</v>
      </c>
      <c r="H2670" s="103"/>
      <c r="I2670" s="103">
        <v>47</v>
      </c>
      <c r="K2670" s="103" t="s">
        <v>365</v>
      </c>
      <c r="L2670" s="133"/>
      <c r="M2670" s="134">
        <v>1.5277777777777777E-2</v>
      </c>
      <c r="N2670" s="137" t="s">
        <v>3801</v>
      </c>
      <c r="O2670" s="133" t="s">
        <v>1585</v>
      </c>
      <c r="Q2670" s="100" t="s">
        <v>4237</v>
      </c>
      <c r="R2670" s="226" t="s">
        <v>4253</v>
      </c>
      <c r="S2670" s="491" t="str">
        <f t="shared" si="85"/>
        <v>x</v>
      </c>
      <c r="T2670" s="492" t="str">
        <f>IFERROR(VLOOKUP(F2670,'Freq-Chan'!C:D,2,FALSE),"x")</f>
        <v>x</v>
      </c>
      <c r="U2670" s="110" t="s">
        <v>541</v>
      </c>
      <c r="V2670" s="110" t="str">
        <f t="shared" si="86"/>
        <v>FWL</v>
      </c>
      <c r="W2670" s="110" t="s">
        <v>541</v>
      </c>
      <c r="X2670" s="110" t="s">
        <v>541</v>
      </c>
      <c r="Y2670" s="110" t="str">
        <f>IFERROR(VLOOKUP(F2670,'Freq-Chan'!C:E,3,FALSE),"na")</f>
        <v>na</v>
      </c>
      <c r="Z2670" s="110" t="s">
        <v>541</v>
      </c>
      <c r="AA2670" s="110" t="s">
        <v>541</v>
      </c>
      <c r="AB2670" s="110" t="s">
        <v>541</v>
      </c>
      <c r="AC2670" s="10" t="s">
        <v>541</v>
      </c>
      <c r="AD2670" s="10" t="s">
        <v>541</v>
      </c>
    </row>
    <row r="2671" spans="1:30" x14ac:dyDescent="0.2">
      <c r="A2671" s="110">
        <v>2671</v>
      </c>
      <c r="B2671" s="132">
        <v>41865</v>
      </c>
      <c r="C2671" s="117">
        <v>1</v>
      </c>
      <c r="D2671" s="103" t="s">
        <v>71</v>
      </c>
      <c r="E2671" s="103" t="s">
        <v>306</v>
      </c>
      <c r="H2671" s="103"/>
      <c r="I2671" s="103">
        <v>55</v>
      </c>
      <c r="K2671" s="103" t="s">
        <v>364</v>
      </c>
      <c r="L2671" s="133"/>
      <c r="M2671" s="134">
        <v>2.8472222222222222E-2</v>
      </c>
      <c r="N2671" s="137" t="s">
        <v>3355</v>
      </c>
      <c r="O2671" s="133" t="s">
        <v>1585</v>
      </c>
      <c r="Q2671" s="100" t="s">
        <v>4237</v>
      </c>
      <c r="R2671" s="226" t="s">
        <v>4253</v>
      </c>
      <c r="S2671" s="491" t="str">
        <f t="shared" si="85"/>
        <v>x</v>
      </c>
      <c r="T2671" s="492" t="str">
        <f>IFERROR(VLOOKUP(F2671,'Freq-Chan'!C:D,2,FALSE),"x")</f>
        <v>x</v>
      </c>
      <c r="U2671" s="110" t="s">
        <v>541</v>
      </c>
      <c r="V2671" s="110" t="str">
        <f t="shared" si="86"/>
        <v>FWL</v>
      </c>
      <c r="W2671" s="110" t="s">
        <v>541</v>
      </c>
      <c r="X2671" s="110" t="s">
        <v>541</v>
      </c>
      <c r="Y2671" s="110" t="str">
        <f>IFERROR(VLOOKUP(F2671,'Freq-Chan'!C:E,3,FALSE),"na")</f>
        <v>na</v>
      </c>
      <c r="Z2671" s="110" t="s">
        <v>541</v>
      </c>
      <c r="AA2671" s="110" t="s">
        <v>541</v>
      </c>
      <c r="AB2671" s="110" t="s">
        <v>541</v>
      </c>
      <c r="AC2671" s="10" t="s">
        <v>541</v>
      </c>
      <c r="AD2671" s="10" t="s">
        <v>541</v>
      </c>
    </row>
    <row r="2672" spans="1:30" x14ac:dyDescent="0.2">
      <c r="A2672" s="110">
        <v>2672</v>
      </c>
      <c r="B2672" s="132">
        <v>41865</v>
      </c>
      <c r="C2672" s="117">
        <v>1</v>
      </c>
      <c r="D2672" s="103" t="s">
        <v>70</v>
      </c>
      <c r="E2672" s="103" t="s">
        <v>306</v>
      </c>
      <c r="H2672" s="103"/>
      <c r="I2672" s="103">
        <v>45</v>
      </c>
      <c r="K2672" s="103" t="s">
        <v>365</v>
      </c>
      <c r="L2672" s="133"/>
      <c r="M2672" s="134">
        <v>1.5277777777777777E-2</v>
      </c>
      <c r="N2672" s="135" t="s">
        <v>2532</v>
      </c>
      <c r="O2672" s="133" t="s">
        <v>555</v>
      </c>
      <c r="Q2672" s="100" t="s">
        <v>4237</v>
      </c>
      <c r="R2672" s="226" t="s">
        <v>4253</v>
      </c>
      <c r="S2672" s="491" t="str">
        <f t="shared" si="85"/>
        <v>x</v>
      </c>
      <c r="T2672" s="492" t="str">
        <f>IFERROR(VLOOKUP(F2672,'Freq-Chan'!C:D,2,FALSE),"x")</f>
        <v>x</v>
      </c>
      <c r="U2672" s="110" t="s">
        <v>541</v>
      </c>
      <c r="V2672" s="110" t="str">
        <f t="shared" si="86"/>
        <v>FWL</v>
      </c>
      <c r="W2672" s="110" t="s">
        <v>541</v>
      </c>
      <c r="X2672" s="110" t="s">
        <v>541</v>
      </c>
      <c r="Y2672" s="110" t="str">
        <f>IFERROR(VLOOKUP(F2672,'Freq-Chan'!C:E,3,FALSE),"na")</f>
        <v>na</v>
      </c>
      <c r="Z2672" s="110" t="s">
        <v>541</v>
      </c>
      <c r="AA2672" s="110" t="s">
        <v>541</v>
      </c>
      <c r="AB2672" s="110" t="s">
        <v>541</v>
      </c>
      <c r="AC2672" s="10" t="s">
        <v>541</v>
      </c>
      <c r="AD2672" s="10" t="s">
        <v>541</v>
      </c>
    </row>
    <row r="2673" spans="1:30" x14ac:dyDescent="0.2">
      <c r="A2673" s="110">
        <v>2673</v>
      </c>
      <c r="B2673" s="132">
        <v>41865</v>
      </c>
      <c r="C2673" s="117">
        <v>1</v>
      </c>
      <c r="D2673" s="103" t="s">
        <v>71</v>
      </c>
      <c r="E2673" s="103" t="s">
        <v>306</v>
      </c>
      <c r="H2673" s="103"/>
      <c r="I2673" s="103">
        <v>58</v>
      </c>
      <c r="K2673" s="103" t="s">
        <v>1032</v>
      </c>
      <c r="L2673" s="133"/>
      <c r="M2673" s="134">
        <v>2.2222222222222223E-2</v>
      </c>
      <c r="N2673" s="137" t="s">
        <v>2049</v>
      </c>
      <c r="O2673" s="133" t="s">
        <v>555</v>
      </c>
      <c r="Q2673" s="100" t="s">
        <v>4237</v>
      </c>
      <c r="R2673" s="226" t="s">
        <v>4253</v>
      </c>
      <c r="S2673" s="491" t="str">
        <f t="shared" si="85"/>
        <v>x</v>
      </c>
      <c r="T2673" s="492" t="str">
        <f>IFERROR(VLOOKUP(F2673,'Freq-Chan'!C:D,2,FALSE),"x")</f>
        <v>x</v>
      </c>
      <c r="U2673" s="110" t="s">
        <v>541</v>
      </c>
      <c r="V2673" s="110" t="str">
        <f t="shared" si="86"/>
        <v>FWL</v>
      </c>
      <c r="W2673" s="110" t="s">
        <v>541</v>
      </c>
      <c r="X2673" s="110" t="s">
        <v>541</v>
      </c>
      <c r="Y2673" s="110" t="str">
        <f>IFERROR(VLOOKUP(F2673,'Freq-Chan'!C:E,3,FALSE),"na")</f>
        <v>na</v>
      </c>
      <c r="Z2673" s="110" t="s">
        <v>541</v>
      </c>
      <c r="AA2673" s="110" t="s">
        <v>541</v>
      </c>
      <c r="AB2673" s="110" t="s">
        <v>541</v>
      </c>
      <c r="AC2673" s="10" t="s">
        <v>541</v>
      </c>
      <c r="AD2673" s="10" t="s">
        <v>541</v>
      </c>
    </row>
    <row r="2674" spans="1:30" x14ac:dyDescent="0.2">
      <c r="A2674" s="110">
        <v>2674</v>
      </c>
      <c r="B2674" s="132">
        <v>41865</v>
      </c>
      <c r="C2674" s="117">
        <v>1</v>
      </c>
      <c r="D2674" s="103" t="s">
        <v>70</v>
      </c>
      <c r="E2674" s="103" t="s">
        <v>306</v>
      </c>
      <c r="H2674" s="103"/>
      <c r="I2674" s="103">
        <v>46</v>
      </c>
      <c r="K2674" s="103" t="s">
        <v>365</v>
      </c>
      <c r="L2674" s="133"/>
      <c r="M2674" s="134">
        <v>2.1527777777777781E-2</v>
      </c>
      <c r="N2674" s="135" t="s">
        <v>3948</v>
      </c>
      <c r="O2674" s="133" t="s">
        <v>555</v>
      </c>
      <c r="Q2674" s="100" t="s">
        <v>4237</v>
      </c>
      <c r="R2674" s="226" t="s">
        <v>4253</v>
      </c>
      <c r="S2674" s="491" t="str">
        <f t="shared" ref="S2674:S2737" si="87">IF(IF(OR(L2674=0,N2674=0),"x",ROUND(N2674-L2674-(M2674*24)/(24*60),10))&lt;0,0,IF(OR(L2674=0,N2674=0),"x",ROUND(N2674-L2674-(M2674*24)/(24*60),10)))</f>
        <v>x</v>
      </c>
      <c r="T2674" s="492" t="str">
        <f>IFERROR(VLOOKUP(F2674,'Freq-Chan'!C:D,2,FALSE),"x")</f>
        <v>x</v>
      </c>
      <c r="U2674" s="110" t="s">
        <v>541</v>
      </c>
      <c r="V2674" s="110" t="str">
        <f t="shared" ref="V2674:V2737" si="88">IF(OR(C2674=1,C2674=2,C2674=3),"FWL","NRD")</f>
        <v>FWL</v>
      </c>
      <c r="W2674" s="110" t="s">
        <v>541</v>
      </c>
      <c r="X2674" s="110" t="s">
        <v>541</v>
      </c>
      <c r="Y2674" s="110" t="str">
        <f>IFERROR(VLOOKUP(F2674,'Freq-Chan'!C:E,3,FALSE),"na")</f>
        <v>na</v>
      </c>
      <c r="Z2674" s="110" t="s">
        <v>541</v>
      </c>
      <c r="AA2674" s="110" t="s">
        <v>541</v>
      </c>
      <c r="AB2674" s="110" t="s">
        <v>541</v>
      </c>
      <c r="AC2674" s="10" t="s">
        <v>541</v>
      </c>
      <c r="AD2674" s="10" t="s">
        <v>541</v>
      </c>
    </row>
    <row r="2675" spans="1:30" x14ac:dyDescent="0.2">
      <c r="A2675" s="110">
        <v>2675</v>
      </c>
      <c r="B2675" s="132">
        <v>41865</v>
      </c>
      <c r="C2675" s="117">
        <v>1</v>
      </c>
      <c r="D2675" s="103" t="s">
        <v>72</v>
      </c>
      <c r="E2675" s="103" t="s">
        <v>306</v>
      </c>
      <c r="F2675" s="103">
        <v>266</v>
      </c>
      <c r="G2675" s="103">
        <v>64</v>
      </c>
      <c r="H2675" s="103" t="s">
        <v>3585</v>
      </c>
      <c r="I2675" s="103">
        <v>55</v>
      </c>
      <c r="K2675" s="103" t="s">
        <v>364</v>
      </c>
      <c r="L2675" s="133"/>
      <c r="M2675" s="134">
        <v>4.3055555555555562E-2</v>
      </c>
      <c r="N2675" s="137" t="s">
        <v>825</v>
      </c>
      <c r="O2675" s="133" t="s">
        <v>555</v>
      </c>
      <c r="P2675" s="100" t="s">
        <v>4466</v>
      </c>
      <c r="Q2675" s="100" t="s">
        <v>4237</v>
      </c>
      <c r="R2675" s="226" t="s">
        <v>4253</v>
      </c>
      <c r="S2675" s="491" t="str">
        <f t="shared" si="87"/>
        <v>x</v>
      </c>
      <c r="T2675" s="492">
        <f>IFERROR(VLOOKUP(F2675,'Freq-Chan'!C:D,2,FALSE),"x")</f>
        <v>151.26599999999999</v>
      </c>
      <c r="U2675" s="110" t="s">
        <v>541</v>
      </c>
      <c r="V2675" s="110" t="str">
        <f t="shared" si="88"/>
        <v>FWL</v>
      </c>
      <c r="W2675" s="110" t="s">
        <v>541</v>
      </c>
      <c r="X2675" s="110" t="s">
        <v>541</v>
      </c>
      <c r="Y2675" s="110" t="str">
        <f>IFERROR(VLOOKUP(F2675,'Freq-Chan'!C:E,3,FALSE),"na")</f>
        <v>F1840</v>
      </c>
      <c r="Z2675" s="110" t="s">
        <v>541</v>
      </c>
      <c r="AA2675" s="110" t="s">
        <v>541</v>
      </c>
      <c r="AB2675" s="110" t="s">
        <v>541</v>
      </c>
      <c r="AC2675" s="10" t="s">
        <v>541</v>
      </c>
      <c r="AD2675" s="10" t="s">
        <v>541</v>
      </c>
    </row>
    <row r="2676" spans="1:30" x14ac:dyDescent="0.2">
      <c r="A2676" s="110">
        <v>2676</v>
      </c>
      <c r="B2676" s="132">
        <v>41865</v>
      </c>
      <c r="C2676" s="117">
        <v>1</v>
      </c>
      <c r="D2676" s="103" t="s">
        <v>70</v>
      </c>
      <c r="E2676" s="103" t="s">
        <v>306</v>
      </c>
      <c r="H2676" s="103"/>
      <c r="I2676" s="103">
        <v>45</v>
      </c>
      <c r="K2676" s="103" t="s">
        <v>365</v>
      </c>
      <c r="L2676" s="133"/>
      <c r="M2676" s="134">
        <v>1.6666666666666666E-2</v>
      </c>
      <c r="N2676" s="137" t="s">
        <v>3254</v>
      </c>
      <c r="O2676" s="133" t="s">
        <v>555</v>
      </c>
      <c r="Q2676" s="100" t="s">
        <v>4237</v>
      </c>
      <c r="R2676" s="226" t="s">
        <v>4253</v>
      </c>
      <c r="S2676" s="491" t="str">
        <f t="shared" si="87"/>
        <v>x</v>
      </c>
      <c r="T2676" s="492" t="str">
        <f>IFERROR(VLOOKUP(F2676,'Freq-Chan'!C:D,2,FALSE),"x")</f>
        <v>x</v>
      </c>
      <c r="U2676" s="110" t="s">
        <v>541</v>
      </c>
      <c r="V2676" s="110" t="str">
        <f t="shared" si="88"/>
        <v>FWL</v>
      </c>
      <c r="W2676" s="110" t="s">
        <v>541</v>
      </c>
      <c r="X2676" s="110" t="s">
        <v>541</v>
      </c>
      <c r="Y2676" s="110" t="str">
        <f>IFERROR(VLOOKUP(F2676,'Freq-Chan'!C:E,3,FALSE),"na")</f>
        <v>na</v>
      </c>
      <c r="Z2676" s="110" t="s">
        <v>541</v>
      </c>
      <c r="AA2676" s="110" t="s">
        <v>541</v>
      </c>
      <c r="AB2676" s="110" t="s">
        <v>541</v>
      </c>
      <c r="AC2676" s="10" t="s">
        <v>541</v>
      </c>
      <c r="AD2676" s="10" t="s">
        <v>541</v>
      </c>
    </row>
    <row r="2677" spans="1:30" x14ac:dyDescent="0.2">
      <c r="A2677" s="110">
        <v>2677</v>
      </c>
      <c r="B2677" s="132">
        <v>41865</v>
      </c>
      <c r="C2677" s="117">
        <v>1</v>
      </c>
      <c r="D2677" s="103" t="s">
        <v>70</v>
      </c>
      <c r="E2677" s="103" t="s">
        <v>306</v>
      </c>
      <c r="H2677" s="103"/>
      <c r="I2677" s="103">
        <v>45</v>
      </c>
      <c r="K2677" s="103" t="s">
        <v>365</v>
      </c>
      <c r="L2677" s="133"/>
      <c r="M2677" s="134">
        <v>1.4583333333333332E-2</v>
      </c>
      <c r="N2677" s="137" t="s">
        <v>501</v>
      </c>
      <c r="O2677" s="133" t="s">
        <v>555</v>
      </c>
      <c r="Q2677" s="100" t="s">
        <v>4237</v>
      </c>
      <c r="R2677" s="226" t="s">
        <v>4253</v>
      </c>
      <c r="S2677" s="491" t="str">
        <f t="shared" si="87"/>
        <v>x</v>
      </c>
      <c r="T2677" s="492" t="str">
        <f>IFERROR(VLOOKUP(F2677,'Freq-Chan'!C:D,2,FALSE),"x")</f>
        <v>x</v>
      </c>
      <c r="U2677" s="110" t="s">
        <v>541</v>
      </c>
      <c r="V2677" s="110" t="str">
        <f t="shared" si="88"/>
        <v>FWL</v>
      </c>
      <c r="W2677" s="110" t="s">
        <v>541</v>
      </c>
      <c r="X2677" s="110" t="s">
        <v>541</v>
      </c>
      <c r="Y2677" s="110" t="str">
        <f>IFERROR(VLOOKUP(F2677,'Freq-Chan'!C:E,3,FALSE),"na")</f>
        <v>na</v>
      </c>
      <c r="Z2677" s="110" t="s">
        <v>541</v>
      </c>
      <c r="AA2677" s="110" t="s">
        <v>541</v>
      </c>
      <c r="AB2677" s="110" t="s">
        <v>541</v>
      </c>
      <c r="AC2677" s="10" t="s">
        <v>541</v>
      </c>
      <c r="AD2677" s="10" t="s">
        <v>541</v>
      </c>
    </row>
    <row r="2678" spans="1:30" x14ac:dyDescent="0.2">
      <c r="A2678" s="110">
        <v>2678</v>
      </c>
      <c r="B2678" s="132">
        <v>41865</v>
      </c>
      <c r="C2678" s="117">
        <v>1</v>
      </c>
      <c r="D2678" s="103" t="s">
        <v>70</v>
      </c>
      <c r="E2678" s="103" t="s">
        <v>306</v>
      </c>
      <c r="H2678" s="103"/>
      <c r="I2678" s="103">
        <v>43</v>
      </c>
      <c r="K2678" s="103" t="s">
        <v>365</v>
      </c>
      <c r="L2678" s="133"/>
      <c r="M2678" s="134">
        <v>1.8055555555555557E-2</v>
      </c>
      <c r="N2678" s="137" t="s">
        <v>2655</v>
      </c>
      <c r="O2678" s="133" t="s">
        <v>555</v>
      </c>
      <c r="Q2678" s="100" t="s">
        <v>4237</v>
      </c>
      <c r="R2678" s="226" t="s">
        <v>4253</v>
      </c>
      <c r="S2678" s="491" t="str">
        <f t="shared" si="87"/>
        <v>x</v>
      </c>
      <c r="T2678" s="492" t="str">
        <f>IFERROR(VLOOKUP(F2678,'Freq-Chan'!C:D,2,FALSE),"x")</f>
        <v>x</v>
      </c>
      <c r="U2678" s="110" t="s">
        <v>541</v>
      </c>
      <c r="V2678" s="110" t="str">
        <f t="shared" si="88"/>
        <v>FWL</v>
      </c>
      <c r="W2678" s="110" t="s">
        <v>541</v>
      </c>
      <c r="X2678" s="110" t="s">
        <v>541</v>
      </c>
      <c r="Y2678" s="110" t="str">
        <f>IFERROR(VLOOKUP(F2678,'Freq-Chan'!C:E,3,FALSE),"na")</f>
        <v>na</v>
      </c>
      <c r="Z2678" s="110" t="s">
        <v>541</v>
      </c>
      <c r="AA2678" s="110" t="s">
        <v>541</v>
      </c>
      <c r="AB2678" s="110" t="s">
        <v>541</v>
      </c>
      <c r="AC2678" s="10" t="s">
        <v>541</v>
      </c>
      <c r="AD2678" s="10" t="s">
        <v>541</v>
      </c>
    </row>
    <row r="2679" spans="1:30" x14ac:dyDescent="0.2">
      <c r="A2679" s="110">
        <v>2679</v>
      </c>
      <c r="B2679" s="132">
        <v>41865</v>
      </c>
      <c r="C2679" s="117">
        <v>1</v>
      </c>
      <c r="D2679" s="103" t="s">
        <v>71</v>
      </c>
      <c r="E2679" s="103" t="s">
        <v>306</v>
      </c>
      <c r="H2679" s="103"/>
      <c r="I2679" s="103">
        <v>59</v>
      </c>
      <c r="K2679" s="103" t="s">
        <v>1032</v>
      </c>
      <c r="L2679" s="133"/>
      <c r="M2679" s="134">
        <v>2.013888888888889E-2</v>
      </c>
      <c r="N2679" s="137" t="s">
        <v>2693</v>
      </c>
      <c r="O2679" s="133" t="s">
        <v>555</v>
      </c>
      <c r="Q2679" s="100" t="s">
        <v>4237</v>
      </c>
      <c r="R2679" s="226" t="s">
        <v>4253</v>
      </c>
      <c r="S2679" s="491" t="str">
        <f t="shared" si="87"/>
        <v>x</v>
      </c>
      <c r="T2679" s="492" t="str">
        <f>IFERROR(VLOOKUP(F2679,'Freq-Chan'!C:D,2,FALSE),"x")</f>
        <v>x</v>
      </c>
      <c r="U2679" s="110" t="s">
        <v>541</v>
      </c>
      <c r="V2679" s="110" t="str">
        <f t="shared" si="88"/>
        <v>FWL</v>
      </c>
      <c r="W2679" s="110" t="s">
        <v>541</v>
      </c>
      <c r="X2679" s="110" t="s">
        <v>541</v>
      </c>
      <c r="Y2679" s="110" t="str">
        <f>IFERROR(VLOOKUP(F2679,'Freq-Chan'!C:E,3,FALSE),"na")</f>
        <v>na</v>
      </c>
      <c r="Z2679" s="110" t="s">
        <v>541</v>
      </c>
      <c r="AA2679" s="110" t="s">
        <v>541</v>
      </c>
      <c r="AB2679" s="110" t="s">
        <v>541</v>
      </c>
      <c r="AC2679" s="10" t="s">
        <v>541</v>
      </c>
      <c r="AD2679" s="10" t="s">
        <v>541</v>
      </c>
    </row>
    <row r="2680" spans="1:30" x14ac:dyDescent="0.2">
      <c r="A2680" s="110">
        <v>2680</v>
      </c>
      <c r="B2680" s="132">
        <v>41865</v>
      </c>
      <c r="C2680" s="117">
        <v>1</v>
      </c>
      <c r="D2680" s="103" t="s">
        <v>71</v>
      </c>
      <c r="E2680" s="103" t="s">
        <v>306</v>
      </c>
      <c r="H2680" s="103"/>
      <c r="I2680" s="103">
        <v>51</v>
      </c>
      <c r="K2680" s="103" t="s">
        <v>1032</v>
      </c>
      <c r="L2680" s="133"/>
      <c r="M2680" s="134">
        <v>2.4999999999999998E-2</v>
      </c>
      <c r="N2680" s="135" t="s">
        <v>1874</v>
      </c>
      <c r="O2680" s="133" t="s">
        <v>555</v>
      </c>
      <c r="Q2680" s="100" t="s">
        <v>4237</v>
      </c>
      <c r="R2680" s="226" t="s">
        <v>4253</v>
      </c>
      <c r="S2680" s="491" t="str">
        <f t="shared" si="87"/>
        <v>x</v>
      </c>
      <c r="T2680" s="492" t="str">
        <f>IFERROR(VLOOKUP(F2680,'Freq-Chan'!C:D,2,FALSE),"x")</f>
        <v>x</v>
      </c>
      <c r="U2680" s="110" t="s">
        <v>541</v>
      </c>
      <c r="V2680" s="110" t="str">
        <f t="shared" si="88"/>
        <v>FWL</v>
      </c>
      <c r="W2680" s="110" t="s">
        <v>541</v>
      </c>
      <c r="X2680" s="110" t="s">
        <v>541</v>
      </c>
      <c r="Y2680" s="110" t="str">
        <f>IFERROR(VLOOKUP(F2680,'Freq-Chan'!C:E,3,FALSE),"na")</f>
        <v>na</v>
      </c>
      <c r="Z2680" s="110" t="s">
        <v>541</v>
      </c>
      <c r="AA2680" s="110" t="s">
        <v>541</v>
      </c>
      <c r="AB2680" s="110" t="s">
        <v>541</v>
      </c>
      <c r="AC2680" s="10" t="s">
        <v>541</v>
      </c>
      <c r="AD2680" s="10" t="s">
        <v>541</v>
      </c>
    </row>
    <row r="2681" spans="1:30" x14ac:dyDescent="0.2">
      <c r="A2681" s="110">
        <v>2681</v>
      </c>
      <c r="B2681" s="132">
        <v>41865</v>
      </c>
      <c r="C2681" s="117">
        <v>1</v>
      </c>
      <c r="D2681" s="103" t="s">
        <v>72</v>
      </c>
      <c r="E2681" s="103" t="s">
        <v>306</v>
      </c>
      <c r="H2681" s="103"/>
      <c r="I2681" s="103">
        <v>54</v>
      </c>
      <c r="K2681" s="103" t="s">
        <v>1032</v>
      </c>
      <c r="L2681" s="133"/>
      <c r="M2681" s="134">
        <v>3.4027777777777775E-2</v>
      </c>
      <c r="N2681" s="135" t="s">
        <v>3428</v>
      </c>
      <c r="O2681" s="133" t="s">
        <v>555</v>
      </c>
      <c r="Q2681" s="100" t="s">
        <v>4215</v>
      </c>
      <c r="R2681" s="226" t="s">
        <v>4253</v>
      </c>
      <c r="S2681" s="491" t="str">
        <f t="shared" si="87"/>
        <v>x</v>
      </c>
      <c r="T2681" s="492" t="str">
        <f>IFERROR(VLOOKUP(F2681,'Freq-Chan'!C:D,2,FALSE),"x")</f>
        <v>x</v>
      </c>
      <c r="U2681" s="110" t="s">
        <v>541</v>
      </c>
      <c r="V2681" s="110" t="str">
        <f t="shared" si="88"/>
        <v>FWL</v>
      </c>
      <c r="W2681" s="110" t="s">
        <v>541</v>
      </c>
      <c r="X2681" s="110" t="s">
        <v>541</v>
      </c>
      <c r="Y2681" s="110" t="str">
        <f>IFERROR(VLOOKUP(F2681,'Freq-Chan'!C:E,3,FALSE),"na")</f>
        <v>na</v>
      </c>
      <c r="Z2681" s="110" t="s">
        <v>541</v>
      </c>
      <c r="AA2681" s="110" t="s">
        <v>541</v>
      </c>
      <c r="AB2681" s="110" t="s">
        <v>541</v>
      </c>
      <c r="AC2681" s="10" t="s">
        <v>541</v>
      </c>
      <c r="AD2681" s="10" t="s">
        <v>541</v>
      </c>
    </row>
    <row r="2682" spans="1:30" x14ac:dyDescent="0.2">
      <c r="A2682" s="110">
        <v>2682</v>
      </c>
      <c r="B2682" s="132">
        <v>41865</v>
      </c>
      <c r="C2682" s="117">
        <v>1</v>
      </c>
      <c r="D2682" s="103" t="s">
        <v>72</v>
      </c>
      <c r="E2682" s="103" t="s">
        <v>306</v>
      </c>
      <c r="H2682" s="103"/>
      <c r="I2682" s="103">
        <v>50</v>
      </c>
      <c r="K2682" s="103" t="s">
        <v>364</v>
      </c>
      <c r="L2682" s="133"/>
      <c r="M2682" s="134">
        <v>1.8055555555555557E-2</v>
      </c>
      <c r="N2682" s="137" t="s">
        <v>2592</v>
      </c>
      <c r="O2682" s="133" t="s">
        <v>555</v>
      </c>
      <c r="P2682" s="100" t="s">
        <v>4242</v>
      </c>
      <c r="Q2682" s="100" t="s">
        <v>4215</v>
      </c>
      <c r="R2682" s="226" t="s">
        <v>4253</v>
      </c>
      <c r="S2682" s="491" t="str">
        <f t="shared" si="87"/>
        <v>x</v>
      </c>
      <c r="T2682" s="492" t="str">
        <f>IFERROR(VLOOKUP(F2682,'Freq-Chan'!C:D,2,FALSE),"x")</f>
        <v>x</v>
      </c>
      <c r="U2682" s="110" t="s">
        <v>541</v>
      </c>
      <c r="V2682" s="110" t="str">
        <f t="shared" si="88"/>
        <v>FWL</v>
      </c>
      <c r="W2682" s="110" t="s">
        <v>541</v>
      </c>
      <c r="X2682" s="110" t="s">
        <v>541</v>
      </c>
      <c r="Y2682" s="110" t="str">
        <f>IFERROR(VLOOKUP(F2682,'Freq-Chan'!C:E,3,FALSE),"na")</f>
        <v>na</v>
      </c>
      <c r="Z2682" s="110" t="s">
        <v>541</v>
      </c>
      <c r="AA2682" s="110" t="s">
        <v>541</v>
      </c>
      <c r="AB2682" s="110" t="s">
        <v>541</v>
      </c>
      <c r="AC2682" s="10" t="s">
        <v>541</v>
      </c>
      <c r="AD2682" s="10" t="s">
        <v>541</v>
      </c>
    </row>
    <row r="2683" spans="1:30" x14ac:dyDescent="0.2">
      <c r="A2683" s="110">
        <v>2683</v>
      </c>
      <c r="B2683" s="132">
        <v>41865</v>
      </c>
      <c r="C2683" s="117">
        <v>1</v>
      </c>
      <c r="D2683" s="103" t="s">
        <v>70</v>
      </c>
      <c r="E2683" s="103" t="s">
        <v>306</v>
      </c>
      <c r="H2683" s="103"/>
      <c r="I2683" s="103">
        <v>43</v>
      </c>
      <c r="K2683" s="103" t="s">
        <v>365</v>
      </c>
      <c r="L2683" s="133"/>
      <c r="M2683" s="134">
        <v>2.361111111111111E-2</v>
      </c>
      <c r="N2683" s="135" t="s">
        <v>3982</v>
      </c>
      <c r="O2683" s="133" t="s">
        <v>555</v>
      </c>
      <c r="Q2683" s="100" t="s">
        <v>4215</v>
      </c>
      <c r="R2683" s="226" t="s">
        <v>4253</v>
      </c>
      <c r="S2683" s="491" t="str">
        <f t="shared" si="87"/>
        <v>x</v>
      </c>
      <c r="T2683" s="492" t="str">
        <f>IFERROR(VLOOKUP(F2683,'Freq-Chan'!C:D,2,FALSE),"x")</f>
        <v>x</v>
      </c>
      <c r="U2683" s="110" t="s">
        <v>541</v>
      </c>
      <c r="V2683" s="110" t="str">
        <f t="shared" si="88"/>
        <v>FWL</v>
      </c>
      <c r="W2683" s="110" t="s">
        <v>541</v>
      </c>
      <c r="X2683" s="110" t="s">
        <v>541</v>
      </c>
      <c r="Y2683" s="110" t="str">
        <f>IFERROR(VLOOKUP(F2683,'Freq-Chan'!C:E,3,FALSE),"na")</f>
        <v>na</v>
      </c>
      <c r="Z2683" s="110" t="s">
        <v>541</v>
      </c>
      <c r="AA2683" s="110" t="s">
        <v>541</v>
      </c>
      <c r="AB2683" s="110" t="s">
        <v>541</v>
      </c>
      <c r="AC2683" s="10" t="s">
        <v>541</v>
      </c>
      <c r="AD2683" s="10" t="s">
        <v>541</v>
      </c>
    </row>
    <row r="2684" spans="1:30" x14ac:dyDescent="0.2">
      <c r="A2684" s="110">
        <v>2684</v>
      </c>
      <c r="B2684" s="132">
        <v>41865</v>
      </c>
      <c r="C2684" s="117">
        <v>1</v>
      </c>
      <c r="D2684" s="103" t="s">
        <v>70</v>
      </c>
      <c r="E2684" s="103" t="s">
        <v>306</v>
      </c>
      <c r="H2684" s="103"/>
      <c r="I2684" s="103">
        <v>40</v>
      </c>
      <c r="K2684" s="103" t="s">
        <v>1032</v>
      </c>
      <c r="L2684" s="133"/>
      <c r="M2684" s="134">
        <v>2.0833333333333332E-2</v>
      </c>
      <c r="N2684" s="137" t="s">
        <v>3429</v>
      </c>
      <c r="O2684" s="133" t="s">
        <v>555</v>
      </c>
      <c r="Q2684" s="100" t="s">
        <v>4215</v>
      </c>
      <c r="R2684" s="226" t="s">
        <v>4253</v>
      </c>
      <c r="S2684" s="491" t="str">
        <f t="shared" si="87"/>
        <v>x</v>
      </c>
      <c r="T2684" s="492" t="str">
        <f>IFERROR(VLOOKUP(F2684,'Freq-Chan'!C:D,2,FALSE),"x")</f>
        <v>x</v>
      </c>
      <c r="U2684" s="110" t="s">
        <v>541</v>
      </c>
      <c r="V2684" s="110" t="str">
        <f t="shared" si="88"/>
        <v>FWL</v>
      </c>
      <c r="W2684" s="110" t="s">
        <v>541</v>
      </c>
      <c r="X2684" s="110" t="s">
        <v>541</v>
      </c>
      <c r="Y2684" s="110" t="str">
        <f>IFERROR(VLOOKUP(F2684,'Freq-Chan'!C:E,3,FALSE),"na")</f>
        <v>na</v>
      </c>
      <c r="Z2684" s="110" t="s">
        <v>541</v>
      </c>
      <c r="AA2684" s="110" t="s">
        <v>541</v>
      </c>
      <c r="AB2684" s="110" t="s">
        <v>541</v>
      </c>
      <c r="AC2684" s="10" t="s">
        <v>541</v>
      </c>
      <c r="AD2684" s="10" t="s">
        <v>541</v>
      </c>
    </row>
    <row r="2685" spans="1:30" x14ac:dyDescent="0.2">
      <c r="A2685" s="110">
        <v>2685</v>
      </c>
      <c r="B2685" s="132">
        <v>41865</v>
      </c>
      <c r="C2685" s="117">
        <v>1</v>
      </c>
      <c r="D2685" s="103" t="s">
        <v>71</v>
      </c>
      <c r="E2685" s="103" t="s">
        <v>306</v>
      </c>
      <c r="H2685" s="103"/>
      <c r="I2685" s="103">
        <v>58</v>
      </c>
      <c r="K2685" s="103" t="s">
        <v>1032</v>
      </c>
      <c r="L2685" s="133"/>
      <c r="M2685" s="134">
        <v>2.7083333333333334E-2</v>
      </c>
      <c r="N2685" s="137" t="s">
        <v>4083</v>
      </c>
      <c r="O2685" s="133" t="s">
        <v>555</v>
      </c>
      <c r="P2685" s="100" t="s">
        <v>4243</v>
      </c>
      <c r="Q2685" s="100" t="s">
        <v>4215</v>
      </c>
      <c r="R2685" s="226" t="s">
        <v>4253</v>
      </c>
      <c r="S2685" s="491" t="str">
        <f t="shared" si="87"/>
        <v>x</v>
      </c>
      <c r="T2685" s="492" t="str">
        <f>IFERROR(VLOOKUP(F2685,'Freq-Chan'!C:D,2,FALSE),"x")</f>
        <v>x</v>
      </c>
      <c r="U2685" s="110" t="s">
        <v>541</v>
      </c>
      <c r="V2685" s="110" t="str">
        <f t="shared" si="88"/>
        <v>FWL</v>
      </c>
      <c r="W2685" s="110" t="s">
        <v>541</v>
      </c>
      <c r="X2685" s="110" t="s">
        <v>541</v>
      </c>
      <c r="Y2685" s="110" t="str">
        <f>IFERROR(VLOOKUP(F2685,'Freq-Chan'!C:E,3,FALSE),"na")</f>
        <v>na</v>
      </c>
      <c r="Z2685" s="110" t="s">
        <v>541</v>
      </c>
      <c r="AA2685" s="110" t="s">
        <v>541</v>
      </c>
      <c r="AB2685" s="110" t="s">
        <v>541</v>
      </c>
      <c r="AC2685" s="10" t="s">
        <v>541</v>
      </c>
      <c r="AD2685" s="10" t="s">
        <v>541</v>
      </c>
    </row>
    <row r="2686" spans="1:30" x14ac:dyDescent="0.2">
      <c r="A2686" s="110">
        <v>2686</v>
      </c>
      <c r="B2686" s="132">
        <v>41865</v>
      </c>
      <c r="C2686" s="117">
        <v>1</v>
      </c>
      <c r="D2686" s="103" t="s">
        <v>70</v>
      </c>
      <c r="E2686" s="103" t="s">
        <v>306</v>
      </c>
      <c r="H2686" s="103"/>
      <c r="I2686" s="103">
        <v>44</v>
      </c>
      <c r="K2686" s="103" t="s">
        <v>365</v>
      </c>
      <c r="L2686" s="133"/>
      <c r="M2686" s="134">
        <v>1.9444444444444445E-2</v>
      </c>
      <c r="N2686" s="135" t="s">
        <v>4238</v>
      </c>
      <c r="O2686" s="133" t="s">
        <v>555</v>
      </c>
      <c r="Q2686" s="100" t="s">
        <v>4215</v>
      </c>
      <c r="R2686" s="226" t="s">
        <v>4253</v>
      </c>
      <c r="S2686" s="491" t="str">
        <f t="shared" si="87"/>
        <v>x</v>
      </c>
      <c r="T2686" s="492" t="str">
        <f>IFERROR(VLOOKUP(F2686,'Freq-Chan'!C:D,2,FALSE),"x")</f>
        <v>x</v>
      </c>
      <c r="U2686" s="110" t="s">
        <v>541</v>
      </c>
      <c r="V2686" s="110" t="str">
        <f t="shared" si="88"/>
        <v>FWL</v>
      </c>
      <c r="W2686" s="110" t="s">
        <v>541</v>
      </c>
      <c r="X2686" s="110" t="s">
        <v>541</v>
      </c>
      <c r="Y2686" s="110" t="str">
        <f>IFERROR(VLOOKUP(F2686,'Freq-Chan'!C:E,3,FALSE),"na")</f>
        <v>na</v>
      </c>
      <c r="Z2686" s="110" t="s">
        <v>541</v>
      </c>
      <c r="AA2686" s="110" t="s">
        <v>541</v>
      </c>
      <c r="AB2686" s="110" t="s">
        <v>541</v>
      </c>
      <c r="AC2686" s="10" t="s">
        <v>541</v>
      </c>
      <c r="AD2686" s="10" t="s">
        <v>541</v>
      </c>
    </row>
    <row r="2687" spans="1:30" x14ac:dyDescent="0.2">
      <c r="A2687" s="110">
        <v>2687</v>
      </c>
      <c r="B2687" s="132">
        <v>41865</v>
      </c>
      <c r="C2687" s="117">
        <v>1</v>
      </c>
      <c r="D2687" s="103" t="s">
        <v>71</v>
      </c>
      <c r="E2687" s="103" t="s">
        <v>306</v>
      </c>
      <c r="H2687" s="103"/>
      <c r="I2687" s="103">
        <v>49</v>
      </c>
      <c r="K2687" s="103" t="s">
        <v>365</v>
      </c>
      <c r="L2687" s="133">
        <v>0.54513888888888895</v>
      </c>
      <c r="M2687" s="134">
        <v>1.8055555555555557E-2</v>
      </c>
      <c r="N2687" s="137" t="s">
        <v>2619</v>
      </c>
      <c r="O2687" s="133" t="s">
        <v>555</v>
      </c>
      <c r="Q2687" s="100" t="s">
        <v>4215</v>
      </c>
      <c r="R2687" s="226" t="s">
        <v>4253</v>
      </c>
      <c r="S2687" s="491">
        <f t="shared" si="87"/>
        <v>1.087963E-3</v>
      </c>
      <c r="T2687" s="492" t="str">
        <f>IFERROR(VLOOKUP(F2687,'Freq-Chan'!C:D,2,FALSE),"x")</f>
        <v>x</v>
      </c>
      <c r="U2687" s="110" t="s">
        <v>541</v>
      </c>
      <c r="V2687" s="110" t="str">
        <f t="shared" si="88"/>
        <v>FWL</v>
      </c>
      <c r="W2687" s="110" t="s">
        <v>541</v>
      </c>
      <c r="X2687" s="110" t="s">
        <v>541</v>
      </c>
      <c r="Y2687" s="110" t="str">
        <f>IFERROR(VLOOKUP(F2687,'Freq-Chan'!C:E,3,FALSE),"na")</f>
        <v>na</v>
      </c>
      <c r="Z2687" s="110" t="s">
        <v>541</v>
      </c>
      <c r="AA2687" s="110" t="s">
        <v>541</v>
      </c>
      <c r="AB2687" s="110" t="s">
        <v>541</v>
      </c>
      <c r="AC2687" s="10" t="s">
        <v>541</v>
      </c>
      <c r="AD2687" s="10" t="s">
        <v>541</v>
      </c>
    </row>
    <row r="2688" spans="1:30" x14ac:dyDescent="0.2">
      <c r="A2688" s="110">
        <v>2688</v>
      </c>
      <c r="B2688" s="132">
        <v>41865</v>
      </c>
      <c r="C2688" s="117">
        <v>1</v>
      </c>
      <c r="D2688" s="103" t="s">
        <v>70</v>
      </c>
      <c r="E2688" s="103" t="s">
        <v>306</v>
      </c>
      <c r="H2688" s="103"/>
      <c r="I2688" s="103">
        <v>43</v>
      </c>
      <c r="K2688" s="103" t="s">
        <v>365</v>
      </c>
      <c r="L2688" s="133"/>
      <c r="M2688" s="134">
        <v>4.5138888888888888E-2</v>
      </c>
      <c r="N2688" s="137" t="s">
        <v>3763</v>
      </c>
      <c r="O2688" s="133" t="s">
        <v>555</v>
      </c>
      <c r="Q2688" s="100" t="s">
        <v>4215</v>
      </c>
      <c r="R2688" s="226" t="s">
        <v>4253</v>
      </c>
      <c r="S2688" s="491" t="str">
        <f t="shared" si="87"/>
        <v>x</v>
      </c>
      <c r="T2688" s="492" t="str">
        <f>IFERROR(VLOOKUP(F2688,'Freq-Chan'!C:D,2,FALSE),"x")</f>
        <v>x</v>
      </c>
      <c r="U2688" s="110" t="s">
        <v>541</v>
      </c>
      <c r="V2688" s="110" t="str">
        <f t="shared" si="88"/>
        <v>FWL</v>
      </c>
      <c r="W2688" s="110" t="s">
        <v>541</v>
      </c>
      <c r="X2688" s="110" t="s">
        <v>541</v>
      </c>
      <c r="Y2688" s="110" t="str">
        <f>IFERROR(VLOOKUP(F2688,'Freq-Chan'!C:E,3,FALSE),"na")</f>
        <v>na</v>
      </c>
      <c r="Z2688" s="110" t="s">
        <v>541</v>
      </c>
      <c r="AA2688" s="110" t="s">
        <v>541</v>
      </c>
      <c r="AB2688" s="110" t="s">
        <v>541</v>
      </c>
      <c r="AC2688" s="10" t="s">
        <v>541</v>
      </c>
      <c r="AD2688" s="10" t="s">
        <v>541</v>
      </c>
    </row>
    <row r="2689" spans="1:30" x14ac:dyDescent="0.2">
      <c r="A2689" s="110">
        <v>2689</v>
      </c>
      <c r="B2689" s="132">
        <v>41865</v>
      </c>
      <c r="C2689" s="117">
        <v>1</v>
      </c>
      <c r="D2689" s="103" t="s">
        <v>71</v>
      </c>
      <c r="E2689" s="103" t="s">
        <v>306</v>
      </c>
      <c r="H2689" s="103"/>
      <c r="I2689" s="103">
        <v>60</v>
      </c>
      <c r="K2689" s="103" t="s">
        <v>365</v>
      </c>
      <c r="L2689" s="133"/>
      <c r="M2689" s="134">
        <v>2.013888888888889E-2</v>
      </c>
      <c r="N2689" s="135" t="s">
        <v>1963</v>
      </c>
      <c r="O2689" s="133" t="s">
        <v>1585</v>
      </c>
      <c r="Q2689" s="100" t="s">
        <v>4215</v>
      </c>
      <c r="R2689" s="226" t="s">
        <v>4253</v>
      </c>
      <c r="S2689" s="491" t="str">
        <f t="shared" si="87"/>
        <v>x</v>
      </c>
      <c r="T2689" s="492" t="str">
        <f>IFERROR(VLOOKUP(F2689,'Freq-Chan'!C:D,2,FALSE),"x")</f>
        <v>x</v>
      </c>
      <c r="U2689" s="110" t="s">
        <v>541</v>
      </c>
      <c r="V2689" s="110" t="str">
        <f t="shared" si="88"/>
        <v>FWL</v>
      </c>
      <c r="W2689" s="110" t="s">
        <v>541</v>
      </c>
      <c r="X2689" s="110" t="s">
        <v>541</v>
      </c>
      <c r="Y2689" s="110" t="str">
        <f>IFERROR(VLOOKUP(F2689,'Freq-Chan'!C:E,3,FALSE),"na")</f>
        <v>na</v>
      </c>
      <c r="Z2689" s="110" t="s">
        <v>541</v>
      </c>
      <c r="AA2689" s="110" t="s">
        <v>541</v>
      </c>
      <c r="AB2689" s="110" t="s">
        <v>541</v>
      </c>
      <c r="AC2689" s="10" t="s">
        <v>541</v>
      </c>
      <c r="AD2689" s="10" t="s">
        <v>541</v>
      </c>
    </row>
    <row r="2690" spans="1:30" x14ac:dyDescent="0.2">
      <c r="A2690" s="110">
        <v>2690</v>
      </c>
      <c r="B2690" s="132">
        <v>41865</v>
      </c>
      <c r="C2690" s="117">
        <v>1</v>
      </c>
      <c r="D2690" s="103" t="s">
        <v>71</v>
      </c>
      <c r="E2690" s="103" t="s">
        <v>306</v>
      </c>
      <c r="H2690" s="103"/>
      <c r="I2690" s="103">
        <v>56</v>
      </c>
      <c r="K2690" s="103" t="s">
        <v>365</v>
      </c>
      <c r="L2690" s="133"/>
      <c r="M2690" s="134">
        <v>1.8055555555555557E-2</v>
      </c>
      <c r="N2690" s="135" t="s">
        <v>3176</v>
      </c>
      <c r="O2690" s="133" t="s">
        <v>1585</v>
      </c>
      <c r="Q2690" s="100" t="s">
        <v>4215</v>
      </c>
      <c r="R2690" s="226" t="s">
        <v>4253</v>
      </c>
      <c r="S2690" s="491" t="str">
        <f t="shared" si="87"/>
        <v>x</v>
      </c>
      <c r="T2690" s="492" t="str">
        <f>IFERROR(VLOOKUP(F2690,'Freq-Chan'!C:D,2,FALSE),"x")</f>
        <v>x</v>
      </c>
      <c r="U2690" s="110" t="s">
        <v>541</v>
      </c>
      <c r="V2690" s="110" t="str">
        <f t="shared" si="88"/>
        <v>FWL</v>
      </c>
      <c r="W2690" s="110" t="s">
        <v>541</v>
      </c>
      <c r="X2690" s="110" t="s">
        <v>541</v>
      </c>
      <c r="Y2690" s="110" t="str">
        <f>IFERROR(VLOOKUP(F2690,'Freq-Chan'!C:E,3,FALSE),"na")</f>
        <v>na</v>
      </c>
      <c r="Z2690" s="110" t="s">
        <v>541</v>
      </c>
      <c r="AA2690" s="110" t="s">
        <v>541</v>
      </c>
      <c r="AB2690" s="110" t="s">
        <v>541</v>
      </c>
      <c r="AC2690" s="10" t="s">
        <v>541</v>
      </c>
      <c r="AD2690" s="10" t="s">
        <v>541</v>
      </c>
    </row>
    <row r="2691" spans="1:30" x14ac:dyDescent="0.2">
      <c r="A2691" s="110">
        <v>2691</v>
      </c>
      <c r="B2691" s="132">
        <v>41865</v>
      </c>
      <c r="C2691" s="117">
        <v>1</v>
      </c>
      <c r="D2691" s="103" t="s">
        <v>71</v>
      </c>
      <c r="E2691" s="103" t="s">
        <v>306</v>
      </c>
      <c r="H2691" s="103"/>
      <c r="I2691" s="103">
        <v>54</v>
      </c>
      <c r="K2691" s="103" t="s">
        <v>1032</v>
      </c>
      <c r="L2691" s="133"/>
      <c r="M2691" s="134">
        <v>1.7361111111111112E-2</v>
      </c>
      <c r="N2691" s="137" t="s">
        <v>2632</v>
      </c>
      <c r="O2691" s="133" t="s">
        <v>1585</v>
      </c>
      <c r="Q2691" s="100" t="s">
        <v>4215</v>
      </c>
      <c r="R2691" s="226" t="s">
        <v>4253</v>
      </c>
      <c r="S2691" s="491" t="str">
        <f t="shared" si="87"/>
        <v>x</v>
      </c>
      <c r="T2691" s="492" t="str">
        <f>IFERROR(VLOOKUP(F2691,'Freq-Chan'!C:D,2,FALSE),"x")</f>
        <v>x</v>
      </c>
      <c r="U2691" s="110" t="s">
        <v>541</v>
      </c>
      <c r="V2691" s="110" t="str">
        <f t="shared" si="88"/>
        <v>FWL</v>
      </c>
      <c r="W2691" s="110" t="s">
        <v>541</v>
      </c>
      <c r="X2691" s="110" t="s">
        <v>541</v>
      </c>
      <c r="Y2691" s="110" t="str">
        <f>IFERROR(VLOOKUP(F2691,'Freq-Chan'!C:E,3,FALSE),"na")</f>
        <v>na</v>
      </c>
      <c r="Z2691" s="110" t="s">
        <v>541</v>
      </c>
      <c r="AA2691" s="110" t="s">
        <v>541</v>
      </c>
      <c r="AB2691" s="110" t="s">
        <v>541</v>
      </c>
      <c r="AC2691" s="10" t="s">
        <v>541</v>
      </c>
      <c r="AD2691" s="10" t="s">
        <v>541</v>
      </c>
    </row>
    <row r="2692" spans="1:30" x14ac:dyDescent="0.2">
      <c r="A2692" s="110">
        <v>2692</v>
      </c>
      <c r="B2692" s="132">
        <v>41865</v>
      </c>
      <c r="C2692" s="117">
        <v>1</v>
      </c>
      <c r="D2692" s="103" t="s">
        <v>71</v>
      </c>
      <c r="E2692" s="103" t="s">
        <v>306</v>
      </c>
      <c r="H2692" s="103"/>
      <c r="I2692" s="103">
        <v>60</v>
      </c>
      <c r="K2692" s="103" t="s">
        <v>365</v>
      </c>
      <c r="L2692" s="133"/>
      <c r="M2692" s="134">
        <v>1.5972222222222224E-2</v>
      </c>
      <c r="N2692" s="135" t="s">
        <v>3985</v>
      </c>
      <c r="O2692" s="133" t="s">
        <v>1585</v>
      </c>
      <c r="Q2692" s="100" t="s">
        <v>4215</v>
      </c>
      <c r="R2692" s="226" t="s">
        <v>4253</v>
      </c>
      <c r="S2692" s="491" t="str">
        <f t="shared" si="87"/>
        <v>x</v>
      </c>
      <c r="T2692" s="492" t="str">
        <f>IFERROR(VLOOKUP(F2692,'Freq-Chan'!C:D,2,FALSE),"x")</f>
        <v>x</v>
      </c>
      <c r="U2692" s="110" t="s">
        <v>541</v>
      </c>
      <c r="V2692" s="110" t="str">
        <f t="shared" si="88"/>
        <v>FWL</v>
      </c>
      <c r="W2692" s="110" t="s">
        <v>541</v>
      </c>
      <c r="X2692" s="110" t="s">
        <v>541</v>
      </c>
      <c r="Y2692" s="110" t="str">
        <f>IFERROR(VLOOKUP(F2692,'Freq-Chan'!C:E,3,FALSE),"na")</f>
        <v>na</v>
      </c>
      <c r="Z2692" s="110" t="s">
        <v>541</v>
      </c>
      <c r="AA2692" s="110" t="s">
        <v>541</v>
      </c>
      <c r="AB2692" s="110" t="s">
        <v>541</v>
      </c>
      <c r="AC2692" s="10" t="s">
        <v>541</v>
      </c>
      <c r="AD2692" s="10" t="s">
        <v>541</v>
      </c>
    </row>
    <row r="2693" spans="1:30" x14ac:dyDescent="0.2">
      <c r="A2693" s="110">
        <v>2693</v>
      </c>
      <c r="B2693" s="132">
        <v>41865</v>
      </c>
      <c r="C2693" s="117">
        <v>1</v>
      </c>
      <c r="D2693" s="103" t="s">
        <v>71</v>
      </c>
      <c r="E2693" s="103" t="s">
        <v>306</v>
      </c>
      <c r="H2693" s="103"/>
      <c r="I2693" s="103">
        <v>64</v>
      </c>
      <c r="K2693" s="103" t="s">
        <v>1032</v>
      </c>
      <c r="L2693" s="133"/>
      <c r="M2693" s="134">
        <v>2.2222222222222223E-2</v>
      </c>
      <c r="N2693" s="135" t="s">
        <v>4239</v>
      </c>
      <c r="O2693" s="133" t="s">
        <v>1585</v>
      </c>
      <c r="Q2693" s="100" t="s">
        <v>4215</v>
      </c>
      <c r="R2693" s="226" t="s">
        <v>4253</v>
      </c>
      <c r="S2693" s="491" t="str">
        <f t="shared" si="87"/>
        <v>x</v>
      </c>
      <c r="T2693" s="492" t="str">
        <f>IFERROR(VLOOKUP(F2693,'Freq-Chan'!C:D,2,FALSE),"x")</f>
        <v>x</v>
      </c>
      <c r="U2693" s="110" t="s">
        <v>541</v>
      </c>
      <c r="V2693" s="110" t="str">
        <f t="shared" si="88"/>
        <v>FWL</v>
      </c>
      <c r="W2693" s="110" t="s">
        <v>541</v>
      </c>
      <c r="X2693" s="110" t="s">
        <v>541</v>
      </c>
      <c r="Y2693" s="110" t="str">
        <f>IFERROR(VLOOKUP(F2693,'Freq-Chan'!C:E,3,FALSE),"na")</f>
        <v>na</v>
      </c>
      <c r="Z2693" s="110" t="s">
        <v>541</v>
      </c>
      <c r="AA2693" s="110" t="s">
        <v>541</v>
      </c>
      <c r="AB2693" s="110" t="s">
        <v>541</v>
      </c>
      <c r="AC2693" s="10" t="s">
        <v>541</v>
      </c>
      <c r="AD2693" s="10" t="s">
        <v>541</v>
      </c>
    </row>
    <row r="2694" spans="1:30" x14ac:dyDescent="0.2">
      <c r="A2694" s="110">
        <v>2694</v>
      </c>
      <c r="B2694" s="132">
        <v>41865</v>
      </c>
      <c r="C2694" s="117">
        <v>1</v>
      </c>
      <c r="D2694" s="103" t="s">
        <v>71</v>
      </c>
      <c r="E2694" s="103" t="s">
        <v>306</v>
      </c>
      <c r="H2694" s="103"/>
      <c r="I2694" s="103">
        <v>58</v>
      </c>
      <c r="K2694" s="103" t="s">
        <v>1032</v>
      </c>
      <c r="L2694" s="133"/>
      <c r="M2694" s="134">
        <v>1.5972222222222224E-2</v>
      </c>
      <c r="N2694" s="135" t="s">
        <v>2634</v>
      </c>
      <c r="O2694" s="133" t="s">
        <v>1663</v>
      </c>
      <c r="Q2694" s="100" t="s">
        <v>4233</v>
      </c>
      <c r="R2694" s="226" t="s">
        <v>4253</v>
      </c>
      <c r="S2694" s="491" t="str">
        <f t="shared" si="87"/>
        <v>x</v>
      </c>
      <c r="T2694" s="492" t="str">
        <f>IFERROR(VLOOKUP(F2694,'Freq-Chan'!C:D,2,FALSE),"x")</f>
        <v>x</v>
      </c>
      <c r="U2694" s="110" t="s">
        <v>541</v>
      </c>
      <c r="V2694" s="110" t="str">
        <f t="shared" si="88"/>
        <v>FWL</v>
      </c>
      <c r="W2694" s="110" t="s">
        <v>541</v>
      </c>
      <c r="X2694" s="110" t="s">
        <v>541</v>
      </c>
      <c r="Y2694" s="110" t="str">
        <f>IFERROR(VLOOKUP(F2694,'Freq-Chan'!C:E,3,FALSE),"na")</f>
        <v>na</v>
      </c>
      <c r="Z2694" s="110" t="s">
        <v>541</v>
      </c>
      <c r="AA2694" s="110" t="s">
        <v>541</v>
      </c>
      <c r="AB2694" s="110" t="s">
        <v>541</v>
      </c>
      <c r="AC2694" s="10" t="s">
        <v>541</v>
      </c>
      <c r="AD2694" s="10" t="s">
        <v>541</v>
      </c>
    </row>
    <row r="2695" spans="1:30" x14ac:dyDescent="0.2">
      <c r="A2695" s="110">
        <v>2695</v>
      </c>
      <c r="B2695" s="132">
        <v>41865</v>
      </c>
      <c r="C2695" s="117">
        <v>1</v>
      </c>
      <c r="D2695" s="103" t="s">
        <v>8</v>
      </c>
      <c r="E2695" s="103" t="s">
        <v>306</v>
      </c>
      <c r="F2695" s="103">
        <v>586</v>
      </c>
      <c r="G2695" s="103">
        <v>66</v>
      </c>
      <c r="H2695" s="103" t="s">
        <v>2268</v>
      </c>
      <c r="I2695" s="103">
        <v>58</v>
      </c>
      <c r="K2695" s="103" t="s">
        <v>1032</v>
      </c>
      <c r="L2695" s="133"/>
      <c r="M2695" s="134">
        <v>4.6527777777777779E-2</v>
      </c>
      <c r="N2695" s="135" t="s">
        <v>3737</v>
      </c>
      <c r="O2695" s="133" t="s">
        <v>1663</v>
      </c>
      <c r="Q2695" s="100" t="s">
        <v>4233</v>
      </c>
      <c r="R2695" s="226" t="s">
        <v>4253</v>
      </c>
      <c r="S2695" s="491" t="str">
        <f t="shared" si="87"/>
        <v>x</v>
      </c>
      <c r="T2695" s="492">
        <f>IFERROR(VLOOKUP(F2695,'Freq-Chan'!C:D,2,FALSE),"x")</f>
        <v>151.58600000000001</v>
      </c>
      <c r="U2695" s="110" t="s">
        <v>541</v>
      </c>
      <c r="V2695" s="110" t="str">
        <f t="shared" si="88"/>
        <v>FWL</v>
      </c>
      <c r="W2695" s="110" t="s">
        <v>541</v>
      </c>
      <c r="X2695" s="110" t="s">
        <v>541</v>
      </c>
      <c r="Y2695" s="110" t="str">
        <f>IFERROR(VLOOKUP(F2695,'Freq-Chan'!C:E,3,FALSE),"na")</f>
        <v>F1840</v>
      </c>
      <c r="Z2695" s="110" t="s">
        <v>541</v>
      </c>
      <c r="AA2695" s="110" t="s">
        <v>541</v>
      </c>
      <c r="AB2695" s="110" t="s">
        <v>541</v>
      </c>
      <c r="AC2695" s="10" t="s">
        <v>541</v>
      </c>
      <c r="AD2695" s="10" t="s">
        <v>541</v>
      </c>
    </row>
    <row r="2696" spans="1:30" x14ac:dyDescent="0.2">
      <c r="A2696" s="110">
        <v>2696</v>
      </c>
      <c r="B2696" s="132">
        <v>41865</v>
      </c>
      <c r="C2696" s="117">
        <v>1</v>
      </c>
      <c r="D2696" s="103" t="s">
        <v>71</v>
      </c>
      <c r="E2696" s="103" t="s">
        <v>306</v>
      </c>
      <c r="H2696" s="103"/>
      <c r="I2696" s="103">
        <v>52</v>
      </c>
      <c r="K2696" s="103" t="s">
        <v>1032</v>
      </c>
      <c r="L2696" s="133"/>
      <c r="M2696" s="134">
        <v>1.3194444444444444E-2</v>
      </c>
      <c r="N2696" s="137" t="s">
        <v>4240</v>
      </c>
      <c r="O2696" s="133" t="s">
        <v>1663</v>
      </c>
      <c r="Q2696" s="100" t="s">
        <v>4233</v>
      </c>
      <c r="R2696" s="226" t="s">
        <v>4253</v>
      </c>
      <c r="S2696" s="491" t="str">
        <f t="shared" si="87"/>
        <v>x</v>
      </c>
      <c r="T2696" s="492" t="str">
        <f>IFERROR(VLOOKUP(F2696,'Freq-Chan'!C:D,2,FALSE),"x")</f>
        <v>x</v>
      </c>
      <c r="U2696" s="110" t="s">
        <v>541</v>
      </c>
      <c r="V2696" s="110" t="str">
        <f t="shared" si="88"/>
        <v>FWL</v>
      </c>
      <c r="W2696" s="110" t="s">
        <v>541</v>
      </c>
      <c r="X2696" s="110" t="s">
        <v>541</v>
      </c>
      <c r="Y2696" s="110" t="str">
        <f>IFERROR(VLOOKUP(F2696,'Freq-Chan'!C:E,3,FALSE),"na")</f>
        <v>na</v>
      </c>
      <c r="Z2696" s="110" t="s">
        <v>541</v>
      </c>
      <c r="AA2696" s="110" t="s">
        <v>541</v>
      </c>
      <c r="AB2696" s="110" t="s">
        <v>541</v>
      </c>
      <c r="AC2696" s="10" t="s">
        <v>541</v>
      </c>
      <c r="AD2696" s="10" t="s">
        <v>541</v>
      </c>
    </row>
    <row r="2697" spans="1:30" x14ac:dyDescent="0.2">
      <c r="A2697" s="110">
        <v>2697</v>
      </c>
      <c r="B2697" s="132">
        <v>41865</v>
      </c>
      <c r="C2697" s="117">
        <v>1</v>
      </c>
      <c r="D2697" s="103" t="s">
        <v>72</v>
      </c>
      <c r="E2697" s="103" t="s">
        <v>306</v>
      </c>
      <c r="F2697" s="103">
        <v>325</v>
      </c>
      <c r="G2697" s="103">
        <v>53</v>
      </c>
      <c r="H2697" s="103" t="s">
        <v>3586</v>
      </c>
      <c r="I2697" s="103">
        <v>56</v>
      </c>
      <c r="K2697" s="103" t="s">
        <v>364</v>
      </c>
      <c r="L2697" s="133"/>
      <c r="M2697" s="134">
        <v>3.6805555555555557E-2</v>
      </c>
      <c r="N2697" s="137" t="s">
        <v>2541</v>
      </c>
      <c r="O2697" s="133" t="s">
        <v>1663</v>
      </c>
      <c r="Q2697" s="100" t="s">
        <v>4233</v>
      </c>
      <c r="R2697" s="226" t="s">
        <v>4253</v>
      </c>
      <c r="S2697" s="491" t="str">
        <f t="shared" si="87"/>
        <v>x</v>
      </c>
      <c r="T2697" s="492">
        <f>IFERROR(VLOOKUP(F2697,'Freq-Chan'!C:D,2,FALSE),"x")</f>
        <v>151.32499999999999</v>
      </c>
      <c r="U2697" s="110" t="s">
        <v>541</v>
      </c>
      <c r="V2697" s="110" t="str">
        <f t="shared" si="88"/>
        <v>FWL</v>
      </c>
      <c r="W2697" s="110" t="s">
        <v>541</v>
      </c>
      <c r="X2697" s="110" t="s">
        <v>541</v>
      </c>
      <c r="Y2697" s="110" t="str">
        <f>IFERROR(VLOOKUP(F2697,'Freq-Chan'!C:E,3,FALSE),"na")</f>
        <v>F1840</v>
      </c>
      <c r="Z2697" s="110" t="s">
        <v>541</v>
      </c>
      <c r="AA2697" s="110" t="s">
        <v>541</v>
      </c>
      <c r="AB2697" s="110" t="s">
        <v>541</v>
      </c>
      <c r="AC2697" s="10" t="s">
        <v>541</v>
      </c>
      <c r="AD2697" s="10" t="s">
        <v>541</v>
      </c>
    </row>
    <row r="2698" spans="1:30" x14ac:dyDescent="0.2">
      <c r="A2698" s="110">
        <v>2698</v>
      </c>
      <c r="B2698" s="132">
        <v>41865</v>
      </c>
      <c r="C2698" s="117">
        <v>1</v>
      </c>
      <c r="D2698" s="103" t="s">
        <v>72</v>
      </c>
      <c r="E2698" s="103" t="s">
        <v>306</v>
      </c>
      <c r="F2698" s="103">
        <v>266</v>
      </c>
      <c r="G2698" s="103">
        <v>13</v>
      </c>
      <c r="H2698" s="103" t="s">
        <v>3587</v>
      </c>
      <c r="I2698" s="103">
        <v>53</v>
      </c>
      <c r="K2698" s="103" t="s">
        <v>1032</v>
      </c>
      <c r="L2698" s="133"/>
      <c r="M2698" s="134">
        <v>3.9583333333333331E-2</v>
      </c>
      <c r="N2698" s="135" t="s">
        <v>2816</v>
      </c>
      <c r="O2698" s="133" t="s">
        <v>1663</v>
      </c>
      <c r="P2698" s="100" t="s">
        <v>4466</v>
      </c>
      <c r="Q2698" s="100" t="s">
        <v>4233</v>
      </c>
      <c r="R2698" s="226" t="s">
        <v>4253</v>
      </c>
      <c r="S2698" s="491" t="str">
        <f t="shared" si="87"/>
        <v>x</v>
      </c>
      <c r="T2698" s="492">
        <f>IFERROR(VLOOKUP(F2698,'Freq-Chan'!C:D,2,FALSE),"x")</f>
        <v>151.26599999999999</v>
      </c>
      <c r="U2698" s="110" t="s">
        <v>541</v>
      </c>
      <c r="V2698" s="110" t="str">
        <f t="shared" si="88"/>
        <v>FWL</v>
      </c>
      <c r="W2698" s="110" t="s">
        <v>541</v>
      </c>
      <c r="X2698" s="110" t="s">
        <v>541</v>
      </c>
      <c r="Y2698" s="110" t="str">
        <f>IFERROR(VLOOKUP(F2698,'Freq-Chan'!C:E,3,FALSE),"na")</f>
        <v>F1840</v>
      </c>
      <c r="Z2698" s="110" t="s">
        <v>541</v>
      </c>
      <c r="AA2698" s="110" t="s">
        <v>541</v>
      </c>
      <c r="AB2698" s="110" t="s">
        <v>541</v>
      </c>
      <c r="AC2698" s="10" t="s">
        <v>541</v>
      </c>
      <c r="AD2698" s="10" t="s">
        <v>541</v>
      </c>
    </row>
    <row r="2699" spans="1:30" x14ac:dyDescent="0.2">
      <c r="A2699" s="110">
        <v>2699</v>
      </c>
      <c r="B2699" s="132">
        <v>41865</v>
      </c>
      <c r="C2699" s="117">
        <v>1</v>
      </c>
      <c r="D2699" s="103" t="s">
        <v>177</v>
      </c>
      <c r="E2699" s="103" t="s">
        <v>0</v>
      </c>
      <c r="H2699" s="103"/>
      <c r="I2699" s="103">
        <v>34</v>
      </c>
      <c r="K2699" s="103" t="s">
        <v>1032</v>
      </c>
      <c r="L2699" s="133"/>
      <c r="M2699" s="134">
        <v>2.5694444444444447E-2</v>
      </c>
      <c r="N2699" s="135" t="s">
        <v>2709</v>
      </c>
      <c r="O2699" s="133" t="s">
        <v>1532</v>
      </c>
      <c r="P2699" s="100" t="s">
        <v>4051</v>
      </c>
      <c r="Q2699" s="100" t="s">
        <v>4233</v>
      </c>
      <c r="R2699" s="226" t="s">
        <v>4253</v>
      </c>
      <c r="S2699" s="491" t="str">
        <f t="shared" si="87"/>
        <v>x</v>
      </c>
      <c r="T2699" s="492" t="str">
        <f>IFERROR(VLOOKUP(F2699,'Freq-Chan'!C:D,2,FALSE),"x")</f>
        <v>x</v>
      </c>
      <c r="U2699" s="110" t="s">
        <v>541</v>
      </c>
      <c r="V2699" s="110" t="str">
        <f t="shared" si="88"/>
        <v>FWL</v>
      </c>
      <c r="W2699" s="110" t="s">
        <v>541</v>
      </c>
      <c r="X2699" s="110" t="s">
        <v>541</v>
      </c>
      <c r="Y2699" s="110" t="str">
        <f>IFERROR(VLOOKUP(F2699,'Freq-Chan'!C:E,3,FALSE),"na")</f>
        <v>na</v>
      </c>
      <c r="Z2699" s="110" t="s">
        <v>541</v>
      </c>
      <c r="AA2699" s="110" t="s">
        <v>541</v>
      </c>
      <c r="AB2699" s="110" t="s">
        <v>541</v>
      </c>
      <c r="AC2699" s="10" t="s">
        <v>541</v>
      </c>
      <c r="AD2699" s="10" t="s">
        <v>541</v>
      </c>
    </row>
    <row r="2700" spans="1:30" x14ac:dyDescent="0.2">
      <c r="A2700" s="110">
        <v>2700</v>
      </c>
      <c r="B2700" s="132">
        <v>41865</v>
      </c>
      <c r="C2700" s="117">
        <v>1</v>
      </c>
      <c r="D2700" s="103" t="s">
        <v>72</v>
      </c>
      <c r="E2700" s="103" t="s">
        <v>306</v>
      </c>
      <c r="F2700" s="103">
        <v>325</v>
      </c>
      <c r="G2700" s="103">
        <v>66</v>
      </c>
      <c r="H2700" s="103" t="s">
        <v>3588</v>
      </c>
      <c r="I2700" s="103">
        <v>58</v>
      </c>
      <c r="K2700" s="103" t="s">
        <v>1032</v>
      </c>
      <c r="L2700" s="133"/>
      <c r="M2700" s="134">
        <v>4.8611111111111112E-2</v>
      </c>
      <c r="N2700" s="137" t="s">
        <v>4085</v>
      </c>
      <c r="O2700" s="133" t="s">
        <v>1532</v>
      </c>
      <c r="Q2700" s="100" t="s">
        <v>4233</v>
      </c>
      <c r="R2700" s="226" t="s">
        <v>4253</v>
      </c>
      <c r="S2700" s="491" t="str">
        <f t="shared" si="87"/>
        <v>x</v>
      </c>
      <c r="T2700" s="492">
        <f>IFERROR(VLOOKUP(F2700,'Freq-Chan'!C:D,2,FALSE),"x")</f>
        <v>151.32499999999999</v>
      </c>
      <c r="U2700" s="110" t="s">
        <v>541</v>
      </c>
      <c r="V2700" s="110" t="str">
        <f t="shared" si="88"/>
        <v>FWL</v>
      </c>
      <c r="W2700" s="110" t="s">
        <v>541</v>
      </c>
      <c r="X2700" s="110" t="s">
        <v>541</v>
      </c>
      <c r="Y2700" s="110" t="str">
        <f>IFERROR(VLOOKUP(F2700,'Freq-Chan'!C:E,3,FALSE),"na")</f>
        <v>F1840</v>
      </c>
      <c r="Z2700" s="110" t="s">
        <v>541</v>
      </c>
      <c r="AA2700" s="110" t="s">
        <v>541</v>
      </c>
      <c r="AB2700" s="110" t="s">
        <v>541</v>
      </c>
      <c r="AC2700" s="10" t="s">
        <v>541</v>
      </c>
      <c r="AD2700" s="10" t="s">
        <v>541</v>
      </c>
    </row>
    <row r="2701" spans="1:30" x14ac:dyDescent="0.2">
      <c r="A2701" s="110">
        <v>2701</v>
      </c>
      <c r="B2701" s="132">
        <v>41865</v>
      </c>
      <c r="C2701" s="117">
        <v>1</v>
      </c>
      <c r="D2701" s="103" t="s">
        <v>72</v>
      </c>
      <c r="E2701" s="103" t="s">
        <v>306</v>
      </c>
      <c r="F2701" s="103">
        <v>534</v>
      </c>
      <c r="G2701" s="103">
        <v>91</v>
      </c>
      <c r="H2701" s="103" t="s">
        <v>3589</v>
      </c>
      <c r="I2701" s="103">
        <v>54</v>
      </c>
      <c r="K2701" s="103" t="s">
        <v>1032</v>
      </c>
      <c r="L2701" s="133">
        <v>0.75208333333333333</v>
      </c>
      <c r="M2701" s="134">
        <v>3.6111111111111115E-2</v>
      </c>
      <c r="N2701" s="137" t="s">
        <v>4087</v>
      </c>
      <c r="O2701" s="133" t="s">
        <v>1663</v>
      </c>
      <c r="Q2701" s="100" t="s">
        <v>4233</v>
      </c>
      <c r="R2701" s="226" t="s">
        <v>4253</v>
      </c>
      <c r="S2701" s="491">
        <f t="shared" si="87"/>
        <v>4.2592593000000002E-3</v>
      </c>
      <c r="T2701" s="492">
        <f>IFERROR(VLOOKUP(F2701,'Freq-Chan'!C:D,2,FALSE),"x")</f>
        <v>151.53399999999999</v>
      </c>
      <c r="U2701" s="110" t="s">
        <v>541</v>
      </c>
      <c r="V2701" s="110" t="str">
        <f t="shared" si="88"/>
        <v>FWL</v>
      </c>
      <c r="W2701" s="110" t="s">
        <v>541</v>
      </c>
      <c r="X2701" s="110" t="s">
        <v>541</v>
      </c>
      <c r="Y2701" s="110" t="str">
        <f>IFERROR(VLOOKUP(F2701,'Freq-Chan'!C:E,3,FALSE),"na")</f>
        <v>F1840</v>
      </c>
      <c r="Z2701" s="110" t="s">
        <v>541</v>
      </c>
      <c r="AA2701" s="110" t="s">
        <v>541</v>
      </c>
      <c r="AB2701" s="110" t="s">
        <v>541</v>
      </c>
      <c r="AC2701" s="10" t="s">
        <v>541</v>
      </c>
      <c r="AD2701" s="10" t="s">
        <v>541</v>
      </c>
    </row>
    <row r="2702" spans="1:30" s="291" customFormat="1" x14ac:dyDescent="0.2">
      <c r="A2702" s="493">
        <v>2702</v>
      </c>
      <c r="B2702" s="283">
        <v>41865</v>
      </c>
      <c r="C2702" s="284">
        <v>1</v>
      </c>
      <c r="D2702" s="285" t="s">
        <v>72</v>
      </c>
      <c r="E2702" s="285" t="s">
        <v>306</v>
      </c>
      <c r="F2702" s="285"/>
      <c r="G2702" s="285"/>
      <c r="H2702" s="285"/>
      <c r="I2702" s="285">
        <v>54</v>
      </c>
      <c r="J2702" s="285"/>
      <c r="K2702" s="285" t="s">
        <v>1032</v>
      </c>
      <c r="L2702" s="286"/>
      <c r="M2702" s="287">
        <v>7.6388888888888886E-3</v>
      </c>
      <c r="N2702" s="288" t="s">
        <v>4241</v>
      </c>
      <c r="O2702" s="286" t="s">
        <v>1663</v>
      </c>
      <c r="P2702" s="289"/>
      <c r="Q2702" s="289" t="s">
        <v>4233</v>
      </c>
      <c r="R2702" s="290" t="s">
        <v>4253</v>
      </c>
      <c r="S2702" s="494" t="str">
        <f t="shared" si="87"/>
        <v>x</v>
      </c>
      <c r="T2702" s="495" t="str">
        <f>IFERROR(VLOOKUP(F2702,'Freq-Chan'!C:D,2,FALSE),"x")</f>
        <v>x</v>
      </c>
      <c r="U2702" s="493" t="s">
        <v>541</v>
      </c>
      <c r="V2702" s="493" t="str">
        <f t="shared" si="88"/>
        <v>FWL</v>
      </c>
      <c r="W2702" s="493" t="s">
        <v>541</v>
      </c>
      <c r="X2702" s="493" t="s">
        <v>541</v>
      </c>
      <c r="Y2702" s="493" t="str">
        <f>IFERROR(VLOOKUP(F2702,'Freq-Chan'!C:E,3,FALSE),"na")</f>
        <v>na</v>
      </c>
      <c r="Z2702" s="493" t="s">
        <v>541</v>
      </c>
      <c r="AA2702" s="493" t="s">
        <v>541</v>
      </c>
      <c r="AB2702" s="493" t="s">
        <v>541</v>
      </c>
      <c r="AC2702" s="291" t="s">
        <v>541</v>
      </c>
      <c r="AD2702" s="291" t="s">
        <v>541</v>
      </c>
    </row>
    <row r="2703" spans="1:30" x14ac:dyDescent="0.2">
      <c r="A2703" s="110">
        <v>2703</v>
      </c>
      <c r="B2703" s="132">
        <v>41865</v>
      </c>
      <c r="C2703" s="117">
        <v>2</v>
      </c>
      <c r="D2703" s="103" t="s">
        <v>72</v>
      </c>
      <c r="E2703" s="103" t="s">
        <v>306</v>
      </c>
      <c r="F2703" s="103">
        <v>325</v>
      </c>
      <c r="G2703" s="103">
        <v>29</v>
      </c>
      <c r="H2703" s="103" t="s">
        <v>3579</v>
      </c>
      <c r="I2703" s="103">
        <v>55</v>
      </c>
      <c r="K2703" s="103" t="s">
        <v>364</v>
      </c>
      <c r="L2703" s="133"/>
      <c r="M2703" s="134">
        <v>4.7222222222222221E-2</v>
      </c>
      <c r="N2703" s="137" t="s">
        <v>3293</v>
      </c>
      <c r="O2703" s="133" t="s">
        <v>1585</v>
      </c>
      <c r="Q2703" s="100" t="s">
        <v>4215</v>
      </c>
      <c r="R2703" s="226" t="s">
        <v>4253</v>
      </c>
      <c r="S2703" s="491" t="str">
        <f t="shared" si="87"/>
        <v>x</v>
      </c>
      <c r="T2703" s="492">
        <f>IFERROR(VLOOKUP(F2703,'Freq-Chan'!C:D,2,FALSE),"x")</f>
        <v>151.32499999999999</v>
      </c>
      <c r="U2703" s="110" t="s">
        <v>541</v>
      </c>
      <c r="V2703" s="110" t="str">
        <f t="shared" si="88"/>
        <v>FWL</v>
      </c>
      <c r="W2703" s="110" t="s">
        <v>541</v>
      </c>
      <c r="X2703" s="110" t="s">
        <v>541</v>
      </c>
      <c r="Y2703" s="110" t="str">
        <f>IFERROR(VLOOKUP(F2703,'Freq-Chan'!C:E,3,FALSE),"na")</f>
        <v>F1840</v>
      </c>
      <c r="Z2703" s="110" t="s">
        <v>541</v>
      </c>
      <c r="AA2703" s="110" t="s">
        <v>541</v>
      </c>
      <c r="AB2703" s="110" t="s">
        <v>541</v>
      </c>
      <c r="AC2703" s="10" t="s">
        <v>541</v>
      </c>
      <c r="AD2703" s="10" t="s">
        <v>541</v>
      </c>
    </row>
    <row r="2704" spans="1:30" x14ac:dyDescent="0.2">
      <c r="A2704" s="110">
        <v>2704</v>
      </c>
      <c r="B2704" s="132">
        <v>41865</v>
      </c>
      <c r="C2704" s="117">
        <v>2</v>
      </c>
      <c r="D2704" s="103" t="s">
        <v>71</v>
      </c>
      <c r="E2704" s="103" t="s">
        <v>306</v>
      </c>
      <c r="H2704" s="103"/>
      <c r="I2704" s="103">
        <v>56</v>
      </c>
      <c r="K2704" s="103" t="s">
        <v>365</v>
      </c>
      <c r="L2704" s="133"/>
      <c r="M2704" s="134">
        <v>1.5277777777777777E-2</v>
      </c>
      <c r="N2704" s="137" t="s">
        <v>3472</v>
      </c>
      <c r="O2704" s="133" t="s">
        <v>1585</v>
      </c>
      <c r="Q2704" s="100" t="s">
        <v>4215</v>
      </c>
      <c r="R2704" s="226" t="s">
        <v>4253</v>
      </c>
      <c r="S2704" s="491" t="str">
        <f t="shared" si="87"/>
        <v>x</v>
      </c>
      <c r="T2704" s="492" t="str">
        <f>IFERROR(VLOOKUP(F2704,'Freq-Chan'!C:D,2,FALSE),"x")</f>
        <v>x</v>
      </c>
      <c r="U2704" s="110" t="s">
        <v>541</v>
      </c>
      <c r="V2704" s="110" t="str">
        <f t="shared" si="88"/>
        <v>FWL</v>
      </c>
      <c r="W2704" s="110" t="s">
        <v>541</v>
      </c>
      <c r="X2704" s="110" t="s">
        <v>541</v>
      </c>
      <c r="Y2704" s="110" t="str">
        <f>IFERROR(VLOOKUP(F2704,'Freq-Chan'!C:E,3,FALSE),"na")</f>
        <v>na</v>
      </c>
      <c r="Z2704" s="110" t="s">
        <v>541</v>
      </c>
      <c r="AA2704" s="110" t="s">
        <v>541</v>
      </c>
      <c r="AB2704" s="110" t="s">
        <v>541</v>
      </c>
      <c r="AC2704" s="10" t="s">
        <v>541</v>
      </c>
      <c r="AD2704" s="10" t="s">
        <v>541</v>
      </c>
    </row>
    <row r="2705" spans="1:30" x14ac:dyDescent="0.2">
      <c r="A2705" s="110">
        <v>2705</v>
      </c>
      <c r="B2705" s="132">
        <v>41865</v>
      </c>
      <c r="C2705" s="117">
        <v>2</v>
      </c>
      <c r="D2705" s="103" t="s">
        <v>71</v>
      </c>
      <c r="E2705" s="103" t="s">
        <v>306</v>
      </c>
      <c r="H2705" s="103"/>
      <c r="I2705" s="103">
        <v>57</v>
      </c>
      <c r="K2705" s="103" t="s">
        <v>365</v>
      </c>
      <c r="L2705" s="133"/>
      <c r="M2705" s="134">
        <v>2.0833333333333332E-2</v>
      </c>
      <c r="N2705" s="137" t="s">
        <v>3245</v>
      </c>
      <c r="O2705" s="133" t="s">
        <v>1585</v>
      </c>
      <c r="Q2705" s="100" t="s">
        <v>4215</v>
      </c>
      <c r="R2705" s="226" t="s">
        <v>4253</v>
      </c>
      <c r="S2705" s="491" t="str">
        <f t="shared" si="87"/>
        <v>x</v>
      </c>
      <c r="T2705" s="492" t="str">
        <f>IFERROR(VLOOKUP(F2705,'Freq-Chan'!C:D,2,FALSE),"x")</f>
        <v>x</v>
      </c>
      <c r="U2705" s="110" t="s">
        <v>541</v>
      </c>
      <c r="V2705" s="110" t="str">
        <f t="shared" si="88"/>
        <v>FWL</v>
      </c>
      <c r="W2705" s="110" t="s">
        <v>541</v>
      </c>
      <c r="X2705" s="110" t="s">
        <v>541</v>
      </c>
      <c r="Y2705" s="110" t="str">
        <f>IFERROR(VLOOKUP(F2705,'Freq-Chan'!C:E,3,FALSE),"na")</f>
        <v>na</v>
      </c>
      <c r="Z2705" s="110" t="s">
        <v>541</v>
      </c>
      <c r="AA2705" s="110" t="s">
        <v>541</v>
      </c>
      <c r="AB2705" s="110" t="s">
        <v>541</v>
      </c>
      <c r="AC2705" s="10" t="s">
        <v>541</v>
      </c>
      <c r="AD2705" s="10" t="s">
        <v>541</v>
      </c>
    </row>
    <row r="2706" spans="1:30" x14ac:dyDescent="0.2">
      <c r="A2706" s="110">
        <v>2706</v>
      </c>
      <c r="B2706" s="132">
        <v>41865</v>
      </c>
      <c r="C2706" s="117">
        <v>2</v>
      </c>
      <c r="D2706" s="103" t="s">
        <v>71</v>
      </c>
      <c r="E2706" s="103" t="s">
        <v>306</v>
      </c>
      <c r="H2706" s="103"/>
      <c r="I2706" s="103">
        <v>58</v>
      </c>
      <c r="K2706" s="103" t="s">
        <v>365</v>
      </c>
      <c r="L2706" s="133"/>
      <c r="M2706" s="134">
        <v>1.8055555555555557E-2</v>
      </c>
      <c r="N2706" s="135" t="s">
        <v>3806</v>
      </c>
      <c r="O2706" s="133" t="s">
        <v>1585</v>
      </c>
      <c r="Q2706" s="100" t="s">
        <v>4215</v>
      </c>
      <c r="R2706" s="226" t="s">
        <v>4253</v>
      </c>
      <c r="S2706" s="491" t="str">
        <f t="shared" si="87"/>
        <v>x</v>
      </c>
      <c r="T2706" s="492" t="str">
        <f>IFERROR(VLOOKUP(F2706,'Freq-Chan'!C:D,2,FALSE),"x")</f>
        <v>x</v>
      </c>
      <c r="U2706" s="110" t="s">
        <v>541</v>
      </c>
      <c r="V2706" s="110" t="str">
        <f t="shared" si="88"/>
        <v>FWL</v>
      </c>
      <c r="W2706" s="110" t="s">
        <v>541</v>
      </c>
      <c r="X2706" s="110" t="s">
        <v>541</v>
      </c>
      <c r="Y2706" s="110" t="str">
        <f>IFERROR(VLOOKUP(F2706,'Freq-Chan'!C:E,3,FALSE),"na")</f>
        <v>na</v>
      </c>
      <c r="Z2706" s="110" t="s">
        <v>541</v>
      </c>
      <c r="AA2706" s="110" t="s">
        <v>541</v>
      </c>
      <c r="AB2706" s="110" t="s">
        <v>541</v>
      </c>
      <c r="AC2706" s="10" t="s">
        <v>541</v>
      </c>
      <c r="AD2706" s="10" t="s">
        <v>541</v>
      </c>
    </row>
    <row r="2707" spans="1:30" x14ac:dyDescent="0.2">
      <c r="A2707" s="110">
        <v>2707</v>
      </c>
      <c r="B2707" s="132">
        <v>41865</v>
      </c>
      <c r="C2707" s="117">
        <v>2</v>
      </c>
      <c r="D2707" s="103" t="s">
        <v>71</v>
      </c>
      <c r="E2707" s="103" t="s">
        <v>306</v>
      </c>
      <c r="F2707" s="103">
        <v>534</v>
      </c>
      <c r="G2707" s="103">
        <v>46</v>
      </c>
      <c r="H2707" s="103" t="s">
        <v>2452</v>
      </c>
      <c r="I2707" s="103">
        <v>65</v>
      </c>
      <c r="K2707" s="103" t="s">
        <v>364</v>
      </c>
      <c r="L2707" s="133"/>
      <c r="M2707" s="134">
        <v>5.1388888888888894E-2</v>
      </c>
      <c r="N2707" s="135" t="s">
        <v>3834</v>
      </c>
      <c r="O2707" s="133" t="s">
        <v>1585</v>
      </c>
      <c r="Q2707" s="100" t="s">
        <v>4215</v>
      </c>
      <c r="R2707" s="226" t="s">
        <v>4253</v>
      </c>
      <c r="S2707" s="491" t="str">
        <f t="shared" si="87"/>
        <v>x</v>
      </c>
      <c r="T2707" s="492">
        <f>IFERROR(VLOOKUP(F2707,'Freq-Chan'!C:D,2,FALSE),"x")</f>
        <v>151.53399999999999</v>
      </c>
      <c r="U2707" s="110" t="s">
        <v>541</v>
      </c>
      <c r="V2707" s="110" t="str">
        <f t="shared" si="88"/>
        <v>FWL</v>
      </c>
      <c r="W2707" s="110" t="s">
        <v>541</v>
      </c>
      <c r="X2707" s="110" t="s">
        <v>541</v>
      </c>
      <c r="Y2707" s="110" t="str">
        <f>IFERROR(VLOOKUP(F2707,'Freq-Chan'!C:E,3,FALSE),"na")</f>
        <v>F1840</v>
      </c>
      <c r="Z2707" s="110" t="s">
        <v>541</v>
      </c>
      <c r="AA2707" s="110" t="s">
        <v>541</v>
      </c>
      <c r="AB2707" s="110" t="s">
        <v>541</v>
      </c>
      <c r="AC2707" s="10" t="s">
        <v>541</v>
      </c>
      <c r="AD2707" s="10" t="s">
        <v>541</v>
      </c>
    </row>
    <row r="2708" spans="1:30" x14ac:dyDescent="0.2">
      <c r="A2708" s="110">
        <v>2708</v>
      </c>
      <c r="B2708" s="132">
        <v>41865</v>
      </c>
      <c r="C2708" s="117">
        <v>2</v>
      </c>
      <c r="D2708" s="103" t="s">
        <v>71</v>
      </c>
      <c r="E2708" s="103" t="s">
        <v>306</v>
      </c>
      <c r="H2708" s="103"/>
      <c r="I2708" s="103">
        <v>56</v>
      </c>
      <c r="K2708" s="103" t="s">
        <v>365</v>
      </c>
      <c r="L2708" s="133"/>
      <c r="M2708" s="134">
        <v>2.8472222222222222E-2</v>
      </c>
      <c r="N2708" s="137" t="s">
        <v>3931</v>
      </c>
      <c r="O2708" s="133" t="s">
        <v>1585</v>
      </c>
      <c r="Q2708" s="100" t="s">
        <v>4215</v>
      </c>
      <c r="R2708" s="226" t="s">
        <v>4253</v>
      </c>
      <c r="S2708" s="491" t="str">
        <f t="shared" si="87"/>
        <v>x</v>
      </c>
      <c r="T2708" s="492" t="str">
        <f>IFERROR(VLOOKUP(F2708,'Freq-Chan'!C:D,2,FALSE),"x")</f>
        <v>x</v>
      </c>
      <c r="U2708" s="110" t="s">
        <v>541</v>
      </c>
      <c r="V2708" s="110" t="str">
        <f t="shared" si="88"/>
        <v>FWL</v>
      </c>
      <c r="W2708" s="110" t="s">
        <v>541</v>
      </c>
      <c r="X2708" s="110" t="s">
        <v>541</v>
      </c>
      <c r="Y2708" s="110" t="str">
        <f>IFERROR(VLOOKUP(F2708,'Freq-Chan'!C:E,3,FALSE),"na")</f>
        <v>na</v>
      </c>
      <c r="Z2708" s="110" t="s">
        <v>541</v>
      </c>
      <c r="AA2708" s="110" t="s">
        <v>541</v>
      </c>
      <c r="AB2708" s="110" t="s">
        <v>541</v>
      </c>
      <c r="AC2708" s="10" t="s">
        <v>541</v>
      </c>
      <c r="AD2708" s="10" t="s">
        <v>541</v>
      </c>
    </row>
    <row r="2709" spans="1:30" x14ac:dyDescent="0.2">
      <c r="A2709" s="110">
        <v>2709</v>
      </c>
      <c r="B2709" s="132">
        <v>41865</v>
      </c>
      <c r="C2709" s="117">
        <v>2</v>
      </c>
      <c r="D2709" s="103" t="s">
        <v>71</v>
      </c>
      <c r="E2709" s="103" t="s">
        <v>306</v>
      </c>
      <c r="H2709" s="103"/>
      <c r="I2709" s="103">
        <v>60</v>
      </c>
      <c r="K2709" s="103" t="s">
        <v>1032</v>
      </c>
      <c r="L2709" s="133"/>
      <c r="M2709" s="134">
        <v>1.5972222222222224E-2</v>
      </c>
      <c r="N2709" s="135" t="s">
        <v>1984</v>
      </c>
      <c r="O2709" s="133" t="s">
        <v>1585</v>
      </c>
      <c r="Q2709" s="100" t="s">
        <v>4215</v>
      </c>
      <c r="R2709" s="226" t="s">
        <v>4253</v>
      </c>
      <c r="S2709" s="491" t="str">
        <f t="shared" si="87"/>
        <v>x</v>
      </c>
      <c r="T2709" s="492" t="str">
        <f>IFERROR(VLOOKUP(F2709,'Freq-Chan'!C:D,2,FALSE),"x")</f>
        <v>x</v>
      </c>
      <c r="U2709" s="110" t="s">
        <v>541</v>
      </c>
      <c r="V2709" s="110" t="str">
        <f t="shared" si="88"/>
        <v>FWL</v>
      </c>
      <c r="W2709" s="110" t="s">
        <v>541</v>
      </c>
      <c r="X2709" s="110" t="s">
        <v>541</v>
      </c>
      <c r="Y2709" s="110" t="str">
        <f>IFERROR(VLOOKUP(F2709,'Freq-Chan'!C:E,3,FALSE),"na")</f>
        <v>na</v>
      </c>
      <c r="Z2709" s="110" t="s">
        <v>541</v>
      </c>
      <c r="AA2709" s="110" t="s">
        <v>541</v>
      </c>
      <c r="AB2709" s="110" t="s">
        <v>541</v>
      </c>
      <c r="AC2709" s="10" t="s">
        <v>541</v>
      </c>
      <c r="AD2709" s="10" t="s">
        <v>541</v>
      </c>
    </row>
    <row r="2710" spans="1:30" x14ac:dyDescent="0.2">
      <c r="A2710" s="110">
        <v>2710</v>
      </c>
      <c r="B2710" s="132">
        <v>41865</v>
      </c>
      <c r="C2710" s="117">
        <v>2</v>
      </c>
      <c r="D2710" s="103" t="s">
        <v>71</v>
      </c>
      <c r="E2710" s="103" t="s">
        <v>306</v>
      </c>
      <c r="H2710" s="103"/>
      <c r="I2710" s="103">
        <v>65</v>
      </c>
      <c r="K2710" s="103" t="s">
        <v>1032</v>
      </c>
      <c r="L2710" s="133"/>
      <c r="M2710" s="134">
        <v>1.6666666666666666E-2</v>
      </c>
      <c r="N2710" s="135" t="s">
        <v>3800</v>
      </c>
      <c r="O2710" s="133" t="s">
        <v>1663</v>
      </c>
      <c r="Q2710" s="100" t="s">
        <v>4219</v>
      </c>
      <c r="R2710" s="226" t="s">
        <v>4253</v>
      </c>
      <c r="S2710" s="491" t="str">
        <f t="shared" si="87"/>
        <v>x</v>
      </c>
      <c r="T2710" s="492" t="str">
        <f>IFERROR(VLOOKUP(F2710,'Freq-Chan'!C:D,2,FALSE),"x")</f>
        <v>x</v>
      </c>
      <c r="U2710" s="110" t="s">
        <v>541</v>
      </c>
      <c r="V2710" s="110" t="str">
        <f t="shared" si="88"/>
        <v>FWL</v>
      </c>
      <c r="W2710" s="110" t="s">
        <v>541</v>
      </c>
      <c r="X2710" s="110" t="s">
        <v>541</v>
      </c>
      <c r="Y2710" s="110" t="str">
        <f>IFERROR(VLOOKUP(F2710,'Freq-Chan'!C:E,3,FALSE),"na")</f>
        <v>na</v>
      </c>
      <c r="Z2710" s="110" t="s">
        <v>541</v>
      </c>
      <c r="AA2710" s="110" t="s">
        <v>541</v>
      </c>
      <c r="AB2710" s="110" t="s">
        <v>541</v>
      </c>
      <c r="AC2710" s="10" t="s">
        <v>541</v>
      </c>
      <c r="AD2710" s="10" t="s">
        <v>541</v>
      </c>
    </row>
    <row r="2711" spans="1:30" x14ac:dyDescent="0.2">
      <c r="A2711" s="110">
        <v>2711</v>
      </c>
      <c r="B2711" s="132">
        <v>41865</v>
      </c>
      <c r="C2711" s="117">
        <v>2</v>
      </c>
      <c r="D2711" s="103" t="s">
        <v>71</v>
      </c>
      <c r="E2711" s="103" t="s">
        <v>306</v>
      </c>
      <c r="H2711" s="103"/>
      <c r="I2711" s="103">
        <v>60</v>
      </c>
      <c r="K2711" s="103" t="s">
        <v>1032</v>
      </c>
      <c r="L2711" s="133"/>
      <c r="M2711" s="134">
        <v>1.8749999999999999E-2</v>
      </c>
      <c r="N2711" s="137" t="s">
        <v>4244</v>
      </c>
      <c r="O2711" s="133" t="s">
        <v>1663</v>
      </c>
      <c r="Q2711" s="100" t="s">
        <v>4219</v>
      </c>
      <c r="R2711" s="226" t="s">
        <v>4253</v>
      </c>
      <c r="S2711" s="491" t="str">
        <f t="shared" si="87"/>
        <v>x</v>
      </c>
      <c r="T2711" s="492" t="str">
        <f>IFERROR(VLOOKUP(F2711,'Freq-Chan'!C:D,2,FALSE),"x")</f>
        <v>x</v>
      </c>
      <c r="U2711" s="110" t="s">
        <v>541</v>
      </c>
      <c r="V2711" s="110" t="str">
        <f t="shared" si="88"/>
        <v>FWL</v>
      </c>
      <c r="W2711" s="110" t="s">
        <v>541</v>
      </c>
      <c r="X2711" s="110" t="s">
        <v>541</v>
      </c>
      <c r="Y2711" s="110" t="str">
        <f>IFERROR(VLOOKUP(F2711,'Freq-Chan'!C:E,3,FALSE),"na")</f>
        <v>na</v>
      </c>
      <c r="Z2711" s="110" t="s">
        <v>541</v>
      </c>
      <c r="AA2711" s="110" t="s">
        <v>541</v>
      </c>
      <c r="AB2711" s="110" t="s">
        <v>541</v>
      </c>
      <c r="AC2711" s="10" t="s">
        <v>541</v>
      </c>
      <c r="AD2711" s="10" t="s">
        <v>541</v>
      </c>
    </row>
    <row r="2712" spans="1:30" x14ac:dyDescent="0.2">
      <c r="A2712" s="110">
        <v>2712</v>
      </c>
      <c r="B2712" s="132">
        <v>41865</v>
      </c>
      <c r="C2712" s="117">
        <v>2</v>
      </c>
      <c r="D2712" s="103" t="s">
        <v>71</v>
      </c>
      <c r="E2712" s="103" t="s">
        <v>306</v>
      </c>
      <c r="F2712" s="103">
        <v>534</v>
      </c>
      <c r="G2712" s="103">
        <v>61</v>
      </c>
      <c r="H2712" s="103" t="s">
        <v>2453</v>
      </c>
      <c r="I2712" s="103">
        <v>57</v>
      </c>
      <c r="K2712" s="103" t="s">
        <v>1032</v>
      </c>
      <c r="L2712" s="133"/>
      <c r="M2712" s="134">
        <v>2.9166666666666664E-2</v>
      </c>
      <c r="N2712" s="137" t="s">
        <v>3885</v>
      </c>
      <c r="O2712" s="133" t="s">
        <v>1532</v>
      </c>
      <c r="Q2712" s="100" t="s">
        <v>4219</v>
      </c>
      <c r="R2712" s="226" t="s">
        <v>4253</v>
      </c>
      <c r="S2712" s="491" t="str">
        <f t="shared" si="87"/>
        <v>x</v>
      </c>
      <c r="T2712" s="492">
        <f>IFERROR(VLOOKUP(F2712,'Freq-Chan'!C:D,2,FALSE),"x")</f>
        <v>151.53399999999999</v>
      </c>
      <c r="U2712" s="110" t="s">
        <v>541</v>
      </c>
      <c r="V2712" s="110" t="str">
        <f t="shared" si="88"/>
        <v>FWL</v>
      </c>
      <c r="W2712" s="110" t="s">
        <v>541</v>
      </c>
      <c r="X2712" s="110" t="s">
        <v>541</v>
      </c>
      <c r="Y2712" s="110" t="str">
        <f>IFERROR(VLOOKUP(F2712,'Freq-Chan'!C:E,3,FALSE),"na")</f>
        <v>F1840</v>
      </c>
      <c r="Z2712" s="110" t="s">
        <v>541</v>
      </c>
      <c r="AA2712" s="110" t="s">
        <v>541</v>
      </c>
      <c r="AB2712" s="110" t="s">
        <v>541</v>
      </c>
      <c r="AC2712" s="10" t="s">
        <v>541</v>
      </c>
      <c r="AD2712" s="10" t="s">
        <v>541</v>
      </c>
    </row>
    <row r="2713" spans="1:30" x14ac:dyDescent="0.2">
      <c r="A2713" s="110">
        <v>2713</v>
      </c>
      <c r="B2713" s="132">
        <v>41865</v>
      </c>
      <c r="C2713" s="117">
        <v>2</v>
      </c>
      <c r="D2713" s="103" t="s">
        <v>71</v>
      </c>
      <c r="E2713" s="103" t="s">
        <v>306</v>
      </c>
      <c r="H2713" s="103"/>
      <c r="I2713" s="103">
        <v>55</v>
      </c>
      <c r="K2713" s="103" t="s">
        <v>365</v>
      </c>
      <c r="L2713" s="133"/>
      <c r="M2713" s="134">
        <v>1.6666666666666666E-2</v>
      </c>
      <c r="N2713" s="135" t="s">
        <v>3310</v>
      </c>
      <c r="O2713" s="133" t="s">
        <v>1532</v>
      </c>
      <c r="Q2713" s="100" t="s">
        <v>4219</v>
      </c>
      <c r="R2713" s="226" t="s">
        <v>4253</v>
      </c>
      <c r="S2713" s="491" t="str">
        <f t="shared" si="87"/>
        <v>x</v>
      </c>
      <c r="T2713" s="492" t="str">
        <f>IFERROR(VLOOKUP(F2713,'Freq-Chan'!C:D,2,FALSE),"x")</f>
        <v>x</v>
      </c>
      <c r="U2713" s="110" t="s">
        <v>541</v>
      </c>
      <c r="V2713" s="110" t="str">
        <f t="shared" si="88"/>
        <v>FWL</v>
      </c>
      <c r="W2713" s="110" t="s">
        <v>541</v>
      </c>
      <c r="X2713" s="110" t="s">
        <v>541</v>
      </c>
      <c r="Y2713" s="110" t="str">
        <f>IFERROR(VLOOKUP(F2713,'Freq-Chan'!C:E,3,FALSE),"na")</f>
        <v>na</v>
      </c>
      <c r="Z2713" s="110" t="s">
        <v>541</v>
      </c>
      <c r="AA2713" s="110" t="s">
        <v>541</v>
      </c>
      <c r="AB2713" s="110" t="s">
        <v>541</v>
      </c>
      <c r="AC2713" s="10" t="s">
        <v>541</v>
      </c>
      <c r="AD2713" s="10" t="s">
        <v>541</v>
      </c>
    </row>
    <row r="2714" spans="1:30" x14ac:dyDescent="0.2">
      <c r="A2714" s="110">
        <v>2714</v>
      </c>
      <c r="B2714" s="132">
        <v>41865</v>
      </c>
      <c r="C2714" s="117">
        <v>2</v>
      </c>
      <c r="D2714" s="103" t="s">
        <v>70</v>
      </c>
      <c r="E2714" s="103" t="s">
        <v>306</v>
      </c>
      <c r="H2714" s="103"/>
      <c r="I2714" s="103">
        <v>45</v>
      </c>
      <c r="K2714" s="103" t="s">
        <v>365</v>
      </c>
      <c r="L2714" s="133"/>
      <c r="M2714" s="134">
        <v>9.7222222222222224E-3</v>
      </c>
      <c r="N2714" s="135" t="s">
        <v>4126</v>
      </c>
      <c r="O2714" s="133" t="s">
        <v>1663</v>
      </c>
      <c r="Q2714" s="100" t="s">
        <v>4219</v>
      </c>
      <c r="R2714" s="226" t="s">
        <v>4253</v>
      </c>
      <c r="S2714" s="491" t="str">
        <f t="shared" si="87"/>
        <v>x</v>
      </c>
      <c r="T2714" s="492" t="str">
        <f>IFERROR(VLOOKUP(F2714,'Freq-Chan'!C:D,2,FALSE),"x")</f>
        <v>x</v>
      </c>
      <c r="U2714" s="110" t="s">
        <v>541</v>
      </c>
      <c r="V2714" s="110" t="str">
        <f t="shared" si="88"/>
        <v>FWL</v>
      </c>
      <c r="W2714" s="110" t="s">
        <v>541</v>
      </c>
      <c r="X2714" s="110" t="s">
        <v>541</v>
      </c>
      <c r="Y2714" s="110" t="str">
        <f>IFERROR(VLOOKUP(F2714,'Freq-Chan'!C:E,3,FALSE),"na")</f>
        <v>na</v>
      </c>
      <c r="Z2714" s="110" t="s">
        <v>541</v>
      </c>
      <c r="AA2714" s="110" t="s">
        <v>541</v>
      </c>
      <c r="AB2714" s="110" t="s">
        <v>541</v>
      </c>
      <c r="AC2714" s="10" t="s">
        <v>541</v>
      </c>
      <c r="AD2714" s="10" t="s">
        <v>541</v>
      </c>
    </row>
    <row r="2715" spans="1:30" s="291" customFormat="1" x14ac:dyDescent="0.2">
      <c r="A2715" s="493">
        <v>2715</v>
      </c>
      <c r="B2715" s="283">
        <v>41865</v>
      </c>
      <c r="C2715" s="284">
        <v>2</v>
      </c>
      <c r="D2715" s="285" t="s">
        <v>71</v>
      </c>
      <c r="E2715" s="285" t="s">
        <v>306</v>
      </c>
      <c r="F2715" s="285"/>
      <c r="G2715" s="285"/>
      <c r="H2715" s="285"/>
      <c r="I2715" s="285">
        <v>48</v>
      </c>
      <c r="J2715" s="285"/>
      <c r="K2715" s="285" t="s">
        <v>365</v>
      </c>
      <c r="L2715" s="286"/>
      <c r="M2715" s="287">
        <v>8.3333333333333332E-3</v>
      </c>
      <c r="N2715" s="288" t="s">
        <v>3252</v>
      </c>
      <c r="O2715" s="286" t="s">
        <v>1663</v>
      </c>
      <c r="P2715" s="289"/>
      <c r="Q2715" s="289" t="s">
        <v>4219</v>
      </c>
      <c r="R2715" s="290" t="s">
        <v>4253</v>
      </c>
      <c r="S2715" s="494" t="str">
        <f t="shared" si="87"/>
        <v>x</v>
      </c>
      <c r="T2715" s="495" t="str">
        <f>IFERROR(VLOOKUP(F2715,'Freq-Chan'!C:D,2,FALSE),"x")</f>
        <v>x</v>
      </c>
      <c r="U2715" s="493" t="s">
        <v>541</v>
      </c>
      <c r="V2715" s="493" t="str">
        <f t="shared" si="88"/>
        <v>FWL</v>
      </c>
      <c r="W2715" s="493" t="s">
        <v>541</v>
      </c>
      <c r="X2715" s="493" t="s">
        <v>541</v>
      </c>
      <c r="Y2715" s="493" t="str">
        <f>IFERROR(VLOOKUP(F2715,'Freq-Chan'!C:E,3,FALSE),"na")</f>
        <v>na</v>
      </c>
      <c r="Z2715" s="493" t="s">
        <v>541</v>
      </c>
      <c r="AA2715" s="493" t="s">
        <v>541</v>
      </c>
      <c r="AB2715" s="493" t="s">
        <v>541</v>
      </c>
      <c r="AC2715" s="291" t="s">
        <v>541</v>
      </c>
      <c r="AD2715" s="291" t="s">
        <v>541</v>
      </c>
    </row>
    <row r="2716" spans="1:30" x14ac:dyDescent="0.2">
      <c r="A2716" s="110">
        <v>2716</v>
      </c>
      <c r="B2716" s="132">
        <v>41865</v>
      </c>
      <c r="C2716" s="117">
        <v>3</v>
      </c>
      <c r="D2716" s="103" t="s">
        <v>70</v>
      </c>
      <c r="E2716" s="103" t="s">
        <v>306</v>
      </c>
      <c r="F2716" s="103">
        <v>515</v>
      </c>
      <c r="G2716" s="103">
        <v>73</v>
      </c>
      <c r="H2716" s="103" t="s">
        <v>3131</v>
      </c>
      <c r="I2716" s="103">
        <v>43</v>
      </c>
      <c r="K2716" s="103" t="s">
        <v>365</v>
      </c>
      <c r="L2716" s="133"/>
      <c r="M2716" s="134">
        <v>3.5416666666666666E-2</v>
      </c>
      <c r="N2716" s="135" t="s">
        <v>3770</v>
      </c>
      <c r="O2716" s="133" t="s">
        <v>1663</v>
      </c>
      <c r="Q2716" s="100" t="s">
        <v>4219</v>
      </c>
      <c r="R2716" s="226" t="s">
        <v>4253</v>
      </c>
      <c r="S2716" s="491" t="str">
        <f t="shared" si="87"/>
        <v>x</v>
      </c>
      <c r="T2716" s="492">
        <f>IFERROR(VLOOKUP(F2716,'Freq-Chan'!C:D,2,FALSE),"x")</f>
        <v>151.51499999999999</v>
      </c>
      <c r="U2716" s="110" t="s">
        <v>541</v>
      </c>
      <c r="V2716" s="110" t="str">
        <f t="shared" si="88"/>
        <v>FWL</v>
      </c>
      <c r="W2716" s="110" t="s">
        <v>541</v>
      </c>
      <c r="X2716" s="110" t="s">
        <v>541</v>
      </c>
      <c r="Y2716" s="110" t="str">
        <f>IFERROR(VLOOKUP(F2716,'Freq-Chan'!C:E,3,FALSE),"na")</f>
        <v>F1835</v>
      </c>
      <c r="Z2716" s="110" t="s">
        <v>541</v>
      </c>
      <c r="AA2716" s="110" t="s">
        <v>541</v>
      </c>
      <c r="AB2716" s="110" t="s">
        <v>541</v>
      </c>
      <c r="AC2716" s="10" t="s">
        <v>541</v>
      </c>
      <c r="AD2716" s="10" t="s">
        <v>541</v>
      </c>
    </row>
    <row r="2717" spans="1:30" x14ac:dyDescent="0.2">
      <c r="A2717" s="110">
        <v>2717</v>
      </c>
      <c r="B2717" s="132">
        <v>41865</v>
      </c>
      <c r="C2717" s="117">
        <v>3</v>
      </c>
      <c r="D2717" s="103" t="s">
        <v>71</v>
      </c>
      <c r="E2717" s="103" t="s">
        <v>306</v>
      </c>
      <c r="F2717" s="103">
        <v>564</v>
      </c>
      <c r="G2717" s="103">
        <v>31</v>
      </c>
      <c r="H2717" s="103" t="s">
        <v>2445</v>
      </c>
      <c r="I2717" s="103">
        <v>50</v>
      </c>
      <c r="K2717" s="103" t="s">
        <v>1032</v>
      </c>
      <c r="L2717" s="133">
        <v>0.3743055555555555</v>
      </c>
      <c r="M2717" s="134">
        <v>3.4722222222222224E-2</v>
      </c>
      <c r="N2717" s="135" t="s">
        <v>3351</v>
      </c>
      <c r="O2717" s="133" t="s">
        <v>1663</v>
      </c>
      <c r="Q2717" s="100" t="s">
        <v>4219</v>
      </c>
      <c r="R2717" s="226" t="s">
        <v>4253</v>
      </c>
      <c r="S2717" s="491">
        <f t="shared" si="87"/>
        <v>2.8935185E-3</v>
      </c>
      <c r="T2717" s="492">
        <f>IFERROR(VLOOKUP(F2717,'Freq-Chan'!C:D,2,FALSE),"x")</f>
        <v>151.56399999999999</v>
      </c>
      <c r="U2717" s="110" t="s">
        <v>541</v>
      </c>
      <c r="V2717" s="110" t="str">
        <f t="shared" si="88"/>
        <v>FWL</v>
      </c>
      <c r="W2717" s="110" t="s">
        <v>541</v>
      </c>
      <c r="X2717" s="110" t="s">
        <v>541</v>
      </c>
      <c r="Y2717" s="110" t="str">
        <f>IFERROR(VLOOKUP(F2717,'Freq-Chan'!C:E,3,FALSE),"na")</f>
        <v>F1840</v>
      </c>
      <c r="Z2717" s="110" t="s">
        <v>541</v>
      </c>
      <c r="AA2717" s="110" t="s">
        <v>541</v>
      </c>
      <c r="AB2717" s="110" t="s">
        <v>541</v>
      </c>
      <c r="AC2717" s="10" t="s">
        <v>541</v>
      </c>
      <c r="AD2717" s="10" t="s">
        <v>541</v>
      </c>
    </row>
    <row r="2718" spans="1:30" x14ac:dyDescent="0.2">
      <c r="A2718" s="110">
        <v>2718</v>
      </c>
      <c r="B2718" s="132">
        <v>41865</v>
      </c>
      <c r="C2718" s="117">
        <v>3</v>
      </c>
      <c r="D2718" s="103" t="s">
        <v>70</v>
      </c>
      <c r="E2718" s="103" t="s">
        <v>306</v>
      </c>
      <c r="H2718" s="103"/>
      <c r="I2718" s="103">
        <v>43</v>
      </c>
      <c r="K2718" s="103" t="s">
        <v>365</v>
      </c>
      <c r="L2718" s="133"/>
      <c r="M2718" s="134">
        <v>1.2499999999999999E-2</v>
      </c>
      <c r="N2718" s="135" t="s">
        <v>835</v>
      </c>
      <c r="O2718" s="133" t="s">
        <v>1663</v>
      </c>
      <c r="Q2718" s="100" t="s">
        <v>4219</v>
      </c>
      <c r="R2718" s="226" t="s">
        <v>4253</v>
      </c>
      <c r="S2718" s="491" t="str">
        <f t="shared" si="87"/>
        <v>x</v>
      </c>
      <c r="T2718" s="492" t="str">
        <f>IFERROR(VLOOKUP(F2718,'Freq-Chan'!C:D,2,FALSE),"x")</f>
        <v>x</v>
      </c>
      <c r="U2718" s="110" t="s">
        <v>541</v>
      </c>
      <c r="V2718" s="110" t="str">
        <f t="shared" si="88"/>
        <v>FWL</v>
      </c>
      <c r="W2718" s="110" t="s">
        <v>541</v>
      </c>
      <c r="X2718" s="110" t="s">
        <v>541</v>
      </c>
      <c r="Y2718" s="110" t="str">
        <f>IFERROR(VLOOKUP(F2718,'Freq-Chan'!C:E,3,FALSE),"na")</f>
        <v>na</v>
      </c>
      <c r="Z2718" s="110" t="s">
        <v>541</v>
      </c>
      <c r="AA2718" s="110" t="s">
        <v>541</v>
      </c>
      <c r="AB2718" s="110" t="s">
        <v>541</v>
      </c>
      <c r="AC2718" s="10" t="s">
        <v>541</v>
      </c>
      <c r="AD2718" s="10" t="s">
        <v>541</v>
      </c>
    </row>
    <row r="2719" spans="1:30" x14ac:dyDescent="0.2">
      <c r="A2719" s="110">
        <v>2719</v>
      </c>
      <c r="B2719" s="132">
        <v>41865</v>
      </c>
      <c r="C2719" s="117">
        <v>3</v>
      </c>
      <c r="D2719" s="103" t="s">
        <v>70</v>
      </c>
      <c r="E2719" s="103" t="s">
        <v>306</v>
      </c>
      <c r="H2719" s="103"/>
      <c r="I2719" s="103">
        <v>43</v>
      </c>
      <c r="K2719" s="103" t="s">
        <v>365</v>
      </c>
      <c r="L2719" s="133">
        <v>0.37847222222222227</v>
      </c>
      <c r="M2719" s="134">
        <v>1.4583333333333332E-2</v>
      </c>
      <c r="N2719" s="135" t="s">
        <v>3961</v>
      </c>
      <c r="O2719" s="133" t="s">
        <v>1663</v>
      </c>
      <c r="P2719" s="100" t="s">
        <v>4246</v>
      </c>
      <c r="Q2719" s="100" t="s">
        <v>4219</v>
      </c>
      <c r="R2719" s="226" t="s">
        <v>4253</v>
      </c>
      <c r="S2719" s="491">
        <f t="shared" si="87"/>
        <v>4.5138889999999998E-4</v>
      </c>
      <c r="T2719" s="492" t="str">
        <f>IFERROR(VLOOKUP(F2719,'Freq-Chan'!C:D,2,FALSE),"x")</f>
        <v>x</v>
      </c>
      <c r="U2719" s="110" t="s">
        <v>541</v>
      </c>
      <c r="V2719" s="110" t="str">
        <f t="shared" si="88"/>
        <v>FWL</v>
      </c>
      <c r="W2719" s="110" t="s">
        <v>541</v>
      </c>
      <c r="X2719" s="110" t="s">
        <v>541</v>
      </c>
      <c r="Y2719" s="110" t="str">
        <f>IFERROR(VLOOKUP(F2719,'Freq-Chan'!C:E,3,FALSE),"na")</f>
        <v>na</v>
      </c>
      <c r="Z2719" s="110" t="s">
        <v>541</v>
      </c>
      <c r="AA2719" s="110" t="s">
        <v>541</v>
      </c>
      <c r="AB2719" s="110" t="s">
        <v>541</v>
      </c>
      <c r="AC2719" s="10" t="s">
        <v>541</v>
      </c>
      <c r="AD2719" s="10" t="s">
        <v>541</v>
      </c>
    </row>
    <row r="2720" spans="1:30" x14ac:dyDescent="0.2">
      <c r="A2720" s="110">
        <v>2720</v>
      </c>
      <c r="B2720" s="132">
        <v>41865</v>
      </c>
      <c r="C2720" s="117">
        <v>3</v>
      </c>
      <c r="D2720" s="103" t="s">
        <v>72</v>
      </c>
      <c r="E2720" s="103" t="s">
        <v>306</v>
      </c>
      <c r="F2720" s="103">
        <v>266</v>
      </c>
      <c r="G2720" s="103">
        <v>72</v>
      </c>
      <c r="H2720" s="103" t="s">
        <v>3576</v>
      </c>
      <c r="I2720" s="103">
        <v>49</v>
      </c>
      <c r="K2720" s="103" t="s">
        <v>1032</v>
      </c>
      <c r="L2720" s="133"/>
      <c r="M2720" s="134">
        <v>3.2638888888888891E-2</v>
      </c>
      <c r="N2720" s="135" t="s">
        <v>3384</v>
      </c>
      <c r="O2720" s="133" t="s">
        <v>1532</v>
      </c>
      <c r="P2720" s="100" t="s">
        <v>4466</v>
      </c>
      <c r="Q2720" s="100" t="s">
        <v>4219</v>
      </c>
      <c r="R2720" s="226" t="s">
        <v>4253</v>
      </c>
      <c r="S2720" s="491" t="str">
        <f t="shared" si="87"/>
        <v>x</v>
      </c>
      <c r="T2720" s="492">
        <f>IFERROR(VLOOKUP(F2720,'Freq-Chan'!C:D,2,FALSE),"x")</f>
        <v>151.26599999999999</v>
      </c>
      <c r="U2720" s="110" t="s">
        <v>541</v>
      </c>
      <c r="V2720" s="110" t="str">
        <f t="shared" si="88"/>
        <v>FWL</v>
      </c>
      <c r="W2720" s="110" t="s">
        <v>541</v>
      </c>
      <c r="X2720" s="110" t="s">
        <v>541</v>
      </c>
      <c r="Y2720" s="110" t="str">
        <f>IFERROR(VLOOKUP(F2720,'Freq-Chan'!C:E,3,FALSE),"na")</f>
        <v>F1840</v>
      </c>
      <c r="Z2720" s="110" t="s">
        <v>541</v>
      </c>
      <c r="AA2720" s="110" t="s">
        <v>541</v>
      </c>
      <c r="AB2720" s="110" t="s">
        <v>541</v>
      </c>
      <c r="AC2720" s="10" t="s">
        <v>541</v>
      </c>
      <c r="AD2720" s="10" t="s">
        <v>541</v>
      </c>
    </row>
    <row r="2721" spans="1:30" x14ac:dyDescent="0.2">
      <c r="A2721" s="110">
        <v>2721</v>
      </c>
      <c r="B2721" s="132">
        <v>41865</v>
      </c>
      <c r="C2721" s="117">
        <v>3</v>
      </c>
      <c r="D2721" s="103" t="s">
        <v>70</v>
      </c>
      <c r="E2721" s="103" t="s">
        <v>306</v>
      </c>
      <c r="H2721" s="103"/>
      <c r="I2721" s="103">
        <v>45</v>
      </c>
      <c r="K2721" s="103" t="s">
        <v>365</v>
      </c>
      <c r="L2721" s="133"/>
      <c r="M2721" s="134">
        <v>1.4583333333333332E-2</v>
      </c>
      <c r="N2721" s="137" t="s">
        <v>2591</v>
      </c>
      <c r="O2721" s="133" t="s">
        <v>1532</v>
      </c>
      <c r="Q2721" s="100" t="s">
        <v>4219</v>
      </c>
      <c r="R2721" s="226" t="s">
        <v>4253</v>
      </c>
      <c r="S2721" s="491" t="str">
        <f t="shared" si="87"/>
        <v>x</v>
      </c>
      <c r="T2721" s="492" t="str">
        <f>IFERROR(VLOOKUP(F2721,'Freq-Chan'!C:D,2,FALSE),"x")</f>
        <v>x</v>
      </c>
      <c r="U2721" s="110" t="s">
        <v>541</v>
      </c>
      <c r="V2721" s="110" t="str">
        <f t="shared" si="88"/>
        <v>FWL</v>
      </c>
      <c r="W2721" s="110" t="s">
        <v>541</v>
      </c>
      <c r="X2721" s="110" t="s">
        <v>541</v>
      </c>
      <c r="Y2721" s="110" t="str">
        <f>IFERROR(VLOOKUP(F2721,'Freq-Chan'!C:E,3,FALSE),"na")</f>
        <v>na</v>
      </c>
      <c r="Z2721" s="110" t="s">
        <v>541</v>
      </c>
      <c r="AA2721" s="110" t="s">
        <v>541</v>
      </c>
      <c r="AB2721" s="110" t="s">
        <v>541</v>
      </c>
      <c r="AC2721" s="10" t="s">
        <v>541</v>
      </c>
      <c r="AD2721" s="10" t="s">
        <v>541</v>
      </c>
    </row>
    <row r="2722" spans="1:30" x14ac:dyDescent="0.2">
      <c r="A2722" s="110">
        <v>2722</v>
      </c>
      <c r="B2722" s="132">
        <v>41865</v>
      </c>
      <c r="C2722" s="117">
        <v>3</v>
      </c>
      <c r="D2722" s="103" t="s">
        <v>70</v>
      </c>
      <c r="E2722" s="103" t="s">
        <v>306</v>
      </c>
      <c r="H2722" s="103"/>
      <c r="I2722" s="103">
        <v>44</v>
      </c>
      <c r="K2722" s="103" t="s">
        <v>365</v>
      </c>
      <c r="L2722" s="133"/>
      <c r="M2722" s="134">
        <v>1.3888888888888888E-2</v>
      </c>
      <c r="N2722" s="135" t="s">
        <v>2018</v>
      </c>
      <c r="O2722" s="133" t="s">
        <v>372</v>
      </c>
      <c r="Q2722" s="100" t="s">
        <v>4235</v>
      </c>
      <c r="R2722" s="226" t="s">
        <v>4253</v>
      </c>
      <c r="S2722" s="491" t="str">
        <f t="shared" si="87"/>
        <v>x</v>
      </c>
      <c r="T2722" s="492" t="str">
        <f>IFERROR(VLOOKUP(F2722,'Freq-Chan'!C:D,2,FALSE),"x")</f>
        <v>x</v>
      </c>
      <c r="U2722" s="110" t="s">
        <v>541</v>
      </c>
      <c r="V2722" s="110" t="str">
        <f t="shared" si="88"/>
        <v>FWL</v>
      </c>
      <c r="W2722" s="110" t="s">
        <v>541</v>
      </c>
      <c r="X2722" s="110" t="s">
        <v>541</v>
      </c>
      <c r="Y2722" s="110" t="str">
        <f>IFERROR(VLOOKUP(F2722,'Freq-Chan'!C:E,3,FALSE),"na")</f>
        <v>na</v>
      </c>
      <c r="Z2722" s="110" t="s">
        <v>541</v>
      </c>
      <c r="AA2722" s="110" t="s">
        <v>541</v>
      </c>
      <c r="AB2722" s="110" t="s">
        <v>541</v>
      </c>
      <c r="AC2722" s="10" t="s">
        <v>541</v>
      </c>
      <c r="AD2722" s="10" t="s">
        <v>541</v>
      </c>
    </row>
    <row r="2723" spans="1:30" x14ac:dyDescent="0.2">
      <c r="A2723" s="110">
        <v>2723</v>
      </c>
      <c r="B2723" s="132">
        <v>41865</v>
      </c>
      <c r="C2723" s="117">
        <v>3</v>
      </c>
      <c r="D2723" s="103" t="s">
        <v>70</v>
      </c>
      <c r="E2723" s="103" t="s">
        <v>306</v>
      </c>
      <c r="H2723" s="103"/>
      <c r="I2723" s="103">
        <v>37</v>
      </c>
      <c r="K2723" s="103" t="s">
        <v>1032</v>
      </c>
      <c r="L2723" s="133"/>
      <c r="M2723" s="134">
        <v>1.4583333333333332E-2</v>
      </c>
      <c r="N2723" s="137" t="s">
        <v>3834</v>
      </c>
      <c r="O2723" s="133" t="s">
        <v>372</v>
      </c>
      <c r="P2723" s="100" t="s">
        <v>4247</v>
      </c>
      <c r="Q2723" s="100" t="s">
        <v>4235</v>
      </c>
      <c r="R2723" s="226" t="s">
        <v>4253</v>
      </c>
      <c r="S2723" s="491" t="str">
        <f t="shared" si="87"/>
        <v>x</v>
      </c>
      <c r="T2723" s="492" t="str">
        <f>IFERROR(VLOOKUP(F2723,'Freq-Chan'!C:D,2,FALSE),"x")</f>
        <v>x</v>
      </c>
      <c r="U2723" s="110" t="s">
        <v>541</v>
      </c>
      <c r="V2723" s="110" t="str">
        <f t="shared" si="88"/>
        <v>FWL</v>
      </c>
      <c r="W2723" s="110" t="s">
        <v>541</v>
      </c>
      <c r="X2723" s="110" t="s">
        <v>541</v>
      </c>
      <c r="Y2723" s="110" t="str">
        <f>IFERROR(VLOOKUP(F2723,'Freq-Chan'!C:E,3,FALSE),"na")</f>
        <v>na</v>
      </c>
      <c r="Z2723" s="110" t="s">
        <v>541</v>
      </c>
      <c r="AA2723" s="110" t="s">
        <v>541</v>
      </c>
      <c r="AB2723" s="110" t="s">
        <v>541</v>
      </c>
      <c r="AC2723" s="10" t="s">
        <v>541</v>
      </c>
      <c r="AD2723" s="10" t="s">
        <v>541</v>
      </c>
    </row>
    <row r="2724" spans="1:30" x14ac:dyDescent="0.2">
      <c r="A2724" s="110">
        <v>2724</v>
      </c>
      <c r="B2724" s="132">
        <v>41865</v>
      </c>
      <c r="C2724" s="117">
        <v>3</v>
      </c>
      <c r="D2724" s="103" t="s">
        <v>70</v>
      </c>
      <c r="E2724" s="103" t="s">
        <v>306</v>
      </c>
      <c r="H2724" s="103"/>
      <c r="I2724" s="103">
        <v>44</v>
      </c>
      <c r="K2724" s="103" t="s">
        <v>1032</v>
      </c>
      <c r="L2724" s="133"/>
      <c r="M2724" s="134">
        <v>1.4583333333333332E-2</v>
      </c>
      <c r="N2724" s="137" t="s">
        <v>3212</v>
      </c>
      <c r="O2724" s="133" t="s">
        <v>372</v>
      </c>
      <c r="Q2724" s="100" t="s">
        <v>4235</v>
      </c>
      <c r="R2724" s="226" t="s">
        <v>4253</v>
      </c>
      <c r="S2724" s="491" t="str">
        <f t="shared" si="87"/>
        <v>x</v>
      </c>
      <c r="T2724" s="492" t="str">
        <f>IFERROR(VLOOKUP(F2724,'Freq-Chan'!C:D,2,FALSE),"x")</f>
        <v>x</v>
      </c>
      <c r="U2724" s="110" t="s">
        <v>541</v>
      </c>
      <c r="V2724" s="110" t="str">
        <f t="shared" si="88"/>
        <v>FWL</v>
      </c>
      <c r="W2724" s="110" t="s">
        <v>541</v>
      </c>
      <c r="X2724" s="110" t="s">
        <v>541</v>
      </c>
      <c r="Y2724" s="110" t="str">
        <f>IFERROR(VLOOKUP(F2724,'Freq-Chan'!C:E,3,FALSE),"na")</f>
        <v>na</v>
      </c>
      <c r="Z2724" s="110" t="s">
        <v>541</v>
      </c>
      <c r="AA2724" s="110" t="s">
        <v>541</v>
      </c>
      <c r="AB2724" s="110" t="s">
        <v>541</v>
      </c>
      <c r="AC2724" s="10" t="s">
        <v>541</v>
      </c>
      <c r="AD2724" s="10" t="s">
        <v>541</v>
      </c>
    </row>
    <row r="2725" spans="1:30" x14ac:dyDescent="0.2">
      <c r="A2725" s="110">
        <v>2725</v>
      </c>
      <c r="B2725" s="132">
        <v>41865</v>
      </c>
      <c r="C2725" s="117">
        <v>3</v>
      </c>
      <c r="D2725" s="103" t="s">
        <v>71</v>
      </c>
      <c r="E2725" s="103" t="s">
        <v>306</v>
      </c>
      <c r="F2725" s="103">
        <v>534</v>
      </c>
      <c r="G2725" s="103">
        <v>68</v>
      </c>
      <c r="H2725" s="103" t="s">
        <v>2442</v>
      </c>
      <c r="I2725" s="103">
        <v>58</v>
      </c>
      <c r="K2725" s="103" t="s">
        <v>1032</v>
      </c>
      <c r="L2725" s="133"/>
      <c r="M2725" s="134">
        <v>5.486111111111111E-2</v>
      </c>
      <c r="N2725" s="135" t="s">
        <v>2935</v>
      </c>
      <c r="O2725" s="133" t="s">
        <v>372</v>
      </c>
      <c r="Q2725" s="100" t="s">
        <v>4235</v>
      </c>
      <c r="R2725" s="226" t="s">
        <v>4253</v>
      </c>
      <c r="S2725" s="491" t="str">
        <f t="shared" si="87"/>
        <v>x</v>
      </c>
      <c r="T2725" s="492">
        <f>IFERROR(VLOOKUP(F2725,'Freq-Chan'!C:D,2,FALSE),"x")</f>
        <v>151.53399999999999</v>
      </c>
      <c r="U2725" s="110" t="s">
        <v>541</v>
      </c>
      <c r="V2725" s="110" t="str">
        <f t="shared" si="88"/>
        <v>FWL</v>
      </c>
      <c r="W2725" s="110" t="s">
        <v>541</v>
      </c>
      <c r="X2725" s="110" t="s">
        <v>541</v>
      </c>
      <c r="Y2725" s="110" t="str">
        <f>IFERROR(VLOOKUP(F2725,'Freq-Chan'!C:E,3,FALSE),"na")</f>
        <v>F1840</v>
      </c>
      <c r="Z2725" s="110" t="s">
        <v>541</v>
      </c>
      <c r="AA2725" s="110" t="s">
        <v>541</v>
      </c>
      <c r="AB2725" s="110" t="s">
        <v>541</v>
      </c>
      <c r="AC2725" s="10" t="s">
        <v>541</v>
      </c>
      <c r="AD2725" s="10" t="s">
        <v>541</v>
      </c>
    </row>
    <row r="2726" spans="1:30" x14ac:dyDescent="0.2">
      <c r="A2726" s="110">
        <v>2726</v>
      </c>
      <c r="B2726" s="132">
        <v>41865</v>
      </c>
      <c r="C2726" s="117">
        <v>3</v>
      </c>
      <c r="D2726" s="103" t="s">
        <v>70</v>
      </c>
      <c r="E2726" s="103" t="s">
        <v>306</v>
      </c>
      <c r="H2726" s="103"/>
      <c r="I2726" s="103">
        <v>46</v>
      </c>
      <c r="K2726" s="103" t="s">
        <v>365</v>
      </c>
      <c r="L2726" s="133"/>
      <c r="M2726" s="134">
        <v>1.4583333333333332E-2</v>
      </c>
      <c r="N2726" s="137" t="s">
        <v>2048</v>
      </c>
      <c r="O2726" s="133" t="s">
        <v>372</v>
      </c>
      <c r="Q2726" s="100" t="s">
        <v>4235</v>
      </c>
      <c r="R2726" s="226" t="s">
        <v>4253</v>
      </c>
      <c r="S2726" s="491" t="str">
        <f t="shared" si="87"/>
        <v>x</v>
      </c>
      <c r="T2726" s="492" t="str">
        <f>IFERROR(VLOOKUP(F2726,'Freq-Chan'!C:D,2,FALSE),"x")</f>
        <v>x</v>
      </c>
      <c r="U2726" s="110" t="s">
        <v>541</v>
      </c>
      <c r="V2726" s="110" t="str">
        <f t="shared" si="88"/>
        <v>FWL</v>
      </c>
      <c r="W2726" s="110" t="s">
        <v>541</v>
      </c>
      <c r="X2726" s="110" t="s">
        <v>541</v>
      </c>
      <c r="Y2726" s="110" t="str">
        <f>IFERROR(VLOOKUP(F2726,'Freq-Chan'!C:E,3,FALSE),"na")</f>
        <v>na</v>
      </c>
      <c r="Z2726" s="110" t="s">
        <v>541</v>
      </c>
      <c r="AA2726" s="110" t="s">
        <v>541</v>
      </c>
      <c r="AB2726" s="110" t="s">
        <v>541</v>
      </c>
      <c r="AC2726" s="10" t="s">
        <v>541</v>
      </c>
      <c r="AD2726" s="10" t="s">
        <v>541</v>
      </c>
    </row>
    <row r="2727" spans="1:30" x14ac:dyDescent="0.2">
      <c r="A2727" s="110">
        <v>2727</v>
      </c>
      <c r="B2727" s="132">
        <v>41865</v>
      </c>
      <c r="C2727" s="117">
        <v>3</v>
      </c>
      <c r="D2727" s="103" t="s">
        <v>70</v>
      </c>
      <c r="E2727" s="103" t="s">
        <v>306</v>
      </c>
      <c r="H2727" s="103"/>
      <c r="I2727" s="103">
        <v>43</v>
      </c>
      <c r="K2727" s="103" t="s">
        <v>365</v>
      </c>
      <c r="L2727" s="133"/>
      <c r="M2727" s="134">
        <v>1.3888888888888888E-2</v>
      </c>
      <c r="N2727" s="135" t="s">
        <v>765</v>
      </c>
      <c r="O2727" s="133" t="s">
        <v>372</v>
      </c>
      <c r="Q2727" s="100" t="s">
        <v>4235</v>
      </c>
      <c r="R2727" s="226" t="s">
        <v>4253</v>
      </c>
      <c r="S2727" s="491" t="str">
        <f t="shared" si="87"/>
        <v>x</v>
      </c>
      <c r="T2727" s="492" t="str">
        <f>IFERROR(VLOOKUP(F2727,'Freq-Chan'!C:D,2,FALSE),"x")</f>
        <v>x</v>
      </c>
      <c r="U2727" s="110" t="s">
        <v>541</v>
      </c>
      <c r="V2727" s="110" t="str">
        <f t="shared" si="88"/>
        <v>FWL</v>
      </c>
      <c r="W2727" s="110" t="s">
        <v>541</v>
      </c>
      <c r="X2727" s="110" t="s">
        <v>541</v>
      </c>
      <c r="Y2727" s="110" t="str">
        <f>IFERROR(VLOOKUP(F2727,'Freq-Chan'!C:E,3,FALSE),"na")</f>
        <v>na</v>
      </c>
      <c r="Z2727" s="110" t="s">
        <v>541</v>
      </c>
      <c r="AA2727" s="110" t="s">
        <v>541</v>
      </c>
      <c r="AB2727" s="110" t="s">
        <v>541</v>
      </c>
      <c r="AC2727" s="10" t="s">
        <v>541</v>
      </c>
      <c r="AD2727" s="10" t="s">
        <v>541</v>
      </c>
    </row>
    <row r="2728" spans="1:30" x14ac:dyDescent="0.2">
      <c r="A2728" s="110">
        <v>2728</v>
      </c>
      <c r="B2728" s="132">
        <v>41865</v>
      </c>
      <c r="C2728" s="117">
        <v>3</v>
      </c>
      <c r="D2728" s="103" t="s">
        <v>70</v>
      </c>
      <c r="E2728" s="103" t="s">
        <v>306</v>
      </c>
      <c r="H2728" s="103"/>
      <c r="I2728" s="103">
        <v>46</v>
      </c>
      <c r="K2728" s="103" t="s">
        <v>365</v>
      </c>
      <c r="L2728" s="133"/>
      <c r="M2728" s="134">
        <v>1.3888888888888888E-2</v>
      </c>
      <c r="N2728" s="137" t="s">
        <v>3904</v>
      </c>
      <c r="O2728" s="133" t="s">
        <v>372</v>
      </c>
      <c r="Q2728" s="100" t="s">
        <v>4235</v>
      </c>
      <c r="R2728" s="226" t="s">
        <v>4253</v>
      </c>
      <c r="S2728" s="491" t="str">
        <f t="shared" si="87"/>
        <v>x</v>
      </c>
      <c r="T2728" s="492" t="str">
        <f>IFERROR(VLOOKUP(F2728,'Freq-Chan'!C:D,2,FALSE),"x")</f>
        <v>x</v>
      </c>
      <c r="U2728" s="110" t="s">
        <v>541</v>
      </c>
      <c r="V2728" s="110" t="str">
        <f t="shared" si="88"/>
        <v>FWL</v>
      </c>
      <c r="W2728" s="110" t="s">
        <v>541</v>
      </c>
      <c r="X2728" s="110" t="s">
        <v>541</v>
      </c>
      <c r="Y2728" s="110" t="str">
        <f>IFERROR(VLOOKUP(F2728,'Freq-Chan'!C:E,3,FALSE),"na")</f>
        <v>na</v>
      </c>
      <c r="Z2728" s="110" t="s">
        <v>541</v>
      </c>
      <c r="AA2728" s="110" t="s">
        <v>541</v>
      </c>
      <c r="AB2728" s="110" t="s">
        <v>541</v>
      </c>
      <c r="AC2728" s="10" t="s">
        <v>541</v>
      </c>
      <c r="AD2728" s="10" t="s">
        <v>541</v>
      </c>
    </row>
    <row r="2729" spans="1:30" x14ac:dyDescent="0.2">
      <c r="A2729" s="110">
        <v>2729</v>
      </c>
      <c r="B2729" s="132">
        <v>41865</v>
      </c>
      <c r="C2729" s="117">
        <v>3</v>
      </c>
      <c r="D2729" s="103" t="s">
        <v>70</v>
      </c>
      <c r="E2729" s="103" t="s">
        <v>306</v>
      </c>
      <c r="H2729" s="103"/>
      <c r="I2729" s="103">
        <v>37</v>
      </c>
      <c r="K2729" s="103" t="s">
        <v>365</v>
      </c>
      <c r="L2729" s="133"/>
      <c r="M2729" s="134">
        <v>1.9444444444444445E-2</v>
      </c>
      <c r="N2729" s="135" t="s">
        <v>3357</v>
      </c>
      <c r="O2729" s="133" t="s">
        <v>372</v>
      </c>
      <c r="Q2729" s="100" t="s">
        <v>4235</v>
      </c>
      <c r="R2729" s="226" t="s">
        <v>4253</v>
      </c>
      <c r="S2729" s="491" t="str">
        <f t="shared" si="87"/>
        <v>x</v>
      </c>
      <c r="T2729" s="492" t="str">
        <f>IFERROR(VLOOKUP(F2729,'Freq-Chan'!C:D,2,FALSE),"x")</f>
        <v>x</v>
      </c>
      <c r="U2729" s="110" t="s">
        <v>541</v>
      </c>
      <c r="V2729" s="110" t="str">
        <f t="shared" si="88"/>
        <v>FWL</v>
      </c>
      <c r="W2729" s="110" t="s">
        <v>541</v>
      </c>
      <c r="X2729" s="110" t="s">
        <v>541</v>
      </c>
      <c r="Y2729" s="110" t="str">
        <f>IFERROR(VLOOKUP(F2729,'Freq-Chan'!C:E,3,FALSE),"na")</f>
        <v>na</v>
      </c>
      <c r="Z2729" s="110" t="s">
        <v>541</v>
      </c>
      <c r="AA2729" s="110" t="s">
        <v>541</v>
      </c>
      <c r="AB2729" s="110" t="s">
        <v>541</v>
      </c>
      <c r="AC2729" s="10" t="s">
        <v>541</v>
      </c>
      <c r="AD2729" s="10" t="s">
        <v>541</v>
      </c>
    </row>
    <row r="2730" spans="1:30" x14ac:dyDescent="0.2">
      <c r="A2730" s="110">
        <v>2730</v>
      </c>
      <c r="B2730" s="132">
        <v>41865</v>
      </c>
      <c r="C2730" s="117">
        <v>3</v>
      </c>
      <c r="D2730" s="103" t="s">
        <v>70</v>
      </c>
      <c r="E2730" s="103" t="s">
        <v>306</v>
      </c>
      <c r="H2730" s="103"/>
      <c r="I2730" s="103">
        <v>47</v>
      </c>
      <c r="K2730" s="103" t="s">
        <v>365</v>
      </c>
      <c r="L2730" s="133"/>
      <c r="M2730" s="134">
        <v>1.7361111111111112E-2</v>
      </c>
      <c r="N2730" s="137" t="s">
        <v>3931</v>
      </c>
      <c r="O2730" s="133" t="s">
        <v>1888</v>
      </c>
      <c r="Q2730" s="100" t="s">
        <v>4235</v>
      </c>
      <c r="R2730" s="226" t="s">
        <v>4253</v>
      </c>
      <c r="S2730" s="491" t="str">
        <f t="shared" si="87"/>
        <v>x</v>
      </c>
      <c r="T2730" s="492" t="str">
        <f>IFERROR(VLOOKUP(F2730,'Freq-Chan'!C:D,2,FALSE),"x")</f>
        <v>x</v>
      </c>
      <c r="U2730" s="110" t="s">
        <v>541</v>
      </c>
      <c r="V2730" s="110" t="str">
        <f t="shared" si="88"/>
        <v>FWL</v>
      </c>
      <c r="W2730" s="110" t="s">
        <v>541</v>
      </c>
      <c r="X2730" s="110" t="s">
        <v>541</v>
      </c>
      <c r="Y2730" s="110" t="str">
        <f>IFERROR(VLOOKUP(F2730,'Freq-Chan'!C:E,3,FALSE),"na")</f>
        <v>na</v>
      </c>
      <c r="Z2730" s="110" t="s">
        <v>541</v>
      </c>
      <c r="AA2730" s="110" t="s">
        <v>541</v>
      </c>
      <c r="AB2730" s="110" t="s">
        <v>541</v>
      </c>
      <c r="AC2730" s="10" t="s">
        <v>541</v>
      </c>
      <c r="AD2730" s="10" t="s">
        <v>541</v>
      </c>
    </row>
    <row r="2731" spans="1:30" x14ac:dyDescent="0.2">
      <c r="A2731" s="110">
        <v>2731</v>
      </c>
      <c r="B2731" s="132">
        <v>41865</v>
      </c>
      <c r="C2731" s="117">
        <v>3</v>
      </c>
      <c r="D2731" s="103" t="s">
        <v>70</v>
      </c>
      <c r="E2731" s="103" t="s">
        <v>306</v>
      </c>
      <c r="H2731" s="103"/>
      <c r="I2731" s="103">
        <v>46</v>
      </c>
      <c r="K2731" s="103" t="s">
        <v>1032</v>
      </c>
      <c r="L2731" s="133"/>
      <c r="M2731" s="134">
        <v>1.8749999999999999E-2</v>
      </c>
      <c r="N2731" s="135" t="s">
        <v>3258</v>
      </c>
      <c r="O2731" s="133" t="s">
        <v>1888</v>
      </c>
      <c r="Q2731" s="100" t="s">
        <v>4235</v>
      </c>
      <c r="R2731" s="226" t="s">
        <v>4253</v>
      </c>
      <c r="S2731" s="491" t="str">
        <f t="shared" si="87"/>
        <v>x</v>
      </c>
      <c r="T2731" s="492" t="str">
        <f>IFERROR(VLOOKUP(F2731,'Freq-Chan'!C:D,2,FALSE),"x")</f>
        <v>x</v>
      </c>
      <c r="U2731" s="110" t="s">
        <v>541</v>
      </c>
      <c r="V2731" s="110" t="str">
        <f t="shared" si="88"/>
        <v>FWL</v>
      </c>
      <c r="W2731" s="110" t="s">
        <v>541</v>
      </c>
      <c r="X2731" s="110" t="s">
        <v>541</v>
      </c>
      <c r="Y2731" s="110" t="str">
        <f>IFERROR(VLOOKUP(F2731,'Freq-Chan'!C:E,3,FALSE),"na")</f>
        <v>na</v>
      </c>
      <c r="Z2731" s="110" t="s">
        <v>541</v>
      </c>
      <c r="AA2731" s="110" t="s">
        <v>541</v>
      </c>
      <c r="AB2731" s="110" t="s">
        <v>541</v>
      </c>
      <c r="AC2731" s="10" t="s">
        <v>541</v>
      </c>
      <c r="AD2731" s="10" t="s">
        <v>541</v>
      </c>
    </row>
    <row r="2732" spans="1:30" x14ac:dyDescent="0.2">
      <c r="A2732" s="110">
        <v>2732</v>
      </c>
      <c r="B2732" s="132">
        <v>41865</v>
      </c>
      <c r="C2732" s="117">
        <v>3</v>
      </c>
      <c r="D2732" s="103" t="s">
        <v>70</v>
      </c>
      <c r="E2732" s="103" t="s">
        <v>306</v>
      </c>
      <c r="H2732" s="103"/>
      <c r="I2732" s="103">
        <v>45</v>
      </c>
      <c r="K2732" s="103" t="s">
        <v>365</v>
      </c>
      <c r="L2732" s="133"/>
      <c r="M2732" s="134">
        <v>2.2222222222222223E-2</v>
      </c>
      <c r="N2732" s="137" t="s">
        <v>3983</v>
      </c>
      <c r="O2732" s="133" t="s">
        <v>1888</v>
      </c>
      <c r="Q2732" s="100" t="s">
        <v>4235</v>
      </c>
      <c r="R2732" s="226" t="s">
        <v>4253</v>
      </c>
      <c r="S2732" s="491" t="str">
        <f t="shared" si="87"/>
        <v>x</v>
      </c>
      <c r="T2732" s="492" t="str">
        <f>IFERROR(VLOOKUP(F2732,'Freq-Chan'!C:D,2,FALSE),"x")</f>
        <v>x</v>
      </c>
      <c r="U2732" s="110" t="s">
        <v>541</v>
      </c>
      <c r="V2732" s="110" t="str">
        <f t="shared" si="88"/>
        <v>FWL</v>
      </c>
      <c r="W2732" s="110" t="s">
        <v>541</v>
      </c>
      <c r="X2732" s="110" t="s">
        <v>541</v>
      </c>
      <c r="Y2732" s="110" t="str">
        <f>IFERROR(VLOOKUP(F2732,'Freq-Chan'!C:E,3,FALSE),"na")</f>
        <v>na</v>
      </c>
      <c r="Z2732" s="110" t="s">
        <v>541</v>
      </c>
      <c r="AA2732" s="110" t="s">
        <v>541</v>
      </c>
      <c r="AB2732" s="110" t="s">
        <v>541</v>
      </c>
      <c r="AC2732" s="10" t="s">
        <v>541</v>
      </c>
      <c r="AD2732" s="10" t="s">
        <v>541</v>
      </c>
    </row>
    <row r="2733" spans="1:30" x14ac:dyDescent="0.2">
      <c r="A2733" s="110">
        <v>2733</v>
      </c>
      <c r="B2733" s="132">
        <v>41865</v>
      </c>
      <c r="C2733" s="117">
        <v>3</v>
      </c>
      <c r="D2733" s="103" t="s">
        <v>71</v>
      </c>
      <c r="E2733" s="103" t="s">
        <v>306</v>
      </c>
      <c r="H2733" s="103"/>
      <c r="I2733" s="103">
        <v>62</v>
      </c>
      <c r="K2733" s="103" t="s">
        <v>1032</v>
      </c>
      <c r="L2733" s="133"/>
      <c r="M2733" s="134">
        <v>2.0833333333333332E-2</v>
      </c>
      <c r="N2733" s="135" t="s">
        <v>2780</v>
      </c>
      <c r="O2733" s="133" t="s">
        <v>1888</v>
      </c>
      <c r="Q2733" s="100" t="s">
        <v>4235</v>
      </c>
      <c r="R2733" s="226" t="s">
        <v>4253</v>
      </c>
      <c r="S2733" s="491" t="str">
        <f t="shared" si="87"/>
        <v>x</v>
      </c>
      <c r="T2733" s="492" t="str">
        <f>IFERROR(VLOOKUP(F2733,'Freq-Chan'!C:D,2,FALSE),"x")</f>
        <v>x</v>
      </c>
      <c r="U2733" s="110" t="s">
        <v>541</v>
      </c>
      <c r="V2733" s="110" t="str">
        <f t="shared" si="88"/>
        <v>FWL</v>
      </c>
      <c r="W2733" s="110" t="s">
        <v>541</v>
      </c>
      <c r="X2733" s="110" t="s">
        <v>541</v>
      </c>
      <c r="Y2733" s="110" t="str">
        <f>IFERROR(VLOOKUP(F2733,'Freq-Chan'!C:E,3,FALSE),"na")</f>
        <v>na</v>
      </c>
      <c r="Z2733" s="110" t="s">
        <v>541</v>
      </c>
      <c r="AA2733" s="110" t="s">
        <v>541</v>
      </c>
      <c r="AB2733" s="110" t="s">
        <v>541</v>
      </c>
      <c r="AC2733" s="10" t="s">
        <v>541</v>
      </c>
      <c r="AD2733" s="10" t="s">
        <v>541</v>
      </c>
    </row>
    <row r="2734" spans="1:30" x14ac:dyDescent="0.2">
      <c r="A2734" s="110">
        <v>2734</v>
      </c>
      <c r="B2734" s="132">
        <v>41865</v>
      </c>
      <c r="C2734" s="117">
        <v>3</v>
      </c>
      <c r="D2734" s="103" t="s">
        <v>72</v>
      </c>
      <c r="E2734" s="103" t="s">
        <v>306</v>
      </c>
      <c r="F2734" s="103">
        <v>325</v>
      </c>
      <c r="G2734" s="103">
        <v>80</v>
      </c>
      <c r="H2734" s="103" t="s">
        <v>3577</v>
      </c>
      <c r="I2734" s="103">
        <v>52</v>
      </c>
      <c r="K2734" s="103" t="s">
        <v>364</v>
      </c>
      <c r="L2734" s="133"/>
      <c r="M2734" s="134">
        <v>4.027777777777778E-2</v>
      </c>
      <c r="N2734" s="137" t="s">
        <v>4114</v>
      </c>
      <c r="O2734" s="133" t="s">
        <v>372</v>
      </c>
      <c r="Q2734" s="100" t="s">
        <v>4235</v>
      </c>
      <c r="R2734" s="226" t="s">
        <v>4253</v>
      </c>
      <c r="S2734" s="491" t="str">
        <f t="shared" si="87"/>
        <v>x</v>
      </c>
      <c r="T2734" s="492">
        <f>IFERROR(VLOOKUP(F2734,'Freq-Chan'!C:D,2,FALSE),"x")</f>
        <v>151.32499999999999</v>
      </c>
      <c r="U2734" s="110" t="s">
        <v>541</v>
      </c>
      <c r="V2734" s="110" t="str">
        <f t="shared" si="88"/>
        <v>FWL</v>
      </c>
      <c r="W2734" s="110" t="s">
        <v>541</v>
      </c>
      <c r="X2734" s="110" t="s">
        <v>541</v>
      </c>
      <c r="Y2734" s="110" t="str">
        <f>IFERROR(VLOOKUP(F2734,'Freq-Chan'!C:E,3,FALSE),"na")</f>
        <v>F1840</v>
      </c>
      <c r="Z2734" s="110" t="s">
        <v>541</v>
      </c>
      <c r="AA2734" s="110" t="s">
        <v>541</v>
      </c>
      <c r="AB2734" s="110" t="s">
        <v>541</v>
      </c>
      <c r="AC2734" s="10" t="s">
        <v>541</v>
      </c>
      <c r="AD2734" s="10" t="s">
        <v>541</v>
      </c>
    </row>
    <row r="2735" spans="1:30" x14ac:dyDescent="0.2">
      <c r="A2735" s="110">
        <v>2735</v>
      </c>
      <c r="B2735" s="132">
        <v>41865</v>
      </c>
      <c r="C2735" s="117">
        <v>3</v>
      </c>
      <c r="D2735" s="103" t="s">
        <v>71</v>
      </c>
      <c r="E2735" s="103" t="s">
        <v>306</v>
      </c>
      <c r="H2735" s="103"/>
      <c r="I2735" s="103">
        <v>58</v>
      </c>
      <c r="K2735" s="103" t="s">
        <v>1032</v>
      </c>
      <c r="L2735" s="133"/>
      <c r="M2735" s="134">
        <v>1.5972222222222224E-2</v>
      </c>
      <c r="N2735" s="135" t="s">
        <v>769</v>
      </c>
      <c r="O2735" s="133" t="s">
        <v>372</v>
      </c>
      <c r="Q2735" s="100" t="s">
        <v>4235</v>
      </c>
      <c r="R2735" s="226" t="s">
        <v>4253</v>
      </c>
      <c r="S2735" s="491" t="str">
        <f t="shared" si="87"/>
        <v>x</v>
      </c>
      <c r="T2735" s="492" t="str">
        <f>IFERROR(VLOOKUP(F2735,'Freq-Chan'!C:D,2,FALSE),"x")</f>
        <v>x</v>
      </c>
      <c r="U2735" s="110" t="s">
        <v>541</v>
      </c>
      <c r="V2735" s="110" t="str">
        <f t="shared" si="88"/>
        <v>FWL</v>
      </c>
      <c r="W2735" s="110" t="s">
        <v>541</v>
      </c>
      <c r="X2735" s="110" t="s">
        <v>541</v>
      </c>
      <c r="Y2735" s="110" t="str">
        <f>IFERROR(VLOOKUP(F2735,'Freq-Chan'!C:E,3,FALSE),"na")</f>
        <v>na</v>
      </c>
      <c r="Z2735" s="110" t="s">
        <v>541</v>
      </c>
      <c r="AA2735" s="110" t="s">
        <v>541</v>
      </c>
      <c r="AB2735" s="110" t="s">
        <v>541</v>
      </c>
      <c r="AC2735" s="10" t="s">
        <v>541</v>
      </c>
      <c r="AD2735" s="10" t="s">
        <v>541</v>
      </c>
    </row>
    <row r="2736" spans="1:30" x14ac:dyDescent="0.2">
      <c r="A2736" s="110">
        <v>2736</v>
      </c>
      <c r="B2736" s="132">
        <v>41865</v>
      </c>
      <c r="C2736" s="117">
        <v>3</v>
      </c>
      <c r="D2736" s="103" t="s">
        <v>70</v>
      </c>
      <c r="E2736" s="103" t="s">
        <v>306</v>
      </c>
      <c r="H2736" s="103"/>
      <c r="I2736" s="103">
        <v>45</v>
      </c>
      <c r="K2736" s="103" t="s">
        <v>365</v>
      </c>
      <c r="L2736" s="133"/>
      <c r="M2736" s="134">
        <v>1.2499999999999999E-2</v>
      </c>
      <c r="N2736" s="137" t="s">
        <v>4197</v>
      </c>
      <c r="O2736" s="133" t="s">
        <v>372</v>
      </c>
      <c r="Q2736" s="100" t="s">
        <v>4235</v>
      </c>
      <c r="R2736" s="226" t="s">
        <v>4253</v>
      </c>
      <c r="S2736" s="491" t="str">
        <f t="shared" si="87"/>
        <v>x</v>
      </c>
      <c r="T2736" s="492" t="str">
        <f>IFERROR(VLOOKUP(F2736,'Freq-Chan'!C:D,2,FALSE),"x")</f>
        <v>x</v>
      </c>
      <c r="U2736" s="110" t="s">
        <v>541</v>
      </c>
      <c r="V2736" s="110" t="str">
        <f t="shared" si="88"/>
        <v>FWL</v>
      </c>
      <c r="W2736" s="110" t="s">
        <v>541</v>
      </c>
      <c r="X2736" s="110" t="s">
        <v>541</v>
      </c>
      <c r="Y2736" s="110" t="str">
        <f>IFERROR(VLOOKUP(F2736,'Freq-Chan'!C:E,3,FALSE),"na")</f>
        <v>na</v>
      </c>
      <c r="Z2736" s="110" t="s">
        <v>541</v>
      </c>
      <c r="AA2736" s="110" t="s">
        <v>541</v>
      </c>
      <c r="AB2736" s="110" t="s">
        <v>541</v>
      </c>
      <c r="AC2736" s="10" t="s">
        <v>541</v>
      </c>
      <c r="AD2736" s="10" t="s">
        <v>541</v>
      </c>
    </row>
    <row r="2737" spans="1:30" x14ac:dyDescent="0.2">
      <c r="A2737" s="110">
        <v>2737</v>
      </c>
      <c r="B2737" s="132">
        <v>41865</v>
      </c>
      <c r="C2737" s="117">
        <v>3</v>
      </c>
      <c r="D2737" s="103" t="s">
        <v>72</v>
      </c>
      <c r="E2737" s="103" t="s">
        <v>306</v>
      </c>
      <c r="F2737" s="103">
        <v>325</v>
      </c>
      <c r="G2737" s="103">
        <v>61</v>
      </c>
      <c r="H2737" s="103" t="s">
        <v>3578</v>
      </c>
      <c r="I2737" s="103">
        <v>55</v>
      </c>
      <c r="K2737" s="103" t="s">
        <v>365</v>
      </c>
      <c r="L2737" s="133"/>
      <c r="M2737" s="134">
        <v>4.9305555555555554E-2</v>
      </c>
      <c r="N2737" s="135" t="s">
        <v>3237</v>
      </c>
      <c r="O2737" s="133" t="s">
        <v>1888</v>
      </c>
      <c r="Q2737" s="100" t="s">
        <v>4235</v>
      </c>
      <c r="R2737" s="226" t="s">
        <v>4253</v>
      </c>
      <c r="S2737" s="491" t="str">
        <f t="shared" si="87"/>
        <v>x</v>
      </c>
      <c r="T2737" s="492">
        <f>IFERROR(VLOOKUP(F2737,'Freq-Chan'!C:D,2,FALSE),"x")</f>
        <v>151.32499999999999</v>
      </c>
      <c r="U2737" s="110" t="s">
        <v>541</v>
      </c>
      <c r="V2737" s="110" t="str">
        <f t="shared" si="88"/>
        <v>FWL</v>
      </c>
      <c r="W2737" s="110" t="s">
        <v>541</v>
      </c>
      <c r="X2737" s="110" t="s">
        <v>541</v>
      </c>
      <c r="Y2737" s="110" t="str">
        <f>IFERROR(VLOOKUP(F2737,'Freq-Chan'!C:E,3,FALSE),"na")</f>
        <v>F1840</v>
      </c>
      <c r="Z2737" s="110" t="s">
        <v>541</v>
      </c>
      <c r="AA2737" s="110" t="s">
        <v>541</v>
      </c>
      <c r="AB2737" s="110" t="s">
        <v>541</v>
      </c>
      <c r="AC2737" s="10" t="s">
        <v>541</v>
      </c>
      <c r="AD2737" s="10" t="s">
        <v>541</v>
      </c>
    </row>
    <row r="2738" spans="1:30" x14ac:dyDescent="0.2">
      <c r="A2738" s="110">
        <v>2738</v>
      </c>
      <c r="B2738" s="132">
        <v>41865</v>
      </c>
      <c r="C2738" s="117">
        <v>3</v>
      </c>
      <c r="D2738" s="103" t="s">
        <v>71</v>
      </c>
      <c r="E2738" s="103" t="s">
        <v>306</v>
      </c>
      <c r="H2738" s="103"/>
      <c r="I2738" s="103">
        <v>57</v>
      </c>
      <c r="K2738" s="103" t="s">
        <v>1032</v>
      </c>
      <c r="L2738" s="133"/>
      <c r="M2738" s="134">
        <v>2.8472222222222222E-2</v>
      </c>
      <c r="N2738" s="137" t="s">
        <v>4248</v>
      </c>
      <c r="O2738" s="133" t="s">
        <v>1888</v>
      </c>
      <c r="Q2738" s="100" t="s">
        <v>4235</v>
      </c>
      <c r="R2738" s="226" t="s">
        <v>4253</v>
      </c>
      <c r="S2738" s="491" t="str">
        <f t="shared" ref="S2738:S2801" si="89">IF(IF(OR(L2738=0,N2738=0),"x",ROUND(N2738-L2738-(M2738*24)/(24*60),10))&lt;0,0,IF(OR(L2738=0,N2738=0),"x",ROUND(N2738-L2738-(M2738*24)/(24*60),10)))</f>
        <v>x</v>
      </c>
      <c r="T2738" s="492" t="str">
        <f>IFERROR(VLOOKUP(F2738,'Freq-Chan'!C:D,2,FALSE),"x")</f>
        <v>x</v>
      </c>
      <c r="U2738" s="110" t="s">
        <v>541</v>
      </c>
      <c r="V2738" s="110" t="str">
        <f t="shared" ref="V2738:V2801" si="90">IF(OR(C2738=1,C2738=2,C2738=3),"FWL","NRD")</f>
        <v>FWL</v>
      </c>
      <c r="W2738" s="110" t="s">
        <v>541</v>
      </c>
      <c r="X2738" s="110" t="s">
        <v>541</v>
      </c>
      <c r="Y2738" s="110" t="str">
        <f>IFERROR(VLOOKUP(F2738,'Freq-Chan'!C:E,3,FALSE),"na")</f>
        <v>na</v>
      </c>
      <c r="Z2738" s="110" t="s">
        <v>541</v>
      </c>
      <c r="AA2738" s="110" t="s">
        <v>541</v>
      </c>
      <c r="AB2738" s="110" t="s">
        <v>541</v>
      </c>
      <c r="AC2738" s="10" t="s">
        <v>541</v>
      </c>
      <c r="AD2738" s="10" t="s">
        <v>541</v>
      </c>
    </row>
    <row r="2739" spans="1:30" x14ac:dyDescent="0.2">
      <c r="A2739" s="110">
        <v>2739</v>
      </c>
      <c r="B2739" s="132">
        <v>41865</v>
      </c>
      <c r="C2739" s="117">
        <v>3</v>
      </c>
      <c r="D2739" s="103" t="s">
        <v>71</v>
      </c>
      <c r="E2739" s="103" t="s">
        <v>306</v>
      </c>
      <c r="H2739" s="103"/>
      <c r="I2739" s="103">
        <v>57</v>
      </c>
      <c r="K2739" s="103" t="s">
        <v>1032</v>
      </c>
      <c r="L2739" s="133">
        <v>0.69652777777777775</v>
      </c>
      <c r="M2739" s="134">
        <v>3.9583333333333331E-2</v>
      </c>
      <c r="N2739" s="137" t="s">
        <v>3937</v>
      </c>
      <c r="O2739" s="133" t="s">
        <v>1888</v>
      </c>
      <c r="P2739" s="100" t="s">
        <v>4249</v>
      </c>
      <c r="Q2739" s="100" t="s">
        <v>4235</v>
      </c>
      <c r="R2739" s="226" t="s">
        <v>4253</v>
      </c>
      <c r="S2739" s="491">
        <f t="shared" si="89"/>
        <v>4.2013889000000002E-3</v>
      </c>
      <c r="T2739" s="492" t="str">
        <f>IFERROR(VLOOKUP(F2739,'Freq-Chan'!C:D,2,FALSE),"x")</f>
        <v>x</v>
      </c>
      <c r="U2739" s="110" t="s">
        <v>541</v>
      </c>
      <c r="V2739" s="110" t="str">
        <f t="shared" si="90"/>
        <v>FWL</v>
      </c>
      <c r="W2739" s="110" t="s">
        <v>541</v>
      </c>
      <c r="X2739" s="110" t="s">
        <v>541</v>
      </c>
      <c r="Y2739" s="110" t="str">
        <f>IFERROR(VLOOKUP(F2739,'Freq-Chan'!C:E,3,FALSE),"na")</f>
        <v>na</v>
      </c>
      <c r="Z2739" s="110" t="s">
        <v>541</v>
      </c>
      <c r="AA2739" s="110" t="s">
        <v>541</v>
      </c>
      <c r="AB2739" s="110" t="s">
        <v>541</v>
      </c>
      <c r="AC2739" s="10" t="s">
        <v>541</v>
      </c>
      <c r="AD2739" s="10" t="s">
        <v>541</v>
      </c>
    </row>
    <row r="2740" spans="1:30" x14ac:dyDescent="0.2">
      <c r="A2740" s="110">
        <v>2740</v>
      </c>
      <c r="B2740" s="132">
        <v>41865</v>
      </c>
      <c r="C2740" s="117">
        <v>3</v>
      </c>
      <c r="D2740" s="103" t="s">
        <v>72</v>
      </c>
      <c r="E2740" s="103" t="s">
        <v>306</v>
      </c>
      <c r="F2740" s="103">
        <v>325</v>
      </c>
      <c r="G2740" s="103">
        <v>2</v>
      </c>
      <c r="H2740" s="103" t="s">
        <v>3580</v>
      </c>
      <c r="I2740" s="103">
        <v>60</v>
      </c>
      <c r="K2740" s="103" t="s">
        <v>365</v>
      </c>
      <c r="L2740" s="133">
        <v>0.70624999999999993</v>
      </c>
      <c r="M2740" s="134">
        <v>4.1666666666666664E-2</v>
      </c>
      <c r="N2740" s="137" t="s">
        <v>4085</v>
      </c>
      <c r="O2740" s="133" t="s">
        <v>1888</v>
      </c>
      <c r="Q2740" s="100" t="s">
        <v>4235</v>
      </c>
      <c r="R2740" s="226" t="s">
        <v>4253</v>
      </c>
      <c r="S2740" s="491">
        <f t="shared" si="89"/>
        <v>1.3888889000000001E-3</v>
      </c>
      <c r="T2740" s="492">
        <f>IFERROR(VLOOKUP(F2740,'Freq-Chan'!C:D,2,FALSE),"x")</f>
        <v>151.32499999999999</v>
      </c>
      <c r="U2740" s="110" t="s">
        <v>541</v>
      </c>
      <c r="V2740" s="110" t="str">
        <f t="shared" si="90"/>
        <v>FWL</v>
      </c>
      <c r="W2740" s="110" t="s">
        <v>541</v>
      </c>
      <c r="X2740" s="110" t="s">
        <v>541</v>
      </c>
      <c r="Y2740" s="110" t="str">
        <f>IFERROR(VLOOKUP(F2740,'Freq-Chan'!C:E,3,FALSE),"na")</f>
        <v>F1840</v>
      </c>
      <c r="Z2740" s="110" t="s">
        <v>541</v>
      </c>
      <c r="AA2740" s="110" t="s">
        <v>541</v>
      </c>
      <c r="AB2740" s="110" t="s">
        <v>541</v>
      </c>
      <c r="AC2740" s="10" t="s">
        <v>541</v>
      </c>
      <c r="AD2740" s="10" t="s">
        <v>541</v>
      </c>
    </row>
    <row r="2741" spans="1:30" x14ac:dyDescent="0.2">
      <c r="A2741" s="110">
        <v>2741</v>
      </c>
      <c r="B2741" s="132">
        <v>41865</v>
      </c>
      <c r="C2741" s="117">
        <v>3</v>
      </c>
      <c r="D2741" s="103" t="s">
        <v>71</v>
      </c>
      <c r="E2741" s="103" t="s">
        <v>306</v>
      </c>
      <c r="F2741" s="103">
        <v>534</v>
      </c>
      <c r="G2741" s="103">
        <v>74</v>
      </c>
      <c r="H2741" s="103" t="s">
        <v>2443</v>
      </c>
      <c r="I2741" s="103">
        <v>59</v>
      </c>
      <c r="K2741" s="103" t="s">
        <v>1032</v>
      </c>
      <c r="L2741" s="133">
        <v>0.78472222222222221</v>
      </c>
      <c r="M2741" s="134">
        <v>5.9027777777777783E-2</v>
      </c>
      <c r="N2741" s="137" t="s">
        <v>3776</v>
      </c>
      <c r="O2741" s="133" t="s">
        <v>2658</v>
      </c>
      <c r="Q2741" s="100" t="s">
        <v>4237</v>
      </c>
      <c r="R2741" s="226" t="s">
        <v>4253</v>
      </c>
      <c r="S2741" s="491">
        <f t="shared" si="89"/>
        <v>4.5717593000000004E-3</v>
      </c>
      <c r="T2741" s="492">
        <f>IFERROR(VLOOKUP(F2741,'Freq-Chan'!C:D,2,FALSE),"x")</f>
        <v>151.53399999999999</v>
      </c>
      <c r="U2741" s="110" t="s">
        <v>541</v>
      </c>
      <c r="V2741" s="110" t="str">
        <f t="shared" si="90"/>
        <v>FWL</v>
      </c>
      <c r="W2741" s="110" t="s">
        <v>541</v>
      </c>
      <c r="X2741" s="110" t="s">
        <v>541</v>
      </c>
      <c r="Y2741" s="110" t="str">
        <f>IFERROR(VLOOKUP(F2741,'Freq-Chan'!C:E,3,FALSE),"na")</f>
        <v>F1840</v>
      </c>
      <c r="Z2741" s="110" t="s">
        <v>541</v>
      </c>
      <c r="AA2741" s="110" t="s">
        <v>541</v>
      </c>
      <c r="AB2741" s="110" t="s">
        <v>541</v>
      </c>
      <c r="AC2741" s="10" t="s">
        <v>541</v>
      </c>
      <c r="AD2741" s="10" t="s">
        <v>541</v>
      </c>
    </row>
    <row r="2742" spans="1:30" x14ac:dyDescent="0.2">
      <c r="A2742" s="110">
        <v>2742</v>
      </c>
      <c r="B2742" s="132">
        <v>41865</v>
      </c>
      <c r="C2742" s="117">
        <v>3</v>
      </c>
      <c r="D2742" s="103" t="s">
        <v>72</v>
      </c>
      <c r="E2742" s="103" t="s">
        <v>306</v>
      </c>
      <c r="H2742" s="103"/>
      <c r="I2742" s="103">
        <v>54</v>
      </c>
      <c r="K2742" s="103" t="s">
        <v>1032</v>
      </c>
      <c r="L2742" s="133"/>
      <c r="M2742" s="134">
        <v>1.8055555555555557E-2</v>
      </c>
      <c r="N2742" s="137" t="s">
        <v>1583</v>
      </c>
      <c r="O2742" s="133" t="s">
        <v>2658</v>
      </c>
      <c r="Q2742" s="100" t="s">
        <v>4237</v>
      </c>
      <c r="R2742" s="226" t="s">
        <v>4253</v>
      </c>
      <c r="S2742" s="491" t="str">
        <f t="shared" si="89"/>
        <v>x</v>
      </c>
      <c r="T2742" s="492" t="str">
        <f>IFERROR(VLOOKUP(F2742,'Freq-Chan'!C:D,2,FALSE),"x")</f>
        <v>x</v>
      </c>
      <c r="U2742" s="110" t="s">
        <v>541</v>
      </c>
      <c r="V2742" s="110" t="str">
        <f t="shared" si="90"/>
        <v>FWL</v>
      </c>
      <c r="W2742" s="110" t="s">
        <v>541</v>
      </c>
      <c r="X2742" s="110" t="s">
        <v>541</v>
      </c>
      <c r="Y2742" s="110" t="str">
        <f>IFERROR(VLOOKUP(F2742,'Freq-Chan'!C:E,3,FALSE),"na")</f>
        <v>na</v>
      </c>
      <c r="Z2742" s="110" t="s">
        <v>541</v>
      </c>
      <c r="AA2742" s="110" t="s">
        <v>541</v>
      </c>
      <c r="AB2742" s="110" t="s">
        <v>541</v>
      </c>
      <c r="AC2742" s="10" t="s">
        <v>541</v>
      </c>
      <c r="AD2742" s="10" t="s">
        <v>541</v>
      </c>
    </row>
    <row r="2743" spans="1:30" x14ac:dyDescent="0.2">
      <c r="A2743" s="110">
        <v>2743</v>
      </c>
      <c r="B2743" s="132">
        <v>41865</v>
      </c>
      <c r="C2743" s="117">
        <v>3</v>
      </c>
      <c r="D2743" s="103" t="s">
        <v>71</v>
      </c>
      <c r="E2743" s="103" t="s">
        <v>306</v>
      </c>
      <c r="H2743" s="103"/>
      <c r="I2743" s="103">
        <v>52</v>
      </c>
      <c r="K2743" s="103" t="s">
        <v>365</v>
      </c>
      <c r="L2743" s="133"/>
      <c r="M2743" s="134">
        <v>1.6666666666666666E-2</v>
      </c>
      <c r="N2743" s="137" t="s">
        <v>3186</v>
      </c>
      <c r="O2743" s="133" t="s">
        <v>2658</v>
      </c>
      <c r="Q2743" s="100" t="s">
        <v>4237</v>
      </c>
      <c r="R2743" s="226" t="s">
        <v>4253</v>
      </c>
      <c r="S2743" s="491" t="str">
        <f t="shared" si="89"/>
        <v>x</v>
      </c>
      <c r="T2743" s="492" t="str">
        <f>IFERROR(VLOOKUP(F2743,'Freq-Chan'!C:D,2,FALSE),"x")</f>
        <v>x</v>
      </c>
      <c r="U2743" s="110" t="s">
        <v>541</v>
      </c>
      <c r="V2743" s="110" t="str">
        <f t="shared" si="90"/>
        <v>FWL</v>
      </c>
      <c r="W2743" s="110" t="s">
        <v>541</v>
      </c>
      <c r="X2743" s="110" t="s">
        <v>541</v>
      </c>
      <c r="Y2743" s="110" t="str">
        <f>IFERROR(VLOOKUP(F2743,'Freq-Chan'!C:E,3,FALSE),"na")</f>
        <v>na</v>
      </c>
      <c r="Z2743" s="110" t="s">
        <v>541</v>
      </c>
      <c r="AA2743" s="110" t="s">
        <v>541</v>
      </c>
      <c r="AB2743" s="110" t="s">
        <v>541</v>
      </c>
      <c r="AC2743" s="10" t="s">
        <v>541</v>
      </c>
      <c r="AD2743" s="10" t="s">
        <v>541</v>
      </c>
    </row>
    <row r="2744" spans="1:30" s="291" customFormat="1" x14ac:dyDescent="0.2">
      <c r="A2744" s="493">
        <v>2744</v>
      </c>
      <c r="B2744" s="283">
        <v>41865</v>
      </c>
      <c r="C2744" s="284">
        <v>3</v>
      </c>
      <c r="D2744" s="285" t="s">
        <v>71</v>
      </c>
      <c r="E2744" s="285" t="s">
        <v>306</v>
      </c>
      <c r="F2744" s="285"/>
      <c r="G2744" s="285"/>
      <c r="H2744" s="285"/>
      <c r="I2744" s="285">
        <v>51</v>
      </c>
      <c r="J2744" s="285"/>
      <c r="K2744" s="285" t="s">
        <v>365</v>
      </c>
      <c r="L2744" s="286">
        <v>0.83472222222222225</v>
      </c>
      <c r="M2744" s="287">
        <v>2.2222222222222223E-2</v>
      </c>
      <c r="N2744" s="288" t="s">
        <v>1809</v>
      </c>
      <c r="O2744" s="286" t="s">
        <v>2658</v>
      </c>
      <c r="P2744" s="289" t="s">
        <v>4250</v>
      </c>
      <c r="Q2744" s="289" t="s">
        <v>4237</v>
      </c>
      <c r="R2744" s="290" t="s">
        <v>4253</v>
      </c>
      <c r="S2744" s="494">
        <f t="shared" si="89"/>
        <v>2.4074074E-3</v>
      </c>
      <c r="T2744" s="495" t="str">
        <f>IFERROR(VLOOKUP(F2744,'Freq-Chan'!C:D,2,FALSE),"x")</f>
        <v>x</v>
      </c>
      <c r="U2744" s="493" t="s">
        <v>541</v>
      </c>
      <c r="V2744" s="493" t="str">
        <f t="shared" si="90"/>
        <v>FWL</v>
      </c>
      <c r="W2744" s="493" t="s">
        <v>541</v>
      </c>
      <c r="X2744" s="493" t="s">
        <v>541</v>
      </c>
      <c r="Y2744" s="493" t="str">
        <f>IFERROR(VLOOKUP(F2744,'Freq-Chan'!C:E,3,FALSE),"na")</f>
        <v>na</v>
      </c>
      <c r="Z2744" s="493" t="s">
        <v>541</v>
      </c>
      <c r="AA2744" s="493" t="s">
        <v>541</v>
      </c>
      <c r="AB2744" s="493" t="s">
        <v>541</v>
      </c>
      <c r="AC2744" s="291" t="s">
        <v>541</v>
      </c>
      <c r="AD2744" s="291" t="s">
        <v>541</v>
      </c>
    </row>
    <row r="2745" spans="1:30" x14ac:dyDescent="0.2">
      <c r="A2745" s="110">
        <v>2745</v>
      </c>
      <c r="B2745" s="132">
        <v>41866</v>
      </c>
      <c r="C2745" s="117">
        <v>1</v>
      </c>
      <c r="D2745" s="103" t="s">
        <v>71</v>
      </c>
      <c r="E2745" s="103" t="s">
        <v>306</v>
      </c>
      <c r="H2745" s="103"/>
      <c r="I2745" s="103">
        <v>58</v>
      </c>
      <c r="K2745" s="103" t="s">
        <v>1032</v>
      </c>
      <c r="L2745" s="133"/>
      <c r="M2745" s="134">
        <v>1.0416666666666666E-2</v>
      </c>
      <c r="N2745" s="135" t="s">
        <v>2689</v>
      </c>
      <c r="O2745" s="133" t="s">
        <v>1663</v>
      </c>
      <c r="Q2745" s="100" t="s">
        <v>4257</v>
      </c>
      <c r="R2745" s="226" t="s">
        <v>4265</v>
      </c>
      <c r="S2745" s="491" t="str">
        <f t="shared" si="89"/>
        <v>x</v>
      </c>
      <c r="T2745" s="492" t="str">
        <f>IFERROR(VLOOKUP(F2745,'Freq-Chan'!C:D,2,FALSE),"x")</f>
        <v>x</v>
      </c>
      <c r="U2745" s="110" t="s">
        <v>541</v>
      </c>
      <c r="V2745" s="110" t="str">
        <f t="shared" si="90"/>
        <v>FWL</v>
      </c>
      <c r="W2745" s="110" t="s">
        <v>541</v>
      </c>
      <c r="X2745" s="110" t="s">
        <v>541</v>
      </c>
      <c r="Y2745" s="110" t="str">
        <f>IFERROR(VLOOKUP(F2745,'Freq-Chan'!C:E,3,FALSE),"na")</f>
        <v>na</v>
      </c>
      <c r="Z2745" s="110" t="s">
        <v>541</v>
      </c>
      <c r="AA2745" s="110" t="s">
        <v>541</v>
      </c>
      <c r="AB2745" s="110" t="s">
        <v>541</v>
      </c>
      <c r="AC2745" s="10" t="s">
        <v>541</v>
      </c>
      <c r="AD2745" s="10" t="s">
        <v>541</v>
      </c>
    </row>
    <row r="2746" spans="1:30" x14ac:dyDescent="0.2">
      <c r="A2746" s="110">
        <v>2746</v>
      </c>
      <c r="B2746" s="132">
        <v>41866</v>
      </c>
      <c r="C2746" s="117">
        <v>1</v>
      </c>
      <c r="D2746" s="103" t="s">
        <v>71</v>
      </c>
      <c r="E2746" s="103" t="s">
        <v>306</v>
      </c>
      <c r="F2746" s="103">
        <v>564</v>
      </c>
      <c r="G2746" s="103">
        <v>99</v>
      </c>
      <c r="H2746" s="103" t="s">
        <v>2454</v>
      </c>
      <c r="I2746" s="103">
        <v>63</v>
      </c>
      <c r="K2746" s="103" t="s">
        <v>365</v>
      </c>
      <c r="L2746" s="133"/>
      <c r="M2746" s="134">
        <v>4.2361111111111106E-2</v>
      </c>
      <c r="N2746" s="135" t="s">
        <v>2691</v>
      </c>
      <c r="O2746" s="133" t="s">
        <v>1532</v>
      </c>
      <c r="Q2746" s="100" t="s">
        <v>4257</v>
      </c>
      <c r="R2746" s="226" t="s">
        <v>4265</v>
      </c>
      <c r="S2746" s="491" t="str">
        <f t="shared" si="89"/>
        <v>x</v>
      </c>
      <c r="T2746" s="492">
        <f>IFERROR(VLOOKUP(F2746,'Freq-Chan'!C:D,2,FALSE),"x")</f>
        <v>151.56399999999999</v>
      </c>
      <c r="U2746" s="110" t="s">
        <v>541</v>
      </c>
      <c r="V2746" s="110" t="str">
        <f t="shared" si="90"/>
        <v>FWL</v>
      </c>
      <c r="W2746" s="110" t="s">
        <v>541</v>
      </c>
      <c r="X2746" s="110" t="s">
        <v>541</v>
      </c>
      <c r="Y2746" s="110" t="str">
        <f>IFERROR(VLOOKUP(F2746,'Freq-Chan'!C:E,3,FALSE),"na")</f>
        <v>F1840</v>
      </c>
      <c r="Z2746" s="110" t="s">
        <v>541</v>
      </c>
      <c r="AA2746" s="110" t="s">
        <v>541</v>
      </c>
      <c r="AB2746" s="110" t="s">
        <v>541</v>
      </c>
      <c r="AC2746" s="10" t="s">
        <v>541</v>
      </c>
      <c r="AD2746" s="10" t="s">
        <v>541</v>
      </c>
    </row>
    <row r="2747" spans="1:30" x14ac:dyDescent="0.2">
      <c r="A2747" s="110">
        <v>2747</v>
      </c>
      <c r="B2747" s="132">
        <v>41866</v>
      </c>
      <c r="C2747" s="117">
        <v>1</v>
      </c>
      <c r="D2747" s="103" t="s">
        <v>70</v>
      </c>
      <c r="E2747" s="103" t="s">
        <v>306</v>
      </c>
      <c r="F2747" s="103">
        <v>596</v>
      </c>
      <c r="G2747" s="103">
        <v>0</v>
      </c>
      <c r="H2747" s="103" t="s">
        <v>3137</v>
      </c>
      <c r="I2747" s="103">
        <v>45</v>
      </c>
      <c r="K2747" s="103" t="s">
        <v>365</v>
      </c>
      <c r="L2747" s="133"/>
      <c r="M2747" s="134">
        <v>4.5833333333333337E-2</v>
      </c>
      <c r="N2747" s="135" t="s">
        <v>3355</v>
      </c>
      <c r="O2747" s="133" t="s">
        <v>1532</v>
      </c>
      <c r="Q2747" s="100" t="s">
        <v>4257</v>
      </c>
      <c r="R2747" s="226" t="s">
        <v>4265</v>
      </c>
      <c r="S2747" s="491" t="str">
        <f t="shared" si="89"/>
        <v>x</v>
      </c>
      <c r="T2747" s="492">
        <f>IFERROR(VLOOKUP(F2747,'Freq-Chan'!C:D,2,FALSE),"x")</f>
        <v>151.596</v>
      </c>
      <c r="U2747" s="110" t="s">
        <v>541</v>
      </c>
      <c r="V2747" s="110" t="str">
        <f t="shared" si="90"/>
        <v>FWL</v>
      </c>
      <c r="W2747" s="110" t="s">
        <v>541</v>
      </c>
      <c r="X2747" s="110" t="s">
        <v>541</v>
      </c>
      <c r="Y2747" s="110" t="str">
        <f>IFERROR(VLOOKUP(F2747,'Freq-Chan'!C:E,3,FALSE),"na")</f>
        <v>F1835</v>
      </c>
      <c r="Z2747" s="110" t="s">
        <v>541</v>
      </c>
      <c r="AA2747" s="110" t="s">
        <v>541</v>
      </c>
      <c r="AB2747" s="110" t="s">
        <v>541</v>
      </c>
      <c r="AC2747" s="10" t="s">
        <v>541</v>
      </c>
      <c r="AD2747" s="10" t="s">
        <v>541</v>
      </c>
    </row>
    <row r="2748" spans="1:30" x14ac:dyDescent="0.2">
      <c r="A2748" s="110">
        <v>2748</v>
      </c>
      <c r="B2748" s="132">
        <v>41866</v>
      </c>
      <c r="C2748" s="117">
        <v>1</v>
      </c>
      <c r="D2748" s="103" t="s">
        <v>71</v>
      </c>
      <c r="E2748" s="103" t="s">
        <v>306</v>
      </c>
      <c r="H2748" s="103"/>
      <c r="I2748" s="103">
        <v>50</v>
      </c>
      <c r="K2748" s="103" t="s">
        <v>1032</v>
      </c>
      <c r="L2748" s="133"/>
      <c r="M2748" s="134">
        <v>1.3194444444444444E-2</v>
      </c>
      <c r="N2748" s="135" t="s">
        <v>1652</v>
      </c>
      <c r="O2748" s="133" t="s">
        <v>1532</v>
      </c>
      <c r="Q2748" s="100" t="s">
        <v>4257</v>
      </c>
      <c r="R2748" s="226" t="s">
        <v>4265</v>
      </c>
      <c r="S2748" s="491" t="str">
        <f t="shared" si="89"/>
        <v>x</v>
      </c>
      <c r="T2748" s="492" t="str">
        <f>IFERROR(VLOOKUP(F2748,'Freq-Chan'!C:D,2,FALSE),"x")</f>
        <v>x</v>
      </c>
      <c r="U2748" s="110" t="s">
        <v>541</v>
      </c>
      <c r="V2748" s="110" t="str">
        <f t="shared" si="90"/>
        <v>FWL</v>
      </c>
      <c r="W2748" s="110" t="s">
        <v>541</v>
      </c>
      <c r="X2748" s="110" t="s">
        <v>541</v>
      </c>
      <c r="Y2748" s="110" t="str">
        <f>IFERROR(VLOOKUP(F2748,'Freq-Chan'!C:E,3,FALSE),"na")</f>
        <v>na</v>
      </c>
      <c r="Z2748" s="110" t="s">
        <v>541</v>
      </c>
      <c r="AA2748" s="110" t="s">
        <v>541</v>
      </c>
      <c r="AB2748" s="110" t="s">
        <v>541</v>
      </c>
      <c r="AC2748" s="10" t="s">
        <v>541</v>
      </c>
      <c r="AD2748" s="10" t="s">
        <v>541</v>
      </c>
    </row>
    <row r="2749" spans="1:30" x14ac:dyDescent="0.2">
      <c r="A2749" s="110">
        <v>2749</v>
      </c>
      <c r="B2749" s="132">
        <v>41866</v>
      </c>
      <c r="C2749" s="117">
        <v>1</v>
      </c>
      <c r="D2749" s="103" t="s">
        <v>70</v>
      </c>
      <c r="E2749" s="103" t="s">
        <v>306</v>
      </c>
      <c r="H2749" s="103"/>
      <c r="I2749" s="103">
        <v>38</v>
      </c>
      <c r="K2749" s="103" t="s">
        <v>1032</v>
      </c>
      <c r="L2749" s="133"/>
      <c r="M2749" s="134">
        <v>1.5972222222222224E-2</v>
      </c>
      <c r="N2749" s="135" t="s">
        <v>3801</v>
      </c>
      <c r="O2749" s="133" t="s">
        <v>1532</v>
      </c>
      <c r="P2749" s="100" t="s">
        <v>4051</v>
      </c>
      <c r="Q2749" s="100" t="s">
        <v>4257</v>
      </c>
      <c r="R2749" s="226" t="s">
        <v>4265</v>
      </c>
      <c r="S2749" s="491" t="str">
        <f t="shared" si="89"/>
        <v>x</v>
      </c>
      <c r="T2749" s="492" t="str">
        <f>IFERROR(VLOOKUP(F2749,'Freq-Chan'!C:D,2,FALSE),"x")</f>
        <v>x</v>
      </c>
      <c r="U2749" s="110" t="s">
        <v>541</v>
      </c>
      <c r="V2749" s="110" t="str">
        <f t="shared" si="90"/>
        <v>FWL</v>
      </c>
      <c r="W2749" s="110" t="s">
        <v>541</v>
      </c>
      <c r="X2749" s="110" t="s">
        <v>541</v>
      </c>
      <c r="Y2749" s="110" t="str">
        <f>IFERROR(VLOOKUP(F2749,'Freq-Chan'!C:E,3,FALSE),"na")</f>
        <v>na</v>
      </c>
      <c r="Z2749" s="110" t="s">
        <v>541</v>
      </c>
      <c r="AA2749" s="110" t="s">
        <v>541</v>
      </c>
      <c r="AB2749" s="110" t="s">
        <v>541</v>
      </c>
      <c r="AC2749" s="10" t="s">
        <v>541</v>
      </c>
      <c r="AD2749" s="10" t="s">
        <v>541</v>
      </c>
    </row>
    <row r="2750" spans="1:30" x14ac:dyDescent="0.2">
      <c r="A2750" s="110">
        <v>2750</v>
      </c>
      <c r="B2750" s="132">
        <v>41866</v>
      </c>
      <c r="C2750" s="117">
        <v>1</v>
      </c>
      <c r="D2750" s="103" t="s">
        <v>70</v>
      </c>
      <c r="E2750" s="103" t="s">
        <v>306</v>
      </c>
      <c r="H2750" s="103"/>
      <c r="I2750" s="103">
        <v>50</v>
      </c>
      <c r="K2750" s="103" t="s">
        <v>1032</v>
      </c>
      <c r="L2750" s="133"/>
      <c r="M2750" s="134">
        <v>1.4583333333333332E-2</v>
      </c>
      <c r="N2750" s="135" t="s">
        <v>3335</v>
      </c>
      <c r="O2750" s="133" t="s">
        <v>1532</v>
      </c>
      <c r="Q2750" s="100" t="s">
        <v>4257</v>
      </c>
      <c r="R2750" s="226" t="s">
        <v>4265</v>
      </c>
      <c r="S2750" s="491" t="str">
        <f t="shared" si="89"/>
        <v>x</v>
      </c>
      <c r="T2750" s="492" t="str">
        <f>IFERROR(VLOOKUP(F2750,'Freq-Chan'!C:D,2,FALSE),"x")</f>
        <v>x</v>
      </c>
      <c r="U2750" s="110" t="s">
        <v>541</v>
      </c>
      <c r="V2750" s="110" t="str">
        <f t="shared" si="90"/>
        <v>FWL</v>
      </c>
      <c r="W2750" s="110" t="s">
        <v>541</v>
      </c>
      <c r="X2750" s="110" t="s">
        <v>541</v>
      </c>
      <c r="Y2750" s="110" t="str">
        <f>IFERROR(VLOOKUP(F2750,'Freq-Chan'!C:E,3,FALSE),"na")</f>
        <v>na</v>
      </c>
      <c r="Z2750" s="110" t="s">
        <v>541</v>
      </c>
      <c r="AA2750" s="110" t="s">
        <v>541</v>
      </c>
      <c r="AB2750" s="110" t="s">
        <v>541</v>
      </c>
      <c r="AC2750" s="10" t="s">
        <v>541</v>
      </c>
      <c r="AD2750" s="10" t="s">
        <v>541</v>
      </c>
    </row>
    <row r="2751" spans="1:30" x14ac:dyDescent="0.2">
      <c r="A2751" s="110">
        <v>2751</v>
      </c>
      <c r="B2751" s="132">
        <v>41866</v>
      </c>
      <c r="C2751" s="117">
        <v>1</v>
      </c>
      <c r="D2751" s="103" t="s">
        <v>71</v>
      </c>
      <c r="E2751" s="103" t="s">
        <v>306</v>
      </c>
      <c r="H2751" s="103"/>
      <c r="I2751" s="103">
        <v>53</v>
      </c>
      <c r="K2751" s="103" t="s">
        <v>365</v>
      </c>
      <c r="L2751" s="133"/>
      <c r="M2751" s="134">
        <v>1.3888888888888888E-2</v>
      </c>
      <c r="N2751" s="135" t="s">
        <v>393</v>
      </c>
      <c r="O2751" s="133" t="s">
        <v>1532</v>
      </c>
      <c r="Q2751" s="100" t="s">
        <v>4257</v>
      </c>
      <c r="R2751" s="226" t="s">
        <v>4265</v>
      </c>
      <c r="S2751" s="491" t="str">
        <f t="shared" si="89"/>
        <v>x</v>
      </c>
      <c r="T2751" s="492" t="str">
        <f>IFERROR(VLOOKUP(F2751,'Freq-Chan'!C:D,2,FALSE),"x")</f>
        <v>x</v>
      </c>
      <c r="U2751" s="110" t="s">
        <v>541</v>
      </c>
      <c r="V2751" s="110" t="str">
        <f t="shared" si="90"/>
        <v>FWL</v>
      </c>
      <c r="W2751" s="110" t="s">
        <v>541</v>
      </c>
      <c r="X2751" s="110" t="s">
        <v>541</v>
      </c>
      <c r="Y2751" s="110" t="str">
        <f>IFERROR(VLOOKUP(F2751,'Freq-Chan'!C:E,3,FALSE),"na")</f>
        <v>na</v>
      </c>
      <c r="Z2751" s="110" t="s">
        <v>541</v>
      </c>
      <c r="AA2751" s="110" t="s">
        <v>541</v>
      </c>
      <c r="AB2751" s="110" t="s">
        <v>541</v>
      </c>
      <c r="AC2751" s="10" t="s">
        <v>541</v>
      </c>
      <c r="AD2751" s="10" t="s">
        <v>541</v>
      </c>
    </row>
    <row r="2752" spans="1:30" x14ac:dyDescent="0.2">
      <c r="A2752" s="110">
        <v>2752</v>
      </c>
      <c r="B2752" s="132">
        <v>41866</v>
      </c>
      <c r="C2752" s="117">
        <v>1</v>
      </c>
      <c r="D2752" s="103" t="s">
        <v>70</v>
      </c>
      <c r="E2752" s="103" t="s">
        <v>306</v>
      </c>
      <c r="H2752" s="103"/>
      <c r="I2752" s="103">
        <v>42</v>
      </c>
      <c r="K2752" s="103" t="s">
        <v>1032</v>
      </c>
      <c r="L2752" s="133"/>
      <c r="M2752" s="134">
        <v>1.6666666666666666E-2</v>
      </c>
      <c r="N2752" s="135" t="s">
        <v>2048</v>
      </c>
      <c r="O2752" s="133" t="s">
        <v>1532</v>
      </c>
      <c r="Q2752" s="100" t="s">
        <v>4257</v>
      </c>
      <c r="R2752" s="226" t="s">
        <v>4265</v>
      </c>
      <c r="S2752" s="491" t="str">
        <f t="shared" si="89"/>
        <v>x</v>
      </c>
      <c r="T2752" s="492" t="str">
        <f>IFERROR(VLOOKUP(F2752,'Freq-Chan'!C:D,2,FALSE),"x")</f>
        <v>x</v>
      </c>
      <c r="U2752" s="110" t="s">
        <v>541</v>
      </c>
      <c r="V2752" s="110" t="str">
        <f t="shared" si="90"/>
        <v>FWL</v>
      </c>
      <c r="W2752" s="110" t="s">
        <v>541</v>
      </c>
      <c r="X2752" s="110" t="s">
        <v>541</v>
      </c>
      <c r="Y2752" s="110" t="str">
        <f>IFERROR(VLOOKUP(F2752,'Freq-Chan'!C:E,3,FALSE),"na")</f>
        <v>na</v>
      </c>
      <c r="Z2752" s="110" t="s">
        <v>541</v>
      </c>
      <c r="AA2752" s="110" t="s">
        <v>541</v>
      </c>
      <c r="AB2752" s="110" t="s">
        <v>541</v>
      </c>
      <c r="AC2752" s="10" t="s">
        <v>541</v>
      </c>
      <c r="AD2752" s="10" t="s">
        <v>541</v>
      </c>
    </row>
    <row r="2753" spans="1:30" x14ac:dyDescent="0.2">
      <c r="A2753" s="110">
        <v>2753</v>
      </c>
      <c r="B2753" s="132">
        <v>41866</v>
      </c>
      <c r="C2753" s="117">
        <v>1</v>
      </c>
      <c r="D2753" s="103" t="s">
        <v>72</v>
      </c>
      <c r="E2753" s="103" t="s">
        <v>306</v>
      </c>
      <c r="F2753" s="103">
        <v>325</v>
      </c>
      <c r="G2753" s="103">
        <v>25</v>
      </c>
      <c r="H2753" s="103" t="s">
        <v>3591</v>
      </c>
      <c r="I2753" s="103">
        <v>52</v>
      </c>
      <c r="K2753" s="103" t="s">
        <v>1032</v>
      </c>
      <c r="L2753" s="133"/>
      <c r="M2753" s="134">
        <v>3.4722222222222224E-2</v>
      </c>
      <c r="N2753" s="135" t="s">
        <v>3904</v>
      </c>
      <c r="O2753" s="133" t="s">
        <v>1532</v>
      </c>
      <c r="Q2753" s="100" t="s">
        <v>4257</v>
      </c>
      <c r="R2753" s="226" t="s">
        <v>4265</v>
      </c>
      <c r="S2753" s="491" t="str">
        <f t="shared" si="89"/>
        <v>x</v>
      </c>
      <c r="T2753" s="492">
        <f>IFERROR(VLOOKUP(F2753,'Freq-Chan'!C:D,2,FALSE),"x")</f>
        <v>151.32499999999999</v>
      </c>
      <c r="U2753" s="110" t="s">
        <v>541</v>
      </c>
      <c r="V2753" s="110" t="str">
        <f t="shared" si="90"/>
        <v>FWL</v>
      </c>
      <c r="W2753" s="110" t="s">
        <v>541</v>
      </c>
      <c r="X2753" s="110" t="s">
        <v>541</v>
      </c>
      <c r="Y2753" s="110" t="str">
        <f>IFERROR(VLOOKUP(F2753,'Freq-Chan'!C:E,3,FALSE),"na")</f>
        <v>F1840</v>
      </c>
      <c r="Z2753" s="110" t="s">
        <v>541</v>
      </c>
      <c r="AA2753" s="110" t="s">
        <v>541</v>
      </c>
      <c r="AB2753" s="110" t="s">
        <v>541</v>
      </c>
      <c r="AC2753" s="10" t="s">
        <v>541</v>
      </c>
      <c r="AD2753" s="10" t="s">
        <v>541</v>
      </c>
    </row>
    <row r="2754" spans="1:30" x14ac:dyDescent="0.2">
      <c r="A2754" s="110">
        <v>2754</v>
      </c>
      <c r="B2754" s="132">
        <v>41866</v>
      </c>
      <c r="C2754" s="117">
        <v>1</v>
      </c>
      <c r="D2754" s="103" t="s">
        <v>72</v>
      </c>
      <c r="E2754" s="103" t="s">
        <v>306</v>
      </c>
      <c r="F2754" s="103">
        <v>325</v>
      </c>
      <c r="G2754" s="103">
        <v>75</v>
      </c>
      <c r="H2754" s="103" t="s">
        <v>3596</v>
      </c>
      <c r="I2754" s="103">
        <v>52</v>
      </c>
      <c r="K2754" s="103" t="s">
        <v>1032</v>
      </c>
      <c r="L2754" s="133"/>
      <c r="M2754" s="134">
        <v>5.0694444444444452E-2</v>
      </c>
      <c r="N2754" s="135" t="s">
        <v>1935</v>
      </c>
      <c r="O2754" s="133" t="s">
        <v>1532</v>
      </c>
      <c r="Q2754" s="100" t="s">
        <v>4257</v>
      </c>
      <c r="R2754" s="226" t="s">
        <v>4265</v>
      </c>
      <c r="S2754" s="491" t="str">
        <f t="shared" si="89"/>
        <v>x</v>
      </c>
      <c r="T2754" s="492">
        <f>IFERROR(VLOOKUP(F2754,'Freq-Chan'!C:D,2,FALSE),"x")</f>
        <v>151.32499999999999</v>
      </c>
      <c r="U2754" s="110" t="s">
        <v>541</v>
      </c>
      <c r="V2754" s="110" t="str">
        <f t="shared" si="90"/>
        <v>FWL</v>
      </c>
      <c r="W2754" s="110" t="s">
        <v>541</v>
      </c>
      <c r="X2754" s="110" t="s">
        <v>541</v>
      </c>
      <c r="Y2754" s="110" t="str">
        <f>IFERROR(VLOOKUP(F2754,'Freq-Chan'!C:E,3,FALSE),"na")</f>
        <v>F1840</v>
      </c>
      <c r="Z2754" s="110" t="s">
        <v>541</v>
      </c>
      <c r="AA2754" s="110" t="s">
        <v>541</v>
      </c>
      <c r="AB2754" s="110" t="s">
        <v>541</v>
      </c>
      <c r="AC2754" s="10" t="s">
        <v>541</v>
      </c>
      <c r="AD2754" s="10" t="s">
        <v>541</v>
      </c>
    </row>
    <row r="2755" spans="1:30" x14ac:dyDescent="0.2">
      <c r="A2755" s="110">
        <v>2755</v>
      </c>
      <c r="B2755" s="132">
        <v>41866</v>
      </c>
      <c r="C2755" s="117">
        <v>1</v>
      </c>
      <c r="D2755" s="103" t="s">
        <v>70</v>
      </c>
      <c r="E2755" s="103" t="s">
        <v>306</v>
      </c>
      <c r="H2755" s="103"/>
      <c r="I2755" s="103">
        <v>47</v>
      </c>
      <c r="K2755" s="103" t="s">
        <v>1032</v>
      </c>
      <c r="L2755" s="133"/>
      <c r="M2755" s="134">
        <v>1.4583333333333332E-2</v>
      </c>
      <c r="N2755" s="135" t="s">
        <v>2049</v>
      </c>
      <c r="O2755" s="133" t="s">
        <v>1532</v>
      </c>
      <c r="P2755" s="100" t="s">
        <v>4259</v>
      </c>
      <c r="Q2755" s="100" t="s">
        <v>4257</v>
      </c>
      <c r="R2755" s="226" t="s">
        <v>4265</v>
      </c>
      <c r="S2755" s="491" t="str">
        <f t="shared" si="89"/>
        <v>x</v>
      </c>
      <c r="T2755" s="492" t="str">
        <f>IFERROR(VLOOKUP(F2755,'Freq-Chan'!C:D,2,FALSE),"x")</f>
        <v>x</v>
      </c>
      <c r="U2755" s="110" t="s">
        <v>541</v>
      </c>
      <c r="V2755" s="110" t="str">
        <f t="shared" si="90"/>
        <v>FWL</v>
      </c>
      <c r="W2755" s="110" t="s">
        <v>541</v>
      </c>
      <c r="X2755" s="110" t="s">
        <v>541</v>
      </c>
      <c r="Y2755" s="110" t="str">
        <f>IFERROR(VLOOKUP(F2755,'Freq-Chan'!C:E,3,FALSE),"na")</f>
        <v>na</v>
      </c>
      <c r="Z2755" s="110" t="s">
        <v>541</v>
      </c>
      <c r="AA2755" s="110" t="s">
        <v>541</v>
      </c>
      <c r="AB2755" s="110" t="s">
        <v>541</v>
      </c>
      <c r="AC2755" s="10" t="s">
        <v>541</v>
      </c>
      <c r="AD2755" s="10" t="s">
        <v>541</v>
      </c>
    </row>
    <row r="2756" spans="1:30" x14ac:dyDescent="0.2">
      <c r="A2756" s="110">
        <v>2756</v>
      </c>
      <c r="B2756" s="132">
        <v>41866</v>
      </c>
      <c r="C2756" s="117">
        <v>1</v>
      </c>
      <c r="D2756" s="103" t="s">
        <v>70</v>
      </c>
      <c r="E2756" s="103" t="s">
        <v>306</v>
      </c>
      <c r="H2756" s="103"/>
      <c r="I2756" s="103">
        <v>44</v>
      </c>
      <c r="K2756" s="103" t="s">
        <v>1032</v>
      </c>
      <c r="L2756" s="133"/>
      <c r="M2756" s="134">
        <v>1.3194444444444444E-2</v>
      </c>
      <c r="N2756" s="135" t="s">
        <v>3948</v>
      </c>
      <c r="O2756" s="133" t="s">
        <v>1532</v>
      </c>
      <c r="Q2756" s="100" t="s">
        <v>4257</v>
      </c>
      <c r="R2756" s="226" t="s">
        <v>4265</v>
      </c>
      <c r="S2756" s="491" t="str">
        <f t="shared" si="89"/>
        <v>x</v>
      </c>
      <c r="T2756" s="492" t="str">
        <f>IFERROR(VLOOKUP(F2756,'Freq-Chan'!C:D,2,FALSE),"x")</f>
        <v>x</v>
      </c>
      <c r="U2756" s="110" t="s">
        <v>541</v>
      </c>
      <c r="V2756" s="110" t="str">
        <f t="shared" si="90"/>
        <v>FWL</v>
      </c>
      <c r="W2756" s="110" t="s">
        <v>541</v>
      </c>
      <c r="X2756" s="110" t="s">
        <v>541</v>
      </c>
      <c r="Y2756" s="110" t="str">
        <f>IFERROR(VLOOKUP(F2756,'Freq-Chan'!C:E,3,FALSE),"na")</f>
        <v>na</v>
      </c>
      <c r="Z2756" s="110" t="s">
        <v>541</v>
      </c>
      <c r="AA2756" s="110" t="s">
        <v>541</v>
      </c>
      <c r="AB2756" s="110" t="s">
        <v>541</v>
      </c>
      <c r="AC2756" s="10" t="s">
        <v>541</v>
      </c>
      <c r="AD2756" s="10" t="s">
        <v>541</v>
      </c>
    </row>
    <row r="2757" spans="1:30" x14ac:dyDescent="0.2">
      <c r="A2757" s="110">
        <v>2757</v>
      </c>
      <c r="B2757" s="132">
        <v>41866</v>
      </c>
      <c r="C2757" s="117">
        <v>1</v>
      </c>
      <c r="D2757" s="103" t="s">
        <v>70</v>
      </c>
      <c r="E2757" s="103" t="s">
        <v>306</v>
      </c>
      <c r="H2757" s="103"/>
      <c r="I2757" s="103">
        <v>46</v>
      </c>
      <c r="K2757" s="103" t="s">
        <v>365</v>
      </c>
      <c r="L2757" s="133"/>
      <c r="M2757" s="134">
        <v>1.1111111111111112E-2</v>
      </c>
      <c r="N2757" s="137" t="s">
        <v>722</v>
      </c>
      <c r="O2757" s="133" t="s">
        <v>1532</v>
      </c>
      <c r="Q2757" s="100" t="s">
        <v>4257</v>
      </c>
      <c r="R2757" s="226" t="s">
        <v>4265</v>
      </c>
      <c r="S2757" s="491" t="str">
        <f t="shared" si="89"/>
        <v>x</v>
      </c>
      <c r="T2757" s="492" t="str">
        <f>IFERROR(VLOOKUP(F2757,'Freq-Chan'!C:D,2,FALSE),"x")</f>
        <v>x</v>
      </c>
      <c r="U2757" s="110" t="s">
        <v>541</v>
      </c>
      <c r="V2757" s="110" t="str">
        <f t="shared" si="90"/>
        <v>FWL</v>
      </c>
      <c r="W2757" s="110" t="s">
        <v>541</v>
      </c>
      <c r="X2757" s="110" t="s">
        <v>541</v>
      </c>
      <c r="Y2757" s="110" t="str">
        <f>IFERROR(VLOOKUP(F2757,'Freq-Chan'!C:E,3,FALSE),"na")</f>
        <v>na</v>
      </c>
      <c r="Z2757" s="110" t="s">
        <v>541</v>
      </c>
      <c r="AA2757" s="110" t="s">
        <v>541</v>
      </c>
      <c r="AB2757" s="110" t="s">
        <v>541</v>
      </c>
      <c r="AC2757" s="10" t="s">
        <v>541</v>
      </c>
      <c r="AD2757" s="10" t="s">
        <v>541</v>
      </c>
    </row>
    <row r="2758" spans="1:30" x14ac:dyDescent="0.2">
      <c r="A2758" s="110">
        <v>2758</v>
      </c>
      <c r="B2758" s="132">
        <v>41866</v>
      </c>
      <c r="C2758" s="117">
        <v>1</v>
      </c>
      <c r="D2758" s="103" t="s">
        <v>71</v>
      </c>
      <c r="E2758" s="103" t="s">
        <v>306</v>
      </c>
      <c r="H2758" s="103"/>
      <c r="I2758" s="103">
        <v>59</v>
      </c>
      <c r="K2758" s="103" t="s">
        <v>1032</v>
      </c>
      <c r="L2758" s="133"/>
      <c r="M2758" s="134">
        <v>1.4583333333333332E-2</v>
      </c>
      <c r="N2758" s="137" t="s">
        <v>1770</v>
      </c>
      <c r="O2758" s="133" t="s">
        <v>1663</v>
      </c>
      <c r="Q2758" s="100" t="s">
        <v>4257</v>
      </c>
      <c r="R2758" s="226" t="s">
        <v>4265</v>
      </c>
      <c r="S2758" s="491" t="str">
        <f t="shared" si="89"/>
        <v>x</v>
      </c>
      <c r="T2758" s="492" t="str">
        <f>IFERROR(VLOOKUP(F2758,'Freq-Chan'!C:D,2,FALSE),"x")</f>
        <v>x</v>
      </c>
      <c r="U2758" s="110" t="s">
        <v>541</v>
      </c>
      <c r="V2758" s="110" t="str">
        <f t="shared" si="90"/>
        <v>FWL</v>
      </c>
      <c r="W2758" s="110" t="s">
        <v>541</v>
      </c>
      <c r="X2758" s="110" t="s">
        <v>541</v>
      </c>
      <c r="Y2758" s="110" t="str">
        <f>IFERROR(VLOOKUP(F2758,'Freq-Chan'!C:E,3,FALSE),"na")</f>
        <v>na</v>
      </c>
      <c r="Z2758" s="110" t="s">
        <v>541</v>
      </c>
      <c r="AA2758" s="110" t="s">
        <v>541</v>
      </c>
      <c r="AB2758" s="110" t="s">
        <v>541</v>
      </c>
      <c r="AC2758" s="10" t="s">
        <v>541</v>
      </c>
      <c r="AD2758" s="10" t="s">
        <v>541</v>
      </c>
    </row>
    <row r="2759" spans="1:30" x14ac:dyDescent="0.2">
      <c r="A2759" s="110">
        <v>2759</v>
      </c>
      <c r="B2759" s="132">
        <v>41866</v>
      </c>
      <c r="C2759" s="117">
        <v>1</v>
      </c>
      <c r="D2759" s="103" t="s">
        <v>71</v>
      </c>
      <c r="E2759" s="103" t="s">
        <v>306</v>
      </c>
      <c r="H2759" s="103"/>
      <c r="I2759" s="103">
        <v>53</v>
      </c>
      <c r="K2759" s="103" t="s">
        <v>365</v>
      </c>
      <c r="L2759" s="133"/>
      <c r="M2759" s="134">
        <v>1.7361111111111112E-2</v>
      </c>
      <c r="N2759" s="137" t="s">
        <v>3931</v>
      </c>
      <c r="O2759" s="133" t="s">
        <v>1663</v>
      </c>
      <c r="Q2759" s="100" t="s">
        <v>4257</v>
      </c>
      <c r="R2759" s="226" t="s">
        <v>4265</v>
      </c>
      <c r="S2759" s="491" t="str">
        <f t="shared" si="89"/>
        <v>x</v>
      </c>
      <c r="T2759" s="492" t="str">
        <f>IFERROR(VLOOKUP(F2759,'Freq-Chan'!C:D,2,FALSE),"x")</f>
        <v>x</v>
      </c>
      <c r="U2759" s="110" t="s">
        <v>541</v>
      </c>
      <c r="V2759" s="110" t="str">
        <f t="shared" si="90"/>
        <v>FWL</v>
      </c>
      <c r="W2759" s="110" t="s">
        <v>541</v>
      </c>
      <c r="X2759" s="110" t="s">
        <v>541</v>
      </c>
      <c r="Y2759" s="110" t="str">
        <f>IFERROR(VLOOKUP(F2759,'Freq-Chan'!C:E,3,FALSE),"na")</f>
        <v>na</v>
      </c>
      <c r="Z2759" s="110" t="s">
        <v>541</v>
      </c>
      <c r="AA2759" s="110" t="s">
        <v>541</v>
      </c>
      <c r="AB2759" s="110" t="s">
        <v>541</v>
      </c>
      <c r="AC2759" s="10" t="s">
        <v>541</v>
      </c>
      <c r="AD2759" s="10" t="s">
        <v>541</v>
      </c>
    </row>
    <row r="2760" spans="1:30" x14ac:dyDescent="0.2">
      <c r="A2760" s="110">
        <v>2760</v>
      </c>
      <c r="B2760" s="132">
        <v>41866</v>
      </c>
      <c r="C2760" s="117">
        <v>1</v>
      </c>
      <c r="D2760" s="103" t="s">
        <v>71</v>
      </c>
      <c r="E2760" s="103" t="s">
        <v>306</v>
      </c>
      <c r="H2760" s="103"/>
      <c r="I2760" s="103">
        <v>59</v>
      </c>
      <c r="K2760" s="103" t="s">
        <v>364</v>
      </c>
      <c r="L2760" s="133"/>
      <c r="M2760" s="134">
        <v>1.3194444444444444E-2</v>
      </c>
      <c r="N2760" s="135" t="s">
        <v>3983</v>
      </c>
      <c r="O2760" s="133" t="s">
        <v>1663</v>
      </c>
      <c r="Q2760" s="100" t="s">
        <v>4257</v>
      </c>
      <c r="R2760" s="226" t="s">
        <v>4265</v>
      </c>
      <c r="S2760" s="491" t="str">
        <f t="shared" si="89"/>
        <v>x</v>
      </c>
      <c r="T2760" s="492" t="str">
        <f>IFERROR(VLOOKUP(F2760,'Freq-Chan'!C:D,2,FALSE),"x")</f>
        <v>x</v>
      </c>
      <c r="U2760" s="110" t="s">
        <v>541</v>
      </c>
      <c r="V2760" s="110" t="str">
        <f t="shared" si="90"/>
        <v>FWL</v>
      </c>
      <c r="W2760" s="110" t="s">
        <v>541</v>
      </c>
      <c r="X2760" s="110" t="s">
        <v>541</v>
      </c>
      <c r="Y2760" s="110" t="str">
        <f>IFERROR(VLOOKUP(F2760,'Freq-Chan'!C:E,3,FALSE),"na")</f>
        <v>na</v>
      </c>
      <c r="Z2760" s="110" t="s">
        <v>541</v>
      </c>
      <c r="AA2760" s="110" t="s">
        <v>541</v>
      </c>
      <c r="AB2760" s="110" t="s">
        <v>541</v>
      </c>
      <c r="AC2760" s="10" t="s">
        <v>541</v>
      </c>
      <c r="AD2760" s="10" t="s">
        <v>541</v>
      </c>
    </row>
    <row r="2761" spans="1:30" x14ac:dyDescent="0.2">
      <c r="A2761" s="110">
        <v>2761</v>
      </c>
      <c r="B2761" s="132">
        <v>41866</v>
      </c>
      <c r="C2761" s="117">
        <v>1</v>
      </c>
      <c r="D2761" s="103" t="s">
        <v>8</v>
      </c>
      <c r="E2761" s="103" t="s">
        <v>306</v>
      </c>
      <c r="F2761" s="103">
        <v>573</v>
      </c>
      <c r="G2761" s="103">
        <v>28</v>
      </c>
      <c r="H2761" s="103" t="s">
        <v>2269</v>
      </c>
      <c r="I2761" s="103">
        <v>44</v>
      </c>
      <c r="K2761" s="103" t="s">
        <v>364</v>
      </c>
      <c r="L2761" s="133"/>
      <c r="M2761" s="134">
        <v>5.347222222222222E-2</v>
      </c>
      <c r="N2761" s="135" t="s">
        <v>4125</v>
      </c>
      <c r="O2761" s="133" t="s">
        <v>1663</v>
      </c>
      <c r="Q2761" s="100" t="s">
        <v>4257</v>
      </c>
      <c r="R2761" s="226" t="s">
        <v>4265</v>
      </c>
      <c r="S2761" s="491" t="str">
        <f t="shared" si="89"/>
        <v>x</v>
      </c>
      <c r="T2761" s="492">
        <f>IFERROR(VLOOKUP(F2761,'Freq-Chan'!C:D,2,FALSE),"x")</f>
        <v>151.57300000000001</v>
      </c>
      <c r="U2761" s="110" t="s">
        <v>541</v>
      </c>
      <c r="V2761" s="110" t="str">
        <f t="shared" si="90"/>
        <v>FWL</v>
      </c>
      <c r="W2761" s="110" t="s">
        <v>541</v>
      </c>
      <c r="X2761" s="110" t="s">
        <v>541</v>
      </c>
      <c r="Y2761" s="110" t="str">
        <f>IFERROR(VLOOKUP(F2761,'Freq-Chan'!C:E,3,FALSE),"na")</f>
        <v>F1840</v>
      </c>
      <c r="Z2761" s="110" t="s">
        <v>541</v>
      </c>
      <c r="AA2761" s="110" t="s">
        <v>541</v>
      </c>
      <c r="AB2761" s="110" t="s">
        <v>541</v>
      </c>
      <c r="AC2761" s="10" t="s">
        <v>541</v>
      </c>
      <c r="AD2761" s="10" t="s">
        <v>541</v>
      </c>
    </row>
    <row r="2762" spans="1:30" x14ac:dyDescent="0.2">
      <c r="A2762" s="110">
        <v>2762</v>
      </c>
      <c r="B2762" s="132">
        <v>41866</v>
      </c>
      <c r="C2762" s="117">
        <v>1</v>
      </c>
      <c r="D2762" s="103" t="s">
        <v>8</v>
      </c>
      <c r="E2762" s="103" t="s">
        <v>306</v>
      </c>
      <c r="F2762" s="103">
        <v>586</v>
      </c>
      <c r="G2762" s="103">
        <v>69</v>
      </c>
      <c r="H2762" s="103" t="s">
        <v>2270</v>
      </c>
      <c r="I2762" s="103">
        <v>48</v>
      </c>
      <c r="K2762" s="103" t="s">
        <v>364</v>
      </c>
      <c r="L2762" s="133"/>
      <c r="M2762" s="134">
        <v>7.013888888888889E-2</v>
      </c>
      <c r="N2762" s="135" t="s">
        <v>3985</v>
      </c>
      <c r="O2762" s="133" t="s">
        <v>1663</v>
      </c>
      <c r="Q2762" s="100" t="s">
        <v>4257</v>
      </c>
      <c r="R2762" s="226" t="s">
        <v>4265</v>
      </c>
      <c r="S2762" s="491" t="str">
        <f t="shared" si="89"/>
        <v>x</v>
      </c>
      <c r="T2762" s="492">
        <f>IFERROR(VLOOKUP(F2762,'Freq-Chan'!C:D,2,FALSE),"x")</f>
        <v>151.58600000000001</v>
      </c>
      <c r="U2762" s="110" t="s">
        <v>541</v>
      </c>
      <c r="V2762" s="110" t="str">
        <f t="shared" si="90"/>
        <v>FWL</v>
      </c>
      <c r="W2762" s="110" t="s">
        <v>541</v>
      </c>
      <c r="X2762" s="110" t="s">
        <v>541</v>
      </c>
      <c r="Y2762" s="110" t="str">
        <f>IFERROR(VLOOKUP(F2762,'Freq-Chan'!C:E,3,FALSE),"na")</f>
        <v>F1840</v>
      </c>
      <c r="Z2762" s="110" t="s">
        <v>541</v>
      </c>
      <c r="AA2762" s="110" t="s">
        <v>541</v>
      </c>
      <c r="AB2762" s="110" t="s">
        <v>541</v>
      </c>
      <c r="AC2762" s="10" t="s">
        <v>541</v>
      </c>
      <c r="AD2762" s="10" t="s">
        <v>541</v>
      </c>
    </row>
    <row r="2763" spans="1:30" x14ac:dyDescent="0.2">
      <c r="A2763" s="110">
        <v>2763</v>
      </c>
      <c r="B2763" s="132">
        <v>41866</v>
      </c>
      <c r="C2763" s="117">
        <v>1</v>
      </c>
      <c r="D2763" s="103" t="s">
        <v>71</v>
      </c>
      <c r="E2763" s="103" t="s">
        <v>306</v>
      </c>
      <c r="H2763" s="103"/>
      <c r="I2763" s="103">
        <v>55</v>
      </c>
      <c r="K2763" s="103" t="s">
        <v>365</v>
      </c>
      <c r="L2763" s="133"/>
      <c r="M2763" s="134">
        <v>1.4583333333333332E-2</v>
      </c>
      <c r="N2763" s="135" t="s">
        <v>3984</v>
      </c>
      <c r="O2763" s="133" t="s">
        <v>1663</v>
      </c>
      <c r="Q2763" s="100" t="s">
        <v>4257</v>
      </c>
      <c r="R2763" s="226" t="s">
        <v>4265</v>
      </c>
      <c r="S2763" s="491" t="str">
        <f t="shared" si="89"/>
        <v>x</v>
      </c>
      <c r="T2763" s="492" t="str">
        <f>IFERROR(VLOOKUP(F2763,'Freq-Chan'!C:D,2,FALSE),"x")</f>
        <v>x</v>
      </c>
      <c r="U2763" s="110" t="s">
        <v>541</v>
      </c>
      <c r="V2763" s="110" t="str">
        <f t="shared" si="90"/>
        <v>FWL</v>
      </c>
      <c r="W2763" s="110" t="s">
        <v>541</v>
      </c>
      <c r="X2763" s="110" t="s">
        <v>541</v>
      </c>
      <c r="Y2763" s="110" t="str">
        <f>IFERROR(VLOOKUP(F2763,'Freq-Chan'!C:E,3,FALSE),"na")</f>
        <v>na</v>
      </c>
      <c r="Z2763" s="110" t="s">
        <v>541</v>
      </c>
      <c r="AA2763" s="110" t="s">
        <v>541</v>
      </c>
      <c r="AB2763" s="110" t="s">
        <v>541</v>
      </c>
      <c r="AC2763" s="10" t="s">
        <v>541</v>
      </c>
      <c r="AD2763" s="10" t="s">
        <v>541</v>
      </c>
    </row>
    <row r="2764" spans="1:30" x14ac:dyDescent="0.2">
      <c r="A2764" s="110">
        <v>2764</v>
      </c>
      <c r="B2764" s="132">
        <v>41866</v>
      </c>
      <c r="C2764" s="117">
        <v>1</v>
      </c>
      <c r="D2764" s="103" t="s">
        <v>70</v>
      </c>
      <c r="E2764" s="103" t="s">
        <v>306</v>
      </c>
      <c r="H2764" s="103"/>
      <c r="I2764" s="103">
        <v>46</v>
      </c>
      <c r="K2764" s="103" t="s">
        <v>365</v>
      </c>
      <c r="L2764" s="133"/>
      <c r="M2764" s="134">
        <v>1.5972222222222224E-2</v>
      </c>
      <c r="N2764" s="137" t="s">
        <v>2631</v>
      </c>
      <c r="O2764" s="133" t="s">
        <v>1663</v>
      </c>
      <c r="Q2764" s="100" t="s">
        <v>4257</v>
      </c>
      <c r="R2764" s="226" t="s">
        <v>4265</v>
      </c>
      <c r="S2764" s="491" t="str">
        <f t="shared" si="89"/>
        <v>x</v>
      </c>
      <c r="T2764" s="492" t="str">
        <f>IFERROR(VLOOKUP(F2764,'Freq-Chan'!C:D,2,FALSE),"x")</f>
        <v>x</v>
      </c>
      <c r="U2764" s="110" t="s">
        <v>541</v>
      </c>
      <c r="V2764" s="110" t="str">
        <f t="shared" si="90"/>
        <v>FWL</v>
      </c>
      <c r="W2764" s="110" t="s">
        <v>541</v>
      </c>
      <c r="X2764" s="110" t="s">
        <v>541</v>
      </c>
      <c r="Y2764" s="110" t="str">
        <f>IFERROR(VLOOKUP(F2764,'Freq-Chan'!C:E,3,FALSE),"na")</f>
        <v>na</v>
      </c>
      <c r="Z2764" s="110" t="s">
        <v>541</v>
      </c>
      <c r="AA2764" s="110" t="s">
        <v>541</v>
      </c>
      <c r="AB2764" s="110" t="s">
        <v>541</v>
      </c>
      <c r="AC2764" s="10" t="s">
        <v>541</v>
      </c>
      <c r="AD2764" s="10" t="s">
        <v>541</v>
      </c>
    </row>
    <row r="2765" spans="1:30" x14ac:dyDescent="0.2">
      <c r="A2765" s="110">
        <v>2765</v>
      </c>
      <c r="B2765" s="132">
        <v>41866</v>
      </c>
      <c r="C2765" s="117">
        <v>1</v>
      </c>
      <c r="D2765" s="103" t="s">
        <v>71</v>
      </c>
      <c r="E2765" s="103" t="s">
        <v>306</v>
      </c>
      <c r="H2765" s="103"/>
      <c r="I2765" s="103">
        <v>53</v>
      </c>
      <c r="K2765" s="103" t="s">
        <v>365</v>
      </c>
      <c r="L2765" s="133"/>
      <c r="M2765" s="134">
        <v>1.5277777777777777E-2</v>
      </c>
      <c r="N2765" s="135" t="s">
        <v>1660</v>
      </c>
      <c r="O2765" s="133" t="s">
        <v>1663</v>
      </c>
      <c r="Q2765" s="100" t="s">
        <v>4256</v>
      </c>
      <c r="R2765" s="226" t="s">
        <v>4265</v>
      </c>
      <c r="S2765" s="491" t="str">
        <f t="shared" si="89"/>
        <v>x</v>
      </c>
      <c r="T2765" s="492" t="str">
        <f>IFERROR(VLOOKUP(F2765,'Freq-Chan'!C:D,2,FALSE),"x")</f>
        <v>x</v>
      </c>
      <c r="U2765" s="110" t="s">
        <v>541</v>
      </c>
      <c r="V2765" s="110" t="str">
        <f t="shared" si="90"/>
        <v>FWL</v>
      </c>
      <c r="W2765" s="110" t="s">
        <v>541</v>
      </c>
      <c r="X2765" s="110" t="s">
        <v>541</v>
      </c>
      <c r="Y2765" s="110" t="str">
        <f>IFERROR(VLOOKUP(F2765,'Freq-Chan'!C:E,3,FALSE),"na")</f>
        <v>na</v>
      </c>
      <c r="Z2765" s="110" t="s">
        <v>541</v>
      </c>
      <c r="AA2765" s="110" t="s">
        <v>541</v>
      </c>
      <c r="AB2765" s="110" t="s">
        <v>541</v>
      </c>
      <c r="AC2765" s="10" t="s">
        <v>541</v>
      </c>
      <c r="AD2765" s="10" t="s">
        <v>541</v>
      </c>
    </row>
    <row r="2766" spans="1:30" x14ac:dyDescent="0.2">
      <c r="A2766" s="110">
        <v>2766</v>
      </c>
      <c r="B2766" s="132">
        <v>41866</v>
      </c>
      <c r="C2766" s="117">
        <v>1</v>
      </c>
      <c r="D2766" s="103" t="s">
        <v>71</v>
      </c>
      <c r="E2766" s="103" t="s">
        <v>306</v>
      </c>
      <c r="H2766" s="103"/>
      <c r="I2766" s="103">
        <v>59</v>
      </c>
      <c r="K2766" s="103" t="s">
        <v>365</v>
      </c>
      <c r="L2766" s="133"/>
      <c r="M2766" s="134">
        <v>1.2499999999999999E-2</v>
      </c>
      <c r="N2766" s="135" t="s">
        <v>4191</v>
      </c>
      <c r="O2766" s="133" t="s">
        <v>1663</v>
      </c>
      <c r="Q2766" s="100" t="s">
        <v>4256</v>
      </c>
      <c r="R2766" s="226" t="s">
        <v>4265</v>
      </c>
      <c r="S2766" s="491" t="str">
        <f t="shared" si="89"/>
        <v>x</v>
      </c>
      <c r="T2766" s="492" t="str">
        <f>IFERROR(VLOOKUP(F2766,'Freq-Chan'!C:D,2,FALSE),"x")</f>
        <v>x</v>
      </c>
      <c r="U2766" s="110" t="s">
        <v>541</v>
      </c>
      <c r="V2766" s="110" t="str">
        <f t="shared" si="90"/>
        <v>FWL</v>
      </c>
      <c r="W2766" s="110" t="s">
        <v>541</v>
      </c>
      <c r="X2766" s="110" t="s">
        <v>541</v>
      </c>
      <c r="Y2766" s="110" t="str">
        <f>IFERROR(VLOOKUP(F2766,'Freq-Chan'!C:E,3,FALSE),"na")</f>
        <v>na</v>
      </c>
      <c r="Z2766" s="110" t="s">
        <v>541</v>
      </c>
      <c r="AA2766" s="110" t="s">
        <v>541</v>
      </c>
      <c r="AB2766" s="110" t="s">
        <v>541</v>
      </c>
      <c r="AC2766" s="10" t="s">
        <v>541</v>
      </c>
      <c r="AD2766" s="10" t="s">
        <v>541</v>
      </c>
    </row>
    <row r="2767" spans="1:30" x14ac:dyDescent="0.2">
      <c r="A2767" s="110">
        <v>2767</v>
      </c>
      <c r="B2767" s="132">
        <v>41866</v>
      </c>
      <c r="C2767" s="117">
        <v>1</v>
      </c>
      <c r="D2767" s="103" t="s">
        <v>70</v>
      </c>
      <c r="E2767" s="103" t="s">
        <v>306</v>
      </c>
      <c r="H2767" s="103"/>
      <c r="I2767" s="103">
        <v>45</v>
      </c>
      <c r="K2767" s="103" t="s">
        <v>1032</v>
      </c>
      <c r="L2767" s="133"/>
      <c r="M2767" s="134">
        <v>1.4583333333333332E-2</v>
      </c>
      <c r="N2767" s="137" t="s">
        <v>3884</v>
      </c>
      <c r="O2767" s="133" t="s">
        <v>1663</v>
      </c>
      <c r="Q2767" s="100" t="s">
        <v>4256</v>
      </c>
      <c r="R2767" s="226" t="s">
        <v>4265</v>
      </c>
      <c r="S2767" s="491" t="str">
        <f t="shared" si="89"/>
        <v>x</v>
      </c>
      <c r="T2767" s="492" t="str">
        <f>IFERROR(VLOOKUP(F2767,'Freq-Chan'!C:D,2,FALSE),"x")</f>
        <v>x</v>
      </c>
      <c r="U2767" s="110" t="s">
        <v>541</v>
      </c>
      <c r="V2767" s="110" t="str">
        <f t="shared" si="90"/>
        <v>FWL</v>
      </c>
      <c r="W2767" s="110" t="s">
        <v>541</v>
      </c>
      <c r="X2767" s="110" t="s">
        <v>541</v>
      </c>
      <c r="Y2767" s="110" t="str">
        <f>IFERROR(VLOOKUP(F2767,'Freq-Chan'!C:E,3,FALSE),"na")</f>
        <v>na</v>
      </c>
      <c r="Z2767" s="110" t="s">
        <v>541</v>
      </c>
      <c r="AA2767" s="110" t="s">
        <v>541</v>
      </c>
      <c r="AB2767" s="110" t="s">
        <v>541</v>
      </c>
      <c r="AC2767" s="10" t="s">
        <v>541</v>
      </c>
      <c r="AD2767" s="10" t="s">
        <v>541</v>
      </c>
    </row>
    <row r="2768" spans="1:30" x14ac:dyDescent="0.2">
      <c r="A2768" s="110">
        <v>2768</v>
      </c>
      <c r="B2768" s="132">
        <v>41866</v>
      </c>
      <c r="C2768" s="117">
        <v>1</v>
      </c>
      <c r="D2768" s="103" t="s">
        <v>71</v>
      </c>
      <c r="E2768" s="103" t="s">
        <v>306</v>
      </c>
      <c r="F2768" s="103">
        <v>564</v>
      </c>
      <c r="G2768" s="103">
        <v>4</v>
      </c>
      <c r="H2768" s="103" t="s">
        <v>2455</v>
      </c>
      <c r="I2768" s="103">
        <v>57</v>
      </c>
      <c r="K2768" s="103" t="s">
        <v>365</v>
      </c>
      <c r="L2768" s="133"/>
      <c r="M2768" s="134">
        <v>2.4999999999999998E-2</v>
      </c>
      <c r="N2768" s="135" t="s">
        <v>2633</v>
      </c>
      <c r="O2768" s="133" t="s">
        <v>1033</v>
      </c>
      <c r="Q2768" s="100" t="s">
        <v>4256</v>
      </c>
      <c r="R2768" s="226" t="s">
        <v>4265</v>
      </c>
      <c r="S2768" s="491" t="str">
        <f t="shared" si="89"/>
        <v>x</v>
      </c>
      <c r="T2768" s="492">
        <f>IFERROR(VLOOKUP(F2768,'Freq-Chan'!C:D,2,FALSE),"x")</f>
        <v>151.56399999999999</v>
      </c>
      <c r="U2768" s="110" t="s">
        <v>541</v>
      </c>
      <c r="V2768" s="110" t="str">
        <f t="shared" si="90"/>
        <v>FWL</v>
      </c>
      <c r="W2768" s="110" t="s">
        <v>541</v>
      </c>
      <c r="X2768" s="110" t="s">
        <v>541</v>
      </c>
      <c r="Y2768" s="110" t="str">
        <f>IFERROR(VLOOKUP(F2768,'Freq-Chan'!C:E,3,FALSE),"na")</f>
        <v>F1840</v>
      </c>
      <c r="Z2768" s="110" t="s">
        <v>541</v>
      </c>
      <c r="AA2768" s="110" t="s">
        <v>541</v>
      </c>
      <c r="AB2768" s="110" t="s">
        <v>541</v>
      </c>
      <c r="AC2768" s="10" t="s">
        <v>541</v>
      </c>
      <c r="AD2768" s="10" t="s">
        <v>541</v>
      </c>
    </row>
    <row r="2769" spans="1:30" x14ac:dyDescent="0.2">
      <c r="A2769" s="110">
        <v>2769</v>
      </c>
      <c r="B2769" s="132">
        <v>41866</v>
      </c>
      <c r="C2769" s="117">
        <v>1</v>
      </c>
      <c r="D2769" s="103" t="s">
        <v>8</v>
      </c>
      <c r="E2769" s="103" t="s">
        <v>306</v>
      </c>
      <c r="F2769" s="103">
        <v>573</v>
      </c>
      <c r="G2769" s="103">
        <v>25</v>
      </c>
      <c r="H2769" s="103" t="s">
        <v>2271</v>
      </c>
      <c r="I2769" s="103">
        <v>48</v>
      </c>
      <c r="K2769" s="103" t="s">
        <v>365</v>
      </c>
      <c r="L2769" s="133"/>
      <c r="M2769" s="134">
        <v>2.361111111111111E-2</v>
      </c>
      <c r="N2769" s="135" t="s">
        <v>4260</v>
      </c>
      <c r="O2769" s="133" t="s">
        <v>1538</v>
      </c>
      <c r="Q2769" s="100" t="s">
        <v>4256</v>
      </c>
      <c r="R2769" s="226" t="s">
        <v>4265</v>
      </c>
      <c r="S2769" s="491" t="str">
        <f t="shared" si="89"/>
        <v>x</v>
      </c>
      <c r="T2769" s="492">
        <f>IFERROR(VLOOKUP(F2769,'Freq-Chan'!C:D,2,FALSE),"x")</f>
        <v>151.57300000000001</v>
      </c>
      <c r="U2769" s="110" t="s">
        <v>541</v>
      </c>
      <c r="V2769" s="110" t="str">
        <f t="shared" si="90"/>
        <v>FWL</v>
      </c>
      <c r="W2769" s="110" t="s">
        <v>541</v>
      </c>
      <c r="X2769" s="110" t="s">
        <v>541</v>
      </c>
      <c r="Y2769" s="110" t="str">
        <f>IFERROR(VLOOKUP(F2769,'Freq-Chan'!C:E,3,FALSE),"na")</f>
        <v>F1840</v>
      </c>
      <c r="Z2769" s="110" t="s">
        <v>541</v>
      </c>
      <c r="AA2769" s="110" t="s">
        <v>541</v>
      </c>
      <c r="AB2769" s="110" t="s">
        <v>541</v>
      </c>
      <c r="AC2769" s="10" t="s">
        <v>541</v>
      </c>
      <c r="AD2769" s="10" t="s">
        <v>541</v>
      </c>
    </row>
    <row r="2770" spans="1:30" x14ac:dyDescent="0.2">
      <c r="A2770" s="110">
        <v>2770</v>
      </c>
      <c r="B2770" s="132">
        <v>41866</v>
      </c>
      <c r="C2770" s="117">
        <v>1</v>
      </c>
      <c r="D2770" s="103" t="s">
        <v>8</v>
      </c>
      <c r="E2770" s="103" t="s">
        <v>306</v>
      </c>
      <c r="F2770" s="103">
        <v>586</v>
      </c>
      <c r="G2770" s="103">
        <v>77</v>
      </c>
      <c r="H2770" s="103" t="s">
        <v>2273</v>
      </c>
      <c r="I2770" s="103">
        <v>53</v>
      </c>
      <c r="K2770" s="103" t="s">
        <v>1032</v>
      </c>
      <c r="L2770" s="133">
        <v>0.60833333333333328</v>
      </c>
      <c r="M2770" s="134">
        <v>3.1944444444444449E-2</v>
      </c>
      <c r="N2770" s="137" t="s">
        <v>3309</v>
      </c>
      <c r="O2770" s="133" t="s">
        <v>1033</v>
      </c>
      <c r="Q2770" s="100" t="s">
        <v>4256</v>
      </c>
      <c r="R2770" s="226" t="s">
        <v>4265</v>
      </c>
      <c r="S2770" s="491">
        <f t="shared" si="89"/>
        <v>5.0231481000000003E-3</v>
      </c>
      <c r="T2770" s="492">
        <f>IFERROR(VLOOKUP(F2770,'Freq-Chan'!C:D,2,FALSE),"x")</f>
        <v>151.58600000000001</v>
      </c>
      <c r="U2770" s="110" t="s">
        <v>541</v>
      </c>
      <c r="V2770" s="110" t="str">
        <f t="shared" si="90"/>
        <v>FWL</v>
      </c>
      <c r="W2770" s="110" t="s">
        <v>541</v>
      </c>
      <c r="X2770" s="110" t="s">
        <v>541</v>
      </c>
      <c r="Y2770" s="110" t="str">
        <f>IFERROR(VLOOKUP(F2770,'Freq-Chan'!C:E,3,FALSE),"na")</f>
        <v>F1840</v>
      </c>
      <c r="Z2770" s="110" t="s">
        <v>541</v>
      </c>
      <c r="AA2770" s="110" t="s">
        <v>541</v>
      </c>
      <c r="AB2770" s="110" t="s">
        <v>541</v>
      </c>
      <c r="AC2770" s="10" t="s">
        <v>541</v>
      </c>
      <c r="AD2770" s="10" t="s">
        <v>541</v>
      </c>
    </row>
    <row r="2771" spans="1:30" x14ac:dyDescent="0.2">
      <c r="A2771" s="110">
        <v>2771</v>
      </c>
      <c r="B2771" s="132">
        <v>41866</v>
      </c>
      <c r="C2771" s="117">
        <v>1</v>
      </c>
      <c r="D2771" s="103" t="s">
        <v>70</v>
      </c>
      <c r="E2771" s="103" t="s">
        <v>306</v>
      </c>
      <c r="H2771" s="103"/>
      <c r="I2771" s="103">
        <v>50</v>
      </c>
      <c r="K2771" s="103" t="s">
        <v>1032</v>
      </c>
      <c r="L2771" s="133"/>
      <c r="M2771" s="134">
        <v>1.3888888888888888E-2</v>
      </c>
      <c r="N2771" s="135" t="s">
        <v>3289</v>
      </c>
      <c r="O2771" s="133" t="s">
        <v>1538</v>
      </c>
      <c r="Q2771" s="100" t="s">
        <v>4256</v>
      </c>
      <c r="R2771" s="226" t="s">
        <v>4265</v>
      </c>
      <c r="S2771" s="491" t="str">
        <f t="shared" si="89"/>
        <v>x</v>
      </c>
      <c r="T2771" s="492" t="str">
        <f>IFERROR(VLOOKUP(F2771,'Freq-Chan'!C:D,2,FALSE),"x")</f>
        <v>x</v>
      </c>
      <c r="U2771" s="110" t="s">
        <v>541</v>
      </c>
      <c r="V2771" s="110" t="str">
        <f t="shared" si="90"/>
        <v>FWL</v>
      </c>
      <c r="W2771" s="110" t="s">
        <v>541</v>
      </c>
      <c r="X2771" s="110" t="s">
        <v>541</v>
      </c>
      <c r="Y2771" s="110" t="str">
        <f>IFERROR(VLOOKUP(F2771,'Freq-Chan'!C:E,3,FALSE),"na")</f>
        <v>na</v>
      </c>
      <c r="Z2771" s="110" t="s">
        <v>541</v>
      </c>
      <c r="AA2771" s="110" t="s">
        <v>541</v>
      </c>
      <c r="AB2771" s="110" t="s">
        <v>541</v>
      </c>
      <c r="AC2771" s="10" t="s">
        <v>541</v>
      </c>
      <c r="AD2771" s="10" t="s">
        <v>541</v>
      </c>
    </row>
    <row r="2772" spans="1:30" x14ac:dyDescent="0.2">
      <c r="A2772" s="110">
        <v>2772</v>
      </c>
      <c r="B2772" s="132">
        <v>41866</v>
      </c>
      <c r="C2772" s="117">
        <v>1</v>
      </c>
      <c r="D2772" s="103" t="s">
        <v>71</v>
      </c>
      <c r="E2772" s="103" t="s">
        <v>306</v>
      </c>
      <c r="H2772" s="103"/>
      <c r="I2772" s="103">
        <v>59</v>
      </c>
      <c r="K2772" s="103" t="s">
        <v>1032</v>
      </c>
      <c r="L2772" s="133"/>
      <c r="M2772" s="134">
        <v>1.3888888888888888E-2</v>
      </c>
      <c r="N2772" s="135" t="s">
        <v>3759</v>
      </c>
      <c r="O2772" s="133" t="s">
        <v>1538</v>
      </c>
      <c r="Q2772" s="100" t="s">
        <v>4256</v>
      </c>
      <c r="R2772" s="226" t="s">
        <v>4265</v>
      </c>
      <c r="S2772" s="491" t="str">
        <f t="shared" si="89"/>
        <v>x</v>
      </c>
      <c r="T2772" s="492" t="str">
        <f>IFERROR(VLOOKUP(F2772,'Freq-Chan'!C:D,2,FALSE),"x")</f>
        <v>x</v>
      </c>
      <c r="U2772" s="110" t="s">
        <v>541</v>
      </c>
      <c r="V2772" s="110" t="str">
        <f t="shared" si="90"/>
        <v>FWL</v>
      </c>
      <c r="W2772" s="110" t="s">
        <v>541</v>
      </c>
      <c r="X2772" s="110" t="s">
        <v>541</v>
      </c>
      <c r="Y2772" s="110" t="str">
        <f>IFERROR(VLOOKUP(F2772,'Freq-Chan'!C:E,3,FALSE),"na")</f>
        <v>na</v>
      </c>
      <c r="Z2772" s="110" t="s">
        <v>541</v>
      </c>
      <c r="AA2772" s="110" t="s">
        <v>541</v>
      </c>
      <c r="AB2772" s="110" t="s">
        <v>541</v>
      </c>
      <c r="AC2772" s="10" t="s">
        <v>541</v>
      </c>
      <c r="AD2772" s="10" t="s">
        <v>541</v>
      </c>
    </row>
    <row r="2773" spans="1:30" x14ac:dyDescent="0.2">
      <c r="A2773" s="110">
        <v>2773</v>
      </c>
      <c r="B2773" s="132">
        <v>41866</v>
      </c>
      <c r="C2773" s="117">
        <v>1</v>
      </c>
      <c r="D2773" s="103" t="s">
        <v>70</v>
      </c>
      <c r="E2773" s="103" t="s">
        <v>306</v>
      </c>
      <c r="H2773" s="103"/>
      <c r="I2773" s="103">
        <v>43</v>
      </c>
      <c r="K2773" s="103" t="s">
        <v>365</v>
      </c>
      <c r="L2773" s="133"/>
      <c r="M2773" s="134">
        <v>1.4583333333333332E-2</v>
      </c>
      <c r="N2773" s="135" t="s">
        <v>3807</v>
      </c>
      <c r="O2773" s="133" t="s">
        <v>1538</v>
      </c>
      <c r="Q2773" s="100" t="s">
        <v>4256</v>
      </c>
      <c r="R2773" s="226" t="s">
        <v>4265</v>
      </c>
      <c r="S2773" s="491" t="str">
        <f t="shared" si="89"/>
        <v>x</v>
      </c>
      <c r="T2773" s="492" t="str">
        <f>IFERROR(VLOOKUP(F2773,'Freq-Chan'!C:D,2,FALSE),"x")</f>
        <v>x</v>
      </c>
      <c r="U2773" s="110" t="s">
        <v>541</v>
      </c>
      <c r="V2773" s="110" t="str">
        <f t="shared" si="90"/>
        <v>FWL</v>
      </c>
      <c r="W2773" s="110" t="s">
        <v>541</v>
      </c>
      <c r="X2773" s="110" t="s">
        <v>541</v>
      </c>
      <c r="Y2773" s="110" t="str">
        <f>IFERROR(VLOOKUP(F2773,'Freq-Chan'!C:E,3,FALSE),"na")</f>
        <v>na</v>
      </c>
      <c r="Z2773" s="110" t="s">
        <v>541</v>
      </c>
      <c r="AA2773" s="110" t="s">
        <v>541</v>
      </c>
      <c r="AB2773" s="110" t="s">
        <v>541</v>
      </c>
      <c r="AC2773" s="10" t="s">
        <v>541</v>
      </c>
      <c r="AD2773" s="10" t="s">
        <v>541</v>
      </c>
    </row>
    <row r="2774" spans="1:30" x14ac:dyDescent="0.2">
      <c r="A2774" s="110">
        <v>2774</v>
      </c>
      <c r="B2774" s="132">
        <v>41866</v>
      </c>
      <c r="C2774" s="117">
        <v>1</v>
      </c>
      <c r="D2774" s="103" t="s">
        <v>70</v>
      </c>
      <c r="E2774" s="103" t="s">
        <v>306</v>
      </c>
      <c r="H2774" s="103"/>
      <c r="I2774" s="103">
        <v>47</v>
      </c>
      <c r="K2774" s="103" t="s">
        <v>365</v>
      </c>
      <c r="L2774" s="133"/>
      <c r="M2774" s="134">
        <v>2.361111111111111E-2</v>
      </c>
      <c r="N2774" s="135" t="s">
        <v>3809</v>
      </c>
      <c r="O2774" s="133" t="s">
        <v>1538</v>
      </c>
      <c r="Q2774" s="100" t="s">
        <v>4256</v>
      </c>
      <c r="R2774" s="226" t="s">
        <v>4265</v>
      </c>
      <c r="S2774" s="491" t="str">
        <f t="shared" si="89"/>
        <v>x</v>
      </c>
      <c r="T2774" s="492" t="str">
        <f>IFERROR(VLOOKUP(F2774,'Freq-Chan'!C:D,2,FALSE),"x")</f>
        <v>x</v>
      </c>
      <c r="U2774" s="110" t="s">
        <v>541</v>
      </c>
      <c r="V2774" s="110" t="str">
        <f t="shared" si="90"/>
        <v>FWL</v>
      </c>
      <c r="W2774" s="110" t="s">
        <v>541</v>
      </c>
      <c r="X2774" s="110" t="s">
        <v>541</v>
      </c>
      <c r="Y2774" s="110" t="str">
        <f>IFERROR(VLOOKUP(F2774,'Freq-Chan'!C:E,3,FALSE),"na")</f>
        <v>na</v>
      </c>
      <c r="Z2774" s="110" t="s">
        <v>541</v>
      </c>
      <c r="AA2774" s="110" t="s">
        <v>541</v>
      </c>
      <c r="AB2774" s="110" t="s">
        <v>541</v>
      </c>
      <c r="AC2774" s="10" t="s">
        <v>541</v>
      </c>
      <c r="AD2774" s="10" t="s">
        <v>541</v>
      </c>
    </row>
    <row r="2775" spans="1:30" x14ac:dyDescent="0.2">
      <c r="A2775" s="110">
        <v>2775</v>
      </c>
      <c r="B2775" s="132">
        <v>41866</v>
      </c>
      <c r="C2775" s="117">
        <v>1</v>
      </c>
      <c r="D2775" s="103" t="s">
        <v>71</v>
      </c>
      <c r="E2775" s="103" t="s">
        <v>306</v>
      </c>
      <c r="H2775" s="103"/>
      <c r="I2775" s="103">
        <v>60</v>
      </c>
      <c r="K2775" s="103" t="s">
        <v>1032</v>
      </c>
      <c r="L2775" s="133"/>
      <c r="M2775" s="134">
        <v>1.5972222222222224E-2</v>
      </c>
      <c r="N2775" s="135" t="s">
        <v>4085</v>
      </c>
      <c r="O2775" s="133" t="s">
        <v>1538</v>
      </c>
      <c r="Q2775" s="100" t="s">
        <v>4256</v>
      </c>
      <c r="R2775" s="226" t="s">
        <v>4265</v>
      </c>
      <c r="S2775" s="491" t="str">
        <f t="shared" si="89"/>
        <v>x</v>
      </c>
      <c r="T2775" s="492" t="str">
        <f>IFERROR(VLOOKUP(F2775,'Freq-Chan'!C:D,2,FALSE),"x")</f>
        <v>x</v>
      </c>
      <c r="U2775" s="110" t="s">
        <v>541</v>
      </c>
      <c r="V2775" s="110" t="str">
        <f t="shared" si="90"/>
        <v>FWL</v>
      </c>
      <c r="W2775" s="110" t="s">
        <v>541</v>
      </c>
      <c r="X2775" s="110" t="s">
        <v>541</v>
      </c>
      <c r="Y2775" s="110" t="str">
        <f>IFERROR(VLOOKUP(F2775,'Freq-Chan'!C:E,3,FALSE),"na")</f>
        <v>na</v>
      </c>
      <c r="Z2775" s="110" t="s">
        <v>541</v>
      </c>
      <c r="AA2775" s="110" t="s">
        <v>541</v>
      </c>
      <c r="AB2775" s="110" t="s">
        <v>541</v>
      </c>
      <c r="AC2775" s="10" t="s">
        <v>541</v>
      </c>
      <c r="AD2775" s="10" t="s">
        <v>541</v>
      </c>
    </row>
    <row r="2776" spans="1:30" x14ac:dyDescent="0.2">
      <c r="A2776" s="110">
        <v>2776</v>
      </c>
      <c r="B2776" s="132">
        <v>41866</v>
      </c>
      <c r="C2776" s="117">
        <v>1</v>
      </c>
      <c r="D2776" s="103" t="s">
        <v>70</v>
      </c>
      <c r="E2776" s="103" t="s">
        <v>306</v>
      </c>
      <c r="H2776" s="103"/>
      <c r="I2776" s="103">
        <v>45</v>
      </c>
      <c r="K2776" s="103" t="s">
        <v>365</v>
      </c>
      <c r="L2776" s="133"/>
      <c r="M2776" s="134">
        <v>1.4583333333333332E-2</v>
      </c>
      <c r="N2776" s="137" t="s">
        <v>4194</v>
      </c>
      <c r="O2776" s="133" t="s">
        <v>1538</v>
      </c>
      <c r="Q2776" s="100" t="s">
        <v>4256</v>
      </c>
      <c r="R2776" s="226" t="s">
        <v>4265</v>
      </c>
      <c r="S2776" s="491" t="str">
        <f t="shared" si="89"/>
        <v>x</v>
      </c>
      <c r="T2776" s="492" t="str">
        <f>IFERROR(VLOOKUP(F2776,'Freq-Chan'!C:D,2,FALSE),"x")</f>
        <v>x</v>
      </c>
      <c r="U2776" s="110" t="s">
        <v>541</v>
      </c>
      <c r="V2776" s="110" t="str">
        <f t="shared" si="90"/>
        <v>FWL</v>
      </c>
      <c r="W2776" s="110" t="s">
        <v>541</v>
      </c>
      <c r="X2776" s="110" t="s">
        <v>541</v>
      </c>
      <c r="Y2776" s="110" t="str">
        <f>IFERROR(VLOOKUP(F2776,'Freq-Chan'!C:E,3,FALSE),"na")</f>
        <v>na</v>
      </c>
      <c r="Z2776" s="110" t="s">
        <v>541</v>
      </c>
      <c r="AA2776" s="110" t="s">
        <v>541</v>
      </c>
      <c r="AB2776" s="110" t="s">
        <v>541</v>
      </c>
      <c r="AC2776" s="10" t="s">
        <v>541</v>
      </c>
      <c r="AD2776" s="10" t="s">
        <v>541</v>
      </c>
    </row>
    <row r="2777" spans="1:30" x14ac:dyDescent="0.2">
      <c r="A2777" s="110">
        <v>2777</v>
      </c>
      <c r="B2777" s="132">
        <v>41866</v>
      </c>
      <c r="C2777" s="117">
        <v>1</v>
      </c>
      <c r="D2777" s="103" t="s">
        <v>71</v>
      </c>
      <c r="E2777" s="103" t="s">
        <v>306</v>
      </c>
      <c r="H2777" s="103"/>
      <c r="I2777" s="103">
        <v>54</v>
      </c>
      <c r="K2777" s="103" t="s">
        <v>365</v>
      </c>
      <c r="L2777" s="133"/>
      <c r="M2777" s="134">
        <v>1.3194444444444444E-2</v>
      </c>
      <c r="N2777" s="137" t="s">
        <v>3882</v>
      </c>
      <c r="O2777" s="133" t="s">
        <v>1538</v>
      </c>
      <c r="Q2777" s="100" t="s">
        <v>4256</v>
      </c>
      <c r="R2777" s="226" t="s">
        <v>4265</v>
      </c>
      <c r="S2777" s="491" t="str">
        <f t="shared" si="89"/>
        <v>x</v>
      </c>
      <c r="T2777" s="492" t="str">
        <f>IFERROR(VLOOKUP(F2777,'Freq-Chan'!C:D,2,FALSE),"x")</f>
        <v>x</v>
      </c>
      <c r="U2777" s="110" t="s">
        <v>541</v>
      </c>
      <c r="V2777" s="110" t="str">
        <f t="shared" si="90"/>
        <v>FWL</v>
      </c>
      <c r="W2777" s="110" t="s">
        <v>541</v>
      </c>
      <c r="X2777" s="110" t="s">
        <v>541</v>
      </c>
      <c r="Y2777" s="110" t="str">
        <f>IFERROR(VLOOKUP(F2777,'Freq-Chan'!C:E,3,FALSE),"na")</f>
        <v>na</v>
      </c>
      <c r="Z2777" s="110" t="s">
        <v>541</v>
      </c>
      <c r="AA2777" s="110" t="s">
        <v>541</v>
      </c>
      <c r="AB2777" s="110" t="s">
        <v>541</v>
      </c>
      <c r="AC2777" s="10" t="s">
        <v>541</v>
      </c>
      <c r="AD2777" s="10" t="s">
        <v>541</v>
      </c>
    </row>
    <row r="2778" spans="1:30" x14ac:dyDescent="0.2">
      <c r="A2778" s="110">
        <v>2778</v>
      </c>
      <c r="B2778" s="132">
        <v>41866</v>
      </c>
      <c r="C2778" s="117">
        <v>1</v>
      </c>
      <c r="D2778" s="103" t="s">
        <v>71</v>
      </c>
      <c r="E2778" s="103" t="s">
        <v>306</v>
      </c>
      <c r="F2778" s="103">
        <v>564</v>
      </c>
      <c r="G2778" s="103">
        <v>19</v>
      </c>
      <c r="H2778" s="103" t="s">
        <v>2456</v>
      </c>
      <c r="I2778" s="103">
        <v>57</v>
      </c>
      <c r="K2778" s="103" t="s">
        <v>365</v>
      </c>
      <c r="L2778" s="133"/>
      <c r="M2778" s="134">
        <v>3.8194444444444441E-2</v>
      </c>
      <c r="N2778" s="137" t="s">
        <v>4002</v>
      </c>
      <c r="O2778" s="133" t="s">
        <v>1538</v>
      </c>
      <c r="Q2778" s="100" t="s">
        <v>4256</v>
      </c>
      <c r="R2778" s="226" t="s">
        <v>4265</v>
      </c>
      <c r="S2778" s="491" t="str">
        <f t="shared" si="89"/>
        <v>x</v>
      </c>
      <c r="T2778" s="492">
        <f>IFERROR(VLOOKUP(F2778,'Freq-Chan'!C:D,2,FALSE),"x")</f>
        <v>151.56399999999999</v>
      </c>
      <c r="U2778" s="110" t="s">
        <v>541</v>
      </c>
      <c r="V2778" s="110" t="str">
        <f t="shared" si="90"/>
        <v>FWL</v>
      </c>
      <c r="W2778" s="110" t="s">
        <v>541</v>
      </c>
      <c r="X2778" s="110" t="s">
        <v>541</v>
      </c>
      <c r="Y2778" s="110" t="str">
        <f>IFERROR(VLOOKUP(F2778,'Freq-Chan'!C:E,3,FALSE),"na")</f>
        <v>F1840</v>
      </c>
      <c r="Z2778" s="110" t="s">
        <v>541</v>
      </c>
      <c r="AA2778" s="110" t="s">
        <v>541</v>
      </c>
      <c r="AB2778" s="110" t="s">
        <v>541</v>
      </c>
      <c r="AC2778" s="10" t="s">
        <v>541</v>
      </c>
      <c r="AD2778" s="10" t="s">
        <v>541</v>
      </c>
    </row>
    <row r="2779" spans="1:30" x14ac:dyDescent="0.2">
      <c r="A2779" s="110">
        <v>2779</v>
      </c>
      <c r="B2779" s="132">
        <v>41866</v>
      </c>
      <c r="C2779" s="117">
        <v>1</v>
      </c>
      <c r="D2779" s="103" t="s">
        <v>70</v>
      </c>
      <c r="E2779" s="103" t="s">
        <v>306</v>
      </c>
      <c r="H2779" s="103"/>
      <c r="I2779" s="103">
        <v>45</v>
      </c>
      <c r="K2779" s="103" t="s">
        <v>365</v>
      </c>
      <c r="L2779" s="133"/>
      <c r="M2779" s="134">
        <v>1.4583333333333332E-2</v>
      </c>
      <c r="N2779" s="137" t="s">
        <v>589</v>
      </c>
      <c r="O2779" s="133" t="s">
        <v>1033</v>
      </c>
      <c r="Q2779" s="100" t="s">
        <v>4256</v>
      </c>
      <c r="R2779" s="226" t="s">
        <v>4265</v>
      </c>
      <c r="S2779" s="491" t="str">
        <f t="shared" si="89"/>
        <v>x</v>
      </c>
      <c r="T2779" s="492" t="str">
        <f>IFERROR(VLOOKUP(F2779,'Freq-Chan'!C:D,2,FALSE),"x")</f>
        <v>x</v>
      </c>
      <c r="U2779" s="110" t="s">
        <v>541</v>
      </c>
      <c r="V2779" s="110" t="str">
        <f t="shared" si="90"/>
        <v>FWL</v>
      </c>
      <c r="W2779" s="110" t="s">
        <v>541</v>
      </c>
      <c r="X2779" s="110" t="s">
        <v>541</v>
      </c>
      <c r="Y2779" s="110" t="str">
        <f>IFERROR(VLOOKUP(F2779,'Freq-Chan'!C:E,3,FALSE),"na")</f>
        <v>na</v>
      </c>
      <c r="Z2779" s="110" t="s">
        <v>541</v>
      </c>
      <c r="AA2779" s="110" t="s">
        <v>541</v>
      </c>
      <c r="AB2779" s="110" t="s">
        <v>541</v>
      </c>
      <c r="AC2779" s="10" t="s">
        <v>541</v>
      </c>
      <c r="AD2779" s="10" t="s">
        <v>541</v>
      </c>
    </row>
    <row r="2780" spans="1:30" x14ac:dyDescent="0.2">
      <c r="A2780" s="110">
        <v>2780</v>
      </c>
      <c r="B2780" s="132">
        <v>41866</v>
      </c>
      <c r="C2780" s="117">
        <v>1</v>
      </c>
      <c r="D2780" s="103" t="s">
        <v>70</v>
      </c>
      <c r="E2780" s="103" t="s">
        <v>306</v>
      </c>
      <c r="H2780" s="103"/>
      <c r="I2780" s="103">
        <v>46</v>
      </c>
      <c r="K2780" s="103" t="s">
        <v>1032</v>
      </c>
      <c r="L2780" s="133"/>
      <c r="M2780" s="134">
        <v>1.2499999999999999E-2</v>
      </c>
      <c r="N2780" s="137" t="s">
        <v>2841</v>
      </c>
      <c r="O2780" s="133" t="s">
        <v>1033</v>
      </c>
      <c r="Q2780" s="100" t="s">
        <v>4256</v>
      </c>
      <c r="R2780" s="226" t="s">
        <v>4265</v>
      </c>
      <c r="S2780" s="491" t="str">
        <f t="shared" si="89"/>
        <v>x</v>
      </c>
      <c r="T2780" s="492" t="str">
        <f>IFERROR(VLOOKUP(F2780,'Freq-Chan'!C:D,2,FALSE),"x")</f>
        <v>x</v>
      </c>
      <c r="U2780" s="110" t="s">
        <v>541</v>
      </c>
      <c r="V2780" s="110" t="str">
        <f t="shared" si="90"/>
        <v>FWL</v>
      </c>
      <c r="W2780" s="110" t="s">
        <v>541</v>
      </c>
      <c r="X2780" s="110" t="s">
        <v>541</v>
      </c>
      <c r="Y2780" s="110" t="str">
        <f>IFERROR(VLOOKUP(F2780,'Freq-Chan'!C:E,3,FALSE),"na")</f>
        <v>na</v>
      </c>
      <c r="Z2780" s="110" t="s">
        <v>541</v>
      </c>
      <c r="AA2780" s="110" t="s">
        <v>541</v>
      </c>
      <c r="AB2780" s="110" t="s">
        <v>541</v>
      </c>
      <c r="AC2780" s="10" t="s">
        <v>541</v>
      </c>
      <c r="AD2780" s="10" t="s">
        <v>541</v>
      </c>
    </row>
    <row r="2781" spans="1:30" s="291" customFormat="1" x14ac:dyDescent="0.2">
      <c r="A2781" s="493">
        <v>2781</v>
      </c>
      <c r="B2781" s="283">
        <v>41866</v>
      </c>
      <c r="C2781" s="284">
        <v>1</v>
      </c>
      <c r="D2781" s="285" t="s">
        <v>97</v>
      </c>
      <c r="E2781" s="285" t="s">
        <v>798</v>
      </c>
      <c r="F2781" s="285"/>
      <c r="G2781" s="285"/>
      <c r="H2781" s="285"/>
      <c r="I2781" s="285"/>
      <c r="J2781" s="285">
        <v>21</v>
      </c>
      <c r="K2781" s="285" t="s">
        <v>364</v>
      </c>
      <c r="L2781" s="286"/>
      <c r="M2781" s="287">
        <v>2.013888888888889E-2</v>
      </c>
      <c r="N2781" s="339" t="s">
        <v>1852</v>
      </c>
      <c r="O2781" s="286" t="s">
        <v>1538</v>
      </c>
      <c r="P2781" s="289"/>
      <c r="Q2781" s="289" t="s">
        <v>4256</v>
      </c>
      <c r="R2781" s="290" t="s">
        <v>4265</v>
      </c>
      <c r="S2781" s="494" t="str">
        <f t="shared" si="89"/>
        <v>x</v>
      </c>
      <c r="T2781" s="495" t="str">
        <f>IFERROR(VLOOKUP(F2781,'Freq-Chan'!C:D,2,FALSE),"x")</f>
        <v>x</v>
      </c>
      <c r="U2781" s="493" t="s">
        <v>541</v>
      </c>
      <c r="V2781" s="493" t="str">
        <f t="shared" si="90"/>
        <v>FWL</v>
      </c>
      <c r="W2781" s="493" t="s">
        <v>541</v>
      </c>
      <c r="X2781" s="493" t="s">
        <v>541</v>
      </c>
      <c r="Y2781" s="493" t="str">
        <f>IFERROR(VLOOKUP(F2781,'Freq-Chan'!C:E,3,FALSE),"na")</f>
        <v>na</v>
      </c>
      <c r="Z2781" s="493" t="s">
        <v>541</v>
      </c>
      <c r="AA2781" s="493" t="s">
        <v>541</v>
      </c>
      <c r="AB2781" s="493" t="s">
        <v>541</v>
      </c>
      <c r="AC2781" s="291" t="s">
        <v>541</v>
      </c>
      <c r="AD2781" s="291" t="s">
        <v>541</v>
      </c>
    </row>
    <row r="2782" spans="1:30" x14ac:dyDescent="0.2">
      <c r="A2782" s="110">
        <v>2782</v>
      </c>
      <c r="B2782" s="132">
        <v>41866</v>
      </c>
      <c r="C2782" s="117">
        <v>2</v>
      </c>
      <c r="D2782" s="103" t="s">
        <v>71</v>
      </c>
      <c r="E2782" s="103" t="s">
        <v>306</v>
      </c>
      <c r="H2782" s="103"/>
      <c r="I2782" s="103">
        <v>64</v>
      </c>
      <c r="K2782" s="103" t="s">
        <v>365</v>
      </c>
      <c r="L2782" s="133"/>
      <c r="M2782" s="134">
        <v>1.4583333333333332E-2</v>
      </c>
      <c r="N2782" s="137" t="s">
        <v>2653</v>
      </c>
      <c r="O2782" s="133" t="s">
        <v>1663</v>
      </c>
      <c r="Q2782" s="100" t="s">
        <v>4256</v>
      </c>
      <c r="R2782" s="226" t="s">
        <v>4265</v>
      </c>
      <c r="S2782" s="491" t="str">
        <f t="shared" si="89"/>
        <v>x</v>
      </c>
      <c r="T2782" s="492" t="str">
        <f>IFERROR(VLOOKUP(F2782,'Freq-Chan'!C:D,2,FALSE),"x")</f>
        <v>x</v>
      </c>
      <c r="U2782" s="110" t="s">
        <v>541</v>
      </c>
      <c r="V2782" s="110" t="str">
        <f t="shared" si="90"/>
        <v>FWL</v>
      </c>
      <c r="W2782" s="110" t="s">
        <v>541</v>
      </c>
      <c r="X2782" s="110" t="s">
        <v>541</v>
      </c>
      <c r="Y2782" s="110" t="str">
        <f>IFERROR(VLOOKUP(F2782,'Freq-Chan'!C:E,3,FALSE),"na")</f>
        <v>na</v>
      </c>
      <c r="Z2782" s="110" t="s">
        <v>541</v>
      </c>
      <c r="AA2782" s="110" t="s">
        <v>541</v>
      </c>
      <c r="AB2782" s="110" t="s">
        <v>541</v>
      </c>
      <c r="AC2782" s="10" t="s">
        <v>541</v>
      </c>
      <c r="AD2782" s="10" t="s">
        <v>541</v>
      </c>
    </row>
    <row r="2783" spans="1:30" x14ac:dyDescent="0.2">
      <c r="A2783" s="110">
        <v>2783</v>
      </c>
      <c r="B2783" s="132">
        <v>41866</v>
      </c>
      <c r="C2783" s="117">
        <v>2</v>
      </c>
      <c r="D2783" s="103" t="s">
        <v>71</v>
      </c>
      <c r="E2783" s="103" t="s">
        <v>306</v>
      </c>
      <c r="H2783" s="103"/>
      <c r="I2783" s="103">
        <v>61</v>
      </c>
      <c r="K2783" s="103" t="s">
        <v>365</v>
      </c>
      <c r="L2783" s="133"/>
      <c r="M2783" s="134">
        <v>1.5972222222222224E-2</v>
      </c>
      <c r="N2783" s="137" t="s">
        <v>3797</v>
      </c>
      <c r="O2783" s="133" t="s">
        <v>1663</v>
      </c>
      <c r="Q2783" s="100" t="s">
        <v>4256</v>
      </c>
      <c r="R2783" s="226" t="s">
        <v>4265</v>
      </c>
      <c r="S2783" s="491" t="str">
        <f t="shared" si="89"/>
        <v>x</v>
      </c>
      <c r="T2783" s="492" t="str">
        <f>IFERROR(VLOOKUP(F2783,'Freq-Chan'!C:D,2,FALSE),"x")</f>
        <v>x</v>
      </c>
      <c r="U2783" s="110" t="s">
        <v>541</v>
      </c>
      <c r="V2783" s="110" t="str">
        <f t="shared" si="90"/>
        <v>FWL</v>
      </c>
      <c r="W2783" s="110" t="s">
        <v>541</v>
      </c>
      <c r="X2783" s="110" t="s">
        <v>541</v>
      </c>
      <c r="Y2783" s="110" t="str">
        <f>IFERROR(VLOOKUP(F2783,'Freq-Chan'!C:E,3,FALSE),"na")</f>
        <v>na</v>
      </c>
      <c r="Z2783" s="110" t="s">
        <v>541</v>
      </c>
      <c r="AA2783" s="110" t="s">
        <v>541</v>
      </c>
      <c r="AB2783" s="110" t="s">
        <v>541</v>
      </c>
      <c r="AC2783" s="10" t="s">
        <v>541</v>
      </c>
      <c r="AD2783" s="10" t="s">
        <v>541</v>
      </c>
    </row>
    <row r="2784" spans="1:30" x14ac:dyDescent="0.2">
      <c r="A2784" s="110">
        <v>2784</v>
      </c>
      <c r="B2784" s="132">
        <v>41866</v>
      </c>
      <c r="C2784" s="117">
        <v>2</v>
      </c>
      <c r="D2784" s="103" t="s">
        <v>71</v>
      </c>
      <c r="E2784" s="103" t="s">
        <v>306</v>
      </c>
      <c r="H2784" s="103"/>
      <c r="I2784" s="103">
        <v>62</v>
      </c>
      <c r="K2784" s="103" t="s">
        <v>365</v>
      </c>
      <c r="L2784" s="133"/>
      <c r="M2784" s="134">
        <v>1.4583333333333332E-2</v>
      </c>
      <c r="N2784" s="137" t="s">
        <v>4068</v>
      </c>
      <c r="O2784" s="133" t="s">
        <v>1663</v>
      </c>
      <c r="Q2784" s="100" t="s">
        <v>4256</v>
      </c>
      <c r="R2784" s="226" t="s">
        <v>4265</v>
      </c>
      <c r="S2784" s="491" t="str">
        <f t="shared" si="89"/>
        <v>x</v>
      </c>
      <c r="T2784" s="492" t="str">
        <f>IFERROR(VLOOKUP(F2784,'Freq-Chan'!C:D,2,FALSE),"x")</f>
        <v>x</v>
      </c>
      <c r="U2784" s="110" t="s">
        <v>541</v>
      </c>
      <c r="V2784" s="110" t="str">
        <f t="shared" si="90"/>
        <v>FWL</v>
      </c>
      <c r="W2784" s="110" t="s">
        <v>541</v>
      </c>
      <c r="X2784" s="110" t="s">
        <v>541</v>
      </c>
      <c r="Y2784" s="110" t="str">
        <f>IFERROR(VLOOKUP(F2784,'Freq-Chan'!C:E,3,FALSE),"na")</f>
        <v>na</v>
      </c>
      <c r="Z2784" s="110" t="s">
        <v>541</v>
      </c>
      <c r="AA2784" s="110" t="s">
        <v>541</v>
      </c>
      <c r="AB2784" s="110" t="s">
        <v>541</v>
      </c>
      <c r="AC2784" s="10" t="s">
        <v>541</v>
      </c>
      <c r="AD2784" s="10" t="s">
        <v>541</v>
      </c>
    </row>
    <row r="2785" spans="1:30" x14ac:dyDescent="0.2">
      <c r="A2785" s="110">
        <v>2785</v>
      </c>
      <c r="B2785" s="132">
        <v>41866</v>
      </c>
      <c r="C2785" s="117">
        <v>2</v>
      </c>
      <c r="D2785" s="103" t="s">
        <v>72</v>
      </c>
      <c r="E2785" s="103" t="s">
        <v>306</v>
      </c>
      <c r="F2785" s="103">
        <v>325</v>
      </c>
      <c r="G2785" s="103">
        <v>0</v>
      </c>
      <c r="H2785" s="103" t="s">
        <v>3590</v>
      </c>
      <c r="I2785" s="103">
        <v>60</v>
      </c>
      <c r="K2785" s="103" t="s">
        <v>364</v>
      </c>
      <c r="L2785" s="133"/>
      <c r="M2785" s="134">
        <v>3.5416666666666666E-2</v>
      </c>
      <c r="N2785" s="137" t="s">
        <v>2892</v>
      </c>
      <c r="O2785" s="133" t="s">
        <v>1663</v>
      </c>
      <c r="Q2785" s="100" t="s">
        <v>4256</v>
      </c>
      <c r="R2785" s="226" t="s">
        <v>4265</v>
      </c>
      <c r="S2785" s="491" t="str">
        <f t="shared" si="89"/>
        <v>x</v>
      </c>
      <c r="T2785" s="492">
        <f>IFERROR(VLOOKUP(F2785,'Freq-Chan'!C:D,2,FALSE),"x")</f>
        <v>151.32499999999999</v>
      </c>
      <c r="U2785" s="110" t="s">
        <v>541</v>
      </c>
      <c r="V2785" s="110" t="str">
        <f t="shared" si="90"/>
        <v>FWL</v>
      </c>
      <c r="W2785" s="110" t="s">
        <v>541</v>
      </c>
      <c r="X2785" s="110" t="s">
        <v>541</v>
      </c>
      <c r="Y2785" s="110" t="str">
        <f>IFERROR(VLOOKUP(F2785,'Freq-Chan'!C:E,3,FALSE),"na")</f>
        <v>F1840</v>
      </c>
      <c r="Z2785" s="110" t="s">
        <v>541</v>
      </c>
      <c r="AA2785" s="110" t="s">
        <v>541</v>
      </c>
      <c r="AB2785" s="110" t="s">
        <v>541</v>
      </c>
      <c r="AC2785" s="10" t="s">
        <v>541</v>
      </c>
      <c r="AD2785" s="10" t="s">
        <v>541</v>
      </c>
    </row>
    <row r="2786" spans="1:30" x14ac:dyDescent="0.2">
      <c r="A2786" s="110">
        <v>2786</v>
      </c>
      <c r="B2786" s="132">
        <v>41866</v>
      </c>
      <c r="C2786" s="117">
        <v>2</v>
      </c>
      <c r="D2786" s="103" t="s">
        <v>71</v>
      </c>
      <c r="E2786" s="103" t="s">
        <v>306</v>
      </c>
      <c r="H2786" s="103"/>
      <c r="I2786" s="103">
        <v>60</v>
      </c>
      <c r="K2786" s="103" t="s">
        <v>364</v>
      </c>
      <c r="L2786" s="133"/>
      <c r="M2786" s="134">
        <v>1.8749999999999999E-2</v>
      </c>
      <c r="N2786" s="137" t="s">
        <v>3254</v>
      </c>
      <c r="O2786" s="133" t="s">
        <v>1663</v>
      </c>
      <c r="Q2786" s="100" t="s">
        <v>4256</v>
      </c>
      <c r="R2786" s="226" t="s">
        <v>4265</v>
      </c>
      <c r="S2786" s="491" t="str">
        <f t="shared" si="89"/>
        <v>x</v>
      </c>
      <c r="T2786" s="492" t="str">
        <f>IFERROR(VLOOKUP(F2786,'Freq-Chan'!C:D,2,FALSE),"x")</f>
        <v>x</v>
      </c>
      <c r="U2786" s="110" t="s">
        <v>541</v>
      </c>
      <c r="V2786" s="110" t="str">
        <f t="shared" si="90"/>
        <v>FWL</v>
      </c>
      <c r="W2786" s="110" t="s">
        <v>541</v>
      </c>
      <c r="X2786" s="110" t="s">
        <v>541</v>
      </c>
      <c r="Y2786" s="110" t="str">
        <f>IFERROR(VLOOKUP(F2786,'Freq-Chan'!C:E,3,FALSE),"na")</f>
        <v>na</v>
      </c>
      <c r="Z2786" s="110" t="s">
        <v>541</v>
      </c>
      <c r="AA2786" s="110" t="s">
        <v>541</v>
      </c>
      <c r="AB2786" s="110" t="s">
        <v>541</v>
      </c>
      <c r="AC2786" s="10" t="s">
        <v>541</v>
      </c>
      <c r="AD2786" s="10" t="s">
        <v>541</v>
      </c>
    </row>
    <row r="2787" spans="1:30" x14ac:dyDescent="0.2">
      <c r="A2787" s="110">
        <v>2787</v>
      </c>
      <c r="B2787" s="132">
        <v>41866</v>
      </c>
      <c r="C2787" s="117">
        <v>2</v>
      </c>
      <c r="D2787" s="103" t="s">
        <v>70</v>
      </c>
      <c r="E2787" s="103" t="s">
        <v>306</v>
      </c>
      <c r="H2787" s="103"/>
      <c r="I2787" s="103">
        <v>42</v>
      </c>
      <c r="K2787" s="103" t="s">
        <v>365</v>
      </c>
      <c r="L2787" s="133"/>
      <c r="M2787" s="134">
        <v>1.3194444444444444E-2</v>
      </c>
      <c r="N2787" s="137" t="s">
        <v>501</v>
      </c>
      <c r="O2787" s="133" t="s">
        <v>1663</v>
      </c>
      <c r="Q2787" s="100" t="s">
        <v>4256</v>
      </c>
      <c r="R2787" s="226" t="s">
        <v>4265</v>
      </c>
      <c r="S2787" s="491" t="str">
        <f t="shared" si="89"/>
        <v>x</v>
      </c>
      <c r="T2787" s="492" t="str">
        <f>IFERROR(VLOOKUP(F2787,'Freq-Chan'!C:D,2,FALSE),"x")</f>
        <v>x</v>
      </c>
      <c r="U2787" s="110" t="s">
        <v>541</v>
      </c>
      <c r="V2787" s="110" t="str">
        <f t="shared" si="90"/>
        <v>FWL</v>
      </c>
      <c r="W2787" s="110" t="s">
        <v>541</v>
      </c>
      <c r="X2787" s="110" t="s">
        <v>541</v>
      </c>
      <c r="Y2787" s="110" t="str">
        <f>IFERROR(VLOOKUP(F2787,'Freq-Chan'!C:E,3,FALSE),"na")</f>
        <v>na</v>
      </c>
      <c r="Z2787" s="110" t="s">
        <v>541</v>
      </c>
      <c r="AA2787" s="110" t="s">
        <v>541</v>
      </c>
      <c r="AB2787" s="110" t="s">
        <v>541</v>
      </c>
      <c r="AC2787" s="10" t="s">
        <v>541</v>
      </c>
      <c r="AD2787" s="10" t="s">
        <v>541</v>
      </c>
    </row>
    <row r="2788" spans="1:30" x14ac:dyDescent="0.2">
      <c r="A2788" s="110">
        <v>2788</v>
      </c>
      <c r="B2788" s="132">
        <v>41866</v>
      </c>
      <c r="C2788" s="117">
        <v>2</v>
      </c>
      <c r="D2788" s="103" t="s">
        <v>72</v>
      </c>
      <c r="E2788" s="103" t="s">
        <v>306</v>
      </c>
      <c r="F2788" s="103">
        <v>266</v>
      </c>
      <c r="G2788" s="103">
        <v>68</v>
      </c>
      <c r="H2788" s="103" t="s">
        <v>3597</v>
      </c>
      <c r="I2788" s="103">
        <v>55</v>
      </c>
      <c r="K2788" s="103" t="s">
        <v>364</v>
      </c>
      <c r="L2788" s="133"/>
      <c r="M2788" s="134">
        <v>5.8333333333333327E-2</v>
      </c>
      <c r="N2788" s="137" t="s">
        <v>1848</v>
      </c>
      <c r="O2788" s="133" t="s">
        <v>1663</v>
      </c>
      <c r="P2788" s="100" t="s">
        <v>4466</v>
      </c>
      <c r="Q2788" s="100" t="s">
        <v>4256</v>
      </c>
      <c r="R2788" s="226" t="s">
        <v>4265</v>
      </c>
      <c r="S2788" s="491" t="str">
        <f t="shared" si="89"/>
        <v>x</v>
      </c>
      <c r="T2788" s="492">
        <f>IFERROR(VLOOKUP(F2788,'Freq-Chan'!C:D,2,FALSE),"x")</f>
        <v>151.26599999999999</v>
      </c>
      <c r="U2788" s="110" t="s">
        <v>541</v>
      </c>
      <c r="V2788" s="110" t="str">
        <f t="shared" si="90"/>
        <v>FWL</v>
      </c>
      <c r="W2788" s="110" t="s">
        <v>541</v>
      </c>
      <c r="X2788" s="110" t="s">
        <v>541</v>
      </c>
      <c r="Y2788" s="110" t="str">
        <f>IFERROR(VLOOKUP(F2788,'Freq-Chan'!C:E,3,FALSE),"na")</f>
        <v>F1840</v>
      </c>
      <c r="Z2788" s="110" t="s">
        <v>541</v>
      </c>
      <c r="AA2788" s="110" t="s">
        <v>541</v>
      </c>
      <c r="AB2788" s="110" t="s">
        <v>541</v>
      </c>
      <c r="AC2788" s="10" t="s">
        <v>541</v>
      </c>
      <c r="AD2788" s="10" t="s">
        <v>541</v>
      </c>
    </row>
    <row r="2789" spans="1:30" x14ac:dyDescent="0.2">
      <c r="A2789" s="110">
        <v>2789</v>
      </c>
      <c r="B2789" s="132">
        <v>41866</v>
      </c>
      <c r="C2789" s="117">
        <v>2</v>
      </c>
      <c r="D2789" s="103" t="s">
        <v>71</v>
      </c>
      <c r="E2789" s="103" t="s">
        <v>306</v>
      </c>
      <c r="H2789" s="103"/>
      <c r="I2789" s="103">
        <v>58</v>
      </c>
      <c r="K2789" s="103" t="s">
        <v>1032</v>
      </c>
      <c r="L2789" s="133"/>
      <c r="M2789" s="134">
        <v>1.3194444444444444E-2</v>
      </c>
      <c r="N2789" s="137" t="s">
        <v>4209</v>
      </c>
      <c r="O2789" s="133" t="s">
        <v>1663</v>
      </c>
      <c r="Q2789" s="100" t="s">
        <v>4256</v>
      </c>
      <c r="R2789" s="226" t="s">
        <v>4265</v>
      </c>
      <c r="S2789" s="491" t="str">
        <f t="shared" si="89"/>
        <v>x</v>
      </c>
      <c r="T2789" s="492" t="str">
        <f>IFERROR(VLOOKUP(F2789,'Freq-Chan'!C:D,2,FALSE),"x")</f>
        <v>x</v>
      </c>
      <c r="U2789" s="110" t="s">
        <v>541</v>
      </c>
      <c r="V2789" s="110" t="str">
        <f t="shared" si="90"/>
        <v>FWL</v>
      </c>
      <c r="W2789" s="110" t="s">
        <v>541</v>
      </c>
      <c r="X2789" s="110" t="s">
        <v>541</v>
      </c>
      <c r="Y2789" s="110" t="str">
        <f>IFERROR(VLOOKUP(F2789,'Freq-Chan'!C:E,3,FALSE),"na")</f>
        <v>na</v>
      </c>
      <c r="Z2789" s="110" t="s">
        <v>541</v>
      </c>
      <c r="AA2789" s="110" t="s">
        <v>541</v>
      </c>
      <c r="AB2789" s="110" t="s">
        <v>541</v>
      </c>
      <c r="AC2789" s="10" t="s">
        <v>541</v>
      </c>
      <c r="AD2789" s="10" t="s">
        <v>541</v>
      </c>
    </row>
    <row r="2790" spans="1:30" x14ac:dyDescent="0.2">
      <c r="A2790" s="110">
        <v>2790</v>
      </c>
      <c r="B2790" s="132">
        <v>41866</v>
      </c>
      <c r="C2790" s="117">
        <v>2</v>
      </c>
      <c r="D2790" s="103" t="s">
        <v>71</v>
      </c>
      <c r="E2790" s="103" t="s">
        <v>306</v>
      </c>
      <c r="H2790" s="103"/>
      <c r="I2790" s="103">
        <v>58</v>
      </c>
      <c r="K2790" s="103" t="s">
        <v>1032</v>
      </c>
      <c r="L2790" s="133"/>
      <c r="M2790" s="134">
        <v>1.1805555555555555E-2</v>
      </c>
      <c r="N2790" s="137" t="s">
        <v>2535</v>
      </c>
      <c r="O2790" s="133" t="s">
        <v>1663</v>
      </c>
      <c r="Q2790" s="100" t="s">
        <v>4256</v>
      </c>
      <c r="R2790" s="226" t="s">
        <v>4265</v>
      </c>
      <c r="S2790" s="491" t="str">
        <f t="shared" si="89"/>
        <v>x</v>
      </c>
      <c r="T2790" s="492" t="str">
        <f>IFERROR(VLOOKUP(F2790,'Freq-Chan'!C:D,2,FALSE),"x")</f>
        <v>x</v>
      </c>
      <c r="U2790" s="110" t="s">
        <v>541</v>
      </c>
      <c r="V2790" s="110" t="str">
        <f t="shared" si="90"/>
        <v>FWL</v>
      </c>
      <c r="W2790" s="110" t="s">
        <v>541</v>
      </c>
      <c r="X2790" s="110" t="s">
        <v>541</v>
      </c>
      <c r="Y2790" s="110" t="str">
        <f>IFERROR(VLOOKUP(F2790,'Freq-Chan'!C:E,3,FALSE),"na")</f>
        <v>na</v>
      </c>
      <c r="Z2790" s="110" t="s">
        <v>541</v>
      </c>
      <c r="AA2790" s="110" t="s">
        <v>541</v>
      </c>
      <c r="AB2790" s="110" t="s">
        <v>541</v>
      </c>
      <c r="AC2790" s="10" t="s">
        <v>541</v>
      </c>
      <c r="AD2790" s="10" t="s">
        <v>541</v>
      </c>
    </row>
    <row r="2791" spans="1:30" x14ac:dyDescent="0.2">
      <c r="A2791" s="110">
        <v>2791</v>
      </c>
      <c r="B2791" s="132">
        <v>41866</v>
      </c>
      <c r="C2791" s="117">
        <v>2</v>
      </c>
      <c r="D2791" s="103" t="s">
        <v>71</v>
      </c>
      <c r="E2791" s="103" t="s">
        <v>306</v>
      </c>
      <c r="H2791" s="103"/>
      <c r="I2791" s="103">
        <v>61</v>
      </c>
      <c r="K2791" s="103" t="s">
        <v>1032</v>
      </c>
      <c r="L2791" s="133"/>
      <c r="M2791" s="134">
        <v>1.3888888888888888E-2</v>
      </c>
      <c r="N2791" s="137" t="s">
        <v>3798</v>
      </c>
      <c r="O2791" s="133" t="s">
        <v>1538</v>
      </c>
      <c r="Q2791" s="100" t="s">
        <v>4256</v>
      </c>
      <c r="R2791" s="226" t="s">
        <v>4265</v>
      </c>
      <c r="S2791" s="491" t="str">
        <f t="shared" si="89"/>
        <v>x</v>
      </c>
      <c r="T2791" s="492" t="str">
        <f>IFERROR(VLOOKUP(F2791,'Freq-Chan'!C:D,2,FALSE),"x")</f>
        <v>x</v>
      </c>
      <c r="U2791" s="110" t="s">
        <v>541</v>
      </c>
      <c r="V2791" s="110" t="str">
        <f t="shared" si="90"/>
        <v>FWL</v>
      </c>
      <c r="W2791" s="110" t="s">
        <v>541</v>
      </c>
      <c r="X2791" s="110" t="s">
        <v>541</v>
      </c>
      <c r="Y2791" s="110" t="str">
        <f>IFERROR(VLOOKUP(F2791,'Freq-Chan'!C:E,3,FALSE),"na")</f>
        <v>na</v>
      </c>
      <c r="Z2791" s="110" t="s">
        <v>541</v>
      </c>
      <c r="AA2791" s="110" t="s">
        <v>541</v>
      </c>
      <c r="AB2791" s="110" t="s">
        <v>541</v>
      </c>
      <c r="AC2791" s="10" t="s">
        <v>541</v>
      </c>
      <c r="AD2791" s="10" t="s">
        <v>541</v>
      </c>
    </row>
    <row r="2792" spans="1:30" x14ac:dyDescent="0.2">
      <c r="A2792" s="110">
        <v>2792</v>
      </c>
      <c r="B2792" s="132">
        <v>41866</v>
      </c>
      <c r="C2792" s="117">
        <v>2</v>
      </c>
      <c r="D2792" s="103" t="s">
        <v>72</v>
      </c>
      <c r="E2792" s="103" t="s">
        <v>306</v>
      </c>
      <c r="H2792" s="103"/>
      <c r="I2792" s="103">
        <v>60</v>
      </c>
      <c r="K2792" s="103" t="s">
        <v>1032</v>
      </c>
      <c r="L2792" s="133"/>
      <c r="M2792" s="134">
        <v>1.4583333333333332E-2</v>
      </c>
      <c r="N2792" s="135" t="s">
        <v>4261</v>
      </c>
      <c r="O2792" s="133" t="s">
        <v>1538</v>
      </c>
      <c r="Q2792" s="100" t="s">
        <v>4256</v>
      </c>
      <c r="R2792" s="226" t="s">
        <v>4265</v>
      </c>
      <c r="S2792" s="491" t="str">
        <f t="shared" si="89"/>
        <v>x</v>
      </c>
      <c r="T2792" s="492" t="str">
        <f>IFERROR(VLOOKUP(F2792,'Freq-Chan'!C:D,2,FALSE),"x")</f>
        <v>x</v>
      </c>
      <c r="U2792" s="110" t="s">
        <v>541</v>
      </c>
      <c r="V2792" s="110" t="str">
        <f t="shared" si="90"/>
        <v>FWL</v>
      </c>
      <c r="W2792" s="110" t="s">
        <v>541</v>
      </c>
      <c r="X2792" s="110" t="s">
        <v>541</v>
      </c>
      <c r="Y2792" s="110" t="str">
        <f>IFERROR(VLOOKUP(F2792,'Freq-Chan'!C:E,3,FALSE),"na")</f>
        <v>na</v>
      </c>
      <c r="Z2792" s="110" t="s">
        <v>541</v>
      </c>
      <c r="AA2792" s="110" t="s">
        <v>541</v>
      </c>
      <c r="AB2792" s="110" t="s">
        <v>541</v>
      </c>
      <c r="AC2792" s="10" t="s">
        <v>541</v>
      </c>
      <c r="AD2792" s="10" t="s">
        <v>541</v>
      </c>
    </row>
    <row r="2793" spans="1:30" x14ac:dyDescent="0.2">
      <c r="A2793" s="110">
        <v>2793</v>
      </c>
      <c r="B2793" s="132">
        <v>41866</v>
      </c>
      <c r="C2793" s="117">
        <v>2</v>
      </c>
      <c r="D2793" s="103" t="s">
        <v>71</v>
      </c>
      <c r="E2793" s="103" t="s">
        <v>306</v>
      </c>
      <c r="H2793" s="103"/>
      <c r="I2793" s="103">
        <v>60</v>
      </c>
      <c r="K2793" s="103" t="s">
        <v>1032</v>
      </c>
      <c r="L2793" s="133"/>
      <c r="M2793" s="134">
        <v>1.3194444444444444E-2</v>
      </c>
      <c r="N2793" s="135" t="s">
        <v>1966</v>
      </c>
      <c r="O2793" s="133" t="s">
        <v>1538</v>
      </c>
      <c r="Q2793" s="100" t="s">
        <v>4256</v>
      </c>
      <c r="R2793" s="226" t="s">
        <v>4265</v>
      </c>
      <c r="S2793" s="491" t="str">
        <f t="shared" si="89"/>
        <v>x</v>
      </c>
      <c r="T2793" s="492" t="str">
        <f>IFERROR(VLOOKUP(F2793,'Freq-Chan'!C:D,2,FALSE),"x")</f>
        <v>x</v>
      </c>
      <c r="U2793" s="110" t="s">
        <v>541</v>
      </c>
      <c r="V2793" s="110" t="str">
        <f t="shared" si="90"/>
        <v>FWL</v>
      </c>
      <c r="W2793" s="110" t="s">
        <v>541</v>
      </c>
      <c r="X2793" s="110" t="s">
        <v>541</v>
      </c>
      <c r="Y2793" s="110" t="str">
        <f>IFERROR(VLOOKUP(F2793,'Freq-Chan'!C:E,3,FALSE),"na")</f>
        <v>na</v>
      </c>
      <c r="Z2793" s="110" t="s">
        <v>541</v>
      </c>
      <c r="AA2793" s="110" t="s">
        <v>541</v>
      </c>
      <c r="AB2793" s="110" t="s">
        <v>541</v>
      </c>
      <c r="AC2793" s="10" t="s">
        <v>541</v>
      </c>
      <c r="AD2793" s="10" t="s">
        <v>541</v>
      </c>
    </row>
    <row r="2794" spans="1:30" x14ac:dyDescent="0.2">
      <c r="A2794" s="110">
        <v>2794</v>
      </c>
      <c r="B2794" s="132">
        <v>41866</v>
      </c>
      <c r="C2794" s="117">
        <v>2</v>
      </c>
      <c r="D2794" s="103" t="s">
        <v>71</v>
      </c>
      <c r="E2794" s="103" t="s">
        <v>306</v>
      </c>
      <c r="H2794" s="103"/>
      <c r="I2794" s="103">
        <v>59</v>
      </c>
      <c r="K2794" s="103" t="s">
        <v>1032</v>
      </c>
      <c r="L2794" s="133"/>
      <c r="M2794" s="134">
        <v>1.5972222222222224E-2</v>
      </c>
      <c r="N2794" s="135" t="s">
        <v>4262</v>
      </c>
      <c r="O2794" s="133" t="s">
        <v>1538</v>
      </c>
      <c r="Q2794" s="100" t="s">
        <v>4256</v>
      </c>
      <c r="R2794" s="226" t="s">
        <v>4265</v>
      </c>
      <c r="S2794" s="491" t="str">
        <f t="shared" si="89"/>
        <v>x</v>
      </c>
      <c r="T2794" s="492" t="str">
        <f>IFERROR(VLOOKUP(F2794,'Freq-Chan'!C:D,2,FALSE),"x")</f>
        <v>x</v>
      </c>
      <c r="U2794" s="110" t="s">
        <v>541</v>
      </c>
      <c r="V2794" s="110" t="str">
        <f t="shared" si="90"/>
        <v>FWL</v>
      </c>
      <c r="W2794" s="110" t="s">
        <v>541</v>
      </c>
      <c r="X2794" s="110" t="s">
        <v>541</v>
      </c>
      <c r="Y2794" s="110" t="str">
        <f>IFERROR(VLOOKUP(F2794,'Freq-Chan'!C:E,3,FALSE),"na")</f>
        <v>na</v>
      </c>
      <c r="Z2794" s="110" t="s">
        <v>541</v>
      </c>
      <c r="AA2794" s="110" t="s">
        <v>541</v>
      </c>
      <c r="AB2794" s="110" t="s">
        <v>541</v>
      </c>
      <c r="AC2794" s="10" t="s">
        <v>541</v>
      </c>
      <c r="AD2794" s="10" t="s">
        <v>541</v>
      </c>
    </row>
    <row r="2795" spans="1:30" x14ac:dyDescent="0.2">
      <c r="A2795" s="110">
        <v>2795</v>
      </c>
      <c r="B2795" s="132">
        <v>41866</v>
      </c>
      <c r="C2795" s="117">
        <v>2</v>
      </c>
      <c r="D2795" s="103" t="s">
        <v>71</v>
      </c>
      <c r="E2795" s="103" t="s">
        <v>306</v>
      </c>
      <c r="H2795" s="103"/>
      <c r="I2795" s="103">
        <v>57</v>
      </c>
      <c r="K2795" s="103" t="s">
        <v>365</v>
      </c>
      <c r="L2795" s="133"/>
      <c r="M2795" s="134">
        <v>1.3888888888888888E-2</v>
      </c>
      <c r="N2795" s="135" t="s">
        <v>1943</v>
      </c>
      <c r="O2795" s="133" t="s">
        <v>1538</v>
      </c>
      <c r="Q2795" s="100" t="s">
        <v>4256</v>
      </c>
      <c r="R2795" s="226" t="s">
        <v>4265</v>
      </c>
      <c r="S2795" s="491" t="str">
        <f t="shared" si="89"/>
        <v>x</v>
      </c>
      <c r="T2795" s="492" t="str">
        <f>IFERROR(VLOOKUP(F2795,'Freq-Chan'!C:D,2,FALSE),"x")</f>
        <v>x</v>
      </c>
      <c r="U2795" s="110" t="s">
        <v>541</v>
      </c>
      <c r="V2795" s="110" t="str">
        <f t="shared" si="90"/>
        <v>FWL</v>
      </c>
      <c r="W2795" s="110" t="s">
        <v>541</v>
      </c>
      <c r="X2795" s="110" t="s">
        <v>541</v>
      </c>
      <c r="Y2795" s="110" t="str">
        <f>IFERROR(VLOOKUP(F2795,'Freq-Chan'!C:E,3,FALSE),"na")</f>
        <v>na</v>
      </c>
      <c r="Z2795" s="110" t="s">
        <v>541</v>
      </c>
      <c r="AA2795" s="110" t="s">
        <v>541</v>
      </c>
      <c r="AB2795" s="110" t="s">
        <v>541</v>
      </c>
      <c r="AC2795" s="10" t="s">
        <v>541</v>
      </c>
      <c r="AD2795" s="10" t="s">
        <v>541</v>
      </c>
    </row>
    <row r="2796" spans="1:30" x14ac:dyDescent="0.2">
      <c r="A2796" s="110">
        <v>2796</v>
      </c>
      <c r="B2796" s="132">
        <v>41866</v>
      </c>
      <c r="C2796" s="117">
        <v>2</v>
      </c>
      <c r="D2796" s="103" t="s">
        <v>2</v>
      </c>
      <c r="E2796" s="103" t="s">
        <v>306</v>
      </c>
      <c r="H2796" s="103"/>
      <c r="I2796" s="103">
        <v>51</v>
      </c>
      <c r="K2796" s="103" t="s">
        <v>1032</v>
      </c>
      <c r="L2796" s="133"/>
      <c r="M2796" s="134">
        <v>2.013888888888889E-2</v>
      </c>
      <c r="N2796" s="135" t="s">
        <v>1887</v>
      </c>
      <c r="O2796" s="133" t="s">
        <v>1538</v>
      </c>
      <c r="P2796" s="100" t="s">
        <v>4263</v>
      </c>
      <c r="Q2796" s="100" t="s">
        <v>4256</v>
      </c>
      <c r="R2796" s="226" t="s">
        <v>4265</v>
      </c>
      <c r="S2796" s="491" t="str">
        <f t="shared" si="89"/>
        <v>x</v>
      </c>
      <c r="T2796" s="492" t="str">
        <f>IFERROR(VLOOKUP(F2796,'Freq-Chan'!C:D,2,FALSE),"x")</f>
        <v>x</v>
      </c>
      <c r="U2796" s="110" t="s">
        <v>541</v>
      </c>
      <c r="V2796" s="110" t="str">
        <f t="shared" si="90"/>
        <v>FWL</v>
      </c>
      <c r="W2796" s="110" t="s">
        <v>541</v>
      </c>
      <c r="X2796" s="110" t="s">
        <v>541</v>
      </c>
      <c r="Y2796" s="110" t="str">
        <f>IFERROR(VLOOKUP(F2796,'Freq-Chan'!C:E,3,FALSE),"na")</f>
        <v>na</v>
      </c>
      <c r="Z2796" s="110" t="s">
        <v>541</v>
      </c>
      <c r="AA2796" s="110" t="s">
        <v>541</v>
      </c>
      <c r="AB2796" s="110" t="s">
        <v>541</v>
      </c>
      <c r="AC2796" s="10" t="s">
        <v>541</v>
      </c>
      <c r="AD2796" s="10" t="s">
        <v>541</v>
      </c>
    </row>
    <row r="2797" spans="1:30" x14ac:dyDescent="0.2">
      <c r="A2797" s="110">
        <v>2797</v>
      </c>
      <c r="B2797" s="132">
        <v>41866</v>
      </c>
      <c r="C2797" s="117">
        <v>2</v>
      </c>
      <c r="D2797" s="103" t="s">
        <v>70</v>
      </c>
      <c r="E2797" s="103" t="s">
        <v>306</v>
      </c>
      <c r="H2797" s="103"/>
      <c r="I2797" s="103">
        <v>48</v>
      </c>
      <c r="K2797" s="103" t="s">
        <v>365</v>
      </c>
      <c r="L2797" s="133"/>
      <c r="M2797" s="134">
        <v>1.3888888888888888E-2</v>
      </c>
      <c r="N2797" s="135" t="s">
        <v>1914</v>
      </c>
      <c r="O2797" s="133" t="s">
        <v>1538</v>
      </c>
      <c r="Q2797" s="100" t="s">
        <v>4256</v>
      </c>
      <c r="R2797" s="226" t="s">
        <v>4265</v>
      </c>
      <c r="S2797" s="491" t="str">
        <f t="shared" si="89"/>
        <v>x</v>
      </c>
      <c r="T2797" s="492" t="str">
        <f>IFERROR(VLOOKUP(F2797,'Freq-Chan'!C:D,2,FALSE),"x")</f>
        <v>x</v>
      </c>
      <c r="U2797" s="110" t="s">
        <v>541</v>
      </c>
      <c r="V2797" s="110" t="str">
        <f t="shared" si="90"/>
        <v>FWL</v>
      </c>
      <c r="W2797" s="110" t="s">
        <v>541</v>
      </c>
      <c r="X2797" s="110" t="s">
        <v>541</v>
      </c>
      <c r="Y2797" s="110" t="str">
        <f>IFERROR(VLOOKUP(F2797,'Freq-Chan'!C:E,3,FALSE),"na")</f>
        <v>na</v>
      </c>
      <c r="Z2797" s="110" t="s">
        <v>541</v>
      </c>
      <c r="AA2797" s="110" t="s">
        <v>541</v>
      </c>
      <c r="AB2797" s="110" t="s">
        <v>541</v>
      </c>
      <c r="AC2797" s="10" t="s">
        <v>541</v>
      </c>
      <c r="AD2797" s="10" t="s">
        <v>541</v>
      </c>
    </row>
    <row r="2798" spans="1:30" x14ac:dyDescent="0.2">
      <c r="A2798" s="110">
        <v>2798</v>
      </c>
      <c r="B2798" s="132">
        <v>41866</v>
      </c>
      <c r="C2798" s="117">
        <v>2</v>
      </c>
      <c r="D2798" s="103" t="s">
        <v>72</v>
      </c>
      <c r="E2798" s="103" t="s">
        <v>306</v>
      </c>
      <c r="H2798" s="103"/>
      <c r="I2798" s="103">
        <v>52</v>
      </c>
      <c r="K2798" s="103" t="s">
        <v>365</v>
      </c>
      <c r="L2798" s="133"/>
      <c r="M2798" s="134">
        <v>1.6666666666666666E-2</v>
      </c>
      <c r="N2798" s="135" t="s">
        <v>4201</v>
      </c>
      <c r="O2798" s="133" t="s">
        <v>1538</v>
      </c>
      <c r="Q2798" s="100" t="s">
        <v>4256</v>
      </c>
      <c r="R2798" s="226" t="s">
        <v>4265</v>
      </c>
      <c r="S2798" s="491" t="str">
        <f t="shared" si="89"/>
        <v>x</v>
      </c>
      <c r="T2798" s="492" t="str">
        <f>IFERROR(VLOOKUP(F2798,'Freq-Chan'!C:D,2,FALSE),"x")</f>
        <v>x</v>
      </c>
      <c r="U2798" s="110" t="s">
        <v>541</v>
      </c>
      <c r="V2798" s="110" t="str">
        <f t="shared" si="90"/>
        <v>FWL</v>
      </c>
      <c r="W2798" s="110" t="s">
        <v>541</v>
      </c>
      <c r="X2798" s="110" t="s">
        <v>541</v>
      </c>
      <c r="Y2798" s="110" t="str">
        <f>IFERROR(VLOOKUP(F2798,'Freq-Chan'!C:E,3,FALSE),"na")</f>
        <v>na</v>
      </c>
      <c r="Z2798" s="110" t="s">
        <v>541</v>
      </c>
      <c r="AA2798" s="110" t="s">
        <v>541</v>
      </c>
      <c r="AB2798" s="110" t="s">
        <v>541</v>
      </c>
      <c r="AC2798" s="10" t="s">
        <v>541</v>
      </c>
      <c r="AD2798" s="10" t="s">
        <v>541</v>
      </c>
    </row>
    <row r="2799" spans="1:30" x14ac:dyDescent="0.2">
      <c r="A2799" s="110">
        <v>2799</v>
      </c>
      <c r="B2799" s="132">
        <v>41866</v>
      </c>
      <c r="C2799" s="117">
        <v>2</v>
      </c>
      <c r="D2799" s="103" t="s">
        <v>71</v>
      </c>
      <c r="E2799" s="103" t="s">
        <v>306</v>
      </c>
      <c r="H2799" s="103"/>
      <c r="I2799" s="103">
        <v>62</v>
      </c>
      <c r="K2799" s="103" t="s">
        <v>365</v>
      </c>
      <c r="L2799" s="133"/>
      <c r="M2799" s="134">
        <v>1.4583333333333332E-2</v>
      </c>
      <c r="N2799" s="135" t="s">
        <v>3241</v>
      </c>
      <c r="O2799" s="133" t="s">
        <v>1538</v>
      </c>
      <c r="Q2799" s="100" t="s">
        <v>4256</v>
      </c>
      <c r="R2799" s="226" t="s">
        <v>4265</v>
      </c>
      <c r="S2799" s="491" t="str">
        <f t="shared" si="89"/>
        <v>x</v>
      </c>
      <c r="T2799" s="492" t="str">
        <f>IFERROR(VLOOKUP(F2799,'Freq-Chan'!C:D,2,FALSE),"x")</f>
        <v>x</v>
      </c>
      <c r="U2799" s="110" t="s">
        <v>541</v>
      </c>
      <c r="V2799" s="110" t="str">
        <f t="shared" si="90"/>
        <v>FWL</v>
      </c>
      <c r="W2799" s="110" t="s">
        <v>541</v>
      </c>
      <c r="X2799" s="110" t="s">
        <v>541</v>
      </c>
      <c r="Y2799" s="110" t="str">
        <f>IFERROR(VLOOKUP(F2799,'Freq-Chan'!C:E,3,FALSE),"na")</f>
        <v>na</v>
      </c>
      <c r="Z2799" s="110" t="s">
        <v>541</v>
      </c>
      <c r="AA2799" s="110" t="s">
        <v>541</v>
      </c>
      <c r="AB2799" s="110" t="s">
        <v>541</v>
      </c>
      <c r="AC2799" s="10" t="s">
        <v>541</v>
      </c>
      <c r="AD2799" s="10" t="s">
        <v>541</v>
      </c>
    </row>
    <row r="2800" spans="1:30" x14ac:dyDescent="0.2">
      <c r="A2800" s="110">
        <v>2800</v>
      </c>
      <c r="B2800" s="132">
        <v>41866</v>
      </c>
      <c r="C2800" s="117">
        <v>2</v>
      </c>
      <c r="D2800" s="103" t="s">
        <v>70</v>
      </c>
      <c r="E2800" s="103" t="s">
        <v>306</v>
      </c>
      <c r="H2800" s="103"/>
      <c r="I2800" s="103">
        <v>44</v>
      </c>
      <c r="K2800" s="103" t="s">
        <v>365</v>
      </c>
      <c r="L2800" s="133"/>
      <c r="M2800" s="134">
        <v>2.013888888888889E-2</v>
      </c>
      <c r="N2800" s="135" t="s">
        <v>3990</v>
      </c>
      <c r="O2800" s="133" t="s">
        <v>1538</v>
      </c>
      <c r="Q2800" s="100" t="s">
        <v>4256</v>
      </c>
      <c r="R2800" s="226" t="s">
        <v>4265</v>
      </c>
      <c r="S2800" s="491" t="str">
        <f t="shared" si="89"/>
        <v>x</v>
      </c>
      <c r="T2800" s="492" t="str">
        <f>IFERROR(VLOOKUP(F2800,'Freq-Chan'!C:D,2,FALSE),"x")</f>
        <v>x</v>
      </c>
      <c r="U2800" s="110" t="s">
        <v>541</v>
      </c>
      <c r="V2800" s="110" t="str">
        <f t="shared" si="90"/>
        <v>FWL</v>
      </c>
      <c r="W2800" s="110" t="s">
        <v>541</v>
      </c>
      <c r="X2800" s="110" t="s">
        <v>541</v>
      </c>
      <c r="Y2800" s="110" t="str">
        <f>IFERROR(VLOOKUP(F2800,'Freq-Chan'!C:E,3,FALSE),"na")</f>
        <v>na</v>
      </c>
      <c r="Z2800" s="110" t="s">
        <v>541</v>
      </c>
      <c r="AA2800" s="110" t="s">
        <v>541</v>
      </c>
      <c r="AB2800" s="110" t="s">
        <v>541</v>
      </c>
      <c r="AC2800" s="10" t="s">
        <v>541</v>
      </c>
      <c r="AD2800" s="10" t="s">
        <v>541</v>
      </c>
    </row>
    <row r="2801" spans="1:30" s="291" customFormat="1" x14ac:dyDescent="0.2">
      <c r="A2801" s="493">
        <v>2801</v>
      </c>
      <c r="B2801" s="283">
        <v>41866</v>
      </c>
      <c r="C2801" s="284">
        <v>2</v>
      </c>
      <c r="D2801" s="285" t="s">
        <v>71</v>
      </c>
      <c r="E2801" s="285" t="s">
        <v>306</v>
      </c>
      <c r="F2801" s="285"/>
      <c r="G2801" s="285"/>
      <c r="H2801" s="285"/>
      <c r="I2801" s="285">
        <v>56</v>
      </c>
      <c r="J2801" s="285"/>
      <c r="K2801" s="285" t="s">
        <v>1032</v>
      </c>
      <c r="L2801" s="286"/>
      <c r="M2801" s="287">
        <v>1.4583333333333332E-2</v>
      </c>
      <c r="N2801" s="288" t="s">
        <v>2539</v>
      </c>
      <c r="O2801" s="286" t="s">
        <v>1538</v>
      </c>
      <c r="P2801" s="289"/>
      <c r="Q2801" s="289" t="s">
        <v>4256</v>
      </c>
      <c r="R2801" s="290" t="s">
        <v>4265</v>
      </c>
      <c r="S2801" s="494" t="str">
        <f t="shared" si="89"/>
        <v>x</v>
      </c>
      <c r="T2801" s="495" t="str">
        <f>IFERROR(VLOOKUP(F2801,'Freq-Chan'!C:D,2,FALSE),"x")</f>
        <v>x</v>
      </c>
      <c r="U2801" s="493" t="s">
        <v>541</v>
      </c>
      <c r="V2801" s="493" t="str">
        <f t="shared" si="90"/>
        <v>FWL</v>
      </c>
      <c r="W2801" s="493" t="s">
        <v>541</v>
      </c>
      <c r="X2801" s="493" t="s">
        <v>541</v>
      </c>
      <c r="Y2801" s="493" t="str">
        <f>IFERROR(VLOOKUP(F2801,'Freq-Chan'!C:E,3,FALSE),"na")</f>
        <v>na</v>
      </c>
      <c r="Z2801" s="493" t="s">
        <v>541</v>
      </c>
      <c r="AA2801" s="493" t="s">
        <v>541</v>
      </c>
      <c r="AB2801" s="493" t="s">
        <v>541</v>
      </c>
      <c r="AC2801" s="291" t="s">
        <v>541</v>
      </c>
      <c r="AD2801" s="291" t="s">
        <v>541</v>
      </c>
    </row>
    <row r="2802" spans="1:30" x14ac:dyDescent="0.2">
      <c r="A2802" s="110">
        <v>2802</v>
      </c>
      <c r="B2802" s="132">
        <v>41866</v>
      </c>
      <c r="C2802" s="117">
        <v>3</v>
      </c>
      <c r="D2802" s="103" t="s">
        <v>71</v>
      </c>
      <c r="E2802" s="103" t="s">
        <v>306</v>
      </c>
      <c r="F2802" s="103">
        <v>534</v>
      </c>
      <c r="G2802" s="103">
        <v>86</v>
      </c>
      <c r="H2802" s="103" t="s">
        <v>2444</v>
      </c>
      <c r="I2802" s="103">
        <v>56</v>
      </c>
      <c r="K2802" s="103" t="s">
        <v>1032</v>
      </c>
      <c r="L2802" s="133"/>
      <c r="M2802" s="134">
        <v>2.9861111111111113E-2</v>
      </c>
      <c r="N2802" s="137" t="s">
        <v>839</v>
      </c>
      <c r="O2802" s="133" t="s">
        <v>1033</v>
      </c>
      <c r="Q2802" s="100" t="s">
        <v>4256</v>
      </c>
      <c r="R2802" s="226" t="s">
        <v>4265</v>
      </c>
      <c r="S2802" s="491" t="str">
        <f t="shared" ref="S2802:S2865" si="91">IF(IF(OR(L2802=0,N2802=0),"x",ROUND(N2802-L2802-(M2802*24)/(24*60),10))&lt;0,0,IF(OR(L2802=0,N2802=0),"x",ROUND(N2802-L2802-(M2802*24)/(24*60),10)))</f>
        <v>x</v>
      </c>
      <c r="T2802" s="492">
        <f>IFERROR(VLOOKUP(F2802,'Freq-Chan'!C:D,2,FALSE),"x")</f>
        <v>151.53399999999999</v>
      </c>
      <c r="U2802" s="110" t="s">
        <v>541</v>
      </c>
      <c r="V2802" s="110" t="str">
        <f t="shared" ref="V2802:V2865" si="92">IF(OR(C2802=1,C2802=2,C2802=3),"FWL","NRD")</f>
        <v>FWL</v>
      </c>
      <c r="W2802" s="110" t="s">
        <v>541</v>
      </c>
      <c r="X2802" s="110" t="s">
        <v>541</v>
      </c>
      <c r="Y2802" s="110" t="str">
        <f>IFERROR(VLOOKUP(F2802,'Freq-Chan'!C:E,3,FALSE),"na")</f>
        <v>F1840</v>
      </c>
      <c r="Z2802" s="110" t="s">
        <v>541</v>
      </c>
      <c r="AA2802" s="110" t="s">
        <v>541</v>
      </c>
      <c r="AB2802" s="110" t="s">
        <v>541</v>
      </c>
      <c r="AC2802" s="10" t="s">
        <v>541</v>
      </c>
      <c r="AD2802" s="10" t="s">
        <v>541</v>
      </c>
    </row>
    <row r="2803" spans="1:30" x14ac:dyDescent="0.2">
      <c r="A2803" s="110">
        <v>2803</v>
      </c>
      <c r="B2803" s="132">
        <v>41866</v>
      </c>
      <c r="C2803" s="117">
        <v>3</v>
      </c>
      <c r="D2803" s="103" t="s">
        <v>8</v>
      </c>
      <c r="E2803" s="103" t="s">
        <v>0</v>
      </c>
      <c r="H2803" s="103"/>
      <c r="I2803" s="103">
        <v>35</v>
      </c>
      <c r="K2803" s="103" t="s">
        <v>364</v>
      </c>
      <c r="L2803" s="133"/>
      <c r="M2803" s="134">
        <v>1.6666666666666666E-2</v>
      </c>
      <c r="N2803" s="137" t="s">
        <v>3400</v>
      </c>
      <c r="O2803" s="133" t="s">
        <v>1538</v>
      </c>
      <c r="Q2803" s="100" t="s">
        <v>4256</v>
      </c>
      <c r="R2803" s="226" t="s">
        <v>4265</v>
      </c>
      <c r="S2803" s="491" t="str">
        <f t="shared" si="91"/>
        <v>x</v>
      </c>
      <c r="T2803" s="492" t="str">
        <f>IFERROR(VLOOKUP(F2803,'Freq-Chan'!C:D,2,FALSE),"x")</f>
        <v>x</v>
      </c>
      <c r="U2803" s="110" t="s">
        <v>541</v>
      </c>
      <c r="V2803" s="110" t="str">
        <f t="shared" si="92"/>
        <v>FWL</v>
      </c>
      <c r="W2803" s="110" t="s">
        <v>541</v>
      </c>
      <c r="X2803" s="110" t="s">
        <v>541</v>
      </c>
      <c r="Y2803" s="110" t="str">
        <f>IFERROR(VLOOKUP(F2803,'Freq-Chan'!C:E,3,FALSE),"na")</f>
        <v>na</v>
      </c>
      <c r="Z2803" s="110" t="s">
        <v>541</v>
      </c>
      <c r="AA2803" s="110" t="s">
        <v>541</v>
      </c>
      <c r="AB2803" s="110" t="s">
        <v>541</v>
      </c>
      <c r="AC2803" s="10" t="s">
        <v>541</v>
      </c>
      <c r="AD2803" s="10" t="s">
        <v>541</v>
      </c>
    </row>
    <row r="2804" spans="1:30" x14ac:dyDescent="0.2">
      <c r="A2804" s="110">
        <v>2804</v>
      </c>
      <c r="B2804" s="132">
        <v>41866</v>
      </c>
      <c r="C2804" s="117">
        <v>3</v>
      </c>
      <c r="D2804" s="103" t="s">
        <v>75</v>
      </c>
      <c r="E2804" s="103" t="s">
        <v>798</v>
      </c>
      <c r="H2804" s="103"/>
      <c r="J2804" s="103">
        <v>24</v>
      </c>
      <c r="K2804" s="103" t="s">
        <v>364</v>
      </c>
      <c r="L2804" s="133"/>
      <c r="M2804" s="134">
        <v>1.4583333333333332E-2</v>
      </c>
      <c r="N2804" s="135" t="s">
        <v>2754</v>
      </c>
      <c r="O2804" s="133" t="s">
        <v>1538</v>
      </c>
      <c r="Q2804" s="100" t="s">
        <v>4256</v>
      </c>
      <c r="R2804" s="226" t="s">
        <v>4265</v>
      </c>
      <c r="S2804" s="491" t="str">
        <f t="shared" si="91"/>
        <v>x</v>
      </c>
      <c r="T2804" s="492" t="str">
        <f>IFERROR(VLOOKUP(F2804,'Freq-Chan'!C:D,2,FALSE),"x")</f>
        <v>x</v>
      </c>
      <c r="U2804" s="110" t="s">
        <v>541</v>
      </c>
      <c r="V2804" s="110" t="str">
        <f t="shared" si="92"/>
        <v>FWL</v>
      </c>
      <c r="W2804" s="110" t="s">
        <v>541</v>
      </c>
      <c r="X2804" s="110" t="s">
        <v>541</v>
      </c>
      <c r="Y2804" s="110" t="str">
        <f>IFERROR(VLOOKUP(F2804,'Freq-Chan'!C:E,3,FALSE),"na")</f>
        <v>na</v>
      </c>
      <c r="Z2804" s="110" t="s">
        <v>541</v>
      </c>
      <c r="AA2804" s="110" t="s">
        <v>541</v>
      </c>
      <c r="AB2804" s="110" t="s">
        <v>541</v>
      </c>
      <c r="AC2804" s="10" t="s">
        <v>541</v>
      </c>
      <c r="AD2804" s="10" t="s">
        <v>541</v>
      </c>
    </row>
    <row r="2805" spans="1:30" x14ac:dyDescent="0.2">
      <c r="A2805" s="110">
        <v>2805</v>
      </c>
      <c r="B2805" s="132">
        <v>41866</v>
      </c>
      <c r="C2805" s="117">
        <v>3</v>
      </c>
      <c r="D2805" s="103" t="s">
        <v>72</v>
      </c>
      <c r="E2805" s="103" t="s">
        <v>306</v>
      </c>
      <c r="F2805" s="103">
        <v>266</v>
      </c>
      <c r="G2805" s="103">
        <v>30</v>
      </c>
      <c r="H2805" s="103" t="s">
        <v>3581</v>
      </c>
      <c r="I2805" s="103">
        <v>55</v>
      </c>
      <c r="K2805" s="103" t="s">
        <v>1032</v>
      </c>
      <c r="L2805" s="133"/>
      <c r="M2805" s="134">
        <v>2.4305555555555556E-2</v>
      </c>
      <c r="N2805" s="137" t="s">
        <v>3472</v>
      </c>
      <c r="O2805" s="133" t="s">
        <v>1538</v>
      </c>
      <c r="P2805" s="100" t="s">
        <v>4466</v>
      </c>
      <c r="Q2805" s="100" t="s">
        <v>4256</v>
      </c>
      <c r="R2805" s="226" t="s">
        <v>4265</v>
      </c>
      <c r="S2805" s="491" t="str">
        <f t="shared" si="91"/>
        <v>x</v>
      </c>
      <c r="T2805" s="492">
        <f>IFERROR(VLOOKUP(F2805,'Freq-Chan'!C:D,2,FALSE),"x")</f>
        <v>151.26599999999999</v>
      </c>
      <c r="U2805" s="110" t="s">
        <v>541</v>
      </c>
      <c r="V2805" s="110" t="str">
        <f t="shared" si="92"/>
        <v>FWL</v>
      </c>
      <c r="W2805" s="110" t="s">
        <v>541</v>
      </c>
      <c r="X2805" s="110" t="s">
        <v>541</v>
      </c>
      <c r="Y2805" s="110" t="str">
        <f>IFERROR(VLOOKUP(F2805,'Freq-Chan'!C:E,3,FALSE),"na")</f>
        <v>F1840</v>
      </c>
      <c r="Z2805" s="110" t="s">
        <v>541</v>
      </c>
      <c r="AA2805" s="110" t="s">
        <v>541</v>
      </c>
      <c r="AB2805" s="110" t="s">
        <v>541</v>
      </c>
      <c r="AC2805" s="10" t="s">
        <v>541</v>
      </c>
      <c r="AD2805" s="10" t="s">
        <v>541</v>
      </c>
    </row>
    <row r="2806" spans="1:30" x14ac:dyDescent="0.2">
      <c r="A2806" s="110">
        <v>2806</v>
      </c>
      <c r="B2806" s="132">
        <v>41866</v>
      </c>
      <c r="C2806" s="117">
        <v>3</v>
      </c>
      <c r="D2806" s="103" t="s">
        <v>71</v>
      </c>
      <c r="E2806" s="103" t="s">
        <v>306</v>
      </c>
      <c r="F2806" s="103">
        <v>564</v>
      </c>
      <c r="G2806" s="103">
        <v>75</v>
      </c>
      <c r="H2806" s="103" t="s">
        <v>2459</v>
      </c>
      <c r="I2806" s="103">
        <v>53</v>
      </c>
      <c r="K2806" s="103" t="s">
        <v>1032</v>
      </c>
      <c r="L2806" s="133"/>
      <c r="M2806" s="134">
        <v>4.4444444444444446E-2</v>
      </c>
      <c r="N2806" s="135" t="s">
        <v>3357</v>
      </c>
      <c r="O2806" s="133" t="s">
        <v>1888</v>
      </c>
      <c r="Q2806" s="100" t="s">
        <v>4251</v>
      </c>
      <c r="R2806" s="226" t="s">
        <v>4265</v>
      </c>
      <c r="S2806" s="491" t="str">
        <f t="shared" si="91"/>
        <v>x</v>
      </c>
      <c r="T2806" s="492">
        <f>IFERROR(VLOOKUP(F2806,'Freq-Chan'!C:D,2,FALSE),"x")</f>
        <v>151.56399999999999</v>
      </c>
      <c r="U2806" s="110" t="s">
        <v>541</v>
      </c>
      <c r="V2806" s="110" t="str">
        <f t="shared" si="92"/>
        <v>FWL</v>
      </c>
      <c r="W2806" s="110" t="s">
        <v>541</v>
      </c>
      <c r="X2806" s="110" t="s">
        <v>541</v>
      </c>
      <c r="Y2806" s="110" t="str">
        <f>IFERROR(VLOOKUP(F2806,'Freq-Chan'!C:E,3,FALSE),"na")</f>
        <v>F1840</v>
      </c>
      <c r="Z2806" s="110" t="s">
        <v>541</v>
      </c>
      <c r="AA2806" s="110" t="s">
        <v>541</v>
      </c>
      <c r="AB2806" s="110" t="s">
        <v>541</v>
      </c>
      <c r="AC2806" s="10" t="s">
        <v>541</v>
      </c>
      <c r="AD2806" s="10" t="s">
        <v>541</v>
      </c>
    </row>
    <row r="2807" spans="1:30" x14ac:dyDescent="0.2">
      <c r="A2807" s="110">
        <v>2807</v>
      </c>
      <c r="B2807" s="132">
        <v>41866</v>
      </c>
      <c r="C2807" s="117">
        <v>3</v>
      </c>
      <c r="D2807" s="103" t="s">
        <v>70</v>
      </c>
      <c r="E2807" s="103" t="s">
        <v>306</v>
      </c>
      <c r="F2807" s="103">
        <v>596</v>
      </c>
      <c r="G2807" s="103">
        <v>51</v>
      </c>
      <c r="H2807" s="103" t="s">
        <v>3129</v>
      </c>
      <c r="I2807" s="103">
        <v>45</v>
      </c>
      <c r="K2807" s="103" t="s">
        <v>1032</v>
      </c>
      <c r="L2807" s="133"/>
      <c r="M2807" s="134">
        <v>3.7499999999999999E-2</v>
      </c>
      <c r="N2807" s="137" t="s">
        <v>2049</v>
      </c>
      <c r="O2807" s="133" t="s">
        <v>1888</v>
      </c>
      <c r="Q2807" s="100" t="s">
        <v>4251</v>
      </c>
      <c r="R2807" s="226" t="s">
        <v>4265</v>
      </c>
      <c r="S2807" s="491" t="str">
        <f t="shared" si="91"/>
        <v>x</v>
      </c>
      <c r="T2807" s="492">
        <f>IFERROR(VLOOKUP(F2807,'Freq-Chan'!C:D,2,FALSE),"x")</f>
        <v>151.596</v>
      </c>
      <c r="U2807" s="110" t="s">
        <v>541</v>
      </c>
      <c r="V2807" s="110" t="str">
        <f t="shared" si="92"/>
        <v>FWL</v>
      </c>
      <c r="W2807" s="110" t="s">
        <v>541</v>
      </c>
      <c r="X2807" s="110" t="s">
        <v>541</v>
      </c>
      <c r="Y2807" s="110" t="str">
        <f>IFERROR(VLOOKUP(F2807,'Freq-Chan'!C:E,3,FALSE),"na")</f>
        <v>F1835</v>
      </c>
      <c r="Z2807" s="110" t="s">
        <v>541</v>
      </c>
      <c r="AA2807" s="110" t="s">
        <v>541</v>
      </c>
      <c r="AB2807" s="110" t="s">
        <v>541</v>
      </c>
      <c r="AC2807" s="10" t="s">
        <v>541</v>
      </c>
      <c r="AD2807" s="10" t="s">
        <v>541</v>
      </c>
    </row>
    <row r="2808" spans="1:30" x14ac:dyDescent="0.2">
      <c r="A2808" s="110">
        <v>2808</v>
      </c>
      <c r="B2808" s="132">
        <v>41866</v>
      </c>
      <c r="C2808" s="117">
        <v>3</v>
      </c>
      <c r="D2808" s="103" t="s">
        <v>70</v>
      </c>
      <c r="E2808" s="103" t="s">
        <v>306</v>
      </c>
      <c r="H2808" s="103"/>
      <c r="I2808" s="103">
        <v>46</v>
      </c>
      <c r="K2808" s="103" t="s">
        <v>365</v>
      </c>
      <c r="L2808" s="133"/>
      <c r="M2808" s="134">
        <v>2.4999999999999998E-2</v>
      </c>
      <c r="N2808" s="137" t="s">
        <v>722</v>
      </c>
      <c r="O2808" s="133" t="s">
        <v>1888</v>
      </c>
      <c r="Q2808" s="100" t="s">
        <v>4251</v>
      </c>
      <c r="R2808" s="226" t="s">
        <v>4265</v>
      </c>
      <c r="S2808" s="491" t="str">
        <f t="shared" si="91"/>
        <v>x</v>
      </c>
      <c r="T2808" s="492" t="str">
        <f>IFERROR(VLOOKUP(F2808,'Freq-Chan'!C:D,2,FALSE),"x")</f>
        <v>x</v>
      </c>
      <c r="U2808" s="110" t="s">
        <v>541</v>
      </c>
      <c r="V2808" s="110" t="str">
        <f t="shared" si="92"/>
        <v>FWL</v>
      </c>
      <c r="W2808" s="110" t="s">
        <v>541</v>
      </c>
      <c r="X2808" s="110" t="s">
        <v>541</v>
      </c>
      <c r="Y2808" s="110" t="str">
        <f>IFERROR(VLOOKUP(F2808,'Freq-Chan'!C:E,3,FALSE),"na")</f>
        <v>na</v>
      </c>
      <c r="Z2808" s="110" t="s">
        <v>541</v>
      </c>
      <c r="AA2808" s="110" t="s">
        <v>541</v>
      </c>
      <c r="AB2808" s="110" t="s">
        <v>541</v>
      </c>
      <c r="AC2808" s="10" t="s">
        <v>541</v>
      </c>
      <c r="AD2808" s="10" t="s">
        <v>541</v>
      </c>
    </row>
    <row r="2809" spans="1:30" x14ac:dyDescent="0.2">
      <c r="A2809" s="110">
        <v>2809</v>
      </c>
      <c r="B2809" s="132">
        <v>41866</v>
      </c>
      <c r="C2809" s="117">
        <v>3</v>
      </c>
      <c r="D2809" s="103" t="s">
        <v>70</v>
      </c>
      <c r="E2809" s="103" t="s">
        <v>306</v>
      </c>
      <c r="H2809" s="103"/>
      <c r="I2809" s="103">
        <v>46</v>
      </c>
      <c r="K2809" s="103" t="s">
        <v>365</v>
      </c>
      <c r="L2809" s="133"/>
      <c r="M2809" s="134">
        <v>1.9444444444444445E-2</v>
      </c>
      <c r="N2809" s="137" t="s">
        <v>2692</v>
      </c>
      <c r="O2809" s="133" t="s">
        <v>1888</v>
      </c>
      <c r="Q2809" s="100" t="s">
        <v>4251</v>
      </c>
      <c r="R2809" s="226" t="s">
        <v>4265</v>
      </c>
      <c r="S2809" s="491" t="str">
        <f t="shared" si="91"/>
        <v>x</v>
      </c>
      <c r="T2809" s="492" t="str">
        <f>IFERROR(VLOOKUP(F2809,'Freq-Chan'!C:D,2,FALSE),"x")</f>
        <v>x</v>
      </c>
      <c r="U2809" s="110" t="s">
        <v>541</v>
      </c>
      <c r="V2809" s="110" t="str">
        <f t="shared" si="92"/>
        <v>FWL</v>
      </c>
      <c r="W2809" s="110" t="s">
        <v>541</v>
      </c>
      <c r="X2809" s="110" t="s">
        <v>541</v>
      </c>
      <c r="Y2809" s="110" t="str">
        <f>IFERROR(VLOOKUP(F2809,'Freq-Chan'!C:E,3,FALSE),"na")</f>
        <v>na</v>
      </c>
      <c r="Z2809" s="110" t="s">
        <v>541</v>
      </c>
      <c r="AA2809" s="110" t="s">
        <v>541</v>
      </c>
      <c r="AB2809" s="110" t="s">
        <v>541</v>
      </c>
      <c r="AC2809" s="10" t="s">
        <v>541</v>
      </c>
      <c r="AD2809" s="10" t="s">
        <v>541</v>
      </c>
    </row>
    <row r="2810" spans="1:30" x14ac:dyDescent="0.2">
      <c r="A2810" s="110">
        <v>2810</v>
      </c>
      <c r="B2810" s="132">
        <v>41866</v>
      </c>
      <c r="C2810" s="117">
        <v>3</v>
      </c>
      <c r="D2810" s="103" t="s">
        <v>72</v>
      </c>
      <c r="E2810" s="103" t="s">
        <v>306</v>
      </c>
      <c r="F2810" s="103">
        <v>325</v>
      </c>
      <c r="G2810" s="103">
        <v>30</v>
      </c>
      <c r="H2810" s="103" t="s">
        <v>3592</v>
      </c>
      <c r="I2810" s="103">
        <v>59</v>
      </c>
      <c r="K2810" s="103" t="s">
        <v>365</v>
      </c>
      <c r="L2810" s="133"/>
      <c r="M2810" s="134">
        <v>5.9027777777777783E-2</v>
      </c>
      <c r="N2810" s="137" t="s">
        <v>1937</v>
      </c>
      <c r="O2810" s="133" t="s">
        <v>1888</v>
      </c>
      <c r="Q2810" s="100" t="s">
        <v>4251</v>
      </c>
      <c r="R2810" s="226" t="s">
        <v>4265</v>
      </c>
      <c r="S2810" s="491" t="str">
        <f t="shared" si="91"/>
        <v>x</v>
      </c>
      <c r="T2810" s="492">
        <f>IFERROR(VLOOKUP(F2810,'Freq-Chan'!C:D,2,FALSE),"x")</f>
        <v>151.32499999999999</v>
      </c>
      <c r="U2810" s="110" t="s">
        <v>541</v>
      </c>
      <c r="V2810" s="110" t="str">
        <f t="shared" si="92"/>
        <v>FWL</v>
      </c>
      <c r="W2810" s="110" t="s">
        <v>541</v>
      </c>
      <c r="X2810" s="110" t="s">
        <v>541</v>
      </c>
      <c r="Y2810" s="110" t="str">
        <f>IFERROR(VLOOKUP(F2810,'Freq-Chan'!C:E,3,FALSE),"na")</f>
        <v>F1840</v>
      </c>
      <c r="Z2810" s="110" t="s">
        <v>541</v>
      </c>
      <c r="AA2810" s="110" t="s">
        <v>541</v>
      </c>
      <c r="AB2810" s="110" t="s">
        <v>541</v>
      </c>
      <c r="AC2810" s="10" t="s">
        <v>541</v>
      </c>
      <c r="AD2810" s="10" t="s">
        <v>541</v>
      </c>
    </row>
    <row r="2811" spans="1:30" x14ac:dyDescent="0.2">
      <c r="A2811" s="110">
        <v>2811</v>
      </c>
      <c r="B2811" s="132">
        <v>41866</v>
      </c>
      <c r="C2811" s="117">
        <v>3</v>
      </c>
      <c r="D2811" s="103" t="s">
        <v>71</v>
      </c>
      <c r="E2811" s="103" t="s">
        <v>306</v>
      </c>
      <c r="H2811" s="103"/>
      <c r="I2811" s="103">
        <v>61</v>
      </c>
      <c r="K2811" s="103" t="s">
        <v>1032</v>
      </c>
      <c r="L2811" s="133"/>
      <c r="M2811" s="134">
        <v>1.3194444444444444E-2</v>
      </c>
      <c r="N2811" s="137" t="s">
        <v>3358</v>
      </c>
      <c r="O2811" s="133" t="s">
        <v>372</v>
      </c>
      <c r="Q2811" s="100" t="s">
        <v>4251</v>
      </c>
      <c r="R2811" s="226" t="s">
        <v>4265</v>
      </c>
      <c r="S2811" s="491" t="str">
        <f t="shared" si="91"/>
        <v>x</v>
      </c>
      <c r="T2811" s="492" t="str">
        <f>IFERROR(VLOOKUP(F2811,'Freq-Chan'!C:D,2,FALSE),"x")</f>
        <v>x</v>
      </c>
      <c r="U2811" s="110" t="s">
        <v>541</v>
      </c>
      <c r="V2811" s="110" t="str">
        <f t="shared" si="92"/>
        <v>FWL</v>
      </c>
      <c r="W2811" s="110" t="s">
        <v>541</v>
      </c>
      <c r="X2811" s="110" t="s">
        <v>541</v>
      </c>
      <c r="Y2811" s="110" t="str">
        <f>IFERROR(VLOOKUP(F2811,'Freq-Chan'!C:E,3,FALSE),"na")</f>
        <v>na</v>
      </c>
      <c r="Z2811" s="110" t="s">
        <v>541</v>
      </c>
      <c r="AA2811" s="110" t="s">
        <v>541</v>
      </c>
      <c r="AB2811" s="110" t="s">
        <v>541</v>
      </c>
      <c r="AC2811" s="10" t="s">
        <v>541</v>
      </c>
      <c r="AD2811" s="10" t="s">
        <v>541</v>
      </c>
    </row>
    <row r="2812" spans="1:30" x14ac:dyDescent="0.2">
      <c r="A2812" s="110">
        <v>2812</v>
      </c>
      <c r="B2812" s="132">
        <v>41866</v>
      </c>
      <c r="C2812" s="117">
        <v>3</v>
      </c>
      <c r="D2812" s="103" t="s">
        <v>71</v>
      </c>
      <c r="E2812" s="103" t="s">
        <v>306</v>
      </c>
      <c r="H2812" s="103"/>
      <c r="I2812" s="103">
        <v>56</v>
      </c>
      <c r="K2812" s="103" t="s">
        <v>1032</v>
      </c>
      <c r="L2812" s="133"/>
      <c r="M2812" s="134">
        <v>1.5972222222222224E-2</v>
      </c>
      <c r="N2812" s="135" t="s">
        <v>2050</v>
      </c>
      <c r="O2812" s="133" t="s">
        <v>372</v>
      </c>
      <c r="Q2812" s="100" t="s">
        <v>4251</v>
      </c>
      <c r="R2812" s="226" t="s">
        <v>4265</v>
      </c>
      <c r="S2812" s="491" t="str">
        <f t="shared" si="91"/>
        <v>x</v>
      </c>
      <c r="T2812" s="492" t="str">
        <f>IFERROR(VLOOKUP(F2812,'Freq-Chan'!C:D,2,FALSE),"x")</f>
        <v>x</v>
      </c>
      <c r="U2812" s="110" t="s">
        <v>541</v>
      </c>
      <c r="V2812" s="110" t="str">
        <f t="shared" si="92"/>
        <v>FWL</v>
      </c>
      <c r="W2812" s="110" t="s">
        <v>541</v>
      </c>
      <c r="X2812" s="110" t="s">
        <v>541</v>
      </c>
      <c r="Y2812" s="110" t="str">
        <f>IFERROR(VLOOKUP(F2812,'Freq-Chan'!C:E,3,FALSE),"na")</f>
        <v>na</v>
      </c>
      <c r="Z2812" s="110" t="s">
        <v>541</v>
      </c>
      <c r="AA2812" s="110" t="s">
        <v>541</v>
      </c>
      <c r="AB2812" s="110" t="s">
        <v>541</v>
      </c>
      <c r="AC2812" s="10" t="s">
        <v>541</v>
      </c>
      <c r="AD2812" s="10" t="s">
        <v>541</v>
      </c>
    </row>
    <row r="2813" spans="1:30" x14ac:dyDescent="0.2">
      <c r="A2813" s="110">
        <v>2813</v>
      </c>
      <c r="B2813" s="132">
        <v>41866</v>
      </c>
      <c r="C2813" s="117">
        <v>3</v>
      </c>
      <c r="D2813" s="103" t="s">
        <v>72</v>
      </c>
      <c r="E2813" s="103" t="s">
        <v>306</v>
      </c>
      <c r="F2813" s="103">
        <v>325</v>
      </c>
      <c r="G2813" s="103">
        <v>20</v>
      </c>
      <c r="H2813" s="103" t="s">
        <v>3593</v>
      </c>
      <c r="I2813" s="103">
        <v>55</v>
      </c>
      <c r="K2813" s="103" t="s">
        <v>365</v>
      </c>
      <c r="L2813" s="133"/>
      <c r="M2813" s="134">
        <v>4.7222222222222221E-2</v>
      </c>
      <c r="N2813" s="135" t="s">
        <v>2720</v>
      </c>
      <c r="O2813" s="133" t="s">
        <v>372</v>
      </c>
      <c r="Q2813" s="100" t="s">
        <v>4251</v>
      </c>
      <c r="R2813" s="226" t="s">
        <v>4265</v>
      </c>
      <c r="S2813" s="491" t="str">
        <f t="shared" si="91"/>
        <v>x</v>
      </c>
      <c r="T2813" s="492">
        <f>IFERROR(VLOOKUP(F2813,'Freq-Chan'!C:D,2,FALSE),"x")</f>
        <v>151.32499999999999</v>
      </c>
      <c r="U2813" s="110" t="s">
        <v>541</v>
      </c>
      <c r="V2813" s="110" t="str">
        <f t="shared" si="92"/>
        <v>FWL</v>
      </c>
      <c r="W2813" s="110" t="s">
        <v>541</v>
      </c>
      <c r="X2813" s="110" t="s">
        <v>541</v>
      </c>
      <c r="Y2813" s="110" t="str">
        <f>IFERROR(VLOOKUP(F2813,'Freq-Chan'!C:E,3,FALSE),"na")</f>
        <v>F1840</v>
      </c>
      <c r="Z2813" s="110" t="s">
        <v>541</v>
      </c>
      <c r="AA2813" s="110" t="s">
        <v>541</v>
      </c>
      <c r="AB2813" s="110" t="s">
        <v>541</v>
      </c>
      <c r="AC2813" s="10" t="s">
        <v>541</v>
      </c>
      <c r="AD2813" s="10" t="s">
        <v>541</v>
      </c>
    </row>
    <row r="2814" spans="1:30" x14ac:dyDescent="0.2">
      <c r="A2814" s="110">
        <v>2814</v>
      </c>
      <c r="B2814" s="132">
        <v>41866</v>
      </c>
      <c r="C2814" s="117">
        <v>3</v>
      </c>
      <c r="D2814" s="103" t="s">
        <v>72</v>
      </c>
      <c r="E2814" s="103" t="s">
        <v>306</v>
      </c>
      <c r="F2814" s="103">
        <v>325</v>
      </c>
      <c r="G2814" s="103">
        <v>95</v>
      </c>
      <c r="H2814" s="103" t="s">
        <v>3594</v>
      </c>
      <c r="I2814" s="103">
        <v>53</v>
      </c>
      <c r="K2814" s="103" t="s">
        <v>365</v>
      </c>
      <c r="L2814" s="133"/>
      <c r="M2814" s="134">
        <v>4.7222222222222221E-2</v>
      </c>
      <c r="N2814" s="135" t="s">
        <v>4264</v>
      </c>
      <c r="O2814" s="133" t="s">
        <v>372</v>
      </c>
      <c r="P2814" s="100" t="s">
        <v>4267</v>
      </c>
      <c r="Q2814" s="100" t="s">
        <v>4251</v>
      </c>
      <c r="R2814" s="226" t="s">
        <v>4265</v>
      </c>
      <c r="S2814" s="491" t="str">
        <f t="shared" si="91"/>
        <v>x</v>
      </c>
      <c r="T2814" s="492">
        <f>IFERROR(VLOOKUP(F2814,'Freq-Chan'!C:D,2,FALSE),"x")</f>
        <v>151.32499999999999</v>
      </c>
      <c r="U2814" s="110" t="s">
        <v>541</v>
      </c>
      <c r="V2814" s="110" t="str">
        <f t="shared" si="92"/>
        <v>FWL</v>
      </c>
      <c r="W2814" s="110" t="s">
        <v>541</v>
      </c>
      <c r="X2814" s="110" t="s">
        <v>541</v>
      </c>
      <c r="Y2814" s="110" t="str">
        <f>IFERROR(VLOOKUP(F2814,'Freq-Chan'!C:E,3,FALSE),"na")</f>
        <v>F1840</v>
      </c>
      <c r="Z2814" s="110" t="s">
        <v>541</v>
      </c>
      <c r="AA2814" s="110" t="s">
        <v>541</v>
      </c>
      <c r="AB2814" s="110" t="s">
        <v>541</v>
      </c>
      <c r="AC2814" s="10" t="s">
        <v>541</v>
      </c>
      <c r="AD2814" s="10" t="s">
        <v>541</v>
      </c>
    </row>
    <row r="2815" spans="1:30" x14ac:dyDescent="0.2">
      <c r="A2815" s="110">
        <v>2815</v>
      </c>
      <c r="B2815" s="132">
        <v>41866</v>
      </c>
      <c r="C2815" s="117">
        <v>3</v>
      </c>
      <c r="D2815" s="103" t="s">
        <v>70</v>
      </c>
      <c r="E2815" s="103" t="s">
        <v>306</v>
      </c>
      <c r="H2815" s="103"/>
      <c r="I2815" s="103">
        <v>43</v>
      </c>
      <c r="K2815" s="103" t="s">
        <v>365</v>
      </c>
      <c r="L2815" s="133"/>
      <c r="M2815" s="134">
        <v>1.6666666666666666E-2</v>
      </c>
      <c r="N2815" s="137" t="s">
        <v>710</v>
      </c>
      <c r="O2815" s="133" t="s">
        <v>372</v>
      </c>
      <c r="Q2815" s="100" t="s">
        <v>4251</v>
      </c>
      <c r="R2815" s="226" t="s">
        <v>4265</v>
      </c>
      <c r="S2815" s="491" t="str">
        <f t="shared" si="91"/>
        <v>x</v>
      </c>
      <c r="T2815" s="492" t="str">
        <f>IFERROR(VLOOKUP(F2815,'Freq-Chan'!C:D,2,FALSE),"x")</f>
        <v>x</v>
      </c>
      <c r="U2815" s="110" t="s">
        <v>541</v>
      </c>
      <c r="V2815" s="110" t="str">
        <f t="shared" si="92"/>
        <v>FWL</v>
      </c>
      <c r="W2815" s="110" t="s">
        <v>541</v>
      </c>
      <c r="X2815" s="110" t="s">
        <v>541</v>
      </c>
      <c r="Y2815" s="110" t="str">
        <f>IFERROR(VLOOKUP(F2815,'Freq-Chan'!C:E,3,FALSE),"na")</f>
        <v>na</v>
      </c>
      <c r="Z2815" s="110" t="s">
        <v>541</v>
      </c>
      <c r="AA2815" s="110" t="s">
        <v>541</v>
      </c>
      <c r="AB2815" s="110" t="s">
        <v>541</v>
      </c>
      <c r="AC2815" s="10" t="s">
        <v>541</v>
      </c>
      <c r="AD2815" s="10" t="s">
        <v>541</v>
      </c>
    </row>
    <row r="2816" spans="1:30" x14ac:dyDescent="0.2">
      <c r="A2816" s="110">
        <v>2816</v>
      </c>
      <c r="B2816" s="132">
        <v>41866</v>
      </c>
      <c r="C2816" s="117">
        <v>3</v>
      </c>
      <c r="D2816" s="103" t="s">
        <v>70</v>
      </c>
      <c r="E2816" s="103" t="s">
        <v>306</v>
      </c>
      <c r="H2816" s="103"/>
      <c r="I2816" s="103">
        <v>43</v>
      </c>
      <c r="K2816" s="103" t="s">
        <v>1032</v>
      </c>
      <c r="L2816" s="133"/>
      <c r="M2816" s="134">
        <v>1.7361111111111112E-2</v>
      </c>
      <c r="N2816" s="137" t="s">
        <v>4193</v>
      </c>
      <c r="O2816" s="133" t="s">
        <v>372</v>
      </c>
      <c r="Q2816" s="100" t="s">
        <v>4251</v>
      </c>
      <c r="R2816" s="226" t="s">
        <v>4265</v>
      </c>
      <c r="S2816" s="491" t="str">
        <f t="shared" si="91"/>
        <v>x</v>
      </c>
      <c r="T2816" s="492" t="str">
        <f>IFERROR(VLOOKUP(F2816,'Freq-Chan'!C:D,2,FALSE),"x")</f>
        <v>x</v>
      </c>
      <c r="U2816" s="110" t="s">
        <v>541</v>
      </c>
      <c r="V2816" s="110" t="str">
        <f t="shared" si="92"/>
        <v>FWL</v>
      </c>
      <c r="W2816" s="110" t="s">
        <v>541</v>
      </c>
      <c r="X2816" s="110" t="s">
        <v>541</v>
      </c>
      <c r="Y2816" s="110" t="str">
        <f>IFERROR(VLOOKUP(F2816,'Freq-Chan'!C:E,3,FALSE),"na")</f>
        <v>na</v>
      </c>
      <c r="Z2816" s="110" t="s">
        <v>541</v>
      </c>
      <c r="AA2816" s="110" t="s">
        <v>541</v>
      </c>
      <c r="AB2816" s="110" t="s">
        <v>541</v>
      </c>
      <c r="AC2816" s="10" t="s">
        <v>541</v>
      </c>
      <c r="AD2816" s="10" t="s">
        <v>541</v>
      </c>
    </row>
    <row r="2817" spans="1:30" x14ac:dyDescent="0.2">
      <c r="A2817" s="110">
        <v>2817</v>
      </c>
      <c r="B2817" s="132">
        <v>41866</v>
      </c>
      <c r="C2817" s="117">
        <v>3</v>
      </c>
      <c r="D2817" s="103" t="s">
        <v>72</v>
      </c>
      <c r="E2817" s="103" t="s">
        <v>306</v>
      </c>
      <c r="H2817" s="103"/>
      <c r="I2817" s="103">
        <v>52</v>
      </c>
      <c r="K2817" s="103" t="s">
        <v>364</v>
      </c>
      <c r="L2817" s="133"/>
      <c r="M2817" s="134">
        <v>2.1527777777777781E-2</v>
      </c>
      <c r="N2817" s="135" t="s">
        <v>4193</v>
      </c>
      <c r="O2817" s="133" t="s">
        <v>372</v>
      </c>
      <c r="Q2817" s="100" t="s">
        <v>4251</v>
      </c>
      <c r="R2817" s="226" t="s">
        <v>4265</v>
      </c>
      <c r="S2817" s="491" t="str">
        <f t="shared" si="91"/>
        <v>x</v>
      </c>
      <c r="T2817" s="492" t="str">
        <f>IFERROR(VLOOKUP(F2817,'Freq-Chan'!C:D,2,FALSE),"x")</f>
        <v>x</v>
      </c>
      <c r="U2817" s="110" t="s">
        <v>541</v>
      </c>
      <c r="V2817" s="110" t="str">
        <f t="shared" si="92"/>
        <v>FWL</v>
      </c>
      <c r="W2817" s="110" t="s">
        <v>541</v>
      </c>
      <c r="X2817" s="110" t="s">
        <v>541</v>
      </c>
      <c r="Y2817" s="110" t="str">
        <f>IFERROR(VLOOKUP(F2817,'Freq-Chan'!C:E,3,FALSE),"na")</f>
        <v>na</v>
      </c>
      <c r="Z2817" s="110" t="s">
        <v>541</v>
      </c>
      <c r="AA2817" s="110" t="s">
        <v>541</v>
      </c>
      <c r="AB2817" s="110" t="s">
        <v>541</v>
      </c>
      <c r="AC2817" s="10" t="s">
        <v>541</v>
      </c>
      <c r="AD2817" s="10" t="s">
        <v>541</v>
      </c>
    </row>
    <row r="2818" spans="1:30" x14ac:dyDescent="0.2">
      <c r="A2818" s="110">
        <v>2818</v>
      </c>
      <c r="B2818" s="132">
        <v>41866</v>
      </c>
      <c r="C2818" s="117">
        <v>3</v>
      </c>
      <c r="D2818" s="103" t="s">
        <v>71</v>
      </c>
      <c r="E2818" s="103" t="s">
        <v>306</v>
      </c>
      <c r="H2818" s="103"/>
      <c r="I2818" s="103">
        <v>53</v>
      </c>
      <c r="K2818" s="103" t="s">
        <v>364</v>
      </c>
      <c r="L2818" s="133"/>
      <c r="M2818" s="134">
        <v>1.5972222222222224E-2</v>
      </c>
      <c r="N2818" s="135" t="s">
        <v>3389</v>
      </c>
      <c r="O2818" s="133" t="s">
        <v>1532</v>
      </c>
      <c r="Q2818" s="100" t="s">
        <v>4258</v>
      </c>
      <c r="R2818" s="226" t="s">
        <v>4265</v>
      </c>
      <c r="S2818" s="491" t="str">
        <f t="shared" si="91"/>
        <v>x</v>
      </c>
      <c r="T2818" s="492" t="str">
        <f>IFERROR(VLOOKUP(F2818,'Freq-Chan'!C:D,2,FALSE),"x")</f>
        <v>x</v>
      </c>
      <c r="U2818" s="110" t="s">
        <v>541</v>
      </c>
      <c r="V2818" s="110" t="str">
        <f t="shared" si="92"/>
        <v>FWL</v>
      </c>
      <c r="W2818" s="110" t="s">
        <v>541</v>
      </c>
      <c r="X2818" s="110" t="s">
        <v>541</v>
      </c>
      <c r="Y2818" s="110" t="str">
        <f>IFERROR(VLOOKUP(F2818,'Freq-Chan'!C:E,3,FALSE),"na")</f>
        <v>na</v>
      </c>
      <c r="Z2818" s="110" t="s">
        <v>541</v>
      </c>
      <c r="AA2818" s="110" t="s">
        <v>541</v>
      </c>
      <c r="AB2818" s="110" t="s">
        <v>541</v>
      </c>
      <c r="AC2818" s="10" t="s">
        <v>541</v>
      </c>
      <c r="AD2818" s="10" t="s">
        <v>541</v>
      </c>
    </row>
    <row r="2819" spans="1:30" x14ac:dyDescent="0.2">
      <c r="A2819" s="110">
        <v>2819</v>
      </c>
      <c r="B2819" s="132">
        <v>41866</v>
      </c>
      <c r="C2819" s="117">
        <v>3</v>
      </c>
      <c r="D2819" s="103" t="s">
        <v>70</v>
      </c>
      <c r="E2819" s="103" t="s">
        <v>306</v>
      </c>
      <c r="H2819" s="103"/>
      <c r="I2819" s="103">
        <v>45</v>
      </c>
      <c r="K2819" s="103" t="s">
        <v>365</v>
      </c>
      <c r="L2819" s="133"/>
      <c r="M2819" s="134">
        <v>1.4583333333333332E-2</v>
      </c>
      <c r="N2819" s="137" t="s">
        <v>307</v>
      </c>
      <c r="O2819" s="133" t="s">
        <v>1532</v>
      </c>
      <c r="Q2819" s="100" t="s">
        <v>4258</v>
      </c>
      <c r="R2819" s="226" t="s">
        <v>4265</v>
      </c>
      <c r="S2819" s="491" t="str">
        <f t="shared" si="91"/>
        <v>x</v>
      </c>
      <c r="T2819" s="492" t="str">
        <f>IFERROR(VLOOKUP(F2819,'Freq-Chan'!C:D,2,FALSE),"x")</f>
        <v>x</v>
      </c>
      <c r="U2819" s="110" t="s">
        <v>541</v>
      </c>
      <c r="V2819" s="110" t="str">
        <f t="shared" si="92"/>
        <v>FWL</v>
      </c>
      <c r="W2819" s="110" t="s">
        <v>541</v>
      </c>
      <c r="X2819" s="110" t="s">
        <v>541</v>
      </c>
      <c r="Y2819" s="110" t="str">
        <f>IFERROR(VLOOKUP(F2819,'Freq-Chan'!C:E,3,FALSE),"na")</f>
        <v>na</v>
      </c>
      <c r="Z2819" s="110" t="s">
        <v>541</v>
      </c>
      <c r="AA2819" s="110" t="s">
        <v>541</v>
      </c>
      <c r="AB2819" s="110" t="s">
        <v>541</v>
      </c>
      <c r="AC2819" s="10" t="s">
        <v>541</v>
      </c>
      <c r="AD2819" s="10" t="s">
        <v>541</v>
      </c>
    </row>
    <row r="2820" spans="1:30" x14ac:dyDescent="0.2">
      <c r="A2820" s="110">
        <v>2820</v>
      </c>
      <c r="B2820" s="132">
        <v>41866</v>
      </c>
      <c r="C2820" s="117">
        <v>3</v>
      </c>
      <c r="D2820" s="103" t="s">
        <v>70</v>
      </c>
      <c r="E2820" s="103" t="s">
        <v>306</v>
      </c>
      <c r="H2820" s="103"/>
      <c r="I2820" s="103">
        <v>45</v>
      </c>
      <c r="K2820" s="103" t="s">
        <v>365</v>
      </c>
      <c r="L2820" s="133"/>
      <c r="M2820" s="134">
        <v>1.6666666666666666E-2</v>
      </c>
      <c r="N2820" s="137" t="s">
        <v>3242</v>
      </c>
      <c r="O2820" s="133" t="s">
        <v>1532</v>
      </c>
      <c r="Q2820" s="100" t="s">
        <v>4258</v>
      </c>
      <c r="R2820" s="226" t="s">
        <v>4265</v>
      </c>
      <c r="S2820" s="491" t="str">
        <f t="shared" si="91"/>
        <v>x</v>
      </c>
      <c r="T2820" s="492" t="str">
        <f>IFERROR(VLOOKUP(F2820,'Freq-Chan'!C:D,2,FALSE),"x")</f>
        <v>x</v>
      </c>
      <c r="U2820" s="110" t="s">
        <v>541</v>
      </c>
      <c r="V2820" s="110" t="str">
        <f t="shared" si="92"/>
        <v>FWL</v>
      </c>
      <c r="W2820" s="110" t="s">
        <v>541</v>
      </c>
      <c r="X2820" s="110" t="s">
        <v>541</v>
      </c>
      <c r="Y2820" s="110" t="str">
        <f>IFERROR(VLOOKUP(F2820,'Freq-Chan'!C:E,3,FALSE),"na")</f>
        <v>na</v>
      </c>
      <c r="Z2820" s="110" t="s">
        <v>541</v>
      </c>
      <c r="AA2820" s="110" t="s">
        <v>541</v>
      </c>
      <c r="AB2820" s="110" t="s">
        <v>541</v>
      </c>
      <c r="AC2820" s="10" t="s">
        <v>541</v>
      </c>
      <c r="AD2820" s="10" t="s">
        <v>541</v>
      </c>
    </row>
    <row r="2821" spans="1:30" x14ac:dyDescent="0.2">
      <c r="A2821" s="110">
        <v>2821</v>
      </c>
      <c r="B2821" s="132">
        <v>41866</v>
      </c>
      <c r="C2821" s="117">
        <v>3</v>
      </c>
      <c r="D2821" s="103" t="s">
        <v>71</v>
      </c>
      <c r="E2821" s="103" t="s">
        <v>306</v>
      </c>
      <c r="H2821" s="103"/>
      <c r="I2821" s="103">
        <v>60</v>
      </c>
      <c r="K2821" s="103" t="s">
        <v>364</v>
      </c>
      <c r="L2821" s="133"/>
      <c r="M2821" s="134">
        <v>1.5972222222222224E-2</v>
      </c>
      <c r="N2821" s="135" t="s">
        <v>3934</v>
      </c>
      <c r="O2821" s="133" t="s">
        <v>1532</v>
      </c>
      <c r="Q2821" s="100" t="s">
        <v>4258</v>
      </c>
      <c r="R2821" s="226" t="s">
        <v>4265</v>
      </c>
      <c r="S2821" s="491" t="str">
        <f t="shared" si="91"/>
        <v>x</v>
      </c>
      <c r="T2821" s="492" t="str">
        <f>IFERROR(VLOOKUP(F2821,'Freq-Chan'!C:D,2,FALSE),"x")</f>
        <v>x</v>
      </c>
      <c r="U2821" s="110" t="s">
        <v>541</v>
      </c>
      <c r="V2821" s="110" t="str">
        <f t="shared" si="92"/>
        <v>FWL</v>
      </c>
      <c r="W2821" s="110" t="s">
        <v>541</v>
      </c>
      <c r="X2821" s="110" t="s">
        <v>541</v>
      </c>
      <c r="Y2821" s="110" t="str">
        <f>IFERROR(VLOOKUP(F2821,'Freq-Chan'!C:E,3,FALSE),"na")</f>
        <v>na</v>
      </c>
      <c r="Z2821" s="110" t="s">
        <v>541</v>
      </c>
      <c r="AA2821" s="110" t="s">
        <v>541</v>
      </c>
      <c r="AB2821" s="110" t="s">
        <v>541</v>
      </c>
      <c r="AC2821" s="10" t="s">
        <v>541</v>
      </c>
      <c r="AD2821" s="10" t="s">
        <v>541</v>
      </c>
    </row>
    <row r="2822" spans="1:30" s="291" customFormat="1" x14ac:dyDescent="0.2">
      <c r="A2822" s="493">
        <v>2822</v>
      </c>
      <c r="B2822" s="283">
        <v>41866</v>
      </c>
      <c r="C2822" s="284">
        <v>3</v>
      </c>
      <c r="D2822" s="285" t="s">
        <v>71</v>
      </c>
      <c r="E2822" s="285" t="s">
        <v>306</v>
      </c>
      <c r="F2822" s="285"/>
      <c r="G2822" s="285"/>
      <c r="H2822" s="285"/>
      <c r="I2822" s="285">
        <v>61</v>
      </c>
      <c r="J2822" s="285"/>
      <c r="K2822" s="285" t="s">
        <v>1032</v>
      </c>
      <c r="L2822" s="286">
        <v>0.80902777777777779</v>
      </c>
      <c r="M2822" s="287">
        <v>3.0555555555555555E-2</v>
      </c>
      <c r="N2822" s="288" t="s">
        <v>3363</v>
      </c>
      <c r="O2822" s="286" t="s">
        <v>1532</v>
      </c>
      <c r="P2822" s="289"/>
      <c r="Q2822" s="289" t="s">
        <v>4258</v>
      </c>
      <c r="R2822" s="290" t="s">
        <v>4265</v>
      </c>
      <c r="S2822" s="494">
        <f t="shared" si="91"/>
        <v>1.5740741E-3</v>
      </c>
      <c r="T2822" s="495" t="str">
        <f>IFERROR(VLOOKUP(F2822,'Freq-Chan'!C:D,2,FALSE),"x")</f>
        <v>x</v>
      </c>
      <c r="U2822" s="493" t="s">
        <v>541</v>
      </c>
      <c r="V2822" s="493" t="str">
        <f t="shared" si="92"/>
        <v>FWL</v>
      </c>
      <c r="W2822" s="493" t="s">
        <v>541</v>
      </c>
      <c r="X2822" s="493" t="s">
        <v>541</v>
      </c>
      <c r="Y2822" s="493" t="str">
        <f>IFERROR(VLOOKUP(F2822,'Freq-Chan'!C:E,3,FALSE),"na")</f>
        <v>na</v>
      </c>
      <c r="Z2822" s="493" t="s">
        <v>541</v>
      </c>
      <c r="AA2822" s="493" t="s">
        <v>541</v>
      </c>
      <c r="AB2822" s="493" t="s">
        <v>541</v>
      </c>
      <c r="AC2822" s="291" t="s">
        <v>541</v>
      </c>
      <c r="AD2822" s="291" t="s">
        <v>541</v>
      </c>
    </row>
    <row r="2823" spans="1:30" x14ac:dyDescent="0.2">
      <c r="A2823" s="110">
        <v>2823</v>
      </c>
      <c r="B2823" s="132">
        <v>41867</v>
      </c>
      <c r="C2823" s="117">
        <v>1</v>
      </c>
      <c r="D2823" s="103" t="s">
        <v>70</v>
      </c>
      <c r="E2823" s="103" t="s">
        <v>306</v>
      </c>
      <c r="F2823" s="103">
        <v>515</v>
      </c>
      <c r="G2823" s="103">
        <v>88</v>
      </c>
      <c r="H2823" s="103" t="s">
        <v>3138</v>
      </c>
      <c r="I2823" s="103">
        <v>44</v>
      </c>
      <c r="K2823" s="103" t="s">
        <v>365</v>
      </c>
      <c r="L2823" s="133"/>
      <c r="M2823" s="134">
        <v>3.0555555555555555E-2</v>
      </c>
      <c r="N2823" s="135" t="s">
        <v>3277</v>
      </c>
      <c r="O2823" s="133" t="s">
        <v>1538</v>
      </c>
      <c r="Q2823" s="100" t="s">
        <v>4269</v>
      </c>
      <c r="R2823" s="226" t="s">
        <v>4280</v>
      </c>
      <c r="S2823" s="491" t="str">
        <f t="shared" si="91"/>
        <v>x</v>
      </c>
      <c r="T2823" s="492">
        <f>IFERROR(VLOOKUP(F2823,'Freq-Chan'!C:D,2,FALSE),"x")</f>
        <v>151.51499999999999</v>
      </c>
      <c r="U2823" s="110" t="s">
        <v>541</v>
      </c>
      <c r="V2823" s="110" t="str">
        <f t="shared" si="92"/>
        <v>FWL</v>
      </c>
      <c r="W2823" s="110" t="s">
        <v>541</v>
      </c>
      <c r="X2823" s="110" t="s">
        <v>541</v>
      </c>
      <c r="Y2823" s="110" t="str">
        <f>IFERROR(VLOOKUP(F2823,'Freq-Chan'!C:E,3,FALSE),"na")</f>
        <v>F1835</v>
      </c>
      <c r="Z2823" s="110" t="s">
        <v>541</v>
      </c>
      <c r="AA2823" s="110" t="s">
        <v>541</v>
      </c>
      <c r="AB2823" s="110" t="s">
        <v>541</v>
      </c>
      <c r="AC2823" s="10" t="s">
        <v>541</v>
      </c>
      <c r="AD2823" s="10" t="s">
        <v>541</v>
      </c>
    </row>
    <row r="2824" spans="1:30" x14ac:dyDescent="0.2">
      <c r="A2824" s="110">
        <v>2824</v>
      </c>
      <c r="B2824" s="132">
        <v>41867</v>
      </c>
      <c r="C2824" s="117">
        <v>1</v>
      </c>
      <c r="D2824" s="103" t="s">
        <v>70</v>
      </c>
      <c r="E2824" s="103" t="s">
        <v>306</v>
      </c>
      <c r="H2824" s="103"/>
      <c r="I2824" s="103">
        <v>46</v>
      </c>
      <c r="K2824" s="103" t="s">
        <v>365</v>
      </c>
      <c r="L2824" s="133"/>
      <c r="M2824" s="134">
        <v>1.3194444444444444E-2</v>
      </c>
      <c r="N2824" s="135" t="s">
        <v>393</v>
      </c>
      <c r="O2824" s="133" t="s">
        <v>1033</v>
      </c>
      <c r="Q2824" s="100" t="s">
        <v>4269</v>
      </c>
      <c r="R2824" s="226" t="s">
        <v>4280</v>
      </c>
      <c r="S2824" s="491" t="str">
        <f t="shared" si="91"/>
        <v>x</v>
      </c>
      <c r="T2824" s="492" t="str">
        <f>IFERROR(VLOOKUP(F2824,'Freq-Chan'!C:D,2,FALSE),"x")</f>
        <v>x</v>
      </c>
      <c r="U2824" s="110" t="s">
        <v>541</v>
      </c>
      <c r="V2824" s="110" t="str">
        <f t="shared" si="92"/>
        <v>FWL</v>
      </c>
      <c r="W2824" s="110" t="s">
        <v>541</v>
      </c>
      <c r="X2824" s="110" t="s">
        <v>541</v>
      </c>
      <c r="Y2824" s="110" t="str">
        <f>IFERROR(VLOOKUP(F2824,'Freq-Chan'!C:E,3,FALSE),"na")</f>
        <v>na</v>
      </c>
      <c r="Z2824" s="110" t="s">
        <v>541</v>
      </c>
      <c r="AA2824" s="110" t="s">
        <v>541</v>
      </c>
      <c r="AB2824" s="110" t="s">
        <v>541</v>
      </c>
      <c r="AC2824" s="10" t="s">
        <v>541</v>
      </c>
      <c r="AD2824" s="10" t="s">
        <v>541</v>
      </c>
    </row>
    <row r="2825" spans="1:30" x14ac:dyDescent="0.2">
      <c r="A2825" s="110">
        <v>2825</v>
      </c>
      <c r="B2825" s="132">
        <v>41867</v>
      </c>
      <c r="C2825" s="117">
        <v>1</v>
      </c>
      <c r="D2825" s="103" t="s">
        <v>71</v>
      </c>
      <c r="E2825" s="103" t="s">
        <v>306</v>
      </c>
      <c r="F2825" s="103">
        <v>564</v>
      </c>
      <c r="G2825" s="103">
        <v>21</v>
      </c>
      <c r="H2825" s="103" t="s">
        <v>2457</v>
      </c>
      <c r="I2825" s="103">
        <v>50</v>
      </c>
      <c r="K2825" s="103" t="s">
        <v>365</v>
      </c>
      <c r="L2825" s="133"/>
      <c r="M2825" s="134">
        <v>3.6111111111111115E-2</v>
      </c>
      <c r="N2825" s="137" t="s">
        <v>3981</v>
      </c>
      <c r="O2825" s="133" t="s">
        <v>1033</v>
      </c>
      <c r="Q2825" s="100" t="s">
        <v>4269</v>
      </c>
      <c r="R2825" s="226" t="s">
        <v>4280</v>
      </c>
      <c r="S2825" s="491" t="str">
        <f t="shared" si="91"/>
        <v>x</v>
      </c>
      <c r="T2825" s="492">
        <f>IFERROR(VLOOKUP(F2825,'Freq-Chan'!C:D,2,FALSE),"x")</f>
        <v>151.56399999999999</v>
      </c>
      <c r="U2825" s="110" t="s">
        <v>541</v>
      </c>
      <c r="V2825" s="110" t="str">
        <f t="shared" si="92"/>
        <v>FWL</v>
      </c>
      <c r="W2825" s="110" t="s">
        <v>541</v>
      </c>
      <c r="X2825" s="110" t="s">
        <v>541</v>
      </c>
      <c r="Y2825" s="110" t="str">
        <f>IFERROR(VLOOKUP(F2825,'Freq-Chan'!C:E,3,FALSE),"na")</f>
        <v>F1840</v>
      </c>
      <c r="Z2825" s="110" t="s">
        <v>541</v>
      </c>
      <c r="AA2825" s="110" t="s">
        <v>541</v>
      </c>
      <c r="AB2825" s="110" t="s">
        <v>541</v>
      </c>
      <c r="AC2825" s="10" t="s">
        <v>541</v>
      </c>
      <c r="AD2825" s="10" t="s">
        <v>541</v>
      </c>
    </row>
    <row r="2826" spans="1:30" x14ac:dyDescent="0.2">
      <c r="A2826" s="110">
        <v>2826</v>
      </c>
      <c r="B2826" s="132">
        <v>41867</v>
      </c>
      <c r="C2826" s="117">
        <v>1</v>
      </c>
      <c r="D2826" s="103" t="s">
        <v>72</v>
      </c>
      <c r="E2826" s="103" t="s">
        <v>306</v>
      </c>
      <c r="F2826" s="103">
        <v>266</v>
      </c>
      <c r="G2826" s="103">
        <v>71</v>
      </c>
      <c r="H2826" s="103" t="s">
        <v>3598</v>
      </c>
      <c r="I2826" s="103">
        <v>60</v>
      </c>
      <c r="K2826" s="103" t="s">
        <v>1032</v>
      </c>
      <c r="L2826" s="133"/>
      <c r="M2826" s="134">
        <v>3.6111111111111115E-2</v>
      </c>
      <c r="N2826" s="135" t="s">
        <v>3735</v>
      </c>
      <c r="O2826" s="133" t="s">
        <v>1033</v>
      </c>
      <c r="P2826" s="100" t="s">
        <v>4466</v>
      </c>
      <c r="Q2826" s="100" t="s">
        <v>4269</v>
      </c>
      <c r="R2826" s="226" t="s">
        <v>4280</v>
      </c>
      <c r="S2826" s="491" t="str">
        <f t="shared" si="91"/>
        <v>x</v>
      </c>
      <c r="T2826" s="492">
        <f>IFERROR(VLOOKUP(F2826,'Freq-Chan'!C:D,2,FALSE),"x")</f>
        <v>151.26599999999999</v>
      </c>
      <c r="U2826" s="110" t="s">
        <v>541</v>
      </c>
      <c r="V2826" s="110" t="str">
        <f t="shared" si="92"/>
        <v>FWL</v>
      </c>
      <c r="W2826" s="110" t="s">
        <v>541</v>
      </c>
      <c r="X2826" s="110" t="s">
        <v>541</v>
      </c>
      <c r="Y2826" s="110" t="str">
        <f>IFERROR(VLOOKUP(F2826,'Freq-Chan'!C:E,3,FALSE),"na")</f>
        <v>F1840</v>
      </c>
      <c r="Z2826" s="110" t="s">
        <v>541</v>
      </c>
      <c r="AA2826" s="110" t="s">
        <v>541</v>
      </c>
      <c r="AB2826" s="110" t="s">
        <v>541</v>
      </c>
      <c r="AC2826" s="10" t="s">
        <v>541</v>
      </c>
      <c r="AD2826" s="10" t="s">
        <v>541</v>
      </c>
    </row>
    <row r="2827" spans="1:30" x14ac:dyDescent="0.2">
      <c r="A2827" s="110">
        <v>2827</v>
      </c>
      <c r="B2827" s="132">
        <v>41867</v>
      </c>
      <c r="C2827" s="117">
        <v>1</v>
      </c>
      <c r="D2827" s="103" t="s">
        <v>71</v>
      </c>
      <c r="E2827" s="103" t="s">
        <v>306</v>
      </c>
      <c r="H2827" s="103"/>
      <c r="I2827" s="103">
        <v>56</v>
      </c>
      <c r="K2827" s="103" t="s">
        <v>365</v>
      </c>
      <c r="L2827" s="133"/>
      <c r="M2827" s="134">
        <v>1.9444444444444445E-2</v>
      </c>
      <c r="N2827" s="137" t="s">
        <v>1905</v>
      </c>
      <c r="O2827" s="133" t="s">
        <v>1033</v>
      </c>
      <c r="Q2827" s="100" t="s">
        <v>4269</v>
      </c>
      <c r="R2827" s="226" t="s">
        <v>4280</v>
      </c>
      <c r="S2827" s="491" t="str">
        <f t="shared" si="91"/>
        <v>x</v>
      </c>
      <c r="T2827" s="492" t="str">
        <f>IFERROR(VLOOKUP(F2827,'Freq-Chan'!C:D,2,FALSE),"x")</f>
        <v>x</v>
      </c>
      <c r="U2827" s="110" t="s">
        <v>541</v>
      </c>
      <c r="V2827" s="110" t="str">
        <f t="shared" si="92"/>
        <v>FWL</v>
      </c>
      <c r="W2827" s="110" t="s">
        <v>541</v>
      </c>
      <c r="X2827" s="110" t="s">
        <v>541</v>
      </c>
      <c r="Y2827" s="110" t="str">
        <f>IFERROR(VLOOKUP(F2827,'Freq-Chan'!C:E,3,FALSE),"na")</f>
        <v>na</v>
      </c>
      <c r="Z2827" s="110" t="s">
        <v>541</v>
      </c>
      <c r="AA2827" s="110" t="s">
        <v>541</v>
      </c>
      <c r="AB2827" s="110" t="s">
        <v>541</v>
      </c>
      <c r="AC2827" s="10" t="s">
        <v>541</v>
      </c>
      <c r="AD2827" s="10" t="s">
        <v>541</v>
      </c>
    </row>
    <row r="2828" spans="1:30" x14ac:dyDescent="0.2">
      <c r="A2828" s="110">
        <v>2828</v>
      </c>
      <c r="B2828" s="132">
        <v>41867</v>
      </c>
      <c r="C2828" s="117">
        <v>1</v>
      </c>
      <c r="D2828" s="103" t="s">
        <v>70</v>
      </c>
      <c r="E2828" s="103" t="s">
        <v>306</v>
      </c>
      <c r="H2828" s="103"/>
      <c r="I2828" s="103">
        <v>47</v>
      </c>
      <c r="K2828" s="103" t="s">
        <v>1032</v>
      </c>
      <c r="L2828" s="133">
        <v>0.45416666666666666</v>
      </c>
      <c r="M2828" s="134">
        <v>1.4583333333333332E-2</v>
      </c>
      <c r="N2828" s="135" t="s">
        <v>3879</v>
      </c>
      <c r="O2828" s="133" t="s">
        <v>1033</v>
      </c>
      <c r="Q2828" s="100" t="s">
        <v>4269</v>
      </c>
      <c r="R2828" s="226" t="s">
        <v>4280</v>
      </c>
      <c r="S2828" s="491">
        <f t="shared" si="91"/>
        <v>4.5138889999999998E-4</v>
      </c>
      <c r="T2828" s="492" t="str">
        <f>IFERROR(VLOOKUP(F2828,'Freq-Chan'!C:D,2,FALSE),"x")</f>
        <v>x</v>
      </c>
      <c r="U2828" s="110" t="s">
        <v>541</v>
      </c>
      <c r="V2828" s="110" t="str">
        <f t="shared" si="92"/>
        <v>FWL</v>
      </c>
      <c r="W2828" s="110" t="s">
        <v>541</v>
      </c>
      <c r="X2828" s="110" t="s">
        <v>541</v>
      </c>
      <c r="Y2828" s="110" t="str">
        <f>IFERROR(VLOOKUP(F2828,'Freq-Chan'!C:E,3,FALSE),"na")</f>
        <v>na</v>
      </c>
      <c r="Z2828" s="110" t="s">
        <v>541</v>
      </c>
      <c r="AA2828" s="110" t="s">
        <v>541</v>
      </c>
      <c r="AB2828" s="110" t="s">
        <v>541</v>
      </c>
      <c r="AC2828" s="10" t="s">
        <v>541</v>
      </c>
      <c r="AD2828" s="10" t="s">
        <v>541</v>
      </c>
    </row>
    <row r="2829" spans="1:30" x14ac:dyDescent="0.2">
      <c r="A2829" s="110">
        <v>2829</v>
      </c>
      <c r="B2829" s="132">
        <v>41867</v>
      </c>
      <c r="C2829" s="117">
        <v>1</v>
      </c>
      <c r="D2829" s="103" t="s">
        <v>71</v>
      </c>
      <c r="E2829" s="103" t="s">
        <v>306</v>
      </c>
      <c r="H2829" s="103"/>
      <c r="I2829" s="103">
        <v>57</v>
      </c>
      <c r="K2829" s="103" t="s">
        <v>1032</v>
      </c>
      <c r="L2829" s="133"/>
      <c r="M2829" s="134">
        <v>2.1527777777777781E-2</v>
      </c>
      <c r="N2829" s="135" t="s">
        <v>1874</v>
      </c>
      <c r="O2829" s="133" t="s">
        <v>1033</v>
      </c>
      <c r="Q2829" s="100" t="s">
        <v>4269</v>
      </c>
      <c r="R2829" s="226" t="s">
        <v>4280</v>
      </c>
      <c r="S2829" s="491" t="str">
        <f t="shared" si="91"/>
        <v>x</v>
      </c>
      <c r="T2829" s="492" t="str">
        <f>IFERROR(VLOOKUP(F2829,'Freq-Chan'!C:D,2,FALSE),"x")</f>
        <v>x</v>
      </c>
      <c r="U2829" s="110" t="s">
        <v>541</v>
      </c>
      <c r="V2829" s="110" t="str">
        <f t="shared" si="92"/>
        <v>FWL</v>
      </c>
      <c r="W2829" s="110" t="s">
        <v>541</v>
      </c>
      <c r="X2829" s="110" t="s">
        <v>541</v>
      </c>
      <c r="Y2829" s="110" t="str">
        <f>IFERROR(VLOOKUP(F2829,'Freq-Chan'!C:E,3,FALSE),"na")</f>
        <v>na</v>
      </c>
      <c r="Z2829" s="110" t="s">
        <v>541</v>
      </c>
      <c r="AA2829" s="110" t="s">
        <v>541</v>
      </c>
      <c r="AB2829" s="110" t="s">
        <v>541</v>
      </c>
      <c r="AC2829" s="10" t="s">
        <v>541</v>
      </c>
      <c r="AD2829" s="10" t="s">
        <v>541</v>
      </c>
    </row>
    <row r="2830" spans="1:30" x14ac:dyDescent="0.2">
      <c r="A2830" s="110">
        <v>2830</v>
      </c>
      <c r="B2830" s="132">
        <v>41867</v>
      </c>
      <c r="C2830" s="117">
        <v>1</v>
      </c>
      <c r="D2830" s="103" t="s">
        <v>70</v>
      </c>
      <c r="E2830" s="103" t="s">
        <v>306</v>
      </c>
      <c r="H2830" s="103"/>
      <c r="I2830" s="103">
        <v>42</v>
      </c>
      <c r="K2830" s="103" t="s">
        <v>365</v>
      </c>
      <c r="L2830" s="133"/>
      <c r="M2830" s="134">
        <v>1.1805555555555555E-2</v>
      </c>
      <c r="N2830" s="135" t="s">
        <v>2694</v>
      </c>
      <c r="O2830" s="133" t="s">
        <v>1033</v>
      </c>
      <c r="Q2830" s="100" t="s">
        <v>4269</v>
      </c>
      <c r="R2830" s="226" t="s">
        <v>4280</v>
      </c>
      <c r="S2830" s="491" t="str">
        <f t="shared" si="91"/>
        <v>x</v>
      </c>
      <c r="T2830" s="492" t="str">
        <f>IFERROR(VLOOKUP(F2830,'Freq-Chan'!C:D,2,FALSE),"x")</f>
        <v>x</v>
      </c>
      <c r="U2830" s="110" t="s">
        <v>541</v>
      </c>
      <c r="V2830" s="110" t="str">
        <f t="shared" si="92"/>
        <v>FWL</v>
      </c>
      <c r="W2830" s="110" t="s">
        <v>541</v>
      </c>
      <c r="X2830" s="110" t="s">
        <v>541</v>
      </c>
      <c r="Y2830" s="110" t="str">
        <f>IFERROR(VLOOKUP(F2830,'Freq-Chan'!C:E,3,FALSE),"na")</f>
        <v>na</v>
      </c>
      <c r="Z2830" s="110" t="s">
        <v>541</v>
      </c>
      <c r="AA2830" s="110" t="s">
        <v>541</v>
      </c>
      <c r="AB2830" s="110" t="s">
        <v>541</v>
      </c>
      <c r="AC2830" s="10" t="s">
        <v>541</v>
      </c>
      <c r="AD2830" s="10" t="s">
        <v>541</v>
      </c>
    </row>
    <row r="2831" spans="1:30" x14ac:dyDescent="0.2">
      <c r="A2831" s="110">
        <v>2831</v>
      </c>
      <c r="B2831" s="132">
        <v>41867</v>
      </c>
      <c r="C2831" s="117">
        <v>1</v>
      </c>
      <c r="D2831" s="103" t="s">
        <v>70</v>
      </c>
      <c r="E2831" s="103" t="s">
        <v>306</v>
      </c>
      <c r="H2831" s="103"/>
      <c r="I2831" s="103">
        <v>43</v>
      </c>
      <c r="K2831" s="103" t="s">
        <v>1032</v>
      </c>
      <c r="L2831" s="133"/>
      <c r="M2831" s="134">
        <v>1.4583333333333332E-2</v>
      </c>
      <c r="N2831" s="137" t="s">
        <v>3428</v>
      </c>
      <c r="O2831" s="133" t="s">
        <v>1033</v>
      </c>
      <c r="Q2831" s="100" t="s">
        <v>4269</v>
      </c>
      <c r="R2831" s="226" t="s">
        <v>4280</v>
      </c>
      <c r="S2831" s="491" t="str">
        <f t="shared" si="91"/>
        <v>x</v>
      </c>
      <c r="T2831" s="492" t="str">
        <f>IFERROR(VLOOKUP(F2831,'Freq-Chan'!C:D,2,FALSE),"x")</f>
        <v>x</v>
      </c>
      <c r="U2831" s="110" t="s">
        <v>541</v>
      </c>
      <c r="V2831" s="110" t="str">
        <f t="shared" si="92"/>
        <v>FWL</v>
      </c>
      <c r="W2831" s="110" t="s">
        <v>541</v>
      </c>
      <c r="X2831" s="110" t="s">
        <v>541</v>
      </c>
      <c r="Y2831" s="110" t="str">
        <f>IFERROR(VLOOKUP(F2831,'Freq-Chan'!C:E,3,FALSE),"na")</f>
        <v>na</v>
      </c>
      <c r="Z2831" s="110" t="s">
        <v>541</v>
      </c>
      <c r="AA2831" s="110" t="s">
        <v>541</v>
      </c>
      <c r="AB2831" s="110" t="s">
        <v>541</v>
      </c>
      <c r="AC2831" s="10" t="s">
        <v>541</v>
      </c>
      <c r="AD2831" s="10" t="s">
        <v>541</v>
      </c>
    </row>
    <row r="2832" spans="1:30" x14ac:dyDescent="0.2">
      <c r="A2832" s="110">
        <v>2832</v>
      </c>
      <c r="B2832" s="132">
        <v>41867</v>
      </c>
      <c r="C2832" s="117">
        <v>1</v>
      </c>
      <c r="D2832" s="103" t="s">
        <v>8</v>
      </c>
      <c r="E2832" s="103" t="s">
        <v>306</v>
      </c>
      <c r="F2832" s="103">
        <v>586</v>
      </c>
      <c r="G2832" s="103">
        <v>85</v>
      </c>
      <c r="H2832" s="103" t="s">
        <v>2274</v>
      </c>
      <c r="I2832" s="103">
        <v>41</v>
      </c>
      <c r="K2832" s="103" t="s">
        <v>365</v>
      </c>
      <c r="L2832" s="133"/>
      <c r="M2832" s="134">
        <v>4.6527777777777779E-2</v>
      </c>
      <c r="N2832" s="135" t="s">
        <v>3982</v>
      </c>
      <c r="O2832" s="133" t="s">
        <v>1033</v>
      </c>
      <c r="Q2832" s="100" t="s">
        <v>4269</v>
      </c>
      <c r="R2832" s="226" t="s">
        <v>4280</v>
      </c>
      <c r="S2832" s="491" t="str">
        <f t="shared" si="91"/>
        <v>x</v>
      </c>
      <c r="T2832" s="492">
        <f>IFERROR(VLOOKUP(F2832,'Freq-Chan'!C:D,2,FALSE),"x")</f>
        <v>151.58600000000001</v>
      </c>
      <c r="U2832" s="110" t="s">
        <v>541</v>
      </c>
      <c r="V2832" s="110" t="str">
        <f t="shared" si="92"/>
        <v>FWL</v>
      </c>
      <c r="W2832" s="110" t="s">
        <v>541</v>
      </c>
      <c r="X2832" s="110" t="s">
        <v>541</v>
      </c>
      <c r="Y2832" s="110" t="str">
        <f>IFERROR(VLOOKUP(F2832,'Freq-Chan'!C:E,3,FALSE),"na")</f>
        <v>F1840</v>
      </c>
      <c r="Z2832" s="110" t="s">
        <v>541</v>
      </c>
      <c r="AA2832" s="110" t="s">
        <v>541</v>
      </c>
      <c r="AB2832" s="110" t="s">
        <v>541</v>
      </c>
      <c r="AC2832" s="10" t="s">
        <v>541</v>
      </c>
      <c r="AD2832" s="10" t="s">
        <v>541</v>
      </c>
    </row>
    <row r="2833" spans="1:30" x14ac:dyDescent="0.2">
      <c r="A2833" s="110">
        <v>2833</v>
      </c>
      <c r="B2833" s="132">
        <v>41867</v>
      </c>
      <c r="C2833" s="117">
        <v>1</v>
      </c>
      <c r="D2833" s="103" t="s">
        <v>70</v>
      </c>
      <c r="E2833" s="103" t="s">
        <v>306</v>
      </c>
      <c r="H2833" s="103"/>
      <c r="I2833" s="103">
        <v>41</v>
      </c>
      <c r="K2833" s="103" t="s">
        <v>365</v>
      </c>
      <c r="L2833" s="133"/>
      <c r="M2833" s="134">
        <v>1.2499999999999999E-2</v>
      </c>
      <c r="N2833" s="135" t="s">
        <v>1983</v>
      </c>
      <c r="O2833" s="133" t="s">
        <v>1033</v>
      </c>
      <c r="Q2833" s="100" t="s">
        <v>4269</v>
      </c>
      <c r="R2833" s="226" t="s">
        <v>4280</v>
      </c>
      <c r="S2833" s="491" t="str">
        <f t="shared" si="91"/>
        <v>x</v>
      </c>
      <c r="T2833" s="492" t="str">
        <f>IFERROR(VLOOKUP(F2833,'Freq-Chan'!C:D,2,FALSE),"x")</f>
        <v>x</v>
      </c>
      <c r="U2833" s="110" t="s">
        <v>541</v>
      </c>
      <c r="V2833" s="110" t="str">
        <f t="shared" si="92"/>
        <v>FWL</v>
      </c>
      <c r="W2833" s="110" t="s">
        <v>541</v>
      </c>
      <c r="X2833" s="110" t="s">
        <v>541</v>
      </c>
      <c r="Y2833" s="110" t="str">
        <f>IFERROR(VLOOKUP(F2833,'Freq-Chan'!C:E,3,FALSE),"na")</f>
        <v>na</v>
      </c>
      <c r="Z2833" s="110" t="s">
        <v>541</v>
      </c>
      <c r="AA2833" s="110" t="s">
        <v>541</v>
      </c>
      <c r="AB2833" s="110" t="s">
        <v>541</v>
      </c>
      <c r="AC2833" s="10" t="s">
        <v>541</v>
      </c>
      <c r="AD2833" s="10" t="s">
        <v>541</v>
      </c>
    </row>
    <row r="2834" spans="1:30" x14ac:dyDescent="0.2">
      <c r="A2834" s="110">
        <v>2834</v>
      </c>
      <c r="B2834" s="132">
        <v>41867</v>
      </c>
      <c r="C2834" s="117">
        <v>1</v>
      </c>
      <c r="D2834" s="103" t="s">
        <v>70</v>
      </c>
      <c r="E2834" s="103" t="s">
        <v>306</v>
      </c>
      <c r="H2834" s="103"/>
      <c r="I2834" s="103">
        <v>44</v>
      </c>
      <c r="K2834" s="103" t="s">
        <v>365</v>
      </c>
      <c r="L2834" s="133"/>
      <c r="M2834" s="134">
        <v>1.5972222222222224E-2</v>
      </c>
      <c r="N2834" s="137" t="s">
        <v>1770</v>
      </c>
      <c r="O2834" s="133" t="s">
        <v>1033</v>
      </c>
      <c r="Q2834" s="100" t="s">
        <v>4269</v>
      </c>
      <c r="R2834" s="226" t="s">
        <v>4280</v>
      </c>
      <c r="S2834" s="491" t="str">
        <f t="shared" si="91"/>
        <v>x</v>
      </c>
      <c r="T2834" s="492" t="str">
        <f>IFERROR(VLOOKUP(F2834,'Freq-Chan'!C:D,2,FALSE),"x")</f>
        <v>x</v>
      </c>
      <c r="U2834" s="110" t="s">
        <v>541</v>
      </c>
      <c r="V2834" s="110" t="str">
        <f t="shared" si="92"/>
        <v>FWL</v>
      </c>
      <c r="W2834" s="110" t="s">
        <v>541</v>
      </c>
      <c r="X2834" s="110" t="s">
        <v>541</v>
      </c>
      <c r="Y2834" s="110" t="str">
        <f>IFERROR(VLOOKUP(F2834,'Freq-Chan'!C:E,3,FALSE),"na")</f>
        <v>na</v>
      </c>
      <c r="Z2834" s="110" t="s">
        <v>541</v>
      </c>
      <c r="AA2834" s="110" t="s">
        <v>541</v>
      </c>
      <c r="AB2834" s="110" t="s">
        <v>541</v>
      </c>
      <c r="AC2834" s="10" t="s">
        <v>541</v>
      </c>
      <c r="AD2834" s="10" t="s">
        <v>541</v>
      </c>
    </row>
    <row r="2835" spans="1:30" x14ac:dyDescent="0.2">
      <c r="A2835" s="110">
        <v>2835</v>
      </c>
      <c r="B2835" s="132">
        <v>41867</v>
      </c>
      <c r="C2835" s="117">
        <v>1</v>
      </c>
      <c r="D2835" s="103" t="s">
        <v>70</v>
      </c>
      <c r="E2835" s="103" t="s">
        <v>306</v>
      </c>
      <c r="H2835" s="103"/>
      <c r="I2835" s="103">
        <v>45</v>
      </c>
      <c r="K2835" s="103" t="s">
        <v>365</v>
      </c>
      <c r="L2835" s="133"/>
      <c r="M2835" s="134">
        <v>1.3194444444444444E-2</v>
      </c>
      <c r="N2835" s="137" t="s">
        <v>3931</v>
      </c>
      <c r="O2835" s="133" t="s">
        <v>1033</v>
      </c>
      <c r="Q2835" s="100" t="s">
        <v>4269</v>
      </c>
      <c r="R2835" s="226" t="s">
        <v>4280</v>
      </c>
      <c r="S2835" s="491" t="str">
        <f t="shared" ref="S2835:S2841" si="93">IF(IF(OR(L2835=0,N2836=0),"x",ROUND(N2836-L2835-(M2835*24)/(24*60),10))&lt;0,0,IF(OR(L2835=0,N2836=0),"x",ROUND(N2836-L2835-(M2835*24)/(24*60),10)))</f>
        <v>x</v>
      </c>
      <c r="T2835" s="492" t="str">
        <f>IFERROR(VLOOKUP(F2835,'Freq-Chan'!C:D,2,FALSE),"x")</f>
        <v>x</v>
      </c>
      <c r="U2835" s="110" t="s">
        <v>541</v>
      </c>
      <c r="V2835" s="110" t="str">
        <f t="shared" si="92"/>
        <v>FWL</v>
      </c>
      <c r="W2835" s="110" t="s">
        <v>541</v>
      </c>
      <c r="X2835" s="110" t="s">
        <v>541</v>
      </c>
      <c r="Y2835" s="110" t="str">
        <f>IFERROR(VLOOKUP(F2835,'Freq-Chan'!C:E,3,FALSE),"na")</f>
        <v>na</v>
      </c>
      <c r="Z2835" s="110" t="s">
        <v>541</v>
      </c>
      <c r="AA2835" s="110" t="s">
        <v>541</v>
      </c>
      <c r="AB2835" s="110" t="s">
        <v>541</v>
      </c>
      <c r="AC2835" s="10" t="s">
        <v>541</v>
      </c>
      <c r="AD2835" s="10" t="s">
        <v>541</v>
      </c>
    </row>
    <row r="2836" spans="1:30" x14ac:dyDescent="0.2">
      <c r="A2836" s="110">
        <v>2836</v>
      </c>
      <c r="B2836" s="132">
        <v>41867</v>
      </c>
      <c r="C2836" s="117">
        <v>1</v>
      </c>
      <c r="D2836" s="103" t="s">
        <v>70</v>
      </c>
      <c r="E2836" s="103" t="s">
        <v>306</v>
      </c>
      <c r="H2836" s="103"/>
      <c r="I2836" s="103">
        <v>45</v>
      </c>
      <c r="K2836" s="103" t="s">
        <v>365</v>
      </c>
      <c r="L2836" s="133"/>
      <c r="M2836" s="134">
        <v>1.3888888888888888E-2</v>
      </c>
      <c r="N2836" s="137" t="s">
        <v>1662</v>
      </c>
      <c r="O2836" s="133" t="s">
        <v>1538</v>
      </c>
      <c r="Q2836" s="100" t="s">
        <v>4271</v>
      </c>
      <c r="R2836" s="226" t="s">
        <v>4280</v>
      </c>
      <c r="S2836" s="491" t="str">
        <f t="shared" si="93"/>
        <v>x</v>
      </c>
      <c r="T2836" s="492" t="str">
        <f>IFERROR(VLOOKUP(F2836,'Freq-Chan'!C:D,2,FALSE),"x")</f>
        <v>x</v>
      </c>
      <c r="U2836" s="110" t="s">
        <v>541</v>
      </c>
      <c r="V2836" s="110" t="str">
        <f t="shared" si="92"/>
        <v>FWL</v>
      </c>
      <c r="W2836" s="110" t="s">
        <v>541</v>
      </c>
      <c r="X2836" s="110" t="s">
        <v>541</v>
      </c>
      <c r="Y2836" s="110" t="str">
        <f>IFERROR(VLOOKUP(F2836,'Freq-Chan'!C:E,3,FALSE),"na")</f>
        <v>na</v>
      </c>
      <c r="Z2836" s="110" t="s">
        <v>541</v>
      </c>
      <c r="AA2836" s="110" t="s">
        <v>541</v>
      </c>
      <c r="AB2836" s="110" t="s">
        <v>541</v>
      </c>
      <c r="AC2836" s="10" t="s">
        <v>541</v>
      </c>
      <c r="AD2836" s="10" t="s">
        <v>541</v>
      </c>
    </row>
    <row r="2837" spans="1:30" x14ac:dyDescent="0.2">
      <c r="A2837" s="110">
        <v>2837</v>
      </c>
      <c r="B2837" s="132">
        <v>41867</v>
      </c>
      <c r="C2837" s="117">
        <v>1</v>
      </c>
      <c r="D2837" s="103" t="s">
        <v>71</v>
      </c>
      <c r="E2837" s="103" t="s">
        <v>306</v>
      </c>
      <c r="H2837" s="103"/>
      <c r="I2837" s="103">
        <v>52</v>
      </c>
      <c r="K2837" s="103" t="s">
        <v>1032</v>
      </c>
      <c r="L2837" s="133"/>
      <c r="M2837" s="134">
        <v>1.4583333333333332E-2</v>
      </c>
      <c r="N2837" s="135" t="s">
        <v>4274</v>
      </c>
      <c r="O2837" s="133" t="s">
        <v>1538</v>
      </c>
      <c r="Q2837" s="100" t="s">
        <v>4271</v>
      </c>
      <c r="R2837" s="226" t="s">
        <v>4280</v>
      </c>
      <c r="S2837" s="491" t="str">
        <f t="shared" si="93"/>
        <v>x</v>
      </c>
      <c r="T2837" s="492" t="str">
        <f>IFERROR(VLOOKUP(F2837,'Freq-Chan'!C:D,2,FALSE),"x")</f>
        <v>x</v>
      </c>
      <c r="U2837" s="110" t="s">
        <v>541</v>
      </c>
      <c r="V2837" s="110" t="str">
        <f t="shared" si="92"/>
        <v>FWL</v>
      </c>
      <c r="W2837" s="110" t="s">
        <v>541</v>
      </c>
      <c r="X2837" s="110" t="s">
        <v>541</v>
      </c>
      <c r="Y2837" s="110" t="str">
        <f>IFERROR(VLOOKUP(F2837,'Freq-Chan'!C:E,3,FALSE),"na")</f>
        <v>na</v>
      </c>
      <c r="Z2837" s="110" t="s">
        <v>541</v>
      </c>
      <c r="AA2837" s="110" t="s">
        <v>541</v>
      </c>
      <c r="AB2837" s="110" t="s">
        <v>541</v>
      </c>
      <c r="AC2837" s="10" t="s">
        <v>541</v>
      </c>
      <c r="AD2837" s="10" t="s">
        <v>541</v>
      </c>
    </row>
    <row r="2838" spans="1:30" x14ac:dyDescent="0.2">
      <c r="A2838" s="110">
        <v>2838</v>
      </c>
      <c r="B2838" s="132">
        <v>41867</v>
      </c>
      <c r="C2838" s="117">
        <v>1</v>
      </c>
      <c r="D2838" s="103" t="s">
        <v>8</v>
      </c>
      <c r="E2838" s="103" t="s">
        <v>306</v>
      </c>
      <c r="F2838" s="103">
        <v>573</v>
      </c>
      <c r="G2838" s="103">
        <v>20</v>
      </c>
      <c r="H2838" s="103" t="s">
        <v>2275</v>
      </c>
      <c r="I2838" s="103">
        <v>43</v>
      </c>
      <c r="K2838" s="103" t="s">
        <v>1032</v>
      </c>
      <c r="L2838" s="133"/>
      <c r="M2838" s="134">
        <v>3.1944444444444449E-2</v>
      </c>
      <c r="N2838" s="135" t="s">
        <v>4114</v>
      </c>
      <c r="O2838" s="133" t="s">
        <v>1585</v>
      </c>
      <c r="Q2838" s="100" t="s">
        <v>4271</v>
      </c>
      <c r="R2838" s="226" t="s">
        <v>4280</v>
      </c>
      <c r="S2838" s="491" t="str">
        <f t="shared" si="93"/>
        <v>x</v>
      </c>
      <c r="T2838" s="492">
        <f>IFERROR(VLOOKUP(F2838,'Freq-Chan'!C:D,2,FALSE),"x")</f>
        <v>151.57300000000001</v>
      </c>
      <c r="U2838" s="110" t="s">
        <v>541</v>
      </c>
      <c r="V2838" s="110" t="str">
        <f t="shared" si="92"/>
        <v>FWL</v>
      </c>
      <c r="W2838" s="110" t="s">
        <v>541</v>
      </c>
      <c r="X2838" s="110" t="s">
        <v>541</v>
      </c>
      <c r="Y2838" s="110" t="str">
        <f>IFERROR(VLOOKUP(F2838,'Freq-Chan'!C:E,3,FALSE),"na")</f>
        <v>F1840</v>
      </c>
      <c r="Z2838" s="110" t="s">
        <v>541</v>
      </c>
      <c r="AA2838" s="110" t="s">
        <v>541</v>
      </c>
      <c r="AB2838" s="110" t="s">
        <v>541</v>
      </c>
      <c r="AC2838" s="10" t="s">
        <v>541</v>
      </c>
      <c r="AD2838" s="10" t="s">
        <v>541</v>
      </c>
    </row>
    <row r="2839" spans="1:30" x14ac:dyDescent="0.2">
      <c r="A2839" s="110">
        <v>2839</v>
      </c>
      <c r="B2839" s="132">
        <v>41867</v>
      </c>
      <c r="C2839" s="117">
        <v>1</v>
      </c>
      <c r="D2839" s="103" t="s">
        <v>71</v>
      </c>
      <c r="E2839" s="103" t="s">
        <v>306</v>
      </c>
      <c r="H2839" s="103"/>
      <c r="I2839" s="103">
        <v>55</v>
      </c>
      <c r="K2839" s="103" t="s">
        <v>1032</v>
      </c>
      <c r="L2839" s="133"/>
      <c r="M2839" s="134">
        <v>2.1527777777777781E-2</v>
      </c>
      <c r="N2839" s="137" t="s">
        <v>4197</v>
      </c>
      <c r="O2839" s="133" t="s">
        <v>1538</v>
      </c>
      <c r="Q2839" s="100" t="s">
        <v>4271</v>
      </c>
      <c r="R2839" s="226" t="s">
        <v>4280</v>
      </c>
      <c r="S2839" s="491" t="str">
        <f t="shared" si="93"/>
        <v>x</v>
      </c>
      <c r="T2839" s="492" t="str">
        <f>IFERROR(VLOOKUP(F2839,'Freq-Chan'!C:D,2,FALSE),"x")</f>
        <v>x</v>
      </c>
      <c r="U2839" s="110" t="s">
        <v>541</v>
      </c>
      <c r="V2839" s="110" t="str">
        <f t="shared" si="92"/>
        <v>FWL</v>
      </c>
      <c r="W2839" s="110" t="s">
        <v>541</v>
      </c>
      <c r="X2839" s="110" t="s">
        <v>541</v>
      </c>
      <c r="Y2839" s="110" t="str">
        <f>IFERROR(VLOOKUP(F2839,'Freq-Chan'!C:E,3,FALSE),"na")</f>
        <v>na</v>
      </c>
      <c r="Z2839" s="110" t="s">
        <v>541</v>
      </c>
      <c r="AA2839" s="110" t="s">
        <v>541</v>
      </c>
      <c r="AB2839" s="110" t="s">
        <v>541</v>
      </c>
      <c r="AC2839" s="10" t="s">
        <v>541</v>
      </c>
      <c r="AD2839" s="10" t="s">
        <v>541</v>
      </c>
    </row>
    <row r="2840" spans="1:30" x14ac:dyDescent="0.2">
      <c r="A2840" s="110">
        <v>2840</v>
      </c>
      <c r="B2840" s="132">
        <v>41867</v>
      </c>
      <c r="C2840" s="117">
        <v>1</v>
      </c>
      <c r="D2840" s="103" t="s">
        <v>71</v>
      </c>
      <c r="E2840" s="103" t="s">
        <v>306</v>
      </c>
      <c r="H2840" s="103"/>
      <c r="I2840" s="103">
        <v>52</v>
      </c>
      <c r="K2840" s="103" t="s">
        <v>1032</v>
      </c>
      <c r="L2840" s="133"/>
      <c r="M2840" s="134">
        <v>1.5277777777777777E-2</v>
      </c>
      <c r="N2840" s="135" t="s">
        <v>4176</v>
      </c>
      <c r="O2840" s="133" t="s">
        <v>1538</v>
      </c>
      <c r="Q2840" s="100" t="s">
        <v>4271</v>
      </c>
      <c r="R2840" s="226" t="s">
        <v>4280</v>
      </c>
      <c r="S2840" s="491" t="str">
        <f t="shared" si="93"/>
        <v>x</v>
      </c>
      <c r="T2840" s="492" t="str">
        <f>IFERROR(VLOOKUP(F2840,'Freq-Chan'!C:D,2,FALSE),"x")</f>
        <v>x</v>
      </c>
      <c r="U2840" s="110" t="s">
        <v>541</v>
      </c>
      <c r="V2840" s="110" t="str">
        <f t="shared" si="92"/>
        <v>FWL</v>
      </c>
      <c r="W2840" s="110" t="s">
        <v>541</v>
      </c>
      <c r="X2840" s="110" t="s">
        <v>541</v>
      </c>
      <c r="Y2840" s="110" t="str">
        <f>IFERROR(VLOOKUP(F2840,'Freq-Chan'!C:E,3,FALSE),"na")</f>
        <v>na</v>
      </c>
      <c r="Z2840" s="110" t="s">
        <v>541</v>
      </c>
      <c r="AA2840" s="110" t="s">
        <v>541</v>
      </c>
      <c r="AB2840" s="110" t="s">
        <v>541</v>
      </c>
      <c r="AC2840" s="10" t="s">
        <v>541</v>
      </c>
      <c r="AD2840" s="10" t="s">
        <v>541</v>
      </c>
    </row>
    <row r="2841" spans="1:30" x14ac:dyDescent="0.2">
      <c r="A2841" s="110">
        <v>2841</v>
      </c>
      <c r="B2841" s="132">
        <v>41867</v>
      </c>
      <c r="C2841" s="117">
        <v>1</v>
      </c>
      <c r="D2841" s="103" t="s">
        <v>71</v>
      </c>
      <c r="E2841" s="103" t="s">
        <v>306</v>
      </c>
      <c r="H2841" s="103"/>
      <c r="I2841" s="103">
        <v>53</v>
      </c>
      <c r="K2841" s="103" t="s">
        <v>365</v>
      </c>
      <c r="L2841" s="133"/>
      <c r="M2841" s="134">
        <v>1.4583333333333332E-2</v>
      </c>
      <c r="N2841" s="135" t="s">
        <v>4179</v>
      </c>
      <c r="O2841" s="133" t="s">
        <v>1538</v>
      </c>
      <c r="Q2841" s="100" t="s">
        <v>4271</v>
      </c>
      <c r="R2841" s="226" t="s">
        <v>4280</v>
      </c>
      <c r="S2841" s="491" t="str">
        <f t="shared" si="93"/>
        <v>x</v>
      </c>
      <c r="T2841" s="492" t="str">
        <f>IFERROR(VLOOKUP(F2841,'Freq-Chan'!C:D,2,FALSE),"x")</f>
        <v>x</v>
      </c>
      <c r="U2841" s="110" t="s">
        <v>541</v>
      </c>
      <c r="V2841" s="110" t="str">
        <f t="shared" si="92"/>
        <v>FWL</v>
      </c>
      <c r="W2841" s="110" t="s">
        <v>541</v>
      </c>
      <c r="X2841" s="110" t="s">
        <v>541</v>
      </c>
      <c r="Y2841" s="110" t="str">
        <f>IFERROR(VLOOKUP(F2841,'Freq-Chan'!C:E,3,FALSE),"na")</f>
        <v>na</v>
      </c>
      <c r="Z2841" s="110" t="s">
        <v>541</v>
      </c>
      <c r="AA2841" s="110" t="s">
        <v>541</v>
      </c>
      <c r="AB2841" s="110" t="s">
        <v>541</v>
      </c>
      <c r="AC2841" s="10" t="s">
        <v>541</v>
      </c>
      <c r="AD2841" s="10" t="s">
        <v>541</v>
      </c>
    </row>
    <row r="2842" spans="1:30" x14ac:dyDescent="0.2">
      <c r="A2842" s="110">
        <v>2842</v>
      </c>
      <c r="B2842" s="132">
        <v>41867</v>
      </c>
      <c r="C2842" s="117">
        <v>1</v>
      </c>
      <c r="D2842" s="103" t="s">
        <v>71</v>
      </c>
      <c r="E2842" s="103" t="s">
        <v>306</v>
      </c>
      <c r="H2842" s="103"/>
      <c r="I2842" s="103">
        <v>59</v>
      </c>
      <c r="K2842" s="103" t="s">
        <v>365</v>
      </c>
      <c r="L2842" s="133"/>
      <c r="M2842" s="134">
        <v>1.6666666666666666E-2</v>
      </c>
      <c r="N2842" s="135" t="s">
        <v>1988</v>
      </c>
      <c r="O2842" s="133" t="s">
        <v>1538</v>
      </c>
      <c r="Q2842" s="100" t="s">
        <v>4271</v>
      </c>
      <c r="R2842" s="226" t="s">
        <v>4280</v>
      </c>
      <c r="S2842" s="491" t="str">
        <f t="shared" si="91"/>
        <v>x</v>
      </c>
      <c r="T2842" s="492" t="str">
        <f>IFERROR(VLOOKUP(F2842,'Freq-Chan'!C:D,2,FALSE),"x")</f>
        <v>x</v>
      </c>
      <c r="U2842" s="110" t="s">
        <v>541</v>
      </c>
      <c r="V2842" s="110" t="str">
        <f t="shared" si="92"/>
        <v>FWL</v>
      </c>
      <c r="W2842" s="110" t="s">
        <v>541</v>
      </c>
      <c r="X2842" s="110" t="s">
        <v>541</v>
      </c>
      <c r="Y2842" s="110" t="str">
        <f>IFERROR(VLOOKUP(F2842,'Freq-Chan'!C:E,3,FALSE),"na")</f>
        <v>na</v>
      </c>
      <c r="Z2842" s="110" t="s">
        <v>541</v>
      </c>
      <c r="AA2842" s="110" t="s">
        <v>541</v>
      </c>
      <c r="AB2842" s="110" t="s">
        <v>541</v>
      </c>
      <c r="AC2842" s="10" t="s">
        <v>541</v>
      </c>
      <c r="AD2842" s="10" t="s">
        <v>541</v>
      </c>
    </row>
    <row r="2843" spans="1:30" x14ac:dyDescent="0.2">
      <c r="A2843" s="110">
        <v>2843</v>
      </c>
      <c r="B2843" s="132">
        <v>41867</v>
      </c>
      <c r="C2843" s="117">
        <v>1</v>
      </c>
      <c r="D2843" s="103" t="s">
        <v>71</v>
      </c>
      <c r="E2843" s="103" t="s">
        <v>306</v>
      </c>
      <c r="H2843" s="103"/>
      <c r="I2843" s="103">
        <v>55</v>
      </c>
      <c r="K2843" s="103" t="s">
        <v>365</v>
      </c>
      <c r="L2843" s="133"/>
      <c r="M2843" s="134">
        <v>1.2499999999999999E-2</v>
      </c>
      <c r="N2843" s="135" t="s">
        <v>3937</v>
      </c>
      <c r="O2843" s="133" t="s">
        <v>1538</v>
      </c>
      <c r="Q2843" s="100" t="s">
        <v>4271</v>
      </c>
      <c r="R2843" s="226" t="s">
        <v>4280</v>
      </c>
      <c r="S2843" s="491" t="str">
        <f t="shared" si="91"/>
        <v>x</v>
      </c>
      <c r="T2843" s="492" t="str">
        <f>IFERROR(VLOOKUP(F2843,'Freq-Chan'!C:D,2,FALSE),"x")</f>
        <v>x</v>
      </c>
      <c r="U2843" s="110" t="s">
        <v>541</v>
      </c>
      <c r="V2843" s="110" t="str">
        <f t="shared" si="92"/>
        <v>FWL</v>
      </c>
      <c r="W2843" s="110" t="s">
        <v>541</v>
      </c>
      <c r="X2843" s="110" t="s">
        <v>541</v>
      </c>
      <c r="Y2843" s="110" t="str">
        <f>IFERROR(VLOOKUP(F2843,'Freq-Chan'!C:E,3,FALSE),"na")</f>
        <v>na</v>
      </c>
      <c r="Z2843" s="110" t="s">
        <v>541</v>
      </c>
      <c r="AA2843" s="110" t="s">
        <v>541</v>
      </c>
      <c r="AB2843" s="110" t="s">
        <v>541</v>
      </c>
      <c r="AC2843" s="10" t="s">
        <v>541</v>
      </c>
      <c r="AD2843" s="10" t="s">
        <v>541</v>
      </c>
    </row>
    <row r="2844" spans="1:30" x14ac:dyDescent="0.2">
      <c r="A2844" s="110">
        <v>2844</v>
      </c>
      <c r="B2844" s="132">
        <v>41867</v>
      </c>
      <c r="C2844" s="117">
        <v>1</v>
      </c>
      <c r="D2844" s="103" t="s">
        <v>70</v>
      </c>
      <c r="E2844" s="103" t="s">
        <v>306</v>
      </c>
      <c r="H2844" s="103"/>
      <c r="I2844" s="103">
        <v>45</v>
      </c>
      <c r="K2844" s="103" t="s">
        <v>365</v>
      </c>
      <c r="L2844" s="133"/>
      <c r="M2844" s="134">
        <v>1.8055555555555557E-2</v>
      </c>
      <c r="N2844" s="135" t="s">
        <v>4275</v>
      </c>
      <c r="O2844" s="133" t="s">
        <v>1538</v>
      </c>
      <c r="Q2844" s="100" t="s">
        <v>4271</v>
      </c>
      <c r="R2844" s="226" t="s">
        <v>4280</v>
      </c>
      <c r="S2844" s="491" t="str">
        <f t="shared" si="91"/>
        <v>x</v>
      </c>
      <c r="T2844" s="492" t="str">
        <f>IFERROR(VLOOKUP(F2844,'Freq-Chan'!C:D,2,FALSE),"x")</f>
        <v>x</v>
      </c>
      <c r="U2844" s="110" t="s">
        <v>541</v>
      </c>
      <c r="V2844" s="110" t="str">
        <f t="shared" si="92"/>
        <v>FWL</v>
      </c>
      <c r="W2844" s="110" t="s">
        <v>541</v>
      </c>
      <c r="X2844" s="110" t="s">
        <v>541</v>
      </c>
      <c r="Y2844" s="110" t="str">
        <f>IFERROR(VLOOKUP(F2844,'Freq-Chan'!C:E,3,FALSE),"na")</f>
        <v>na</v>
      </c>
      <c r="Z2844" s="110" t="s">
        <v>541</v>
      </c>
      <c r="AA2844" s="110" t="s">
        <v>541</v>
      </c>
      <c r="AB2844" s="110" t="s">
        <v>541</v>
      </c>
      <c r="AC2844" s="10" t="s">
        <v>541</v>
      </c>
      <c r="AD2844" s="10" t="s">
        <v>541</v>
      </c>
    </row>
    <row r="2845" spans="1:30" x14ac:dyDescent="0.2">
      <c r="A2845" s="110">
        <v>2845</v>
      </c>
      <c r="B2845" s="132">
        <v>41867</v>
      </c>
      <c r="C2845" s="117">
        <v>1</v>
      </c>
      <c r="D2845" s="103" t="s">
        <v>71</v>
      </c>
      <c r="E2845" s="103" t="s">
        <v>306</v>
      </c>
      <c r="H2845" s="103"/>
      <c r="I2845" s="103">
        <v>52</v>
      </c>
      <c r="K2845" s="103" t="s">
        <v>1032</v>
      </c>
      <c r="L2845" s="133"/>
      <c r="M2845" s="134">
        <v>1.3888888888888888E-2</v>
      </c>
      <c r="N2845" s="135" t="s">
        <v>3477</v>
      </c>
      <c r="O2845" s="133" t="s">
        <v>1538</v>
      </c>
      <c r="Q2845" s="100" t="s">
        <v>4271</v>
      </c>
      <c r="R2845" s="226" t="s">
        <v>4280</v>
      </c>
      <c r="S2845" s="491" t="str">
        <f t="shared" si="91"/>
        <v>x</v>
      </c>
      <c r="T2845" s="492" t="str">
        <f>IFERROR(VLOOKUP(F2845,'Freq-Chan'!C:D,2,FALSE),"x")</f>
        <v>x</v>
      </c>
      <c r="U2845" s="110" t="s">
        <v>541</v>
      </c>
      <c r="V2845" s="110" t="str">
        <f t="shared" si="92"/>
        <v>FWL</v>
      </c>
      <c r="W2845" s="110" t="s">
        <v>541</v>
      </c>
      <c r="X2845" s="110" t="s">
        <v>541</v>
      </c>
      <c r="Y2845" s="110" t="str">
        <f>IFERROR(VLOOKUP(F2845,'Freq-Chan'!C:E,3,FALSE),"na")</f>
        <v>na</v>
      </c>
      <c r="Z2845" s="110" t="s">
        <v>541</v>
      </c>
      <c r="AA2845" s="110" t="s">
        <v>541</v>
      </c>
      <c r="AB2845" s="110" t="s">
        <v>541</v>
      </c>
      <c r="AC2845" s="10" t="s">
        <v>541</v>
      </c>
      <c r="AD2845" s="10" t="s">
        <v>541</v>
      </c>
    </row>
    <row r="2846" spans="1:30" x14ac:dyDescent="0.2">
      <c r="A2846" s="110">
        <v>2846</v>
      </c>
      <c r="B2846" s="132">
        <v>41867</v>
      </c>
      <c r="C2846" s="117">
        <v>1</v>
      </c>
      <c r="D2846" s="103" t="s">
        <v>71</v>
      </c>
      <c r="E2846" s="103" t="s">
        <v>306</v>
      </c>
      <c r="H2846" s="103"/>
      <c r="I2846" s="103">
        <v>58</v>
      </c>
      <c r="K2846" s="103" t="s">
        <v>1032</v>
      </c>
      <c r="L2846" s="133"/>
      <c r="M2846" s="134">
        <v>2.0833333333333332E-2</v>
      </c>
      <c r="N2846" s="135" t="s">
        <v>4002</v>
      </c>
      <c r="O2846" s="133" t="s">
        <v>1538</v>
      </c>
      <c r="Q2846" s="100" t="s">
        <v>4271</v>
      </c>
      <c r="R2846" s="226" t="s">
        <v>4280</v>
      </c>
      <c r="S2846" s="491" t="str">
        <f t="shared" si="91"/>
        <v>x</v>
      </c>
      <c r="T2846" s="492" t="str">
        <f>IFERROR(VLOOKUP(F2846,'Freq-Chan'!C:D,2,FALSE),"x")</f>
        <v>x</v>
      </c>
      <c r="U2846" s="110" t="s">
        <v>541</v>
      </c>
      <c r="V2846" s="110" t="str">
        <f t="shared" si="92"/>
        <v>FWL</v>
      </c>
      <c r="W2846" s="110" t="s">
        <v>541</v>
      </c>
      <c r="X2846" s="110" t="s">
        <v>541</v>
      </c>
      <c r="Y2846" s="110" t="str">
        <f>IFERROR(VLOOKUP(F2846,'Freq-Chan'!C:E,3,FALSE),"na")</f>
        <v>na</v>
      </c>
      <c r="Z2846" s="110" t="s">
        <v>541</v>
      </c>
      <c r="AA2846" s="110" t="s">
        <v>541</v>
      </c>
      <c r="AB2846" s="110" t="s">
        <v>541</v>
      </c>
      <c r="AC2846" s="10" t="s">
        <v>541</v>
      </c>
      <c r="AD2846" s="10" t="s">
        <v>541</v>
      </c>
    </row>
    <row r="2847" spans="1:30" x14ac:dyDescent="0.2">
      <c r="A2847" s="110">
        <v>2847</v>
      </c>
      <c r="B2847" s="132">
        <v>41867</v>
      </c>
      <c r="C2847" s="117">
        <v>1</v>
      </c>
      <c r="D2847" s="103" t="s">
        <v>71</v>
      </c>
      <c r="E2847" s="103" t="s">
        <v>306</v>
      </c>
      <c r="H2847" s="103"/>
      <c r="I2847" s="103">
        <v>55</v>
      </c>
      <c r="K2847" s="103" t="s">
        <v>365</v>
      </c>
      <c r="L2847" s="133"/>
      <c r="M2847" s="134">
        <v>1.3194444444444444E-2</v>
      </c>
      <c r="N2847" s="135" t="s">
        <v>3488</v>
      </c>
      <c r="O2847" s="133" t="s">
        <v>1538</v>
      </c>
      <c r="Q2847" s="100" t="s">
        <v>4271</v>
      </c>
      <c r="R2847" s="226" t="s">
        <v>4280</v>
      </c>
      <c r="S2847" s="491" t="str">
        <f t="shared" si="91"/>
        <v>x</v>
      </c>
      <c r="T2847" s="492" t="str">
        <f>IFERROR(VLOOKUP(F2847,'Freq-Chan'!C:D,2,FALSE),"x")</f>
        <v>x</v>
      </c>
      <c r="U2847" s="110" t="s">
        <v>541</v>
      </c>
      <c r="V2847" s="110" t="str">
        <f t="shared" si="92"/>
        <v>FWL</v>
      </c>
      <c r="W2847" s="110" t="s">
        <v>541</v>
      </c>
      <c r="X2847" s="110" t="s">
        <v>541</v>
      </c>
      <c r="Y2847" s="110" t="str">
        <f>IFERROR(VLOOKUP(F2847,'Freq-Chan'!C:E,3,FALSE),"na")</f>
        <v>na</v>
      </c>
      <c r="Z2847" s="110" t="s">
        <v>541</v>
      </c>
      <c r="AA2847" s="110" t="s">
        <v>541</v>
      </c>
      <c r="AB2847" s="110" t="s">
        <v>541</v>
      </c>
      <c r="AC2847" s="10" t="s">
        <v>541</v>
      </c>
      <c r="AD2847" s="10" t="s">
        <v>541</v>
      </c>
    </row>
    <row r="2848" spans="1:30" x14ac:dyDescent="0.2">
      <c r="A2848" s="110">
        <v>2848</v>
      </c>
      <c r="B2848" s="132">
        <v>41867</v>
      </c>
      <c r="C2848" s="117">
        <v>1</v>
      </c>
      <c r="D2848" s="103" t="s">
        <v>70</v>
      </c>
      <c r="E2848" s="103" t="s">
        <v>306</v>
      </c>
      <c r="H2848" s="103"/>
      <c r="I2848" s="103">
        <v>42</v>
      </c>
      <c r="K2848" s="103" t="s">
        <v>365</v>
      </c>
      <c r="L2848" s="133"/>
      <c r="M2848" s="134">
        <v>1.3888888888888888E-2</v>
      </c>
      <c r="N2848" s="135" t="s">
        <v>3934</v>
      </c>
      <c r="O2848" s="133" t="s">
        <v>1538</v>
      </c>
      <c r="Q2848" s="100" t="s">
        <v>4271</v>
      </c>
      <c r="R2848" s="226" t="s">
        <v>4280</v>
      </c>
      <c r="S2848" s="491" t="str">
        <f t="shared" si="91"/>
        <v>x</v>
      </c>
      <c r="T2848" s="492" t="str">
        <f>IFERROR(VLOOKUP(F2848,'Freq-Chan'!C:D,2,FALSE),"x")</f>
        <v>x</v>
      </c>
      <c r="U2848" s="110" t="s">
        <v>541</v>
      </c>
      <c r="V2848" s="110" t="str">
        <f t="shared" si="92"/>
        <v>FWL</v>
      </c>
      <c r="W2848" s="110" t="s">
        <v>541</v>
      </c>
      <c r="X2848" s="110" t="s">
        <v>541</v>
      </c>
      <c r="Y2848" s="110" t="str">
        <f>IFERROR(VLOOKUP(F2848,'Freq-Chan'!C:E,3,FALSE),"na")</f>
        <v>na</v>
      </c>
      <c r="Z2848" s="110" t="s">
        <v>541</v>
      </c>
      <c r="AA2848" s="110" t="s">
        <v>541</v>
      </c>
      <c r="AB2848" s="110" t="s">
        <v>541</v>
      </c>
      <c r="AC2848" s="10" t="s">
        <v>541</v>
      </c>
      <c r="AD2848" s="10" t="s">
        <v>541</v>
      </c>
    </row>
    <row r="2849" spans="1:30" x14ac:dyDescent="0.2">
      <c r="A2849" s="110">
        <v>2849</v>
      </c>
      <c r="B2849" s="132">
        <v>41867</v>
      </c>
      <c r="C2849" s="117">
        <v>1</v>
      </c>
      <c r="D2849" s="103" t="s">
        <v>70</v>
      </c>
      <c r="E2849" s="103" t="s">
        <v>306</v>
      </c>
      <c r="H2849" s="103"/>
      <c r="I2849" s="103">
        <v>42</v>
      </c>
      <c r="K2849" s="103" t="s">
        <v>365</v>
      </c>
      <c r="L2849" s="133"/>
      <c r="M2849" s="134">
        <v>1.3888888888888888E-2</v>
      </c>
      <c r="N2849" s="135" t="s">
        <v>1852</v>
      </c>
      <c r="O2849" s="133" t="s">
        <v>1538</v>
      </c>
      <c r="Q2849" s="100" t="s">
        <v>4271</v>
      </c>
      <c r="R2849" s="226" t="s">
        <v>4280</v>
      </c>
      <c r="S2849" s="491" t="str">
        <f t="shared" si="91"/>
        <v>x</v>
      </c>
      <c r="T2849" s="492" t="str">
        <f>IFERROR(VLOOKUP(F2849,'Freq-Chan'!C:D,2,FALSE),"x")</f>
        <v>x</v>
      </c>
      <c r="U2849" s="110" t="s">
        <v>541</v>
      </c>
      <c r="V2849" s="110" t="str">
        <f t="shared" si="92"/>
        <v>FWL</v>
      </c>
      <c r="W2849" s="110" t="s">
        <v>541</v>
      </c>
      <c r="X2849" s="110" t="s">
        <v>541</v>
      </c>
      <c r="Y2849" s="110" t="str">
        <f>IFERROR(VLOOKUP(F2849,'Freq-Chan'!C:E,3,FALSE),"na")</f>
        <v>na</v>
      </c>
      <c r="Z2849" s="110" t="s">
        <v>541</v>
      </c>
      <c r="AA2849" s="110" t="s">
        <v>541</v>
      </c>
      <c r="AB2849" s="110" t="s">
        <v>541</v>
      </c>
      <c r="AC2849" s="10" t="s">
        <v>541</v>
      </c>
      <c r="AD2849" s="10" t="s">
        <v>541</v>
      </c>
    </row>
    <row r="2850" spans="1:30" x14ac:dyDescent="0.2">
      <c r="A2850" s="110">
        <v>2850</v>
      </c>
      <c r="B2850" s="132">
        <v>41867</v>
      </c>
      <c r="C2850" s="117">
        <v>1</v>
      </c>
      <c r="D2850" s="103" t="s">
        <v>71</v>
      </c>
      <c r="E2850" s="103" t="s">
        <v>306</v>
      </c>
      <c r="H2850" s="103"/>
      <c r="I2850" s="103">
        <v>56</v>
      </c>
      <c r="K2850" s="103" t="s">
        <v>1032</v>
      </c>
      <c r="L2850" s="133"/>
      <c r="M2850" s="134">
        <v>1.5972222222222224E-2</v>
      </c>
      <c r="N2850" s="135" t="s">
        <v>4152</v>
      </c>
      <c r="O2850" s="133" t="s">
        <v>1538</v>
      </c>
      <c r="Q2850" s="100" t="s">
        <v>4271</v>
      </c>
      <c r="R2850" s="226" t="s">
        <v>4280</v>
      </c>
      <c r="S2850" s="491" t="str">
        <f t="shared" si="91"/>
        <v>x</v>
      </c>
      <c r="T2850" s="492" t="str">
        <f>IFERROR(VLOOKUP(F2850,'Freq-Chan'!C:D,2,FALSE),"x")</f>
        <v>x</v>
      </c>
      <c r="U2850" s="110" t="s">
        <v>541</v>
      </c>
      <c r="V2850" s="110" t="str">
        <f t="shared" si="92"/>
        <v>FWL</v>
      </c>
      <c r="W2850" s="110" t="s">
        <v>541</v>
      </c>
      <c r="X2850" s="110" t="s">
        <v>541</v>
      </c>
      <c r="Y2850" s="110" t="str">
        <f>IFERROR(VLOOKUP(F2850,'Freq-Chan'!C:E,3,FALSE),"na")</f>
        <v>na</v>
      </c>
      <c r="Z2850" s="110" t="s">
        <v>541</v>
      </c>
      <c r="AA2850" s="110" t="s">
        <v>541</v>
      </c>
      <c r="AB2850" s="110" t="s">
        <v>541</v>
      </c>
      <c r="AC2850" s="10" t="s">
        <v>541</v>
      </c>
      <c r="AD2850" s="10" t="s">
        <v>541</v>
      </c>
    </row>
    <row r="2851" spans="1:30" x14ac:dyDescent="0.2">
      <c r="A2851" s="110">
        <v>2851</v>
      </c>
      <c r="B2851" s="132">
        <v>41867</v>
      </c>
      <c r="C2851" s="117">
        <v>1</v>
      </c>
      <c r="D2851" s="103" t="s">
        <v>71</v>
      </c>
      <c r="E2851" s="103" t="s">
        <v>306</v>
      </c>
      <c r="H2851" s="103"/>
      <c r="I2851" s="103">
        <v>56</v>
      </c>
      <c r="K2851" s="103" t="s">
        <v>1032</v>
      </c>
      <c r="L2851" s="133"/>
      <c r="M2851" s="134">
        <v>1.3888888888888888E-2</v>
      </c>
      <c r="N2851" s="135" t="s">
        <v>1992</v>
      </c>
      <c r="O2851" s="133" t="s">
        <v>1538</v>
      </c>
      <c r="Q2851" s="100" t="s">
        <v>4271</v>
      </c>
      <c r="R2851" s="226" t="s">
        <v>4280</v>
      </c>
      <c r="S2851" s="491" t="str">
        <f t="shared" si="91"/>
        <v>x</v>
      </c>
      <c r="T2851" s="492" t="str">
        <f>IFERROR(VLOOKUP(F2851,'Freq-Chan'!C:D,2,FALSE),"x")</f>
        <v>x</v>
      </c>
      <c r="U2851" s="110" t="s">
        <v>541</v>
      </c>
      <c r="V2851" s="110" t="str">
        <f t="shared" si="92"/>
        <v>FWL</v>
      </c>
      <c r="W2851" s="110" t="s">
        <v>541</v>
      </c>
      <c r="X2851" s="110" t="s">
        <v>541</v>
      </c>
      <c r="Y2851" s="110" t="str">
        <f>IFERROR(VLOOKUP(F2851,'Freq-Chan'!C:E,3,FALSE),"na")</f>
        <v>na</v>
      </c>
      <c r="Z2851" s="110" t="s">
        <v>541</v>
      </c>
      <c r="AA2851" s="110" t="s">
        <v>541</v>
      </c>
      <c r="AB2851" s="110" t="s">
        <v>541</v>
      </c>
      <c r="AC2851" s="10" t="s">
        <v>541</v>
      </c>
      <c r="AD2851" s="10" t="s">
        <v>541</v>
      </c>
    </row>
    <row r="2852" spans="1:30" x14ac:dyDescent="0.2">
      <c r="A2852" s="110">
        <v>2852</v>
      </c>
      <c r="B2852" s="132">
        <v>41867</v>
      </c>
      <c r="C2852" s="117">
        <v>1</v>
      </c>
      <c r="D2852" s="103" t="s">
        <v>71</v>
      </c>
      <c r="E2852" s="103" t="s">
        <v>306</v>
      </c>
      <c r="H2852" s="103"/>
      <c r="I2852" s="103">
        <v>56</v>
      </c>
      <c r="K2852" s="103" t="s">
        <v>365</v>
      </c>
      <c r="L2852" s="133"/>
      <c r="M2852" s="134">
        <v>1.3194444444444444E-2</v>
      </c>
      <c r="N2852" s="135" t="s">
        <v>510</v>
      </c>
      <c r="O2852" s="133" t="s">
        <v>1538</v>
      </c>
      <c r="Q2852" s="100" t="s">
        <v>4271</v>
      </c>
      <c r="R2852" s="226" t="s">
        <v>4280</v>
      </c>
      <c r="S2852" s="491" t="str">
        <f t="shared" si="91"/>
        <v>x</v>
      </c>
      <c r="T2852" s="492" t="str">
        <f>IFERROR(VLOOKUP(F2852,'Freq-Chan'!C:D,2,FALSE),"x")</f>
        <v>x</v>
      </c>
      <c r="U2852" s="110" t="s">
        <v>541</v>
      </c>
      <c r="V2852" s="110" t="str">
        <f t="shared" si="92"/>
        <v>FWL</v>
      </c>
      <c r="W2852" s="110" t="s">
        <v>541</v>
      </c>
      <c r="X2852" s="110" t="s">
        <v>541</v>
      </c>
      <c r="Y2852" s="110" t="str">
        <f>IFERROR(VLOOKUP(F2852,'Freq-Chan'!C:E,3,FALSE),"na")</f>
        <v>na</v>
      </c>
      <c r="Z2852" s="110" t="s">
        <v>541</v>
      </c>
      <c r="AA2852" s="110" t="s">
        <v>541</v>
      </c>
      <c r="AB2852" s="110" t="s">
        <v>541</v>
      </c>
      <c r="AC2852" s="10" t="s">
        <v>541</v>
      </c>
      <c r="AD2852" s="10" t="s">
        <v>541</v>
      </c>
    </row>
    <row r="2853" spans="1:30" s="291" customFormat="1" x14ac:dyDescent="0.2">
      <c r="A2853" s="493">
        <v>2853</v>
      </c>
      <c r="B2853" s="283">
        <v>41867</v>
      </c>
      <c r="C2853" s="284">
        <v>1</v>
      </c>
      <c r="D2853" s="285" t="s">
        <v>70</v>
      </c>
      <c r="E2853" s="285" t="s">
        <v>306</v>
      </c>
      <c r="F2853" s="285"/>
      <c r="G2853" s="285"/>
      <c r="H2853" s="285"/>
      <c r="I2853" s="285">
        <v>48</v>
      </c>
      <c r="J2853" s="285"/>
      <c r="K2853" s="285" t="s">
        <v>365</v>
      </c>
      <c r="L2853" s="286"/>
      <c r="M2853" s="287">
        <v>1.6666666666666666E-2</v>
      </c>
      <c r="N2853" s="288" t="s">
        <v>1673</v>
      </c>
      <c r="O2853" s="286" t="s">
        <v>1538</v>
      </c>
      <c r="P2853" s="289"/>
      <c r="Q2853" s="289" t="s">
        <v>4271</v>
      </c>
      <c r="R2853" s="290" t="s">
        <v>4280</v>
      </c>
      <c r="S2853" s="494" t="str">
        <f t="shared" si="91"/>
        <v>x</v>
      </c>
      <c r="T2853" s="495" t="str">
        <f>IFERROR(VLOOKUP(F2853,'Freq-Chan'!C:D,2,FALSE),"x")</f>
        <v>x</v>
      </c>
      <c r="U2853" s="493" t="s">
        <v>541</v>
      </c>
      <c r="V2853" s="493" t="str">
        <f t="shared" si="92"/>
        <v>FWL</v>
      </c>
      <c r="W2853" s="493" t="s">
        <v>541</v>
      </c>
      <c r="X2853" s="493" t="s">
        <v>541</v>
      </c>
      <c r="Y2853" s="493" t="str">
        <f>IFERROR(VLOOKUP(F2853,'Freq-Chan'!C:E,3,FALSE),"na")</f>
        <v>na</v>
      </c>
      <c r="Z2853" s="493" t="s">
        <v>541</v>
      </c>
      <c r="AA2853" s="493" t="s">
        <v>541</v>
      </c>
      <c r="AB2853" s="493" t="s">
        <v>541</v>
      </c>
      <c r="AC2853" s="291" t="s">
        <v>541</v>
      </c>
      <c r="AD2853" s="291" t="s">
        <v>541</v>
      </c>
    </row>
    <row r="2854" spans="1:30" x14ac:dyDescent="0.2">
      <c r="A2854" s="110">
        <v>2854</v>
      </c>
      <c r="B2854" s="132">
        <v>41867</v>
      </c>
      <c r="C2854" s="117">
        <v>2</v>
      </c>
      <c r="D2854" s="103" t="s">
        <v>70</v>
      </c>
      <c r="E2854" s="103" t="s">
        <v>306</v>
      </c>
      <c r="H2854" s="103"/>
      <c r="I2854" s="103">
        <v>44</v>
      </c>
      <c r="K2854" s="103" t="s">
        <v>365</v>
      </c>
      <c r="L2854" s="133"/>
      <c r="M2854" s="134">
        <v>1.5277777777777777E-2</v>
      </c>
      <c r="N2854" s="137" t="s">
        <v>3491</v>
      </c>
      <c r="O2854" s="133" t="s">
        <v>1033</v>
      </c>
      <c r="Q2854" s="100" t="s">
        <v>4271</v>
      </c>
      <c r="R2854" s="226" t="s">
        <v>4280</v>
      </c>
      <c r="S2854" s="491" t="str">
        <f t="shared" si="91"/>
        <v>x</v>
      </c>
      <c r="T2854" s="492" t="str">
        <f>IFERROR(VLOOKUP(F2854,'Freq-Chan'!C:D,2,FALSE),"x")</f>
        <v>x</v>
      </c>
      <c r="U2854" s="110" t="s">
        <v>541</v>
      </c>
      <c r="V2854" s="110" t="str">
        <f t="shared" si="92"/>
        <v>FWL</v>
      </c>
      <c r="W2854" s="110" t="s">
        <v>541</v>
      </c>
      <c r="X2854" s="110" t="s">
        <v>541</v>
      </c>
      <c r="Y2854" s="110" t="str">
        <f>IFERROR(VLOOKUP(F2854,'Freq-Chan'!C:E,3,FALSE),"na")</f>
        <v>na</v>
      </c>
      <c r="Z2854" s="110" t="s">
        <v>541</v>
      </c>
      <c r="AA2854" s="110" t="s">
        <v>541</v>
      </c>
      <c r="AB2854" s="110" t="s">
        <v>541</v>
      </c>
      <c r="AC2854" s="10" t="s">
        <v>541</v>
      </c>
      <c r="AD2854" s="10" t="s">
        <v>541</v>
      </c>
    </row>
    <row r="2855" spans="1:30" x14ac:dyDescent="0.2">
      <c r="A2855" s="110">
        <v>2855</v>
      </c>
      <c r="B2855" s="132">
        <v>41867</v>
      </c>
      <c r="C2855" s="117">
        <v>2</v>
      </c>
      <c r="D2855" s="103" t="s">
        <v>71</v>
      </c>
      <c r="E2855" s="103" t="s">
        <v>306</v>
      </c>
      <c r="F2855" s="103">
        <v>534</v>
      </c>
      <c r="G2855" s="103">
        <v>18</v>
      </c>
      <c r="H2855" s="103" t="s">
        <v>2458</v>
      </c>
      <c r="I2855" s="103">
        <v>58</v>
      </c>
      <c r="K2855" s="103" t="s">
        <v>1032</v>
      </c>
      <c r="L2855" s="133"/>
      <c r="M2855" s="134">
        <v>4.1666666666666664E-2</v>
      </c>
      <c r="N2855" s="137" t="s">
        <v>722</v>
      </c>
      <c r="O2855" s="133" t="s">
        <v>1033</v>
      </c>
      <c r="Q2855" s="100" t="s">
        <v>4271</v>
      </c>
      <c r="R2855" s="226" t="s">
        <v>4280</v>
      </c>
      <c r="S2855" s="491" t="str">
        <f t="shared" si="91"/>
        <v>x</v>
      </c>
      <c r="T2855" s="492">
        <f>IFERROR(VLOOKUP(F2855,'Freq-Chan'!C:D,2,FALSE),"x")</f>
        <v>151.53399999999999</v>
      </c>
      <c r="U2855" s="110" t="s">
        <v>541</v>
      </c>
      <c r="V2855" s="110" t="str">
        <f t="shared" si="92"/>
        <v>FWL</v>
      </c>
      <c r="W2855" s="110" t="s">
        <v>541</v>
      </c>
      <c r="X2855" s="110" t="s">
        <v>541</v>
      </c>
      <c r="Y2855" s="110" t="str">
        <f>IFERROR(VLOOKUP(F2855,'Freq-Chan'!C:E,3,FALSE),"na")</f>
        <v>F1840</v>
      </c>
      <c r="Z2855" s="110" t="s">
        <v>541</v>
      </c>
      <c r="AA2855" s="110" t="s">
        <v>541</v>
      </c>
      <c r="AB2855" s="110" t="s">
        <v>541</v>
      </c>
      <c r="AC2855" s="10" t="s">
        <v>541</v>
      </c>
      <c r="AD2855" s="10" t="s">
        <v>541</v>
      </c>
    </row>
    <row r="2856" spans="1:30" x14ac:dyDescent="0.2">
      <c r="A2856" s="110">
        <v>2856</v>
      </c>
      <c r="B2856" s="132">
        <v>41867</v>
      </c>
      <c r="C2856" s="117">
        <v>2</v>
      </c>
      <c r="D2856" s="103" t="s">
        <v>71</v>
      </c>
      <c r="E2856" s="103" t="s">
        <v>306</v>
      </c>
      <c r="H2856" s="103"/>
      <c r="I2856" s="103">
        <v>63</v>
      </c>
      <c r="K2856" s="103" t="s">
        <v>1032</v>
      </c>
      <c r="L2856" s="133"/>
      <c r="M2856" s="134">
        <v>2.2916666666666669E-2</v>
      </c>
      <c r="N2856" s="137" t="s">
        <v>4105</v>
      </c>
      <c r="O2856" s="133" t="s">
        <v>1033</v>
      </c>
      <c r="Q2856" s="100" t="s">
        <v>4271</v>
      </c>
      <c r="R2856" s="226" t="s">
        <v>4280</v>
      </c>
      <c r="S2856" s="491" t="str">
        <f t="shared" si="91"/>
        <v>x</v>
      </c>
      <c r="T2856" s="492" t="str">
        <f>IFERROR(VLOOKUP(F2856,'Freq-Chan'!C:D,2,FALSE),"x")</f>
        <v>x</v>
      </c>
      <c r="U2856" s="110" t="s">
        <v>541</v>
      </c>
      <c r="V2856" s="110" t="str">
        <f t="shared" si="92"/>
        <v>FWL</v>
      </c>
      <c r="W2856" s="110" t="s">
        <v>541</v>
      </c>
      <c r="X2856" s="110" t="s">
        <v>541</v>
      </c>
      <c r="Y2856" s="110" t="str">
        <f>IFERROR(VLOOKUP(F2856,'Freq-Chan'!C:E,3,FALSE),"na")</f>
        <v>na</v>
      </c>
      <c r="Z2856" s="110" t="s">
        <v>541</v>
      </c>
      <c r="AA2856" s="110" t="s">
        <v>541</v>
      </c>
      <c r="AB2856" s="110" t="s">
        <v>541</v>
      </c>
      <c r="AC2856" s="10" t="s">
        <v>541</v>
      </c>
      <c r="AD2856" s="10" t="s">
        <v>541</v>
      </c>
    </row>
    <row r="2857" spans="1:30" x14ac:dyDescent="0.2">
      <c r="A2857" s="110">
        <v>2857</v>
      </c>
      <c r="B2857" s="132">
        <v>41867</v>
      </c>
      <c r="C2857" s="117">
        <v>2</v>
      </c>
      <c r="D2857" s="103" t="s">
        <v>71</v>
      </c>
      <c r="E2857" s="103" t="s">
        <v>306</v>
      </c>
      <c r="H2857" s="103"/>
      <c r="I2857" s="103">
        <v>63</v>
      </c>
      <c r="K2857" s="103" t="s">
        <v>1032</v>
      </c>
      <c r="L2857" s="133"/>
      <c r="M2857" s="134">
        <v>1.4583333333333332E-2</v>
      </c>
      <c r="N2857" s="137" t="s">
        <v>4125</v>
      </c>
      <c r="O2857" s="133" t="s">
        <v>1033</v>
      </c>
      <c r="Q2857" s="100" t="s">
        <v>4271</v>
      </c>
      <c r="R2857" s="226" t="s">
        <v>4280</v>
      </c>
      <c r="S2857" s="491" t="str">
        <f t="shared" si="91"/>
        <v>x</v>
      </c>
      <c r="T2857" s="492" t="str">
        <f>IFERROR(VLOOKUP(F2857,'Freq-Chan'!C:D,2,FALSE),"x")</f>
        <v>x</v>
      </c>
      <c r="U2857" s="110" t="s">
        <v>541</v>
      </c>
      <c r="V2857" s="110" t="str">
        <f t="shared" si="92"/>
        <v>FWL</v>
      </c>
      <c r="W2857" s="110" t="s">
        <v>541</v>
      </c>
      <c r="X2857" s="110" t="s">
        <v>541</v>
      </c>
      <c r="Y2857" s="110" t="str">
        <f>IFERROR(VLOOKUP(F2857,'Freq-Chan'!C:E,3,FALSE),"na")</f>
        <v>na</v>
      </c>
      <c r="Z2857" s="110" t="s">
        <v>541</v>
      </c>
      <c r="AA2857" s="110" t="s">
        <v>541</v>
      </c>
      <c r="AB2857" s="110" t="s">
        <v>541</v>
      </c>
      <c r="AC2857" s="10" t="s">
        <v>541</v>
      </c>
      <c r="AD2857" s="10" t="s">
        <v>541</v>
      </c>
    </row>
    <row r="2858" spans="1:30" x14ac:dyDescent="0.2">
      <c r="A2858" s="110">
        <v>2858</v>
      </c>
      <c r="B2858" s="132">
        <v>41867</v>
      </c>
      <c r="C2858" s="117">
        <v>2</v>
      </c>
      <c r="D2858" s="103" t="s">
        <v>71</v>
      </c>
      <c r="E2858" s="103" t="s">
        <v>306</v>
      </c>
      <c r="H2858" s="103"/>
      <c r="I2858" s="103">
        <v>57</v>
      </c>
      <c r="K2858" s="103" t="s">
        <v>1032</v>
      </c>
      <c r="L2858" s="133"/>
      <c r="M2858" s="134">
        <v>1.4583333333333332E-2</v>
      </c>
      <c r="N2858" s="137" t="s">
        <v>1882</v>
      </c>
      <c r="O2858" s="133" t="s">
        <v>1538</v>
      </c>
      <c r="Q2858" s="100" t="s">
        <v>4271</v>
      </c>
      <c r="R2858" s="226" t="s">
        <v>4280</v>
      </c>
      <c r="S2858" s="491" t="str">
        <f t="shared" si="91"/>
        <v>x</v>
      </c>
      <c r="T2858" s="492" t="str">
        <f>IFERROR(VLOOKUP(F2858,'Freq-Chan'!C:D,2,FALSE),"x")</f>
        <v>x</v>
      </c>
      <c r="U2858" s="110" t="s">
        <v>541</v>
      </c>
      <c r="V2858" s="110" t="str">
        <f t="shared" si="92"/>
        <v>FWL</v>
      </c>
      <c r="W2858" s="110" t="s">
        <v>541</v>
      </c>
      <c r="X2858" s="110" t="s">
        <v>541</v>
      </c>
      <c r="Y2858" s="110" t="str">
        <f>IFERROR(VLOOKUP(F2858,'Freq-Chan'!C:E,3,FALSE),"na")</f>
        <v>na</v>
      </c>
      <c r="Z2858" s="110" t="s">
        <v>541</v>
      </c>
      <c r="AA2858" s="110" t="s">
        <v>541</v>
      </c>
      <c r="AB2858" s="110" t="s">
        <v>541</v>
      </c>
      <c r="AC2858" s="10" t="s">
        <v>541</v>
      </c>
      <c r="AD2858" s="10" t="s">
        <v>541</v>
      </c>
    </row>
    <row r="2859" spans="1:30" x14ac:dyDescent="0.2">
      <c r="A2859" s="110">
        <v>2859</v>
      </c>
      <c r="B2859" s="132">
        <v>41867</v>
      </c>
      <c r="C2859" s="117">
        <v>2</v>
      </c>
      <c r="D2859" s="103" t="s">
        <v>71</v>
      </c>
      <c r="E2859" s="103" t="s">
        <v>306</v>
      </c>
      <c r="H2859" s="103"/>
      <c r="I2859" s="103">
        <v>60</v>
      </c>
      <c r="K2859" s="103" t="s">
        <v>365</v>
      </c>
      <c r="L2859" s="133"/>
      <c r="M2859" s="134">
        <v>1.3194444444444444E-2</v>
      </c>
      <c r="N2859" s="137" t="s">
        <v>1774</v>
      </c>
      <c r="O2859" s="133" t="s">
        <v>1538</v>
      </c>
      <c r="Q2859" s="100" t="s">
        <v>4271</v>
      </c>
      <c r="R2859" s="226" t="s">
        <v>4280</v>
      </c>
      <c r="S2859" s="491" t="str">
        <f t="shared" si="91"/>
        <v>x</v>
      </c>
      <c r="T2859" s="492" t="str">
        <f>IFERROR(VLOOKUP(F2859,'Freq-Chan'!C:D,2,FALSE),"x")</f>
        <v>x</v>
      </c>
      <c r="U2859" s="110" t="s">
        <v>541</v>
      </c>
      <c r="V2859" s="110" t="str">
        <f t="shared" si="92"/>
        <v>FWL</v>
      </c>
      <c r="W2859" s="110" t="s">
        <v>541</v>
      </c>
      <c r="X2859" s="110" t="s">
        <v>541</v>
      </c>
      <c r="Y2859" s="110" t="str">
        <f>IFERROR(VLOOKUP(F2859,'Freq-Chan'!C:E,3,FALSE),"na")</f>
        <v>na</v>
      </c>
      <c r="Z2859" s="110" t="s">
        <v>541</v>
      </c>
      <c r="AA2859" s="110" t="s">
        <v>541</v>
      </c>
      <c r="AB2859" s="110" t="s">
        <v>541</v>
      </c>
      <c r="AC2859" s="10" t="s">
        <v>541</v>
      </c>
      <c r="AD2859" s="10" t="s">
        <v>541</v>
      </c>
    </row>
    <row r="2860" spans="1:30" x14ac:dyDescent="0.2">
      <c r="A2860" s="110">
        <v>2860</v>
      </c>
      <c r="B2860" s="132">
        <v>41867</v>
      </c>
      <c r="C2860" s="117">
        <v>2</v>
      </c>
      <c r="D2860" s="103" t="s">
        <v>8</v>
      </c>
      <c r="E2860" s="103" t="s">
        <v>306</v>
      </c>
      <c r="F2860" s="103">
        <v>586</v>
      </c>
      <c r="G2860" s="103">
        <v>75</v>
      </c>
      <c r="H2860" s="103" t="s">
        <v>2272</v>
      </c>
      <c r="I2860" s="103">
        <v>44</v>
      </c>
      <c r="K2860" s="103" t="s">
        <v>1032</v>
      </c>
      <c r="L2860" s="133"/>
      <c r="M2860" s="134">
        <v>2.9861111111111113E-2</v>
      </c>
      <c r="N2860" s="137" t="s">
        <v>2747</v>
      </c>
      <c r="O2860" s="133" t="s">
        <v>1538</v>
      </c>
      <c r="Q2860" s="100" t="s">
        <v>4271</v>
      </c>
      <c r="R2860" s="226" t="s">
        <v>4280</v>
      </c>
      <c r="S2860" s="491" t="str">
        <f t="shared" si="91"/>
        <v>x</v>
      </c>
      <c r="T2860" s="492">
        <f>IFERROR(VLOOKUP(F2860,'Freq-Chan'!C:D,2,FALSE),"x")</f>
        <v>151.58600000000001</v>
      </c>
      <c r="U2860" s="110" t="s">
        <v>541</v>
      </c>
      <c r="V2860" s="110" t="str">
        <f t="shared" si="92"/>
        <v>FWL</v>
      </c>
      <c r="W2860" s="110" t="s">
        <v>541</v>
      </c>
      <c r="X2860" s="110" t="s">
        <v>541</v>
      </c>
      <c r="Y2860" s="110" t="str">
        <f>IFERROR(VLOOKUP(F2860,'Freq-Chan'!C:E,3,FALSE),"na")</f>
        <v>F1840</v>
      </c>
      <c r="Z2860" s="110" t="s">
        <v>541</v>
      </c>
      <c r="AA2860" s="110" t="s">
        <v>541</v>
      </c>
      <c r="AB2860" s="110" t="s">
        <v>541</v>
      </c>
      <c r="AC2860" s="10" t="s">
        <v>541</v>
      </c>
      <c r="AD2860" s="10" t="s">
        <v>541</v>
      </c>
    </row>
    <row r="2861" spans="1:30" x14ac:dyDescent="0.2">
      <c r="A2861" s="110">
        <v>2861</v>
      </c>
      <c r="B2861" s="132">
        <v>41867</v>
      </c>
      <c r="C2861" s="117">
        <v>2</v>
      </c>
      <c r="D2861" s="103" t="s">
        <v>71</v>
      </c>
      <c r="E2861" s="103" t="s">
        <v>306</v>
      </c>
      <c r="H2861" s="103"/>
      <c r="I2861" s="103">
        <v>58</v>
      </c>
      <c r="K2861" s="103" t="s">
        <v>1032</v>
      </c>
      <c r="L2861" s="133"/>
      <c r="M2861" s="134">
        <v>1.3888888888888888E-2</v>
      </c>
      <c r="N2861" s="137" t="s">
        <v>2657</v>
      </c>
      <c r="O2861" s="133" t="s">
        <v>1538</v>
      </c>
      <c r="Q2861" s="100" t="s">
        <v>4271</v>
      </c>
      <c r="R2861" s="226" t="s">
        <v>4280</v>
      </c>
      <c r="S2861" s="491" t="str">
        <f t="shared" si="91"/>
        <v>x</v>
      </c>
      <c r="T2861" s="492" t="str">
        <f>IFERROR(VLOOKUP(F2861,'Freq-Chan'!C:D,2,FALSE),"x")</f>
        <v>x</v>
      </c>
      <c r="U2861" s="110" t="s">
        <v>541</v>
      </c>
      <c r="V2861" s="110" t="str">
        <f t="shared" si="92"/>
        <v>FWL</v>
      </c>
      <c r="W2861" s="110" t="s">
        <v>541</v>
      </c>
      <c r="X2861" s="110" t="s">
        <v>541</v>
      </c>
      <c r="Y2861" s="110" t="str">
        <f>IFERROR(VLOOKUP(F2861,'Freq-Chan'!C:E,3,FALSE),"na")</f>
        <v>na</v>
      </c>
      <c r="Z2861" s="110" t="s">
        <v>541</v>
      </c>
      <c r="AA2861" s="110" t="s">
        <v>541</v>
      </c>
      <c r="AB2861" s="110" t="s">
        <v>541</v>
      </c>
      <c r="AC2861" s="10" t="s">
        <v>541</v>
      </c>
      <c r="AD2861" s="10" t="s">
        <v>541</v>
      </c>
    </row>
    <row r="2862" spans="1:30" x14ac:dyDescent="0.2">
      <c r="A2862" s="110">
        <v>2862</v>
      </c>
      <c r="B2862" s="132">
        <v>41867</v>
      </c>
      <c r="C2862" s="117">
        <v>2</v>
      </c>
      <c r="D2862" s="103" t="s">
        <v>71</v>
      </c>
      <c r="E2862" s="103" t="s">
        <v>306</v>
      </c>
      <c r="H2862" s="103"/>
      <c r="I2862" s="103">
        <v>62</v>
      </c>
      <c r="K2862" s="103" t="s">
        <v>365</v>
      </c>
      <c r="L2862" s="133"/>
      <c r="M2862" s="134">
        <v>1.2499999999999999E-2</v>
      </c>
      <c r="N2862" s="137" t="s">
        <v>716</v>
      </c>
      <c r="O2862" s="133" t="s">
        <v>1538</v>
      </c>
      <c r="Q2862" s="100" t="s">
        <v>4271</v>
      </c>
      <c r="R2862" s="226" t="s">
        <v>4280</v>
      </c>
      <c r="S2862" s="491" t="str">
        <f t="shared" si="91"/>
        <v>x</v>
      </c>
      <c r="T2862" s="492" t="str">
        <f>IFERROR(VLOOKUP(F2862,'Freq-Chan'!C:D,2,FALSE),"x")</f>
        <v>x</v>
      </c>
      <c r="U2862" s="110" t="s">
        <v>541</v>
      </c>
      <c r="V2862" s="110" t="str">
        <f t="shared" si="92"/>
        <v>FWL</v>
      </c>
      <c r="W2862" s="110" t="s">
        <v>541</v>
      </c>
      <c r="X2862" s="110" t="s">
        <v>541</v>
      </c>
      <c r="Y2862" s="110" t="str">
        <f>IFERROR(VLOOKUP(F2862,'Freq-Chan'!C:E,3,FALSE),"na")</f>
        <v>na</v>
      </c>
      <c r="Z2862" s="110" t="s">
        <v>541</v>
      </c>
      <c r="AA2862" s="110" t="s">
        <v>541</v>
      </c>
      <c r="AB2862" s="110" t="s">
        <v>541</v>
      </c>
      <c r="AC2862" s="10" t="s">
        <v>541</v>
      </c>
      <c r="AD2862" s="10" t="s">
        <v>541</v>
      </c>
    </row>
    <row r="2863" spans="1:30" s="291" customFormat="1" x14ac:dyDescent="0.2">
      <c r="A2863" s="493">
        <v>2863</v>
      </c>
      <c r="B2863" s="283">
        <v>41867</v>
      </c>
      <c r="C2863" s="284">
        <v>2</v>
      </c>
      <c r="D2863" s="285" t="s">
        <v>71</v>
      </c>
      <c r="E2863" s="285" t="s">
        <v>306</v>
      </c>
      <c r="F2863" s="285"/>
      <c r="G2863" s="285"/>
      <c r="H2863" s="285"/>
      <c r="I2863" s="285">
        <v>58</v>
      </c>
      <c r="J2863" s="285"/>
      <c r="K2863" s="285" t="s">
        <v>1032</v>
      </c>
      <c r="L2863" s="286"/>
      <c r="M2863" s="287">
        <v>1.3194444444444444E-2</v>
      </c>
      <c r="N2863" s="339" t="s">
        <v>3436</v>
      </c>
      <c r="O2863" s="286" t="s">
        <v>1538</v>
      </c>
      <c r="P2863" s="289"/>
      <c r="Q2863" s="289" t="s">
        <v>4271</v>
      </c>
      <c r="R2863" s="290" t="s">
        <v>4280</v>
      </c>
      <c r="S2863" s="494" t="str">
        <f t="shared" si="91"/>
        <v>x</v>
      </c>
      <c r="T2863" s="495" t="str">
        <f>IFERROR(VLOOKUP(F2863,'Freq-Chan'!C:D,2,FALSE),"x")</f>
        <v>x</v>
      </c>
      <c r="U2863" s="493" t="s">
        <v>541</v>
      </c>
      <c r="V2863" s="493" t="str">
        <f t="shared" si="92"/>
        <v>FWL</v>
      </c>
      <c r="W2863" s="493" t="s">
        <v>541</v>
      </c>
      <c r="X2863" s="493" t="s">
        <v>541</v>
      </c>
      <c r="Y2863" s="493" t="str">
        <f>IFERROR(VLOOKUP(F2863,'Freq-Chan'!C:E,3,FALSE),"na")</f>
        <v>na</v>
      </c>
      <c r="Z2863" s="493" t="s">
        <v>541</v>
      </c>
      <c r="AA2863" s="493" t="s">
        <v>541</v>
      </c>
      <c r="AB2863" s="493" t="s">
        <v>541</v>
      </c>
      <c r="AC2863" s="291" t="s">
        <v>541</v>
      </c>
      <c r="AD2863" s="291" t="s">
        <v>541</v>
      </c>
    </row>
    <row r="2864" spans="1:30" x14ac:dyDescent="0.2">
      <c r="A2864" s="110">
        <v>2864</v>
      </c>
      <c r="B2864" s="132">
        <v>41867</v>
      </c>
      <c r="C2864" s="117">
        <v>3</v>
      </c>
      <c r="D2864" s="103" t="s">
        <v>70</v>
      </c>
      <c r="E2864" s="103" t="s">
        <v>306</v>
      </c>
      <c r="F2864" s="103">
        <v>515</v>
      </c>
      <c r="G2864" s="103">
        <v>66</v>
      </c>
      <c r="H2864" s="103" t="s">
        <v>3130</v>
      </c>
      <c r="I2864" s="103">
        <v>46</v>
      </c>
      <c r="K2864" s="103" t="s">
        <v>365</v>
      </c>
      <c r="L2864" s="133"/>
      <c r="M2864" s="134">
        <v>4.7222222222222221E-2</v>
      </c>
      <c r="N2864" s="137" t="s">
        <v>3491</v>
      </c>
      <c r="O2864" s="133" t="s">
        <v>1585</v>
      </c>
      <c r="Q2864" s="100" t="s">
        <v>4271</v>
      </c>
      <c r="R2864" s="226" t="s">
        <v>4280</v>
      </c>
      <c r="S2864" s="491" t="str">
        <f t="shared" si="91"/>
        <v>x</v>
      </c>
      <c r="T2864" s="492">
        <f>IFERROR(VLOOKUP(F2864,'Freq-Chan'!C:D,2,FALSE),"x")</f>
        <v>151.51499999999999</v>
      </c>
      <c r="U2864" s="110" t="s">
        <v>541</v>
      </c>
      <c r="V2864" s="110" t="str">
        <f t="shared" si="92"/>
        <v>FWL</v>
      </c>
      <c r="W2864" s="110" t="s">
        <v>541</v>
      </c>
      <c r="X2864" s="110" t="s">
        <v>541</v>
      </c>
      <c r="Y2864" s="110" t="str">
        <f>IFERROR(VLOOKUP(F2864,'Freq-Chan'!C:E,3,FALSE),"na")</f>
        <v>F1835</v>
      </c>
      <c r="Z2864" s="110" t="s">
        <v>541</v>
      </c>
      <c r="AA2864" s="110" t="s">
        <v>541</v>
      </c>
      <c r="AB2864" s="110" t="s">
        <v>541</v>
      </c>
      <c r="AC2864" s="10" t="s">
        <v>541</v>
      </c>
      <c r="AD2864" s="10" t="s">
        <v>541</v>
      </c>
    </row>
    <row r="2865" spans="1:30" x14ac:dyDescent="0.2">
      <c r="A2865" s="110">
        <v>2865</v>
      </c>
      <c r="B2865" s="132">
        <v>41867</v>
      </c>
      <c r="C2865" s="117">
        <v>3</v>
      </c>
      <c r="D2865" s="103" t="s">
        <v>71</v>
      </c>
      <c r="E2865" s="103" t="s">
        <v>306</v>
      </c>
      <c r="F2865" s="103">
        <v>534</v>
      </c>
      <c r="G2865" s="103">
        <v>60</v>
      </c>
      <c r="H2865" s="103" t="s">
        <v>2460</v>
      </c>
      <c r="I2865" s="103">
        <v>55</v>
      </c>
      <c r="K2865" s="103" t="s">
        <v>1032</v>
      </c>
      <c r="L2865" s="133"/>
      <c r="M2865" s="134">
        <v>4.2361111111111106E-2</v>
      </c>
      <c r="N2865" s="137" t="s">
        <v>2010</v>
      </c>
      <c r="O2865" s="133" t="s">
        <v>1585</v>
      </c>
      <c r="Q2865" s="100" t="s">
        <v>4271</v>
      </c>
      <c r="R2865" s="226" t="s">
        <v>4280</v>
      </c>
      <c r="S2865" s="491" t="str">
        <f t="shared" si="91"/>
        <v>x</v>
      </c>
      <c r="T2865" s="492">
        <f>IFERROR(VLOOKUP(F2865,'Freq-Chan'!C:D,2,FALSE),"x")</f>
        <v>151.53399999999999</v>
      </c>
      <c r="U2865" s="110" t="s">
        <v>541</v>
      </c>
      <c r="V2865" s="110" t="str">
        <f t="shared" si="92"/>
        <v>FWL</v>
      </c>
      <c r="W2865" s="110" t="s">
        <v>541</v>
      </c>
      <c r="X2865" s="110" t="s">
        <v>541</v>
      </c>
      <c r="Y2865" s="110" t="str">
        <f>IFERROR(VLOOKUP(F2865,'Freq-Chan'!C:E,3,FALSE),"na")</f>
        <v>F1840</v>
      </c>
      <c r="Z2865" s="110" t="s">
        <v>541</v>
      </c>
      <c r="AA2865" s="110" t="s">
        <v>541</v>
      </c>
      <c r="AB2865" s="110" t="s">
        <v>541</v>
      </c>
      <c r="AC2865" s="10" t="s">
        <v>541</v>
      </c>
      <c r="AD2865" s="10" t="s">
        <v>541</v>
      </c>
    </row>
    <row r="2866" spans="1:30" x14ac:dyDescent="0.2">
      <c r="A2866" s="110">
        <v>2866</v>
      </c>
      <c r="B2866" s="132">
        <v>41867</v>
      </c>
      <c r="C2866" s="117">
        <v>3</v>
      </c>
      <c r="D2866" s="103" t="s">
        <v>70</v>
      </c>
      <c r="E2866" s="103" t="s">
        <v>306</v>
      </c>
      <c r="H2866" s="103"/>
      <c r="I2866" s="103">
        <v>45</v>
      </c>
      <c r="K2866" s="103" t="s">
        <v>1032</v>
      </c>
      <c r="L2866" s="133"/>
      <c r="M2866" s="134">
        <v>1.6666666666666666E-2</v>
      </c>
      <c r="N2866" s="137" t="s">
        <v>3926</v>
      </c>
      <c r="O2866" s="133" t="s">
        <v>1538</v>
      </c>
      <c r="P2866" s="100" t="s">
        <v>4051</v>
      </c>
      <c r="Q2866" s="100" t="s">
        <v>4271</v>
      </c>
      <c r="R2866" s="226" t="s">
        <v>4280</v>
      </c>
      <c r="S2866" s="491" t="str">
        <f t="shared" ref="S2866:S2929" si="94">IF(IF(OR(L2866=0,N2866=0),"x",ROUND(N2866-L2866-(M2866*24)/(24*60),10))&lt;0,0,IF(OR(L2866=0,N2866=0),"x",ROUND(N2866-L2866-(M2866*24)/(24*60),10)))</f>
        <v>x</v>
      </c>
      <c r="T2866" s="492" t="str">
        <f>IFERROR(VLOOKUP(F2866,'Freq-Chan'!C:D,2,FALSE),"x")</f>
        <v>x</v>
      </c>
      <c r="U2866" s="110" t="s">
        <v>541</v>
      </c>
      <c r="V2866" s="110" t="str">
        <f t="shared" ref="V2866:V2929" si="95">IF(OR(C2866=1,C2866=2,C2866=3),"FWL","NRD")</f>
        <v>FWL</v>
      </c>
      <c r="W2866" s="110" t="s">
        <v>541</v>
      </c>
      <c r="X2866" s="110" t="s">
        <v>541</v>
      </c>
      <c r="Y2866" s="110" t="str">
        <f>IFERROR(VLOOKUP(F2866,'Freq-Chan'!C:E,3,FALSE),"na")</f>
        <v>na</v>
      </c>
      <c r="Z2866" s="110" t="s">
        <v>541</v>
      </c>
      <c r="AA2866" s="110" t="s">
        <v>541</v>
      </c>
      <c r="AB2866" s="110" t="s">
        <v>541</v>
      </c>
      <c r="AC2866" s="10" t="s">
        <v>541</v>
      </c>
      <c r="AD2866" s="10" t="s">
        <v>541</v>
      </c>
    </row>
    <row r="2867" spans="1:30" x14ac:dyDescent="0.2">
      <c r="A2867" s="110">
        <v>2867</v>
      </c>
      <c r="B2867" s="132">
        <v>41867</v>
      </c>
      <c r="C2867" s="117">
        <v>3</v>
      </c>
      <c r="D2867" s="103" t="s">
        <v>70</v>
      </c>
      <c r="E2867" s="103" t="s">
        <v>306</v>
      </c>
      <c r="H2867" s="103"/>
      <c r="I2867" s="103">
        <v>42</v>
      </c>
      <c r="K2867" s="103" t="s">
        <v>1032</v>
      </c>
      <c r="L2867" s="133"/>
      <c r="M2867" s="134">
        <v>1.8055555555555557E-2</v>
      </c>
      <c r="N2867" s="137" t="s">
        <v>3981</v>
      </c>
      <c r="O2867" s="133" t="s">
        <v>1538</v>
      </c>
      <c r="P2867" s="100" t="s">
        <v>4051</v>
      </c>
      <c r="Q2867" s="100" t="s">
        <v>4271</v>
      </c>
      <c r="R2867" s="226" t="s">
        <v>4280</v>
      </c>
      <c r="S2867" s="491" t="str">
        <f t="shared" si="94"/>
        <v>x</v>
      </c>
      <c r="T2867" s="492" t="str">
        <f>IFERROR(VLOOKUP(F2867,'Freq-Chan'!C:D,2,FALSE),"x")</f>
        <v>x</v>
      </c>
      <c r="U2867" s="110" t="s">
        <v>541</v>
      </c>
      <c r="V2867" s="110" t="str">
        <f t="shared" si="95"/>
        <v>FWL</v>
      </c>
      <c r="W2867" s="110" t="s">
        <v>541</v>
      </c>
      <c r="X2867" s="110" t="s">
        <v>541</v>
      </c>
      <c r="Y2867" s="110" t="str">
        <f>IFERROR(VLOOKUP(F2867,'Freq-Chan'!C:E,3,FALSE),"na")</f>
        <v>na</v>
      </c>
      <c r="Z2867" s="110" t="s">
        <v>541</v>
      </c>
      <c r="AA2867" s="110" t="s">
        <v>541</v>
      </c>
      <c r="AB2867" s="110" t="s">
        <v>541</v>
      </c>
      <c r="AC2867" s="10" t="s">
        <v>541</v>
      </c>
      <c r="AD2867" s="10" t="s">
        <v>541</v>
      </c>
    </row>
    <row r="2868" spans="1:30" x14ac:dyDescent="0.2">
      <c r="A2868" s="110">
        <v>2868</v>
      </c>
      <c r="B2868" s="132">
        <v>41867</v>
      </c>
      <c r="C2868" s="117">
        <v>3</v>
      </c>
      <c r="D2868" s="103" t="s">
        <v>70</v>
      </c>
      <c r="E2868" s="103" t="s">
        <v>306</v>
      </c>
      <c r="H2868" s="103"/>
      <c r="I2868" s="103">
        <v>42</v>
      </c>
      <c r="K2868" s="103" t="s">
        <v>1032</v>
      </c>
      <c r="L2868" s="133"/>
      <c r="M2868" s="134">
        <v>1.4583333333333332E-2</v>
      </c>
      <c r="N2868" s="137" t="s">
        <v>3733</v>
      </c>
      <c r="O2868" s="133" t="s">
        <v>1538</v>
      </c>
      <c r="Q2868" s="100" t="s">
        <v>4271</v>
      </c>
      <c r="R2868" s="226" t="s">
        <v>4280</v>
      </c>
      <c r="S2868" s="491" t="str">
        <f t="shared" si="94"/>
        <v>x</v>
      </c>
      <c r="T2868" s="492" t="str">
        <f>IFERROR(VLOOKUP(F2868,'Freq-Chan'!C:D,2,FALSE),"x")</f>
        <v>x</v>
      </c>
      <c r="U2868" s="110" t="s">
        <v>541</v>
      </c>
      <c r="V2868" s="110" t="str">
        <f t="shared" si="95"/>
        <v>FWL</v>
      </c>
      <c r="W2868" s="110" t="s">
        <v>541</v>
      </c>
      <c r="X2868" s="110" t="s">
        <v>541</v>
      </c>
      <c r="Y2868" s="110" t="str">
        <f>IFERROR(VLOOKUP(F2868,'Freq-Chan'!C:E,3,FALSE),"na")</f>
        <v>na</v>
      </c>
      <c r="Z2868" s="110" t="s">
        <v>541</v>
      </c>
      <c r="AA2868" s="110" t="s">
        <v>541</v>
      </c>
      <c r="AB2868" s="110" t="s">
        <v>541</v>
      </c>
      <c r="AC2868" s="10" t="s">
        <v>541</v>
      </c>
      <c r="AD2868" s="10" t="s">
        <v>541</v>
      </c>
    </row>
    <row r="2869" spans="1:30" x14ac:dyDescent="0.2">
      <c r="A2869" s="110">
        <v>2869</v>
      </c>
      <c r="B2869" s="132">
        <v>41867</v>
      </c>
      <c r="C2869" s="117">
        <v>3</v>
      </c>
      <c r="D2869" s="103" t="s">
        <v>71</v>
      </c>
      <c r="E2869" s="103" t="s">
        <v>306</v>
      </c>
      <c r="H2869" s="103"/>
      <c r="I2869" s="103">
        <v>55</v>
      </c>
      <c r="K2869" s="103" t="s">
        <v>365</v>
      </c>
      <c r="L2869" s="133"/>
      <c r="M2869" s="134">
        <v>1.3194444444444444E-2</v>
      </c>
      <c r="N2869" s="135" t="s">
        <v>3735</v>
      </c>
      <c r="O2869" s="133" t="s">
        <v>1538</v>
      </c>
      <c r="Q2869" s="100" t="s">
        <v>4271</v>
      </c>
      <c r="R2869" s="226" t="s">
        <v>4280</v>
      </c>
      <c r="S2869" s="491" t="str">
        <f t="shared" si="94"/>
        <v>x</v>
      </c>
      <c r="T2869" s="492" t="str">
        <f>IFERROR(VLOOKUP(F2869,'Freq-Chan'!C:D,2,FALSE),"x")</f>
        <v>x</v>
      </c>
      <c r="U2869" s="110" t="s">
        <v>541</v>
      </c>
      <c r="V2869" s="110" t="str">
        <f t="shared" si="95"/>
        <v>FWL</v>
      </c>
      <c r="W2869" s="110" t="s">
        <v>541</v>
      </c>
      <c r="X2869" s="110" t="s">
        <v>541</v>
      </c>
      <c r="Y2869" s="110" t="str">
        <f>IFERROR(VLOOKUP(F2869,'Freq-Chan'!C:E,3,FALSE),"na")</f>
        <v>na</v>
      </c>
      <c r="Z2869" s="110" t="s">
        <v>541</v>
      </c>
      <c r="AA2869" s="110" t="s">
        <v>541</v>
      </c>
      <c r="AB2869" s="110" t="s">
        <v>541</v>
      </c>
      <c r="AC2869" s="10" t="s">
        <v>541</v>
      </c>
      <c r="AD2869" s="10" t="s">
        <v>541</v>
      </c>
    </row>
    <row r="2870" spans="1:30" x14ac:dyDescent="0.2">
      <c r="A2870" s="110">
        <v>2870</v>
      </c>
      <c r="B2870" s="132">
        <v>41867</v>
      </c>
      <c r="C2870" s="117">
        <v>3</v>
      </c>
      <c r="D2870" s="103" t="s">
        <v>70</v>
      </c>
      <c r="E2870" s="103" t="s">
        <v>306</v>
      </c>
      <c r="H2870" s="103"/>
      <c r="I2870" s="103">
        <v>43</v>
      </c>
      <c r="K2870" s="103" t="s">
        <v>365</v>
      </c>
      <c r="L2870" s="133"/>
      <c r="M2870" s="134">
        <v>1.3194444444444444E-2</v>
      </c>
      <c r="N2870" s="135" t="s">
        <v>763</v>
      </c>
      <c r="O2870" s="133" t="s">
        <v>1538</v>
      </c>
      <c r="Q2870" s="100" t="s">
        <v>4271</v>
      </c>
      <c r="R2870" s="226" t="s">
        <v>4280</v>
      </c>
      <c r="S2870" s="491" t="str">
        <f t="shared" si="94"/>
        <v>x</v>
      </c>
      <c r="T2870" s="492" t="str">
        <f>IFERROR(VLOOKUP(F2870,'Freq-Chan'!C:D,2,FALSE),"x")</f>
        <v>x</v>
      </c>
      <c r="U2870" s="110" t="s">
        <v>541</v>
      </c>
      <c r="V2870" s="110" t="str">
        <f t="shared" si="95"/>
        <v>FWL</v>
      </c>
      <c r="W2870" s="110" t="s">
        <v>541</v>
      </c>
      <c r="X2870" s="110" t="s">
        <v>541</v>
      </c>
      <c r="Y2870" s="110" t="str">
        <f>IFERROR(VLOOKUP(F2870,'Freq-Chan'!C:E,3,FALSE),"na")</f>
        <v>na</v>
      </c>
      <c r="Z2870" s="110" t="s">
        <v>541</v>
      </c>
      <c r="AA2870" s="110" t="s">
        <v>541</v>
      </c>
      <c r="AB2870" s="110" t="s">
        <v>541</v>
      </c>
      <c r="AC2870" s="10" t="s">
        <v>541</v>
      </c>
      <c r="AD2870" s="10" t="s">
        <v>541</v>
      </c>
    </row>
    <row r="2871" spans="1:30" x14ac:dyDescent="0.2">
      <c r="A2871" s="110">
        <v>2871</v>
      </c>
      <c r="B2871" s="132">
        <v>41867</v>
      </c>
      <c r="C2871" s="117">
        <v>3</v>
      </c>
      <c r="D2871" s="103" t="s">
        <v>71</v>
      </c>
      <c r="E2871" s="103" t="s">
        <v>306</v>
      </c>
      <c r="H2871" s="103"/>
      <c r="I2871" s="103">
        <v>54</v>
      </c>
      <c r="K2871" s="103" t="s">
        <v>364</v>
      </c>
      <c r="L2871" s="133"/>
      <c r="M2871" s="134">
        <v>2.1527777777777781E-2</v>
      </c>
      <c r="N2871" s="135" t="s">
        <v>501</v>
      </c>
      <c r="O2871" s="133" t="s">
        <v>372</v>
      </c>
      <c r="Q2871" s="100" t="s">
        <v>4265</v>
      </c>
      <c r="R2871" s="226" t="s">
        <v>4280</v>
      </c>
      <c r="S2871" s="491" t="str">
        <f t="shared" si="94"/>
        <v>x</v>
      </c>
      <c r="T2871" s="492" t="str">
        <f>IFERROR(VLOOKUP(F2871,'Freq-Chan'!C:D,2,FALSE),"x")</f>
        <v>x</v>
      </c>
      <c r="U2871" s="110" t="s">
        <v>541</v>
      </c>
      <c r="V2871" s="110" t="str">
        <f t="shared" si="95"/>
        <v>FWL</v>
      </c>
      <c r="W2871" s="110" t="s">
        <v>541</v>
      </c>
      <c r="X2871" s="110" t="s">
        <v>541</v>
      </c>
      <c r="Y2871" s="110" t="str">
        <f>IFERROR(VLOOKUP(F2871,'Freq-Chan'!C:E,3,FALSE),"na")</f>
        <v>na</v>
      </c>
      <c r="Z2871" s="110" t="s">
        <v>541</v>
      </c>
      <c r="AA2871" s="110" t="s">
        <v>541</v>
      </c>
      <c r="AB2871" s="110" t="s">
        <v>541</v>
      </c>
      <c r="AC2871" s="10" t="s">
        <v>541</v>
      </c>
      <c r="AD2871" s="10" t="s">
        <v>541</v>
      </c>
    </row>
    <row r="2872" spans="1:30" x14ac:dyDescent="0.2">
      <c r="A2872" s="110">
        <v>2872</v>
      </c>
      <c r="B2872" s="132">
        <v>41867</v>
      </c>
      <c r="C2872" s="117">
        <v>3</v>
      </c>
      <c r="D2872" s="103" t="s">
        <v>71</v>
      </c>
      <c r="E2872" s="103" t="s">
        <v>306</v>
      </c>
      <c r="H2872" s="103"/>
      <c r="I2872" s="103">
        <v>58</v>
      </c>
      <c r="K2872" s="103" t="s">
        <v>365</v>
      </c>
      <c r="L2872" s="133"/>
      <c r="M2872" s="134">
        <v>1.9444444444444445E-2</v>
      </c>
      <c r="N2872" s="135" t="s">
        <v>2693</v>
      </c>
      <c r="O2872" s="133" t="s">
        <v>372</v>
      </c>
      <c r="Q2872" s="100" t="s">
        <v>4265</v>
      </c>
      <c r="R2872" s="226" t="s">
        <v>4280</v>
      </c>
      <c r="S2872" s="491" t="str">
        <f t="shared" si="94"/>
        <v>x</v>
      </c>
      <c r="T2872" s="492" t="str">
        <f>IFERROR(VLOOKUP(F2872,'Freq-Chan'!C:D,2,FALSE),"x")</f>
        <v>x</v>
      </c>
      <c r="U2872" s="110" t="s">
        <v>541</v>
      </c>
      <c r="V2872" s="110" t="str">
        <f t="shared" si="95"/>
        <v>FWL</v>
      </c>
      <c r="W2872" s="110" t="s">
        <v>541</v>
      </c>
      <c r="X2872" s="110" t="s">
        <v>541</v>
      </c>
      <c r="Y2872" s="110" t="str">
        <f>IFERROR(VLOOKUP(F2872,'Freq-Chan'!C:E,3,FALSE),"na")</f>
        <v>na</v>
      </c>
      <c r="Z2872" s="110" t="s">
        <v>541</v>
      </c>
      <c r="AA2872" s="110" t="s">
        <v>541</v>
      </c>
      <c r="AB2872" s="110" t="s">
        <v>541</v>
      </c>
      <c r="AC2872" s="10" t="s">
        <v>541</v>
      </c>
      <c r="AD2872" s="10" t="s">
        <v>541</v>
      </c>
    </row>
    <row r="2873" spans="1:30" x14ac:dyDescent="0.2">
      <c r="A2873" s="110">
        <v>2873</v>
      </c>
      <c r="B2873" s="132">
        <v>41867</v>
      </c>
      <c r="C2873" s="117">
        <v>3</v>
      </c>
      <c r="D2873" s="103" t="s">
        <v>70</v>
      </c>
      <c r="E2873" s="103" t="s">
        <v>306</v>
      </c>
      <c r="H2873" s="103"/>
      <c r="I2873" s="103">
        <v>45</v>
      </c>
      <c r="K2873" s="103" t="s">
        <v>365</v>
      </c>
      <c r="L2873" s="133"/>
      <c r="M2873" s="134">
        <v>1.4583333333333332E-2</v>
      </c>
      <c r="N2873" s="135" t="s">
        <v>2694</v>
      </c>
      <c r="O2873" s="133" t="s">
        <v>372</v>
      </c>
      <c r="P2873" s="100" t="s">
        <v>4279</v>
      </c>
      <c r="Q2873" s="100" t="s">
        <v>4265</v>
      </c>
      <c r="R2873" s="226" t="s">
        <v>4280</v>
      </c>
      <c r="S2873" s="491" t="str">
        <f t="shared" si="94"/>
        <v>x</v>
      </c>
      <c r="T2873" s="492" t="str">
        <f>IFERROR(VLOOKUP(F2873,'Freq-Chan'!C:D,2,FALSE),"x")</f>
        <v>x</v>
      </c>
      <c r="U2873" s="110" t="s">
        <v>541</v>
      </c>
      <c r="V2873" s="110" t="str">
        <f t="shared" si="95"/>
        <v>FWL</v>
      </c>
      <c r="W2873" s="110" t="s">
        <v>541</v>
      </c>
      <c r="X2873" s="110" t="s">
        <v>541</v>
      </c>
      <c r="Y2873" s="110" t="str">
        <f>IFERROR(VLOOKUP(F2873,'Freq-Chan'!C:E,3,FALSE),"na")</f>
        <v>na</v>
      </c>
      <c r="Z2873" s="110" t="s">
        <v>541</v>
      </c>
      <c r="AA2873" s="110" t="s">
        <v>541</v>
      </c>
      <c r="AB2873" s="110" t="s">
        <v>541</v>
      </c>
      <c r="AC2873" s="10" t="s">
        <v>541</v>
      </c>
      <c r="AD2873" s="10" t="s">
        <v>541</v>
      </c>
    </row>
    <row r="2874" spans="1:30" x14ac:dyDescent="0.2">
      <c r="A2874" s="110">
        <v>2874</v>
      </c>
      <c r="B2874" s="132">
        <v>41867</v>
      </c>
      <c r="C2874" s="117">
        <v>3</v>
      </c>
      <c r="D2874" s="103" t="s">
        <v>72</v>
      </c>
      <c r="E2874" s="103" t="s">
        <v>306</v>
      </c>
      <c r="F2874" s="103">
        <v>266</v>
      </c>
      <c r="G2874" s="103">
        <v>52</v>
      </c>
      <c r="H2874" s="103" t="s">
        <v>3595</v>
      </c>
      <c r="I2874" s="103">
        <v>52</v>
      </c>
      <c r="K2874" s="103" t="s">
        <v>365</v>
      </c>
      <c r="L2874" s="133">
        <v>0.52569444444444446</v>
      </c>
      <c r="M2874" s="134">
        <v>5.7638888888888885E-2</v>
      </c>
      <c r="N2874" s="135" t="s">
        <v>3982</v>
      </c>
      <c r="O2874" s="133" t="s">
        <v>1888</v>
      </c>
      <c r="P2874" s="100" t="s">
        <v>4466</v>
      </c>
      <c r="Q2874" s="100" t="s">
        <v>4265</v>
      </c>
      <c r="R2874" s="226" t="s">
        <v>4280</v>
      </c>
      <c r="S2874" s="491">
        <f t="shared" si="94"/>
        <v>1.8171296E-3</v>
      </c>
      <c r="T2874" s="492">
        <f>IFERROR(VLOOKUP(F2874,'Freq-Chan'!C:D,2,FALSE),"x")</f>
        <v>151.26599999999999</v>
      </c>
      <c r="U2874" s="110" t="s">
        <v>541</v>
      </c>
      <c r="V2874" s="110" t="str">
        <f t="shared" si="95"/>
        <v>FWL</v>
      </c>
      <c r="W2874" s="110" t="s">
        <v>541</v>
      </c>
      <c r="X2874" s="110" t="s">
        <v>541</v>
      </c>
      <c r="Y2874" s="110" t="str">
        <f>IFERROR(VLOOKUP(F2874,'Freq-Chan'!C:E,3,FALSE),"na")</f>
        <v>F1840</v>
      </c>
      <c r="Z2874" s="110" t="s">
        <v>541</v>
      </c>
      <c r="AA2874" s="110" t="s">
        <v>541</v>
      </c>
      <c r="AB2874" s="110" t="s">
        <v>541</v>
      </c>
      <c r="AC2874" s="10" t="s">
        <v>541</v>
      </c>
      <c r="AD2874" s="10" t="s">
        <v>541</v>
      </c>
    </row>
    <row r="2875" spans="1:30" x14ac:dyDescent="0.2">
      <c r="A2875" s="110">
        <v>2875</v>
      </c>
      <c r="B2875" s="132">
        <v>41867</v>
      </c>
      <c r="C2875" s="117">
        <v>3</v>
      </c>
      <c r="D2875" s="103" t="s">
        <v>71</v>
      </c>
      <c r="E2875" s="103" t="s">
        <v>306</v>
      </c>
      <c r="H2875" s="103"/>
      <c r="I2875" s="103">
        <v>58</v>
      </c>
      <c r="K2875" s="103" t="s">
        <v>365</v>
      </c>
      <c r="L2875" s="133">
        <v>0.55277777777777781</v>
      </c>
      <c r="M2875" s="134">
        <v>1.5277777777777777E-2</v>
      </c>
      <c r="N2875" s="135" t="s">
        <v>3173</v>
      </c>
      <c r="O2875" s="133" t="s">
        <v>1888</v>
      </c>
      <c r="Q2875" s="100" t="s">
        <v>4265</v>
      </c>
      <c r="R2875" s="226" t="s">
        <v>4280</v>
      </c>
      <c r="S2875" s="491">
        <f t="shared" si="94"/>
        <v>2.5231480999999998E-3</v>
      </c>
      <c r="T2875" s="492" t="str">
        <f>IFERROR(VLOOKUP(F2875,'Freq-Chan'!C:D,2,FALSE),"x")</f>
        <v>x</v>
      </c>
      <c r="U2875" s="110" t="s">
        <v>541</v>
      </c>
      <c r="V2875" s="110" t="str">
        <f t="shared" si="95"/>
        <v>FWL</v>
      </c>
      <c r="W2875" s="110" t="s">
        <v>541</v>
      </c>
      <c r="X2875" s="110" t="s">
        <v>541</v>
      </c>
      <c r="Y2875" s="110" t="str">
        <f>IFERROR(VLOOKUP(F2875,'Freq-Chan'!C:E,3,FALSE),"na")</f>
        <v>na</v>
      </c>
      <c r="Z2875" s="110" t="s">
        <v>541</v>
      </c>
      <c r="AA2875" s="110" t="s">
        <v>541</v>
      </c>
      <c r="AB2875" s="110" t="s">
        <v>541</v>
      </c>
      <c r="AC2875" s="10" t="s">
        <v>541</v>
      </c>
      <c r="AD2875" s="10" t="s">
        <v>541</v>
      </c>
    </row>
    <row r="2876" spans="1:30" x14ac:dyDescent="0.2">
      <c r="A2876" s="110">
        <v>2876</v>
      </c>
      <c r="B2876" s="132">
        <v>41867</v>
      </c>
      <c r="C2876" s="117">
        <v>3</v>
      </c>
      <c r="D2876" s="103" t="s">
        <v>71</v>
      </c>
      <c r="E2876" s="103" t="s">
        <v>306</v>
      </c>
      <c r="H2876" s="103"/>
      <c r="I2876" s="103">
        <v>57</v>
      </c>
      <c r="K2876" s="103" t="s">
        <v>365</v>
      </c>
      <c r="L2876" s="133">
        <v>0.57847222222222217</v>
      </c>
      <c r="M2876" s="134">
        <v>1.5277777777777777E-2</v>
      </c>
      <c r="N2876" s="137" t="s">
        <v>2631</v>
      </c>
      <c r="O2876" s="133" t="s">
        <v>1888</v>
      </c>
      <c r="Q2876" s="100" t="s">
        <v>4265</v>
      </c>
      <c r="R2876" s="226" t="s">
        <v>4280</v>
      </c>
      <c r="S2876" s="491">
        <f t="shared" si="94"/>
        <v>1.1342593E-3</v>
      </c>
      <c r="T2876" s="492" t="str">
        <f>IFERROR(VLOOKUP(F2876,'Freq-Chan'!C:D,2,FALSE),"x")</f>
        <v>x</v>
      </c>
      <c r="U2876" s="110" t="s">
        <v>541</v>
      </c>
      <c r="V2876" s="110" t="str">
        <f t="shared" si="95"/>
        <v>FWL</v>
      </c>
      <c r="W2876" s="110" t="s">
        <v>541</v>
      </c>
      <c r="X2876" s="110" t="s">
        <v>541</v>
      </c>
      <c r="Y2876" s="110" t="str">
        <f>IFERROR(VLOOKUP(F2876,'Freq-Chan'!C:E,3,FALSE),"na")</f>
        <v>na</v>
      </c>
      <c r="Z2876" s="110" t="s">
        <v>541</v>
      </c>
      <c r="AA2876" s="110" t="s">
        <v>541</v>
      </c>
      <c r="AB2876" s="110" t="s">
        <v>541</v>
      </c>
      <c r="AC2876" s="10" t="s">
        <v>541</v>
      </c>
      <c r="AD2876" s="10" t="s">
        <v>541</v>
      </c>
    </row>
    <row r="2877" spans="1:30" x14ac:dyDescent="0.2">
      <c r="A2877" s="110">
        <v>2877</v>
      </c>
      <c r="B2877" s="132">
        <v>41867</v>
      </c>
      <c r="C2877" s="117">
        <v>3</v>
      </c>
      <c r="D2877" s="103" t="s">
        <v>70</v>
      </c>
      <c r="E2877" s="103" t="s">
        <v>306</v>
      </c>
      <c r="H2877" s="103"/>
      <c r="I2877" s="103">
        <v>45</v>
      </c>
      <c r="K2877" s="103" t="s">
        <v>365</v>
      </c>
      <c r="L2877" s="133"/>
      <c r="M2877" s="134">
        <v>1.9444444444444445E-2</v>
      </c>
      <c r="N2877" s="135" t="s">
        <v>787</v>
      </c>
      <c r="O2877" s="133" t="s">
        <v>372</v>
      </c>
      <c r="Q2877" s="100" t="s">
        <v>4265</v>
      </c>
      <c r="R2877" s="226" t="s">
        <v>4280</v>
      </c>
      <c r="S2877" s="491" t="str">
        <f t="shared" si="94"/>
        <v>x</v>
      </c>
      <c r="T2877" s="492" t="str">
        <f>IFERROR(VLOOKUP(F2877,'Freq-Chan'!C:D,2,FALSE),"x")</f>
        <v>x</v>
      </c>
      <c r="U2877" s="110" t="s">
        <v>541</v>
      </c>
      <c r="V2877" s="110" t="str">
        <f t="shared" si="95"/>
        <v>FWL</v>
      </c>
      <c r="W2877" s="110" t="s">
        <v>541</v>
      </c>
      <c r="X2877" s="110" t="s">
        <v>541</v>
      </c>
      <c r="Y2877" s="110" t="str">
        <f>IFERROR(VLOOKUP(F2877,'Freq-Chan'!C:E,3,FALSE),"na")</f>
        <v>na</v>
      </c>
      <c r="Z2877" s="110" t="s">
        <v>541</v>
      </c>
      <c r="AA2877" s="110" t="s">
        <v>541</v>
      </c>
      <c r="AB2877" s="110" t="s">
        <v>541</v>
      </c>
      <c r="AC2877" s="10" t="s">
        <v>541</v>
      </c>
      <c r="AD2877" s="10" t="s">
        <v>541</v>
      </c>
    </row>
    <row r="2878" spans="1:30" x14ac:dyDescent="0.2">
      <c r="A2878" s="110">
        <v>2878</v>
      </c>
      <c r="B2878" s="132">
        <v>41867</v>
      </c>
      <c r="C2878" s="117">
        <v>3</v>
      </c>
      <c r="D2878" s="103" t="s">
        <v>72</v>
      </c>
      <c r="E2878" s="103" t="s">
        <v>306</v>
      </c>
      <c r="F2878" s="103">
        <v>266</v>
      </c>
      <c r="G2878" s="103">
        <v>86</v>
      </c>
      <c r="H2878" s="103" t="s">
        <v>3602</v>
      </c>
      <c r="I2878" s="103">
        <v>56</v>
      </c>
      <c r="K2878" s="103" t="s">
        <v>365</v>
      </c>
      <c r="L2878" s="133">
        <v>0.64236111111111105</v>
      </c>
      <c r="M2878" s="134">
        <v>5.2777777777777778E-2</v>
      </c>
      <c r="N2878" s="137" t="s">
        <v>969</v>
      </c>
      <c r="O2878" s="133" t="s">
        <v>372</v>
      </c>
      <c r="P2878" s="100" t="s">
        <v>4466</v>
      </c>
      <c r="Q2878" s="100" t="s">
        <v>4265</v>
      </c>
      <c r="R2878" s="226" t="s">
        <v>4280</v>
      </c>
      <c r="S2878" s="491">
        <f t="shared" si="94"/>
        <v>2.5925926000000001E-3</v>
      </c>
      <c r="T2878" s="492">
        <f>IFERROR(VLOOKUP(F2878,'Freq-Chan'!C:D,2,FALSE),"x")</f>
        <v>151.26599999999999</v>
      </c>
      <c r="U2878" s="110" t="s">
        <v>541</v>
      </c>
      <c r="V2878" s="110" t="str">
        <f t="shared" si="95"/>
        <v>FWL</v>
      </c>
      <c r="W2878" s="110" t="s">
        <v>541</v>
      </c>
      <c r="X2878" s="110" t="s">
        <v>541</v>
      </c>
      <c r="Y2878" s="110" t="str">
        <f>IFERROR(VLOOKUP(F2878,'Freq-Chan'!C:E,3,FALSE),"na")</f>
        <v>F1840</v>
      </c>
      <c r="Z2878" s="110" t="s">
        <v>541</v>
      </c>
      <c r="AA2878" s="110" t="s">
        <v>541</v>
      </c>
      <c r="AB2878" s="110" t="s">
        <v>541</v>
      </c>
      <c r="AC2878" s="10" t="s">
        <v>541</v>
      </c>
      <c r="AD2878" s="10" t="s">
        <v>541</v>
      </c>
    </row>
    <row r="2879" spans="1:30" x14ac:dyDescent="0.2">
      <c r="A2879" s="110">
        <v>2879</v>
      </c>
      <c r="B2879" s="132">
        <v>41867</v>
      </c>
      <c r="C2879" s="117">
        <v>3</v>
      </c>
      <c r="D2879" s="103" t="s">
        <v>71</v>
      </c>
      <c r="E2879" s="103" t="s">
        <v>306</v>
      </c>
      <c r="H2879" s="103"/>
      <c r="I2879" s="103">
        <v>49</v>
      </c>
      <c r="K2879" s="103" t="s">
        <v>365</v>
      </c>
      <c r="L2879" s="133">
        <v>0.6479166666666667</v>
      </c>
      <c r="M2879" s="134">
        <v>1.5277777777777777E-2</v>
      </c>
      <c r="N2879" s="137" t="s">
        <v>2026</v>
      </c>
      <c r="O2879" s="133" t="s">
        <v>372</v>
      </c>
      <c r="Q2879" s="100" t="s">
        <v>4265</v>
      </c>
      <c r="R2879" s="226" t="s">
        <v>4280</v>
      </c>
      <c r="S2879" s="491">
        <f t="shared" si="94"/>
        <v>1.8287036999999999E-3</v>
      </c>
      <c r="T2879" s="492" t="str">
        <f>IFERROR(VLOOKUP(F2879,'Freq-Chan'!C:D,2,FALSE),"x")</f>
        <v>x</v>
      </c>
      <c r="U2879" s="110" t="s">
        <v>541</v>
      </c>
      <c r="V2879" s="110" t="str">
        <f t="shared" si="95"/>
        <v>FWL</v>
      </c>
      <c r="W2879" s="110" t="s">
        <v>541</v>
      </c>
      <c r="X2879" s="110" t="s">
        <v>541</v>
      </c>
      <c r="Y2879" s="110" t="str">
        <f>IFERROR(VLOOKUP(F2879,'Freq-Chan'!C:E,3,FALSE),"na")</f>
        <v>na</v>
      </c>
      <c r="Z2879" s="110" t="s">
        <v>541</v>
      </c>
      <c r="AA2879" s="110" t="s">
        <v>541</v>
      </c>
      <c r="AB2879" s="110" t="s">
        <v>541</v>
      </c>
      <c r="AC2879" s="10" t="s">
        <v>541</v>
      </c>
      <c r="AD2879" s="10" t="s">
        <v>541</v>
      </c>
    </row>
    <row r="2880" spans="1:30" x14ac:dyDescent="0.2">
      <c r="A2880" s="110">
        <v>2880</v>
      </c>
      <c r="B2880" s="132">
        <v>41867</v>
      </c>
      <c r="C2880" s="117">
        <v>3</v>
      </c>
      <c r="D2880" s="103" t="s">
        <v>72</v>
      </c>
      <c r="E2880" s="103" t="s">
        <v>306</v>
      </c>
      <c r="F2880" s="103">
        <v>266</v>
      </c>
      <c r="G2880" s="103">
        <v>80</v>
      </c>
      <c r="H2880" s="103" t="s">
        <v>3603</v>
      </c>
      <c r="I2880" s="103">
        <v>56</v>
      </c>
      <c r="K2880" s="103" t="s">
        <v>1032</v>
      </c>
      <c r="L2880" s="133"/>
      <c r="M2880" s="134">
        <v>4.3750000000000004E-2</v>
      </c>
      <c r="N2880" s="137" t="s">
        <v>1987</v>
      </c>
      <c r="O2880" s="133" t="s">
        <v>372</v>
      </c>
      <c r="P2880" s="100" t="s">
        <v>4466</v>
      </c>
      <c r="Q2880" s="100" t="s">
        <v>4265</v>
      </c>
      <c r="R2880" s="226" t="s">
        <v>4280</v>
      </c>
      <c r="S2880" s="491" t="str">
        <f t="shared" si="94"/>
        <v>x</v>
      </c>
      <c r="T2880" s="492">
        <f>IFERROR(VLOOKUP(F2880,'Freq-Chan'!C:D,2,FALSE),"x")</f>
        <v>151.26599999999999</v>
      </c>
      <c r="U2880" s="110" t="s">
        <v>541</v>
      </c>
      <c r="V2880" s="110" t="str">
        <f t="shared" si="95"/>
        <v>FWL</v>
      </c>
      <c r="W2880" s="110" t="s">
        <v>541</v>
      </c>
      <c r="X2880" s="110" t="s">
        <v>541</v>
      </c>
      <c r="Y2880" s="110" t="str">
        <f>IFERROR(VLOOKUP(F2880,'Freq-Chan'!C:E,3,FALSE),"na")</f>
        <v>F1840</v>
      </c>
      <c r="Z2880" s="110" t="s">
        <v>541</v>
      </c>
      <c r="AA2880" s="110" t="s">
        <v>541</v>
      </c>
      <c r="AB2880" s="110" t="s">
        <v>541</v>
      </c>
      <c r="AC2880" s="10" t="s">
        <v>541</v>
      </c>
      <c r="AD2880" s="10" t="s">
        <v>541</v>
      </c>
    </row>
    <row r="2881" spans="1:30" x14ac:dyDescent="0.2">
      <c r="A2881" s="110">
        <v>2881</v>
      </c>
      <c r="B2881" s="132">
        <v>41867</v>
      </c>
      <c r="C2881" s="117">
        <v>3</v>
      </c>
      <c r="D2881" s="103" t="s">
        <v>8</v>
      </c>
      <c r="E2881" s="103" t="s">
        <v>306</v>
      </c>
      <c r="F2881" s="103">
        <v>586</v>
      </c>
      <c r="G2881" s="103">
        <v>46</v>
      </c>
      <c r="H2881" s="103" t="s">
        <v>2259</v>
      </c>
      <c r="I2881" s="103">
        <v>56</v>
      </c>
      <c r="K2881" s="103" t="s">
        <v>364</v>
      </c>
      <c r="L2881" s="133"/>
      <c r="M2881" s="134">
        <v>4.027777777777778E-2</v>
      </c>
      <c r="N2881" s="135" t="s">
        <v>4176</v>
      </c>
      <c r="O2881" s="133" t="s">
        <v>372</v>
      </c>
      <c r="P2881" s="100" t="s">
        <v>4278</v>
      </c>
      <c r="Q2881" s="100" t="s">
        <v>4265</v>
      </c>
      <c r="R2881" s="226" t="s">
        <v>4280</v>
      </c>
      <c r="S2881" s="491" t="str">
        <f t="shared" si="94"/>
        <v>x</v>
      </c>
      <c r="T2881" s="492">
        <f>IFERROR(VLOOKUP(F2881,'Freq-Chan'!C:D,2,FALSE),"x")</f>
        <v>151.58600000000001</v>
      </c>
      <c r="U2881" s="110" t="s">
        <v>541</v>
      </c>
      <c r="V2881" s="110" t="str">
        <f t="shared" si="95"/>
        <v>FWL</v>
      </c>
      <c r="W2881" s="110" t="s">
        <v>541</v>
      </c>
      <c r="X2881" s="110" t="s">
        <v>541</v>
      </c>
      <c r="Y2881" s="110" t="str">
        <f>IFERROR(VLOOKUP(F2881,'Freq-Chan'!C:E,3,FALSE),"na")</f>
        <v>F1840</v>
      </c>
      <c r="Z2881" s="110" t="s">
        <v>541</v>
      </c>
      <c r="AA2881" s="110" t="s">
        <v>541</v>
      </c>
      <c r="AB2881" s="110" t="s">
        <v>541</v>
      </c>
      <c r="AC2881" s="10" t="s">
        <v>541</v>
      </c>
      <c r="AD2881" s="10" t="s">
        <v>541</v>
      </c>
    </row>
    <row r="2882" spans="1:30" x14ac:dyDescent="0.2">
      <c r="A2882" s="110">
        <v>2882</v>
      </c>
      <c r="B2882" s="132">
        <v>41867</v>
      </c>
      <c r="C2882" s="117">
        <v>3</v>
      </c>
      <c r="D2882" s="103" t="s">
        <v>70</v>
      </c>
      <c r="E2882" s="103" t="s">
        <v>306</v>
      </c>
      <c r="H2882" s="103"/>
      <c r="I2882" s="103">
        <v>44</v>
      </c>
      <c r="K2882" s="103" t="s">
        <v>365</v>
      </c>
      <c r="L2882" s="133"/>
      <c r="M2882" s="134">
        <v>1.5277777777777777E-2</v>
      </c>
      <c r="N2882" s="137" t="s">
        <v>3237</v>
      </c>
      <c r="O2882" s="133" t="s">
        <v>372</v>
      </c>
      <c r="Q2882" s="100" t="s">
        <v>4265</v>
      </c>
      <c r="R2882" s="226" t="s">
        <v>4280</v>
      </c>
      <c r="S2882" s="491" t="str">
        <f t="shared" si="94"/>
        <v>x</v>
      </c>
      <c r="T2882" s="492" t="str">
        <f>IFERROR(VLOOKUP(F2882,'Freq-Chan'!C:D,2,FALSE),"x")</f>
        <v>x</v>
      </c>
      <c r="U2882" s="110" t="s">
        <v>541</v>
      </c>
      <c r="V2882" s="110" t="str">
        <f t="shared" si="95"/>
        <v>FWL</v>
      </c>
      <c r="W2882" s="110" t="s">
        <v>541</v>
      </c>
      <c r="X2882" s="110" t="s">
        <v>541</v>
      </c>
      <c r="Y2882" s="110" t="str">
        <f>IFERROR(VLOOKUP(F2882,'Freq-Chan'!C:E,3,FALSE),"na")</f>
        <v>na</v>
      </c>
      <c r="Z2882" s="110" t="s">
        <v>541</v>
      </c>
      <c r="AA2882" s="110" t="s">
        <v>541</v>
      </c>
      <c r="AB2882" s="110" t="s">
        <v>541</v>
      </c>
      <c r="AC2882" s="10" t="s">
        <v>541</v>
      </c>
      <c r="AD2882" s="10" t="s">
        <v>541</v>
      </c>
    </row>
    <row r="2883" spans="1:30" x14ac:dyDescent="0.2">
      <c r="A2883" s="110">
        <v>2883</v>
      </c>
      <c r="B2883" s="132">
        <v>41867</v>
      </c>
      <c r="C2883" s="117">
        <v>3</v>
      </c>
      <c r="D2883" s="103" t="s">
        <v>70</v>
      </c>
      <c r="E2883" s="103" t="s">
        <v>306</v>
      </c>
      <c r="H2883" s="103"/>
      <c r="I2883" s="103">
        <v>45</v>
      </c>
      <c r="K2883" s="103" t="s">
        <v>1032</v>
      </c>
      <c r="L2883" s="133"/>
      <c r="M2883" s="134">
        <v>1.5277777777777777E-2</v>
      </c>
      <c r="N2883" s="135" t="s">
        <v>4221</v>
      </c>
      <c r="O2883" s="133" t="s">
        <v>372</v>
      </c>
      <c r="Q2883" s="100" t="s">
        <v>4265</v>
      </c>
      <c r="R2883" s="226" t="s">
        <v>4280</v>
      </c>
      <c r="S2883" s="491" t="str">
        <f t="shared" si="94"/>
        <v>x</v>
      </c>
      <c r="T2883" s="492" t="str">
        <f>IFERROR(VLOOKUP(F2883,'Freq-Chan'!C:D,2,FALSE),"x")</f>
        <v>x</v>
      </c>
      <c r="U2883" s="110" t="s">
        <v>541</v>
      </c>
      <c r="V2883" s="110" t="str">
        <f t="shared" si="95"/>
        <v>FWL</v>
      </c>
      <c r="W2883" s="110" t="s">
        <v>541</v>
      </c>
      <c r="X2883" s="110" t="s">
        <v>541</v>
      </c>
      <c r="Y2883" s="110" t="str">
        <f>IFERROR(VLOOKUP(F2883,'Freq-Chan'!C:E,3,FALSE),"na")</f>
        <v>na</v>
      </c>
      <c r="Z2883" s="110" t="s">
        <v>541</v>
      </c>
      <c r="AA2883" s="110" t="s">
        <v>541</v>
      </c>
      <c r="AB2883" s="110" t="s">
        <v>541</v>
      </c>
      <c r="AC2883" s="10" t="s">
        <v>541</v>
      </c>
      <c r="AD2883" s="10" t="s">
        <v>541</v>
      </c>
    </row>
    <row r="2884" spans="1:30" x14ac:dyDescent="0.2">
      <c r="A2884" s="110">
        <v>2884</v>
      </c>
      <c r="B2884" s="132">
        <v>41867</v>
      </c>
      <c r="C2884" s="117">
        <v>3</v>
      </c>
      <c r="D2884" s="103" t="s">
        <v>70</v>
      </c>
      <c r="E2884" s="103" t="s">
        <v>306</v>
      </c>
      <c r="H2884" s="103"/>
      <c r="I2884" s="103">
        <v>43</v>
      </c>
      <c r="K2884" s="103" t="s">
        <v>365</v>
      </c>
      <c r="L2884" s="133"/>
      <c r="M2884" s="134">
        <v>2.1527777777777781E-2</v>
      </c>
      <c r="N2884" s="135" t="s">
        <v>4282</v>
      </c>
      <c r="O2884" s="133" t="s">
        <v>372</v>
      </c>
      <c r="Q2884" s="100" t="s">
        <v>4265</v>
      </c>
      <c r="R2884" s="226" t="s">
        <v>4280</v>
      </c>
      <c r="S2884" s="491" t="str">
        <f t="shared" si="94"/>
        <v>x</v>
      </c>
      <c r="T2884" s="492" t="str">
        <f>IFERROR(VLOOKUP(F2884,'Freq-Chan'!C:D,2,FALSE),"x")</f>
        <v>x</v>
      </c>
      <c r="U2884" s="110" t="s">
        <v>541</v>
      </c>
      <c r="V2884" s="110" t="str">
        <f t="shared" si="95"/>
        <v>FWL</v>
      </c>
      <c r="W2884" s="110" t="s">
        <v>541</v>
      </c>
      <c r="X2884" s="110" t="s">
        <v>541</v>
      </c>
      <c r="Y2884" s="110" t="str">
        <f>IFERROR(VLOOKUP(F2884,'Freq-Chan'!C:E,3,FALSE),"na")</f>
        <v>na</v>
      </c>
      <c r="Z2884" s="110" t="s">
        <v>541</v>
      </c>
      <c r="AA2884" s="110" t="s">
        <v>541</v>
      </c>
      <c r="AB2884" s="110" t="s">
        <v>541</v>
      </c>
      <c r="AC2884" s="10" t="s">
        <v>541</v>
      </c>
      <c r="AD2884" s="10" t="s">
        <v>541</v>
      </c>
    </row>
    <row r="2885" spans="1:30" x14ac:dyDescent="0.2">
      <c r="A2885" s="110">
        <v>2885</v>
      </c>
      <c r="B2885" s="132">
        <v>41867</v>
      </c>
      <c r="C2885" s="117">
        <v>3</v>
      </c>
      <c r="D2885" s="103" t="s">
        <v>70</v>
      </c>
      <c r="E2885" s="103" t="s">
        <v>306</v>
      </c>
      <c r="H2885" s="103"/>
      <c r="I2885" s="103">
        <v>43</v>
      </c>
      <c r="K2885" s="103" t="s">
        <v>364</v>
      </c>
      <c r="L2885" s="133"/>
      <c r="M2885" s="134">
        <v>1.4583333333333332E-2</v>
      </c>
      <c r="N2885" s="135" t="s">
        <v>3184</v>
      </c>
      <c r="O2885" s="133" t="s">
        <v>1033</v>
      </c>
      <c r="Q2885" s="100" t="s">
        <v>4272</v>
      </c>
      <c r="R2885" s="226" t="s">
        <v>4280</v>
      </c>
      <c r="S2885" s="491" t="str">
        <f>IF(IF(OR(L2885=0,N2885=0),"x",ROUND(N2885-L2885-(#REF!*24)/(24*60),10))&lt;0,0,IF(OR(L2885=0,N2885=0),"x",ROUND(N2885-L2885-(#REF!*24)/(24*60),10)))</f>
        <v>x</v>
      </c>
      <c r="T2885" s="492" t="str">
        <f>IFERROR(VLOOKUP(F2885,'Freq-Chan'!C:D,2,FALSE),"x")</f>
        <v>x</v>
      </c>
      <c r="U2885" s="110" t="s">
        <v>541</v>
      </c>
      <c r="V2885" s="110" t="str">
        <f t="shared" si="95"/>
        <v>FWL</v>
      </c>
      <c r="W2885" s="110" t="s">
        <v>541</v>
      </c>
      <c r="X2885" s="110" t="s">
        <v>541</v>
      </c>
      <c r="Y2885" s="110" t="str">
        <f>IFERROR(VLOOKUP(F2885,'Freq-Chan'!C:E,3,FALSE),"na")</f>
        <v>na</v>
      </c>
      <c r="Z2885" s="110" t="s">
        <v>541</v>
      </c>
      <c r="AA2885" s="110" t="s">
        <v>541</v>
      </c>
      <c r="AB2885" s="110" t="s">
        <v>541</v>
      </c>
      <c r="AC2885" s="10" t="s">
        <v>541</v>
      </c>
      <c r="AD2885" s="10" t="s">
        <v>541</v>
      </c>
    </row>
    <row r="2886" spans="1:30" x14ac:dyDescent="0.2">
      <c r="A2886" s="110">
        <v>2886</v>
      </c>
      <c r="B2886" s="132">
        <v>41867</v>
      </c>
      <c r="C2886" s="117">
        <v>3</v>
      </c>
      <c r="D2886" s="103" t="s">
        <v>70</v>
      </c>
      <c r="E2886" s="103" t="s">
        <v>306</v>
      </c>
      <c r="H2886" s="103"/>
      <c r="I2886" s="103">
        <v>51</v>
      </c>
      <c r="K2886" s="103" t="s">
        <v>365</v>
      </c>
      <c r="L2886" s="133"/>
      <c r="M2886" s="134">
        <v>1.3888888888888888E-2</v>
      </c>
      <c r="N2886" s="137" t="s">
        <v>3314</v>
      </c>
      <c r="O2886" s="133" t="s">
        <v>1033</v>
      </c>
      <c r="Q2886" s="100" t="s">
        <v>4272</v>
      </c>
      <c r="R2886" s="226" t="s">
        <v>4280</v>
      </c>
      <c r="S2886" s="491" t="str">
        <f t="shared" ref="S2886:S2895" si="96">IF(IF(OR(L2886=0,N2886=0),"x",ROUND(N2886-L2886-(M2885*24)/(24*60),10))&lt;0,0,IF(OR(L2886=0,N2886=0),"x",ROUND(N2886-L2886-(M2885*24)/(24*60),10)))</f>
        <v>x</v>
      </c>
      <c r="T2886" s="492" t="str">
        <f>IFERROR(VLOOKUP(F2886,'Freq-Chan'!C:D,2,FALSE),"x")</f>
        <v>x</v>
      </c>
      <c r="U2886" s="110" t="s">
        <v>541</v>
      </c>
      <c r="V2886" s="110" t="str">
        <f t="shared" si="95"/>
        <v>FWL</v>
      </c>
      <c r="W2886" s="110" t="s">
        <v>541</v>
      </c>
      <c r="X2886" s="110" t="s">
        <v>541</v>
      </c>
      <c r="Y2886" s="110" t="str">
        <f>IFERROR(VLOOKUP(F2886,'Freq-Chan'!C:E,3,FALSE),"na")</f>
        <v>na</v>
      </c>
      <c r="Z2886" s="110" t="s">
        <v>541</v>
      </c>
      <c r="AA2886" s="110" t="s">
        <v>541</v>
      </c>
      <c r="AB2886" s="110" t="s">
        <v>541</v>
      </c>
      <c r="AC2886" s="10" t="s">
        <v>541</v>
      </c>
      <c r="AD2886" s="10" t="s">
        <v>541</v>
      </c>
    </row>
    <row r="2887" spans="1:30" x14ac:dyDescent="0.2">
      <c r="A2887" s="110">
        <v>2887</v>
      </c>
      <c r="B2887" s="132">
        <v>41867</v>
      </c>
      <c r="C2887" s="117">
        <v>3</v>
      </c>
      <c r="D2887" s="103" t="s">
        <v>71</v>
      </c>
      <c r="E2887" s="103" t="s">
        <v>306</v>
      </c>
      <c r="H2887" s="103"/>
      <c r="I2887" s="103">
        <v>54</v>
      </c>
      <c r="K2887" s="103" t="s">
        <v>1032</v>
      </c>
      <c r="L2887" s="133"/>
      <c r="M2887" s="134">
        <v>1.5972222222222224E-2</v>
      </c>
      <c r="N2887" s="135" t="s">
        <v>2543</v>
      </c>
      <c r="O2887" s="133" t="s">
        <v>1033</v>
      </c>
      <c r="Q2887" s="100" t="s">
        <v>4272</v>
      </c>
      <c r="R2887" s="226" t="s">
        <v>4280</v>
      </c>
      <c r="S2887" s="491" t="str">
        <f t="shared" si="96"/>
        <v>x</v>
      </c>
      <c r="T2887" s="492" t="str">
        <f>IFERROR(VLOOKUP(F2887,'Freq-Chan'!C:D,2,FALSE),"x")</f>
        <v>x</v>
      </c>
      <c r="U2887" s="110" t="s">
        <v>541</v>
      </c>
      <c r="V2887" s="110" t="str">
        <f t="shared" si="95"/>
        <v>FWL</v>
      </c>
      <c r="W2887" s="110" t="s">
        <v>541</v>
      </c>
      <c r="X2887" s="110" t="s">
        <v>541</v>
      </c>
      <c r="Y2887" s="110" t="str">
        <f>IFERROR(VLOOKUP(F2887,'Freq-Chan'!C:E,3,FALSE),"na")</f>
        <v>na</v>
      </c>
      <c r="Z2887" s="110" t="s">
        <v>541</v>
      </c>
      <c r="AA2887" s="110" t="s">
        <v>541</v>
      </c>
      <c r="AB2887" s="110" t="s">
        <v>541</v>
      </c>
      <c r="AC2887" s="10" t="s">
        <v>541</v>
      </c>
      <c r="AD2887" s="10" t="s">
        <v>541</v>
      </c>
    </row>
    <row r="2888" spans="1:30" x14ac:dyDescent="0.2">
      <c r="A2888" s="110">
        <v>2888</v>
      </c>
      <c r="B2888" s="132">
        <v>41867</v>
      </c>
      <c r="C2888" s="117">
        <v>3</v>
      </c>
      <c r="D2888" s="103" t="s">
        <v>70</v>
      </c>
      <c r="E2888" s="103" t="s">
        <v>306</v>
      </c>
      <c r="H2888" s="103"/>
      <c r="I2888" s="103">
        <v>47</v>
      </c>
      <c r="K2888" s="103" t="s">
        <v>365</v>
      </c>
      <c r="L2888" s="133"/>
      <c r="M2888" s="134">
        <v>1.4583333333333332E-2</v>
      </c>
      <c r="N2888" s="135" t="s">
        <v>4276</v>
      </c>
      <c r="O2888" s="133" t="s">
        <v>1033</v>
      </c>
      <c r="Q2888" s="100" t="s">
        <v>4272</v>
      </c>
      <c r="R2888" s="226" t="s">
        <v>4280</v>
      </c>
      <c r="S2888" s="491" t="str">
        <f t="shared" si="96"/>
        <v>x</v>
      </c>
      <c r="T2888" s="492" t="str">
        <f>IFERROR(VLOOKUP(F2888,'Freq-Chan'!C:D,2,FALSE),"x")</f>
        <v>x</v>
      </c>
      <c r="U2888" s="110" t="s">
        <v>541</v>
      </c>
      <c r="V2888" s="110" t="str">
        <f t="shared" si="95"/>
        <v>FWL</v>
      </c>
      <c r="W2888" s="110" t="s">
        <v>541</v>
      </c>
      <c r="X2888" s="110" t="s">
        <v>541</v>
      </c>
      <c r="Y2888" s="110" t="str">
        <f>IFERROR(VLOOKUP(F2888,'Freq-Chan'!C:E,3,FALSE),"na")</f>
        <v>na</v>
      </c>
      <c r="Z2888" s="110" t="s">
        <v>541</v>
      </c>
      <c r="AA2888" s="110" t="s">
        <v>541</v>
      </c>
      <c r="AB2888" s="110" t="s">
        <v>541</v>
      </c>
      <c r="AC2888" s="10" t="s">
        <v>541</v>
      </c>
      <c r="AD2888" s="10" t="s">
        <v>541</v>
      </c>
    </row>
    <row r="2889" spans="1:30" x14ac:dyDescent="0.2">
      <c r="A2889" s="110">
        <v>2889</v>
      </c>
      <c r="B2889" s="132">
        <v>41867</v>
      </c>
      <c r="C2889" s="117">
        <v>3</v>
      </c>
      <c r="D2889" s="103" t="s">
        <v>72</v>
      </c>
      <c r="E2889" s="103" t="s">
        <v>306</v>
      </c>
      <c r="F2889" s="103">
        <v>325</v>
      </c>
      <c r="G2889" s="103">
        <v>14</v>
      </c>
      <c r="H2889" s="103" t="s">
        <v>3604</v>
      </c>
      <c r="I2889" s="103">
        <v>50</v>
      </c>
      <c r="K2889" s="103" t="s">
        <v>1032</v>
      </c>
      <c r="L2889" s="133"/>
      <c r="M2889" s="134">
        <v>3.888888888888889E-2</v>
      </c>
      <c r="N2889" s="135" t="s">
        <v>905</v>
      </c>
      <c r="O2889" s="133" t="s">
        <v>1033</v>
      </c>
      <c r="Q2889" s="100" t="s">
        <v>4272</v>
      </c>
      <c r="R2889" s="226" t="s">
        <v>4280</v>
      </c>
      <c r="S2889" s="491" t="str">
        <f t="shared" si="96"/>
        <v>x</v>
      </c>
      <c r="T2889" s="492">
        <f>IFERROR(VLOOKUP(F2889,'Freq-Chan'!C:D,2,FALSE),"x")</f>
        <v>151.32499999999999</v>
      </c>
      <c r="U2889" s="110" t="s">
        <v>541</v>
      </c>
      <c r="V2889" s="110" t="str">
        <f t="shared" si="95"/>
        <v>FWL</v>
      </c>
      <c r="W2889" s="110" t="s">
        <v>541</v>
      </c>
      <c r="X2889" s="110" t="s">
        <v>541</v>
      </c>
      <c r="Y2889" s="110" t="str">
        <f>IFERROR(VLOOKUP(F2889,'Freq-Chan'!C:E,3,FALSE),"na")</f>
        <v>F1840</v>
      </c>
      <c r="Z2889" s="110" t="s">
        <v>541</v>
      </c>
      <c r="AA2889" s="110" t="s">
        <v>541</v>
      </c>
      <c r="AB2889" s="110" t="s">
        <v>541</v>
      </c>
      <c r="AC2889" s="10" t="s">
        <v>541</v>
      </c>
      <c r="AD2889" s="10" t="s">
        <v>541</v>
      </c>
    </row>
    <row r="2890" spans="1:30" x14ac:dyDescent="0.2">
      <c r="A2890" s="110">
        <v>2890</v>
      </c>
      <c r="B2890" s="132">
        <v>41867</v>
      </c>
      <c r="C2890" s="117">
        <v>3</v>
      </c>
      <c r="D2890" s="103" t="s">
        <v>70</v>
      </c>
      <c r="E2890" s="103" t="s">
        <v>306</v>
      </c>
      <c r="H2890" s="103"/>
      <c r="I2890" s="103">
        <v>42</v>
      </c>
      <c r="K2890" s="103" t="s">
        <v>365</v>
      </c>
      <c r="L2890" s="133"/>
      <c r="M2890" s="134">
        <v>1.5277777777777777E-2</v>
      </c>
      <c r="N2890" s="135" t="s">
        <v>307</v>
      </c>
      <c r="O2890" s="133" t="s">
        <v>1033</v>
      </c>
      <c r="Q2890" s="100" t="s">
        <v>4272</v>
      </c>
      <c r="R2890" s="226" t="s">
        <v>4280</v>
      </c>
      <c r="S2890" s="491" t="str">
        <f t="shared" si="96"/>
        <v>x</v>
      </c>
      <c r="T2890" s="492" t="str">
        <f>IFERROR(VLOOKUP(F2890,'Freq-Chan'!C:D,2,FALSE),"x")</f>
        <v>x</v>
      </c>
      <c r="U2890" s="110" t="s">
        <v>541</v>
      </c>
      <c r="V2890" s="110" t="str">
        <f t="shared" si="95"/>
        <v>FWL</v>
      </c>
      <c r="W2890" s="110" t="s">
        <v>541</v>
      </c>
      <c r="X2890" s="110" t="s">
        <v>541</v>
      </c>
      <c r="Y2890" s="110" t="str">
        <f>IFERROR(VLOOKUP(F2890,'Freq-Chan'!C:E,3,FALSE),"na")</f>
        <v>na</v>
      </c>
      <c r="Z2890" s="110" t="s">
        <v>541</v>
      </c>
      <c r="AA2890" s="110" t="s">
        <v>541</v>
      </c>
      <c r="AB2890" s="110" t="s">
        <v>541</v>
      </c>
      <c r="AC2890" s="10" t="s">
        <v>541</v>
      </c>
      <c r="AD2890" s="10" t="s">
        <v>541</v>
      </c>
    </row>
    <row r="2891" spans="1:30" x14ac:dyDescent="0.2">
      <c r="A2891" s="110">
        <v>2891</v>
      </c>
      <c r="B2891" s="132">
        <v>41867</v>
      </c>
      <c r="C2891" s="117">
        <v>3</v>
      </c>
      <c r="D2891" s="103" t="s">
        <v>72</v>
      </c>
      <c r="E2891" s="103" t="s">
        <v>306</v>
      </c>
      <c r="F2891" s="103">
        <v>325</v>
      </c>
      <c r="G2891" s="103">
        <v>17</v>
      </c>
      <c r="H2891" s="103" t="s">
        <v>3605</v>
      </c>
      <c r="I2891" s="103">
        <v>49</v>
      </c>
      <c r="K2891" s="103" t="s">
        <v>1032</v>
      </c>
      <c r="L2891" s="133"/>
      <c r="M2891" s="134">
        <v>3.4027777777777775E-2</v>
      </c>
      <c r="N2891" s="135" t="s">
        <v>3393</v>
      </c>
      <c r="O2891" s="133" t="s">
        <v>1033</v>
      </c>
      <c r="Q2891" s="100" t="s">
        <v>4272</v>
      </c>
      <c r="R2891" s="226" t="s">
        <v>4280</v>
      </c>
      <c r="S2891" s="491" t="str">
        <f t="shared" si="96"/>
        <v>x</v>
      </c>
      <c r="T2891" s="492">
        <f>IFERROR(VLOOKUP(F2891,'Freq-Chan'!C:D,2,FALSE),"x")</f>
        <v>151.32499999999999</v>
      </c>
      <c r="U2891" s="110" t="s">
        <v>541</v>
      </c>
      <c r="V2891" s="110" t="str">
        <f t="shared" si="95"/>
        <v>FWL</v>
      </c>
      <c r="W2891" s="110" t="s">
        <v>541</v>
      </c>
      <c r="X2891" s="110" t="s">
        <v>541</v>
      </c>
      <c r="Y2891" s="110" t="str">
        <f>IFERROR(VLOOKUP(F2891,'Freq-Chan'!C:E,3,FALSE),"na")</f>
        <v>F1840</v>
      </c>
      <c r="Z2891" s="110" t="s">
        <v>541</v>
      </c>
      <c r="AA2891" s="110" t="s">
        <v>541</v>
      </c>
      <c r="AB2891" s="110" t="s">
        <v>541</v>
      </c>
      <c r="AC2891" s="10" t="s">
        <v>541</v>
      </c>
      <c r="AD2891" s="10" t="s">
        <v>541</v>
      </c>
    </row>
    <row r="2892" spans="1:30" x14ac:dyDescent="0.2">
      <c r="A2892" s="110">
        <v>2892</v>
      </c>
      <c r="B2892" s="132">
        <v>41867</v>
      </c>
      <c r="C2892" s="117">
        <v>3</v>
      </c>
      <c r="D2892" s="103" t="s">
        <v>71</v>
      </c>
      <c r="E2892" s="103" t="s">
        <v>306</v>
      </c>
      <c r="H2892" s="103"/>
      <c r="I2892" s="103">
        <v>55</v>
      </c>
      <c r="K2892" s="103" t="s">
        <v>1032</v>
      </c>
      <c r="L2892" s="133"/>
      <c r="M2892" s="134">
        <v>1.5972222222222224E-2</v>
      </c>
      <c r="N2892" s="135" t="s">
        <v>3978</v>
      </c>
      <c r="O2892" s="133" t="s">
        <v>1033</v>
      </c>
      <c r="Q2892" s="100" t="s">
        <v>4272</v>
      </c>
      <c r="R2892" s="226" t="s">
        <v>4280</v>
      </c>
      <c r="S2892" s="491" t="str">
        <f t="shared" si="96"/>
        <v>x</v>
      </c>
      <c r="T2892" s="492" t="str">
        <f>IFERROR(VLOOKUP(F2892,'Freq-Chan'!C:D,2,FALSE),"x")</f>
        <v>x</v>
      </c>
      <c r="U2892" s="110" t="s">
        <v>541</v>
      </c>
      <c r="V2892" s="110" t="str">
        <f t="shared" si="95"/>
        <v>FWL</v>
      </c>
      <c r="W2892" s="110" t="s">
        <v>541</v>
      </c>
      <c r="X2892" s="110" t="s">
        <v>541</v>
      </c>
      <c r="Y2892" s="110" t="str">
        <f>IFERROR(VLOOKUP(F2892,'Freq-Chan'!C:E,3,FALSE),"na")</f>
        <v>na</v>
      </c>
      <c r="Z2892" s="110" t="s">
        <v>541</v>
      </c>
      <c r="AA2892" s="110" t="s">
        <v>541</v>
      </c>
      <c r="AB2892" s="110" t="s">
        <v>541</v>
      </c>
      <c r="AC2892" s="10" t="s">
        <v>541</v>
      </c>
      <c r="AD2892" s="10" t="s">
        <v>541</v>
      </c>
    </row>
    <row r="2893" spans="1:30" x14ac:dyDescent="0.2">
      <c r="A2893" s="110">
        <v>2893</v>
      </c>
      <c r="B2893" s="132">
        <v>41867</v>
      </c>
      <c r="C2893" s="117">
        <v>3</v>
      </c>
      <c r="D2893" s="103" t="s">
        <v>70</v>
      </c>
      <c r="E2893" s="103" t="s">
        <v>306</v>
      </c>
      <c r="H2893" s="103"/>
      <c r="I2893" s="103">
        <v>45</v>
      </c>
      <c r="K2893" s="103" t="s">
        <v>1032</v>
      </c>
      <c r="L2893" s="133"/>
      <c r="M2893" s="134">
        <v>1.3888888888888888E-2</v>
      </c>
      <c r="N2893" s="135" t="s">
        <v>4241</v>
      </c>
      <c r="O2893" s="133" t="s">
        <v>1033</v>
      </c>
      <c r="Q2893" s="100" t="s">
        <v>4272</v>
      </c>
      <c r="R2893" s="226" t="s">
        <v>4280</v>
      </c>
      <c r="S2893" s="491" t="str">
        <f t="shared" si="96"/>
        <v>x</v>
      </c>
      <c r="T2893" s="492" t="str">
        <f>IFERROR(VLOOKUP(F2893,'Freq-Chan'!C:D,2,FALSE),"x")</f>
        <v>x</v>
      </c>
      <c r="U2893" s="110" t="s">
        <v>541</v>
      </c>
      <c r="V2893" s="110" t="str">
        <f t="shared" si="95"/>
        <v>FWL</v>
      </c>
      <c r="W2893" s="110" t="s">
        <v>541</v>
      </c>
      <c r="X2893" s="110" t="s">
        <v>541</v>
      </c>
      <c r="Y2893" s="110" t="str">
        <f>IFERROR(VLOOKUP(F2893,'Freq-Chan'!C:E,3,FALSE),"na")</f>
        <v>na</v>
      </c>
      <c r="Z2893" s="110" t="s">
        <v>541</v>
      </c>
      <c r="AA2893" s="110" t="s">
        <v>541</v>
      </c>
      <c r="AB2893" s="110" t="s">
        <v>541</v>
      </c>
      <c r="AC2893" s="10" t="s">
        <v>541</v>
      </c>
      <c r="AD2893" s="10" t="s">
        <v>541</v>
      </c>
    </row>
    <row r="2894" spans="1:30" x14ac:dyDescent="0.2">
      <c r="A2894" s="110">
        <v>2894</v>
      </c>
      <c r="B2894" s="132">
        <v>41867</v>
      </c>
      <c r="C2894" s="117">
        <v>3</v>
      </c>
      <c r="D2894" s="103" t="s">
        <v>70</v>
      </c>
      <c r="E2894" s="103" t="s">
        <v>306</v>
      </c>
      <c r="H2894" s="103"/>
      <c r="I2894" s="103">
        <v>45</v>
      </c>
      <c r="K2894" s="103" t="s">
        <v>1032</v>
      </c>
      <c r="L2894" s="133"/>
      <c r="M2894" s="134">
        <v>1.3194444444444444E-2</v>
      </c>
      <c r="N2894" s="135" t="s">
        <v>1809</v>
      </c>
      <c r="O2894" s="133" t="s">
        <v>1033</v>
      </c>
      <c r="Q2894" s="100" t="s">
        <v>4272</v>
      </c>
      <c r="R2894" s="226" t="s">
        <v>4280</v>
      </c>
      <c r="S2894" s="491" t="str">
        <f t="shared" si="96"/>
        <v>x</v>
      </c>
      <c r="T2894" s="492" t="str">
        <f>IFERROR(VLOOKUP(F2894,'Freq-Chan'!C:D,2,FALSE),"x")</f>
        <v>x</v>
      </c>
      <c r="U2894" s="110" t="s">
        <v>541</v>
      </c>
      <c r="V2894" s="110" t="str">
        <f t="shared" si="95"/>
        <v>FWL</v>
      </c>
      <c r="W2894" s="110" t="s">
        <v>541</v>
      </c>
      <c r="X2894" s="110" t="s">
        <v>541</v>
      </c>
      <c r="Y2894" s="110" t="str">
        <f>IFERROR(VLOOKUP(F2894,'Freq-Chan'!C:E,3,FALSE),"na")</f>
        <v>na</v>
      </c>
      <c r="Z2894" s="110" t="s">
        <v>541</v>
      </c>
      <c r="AA2894" s="110" t="s">
        <v>541</v>
      </c>
      <c r="AB2894" s="110" t="s">
        <v>541</v>
      </c>
      <c r="AC2894" s="10" t="s">
        <v>541</v>
      </c>
      <c r="AD2894" s="10" t="s">
        <v>541</v>
      </c>
    </row>
    <row r="2895" spans="1:30" x14ac:dyDescent="0.2">
      <c r="A2895" s="110">
        <v>2895</v>
      </c>
      <c r="B2895" s="132">
        <v>41867</v>
      </c>
      <c r="C2895" s="117">
        <v>3</v>
      </c>
      <c r="D2895" s="103" t="s">
        <v>72</v>
      </c>
      <c r="E2895" s="103" t="s">
        <v>306</v>
      </c>
      <c r="F2895" s="103">
        <v>325</v>
      </c>
      <c r="G2895" s="103">
        <v>51</v>
      </c>
      <c r="H2895" s="103" t="s">
        <v>3606</v>
      </c>
      <c r="I2895" s="103">
        <v>55</v>
      </c>
      <c r="K2895" s="103" t="s">
        <v>365</v>
      </c>
      <c r="L2895" s="133"/>
      <c r="M2895" s="134">
        <v>5.1388888888888894E-2</v>
      </c>
      <c r="N2895" s="135" t="s">
        <v>2846</v>
      </c>
      <c r="O2895" s="133" t="s">
        <v>376</v>
      </c>
      <c r="Q2895" s="100" t="s">
        <v>4272</v>
      </c>
      <c r="R2895" s="226" t="s">
        <v>4280</v>
      </c>
      <c r="S2895" s="491" t="str">
        <f t="shared" si="96"/>
        <v>x</v>
      </c>
      <c r="T2895" s="492">
        <f>IFERROR(VLOOKUP(F2895,'Freq-Chan'!C:D,2,FALSE),"x")</f>
        <v>151.32499999999999</v>
      </c>
      <c r="U2895" s="110" t="s">
        <v>541</v>
      </c>
      <c r="V2895" s="110" t="str">
        <f t="shared" si="95"/>
        <v>FWL</v>
      </c>
      <c r="W2895" s="110" t="s">
        <v>541</v>
      </c>
      <c r="X2895" s="110" t="s">
        <v>541</v>
      </c>
      <c r="Y2895" s="110" t="str">
        <f>IFERROR(VLOOKUP(F2895,'Freq-Chan'!C:E,3,FALSE),"na")</f>
        <v>F1840</v>
      </c>
      <c r="Z2895" s="110" t="s">
        <v>541</v>
      </c>
      <c r="AA2895" s="110" t="s">
        <v>541</v>
      </c>
      <c r="AB2895" s="110" t="s">
        <v>541</v>
      </c>
      <c r="AC2895" s="10" t="s">
        <v>541</v>
      </c>
      <c r="AD2895" s="10" t="s">
        <v>541</v>
      </c>
    </row>
    <row r="2896" spans="1:30" s="291" customFormat="1" x14ac:dyDescent="0.2">
      <c r="A2896" s="493">
        <v>2896</v>
      </c>
      <c r="B2896" s="283">
        <v>41867</v>
      </c>
      <c r="C2896" s="284">
        <v>3</v>
      </c>
      <c r="D2896" s="285" t="s">
        <v>177</v>
      </c>
      <c r="E2896" s="285" t="s">
        <v>306</v>
      </c>
      <c r="F2896" s="285"/>
      <c r="G2896" s="285"/>
      <c r="H2896" s="285"/>
      <c r="I2896" s="285">
        <v>30</v>
      </c>
      <c r="J2896" s="285"/>
      <c r="K2896" s="285" t="s">
        <v>364</v>
      </c>
      <c r="L2896" s="286"/>
      <c r="M2896" s="287">
        <v>2.8472222222222222E-2</v>
      </c>
      <c r="N2896" s="339" t="s">
        <v>1995</v>
      </c>
      <c r="O2896" s="286" t="s">
        <v>1033</v>
      </c>
      <c r="P2896" s="289" t="s">
        <v>4277</v>
      </c>
      <c r="Q2896" s="289" t="s">
        <v>4272</v>
      </c>
      <c r="R2896" s="290" t="s">
        <v>4280</v>
      </c>
      <c r="S2896" s="494" t="str">
        <f t="shared" si="94"/>
        <v>x</v>
      </c>
      <c r="T2896" s="495" t="str">
        <f>IFERROR(VLOOKUP(F2896,'Freq-Chan'!C:D,2,FALSE),"x")</f>
        <v>x</v>
      </c>
      <c r="U2896" s="493" t="s">
        <v>541</v>
      </c>
      <c r="V2896" s="493" t="str">
        <f t="shared" si="95"/>
        <v>FWL</v>
      </c>
      <c r="W2896" s="493" t="s">
        <v>541</v>
      </c>
      <c r="X2896" s="493" t="s">
        <v>541</v>
      </c>
      <c r="Y2896" s="493" t="str">
        <f>IFERROR(VLOOKUP(F2896,'Freq-Chan'!C:E,3,FALSE),"na")</f>
        <v>na</v>
      </c>
      <c r="Z2896" s="493" t="s">
        <v>541</v>
      </c>
      <c r="AA2896" s="493" t="s">
        <v>541</v>
      </c>
      <c r="AB2896" s="493" t="s">
        <v>541</v>
      </c>
      <c r="AC2896" s="291" t="s">
        <v>541</v>
      </c>
      <c r="AD2896" s="291" t="s">
        <v>541</v>
      </c>
    </row>
    <row r="2897" spans="1:30" x14ac:dyDescent="0.2">
      <c r="A2897" s="110">
        <v>2897</v>
      </c>
      <c r="B2897" s="132">
        <v>41868</v>
      </c>
      <c r="C2897" s="117">
        <v>1</v>
      </c>
      <c r="D2897" s="103" t="s">
        <v>71</v>
      </c>
      <c r="E2897" s="103" t="s">
        <v>306</v>
      </c>
      <c r="F2897" s="103">
        <v>534</v>
      </c>
      <c r="G2897" s="103">
        <v>57</v>
      </c>
      <c r="H2897" s="103" t="s">
        <v>2464</v>
      </c>
      <c r="I2897" s="103">
        <v>55</v>
      </c>
      <c r="K2897" s="103" t="s">
        <v>365</v>
      </c>
      <c r="L2897" s="133">
        <v>0.33819444444444446</v>
      </c>
      <c r="M2897" s="134">
        <v>7.0833333333333331E-2</v>
      </c>
      <c r="N2897" s="135" t="s">
        <v>3796</v>
      </c>
      <c r="O2897" s="133" t="s">
        <v>376</v>
      </c>
      <c r="Q2897" s="100" t="s">
        <v>4284</v>
      </c>
      <c r="R2897" s="226" t="s">
        <v>4280</v>
      </c>
      <c r="S2897" s="491">
        <f t="shared" si="94"/>
        <v>1.34027778E-2</v>
      </c>
      <c r="T2897" s="492">
        <f>IFERROR(VLOOKUP(F2897,'Freq-Chan'!C:D,2,FALSE),"x")</f>
        <v>151.53399999999999</v>
      </c>
      <c r="U2897" s="110" t="s">
        <v>541</v>
      </c>
      <c r="V2897" s="110" t="str">
        <f t="shared" si="95"/>
        <v>FWL</v>
      </c>
      <c r="W2897" s="110" t="s">
        <v>541</v>
      </c>
      <c r="X2897" s="110" t="s">
        <v>541</v>
      </c>
      <c r="Y2897" s="110" t="str">
        <f>IFERROR(VLOOKUP(F2897,'Freq-Chan'!C:E,3,FALSE),"na")</f>
        <v>F1840</v>
      </c>
      <c r="Z2897" s="110" t="s">
        <v>541</v>
      </c>
      <c r="AA2897" s="110" t="s">
        <v>541</v>
      </c>
      <c r="AB2897" s="110" t="s">
        <v>541</v>
      </c>
      <c r="AC2897" s="10" t="s">
        <v>541</v>
      </c>
      <c r="AD2897" s="10" t="s">
        <v>541</v>
      </c>
    </row>
    <row r="2898" spans="1:30" x14ac:dyDescent="0.2">
      <c r="A2898" s="110">
        <v>2898</v>
      </c>
      <c r="B2898" s="132">
        <v>41868</v>
      </c>
      <c r="C2898" s="117">
        <v>1</v>
      </c>
      <c r="D2898" s="103" t="s">
        <v>70</v>
      </c>
      <c r="E2898" s="103" t="s">
        <v>306</v>
      </c>
      <c r="F2898" s="103">
        <v>596</v>
      </c>
      <c r="G2898" s="103">
        <v>23</v>
      </c>
      <c r="H2898" s="103" t="s">
        <v>3139</v>
      </c>
      <c r="I2898" s="103">
        <v>41</v>
      </c>
      <c r="K2898" s="103" t="s">
        <v>1032</v>
      </c>
      <c r="L2898" s="133">
        <v>0.36805555555555558</v>
      </c>
      <c r="M2898" s="134">
        <v>4.3055555555555562E-2</v>
      </c>
      <c r="N2898" s="135" t="s">
        <v>834</v>
      </c>
      <c r="O2898" s="133" t="s">
        <v>376</v>
      </c>
      <c r="Q2898" s="100" t="s">
        <v>4284</v>
      </c>
      <c r="R2898" s="226" t="s">
        <v>4280</v>
      </c>
      <c r="S2898" s="491">
        <f t="shared" si="94"/>
        <v>2.0601852E-3</v>
      </c>
      <c r="T2898" s="492">
        <f>IFERROR(VLOOKUP(F2898,'Freq-Chan'!C:D,2,FALSE),"x")</f>
        <v>151.596</v>
      </c>
      <c r="U2898" s="110" t="s">
        <v>541</v>
      </c>
      <c r="V2898" s="110" t="str">
        <f t="shared" si="95"/>
        <v>FWL</v>
      </c>
      <c r="W2898" s="110" t="s">
        <v>541</v>
      </c>
      <c r="X2898" s="110" t="s">
        <v>541</v>
      </c>
      <c r="Y2898" s="110" t="str">
        <f>IFERROR(VLOOKUP(F2898,'Freq-Chan'!C:E,3,FALSE),"na")</f>
        <v>F1835</v>
      </c>
      <c r="Z2898" s="110" t="s">
        <v>541</v>
      </c>
      <c r="AA2898" s="110" t="s">
        <v>541</v>
      </c>
      <c r="AB2898" s="110" t="s">
        <v>541</v>
      </c>
      <c r="AC2898" s="10" t="s">
        <v>541</v>
      </c>
      <c r="AD2898" s="10" t="s">
        <v>541</v>
      </c>
    </row>
    <row r="2899" spans="1:30" x14ac:dyDescent="0.2">
      <c r="A2899" s="110">
        <v>2899</v>
      </c>
      <c r="B2899" s="132">
        <v>41868</v>
      </c>
      <c r="C2899" s="117">
        <v>1</v>
      </c>
      <c r="D2899" s="103" t="s">
        <v>71</v>
      </c>
      <c r="E2899" s="103" t="s">
        <v>306</v>
      </c>
      <c r="H2899" s="103"/>
      <c r="I2899" s="103">
        <v>53</v>
      </c>
      <c r="K2899" s="103" t="s">
        <v>1032</v>
      </c>
      <c r="L2899" s="133"/>
      <c r="M2899" s="134">
        <v>1.7361111111111112E-2</v>
      </c>
      <c r="N2899" s="135" t="s">
        <v>3402</v>
      </c>
      <c r="O2899" s="133" t="s">
        <v>1538</v>
      </c>
      <c r="Q2899" s="100" t="s">
        <v>4284</v>
      </c>
      <c r="R2899" s="226" t="s">
        <v>4280</v>
      </c>
      <c r="S2899" s="491" t="str">
        <f t="shared" si="94"/>
        <v>x</v>
      </c>
      <c r="T2899" s="492" t="str">
        <f>IFERROR(VLOOKUP(F2899,'Freq-Chan'!C:D,2,FALSE),"x")</f>
        <v>x</v>
      </c>
      <c r="U2899" s="110" t="s">
        <v>541</v>
      </c>
      <c r="V2899" s="110" t="str">
        <f t="shared" si="95"/>
        <v>FWL</v>
      </c>
      <c r="W2899" s="110" t="s">
        <v>541</v>
      </c>
      <c r="X2899" s="110" t="s">
        <v>541</v>
      </c>
      <c r="Y2899" s="110" t="str">
        <f>IFERROR(VLOOKUP(F2899,'Freq-Chan'!C:E,3,FALSE),"na")</f>
        <v>na</v>
      </c>
      <c r="Z2899" s="110" t="s">
        <v>541</v>
      </c>
      <c r="AA2899" s="110" t="s">
        <v>541</v>
      </c>
      <c r="AB2899" s="110" t="s">
        <v>541</v>
      </c>
      <c r="AC2899" s="10" t="s">
        <v>541</v>
      </c>
      <c r="AD2899" s="10" t="s">
        <v>541</v>
      </c>
    </row>
    <row r="2900" spans="1:30" x14ac:dyDescent="0.2">
      <c r="A2900" s="110">
        <v>2900</v>
      </c>
      <c r="B2900" s="132">
        <v>41868</v>
      </c>
      <c r="C2900" s="117">
        <v>1</v>
      </c>
      <c r="D2900" s="103" t="s">
        <v>8</v>
      </c>
      <c r="E2900" s="103" t="s">
        <v>306</v>
      </c>
      <c r="F2900" s="103">
        <v>586</v>
      </c>
      <c r="G2900" s="103">
        <v>48</v>
      </c>
      <c r="H2900" s="103" t="s">
        <v>2276</v>
      </c>
      <c r="I2900" s="103">
        <v>46</v>
      </c>
      <c r="K2900" s="103" t="s">
        <v>1032</v>
      </c>
      <c r="L2900" s="133"/>
      <c r="M2900" s="134">
        <v>3.4722222222222224E-2</v>
      </c>
      <c r="N2900" s="137" t="s">
        <v>3801</v>
      </c>
      <c r="O2900" s="133" t="s">
        <v>376</v>
      </c>
      <c r="Q2900" s="100" t="s">
        <v>4284</v>
      </c>
      <c r="R2900" s="226" t="s">
        <v>4280</v>
      </c>
      <c r="S2900" s="491" t="str">
        <f t="shared" si="94"/>
        <v>x</v>
      </c>
      <c r="T2900" s="492">
        <f>IFERROR(VLOOKUP(F2900,'Freq-Chan'!C:D,2,FALSE),"x")</f>
        <v>151.58600000000001</v>
      </c>
      <c r="U2900" s="110" t="s">
        <v>541</v>
      </c>
      <c r="V2900" s="110" t="str">
        <f t="shared" si="95"/>
        <v>FWL</v>
      </c>
      <c r="W2900" s="110" t="s">
        <v>541</v>
      </c>
      <c r="X2900" s="110" t="s">
        <v>541</v>
      </c>
      <c r="Y2900" s="110" t="str">
        <f>IFERROR(VLOOKUP(F2900,'Freq-Chan'!C:E,3,FALSE),"na")</f>
        <v>F1840</v>
      </c>
      <c r="Z2900" s="110" t="s">
        <v>541</v>
      </c>
      <c r="AA2900" s="110" t="s">
        <v>541</v>
      </c>
      <c r="AB2900" s="110" t="s">
        <v>541</v>
      </c>
      <c r="AC2900" s="10" t="s">
        <v>541</v>
      </c>
      <c r="AD2900" s="10" t="s">
        <v>541</v>
      </c>
    </row>
    <row r="2901" spans="1:30" x14ac:dyDescent="0.2">
      <c r="A2901" s="110">
        <v>2901</v>
      </c>
      <c r="B2901" s="132">
        <v>41868</v>
      </c>
      <c r="C2901" s="117">
        <v>1</v>
      </c>
      <c r="D2901" s="103" t="s">
        <v>72</v>
      </c>
      <c r="E2901" s="103" t="s">
        <v>306</v>
      </c>
      <c r="F2901" s="103">
        <v>266</v>
      </c>
      <c r="G2901" s="103">
        <v>83</v>
      </c>
      <c r="H2901" s="103" t="s">
        <v>3599</v>
      </c>
      <c r="I2901" s="103">
        <v>58</v>
      </c>
      <c r="K2901" s="103" t="s">
        <v>365</v>
      </c>
      <c r="L2901" s="133">
        <v>0.4465277777777778</v>
      </c>
      <c r="M2901" s="134">
        <v>3.2638888888888891E-2</v>
      </c>
      <c r="N2901" s="135" t="s">
        <v>3981</v>
      </c>
      <c r="O2901" s="133" t="s">
        <v>376</v>
      </c>
      <c r="P2901" s="100" t="s">
        <v>4466</v>
      </c>
      <c r="Q2901" s="100" t="s">
        <v>4284</v>
      </c>
      <c r="R2901" s="226" t="s">
        <v>4280</v>
      </c>
      <c r="S2901" s="491">
        <f t="shared" si="94"/>
        <v>2.2337962999999998E-3</v>
      </c>
      <c r="T2901" s="492">
        <f>IFERROR(VLOOKUP(F2901,'Freq-Chan'!C:D,2,FALSE),"x")</f>
        <v>151.26599999999999</v>
      </c>
      <c r="U2901" s="110" t="s">
        <v>541</v>
      </c>
      <c r="V2901" s="110" t="str">
        <f t="shared" si="95"/>
        <v>FWL</v>
      </c>
      <c r="W2901" s="110" t="s">
        <v>541</v>
      </c>
      <c r="X2901" s="110" t="s">
        <v>541</v>
      </c>
      <c r="Y2901" s="110" t="str">
        <f>IFERROR(VLOOKUP(F2901,'Freq-Chan'!C:E,3,FALSE),"na")</f>
        <v>F1840</v>
      </c>
      <c r="Z2901" s="110" t="s">
        <v>541</v>
      </c>
      <c r="AA2901" s="110" t="s">
        <v>541</v>
      </c>
      <c r="AB2901" s="110" t="s">
        <v>541</v>
      </c>
      <c r="AC2901" s="10" t="s">
        <v>541</v>
      </c>
      <c r="AD2901" s="10" t="s">
        <v>541</v>
      </c>
    </row>
    <row r="2902" spans="1:30" x14ac:dyDescent="0.2">
      <c r="A2902" s="110">
        <v>2902</v>
      </c>
      <c r="B2902" s="132">
        <v>41868</v>
      </c>
      <c r="C2902" s="117">
        <v>1</v>
      </c>
      <c r="D2902" s="103" t="s">
        <v>71</v>
      </c>
      <c r="E2902" s="103" t="s">
        <v>306</v>
      </c>
      <c r="H2902" s="103"/>
      <c r="I2902" s="103">
        <v>52</v>
      </c>
      <c r="K2902" s="103" t="s">
        <v>1032</v>
      </c>
      <c r="L2902" s="133"/>
      <c r="M2902" s="134">
        <v>1.5277777777777777E-2</v>
      </c>
      <c r="N2902" s="135" t="s">
        <v>4013</v>
      </c>
      <c r="O2902" s="133" t="s">
        <v>1538</v>
      </c>
      <c r="Q2902" s="100" t="s">
        <v>4284</v>
      </c>
      <c r="R2902" s="226" t="s">
        <v>4280</v>
      </c>
      <c r="S2902" s="491" t="str">
        <f t="shared" si="94"/>
        <v>x</v>
      </c>
      <c r="T2902" s="492" t="str">
        <f>IFERROR(VLOOKUP(F2902,'Freq-Chan'!C:D,2,FALSE),"x")</f>
        <v>x</v>
      </c>
      <c r="U2902" s="110" t="s">
        <v>541</v>
      </c>
      <c r="V2902" s="110" t="str">
        <f t="shared" si="95"/>
        <v>FWL</v>
      </c>
      <c r="W2902" s="110" t="s">
        <v>541</v>
      </c>
      <c r="X2902" s="110" t="s">
        <v>541</v>
      </c>
      <c r="Y2902" s="110" t="str">
        <f>IFERROR(VLOOKUP(F2902,'Freq-Chan'!C:E,3,FALSE),"na")</f>
        <v>na</v>
      </c>
      <c r="Z2902" s="110" t="s">
        <v>541</v>
      </c>
      <c r="AA2902" s="110" t="s">
        <v>541</v>
      </c>
      <c r="AB2902" s="110" t="s">
        <v>541</v>
      </c>
      <c r="AC2902" s="10" t="s">
        <v>541</v>
      </c>
      <c r="AD2902" s="10" t="s">
        <v>541</v>
      </c>
    </row>
    <row r="2903" spans="1:30" x14ac:dyDescent="0.2">
      <c r="A2903" s="110">
        <v>2903</v>
      </c>
      <c r="B2903" s="132">
        <v>41868</v>
      </c>
      <c r="C2903" s="117">
        <v>1</v>
      </c>
      <c r="D2903" s="103" t="s">
        <v>71</v>
      </c>
      <c r="E2903" s="103" t="s">
        <v>306</v>
      </c>
      <c r="H2903" s="103"/>
      <c r="I2903" s="103">
        <v>56</v>
      </c>
      <c r="K2903" s="103" t="s">
        <v>1032</v>
      </c>
      <c r="L2903" s="133">
        <v>0.50555555555555554</v>
      </c>
      <c r="M2903" s="134">
        <v>1.3888888888888888E-2</v>
      </c>
      <c r="N2903" s="135" t="s">
        <v>2814</v>
      </c>
      <c r="O2903" s="133" t="s">
        <v>1538</v>
      </c>
      <c r="Q2903" s="100" t="s">
        <v>4284</v>
      </c>
      <c r="R2903" s="226" t="s">
        <v>4280</v>
      </c>
      <c r="S2903" s="491">
        <f t="shared" si="94"/>
        <v>1.1574074E-3</v>
      </c>
      <c r="T2903" s="492" t="str">
        <f>IFERROR(VLOOKUP(F2903,'Freq-Chan'!C:D,2,FALSE),"x")</f>
        <v>x</v>
      </c>
      <c r="U2903" s="110" t="s">
        <v>541</v>
      </c>
      <c r="V2903" s="110" t="str">
        <f t="shared" si="95"/>
        <v>FWL</v>
      </c>
      <c r="W2903" s="110" t="s">
        <v>541</v>
      </c>
      <c r="X2903" s="110" t="s">
        <v>541</v>
      </c>
      <c r="Y2903" s="110" t="str">
        <f>IFERROR(VLOOKUP(F2903,'Freq-Chan'!C:E,3,FALSE),"na")</f>
        <v>na</v>
      </c>
      <c r="Z2903" s="110" t="s">
        <v>541</v>
      </c>
      <c r="AA2903" s="110" t="s">
        <v>541</v>
      </c>
      <c r="AB2903" s="110" t="s">
        <v>541</v>
      </c>
      <c r="AC2903" s="10" t="s">
        <v>541</v>
      </c>
      <c r="AD2903" s="10" t="s">
        <v>541</v>
      </c>
    </row>
    <row r="2904" spans="1:30" x14ac:dyDescent="0.2">
      <c r="A2904" s="110">
        <v>2904</v>
      </c>
      <c r="B2904" s="132">
        <v>41868</v>
      </c>
      <c r="C2904" s="117">
        <v>1</v>
      </c>
      <c r="D2904" s="103" t="s">
        <v>72</v>
      </c>
      <c r="E2904" s="103" t="s">
        <v>306</v>
      </c>
      <c r="F2904" s="103">
        <v>325</v>
      </c>
      <c r="G2904" s="103">
        <v>50</v>
      </c>
      <c r="H2904" s="103" t="s">
        <v>3600</v>
      </c>
      <c r="I2904" s="103">
        <v>54</v>
      </c>
      <c r="K2904" s="103" t="s">
        <v>365</v>
      </c>
      <c r="L2904" s="133"/>
      <c r="M2904" s="134">
        <v>4.9305555555555554E-2</v>
      </c>
      <c r="N2904" s="137" t="s">
        <v>3984</v>
      </c>
      <c r="O2904" s="133" t="s">
        <v>1538</v>
      </c>
      <c r="Q2904" s="100" t="s">
        <v>4284</v>
      </c>
      <c r="R2904" s="226" t="s">
        <v>4280</v>
      </c>
      <c r="S2904" s="491" t="str">
        <f t="shared" si="94"/>
        <v>x</v>
      </c>
      <c r="T2904" s="492">
        <f>IFERROR(VLOOKUP(F2904,'Freq-Chan'!C:D,2,FALSE),"x")</f>
        <v>151.32499999999999</v>
      </c>
      <c r="U2904" s="110" t="s">
        <v>541</v>
      </c>
      <c r="V2904" s="110" t="str">
        <f t="shared" si="95"/>
        <v>FWL</v>
      </c>
      <c r="W2904" s="110" t="s">
        <v>541</v>
      </c>
      <c r="X2904" s="110" t="s">
        <v>541</v>
      </c>
      <c r="Y2904" s="110" t="str">
        <f>IFERROR(VLOOKUP(F2904,'Freq-Chan'!C:E,3,FALSE),"na")</f>
        <v>F1840</v>
      </c>
      <c r="Z2904" s="110" t="s">
        <v>541</v>
      </c>
      <c r="AA2904" s="110" t="s">
        <v>541</v>
      </c>
      <c r="AB2904" s="110" t="s">
        <v>541</v>
      </c>
      <c r="AC2904" s="10" t="s">
        <v>541</v>
      </c>
      <c r="AD2904" s="10" t="s">
        <v>541</v>
      </c>
    </row>
    <row r="2905" spans="1:30" x14ac:dyDescent="0.2">
      <c r="A2905" s="110">
        <v>2905</v>
      </c>
      <c r="B2905" s="132">
        <v>41868</v>
      </c>
      <c r="C2905" s="117">
        <v>1</v>
      </c>
      <c r="D2905" s="103" t="s">
        <v>70</v>
      </c>
      <c r="E2905" s="103" t="s">
        <v>306</v>
      </c>
      <c r="H2905" s="103"/>
      <c r="I2905" s="103">
        <v>48</v>
      </c>
      <c r="K2905" s="103" t="s">
        <v>365</v>
      </c>
      <c r="L2905" s="133"/>
      <c r="M2905" s="134">
        <v>1.3194444444444444E-2</v>
      </c>
      <c r="N2905" s="135" t="s">
        <v>2632</v>
      </c>
      <c r="O2905" s="133" t="s">
        <v>1538</v>
      </c>
      <c r="Q2905" s="100" t="s">
        <v>4284</v>
      </c>
      <c r="R2905" s="226" t="s">
        <v>4280</v>
      </c>
      <c r="S2905" s="491" t="str">
        <f t="shared" si="94"/>
        <v>x</v>
      </c>
      <c r="T2905" s="492" t="str">
        <f>IFERROR(VLOOKUP(F2905,'Freq-Chan'!C:D,2,FALSE),"x")</f>
        <v>x</v>
      </c>
      <c r="U2905" s="110" t="s">
        <v>541</v>
      </c>
      <c r="V2905" s="110" t="str">
        <f t="shared" si="95"/>
        <v>FWL</v>
      </c>
      <c r="W2905" s="110" t="s">
        <v>541</v>
      </c>
      <c r="X2905" s="110" t="s">
        <v>541</v>
      </c>
      <c r="Y2905" s="110" t="str">
        <f>IFERROR(VLOOKUP(F2905,'Freq-Chan'!C:E,3,FALSE),"na")</f>
        <v>na</v>
      </c>
      <c r="Z2905" s="110" t="s">
        <v>541</v>
      </c>
      <c r="AA2905" s="110" t="s">
        <v>541</v>
      </c>
      <c r="AB2905" s="110" t="s">
        <v>541</v>
      </c>
      <c r="AC2905" s="10" t="s">
        <v>541</v>
      </c>
      <c r="AD2905" s="10" t="s">
        <v>541</v>
      </c>
    </row>
    <row r="2906" spans="1:30" x14ac:dyDescent="0.2">
      <c r="A2906" s="110">
        <v>2906</v>
      </c>
      <c r="B2906" s="132">
        <v>41868</v>
      </c>
      <c r="C2906" s="117">
        <v>1</v>
      </c>
      <c r="D2906" s="103" t="s">
        <v>72</v>
      </c>
      <c r="E2906" s="103" t="s">
        <v>306</v>
      </c>
      <c r="F2906" s="103">
        <v>266</v>
      </c>
      <c r="G2906" s="103">
        <v>57</v>
      </c>
      <c r="H2906" s="103" t="s">
        <v>3601</v>
      </c>
      <c r="I2906" s="103">
        <v>60</v>
      </c>
      <c r="K2906" s="103" t="s">
        <v>1032</v>
      </c>
      <c r="L2906" s="133"/>
      <c r="M2906" s="134">
        <v>8.1944444444444445E-2</v>
      </c>
      <c r="N2906" s="137" t="s">
        <v>4293</v>
      </c>
      <c r="O2906" s="133" t="s">
        <v>1532</v>
      </c>
      <c r="P2906" s="100" t="s">
        <v>4466</v>
      </c>
      <c r="Q2906" s="100" t="s">
        <v>4285</v>
      </c>
      <c r="R2906" s="226" t="s">
        <v>4280</v>
      </c>
      <c r="S2906" s="491" t="str">
        <f t="shared" si="94"/>
        <v>x</v>
      </c>
      <c r="T2906" s="492">
        <f>IFERROR(VLOOKUP(F2906,'Freq-Chan'!C:D,2,FALSE),"x")</f>
        <v>151.26599999999999</v>
      </c>
      <c r="U2906" s="110" t="s">
        <v>541</v>
      </c>
      <c r="V2906" s="110" t="str">
        <f t="shared" si="95"/>
        <v>FWL</v>
      </c>
      <c r="W2906" s="110" t="s">
        <v>541</v>
      </c>
      <c r="X2906" s="110" t="s">
        <v>541</v>
      </c>
      <c r="Y2906" s="110" t="str">
        <f>IFERROR(VLOOKUP(F2906,'Freq-Chan'!C:E,3,FALSE),"na")</f>
        <v>F1840</v>
      </c>
      <c r="Z2906" s="110" t="s">
        <v>541</v>
      </c>
      <c r="AA2906" s="110" t="s">
        <v>541</v>
      </c>
      <c r="AB2906" s="110" t="s">
        <v>541</v>
      </c>
      <c r="AC2906" s="10" t="s">
        <v>541</v>
      </c>
      <c r="AD2906" s="10" t="s">
        <v>541</v>
      </c>
    </row>
    <row r="2907" spans="1:30" x14ac:dyDescent="0.2">
      <c r="A2907" s="110">
        <v>2907</v>
      </c>
      <c r="B2907" s="132">
        <v>41868</v>
      </c>
      <c r="C2907" s="117">
        <v>1</v>
      </c>
      <c r="D2907" s="103" t="s">
        <v>72</v>
      </c>
      <c r="E2907" s="103" t="s">
        <v>306</v>
      </c>
      <c r="F2907" s="103">
        <v>325</v>
      </c>
      <c r="G2907" s="103">
        <v>81</v>
      </c>
      <c r="H2907" s="103" t="s">
        <v>3608</v>
      </c>
      <c r="I2907" s="103">
        <v>59</v>
      </c>
      <c r="K2907" s="103" t="s">
        <v>364</v>
      </c>
      <c r="L2907" s="133"/>
      <c r="M2907" s="134">
        <v>5.1388888888888894E-2</v>
      </c>
      <c r="N2907" s="137" t="s">
        <v>3937</v>
      </c>
      <c r="O2907" s="133" t="s">
        <v>1585</v>
      </c>
      <c r="Q2907" s="100" t="s">
        <v>4285</v>
      </c>
      <c r="R2907" s="226" t="s">
        <v>4280</v>
      </c>
      <c r="S2907" s="491" t="str">
        <f t="shared" si="94"/>
        <v>x</v>
      </c>
      <c r="T2907" s="492">
        <f>IFERROR(VLOOKUP(F2907,'Freq-Chan'!C:D,2,FALSE),"x")</f>
        <v>151.32499999999999</v>
      </c>
      <c r="U2907" s="110" t="s">
        <v>541</v>
      </c>
      <c r="V2907" s="110" t="str">
        <f t="shared" si="95"/>
        <v>FWL</v>
      </c>
      <c r="W2907" s="110" t="s">
        <v>541</v>
      </c>
      <c r="X2907" s="110" t="s">
        <v>541</v>
      </c>
      <c r="Y2907" s="110" t="str">
        <f>IFERROR(VLOOKUP(F2907,'Freq-Chan'!C:E,3,FALSE),"na")</f>
        <v>F1840</v>
      </c>
      <c r="Z2907" s="110" t="s">
        <v>541</v>
      </c>
      <c r="AA2907" s="110" t="s">
        <v>541</v>
      </c>
      <c r="AB2907" s="110" t="s">
        <v>541</v>
      </c>
      <c r="AC2907" s="10" t="s">
        <v>541</v>
      </c>
      <c r="AD2907" s="10" t="s">
        <v>541</v>
      </c>
    </row>
    <row r="2908" spans="1:30" x14ac:dyDescent="0.2">
      <c r="A2908" s="110">
        <v>2908</v>
      </c>
      <c r="B2908" s="132">
        <v>41868</v>
      </c>
      <c r="C2908" s="117">
        <v>1</v>
      </c>
      <c r="D2908" s="103" t="s">
        <v>71</v>
      </c>
      <c r="E2908" s="103" t="s">
        <v>306</v>
      </c>
      <c r="F2908" s="103">
        <v>564</v>
      </c>
      <c r="G2908" s="103">
        <v>12</v>
      </c>
      <c r="H2908" s="103" t="s">
        <v>2465</v>
      </c>
      <c r="I2908" s="103">
        <v>54</v>
      </c>
      <c r="K2908" s="103" t="s">
        <v>1032</v>
      </c>
      <c r="L2908" s="133"/>
      <c r="M2908" s="134">
        <v>3.9583333333333331E-2</v>
      </c>
      <c r="N2908" s="137" t="s">
        <v>877</v>
      </c>
      <c r="O2908" s="133" t="s">
        <v>1532</v>
      </c>
      <c r="Q2908" s="100" t="s">
        <v>4285</v>
      </c>
      <c r="R2908" s="226" t="s">
        <v>4280</v>
      </c>
      <c r="S2908" s="491" t="str">
        <f t="shared" si="94"/>
        <v>x</v>
      </c>
      <c r="T2908" s="492">
        <f>IFERROR(VLOOKUP(F2908,'Freq-Chan'!C:D,2,FALSE),"x")</f>
        <v>151.56399999999999</v>
      </c>
      <c r="U2908" s="110" t="s">
        <v>541</v>
      </c>
      <c r="V2908" s="110" t="str">
        <f t="shared" si="95"/>
        <v>FWL</v>
      </c>
      <c r="W2908" s="110" t="s">
        <v>541</v>
      </c>
      <c r="X2908" s="110" t="s">
        <v>541</v>
      </c>
      <c r="Y2908" s="110" t="str">
        <f>IFERROR(VLOOKUP(F2908,'Freq-Chan'!C:E,3,FALSE),"na")</f>
        <v>F1840</v>
      </c>
      <c r="Z2908" s="110" t="s">
        <v>541</v>
      </c>
      <c r="AA2908" s="110" t="s">
        <v>541</v>
      </c>
      <c r="AB2908" s="110" t="s">
        <v>541</v>
      </c>
      <c r="AC2908" s="10" t="s">
        <v>541</v>
      </c>
      <c r="AD2908" s="10" t="s">
        <v>541</v>
      </c>
    </row>
    <row r="2909" spans="1:30" x14ac:dyDescent="0.2">
      <c r="A2909" s="110">
        <v>2909</v>
      </c>
      <c r="B2909" s="132">
        <v>41868</v>
      </c>
      <c r="C2909" s="117">
        <v>1</v>
      </c>
      <c r="D2909" s="103" t="s">
        <v>71</v>
      </c>
      <c r="E2909" s="103" t="s">
        <v>306</v>
      </c>
      <c r="H2909" s="103"/>
      <c r="I2909" s="103">
        <v>54</v>
      </c>
      <c r="K2909" s="103" t="s">
        <v>365</v>
      </c>
      <c r="L2909" s="133"/>
      <c r="M2909" s="134">
        <v>1.4583333333333332E-2</v>
      </c>
      <c r="N2909" s="137" t="s">
        <v>878</v>
      </c>
      <c r="O2909" s="133" t="s">
        <v>1532</v>
      </c>
      <c r="Q2909" s="100" t="s">
        <v>4285</v>
      </c>
      <c r="R2909" s="226" t="s">
        <v>4280</v>
      </c>
      <c r="S2909" s="491" t="str">
        <f t="shared" si="94"/>
        <v>x</v>
      </c>
      <c r="T2909" s="492" t="str">
        <f>IFERROR(VLOOKUP(F2909,'Freq-Chan'!C:D,2,FALSE),"x")</f>
        <v>x</v>
      </c>
      <c r="U2909" s="110" t="s">
        <v>541</v>
      </c>
      <c r="V2909" s="110" t="str">
        <f t="shared" si="95"/>
        <v>FWL</v>
      </c>
      <c r="W2909" s="110" t="s">
        <v>541</v>
      </c>
      <c r="X2909" s="110" t="s">
        <v>541</v>
      </c>
      <c r="Y2909" s="110" t="str">
        <f>IFERROR(VLOOKUP(F2909,'Freq-Chan'!C:E,3,FALSE),"na")</f>
        <v>na</v>
      </c>
      <c r="Z2909" s="110" t="s">
        <v>541</v>
      </c>
      <c r="AA2909" s="110" t="s">
        <v>541</v>
      </c>
      <c r="AB2909" s="110" t="s">
        <v>541</v>
      </c>
      <c r="AC2909" s="10" t="s">
        <v>541</v>
      </c>
      <c r="AD2909" s="10" t="s">
        <v>541</v>
      </c>
    </row>
    <row r="2910" spans="1:30" x14ac:dyDescent="0.2">
      <c r="A2910" s="110">
        <v>2910</v>
      </c>
      <c r="B2910" s="132">
        <v>41868</v>
      </c>
      <c r="C2910" s="117">
        <v>1</v>
      </c>
      <c r="D2910" s="103" t="s">
        <v>71</v>
      </c>
      <c r="E2910" s="103" t="s">
        <v>306</v>
      </c>
      <c r="H2910" s="103"/>
      <c r="I2910" s="103">
        <v>56</v>
      </c>
      <c r="K2910" s="103" t="s">
        <v>1032</v>
      </c>
      <c r="L2910" s="133"/>
      <c r="M2910" s="134">
        <v>1.2499999999999999E-2</v>
      </c>
      <c r="N2910" s="135" t="s">
        <v>1832</v>
      </c>
      <c r="O2910" s="133" t="s">
        <v>1532</v>
      </c>
      <c r="Q2910" s="100" t="s">
        <v>4285</v>
      </c>
      <c r="R2910" s="226" t="s">
        <v>4280</v>
      </c>
      <c r="S2910" s="491" t="str">
        <f t="shared" si="94"/>
        <v>x</v>
      </c>
      <c r="T2910" s="492" t="str">
        <f>IFERROR(VLOOKUP(F2910,'Freq-Chan'!C:D,2,FALSE),"x")</f>
        <v>x</v>
      </c>
      <c r="U2910" s="110" t="s">
        <v>541</v>
      </c>
      <c r="V2910" s="110" t="str">
        <f t="shared" si="95"/>
        <v>FWL</v>
      </c>
      <c r="W2910" s="110" t="s">
        <v>541</v>
      </c>
      <c r="X2910" s="110" t="s">
        <v>541</v>
      </c>
      <c r="Y2910" s="110" t="str">
        <f>IFERROR(VLOOKUP(F2910,'Freq-Chan'!C:E,3,FALSE),"na")</f>
        <v>na</v>
      </c>
      <c r="Z2910" s="110" t="s">
        <v>541</v>
      </c>
      <c r="AA2910" s="110" t="s">
        <v>541</v>
      </c>
      <c r="AB2910" s="110" t="s">
        <v>541</v>
      </c>
      <c r="AC2910" s="10" t="s">
        <v>541</v>
      </c>
      <c r="AD2910" s="10" t="s">
        <v>541</v>
      </c>
    </row>
    <row r="2911" spans="1:30" x14ac:dyDescent="0.2">
      <c r="A2911" s="110">
        <v>2911</v>
      </c>
      <c r="B2911" s="132">
        <v>41868</v>
      </c>
      <c r="C2911" s="117">
        <v>1</v>
      </c>
      <c r="D2911" s="103" t="s">
        <v>70</v>
      </c>
      <c r="E2911" s="103" t="s">
        <v>306</v>
      </c>
      <c r="H2911" s="103"/>
      <c r="I2911" s="103">
        <v>46</v>
      </c>
      <c r="K2911" s="103" t="s">
        <v>1032</v>
      </c>
      <c r="L2911" s="133"/>
      <c r="M2911" s="134">
        <v>1.4583333333333332E-2</v>
      </c>
      <c r="N2911" s="135" t="s">
        <v>4016</v>
      </c>
      <c r="O2911" s="133" t="s">
        <v>1585</v>
      </c>
      <c r="Q2911" s="100" t="s">
        <v>4285</v>
      </c>
      <c r="R2911" s="226" t="s">
        <v>4280</v>
      </c>
      <c r="S2911" s="491" t="str">
        <f t="shared" si="94"/>
        <v>x</v>
      </c>
      <c r="T2911" s="492" t="str">
        <f>IFERROR(VLOOKUP(F2911,'Freq-Chan'!C:D,2,FALSE),"x")</f>
        <v>x</v>
      </c>
      <c r="U2911" s="110" t="s">
        <v>541</v>
      </c>
      <c r="V2911" s="110" t="str">
        <f t="shared" si="95"/>
        <v>FWL</v>
      </c>
      <c r="W2911" s="110" t="s">
        <v>541</v>
      </c>
      <c r="X2911" s="110" t="s">
        <v>541</v>
      </c>
      <c r="Y2911" s="110" t="str">
        <f>IFERROR(VLOOKUP(F2911,'Freq-Chan'!C:E,3,FALSE),"na")</f>
        <v>na</v>
      </c>
      <c r="Z2911" s="110" t="s">
        <v>541</v>
      </c>
      <c r="AA2911" s="110" t="s">
        <v>541</v>
      </c>
      <c r="AB2911" s="110" t="s">
        <v>541</v>
      </c>
      <c r="AC2911" s="10" t="s">
        <v>541</v>
      </c>
      <c r="AD2911" s="10" t="s">
        <v>541</v>
      </c>
    </row>
    <row r="2912" spans="1:30" x14ac:dyDescent="0.2">
      <c r="A2912" s="110">
        <v>2912</v>
      </c>
      <c r="B2912" s="132">
        <v>41868</v>
      </c>
      <c r="C2912" s="117">
        <v>1</v>
      </c>
      <c r="D2912" s="103" t="s">
        <v>72</v>
      </c>
      <c r="E2912" s="103" t="s">
        <v>306</v>
      </c>
      <c r="H2912" s="103"/>
      <c r="I2912" s="103">
        <v>52</v>
      </c>
      <c r="K2912" s="103" t="s">
        <v>1032</v>
      </c>
      <c r="L2912" s="133"/>
      <c r="M2912" s="134">
        <v>1.9444444444444445E-2</v>
      </c>
      <c r="N2912" s="135" t="s">
        <v>4016</v>
      </c>
      <c r="O2912" s="133" t="s">
        <v>1585</v>
      </c>
      <c r="Q2912" s="100" t="s">
        <v>4285</v>
      </c>
      <c r="R2912" s="226" t="s">
        <v>4280</v>
      </c>
      <c r="S2912" s="491" t="str">
        <f t="shared" si="94"/>
        <v>x</v>
      </c>
      <c r="T2912" s="492" t="str">
        <f>IFERROR(VLOOKUP(F2912,'Freq-Chan'!C:D,2,FALSE),"x")</f>
        <v>x</v>
      </c>
      <c r="U2912" s="110" t="s">
        <v>541</v>
      </c>
      <c r="V2912" s="110" t="str">
        <f t="shared" si="95"/>
        <v>FWL</v>
      </c>
      <c r="W2912" s="110" t="s">
        <v>541</v>
      </c>
      <c r="X2912" s="110" t="s">
        <v>541</v>
      </c>
      <c r="Y2912" s="110" t="str">
        <f>IFERROR(VLOOKUP(F2912,'Freq-Chan'!C:E,3,FALSE),"na")</f>
        <v>na</v>
      </c>
      <c r="Z2912" s="110" t="s">
        <v>541</v>
      </c>
      <c r="AA2912" s="110" t="s">
        <v>541</v>
      </c>
      <c r="AB2912" s="110" t="s">
        <v>541</v>
      </c>
      <c r="AC2912" s="10" t="s">
        <v>541</v>
      </c>
      <c r="AD2912" s="10" t="s">
        <v>541</v>
      </c>
    </row>
    <row r="2913" spans="1:30" x14ac:dyDescent="0.2">
      <c r="A2913" s="110">
        <v>2913</v>
      </c>
      <c r="B2913" s="132">
        <v>41868</v>
      </c>
      <c r="C2913" s="117">
        <v>1</v>
      </c>
      <c r="D2913" s="103" t="s">
        <v>71</v>
      </c>
      <c r="E2913" s="103" t="s">
        <v>306</v>
      </c>
      <c r="H2913" s="103"/>
      <c r="I2913" s="103">
        <v>59</v>
      </c>
      <c r="K2913" s="103" t="s">
        <v>365</v>
      </c>
      <c r="L2913" s="133"/>
      <c r="M2913" s="134">
        <v>1.7361111111111112E-2</v>
      </c>
      <c r="N2913" s="135" t="s">
        <v>3340</v>
      </c>
      <c r="O2913" s="133" t="s">
        <v>1585</v>
      </c>
      <c r="Q2913" s="100" t="s">
        <v>4285</v>
      </c>
      <c r="R2913" s="226" t="s">
        <v>4280</v>
      </c>
      <c r="S2913" s="491" t="str">
        <f t="shared" si="94"/>
        <v>x</v>
      </c>
      <c r="T2913" s="492" t="str">
        <f>IFERROR(VLOOKUP(F2913,'Freq-Chan'!C:D,2,FALSE),"x")</f>
        <v>x</v>
      </c>
      <c r="U2913" s="110" t="s">
        <v>541</v>
      </c>
      <c r="V2913" s="110" t="str">
        <f t="shared" si="95"/>
        <v>FWL</v>
      </c>
      <c r="W2913" s="110" t="s">
        <v>541</v>
      </c>
      <c r="X2913" s="110" t="s">
        <v>541</v>
      </c>
      <c r="Y2913" s="110" t="str">
        <f>IFERROR(VLOOKUP(F2913,'Freq-Chan'!C:E,3,FALSE),"na")</f>
        <v>na</v>
      </c>
      <c r="Z2913" s="110" t="s">
        <v>541</v>
      </c>
      <c r="AA2913" s="110" t="s">
        <v>541</v>
      </c>
      <c r="AB2913" s="110" t="s">
        <v>541</v>
      </c>
      <c r="AC2913" s="10" t="s">
        <v>541</v>
      </c>
      <c r="AD2913" s="10" t="s">
        <v>541</v>
      </c>
    </row>
    <row r="2914" spans="1:30" x14ac:dyDescent="0.2">
      <c r="A2914" s="110">
        <v>2914</v>
      </c>
      <c r="B2914" s="132">
        <v>41868</v>
      </c>
      <c r="C2914" s="117">
        <v>1</v>
      </c>
      <c r="D2914" s="103" t="s">
        <v>71</v>
      </c>
      <c r="E2914" s="103" t="s">
        <v>306</v>
      </c>
      <c r="H2914" s="103"/>
      <c r="I2914" s="103">
        <v>60</v>
      </c>
      <c r="K2914" s="103" t="s">
        <v>365</v>
      </c>
      <c r="L2914" s="133"/>
      <c r="M2914" s="134">
        <v>1.4583333333333332E-2</v>
      </c>
      <c r="N2914" s="135" t="s">
        <v>2539</v>
      </c>
      <c r="O2914" s="133" t="s">
        <v>1585</v>
      </c>
      <c r="Q2914" s="100" t="s">
        <v>4285</v>
      </c>
      <c r="R2914" s="226" t="s">
        <v>4280</v>
      </c>
      <c r="S2914" s="491" t="str">
        <f t="shared" si="94"/>
        <v>x</v>
      </c>
      <c r="T2914" s="492" t="str">
        <f>IFERROR(VLOOKUP(F2914,'Freq-Chan'!C:D,2,FALSE),"x")</f>
        <v>x</v>
      </c>
      <c r="U2914" s="110" t="s">
        <v>541</v>
      </c>
      <c r="V2914" s="110" t="str">
        <f t="shared" si="95"/>
        <v>FWL</v>
      </c>
      <c r="W2914" s="110" t="s">
        <v>541</v>
      </c>
      <c r="X2914" s="110" t="s">
        <v>541</v>
      </c>
      <c r="Y2914" s="110" t="str">
        <f>IFERROR(VLOOKUP(F2914,'Freq-Chan'!C:E,3,FALSE),"na")</f>
        <v>na</v>
      </c>
      <c r="Z2914" s="110" t="s">
        <v>541</v>
      </c>
      <c r="AA2914" s="110" t="s">
        <v>541</v>
      </c>
      <c r="AB2914" s="110" t="s">
        <v>541</v>
      </c>
      <c r="AC2914" s="10" t="s">
        <v>541</v>
      </c>
      <c r="AD2914" s="10" t="s">
        <v>541</v>
      </c>
    </row>
    <row r="2915" spans="1:30" s="291" customFormat="1" x14ac:dyDescent="0.2">
      <c r="A2915" s="493">
        <v>2915</v>
      </c>
      <c r="B2915" s="283">
        <v>41868</v>
      </c>
      <c r="C2915" s="284">
        <v>1</v>
      </c>
      <c r="D2915" s="285" t="s">
        <v>70</v>
      </c>
      <c r="E2915" s="285" t="s">
        <v>306</v>
      </c>
      <c r="F2915" s="285"/>
      <c r="G2915" s="285"/>
      <c r="H2915" s="285"/>
      <c r="I2915" s="285">
        <v>43</v>
      </c>
      <c r="J2915" s="285"/>
      <c r="K2915" s="285" t="s">
        <v>365</v>
      </c>
      <c r="L2915" s="286"/>
      <c r="M2915" s="287">
        <v>1.1805555555555555E-2</v>
      </c>
      <c r="N2915" s="288" t="s">
        <v>3393</v>
      </c>
      <c r="O2915" s="286" t="s">
        <v>1585</v>
      </c>
      <c r="P2915" s="289" t="s">
        <v>4052</v>
      </c>
      <c r="Q2915" s="289" t="s">
        <v>4285</v>
      </c>
      <c r="R2915" s="290" t="s">
        <v>4280</v>
      </c>
      <c r="S2915" s="494" t="str">
        <f t="shared" si="94"/>
        <v>x</v>
      </c>
      <c r="T2915" s="495" t="str">
        <f>IFERROR(VLOOKUP(F2915,'Freq-Chan'!C:D,2,FALSE),"x")</f>
        <v>x</v>
      </c>
      <c r="U2915" s="493" t="s">
        <v>541</v>
      </c>
      <c r="V2915" s="493" t="str">
        <f t="shared" si="95"/>
        <v>FWL</v>
      </c>
      <c r="W2915" s="493" t="s">
        <v>541</v>
      </c>
      <c r="X2915" s="493" t="s">
        <v>541</v>
      </c>
      <c r="Y2915" s="493" t="str">
        <f>IFERROR(VLOOKUP(F2915,'Freq-Chan'!C:E,3,FALSE),"na")</f>
        <v>na</v>
      </c>
      <c r="Z2915" s="493" t="s">
        <v>541</v>
      </c>
      <c r="AA2915" s="493" t="s">
        <v>541</v>
      </c>
      <c r="AB2915" s="493" t="s">
        <v>541</v>
      </c>
      <c r="AC2915" s="291" t="s">
        <v>541</v>
      </c>
      <c r="AD2915" s="291" t="s">
        <v>541</v>
      </c>
    </row>
    <row r="2916" spans="1:30" x14ac:dyDescent="0.2">
      <c r="A2916" s="110">
        <v>2916</v>
      </c>
      <c r="B2916" s="132">
        <v>41868</v>
      </c>
      <c r="C2916" s="117">
        <v>2</v>
      </c>
      <c r="D2916" s="103" t="s">
        <v>71</v>
      </c>
      <c r="E2916" s="103" t="s">
        <v>306</v>
      </c>
      <c r="H2916" s="103"/>
      <c r="I2916" s="103">
        <v>53</v>
      </c>
      <c r="K2916" s="103" t="s">
        <v>1032</v>
      </c>
      <c r="L2916" s="133"/>
      <c r="M2916" s="134">
        <v>1.3194444444444444E-2</v>
      </c>
      <c r="N2916" s="137" t="s">
        <v>2653</v>
      </c>
      <c r="O2916" s="133" t="s">
        <v>1538</v>
      </c>
      <c r="Q2916" s="100" t="s">
        <v>4286</v>
      </c>
      <c r="R2916" s="226" t="s">
        <v>4280</v>
      </c>
      <c r="S2916" s="491" t="str">
        <f t="shared" si="94"/>
        <v>x</v>
      </c>
      <c r="T2916" s="492" t="str">
        <f>IFERROR(VLOOKUP(F2916,'Freq-Chan'!C:D,2,FALSE),"x")</f>
        <v>x</v>
      </c>
      <c r="U2916" s="110" t="s">
        <v>541</v>
      </c>
      <c r="V2916" s="110" t="str">
        <f t="shared" si="95"/>
        <v>FWL</v>
      </c>
      <c r="W2916" s="110" t="s">
        <v>541</v>
      </c>
      <c r="X2916" s="110" t="s">
        <v>541</v>
      </c>
      <c r="Y2916" s="110" t="str">
        <f>IFERROR(VLOOKUP(F2916,'Freq-Chan'!C:E,3,FALSE),"na")</f>
        <v>na</v>
      </c>
      <c r="Z2916" s="110" t="s">
        <v>541</v>
      </c>
      <c r="AA2916" s="110" t="s">
        <v>541</v>
      </c>
      <c r="AB2916" s="110" t="s">
        <v>541</v>
      </c>
      <c r="AC2916" s="10" t="s">
        <v>541</v>
      </c>
      <c r="AD2916" s="10" t="s">
        <v>541</v>
      </c>
    </row>
    <row r="2917" spans="1:30" x14ac:dyDescent="0.2">
      <c r="A2917" s="110">
        <v>2917</v>
      </c>
      <c r="B2917" s="132">
        <v>41868</v>
      </c>
      <c r="C2917" s="117">
        <v>2</v>
      </c>
      <c r="D2917" s="103" t="s">
        <v>71</v>
      </c>
      <c r="E2917" s="103" t="s">
        <v>306</v>
      </c>
      <c r="H2917" s="103"/>
      <c r="I2917" s="103">
        <v>60</v>
      </c>
      <c r="K2917" s="103" t="s">
        <v>365</v>
      </c>
      <c r="L2917" s="133"/>
      <c r="M2917" s="134">
        <v>1.7361111111111112E-2</v>
      </c>
      <c r="N2917" s="135" t="s">
        <v>1796</v>
      </c>
      <c r="O2917" s="133" t="s">
        <v>1538</v>
      </c>
      <c r="Q2917" s="100" t="s">
        <v>4286</v>
      </c>
      <c r="R2917" s="226" t="s">
        <v>4280</v>
      </c>
      <c r="S2917" s="491" t="str">
        <f t="shared" si="94"/>
        <v>x</v>
      </c>
      <c r="T2917" s="492" t="str">
        <f>IFERROR(VLOOKUP(F2917,'Freq-Chan'!C:D,2,FALSE),"x")</f>
        <v>x</v>
      </c>
      <c r="U2917" s="110" t="s">
        <v>541</v>
      </c>
      <c r="V2917" s="110" t="str">
        <f t="shared" si="95"/>
        <v>FWL</v>
      </c>
      <c r="W2917" s="110" t="s">
        <v>541</v>
      </c>
      <c r="X2917" s="110" t="s">
        <v>541</v>
      </c>
      <c r="Y2917" s="110" t="str">
        <f>IFERROR(VLOOKUP(F2917,'Freq-Chan'!C:E,3,FALSE),"na")</f>
        <v>na</v>
      </c>
      <c r="Z2917" s="110" t="s">
        <v>541</v>
      </c>
      <c r="AA2917" s="110" t="s">
        <v>541</v>
      </c>
      <c r="AB2917" s="110" t="s">
        <v>541</v>
      </c>
      <c r="AC2917" s="10" t="s">
        <v>541</v>
      </c>
      <c r="AD2917" s="10" t="s">
        <v>541</v>
      </c>
    </row>
    <row r="2918" spans="1:30" x14ac:dyDescent="0.2">
      <c r="A2918" s="110">
        <v>2918</v>
      </c>
      <c r="B2918" s="132">
        <v>41868</v>
      </c>
      <c r="C2918" s="117">
        <v>2</v>
      </c>
      <c r="D2918" s="103" t="s">
        <v>71</v>
      </c>
      <c r="E2918" s="103" t="s">
        <v>306</v>
      </c>
      <c r="H2918" s="103"/>
      <c r="I2918" s="103">
        <v>56</v>
      </c>
      <c r="K2918" s="103" t="s">
        <v>365</v>
      </c>
      <c r="L2918" s="133"/>
      <c r="M2918" s="134">
        <v>1.3194444444444444E-2</v>
      </c>
      <c r="N2918" s="137" t="s">
        <v>1651</v>
      </c>
      <c r="O2918" s="133" t="s">
        <v>1538</v>
      </c>
      <c r="Q2918" s="100" t="s">
        <v>4286</v>
      </c>
      <c r="R2918" s="226" t="s">
        <v>4280</v>
      </c>
      <c r="S2918" s="491" t="str">
        <f t="shared" si="94"/>
        <v>x</v>
      </c>
      <c r="T2918" s="492" t="str">
        <f>IFERROR(VLOOKUP(F2918,'Freq-Chan'!C:D,2,FALSE),"x")</f>
        <v>x</v>
      </c>
      <c r="U2918" s="110" t="s">
        <v>541</v>
      </c>
      <c r="V2918" s="110" t="str">
        <f t="shared" si="95"/>
        <v>FWL</v>
      </c>
      <c r="W2918" s="110" t="s">
        <v>541</v>
      </c>
      <c r="X2918" s="110" t="s">
        <v>541</v>
      </c>
      <c r="Y2918" s="110" t="str">
        <f>IFERROR(VLOOKUP(F2918,'Freq-Chan'!C:E,3,FALSE),"na")</f>
        <v>na</v>
      </c>
      <c r="Z2918" s="110" t="s">
        <v>541</v>
      </c>
      <c r="AA2918" s="110" t="s">
        <v>541</v>
      </c>
      <c r="AB2918" s="110" t="s">
        <v>541</v>
      </c>
      <c r="AC2918" s="10" t="s">
        <v>541</v>
      </c>
      <c r="AD2918" s="10" t="s">
        <v>541</v>
      </c>
    </row>
    <row r="2919" spans="1:30" x14ac:dyDescent="0.2">
      <c r="A2919" s="110">
        <v>2919</v>
      </c>
      <c r="B2919" s="132">
        <v>41868</v>
      </c>
      <c r="C2919" s="117">
        <v>2</v>
      </c>
      <c r="D2919" s="103" t="s">
        <v>71</v>
      </c>
      <c r="E2919" s="103" t="s">
        <v>306</v>
      </c>
      <c r="H2919" s="103"/>
      <c r="I2919" s="103">
        <v>60</v>
      </c>
      <c r="K2919" s="103" t="s">
        <v>365</v>
      </c>
      <c r="L2919" s="133"/>
      <c r="M2919" s="134">
        <v>1.4583333333333332E-2</v>
      </c>
      <c r="N2919" s="135" t="s">
        <v>3930</v>
      </c>
      <c r="O2919" s="133" t="s">
        <v>1538</v>
      </c>
      <c r="Q2919" s="100" t="s">
        <v>4286</v>
      </c>
      <c r="R2919" s="226" t="s">
        <v>4280</v>
      </c>
      <c r="S2919" s="491" t="str">
        <f t="shared" si="94"/>
        <v>x</v>
      </c>
      <c r="T2919" s="492" t="str">
        <f>IFERROR(VLOOKUP(F2919,'Freq-Chan'!C:D,2,FALSE),"x")</f>
        <v>x</v>
      </c>
      <c r="U2919" s="110" t="s">
        <v>541</v>
      </c>
      <c r="V2919" s="110" t="str">
        <f t="shared" si="95"/>
        <v>FWL</v>
      </c>
      <c r="W2919" s="110" t="s">
        <v>541</v>
      </c>
      <c r="X2919" s="110" t="s">
        <v>541</v>
      </c>
      <c r="Y2919" s="110" t="str">
        <f>IFERROR(VLOOKUP(F2919,'Freq-Chan'!C:E,3,FALSE),"na")</f>
        <v>na</v>
      </c>
      <c r="Z2919" s="110" t="s">
        <v>541</v>
      </c>
      <c r="AA2919" s="110" t="s">
        <v>541</v>
      </c>
      <c r="AB2919" s="110" t="s">
        <v>541</v>
      </c>
      <c r="AC2919" s="10" t="s">
        <v>541</v>
      </c>
      <c r="AD2919" s="10" t="s">
        <v>541</v>
      </c>
    </row>
    <row r="2920" spans="1:30" x14ac:dyDescent="0.2">
      <c r="A2920" s="110">
        <v>2920</v>
      </c>
      <c r="B2920" s="132">
        <v>41868</v>
      </c>
      <c r="C2920" s="117">
        <v>2</v>
      </c>
      <c r="D2920" s="103" t="s">
        <v>71</v>
      </c>
      <c r="E2920" s="103" t="s">
        <v>306</v>
      </c>
      <c r="F2920" s="103">
        <v>564</v>
      </c>
      <c r="G2920" s="103">
        <v>94</v>
      </c>
      <c r="H2920" s="103" t="s">
        <v>2466</v>
      </c>
      <c r="I2920" s="103">
        <v>55</v>
      </c>
      <c r="K2920" s="103" t="s">
        <v>365</v>
      </c>
      <c r="L2920" s="133"/>
      <c r="M2920" s="134">
        <v>5.6250000000000001E-2</v>
      </c>
      <c r="N2920" s="135" t="s">
        <v>4128</v>
      </c>
      <c r="O2920" s="133" t="s">
        <v>1532</v>
      </c>
      <c r="Q2920" s="100" t="s">
        <v>4288</v>
      </c>
      <c r="R2920" s="226" t="s">
        <v>4280</v>
      </c>
      <c r="S2920" s="491" t="str">
        <f t="shared" si="94"/>
        <v>x</v>
      </c>
      <c r="T2920" s="492">
        <f>IFERROR(VLOOKUP(F2920,'Freq-Chan'!C:D,2,FALSE),"x")</f>
        <v>151.56399999999999</v>
      </c>
      <c r="U2920" s="110" t="s">
        <v>541</v>
      </c>
      <c r="V2920" s="110" t="str">
        <f t="shared" si="95"/>
        <v>FWL</v>
      </c>
      <c r="W2920" s="110" t="s">
        <v>541</v>
      </c>
      <c r="X2920" s="110" t="s">
        <v>541</v>
      </c>
      <c r="Y2920" s="110" t="str">
        <f>IFERROR(VLOOKUP(F2920,'Freq-Chan'!C:E,3,FALSE),"na")</f>
        <v>F1840</v>
      </c>
      <c r="Z2920" s="110" t="s">
        <v>541</v>
      </c>
      <c r="AA2920" s="110" t="s">
        <v>541</v>
      </c>
      <c r="AB2920" s="110" t="s">
        <v>541</v>
      </c>
      <c r="AC2920" s="10" t="s">
        <v>541</v>
      </c>
      <c r="AD2920" s="10" t="s">
        <v>541</v>
      </c>
    </row>
    <row r="2921" spans="1:30" x14ac:dyDescent="0.2">
      <c r="A2921" s="110">
        <v>2921</v>
      </c>
      <c r="B2921" s="132">
        <v>41868</v>
      </c>
      <c r="C2921" s="117">
        <v>2</v>
      </c>
      <c r="D2921" s="103" t="s">
        <v>70</v>
      </c>
      <c r="E2921" s="103" t="s">
        <v>306</v>
      </c>
      <c r="H2921" s="103"/>
      <c r="I2921" s="103">
        <v>44</v>
      </c>
      <c r="K2921" s="103" t="s">
        <v>365</v>
      </c>
      <c r="L2921" s="133"/>
      <c r="M2921" s="134">
        <v>1.9444444444444445E-2</v>
      </c>
      <c r="N2921" s="137" t="s">
        <v>1915</v>
      </c>
      <c r="O2921" s="133" t="s">
        <v>1532</v>
      </c>
      <c r="Q2921" s="100" t="s">
        <v>4288</v>
      </c>
      <c r="R2921" s="226" t="s">
        <v>4280</v>
      </c>
      <c r="S2921" s="491" t="str">
        <f t="shared" si="94"/>
        <v>x</v>
      </c>
      <c r="T2921" s="492" t="str">
        <f>IFERROR(VLOOKUP(F2921,'Freq-Chan'!C:D,2,FALSE),"x")</f>
        <v>x</v>
      </c>
      <c r="U2921" s="110" t="s">
        <v>541</v>
      </c>
      <c r="V2921" s="110" t="str">
        <f t="shared" si="95"/>
        <v>FWL</v>
      </c>
      <c r="W2921" s="110" t="s">
        <v>541</v>
      </c>
      <c r="X2921" s="110" t="s">
        <v>541</v>
      </c>
      <c r="Y2921" s="110" t="str">
        <f>IFERROR(VLOOKUP(F2921,'Freq-Chan'!C:E,3,FALSE),"na")</f>
        <v>na</v>
      </c>
      <c r="Z2921" s="110" t="s">
        <v>541</v>
      </c>
      <c r="AA2921" s="110" t="s">
        <v>541</v>
      </c>
      <c r="AB2921" s="110" t="s">
        <v>541</v>
      </c>
      <c r="AC2921" s="10" t="s">
        <v>541</v>
      </c>
      <c r="AD2921" s="10" t="s">
        <v>541</v>
      </c>
    </row>
    <row r="2922" spans="1:30" x14ac:dyDescent="0.2">
      <c r="A2922" s="110">
        <v>2922</v>
      </c>
      <c r="B2922" s="132">
        <v>41868</v>
      </c>
      <c r="C2922" s="117">
        <v>2</v>
      </c>
      <c r="D2922" s="103" t="s">
        <v>71</v>
      </c>
      <c r="E2922" s="103" t="s">
        <v>306</v>
      </c>
      <c r="H2922" s="103"/>
      <c r="I2922" s="103">
        <v>55</v>
      </c>
      <c r="K2922" s="103" t="s">
        <v>365</v>
      </c>
      <c r="L2922" s="133"/>
      <c r="M2922" s="134">
        <v>2.2916666666666669E-2</v>
      </c>
      <c r="N2922" s="135" t="s">
        <v>4294</v>
      </c>
      <c r="O2922" s="133" t="s">
        <v>1532</v>
      </c>
      <c r="P2922" s="100" t="s">
        <v>4296</v>
      </c>
      <c r="Q2922" s="100" t="s">
        <v>4288</v>
      </c>
      <c r="R2922" s="226" t="s">
        <v>4280</v>
      </c>
      <c r="S2922" s="491" t="str">
        <f t="shared" si="94"/>
        <v>x</v>
      </c>
      <c r="T2922" s="492" t="str">
        <f>IFERROR(VLOOKUP(F2922,'Freq-Chan'!C:D,2,FALSE),"x")</f>
        <v>x</v>
      </c>
      <c r="U2922" s="110" t="s">
        <v>541</v>
      </c>
      <c r="V2922" s="110" t="str">
        <f t="shared" si="95"/>
        <v>FWL</v>
      </c>
      <c r="W2922" s="110" t="s">
        <v>541</v>
      </c>
      <c r="X2922" s="110" t="s">
        <v>541</v>
      </c>
      <c r="Y2922" s="110" t="str">
        <f>IFERROR(VLOOKUP(F2922,'Freq-Chan'!C:E,3,FALSE),"na")</f>
        <v>na</v>
      </c>
      <c r="Z2922" s="110" t="s">
        <v>541</v>
      </c>
      <c r="AA2922" s="110" t="s">
        <v>541</v>
      </c>
      <c r="AB2922" s="110" t="s">
        <v>541</v>
      </c>
      <c r="AC2922" s="10" t="s">
        <v>541</v>
      </c>
      <c r="AD2922" s="10" t="s">
        <v>541</v>
      </c>
    </row>
    <row r="2923" spans="1:30" x14ac:dyDescent="0.2">
      <c r="A2923" s="110">
        <v>2923</v>
      </c>
      <c r="B2923" s="132">
        <v>41868</v>
      </c>
      <c r="C2923" s="117">
        <v>2</v>
      </c>
      <c r="D2923" s="103" t="s">
        <v>71</v>
      </c>
      <c r="E2923" s="103" t="s">
        <v>306</v>
      </c>
      <c r="H2923" s="103"/>
      <c r="I2923" s="103">
        <v>57</v>
      </c>
      <c r="K2923" s="103" t="s">
        <v>1032</v>
      </c>
      <c r="L2923" s="133"/>
      <c r="M2923" s="134">
        <v>2.2222222222222223E-2</v>
      </c>
      <c r="N2923" s="135" t="s">
        <v>4295</v>
      </c>
      <c r="O2923" s="133" t="s">
        <v>1585</v>
      </c>
      <c r="Q2923" s="100" t="s">
        <v>4288</v>
      </c>
      <c r="R2923" s="226" t="s">
        <v>4280</v>
      </c>
      <c r="S2923" s="491" t="str">
        <f t="shared" si="94"/>
        <v>x</v>
      </c>
      <c r="T2923" s="492" t="str">
        <f>IFERROR(VLOOKUP(F2923,'Freq-Chan'!C:D,2,FALSE),"x")</f>
        <v>x</v>
      </c>
      <c r="U2923" s="110" t="s">
        <v>541</v>
      </c>
      <c r="V2923" s="110" t="str">
        <f t="shared" si="95"/>
        <v>FWL</v>
      </c>
      <c r="W2923" s="110" t="s">
        <v>541</v>
      </c>
      <c r="X2923" s="110" t="s">
        <v>541</v>
      </c>
      <c r="Y2923" s="110" t="str">
        <f>IFERROR(VLOOKUP(F2923,'Freq-Chan'!C:E,3,FALSE),"na")</f>
        <v>na</v>
      </c>
      <c r="Z2923" s="110" t="s">
        <v>541</v>
      </c>
      <c r="AA2923" s="110" t="s">
        <v>541</v>
      </c>
      <c r="AB2923" s="110" t="s">
        <v>541</v>
      </c>
      <c r="AC2923" s="10" t="s">
        <v>541</v>
      </c>
      <c r="AD2923" s="10" t="s">
        <v>541</v>
      </c>
    </row>
    <row r="2924" spans="1:30" x14ac:dyDescent="0.2">
      <c r="A2924" s="110">
        <v>2924</v>
      </c>
      <c r="B2924" s="132">
        <v>41868</v>
      </c>
      <c r="C2924" s="117">
        <v>2</v>
      </c>
      <c r="D2924" s="103" t="s">
        <v>71</v>
      </c>
      <c r="E2924" s="103" t="s">
        <v>306</v>
      </c>
      <c r="H2924" s="103"/>
      <c r="I2924" s="103">
        <v>54</v>
      </c>
      <c r="K2924" s="103" t="s">
        <v>365</v>
      </c>
      <c r="L2924" s="133"/>
      <c r="M2924" s="134">
        <v>1.4583333333333332E-2</v>
      </c>
      <c r="N2924" s="135" t="s">
        <v>715</v>
      </c>
      <c r="O2924" s="133" t="s">
        <v>1585</v>
      </c>
      <c r="Q2924" s="100" t="s">
        <v>4288</v>
      </c>
      <c r="R2924" s="226" t="s">
        <v>4280</v>
      </c>
      <c r="S2924" s="491" t="str">
        <f t="shared" si="94"/>
        <v>x</v>
      </c>
      <c r="T2924" s="492" t="str">
        <f>IFERROR(VLOOKUP(F2924,'Freq-Chan'!C:D,2,FALSE),"x")</f>
        <v>x</v>
      </c>
      <c r="U2924" s="110" t="s">
        <v>541</v>
      </c>
      <c r="V2924" s="110" t="str">
        <f t="shared" si="95"/>
        <v>FWL</v>
      </c>
      <c r="W2924" s="110" t="s">
        <v>541</v>
      </c>
      <c r="X2924" s="110" t="s">
        <v>541</v>
      </c>
      <c r="Y2924" s="110" t="str">
        <f>IFERROR(VLOOKUP(F2924,'Freq-Chan'!C:E,3,FALSE),"na")</f>
        <v>na</v>
      </c>
      <c r="Z2924" s="110" t="s">
        <v>541</v>
      </c>
      <c r="AA2924" s="110" t="s">
        <v>541</v>
      </c>
      <c r="AB2924" s="110" t="s">
        <v>541</v>
      </c>
      <c r="AC2924" s="10" t="s">
        <v>541</v>
      </c>
      <c r="AD2924" s="10" t="s">
        <v>541</v>
      </c>
    </row>
    <row r="2925" spans="1:30" s="291" customFormat="1" x14ac:dyDescent="0.2">
      <c r="A2925" s="493">
        <v>2925</v>
      </c>
      <c r="B2925" s="283">
        <v>41868</v>
      </c>
      <c r="C2925" s="284">
        <v>2</v>
      </c>
      <c r="D2925" s="285" t="s">
        <v>72</v>
      </c>
      <c r="E2925" s="285" t="s">
        <v>306</v>
      </c>
      <c r="F2925" s="285"/>
      <c r="G2925" s="285"/>
      <c r="H2925" s="285"/>
      <c r="I2925" s="285">
        <v>59</v>
      </c>
      <c r="J2925" s="285"/>
      <c r="K2925" s="285" t="s">
        <v>365</v>
      </c>
      <c r="L2925" s="286"/>
      <c r="M2925" s="287">
        <v>1.9444444444444445E-2</v>
      </c>
      <c r="N2925" s="288" t="s">
        <v>3365</v>
      </c>
      <c r="O2925" s="286" t="s">
        <v>1585</v>
      </c>
      <c r="P2925" s="289"/>
      <c r="Q2925" s="289" t="s">
        <v>4288</v>
      </c>
      <c r="R2925" s="290" t="s">
        <v>4280</v>
      </c>
      <c r="S2925" s="494" t="str">
        <f t="shared" si="94"/>
        <v>x</v>
      </c>
      <c r="T2925" s="495" t="str">
        <f>IFERROR(VLOOKUP(F2925,'Freq-Chan'!C:D,2,FALSE),"x")</f>
        <v>x</v>
      </c>
      <c r="U2925" s="493" t="s">
        <v>541</v>
      </c>
      <c r="V2925" s="493" t="str">
        <f t="shared" si="95"/>
        <v>FWL</v>
      </c>
      <c r="W2925" s="493" t="s">
        <v>541</v>
      </c>
      <c r="X2925" s="493" t="s">
        <v>541</v>
      </c>
      <c r="Y2925" s="493" t="str">
        <f>IFERROR(VLOOKUP(F2925,'Freq-Chan'!C:E,3,FALSE),"na")</f>
        <v>na</v>
      </c>
      <c r="Z2925" s="493" t="s">
        <v>541</v>
      </c>
      <c r="AA2925" s="493" t="s">
        <v>541</v>
      </c>
      <c r="AB2925" s="493" t="s">
        <v>541</v>
      </c>
      <c r="AC2925" s="291" t="s">
        <v>541</v>
      </c>
      <c r="AD2925" s="291" t="s">
        <v>541</v>
      </c>
    </row>
    <row r="2926" spans="1:30" x14ac:dyDescent="0.2">
      <c r="A2926" s="110">
        <v>2926</v>
      </c>
      <c r="B2926" s="132">
        <v>41868</v>
      </c>
      <c r="C2926" s="117">
        <v>3</v>
      </c>
      <c r="D2926" s="103" t="s">
        <v>70</v>
      </c>
      <c r="E2926" s="103" t="s">
        <v>306</v>
      </c>
      <c r="F2926" s="103">
        <v>515</v>
      </c>
      <c r="G2926" s="103">
        <v>83</v>
      </c>
      <c r="H2926" s="103" t="s">
        <v>3142</v>
      </c>
      <c r="I2926" s="103">
        <v>46</v>
      </c>
      <c r="K2926" s="103" t="s">
        <v>365</v>
      </c>
      <c r="L2926" s="133">
        <v>0.43124999999999997</v>
      </c>
      <c r="M2926" s="134">
        <v>4.9999999999999996E-2</v>
      </c>
      <c r="N2926" s="135" t="s">
        <v>4000</v>
      </c>
      <c r="O2926" s="133" t="s">
        <v>1585</v>
      </c>
      <c r="Q2926" s="100" t="s">
        <v>4285</v>
      </c>
      <c r="R2926" s="226" t="s">
        <v>4280</v>
      </c>
      <c r="S2926" s="491">
        <f t="shared" si="94"/>
        <v>2.6388889000000001E-3</v>
      </c>
      <c r="T2926" s="492">
        <f>IFERROR(VLOOKUP(F2926,'Freq-Chan'!C:D,2,FALSE),"x")</f>
        <v>151.51499999999999</v>
      </c>
      <c r="U2926" s="110" t="s">
        <v>541</v>
      </c>
      <c r="V2926" s="110" t="str">
        <f t="shared" si="95"/>
        <v>FWL</v>
      </c>
      <c r="W2926" s="110" t="s">
        <v>541</v>
      </c>
      <c r="X2926" s="110" t="s">
        <v>541</v>
      </c>
      <c r="Y2926" s="110" t="str">
        <f>IFERROR(VLOOKUP(F2926,'Freq-Chan'!C:E,3,FALSE),"na")</f>
        <v>F1835</v>
      </c>
      <c r="Z2926" s="110" t="s">
        <v>541</v>
      </c>
      <c r="AA2926" s="110" t="s">
        <v>541</v>
      </c>
      <c r="AB2926" s="110" t="s">
        <v>541</v>
      </c>
      <c r="AC2926" s="10" t="s">
        <v>541</v>
      </c>
      <c r="AD2926" s="10" t="s">
        <v>541</v>
      </c>
    </row>
    <row r="2927" spans="1:30" x14ac:dyDescent="0.2">
      <c r="A2927" s="110">
        <v>2927</v>
      </c>
      <c r="B2927" s="132">
        <v>41868</v>
      </c>
      <c r="C2927" s="117">
        <v>3</v>
      </c>
      <c r="D2927" s="103" t="s">
        <v>70</v>
      </c>
      <c r="E2927" s="103" t="s">
        <v>306</v>
      </c>
      <c r="H2927" s="103"/>
      <c r="I2927" s="103">
        <v>45</v>
      </c>
      <c r="K2927" s="103" t="s">
        <v>1032</v>
      </c>
      <c r="L2927" s="133"/>
      <c r="M2927" s="134">
        <v>1.9444444444444445E-2</v>
      </c>
      <c r="N2927" s="135" t="s">
        <v>395</v>
      </c>
      <c r="O2927" s="133" t="s">
        <v>1532</v>
      </c>
      <c r="P2927" s="100" t="s">
        <v>4300</v>
      </c>
      <c r="Q2927" s="100" t="s">
        <v>4285</v>
      </c>
      <c r="R2927" s="226" t="s">
        <v>4280</v>
      </c>
      <c r="S2927" s="491" t="str">
        <f t="shared" si="94"/>
        <v>x</v>
      </c>
      <c r="T2927" s="492" t="str">
        <f>IFERROR(VLOOKUP(F2927,'Freq-Chan'!C:D,2,FALSE),"x")</f>
        <v>x</v>
      </c>
      <c r="U2927" s="110" t="s">
        <v>541</v>
      </c>
      <c r="V2927" s="110" t="str">
        <f t="shared" si="95"/>
        <v>FWL</v>
      </c>
      <c r="W2927" s="110" t="s">
        <v>541</v>
      </c>
      <c r="X2927" s="110" t="s">
        <v>541</v>
      </c>
      <c r="Y2927" s="110" t="str">
        <f>IFERROR(VLOOKUP(F2927,'Freq-Chan'!C:E,3,FALSE),"na")</f>
        <v>na</v>
      </c>
      <c r="Z2927" s="110" t="s">
        <v>541</v>
      </c>
      <c r="AA2927" s="110" t="s">
        <v>541</v>
      </c>
      <c r="AB2927" s="110" t="s">
        <v>541</v>
      </c>
      <c r="AC2927" s="10" t="s">
        <v>541</v>
      </c>
      <c r="AD2927" s="10" t="s">
        <v>541</v>
      </c>
    </row>
    <row r="2928" spans="1:30" x14ac:dyDescent="0.2">
      <c r="A2928" s="110">
        <v>2928</v>
      </c>
      <c r="B2928" s="132">
        <v>41868</v>
      </c>
      <c r="C2928" s="117">
        <v>3</v>
      </c>
      <c r="D2928" s="103" t="s">
        <v>70</v>
      </c>
      <c r="E2928" s="103" t="s">
        <v>306</v>
      </c>
      <c r="H2928" s="103"/>
      <c r="I2928" s="103">
        <v>50</v>
      </c>
      <c r="K2928" s="103" t="s">
        <v>1032</v>
      </c>
      <c r="L2928" s="133"/>
      <c r="M2928" s="134">
        <v>1.4583333333333332E-2</v>
      </c>
      <c r="N2928" s="135" t="s">
        <v>3424</v>
      </c>
      <c r="O2928" s="133" t="s">
        <v>1532</v>
      </c>
      <c r="Q2928" s="100" t="s">
        <v>4285</v>
      </c>
      <c r="R2928" s="226" t="s">
        <v>4280</v>
      </c>
      <c r="S2928" s="491" t="str">
        <f t="shared" si="94"/>
        <v>x</v>
      </c>
      <c r="T2928" s="492" t="str">
        <f>IFERROR(VLOOKUP(F2928,'Freq-Chan'!C:D,2,FALSE),"x")</f>
        <v>x</v>
      </c>
      <c r="U2928" s="110" t="s">
        <v>541</v>
      </c>
      <c r="V2928" s="110" t="str">
        <f t="shared" si="95"/>
        <v>FWL</v>
      </c>
      <c r="W2928" s="110" t="s">
        <v>541</v>
      </c>
      <c r="X2928" s="110" t="s">
        <v>541</v>
      </c>
      <c r="Y2928" s="110" t="str">
        <f>IFERROR(VLOOKUP(F2928,'Freq-Chan'!C:E,3,FALSE),"na")</f>
        <v>na</v>
      </c>
      <c r="Z2928" s="110" t="s">
        <v>541</v>
      </c>
      <c r="AA2928" s="110" t="s">
        <v>541</v>
      </c>
      <c r="AB2928" s="110" t="s">
        <v>541</v>
      </c>
      <c r="AC2928" s="10" t="s">
        <v>541</v>
      </c>
      <c r="AD2928" s="10" t="s">
        <v>541</v>
      </c>
    </row>
    <row r="2929" spans="1:30" x14ac:dyDescent="0.2">
      <c r="A2929" s="110">
        <v>2929</v>
      </c>
      <c r="B2929" s="132">
        <v>41868</v>
      </c>
      <c r="C2929" s="117">
        <v>3</v>
      </c>
      <c r="D2929" s="103" t="s">
        <v>71</v>
      </c>
      <c r="E2929" s="103" t="s">
        <v>306</v>
      </c>
      <c r="F2929" s="103">
        <v>534</v>
      </c>
      <c r="G2929" s="103">
        <v>26</v>
      </c>
      <c r="H2929" s="103" t="s">
        <v>2461</v>
      </c>
      <c r="I2929" s="103">
        <v>60</v>
      </c>
      <c r="K2929" s="103" t="s">
        <v>1032</v>
      </c>
      <c r="L2929" s="133">
        <v>0.4458333333333333</v>
      </c>
      <c r="M2929" s="134">
        <v>3.888888888888889E-2</v>
      </c>
      <c r="N2929" s="135" t="s">
        <v>3716</v>
      </c>
      <c r="O2929" s="133" t="s">
        <v>1585</v>
      </c>
      <c r="Q2929" s="100" t="s">
        <v>4285</v>
      </c>
      <c r="R2929" s="226" t="s">
        <v>4280</v>
      </c>
      <c r="S2929" s="491">
        <f t="shared" si="94"/>
        <v>7.4074069999999995E-4</v>
      </c>
      <c r="T2929" s="492">
        <f>IFERROR(VLOOKUP(F2929,'Freq-Chan'!C:D,2,FALSE),"x")</f>
        <v>151.53399999999999</v>
      </c>
      <c r="U2929" s="110" t="s">
        <v>541</v>
      </c>
      <c r="V2929" s="110" t="str">
        <f t="shared" si="95"/>
        <v>FWL</v>
      </c>
      <c r="W2929" s="110" t="s">
        <v>541</v>
      </c>
      <c r="X2929" s="110" t="s">
        <v>541</v>
      </c>
      <c r="Y2929" s="110" t="str">
        <f>IFERROR(VLOOKUP(F2929,'Freq-Chan'!C:E,3,FALSE),"na")</f>
        <v>F1840</v>
      </c>
      <c r="Z2929" s="110" t="s">
        <v>541</v>
      </c>
      <c r="AA2929" s="110" t="s">
        <v>541</v>
      </c>
      <c r="AB2929" s="110" t="s">
        <v>541</v>
      </c>
      <c r="AC2929" s="10" t="s">
        <v>541</v>
      </c>
      <c r="AD2929" s="10" t="s">
        <v>541</v>
      </c>
    </row>
    <row r="2930" spans="1:30" x14ac:dyDescent="0.2">
      <c r="A2930" s="110">
        <v>2930</v>
      </c>
      <c r="B2930" s="132">
        <v>41868</v>
      </c>
      <c r="C2930" s="117">
        <v>3</v>
      </c>
      <c r="D2930" s="103" t="s">
        <v>71</v>
      </c>
      <c r="E2930" s="103" t="s">
        <v>306</v>
      </c>
      <c r="H2930" s="103"/>
      <c r="I2930" s="103">
        <v>61</v>
      </c>
      <c r="K2930" s="103" t="s">
        <v>365</v>
      </c>
      <c r="L2930" s="133"/>
      <c r="M2930" s="134">
        <v>1.5277777777777777E-2</v>
      </c>
      <c r="N2930" s="135" t="s">
        <v>722</v>
      </c>
      <c r="O2930" s="133" t="s">
        <v>1033</v>
      </c>
      <c r="Q2930" s="100" t="s">
        <v>4290</v>
      </c>
      <c r="R2930" s="226" t="s">
        <v>4280</v>
      </c>
      <c r="S2930" s="491" t="str">
        <f t="shared" ref="S2930:S2993" si="97">IF(IF(OR(L2930=0,N2930=0),"x",ROUND(N2930-L2930-(M2930*24)/(24*60),10))&lt;0,0,IF(OR(L2930=0,N2930=0),"x",ROUND(N2930-L2930-(M2930*24)/(24*60),10)))</f>
        <v>x</v>
      </c>
      <c r="T2930" s="492" t="str">
        <f>IFERROR(VLOOKUP(F2930,'Freq-Chan'!C:D,2,FALSE),"x")</f>
        <v>x</v>
      </c>
      <c r="U2930" s="110" t="s">
        <v>541</v>
      </c>
      <c r="V2930" s="110" t="str">
        <f t="shared" ref="V2930:V2993" si="98">IF(OR(C2930=1,C2930=2,C2930=3),"FWL","NRD")</f>
        <v>FWL</v>
      </c>
      <c r="W2930" s="110" t="s">
        <v>541</v>
      </c>
      <c r="X2930" s="110" t="s">
        <v>541</v>
      </c>
      <c r="Y2930" s="110" t="str">
        <f>IFERROR(VLOOKUP(F2930,'Freq-Chan'!C:E,3,FALSE),"na")</f>
        <v>na</v>
      </c>
      <c r="Z2930" s="110" t="s">
        <v>541</v>
      </c>
      <c r="AA2930" s="110" t="s">
        <v>541</v>
      </c>
      <c r="AB2930" s="110" t="s">
        <v>541</v>
      </c>
      <c r="AC2930" s="10" t="s">
        <v>541</v>
      </c>
      <c r="AD2930" s="10" t="s">
        <v>541</v>
      </c>
    </row>
    <row r="2931" spans="1:30" x14ac:dyDescent="0.2">
      <c r="A2931" s="110">
        <v>2931</v>
      </c>
      <c r="B2931" s="132">
        <v>41868</v>
      </c>
      <c r="C2931" s="117">
        <v>3</v>
      </c>
      <c r="D2931" s="103" t="s">
        <v>72</v>
      </c>
      <c r="E2931" s="103" t="s">
        <v>306</v>
      </c>
      <c r="F2931" s="103">
        <v>325</v>
      </c>
      <c r="G2931" s="103">
        <v>3</v>
      </c>
      <c r="H2931" s="103" t="s">
        <v>3607</v>
      </c>
      <c r="I2931" s="103">
        <v>56</v>
      </c>
      <c r="K2931" s="103" t="s">
        <v>365</v>
      </c>
      <c r="L2931" s="133"/>
      <c r="M2931" s="134">
        <v>4.8611111111111112E-2</v>
      </c>
      <c r="N2931" s="135" t="s">
        <v>4105</v>
      </c>
      <c r="O2931" s="133" t="s">
        <v>1033</v>
      </c>
      <c r="P2931" s="100" t="s">
        <v>4007</v>
      </c>
      <c r="Q2931" s="100" t="s">
        <v>4290</v>
      </c>
      <c r="R2931" s="226" t="s">
        <v>4280</v>
      </c>
      <c r="S2931" s="491" t="str">
        <f t="shared" si="97"/>
        <v>x</v>
      </c>
      <c r="T2931" s="492">
        <f>IFERROR(VLOOKUP(F2931,'Freq-Chan'!C:D,2,FALSE),"x")</f>
        <v>151.32499999999999</v>
      </c>
      <c r="U2931" s="110" t="s">
        <v>541</v>
      </c>
      <c r="V2931" s="110" t="str">
        <f t="shared" si="98"/>
        <v>FWL</v>
      </c>
      <c r="W2931" s="110" t="s">
        <v>541</v>
      </c>
      <c r="X2931" s="110" t="s">
        <v>541</v>
      </c>
      <c r="Y2931" s="110" t="str">
        <f>IFERROR(VLOOKUP(F2931,'Freq-Chan'!C:E,3,FALSE),"na")</f>
        <v>F1840</v>
      </c>
      <c r="Z2931" s="110" t="s">
        <v>541</v>
      </c>
      <c r="AA2931" s="110" t="s">
        <v>541</v>
      </c>
      <c r="AB2931" s="110" t="s">
        <v>541</v>
      </c>
      <c r="AC2931" s="10" t="s">
        <v>541</v>
      </c>
      <c r="AD2931" s="10" t="s">
        <v>541</v>
      </c>
    </row>
    <row r="2932" spans="1:30" x14ac:dyDescent="0.2">
      <c r="A2932" s="110">
        <v>2932</v>
      </c>
      <c r="B2932" s="132">
        <v>41868</v>
      </c>
      <c r="C2932" s="117">
        <v>3</v>
      </c>
      <c r="D2932" s="103" t="s">
        <v>72</v>
      </c>
      <c r="E2932" s="103" t="s">
        <v>306</v>
      </c>
      <c r="F2932" s="103">
        <v>325</v>
      </c>
      <c r="G2932" s="103">
        <v>32</v>
      </c>
      <c r="H2932" s="103" t="s">
        <v>3611</v>
      </c>
      <c r="I2932" s="103">
        <v>57</v>
      </c>
      <c r="K2932" s="103" t="s">
        <v>1032</v>
      </c>
      <c r="L2932" s="133"/>
      <c r="M2932" s="134">
        <v>3.9583333333333331E-2</v>
      </c>
      <c r="N2932" s="135" t="s">
        <v>825</v>
      </c>
      <c r="O2932" s="133" t="s">
        <v>1033</v>
      </c>
      <c r="P2932" s="100" t="s">
        <v>4301</v>
      </c>
      <c r="Q2932" s="100" t="s">
        <v>4290</v>
      </c>
      <c r="R2932" s="226" t="s">
        <v>4280</v>
      </c>
      <c r="S2932" s="491" t="str">
        <f t="shared" si="97"/>
        <v>x</v>
      </c>
      <c r="T2932" s="492">
        <f>IFERROR(VLOOKUP(F2932,'Freq-Chan'!C:D,2,FALSE),"x")</f>
        <v>151.32499999999999</v>
      </c>
      <c r="U2932" s="110" t="s">
        <v>541</v>
      </c>
      <c r="V2932" s="110" t="str">
        <f t="shared" si="98"/>
        <v>FWL</v>
      </c>
      <c r="W2932" s="110" t="s">
        <v>541</v>
      </c>
      <c r="X2932" s="110" t="s">
        <v>541</v>
      </c>
      <c r="Y2932" s="110" t="str">
        <f>IFERROR(VLOOKUP(F2932,'Freq-Chan'!C:E,3,FALSE),"na")</f>
        <v>F1840</v>
      </c>
      <c r="Z2932" s="110" t="s">
        <v>541</v>
      </c>
      <c r="AA2932" s="110" t="s">
        <v>541</v>
      </c>
      <c r="AB2932" s="110" t="s">
        <v>541</v>
      </c>
      <c r="AC2932" s="10" t="s">
        <v>541</v>
      </c>
      <c r="AD2932" s="10" t="s">
        <v>541</v>
      </c>
    </row>
    <row r="2933" spans="1:30" x14ac:dyDescent="0.2">
      <c r="A2933" s="110">
        <v>2933</v>
      </c>
      <c r="B2933" s="132">
        <v>41868</v>
      </c>
      <c r="C2933" s="117">
        <v>3</v>
      </c>
      <c r="D2933" s="103" t="s">
        <v>72</v>
      </c>
      <c r="E2933" s="103" t="s">
        <v>306</v>
      </c>
      <c r="F2933" s="103">
        <v>266</v>
      </c>
      <c r="G2933" s="103">
        <v>19</v>
      </c>
      <c r="H2933" s="103" t="s">
        <v>3612</v>
      </c>
      <c r="I2933" s="103">
        <v>59</v>
      </c>
      <c r="K2933" s="103" t="s">
        <v>1032</v>
      </c>
      <c r="L2933" s="133">
        <v>0.54513888888888895</v>
      </c>
      <c r="M2933" s="134">
        <v>6.0416666666666667E-2</v>
      </c>
      <c r="N2933" s="135" t="s">
        <v>3286</v>
      </c>
      <c r="O2933" s="133" t="s">
        <v>372</v>
      </c>
      <c r="P2933" s="100" t="s">
        <v>4466</v>
      </c>
      <c r="Q2933" s="100" t="s">
        <v>4290</v>
      </c>
      <c r="R2933" s="226" t="s">
        <v>4280</v>
      </c>
      <c r="S2933" s="491">
        <f t="shared" si="97"/>
        <v>5.9375000000000001E-3</v>
      </c>
      <c r="T2933" s="492">
        <f>IFERROR(VLOOKUP(F2933,'Freq-Chan'!C:D,2,FALSE),"x")</f>
        <v>151.26599999999999</v>
      </c>
      <c r="U2933" s="110" t="s">
        <v>541</v>
      </c>
      <c r="V2933" s="110" t="str">
        <f t="shared" si="98"/>
        <v>FWL</v>
      </c>
      <c r="W2933" s="110" t="s">
        <v>541</v>
      </c>
      <c r="X2933" s="110" t="s">
        <v>541</v>
      </c>
      <c r="Y2933" s="110" t="str">
        <f>IFERROR(VLOOKUP(F2933,'Freq-Chan'!C:E,3,FALSE),"na")</f>
        <v>F1840</v>
      </c>
      <c r="Z2933" s="110" t="s">
        <v>541</v>
      </c>
      <c r="AA2933" s="110" t="s">
        <v>541</v>
      </c>
      <c r="AB2933" s="110" t="s">
        <v>541</v>
      </c>
      <c r="AC2933" s="10" t="s">
        <v>541</v>
      </c>
      <c r="AD2933" s="10" t="s">
        <v>541</v>
      </c>
    </row>
    <row r="2934" spans="1:30" x14ac:dyDescent="0.2">
      <c r="A2934" s="110">
        <v>2934</v>
      </c>
      <c r="B2934" s="132">
        <v>41868</v>
      </c>
      <c r="C2934" s="117">
        <v>3</v>
      </c>
      <c r="D2934" s="103" t="s">
        <v>72</v>
      </c>
      <c r="E2934" s="103" t="s">
        <v>306</v>
      </c>
      <c r="F2934" s="103">
        <v>325</v>
      </c>
      <c r="G2934" s="103">
        <v>16</v>
      </c>
      <c r="H2934" s="103" t="s">
        <v>3613</v>
      </c>
      <c r="I2934" s="103">
        <v>58</v>
      </c>
      <c r="K2934" s="103" t="s">
        <v>365</v>
      </c>
      <c r="L2934" s="133">
        <v>0.61041666666666672</v>
      </c>
      <c r="M2934" s="134">
        <v>4.0972222222222222E-2</v>
      </c>
      <c r="N2934" s="137" t="s">
        <v>4297</v>
      </c>
      <c r="O2934" s="133" t="s">
        <v>1033</v>
      </c>
      <c r="Q2934" s="100" t="s">
        <v>4290</v>
      </c>
      <c r="R2934" s="226" t="s">
        <v>4280</v>
      </c>
      <c r="S2934" s="491">
        <f t="shared" si="97"/>
        <v>3.4837963E-3</v>
      </c>
      <c r="T2934" s="492">
        <f>IFERROR(VLOOKUP(F2934,'Freq-Chan'!C:D,2,FALSE),"x")</f>
        <v>151.32499999999999</v>
      </c>
      <c r="U2934" s="110" t="s">
        <v>541</v>
      </c>
      <c r="V2934" s="110" t="str">
        <f t="shared" si="98"/>
        <v>FWL</v>
      </c>
      <c r="W2934" s="110" t="s">
        <v>541</v>
      </c>
      <c r="X2934" s="110" t="s">
        <v>541</v>
      </c>
      <c r="Y2934" s="110" t="str">
        <f>IFERROR(VLOOKUP(F2934,'Freq-Chan'!C:E,3,FALSE),"na")</f>
        <v>F1840</v>
      </c>
      <c r="Z2934" s="110" t="s">
        <v>541</v>
      </c>
      <c r="AA2934" s="110" t="s">
        <v>541</v>
      </c>
      <c r="AB2934" s="110" t="s">
        <v>541</v>
      </c>
      <c r="AC2934" s="10" t="s">
        <v>541</v>
      </c>
      <c r="AD2934" s="10" t="s">
        <v>541</v>
      </c>
    </row>
    <row r="2935" spans="1:30" x14ac:dyDescent="0.2">
      <c r="A2935" s="110">
        <v>2935</v>
      </c>
      <c r="B2935" s="132">
        <v>41868</v>
      </c>
      <c r="C2935" s="117">
        <v>3</v>
      </c>
      <c r="D2935" s="103" t="s">
        <v>8</v>
      </c>
      <c r="E2935" s="103" t="s">
        <v>306</v>
      </c>
      <c r="F2935" s="103">
        <v>586</v>
      </c>
      <c r="G2935" s="103">
        <v>73</v>
      </c>
      <c r="H2935" s="103" t="s">
        <v>2260</v>
      </c>
      <c r="I2935" s="103">
        <v>46</v>
      </c>
      <c r="K2935" s="103" t="s">
        <v>365</v>
      </c>
      <c r="L2935" s="133"/>
      <c r="M2935" s="134">
        <v>7.9861111111111105E-2</v>
      </c>
      <c r="N2935" s="137" t="s">
        <v>768</v>
      </c>
      <c r="O2935" s="133" t="s">
        <v>372</v>
      </c>
      <c r="Q2935" s="100" t="s">
        <v>4290</v>
      </c>
      <c r="R2935" s="226" t="s">
        <v>4280</v>
      </c>
      <c r="S2935" s="491" t="str">
        <f t="shared" si="97"/>
        <v>x</v>
      </c>
      <c r="T2935" s="492">
        <f>IFERROR(VLOOKUP(F2935,'Freq-Chan'!C:D,2,FALSE),"x")</f>
        <v>151.58600000000001</v>
      </c>
      <c r="U2935" s="110" t="s">
        <v>541</v>
      </c>
      <c r="V2935" s="110" t="str">
        <f t="shared" si="98"/>
        <v>FWL</v>
      </c>
      <c r="W2935" s="110" t="s">
        <v>541</v>
      </c>
      <c r="X2935" s="110" t="s">
        <v>541</v>
      </c>
      <c r="Y2935" s="110" t="str">
        <f>IFERROR(VLOOKUP(F2935,'Freq-Chan'!C:E,3,FALSE),"na")</f>
        <v>F1840</v>
      </c>
      <c r="Z2935" s="110" t="s">
        <v>541</v>
      </c>
      <c r="AA2935" s="110" t="s">
        <v>541</v>
      </c>
      <c r="AB2935" s="110" t="s">
        <v>541</v>
      </c>
      <c r="AC2935" s="10" t="s">
        <v>541</v>
      </c>
      <c r="AD2935" s="10" t="s">
        <v>541</v>
      </c>
    </row>
    <row r="2936" spans="1:30" x14ac:dyDescent="0.2">
      <c r="A2936" s="110">
        <v>2936</v>
      </c>
      <c r="B2936" s="132">
        <v>41868</v>
      </c>
      <c r="C2936" s="117">
        <v>3</v>
      </c>
      <c r="D2936" s="103" t="s">
        <v>71</v>
      </c>
      <c r="E2936" s="103" t="s">
        <v>306</v>
      </c>
      <c r="H2936" s="103"/>
      <c r="I2936" s="103">
        <v>57</v>
      </c>
      <c r="K2936" s="103" t="s">
        <v>364</v>
      </c>
      <c r="L2936" s="133"/>
      <c r="M2936" s="134">
        <v>1.4583333333333332E-2</v>
      </c>
      <c r="N2936" s="135" t="s">
        <v>4298</v>
      </c>
      <c r="O2936" s="133" t="s">
        <v>1538</v>
      </c>
      <c r="Q2936" s="100" t="s">
        <v>4286</v>
      </c>
      <c r="R2936" s="226" t="s">
        <v>4280</v>
      </c>
      <c r="S2936" s="491" t="str">
        <f t="shared" si="97"/>
        <v>x</v>
      </c>
      <c r="T2936" s="492" t="str">
        <f>IFERROR(VLOOKUP(F2936,'Freq-Chan'!C:D,2,FALSE),"x")</f>
        <v>x</v>
      </c>
      <c r="U2936" s="110" t="s">
        <v>541</v>
      </c>
      <c r="V2936" s="110" t="str">
        <f t="shared" si="98"/>
        <v>FWL</v>
      </c>
      <c r="W2936" s="110" t="s">
        <v>541</v>
      </c>
      <c r="X2936" s="110" t="s">
        <v>541</v>
      </c>
      <c r="Y2936" s="110" t="str">
        <f>IFERROR(VLOOKUP(F2936,'Freq-Chan'!C:E,3,FALSE),"na")</f>
        <v>na</v>
      </c>
      <c r="Z2936" s="110" t="s">
        <v>541</v>
      </c>
      <c r="AA2936" s="110" t="s">
        <v>541</v>
      </c>
      <c r="AB2936" s="110" t="s">
        <v>541</v>
      </c>
      <c r="AC2936" s="10" t="s">
        <v>541</v>
      </c>
      <c r="AD2936" s="10" t="s">
        <v>541</v>
      </c>
    </row>
    <row r="2937" spans="1:30" x14ac:dyDescent="0.2">
      <c r="A2937" s="110">
        <v>2937</v>
      </c>
      <c r="B2937" s="132">
        <v>41868</v>
      </c>
      <c r="C2937" s="117">
        <v>3</v>
      </c>
      <c r="D2937" s="103" t="s">
        <v>71</v>
      </c>
      <c r="E2937" s="103" t="s">
        <v>306</v>
      </c>
      <c r="H2937" s="103"/>
      <c r="I2937" s="103">
        <v>56</v>
      </c>
      <c r="K2937" s="103" t="s">
        <v>1032</v>
      </c>
      <c r="L2937" s="133"/>
      <c r="M2937" s="134">
        <v>2.361111111111111E-2</v>
      </c>
      <c r="N2937" s="137" t="s">
        <v>504</v>
      </c>
      <c r="O2937" s="133" t="s">
        <v>1538</v>
      </c>
      <c r="Q2937" s="100" t="s">
        <v>4286</v>
      </c>
      <c r="R2937" s="226" t="s">
        <v>4280</v>
      </c>
      <c r="S2937" s="491" t="str">
        <f t="shared" si="97"/>
        <v>x</v>
      </c>
      <c r="T2937" s="492" t="str">
        <f>IFERROR(VLOOKUP(F2937,'Freq-Chan'!C:D,2,FALSE),"x")</f>
        <v>x</v>
      </c>
      <c r="U2937" s="110" t="s">
        <v>541</v>
      </c>
      <c r="V2937" s="110" t="str">
        <f t="shared" si="98"/>
        <v>FWL</v>
      </c>
      <c r="W2937" s="110" t="s">
        <v>541</v>
      </c>
      <c r="X2937" s="110" t="s">
        <v>541</v>
      </c>
      <c r="Y2937" s="110" t="str">
        <f>IFERROR(VLOOKUP(F2937,'Freq-Chan'!C:E,3,FALSE),"na")</f>
        <v>na</v>
      </c>
      <c r="Z2937" s="110" t="s">
        <v>541</v>
      </c>
      <c r="AA2937" s="110" t="s">
        <v>541</v>
      </c>
      <c r="AB2937" s="110" t="s">
        <v>541</v>
      </c>
      <c r="AC2937" s="10" t="s">
        <v>541</v>
      </c>
      <c r="AD2937" s="10" t="s">
        <v>541</v>
      </c>
    </row>
    <row r="2938" spans="1:30" x14ac:dyDescent="0.2">
      <c r="A2938" s="110">
        <v>2938</v>
      </c>
      <c r="B2938" s="132">
        <v>41868</v>
      </c>
      <c r="C2938" s="117">
        <v>3</v>
      </c>
      <c r="D2938" s="103" t="s">
        <v>71</v>
      </c>
      <c r="E2938" s="103" t="s">
        <v>306</v>
      </c>
      <c r="H2938" s="103"/>
      <c r="I2938" s="103">
        <v>55</v>
      </c>
      <c r="K2938" s="103" t="s">
        <v>364</v>
      </c>
      <c r="L2938" s="133"/>
      <c r="M2938" s="134">
        <v>1.3194444444444444E-2</v>
      </c>
      <c r="N2938" s="137" t="s">
        <v>1809</v>
      </c>
      <c r="O2938" s="133" t="s">
        <v>376</v>
      </c>
      <c r="Q2938" s="100" t="s">
        <v>4286</v>
      </c>
      <c r="R2938" s="226" t="s">
        <v>4280</v>
      </c>
      <c r="S2938" s="491" t="str">
        <f t="shared" si="97"/>
        <v>x</v>
      </c>
      <c r="T2938" s="492" t="str">
        <f>IFERROR(VLOOKUP(F2938,'Freq-Chan'!C:D,2,FALSE),"x")</f>
        <v>x</v>
      </c>
      <c r="U2938" s="110" t="s">
        <v>541</v>
      </c>
      <c r="V2938" s="110" t="str">
        <f t="shared" si="98"/>
        <v>FWL</v>
      </c>
      <c r="W2938" s="110" t="s">
        <v>541</v>
      </c>
      <c r="X2938" s="110" t="s">
        <v>541</v>
      </c>
      <c r="Y2938" s="110" t="str">
        <f>IFERROR(VLOOKUP(F2938,'Freq-Chan'!C:E,3,FALSE),"na")</f>
        <v>na</v>
      </c>
      <c r="Z2938" s="110" t="s">
        <v>541</v>
      </c>
      <c r="AA2938" s="110" t="s">
        <v>541</v>
      </c>
      <c r="AB2938" s="110" t="s">
        <v>541</v>
      </c>
      <c r="AC2938" s="10" t="s">
        <v>541</v>
      </c>
      <c r="AD2938" s="10" t="s">
        <v>541</v>
      </c>
    </row>
    <row r="2939" spans="1:30" s="291" customFormat="1" x14ac:dyDescent="0.2">
      <c r="A2939" s="493">
        <v>2939</v>
      </c>
      <c r="B2939" s="283">
        <v>41868</v>
      </c>
      <c r="C2939" s="284">
        <v>3</v>
      </c>
      <c r="D2939" s="285" t="s">
        <v>70</v>
      </c>
      <c r="E2939" s="285" t="s">
        <v>306</v>
      </c>
      <c r="F2939" s="285"/>
      <c r="G2939" s="285"/>
      <c r="H2939" s="285"/>
      <c r="I2939" s="285">
        <v>41</v>
      </c>
      <c r="J2939" s="285"/>
      <c r="K2939" s="285" t="s">
        <v>365</v>
      </c>
      <c r="L2939" s="286"/>
      <c r="M2939" s="287">
        <v>2.5694444444444447E-2</v>
      </c>
      <c r="N2939" s="339" t="s">
        <v>4299</v>
      </c>
      <c r="O2939" s="286" t="s">
        <v>376</v>
      </c>
      <c r="P2939" s="289"/>
      <c r="Q2939" s="289" t="s">
        <v>4286</v>
      </c>
      <c r="R2939" s="290" t="s">
        <v>4280</v>
      </c>
      <c r="S2939" s="494" t="str">
        <f t="shared" si="97"/>
        <v>x</v>
      </c>
      <c r="T2939" s="495" t="str">
        <f>IFERROR(VLOOKUP(F2939,'Freq-Chan'!C:D,2,FALSE),"x")</f>
        <v>x</v>
      </c>
      <c r="U2939" s="493" t="s">
        <v>541</v>
      </c>
      <c r="V2939" s="493" t="str">
        <f t="shared" si="98"/>
        <v>FWL</v>
      </c>
      <c r="W2939" s="493" t="s">
        <v>541</v>
      </c>
      <c r="X2939" s="493" t="s">
        <v>541</v>
      </c>
      <c r="Y2939" s="493" t="str">
        <f>IFERROR(VLOOKUP(F2939,'Freq-Chan'!C:E,3,FALSE),"na")</f>
        <v>na</v>
      </c>
      <c r="Z2939" s="493" t="s">
        <v>541</v>
      </c>
      <c r="AA2939" s="493" t="s">
        <v>541</v>
      </c>
      <c r="AB2939" s="493" t="s">
        <v>541</v>
      </c>
      <c r="AC2939" s="291" t="s">
        <v>541</v>
      </c>
      <c r="AD2939" s="291" t="s">
        <v>541</v>
      </c>
    </row>
    <row r="2940" spans="1:30" x14ac:dyDescent="0.2">
      <c r="A2940" s="110">
        <v>2940</v>
      </c>
      <c r="B2940" s="132">
        <v>41869</v>
      </c>
      <c r="C2940" s="117">
        <v>1</v>
      </c>
      <c r="D2940" s="103" t="s">
        <v>71</v>
      </c>
      <c r="E2940" s="103" t="s">
        <v>306</v>
      </c>
      <c r="F2940" s="103">
        <v>534</v>
      </c>
      <c r="G2940" s="103">
        <v>67</v>
      </c>
      <c r="H2940" s="103" t="s">
        <v>2467</v>
      </c>
      <c r="I2940" s="103">
        <v>54</v>
      </c>
      <c r="K2940" s="103" t="s">
        <v>365</v>
      </c>
      <c r="L2940" s="133">
        <v>0.3840277777777778</v>
      </c>
      <c r="M2940" s="134">
        <v>3.3333333333333333E-2</v>
      </c>
      <c r="N2940" s="137" t="s">
        <v>1571</v>
      </c>
      <c r="O2940" s="133" t="s">
        <v>1538</v>
      </c>
      <c r="Q2940" s="100" t="s">
        <v>4305</v>
      </c>
      <c r="R2940" s="226" t="s">
        <v>4321</v>
      </c>
      <c r="S2940" s="491">
        <f t="shared" si="97"/>
        <v>2.2222221999999999E-3</v>
      </c>
      <c r="T2940" s="492">
        <f>IFERROR(VLOOKUP(F2940,'Freq-Chan'!C:D,2,FALSE),"x")</f>
        <v>151.53399999999999</v>
      </c>
      <c r="U2940" s="110" t="s">
        <v>541</v>
      </c>
      <c r="V2940" s="110" t="str">
        <f t="shared" si="98"/>
        <v>FWL</v>
      </c>
      <c r="W2940" s="110" t="s">
        <v>541</v>
      </c>
      <c r="X2940" s="110" t="s">
        <v>541</v>
      </c>
      <c r="Y2940" s="110" t="str">
        <f>IFERROR(VLOOKUP(F2940,'Freq-Chan'!C:E,3,FALSE),"na")</f>
        <v>F1840</v>
      </c>
      <c r="Z2940" s="110" t="s">
        <v>541</v>
      </c>
      <c r="AA2940" s="110" t="s">
        <v>541</v>
      </c>
      <c r="AB2940" s="110" t="s">
        <v>541</v>
      </c>
      <c r="AC2940" s="10" t="s">
        <v>541</v>
      </c>
      <c r="AD2940" s="10" t="s">
        <v>541</v>
      </c>
    </row>
    <row r="2941" spans="1:30" x14ac:dyDescent="0.2">
      <c r="A2941" s="110">
        <v>2941</v>
      </c>
      <c r="B2941" s="132">
        <v>41869</v>
      </c>
      <c r="C2941" s="117">
        <v>1</v>
      </c>
      <c r="D2941" s="103" t="s">
        <v>8</v>
      </c>
      <c r="E2941" s="103" t="s">
        <v>306</v>
      </c>
      <c r="F2941" s="103">
        <v>586</v>
      </c>
      <c r="G2941" s="103">
        <v>34</v>
      </c>
      <c r="H2941" s="103" t="s">
        <v>2277</v>
      </c>
      <c r="I2941" s="103">
        <v>48</v>
      </c>
      <c r="K2941" s="103" t="s">
        <v>365</v>
      </c>
      <c r="L2941" s="133"/>
      <c r="M2941" s="134">
        <v>4.5138888888888888E-2</v>
      </c>
      <c r="N2941" s="137" t="s">
        <v>900</v>
      </c>
      <c r="O2941" s="133" t="s">
        <v>1538</v>
      </c>
      <c r="Q2941" s="100" t="s">
        <v>4305</v>
      </c>
      <c r="R2941" s="226" t="s">
        <v>4321</v>
      </c>
      <c r="S2941" s="491" t="str">
        <f t="shared" si="97"/>
        <v>x</v>
      </c>
      <c r="T2941" s="492">
        <f>IFERROR(VLOOKUP(F2941,'Freq-Chan'!C:D,2,FALSE),"x")</f>
        <v>151.58600000000001</v>
      </c>
      <c r="U2941" s="110" t="s">
        <v>541</v>
      </c>
      <c r="V2941" s="110" t="str">
        <f t="shared" si="98"/>
        <v>FWL</v>
      </c>
      <c r="W2941" s="110" t="s">
        <v>541</v>
      </c>
      <c r="X2941" s="110" t="s">
        <v>541</v>
      </c>
      <c r="Y2941" s="110" t="str">
        <f>IFERROR(VLOOKUP(F2941,'Freq-Chan'!C:E,3,FALSE),"na")</f>
        <v>F1840</v>
      </c>
      <c r="Z2941" s="110" t="s">
        <v>541</v>
      </c>
      <c r="AA2941" s="110" t="s">
        <v>541</v>
      </c>
      <c r="AB2941" s="110" t="s">
        <v>541</v>
      </c>
      <c r="AC2941" s="10" t="s">
        <v>541</v>
      </c>
      <c r="AD2941" s="10" t="s">
        <v>541</v>
      </c>
    </row>
    <row r="2942" spans="1:30" x14ac:dyDescent="0.2">
      <c r="A2942" s="110">
        <v>2942</v>
      </c>
      <c r="B2942" s="132">
        <v>41869</v>
      </c>
      <c r="C2942" s="117">
        <v>1</v>
      </c>
      <c r="D2942" s="103" t="s">
        <v>71</v>
      </c>
      <c r="E2942" s="103" t="s">
        <v>306</v>
      </c>
      <c r="H2942" s="103"/>
      <c r="I2942" s="103">
        <v>54</v>
      </c>
      <c r="K2942" s="103" t="s">
        <v>365</v>
      </c>
      <c r="L2942" s="133"/>
      <c r="M2942" s="134">
        <v>1.5277777777777777E-2</v>
      </c>
      <c r="N2942" s="135" t="s">
        <v>1935</v>
      </c>
      <c r="O2942" s="133" t="s">
        <v>1538</v>
      </c>
      <c r="Q2942" s="100" t="s">
        <v>4305</v>
      </c>
      <c r="R2942" s="226" t="s">
        <v>4321</v>
      </c>
      <c r="S2942" s="491" t="str">
        <f t="shared" si="97"/>
        <v>x</v>
      </c>
      <c r="T2942" s="492" t="str">
        <f>IFERROR(VLOOKUP(F2942,'Freq-Chan'!C:D,2,FALSE),"x")</f>
        <v>x</v>
      </c>
      <c r="U2942" s="110" t="s">
        <v>541</v>
      </c>
      <c r="V2942" s="110" t="str">
        <f t="shared" si="98"/>
        <v>FWL</v>
      </c>
      <c r="W2942" s="110" t="s">
        <v>541</v>
      </c>
      <c r="X2942" s="110" t="s">
        <v>541</v>
      </c>
      <c r="Y2942" s="110" t="str">
        <f>IFERROR(VLOOKUP(F2942,'Freq-Chan'!C:E,3,FALSE),"na")</f>
        <v>na</v>
      </c>
      <c r="Z2942" s="110" t="s">
        <v>541</v>
      </c>
      <c r="AA2942" s="110" t="s">
        <v>541</v>
      </c>
      <c r="AB2942" s="110" t="s">
        <v>541</v>
      </c>
      <c r="AC2942" s="10" t="s">
        <v>541</v>
      </c>
      <c r="AD2942" s="10" t="s">
        <v>541</v>
      </c>
    </row>
    <row r="2943" spans="1:30" x14ac:dyDescent="0.2">
      <c r="A2943" s="110">
        <v>2943</v>
      </c>
      <c r="B2943" s="132">
        <v>41869</v>
      </c>
      <c r="C2943" s="117">
        <v>1</v>
      </c>
      <c r="D2943" s="103" t="s">
        <v>72</v>
      </c>
      <c r="E2943" s="103" t="s">
        <v>306</v>
      </c>
      <c r="F2943" s="103">
        <v>266</v>
      </c>
      <c r="G2943" s="103">
        <v>16</v>
      </c>
      <c r="H2943" s="103" t="s">
        <v>3609</v>
      </c>
      <c r="I2943" s="103">
        <v>57</v>
      </c>
      <c r="K2943" s="103" t="s">
        <v>1032</v>
      </c>
      <c r="L2943" s="133">
        <v>0.57986111111111105</v>
      </c>
      <c r="M2943" s="134">
        <v>3.7499999999999999E-2</v>
      </c>
      <c r="N2943" s="135" t="s">
        <v>3884</v>
      </c>
      <c r="O2943" s="133" t="s">
        <v>1538</v>
      </c>
      <c r="P2943" s="100" t="s">
        <v>4466</v>
      </c>
      <c r="Q2943" s="100" t="s">
        <v>4305</v>
      </c>
      <c r="R2943" s="226" t="s">
        <v>4321</v>
      </c>
      <c r="S2943" s="491">
        <f t="shared" si="97"/>
        <v>2.8472222E-3</v>
      </c>
      <c r="T2943" s="492">
        <f>IFERROR(VLOOKUP(F2943,'Freq-Chan'!C:D,2,FALSE),"x")</f>
        <v>151.26599999999999</v>
      </c>
      <c r="U2943" s="110" t="s">
        <v>541</v>
      </c>
      <c r="V2943" s="110" t="str">
        <f t="shared" si="98"/>
        <v>FWL</v>
      </c>
      <c r="W2943" s="110" t="s">
        <v>541</v>
      </c>
      <c r="X2943" s="110" t="s">
        <v>541</v>
      </c>
      <c r="Y2943" s="110" t="str">
        <f>IFERROR(VLOOKUP(F2943,'Freq-Chan'!C:E,3,FALSE),"na")</f>
        <v>F1840</v>
      </c>
      <c r="Z2943" s="110" t="s">
        <v>541</v>
      </c>
      <c r="AA2943" s="110" t="s">
        <v>541</v>
      </c>
      <c r="AB2943" s="110" t="s">
        <v>541</v>
      </c>
      <c r="AC2943" s="10" t="s">
        <v>541</v>
      </c>
      <c r="AD2943" s="10" t="s">
        <v>541</v>
      </c>
    </row>
    <row r="2944" spans="1:30" x14ac:dyDescent="0.2">
      <c r="A2944" s="110">
        <v>2944</v>
      </c>
      <c r="B2944" s="132">
        <v>41869</v>
      </c>
      <c r="C2944" s="117">
        <v>1</v>
      </c>
      <c r="D2944" s="103" t="s">
        <v>72</v>
      </c>
      <c r="E2944" s="103" t="s">
        <v>306</v>
      </c>
      <c r="F2944" s="103">
        <v>325</v>
      </c>
      <c r="G2944" s="103">
        <v>34</v>
      </c>
      <c r="H2944" s="103" t="s">
        <v>3610</v>
      </c>
      <c r="I2944" s="103">
        <v>58</v>
      </c>
      <c r="K2944" s="103" t="s">
        <v>365</v>
      </c>
      <c r="L2944" s="133"/>
      <c r="M2944" s="134">
        <v>2.2222222222222223E-2</v>
      </c>
      <c r="N2944" s="135" t="s">
        <v>4239</v>
      </c>
      <c r="O2944" s="133" t="s">
        <v>1538</v>
      </c>
      <c r="Q2944" s="100" t="s">
        <v>4305</v>
      </c>
      <c r="R2944" s="226" t="s">
        <v>4321</v>
      </c>
      <c r="S2944" s="491" t="str">
        <f t="shared" si="97"/>
        <v>x</v>
      </c>
      <c r="T2944" s="492">
        <f>IFERROR(VLOOKUP(F2944,'Freq-Chan'!C:D,2,FALSE),"x")</f>
        <v>151.32499999999999</v>
      </c>
      <c r="U2944" s="110" t="s">
        <v>541</v>
      </c>
      <c r="V2944" s="110" t="str">
        <f t="shared" si="98"/>
        <v>FWL</v>
      </c>
      <c r="W2944" s="110" t="s">
        <v>541</v>
      </c>
      <c r="X2944" s="110" t="s">
        <v>541</v>
      </c>
      <c r="Y2944" s="110" t="str">
        <f>IFERROR(VLOOKUP(F2944,'Freq-Chan'!C:E,3,FALSE),"na")</f>
        <v>F1840</v>
      </c>
      <c r="Z2944" s="110" t="s">
        <v>541</v>
      </c>
      <c r="AA2944" s="110" t="s">
        <v>541</v>
      </c>
      <c r="AB2944" s="110" t="s">
        <v>541</v>
      </c>
      <c r="AC2944" s="10" t="s">
        <v>541</v>
      </c>
      <c r="AD2944" s="10" t="s">
        <v>541</v>
      </c>
    </row>
    <row r="2945" spans="1:30" x14ac:dyDescent="0.2">
      <c r="A2945" s="110">
        <v>2945</v>
      </c>
      <c r="B2945" s="132">
        <v>41869</v>
      </c>
      <c r="C2945" s="117">
        <v>1</v>
      </c>
      <c r="D2945" s="103" t="s">
        <v>70</v>
      </c>
      <c r="E2945" s="103" t="s">
        <v>306</v>
      </c>
      <c r="H2945" s="103"/>
      <c r="I2945" s="103">
        <v>45</v>
      </c>
      <c r="K2945" s="103" t="s">
        <v>365</v>
      </c>
      <c r="L2945" s="133"/>
      <c r="M2945" s="134">
        <v>1.0416666666666666E-2</v>
      </c>
      <c r="N2945" s="135" t="s">
        <v>3484</v>
      </c>
      <c r="O2945" s="133" t="s">
        <v>1538</v>
      </c>
      <c r="Q2945" s="100" t="s">
        <v>4305</v>
      </c>
      <c r="R2945" s="226" t="s">
        <v>4321</v>
      </c>
      <c r="S2945" s="491" t="str">
        <f t="shared" si="97"/>
        <v>x</v>
      </c>
      <c r="T2945" s="492" t="str">
        <f>IFERROR(VLOOKUP(F2945,'Freq-Chan'!C:D,2,FALSE),"x")</f>
        <v>x</v>
      </c>
      <c r="U2945" s="110" t="s">
        <v>541</v>
      </c>
      <c r="V2945" s="110" t="str">
        <f t="shared" si="98"/>
        <v>FWL</v>
      </c>
      <c r="W2945" s="110" t="s">
        <v>541</v>
      </c>
      <c r="X2945" s="110" t="s">
        <v>541</v>
      </c>
      <c r="Y2945" s="110" t="str">
        <f>IFERROR(VLOOKUP(F2945,'Freq-Chan'!C:E,3,FALSE),"na")</f>
        <v>na</v>
      </c>
      <c r="Z2945" s="110" t="s">
        <v>541</v>
      </c>
      <c r="AA2945" s="110" t="s">
        <v>541</v>
      </c>
      <c r="AB2945" s="110" t="s">
        <v>541</v>
      </c>
      <c r="AC2945" s="10" t="s">
        <v>541</v>
      </c>
      <c r="AD2945" s="10" t="s">
        <v>541</v>
      </c>
    </row>
    <row r="2946" spans="1:30" x14ac:dyDescent="0.2">
      <c r="A2946" s="110">
        <v>2946</v>
      </c>
      <c r="B2946" s="132">
        <v>41869</v>
      </c>
      <c r="C2946" s="117">
        <v>1</v>
      </c>
      <c r="D2946" s="103" t="s">
        <v>71</v>
      </c>
      <c r="E2946" s="103" t="s">
        <v>306</v>
      </c>
      <c r="H2946" s="103"/>
      <c r="I2946" s="103">
        <v>55</v>
      </c>
      <c r="K2946" s="103" t="s">
        <v>365</v>
      </c>
      <c r="L2946" s="133"/>
      <c r="M2946" s="134">
        <v>1.3194444444444444E-2</v>
      </c>
      <c r="N2946" s="135" t="s">
        <v>1840</v>
      </c>
      <c r="O2946" s="133" t="s">
        <v>1538</v>
      </c>
      <c r="Q2946" s="100" t="s">
        <v>4305</v>
      </c>
      <c r="R2946" s="226" t="s">
        <v>4321</v>
      </c>
      <c r="S2946" s="491" t="str">
        <f t="shared" si="97"/>
        <v>x</v>
      </c>
      <c r="T2946" s="492" t="str">
        <f>IFERROR(VLOOKUP(F2946,'Freq-Chan'!C:D,2,FALSE),"x")</f>
        <v>x</v>
      </c>
      <c r="U2946" s="110" t="s">
        <v>541</v>
      </c>
      <c r="V2946" s="110" t="str">
        <f t="shared" si="98"/>
        <v>FWL</v>
      </c>
      <c r="W2946" s="110" t="s">
        <v>541</v>
      </c>
      <c r="X2946" s="110" t="s">
        <v>541</v>
      </c>
      <c r="Y2946" s="110" t="str">
        <f>IFERROR(VLOOKUP(F2946,'Freq-Chan'!C:E,3,FALSE),"na")</f>
        <v>na</v>
      </c>
      <c r="Z2946" s="110" t="s">
        <v>541</v>
      </c>
      <c r="AA2946" s="110" t="s">
        <v>541</v>
      </c>
      <c r="AB2946" s="110" t="s">
        <v>541</v>
      </c>
      <c r="AC2946" s="10" t="s">
        <v>541</v>
      </c>
      <c r="AD2946" s="10" t="s">
        <v>541</v>
      </c>
    </row>
    <row r="2947" spans="1:30" x14ac:dyDescent="0.2">
      <c r="A2947" s="110">
        <v>2947</v>
      </c>
      <c r="B2947" s="132">
        <v>41869</v>
      </c>
      <c r="C2947" s="117">
        <v>1</v>
      </c>
      <c r="D2947" s="103" t="s">
        <v>71</v>
      </c>
      <c r="E2947" s="103" t="s">
        <v>306</v>
      </c>
      <c r="H2947" s="103"/>
      <c r="I2947" s="103">
        <v>59</v>
      </c>
      <c r="K2947" s="103" t="s">
        <v>1032</v>
      </c>
      <c r="L2947" s="133">
        <v>0.59027777777777779</v>
      </c>
      <c r="M2947" s="134">
        <v>1.6666666666666666E-2</v>
      </c>
      <c r="N2947" s="135" t="s">
        <v>2939</v>
      </c>
      <c r="O2947" s="133" t="s">
        <v>1538</v>
      </c>
      <c r="Q2947" s="100" t="s">
        <v>4305</v>
      </c>
      <c r="R2947" s="226" t="s">
        <v>4321</v>
      </c>
      <c r="S2947" s="491">
        <f t="shared" si="97"/>
        <v>3.1944444E-3</v>
      </c>
      <c r="T2947" s="492" t="str">
        <f>IFERROR(VLOOKUP(F2947,'Freq-Chan'!C:D,2,FALSE),"x")</f>
        <v>x</v>
      </c>
      <c r="U2947" s="110" t="s">
        <v>541</v>
      </c>
      <c r="V2947" s="110" t="str">
        <f t="shared" si="98"/>
        <v>FWL</v>
      </c>
      <c r="W2947" s="110" t="s">
        <v>541</v>
      </c>
      <c r="X2947" s="110" t="s">
        <v>541</v>
      </c>
      <c r="Y2947" s="110" t="str">
        <f>IFERROR(VLOOKUP(F2947,'Freq-Chan'!C:E,3,FALSE),"na")</f>
        <v>na</v>
      </c>
      <c r="Z2947" s="110" t="s">
        <v>541</v>
      </c>
      <c r="AA2947" s="110" t="s">
        <v>541</v>
      </c>
      <c r="AB2947" s="110" t="s">
        <v>541</v>
      </c>
      <c r="AC2947" s="10" t="s">
        <v>541</v>
      </c>
      <c r="AD2947" s="10" t="s">
        <v>541</v>
      </c>
    </row>
    <row r="2948" spans="1:30" x14ac:dyDescent="0.2">
      <c r="A2948" s="110">
        <v>2948</v>
      </c>
      <c r="B2948" s="132">
        <v>41869</v>
      </c>
      <c r="C2948" s="117">
        <v>1</v>
      </c>
      <c r="D2948" s="103" t="s">
        <v>70</v>
      </c>
      <c r="E2948" s="103" t="s">
        <v>306</v>
      </c>
      <c r="H2948" s="103"/>
      <c r="I2948" s="103">
        <v>45</v>
      </c>
      <c r="K2948" s="103" t="s">
        <v>1032</v>
      </c>
      <c r="L2948" s="133"/>
      <c r="M2948" s="134">
        <v>1.5972222222222224E-2</v>
      </c>
      <c r="N2948" s="135" t="s">
        <v>3756</v>
      </c>
      <c r="O2948" s="133" t="s">
        <v>376</v>
      </c>
      <c r="Q2948" s="100" t="s">
        <v>4312</v>
      </c>
      <c r="R2948" s="226" t="s">
        <v>4321</v>
      </c>
      <c r="S2948" s="491" t="str">
        <f t="shared" si="97"/>
        <v>x</v>
      </c>
      <c r="T2948" s="492" t="str">
        <f>IFERROR(VLOOKUP(F2948,'Freq-Chan'!C:D,2,FALSE),"x")</f>
        <v>x</v>
      </c>
      <c r="U2948" s="110" t="s">
        <v>541</v>
      </c>
      <c r="V2948" s="110" t="str">
        <f t="shared" si="98"/>
        <v>FWL</v>
      </c>
      <c r="W2948" s="110" t="s">
        <v>541</v>
      </c>
      <c r="X2948" s="110" t="s">
        <v>541</v>
      </c>
      <c r="Y2948" s="110" t="str">
        <f>IFERROR(VLOOKUP(F2948,'Freq-Chan'!C:E,3,FALSE),"na")</f>
        <v>na</v>
      </c>
      <c r="Z2948" s="110" t="s">
        <v>541</v>
      </c>
      <c r="AA2948" s="110" t="s">
        <v>541</v>
      </c>
      <c r="AB2948" s="110" t="s">
        <v>541</v>
      </c>
      <c r="AC2948" s="10" t="s">
        <v>541</v>
      </c>
      <c r="AD2948" s="10" t="s">
        <v>541</v>
      </c>
    </row>
    <row r="2949" spans="1:30" x14ac:dyDescent="0.2">
      <c r="A2949" s="110">
        <v>2949</v>
      </c>
      <c r="B2949" s="132">
        <v>41869</v>
      </c>
      <c r="C2949" s="117">
        <v>1</v>
      </c>
      <c r="D2949" s="103" t="s">
        <v>72</v>
      </c>
      <c r="E2949" s="103" t="s">
        <v>306</v>
      </c>
      <c r="F2949" s="103">
        <v>325</v>
      </c>
      <c r="G2949" s="103">
        <v>76</v>
      </c>
      <c r="H2949" s="103" t="s">
        <v>3617</v>
      </c>
      <c r="I2949" s="103">
        <v>60</v>
      </c>
      <c r="K2949" s="103" t="s">
        <v>1032</v>
      </c>
      <c r="L2949" s="133">
        <v>0.64374999999999993</v>
      </c>
      <c r="M2949" s="134">
        <v>2.9861111111111113E-2</v>
      </c>
      <c r="N2949" s="135" t="s">
        <v>4084</v>
      </c>
      <c r="O2949" s="133" t="s">
        <v>376</v>
      </c>
      <c r="P2949" s="100" t="s">
        <v>4313</v>
      </c>
      <c r="Q2949" s="100" t="s">
        <v>4312</v>
      </c>
      <c r="R2949" s="226" t="s">
        <v>4321</v>
      </c>
      <c r="S2949" s="491">
        <f t="shared" si="97"/>
        <v>2.2800925999999998E-3</v>
      </c>
      <c r="T2949" s="492">
        <f>IFERROR(VLOOKUP(F2949,'Freq-Chan'!C:D,2,FALSE),"x")</f>
        <v>151.32499999999999</v>
      </c>
      <c r="U2949" s="110" t="s">
        <v>541</v>
      </c>
      <c r="V2949" s="110" t="str">
        <f t="shared" si="98"/>
        <v>FWL</v>
      </c>
      <c r="W2949" s="110" t="s">
        <v>541</v>
      </c>
      <c r="X2949" s="110" t="s">
        <v>541</v>
      </c>
      <c r="Y2949" s="110" t="str">
        <f>IFERROR(VLOOKUP(F2949,'Freq-Chan'!C:E,3,FALSE),"na")</f>
        <v>F1840</v>
      </c>
      <c r="Z2949" s="110" t="s">
        <v>541</v>
      </c>
      <c r="AA2949" s="110" t="s">
        <v>541</v>
      </c>
      <c r="AB2949" s="110" t="s">
        <v>541</v>
      </c>
      <c r="AC2949" s="10" t="s">
        <v>541</v>
      </c>
      <c r="AD2949" s="10" t="s">
        <v>541</v>
      </c>
    </row>
    <row r="2950" spans="1:30" x14ac:dyDescent="0.2">
      <c r="A2950" s="110">
        <v>2950</v>
      </c>
      <c r="B2950" s="132">
        <v>41869</v>
      </c>
      <c r="C2950" s="117">
        <v>1</v>
      </c>
      <c r="D2950" s="103" t="s">
        <v>72</v>
      </c>
      <c r="E2950" s="103" t="s">
        <v>306</v>
      </c>
      <c r="F2950" s="103">
        <v>325</v>
      </c>
      <c r="G2950" s="103">
        <v>59</v>
      </c>
      <c r="H2950" s="103" t="s">
        <v>3618</v>
      </c>
      <c r="I2950" s="103">
        <v>55</v>
      </c>
      <c r="K2950" s="103" t="s">
        <v>365</v>
      </c>
      <c r="L2950" s="133"/>
      <c r="M2950" s="134">
        <v>3.9583333333333331E-2</v>
      </c>
      <c r="N2950" s="135" t="s">
        <v>3311</v>
      </c>
      <c r="O2950" s="133" t="s">
        <v>376</v>
      </c>
      <c r="Q2950" s="100" t="s">
        <v>4312</v>
      </c>
      <c r="R2950" s="226" t="s">
        <v>4321</v>
      </c>
      <c r="S2950" s="491" t="str">
        <f t="shared" si="97"/>
        <v>x</v>
      </c>
      <c r="T2950" s="492">
        <f>IFERROR(VLOOKUP(F2950,'Freq-Chan'!C:D,2,FALSE),"x")</f>
        <v>151.32499999999999</v>
      </c>
      <c r="U2950" s="110" t="s">
        <v>541</v>
      </c>
      <c r="V2950" s="110" t="str">
        <f t="shared" si="98"/>
        <v>FWL</v>
      </c>
      <c r="W2950" s="110" t="s">
        <v>541</v>
      </c>
      <c r="X2950" s="110" t="s">
        <v>541</v>
      </c>
      <c r="Y2950" s="110" t="str">
        <f>IFERROR(VLOOKUP(F2950,'Freq-Chan'!C:E,3,FALSE),"na")</f>
        <v>F1840</v>
      </c>
      <c r="Z2950" s="110" t="s">
        <v>541</v>
      </c>
      <c r="AA2950" s="110" t="s">
        <v>541</v>
      </c>
      <c r="AB2950" s="110" t="s">
        <v>541</v>
      </c>
      <c r="AC2950" s="10" t="s">
        <v>541</v>
      </c>
      <c r="AD2950" s="10" t="s">
        <v>541</v>
      </c>
    </row>
    <row r="2951" spans="1:30" x14ac:dyDescent="0.2">
      <c r="A2951" s="110">
        <v>2951</v>
      </c>
      <c r="B2951" s="132">
        <v>41869</v>
      </c>
      <c r="C2951" s="117">
        <v>1</v>
      </c>
      <c r="D2951" s="103" t="s">
        <v>70</v>
      </c>
      <c r="E2951" s="103" t="s">
        <v>306</v>
      </c>
      <c r="H2951" s="103"/>
      <c r="I2951" s="103">
        <v>42</v>
      </c>
      <c r="K2951" s="103" t="s">
        <v>365</v>
      </c>
      <c r="L2951" s="133">
        <v>0.64930555555555558</v>
      </c>
      <c r="M2951" s="134">
        <v>2.013888888888889E-2</v>
      </c>
      <c r="N2951" s="135" t="s">
        <v>2026</v>
      </c>
      <c r="O2951" s="133" t="s">
        <v>1532</v>
      </c>
      <c r="Q2951" s="100" t="s">
        <v>4312</v>
      </c>
      <c r="R2951" s="226" t="s">
        <v>4321</v>
      </c>
      <c r="S2951" s="491">
        <f t="shared" si="97"/>
        <v>3.5879629999999998E-4</v>
      </c>
      <c r="T2951" s="492" t="str">
        <f>IFERROR(VLOOKUP(F2951,'Freq-Chan'!C:D,2,FALSE),"x")</f>
        <v>x</v>
      </c>
      <c r="U2951" s="110" t="s">
        <v>541</v>
      </c>
      <c r="V2951" s="110" t="str">
        <f t="shared" si="98"/>
        <v>FWL</v>
      </c>
      <c r="W2951" s="110" t="s">
        <v>541</v>
      </c>
      <c r="X2951" s="110" t="s">
        <v>541</v>
      </c>
      <c r="Y2951" s="110" t="str">
        <f>IFERROR(VLOOKUP(F2951,'Freq-Chan'!C:E,3,FALSE),"na")</f>
        <v>na</v>
      </c>
      <c r="Z2951" s="110" t="s">
        <v>541</v>
      </c>
      <c r="AA2951" s="110" t="s">
        <v>541</v>
      </c>
      <c r="AB2951" s="110" t="s">
        <v>541</v>
      </c>
      <c r="AC2951" s="10" t="s">
        <v>541</v>
      </c>
      <c r="AD2951" s="10" t="s">
        <v>541</v>
      </c>
    </row>
    <row r="2952" spans="1:30" x14ac:dyDescent="0.2">
      <c r="A2952" s="110">
        <v>2952</v>
      </c>
      <c r="B2952" s="132">
        <v>41869</v>
      </c>
      <c r="C2952" s="117">
        <v>1</v>
      </c>
      <c r="D2952" s="103" t="s">
        <v>71</v>
      </c>
      <c r="E2952" s="103" t="s">
        <v>306</v>
      </c>
      <c r="H2952" s="103"/>
      <c r="I2952" s="103">
        <v>61</v>
      </c>
      <c r="K2952" s="103" t="s">
        <v>365</v>
      </c>
      <c r="L2952" s="133">
        <v>0.6479166666666667</v>
      </c>
      <c r="M2952" s="134">
        <v>1.5277777777777777E-2</v>
      </c>
      <c r="N2952" s="135" t="s">
        <v>4311</v>
      </c>
      <c r="O2952" s="133" t="s">
        <v>1532</v>
      </c>
      <c r="Q2952" s="100" t="s">
        <v>4312</v>
      </c>
      <c r="R2952" s="226" t="s">
        <v>4321</v>
      </c>
      <c r="S2952" s="491">
        <f t="shared" si="97"/>
        <v>6.6898147999999999E-3</v>
      </c>
      <c r="T2952" s="492" t="str">
        <f>IFERROR(VLOOKUP(F2952,'Freq-Chan'!C:D,2,FALSE),"x")</f>
        <v>x</v>
      </c>
      <c r="U2952" s="110" t="s">
        <v>541</v>
      </c>
      <c r="V2952" s="110" t="str">
        <f t="shared" si="98"/>
        <v>FWL</v>
      </c>
      <c r="W2952" s="110" t="s">
        <v>541</v>
      </c>
      <c r="X2952" s="110" t="s">
        <v>541</v>
      </c>
      <c r="Y2952" s="110" t="str">
        <f>IFERROR(VLOOKUP(F2952,'Freq-Chan'!C:E,3,FALSE),"na")</f>
        <v>na</v>
      </c>
      <c r="Z2952" s="110" t="s">
        <v>541</v>
      </c>
      <c r="AA2952" s="110" t="s">
        <v>541</v>
      </c>
      <c r="AB2952" s="110" t="s">
        <v>541</v>
      </c>
      <c r="AC2952" s="10" t="s">
        <v>541</v>
      </c>
      <c r="AD2952" s="10" t="s">
        <v>541</v>
      </c>
    </row>
    <row r="2953" spans="1:30" x14ac:dyDescent="0.2">
      <c r="A2953" s="110">
        <v>2953</v>
      </c>
      <c r="B2953" s="132">
        <v>41869</v>
      </c>
      <c r="C2953" s="117">
        <v>1</v>
      </c>
      <c r="D2953" s="103" t="s">
        <v>72</v>
      </c>
      <c r="E2953" s="103" t="s">
        <v>306</v>
      </c>
      <c r="F2953" s="103">
        <v>325</v>
      </c>
      <c r="G2953" s="103">
        <v>27</v>
      </c>
      <c r="H2953" s="103" t="s">
        <v>3622</v>
      </c>
      <c r="I2953" s="103">
        <v>52</v>
      </c>
      <c r="K2953" s="103" t="s">
        <v>364</v>
      </c>
      <c r="L2953" s="133"/>
      <c r="M2953" s="134">
        <v>4.6527777777777779E-2</v>
      </c>
      <c r="N2953" s="135" t="s">
        <v>392</v>
      </c>
      <c r="O2953" s="133" t="s">
        <v>376</v>
      </c>
      <c r="Q2953" s="100" t="s">
        <v>4312</v>
      </c>
      <c r="R2953" s="226" t="s">
        <v>4321</v>
      </c>
      <c r="S2953" s="491" t="str">
        <f t="shared" si="97"/>
        <v>x</v>
      </c>
      <c r="T2953" s="492">
        <f>IFERROR(VLOOKUP(F2953,'Freq-Chan'!C:D,2,FALSE),"x")</f>
        <v>151.32499999999999</v>
      </c>
      <c r="U2953" s="110" t="s">
        <v>541</v>
      </c>
      <c r="V2953" s="110" t="str">
        <f t="shared" si="98"/>
        <v>FWL</v>
      </c>
      <c r="W2953" s="110" t="s">
        <v>541</v>
      </c>
      <c r="X2953" s="110" t="s">
        <v>541</v>
      </c>
      <c r="Y2953" s="110" t="str">
        <f>IFERROR(VLOOKUP(F2953,'Freq-Chan'!C:E,3,FALSE),"na")</f>
        <v>F1840</v>
      </c>
      <c r="Z2953" s="110" t="s">
        <v>541</v>
      </c>
      <c r="AA2953" s="110" t="s">
        <v>541</v>
      </c>
      <c r="AB2953" s="110" t="s">
        <v>541</v>
      </c>
      <c r="AC2953" s="10" t="s">
        <v>541</v>
      </c>
      <c r="AD2953" s="10" t="s">
        <v>541</v>
      </c>
    </row>
    <row r="2954" spans="1:30" x14ac:dyDescent="0.2">
      <c r="A2954" s="110">
        <v>2954</v>
      </c>
      <c r="B2954" s="132">
        <v>41869</v>
      </c>
      <c r="C2954" s="117">
        <v>1</v>
      </c>
      <c r="D2954" s="103" t="s">
        <v>71</v>
      </c>
      <c r="E2954" s="103" t="s">
        <v>306</v>
      </c>
      <c r="H2954" s="103"/>
      <c r="I2954" s="103">
        <v>53</v>
      </c>
      <c r="K2954" s="103" t="s">
        <v>364</v>
      </c>
      <c r="L2954" s="133">
        <v>0.66319444444444442</v>
      </c>
      <c r="M2954" s="134">
        <v>2.4305555555555556E-2</v>
      </c>
      <c r="N2954" s="135" t="s">
        <v>3807</v>
      </c>
      <c r="O2954" s="133" t="s">
        <v>1532</v>
      </c>
      <c r="Q2954" s="100" t="s">
        <v>4312</v>
      </c>
      <c r="R2954" s="226" t="s">
        <v>4321</v>
      </c>
      <c r="S2954" s="491">
        <f t="shared" si="97"/>
        <v>9.8379629999999999E-4</v>
      </c>
      <c r="T2954" s="492" t="str">
        <f>IFERROR(VLOOKUP(F2954,'Freq-Chan'!C:D,2,FALSE),"x")</f>
        <v>x</v>
      </c>
      <c r="U2954" s="110" t="s">
        <v>541</v>
      </c>
      <c r="V2954" s="110" t="str">
        <f t="shared" si="98"/>
        <v>FWL</v>
      </c>
      <c r="W2954" s="110" t="s">
        <v>541</v>
      </c>
      <c r="X2954" s="110" t="s">
        <v>541</v>
      </c>
      <c r="Y2954" s="110" t="str">
        <f>IFERROR(VLOOKUP(F2954,'Freq-Chan'!C:E,3,FALSE),"na")</f>
        <v>na</v>
      </c>
      <c r="Z2954" s="110" t="s">
        <v>541</v>
      </c>
      <c r="AA2954" s="110" t="s">
        <v>541</v>
      </c>
      <c r="AB2954" s="110" t="s">
        <v>541</v>
      </c>
      <c r="AC2954" s="10" t="s">
        <v>541</v>
      </c>
      <c r="AD2954" s="10" t="s">
        <v>541</v>
      </c>
    </row>
    <row r="2955" spans="1:30" x14ac:dyDescent="0.2">
      <c r="A2955" s="110">
        <v>2955</v>
      </c>
      <c r="B2955" s="132">
        <v>41869</v>
      </c>
      <c r="C2955" s="117">
        <v>1</v>
      </c>
      <c r="D2955" s="103" t="s">
        <v>72</v>
      </c>
      <c r="E2955" s="103" t="s">
        <v>306</v>
      </c>
      <c r="F2955" s="103">
        <v>325</v>
      </c>
      <c r="G2955" s="103">
        <v>88</v>
      </c>
      <c r="H2955" s="103" t="s">
        <v>3623</v>
      </c>
      <c r="I2955" s="103">
        <v>51</v>
      </c>
      <c r="K2955" s="103" t="s">
        <v>364</v>
      </c>
      <c r="L2955" s="133"/>
      <c r="M2955" s="134">
        <v>6.1111111111111116E-2</v>
      </c>
      <c r="N2955" s="135" t="s">
        <v>4179</v>
      </c>
      <c r="O2955" s="133" t="s">
        <v>1532</v>
      </c>
      <c r="Q2955" s="100" t="s">
        <v>4312</v>
      </c>
      <c r="R2955" s="226" t="s">
        <v>4321</v>
      </c>
      <c r="S2955" s="491" t="str">
        <f t="shared" si="97"/>
        <v>x</v>
      </c>
      <c r="T2955" s="492">
        <f>IFERROR(VLOOKUP(F2955,'Freq-Chan'!C:D,2,FALSE),"x")</f>
        <v>151.32499999999999</v>
      </c>
      <c r="U2955" s="110" t="s">
        <v>541</v>
      </c>
      <c r="V2955" s="110" t="str">
        <f t="shared" si="98"/>
        <v>FWL</v>
      </c>
      <c r="W2955" s="110" t="s">
        <v>541</v>
      </c>
      <c r="X2955" s="110" t="s">
        <v>541</v>
      </c>
      <c r="Y2955" s="110" t="str">
        <f>IFERROR(VLOOKUP(F2955,'Freq-Chan'!C:E,3,FALSE),"na")</f>
        <v>F1840</v>
      </c>
      <c r="Z2955" s="110" t="s">
        <v>541</v>
      </c>
      <c r="AA2955" s="110" t="s">
        <v>541</v>
      </c>
      <c r="AB2955" s="110" t="s">
        <v>541</v>
      </c>
      <c r="AC2955" s="10" t="s">
        <v>541</v>
      </c>
      <c r="AD2955" s="10" t="s">
        <v>541</v>
      </c>
    </row>
    <row r="2956" spans="1:30" x14ac:dyDescent="0.2">
      <c r="A2956" s="110">
        <v>2956</v>
      </c>
      <c r="B2956" s="132">
        <v>41869</v>
      </c>
      <c r="C2956" s="117">
        <v>1</v>
      </c>
      <c r="D2956" s="103" t="s">
        <v>70</v>
      </c>
      <c r="E2956" s="103" t="s">
        <v>306</v>
      </c>
      <c r="H2956" s="103"/>
      <c r="I2956" s="103">
        <v>44</v>
      </c>
      <c r="K2956" s="103" t="s">
        <v>365</v>
      </c>
      <c r="L2956" s="133"/>
      <c r="M2956" s="134">
        <v>2.1527777777777781E-2</v>
      </c>
      <c r="N2956" s="135" t="s">
        <v>4282</v>
      </c>
      <c r="O2956" s="133" t="s">
        <v>376</v>
      </c>
      <c r="Q2956" s="100" t="s">
        <v>4312</v>
      </c>
      <c r="R2956" s="226" t="s">
        <v>4321</v>
      </c>
      <c r="S2956" s="491" t="str">
        <f t="shared" si="97"/>
        <v>x</v>
      </c>
      <c r="T2956" s="492" t="str">
        <f>IFERROR(VLOOKUP(F2956,'Freq-Chan'!C:D,2,FALSE),"x")</f>
        <v>x</v>
      </c>
      <c r="U2956" s="110" t="s">
        <v>541</v>
      </c>
      <c r="V2956" s="110" t="str">
        <f t="shared" si="98"/>
        <v>FWL</v>
      </c>
      <c r="W2956" s="110" t="s">
        <v>541</v>
      </c>
      <c r="X2956" s="110" t="s">
        <v>541</v>
      </c>
      <c r="Y2956" s="110" t="str">
        <f>IFERROR(VLOOKUP(F2956,'Freq-Chan'!C:E,3,FALSE),"na")</f>
        <v>na</v>
      </c>
      <c r="Z2956" s="110" t="s">
        <v>541</v>
      </c>
      <c r="AA2956" s="110" t="s">
        <v>541</v>
      </c>
      <c r="AB2956" s="110" t="s">
        <v>541</v>
      </c>
      <c r="AC2956" s="10" t="s">
        <v>541</v>
      </c>
      <c r="AD2956" s="10" t="s">
        <v>541</v>
      </c>
    </row>
    <row r="2957" spans="1:30" x14ac:dyDescent="0.2">
      <c r="A2957" s="110">
        <v>2957</v>
      </c>
      <c r="B2957" s="132">
        <v>41869</v>
      </c>
      <c r="C2957" s="117">
        <v>1</v>
      </c>
      <c r="D2957" s="103" t="s">
        <v>71</v>
      </c>
      <c r="E2957" s="103" t="s">
        <v>306</v>
      </c>
      <c r="H2957" s="103"/>
      <c r="I2957" s="103">
        <v>57</v>
      </c>
      <c r="K2957" s="103" t="s">
        <v>365</v>
      </c>
      <c r="L2957" s="133">
        <v>0.69513888888888886</v>
      </c>
      <c r="M2957" s="134">
        <v>1.5972222222222224E-2</v>
      </c>
      <c r="N2957" s="137" t="s">
        <v>1988</v>
      </c>
      <c r="O2957" s="133" t="s">
        <v>376</v>
      </c>
      <c r="Q2957" s="100" t="s">
        <v>4312</v>
      </c>
      <c r="R2957" s="226" t="s">
        <v>4321</v>
      </c>
      <c r="S2957" s="491">
        <f t="shared" si="97"/>
        <v>4.5949073999999998E-3</v>
      </c>
      <c r="T2957" s="492" t="str">
        <f>IFERROR(VLOOKUP(F2957,'Freq-Chan'!C:D,2,FALSE),"x")</f>
        <v>x</v>
      </c>
      <c r="U2957" s="110" t="s">
        <v>541</v>
      </c>
      <c r="V2957" s="110" t="str">
        <f t="shared" si="98"/>
        <v>FWL</v>
      </c>
      <c r="W2957" s="110" t="s">
        <v>541</v>
      </c>
      <c r="X2957" s="110" t="s">
        <v>541</v>
      </c>
      <c r="Y2957" s="110" t="str">
        <f>IFERROR(VLOOKUP(F2957,'Freq-Chan'!C:E,3,FALSE),"na")</f>
        <v>na</v>
      </c>
      <c r="Z2957" s="110" t="s">
        <v>541</v>
      </c>
      <c r="AA2957" s="110" t="s">
        <v>541</v>
      </c>
      <c r="AB2957" s="110" t="s">
        <v>541</v>
      </c>
      <c r="AC2957" s="10" t="s">
        <v>541</v>
      </c>
      <c r="AD2957" s="10" t="s">
        <v>541</v>
      </c>
    </row>
    <row r="2958" spans="1:30" x14ac:dyDescent="0.2">
      <c r="A2958" s="110">
        <v>2958</v>
      </c>
      <c r="B2958" s="132">
        <v>41869</v>
      </c>
      <c r="C2958" s="117">
        <v>1</v>
      </c>
      <c r="D2958" s="103" t="s">
        <v>70</v>
      </c>
      <c r="E2958" s="103" t="s">
        <v>306</v>
      </c>
      <c r="H2958" s="103"/>
      <c r="I2958" s="103">
        <v>44</v>
      </c>
      <c r="K2958" s="103" t="s">
        <v>1032</v>
      </c>
      <c r="L2958" s="133"/>
      <c r="M2958" s="134">
        <v>2.0833333333333332E-2</v>
      </c>
      <c r="N2958" s="137" t="s">
        <v>2596</v>
      </c>
      <c r="O2958" s="133" t="s">
        <v>1538</v>
      </c>
      <c r="Q2958" s="100" t="s">
        <v>4312</v>
      </c>
      <c r="R2958" s="226" t="s">
        <v>4321</v>
      </c>
      <c r="S2958" s="491" t="str">
        <f t="shared" si="97"/>
        <v>x</v>
      </c>
      <c r="T2958" s="492" t="str">
        <f>IFERROR(VLOOKUP(F2958,'Freq-Chan'!C:D,2,FALSE),"x")</f>
        <v>x</v>
      </c>
      <c r="U2958" s="110" t="s">
        <v>541</v>
      </c>
      <c r="V2958" s="110" t="str">
        <f t="shared" si="98"/>
        <v>FWL</v>
      </c>
      <c r="W2958" s="110" t="s">
        <v>541</v>
      </c>
      <c r="X2958" s="110" t="s">
        <v>541</v>
      </c>
      <c r="Y2958" s="110" t="str">
        <f>IFERROR(VLOOKUP(F2958,'Freq-Chan'!C:E,3,FALSE),"na")</f>
        <v>na</v>
      </c>
      <c r="Z2958" s="110" t="s">
        <v>541</v>
      </c>
      <c r="AA2958" s="110" t="s">
        <v>541</v>
      </c>
      <c r="AB2958" s="110" t="s">
        <v>541</v>
      </c>
      <c r="AC2958" s="10" t="s">
        <v>541</v>
      </c>
      <c r="AD2958" s="10" t="s">
        <v>541</v>
      </c>
    </row>
    <row r="2959" spans="1:30" x14ac:dyDescent="0.2">
      <c r="A2959" s="110">
        <v>2959</v>
      </c>
      <c r="B2959" s="132">
        <v>41869</v>
      </c>
      <c r="C2959" s="117">
        <v>1</v>
      </c>
      <c r="D2959" s="103" t="s">
        <v>71</v>
      </c>
      <c r="E2959" s="103" t="s">
        <v>306</v>
      </c>
      <c r="H2959" s="103"/>
      <c r="I2959" s="103">
        <v>52</v>
      </c>
      <c r="K2959" s="103" t="s">
        <v>1032</v>
      </c>
      <c r="L2959" s="133"/>
      <c r="M2959" s="134">
        <v>2.7777777777777776E-2</v>
      </c>
      <c r="N2959" s="135" t="s">
        <v>1943</v>
      </c>
      <c r="O2959" s="133" t="s">
        <v>1538</v>
      </c>
      <c r="Q2959" s="100" t="s">
        <v>4312</v>
      </c>
      <c r="R2959" s="226" t="s">
        <v>4321</v>
      </c>
      <c r="S2959" s="491" t="str">
        <f t="shared" si="97"/>
        <v>x</v>
      </c>
      <c r="T2959" s="492" t="str">
        <f>IFERROR(VLOOKUP(F2959,'Freq-Chan'!C:D,2,FALSE),"x")</f>
        <v>x</v>
      </c>
      <c r="U2959" s="110" t="s">
        <v>541</v>
      </c>
      <c r="V2959" s="110" t="str">
        <f t="shared" si="98"/>
        <v>FWL</v>
      </c>
      <c r="W2959" s="110" t="s">
        <v>541</v>
      </c>
      <c r="X2959" s="110" t="s">
        <v>541</v>
      </c>
      <c r="Y2959" s="110" t="str">
        <f>IFERROR(VLOOKUP(F2959,'Freq-Chan'!C:E,3,FALSE),"na")</f>
        <v>na</v>
      </c>
      <c r="Z2959" s="110" t="s">
        <v>541</v>
      </c>
      <c r="AA2959" s="110" t="s">
        <v>541</v>
      </c>
      <c r="AB2959" s="110" t="s">
        <v>541</v>
      </c>
      <c r="AC2959" s="10" t="s">
        <v>541</v>
      </c>
      <c r="AD2959" s="10" t="s">
        <v>541</v>
      </c>
    </row>
    <row r="2960" spans="1:30" x14ac:dyDescent="0.2">
      <c r="A2960" s="110">
        <v>2960</v>
      </c>
      <c r="B2960" s="132">
        <v>41869</v>
      </c>
      <c r="C2960" s="117">
        <v>1</v>
      </c>
      <c r="D2960" s="103" t="s">
        <v>177</v>
      </c>
      <c r="E2960" s="103" t="s">
        <v>306</v>
      </c>
      <c r="H2960" s="103"/>
      <c r="I2960" s="103">
        <v>33</v>
      </c>
      <c r="K2960" s="103" t="s">
        <v>1032</v>
      </c>
      <c r="L2960" s="133"/>
      <c r="M2960" s="134">
        <v>2.7777777777777776E-2</v>
      </c>
      <c r="N2960" s="137" t="s">
        <v>1943</v>
      </c>
      <c r="O2960" s="133" t="s">
        <v>1532</v>
      </c>
      <c r="P2960" s="100" t="s">
        <v>4328</v>
      </c>
      <c r="Q2960" s="100" t="s">
        <v>4312</v>
      </c>
      <c r="R2960" s="226" t="s">
        <v>4321</v>
      </c>
      <c r="S2960" s="491" t="str">
        <f t="shared" si="97"/>
        <v>x</v>
      </c>
      <c r="T2960" s="492" t="str">
        <f>IFERROR(VLOOKUP(F2960,'Freq-Chan'!C:D,2,FALSE),"x")</f>
        <v>x</v>
      </c>
      <c r="U2960" s="110" t="s">
        <v>541</v>
      </c>
      <c r="V2960" s="110" t="str">
        <f t="shared" si="98"/>
        <v>FWL</v>
      </c>
      <c r="W2960" s="110" t="s">
        <v>541</v>
      </c>
      <c r="X2960" s="110" t="s">
        <v>541</v>
      </c>
      <c r="Y2960" s="110" t="str">
        <f>IFERROR(VLOOKUP(F2960,'Freq-Chan'!C:E,3,FALSE),"na")</f>
        <v>na</v>
      </c>
      <c r="Z2960" s="110" t="s">
        <v>541</v>
      </c>
      <c r="AA2960" s="110" t="s">
        <v>541</v>
      </c>
      <c r="AB2960" s="110" t="s">
        <v>541</v>
      </c>
      <c r="AC2960" s="10" t="s">
        <v>541</v>
      </c>
      <c r="AD2960" s="10" t="s">
        <v>541</v>
      </c>
    </row>
    <row r="2961" spans="1:30" x14ac:dyDescent="0.2">
      <c r="A2961" s="110">
        <v>2961</v>
      </c>
      <c r="B2961" s="132">
        <v>41869</v>
      </c>
      <c r="C2961" s="117">
        <v>1</v>
      </c>
      <c r="D2961" s="103" t="s">
        <v>70</v>
      </c>
      <c r="E2961" s="103" t="s">
        <v>306</v>
      </c>
      <c r="H2961" s="103"/>
      <c r="I2961" s="103">
        <v>43</v>
      </c>
      <c r="K2961" s="103" t="s">
        <v>1032</v>
      </c>
      <c r="L2961" s="133"/>
      <c r="M2961" s="134">
        <v>1.3888888888888888E-2</v>
      </c>
      <c r="N2961" s="135" t="s">
        <v>719</v>
      </c>
      <c r="O2961" s="133" t="s">
        <v>1532</v>
      </c>
      <c r="Q2961" s="100" t="s">
        <v>4312</v>
      </c>
      <c r="R2961" s="226" t="s">
        <v>4321</v>
      </c>
      <c r="S2961" s="491" t="str">
        <f t="shared" si="97"/>
        <v>x</v>
      </c>
      <c r="T2961" s="492" t="str">
        <f>IFERROR(VLOOKUP(F2961,'Freq-Chan'!C:D,2,FALSE),"x")</f>
        <v>x</v>
      </c>
      <c r="U2961" s="110" t="s">
        <v>541</v>
      </c>
      <c r="V2961" s="110" t="str">
        <f t="shared" si="98"/>
        <v>FWL</v>
      </c>
      <c r="W2961" s="110" t="s">
        <v>541</v>
      </c>
      <c r="X2961" s="110" t="s">
        <v>541</v>
      </c>
      <c r="Y2961" s="110" t="str">
        <f>IFERROR(VLOOKUP(F2961,'Freq-Chan'!C:E,3,FALSE),"na")</f>
        <v>na</v>
      </c>
      <c r="Z2961" s="110" t="s">
        <v>541</v>
      </c>
      <c r="AA2961" s="110" t="s">
        <v>541</v>
      </c>
      <c r="AB2961" s="110" t="s">
        <v>541</v>
      </c>
      <c r="AC2961" s="10" t="s">
        <v>541</v>
      </c>
      <c r="AD2961" s="10" t="s">
        <v>541</v>
      </c>
    </row>
    <row r="2962" spans="1:30" x14ac:dyDescent="0.2">
      <c r="A2962" s="110">
        <v>2962</v>
      </c>
      <c r="B2962" s="132">
        <v>41869</v>
      </c>
      <c r="C2962" s="117">
        <v>1</v>
      </c>
      <c r="D2962" s="103" t="s">
        <v>71</v>
      </c>
      <c r="E2962" s="103" t="s">
        <v>306</v>
      </c>
      <c r="H2962" s="103"/>
      <c r="I2962" s="103">
        <v>52</v>
      </c>
      <c r="K2962" s="103" t="s">
        <v>365</v>
      </c>
      <c r="L2962" s="133"/>
      <c r="M2962" s="134">
        <v>1.3888888888888888E-2</v>
      </c>
      <c r="N2962" s="135" t="s">
        <v>719</v>
      </c>
      <c r="O2962" s="133" t="s">
        <v>1532</v>
      </c>
      <c r="Q2962" s="100" t="s">
        <v>4312</v>
      </c>
      <c r="R2962" s="226" t="s">
        <v>4321</v>
      </c>
      <c r="S2962" s="491" t="str">
        <f t="shared" si="97"/>
        <v>x</v>
      </c>
      <c r="T2962" s="492" t="str">
        <f>IFERROR(VLOOKUP(F2962,'Freq-Chan'!C:D,2,FALSE),"x")</f>
        <v>x</v>
      </c>
      <c r="U2962" s="110" t="s">
        <v>541</v>
      </c>
      <c r="V2962" s="110" t="str">
        <f t="shared" si="98"/>
        <v>FWL</v>
      </c>
      <c r="W2962" s="110" t="s">
        <v>541</v>
      </c>
      <c r="X2962" s="110" t="s">
        <v>541</v>
      </c>
      <c r="Y2962" s="110" t="str">
        <f>IFERROR(VLOOKUP(F2962,'Freq-Chan'!C:E,3,FALSE),"na")</f>
        <v>na</v>
      </c>
      <c r="Z2962" s="110" t="s">
        <v>541</v>
      </c>
      <c r="AA2962" s="110" t="s">
        <v>541</v>
      </c>
      <c r="AB2962" s="110" t="s">
        <v>541</v>
      </c>
      <c r="AC2962" s="10" t="s">
        <v>541</v>
      </c>
      <c r="AD2962" s="10" t="s">
        <v>541</v>
      </c>
    </row>
    <row r="2963" spans="1:30" x14ac:dyDescent="0.2">
      <c r="A2963" s="110">
        <v>2963</v>
      </c>
      <c r="B2963" s="132">
        <v>41869</v>
      </c>
      <c r="C2963" s="117">
        <v>1</v>
      </c>
      <c r="D2963" s="103" t="s">
        <v>70</v>
      </c>
      <c r="E2963" s="103" t="s">
        <v>306</v>
      </c>
      <c r="H2963" s="103"/>
      <c r="I2963" s="103">
        <v>45</v>
      </c>
      <c r="K2963" s="103" t="s">
        <v>365</v>
      </c>
      <c r="L2963" s="133"/>
      <c r="M2963" s="134">
        <v>1.2499999999999999E-2</v>
      </c>
      <c r="N2963" s="135" t="s">
        <v>1809</v>
      </c>
      <c r="O2963" s="133" t="s">
        <v>1538</v>
      </c>
      <c r="Q2963" s="100" t="s">
        <v>4312</v>
      </c>
      <c r="R2963" s="226" t="s">
        <v>4321</v>
      </c>
      <c r="S2963" s="491" t="str">
        <f t="shared" si="97"/>
        <v>x</v>
      </c>
      <c r="T2963" s="492" t="str">
        <f>IFERROR(VLOOKUP(F2963,'Freq-Chan'!C:D,2,FALSE),"x")</f>
        <v>x</v>
      </c>
      <c r="U2963" s="110" t="s">
        <v>541</v>
      </c>
      <c r="V2963" s="110" t="str">
        <f t="shared" si="98"/>
        <v>FWL</v>
      </c>
      <c r="W2963" s="110" t="s">
        <v>541</v>
      </c>
      <c r="X2963" s="110" t="s">
        <v>541</v>
      </c>
      <c r="Y2963" s="110" t="str">
        <f>IFERROR(VLOOKUP(F2963,'Freq-Chan'!C:E,3,FALSE),"na")</f>
        <v>na</v>
      </c>
      <c r="Z2963" s="110" t="s">
        <v>541</v>
      </c>
      <c r="AA2963" s="110" t="s">
        <v>541</v>
      </c>
      <c r="AB2963" s="110" t="s">
        <v>541</v>
      </c>
      <c r="AC2963" s="10" t="s">
        <v>541</v>
      </c>
      <c r="AD2963" s="10" t="s">
        <v>541</v>
      </c>
    </row>
    <row r="2964" spans="1:30" x14ac:dyDescent="0.2">
      <c r="A2964" s="110">
        <v>2964</v>
      </c>
      <c r="B2964" s="132">
        <v>41869</v>
      </c>
      <c r="C2964" s="117">
        <v>1</v>
      </c>
      <c r="D2964" s="103" t="s">
        <v>70</v>
      </c>
      <c r="E2964" s="103" t="s">
        <v>306</v>
      </c>
      <c r="H2964" s="103"/>
      <c r="I2964" s="103">
        <v>49</v>
      </c>
      <c r="K2964" s="103" t="s">
        <v>365</v>
      </c>
      <c r="L2964" s="133"/>
      <c r="M2964" s="134">
        <v>1.3194444444444444E-2</v>
      </c>
      <c r="N2964" s="135" t="s">
        <v>4299</v>
      </c>
      <c r="O2964" s="133" t="s">
        <v>1538</v>
      </c>
      <c r="Q2964" s="100" t="s">
        <v>4312</v>
      </c>
      <c r="R2964" s="226" t="s">
        <v>4321</v>
      </c>
      <c r="S2964" s="491" t="str">
        <f t="shared" si="97"/>
        <v>x</v>
      </c>
      <c r="T2964" s="492" t="str">
        <f>IFERROR(VLOOKUP(F2964,'Freq-Chan'!C:D,2,FALSE),"x")</f>
        <v>x</v>
      </c>
      <c r="U2964" s="110" t="s">
        <v>541</v>
      </c>
      <c r="V2964" s="110" t="str">
        <f t="shared" si="98"/>
        <v>FWL</v>
      </c>
      <c r="W2964" s="110" t="s">
        <v>541</v>
      </c>
      <c r="X2964" s="110" t="s">
        <v>541</v>
      </c>
      <c r="Y2964" s="110" t="str">
        <f>IFERROR(VLOOKUP(F2964,'Freq-Chan'!C:E,3,FALSE),"na")</f>
        <v>na</v>
      </c>
      <c r="Z2964" s="110" t="s">
        <v>541</v>
      </c>
      <c r="AA2964" s="110" t="s">
        <v>541</v>
      </c>
      <c r="AB2964" s="110" t="s">
        <v>541</v>
      </c>
      <c r="AC2964" s="10" t="s">
        <v>541</v>
      </c>
      <c r="AD2964" s="10" t="s">
        <v>541</v>
      </c>
    </row>
    <row r="2965" spans="1:30" x14ac:dyDescent="0.2">
      <c r="A2965" s="110">
        <v>2965</v>
      </c>
      <c r="B2965" s="132">
        <v>41869</v>
      </c>
      <c r="C2965" s="117">
        <v>1</v>
      </c>
      <c r="D2965" s="103" t="s">
        <v>71</v>
      </c>
      <c r="E2965" s="103" t="s">
        <v>306</v>
      </c>
      <c r="H2965" s="103"/>
      <c r="I2965" s="103">
        <v>56</v>
      </c>
      <c r="K2965" s="103" t="s">
        <v>365</v>
      </c>
      <c r="L2965" s="133"/>
      <c r="M2965" s="134">
        <v>1.4583333333333332E-2</v>
      </c>
      <c r="N2965" s="135" t="s">
        <v>4299</v>
      </c>
      <c r="O2965" s="133" t="s">
        <v>1538</v>
      </c>
      <c r="Q2965" s="100" t="s">
        <v>4312</v>
      </c>
      <c r="R2965" s="226" t="s">
        <v>4321</v>
      </c>
      <c r="S2965" s="491" t="str">
        <f t="shared" si="97"/>
        <v>x</v>
      </c>
      <c r="T2965" s="492" t="str">
        <f>IFERROR(VLOOKUP(F2965,'Freq-Chan'!C:D,2,FALSE),"x")</f>
        <v>x</v>
      </c>
      <c r="U2965" s="110" t="s">
        <v>541</v>
      </c>
      <c r="V2965" s="110" t="str">
        <f t="shared" si="98"/>
        <v>FWL</v>
      </c>
      <c r="W2965" s="110" t="s">
        <v>541</v>
      </c>
      <c r="X2965" s="110" t="s">
        <v>541</v>
      </c>
      <c r="Y2965" s="110" t="str">
        <f>IFERROR(VLOOKUP(F2965,'Freq-Chan'!C:E,3,FALSE),"na")</f>
        <v>na</v>
      </c>
      <c r="Z2965" s="110" t="s">
        <v>541</v>
      </c>
      <c r="AA2965" s="110" t="s">
        <v>541</v>
      </c>
      <c r="AB2965" s="110" t="s">
        <v>541</v>
      </c>
      <c r="AC2965" s="10" t="s">
        <v>541</v>
      </c>
      <c r="AD2965" s="10" t="s">
        <v>541</v>
      </c>
    </row>
    <row r="2966" spans="1:30" x14ac:dyDescent="0.2">
      <c r="A2966" s="110">
        <v>2966</v>
      </c>
      <c r="B2966" s="132">
        <v>41869</v>
      </c>
      <c r="C2966" s="117">
        <v>1</v>
      </c>
      <c r="D2966" s="103" t="s">
        <v>72</v>
      </c>
      <c r="E2966" s="103" t="s">
        <v>306</v>
      </c>
      <c r="H2966" s="103"/>
      <c r="I2966" s="103">
        <v>44</v>
      </c>
      <c r="K2966" s="103" t="s">
        <v>365</v>
      </c>
      <c r="L2966" s="133"/>
      <c r="M2966" s="134">
        <v>1.8055555555555557E-2</v>
      </c>
      <c r="N2966" s="135" t="s">
        <v>3435</v>
      </c>
      <c r="O2966" s="133" t="s">
        <v>1538</v>
      </c>
      <c r="Q2966" s="100" t="s">
        <v>4312</v>
      </c>
      <c r="R2966" s="226" t="s">
        <v>4321</v>
      </c>
      <c r="S2966" s="491" t="str">
        <f t="shared" si="97"/>
        <v>x</v>
      </c>
      <c r="T2966" s="492" t="str">
        <f>IFERROR(VLOOKUP(F2966,'Freq-Chan'!C:D,2,FALSE),"x")</f>
        <v>x</v>
      </c>
      <c r="U2966" s="110" t="s">
        <v>541</v>
      </c>
      <c r="V2966" s="110" t="str">
        <f t="shared" si="98"/>
        <v>FWL</v>
      </c>
      <c r="W2966" s="110" t="s">
        <v>541</v>
      </c>
      <c r="X2966" s="110" t="s">
        <v>541</v>
      </c>
      <c r="Y2966" s="110" t="str">
        <f>IFERROR(VLOOKUP(F2966,'Freq-Chan'!C:E,3,FALSE),"na")</f>
        <v>na</v>
      </c>
      <c r="Z2966" s="110" t="s">
        <v>541</v>
      </c>
      <c r="AA2966" s="110" t="s">
        <v>541</v>
      </c>
      <c r="AB2966" s="110" t="s">
        <v>541</v>
      </c>
      <c r="AC2966" s="10" t="s">
        <v>541</v>
      </c>
      <c r="AD2966" s="10" t="s">
        <v>541</v>
      </c>
    </row>
    <row r="2967" spans="1:30" x14ac:dyDescent="0.2">
      <c r="A2967" s="110">
        <v>2967</v>
      </c>
      <c r="B2967" s="132">
        <v>41869</v>
      </c>
      <c r="C2967" s="117">
        <v>1</v>
      </c>
      <c r="D2967" s="103" t="s">
        <v>70</v>
      </c>
      <c r="E2967" s="103" t="s">
        <v>306</v>
      </c>
      <c r="H2967" s="103"/>
      <c r="I2967" s="103">
        <v>44</v>
      </c>
      <c r="K2967" s="103" t="s">
        <v>365</v>
      </c>
      <c r="L2967" s="133"/>
      <c r="M2967" s="134">
        <v>1.2499999999999999E-2</v>
      </c>
      <c r="N2967" s="135" t="s">
        <v>3435</v>
      </c>
      <c r="O2967" s="133" t="s">
        <v>1538</v>
      </c>
      <c r="Q2967" s="100" t="s">
        <v>4312</v>
      </c>
      <c r="R2967" s="226" t="s">
        <v>4321</v>
      </c>
      <c r="S2967" s="491" t="str">
        <f t="shared" si="97"/>
        <v>x</v>
      </c>
      <c r="T2967" s="492" t="str">
        <f>IFERROR(VLOOKUP(F2967,'Freq-Chan'!C:D,2,FALSE),"x")</f>
        <v>x</v>
      </c>
      <c r="U2967" s="110" t="s">
        <v>541</v>
      </c>
      <c r="V2967" s="110" t="str">
        <f t="shared" si="98"/>
        <v>FWL</v>
      </c>
      <c r="W2967" s="110" t="s">
        <v>541</v>
      </c>
      <c r="X2967" s="110" t="s">
        <v>541</v>
      </c>
      <c r="Y2967" s="110" t="str">
        <f>IFERROR(VLOOKUP(F2967,'Freq-Chan'!C:E,3,FALSE),"na")</f>
        <v>na</v>
      </c>
      <c r="Z2967" s="110" t="s">
        <v>541</v>
      </c>
      <c r="AA2967" s="110" t="s">
        <v>541</v>
      </c>
      <c r="AB2967" s="110" t="s">
        <v>541</v>
      </c>
      <c r="AC2967" s="10" t="s">
        <v>541</v>
      </c>
      <c r="AD2967" s="10" t="s">
        <v>541</v>
      </c>
    </row>
    <row r="2968" spans="1:30" x14ac:dyDescent="0.2">
      <c r="A2968" s="110">
        <v>2968</v>
      </c>
      <c r="B2968" s="132">
        <v>41869</v>
      </c>
      <c r="C2968" s="117">
        <v>1</v>
      </c>
      <c r="D2968" s="103" t="s">
        <v>71</v>
      </c>
      <c r="E2968" s="103" t="s">
        <v>306</v>
      </c>
      <c r="H2968" s="103"/>
      <c r="I2968" s="103">
        <v>55</v>
      </c>
      <c r="K2968" s="103" t="s">
        <v>1032</v>
      </c>
      <c r="L2968" s="133"/>
      <c r="M2968" s="134">
        <v>1.3194444444444444E-2</v>
      </c>
      <c r="N2968" s="135" t="s">
        <v>3888</v>
      </c>
      <c r="O2968" s="133" t="s">
        <v>1538</v>
      </c>
      <c r="Q2968" s="100" t="s">
        <v>4312</v>
      </c>
      <c r="R2968" s="226" t="s">
        <v>4321</v>
      </c>
      <c r="S2968" s="491" t="str">
        <f t="shared" si="97"/>
        <v>x</v>
      </c>
      <c r="T2968" s="492" t="str">
        <f>IFERROR(VLOOKUP(F2968,'Freq-Chan'!C:D,2,FALSE),"x")</f>
        <v>x</v>
      </c>
      <c r="U2968" s="110" t="s">
        <v>541</v>
      </c>
      <c r="V2968" s="110" t="str">
        <f t="shared" si="98"/>
        <v>FWL</v>
      </c>
      <c r="W2968" s="110" t="s">
        <v>541</v>
      </c>
      <c r="X2968" s="110" t="s">
        <v>541</v>
      </c>
      <c r="Y2968" s="110" t="str">
        <f>IFERROR(VLOOKUP(F2968,'Freq-Chan'!C:E,3,FALSE),"na")</f>
        <v>na</v>
      </c>
      <c r="Z2968" s="110" t="s">
        <v>541</v>
      </c>
      <c r="AA2968" s="110" t="s">
        <v>541</v>
      </c>
      <c r="AB2968" s="110" t="s">
        <v>541</v>
      </c>
      <c r="AC2968" s="10" t="s">
        <v>541</v>
      </c>
      <c r="AD2968" s="10" t="s">
        <v>541</v>
      </c>
    </row>
    <row r="2969" spans="1:30" s="291" customFormat="1" x14ac:dyDescent="0.2">
      <c r="A2969" s="493">
        <v>2969</v>
      </c>
      <c r="B2969" s="283">
        <v>41869</v>
      </c>
      <c r="C2969" s="284">
        <v>1</v>
      </c>
      <c r="D2969" s="285" t="s">
        <v>72</v>
      </c>
      <c r="E2969" s="285" t="s">
        <v>306</v>
      </c>
      <c r="F2969" s="285"/>
      <c r="G2969" s="285"/>
      <c r="H2969" s="285"/>
      <c r="I2969" s="285">
        <v>45</v>
      </c>
      <c r="J2969" s="285"/>
      <c r="K2969" s="285" t="s">
        <v>1032</v>
      </c>
      <c r="L2969" s="286"/>
      <c r="M2969" s="287">
        <v>1.4583333333333332E-2</v>
      </c>
      <c r="N2969" s="288" t="s">
        <v>2521</v>
      </c>
      <c r="O2969" s="286" t="s">
        <v>1538</v>
      </c>
      <c r="P2969" s="289"/>
      <c r="Q2969" s="289" t="s">
        <v>4312</v>
      </c>
      <c r="R2969" s="290" t="s">
        <v>4321</v>
      </c>
      <c r="S2969" s="494" t="str">
        <f t="shared" si="97"/>
        <v>x</v>
      </c>
      <c r="T2969" s="495" t="str">
        <f>IFERROR(VLOOKUP(F2969,'Freq-Chan'!C:D,2,FALSE),"x")</f>
        <v>x</v>
      </c>
      <c r="U2969" s="493" t="s">
        <v>541</v>
      </c>
      <c r="V2969" s="493" t="str">
        <f t="shared" si="98"/>
        <v>FWL</v>
      </c>
      <c r="W2969" s="493" t="s">
        <v>541</v>
      </c>
      <c r="X2969" s="493" t="s">
        <v>541</v>
      </c>
      <c r="Y2969" s="493" t="str">
        <f>IFERROR(VLOOKUP(F2969,'Freq-Chan'!C:E,3,FALSE),"na")</f>
        <v>na</v>
      </c>
      <c r="Z2969" s="493" t="s">
        <v>541</v>
      </c>
      <c r="AA2969" s="493" t="s">
        <v>541</v>
      </c>
      <c r="AB2969" s="493" t="s">
        <v>541</v>
      </c>
      <c r="AC2969" s="291" t="s">
        <v>541</v>
      </c>
      <c r="AD2969" s="291" t="s">
        <v>541</v>
      </c>
    </row>
    <row r="2970" spans="1:30" x14ac:dyDescent="0.2">
      <c r="A2970" s="110">
        <v>2970</v>
      </c>
      <c r="B2970" s="132">
        <v>41869</v>
      </c>
      <c r="C2970" s="117">
        <v>2</v>
      </c>
      <c r="D2970" s="103" t="s">
        <v>71</v>
      </c>
      <c r="E2970" s="103" t="s">
        <v>306</v>
      </c>
      <c r="F2970" s="103">
        <v>534</v>
      </c>
      <c r="G2970" s="103">
        <v>92</v>
      </c>
      <c r="H2970" s="103" t="s">
        <v>2468</v>
      </c>
      <c r="I2970" s="103">
        <v>56</v>
      </c>
      <c r="K2970" s="103" t="s">
        <v>1032</v>
      </c>
      <c r="L2970" s="133"/>
      <c r="M2970" s="134">
        <v>4.027777777777778E-2</v>
      </c>
      <c r="N2970" s="135" t="s">
        <v>2720</v>
      </c>
      <c r="O2970" s="133" t="s">
        <v>1532</v>
      </c>
      <c r="P2970" s="100" t="s">
        <v>4314</v>
      </c>
      <c r="Q2970" s="100" t="s">
        <v>4306</v>
      </c>
      <c r="R2970" s="226" t="s">
        <v>4321</v>
      </c>
      <c r="S2970" s="491" t="str">
        <f t="shared" si="97"/>
        <v>x</v>
      </c>
      <c r="T2970" s="492">
        <f>IFERROR(VLOOKUP(F2970,'Freq-Chan'!C:D,2,FALSE),"x")</f>
        <v>151.53399999999999</v>
      </c>
      <c r="U2970" s="110" t="s">
        <v>541</v>
      </c>
      <c r="V2970" s="110" t="str">
        <f t="shared" si="98"/>
        <v>FWL</v>
      </c>
      <c r="W2970" s="110" t="s">
        <v>541</v>
      </c>
      <c r="X2970" s="110" t="s">
        <v>541</v>
      </c>
      <c r="Y2970" s="110" t="str">
        <f>IFERROR(VLOOKUP(F2970,'Freq-Chan'!C:E,3,FALSE),"na")</f>
        <v>F1840</v>
      </c>
      <c r="Z2970" s="110" t="s">
        <v>541</v>
      </c>
      <c r="AA2970" s="110" t="s">
        <v>541</v>
      </c>
      <c r="AB2970" s="110" t="s">
        <v>541</v>
      </c>
      <c r="AC2970" s="10" t="s">
        <v>541</v>
      </c>
      <c r="AD2970" s="10" t="s">
        <v>541</v>
      </c>
    </row>
    <row r="2971" spans="1:30" x14ac:dyDescent="0.2">
      <c r="A2971" s="110">
        <v>2971</v>
      </c>
      <c r="B2971" s="132">
        <v>41869</v>
      </c>
      <c r="C2971" s="117">
        <v>2</v>
      </c>
      <c r="D2971" s="103" t="s">
        <v>71</v>
      </c>
      <c r="E2971" s="103" t="s">
        <v>306</v>
      </c>
      <c r="H2971" s="103"/>
      <c r="I2971" s="103">
        <v>55</v>
      </c>
      <c r="K2971" s="103" t="s">
        <v>365</v>
      </c>
      <c r="L2971" s="133"/>
      <c r="M2971" s="134">
        <v>1.4583333333333332E-2</v>
      </c>
      <c r="N2971" s="135" t="s">
        <v>3432</v>
      </c>
      <c r="O2971" s="133" t="s">
        <v>1532</v>
      </c>
      <c r="Q2971" s="100" t="s">
        <v>4306</v>
      </c>
      <c r="R2971" s="226" t="s">
        <v>4321</v>
      </c>
      <c r="S2971" s="491" t="str">
        <f t="shared" si="97"/>
        <v>x</v>
      </c>
      <c r="T2971" s="492" t="str">
        <f>IFERROR(VLOOKUP(F2971,'Freq-Chan'!C:D,2,FALSE),"x")</f>
        <v>x</v>
      </c>
      <c r="U2971" s="110" t="s">
        <v>541</v>
      </c>
      <c r="V2971" s="110" t="str">
        <f t="shared" si="98"/>
        <v>FWL</v>
      </c>
      <c r="W2971" s="110" t="s">
        <v>541</v>
      </c>
      <c r="X2971" s="110" t="s">
        <v>541</v>
      </c>
      <c r="Y2971" s="110" t="str">
        <f>IFERROR(VLOOKUP(F2971,'Freq-Chan'!C:E,3,FALSE),"na")</f>
        <v>na</v>
      </c>
      <c r="Z2971" s="110" t="s">
        <v>541</v>
      </c>
      <c r="AA2971" s="110" t="s">
        <v>541</v>
      </c>
      <c r="AB2971" s="110" t="s">
        <v>541</v>
      </c>
      <c r="AC2971" s="10" t="s">
        <v>541</v>
      </c>
      <c r="AD2971" s="10" t="s">
        <v>541</v>
      </c>
    </row>
    <row r="2972" spans="1:30" x14ac:dyDescent="0.2">
      <c r="A2972" s="110">
        <v>2972</v>
      </c>
      <c r="B2972" s="132">
        <v>41869</v>
      </c>
      <c r="C2972" s="117">
        <v>2</v>
      </c>
      <c r="D2972" s="103" t="s">
        <v>72</v>
      </c>
      <c r="E2972" s="103" t="s">
        <v>306</v>
      </c>
      <c r="F2972" s="103">
        <v>266</v>
      </c>
      <c r="G2972" s="103">
        <v>3</v>
      </c>
      <c r="H2972" s="103" t="s">
        <v>3624</v>
      </c>
      <c r="I2972" s="103">
        <v>58</v>
      </c>
      <c r="K2972" s="103" t="s">
        <v>365</v>
      </c>
      <c r="L2972" s="133"/>
      <c r="M2972" s="134">
        <v>4.1666666666666664E-2</v>
      </c>
      <c r="N2972" s="137" t="s">
        <v>878</v>
      </c>
      <c r="O2972" s="133" t="s">
        <v>1532</v>
      </c>
      <c r="P2972" s="100" t="s">
        <v>4475</v>
      </c>
      <c r="Q2972" s="100" t="s">
        <v>4306</v>
      </c>
      <c r="R2972" s="226" t="s">
        <v>4321</v>
      </c>
      <c r="S2972" s="491" t="str">
        <f t="shared" si="97"/>
        <v>x</v>
      </c>
      <c r="T2972" s="492">
        <f>IFERROR(VLOOKUP(F2972,'Freq-Chan'!C:D,2,FALSE),"x")</f>
        <v>151.26599999999999</v>
      </c>
      <c r="U2972" s="110" t="s">
        <v>541</v>
      </c>
      <c r="V2972" s="110" t="str">
        <f t="shared" si="98"/>
        <v>FWL</v>
      </c>
      <c r="W2972" s="110" t="s">
        <v>541</v>
      </c>
      <c r="X2972" s="110" t="s">
        <v>541</v>
      </c>
      <c r="Y2972" s="110" t="str">
        <f>IFERROR(VLOOKUP(F2972,'Freq-Chan'!C:E,3,FALSE),"na")</f>
        <v>F1840</v>
      </c>
      <c r="Z2972" s="110" t="s">
        <v>541</v>
      </c>
      <c r="AA2972" s="110" t="s">
        <v>541</v>
      </c>
      <c r="AB2972" s="110" t="s">
        <v>541</v>
      </c>
      <c r="AC2972" s="10" t="s">
        <v>541</v>
      </c>
      <c r="AD2972" s="10" t="s">
        <v>541</v>
      </c>
    </row>
    <row r="2973" spans="1:30" x14ac:dyDescent="0.2">
      <c r="A2973" s="110">
        <v>2973</v>
      </c>
      <c r="B2973" s="132">
        <v>41869</v>
      </c>
      <c r="C2973" s="117">
        <v>2</v>
      </c>
      <c r="D2973" s="103" t="s">
        <v>71</v>
      </c>
      <c r="E2973" s="103" t="s">
        <v>306</v>
      </c>
      <c r="H2973" s="103"/>
      <c r="I2973" s="103">
        <v>56</v>
      </c>
      <c r="K2973" s="103" t="s">
        <v>1032</v>
      </c>
      <c r="L2973" s="133"/>
      <c r="M2973" s="134">
        <v>1.5972222222222224E-2</v>
      </c>
      <c r="N2973" s="135" t="s">
        <v>4085</v>
      </c>
      <c r="O2973" s="133" t="s">
        <v>1532</v>
      </c>
      <c r="P2973" s="100" t="s">
        <v>4315</v>
      </c>
      <c r="Q2973" s="100" t="s">
        <v>4306</v>
      </c>
      <c r="R2973" s="226" t="s">
        <v>4321</v>
      </c>
      <c r="S2973" s="491" t="str">
        <f t="shared" si="97"/>
        <v>x</v>
      </c>
      <c r="T2973" s="492" t="str">
        <f>IFERROR(VLOOKUP(F2973,'Freq-Chan'!C:D,2,FALSE),"x")</f>
        <v>x</v>
      </c>
      <c r="U2973" s="110" t="s">
        <v>541</v>
      </c>
      <c r="V2973" s="110" t="str">
        <f t="shared" si="98"/>
        <v>FWL</v>
      </c>
      <c r="W2973" s="110" t="s">
        <v>541</v>
      </c>
      <c r="X2973" s="110" t="s">
        <v>541</v>
      </c>
      <c r="Y2973" s="110" t="str">
        <f>IFERROR(VLOOKUP(F2973,'Freq-Chan'!C:E,3,FALSE),"na")</f>
        <v>na</v>
      </c>
      <c r="Z2973" s="110" t="s">
        <v>541</v>
      </c>
      <c r="AA2973" s="110" t="s">
        <v>541</v>
      </c>
      <c r="AB2973" s="110" t="s">
        <v>541</v>
      </c>
      <c r="AC2973" s="10" t="s">
        <v>541</v>
      </c>
      <c r="AD2973" s="10" t="s">
        <v>541</v>
      </c>
    </row>
    <row r="2974" spans="1:30" x14ac:dyDescent="0.2">
      <c r="A2974" s="110">
        <v>2974</v>
      </c>
      <c r="B2974" s="132">
        <v>41869</v>
      </c>
      <c r="C2974" s="117">
        <v>2</v>
      </c>
      <c r="D2974" s="103" t="s">
        <v>71</v>
      </c>
      <c r="E2974" s="103" t="s">
        <v>306</v>
      </c>
      <c r="H2974" s="103"/>
      <c r="I2974" s="103">
        <v>58</v>
      </c>
      <c r="K2974" s="103" t="s">
        <v>365</v>
      </c>
      <c r="L2974" s="133"/>
      <c r="M2974" s="134">
        <v>1.8749999999999999E-2</v>
      </c>
      <c r="N2974" s="135" t="s">
        <v>1668</v>
      </c>
      <c r="O2974" s="133" t="s">
        <v>1532</v>
      </c>
      <c r="Q2974" s="100" t="s">
        <v>4306</v>
      </c>
      <c r="R2974" s="226" t="s">
        <v>4321</v>
      </c>
      <c r="S2974" s="491" t="str">
        <f t="shared" si="97"/>
        <v>x</v>
      </c>
      <c r="T2974" s="492" t="str">
        <f>IFERROR(VLOOKUP(F2974,'Freq-Chan'!C:D,2,FALSE),"x")</f>
        <v>x</v>
      </c>
      <c r="U2974" s="110" t="s">
        <v>541</v>
      </c>
      <c r="V2974" s="110" t="str">
        <f t="shared" si="98"/>
        <v>FWL</v>
      </c>
      <c r="W2974" s="110" t="s">
        <v>541</v>
      </c>
      <c r="X2974" s="110" t="s">
        <v>541</v>
      </c>
      <c r="Y2974" s="110" t="str">
        <f>IFERROR(VLOOKUP(F2974,'Freq-Chan'!C:E,3,FALSE),"na")</f>
        <v>na</v>
      </c>
      <c r="Z2974" s="110" t="s">
        <v>541</v>
      </c>
      <c r="AA2974" s="110" t="s">
        <v>541</v>
      </c>
      <c r="AB2974" s="110" t="s">
        <v>541</v>
      </c>
      <c r="AC2974" s="10" t="s">
        <v>541</v>
      </c>
      <c r="AD2974" s="10" t="s">
        <v>541</v>
      </c>
    </row>
    <row r="2975" spans="1:30" x14ac:dyDescent="0.2">
      <c r="A2975" s="110">
        <v>2975</v>
      </c>
      <c r="B2975" s="132">
        <v>41869</v>
      </c>
      <c r="C2975" s="117">
        <v>2</v>
      </c>
      <c r="D2975" s="103" t="s">
        <v>72</v>
      </c>
      <c r="E2975" s="103" t="s">
        <v>306</v>
      </c>
      <c r="F2975" s="103">
        <v>266</v>
      </c>
      <c r="G2975" s="103">
        <v>9</v>
      </c>
      <c r="H2975" s="103" t="s">
        <v>3625</v>
      </c>
      <c r="I2975" s="103">
        <v>58</v>
      </c>
      <c r="K2975" s="103" t="s">
        <v>1032</v>
      </c>
      <c r="L2975" s="133"/>
      <c r="M2975" s="134">
        <v>3.4722222222222224E-2</v>
      </c>
      <c r="N2975" s="135" t="s">
        <v>3776</v>
      </c>
      <c r="O2975" s="133" t="s">
        <v>1532</v>
      </c>
      <c r="P2975" s="100" t="s">
        <v>4466</v>
      </c>
      <c r="Q2975" s="100" t="s">
        <v>4306</v>
      </c>
      <c r="R2975" s="226" t="s">
        <v>4321</v>
      </c>
      <c r="S2975" s="491" t="str">
        <f t="shared" si="97"/>
        <v>x</v>
      </c>
      <c r="T2975" s="492">
        <f>IFERROR(VLOOKUP(F2975,'Freq-Chan'!C:D,2,FALSE),"x")</f>
        <v>151.26599999999999</v>
      </c>
      <c r="U2975" s="110" t="s">
        <v>541</v>
      </c>
      <c r="V2975" s="110" t="str">
        <f t="shared" si="98"/>
        <v>FWL</v>
      </c>
      <c r="W2975" s="110" t="s">
        <v>541</v>
      </c>
      <c r="X2975" s="110" t="s">
        <v>541</v>
      </c>
      <c r="Y2975" s="110" t="str">
        <f>IFERROR(VLOOKUP(F2975,'Freq-Chan'!C:E,3,FALSE),"na")</f>
        <v>F1840</v>
      </c>
      <c r="Z2975" s="110" t="s">
        <v>541</v>
      </c>
      <c r="AA2975" s="110" t="s">
        <v>541</v>
      </c>
      <c r="AB2975" s="110" t="s">
        <v>541</v>
      </c>
      <c r="AC2975" s="10" t="s">
        <v>541</v>
      </c>
      <c r="AD2975" s="10" t="s">
        <v>541</v>
      </c>
    </row>
    <row r="2976" spans="1:30" x14ac:dyDescent="0.2">
      <c r="A2976" s="110">
        <v>2976</v>
      </c>
      <c r="B2976" s="132">
        <v>41869</v>
      </c>
      <c r="C2976" s="117">
        <v>2</v>
      </c>
      <c r="D2976" s="103" t="s">
        <v>71</v>
      </c>
      <c r="E2976" s="103" t="s">
        <v>306</v>
      </c>
      <c r="H2976" s="103"/>
      <c r="I2976" s="103">
        <v>51</v>
      </c>
      <c r="K2976" s="103" t="s">
        <v>1032</v>
      </c>
      <c r="L2976" s="133"/>
      <c r="M2976" s="134">
        <v>1.3194444444444444E-2</v>
      </c>
      <c r="N2976" s="137" t="s">
        <v>3251</v>
      </c>
      <c r="O2976" s="133" t="s">
        <v>1538</v>
      </c>
      <c r="Q2976" s="100" t="s">
        <v>4306</v>
      </c>
      <c r="R2976" s="226" t="s">
        <v>4321</v>
      </c>
      <c r="S2976" s="491" t="str">
        <f t="shared" si="97"/>
        <v>x</v>
      </c>
      <c r="T2976" s="492" t="str">
        <f>IFERROR(VLOOKUP(F2976,'Freq-Chan'!C:D,2,FALSE),"x")</f>
        <v>x</v>
      </c>
      <c r="U2976" s="110" t="s">
        <v>541</v>
      </c>
      <c r="V2976" s="110" t="str">
        <f t="shared" si="98"/>
        <v>FWL</v>
      </c>
      <c r="W2976" s="110" t="s">
        <v>541</v>
      </c>
      <c r="X2976" s="110" t="s">
        <v>541</v>
      </c>
      <c r="Y2976" s="110" t="str">
        <f>IFERROR(VLOOKUP(F2976,'Freq-Chan'!C:E,3,FALSE),"na")</f>
        <v>na</v>
      </c>
      <c r="Z2976" s="110" t="s">
        <v>541</v>
      </c>
      <c r="AA2976" s="110" t="s">
        <v>541</v>
      </c>
      <c r="AB2976" s="110" t="s">
        <v>541</v>
      </c>
      <c r="AC2976" s="10" t="s">
        <v>541</v>
      </c>
      <c r="AD2976" s="10" t="s">
        <v>541</v>
      </c>
    </row>
    <row r="2977" spans="1:30" s="291" customFormat="1" x14ac:dyDescent="0.2">
      <c r="A2977" s="493">
        <v>2977</v>
      </c>
      <c r="B2977" s="283">
        <v>41869</v>
      </c>
      <c r="C2977" s="284">
        <v>2</v>
      </c>
      <c r="D2977" s="285" t="s">
        <v>70</v>
      </c>
      <c r="E2977" s="285" t="s">
        <v>306</v>
      </c>
      <c r="F2977" s="285"/>
      <c r="G2977" s="285"/>
      <c r="H2977" s="285"/>
      <c r="I2977" s="285">
        <v>45</v>
      </c>
      <c r="J2977" s="285"/>
      <c r="K2977" s="285" t="s">
        <v>365</v>
      </c>
      <c r="L2977" s="286"/>
      <c r="M2977" s="287">
        <v>1.4583333333333332E-2</v>
      </c>
      <c r="N2977" s="288" t="s">
        <v>3166</v>
      </c>
      <c r="O2977" s="286" t="s">
        <v>1538</v>
      </c>
      <c r="P2977" s="289"/>
      <c r="Q2977" s="289" t="s">
        <v>4306</v>
      </c>
      <c r="R2977" s="290" t="s">
        <v>4321</v>
      </c>
      <c r="S2977" s="494" t="str">
        <f t="shared" si="97"/>
        <v>x</v>
      </c>
      <c r="T2977" s="495" t="str">
        <f>IFERROR(VLOOKUP(F2977,'Freq-Chan'!C:D,2,FALSE),"x")</f>
        <v>x</v>
      </c>
      <c r="U2977" s="493" t="s">
        <v>541</v>
      </c>
      <c r="V2977" s="493" t="str">
        <f t="shared" si="98"/>
        <v>FWL</v>
      </c>
      <c r="W2977" s="493" t="s">
        <v>541</v>
      </c>
      <c r="X2977" s="493" t="s">
        <v>541</v>
      </c>
      <c r="Y2977" s="493" t="str">
        <f>IFERROR(VLOOKUP(F2977,'Freq-Chan'!C:E,3,FALSE),"na")</f>
        <v>na</v>
      </c>
      <c r="Z2977" s="493" t="s">
        <v>541</v>
      </c>
      <c r="AA2977" s="493" t="s">
        <v>541</v>
      </c>
      <c r="AB2977" s="493" t="s">
        <v>541</v>
      </c>
      <c r="AC2977" s="291" t="s">
        <v>541</v>
      </c>
      <c r="AD2977" s="291" t="s">
        <v>541</v>
      </c>
    </row>
    <row r="2978" spans="1:30" x14ac:dyDescent="0.2">
      <c r="A2978" s="110">
        <v>2978</v>
      </c>
      <c r="B2978" s="132">
        <v>41869</v>
      </c>
      <c r="C2978" s="117">
        <v>3</v>
      </c>
      <c r="D2978" s="103" t="s">
        <v>70</v>
      </c>
      <c r="E2978" s="103" t="s">
        <v>306</v>
      </c>
      <c r="F2978" s="103">
        <v>596</v>
      </c>
      <c r="G2978" s="103">
        <v>94</v>
      </c>
      <c r="H2978" s="103" t="s">
        <v>3143</v>
      </c>
      <c r="I2978" s="103">
        <v>56</v>
      </c>
      <c r="K2978" s="103" t="s">
        <v>1032</v>
      </c>
      <c r="L2978" s="133"/>
      <c r="M2978" s="134">
        <v>4.027777777777778E-2</v>
      </c>
      <c r="N2978" s="137" t="s">
        <v>2892</v>
      </c>
      <c r="O2978" s="133" t="s">
        <v>1532</v>
      </c>
      <c r="Q2978" s="100" t="s">
        <v>4308</v>
      </c>
      <c r="R2978" s="226" t="s">
        <v>4321</v>
      </c>
      <c r="S2978" s="491" t="str">
        <f t="shared" si="97"/>
        <v>x</v>
      </c>
      <c r="T2978" s="492">
        <f>IFERROR(VLOOKUP(F2978,'Freq-Chan'!C:D,2,FALSE),"x")</f>
        <v>151.596</v>
      </c>
      <c r="U2978" s="110" t="s">
        <v>541</v>
      </c>
      <c r="V2978" s="110" t="str">
        <f t="shared" si="98"/>
        <v>FWL</v>
      </c>
      <c r="W2978" s="110" t="s">
        <v>541</v>
      </c>
      <c r="X2978" s="110" t="s">
        <v>541</v>
      </c>
      <c r="Y2978" s="110" t="str">
        <f>IFERROR(VLOOKUP(F2978,'Freq-Chan'!C:E,3,FALSE),"na")</f>
        <v>F1835</v>
      </c>
      <c r="Z2978" s="110" t="s">
        <v>541</v>
      </c>
      <c r="AA2978" s="110" t="s">
        <v>541</v>
      </c>
      <c r="AB2978" s="110" t="s">
        <v>541</v>
      </c>
      <c r="AC2978" s="10" t="s">
        <v>541</v>
      </c>
      <c r="AD2978" s="10" t="s">
        <v>541</v>
      </c>
    </row>
    <row r="2979" spans="1:30" x14ac:dyDescent="0.2">
      <c r="A2979" s="110">
        <v>2979</v>
      </c>
      <c r="B2979" s="132">
        <v>41869</v>
      </c>
      <c r="C2979" s="117">
        <v>3</v>
      </c>
      <c r="D2979" s="103" t="s">
        <v>72</v>
      </c>
      <c r="E2979" s="103" t="s">
        <v>306</v>
      </c>
      <c r="F2979" s="103">
        <v>266</v>
      </c>
      <c r="G2979" s="103">
        <v>74</v>
      </c>
      <c r="H2979" s="103" t="s">
        <v>3614</v>
      </c>
      <c r="I2979" s="103">
        <v>49</v>
      </c>
      <c r="K2979" s="103" t="s">
        <v>364</v>
      </c>
      <c r="L2979" s="133"/>
      <c r="M2979" s="134">
        <v>3.3333333333333333E-2</v>
      </c>
      <c r="N2979" s="135" t="s">
        <v>3981</v>
      </c>
      <c r="O2979" s="133" t="s">
        <v>1532</v>
      </c>
      <c r="P2979" s="100" t="s">
        <v>4466</v>
      </c>
      <c r="Q2979" s="100" t="s">
        <v>4308</v>
      </c>
      <c r="R2979" s="226" t="s">
        <v>4321</v>
      </c>
      <c r="S2979" s="491" t="str">
        <f t="shared" si="97"/>
        <v>x</v>
      </c>
      <c r="T2979" s="492">
        <f>IFERROR(VLOOKUP(F2979,'Freq-Chan'!C:D,2,FALSE),"x")</f>
        <v>151.26599999999999</v>
      </c>
      <c r="U2979" s="110" t="s">
        <v>541</v>
      </c>
      <c r="V2979" s="110" t="str">
        <f t="shared" si="98"/>
        <v>FWL</v>
      </c>
      <c r="W2979" s="110" t="s">
        <v>541</v>
      </c>
      <c r="X2979" s="110" t="s">
        <v>541</v>
      </c>
      <c r="Y2979" s="110" t="str">
        <f>IFERROR(VLOOKUP(F2979,'Freq-Chan'!C:E,3,FALSE),"na")</f>
        <v>F1840</v>
      </c>
      <c r="Z2979" s="110" t="s">
        <v>541</v>
      </c>
      <c r="AA2979" s="110" t="s">
        <v>541</v>
      </c>
      <c r="AB2979" s="110" t="s">
        <v>541</v>
      </c>
      <c r="AC2979" s="10" t="s">
        <v>541</v>
      </c>
      <c r="AD2979" s="10" t="s">
        <v>541</v>
      </c>
    </row>
    <row r="2980" spans="1:30" x14ac:dyDescent="0.2">
      <c r="A2980" s="110">
        <v>2980</v>
      </c>
      <c r="B2980" s="132">
        <v>41869</v>
      </c>
      <c r="C2980" s="117">
        <v>3</v>
      </c>
      <c r="D2980" s="103" t="s">
        <v>70</v>
      </c>
      <c r="E2980" s="103" t="s">
        <v>306</v>
      </c>
      <c r="F2980" s="103">
        <v>515</v>
      </c>
      <c r="G2980" s="103">
        <v>28</v>
      </c>
      <c r="H2980" s="103" t="s">
        <v>3144</v>
      </c>
      <c r="I2980" s="103">
        <v>44</v>
      </c>
      <c r="K2980" s="103" t="s">
        <v>365</v>
      </c>
      <c r="L2980" s="133"/>
      <c r="M2980" s="134">
        <v>3.4027777777777775E-2</v>
      </c>
      <c r="N2980" s="135" t="s">
        <v>763</v>
      </c>
      <c r="O2980" s="133" t="s">
        <v>1532</v>
      </c>
      <c r="Q2980" s="100" t="s">
        <v>4308</v>
      </c>
      <c r="R2980" s="226" t="s">
        <v>4321</v>
      </c>
      <c r="S2980" s="491" t="str">
        <f t="shared" si="97"/>
        <v>x</v>
      </c>
      <c r="T2980" s="492">
        <f>IFERROR(VLOOKUP(F2980,'Freq-Chan'!C:D,2,FALSE),"x")</f>
        <v>151.51499999999999</v>
      </c>
      <c r="U2980" s="110" t="s">
        <v>541</v>
      </c>
      <c r="V2980" s="110" t="str">
        <f t="shared" si="98"/>
        <v>FWL</v>
      </c>
      <c r="W2980" s="110" t="s">
        <v>541</v>
      </c>
      <c r="X2980" s="110" t="s">
        <v>541</v>
      </c>
      <c r="Y2980" s="110" t="str">
        <f>IFERROR(VLOOKUP(F2980,'Freq-Chan'!C:E,3,FALSE),"na")</f>
        <v>F1835</v>
      </c>
      <c r="Z2980" s="110" t="s">
        <v>541</v>
      </c>
      <c r="AA2980" s="110" t="s">
        <v>541</v>
      </c>
      <c r="AB2980" s="110" t="s">
        <v>541</v>
      </c>
      <c r="AC2980" s="10" t="s">
        <v>541</v>
      </c>
      <c r="AD2980" s="10" t="s">
        <v>541</v>
      </c>
    </row>
    <row r="2981" spans="1:30" x14ac:dyDescent="0.2">
      <c r="A2981" s="110">
        <v>2981</v>
      </c>
      <c r="B2981" s="132">
        <v>41869</v>
      </c>
      <c r="C2981" s="117">
        <v>3</v>
      </c>
      <c r="D2981" s="103" t="s">
        <v>71</v>
      </c>
      <c r="E2981" s="103" t="s">
        <v>306</v>
      </c>
      <c r="F2981" s="103">
        <v>534</v>
      </c>
      <c r="G2981" s="103">
        <v>14</v>
      </c>
      <c r="H2981" s="103" t="s">
        <v>2462</v>
      </c>
      <c r="I2981" s="103">
        <v>61</v>
      </c>
      <c r="K2981" s="103" t="s">
        <v>1032</v>
      </c>
      <c r="L2981" s="133"/>
      <c r="M2981" s="134">
        <v>3.4722222222222224E-2</v>
      </c>
      <c r="N2981" s="137" t="s">
        <v>3936</v>
      </c>
      <c r="O2981" s="133" t="s">
        <v>1532</v>
      </c>
      <c r="Q2981" s="100" t="s">
        <v>4308</v>
      </c>
      <c r="R2981" s="226" t="s">
        <v>4321</v>
      </c>
      <c r="S2981" s="491" t="str">
        <f t="shared" si="97"/>
        <v>x</v>
      </c>
      <c r="T2981" s="492">
        <f>IFERROR(VLOOKUP(F2981,'Freq-Chan'!C:D,2,FALSE),"x")</f>
        <v>151.53399999999999</v>
      </c>
      <c r="U2981" s="110" t="s">
        <v>541</v>
      </c>
      <c r="V2981" s="110" t="str">
        <f t="shared" si="98"/>
        <v>FWL</v>
      </c>
      <c r="W2981" s="110" t="s">
        <v>541</v>
      </c>
      <c r="X2981" s="110" t="s">
        <v>541</v>
      </c>
      <c r="Y2981" s="110" t="str">
        <f>IFERROR(VLOOKUP(F2981,'Freq-Chan'!C:E,3,FALSE),"na")</f>
        <v>F1840</v>
      </c>
      <c r="Z2981" s="110" t="s">
        <v>541</v>
      </c>
      <c r="AA2981" s="110" t="s">
        <v>541</v>
      </c>
      <c r="AB2981" s="110" t="s">
        <v>541</v>
      </c>
      <c r="AC2981" s="10" t="s">
        <v>541</v>
      </c>
      <c r="AD2981" s="10" t="s">
        <v>541</v>
      </c>
    </row>
    <row r="2982" spans="1:30" x14ac:dyDescent="0.2">
      <c r="A2982" s="110">
        <v>2982</v>
      </c>
      <c r="B2982" s="132">
        <v>41869</v>
      </c>
      <c r="C2982" s="117">
        <v>3</v>
      </c>
      <c r="D2982" s="103" t="s">
        <v>72</v>
      </c>
      <c r="E2982" s="103" t="s">
        <v>306</v>
      </c>
      <c r="H2982" s="103"/>
      <c r="I2982" s="103">
        <v>58</v>
      </c>
      <c r="K2982" s="103" t="s">
        <v>364</v>
      </c>
      <c r="L2982" s="133"/>
      <c r="M2982" s="134">
        <v>1.5277777777777777E-2</v>
      </c>
      <c r="N2982" s="137" t="s">
        <v>3717</v>
      </c>
      <c r="O2982" s="133" t="s">
        <v>376</v>
      </c>
      <c r="P2982" s="100" t="s">
        <v>4051</v>
      </c>
      <c r="Q2982" s="100" t="s">
        <v>4309</v>
      </c>
      <c r="R2982" s="226" t="s">
        <v>4321</v>
      </c>
      <c r="S2982" s="491" t="str">
        <f t="shared" si="97"/>
        <v>x</v>
      </c>
      <c r="T2982" s="492" t="str">
        <f>IFERROR(VLOOKUP(F2982,'Freq-Chan'!C:D,2,FALSE),"x")</f>
        <v>x</v>
      </c>
      <c r="U2982" s="110" t="s">
        <v>541</v>
      </c>
      <c r="V2982" s="110" t="str">
        <f t="shared" si="98"/>
        <v>FWL</v>
      </c>
      <c r="W2982" s="110" t="s">
        <v>541</v>
      </c>
      <c r="X2982" s="110" t="s">
        <v>541</v>
      </c>
      <c r="Y2982" s="110" t="str">
        <f>IFERROR(VLOOKUP(F2982,'Freq-Chan'!C:E,3,FALSE),"na")</f>
        <v>na</v>
      </c>
      <c r="Z2982" s="110" t="s">
        <v>541</v>
      </c>
      <c r="AA2982" s="110" t="s">
        <v>541</v>
      </c>
      <c r="AB2982" s="110" t="s">
        <v>541</v>
      </c>
      <c r="AC2982" s="10" t="s">
        <v>541</v>
      </c>
      <c r="AD2982" s="10" t="s">
        <v>541</v>
      </c>
    </row>
    <row r="2983" spans="1:30" x14ac:dyDescent="0.2">
      <c r="A2983" s="110">
        <v>2983</v>
      </c>
      <c r="B2983" s="132">
        <v>41869</v>
      </c>
      <c r="C2983" s="117">
        <v>3</v>
      </c>
      <c r="D2983" s="103" t="s">
        <v>71</v>
      </c>
      <c r="E2983" s="103" t="s">
        <v>306</v>
      </c>
      <c r="F2983" s="103">
        <v>564</v>
      </c>
      <c r="G2983" s="103">
        <v>39</v>
      </c>
      <c r="H2983" s="103" t="s">
        <v>2463</v>
      </c>
      <c r="I2983" s="103">
        <v>53</v>
      </c>
      <c r="K2983" s="103" t="s">
        <v>365</v>
      </c>
      <c r="L2983" s="133"/>
      <c r="M2983" s="134">
        <v>4.5833333333333337E-2</v>
      </c>
      <c r="N2983" s="137" t="s">
        <v>3475</v>
      </c>
      <c r="O2983" s="133" t="s">
        <v>1532</v>
      </c>
      <c r="Q2983" s="100" t="s">
        <v>4309</v>
      </c>
      <c r="R2983" s="226" t="s">
        <v>4321</v>
      </c>
      <c r="S2983" s="491" t="str">
        <f t="shared" si="97"/>
        <v>x</v>
      </c>
      <c r="T2983" s="492">
        <f>IFERROR(VLOOKUP(F2983,'Freq-Chan'!C:D,2,FALSE),"x")</f>
        <v>151.56399999999999</v>
      </c>
      <c r="U2983" s="110" t="s">
        <v>541</v>
      </c>
      <c r="V2983" s="110" t="str">
        <f t="shared" si="98"/>
        <v>FWL</v>
      </c>
      <c r="W2983" s="110" t="s">
        <v>541</v>
      </c>
      <c r="X2983" s="110" t="s">
        <v>541</v>
      </c>
      <c r="Y2983" s="110" t="str">
        <f>IFERROR(VLOOKUP(F2983,'Freq-Chan'!C:E,3,FALSE),"na")</f>
        <v>F1840</v>
      </c>
      <c r="Z2983" s="110" t="s">
        <v>541</v>
      </c>
      <c r="AA2983" s="110" t="s">
        <v>541</v>
      </c>
      <c r="AB2983" s="110" t="s">
        <v>541</v>
      </c>
      <c r="AC2983" s="10" t="s">
        <v>541</v>
      </c>
      <c r="AD2983" s="10" t="s">
        <v>541</v>
      </c>
    </row>
    <row r="2984" spans="1:30" x14ac:dyDescent="0.2">
      <c r="A2984" s="110">
        <v>2984</v>
      </c>
      <c r="B2984" s="132">
        <v>41869</v>
      </c>
      <c r="C2984" s="117">
        <v>3</v>
      </c>
      <c r="D2984" s="103" t="s">
        <v>70</v>
      </c>
      <c r="E2984" s="103" t="s">
        <v>306</v>
      </c>
      <c r="F2984" s="103">
        <v>515</v>
      </c>
      <c r="G2984" s="103">
        <v>26</v>
      </c>
      <c r="H2984" s="103" t="s">
        <v>3145</v>
      </c>
      <c r="I2984" s="103">
        <v>40</v>
      </c>
      <c r="K2984" s="103" t="s">
        <v>1032</v>
      </c>
      <c r="L2984" s="133"/>
      <c r="M2984" s="134">
        <v>6.1805555555555558E-2</v>
      </c>
      <c r="N2984" s="135" t="s">
        <v>3839</v>
      </c>
      <c r="O2984" s="133" t="s">
        <v>372</v>
      </c>
      <c r="Q2984" s="100" t="s">
        <v>4309</v>
      </c>
      <c r="R2984" s="226" t="s">
        <v>4321</v>
      </c>
      <c r="S2984" s="491" t="str">
        <f t="shared" si="97"/>
        <v>x</v>
      </c>
      <c r="T2984" s="492">
        <f>IFERROR(VLOOKUP(F2984,'Freq-Chan'!C:D,2,FALSE),"x")</f>
        <v>151.51499999999999</v>
      </c>
      <c r="U2984" s="110" t="s">
        <v>541</v>
      </c>
      <c r="V2984" s="110" t="str">
        <f t="shared" si="98"/>
        <v>FWL</v>
      </c>
      <c r="W2984" s="110" t="s">
        <v>541</v>
      </c>
      <c r="X2984" s="110" t="s">
        <v>541</v>
      </c>
      <c r="Y2984" s="110" t="str">
        <f>IFERROR(VLOOKUP(F2984,'Freq-Chan'!C:E,3,FALSE),"na")</f>
        <v>F1835</v>
      </c>
      <c r="Z2984" s="110" t="s">
        <v>541</v>
      </c>
      <c r="AA2984" s="110" t="s">
        <v>541</v>
      </c>
      <c r="AB2984" s="110" t="s">
        <v>541</v>
      </c>
      <c r="AC2984" s="10" t="s">
        <v>541</v>
      </c>
      <c r="AD2984" s="10" t="s">
        <v>541</v>
      </c>
    </row>
    <row r="2985" spans="1:30" x14ac:dyDescent="0.2">
      <c r="A2985" s="110">
        <v>2985</v>
      </c>
      <c r="B2985" s="132">
        <v>41869</v>
      </c>
      <c r="C2985" s="117">
        <v>3</v>
      </c>
      <c r="D2985" s="103" t="s">
        <v>70</v>
      </c>
      <c r="E2985" s="103" t="s">
        <v>306</v>
      </c>
      <c r="F2985" s="103">
        <v>515</v>
      </c>
      <c r="G2985" s="103">
        <v>90</v>
      </c>
      <c r="H2985" s="103" t="s">
        <v>3140</v>
      </c>
      <c r="I2985" s="103">
        <v>52</v>
      </c>
      <c r="K2985" s="103" t="s">
        <v>1032</v>
      </c>
      <c r="L2985" s="133"/>
      <c r="M2985" s="134">
        <v>5.7638888888888885E-2</v>
      </c>
      <c r="N2985" s="137" t="s">
        <v>3983</v>
      </c>
      <c r="O2985" s="133" t="s">
        <v>1888</v>
      </c>
      <c r="P2985" s="100" t="s">
        <v>4316</v>
      </c>
      <c r="Q2985" s="100" t="s">
        <v>4309</v>
      </c>
      <c r="R2985" s="226" t="s">
        <v>4321</v>
      </c>
      <c r="S2985" s="491" t="str">
        <f t="shared" si="97"/>
        <v>x</v>
      </c>
      <c r="T2985" s="492">
        <f>IFERROR(VLOOKUP(F2985,'Freq-Chan'!C:D,2,FALSE),"x")</f>
        <v>151.51499999999999</v>
      </c>
      <c r="U2985" s="110" t="s">
        <v>541</v>
      </c>
      <c r="V2985" s="110" t="str">
        <f t="shared" si="98"/>
        <v>FWL</v>
      </c>
      <c r="W2985" s="110" t="s">
        <v>541</v>
      </c>
      <c r="X2985" s="110" t="s">
        <v>541</v>
      </c>
      <c r="Y2985" s="110" t="str">
        <f>IFERROR(VLOOKUP(F2985,'Freq-Chan'!C:E,3,FALSE),"na")</f>
        <v>F1835</v>
      </c>
      <c r="Z2985" s="110" t="s">
        <v>541</v>
      </c>
      <c r="AA2985" s="110" t="s">
        <v>541</v>
      </c>
      <c r="AB2985" s="110" t="s">
        <v>541</v>
      </c>
      <c r="AC2985" s="10" t="s">
        <v>541</v>
      </c>
      <c r="AD2985" s="10" t="s">
        <v>541</v>
      </c>
    </row>
    <row r="2986" spans="1:30" x14ac:dyDescent="0.2">
      <c r="A2986" s="110">
        <v>2986</v>
      </c>
      <c r="B2986" s="132">
        <v>41869</v>
      </c>
      <c r="C2986" s="117">
        <v>3</v>
      </c>
      <c r="D2986" s="103" t="s">
        <v>70</v>
      </c>
      <c r="E2986" s="103" t="s">
        <v>306</v>
      </c>
      <c r="F2986" s="103">
        <v>515</v>
      </c>
      <c r="G2986" s="103">
        <v>57</v>
      </c>
      <c r="H2986" s="103" t="s">
        <v>3141</v>
      </c>
      <c r="I2986" s="103">
        <v>44</v>
      </c>
      <c r="K2986" s="103" t="s">
        <v>1032</v>
      </c>
      <c r="L2986" s="133"/>
      <c r="M2986" s="134">
        <v>3.4722222222222224E-2</v>
      </c>
      <c r="N2986" s="135" t="s">
        <v>3246</v>
      </c>
      <c r="O2986" s="133" t="s">
        <v>1888</v>
      </c>
      <c r="Q2986" s="100" t="s">
        <v>4309</v>
      </c>
      <c r="R2986" s="226" t="s">
        <v>4321</v>
      </c>
      <c r="S2986" s="491" t="str">
        <f t="shared" si="97"/>
        <v>x</v>
      </c>
      <c r="T2986" s="492">
        <f>IFERROR(VLOOKUP(F2986,'Freq-Chan'!C:D,2,FALSE),"x")</f>
        <v>151.51499999999999</v>
      </c>
      <c r="U2986" s="110" t="s">
        <v>541</v>
      </c>
      <c r="V2986" s="110" t="str">
        <f t="shared" si="98"/>
        <v>FWL</v>
      </c>
      <c r="W2986" s="110" t="s">
        <v>541</v>
      </c>
      <c r="X2986" s="110" t="s">
        <v>541</v>
      </c>
      <c r="Y2986" s="110" t="str">
        <f>IFERROR(VLOOKUP(F2986,'Freq-Chan'!C:E,3,FALSE),"na")</f>
        <v>F1835</v>
      </c>
      <c r="Z2986" s="110" t="s">
        <v>541</v>
      </c>
      <c r="AA2986" s="110" t="s">
        <v>541</v>
      </c>
      <c r="AB2986" s="110" t="s">
        <v>541</v>
      </c>
      <c r="AC2986" s="10" t="s">
        <v>541</v>
      </c>
      <c r="AD2986" s="10" t="s">
        <v>541</v>
      </c>
    </row>
    <row r="2987" spans="1:30" x14ac:dyDescent="0.2">
      <c r="A2987" s="110">
        <v>2987</v>
      </c>
      <c r="B2987" s="132">
        <v>41869</v>
      </c>
      <c r="C2987" s="117">
        <v>3</v>
      </c>
      <c r="D2987" s="103" t="s">
        <v>70</v>
      </c>
      <c r="E2987" s="103" t="s">
        <v>306</v>
      </c>
      <c r="H2987" s="103"/>
      <c r="I2987" s="103">
        <v>45</v>
      </c>
      <c r="K2987" s="103" t="s">
        <v>365</v>
      </c>
      <c r="L2987" s="133"/>
      <c r="M2987" s="134">
        <v>1.3888888888888888E-2</v>
      </c>
      <c r="N2987" s="135" t="s">
        <v>2595</v>
      </c>
      <c r="O2987" s="133" t="s">
        <v>1888</v>
      </c>
      <c r="Q2987" s="100" t="s">
        <v>4309</v>
      </c>
      <c r="R2987" s="226" t="s">
        <v>4321</v>
      </c>
      <c r="S2987" s="491" t="str">
        <f t="shared" si="97"/>
        <v>x</v>
      </c>
      <c r="T2987" s="492" t="str">
        <f>IFERROR(VLOOKUP(F2987,'Freq-Chan'!C:D,2,FALSE),"x")</f>
        <v>x</v>
      </c>
      <c r="U2987" s="110" t="s">
        <v>541</v>
      </c>
      <c r="V2987" s="110" t="str">
        <f t="shared" si="98"/>
        <v>FWL</v>
      </c>
      <c r="W2987" s="110" t="s">
        <v>541</v>
      </c>
      <c r="X2987" s="110" t="s">
        <v>541</v>
      </c>
      <c r="Y2987" s="110" t="str">
        <f>IFERROR(VLOOKUP(F2987,'Freq-Chan'!C:E,3,FALSE),"na")</f>
        <v>na</v>
      </c>
      <c r="Z2987" s="110" t="s">
        <v>541</v>
      </c>
      <c r="AA2987" s="110" t="s">
        <v>541</v>
      </c>
      <c r="AB2987" s="110" t="s">
        <v>541</v>
      </c>
      <c r="AC2987" s="10" t="s">
        <v>541</v>
      </c>
      <c r="AD2987" s="10" t="s">
        <v>541</v>
      </c>
    </row>
    <row r="2988" spans="1:30" x14ac:dyDescent="0.2">
      <c r="A2988" s="110">
        <v>2988</v>
      </c>
      <c r="B2988" s="132">
        <v>41869</v>
      </c>
      <c r="C2988" s="117">
        <v>3</v>
      </c>
      <c r="D2988" s="103" t="s">
        <v>70</v>
      </c>
      <c r="E2988" s="103" t="s">
        <v>306</v>
      </c>
      <c r="H2988" s="103"/>
      <c r="I2988" s="103">
        <v>44</v>
      </c>
      <c r="K2988" s="103" t="s">
        <v>365</v>
      </c>
      <c r="L2988" s="133"/>
      <c r="M2988" s="134">
        <v>1.8055555555555557E-2</v>
      </c>
      <c r="N2988" s="135" t="s">
        <v>508</v>
      </c>
      <c r="O2988" s="133" t="s">
        <v>1888</v>
      </c>
      <c r="Q2988" s="100" t="s">
        <v>4309</v>
      </c>
      <c r="R2988" s="226" t="s">
        <v>4321</v>
      </c>
      <c r="S2988" s="491" t="str">
        <f t="shared" si="97"/>
        <v>x</v>
      </c>
      <c r="T2988" s="492" t="str">
        <f>IFERROR(VLOOKUP(F2988,'Freq-Chan'!C:D,2,FALSE),"x")</f>
        <v>x</v>
      </c>
      <c r="U2988" s="110" t="s">
        <v>541</v>
      </c>
      <c r="V2988" s="110" t="str">
        <f t="shared" si="98"/>
        <v>FWL</v>
      </c>
      <c r="W2988" s="110" t="s">
        <v>541</v>
      </c>
      <c r="X2988" s="110" t="s">
        <v>541</v>
      </c>
      <c r="Y2988" s="110" t="str">
        <f>IFERROR(VLOOKUP(F2988,'Freq-Chan'!C:E,3,FALSE),"na")</f>
        <v>na</v>
      </c>
      <c r="Z2988" s="110" t="s">
        <v>541</v>
      </c>
      <c r="AA2988" s="110" t="s">
        <v>541</v>
      </c>
      <c r="AB2988" s="110" t="s">
        <v>541</v>
      </c>
      <c r="AC2988" s="10" t="s">
        <v>541</v>
      </c>
      <c r="AD2988" s="10" t="s">
        <v>541</v>
      </c>
    </row>
    <row r="2989" spans="1:30" x14ac:dyDescent="0.2">
      <c r="A2989" s="110">
        <v>2989</v>
      </c>
      <c r="B2989" s="132">
        <v>41869</v>
      </c>
      <c r="C2989" s="117">
        <v>3</v>
      </c>
      <c r="D2989" s="103" t="s">
        <v>71</v>
      </c>
      <c r="E2989" s="103" t="s">
        <v>306</v>
      </c>
      <c r="H2989" s="103"/>
      <c r="I2989" s="103">
        <v>53</v>
      </c>
      <c r="K2989" s="103" t="s">
        <v>1032</v>
      </c>
      <c r="L2989" s="133"/>
      <c r="M2989" s="134">
        <v>1.8055555555555557E-2</v>
      </c>
      <c r="N2989" s="135" t="s">
        <v>3798</v>
      </c>
      <c r="O2989" s="133" t="s">
        <v>1888</v>
      </c>
      <c r="Q2989" s="100" t="s">
        <v>4309</v>
      </c>
      <c r="R2989" s="226" t="s">
        <v>4321</v>
      </c>
      <c r="S2989" s="491" t="str">
        <f t="shared" si="97"/>
        <v>x</v>
      </c>
      <c r="T2989" s="492" t="str">
        <f>IFERROR(VLOOKUP(F2989,'Freq-Chan'!C:D,2,FALSE),"x")</f>
        <v>x</v>
      </c>
      <c r="U2989" s="110" t="s">
        <v>541</v>
      </c>
      <c r="V2989" s="110" t="str">
        <f t="shared" si="98"/>
        <v>FWL</v>
      </c>
      <c r="W2989" s="110" t="s">
        <v>541</v>
      </c>
      <c r="X2989" s="110" t="s">
        <v>541</v>
      </c>
      <c r="Y2989" s="110" t="str">
        <f>IFERROR(VLOOKUP(F2989,'Freq-Chan'!C:E,3,FALSE),"na")</f>
        <v>na</v>
      </c>
      <c r="Z2989" s="110" t="s">
        <v>541</v>
      </c>
      <c r="AA2989" s="110" t="s">
        <v>541</v>
      </c>
      <c r="AB2989" s="110" t="s">
        <v>541</v>
      </c>
      <c r="AC2989" s="10" t="s">
        <v>541</v>
      </c>
      <c r="AD2989" s="10" t="s">
        <v>541</v>
      </c>
    </row>
    <row r="2990" spans="1:30" x14ac:dyDescent="0.2">
      <c r="A2990" s="110">
        <v>2990</v>
      </c>
      <c r="B2990" s="132">
        <v>41869</v>
      </c>
      <c r="C2990" s="117">
        <v>3</v>
      </c>
      <c r="D2990" s="103" t="s">
        <v>70</v>
      </c>
      <c r="E2990" s="103" t="s">
        <v>306</v>
      </c>
      <c r="H2990" s="103"/>
      <c r="I2990" s="103">
        <v>43</v>
      </c>
      <c r="K2990" s="103" t="s">
        <v>365</v>
      </c>
      <c r="L2990" s="133"/>
      <c r="M2990" s="134">
        <v>1.4583333333333332E-2</v>
      </c>
      <c r="N2990" s="137" t="s">
        <v>4261</v>
      </c>
      <c r="O2990" s="133" t="s">
        <v>1888</v>
      </c>
      <c r="Q2990" s="100" t="s">
        <v>4309</v>
      </c>
      <c r="R2990" s="226" t="s">
        <v>4321</v>
      </c>
      <c r="S2990" s="491" t="str">
        <f t="shared" si="97"/>
        <v>x</v>
      </c>
      <c r="T2990" s="492" t="str">
        <f>IFERROR(VLOOKUP(F2990,'Freq-Chan'!C:D,2,FALSE),"x")</f>
        <v>x</v>
      </c>
      <c r="U2990" s="110" t="s">
        <v>541</v>
      </c>
      <c r="V2990" s="110" t="str">
        <f t="shared" si="98"/>
        <v>FWL</v>
      </c>
      <c r="W2990" s="110" t="s">
        <v>541</v>
      </c>
      <c r="X2990" s="110" t="s">
        <v>541</v>
      </c>
      <c r="Y2990" s="110" t="str">
        <f>IFERROR(VLOOKUP(F2990,'Freq-Chan'!C:E,3,FALSE),"na")</f>
        <v>na</v>
      </c>
      <c r="Z2990" s="110" t="s">
        <v>541</v>
      </c>
      <c r="AA2990" s="110" t="s">
        <v>541</v>
      </c>
      <c r="AB2990" s="110" t="s">
        <v>541</v>
      </c>
      <c r="AC2990" s="10" t="s">
        <v>541</v>
      </c>
      <c r="AD2990" s="10" t="s">
        <v>541</v>
      </c>
    </row>
    <row r="2991" spans="1:30" x14ac:dyDescent="0.2">
      <c r="A2991" s="110">
        <v>2991</v>
      </c>
      <c r="B2991" s="132">
        <v>41869</v>
      </c>
      <c r="C2991" s="117">
        <v>3</v>
      </c>
      <c r="D2991" s="103" t="s">
        <v>71</v>
      </c>
      <c r="E2991" s="103" t="s">
        <v>306</v>
      </c>
      <c r="H2991" s="103"/>
      <c r="I2991" s="103">
        <v>62</v>
      </c>
      <c r="K2991" s="103" t="s">
        <v>1032</v>
      </c>
      <c r="L2991" s="133"/>
      <c r="M2991" s="134">
        <v>3.9583333333333331E-2</v>
      </c>
      <c r="N2991" s="135" t="s">
        <v>3845</v>
      </c>
      <c r="O2991" s="133" t="s">
        <v>1888</v>
      </c>
      <c r="P2991" s="100" t="s">
        <v>4317</v>
      </c>
      <c r="Q2991" s="100" t="s">
        <v>4309</v>
      </c>
      <c r="R2991" s="226" t="s">
        <v>4321</v>
      </c>
      <c r="S2991" s="491" t="str">
        <f t="shared" si="97"/>
        <v>x</v>
      </c>
      <c r="T2991" s="492" t="str">
        <f>IFERROR(VLOOKUP(F2991,'Freq-Chan'!C:D,2,FALSE),"x")</f>
        <v>x</v>
      </c>
      <c r="U2991" s="110" t="s">
        <v>541</v>
      </c>
      <c r="V2991" s="110" t="str">
        <f t="shared" si="98"/>
        <v>FWL</v>
      </c>
      <c r="W2991" s="110" t="s">
        <v>541</v>
      </c>
      <c r="X2991" s="110" t="s">
        <v>541</v>
      </c>
      <c r="Y2991" s="110" t="str">
        <f>IFERROR(VLOOKUP(F2991,'Freq-Chan'!C:E,3,FALSE),"na")</f>
        <v>na</v>
      </c>
      <c r="Z2991" s="110" t="s">
        <v>541</v>
      </c>
      <c r="AA2991" s="110" t="s">
        <v>541</v>
      </c>
      <c r="AB2991" s="110" t="s">
        <v>541</v>
      </c>
      <c r="AC2991" s="10" t="s">
        <v>541</v>
      </c>
      <c r="AD2991" s="10" t="s">
        <v>541</v>
      </c>
    </row>
    <row r="2992" spans="1:30" x14ac:dyDescent="0.2">
      <c r="A2992" s="110">
        <v>2992</v>
      </c>
      <c r="B2992" s="132">
        <v>41869</v>
      </c>
      <c r="C2992" s="117">
        <v>3</v>
      </c>
      <c r="D2992" s="103" t="s">
        <v>70</v>
      </c>
      <c r="E2992" s="103" t="s">
        <v>306</v>
      </c>
      <c r="H2992" s="103"/>
      <c r="I2992" s="103">
        <v>43</v>
      </c>
      <c r="K2992" s="103" t="s">
        <v>1032</v>
      </c>
      <c r="L2992" s="133"/>
      <c r="M2992" s="134">
        <v>1.5277777777777777E-2</v>
      </c>
      <c r="N2992" s="137" t="s">
        <v>4001</v>
      </c>
      <c r="O2992" s="133" t="s">
        <v>1888</v>
      </c>
      <c r="Q2992" s="100" t="s">
        <v>4309</v>
      </c>
      <c r="R2992" s="226" t="s">
        <v>4321</v>
      </c>
      <c r="S2992" s="491" t="str">
        <f t="shared" si="97"/>
        <v>x</v>
      </c>
      <c r="T2992" s="492" t="str">
        <f>IFERROR(VLOOKUP(F2992,'Freq-Chan'!C:D,2,FALSE),"x")</f>
        <v>x</v>
      </c>
      <c r="U2992" s="110" t="s">
        <v>541</v>
      </c>
      <c r="V2992" s="110" t="str">
        <f t="shared" si="98"/>
        <v>FWL</v>
      </c>
      <c r="W2992" s="110" t="s">
        <v>541</v>
      </c>
      <c r="X2992" s="110" t="s">
        <v>541</v>
      </c>
      <c r="Y2992" s="110" t="str">
        <f>IFERROR(VLOOKUP(F2992,'Freq-Chan'!C:E,3,FALSE),"na")</f>
        <v>na</v>
      </c>
      <c r="Z2992" s="110" t="s">
        <v>541</v>
      </c>
      <c r="AA2992" s="110" t="s">
        <v>541</v>
      </c>
      <c r="AB2992" s="110" t="s">
        <v>541</v>
      </c>
      <c r="AC2992" s="10" t="s">
        <v>541</v>
      </c>
      <c r="AD2992" s="10" t="s">
        <v>541</v>
      </c>
    </row>
    <row r="2993" spans="1:30" x14ac:dyDescent="0.2">
      <c r="A2993" s="110">
        <v>2993</v>
      </c>
      <c r="B2993" s="132">
        <v>41869</v>
      </c>
      <c r="C2993" s="117">
        <v>3</v>
      </c>
      <c r="D2993" s="103" t="s">
        <v>70</v>
      </c>
      <c r="E2993" s="103" t="s">
        <v>306</v>
      </c>
      <c r="H2993" s="103"/>
      <c r="I2993" s="103">
        <v>44</v>
      </c>
      <c r="K2993" s="103" t="s">
        <v>1032</v>
      </c>
      <c r="L2993" s="133"/>
      <c r="M2993" s="134">
        <v>1.3194444444444444E-2</v>
      </c>
      <c r="N2993" s="135" t="s">
        <v>2746</v>
      </c>
      <c r="O2993" s="133" t="s">
        <v>1538</v>
      </c>
      <c r="Q2993" s="100" t="s">
        <v>4310</v>
      </c>
      <c r="R2993" s="226" t="s">
        <v>4321</v>
      </c>
      <c r="S2993" s="491" t="str">
        <f t="shared" si="97"/>
        <v>x</v>
      </c>
      <c r="T2993" s="492" t="str">
        <f>IFERROR(VLOOKUP(F2993,'Freq-Chan'!C:D,2,FALSE),"x")</f>
        <v>x</v>
      </c>
      <c r="U2993" s="110" t="s">
        <v>541</v>
      </c>
      <c r="V2993" s="110" t="str">
        <f t="shared" si="98"/>
        <v>FWL</v>
      </c>
      <c r="W2993" s="110" t="s">
        <v>541</v>
      </c>
      <c r="X2993" s="110" t="s">
        <v>541</v>
      </c>
      <c r="Y2993" s="110" t="str">
        <f>IFERROR(VLOOKUP(F2993,'Freq-Chan'!C:E,3,FALSE),"na")</f>
        <v>na</v>
      </c>
      <c r="Z2993" s="110" t="s">
        <v>541</v>
      </c>
      <c r="AA2993" s="110" t="s">
        <v>541</v>
      </c>
      <c r="AB2993" s="110" t="s">
        <v>541</v>
      </c>
      <c r="AC2993" s="10" t="s">
        <v>541</v>
      </c>
      <c r="AD2993" s="10" t="s">
        <v>541</v>
      </c>
    </row>
    <row r="2994" spans="1:30" x14ac:dyDescent="0.2">
      <c r="A2994" s="110">
        <v>2994</v>
      </c>
      <c r="B2994" s="132">
        <v>41869</v>
      </c>
      <c r="C2994" s="117">
        <v>3</v>
      </c>
      <c r="D2994" s="103" t="s">
        <v>70</v>
      </c>
      <c r="E2994" s="103" t="s">
        <v>306</v>
      </c>
      <c r="H2994" s="103"/>
      <c r="I2994" s="103">
        <v>45</v>
      </c>
      <c r="K2994" s="103" t="s">
        <v>365</v>
      </c>
      <c r="L2994" s="133"/>
      <c r="M2994" s="134">
        <v>1.8749999999999999E-2</v>
      </c>
      <c r="N2994" s="135" t="s">
        <v>2853</v>
      </c>
      <c r="O2994" s="133" t="s">
        <v>372</v>
      </c>
      <c r="Q2994" s="100" t="s">
        <v>4310</v>
      </c>
      <c r="R2994" s="226" t="s">
        <v>4321</v>
      </c>
      <c r="S2994" s="491" t="str">
        <f t="shared" ref="S2994:S3057" si="99">IF(IF(OR(L2994=0,N2994=0),"x",ROUND(N2994-L2994-(M2994*24)/(24*60),10))&lt;0,0,IF(OR(L2994=0,N2994=0),"x",ROUND(N2994-L2994-(M2994*24)/(24*60),10)))</f>
        <v>x</v>
      </c>
      <c r="T2994" s="492" t="str">
        <f>IFERROR(VLOOKUP(F2994,'Freq-Chan'!C:D,2,FALSE),"x")</f>
        <v>x</v>
      </c>
      <c r="U2994" s="110" t="s">
        <v>541</v>
      </c>
      <c r="V2994" s="110" t="str">
        <f t="shared" ref="V2994:V3057" si="100">IF(OR(C2994=1,C2994=2,C2994=3),"FWL","NRD")</f>
        <v>FWL</v>
      </c>
      <c r="W2994" s="110" t="s">
        <v>541</v>
      </c>
      <c r="X2994" s="110" t="s">
        <v>541</v>
      </c>
      <c r="Y2994" s="110" t="str">
        <f>IFERROR(VLOOKUP(F2994,'Freq-Chan'!C:E,3,FALSE),"na")</f>
        <v>na</v>
      </c>
      <c r="Z2994" s="110" t="s">
        <v>541</v>
      </c>
      <c r="AA2994" s="110" t="s">
        <v>541</v>
      </c>
      <c r="AB2994" s="110" t="s">
        <v>541</v>
      </c>
      <c r="AC2994" s="10" t="s">
        <v>541</v>
      </c>
      <c r="AD2994" s="10" t="s">
        <v>541</v>
      </c>
    </row>
    <row r="2995" spans="1:30" x14ac:dyDescent="0.2">
      <c r="A2995" s="110">
        <v>2995</v>
      </c>
      <c r="B2995" s="132">
        <v>41869</v>
      </c>
      <c r="C2995" s="117">
        <v>3</v>
      </c>
      <c r="D2995" s="103" t="s">
        <v>72</v>
      </c>
      <c r="E2995" s="103" t="s">
        <v>306</v>
      </c>
      <c r="F2995" s="103">
        <v>266</v>
      </c>
      <c r="G2995" s="103">
        <v>50</v>
      </c>
      <c r="H2995" s="103" t="s">
        <v>3615</v>
      </c>
      <c r="I2995" s="103">
        <v>51</v>
      </c>
      <c r="K2995" s="103" t="s">
        <v>364</v>
      </c>
      <c r="L2995" s="133">
        <v>0.82638888888888884</v>
      </c>
      <c r="M2995" s="134">
        <v>4.3055555555555562E-2</v>
      </c>
      <c r="N2995" s="135" t="s">
        <v>3166</v>
      </c>
      <c r="O2995" s="133" t="s">
        <v>1888</v>
      </c>
      <c r="P2995" s="100" t="s">
        <v>4466</v>
      </c>
      <c r="Q2995" s="100" t="s">
        <v>4310</v>
      </c>
      <c r="R2995" s="226" t="s">
        <v>4321</v>
      </c>
      <c r="S2995" s="491">
        <f t="shared" si="99"/>
        <v>4.1435185000000003E-3</v>
      </c>
      <c r="T2995" s="492">
        <f>IFERROR(VLOOKUP(F2995,'Freq-Chan'!C:D,2,FALSE),"x")</f>
        <v>151.26599999999999</v>
      </c>
      <c r="U2995" s="110" t="s">
        <v>541</v>
      </c>
      <c r="V2995" s="110" t="str">
        <f t="shared" si="100"/>
        <v>FWL</v>
      </c>
      <c r="W2995" s="110" t="s">
        <v>541</v>
      </c>
      <c r="X2995" s="110" t="s">
        <v>541</v>
      </c>
      <c r="Y2995" s="110" t="str">
        <f>IFERROR(VLOOKUP(F2995,'Freq-Chan'!C:E,3,FALSE),"na")</f>
        <v>F1840</v>
      </c>
      <c r="Z2995" s="110" t="s">
        <v>541</v>
      </c>
      <c r="AA2995" s="110" t="s">
        <v>541</v>
      </c>
      <c r="AB2995" s="110" t="s">
        <v>541</v>
      </c>
      <c r="AC2995" s="10" t="s">
        <v>541</v>
      </c>
      <c r="AD2995" s="10" t="s">
        <v>541</v>
      </c>
    </row>
    <row r="2996" spans="1:30" x14ac:dyDescent="0.2">
      <c r="A2996" s="110">
        <v>2996</v>
      </c>
      <c r="B2996" s="132">
        <v>41869</v>
      </c>
      <c r="C2996" s="117">
        <v>3</v>
      </c>
      <c r="D2996" s="103" t="s">
        <v>71</v>
      </c>
      <c r="E2996" s="103" t="s">
        <v>306</v>
      </c>
      <c r="H2996" s="103"/>
      <c r="I2996" s="103">
        <v>59</v>
      </c>
      <c r="K2996" s="103" t="s">
        <v>364</v>
      </c>
      <c r="L2996" s="133">
        <v>0.83750000000000002</v>
      </c>
      <c r="M2996" s="134">
        <v>2.013888888888889E-2</v>
      </c>
      <c r="N2996" s="135" t="s">
        <v>3887</v>
      </c>
      <c r="O2996" s="133" t="s">
        <v>1888</v>
      </c>
      <c r="P2996" s="100" t="s">
        <v>4319</v>
      </c>
      <c r="Q2996" s="100" t="s">
        <v>4310</v>
      </c>
      <c r="R2996" s="226" t="s">
        <v>4321</v>
      </c>
      <c r="S2996" s="491">
        <f t="shared" si="99"/>
        <v>1.7476852E-3</v>
      </c>
      <c r="T2996" s="492" t="str">
        <f>IFERROR(VLOOKUP(F2996,'Freq-Chan'!C:D,2,FALSE),"x")</f>
        <v>x</v>
      </c>
      <c r="U2996" s="110" t="s">
        <v>541</v>
      </c>
      <c r="V2996" s="110" t="str">
        <f t="shared" si="100"/>
        <v>FWL</v>
      </c>
      <c r="W2996" s="110" t="s">
        <v>541</v>
      </c>
      <c r="X2996" s="110" t="s">
        <v>541</v>
      </c>
      <c r="Y2996" s="110" t="str">
        <f>IFERROR(VLOOKUP(F2996,'Freq-Chan'!C:E,3,FALSE),"na")</f>
        <v>na</v>
      </c>
      <c r="Z2996" s="110" t="s">
        <v>541</v>
      </c>
      <c r="AA2996" s="110" t="s">
        <v>541</v>
      </c>
      <c r="AB2996" s="110" t="s">
        <v>541</v>
      </c>
      <c r="AC2996" s="10" t="s">
        <v>541</v>
      </c>
      <c r="AD2996" s="10" t="s">
        <v>541</v>
      </c>
    </row>
    <row r="2997" spans="1:30" x14ac:dyDescent="0.2">
      <c r="A2997" s="110">
        <v>2997</v>
      </c>
      <c r="B2997" s="132">
        <v>41869</v>
      </c>
      <c r="C2997" s="117">
        <v>3</v>
      </c>
      <c r="D2997" s="103" t="s">
        <v>90</v>
      </c>
      <c r="E2997" s="103" t="s">
        <v>306</v>
      </c>
      <c r="H2997" s="103" t="s">
        <v>1719</v>
      </c>
      <c r="J2997" s="103">
        <v>38</v>
      </c>
      <c r="K2997" s="103" t="s">
        <v>364</v>
      </c>
      <c r="L2997" s="133">
        <v>0.83750000000000002</v>
      </c>
      <c r="M2997" s="134">
        <v>3.4722222222222224E-2</v>
      </c>
      <c r="N2997" s="137" t="s">
        <v>2056</v>
      </c>
      <c r="O2997" s="133" t="s">
        <v>372</v>
      </c>
      <c r="P2997" s="100" t="s">
        <v>4318</v>
      </c>
      <c r="Q2997" s="100" t="s">
        <v>4310</v>
      </c>
      <c r="R2997" s="226" t="s">
        <v>4321</v>
      </c>
      <c r="S2997" s="491">
        <f t="shared" si="99"/>
        <v>6.3657406999999997E-3</v>
      </c>
      <c r="T2997" s="492" t="str">
        <f>IFERROR(VLOOKUP(F2997,'Freq-Chan'!C:D,2,FALSE),"x")</f>
        <v>x</v>
      </c>
      <c r="U2997" s="110" t="s">
        <v>541</v>
      </c>
      <c r="V2997" s="110" t="str">
        <f t="shared" si="100"/>
        <v>FWL</v>
      </c>
      <c r="W2997" s="110" t="s">
        <v>541</v>
      </c>
      <c r="X2997" s="110" t="s">
        <v>541</v>
      </c>
      <c r="Y2997" s="110" t="str">
        <f>IFERROR(VLOOKUP(F2997,'Freq-Chan'!C:E,3,FALSE),"na")</f>
        <v>na</v>
      </c>
      <c r="Z2997" s="110" t="s">
        <v>541</v>
      </c>
      <c r="AA2997" s="110" t="s">
        <v>541</v>
      </c>
      <c r="AB2997" s="110" t="s">
        <v>541</v>
      </c>
      <c r="AC2997" s="10" t="s">
        <v>541</v>
      </c>
      <c r="AD2997" s="10" t="s">
        <v>541</v>
      </c>
    </row>
    <row r="2998" spans="1:30" s="291" customFormat="1" x14ac:dyDescent="0.2">
      <c r="A2998" s="493">
        <v>2998</v>
      </c>
      <c r="B2998" s="283">
        <v>41869</v>
      </c>
      <c r="C2998" s="284">
        <v>3</v>
      </c>
      <c r="D2998" s="285" t="s">
        <v>70</v>
      </c>
      <c r="E2998" s="285" t="s">
        <v>306</v>
      </c>
      <c r="F2998" s="285"/>
      <c r="G2998" s="285"/>
      <c r="H2998" s="285"/>
      <c r="I2998" s="285">
        <v>42</v>
      </c>
      <c r="J2998" s="285"/>
      <c r="K2998" s="285" t="s">
        <v>365</v>
      </c>
      <c r="L2998" s="286"/>
      <c r="M2998" s="287">
        <v>1.8749999999999999E-2</v>
      </c>
      <c r="N2998" s="288" t="s">
        <v>1948</v>
      </c>
      <c r="O2998" s="286" t="s">
        <v>372</v>
      </c>
      <c r="P2998" s="289"/>
      <c r="Q2998" s="289" t="s">
        <v>4310</v>
      </c>
      <c r="R2998" s="290" t="s">
        <v>4321</v>
      </c>
      <c r="S2998" s="494" t="str">
        <f t="shared" si="99"/>
        <v>x</v>
      </c>
      <c r="T2998" s="495" t="str">
        <f>IFERROR(VLOOKUP(F2998,'Freq-Chan'!C:D,2,FALSE),"x")</f>
        <v>x</v>
      </c>
      <c r="U2998" s="493" t="s">
        <v>541</v>
      </c>
      <c r="V2998" s="493" t="str">
        <f t="shared" si="100"/>
        <v>FWL</v>
      </c>
      <c r="W2998" s="493" t="s">
        <v>541</v>
      </c>
      <c r="X2998" s="493" t="s">
        <v>541</v>
      </c>
      <c r="Y2998" s="493" t="str">
        <f>IFERROR(VLOOKUP(F2998,'Freq-Chan'!C:E,3,FALSE),"na")</f>
        <v>na</v>
      </c>
      <c r="Z2998" s="493" t="s">
        <v>541</v>
      </c>
      <c r="AA2998" s="493" t="s">
        <v>541</v>
      </c>
      <c r="AB2998" s="493" t="s">
        <v>541</v>
      </c>
      <c r="AC2998" s="291" t="s">
        <v>541</v>
      </c>
      <c r="AD2998" s="291" t="s">
        <v>541</v>
      </c>
    </row>
    <row r="2999" spans="1:30" x14ac:dyDescent="0.2">
      <c r="A2999" s="110">
        <v>2999</v>
      </c>
      <c r="B2999" s="132">
        <v>41870</v>
      </c>
      <c r="C2999" s="117">
        <v>1</v>
      </c>
      <c r="D2999" s="103" t="s">
        <v>71</v>
      </c>
      <c r="E2999" s="103" t="s">
        <v>306</v>
      </c>
      <c r="F2999" s="103">
        <v>534</v>
      </c>
      <c r="G2999" s="103">
        <v>31</v>
      </c>
      <c r="H2999" s="103" t="s">
        <v>2470</v>
      </c>
      <c r="I2999" s="103">
        <v>53</v>
      </c>
      <c r="K2999" s="103" t="s">
        <v>365</v>
      </c>
      <c r="L2999" s="133"/>
      <c r="M2999" s="134">
        <v>4.3750000000000004E-2</v>
      </c>
      <c r="N2999" s="135" t="s">
        <v>2047</v>
      </c>
      <c r="O2999" s="133" t="s">
        <v>1033</v>
      </c>
      <c r="Q2999" s="100" t="s">
        <v>4331</v>
      </c>
      <c r="R2999" s="226" t="s">
        <v>4351</v>
      </c>
      <c r="S2999" s="491" t="str">
        <f t="shared" si="99"/>
        <v>x</v>
      </c>
      <c r="T2999" s="492">
        <f>IFERROR(VLOOKUP(F2999,'Freq-Chan'!C:D,2,FALSE),"x")</f>
        <v>151.53399999999999</v>
      </c>
      <c r="U2999" s="110" t="s">
        <v>541</v>
      </c>
      <c r="V2999" s="110" t="str">
        <f t="shared" si="100"/>
        <v>FWL</v>
      </c>
      <c r="W2999" s="110" t="s">
        <v>541</v>
      </c>
      <c r="X2999" s="110" t="s">
        <v>541</v>
      </c>
      <c r="Y2999" s="110" t="str">
        <f>IFERROR(VLOOKUP(F2999,'Freq-Chan'!C:E,3,FALSE),"na")</f>
        <v>F1840</v>
      </c>
      <c r="Z2999" s="110" t="s">
        <v>541</v>
      </c>
      <c r="AA2999" s="110" t="s">
        <v>541</v>
      </c>
      <c r="AB2999" s="110" t="s">
        <v>541</v>
      </c>
      <c r="AC2999" s="10" t="s">
        <v>541</v>
      </c>
      <c r="AD2999" s="10" t="s">
        <v>541</v>
      </c>
    </row>
    <row r="3000" spans="1:30" x14ac:dyDescent="0.2">
      <c r="A3000" s="110">
        <v>3000</v>
      </c>
      <c r="B3000" s="132">
        <v>41870</v>
      </c>
      <c r="C3000" s="117">
        <v>1</v>
      </c>
      <c r="D3000" s="103" t="s">
        <v>71</v>
      </c>
      <c r="E3000" s="103" t="s">
        <v>306</v>
      </c>
      <c r="F3000" s="103">
        <v>534</v>
      </c>
      <c r="G3000" s="103">
        <v>99</v>
      </c>
      <c r="H3000" s="103" t="s">
        <v>2471</v>
      </c>
      <c r="I3000" s="103">
        <v>61</v>
      </c>
      <c r="K3000" s="103" t="s">
        <v>365</v>
      </c>
      <c r="L3000" s="133"/>
      <c r="M3000" s="134">
        <v>5.2083333333333336E-2</v>
      </c>
      <c r="N3000" s="135" t="s">
        <v>3769</v>
      </c>
      <c r="O3000" s="133" t="s">
        <v>1033</v>
      </c>
      <c r="P3000" s="100" t="s">
        <v>4340</v>
      </c>
      <c r="Q3000" s="100" t="s">
        <v>4331</v>
      </c>
      <c r="R3000" s="226" t="s">
        <v>4351</v>
      </c>
      <c r="S3000" s="491" t="str">
        <f t="shared" si="99"/>
        <v>x</v>
      </c>
      <c r="T3000" s="492">
        <f>IFERROR(VLOOKUP(F3000,'Freq-Chan'!C:D,2,FALSE),"x")</f>
        <v>151.53399999999999</v>
      </c>
      <c r="U3000" s="110" t="s">
        <v>541</v>
      </c>
      <c r="V3000" s="110" t="str">
        <f t="shared" si="100"/>
        <v>FWL</v>
      </c>
      <c r="W3000" s="110" t="s">
        <v>541</v>
      </c>
      <c r="X3000" s="110" t="s">
        <v>541</v>
      </c>
      <c r="Y3000" s="110" t="str">
        <f>IFERROR(VLOOKUP(F3000,'Freq-Chan'!C:E,3,FALSE),"na")</f>
        <v>F1840</v>
      </c>
      <c r="Z3000" s="110" t="s">
        <v>541</v>
      </c>
      <c r="AA3000" s="110" t="s">
        <v>541</v>
      </c>
      <c r="AB3000" s="110" t="s">
        <v>541</v>
      </c>
      <c r="AC3000" s="10" t="s">
        <v>541</v>
      </c>
      <c r="AD3000" s="10" t="s">
        <v>541</v>
      </c>
    </row>
    <row r="3001" spans="1:30" x14ac:dyDescent="0.2">
      <c r="A3001" s="110">
        <v>3001</v>
      </c>
      <c r="B3001" s="132">
        <v>41870</v>
      </c>
      <c r="C3001" s="117">
        <v>1</v>
      </c>
      <c r="D3001" s="103" t="s">
        <v>72</v>
      </c>
      <c r="E3001" s="103" t="s">
        <v>306</v>
      </c>
      <c r="F3001" s="103">
        <v>325</v>
      </c>
      <c r="G3001" s="103">
        <v>28</v>
      </c>
      <c r="H3001" s="103" t="s">
        <v>3626</v>
      </c>
      <c r="I3001" s="103">
        <v>56</v>
      </c>
      <c r="K3001" s="103" t="s">
        <v>365</v>
      </c>
      <c r="L3001" s="133"/>
      <c r="M3001" s="134">
        <v>4.1666666666666664E-2</v>
      </c>
      <c r="N3001" s="135" t="s">
        <v>3799</v>
      </c>
      <c r="O3001" s="133" t="s">
        <v>1888</v>
      </c>
      <c r="Q3001" s="100" t="s">
        <v>4331</v>
      </c>
      <c r="R3001" s="226" t="s">
        <v>4351</v>
      </c>
      <c r="S3001" s="491" t="str">
        <f t="shared" si="99"/>
        <v>x</v>
      </c>
      <c r="T3001" s="492">
        <f>IFERROR(VLOOKUP(F3001,'Freq-Chan'!C:D,2,FALSE),"x")</f>
        <v>151.32499999999999</v>
      </c>
      <c r="U3001" s="110" t="s">
        <v>541</v>
      </c>
      <c r="V3001" s="110" t="str">
        <f t="shared" si="100"/>
        <v>FWL</v>
      </c>
      <c r="W3001" s="110" t="s">
        <v>541</v>
      </c>
      <c r="X3001" s="110" t="s">
        <v>541</v>
      </c>
      <c r="Y3001" s="110" t="str">
        <f>IFERROR(VLOOKUP(F3001,'Freq-Chan'!C:E,3,FALSE),"na")</f>
        <v>F1840</v>
      </c>
      <c r="Z3001" s="110" t="s">
        <v>541</v>
      </c>
      <c r="AA3001" s="110" t="s">
        <v>541</v>
      </c>
      <c r="AB3001" s="110" t="s">
        <v>541</v>
      </c>
      <c r="AC3001" s="10" t="s">
        <v>541</v>
      </c>
      <c r="AD3001" s="10" t="s">
        <v>541</v>
      </c>
    </row>
    <row r="3002" spans="1:30" x14ac:dyDescent="0.2">
      <c r="A3002" s="110">
        <v>3002</v>
      </c>
      <c r="B3002" s="132">
        <v>41870</v>
      </c>
      <c r="C3002" s="117">
        <v>1</v>
      </c>
      <c r="D3002" s="103" t="s">
        <v>72</v>
      </c>
      <c r="E3002" s="103" t="s">
        <v>306</v>
      </c>
      <c r="F3002" s="103">
        <v>266</v>
      </c>
      <c r="G3002" s="103">
        <v>73</v>
      </c>
      <c r="H3002" s="103" t="s">
        <v>3627</v>
      </c>
      <c r="I3002" s="103">
        <v>58</v>
      </c>
      <c r="K3002" s="103" t="s">
        <v>1032</v>
      </c>
      <c r="L3002" s="133"/>
      <c r="M3002" s="134">
        <v>8.2638888888888887E-2</v>
      </c>
      <c r="N3002" s="135" t="s">
        <v>4000</v>
      </c>
      <c r="O3002" s="133" t="s">
        <v>1888</v>
      </c>
      <c r="P3002" s="100" t="s">
        <v>4474</v>
      </c>
      <c r="Q3002" s="100" t="s">
        <v>4331</v>
      </c>
      <c r="R3002" s="226" t="s">
        <v>4351</v>
      </c>
      <c r="S3002" s="491" t="str">
        <f t="shared" si="99"/>
        <v>x</v>
      </c>
      <c r="T3002" s="492">
        <f>IFERROR(VLOOKUP(F3002,'Freq-Chan'!C:D,2,FALSE),"x")</f>
        <v>151.26599999999999</v>
      </c>
      <c r="U3002" s="110" t="s">
        <v>541</v>
      </c>
      <c r="V3002" s="110" t="str">
        <f t="shared" si="100"/>
        <v>FWL</v>
      </c>
      <c r="W3002" s="110" t="s">
        <v>541</v>
      </c>
      <c r="X3002" s="110" t="s">
        <v>541</v>
      </c>
      <c r="Y3002" s="110" t="str">
        <f>IFERROR(VLOOKUP(F3002,'Freq-Chan'!C:E,3,FALSE),"na")</f>
        <v>F1840</v>
      </c>
      <c r="Z3002" s="110" t="s">
        <v>541</v>
      </c>
      <c r="AA3002" s="110" t="s">
        <v>541</v>
      </c>
      <c r="AB3002" s="110" t="s">
        <v>541</v>
      </c>
      <c r="AC3002" s="10" t="s">
        <v>541</v>
      </c>
      <c r="AD3002" s="10" t="s">
        <v>541</v>
      </c>
    </row>
    <row r="3003" spans="1:30" x14ac:dyDescent="0.2">
      <c r="A3003" s="110">
        <v>3003</v>
      </c>
      <c r="B3003" s="132">
        <v>41870</v>
      </c>
      <c r="C3003" s="117">
        <v>1</v>
      </c>
      <c r="D3003" s="103" t="s">
        <v>71</v>
      </c>
      <c r="E3003" s="103" t="s">
        <v>306</v>
      </c>
      <c r="H3003" s="103"/>
      <c r="I3003" s="103">
        <v>54</v>
      </c>
      <c r="K3003" s="103" t="s">
        <v>1032</v>
      </c>
      <c r="L3003" s="133"/>
      <c r="M3003" s="134">
        <v>1.5277777777777777E-2</v>
      </c>
      <c r="N3003" s="135" t="s">
        <v>1651</v>
      </c>
      <c r="O3003" s="133" t="s">
        <v>1888</v>
      </c>
      <c r="Q3003" s="100" t="s">
        <v>4331</v>
      </c>
      <c r="R3003" s="226" t="s">
        <v>4351</v>
      </c>
      <c r="S3003" s="491" t="str">
        <f t="shared" si="99"/>
        <v>x</v>
      </c>
      <c r="T3003" s="492" t="str">
        <f>IFERROR(VLOOKUP(F3003,'Freq-Chan'!C:D,2,FALSE),"x")</f>
        <v>x</v>
      </c>
      <c r="U3003" s="110" t="s">
        <v>541</v>
      </c>
      <c r="V3003" s="110" t="str">
        <f t="shared" si="100"/>
        <v>FWL</v>
      </c>
      <c r="W3003" s="110" t="s">
        <v>541</v>
      </c>
      <c r="X3003" s="110" t="s">
        <v>541</v>
      </c>
      <c r="Y3003" s="110" t="str">
        <f>IFERROR(VLOOKUP(F3003,'Freq-Chan'!C:E,3,FALSE),"na")</f>
        <v>na</v>
      </c>
      <c r="Z3003" s="110" t="s">
        <v>541</v>
      </c>
      <c r="AA3003" s="110" t="s">
        <v>541</v>
      </c>
      <c r="AB3003" s="110" t="s">
        <v>541</v>
      </c>
      <c r="AC3003" s="10" t="s">
        <v>541</v>
      </c>
      <c r="AD3003" s="10" t="s">
        <v>541</v>
      </c>
    </row>
    <row r="3004" spans="1:30" x14ac:dyDescent="0.2">
      <c r="A3004" s="110">
        <v>3004</v>
      </c>
      <c r="B3004" s="132">
        <v>41870</v>
      </c>
      <c r="C3004" s="117">
        <v>1</v>
      </c>
      <c r="D3004" s="103" t="s">
        <v>71</v>
      </c>
      <c r="E3004" s="103" t="s">
        <v>306</v>
      </c>
      <c r="H3004" s="103"/>
      <c r="I3004" s="103">
        <v>52</v>
      </c>
      <c r="K3004" s="103" t="s">
        <v>365</v>
      </c>
      <c r="L3004" s="133"/>
      <c r="M3004" s="134">
        <v>1.4583333333333332E-2</v>
      </c>
      <c r="N3004" s="135" t="s">
        <v>3424</v>
      </c>
      <c r="O3004" s="133" t="s">
        <v>1888</v>
      </c>
      <c r="Q3004" s="100" t="s">
        <v>4331</v>
      </c>
      <c r="R3004" s="226" t="s">
        <v>4351</v>
      </c>
      <c r="S3004" s="491" t="str">
        <f t="shared" si="99"/>
        <v>x</v>
      </c>
      <c r="T3004" s="492" t="str">
        <f>IFERROR(VLOOKUP(F3004,'Freq-Chan'!C:D,2,FALSE),"x")</f>
        <v>x</v>
      </c>
      <c r="U3004" s="110" t="s">
        <v>541</v>
      </c>
      <c r="V3004" s="110" t="str">
        <f t="shared" si="100"/>
        <v>FWL</v>
      </c>
      <c r="W3004" s="110" t="s">
        <v>541</v>
      </c>
      <c r="X3004" s="110" t="s">
        <v>541</v>
      </c>
      <c r="Y3004" s="110" t="str">
        <f>IFERROR(VLOOKUP(F3004,'Freq-Chan'!C:E,3,FALSE),"na")</f>
        <v>na</v>
      </c>
      <c r="Z3004" s="110" t="s">
        <v>541</v>
      </c>
      <c r="AA3004" s="110" t="s">
        <v>541</v>
      </c>
      <c r="AB3004" s="110" t="s">
        <v>541</v>
      </c>
      <c r="AC3004" s="10" t="s">
        <v>541</v>
      </c>
      <c r="AD3004" s="10" t="s">
        <v>541</v>
      </c>
    </row>
    <row r="3005" spans="1:30" x14ac:dyDescent="0.2">
      <c r="A3005" s="110">
        <v>3005</v>
      </c>
      <c r="B3005" s="132">
        <v>41870</v>
      </c>
      <c r="C3005" s="117">
        <v>1</v>
      </c>
      <c r="D3005" s="103" t="s">
        <v>71</v>
      </c>
      <c r="E3005" s="103" t="s">
        <v>306</v>
      </c>
      <c r="H3005" s="103"/>
      <c r="I3005" s="103">
        <v>55</v>
      </c>
      <c r="K3005" s="103" t="s">
        <v>365</v>
      </c>
      <c r="L3005" s="133"/>
      <c r="M3005" s="134">
        <v>1.4583333333333332E-2</v>
      </c>
      <c r="N3005" s="135" t="s">
        <v>3735</v>
      </c>
      <c r="O3005" s="133" t="s">
        <v>1888</v>
      </c>
      <c r="Q3005" s="100" t="s">
        <v>4331</v>
      </c>
      <c r="R3005" s="226" t="s">
        <v>4351</v>
      </c>
      <c r="S3005" s="491" t="str">
        <f t="shared" si="99"/>
        <v>x</v>
      </c>
      <c r="T3005" s="492" t="str">
        <f>IFERROR(VLOOKUP(F3005,'Freq-Chan'!C:D,2,FALSE),"x")</f>
        <v>x</v>
      </c>
      <c r="U3005" s="110" t="s">
        <v>541</v>
      </c>
      <c r="V3005" s="110" t="str">
        <f t="shared" si="100"/>
        <v>FWL</v>
      </c>
      <c r="W3005" s="110" t="s">
        <v>541</v>
      </c>
      <c r="X3005" s="110" t="s">
        <v>541</v>
      </c>
      <c r="Y3005" s="110" t="str">
        <f>IFERROR(VLOOKUP(F3005,'Freq-Chan'!C:E,3,FALSE),"na")</f>
        <v>na</v>
      </c>
      <c r="Z3005" s="110" t="s">
        <v>541</v>
      </c>
      <c r="AA3005" s="110" t="s">
        <v>541</v>
      </c>
      <c r="AB3005" s="110" t="s">
        <v>541</v>
      </c>
      <c r="AC3005" s="10" t="s">
        <v>541</v>
      </c>
      <c r="AD3005" s="10" t="s">
        <v>541</v>
      </c>
    </row>
    <row r="3006" spans="1:30" x14ac:dyDescent="0.2">
      <c r="A3006" s="110">
        <v>3006</v>
      </c>
      <c r="B3006" s="132">
        <v>41870</v>
      </c>
      <c r="C3006" s="117">
        <v>1</v>
      </c>
      <c r="D3006" s="103" t="s">
        <v>70</v>
      </c>
      <c r="E3006" s="103" t="s">
        <v>306</v>
      </c>
      <c r="H3006" s="103"/>
      <c r="I3006" s="103">
        <v>42</v>
      </c>
      <c r="K3006" s="103" t="s">
        <v>365</v>
      </c>
      <c r="L3006" s="133"/>
      <c r="M3006" s="134">
        <v>1.8055555555555557E-2</v>
      </c>
      <c r="N3006" s="135" t="s">
        <v>763</v>
      </c>
      <c r="O3006" s="133" t="s">
        <v>1888</v>
      </c>
      <c r="Q3006" s="100" t="s">
        <v>4331</v>
      </c>
      <c r="R3006" s="226" t="s">
        <v>4351</v>
      </c>
      <c r="S3006" s="491" t="str">
        <f t="shared" si="99"/>
        <v>x</v>
      </c>
      <c r="T3006" s="492" t="str">
        <f>IFERROR(VLOOKUP(F3006,'Freq-Chan'!C:D,2,FALSE),"x")</f>
        <v>x</v>
      </c>
      <c r="U3006" s="110" t="s">
        <v>541</v>
      </c>
      <c r="V3006" s="110" t="str">
        <f t="shared" si="100"/>
        <v>FWL</v>
      </c>
      <c r="W3006" s="110" t="s">
        <v>541</v>
      </c>
      <c r="X3006" s="110" t="s">
        <v>541</v>
      </c>
      <c r="Y3006" s="110" t="str">
        <f>IFERROR(VLOOKUP(F3006,'Freq-Chan'!C:E,3,FALSE),"na")</f>
        <v>na</v>
      </c>
      <c r="Z3006" s="110" t="s">
        <v>541</v>
      </c>
      <c r="AA3006" s="110" t="s">
        <v>541</v>
      </c>
      <c r="AB3006" s="110" t="s">
        <v>541</v>
      </c>
      <c r="AC3006" s="10" t="s">
        <v>541</v>
      </c>
      <c r="AD3006" s="10" t="s">
        <v>541</v>
      </c>
    </row>
    <row r="3007" spans="1:30" x14ac:dyDescent="0.2">
      <c r="A3007" s="110">
        <v>3007</v>
      </c>
      <c r="B3007" s="132">
        <v>41870</v>
      </c>
      <c r="C3007" s="117">
        <v>1</v>
      </c>
      <c r="D3007" s="103" t="s">
        <v>72</v>
      </c>
      <c r="E3007" s="103" t="s">
        <v>306</v>
      </c>
      <c r="F3007" s="103">
        <v>266</v>
      </c>
      <c r="G3007" s="103">
        <v>2</v>
      </c>
      <c r="H3007" s="103" t="s">
        <v>3628</v>
      </c>
      <c r="I3007" s="103">
        <v>52</v>
      </c>
      <c r="K3007" s="103" t="s">
        <v>1032</v>
      </c>
      <c r="L3007" s="133"/>
      <c r="M3007" s="134">
        <v>4.2361111111111106E-2</v>
      </c>
      <c r="N3007" s="135" t="s">
        <v>3771</v>
      </c>
      <c r="O3007" s="133" t="s">
        <v>1532</v>
      </c>
      <c r="P3007" s="100" t="s">
        <v>4473</v>
      </c>
      <c r="Q3007" s="100" t="s">
        <v>4321</v>
      </c>
      <c r="R3007" s="226" t="s">
        <v>4351</v>
      </c>
      <c r="S3007" s="491" t="str">
        <f t="shared" si="99"/>
        <v>x</v>
      </c>
      <c r="T3007" s="492">
        <f>IFERROR(VLOOKUP(F3007,'Freq-Chan'!C:D,2,FALSE),"x")</f>
        <v>151.26599999999999</v>
      </c>
      <c r="U3007" s="110" t="s">
        <v>541</v>
      </c>
      <c r="V3007" s="110" t="str">
        <f t="shared" si="100"/>
        <v>FWL</v>
      </c>
      <c r="W3007" s="110" t="s">
        <v>541</v>
      </c>
      <c r="X3007" s="110" t="s">
        <v>541</v>
      </c>
      <c r="Y3007" s="110" t="str">
        <f>IFERROR(VLOOKUP(F3007,'Freq-Chan'!C:E,3,FALSE),"na")</f>
        <v>F1840</v>
      </c>
      <c r="Z3007" s="110" t="s">
        <v>541</v>
      </c>
      <c r="AA3007" s="110" t="s">
        <v>541</v>
      </c>
      <c r="AB3007" s="110" t="s">
        <v>541</v>
      </c>
      <c r="AC3007" s="10" t="s">
        <v>541</v>
      </c>
      <c r="AD3007" s="10" t="s">
        <v>541</v>
      </c>
    </row>
    <row r="3008" spans="1:30" x14ac:dyDescent="0.2">
      <c r="A3008" s="110">
        <v>3008</v>
      </c>
      <c r="B3008" s="132">
        <v>41870</v>
      </c>
      <c r="C3008" s="117">
        <v>1</v>
      </c>
      <c r="D3008" s="103" t="s">
        <v>71</v>
      </c>
      <c r="E3008" s="103" t="s">
        <v>306</v>
      </c>
      <c r="H3008" s="103"/>
      <c r="I3008" s="103">
        <v>58</v>
      </c>
      <c r="K3008" s="103" t="s">
        <v>365</v>
      </c>
      <c r="L3008" s="133"/>
      <c r="M3008" s="134">
        <v>1.1111111111111112E-2</v>
      </c>
      <c r="N3008" s="135" t="s">
        <v>2739</v>
      </c>
      <c r="O3008" s="133" t="s">
        <v>1532</v>
      </c>
      <c r="Q3008" s="100" t="s">
        <v>4321</v>
      </c>
      <c r="R3008" s="226" t="s">
        <v>4351</v>
      </c>
      <c r="S3008" s="491" t="str">
        <f t="shared" si="99"/>
        <v>x</v>
      </c>
      <c r="T3008" s="492" t="str">
        <f>IFERROR(VLOOKUP(F3008,'Freq-Chan'!C:D,2,FALSE),"x")</f>
        <v>x</v>
      </c>
      <c r="U3008" s="110" t="s">
        <v>541</v>
      </c>
      <c r="V3008" s="110" t="str">
        <f t="shared" si="100"/>
        <v>FWL</v>
      </c>
      <c r="W3008" s="110" t="s">
        <v>541</v>
      </c>
      <c r="X3008" s="110" t="s">
        <v>541</v>
      </c>
      <c r="Y3008" s="110" t="str">
        <f>IFERROR(VLOOKUP(F3008,'Freq-Chan'!C:E,3,FALSE),"na")</f>
        <v>na</v>
      </c>
      <c r="Z3008" s="110" t="s">
        <v>541</v>
      </c>
      <c r="AA3008" s="110" t="s">
        <v>541</v>
      </c>
      <c r="AB3008" s="110" t="s">
        <v>541</v>
      </c>
      <c r="AC3008" s="10" t="s">
        <v>541</v>
      </c>
      <c r="AD3008" s="10" t="s">
        <v>541</v>
      </c>
    </row>
    <row r="3009" spans="1:30" x14ac:dyDescent="0.2">
      <c r="A3009" s="110">
        <v>3009</v>
      </c>
      <c r="B3009" s="132">
        <v>41870</v>
      </c>
      <c r="C3009" s="117">
        <v>1</v>
      </c>
      <c r="D3009" s="103" t="s">
        <v>71</v>
      </c>
      <c r="E3009" s="103" t="s">
        <v>306</v>
      </c>
      <c r="H3009" s="103"/>
      <c r="I3009" s="103">
        <v>64</v>
      </c>
      <c r="K3009" s="103" t="s">
        <v>1032</v>
      </c>
      <c r="L3009" s="133"/>
      <c r="M3009" s="134">
        <v>2.8472222222222222E-2</v>
      </c>
      <c r="N3009" s="135" t="s">
        <v>4339</v>
      </c>
      <c r="O3009" s="133" t="s">
        <v>1532</v>
      </c>
      <c r="Q3009" s="100" t="s">
        <v>4321</v>
      </c>
      <c r="R3009" s="226" t="s">
        <v>4351</v>
      </c>
      <c r="S3009" s="491" t="str">
        <f t="shared" si="99"/>
        <v>x</v>
      </c>
      <c r="T3009" s="492" t="str">
        <f>IFERROR(VLOOKUP(F3009,'Freq-Chan'!C:D,2,FALSE),"x")</f>
        <v>x</v>
      </c>
      <c r="U3009" s="110" t="s">
        <v>541</v>
      </c>
      <c r="V3009" s="110" t="str">
        <f t="shared" si="100"/>
        <v>FWL</v>
      </c>
      <c r="W3009" s="110" t="s">
        <v>541</v>
      </c>
      <c r="X3009" s="110" t="s">
        <v>541</v>
      </c>
      <c r="Y3009" s="110" t="str">
        <f>IFERROR(VLOOKUP(F3009,'Freq-Chan'!C:E,3,FALSE),"na")</f>
        <v>na</v>
      </c>
      <c r="Z3009" s="110" t="s">
        <v>541</v>
      </c>
      <c r="AA3009" s="110" t="s">
        <v>541</v>
      </c>
      <c r="AB3009" s="110" t="s">
        <v>541</v>
      </c>
      <c r="AC3009" s="10" t="s">
        <v>541</v>
      </c>
      <c r="AD3009" s="10" t="s">
        <v>541</v>
      </c>
    </row>
    <row r="3010" spans="1:30" x14ac:dyDescent="0.2">
      <c r="A3010" s="110">
        <v>3010</v>
      </c>
      <c r="B3010" s="132">
        <v>41870</v>
      </c>
      <c r="C3010" s="117">
        <v>1</v>
      </c>
      <c r="D3010" s="103" t="s">
        <v>8</v>
      </c>
      <c r="E3010" s="103" t="s">
        <v>306</v>
      </c>
      <c r="F3010" s="103">
        <v>586</v>
      </c>
      <c r="G3010" s="103">
        <v>25</v>
      </c>
      <c r="H3010" s="103" t="s">
        <v>2278</v>
      </c>
      <c r="I3010" s="103">
        <v>45</v>
      </c>
      <c r="K3010" s="103" t="s">
        <v>364</v>
      </c>
      <c r="L3010" s="133"/>
      <c r="M3010" s="134">
        <v>3.8194444444444441E-2</v>
      </c>
      <c r="N3010" s="135" t="s">
        <v>2529</v>
      </c>
      <c r="O3010" s="133" t="s">
        <v>1532</v>
      </c>
      <c r="Q3010" s="100" t="s">
        <v>4321</v>
      </c>
      <c r="R3010" s="226" t="s">
        <v>4351</v>
      </c>
      <c r="S3010" s="491" t="str">
        <f t="shared" si="99"/>
        <v>x</v>
      </c>
      <c r="T3010" s="492">
        <f>IFERROR(VLOOKUP(F3010,'Freq-Chan'!C:D,2,FALSE),"x")</f>
        <v>151.58600000000001</v>
      </c>
      <c r="U3010" s="110" t="s">
        <v>541</v>
      </c>
      <c r="V3010" s="110" t="str">
        <f t="shared" si="100"/>
        <v>FWL</v>
      </c>
      <c r="W3010" s="110" t="s">
        <v>541</v>
      </c>
      <c r="X3010" s="110" t="s">
        <v>541</v>
      </c>
      <c r="Y3010" s="110" t="str">
        <f>IFERROR(VLOOKUP(F3010,'Freq-Chan'!C:E,3,FALSE),"na")</f>
        <v>F1840</v>
      </c>
      <c r="Z3010" s="110" t="s">
        <v>541</v>
      </c>
      <c r="AA3010" s="110" t="s">
        <v>541</v>
      </c>
      <c r="AB3010" s="110" t="s">
        <v>541</v>
      </c>
      <c r="AC3010" s="10" t="s">
        <v>541</v>
      </c>
      <c r="AD3010" s="10" t="s">
        <v>541</v>
      </c>
    </row>
    <row r="3011" spans="1:30" x14ac:dyDescent="0.2">
      <c r="A3011" s="110">
        <v>3011</v>
      </c>
      <c r="B3011" s="132">
        <v>41870</v>
      </c>
      <c r="C3011" s="117">
        <v>1</v>
      </c>
      <c r="D3011" s="103" t="s">
        <v>71</v>
      </c>
      <c r="E3011" s="103" t="s">
        <v>306</v>
      </c>
      <c r="H3011" s="103"/>
      <c r="I3011" s="103">
        <v>58</v>
      </c>
      <c r="K3011" s="103" t="s">
        <v>1032</v>
      </c>
      <c r="L3011" s="133"/>
      <c r="M3011" s="134">
        <v>2.1527777777777781E-2</v>
      </c>
      <c r="N3011" s="135" t="s">
        <v>4083</v>
      </c>
      <c r="O3011" s="133" t="s">
        <v>1532</v>
      </c>
      <c r="Q3011" s="100" t="s">
        <v>4321</v>
      </c>
      <c r="R3011" s="226" t="s">
        <v>4351</v>
      </c>
      <c r="S3011" s="491" t="str">
        <f t="shared" si="99"/>
        <v>x</v>
      </c>
      <c r="T3011" s="492" t="str">
        <f>IFERROR(VLOOKUP(F3011,'Freq-Chan'!C:D,2,FALSE),"x")</f>
        <v>x</v>
      </c>
      <c r="U3011" s="110" t="s">
        <v>541</v>
      </c>
      <c r="V3011" s="110" t="str">
        <f t="shared" si="100"/>
        <v>FWL</v>
      </c>
      <c r="W3011" s="110" t="s">
        <v>541</v>
      </c>
      <c r="X3011" s="110" t="s">
        <v>541</v>
      </c>
      <c r="Y3011" s="110" t="str">
        <f>IFERROR(VLOOKUP(F3011,'Freq-Chan'!C:E,3,FALSE),"na")</f>
        <v>na</v>
      </c>
      <c r="Z3011" s="110" t="s">
        <v>541</v>
      </c>
      <c r="AA3011" s="110" t="s">
        <v>541</v>
      </c>
      <c r="AB3011" s="110" t="s">
        <v>541</v>
      </c>
      <c r="AC3011" s="10" t="s">
        <v>541</v>
      </c>
      <c r="AD3011" s="10" t="s">
        <v>541</v>
      </c>
    </row>
    <row r="3012" spans="1:30" x14ac:dyDescent="0.2">
      <c r="A3012" s="110">
        <v>3012</v>
      </c>
      <c r="B3012" s="132">
        <v>41870</v>
      </c>
      <c r="C3012" s="117">
        <v>1</v>
      </c>
      <c r="D3012" s="103" t="s">
        <v>70</v>
      </c>
      <c r="E3012" s="103" t="s">
        <v>306</v>
      </c>
      <c r="H3012" s="103"/>
      <c r="I3012" s="103">
        <v>41</v>
      </c>
      <c r="K3012" s="103" t="s">
        <v>365</v>
      </c>
      <c r="L3012" s="133"/>
      <c r="M3012" s="134">
        <v>2.2222222222222223E-2</v>
      </c>
      <c r="N3012" s="135" t="s">
        <v>2593</v>
      </c>
      <c r="O3012" s="133" t="s">
        <v>1532</v>
      </c>
      <c r="P3012" s="100" t="s">
        <v>4342</v>
      </c>
      <c r="Q3012" s="100" t="s">
        <v>4321</v>
      </c>
      <c r="R3012" s="226" t="s">
        <v>4351</v>
      </c>
      <c r="S3012" s="491" t="str">
        <f t="shared" si="99"/>
        <v>x</v>
      </c>
      <c r="T3012" s="492" t="str">
        <f>IFERROR(VLOOKUP(F3012,'Freq-Chan'!C:D,2,FALSE),"x")</f>
        <v>x</v>
      </c>
      <c r="U3012" s="110" t="s">
        <v>541</v>
      </c>
      <c r="V3012" s="110" t="str">
        <f t="shared" si="100"/>
        <v>FWL</v>
      </c>
      <c r="W3012" s="110" t="s">
        <v>541</v>
      </c>
      <c r="X3012" s="110" t="s">
        <v>541</v>
      </c>
      <c r="Y3012" s="110" t="str">
        <f>IFERROR(VLOOKUP(F3012,'Freq-Chan'!C:E,3,FALSE),"na")</f>
        <v>na</v>
      </c>
      <c r="Z3012" s="110" t="s">
        <v>541</v>
      </c>
      <c r="AA3012" s="110" t="s">
        <v>541</v>
      </c>
      <c r="AB3012" s="110" t="s">
        <v>541</v>
      </c>
      <c r="AC3012" s="10" t="s">
        <v>541</v>
      </c>
      <c r="AD3012" s="10" t="s">
        <v>541</v>
      </c>
    </row>
    <row r="3013" spans="1:30" x14ac:dyDescent="0.2">
      <c r="A3013" s="110">
        <v>3013</v>
      </c>
      <c r="B3013" s="132">
        <v>41870</v>
      </c>
      <c r="C3013" s="117">
        <v>1</v>
      </c>
      <c r="D3013" s="103" t="s">
        <v>71</v>
      </c>
      <c r="E3013" s="103" t="s">
        <v>306</v>
      </c>
      <c r="H3013" s="103"/>
      <c r="I3013" s="103">
        <v>59</v>
      </c>
      <c r="K3013" s="103" t="s">
        <v>365</v>
      </c>
      <c r="L3013" s="133"/>
      <c r="M3013" s="134">
        <v>1.1111111111111112E-2</v>
      </c>
      <c r="N3013" s="137" t="s">
        <v>1797</v>
      </c>
      <c r="O3013" s="133" t="s">
        <v>1532</v>
      </c>
      <c r="Q3013" s="100" t="s">
        <v>4321</v>
      </c>
      <c r="R3013" s="226" t="s">
        <v>4351</v>
      </c>
      <c r="S3013" s="491" t="str">
        <f t="shared" si="99"/>
        <v>x</v>
      </c>
      <c r="T3013" s="492" t="str">
        <f>IFERROR(VLOOKUP(F3013,'Freq-Chan'!C:D,2,FALSE),"x")</f>
        <v>x</v>
      </c>
      <c r="U3013" s="110" t="s">
        <v>541</v>
      </c>
      <c r="V3013" s="110" t="str">
        <f t="shared" si="100"/>
        <v>FWL</v>
      </c>
      <c r="W3013" s="110" t="s">
        <v>541</v>
      </c>
      <c r="X3013" s="110" t="s">
        <v>541</v>
      </c>
      <c r="Y3013" s="110" t="str">
        <f>IFERROR(VLOOKUP(F3013,'Freq-Chan'!C:E,3,FALSE),"na")</f>
        <v>na</v>
      </c>
      <c r="Z3013" s="110" t="s">
        <v>541</v>
      </c>
      <c r="AA3013" s="110" t="s">
        <v>541</v>
      </c>
      <c r="AB3013" s="110" t="s">
        <v>541</v>
      </c>
      <c r="AC3013" s="10" t="s">
        <v>541</v>
      </c>
      <c r="AD3013" s="10" t="s">
        <v>541</v>
      </c>
    </row>
    <row r="3014" spans="1:30" x14ac:dyDescent="0.2">
      <c r="A3014" s="110">
        <v>3014</v>
      </c>
      <c r="B3014" s="132">
        <v>41870</v>
      </c>
      <c r="C3014" s="117">
        <v>1</v>
      </c>
      <c r="D3014" s="103" t="s">
        <v>71</v>
      </c>
      <c r="E3014" s="103" t="s">
        <v>306</v>
      </c>
      <c r="H3014" s="103"/>
      <c r="I3014" s="103">
        <v>55</v>
      </c>
      <c r="K3014" s="103" t="s">
        <v>1032</v>
      </c>
      <c r="L3014" s="133"/>
      <c r="M3014" s="134">
        <v>1.5972222222222224E-2</v>
      </c>
      <c r="N3014" s="135" t="s">
        <v>840</v>
      </c>
      <c r="O3014" s="133" t="s">
        <v>1532</v>
      </c>
      <c r="Q3014" s="100" t="s">
        <v>4321</v>
      </c>
      <c r="R3014" s="226" t="s">
        <v>4351</v>
      </c>
      <c r="S3014" s="491" t="str">
        <f t="shared" si="99"/>
        <v>x</v>
      </c>
      <c r="T3014" s="492" t="str">
        <f>IFERROR(VLOOKUP(F3014,'Freq-Chan'!C:D,2,FALSE),"x")</f>
        <v>x</v>
      </c>
      <c r="U3014" s="110" t="s">
        <v>541</v>
      </c>
      <c r="V3014" s="110" t="str">
        <f t="shared" si="100"/>
        <v>FWL</v>
      </c>
      <c r="W3014" s="110" t="s">
        <v>541</v>
      </c>
      <c r="X3014" s="110" t="s">
        <v>541</v>
      </c>
      <c r="Y3014" s="110" t="str">
        <f>IFERROR(VLOOKUP(F3014,'Freq-Chan'!C:E,3,FALSE),"na")</f>
        <v>na</v>
      </c>
      <c r="Z3014" s="110" t="s">
        <v>541</v>
      </c>
      <c r="AA3014" s="110" t="s">
        <v>541</v>
      </c>
      <c r="AB3014" s="110" t="s">
        <v>541</v>
      </c>
      <c r="AC3014" s="10" t="s">
        <v>541</v>
      </c>
      <c r="AD3014" s="10" t="s">
        <v>541</v>
      </c>
    </row>
    <row r="3015" spans="1:30" x14ac:dyDescent="0.2">
      <c r="A3015" s="110">
        <v>3015</v>
      </c>
      <c r="B3015" s="132">
        <v>41870</v>
      </c>
      <c r="C3015" s="117">
        <v>1</v>
      </c>
      <c r="D3015" s="103" t="s">
        <v>70</v>
      </c>
      <c r="E3015" s="103" t="s">
        <v>306</v>
      </c>
      <c r="H3015" s="103"/>
      <c r="I3015" s="103">
        <v>43</v>
      </c>
      <c r="K3015" s="103" t="s">
        <v>365</v>
      </c>
      <c r="L3015" s="133">
        <v>0.54097222222222219</v>
      </c>
      <c r="M3015" s="134">
        <v>1.8055555555555557E-2</v>
      </c>
      <c r="N3015" s="135" t="s">
        <v>4112</v>
      </c>
      <c r="O3015" s="133" t="s">
        <v>372</v>
      </c>
      <c r="Q3015" s="100" t="s">
        <v>4321</v>
      </c>
      <c r="R3015" s="226" t="s">
        <v>4351</v>
      </c>
      <c r="S3015" s="491">
        <f t="shared" si="99"/>
        <v>7.3379630000000003E-3</v>
      </c>
      <c r="T3015" s="492" t="str">
        <f>IFERROR(VLOOKUP(F3015,'Freq-Chan'!C:D,2,FALSE),"x")</f>
        <v>x</v>
      </c>
      <c r="U3015" s="110" t="s">
        <v>541</v>
      </c>
      <c r="V3015" s="110" t="str">
        <f t="shared" si="100"/>
        <v>FWL</v>
      </c>
      <c r="W3015" s="110" t="s">
        <v>541</v>
      </c>
      <c r="X3015" s="110" t="s">
        <v>541</v>
      </c>
      <c r="Y3015" s="110" t="str">
        <f>IFERROR(VLOOKUP(F3015,'Freq-Chan'!C:E,3,FALSE),"na")</f>
        <v>na</v>
      </c>
      <c r="Z3015" s="110" t="s">
        <v>541</v>
      </c>
      <c r="AA3015" s="110" t="s">
        <v>541</v>
      </c>
      <c r="AB3015" s="110" t="s">
        <v>541</v>
      </c>
      <c r="AC3015" s="10" t="s">
        <v>541</v>
      </c>
      <c r="AD3015" s="10" t="s">
        <v>541</v>
      </c>
    </row>
    <row r="3016" spans="1:30" x14ac:dyDescent="0.2">
      <c r="A3016" s="110">
        <v>3016</v>
      </c>
      <c r="B3016" s="132">
        <v>41870</v>
      </c>
      <c r="C3016" s="117">
        <v>1</v>
      </c>
      <c r="D3016" s="103" t="s">
        <v>70</v>
      </c>
      <c r="E3016" s="103" t="s">
        <v>306</v>
      </c>
      <c r="H3016" s="103"/>
      <c r="I3016" s="103">
        <v>43</v>
      </c>
      <c r="K3016" s="103" t="s">
        <v>1032</v>
      </c>
      <c r="L3016" s="133"/>
      <c r="M3016" s="134">
        <v>1.6666666666666666E-2</v>
      </c>
      <c r="N3016" s="135" t="s">
        <v>2899</v>
      </c>
      <c r="O3016" s="133" t="s">
        <v>372</v>
      </c>
      <c r="Q3016" s="106" t="s">
        <v>4323</v>
      </c>
      <c r="R3016" s="226" t="s">
        <v>4351</v>
      </c>
      <c r="S3016" s="491" t="str">
        <f t="shared" si="99"/>
        <v>x</v>
      </c>
      <c r="T3016" s="492" t="str">
        <f>IFERROR(VLOOKUP(F3016,'Freq-Chan'!C:D,2,FALSE),"x")</f>
        <v>x</v>
      </c>
      <c r="U3016" s="110" t="s">
        <v>541</v>
      </c>
      <c r="V3016" s="110" t="str">
        <f t="shared" si="100"/>
        <v>FWL</v>
      </c>
      <c r="W3016" s="110" t="s">
        <v>541</v>
      </c>
      <c r="X3016" s="110" t="s">
        <v>541</v>
      </c>
      <c r="Y3016" s="110" t="str">
        <f>IFERROR(VLOOKUP(F3016,'Freq-Chan'!C:E,3,FALSE),"na")</f>
        <v>na</v>
      </c>
      <c r="Z3016" s="110" t="s">
        <v>541</v>
      </c>
      <c r="AA3016" s="110" t="s">
        <v>541</v>
      </c>
      <c r="AB3016" s="110" t="s">
        <v>541</v>
      </c>
      <c r="AC3016" s="10" t="s">
        <v>541</v>
      </c>
      <c r="AD3016" s="10" t="s">
        <v>541</v>
      </c>
    </row>
    <row r="3017" spans="1:30" x14ac:dyDescent="0.2">
      <c r="A3017" s="110">
        <v>3017</v>
      </c>
      <c r="B3017" s="132">
        <v>41870</v>
      </c>
      <c r="C3017" s="117">
        <v>1</v>
      </c>
      <c r="D3017" s="103" t="s">
        <v>70</v>
      </c>
      <c r="E3017" s="103" t="s">
        <v>306</v>
      </c>
      <c r="H3017" s="103"/>
      <c r="I3017" s="103">
        <v>45</v>
      </c>
      <c r="K3017" s="103" t="s">
        <v>365</v>
      </c>
      <c r="L3017" s="133"/>
      <c r="M3017" s="134">
        <v>1.3888888888888888E-2</v>
      </c>
      <c r="N3017" s="135" t="s">
        <v>3308</v>
      </c>
      <c r="O3017" s="133" t="s">
        <v>372</v>
      </c>
      <c r="Q3017" s="106" t="s">
        <v>4323</v>
      </c>
      <c r="R3017" s="226" t="s">
        <v>4351</v>
      </c>
      <c r="S3017" s="491" t="str">
        <f t="shared" si="99"/>
        <v>x</v>
      </c>
      <c r="T3017" s="492" t="str">
        <f>IFERROR(VLOOKUP(F3017,'Freq-Chan'!C:D,2,FALSE),"x")</f>
        <v>x</v>
      </c>
      <c r="U3017" s="110" t="s">
        <v>541</v>
      </c>
      <c r="V3017" s="110" t="str">
        <f t="shared" si="100"/>
        <v>FWL</v>
      </c>
      <c r="W3017" s="110" t="s">
        <v>541</v>
      </c>
      <c r="X3017" s="110" t="s">
        <v>541</v>
      </c>
      <c r="Y3017" s="110" t="str">
        <f>IFERROR(VLOOKUP(F3017,'Freq-Chan'!C:E,3,FALSE),"na")</f>
        <v>na</v>
      </c>
      <c r="Z3017" s="110" t="s">
        <v>541</v>
      </c>
      <c r="AA3017" s="110" t="s">
        <v>541</v>
      </c>
      <c r="AB3017" s="110" t="s">
        <v>541</v>
      </c>
      <c r="AC3017" s="10" t="s">
        <v>541</v>
      </c>
      <c r="AD3017" s="10" t="s">
        <v>541</v>
      </c>
    </row>
    <row r="3018" spans="1:30" x14ac:dyDescent="0.2">
      <c r="A3018" s="110">
        <v>3018</v>
      </c>
      <c r="B3018" s="132">
        <v>41870</v>
      </c>
      <c r="C3018" s="117">
        <v>1</v>
      </c>
      <c r="D3018" s="103" t="s">
        <v>70</v>
      </c>
      <c r="E3018" s="103" t="s">
        <v>306</v>
      </c>
      <c r="H3018" s="103"/>
      <c r="I3018" s="103">
        <v>48</v>
      </c>
      <c r="K3018" s="103" t="s">
        <v>1032</v>
      </c>
      <c r="L3018" s="133"/>
      <c r="M3018" s="134">
        <v>1.6666666666666666E-2</v>
      </c>
      <c r="N3018" s="135" t="s">
        <v>4104</v>
      </c>
      <c r="O3018" s="133" t="s">
        <v>372</v>
      </c>
      <c r="Q3018" s="106" t="s">
        <v>4323</v>
      </c>
      <c r="R3018" s="226" t="s">
        <v>4351</v>
      </c>
      <c r="S3018" s="491" t="str">
        <f t="shared" si="99"/>
        <v>x</v>
      </c>
      <c r="T3018" s="492" t="str">
        <f>IFERROR(VLOOKUP(F3018,'Freq-Chan'!C:D,2,FALSE),"x")</f>
        <v>x</v>
      </c>
      <c r="U3018" s="110" t="s">
        <v>541</v>
      </c>
      <c r="V3018" s="110" t="str">
        <f t="shared" si="100"/>
        <v>FWL</v>
      </c>
      <c r="W3018" s="110" t="s">
        <v>541</v>
      </c>
      <c r="X3018" s="110" t="s">
        <v>541</v>
      </c>
      <c r="Y3018" s="110" t="str">
        <f>IFERROR(VLOOKUP(F3018,'Freq-Chan'!C:E,3,FALSE),"na")</f>
        <v>na</v>
      </c>
      <c r="Z3018" s="110" t="s">
        <v>541</v>
      </c>
      <c r="AA3018" s="110" t="s">
        <v>541</v>
      </c>
      <c r="AB3018" s="110" t="s">
        <v>541</v>
      </c>
      <c r="AC3018" s="10" t="s">
        <v>541</v>
      </c>
      <c r="AD3018" s="10" t="s">
        <v>541</v>
      </c>
    </row>
    <row r="3019" spans="1:30" x14ac:dyDescent="0.2">
      <c r="A3019" s="110">
        <v>3019</v>
      </c>
      <c r="B3019" s="132">
        <v>41870</v>
      </c>
      <c r="C3019" s="117">
        <v>1</v>
      </c>
      <c r="D3019" s="103" t="s">
        <v>71</v>
      </c>
      <c r="E3019" s="103" t="s">
        <v>306</v>
      </c>
      <c r="H3019" s="103"/>
      <c r="I3019" s="103">
        <v>48</v>
      </c>
      <c r="K3019" s="103" t="s">
        <v>365</v>
      </c>
      <c r="L3019" s="133"/>
      <c r="M3019" s="134">
        <v>2.0833333333333332E-2</v>
      </c>
      <c r="N3019" s="135" t="s">
        <v>2811</v>
      </c>
      <c r="O3019" s="133" t="s">
        <v>372</v>
      </c>
      <c r="Q3019" s="106" t="s">
        <v>4323</v>
      </c>
      <c r="R3019" s="226" t="s">
        <v>4351</v>
      </c>
      <c r="S3019" s="491" t="str">
        <f t="shared" si="99"/>
        <v>x</v>
      </c>
      <c r="T3019" s="492" t="str">
        <f>IFERROR(VLOOKUP(F3019,'Freq-Chan'!C:D,2,FALSE),"x")</f>
        <v>x</v>
      </c>
      <c r="U3019" s="110" t="s">
        <v>541</v>
      </c>
      <c r="V3019" s="110" t="str">
        <f t="shared" si="100"/>
        <v>FWL</v>
      </c>
      <c r="W3019" s="110" t="s">
        <v>541</v>
      </c>
      <c r="X3019" s="110" t="s">
        <v>541</v>
      </c>
      <c r="Y3019" s="110" t="str">
        <f>IFERROR(VLOOKUP(F3019,'Freq-Chan'!C:E,3,FALSE),"na")</f>
        <v>na</v>
      </c>
      <c r="Z3019" s="110" t="s">
        <v>541</v>
      </c>
      <c r="AA3019" s="110" t="s">
        <v>541</v>
      </c>
      <c r="AB3019" s="110" t="s">
        <v>541</v>
      </c>
      <c r="AC3019" s="10" t="s">
        <v>541</v>
      </c>
      <c r="AD3019" s="10" t="s">
        <v>541</v>
      </c>
    </row>
    <row r="3020" spans="1:30" x14ac:dyDescent="0.2">
      <c r="A3020" s="110">
        <v>3020</v>
      </c>
      <c r="B3020" s="132">
        <v>41870</v>
      </c>
      <c r="C3020" s="117">
        <v>1</v>
      </c>
      <c r="D3020" s="103" t="s">
        <v>70</v>
      </c>
      <c r="E3020" s="103" t="s">
        <v>306</v>
      </c>
      <c r="H3020" s="103"/>
      <c r="I3020" s="103">
        <v>44</v>
      </c>
      <c r="K3020" s="103" t="s">
        <v>365</v>
      </c>
      <c r="L3020" s="133"/>
      <c r="M3020" s="134">
        <v>1.3194444444444444E-2</v>
      </c>
      <c r="N3020" s="135" t="s">
        <v>4103</v>
      </c>
      <c r="O3020" s="133" t="s">
        <v>372</v>
      </c>
      <c r="Q3020" s="106" t="s">
        <v>4323</v>
      </c>
      <c r="R3020" s="226" t="s">
        <v>4351</v>
      </c>
      <c r="S3020" s="491" t="str">
        <f t="shared" si="99"/>
        <v>x</v>
      </c>
      <c r="T3020" s="492" t="str">
        <f>IFERROR(VLOOKUP(F3020,'Freq-Chan'!C:D,2,FALSE),"x")</f>
        <v>x</v>
      </c>
      <c r="U3020" s="110" t="s">
        <v>541</v>
      </c>
      <c r="V3020" s="110" t="str">
        <f t="shared" si="100"/>
        <v>FWL</v>
      </c>
      <c r="W3020" s="110" t="s">
        <v>541</v>
      </c>
      <c r="X3020" s="110" t="s">
        <v>541</v>
      </c>
      <c r="Y3020" s="110" t="str">
        <f>IFERROR(VLOOKUP(F3020,'Freq-Chan'!C:E,3,FALSE),"na")</f>
        <v>na</v>
      </c>
      <c r="Z3020" s="110" t="s">
        <v>541</v>
      </c>
      <c r="AA3020" s="110" t="s">
        <v>541</v>
      </c>
      <c r="AB3020" s="110" t="s">
        <v>541</v>
      </c>
      <c r="AC3020" s="10" t="s">
        <v>541</v>
      </c>
      <c r="AD3020" s="10" t="s">
        <v>541</v>
      </c>
    </row>
    <row r="3021" spans="1:30" x14ac:dyDescent="0.2">
      <c r="A3021" s="110">
        <v>3021</v>
      </c>
      <c r="B3021" s="132">
        <v>41870</v>
      </c>
      <c r="C3021" s="117">
        <v>1</v>
      </c>
      <c r="D3021" s="103" t="s">
        <v>70</v>
      </c>
      <c r="E3021" s="103" t="s">
        <v>306</v>
      </c>
      <c r="H3021" s="103"/>
      <c r="I3021" s="103">
        <v>45</v>
      </c>
      <c r="K3021" s="103" t="s">
        <v>365</v>
      </c>
      <c r="L3021" s="133"/>
      <c r="M3021" s="134">
        <v>1.4583333333333332E-2</v>
      </c>
      <c r="N3021" s="135" t="s">
        <v>3986</v>
      </c>
      <c r="O3021" s="133" t="s">
        <v>372</v>
      </c>
      <c r="Q3021" s="106" t="s">
        <v>4323</v>
      </c>
      <c r="R3021" s="226" t="s">
        <v>4351</v>
      </c>
      <c r="S3021" s="491" t="str">
        <f t="shared" si="99"/>
        <v>x</v>
      </c>
      <c r="T3021" s="492" t="str">
        <f>IFERROR(VLOOKUP(F3021,'Freq-Chan'!C:D,2,FALSE),"x")</f>
        <v>x</v>
      </c>
      <c r="U3021" s="110" t="s">
        <v>541</v>
      </c>
      <c r="V3021" s="110" t="str">
        <f t="shared" si="100"/>
        <v>FWL</v>
      </c>
      <c r="W3021" s="110" t="s">
        <v>541</v>
      </c>
      <c r="X3021" s="110" t="s">
        <v>541</v>
      </c>
      <c r="Y3021" s="110" t="str">
        <f>IFERROR(VLOOKUP(F3021,'Freq-Chan'!C:E,3,FALSE),"na")</f>
        <v>na</v>
      </c>
      <c r="Z3021" s="110" t="s">
        <v>541</v>
      </c>
      <c r="AA3021" s="110" t="s">
        <v>541</v>
      </c>
      <c r="AB3021" s="110" t="s">
        <v>541</v>
      </c>
      <c r="AC3021" s="10" t="s">
        <v>541</v>
      </c>
      <c r="AD3021" s="10" t="s">
        <v>541</v>
      </c>
    </row>
    <row r="3022" spans="1:30" x14ac:dyDescent="0.2">
      <c r="A3022" s="110">
        <v>3022</v>
      </c>
      <c r="B3022" s="132">
        <v>41870</v>
      </c>
      <c r="C3022" s="117">
        <v>1</v>
      </c>
      <c r="D3022" s="103" t="s">
        <v>71</v>
      </c>
      <c r="E3022" s="103" t="s">
        <v>306</v>
      </c>
      <c r="H3022" s="103"/>
      <c r="I3022" s="103">
        <v>51</v>
      </c>
      <c r="K3022" s="103" t="s">
        <v>365</v>
      </c>
      <c r="L3022" s="133"/>
      <c r="M3022" s="134">
        <v>1.7361111111111112E-2</v>
      </c>
      <c r="N3022" s="135" t="s">
        <v>3178</v>
      </c>
      <c r="O3022" s="133" t="s">
        <v>372</v>
      </c>
      <c r="Q3022" s="106" t="s">
        <v>4323</v>
      </c>
      <c r="R3022" s="226" t="s">
        <v>4351</v>
      </c>
      <c r="S3022" s="491" t="str">
        <f t="shared" si="99"/>
        <v>x</v>
      </c>
      <c r="T3022" s="492" t="str">
        <f>IFERROR(VLOOKUP(F3022,'Freq-Chan'!C:D,2,FALSE),"x")</f>
        <v>x</v>
      </c>
      <c r="U3022" s="110" t="s">
        <v>541</v>
      </c>
      <c r="V3022" s="110" t="str">
        <f t="shared" si="100"/>
        <v>FWL</v>
      </c>
      <c r="W3022" s="110" t="s">
        <v>541</v>
      </c>
      <c r="X3022" s="110" t="s">
        <v>541</v>
      </c>
      <c r="Y3022" s="110" t="str">
        <f>IFERROR(VLOOKUP(F3022,'Freq-Chan'!C:E,3,FALSE),"na")</f>
        <v>na</v>
      </c>
      <c r="Z3022" s="110" t="s">
        <v>541</v>
      </c>
      <c r="AA3022" s="110" t="s">
        <v>541</v>
      </c>
      <c r="AB3022" s="110" t="s">
        <v>541</v>
      </c>
      <c r="AC3022" s="10" t="s">
        <v>541</v>
      </c>
      <c r="AD3022" s="10" t="s">
        <v>541</v>
      </c>
    </row>
    <row r="3023" spans="1:30" x14ac:dyDescent="0.2">
      <c r="A3023" s="110">
        <v>3023</v>
      </c>
      <c r="B3023" s="132">
        <v>41870</v>
      </c>
      <c r="C3023" s="117">
        <v>1</v>
      </c>
      <c r="D3023" s="103" t="s">
        <v>72</v>
      </c>
      <c r="E3023" s="103" t="s">
        <v>306</v>
      </c>
      <c r="F3023" s="103">
        <v>325</v>
      </c>
      <c r="G3023" s="103">
        <v>63</v>
      </c>
      <c r="H3023" s="103" t="s">
        <v>3633</v>
      </c>
      <c r="I3023" s="103">
        <v>54</v>
      </c>
      <c r="K3023" s="103" t="s">
        <v>365</v>
      </c>
      <c r="L3023" s="133"/>
      <c r="M3023" s="134">
        <v>4.4444444444444446E-2</v>
      </c>
      <c r="N3023" s="135" t="s">
        <v>3845</v>
      </c>
      <c r="O3023" s="133" t="s">
        <v>1033</v>
      </c>
      <c r="Q3023" s="106" t="s">
        <v>4323</v>
      </c>
      <c r="R3023" s="226" t="s">
        <v>4351</v>
      </c>
      <c r="S3023" s="491" t="str">
        <f t="shared" si="99"/>
        <v>x</v>
      </c>
      <c r="T3023" s="492">
        <f>IFERROR(VLOOKUP(F3023,'Freq-Chan'!C:D,2,FALSE),"x")</f>
        <v>151.32499999999999</v>
      </c>
      <c r="U3023" s="110" t="s">
        <v>541</v>
      </c>
      <c r="V3023" s="110" t="str">
        <f t="shared" si="100"/>
        <v>FWL</v>
      </c>
      <c r="W3023" s="110" t="s">
        <v>541</v>
      </c>
      <c r="X3023" s="110" t="s">
        <v>541</v>
      </c>
      <c r="Y3023" s="110" t="str">
        <f>IFERROR(VLOOKUP(F3023,'Freq-Chan'!C:E,3,FALSE),"na")</f>
        <v>F1840</v>
      </c>
      <c r="Z3023" s="110" t="s">
        <v>541</v>
      </c>
      <c r="AA3023" s="110" t="s">
        <v>541</v>
      </c>
      <c r="AB3023" s="110" t="s">
        <v>541</v>
      </c>
      <c r="AC3023" s="10" t="s">
        <v>541</v>
      </c>
      <c r="AD3023" s="10" t="s">
        <v>541</v>
      </c>
    </row>
    <row r="3024" spans="1:30" x14ac:dyDescent="0.2">
      <c r="A3024" s="110">
        <v>3024</v>
      </c>
      <c r="B3024" s="132">
        <v>41870</v>
      </c>
      <c r="C3024" s="117">
        <v>1</v>
      </c>
      <c r="D3024" s="103" t="s">
        <v>177</v>
      </c>
      <c r="E3024" s="103" t="s">
        <v>0</v>
      </c>
      <c r="H3024" s="103"/>
      <c r="I3024" s="103">
        <v>33</v>
      </c>
      <c r="J3024" s="103">
        <v>36</v>
      </c>
      <c r="K3024" s="103" t="s">
        <v>364</v>
      </c>
      <c r="L3024" s="133"/>
      <c r="M3024" s="134">
        <v>9.2361111111111116E-2</v>
      </c>
      <c r="N3024" s="135" t="s">
        <v>3759</v>
      </c>
      <c r="O3024" s="133" t="s">
        <v>1033</v>
      </c>
      <c r="P3024" s="100" t="s">
        <v>4343</v>
      </c>
      <c r="Q3024" s="106" t="s">
        <v>4323</v>
      </c>
      <c r="R3024" s="226" t="s">
        <v>4351</v>
      </c>
      <c r="S3024" s="491" t="str">
        <f t="shared" si="99"/>
        <v>x</v>
      </c>
      <c r="T3024" s="492" t="str">
        <f>IFERROR(VLOOKUP(F3024,'Freq-Chan'!C:D,2,FALSE),"x")</f>
        <v>x</v>
      </c>
      <c r="U3024" s="110" t="s">
        <v>541</v>
      </c>
      <c r="V3024" s="110" t="str">
        <f t="shared" si="100"/>
        <v>FWL</v>
      </c>
      <c r="W3024" s="110" t="s">
        <v>541</v>
      </c>
      <c r="X3024" s="110" t="s">
        <v>541</v>
      </c>
      <c r="Y3024" s="110" t="str">
        <f>IFERROR(VLOOKUP(F3024,'Freq-Chan'!C:E,3,FALSE),"na")</f>
        <v>na</v>
      </c>
      <c r="Z3024" s="110" t="s">
        <v>541</v>
      </c>
      <c r="AA3024" s="110" t="s">
        <v>541</v>
      </c>
      <c r="AB3024" s="110" t="s">
        <v>541</v>
      </c>
      <c r="AC3024" s="10" t="s">
        <v>541</v>
      </c>
      <c r="AD3024" s="10" t="s">
        <v>541</v>
      </c>
    </row>
    <row r="3025" spans="1:30" x14ac:dyDescent="0.2">
      <c r="A3025" s="110">
        <v>3025</v>
      </c>
      <c r="B3025" s="132">
        <v>41870</v>
      </c>
      <c r="C3025" s="117">
        <v>1</v>
      </c>
      <c r="D3025" s="103" t="s">
        <v>71</v>
      </c>
      <c r="E3025" s="103" t="s">
        <v>306</v>
      </c>
      <c r="H3025" s="103"/>
      <c r="I3025" s="103">
        <v>53</v>
      </c>
      <c r="K3025" s="103" t="s">
        <v>365</v>
      </c>
      <c r="L3025" s="133"/>
      <c r="M3025" s="134">
        <v>1.7361111111111112E-2</v>
      </c>
      <c r="N3025" s="135" t="s">
        <v>3737</v>
      </c>
      <c r="O3025" s="133" t="s">
        <v>1033</v>
      </c>
      <c r="Q3025" s="106" t="s">
        <v>4323</v>
      </c>
      <c r="R3025" s="226" t="s">
        <v>4351</v>
      </c>
      <c r="S3025" s="491" t="str">
        <f t="shared" si="99"/>
        <v>x</v>
      </c>
      <c r="T3025" s="492" t="str">
        <f>IFERROR(VLOOKUP(F3025,'Freq-Chan'!C:D,2,FALSE),"x")</f>
        <v>x</v>
      </c>
      <c r="U3025" s="110" t="s">
        <v>541</v>
      </c>
      <c r="V3025" s="110" t="str">
        <f t="shared" si="100"/>
        <v>FWL</v>
      </c>
      <c r="W3025" s="110" t="s">
        <v>541</v>
      </c>
      <c r="X3025" s="110" t="s">
        <v>541</v>
      </c>
      <c r="Y3025" s="110" t="str">
        <f>IFERROR(VLOOKUP(F3025,'Freq-Chan'!C:E,3,FALSE),"na")</f>
        <v>na</v>
      </c>
      <c r="Z3025" s="110" t="s">
        <v>541</v>
      </c>
      <c r="AA3025" s="110" t="s">
        <v>541</v>
      </c>
      <c r="AB3025" s="110" t="s">
        <v>541</v>
      </c>
      <c r="AC3025" s="10" t="s">
        <v>541</v>
      </c>
      <c r="AD3025" s="10" t="s">
        <v>541</v>
      </c>
    </row>
    <row r="3026" spans="1:30" x14ac:dyDescent="0.2">
      <c r="A3026" s="110">
        <v>3026</v>
      </c>
      <c r="B3026" s="132">
        <v>41870</v>
      </c>
      <c r="C3026" s="117">
        <v>1</v>
      </c>
      <c r="D3026" s="103" t="s">
        <v>70</v>
      </c>
      <c r="E3026" s="103" t="s">
        <v>306</v>
      </c>
      <c r="H3026" s="103"/>
      <c r="I3026" s="103">
        <v>45</v>
      </c>
      <c r="K3026" s="103" t="s">
        <v>365</v>
      </c>
      <c r="L3026" s="133"/>
      <c r="M3026" s="134">
        <v>2.2222222222222223E-2</v>
      </c>
      <c r="N3026" s="135" t="s">
        <v>4240</v>
      </c>
      <c r="O3026" s="133" t="s">
        <v>1033</v>
      </c>
      <c r="Q3026" s="106" t="s">
        <v>4323</v>
      </c>
      <c r="R3026" s="226" t="s">
        <v>4351</v>
      </c>
      <c r="S3026" s="491" t="str">
        <f t="shared" si="99"/>
        <v>x</v>
      </c>
      <c r="T3026" s="492" t="str">
        <f>IFERROR(VLOOKUP(F3026,'Freq-Chan'!C:D,2,FALSE),"x")</f>
        <v>x</v>
      </c>
      <c r="U3026" s="110" t="s">
        <v>541</v>
      </c>
      <c r="V3026" s="110" t="str">
        <f t="shared" si="100"/>
        <v>FWL</v>
      </c>
      <c r="W3026" s="110" t="s">
        <v>541</v>
      </c>
      <c r="X3026" s="110" t="s">
        <v>541</v>
      </c>
      <c r="Y3026" s="110" t="str">
        <f>IFERROR(VLOOKUP(F3026,'Freq-Chan'!C:E,3,FALSE),"na")</f>
        <v>na</v>
      </c>
      <c r="Z3026" s="110" t="s">
        <v>541</v>
      </c>
      <c r="AA3026" s="110" t="s">
        <v>541</v>
      </c>
      <c r="AB3026" s="110" t="s">
        <v>541</v>
      </c>
      <c r="AC3026" s="10" t="s">
        <v>541</v>
      </c>
      <c r="AD3026" s="10" t="s">
        <v>541</v>
      </c>
    </row>
    <row r="3027" spans="1:30" x14ac:dyDescent="0.2">
      <c r="A3027" s="110">
        <v>3027</v>
      </c>
      <c r="B3027" s="132">
        <v>41870</v>
      </c>
      <c r="C3027" s="117">
        <v>1</v>
      </c>
      <c r="D3027" s="103" t="s">
        <v>72</v>
      </c>
      <c r="E3027" s="103" t="s">
        <v>306</v>
      </c>
      <c r="F3027" s="103">
        <v>325</v>
      </c>
      <c r="G3027" s="103">
        <v>13</v>
      </c>
      <c r="H3027" s="103" t="s">
        <v>3629</v>
      </c>
      <c r="I3027" s="103">
        <v>54</v>
      </c>
      <c r="K3027" s="103" t="s">
        <v>1032</v>
      </c>
      <c r="L3027" s="133"/>
      <c r="M3027" s="134">
        <v>4.027777777777778E-2</v>
      </c>
      <c r="N3027" s="137" t="s">
        <v>768</v>
      </c>
      <c r="O3027" s="133" t="s">
        <v>1033</v>
      </c>
      <c r="Q3027" s="106" t="s">
        <v>4323</v>
      </c>
      <c r="R3027" s="226" t="s">
        <v>4351</v>
      </c>
      <c r="S3027" s="491" t="str">
        <f t="shared" si="99"/>
        <v>x</v>
      </c>
      <c r="T3027" s="492">
        <f>IFERROR(VLOOKUP(F3027,'Freq-Chan'!C:D,2,FALSE),"x")</f>
        <v>151.32499999999999</v>
      </c>
      <c r="U3027" s="110" t="s">
        <v>541</v>
      </c>
      <c r="V3027" s="110" t="str">
        <f t="shared" si="100"/>
        <v>FWL</v>
      </c>
      <c r="W3027" s="110" t="s">
        <v>541</v>
      </c>
      <c r="X3027" s="110" t="s">
        <v>541</v>
      </c>
      <c r="Y3027" s="110" t="str">
        <f>IFERROR(VLOOKUP(F3027,'Freq-Chan'!C:E,3,FALSE),"na")</f>
        <v>F1840</v>
      </c>
      <c r="Z3027" s="110" t="s">
        <v>541</v>
      </c>
      <c r="AA3027" s="110" t="s">
        <v>541</v>
      </c>
      <c r="AB3027" s="110" t="s">
        <v>541</v>
      </c>
      <c r="AC3027" s="10" t="s">
        <v>541</v>
      </c>
      <c r="AD3027" s="10" t="s">
        <v>541</v>
      </c>
    </row>
    <row r="3028" spans="1:30" x14ac:dyDescent="0.2">
      <c r="A3028" s="110">
        <v>3028</v>
      </c>
      <c r="B3028" s="132">
        <v>41870</v>
      </c>
      <c r="C3028" s="117">
        <v>1</v>
      </c>
      <c r="D3028" s="103" t="s">
        <v>71</v>
      </c>
      <c r="E3028" s="103" t="s">
        <v>306</v>
      </c>
      <c r="H3028" s="103"/>
      <c r="I3028" s="103">
        <v>50</v>
      </c>
      <c r="K3028" s="103" t="s">
        <v>365</v>
      </c>
      <c r="L3028" s="133"/>
      <c r="M3028" s="134">
        <v>2.2222222222222223E-2</v>
      </c>
      <c r="N3028" s="137" t="s">
        <v>844</v>
      </c>
      <c r="O3028" s="133" t="s">
        <v>1033</v>
      </c>
      <c r="Q3028" s="106" t="s">
        <v>4323</v>
      </c>
      <c r="R3028" s="226" t="s">
        <v>4351</v>
      </c>
      <c r="S3028" s="491" t="str">
        <f t="shared" si="99"/>
        <v>x</v>
      </c>
      <c r="T3028" s="492" t="str">
        <f>IFERROR(VLOOKUP(F3028,'Freq-Chan'!C:D,2,FALSE),"x")</f>
        <v>x</v>
      </c>
      <c r="U3028" s="110" t="s">
        <v>541</v>
      </c>
      <c r="V3028" s="110" t="str">
        <f t="shared" si="100"/>
        <v>FWL</v>
      </c>
      <c r="W3028" s="110" t="s">
        <v>541</v>
      </c>
      <c r="X3028" s="110" t="s">
        <v>541</v>
      </c>
      <c r="Y3028" s="110" t="str">
        <f>IFERROR(VLOOKUP(F3028,'Freq-Chan'!C:E,3,FALSE),"na")</f>
        <v>na</v>
      </c>
      <c r="Z3028" s="110" t="s">
        <v>541</v>
      </c>
      <c r="AA3028" s="110" t="s">
        <v>541</v>
      </c>
      <c r="AB3028" s="110" t="s">
        <v>541</v>
      </c>
      <c r="AC3028" s="10" t="s">
        <v>541</v>
      </c>
      <c r="AD3028" s="10" t="s">
        <v>541</v>
      </c>
    </row>
    <row r="3029" spans="1:30" x14ac:dyDescent="0.2">
      <c r="A3029" s="110">
        <v>3029</v>
      </c>
      <c r="B3029" s="132">
        <v>41870</v>
      </c>
      <c r="C3029" s="117">
        <v>1</v>
      </c>
      <c r="D3029" s="103" t="s">
        <v>72</v>
      </c>
      <c r="E3029" s="103" t="s">
        <v>306</v>
      </c>
      <c r="H3029" s="103"/>
      <c r="I3029" s="103">
        <v>56</v>
      </c>
      <c r="K3029" s="103" t="s">
        <v>1032</v>
      </c>
      <c r="L3029" s="133">
        <v>0.67291666666666661</v>
      </c>
      <c r="M3029" s="134">
        <v>2.013888888888889E-2</v>
      </c>
      <c r="N3029" s="135" t="s">
        <v>3914</v>
      </c>
      <c r="O3029" s="133" t="s">
        <v>1033</v>
      </c>
      <c r="Q3029" s="106" t="s">
        <v>4323</v>
      </c>
      <c r="R3029" s="226" t="s">
        <v>4351</v>
      </c>
      <c r="S3029" s="491">
        <f t="shared" si="99"/>
        <v>3.1365741000000001E-3</v>
      </c>
      <c r="T3029" s="492" t="str">
        <f>IFERROR(VLOOKUP(F3029,'Freq-Chan'!C:D,2,FALSE),"x")</f>
        <v>x</v>
      </c>
      <c r="U3029" s="110" t="s">
        <v>541</v>
      </c>
      <c r="V3029" s="110" t="str">
        <f t="shared" si="100"/>
        <v>FWL</v>
      </c>
      <c r="W3029" s="110" t="s">
        <v>541</v>
      </c>
      <c r="X3029" s="110" t="s">
        <v>541</v>
      </c>
      <c r="Y3029" s="110" t="str">
        <f>IFERROR(VLOOKUP(F3029,'Freq-Chan'!C:E,3,FALSE),"na")</f>
        <v>na</v>
      </c>
      <c r="Z3029" s="110" t="s">
        <v>541</v>
      </c>
      <c r="AA3029" s="110" t="s">
        <v>541</v>
      </c>
      <c r="AB3029" s="110" t="s">
        <v>541</v>
      </c>
      <c r="AC3029" s="10" t="s">
        <v>541</v>
      </c>
      <c r="AD3029" s="10" t="s">
        <v>541</v>
      </c>
    </row>
    <row r="3030" spans="1:30" x14ac:dyDescent="0.2">
      <c r="A3030" s="110">
        <v>3030</v>
      </c>
      <c r="B3030" s="132">
        <v>41870</v>
      </c>
      <c r="C3030" s="117">
        <v>1</v>
      </c>
      <c r="D3030" s="103" t="s">
        <v>71</v>
      </c>
      <c r="E3030" s="103" t="s">
        <v>306</v>
      </c>
      <c r="H3030" s="103"/>
      <c r="I3030" s="103">
        <v>60</v>
      </c>
      <c r="K3030" s="103" t="s">
        <v>365</v>
      </c>
      <c r="L3030" s="133"/>
      <c r="M3030" s="134">
        <v>1.8749999999999999E-2</v>
      </c>
      <c r="N3030" s="135" t="s">
        <v>1943</v>
      </c>
      <c r="O3030" s="133" t="s">
        <v>1538</v>
      </c>
      <c r="Q3030" s="106" t="s">
        <v>4334</v>
      </c>
      <c r="R3030" s="226" t="s">
        <v>4351</v>
      </c>
      <c r="S3030" s="491" t="str">
        <f t="shared" si="99"/>
        <v>x</v>
      </c>
      <c r="T3030" s="492" t="str">
        <f>IFERROR(VLOOKUP(F3030,'Freq-Chan'!C:D,2,FALSE),"x")</f>
        <v>x</v>
      </c>
      <c r="U3030" s="110" t="s">
        <v>541</v>
      </c>
      <c r="V3030" s="110" t="str">
        <f t="shared" si="100"/>
        <v>FWL</v>
      </c>
      <c r="W3030" s="110" t="s">
        <v>541</v>
      </c>
      <c r="X3030" s="110" t="s">
        <v>541</v>
      </c>
      <c r="Y3030" s="110" t="str">
        <f>IFERROR(VLOOKUP(F3030,'Freq-Chan'!C:E,3,FALSE),"na")</f>
        <v>na</v>
      </c>
      <c r="Z3030" s="110" t="s">
        <v>541</v>
      </c>
      <c r="AA3030" s="110" t="s">
        <v>541</v>
      </c>
      <c r="AB3030" s="110" t="s">
        <v>541</v>
      </c>
      <c r="AC3030" s="10" t="s">
        <v>541</v>
      </c>
      <c r="AD3030" s="10" t="s">
        <v>541</v>
      </c>
    </row>
    <row r="3031" spans="1:30" x14ac:dyDescent="0.2">
      <c r="A3031" s="110">
        <v>3031</v>
      </c>
      <c r="B3031" s="132">
        <v>41870</v>
      </c>
      <c r="C3031" s="117">
        <v>1</v>
      </c>
      <c r="D3031" s="103" t="s">
        <v>72</v>
      </c>
      <c r="E3031" s="103" t="s">
        <v>306</v>
      </c>
      <c r="H3031" s="103"/>
      <c r="I3031" s="103">
        <v>46</v>
      </c>
      <c r="K3031" s="103" t="s">
        <v>1032</v>
      </c>
      <c r="L3031" s="133"/>
      <c r="M3031" s="134">
        <v>2.5694444444444447E-2</v>
      </c>
      <c r="N3031" s="135" t="s">
        <v>2055</v>
      </c>
      <c r="O3031" s="133" t="s">
        <v>1538</v>
      </c>
      <c r="Q3031" s="106" t="s">
        <v>4334</v>
      </c>
      <c r="R3031" s="226" t="s">
        <v>4351</v>
      </c>
      <c r="S3031" s="491" t="str">
        <f t="shared" si="99"/>
        <v>x</v>
      </c>
      <c r="T3031" s="492" t="str">
        <f>IFERROR(VLOOKUP(F3031,'Freq-Chan'!C:D,2,FALSE),"x")</f>
        <v>x</v>
      </c>
      <c r="U3031" s="110" t="s">
        <v>541</v>
      </c>
      <c r="V3031" s="110" t="str">
        <f t="shared" si="100"/>
        <v>FWL</v>
      </c>
      <c r="W3031" s="110" t="s">
        <v>541</v>
      </c>
      <c r="X3031" s="110" t="s">
        <v>541</v>
      </c>
      <c r="Y3031" s="110" t="str">
        <f>IFERROR(VLOOKUP(F3031,'Freq-Chan'!C:E,3,FALSE),"na")</f>
        <v>na</v>
      </c>
      <c r="Z3031" s="110" t="s">
        <v>541</v>
      </c>
      <c r="AA3031" s="110" t="s">
        <v>541</v>
      </c>
      <c r="AB3031" s="110" t="s">
        <v>541</v>
      </c>
      <c r="AC3031" s="10" t="s">
        <v>541</v>
      </c>
      <c r="AD3031" s="10" t="s">
        <v>541</v>
      </c>
    </row>
    <row r="3032" spans="1:30" x14ac:dyDescent="0.2">
      <c r="A3032" s="110">
        <v>3032</v>
      </c>
      <c r="B3032" s="132">
        <v>41870</v>
      </c>
      <c r="C3032" s="117">
        <v>1</v>
      </c>
      <c r="D3032" s="103" t="s">
        <v>75</v>
      </c>
      <c r="E3032" s="103" t="s">
        <v>798</v>
      </c>
      <c r="H3032" s="103"/>
      <c r="J3032" s="103">
        <v>40</v>
      </c>
      <c r="K3032" s="103" t="s">
        <v>364</v>
      </c>
      <c r="L3032" s="133"/>
      <c r="M3032" s="134">
        <v>2.7777777777777776E-2</v>
      </c>
      <c r="N3032" s="135" t="s">
        <v>1878</v>
      </c>
      <c r="O3032" s="133" t="s">
        <v>1538</v>
      </c>
      <c r="Q3032" s="106" t="s">
        <v>4334</v>
      </c>
      <c r="R3032" s="226" t="s">
        <v>4351</v>
      </c>
      <c r="S3032" s="491" t="str">
        <f t="shared" si="99"/>
        <v>x</v>
      </c>
      <c r="T3032" s="492" t="str">
        <f>IFERROR(VLOOKUP(F3032,'Freq-Chan'!C:D,2,FALSE),"x")</f>
        <v>x</v>
      </c>
      <c r="U3032" s="110" t="s">
        <v>541</v>
      </c>
      <c r="V3032" s="110" t="str">
        <f t="shared" si="100"/>
        <v>FWL</v>
      </c>
      <c r="W3032" s="110" t="s">
        <v>541</v>
      </c>
      <c r="X3032" s="110" t="s">
        <v>541</v>
      </c>
      <c r="Y3032" s="110" t="str">
        <f>IFERROR(VLOOKUP(F3032,'Freq-Chan'!C:E,3,FALSE),"na")</f>
        <v>na</v>
      </c>
      <c r="Z3032" s="110" t="s">
        <v>541</v>
      </c>
      <c r="AA3032" s="110" t="s">
        <v>541</v>
      </c>
      <c r="AB3032" s="110" t="s">
        <v>541</v>
      </c>
      <c r="AC3032" s="10" t="s">
        <v>541</v>
      </c>
      <c r="AD3032" s="10" t="s">
        <v>541</v>
      </c>
    </row>
    <row r="3033" spans="1:30" s="291" customFormat="1" x14ac:dyDescent="0.2">
      <c r="A3033" s="493">
        <v>3033</v>
      </c>
      <c r="B3033" s="283">
        <v>41870</v>
      </c>
      <c r="C3033" s="284">
        <v>1</v>
      </c>
      <c r="D3033" s="285" t="s">
        <v>70</v>
      </c>
      <c r="E3033" s="285" t="s">
        <v>306</v>
      </c>
      <c r="F3033" s="285"/>
      <c r="G3033" s="285"/>
      <c r="H3033" s="285"/>
      <c r="I3033" s="285">
        <v>48</v>
      </c>
      <c r="J3033" s="285"/>
      <c r="K3033" s="285" t="s">
        <v>1032</v>
      </c>
      <c r="L3033" s="286"/>
      <c r="M3033" s="287">
        <v>1.1111111111111112E-2</v>
      </c>
      <c r="N3033" s="288" t="s">
        <v>3947</v>
      </c>
      <c r="O3033" s="286" t="s">
        <v>1538</v>
      </c>
      <c r="P3033" s="289"/>
      <c r="Q3033" s="395" t="s">
        <v>4334</v>
      </c>
      <c r="R3033" s="290" t="s">
        <v>4351</v>
      </c>
      <c r="S3033" s="494" t="str">
        <f t="shared" si="99"/>
        <v>x</v>
      </c>
      <c r="T3033" s="495" t="str">
        <f>IFERROR(VLOOKUP(F3033,'Freq-Chan'!C:D,2,FALSE),"x")</f>
        <v>x</v>
      </c>
      <c r="U3033" s="493" t="s">
        <v>541</v>
      </c>
      <c r="V3033" s="493" t="str">
        <f t="shared" si="100"/>
        <v>FWL</v>
      </c>
      <c r="W3033" s="493" t="s">
        <v>541</v>
      </c>
      <c r="X3033" s="493" t="s">
        <v>541</v>
      </c>
      <c r="Y3033" s="493" t="str">
        <f>IFERROR(VLOOKUP(F3033,'Freq-Chan'!C:E,3,FALSE),"na")</f>
        <v>na</v>
      </c>
      <c r="Z3033" s="493" t="s">
        <v>541</v>
      </c>
      <c r="AA3033" s="493" t="s">
        <v>541</v>
      </c>
      <c r="AB3033" s="493" t="s">
        <v>541</v>
      </c>
      <c r="AC3033" s="291" t="s">
        <v>541</v>
      </c>
      <c r="AD3033" s="291" t="s">
        <v>541</v>
      </c>
    </row>
    <row r="3034" spans="1:30" x14ac:dyDescent="0.2">
      <c r="A3034" s="110">
        <v>3034</v>
      </c>
      <c r="B3034" s="132">
        <v>41870</v>
      </c>
      <c r="C3034" s="117">
        <v>2</v>
      </c>
      <c r="D3034" s="103" t="s">
        <v>71</v>
      </c>
      <c r="E3034" s="103" t="s">
        <v>306</v>
      </c>
      <c r="H3034" s="103"/>
      <c r="I3034" s="103">
        <v>62</v>
      </c>
      <c r="K3034" s="103" t="s">
        <v>365</v>
      </c>
      <c r="L3034" s="133"/>
      <c r="M3034" s="134">
        <v>1.8055555555555557E-2</v>
      </c>
      <c r="N3034" s="135" t="s">
        <v>3469</v>
      </c>
      <c r="O3034" s="133" t="s">
        <v>1888</v>
      </c>
      <c r="Q3034" s="106" t="s">
        <v>4323</v>
      </c>
      <c r="R3034" s="226" t="s">
        <v>4351</v>
      </c>
      <c r="S3034" s="491" t="str">
        <f t="shared" si="99"/>
        <v>x</v>
      </c>
      <c r="T3034" s="492" t="str">
        <f>IFERROR(VLOOKUP(F3034,'Freq-Chan'!C:D,2,FALSE),"x")</f>
        <v>x</v>
      </c>
      <c r="U3034" s="110" t="s">
        <v>541</v>
      </c>
      <c r="V3034" s="110" t="str">
        <f t="shared" si="100"/>
        <v>FWL</v>
      </c>
      <c r="W3034" s="110" t="s">
        <v>541</v>
      </c>
      <c r="X3034" s="110" t="s">
        <v>541</v>
      </c>
      <c r="Y3034" s="110" t="str">
        <f>IFERROR(VLOOKUP(F3034,'Freq-Chan'!C:E,3,FALSE),"na")</f>
        <v>na</v>
      </c>
      <c r="Z3034" s="110" t="s">
        <v>541</v>
      </c>
      <c r="AA3034" s="110" t="s">
        <v>541</v>
      </c>
      <c r="AB3034" s="110" t="s">
        <v>541</v>
      </c>
      <c r="AC3034" s="10" t="s">
        <v>541</v>
      </c>
      <c r="AD3034" s="10" t="s">
        <v>541</v>
      </c>
    </row>
    <row r="3035" spans="1:30" x14ac:dyDescent="0.2">
      <c r="A3035" s="110">
        <v>3035</v>
      </c>
      <c r="B3035" s="132">
        <v>41870</v>
      </c>
      <c r="C3035" s="117">
        <v>2</v>
      </c>
      <c r="D3035" s="103" t="s">
        <v>71</v>
      </c>
      <c r="E3035" s="103" t="s">
        <v>306</v>
      </c>
      <c r="H3035" s="103"/>
      <c r="I3035" s="103">
        <v>59</v>
      </c>
      <c r="K3035" s="103" t="s">
        <v>1032</v>
      </c>
      <c r="L3035" s="133"/>
      <c r="M3035" s="134">
        <v>2.1527777777777781E-2</v>
      </c>
      <c r="N3035" s="135" t="s">
        <v>3358</v>
      </c>
      <c r="O3035" s="133" t="s">
        <v>1532</v>
      </c>
      <c r="Q3035" s="106" t="s">
        <v>4321</v>
      </c>
      <c r="R3035" s="226" t="s">
        <v>4351</v>
      </c>
      <c r="S3035" s="491" t="str">
        <f t="shared" si="99"/>
        <v>x</v>
      </c>
      <c r="T3035" s="492" t="str">
        <f>IFERROR(VLOOKUP(F3035,'Freq-Chan'!C:D,2,FALSE),"x")</f>
        <v>x</v>
      </c>
      <c r="U3035" s="110" t="s">
        <v>541</v>
      </c>
      <c r="V3035" s="110" t="str">
        <f t="shared" si="100"/>
        <v>FWL</v>
      </c>
      <c r="W3035" s="110" t="s">
        <v>541</v>
      </c>
      <c r="X3035" s="110" t="s">
        <v>541</v>
      </c>
      <c r="Y3035" s="110" t="str">
        <f>IFERROR(VLOOKUP(F3035,'Freq-Chan'!C:E,3,FALSE),"na")</f>
        <v>na</v>
      </c>
      <c r="Z3035" s="110" t="s">
        <v>541</v>
      </c>
      <c r="AA3035" s="110" t="s">
        <v>541</v>
      </c>
      <c r="AB3035" s="110" t="s">
        <v>541</v>
      </c>
      <c r="AC3035" s="10" t="s">
        <v>541</v>
      </c>
      <c r="AD3035" s="10" t="s">
        <v>541</v>
      </c>
    </row>
    <row r="3036" spans="1:30" x14ac:dyDescent="0.2">
      <c r="A3036" s="110">
        <v>3036</v>
      </c>
      <c r="B3036" s="132">
        <v>41870</v>
      </c>
      <c r="C3036" s="117">
        <v>2</v>
      </c>
      <c r="D3036" s="103" t="s">
        <v>71</v>
      </c>
      <c r="E3036" s="103" t="s">
        <v>306</v>
      </c>
      <c r="H3036" s="103"/>
      <c r="I3036" s="103">
        <v>60</v>
      </c>
      <c r="K3036" s="103" t="s">
        <v>1032</v>
      </c>
      <c r="L3036" s="133"/>
      <c r="M3036" s="134">
        <v>1.8749999999999999E-2</v>
      </c>
      <c r="N3036" s="135" t="s">
        <v>3309</v>
      </c>
      <c r="O3036" s="133" t="s">
        <v>1888</v>
      </c>
      <c r="Q3036" s="106" t="s">
        <v>4321</v>
      </c>
      <c r="R3036" s="226" t="s">
        <v>4351</v>
      </c>
      <c r="S3036" s="491" t="str">
        <f t="shared" si="99"/>
        <v>x</v>
      </c>
      <c r="T3036" s="492" t="str">
        <f>IFERROR(VLOOKUP(F3036,'Freq-Chan'!C:D,2,FALSE),"x")</f>
        <v>x</v>
      </c>
      <c r="U3036" s="110" t="s">
        <v>541</v>
      </c>
      <c r="V3036" s="110" t="str">
        <f t="shared" si="100"/>
        <v>FWL</v>
      </c>
      <c r="W3036" s="110" t="s">
        <v>541</v>
      </c>
      <c r="X3036" s="110" t="s">
        <v>541</v>
      </c>
      <c r="Y3036" s="110" t="str">
        <f>IFERROR(VLOOKUP(F3036,'Freq-Chan'!C:E,3,FALSE),"na")</f>
        <v>na</v>
      </c>
      <c r="Z3036" s="110" t="s">
        <v>541</v>
      </c>
      <c r="AA3036" s="110" t="s">
        <v>541</v>
      </c>
      <c r="AB3036" s="110" t="s">
        <v>541</v>
      </c>
      <c r="AC3036" s="10" t="s">
        <v>541</v>
      </c>
      <c r="AD3036" s="10" t="s">
        <v>541</v>
      </c>
    </row>
    <row r="3037" spans="1:30" x14ac:dyDescent="0.2">
      <c r="A3037" s="110">
        <v>3037</v>
      </c>
      <c r="B3037" s="132">
        <v>41870</v>
      </c>
      <c r="C3037" s="117">
        <v>2</v>
      </c>
      <c r="D3037" s="103" t="s">
        <v>71</v>
      </c>
      <c r="E3037" s="103" t="s">
        <v>306</v>
      </c>
      <c r="H3037" s="103"/>
      <c r="I3037" s="103">
        <v>60</v>
      </c>
      <c r="K3037" s="103" t="s">
        <v>365</v>
      </c>
      <c r="L3037" s="133"/>
      <c r="M3037" s="134">
        <v>1.6666666666666666E-2</v>
      </c>
      <c r="N3037" s="135" t="s">
        <v>4297</v>
      </c>
      <c r="O3037" s="133" t="s">
        <v>1888</v>
      </c>
      <c r="Q3037" s="106" t="s">
        <v>4321</v>
      </c>
      <c r="R3037" s="226" t="s">
        <v>4351</v>
      </c>
      <c r="S3037" s="491" t="str">
        <f t="shared" si="99"/>
        <v>x</v>
      </c>
      <c r="T3037" s="492" t="str">
        <f>IFERROR(VLOOKUP(F3037,'Freq-Chan'!C:D,2,FALSE),"x")</f>
        <v>x</v>
      </c>
      <c r="U3037" s="110" t="s">
        <v>541</v>
      </c>
      <c r="V3037" s="110" t="str">
        <f t="shared" si="100"/>
        <v>FWL</v>
      </c>
      <c r="W3037" s="110" t="s">
        <v>541</v>
      </c>
      <c r="X3037" s="110" t="s">
        <v>541</v>
      </c>
      <c r="Y3037" s="110" t="str">
        <f>IFERROR(VLOOKUP(F3037,'Freq-Chan'!C:E,3,FALSE),"na")</f>
        <v>na</v>
      </c>
      <c r="Z3037" s="110" t="s">
        <v>541</v>
      </c>
      <c r="AA3037" s="110" t="s">
        <v>541</v>
      </c>
      <c r="AB3037" s="110" t="s">
        <v>541</v>
      </c>
      <c r="AC3037" s="10" t="s">
        <v>541</v>
      </c>
      <c r="AD3037" s="10" t="s">
        <v>541</v>
      </c>
    </row>
    <row r="3038" spans="1:30" x14ac:dyDescent="0.2">
      <c r="A3038" s="110">
        <v>3038</v>
      </c>
      <c r="B3038" s="132">
        <v>41870</v>
      </c>
      <c r="C3038" s="117">
        <v>2</v>
      </c>
      <c r="D3038" s="103" t="s">
        <v>71</v>
      </c>
      <c r="E3038" s="103" t="s">
        <v>306</v>
      </c>
      <c r="H3038" s="103"/>
      <c r="I3038" s="103">
        <v>60</v>
      </c>
      <c r="K3038" s="103" t="s">
        <v>1032</v>
      </c>
      <c r="L3038" s="133">
        <v>0.61527777777777781</v>
      </c>
      <c r="M3038" s="134">
        <v>1.8749999999999999E-2</v>
      </c>
      <c r="N3038" s="135" t="s">
        <v>3800</v>
      </c>
      <c r="O3038" s="133" t="s">
        <v>1888</v>
      </c>
      <c r="P3038" s="100" t="s">
        <v>4345</v>
      </c>
      <c r="Q3038" s="106" t="s">
        <v>4321</v>
      </c>
      <c r="R3038" s="226" t="s">
        <v>4351</v>
      </c>
      <c r="S3038" s="491">
        <f t="shared" si="99"/>
        <v>3.8194439999999997E-4</v>
      </c>
      <c r="T3038" s="492" t="str">
        <f>IFERROR(VLOOKUP(F3038,'Freq-Chan'!C:D,2,FALSE),"x")</f>
        <v>x</v>
      </c>
      <c r="U3038" s="110" t="s">
        <v>541</v>
      </c>
      <c r="V3038" s="110" t="str">
        <f t="shared" si="100"/>
        <v>FWL</v>
      </c>
      <c r="W3038" s="110" t="s">
        <v>541</v>
      </c>
      <c r="X3038" s="110" t="s">
        <v>541</v>
      </c>
      <c r="Y3038" s="110" t="str">
        <f>IFERROR(VLOOKUP(F3038,'Freq-Chan'!C:E,3,FALSE),"na")</f>
        <v>na</v>
      </c>
      <c r="Z3038" s="110" t="s">
        <v>541</v>
      </c>
      <c r="AA3038" s="110" t="s">
        <v>541</v>
      </c>
      <c r="AB3038" s="110" t="s">
        <v>541</v>
      </c>
      <c r="AC3038" s="10" t="s">
        <v>541</v>
      </c>
      <c r="AD3038" s="10" t="s">
        <v>541</v>
      </c>
    </row>
    <row r="3039" spans="1:30" x14ac:dyDescent="0.2">
      <c r="A3039" s="110">
        <v>3039</v>
      </c>
      <c r="B3039" s="132">
        <v>41870</v>
      </c>
      <c r="C3039" s="117">
        <v>2</v>
      </c>
      <c r="D3039" s="103" t="s">
        <v>71</v>
      </c>
      <c r="E3039" s="103" t="s">
        <v>306</v>
      </c>
      <c r="H3039" s="103"/>
      <c r="I3039" s="103">
        <v>60</v>
      </c>
      <c r="K3039" s="103" t="s">
        <v>1032</v>
      </c>
      <c r="L3039" s="133">
        <v>0.6166666666666667</v>
      </c>
      <c r="M3039" s="134">
        <v>2.013888888888889E-2</v>
      </c>
      <c r="N3039" s="135" t="s">
        <v>4244</v>
      </c>
      <c r="O3039" s="133" t="s">
        <v>1888</v>
      </c>
      <c r="P3039" s="100" t="s">
        <v>4346</v>
      </c>
      <c r="Q3039" s="106" t="s">
        <v>4321</v>
      </c>
      <c r="R3039" s="226" t="s">
        <v>4351</v>
      </c>
      <c r="S3039" s="491">
        <f t="shared" si="99"/>
        <v>3.5879629999999998E-4</v>
      </c>
      <c r="T3039" s="492" t="str">
        <f>IFERROR(VLOOKUP(F3039,'Freq-Chan'!C:D,2,FALSE),"x")</f>
        <v>x</v>
      </c>
      <c r="U3039" s="110" t="s">
        <v>541</v>
      </c>
      <c r="V3039" s="110" t="str">
        <f t="shared" si="100"/>
        <v>FWL</v>
      </c>
      <c r="W3039" s="110" t="s">
        <v>541</v>
      </c>
      <c r="X3039" s="110" t="s">
        <v>541</v>
      </c>
      <c r="Y3039" s="110" t="str">
        <f>IFERROR(VLOOKUP(F3039,'Freq-Chan'!C:E,3,FALSE),"na")</f>
        <v>na</v>
      </c>
      <c r="Z3039" s="110" t="s">
        <v>541</v>
      </c>
      <c r="AA3039" s="110" t="s">
        <v>541</v>
      </c>
      <c r="AB3039" s="110" t="s">
        <v>541</v>
      </c>
      <c r="AC3039" s="10" t="s">
        <v>541</v>
      </c>
      <c r="AD3039" s="10" t="s">
        <v>541</v>
      </c>
    </row>
    <row r="3040" spans="1:30" x14ac:dyDescent="0.2">
      <c r="A3040" s="110">
        <v>3040</v>
      </c>
      <c r="B3040" s="132">
        <v>41870</v>
      </c>
      <c r="C3040" s="117">
        <v>2</v>
      </c>
      <c r="D3040" s="103" t="s">
        <v>71</v>
      </c>
      <c r="E3040" s="103" t="s">
        <v>306</v>
      </c>
      <c r="H3040" s="103"/>
      <c r="I3040" s="103">
        <v>55</v>
      </c>
      <c r="K3040" s="103" t="s">
        <v>1032</v>
      </c>
      <c r="L3040" s="133"/>
      <c r="M3040" s="134">
        <v>1.7361111111111112E-2</v>
      </c>
      <c r="N3040" s="135" t="s">
        <v>4344</v>
      </c>
      <c r="O3040" s="133" t="s">
        <v>372</v>
      </c>
      <c r="Q3040" s="106" t="s">
        <v>4321</v>
      </c>
      <c r="R3040" s="226" t="s">
        <v>4351</v>
      </c>
      <c r="S3040" s="491" t="str">
        <f t="shared" si="99"/>
        <v>x</v>
      </c>
      <c r="T3040" s="492" t="str">
        <f>IFERROR(VLOOKUP(F3040,'Freq-Chan'!C:D,2,FALSE),"x")</f>
        <v>x</v>
      </c>
      <c r="U3040" s="110" t="s">
        <v>541</v>
      </c>
      <c r="V3040" s="110" t="str">
        <f t="shared" si="100"/>
        <v>FWL</v>
      </c>
      <c r="W3040" s="110" t="s">
        <v>541</v>
      </c>
      <c r="X3040" s="110" t="s">
        <v>541</v>
      </c>
      <c r="Y3040" s="110" t="str">
        <f>IFERROR(VLOOKUP(F3040,'Freq-Chan'!C:E,3,FALSE),"na")</f>
        <v>na</v>
      </c>
      <c r="Z3040" s="110" t="s">
        <v>541</v>
      </c>
      <c r="AA3040" s="110" t="s">
        <v>541</v>
      </c>
      <c r="AB3040" s="110" t="s">
        <v>541</v>
      </c>
      <c r="AC3040" s="10" t="s">
        <v>541</v>
      </c>
      <c r="AD3040" s="10" t="s">
        <v>541</v>
      </c>
    </row>
    <row r="3041" spans="1:30" x14ac:dyDescent="0.2">
      <c r="A3041" s="110">
        <v>3041</v>
      </c>
      <c r="B3041" s="132">
        <v>41870</v>
      </c>
      <c r="C3041" s="117">
        <v>2</v>
      </c>
      <c r="D3041" s="103" t="s">
        <v>71</v>
      </c>
      <c r="E3041" s="103" t="s">
        <v>306</v>
      </c>
      <c r="H3041" s="103"/>
      <c r="I3041" s="103">
        <v>57</v>
      </c>
      <c r="K3041" s="103" t="s">
        <v>1032</v>
      </c>
      <c r="L3041" s="133"/>
      <c r="M3041" s="134">
        <v>2.7777777777777776E-2</v>
      </c>
      <c r="N3041" s="135" t="s">
        <v>3721</v>
      </c>
      <c r="O3041" s="133" t="s">
        <v>372</v>
      </c>
      <c r="Q3041" s="106" t="s">
        <v>4321</v>
      </c>
      <c r="R3041" s="226" t="s">
        <v>4351</v>
      </c>
      <c r="S3041" s="491" t="str">
        <f t="shared" si="99"/>
        <v>x</v>
      </c>
      <c r="T3041" s="492" t="str">
        <f>IFERROR(VLOOKUP(F3041,'Freq-Chan'!C:D,2,FALSE),"x")</f>
        <v>x</v>
      </c>
      <c r="U3041" s="110" t="s">
        <v>541</v>
      </c>
      <c r="V3041" s="110" t="str">
        <f t="shared" si="100"/>
        <v>FWL</v>
      </c>
      <c r="W3041" s="110" t="s">
        <v>541</v>
      </c>
      <c r="X3041" s="110" t="s">
        <v>541</v>
      </c>
      <c r="Y3041" s="110" t="str">
        <f>IFERROR(VLOOKUP(F3041,'Freq-Chan'!C:E,3,FALSE),"na")</f>
        <v>na</v>
      </c>
      <c r="Z3041" s="110" t="s">
        <v>541</v>
      </c>
      <c r="AA3041" s="110" t="s">
        <v>541</v>
      </c>
      <c r="AB3041" s="110" t="s">
        <v>541</v>
      </c>
      <c r="AC3041" s="10" t="s">
        <v>541</v>
      </c>
      <c r="AD3041" s="10" t="s">
        <v>541</v>
      </c>
    </row>
    <row r="3042" spans="1:30" x14ac:dyDescent="0.2">
      <c r="A3042" s="110">
        <v>3042</v>
      </c>
      <c r="B3042" s="132">
        <v>41870</v>
      </c>
      <c r="C3042" s="117">
        <v>2</v>
      </c>
      <c r="D3042" s="103" t="s">
        <v>71</v>
      </c>
      <c r="E3042" s="103" t="s">
        <v>306</v>
      </c>
      <c r="H3042" s="103"/>
      <c r="I3042" s="103">
        <v>56</v>
      </c>
      <c r="K3042" s="103" t="s">
        <v>365</v>
      </c>
      <c r="L3042" s="133"/>
      <c r="M3042" s="134">
        <v>1.2499999999999999E-2</v>
      </c>
      <c r="N3042" s="137" t="s">
        <v>1665</v>
      </c>
      <c r="O3042" s="133" t="s">
        <v>372</v>
      </c>
      <c r="Q3042" s="106" t="s">
        <v>4321</v>
      </c>
      <c r="R3042" s="226" t="s">
        <v>4351</v>
      </c>
      <c r="S3042" s="491" t="str">
        <f t="shared" si="99"/>
        <v>x</v>
      </c>
      <c r="T3042" s="492" t="str">
        <f>IFERROR(VLOOKUP(F3042,'Freq-Chan'!C:D,2,FALSE),"x")</f>
        <v>x</v>
      </c>
      <c r="U3042" s="110" t="s">
        <v>541</v>
      </c>
      <c r="V3042" s="110" t="str">
        <f t="shared" si="100"/>
        <v>FWL</v>
      </c>
      <c r="W3042" s="110" t="s">
        <v>541</v>
      </c>
      <c r="X3042" s="110" t="s">
        <v>541</v>
      </c>
      <c r="Y3042" s="110" t="str">
        <f>IFERROR(VLOOKUP(F3042,'Freq-Chan'!C:E,3,FALSE),"na")</f>
        <v>na</v>
      </c>
      <c r="Z3042" s="110" t="s">
        <v>541</v>
      </c>
      <c r="AA3042" s="110" t="s">
        <v>541</v>
      </c>
      <c r="AB3042" s="110" t="s">
        <v>541</v>
      </c>
      <c r="AC3042" s="10" t="s">
        <v>541</v>
      </c>
      <c r="AD3042" s="10" t="s">
        <v>541</v>
      </c>
    </row>
    <row r="3043" spans="1:30" x14ac:dyDescent="0.2">
      <c r="A3043" s="110">
        <v>3043</v>
      </c>
      <c r="B3043" s="132">
        <v>41870</v>
      </c>
      <c r="C3043" s="117">
        <v>2</v>
      </c>
      <c r="D3043" s="103" t="s">
        <v>71</v>
      </c>
      <c r="E3043" s="103" t="s">
        <v>306</v>
      </c>
      <c r="H3043" s="103"/>
      <c r="I3043" s="103">
        <v>55</v>
      </c>
      <c r="K3043" s="103" t="s">
        <v>1032</v>
      </c>
      <c r="L3043" s="133"/>
      <c r="M3043" s="134">
        <v>1.8749999999999999E-2</v>
      </c>
      <c r="N3043" s="137" t="s">
        <v>2541</v>
      </c>
      <c r="O3043" s="133" t="s">
        <v>372</v>
      </c>
      <c r="Q3043" s="106" t="s">
        <v>4321</v>
      </c>
      <c r="R3043" s="226" t="s">
        <v>4351</v>
      </c>
      <c r="S3043" s="491" t="str">
        <f t="shared" si="99"/>
        <v>x</v>
      </c>
      <c r="T3043" s="492" t="str">
        <f>IFERROR(VLOOKUP(F3043,'Freq-Chan'!C:D,2,FALSE),"x")</f>
        <v>x</v>
      </c>
      <c r="U3043" s="110" t="s">
        <v>541</v>
      </c>
      <c r="V3043" s="110" t="str">
        <f t="shared" si="100"/>
        <v>FWL</v>
      </c>
      <c r="W3043" s="110" t="s">
        <v>541</v>
      </c>
      <c r="X3043" s="110" t="s">
        <v>541</v>
      </c>
      <c r="Y3043" s="110" t="str">
        <f>IFERROR(VLOOKUP(F3043,'Freq-Chan'!C:E,3,FALSE),"na")</f>
        <v>na</v>
      </c>
      <c r="Z3043" s="110" t="s">
        <v>541</v>
      </c>
      <c r="AA3043" s="110" t="s">
        <v>541</v>
      </c>
      <c r="AB3043" s="110" t="s">
        <v>541</v>
      </c>
      <c r="AC3043" s="10" t="s">
        <v>541</v>
      </c>
      <c r="AD3043" s="10" t="s">
        <v>541</v>
      </c>
    </row>
    <row r="3044" spans="1:30" x14ac:dyDescent="0.2">
      <c r="A3044" s="110">
        <v>3044</v>
      </c>
      <c r="B3044" s="132">
        <v>41870</v>
      </c>
      <c r="C3044" s="117">
        <v>2</v>
      </c>
      <c r="D3044" s="103" t="s">
        <v>71</v>
      </c>
      <c r="E3044" s="103" t="s">
        <v>306</v>
      </c>
      <c r="H3044" s="103"/>
      <c r="I3044" s="103">
        <v>56</v>
      </c>
      <c r="K3044" s="103" t="s">
        <v>1032</v>
      </c>
      <c r="L3044" s="133"/>
      <c r="M3044" s="134">
        <v>1.4583333333333332E-2</v>
      </c>
      <c r="N3044" s="135" t="s">
        <v>3405</v>
      </c>
      <c r="O3044" s="133" t="s">
        <v>372</v>
      </c>
      <c r="Q3044" s="106" t="s">
        <v>4321</v>
      </c>
      <c r="R3044" s="226" t="s">
        <v>4351</v>
      </c>
      <c r="S3044" s="491" t="str">
        <f t="shared" si="99"/>
        <v>x</v>
      </c>
      <c r="T3044" s="492" t="str">
        <f>IFERROR(VLOOKUP(F3044,'Freq-Chan'!C:D,2,FALSE),"x")</f>
        <v>x</v>
      </c>
      <c r="U3044" s="110" t="s">
        <v>541</v>
      </c>
      <c r="V3044" s="110" t="str">
        <f t="shared" si="100"/>
        <v>FWL</v>
      </c>
      <c r="W3044" s="110" t="s">
        <v>541</v>
      </c>
      <c r="X3044" s="110" t="s">
        <v>541</v>
      </c>
      <c r="Y3044" s="110" t="str">
        <f>IFERROR(VLOOKUP(F3044,'Freq-Chan'!C:E,3,FALSE),"na")</f>
        <v>na</v>
      </c>
      <c r="Z3044" s="110" t="s">
        <v>541</v>
      </c>
      <c r="AA3044" s="110" t="s">
        <v>541</v>
      </c>
      <c r="AB3044" s="110" t="s">
        <v>541</v>
      </c>
      <c r="AC3044" s="10" t="s">
        <v>541</v>
      </c>
      <c r="AD3044" s="10" t="s">
        <v>541</v>
      </c>
    </row>
    <row r="3045" spans="1:30" x14ac:dyDescent="0.2">
      <c r="A3045" s="110">
        <v>3045</v>
      </c>
      <c r="B3045" s="132">
        <v>41870</v>
      </c>
      <c r="C3045" s="117">
        <v>2</v>
      </c>
      <c r="D3045" s="103" t="s">
        <v>8</v>
      </c>
      <c r="E3045" s="103" t="s">
        <v>306</v>
      </c>
      <c r="F3045" s="103">
        <v>573</v>
      </c>
      <c r="G3045" s="103">
        <v>52</v>
      </c>
      <c r="H3045" s="103" t="s">
        <v>2279</v>
      </c>
      <c r="I3045" s="103">
        <v>43</v>
      </c>
      <c r="K3045" s="103" t="s">
        <v>1032</v>
      </c>
      <c r="L3045" s="133"/>
      <c r="M3045" s="134">
        <v>2.7083333333333334E-2</v>
      </c>
      <c r="N3045" s="135" t="s">
        <v>4003</v>
      </c>
      <c r="O3045" s="133" t="s">
        <v>1532</v>
      </c>
      <c r="Q3045" s="106" t="s">
        <v>4334</v>
      </c>
      <c r="R3045" s="226" t="s">
        <v>4351</v>
      </c>
      <c r="S3045" s="491" t="str">
        <f t="shared" si="99"/>
        <v>x</v>
      </c>
      <c r="T3045" s="492">
        <f>IFERROR(VLOOKUP(F3045,'Freq-Chan'!C:D,2,FALSE),"x")</f>
        <v>151.57300000000001</v>
      </c>
      <c r="U3045" s="110" t="s">
        <v>541</v>
      </c>
      <c r="V3045" s="110" t="str">
        <f t="shared" si="100"/>
        <v>FWL</v>
      </c>
      <c r="W3045" s="110" t="s">
        <v>541</v>
      </c>
      <c r="X3045" s="110" t="s">
        <v>541</v>
      </c>
      <c r="Y3045" s="110" t="str">
        <f>IFERROR(VLOOKUP(F3045,'Freq-Chan'!C:E,3,FALSE),"na")</f>
        <v>F1840</v>
      </c>
      <c r="Z3045" s="110" t="s">
        <v>541</v>
      </c>
      <c r="AA3045" s="110" t="s">
        <v>541</v>
      </c>
      <c r="AB3045" s="110" t="s">
        <v>541</v>
      </c>
      <c r="AC3045" s="10" t="s">
        <v>541</v>
      </c>
      <c r="AD3045" s="10" t="s">
        <v>541</v>
      </c>
    </row>
    <row r="3046" spans="1:30" x14ac:dyDescent="0.2">
      <c r="A3046" s="110">
        <v>3046</v>
      </c>
      <c r="B3046" s="132">
        <v>41870</v>
      </c>
      <c r="C3046" s="117">
        <v>2</v>
      </c>
      <c r="D3046" s="103" t="s">
        <v>71</v>
      </c>
      <c r="E3046" s="103" t="s">
        <v>306</v>
      </c>
      <c r="H3046" s="103"/>
      <c r="I3046" s="103">
        <v>64</v>
      </c>
      <c r="K3046" s="103" t="s">
        <v>365</v>
      </c>
      <c r="L3046" s="133"/>
      <c r="M3046" s="134">
        <v>1.2499999999999999E-2</v>
      </c>
      <c r="N3046" s="135" t="s">
        <v>3166</v>
      </c>
      <c r="O3046" s="133" t="s">
        <v>1538</v>
      </c>
      <c r="Q3046" s="106" t="s">
        <v>4334</v>
      </c>
      <c r="R3046" s="226" t="s">
        <v>4351</v>
      </c>
      <c r="S3046" s="491" t="str">
        <f t="shared" si="99"/>
        <v>x</v>
      </c>
      <c r="T3046" s="492" t="str">
        <f>IFERROR(VLOOKUP(F3046,'Freq-Chan'!C:D,2,FALSE),"x")</f>
        <v>x</v>
      </c>
      <c r="U3046" s="110" t="s">
        <v>541</v>
      </c>
      <c r="V3046" s="110" t="str">
        <f t="shared" si="100"/>
        <v>FWL</v>
      </c>
      <c r="W3046" s="110" t="s">
        <v>541</v>
      </c>
      <c r="X3046" s="110" t="s">
        <v>541</v>
      </c>
      <c r="Y3046" s="110" t="str">
        <f>IFERROR(VLOOKUP(F3046,'Freq-Chan'!C:E,3,FALSE),"na")</f>
        <v>na</v>
      </c>
      <c r="Z3046" s="110" t="s">
        <v>541</v>
      </c>
      <c r="AA3046" s="110" t="s">
        <v>541</v>
      </c>
      <c r="AB3046" s="110" t="s">
        <v>541</v>
      </c>
      <c r="AC3046" s="10" t="s">
        <v>541</v>
      </c>
      <c r="AD3046" s="10" t="s">
        <v>541</v>
      </c>
    </row>
    <row r="3047" spans="1:30" x14ac:dyDescent="0.2">
      <c r="A3047" s="110">
        <v>3047</v>
      </c>
      <c r="B3047" s="132">
        <v>41870</v>
      </c>
      <c r="C3047" s="117">
        <v>2</v>
      </c>
      <c r="D3047" s="103" t="s">
        <v>71</v>
      </c>
      <c r="E3047" s="103" t="s">
        <v>306</v>
      </c>
      <c r="H3047" s="103"/>
      <c r="I3047" s="103">
        <v>62</v>
      </c>
      <c r="K3047" s="103" t="s">
        <v>1032</v>
      </c>
      <c r="L3047" s="133"/>
      <c r="M3047" s="134">
        <v>1.3888888888888888E-2</v>
      </c>
      <c r="N3047" s="135" t="s">
        <v>3340</v>
      </c>
      <c r="O3047" s="133" t="s">
        <v>1538</v>
      </c>
      <c r="Q3047" s="106" t="s">
        <v>4334</v>
      </c>
      <c r="R3047" s="226" t="s">
        <v>4351</v>
      </c>
      <c r="S3047" s="491" t="str">
        <f t="shared" si="99"/>
        <v>x</v>
      </c>
      <c r="T3047" s="492" t="str">
        <f>IFERROR(VLOOKUP(F3047,'Freq-Chan'!C:D,2,FALSE),"x")</f>
        <v>x</v>
      </c>
      <c r="U3047" s="110" t="s">
        <v>541</v>
      </c>
      <c r="V3047" s="110" t="str">
        <f t="shared" si="100"/>
        <v>FWL</v>
      </c>
      <c r="W3047" s="110" t="s">
        <v>541</v>
      </c>
      <c r="X3047" s="110" t="s">
        <v>541</v>
      </c>
      <c r="Y3047" s="110" t="str">
        <f>IFERROR(VLOOKUP(F3047,'Freq-Chan'!C:E,3,FALSE),"na")</f>
        <v>na</v>
      </c>
      <c r="Z3047" s="110" t="s">
        <v>541</v>
      </c>
      <c r="AA3047" s="110" t="s">
        <v>541</v>
      </c>
      <c r="AB3047" s="110" t="s">
        <v>541</v>
      </c>
      <c r="AC3047" s="10" t="s">
        <v>541</v>
      </c>
      <c r="AD3047" s="10" t="s">
        <v>541</v>
      </c>
    </row>
    <row r="3048" spans="1:30" x14ac:dyDescent="0.2">
      <c r="A3048" s="110">
        <v>3048</v>
      </c>
      <c r="B3048" s="132">
        <v>41870</v>
      </c>
      <c r="C3048" s="117">
        <v>2</v>
      </c>
      <c r="D3048" s="103" t="s">
        <v>71</v>
      </c>
      <c r="E3048" s="103" t="s">
        <v>306</v>
      </c>
      <c r="H3048" s="103"/>
      <c r="I3048" s="103">
        <v>56</v>
      </c>
      <c r="K3048" s="103" t="s">
        <v>365</v>
      </c>
      <c r="L3048" s="133"/>
      <c r="M3048" s="134">
        <v>2.7083333333333334E-2</v>
      </c>
      <c r="N3048" s="135" t="s">
        <v>1854</v>
      </c>
      <c r="O3048" s="133" t="s">
        <v>1538</v>
      </c>
      <c r="Q3048" s="106" t="s">
        <v>4334</v>
      </c>
      <c r="R3048" s="226" t="s">
        <v>4351</v>
      </c>
      <c r="S3048" s="491" t="str">
        <f t="shared" si="99"/>
        <v>x</v>
      </c>
      <c r="T3048" s="492" t="str">
        <f>IFERROR(VLOOKUP(F3048,'Freq-Chan'!C:D,2,FALSE),"x")</f>
        <v>x</v>
      </c>
      <c r="U3048" s="110" t="s">
        <v>541</v>
      </c>
      <c r="V3048" s="110" t="str">
        <f t="shared" si="100"/>
        <v>FWL</v>
      </c>
      <c r="W3048" s="110" t="s">
        <v>541</v>
      </c>
      <c r="X3048" s="110" t="s">
        <v>541</v>
      </c>
      <c r="Y3048" s="110" t="str">
        <f>IFERROR(VLOOKUP(F3048,'Freq-Chan'!C:E,3,FALSE),"na")</f>
        <v>na</v>
      </c>
      <c r="Z3048" s="110" t="s">
        <v>541</v>
      </c>
      <c r="AA3048" s="110" t="s">
        <v>541</v>
      </c>
      <c r="AB3048" s="110" t="s">
        <v>541</v>
      </c>
      <c r="AC3048" s="10" t="s">
        <v>541</v>
      </c>
      <c r="AD3048" s="10" t="s">
        <v>541</v>
      </c>
    </row>
    <row r="3049" spans="1:30" x14ac:dyDescent="0.2">
      <c r="A3049" s="110">
        <v>3049</v>
      </c>
      <c r="B3049" s="132">
        <v>41870</v>
      </c>
      <c r="C3049" s="117">
        <v>2</v>
      </c>
      <c r="D3049" s="103" t="s">
        <v>71</v>
      </c>
      <c r="E3049" s="103" t="s">
        <v>306</v>
      </c>
      <c r="H3049" s="103"/>
      <c r="I3049" s="103">
        <v>59</v>
      </c>
      <c r="K3049" s="103" t="s">
        <v>1032</v>
      </c>
      <c r="L3049" s="133"/>
      <c r="M3049" s="134">
        <v>1.1805555555555555E-2</v>
      </c>
      <c r="N3049" s="135" t="s">
        <v>3990</v>
      </c>
      <c r="O3049" s="133" t="s">
        <v>1538</v>
      </c>
      <c r="Q3049" s="106" t="s">
        <v>4334</v>
      </c>
      <c r="R3049" s="226" t="s">
        <v>4351</v>
      </c>
      <c r="S3049" s="491" t="str">
        <f t="shared" si="99"/>
        <v>x</v>
      </c>
      <c r="T3049" s="492" t="str">
        <f>IFERROR(VLOOKUP(F3049,'Freq-Chan'!C:D,2,FALSE),"x")</f>
        <v>x</v>
      </c>
      <c r="U3049" s="110" t="s">
        <v>541</v>
      </c>
      <c r="V3049" s="110" t="str">
        <f t="shared" si="100"/>
        <v>FWL</v>
      </c>
      <c r="W3049" s="110" t="s">
        <v>541</v>
      </c>
      <c r="X3049" s="110" t="s">
        <v>541</v>
      </c>
      <c r="Y3049" s="110" t="str">
        <f>IFERROR(VLOOKUP(F3049,'Freq-Chan'!C:E,3,FALSE),"na")</f>
        <v>na</v>
      </c>
      <c r="Z3049" s="110" t="s">
        <v>541</v>
      </c>
      <c r="AA3049" s="110" t="s">
        <v>541</v>
      </c>
      <c r="AB3049" s="110" t="s">
        <v>541</v>
      </c>
      <c r="AC3049" s="10" t="s">
        <v>541</v>
      </c>
      <c r="AD3049" s="10" t="s">
        <v>541</v>
      </c>
    </row>
    <row r="3050" spans="1:30" s="291" customFormat="1" x14ac:dyDescent="0.2">
      <c r="A3050" s="493">
        <v>3050</v>
      </c>
      <c r="B3050" s="283">
        <v>41870</v>
      </c>
      <c r="C3050" s="284">
        <v>2</v>
      </c>
      <c r="D3050" s="285" t="s">
        <v>71</v>
      </c>
      <c r="E3050" s="285" t="s">
        <v>306</v>
      </c>
      <c r="F3050" s="285"/>
      <c r="G3050" s="285"/>
      <c r="H3050" s="285"/>
      <c r="I3050" s="285">
        <v>56</v>
      </c>
      <c r="J3050" s="285"/>
      <c r="K3050" s="285" t="s">
        <v>1032</v>
      </c>
      <c r="L3050" s="286">
        <v>0.83750000000000002</v>
      </c>
      <c r="M3050" s="287">
        <v>1.8749999999999999E-2</v>
      </c>
      <c r="N3050" s="288" t="s">
        <v>3435</v>
      </c>
      <c r="O3050" s="286" t="s">
        <v>1538</v>
      </c>
      <c r="P3050" s="289"/>
      <c r="Q3050" s="395" t="s">
        <v>4334</v>
      </c>
      <c r="R3050" s="290" t="s">
        <v>4351</v>
      </c>
      <c r="S3050" s="494">
        <f t="shared" si="99"/>
        <v>1.0763889E-3</v>
      </c>
      <c r="T3050" s="495" t="str">
        <f>IFERROR(VLOOKUP(F3050,'Freq-Chan'!C:D,2,FALSE),"x")</f>
        <v>x</v>
      </c>
      <c r="U3050" s="493" t="s">
        <v>541</v>
      </c>
      <c r="V3050" s="493" t="str">
        <f t="shared" si="100"/>
        <v>FWL</v>
      </c>
      <c r="W3050" s="493" t="s">
        <v>541</v>
      </c>
      <c r="X3050" s="493" t="s">
        <v>541</v>
      </c>
      <c r="Y3050" s="493" t="str">
        <f>IFERROR(VLOOKUP(F3050,'Freq-Chan'!C:E,3,FALSE),"na")</f>
        <v>na</v>
      </c>
      <c r="Z3050" s="493" t="s">
        <v>541</v>
      </c>
      <c r="AA3050" s="493" t="s">
        <v>541</v>
      </c>
      <c r="AB3050" s="493" t="s">
        <v>541</v>
      </c>
      <c r="AC3050" s="291" t="s">
        <v>541</v>
      </c>
      <c r="AD3050" s="291" t="s">
        <v>541</v>
      </c>
    </row>
    <row r="3051" spans="1:30" x14ac:dyDescent="0.2">
      <c r="A3051" s="110">
        <v>3051</v>
      </c>
      <c r="B3051" s="132">
        <v>41870</v>
      </c>
      <c r="C3051" s="117">
        <v>3</v>
      </c>
      <c r="D3051" s="103" t="s">
        <v>71</v>
      </c>
      <c r="E3051" s="103" t="s">
        <v>306</v>
      </c>
      <c r="F3051" s="103">
        <v>534</v>
      </c>
      <c r="G3051" s="103">
        <v>44</v>
      </c>
      <c r="H3051" s="103" t="s">
        <v>2469</v>
      </c>
      <c r="I3051" s="103">
        <v>61</v>
      </c>
      <c r="K3051" s="103" t="s">
        <v>365</v>
      </c>
      <c r="L3051" s="133"/>
      <c r="M3051" s="134">
        <v>3.2638888888888891E-2</v>
      </c>
      <c r="N3051" s="135" t="s">
        <v>3450</v>
      </c>
      <c r="O3051" s="133" t="s">
        <v>1538</v>
      </c>
      <c r="Q3051" s="106" t="s">
        <v>4321</v>
      </c>
      <c r="R3051" s="226" t="s">
        <v>4351</v>
      </c>
      <c r="S3051" s="491" t="str">
        <f t="shared" si="99"/>
        <v>x</v>
      </c>
      <c r="T3051" s="492">
        <f>IFERROR(VLOOKUP(F3051,'Freq-Chan'!C:D,2,FALSE),"x")</f>
        <v>151.53399999999999</v>
      </c>
      <c r="U3051" s="110" t="s">
        <v>541</v>
      </c>
      <c r="V3051" s="110" t="str">
        <f t="shared" si="100"/>
        <v>FWL</v>
      </c>
      <c r="W3051" s="110" t="s">
        <v>541</v>
      </c>
      <c r="X3051" s="110" t="s">
        <v>541</v>
      </c>
      <c r="Y3051" s="110" t="str">
        <f>IFERROR(VLOOKUP(F3051,'Freq-Chan'!C:E,3,FALSE),"na")</f>
        <v>F1840</v>
      </c>
      <c r="Z3051" s="110" t="s">
        <v>541</v>
      </c>
      <c r="AA3051" s="110" t="s">
        <v>541</v>
      </c>
      <c r="AB3051" s="110" t="s">
        <v>541</v>
      </c>
      <c r="AC3051" s="10" t="s">
        <v>541</v>
      </c>
      <c r="AD3051" s="10" t="s">
        <v>541</v>
      </c>
    </row>
    <row r="3052" spans="1:30" x14ac:dyDescent="0.2">
      <c r="A3052" s="110">
        <v>3052</v>
      </c>
      <c r="B3052" s="132">
        <v>41870</v>
      </c>
      <c r="C3052" s="117">
        <v>3</v>
      </c>
      <c r="D3052" s="103" t="s">
        <v>71</v>
      </c>
      <c r="E3052" s="103" t="s">
        <v>306</v>
      </c>
      <c r="H3052" s="103"/>
      <c r="I3052" s="103">
        <v>57</v>
      </c>
      <c r="K3052" s="103" t="s">
        <v>1032</v>
      </c>
      <c r="L3052" s="133"/>
      <c r="M3052" s="134">
        <v>1.5972222222222224E-2</v>
      </c>
      <c r="N3052" s="135" t="s">
        <v>3333</v>
      </c>
      <c r="O3052" s="133" t="s">
        <v>1532</v>
      </c>
      <c r="Q3052" s="106" t="s">
        <v>4321</v>
      </c>
      <c r="R3052" s="226" t="s">
        <v>4351</v>
      </c>
      <c r="S3052" s="491" t="str">
        <f t="shared" si="99"/>
        <v>x</v>
      </c>
      <c r="T3052" s="492" t="str">
        <f>IFERROR(VLOOKUP(F3052,'Freq-Chan'!C:D,2,FALSE),"x")</f>
        <v>x</v>
      </c>
      <c r="U3052" s="110" t="s">
        <v>541</v>
      </c>
      <c r="V3052" s="110" t="str">
        <f t="shared" si="100"/>
        <v>FWL</v>
      </c>
      <c r="W3052" s="110" t="s">
        <v>541</v>
      </c>
      <c r="X3052" s="110" t="s">
        <v>541</v>
      </c>
      <c r="Y3052" s="110" t="str">
        <f>IFERROR(VLOOKUP(F3052,'Freq-Chan'!C:E,3,FALSE),"na")</f>
        <v>na</v>
      </c>
      <c r="Z3052" s="110" t="s">
        <v>541</v>
      </c>
      <c r="AA3052" s="110" t="s">
        <v>541</v>
      </c>
      <c r="AB3052" s="110" t="s">
        <v>541</v>
      </c>
      <c r="AC3052" s="10" t="s">
        <v>541</v>
      </c>
      <c r="AD3052" s="10" t="s">
        <v>541</v>
      </c>
    </row>
    <row r="3053" spans="1:30" x14ac:dyDescent="0.2">
      <c r="A3053" s="110">
        <v>3053</v>
      </c>
      <c r="B3053" s="132">
        <v>41870</v>
      </c>
      <c r="C3053" s="117">
        <v>3</v>
      </c>
      <c r="D3053" s="103" t="s">
        <v>71</v>
      </c>
      <c r="E3053" s="103" t="s">
        <v>306</v>
      </c>
      <c r="H3053" s="103"/>
      <c r="I3053" s="103">
        <v>58</v>
      </c>
      <c r="K3053" s="103" t="s">
        <v>365</v>
      </c>
      <c r="L3053" s="133"/>
      <c r="M3053" s="134">
        <v>1.8055555555555557E-2</v>
      </c>
      <c r="N3053" s="135" t="s">
        <v>2689</v>
      </c>
      <c r="O3053" s="133" t="s">
        <v>1532</v>
      </c>
      <c r="Q3053" s="106" t="s">
        <v>4321</v>
      </c>
      <c r="R3053" s="226" t="s">
        <v>4351</v>
      </c>
      <c r="S3053" s="491" t="str">
        <f t="shared" si="99"/>
        <v>x</v>
      </c>
      <c r="T3053" s="492" t="str">
        <f>IFERROR(VLOOKUP(F3053,'Freq-Chan'!C:D,2,FALSE),"x")</f>
        <v>x</v>
      </c>
      <c r="U3053" s="110" t="s">
        <v>541</v>
      </c>
      <c r="V3053" s="110" t="str">
        <f t="shared" si="100"/>
        <v>FWL</v>
      </c>
      <c r="W3053" s="110" t="s">
        <v>541</v>
      </c>
      <c r="X3053" s="110" t="s">
        <v>541</v>
      </c>
      <c r="Y3053" s="110" t="str">
        <f>IFERROR(VLOOKUP(F3053,'Freq-Chan'!C:E,3,FALSE),"na")</f>
        <v>na</v>
      </c>
      <c r="Z3053" s="110" t="s">
        <v>541</v>
      </c>
      <c r="AA3053" s="110" t="s">
        <v>541</v>
      </c>
      <c r="AB3053" s="110" t="s">
        <v>541</v>
      </c>
      <c r="AC3053" s="10" t="s">
        <v>541</v>
      </c>
      <c r="AD3053" s="10" t="s">
        <v>541</v>
      </c>
    </row>
    <row r="3054" spans="1:30" x14ac:dyDescent="0.2">
      <c r="A3054" s="110">
        <v>3054</v>
      </c>
      <c r="B3054" s="132">
        <v>41870</v>
      </c>
      <c r="C3054" s="117">
        <v>3</v>
      </c>
      <c r="D3054" s="103" t="s">
        <v>72</v>
      </c>
      <c r="E3054" s="103" t="s">
        <v>306</v>
      </c>
      <c r="F3054" s="103">
        <v>325</v>
      </c>
      <c r="G3054" s="103">
        <v>98</v>
      </c>
      <c r="H3054" s="103" t="s">
        <v>3616</v>
      </c>
      <c r="I3054" s="103">
        <v>51</v>
      </c>
      <c r="K3054" s="103" t="s">
        <v>365</v>
      </c>
      <c r="L3054" s="133"/>
      <c r="M3054" s="134">
        <v>2.5694444444444447E-2</v>
      </c>
      <c r="N3054" s="135" t="s">
        <v>3734</v>
      </c>
      <c r="O3054" s="133" t="s">
        <v>1532</v>
      </c>
      <c r="Q3054" s="106" t="s">
        <v>4321</v>
      </c>
      <c r="R3054" s="226" t="s">
        <v>4351</v>
      </c>
      <c r="S3054" s="491" t="str">
        <f t="shared" si="99"/>
        <v>x</v>
      </c>
      <c r="T3054" s="492">
        <f>IFERROR(VLOOKUP(F3054,'Freq-Chan'!C:D,2,FALSE),"x")</f>
        <v>151.32499999999999</v>
      </c>
      <c r="U3054" s="110" t="s">
        <v>541</v>
      </c>
      <c r="V3054" s="110" t="str">
        <f t="shared" si="100"/>
        <v>FWL</v>
      </c>
      <c r="W3054" s="110" t="s">
        <v>541</v>
      </c>
      <c r="X3054" s="110" t="s">
        <v>541</v>
      </c>
      <c r="Y3054" s="110" t="str">
        <f>IFERROR(VLOOKUP(F3054,'Freq-Chan'!C:E,3,FALSE),"na")</f>
        <v>F1840</v>
      </c>
      <c r="Z3054" s="110" t="s">
        <v>541</v>
      </c>
      <c r="AA3054" s="110" t="s">
        <v>541</v>
      </c>
      <c r="AB3054" s="110" t="s">
        <v>541</v>
      </c>
      <c r="AC3054" s="10" t="s">
        <v>541</v>
      </c>
      <c r="AD3054" s="10" t="s">
        <v>541</v>
      </c>
    </row>
    <row r="3055" spans="1:30" x14ac:dyDescent="0.2">
      <c r="A3055" s="110">
        <v>3055</v>
      </c>
      <c r="B3055" s="132">
        <v>41870</v>
      </c>
      <c r="C3055" s="117">
        <v>3</v>
      </c>
      <c r="D3055" s="103" t="s">
        <v>72</v>
      </c>
      <c r="E3055" s="103" t="s">
        <v>306</v>
      </c>
      <c r="F3055" s="103">
        <v>325</v>
      </c>
      <c r="G3055" s="103">
        <v>72</v>
      </c>
      <c r="H3055" s="103" t="s">
        <v>3619</v>
      </c>
      <c r="I3055" s="103">
        <v>52</v>
      </c>
      <c r="K3055" s="103" t="s">
        <v>365</v>
      </c>
      <c r="L3055" s="133"/>
      <c r="M3055" s="134">
        <v>2.5694444444444447E-2</v>
      </c>
      <c r="N3055" s="135" t="s">
        <v>1905</v>
      </c>
      <c r="O3055" s="133" t="s">
        <v>1532</v>
      </c>
      <c r="Q3055" s="106" t="s">
        <v>4321</v>
      </c>
      <c r="R3055" s="226" t="s">
        <v>4351</v>
      </c>
      <c r="S3055" s="491" t="str">
        <f t="shared" si="99"/>
        <v>x</v>
      </c>
      <c r="T3055" s="492">
        <f>IFERROR(VLOOKUP(F3055,'Freq-Chan'!C:D,2,FALSE),"x")</f>
        <v>151.32499999999999</v>
      </c>
      <c r="U3055" s="110" t="s">
        <v>541</v>
      </c>
      <c r="V3055" s="110" t="str">
        <f t="shared" si="100"/>
        <v>FWL</v>
      </c>
      <c r="W3055" s="110" t="s">
        <v>541</v>
      </c>
      <c r="X3055" s="110" t="s">
        <v>541</v>
      </c>
      <c r="Y3055" s="110" t="str">
        <f>IFERROR(VLOOKUP(F3055,'Freq-Chan'!C:E,3,FALSE),"na")</f>
        <v>F1840</v>
      </c>
      <c r="Z3055" s="110" t="s">
        <v>541</v>
      </c>
      <c r="AA3055" s="110" t="s">
        <v>541</v>
      </c>
      <c r="AB3055" s="110" t="s">
        <v>541</v>
      </c>
      <c r="AC3055" s="10" t="s">
        <v>541</v>
      </c>
      <c r="AD3055" s="10" t="s">
        <v>541</v>
      </c>
    </row>
    <row r="3056" spans="1:30" x14ac:dyDescent="0.2">
      <c r="A3056" s="110">
        <v>3056</v>
      </c>
      <c r="B3056" s="132">
        <v>41870</v>
      </c>
      <c r="C3056" s="117">
        <v>3</v>
      </c>
      <c r="D3056" s="103" t="s">
        <v>71</v>
      </c>
      <c r="E3056" s="103" t="s">
        <v>306</v>
      </c>
      <c r="H3056" s="103"/>
      <c r="I3056" s="103">
        <v>60</v>
      </c>
      <c r="K3056" s="103" t="s">
        <v>1032</v>
      </c>
      <c r="L3056" s="133"/>
      <c r="M3056" s="134">
        <v>1.4583333333333332E-2</v>
      </c>
      <c r="N3056" s="135" t="s">
        <v>3936</v>
      </c>
      <c r="O3056" s="133" t="s">
        <v>1538</v>
      </c>
      <c r="Q3056" s="106" t="s">
        <v>4321</v>
      </c>
      <c r="R3056" s="226" t="s">
        <v>4351</v>
      </c>
      <c r="S3056" s="491" t="str">
        <f t="shared" si="99"/>
        <v>x</v>
      </c>
      <c r="T3056" s="492" t="str">
        <f>IFERROR(VLOOKUP(F3056,'Freq-Chan'!C:D,2,FALSE),"x")</f>
        <v>x</v>
      </c>
      <c r="U3056" s="110" t="s">
        <v>541</v>
      </c>
      <c r="V3056" s="110" t="str">
        <f t="shared" si="100"/>
        <v>FWL</v>
      </c>
      <c r="W3056" s="110" t="s">
        <v>541</v>
      </c>
      <c r="X3056" s="110" t="s">
        <v>541</v>
      </c>
      <c r="Y3056" s="110" t="str">
        <f>IFERROR(VLOOKUP(F3056,'Freq-Chan'!C:E,3,FALSE),"na")</f>
        <v>na</v>
      </c>
      <c r="Z3056" s="110" t="s">
        <v>541</v>
      </c>
      <c r="AA3056" s="110" t="s">
        <v>541</v>
      </c>
      <c r="AB3056" s="110" t="s">
        <v>541</v>
      </c>
      <c r="AC3056" s="10" t="s">
        <v>541</v>
      </c>
      <c r="AD3056" s="10" t="s">
        <v>541</v>
      </c>
    </row>
    <row r="3057" spans="1:30" x14ac:dyDescent="0.2">
      <c r="A3057" s="110">
        <v>3057</v>
      </c>
      <c r="B3057" s="132">
        <v>41870</v>
      </c>
      <c r="C3057" s="117">
        <v>3</v>
      </c>
      <c r="D3057" s="103" t="s">
        <v>71</v>
      </c>
      <c r="E3057" s="103" t="s">
        <v>306</v>
      </c>
      <c r="H3057" s="103"/>
      <c r="I3057" s="103">
        <v>60</v>
      </c>
      <c r="K3057" s="103" t="s">
        <v>1032</v>
      </c>
      <c r="L3057" s="133"/>
      <c r="M3057" s="134">
        <v>1.5972222222222224E-2</v>
      </c>
      <c r="N3057" s="137" t="s">
        <v>3717</v>
      </c>
      <c r="O3057" s="133" t="s">
        <v>1538</v>
      </c>
      <c r="Q3057" s="106" t="s">
        <v>4321</v>
      </c>
      <c r="R3057" s="226" t="s">
        <v>4351</v>
      </c>
      <c r="S3057" s="491" t="str">
        <f t="shared" si="99"/>
        <v>x</v>
      </c>
      <c r="T3057" s="492" t="str">
        <f>IFERROR(VLOOKUP(F3057,'Freq-Chan'!C:D,2,FALSE),"x")</f>
        <v>x</v>
      </c>
      <c r="U3057" s="110" t="s">
        <v>541</v>
      </c>
      <c r="V3057" s="110" t="str">
        <f t="shared" si="100"/>
        <v>FWL</v>
      </c>
      <c r="W3057" s="110" t="s">
        <v>541</v>
      </c>
      <c r="X3057" s="110" t="s">
        <v>541</v>
      </c>
      <c r="Y3057" s="110" t="str">
        <f>IFERROR(VLOOKUP(F3057,'Freq-Chan'!C:E,3,FALSE),"na")</f>
        <v>na</v>
      </c>
      <c r="Z3057" s="110" t="s">
        <v>541</v>
      </c>
      <c r="AA3057" s="110" t="s">
        <v>541</v>
      </c>
      <c r="AB3057" s="110" t="s">
        <v>541</v>
      </c>
      <c r="AC3057" s="10" t="s">
        <v>541</v>
      </c>
      <c r="AD3057" s="10" t="s">
        <v>541</v>
      </c>
    </row>
    <row r="3058" spans="1:30" x14ac:dyDescent="0.2">
      <c r="A3058" s="110">
        <v>3058</v>
      </c>
      <c r="B3058" s="132">
        <v>41870</v>
      </c>
      <c r="C3058" s="117">
        <v>3</v>
      </c>
      <c r="D3058" s="103" t="s">
        <v>71</v>
      </c>
      <c r="E3058" s="103" t="s">
        <v>306</v>
      </c>
      <c r="H3058" s="103"/>
      <c r="I3058" s="103">
        <v>56</v>
      </c>
      <c r="K3058" s="103" t="s">
        <v>365</v>
      </c>
      <c r="L3058" s="133"/>
      <c r="M3058" s="134">
        <v>1.5972222222222224E-2</v>
      </c>
      <c r="N3058" s="137" t="s">
        <v>3806</v>
      </c>
      <c r="O3058" s="133" t="s">
        <v>372</v>
      </c>
      <c r="Q3058" s="106" t="s">
        <v>4321</v>
      </c>
      <c r="R3058" s="226" t="s">
        <v>4351</v>
      </c>
      <c r="S3058" s="491" t="str">
        <f t="shared" ref="S3058:S3121" si="101">IF(IF(OR(L3058=0,N3058=0),"x",ROUND(N3058-L3058-(M3058*24)/(24*60),10))&lt;0,0,IF(OR(L3058=0,N3058=0),"x",ROUND(N3058-L3058-(M3058*24)/(24*60),10)))</f>
        <v>x</v>
      </c>
      <c r="T3058" s="492" t="str">
        <f>IFERROR(VLOOKUP(F3058,'Freq-Chan'!C:D,2,FALSE),"x")</f>
        <v>x</v>
      </c>
      <c r="U3058" s="110" t="s">
        <v>541</v>
      </c>
      <c r="V3058" s="110" t="str">
        <f t="shared" ref="V3058:V3121" si="102">IF(OR(C3058=1,C3058=2,C3058=3),"FWL","NRD")</f>
        <v>FWL</v>
      </c>
      <c r="W3058" s="110" t="s">
        <v>541</v>
      </c>
      <c r="X3058" s="110" t="s">
        <v>541</v>
      </c>
      <c r="Y3058" s="110" t="str">
        <f>IFERROR(VLOOKUP(F3058,'Freq-Chan'!C:E,3,FALSE),"na")</f>
        <v>na</v>
      </c>
      <c r="Z3058" s="110" t="s">
        <v>541</v>
      </c>
      <c r="AA3058" s="110" t="s">
        <v>541</v>
      </c>
      <c r="AB3058" s="110" t="s">
        <v>541</v>
      </c>
      <c r="AC3058" s="10" t="s">
        <v>541</v>
      </c>
      <c r="AD3058" s="10" t="s">
        <v>541</v>
      </c>
    </row>
    <row r="3059" spans="1:30" x14ac:dyDescent="0.2">
      <c r="A3059" s="110">
        <v>3059</v>
      </c>
      <c r="B3059" s="132">
        <v>41870</v>
      </c>
      <c r="C3059" s="117">
        <v>3</v>
      </c>
      <c r="D3059" s="103" t="s">
        <v>72</v>
      </c>
      <c r="E3059" s="103" t="s">
        <v>306</v>
      </c>
      <c r="F3059" s="103">
        <v>266</v>
      </c>
      <c r="G3059" s="103">
        <v>79</v>
      </c>
      <c r="H3059" s="103" t="s">
        <v>3620</v>
      </c>
      <c r="I3059" s="103">
        <v>57</v>
      </c>
      <c r="K3059" s="103" t="s">
        <v>1032</v>
      </c>
      <c r="L3059" s="133"/>
      <c r="M3059" s="134">
        <v>3.888888888888889E-2</v>
      </c>
      <c r="N3059" s="135" t="s">
        <v>3902</v>
      </c>
      <c r="O3059" s="133" t="s">
        <v>372</v>
      </c>
      <c r="P3059" s="100" t="s">
        <v>4472</v>
      </c>
      <c r="Q3059" s="106" t="s">
        <v>4321</v>
      </c>
      <c r="R3059" s="226" t="s">
        <v>4351</v>
      </c>
      <c r="S3059" s="491" t="str">
        <f t="shared" si="101"/>
        <v>x</v>
      </c>
      <c r="T3059" s="492">
        <f>IFERROR(VLOOKUP(F3059,'Freq-Chan'!C:D,2,FALSE),"x")</f>
        <v>151.26599999999999</v>
      </c>
      <c r="U3059" s="110" t="s">
        <v>541</v>
      </c>
      <c r="V3059" s="110" t="str">
        <f t="shared" si="102"/>
        <v>FWL</v>
      </c>
      <c r="W3059" s="110" t="s">
        <v>541</v>
      </c>
      <c r="X3059" s="110" t="s">
        <v>541</v>
      </c>
      <c r="Y3059" s="110" t="str">
        <f>IFERROR(VLOOKUP(F3059,'Freq-Chan'!C:E,3,FALSE),"na")</f>
        <v>F1840</v>
      </c>
      <c r="Z3059" s="110" t="s">
        <v>541</v>
      </c>
      <c r="AA3059" s="110" t="s">
        <v>541</v>
      </c>
      <c r="AB3059" s="110" t="s">
        <v>541</v>
      </c>
      <c r="AC3059" s="10" t="s">
        <v>541</v>
      </c>
      <c r="AD3059" s="10" t="s">
        <v>541</v>
      </c>
    </row>
    <row r="3060" spans="1:30" x14ac:dyDescent="0.2">
      <c r="A3060" s="110">
        <v>3060</v>
      </c>
      <c r="B3060" s="132">
        <v>41870</v>
      </c>
      <c r="C3060" s="117">
        <v>3</v>
      </c>
      <c r="D3060" s="103" t="s">
        <v>70</v>
      </c>
      <c r="E3060" s="103" t="s">
        <v>306</v>
      </c>
      <c r="H3060" s="103"/>
      <c r="I3060" s="103">
        <v>43</v>
      </c>
      <c r="K3060" s="103" t="s">
        <v>365</v>
      </c>
      <c r="L3060" s="133"/>
      <c r="M3060" s="134">
        <v>1.2499999999999999E-2</v>
      </c>
      <c r="N3060" s="135" t="s">
        <v>2018</v>
      </c>
      <c r="O3060" s="133" t="s">
        <v>372</v>
      </c>
      <c r="Q3060" s="106" t="s">
        <v>4321</v>
      </c>
      <c r="R3060" s="226" t="s">
        <v>4351</v>
      </c>
      <c r="S3060" s="491" t="str">
        <f t="shared" si="101"/>
        <v>x</v>
      </c>
      <c r="T3060" s="492" t="str">
        <f>IFERROR(VLOOKUP(F3060,'Freq-Chan'!C:D,2,FALSE),"x")</f>
        <v>x</v>
      </c>
      <c r="U3060" s="110" t="s">
        <v>541</v>
      </c>
      <c r="V3060" s="110" t="str">
        <f t="shared" si="102"/>
        <v>FWL</v>
      </c>
      <c r="W3060" s="110" t="s">
        <v>541</v>
      </c>
      <c r="X3060" s="110" t="s">
        <v>541</v>
      </c>
      <c r="Y3060" s="110" t="str">
        <f>IFERROR(VLOOKUP(F3060,'Freq-Chan'!C:E,3,FALSE),"na")</f>
        <v>na</v>
      </c>
      <c r="Z3060" s="110" t="s">
        <v>541</v>
      </c>
      <c r="AA3060" s="110" t="s">
        <v>541</v>
      </c>
      <c r="AB3060" s="110" t="s">
        <v>541</v>
      </c>
      <c r="AC3060" s="10" t="s">
        <v>541</v>
      </c>
      <c r="AD3060" s="10" t="s">
        <v>541</v>
      </c>
    </row>
    <row r="3061" spans="1:30" x14ac:dyDescent="0.2">
      <c r="A3061" s="110">
        <v>3061</v>
      </c>
      <c r="B3061" s="132">
        <v>41870</v>
      </c>
      <c r="C3061" s="117">
        <v>3</v>
      </c>
      <c r="D3061" s="103" t="s">
        <v>71</v>
      </c>
      <c r="E3061" s="103" t="s">
        <v>306</v>
      </c>
      <c r="H3061" s="103"/>
      <c r="I3061" s="103">
        <v>58</v>
      </c>
      <c r="K3061" s="103" t="s">
        <v>365</v>
      </c>
      <c r="L3061" s="133">
        <v>0.50972222222222219</v>
      </c>
      <c r="M3061" s="134">
        <v>1.4583333333333332E-2</v>
      </c>
      <c r="N3061" s="135" t="s">
        <v>1874</v>
      </c>
      <c r="O3061" s="133" t="s">
        <v>372</v>
      </c>
      <c r="Q3061" s="106" t="s">
        <v>4321</v>
      </c>
      <c r="R3061" s="226" t="s">
        <v>4351</v>
      </c>
      <c r="S3061" s="491">
        <f t="shared" si="101"/>
        <v>1.36458333E-2</v>
      </c>
      <c r="T3061" s="492" t="str">
        <f>IFERROR(VLOOKUP(F3061,'Freq-Chan'!C:D,2,FALSE),"x")</f>
        <v>x</v>
      </c>
      <c r="U3061" s="110" t="s">
        <v>541</v>
      </c>
      <c r="V3061" s="110" t="str">
        <f t="shared" si="102"/>
        <v>FWL</v>
      </c>
      <c r="W3061" s="110" t="s">
        <v>541</v>
      </c>
      <c r="X3061" s="110" t="s">
        <v>541</v>
      </c>
      <c r="Y3061" s="110" t="str">
        <f>IFERROR(VLOOKUP(F3061,'Freq-Chan'!C:E,3,FALSE),"na")</f>
        <v>na</v>
      </c>
      <c r="Z3061" s="110" t="s">
        <v>541</v>
      </c>
      <c r="AA3061" s="110" t="s">
        <v>541</v>
      </c>
      <c r="AB3061" s="110" t="s">
        <v>541</v>
      </c>
      <c r="AC3061" s="10" t="s">
        <v>541</v>
      </c>
      <c r="AD3061" s="10" t="s">
        <v>541</v>
      </c>
    </row>
    <row r="3062" spans="1:30" x14ac:dyDescent="0.2">
      <c r="A3062" s="110">
        <v>3062</v>
      </c>
      <c r="B3062" s="132">
        <v>41870</v>
      </c>
      <c r="C3062" s="117">
        <v>3</v>
      </c>
      <c r="D3062" s="103" t="s">
        <v>70</v>
      </c>
      <c r="E3062" s="103" t="s">
        <v>306</v>
      </c>
      <c r="H3062" s="103"/>
      <c r="I3062" s="103">
        <v>48</v>
      </c>
      <c r="K3062" s="103" t="s">
        <v>1032</v>
      </c>
      <c r="L3062" s="133"/>
      <c r="M3062" s="134">
        <v>1.4583333333333332E-2</v>
      </c>
      <c r="N3062" s="135" t="s">
        <v>4175</v>
      </c>
      <c r="O3062" s="133" t="s">
        <v>1532</v>
      </c>
      <c r="Q3062" s="106" t="s">
        <v>4321</v>
      </c>
      <c r="R3062" s="226" t="s">
        <v>4351</v>
      </c>
      <c r="S3062" s="491" t="str">
        <f t="shared" si="101"/>
        <v>x</v>
      </c>
      <c r="T3062" s="492" t="str">
        <f>IFERROR(VLOOKUP(F3062,'Freq-Chan'!C:D,2,FALSE),"x")</f>
        <v>x</v>
      </c>
      <c r="U3062" s="110" t="s">
        <v>541</v>
      </c>
      <c r="V3062" s="110" t="str">
        <f t="shared" si="102"/>
        <v>FWL</v>
      </c>
      <c r="W3062" s="110" t="s">
        <v>541</v>
      </c>
      <c r="X3062" s="110" t="s">
        <v>541</v>
      </c>
      <c r="Y3062" s="110" t="str">
        <f>IFERROR(VLOOKUP(F3062,'Freq-Chan'!C:E,3,FALSE),"na")</f>
        <v>na</v>
      </c>
      <c r="Z3062" s="110" t="s">
        <v>541</v>
      </c>
      <c r="AA3062" s="110" t="s">
        <v>541</v>
      </c>
      <c r="AB3062" s="110" t="s">
        <v>541</v>
      </c>
      <c r="AC3062" s="10" t="s">
        <v>541</v>
      </c>
      <c r="AD3062" s="10" t="s">
        <v>541</v>
      </c>
    </row>
    <row r="3063" spans="1:30" x14ac:dyDescent="0.2">
      <c r="A3063" s="110">
        <v>3063</v>
      </c>
      <c r="B3063" s="132">
        <v>41870</v>
      </c>
      <c r="C3063" s="117">
        <v>3</v>
      </c>
      <c r="D3063" s="103" t="s">
        <v>72</v>
      </c>
      <c r="E3063" s="103" t="s">
        <v>306</v>
      </c>
      <c r="F3063" s="103">
        <v>266</v>
      </c>
      <c r="G3063" s="103">
        <v>95</v>
      </c>
      <c r="H3063" s="103" t="s">
        <v>3621</v>
      </c>
      <c r="I3063" s="103">
        <v>50</v>
      </c>
      <c r="K3063" s="103" t="s">
        <v>365</v>
      </c>
      <c r="L3063" s="133"/>
      <c r="M3063" s="134">
        <v>3.888888888888889E-2</v>
      </c>
      <c r="N3063" s="135" t="s">
        <v>3984</v>
      </c>
      <c r="O3063" s="133" t="s">
        <v>1538</v>
      </c>
      <c r="P3063" s="100" t="s">
        <v>4466</v>
      </c>
      <c r="Q3063" s="106" t="s">
        <v>4321</v>
      </c>
      <c r="R3063" s="226" t="s">
        <v>4351</v>
      </c>
      <c r="S3063" s="491" t="str">
        <f t="shared" si="101"/>
        <v>x</v>
      </c>
      <c r="T3063" s="492">
        <f>IFERROR(VLOOKUP(F3063,'Freq-Chan'!C:D,2,FALSE),"x")</f>
        <v>151.26599999999999</v>
      </c>
      <c r="U3063" s="110" t="s">
        <v>541</v>
      </c>
      <c r="V3063" s="110" t="str">
        <f t="shared" si="102"/>
        <v>FWL</v>
      </c>
      <c r="W3063" s="110" t="s">
        <v>541</v>
      </c>
      <c r="X3063" s="110" t="s">
        <v>541</v>
      </c>
      <c r="Y3063" s="110" t="str">
        <f>IFERROR(VLOOKUP(F3063,'Freq-Chan'!C:E,3,FALSE),"na")</f>
        <v>F1840</v>
      </c>
      <c r="Z3063" s="110" t="s">
        <v>541</v>
      </c>
      <c r="AA3063" s="110" t="s">
        <v>541</v>
      </c>
      <c r="AB3063" s="110" t="s">
        <v>541</v>
      </c>
      <c r="AC3063" s="10" t="s">
        <v>541</v>
      </c>
      <c r="AD3063" s="10" t="s">
        <v>541</v>
      </c>
    </row>
    <row r="3064" spans="1:30" x14ac:dyDescent="0.2">
      <c r="A3064" s="110">
        <v>3064</v>
      </c>
      <c r="B3064" s="132">
        <v>41870</v>
      </c>
      <c r="C3064" s="117">
        <v>3</v>
      </c>
      <c r="D3064" s="103" t="s">
        <v>72</v>
      </c>
      <c r="E3064" s="103" t="s">
        <v>306</v>
      </c>
      <c r="F3064" s="103">
        <v>266</v>
      </c>
      <c r="G3064" s="103">
        <v>76</v>
      </c>
      <c r="H3064" s="103" t="s">
        <v>3632</v>
      </c>
      <c r="I3064" s="103">
        <v>49</v>
      </c>
      <c r="K3064" s="103" t="s">
        <v>365</v>
      </c>
      <c r="L3064" s="133"/>
      <c r="M3064" s="134">
        <v>3.4027777777777775E-2</v>
      </c>
      <c r="N3064" s="135" t="s">
        <v>1660</v>
      </c>
      <c r="O3064" s="133" t="s">
        <v>1538</v>
      </c>
      <c r="P3064" s="100" t="s">
        <v>4466</v>
      </c>
      <c r="Q3064" s="106" t="s">
        <v>4321</v>
      </c>
      <c r="R3064" s="226" t="s">
        <v>4351</v>
      </c>
      <c r="S3064" s="491" t="str">
        <f t="shared" si="101"/>
        <v>x</v>
      </c>
      <c r="T3064" s="492">
        <f>IFERROR(VLOOKUP(F3064,'Freq-Chan'!C:D,2,FALSE),"x")</f>
        <v>151.26599999999999</v>
      </c>
      <c r="U3064" s="110" t="s">
        <v>541</v>
      </c>
      <c r="V3064" s="110" t="str">
        <f t="shared" si="102"/>
        <v>FWL</v>
      </c>
      <c r="W3064" s="110" t="s">
        <v>541</v>
      </c>
      <c r="X3064" s="110" t="s">
        <v>541</v>
      </c>
      <c r="Y3064" s="110" t="str">
        <f>IFERROR(VLOOKUP(F3064,'Freq-Chan'!C:E,3,FALSE),"na")</f>
        <v>F1840</v>
      </c>
      <c r="Z3064" s="110" t="s">
        <v>541</v>
      </c>
      <c r="AA3064" s="110" t="s">
        <v>541</v>
      </c>
      <c r="AB3064" s="110" t="s">
        <v>541</v>
      </c>
      <c r="AC3064" s="10" t="s">
        <v>541</v>
      </c>
      <c r="AD3064" s="10" t="s">
        <v>541</v>
      </c>
    </row>
    <row r="3065" spans="1:30" x14ac:dyDescent="0.2">
      <c r="A3065" s="110">
        <v>3065</v>
      </c>
      <c r="B3065" s="132">
        <v>41870</v>
      </c>
      <c r="C3065" s="117">
        <v>3</v>
      </c>
      <c r="D3065" s="103" t="s">
        <v>71</v>
      </c>
      <c r="E3065" s="103" t="s">
        <v>306</v>
      </c>
      <c r="H3065" s="103"/>
      <c r="I3065" s="103">
        <v>55</v>
      </c>
      <c r="K3065" s="103" t="s">
        <v>365</v>
      </c>
      <c r="L3065" s="133"/>
      <c r="M3065" s="134">
        <v>1.1111111111111112E-2</v>
      </c>
      <c r="N3065" s="135" t="s">
        <v>2632</v>
      </c>
      <c r="O3065" s="133" t="s">
        <v>1538</v>
      </c>
      <c r="Q3065" s="106" t="s">
        <v>4321</v>
      </c>
      <c r="R3065" s="226" t="s">
        <v>4351</v>
      </c>
      <c r="S3065" s="491" t="str">
        <f t="shared" si="101"/>
        <v>x</v>
      </c>
      <c r="T3065" s="492" t="str">
        <f>IFERROR(VLOOKUP(F3065,'Freq-Chan'!C:D,2,FALSE),"x")</f>
        <v>x</v>
      </c>
      <c r="U3065" s="110" t="s">
        <v>541</v>
      </c>
      <c r="V3065" s="110" t="str">
        <f t="shared" si="102"/>
        <v>FWL</v>
      </c>
      <c r="W3065" s="110" t="s">
        <v>541</v>
      </c>
      <c r="X3065" s="110" t="s">
        <v>541</v>
      </c>
      <c r="Y3065" s="110" t="str">
        <f>IFERROR(VLOOKUP(F3065,'Freq-Chan'!C:E,3,FALSE),"na")</f>
        <v>na</v>
      </c>
      <c r="Z3065" s="110" t="s">
        <v>541</v>
      </c>
      <c r="AA3065" s="110" t="s">
        <v>541</v>
      </c>
      <c r="AB3065" s="110" t="s">
        <v>541</v>
      </c>
      <c r="AC3065" s="10" t="s">
        <v>541</v>
      </c>
      <c r="AD3065" s="10" t="s">
        <v>541</v>
      </c>
    </row>
    <row r="3066" spans="1:30" x14ac:dyDescent="0.2">
      <c r="A3066" s="110">
        <v>3066</v>
      </c>
      <c r="B3066" s="132">
        <v>41870</v>
      </c>
      <c r="C3066" s="117">
        <v>3</v>
      </c>
      <c r="D3066" s="103" t="s">
        <v>70</v>
      </c>
      <c r="E3066" s="103" t="s">
        <v>306</v>
      </c>
      <c r="H3066" s="103"/>
      <c r="I3066" s="103">
        <v>47</v>
      </c>
      <c r="K3066" s="103" t="s">
        <v>365</v>
      </c>
      <c r="L3066" s="133"/>
      <c r="M3066" s="134">
        <v>1.6666666666666666E-2</v>
      </c>
      <c r="N3066" s="135" t="s">
        <v>366</v>
      </c>
      <c r="O3066" s="133" t="s">
        <v>1033</v>
      </c>
      <c r="Q3066" s="106" t="s">
        <v>4323</v>
      </c>
      <c r="R3066" s="226" t="s">
        <v>4351</v>
      </c>
      <c r="S3066" s="491" t="str">
        <f t="shared" si="101"/>
        <v>x</v>
      </c>
      <c r="T3066" s="492" t="str">
        <f>IFERROR(VLOOKUP(F3066,'Freq-Chan'!C:D,2,FALSE),"x")</f>
        <v>x</v>
      </c>
      <c r="U3066" s="110" t="s">
        <v>541</v>
      </c>
      <c r="V3066" s="110" t="str">
        <f t="shared" si="102"/>
        <v>FWL</v>
      </c>
      <c r="W3066" s="110" t="s">
        <v>541</v>
      </c>
      <c r="X3066" s="110" t="s">
        <v>541</v>
      </c>
      <c r="Y3066" s="110" t="str">
        <f>IFERROR(VLOOKUP(F3066,'Freq-Chan'!C:E,3,FALSE),"na")</f>
        <v>na</v>
      </c>
      <c r="Z3066" s="110" t="s">
        <v>541</v>
      </c>
      <c r="AA3066" s="110" t="s">
        <v>541</v>
      </c>
      <c r="AB3066" s="110" t="s">
        <v>541</v>
      </c>
      <c r="AC3066" s="10" t="s">
        <v>541</v>
      </c>
      <c r="AD3066" s="10" t="s">
        <v>541</v>
      </c>
    </row>
    <row r="3067" spans="1:30" x14ac:dyDescent="0.2">
      <c r="A3067" s="110">
        <v>3067</v>
      </c>
      <c r="B3067" s="132">
        <v>41870</v>
      </c>
      <c r="C3067" s="117">
        <v>3</v>
      </c>
      <c r="D3067" s="103" t="s">
        <v>71</v>
      </c>
      <c r="E3067" s="103" t="s">
        <v>306</v>
      </c>
      <c r="H3067" s="103"/>
      <c r="I3067" s="103">
        <v>57</v>
      </c>
      <c r="K3067" s="103" t="s">
        <v>1032</v>
      </c>
      <c r="L3067" s="133"/>
      <c r="M3067" s="134">
        <v>1.1111111111111112E-2</v>
      </c>
      <c r="N3067" s="135" t="s">
        <v>1662</v>
      </c>
      <c r="O3067" s="133" t="s">
        <v>1033</v>
      </c>
      <c r="Q3067" s="106" t="s">
        <v>4323</v>
      </c>
      <c r="R3067" s="226" t="s">
        <v>4351</v>
      </c>
      <c r="S3067" s="491" t="str">
        <f t="shared" si="101"/>
        <v>x</v>
      </c>
      <c r="T3067" s="492" t="str">
        <f>IFERROR(VLOOKUP(F3067,'Freq-Chan'!C:D,2,FALSE),"x")</f>
        <v>x</v>
      </c>
      <c r="U3067" s="110" t="s">
        <v>541</v>
      </c>
      <c r="V3067" s="110" t="str">
        <f t="shared" si="102"/>
        <v>FWL</v>
      </c>
      <c r="W3067" s="110" t="s">
        <v>541</v>
      </c>
      <c r="X3067" s="110" t="s">
        <v>541</v>
      </c>
      <c r="Y3067" s="110" t="str">
        <f>IFERROR(VLOOKUP(F3067,'Freq-Chan'!C:E,3,FALSE),"na")</f>
        <v>na</v>
      </c>
      <c r="Z3067" s="110" t="s">
        <v>541</v>
      </c>
      <c r="AA3067" s="110" t="s">
        <v>541</v>
      </c>
      <c r="AB3067" s="110" t="s">
        <v>541</v>
      </c>
      <c r="AC3067" s="10" t="s">
        <v>541</v>
      </c>
      <c r="AD3067" s="10" t="s">
        <v>541</v>
      </c>
    </row>
    <row r="3068" spans="1:30" x14ac:dyDescent="0.2">
      <c r="A3068" s="110">
        <v>3068</v>
      </c>
      <c r="B3068" s="132">
        <v>41870</v>
      </c>
      <c r="C3068" s="117">
        <v>3</v>
      </c>
      <c r="D3068" s="103" t="s">
        <v>71</v>
      </c>
      <c r="E3068" s="103" t="s">
        <v>306</v>
      </c>
      <c r="H3068" s="103"/>
      <c r="I3068" s="103">
        <v>51</v>
      </c>
      <c r="K3068" s="103" t="s">
        <v>1032</v>
      </c>
      <c r="L3068" s="133"/>
      <c r="M3068" s="134">
        <v>1.4583333333333332E-2</v>
      </c>
      <c r="N3068" s="135" t="s">
        <v>1884</v>
      </c>
      <c r="O3068" s="133" t="s">
        <v>1033</v>
      </c>
      <c r="Q3068" s="106" t="s">
        <v>4323</v>
      </c>
      <c r="R3068" s="226" t="s">
        <v>4351</v>
      </c>
      <c r="S3068" s="491" t="str">
        <f t="shared" si="101"/>
        <v>x</v>
      </c>
      <c r="T3068" s="492" t="str">
        <f>IFERROR(VLOOKUP(F3068,'Freq-Chan'!C:D,2,FALSE),"x")</f>
        <v>x</v>
      </c>
      <c r="U3068" s="110" t="s">
        <v>541</v>
      </c>
      <c r="V3068" s="110" t="str">
        <f t="shared" si="102"/>
        <v>FWL</v>
      </c>
      <c r="W3068" s="110" t="s">
        <v>541</v>
      </c>
      <c r="X3068" s="110" t="s">
        <v>541</v>
      </c>
      <c r="Y3068" s="110" t="str">
        <f>IFERROR(VLOOKUP(F3068,'Freq-Chan'!C:E,3,FALSE),"na")</f>
        <v>na</v>
      </c>
      <c r="Z3068" s="110" t="s">
        <v>541</v>
      </c>
      <c r="AA3068" s="110" t="s">
        <v>541</v>
      </c>
      <c r="AB3068" s="110" t="s">
        <v>541</v>
      </c>
      <c r="AC3068" s="10" t="s">
        <v>541</v>
      </c>
      <c r="AD3068" s="10" t="s">
        <v>541</v>
      </c>
    </row>
    <row r="3069" spans="1:30" x14ac:dyDescent="0.2">
      <c r="A3069" s="110">
        <v>3069</v>
      </c>
      <c r="B3069" s="132">
        <v>41870</v>
      </c>
      <c r="C3069" s="117">
        <v>3</v>
      </c>
      <c r="D3069" s="103" t="s">
        <v>70</v>
      </c>
      <c r="E3069" s="103" t="s">
        <v>306</v>
      </c>
      <c r="H3069" s="103"/>
      <c r="I3069" s="103">
        <v>38</v>
      </c>
      <c r="K3069" s="103" t="s">
        <v>1032</v>
      </c>
      <c r="L3069" s="133"/>
      <c r="M3069" s="134">
        <v>2.0833333333333332E-2</v>
      </c>
      <c r="N3069" s="135" t="s">
        <v>3886</v>
      </c>
      <c r="O3069" s="133" t="s">
        <v>1033</v>
      </c>
      <c r="Q3069" s="106" t="s">
        <v>4323</v>
      </c>
      <c r="R3069" s="226" t="s">
        <v>4351</v>
      </c>
      <c r="S3069" s="491" t="str">
        <f t="shared" si="101"/>
        <v>x</v>
      </c>
      <c r="T3069" s="492" t="str">
        <f>IFERROR(VLOOKUP(F3069,'Freq-Chan'!C:D,2,FALSE),"x")</f>
        <v>x</v>
      </c>
      <c r="U3069" s="110" t="s">
        <v>541</v>
      </c>
      <c r="V3069" s="110" t="str">
        <f t="shared" si="102"/>
        <v>FWL</v>
      </c>
      <c r="W3069" s="110" t="s">
        <v>541</v>
      </c>
      <c r="X3069" s="110" t="s">
        <v>541</v>
      </c>
      <c r="Y3069" s="110" t="str">
        <f>IFERROR(VLOOKUP(F3069,'Freq-Chan'!C:E,3,FALSE),"na")</f>
        <v>na</v>
      </c>
      <c r="Z3069" s="110" t="s">
        <v>541</v>
      </c>
      <c r="AA3069" s="110" t="s">
        <v>541</v>
      </c>
      <c r="AB3069" s="110" t="s">
        <v>541</v>
      </c>
      <c r="AC3069" s="10" t="s">
        <v>541</v>
      </c>
      <c r="AD3069" s="10" t="s">
        <v>541</v>
      </c>
    </row>
    <row r="3070" spans="1:30" x14ac:dyDescent="0.2">
      <c r="A3070" s="110">
        <v>3070</v>
      </c>
      <c r="B3070" s="132">
        <v>41870</v>
      </c>
      <c r="C3070" s="117">
        <v>3</v>
      </c>
      <c r="D3070" s="103" t="s">
        <v>71</v>
      </c>
      <c r="E3070" s="103" t="s">
        <v>306</v>
      </c>
      <c r="H3070" s="103"/>
      <c r="I3070" s="103">
        <v>61</v>
      </c>
      <c r="K3070" s="103" t="s">
        <v>1032</v>
      </c>
      <c r="L3070" s="133"/>
      <c r="M3070" s="134">
        <v>1.3888888888888888E-2</v>
      </c>
      <c r="N3070" s="135" t="s">
        <v>3989</v>
      </c>
      <c r="O3070" s="133" t="s">
        <v>1033</v>
      </c>
      <c r="Q3070" s="106" t="s">
        <v>4323</v>
      </c>
      <c r="R3070" s="226" t="s">
        <v>4351</v>
      </c>
      <c r="S3070" s="491" t="str">
        <f t="shared" si="101"/>
        <v>x</v>
      </c>
      <c r="T3070" s="492" t="str">
        <f>IFERROR(VLOOKUP(F3070,'Freq-Chan'!C:D,2,FALSE),"x")</f>
        <v>x</v>
      </c>
      <c r="U3070" s="110" t="s">
        <v>541</v>
      </c>
      <c r="V3070" s="110" t="str">
        <f t="shared" si="102"/>
        <v>FWL</v>
      </c>
      <c r="W3070" s="110" t="s">
        <v>541</v>
      </c>
      <c r="X3070" s="110" t="s">
        <v>541</v>
      </c>
      <c r="Y3070" s="110" t="str">
        <f>IFERROR(VLOOKUP(F3070,'Freq-Chan'!C:E,3,FALSE),"na")</f>
        <v>na</v>
      </c>
      <c r="Z3070" s="110" t="s">
        <v>541</v>
      </c>
      <c r="AA3070" s="110" t="s">
        <v>541</v>
      </c>
      <c r="AB3070" s="110" t="s">
        <v>541</v>
      </c>
      <c r="AC3070" s="10" t="s">
        <v>541</v>
      </c>
      <c r="AD3070" s="10" t="s">
        <v>541</v>
      </c>
    </row>
    <row r="3071" spans="1:30" x14ac:dyDescent="0.2">
      <c r="A3071" s="110">
        <v>3071</v>
      </c>
      <c r="B3071" s="132">
        <v>41870</v>
      </c>
      <c r="C3071" s="117">
        <v>3</v>
      </c>
      <c r="D3071" s="103" t="s">
        <v>70</v>
      </c>
      <c r="E3071" s="103" t="s">
        <v>306</v>
      </c>
      <c r="H3071" s="103"/>
      <c r="I3071" s="103">
        <v>45</v>
      </c>
      <c r="K3071" s="103" t="s">
        <v>365</v>
      </c>
      <c r="L3071" s="133"/>
      <c r="M3071" s="134">
        <v>2.9861111111111113E-2</v>
      </c>
      <c r="N3071" s="135" t="s">
        <v>2783</v>
      </c>
      <c r="O3071" s="133" t="s">
        <v>1033</v>
      </c>
      <c r="P3071" s="100" t="s">
        <v>4347</v>
      </c>
      <c r="Q3071" s="106" t="s">
        <v>4323</v>
      </c>
      <c r="R3071" s="226" t="s">
        <v>4351</v>
      </c>
      <c r="S3071" s="491" t="str">
        <f t="shared" si="101"/>
        <v>x</v>
      </c>
      <c r="T3071" s="492" t="str">
        <f>IFERROR(VLOOKUP(F3071,'Freq-Chan'!C:D,2,FALSE),"x")</f>
        <v>x</v>
      </c>
      <c r="U3071" s="110" t="s">
        <v>541</v>
      </c>
      <c r="V3071" s="110" t="str">
        <f t="shared" si="102"/>
        <v>FWL</v>
      </c>
      <c r="W3071" s="110" t="s">
        <v>541</v>
      </c>
      <c r="X3071" s="110" t="s">
        <v>541</v>
      </c>
      <c r="Y3071" s="110" t="str">
        <f>IFERROR(VLOOKUP(F3071,'Freq-Chan'!C:E,3,FALSE),"na")</f>
        <v>na</v>
      </c>
      <c r="Z3071" s="110" t="s">
        <v>541</v>
      </c>
      <c r="AA3071" s="110" t="s">
        <v>541</v>
      </c>
      <c r="AB3071" s="110" t="s">
        <v>541</v>
      </c>
      <c r="AC3071" s="10" t="s">
        <v>541</v>
      </c>
      <c r="AD3071" s="10" t="s">
        <v>541</v>
      </c>
    </row>
    <row r="3072" spans="1:30" x14ac:dyDescent="0.2">
      <c r="A3072" s="110">
        <v>3072</v>
      </c>
      <c r="B3072" s="132">
        <v>41870</v>
      </c>
      <c r="C3072" s="117">
        <v>3</v>
      </c>
      <c r="D3072" s="103" t="s">
        <v>70</v>
      </c>
      <c r="E3072" s="103" t="s">
        <v>306</v>
      </c>
      <c r="H3072" s="103"/>
      <c r="I3072" s="103">
        <v>45</v>
      </c>
      <c r="K3072" s="103" t="s">
        <v>1032</v>
      </c>
      <c r="L3072" s="133"/>
      <c r="M3072" s="134">
        <v>2.361111111111111E-2</v>
      </c>
      <c r="N3072" s="137" t="s">
        <v>4072</v>
      </c>
      <c r="O3072" s="133" t="s">
        <v>1033</v>
      </c>
      <c r="P3072" s="100" t="s">
        <v>4348</v>
      </c>
      <c r="Q3072" s="106" t="s">
        <v>4323</v>
      </c>
      <c r="R3072" s="226" t="s">
        <v>4351</v>
      </c>
      <c r="S3072" s="491" t="str">
        <f t="shared" si="101"/>
        <v>x</v>
      </c>
      <c r="T3072" s="492" t="str">
        <f>IFERROR(VLOOKUP(F3072,'Freq-Chan'!C:D,2,FALSE),"x")</f>
        <v>x</v>
      </c>
      <c r="U3072" s="110" t="s">
        <v>541</v>
      </c>
      <c r="V3072" s="110" t="str">
        <f t="shared" si="102"/>
        <v>FWL</v>
      </c>
      <c r="W3072" s="110" t="s">
        <v>541</v>
      </c>
      <c r="X3072" s="110" t="s">
        <v>541</v>
      </c>
      <c r="Y3072" s="110" t="str">
        <f>IFERROR(VLOOKUP(F3072,'Freq-Chan'!C:E,3,FALSE),"na")</f>
        <v>na</v>
      </c>
      <c r="Z3072" s="110" t="s">
        <v>541</v>
      </c>
      <c r="AA3072" s="110" t="s">
        <v>541</v>
      </c>
      <c r="AB3072" s="110" t="s">
        <v>541</v>
      </c>
      <c r="AC3072" s="10" t="s">
        <v>541</v>
      </c>
      <c r="AD3072" s="10" t="s">
        <v>541</v>
      </c>
    </row>
    <row r="3073" spans="1:30" x14ac:dyDescent="0.2">
      <c r="A3073" s="110">
        <v>3073</v>
      </c>
      <c r="B3073" s="132">
        <v>41870</v>
      </c>
      <c r="C3073" s="117">
        <v>3</v>
      </c>
      <c r="D3073" s="103" t="s">
        <v>71</v>
      </c>
      <c r="E3073" s="103" t="s">
        <v>306</v>
      </c>
      <c r="H3073" s="103"/>
      <c r="I3073" s="103">
        <v>53</v>
      </c>
      <c r="K3073" s="103" t="s">
        <v>365</v>
      </c>
      <c r="L3073" s="133"/>
      <c r="M3073" s="134">
        <v>1.3888888888888888E-2</v>
      </c>
      <c r="N3073" s="137" t="s">
        <v>713</v>
      </c>
      <c r="O3073" s="133" t="s">
        <v>1033</v>
      </c>
      <c r="Q3073" s="106" t="s">
        <v>4323</v>
      </c>
      <c r="R3073" s="226" t="s">
        <v>4351</v>
      </c>
      <c r="S3073" s="491" t="str">
        <f t="shared" si="101"/>
        <v>x</v>
      </c>
      <c r="T3073" s="492" t="str">
        <f>IFERROR(VLOOKUP(F3073,'Freq-Chan'!C:D,2,FALSE),"x")</f>
        <v>x</v>
      </c>
      <c r="U3073" s="110" t="s">
        <v>541</v>
      </c>
      <c r="V3073" s="110" t="str">
        <f t="shared" si="102"/>
        <v>FWL</v>
      </c>
      <c r="W3073" s="110" t="s">
        <v>541</v>
      </c>
      <c r="X3073" s="110" t="s">
        <v>541</v>
      </c>
      <c r="Y3073" s="110" t="str">
        <f>IFERROR(VLOOKUP(F3073,'Freq-Chan'!C:E,3,FALSE),"na")</f>
        <v>na</v>
      </c>
      <c r="Z3073" s="110" t="s">
        <v>541</v>
      </c>
      <c r="AA3073" s="110" t="s">
        <v>541</v>
      </c>
      <c r="AB3073" s="110" t="s">
        <v>541</v>
      </c>
      <c r="AC3073" s="10" t="s">
        <v>541</v>
      </c>
      <c r="AD3073" s="10" t="s">
        <v>541</v>
      </c>
    </row>
    <row r="3074" spans="1:30" x14ac:dyDescent="0.2">
      <c r="A3074" s="110">
        <v>3074</v>
      </c>
      <c r="B3074" s="132">
        <v>41870</v>
      </c>
      <c r="C3074" s="117">
        <v>3</v>
      </c>
      <c r="D3074" s="103" t="s">
        <v>70</v>
      </c>
      <c r="E3074" s="103" t="s">
        <v>306</v>
      </c>
      <c r="H3074" s="103"/>
      <c r="I3074" s="103">
        <v>39</v>
      </c>
      <c r="K3074" s="103" t="s">
        <v>1032</v>
      </c>
      <c r="L3074" s="133"/>
      <c r="M3074" s="134">
        <v>1.4583333333333332E-2</v>
      </c>
      <c r="N3074" s="137" t="s">
        <v>4001</v>
      </c>
      <c r="O3074" s="133" t="s">
        <v>1033</v>
      </c>
      <c r="Q3074" s="106" t="s">
        <v>4323</v>
      </c>
      <c r="R3074" s="226" t="s">
        <v>4351</v>
      </c>
      <c r="S3074" s="491" t="str">
        <f t="shared" si="101"/>
        <v>x</v>
      </c>
      <c r="T3074" s="492" t="str">
        <f>IFERROR(VLOOKUP(F3074,'Freq-Chan'!C:D,2,FALSE),"x")</f>
        <v>x</v>
      </c>
      <c r="U3074" s="110" t="s">
        <v>541</v>
      </c>
      <c r="V3074" s="110" t="str">
        <f t="shared" si="102"/>
        <v>FWL</v>
      </c>
      <c r="W3074" s="110" t="s">
        <v>541</v>
      </c>
      <c r="X3074" s="110" t="s">
        <v>541</v>
      </c>
      <c r="Y3074" s="110" t="str">
        <f>IFERROR(VLOOKUP(F3074,'Freq-Chan'!C:E,3,FALSE),"na")</f>
        <v>na</v>
      </c>
      <c r="Z3074" s="110" t="s">
        <v>541</v>
      </c>
      <c r="AA3074" s="110" t="s">
        <v>541</v>
      </c>
      <c r="AB3074" s="110" t="s">
        <v>541</v>
      </c>
      <c r="AC3074" s="10" t="s">
        <v>541</v>
      </c>
      <c r="AD3074" s="10" t="s">
        <v>541</v>
      </c>
    </row>
    <row r="3075" spans="1:30" x14ac:dyDescent="0.2">
      <c r="A3075" s="110">
        <v>3075</v>
      </c>
      <c r="B3075" s="132">
        <v>41870</v>
      </c>
      <c r="C3075" s="117">
        <v>3</v>
      </c>
      <c r="D3075" s="103" t="s">
        <v>72</v>
      </c>
      <c r="E3075" s="103" t="s">
        <v>306</v>
      </c>
      <c r="H3075" s="103"/>
      <c r="I3075" s="103">
        <v>58</v>
      </c>
      <c r="K3075" s="103" t="s">
        <v>365</v>
      </c>
      <c r="L3075" s="133"/>
      <c r="M3075" s="134">
        <v>1.6666666666666666E-2</v>
      </c>
      <c r="N3075" s="137" t="s">
        <v>3167</v>
      </c>
      <c r="O3075" s="133" t="s">
        <v>1033</v>
      </c>
      <c r="P3075" s="100" t="s">
        <v>4349</v>
      </c>
      <c r="Q3075" s="106" t="s">
        <v>4323</v>
      </c>
      <c r="R3075" s="226" t="s">
        <v>4351</v>
      </c>
      <c r="S3075" s="491" t="str">
        <f t="shared" si="101"/>
        <v>x</v>
      </c>
      <c r="T3075" s="492" t="str">
        <f>IFERROR(VLOOKUP(F3075,'Freq-Chan'!C:D,2,FALSE),"x")</f>
        <v>x</v>
      </c>
      <c r="U3075" s="110" t="s">
        <v>541</v>
      </c>
      <c r="V3075" s="110" t="str">
        <f t="shared" si="102"/>
        <v>FWL</v>
      </c>
      <c r="W3075" s="110" t="s">
        <v>541</v>
      </c>
      <c r="X3075" s="110" t="s">
        <v>541</v>
      </c>
      <c r="Y3075" s="110" t="str">
        <f>IFERROR(VLOOKUP(F3075,'Freq-Chan'!C:E,3,FALSE),"na")</f>
        <v>na</v>
      </c>
      <c r="Z3075" s="110" t="s">
        <v>541</v>
      </c>
      <c r="AA3075" s="110" t="s">
        <v>541</v>
      </c>
      <c r="AB3075" s="110" t="s">
        <v>541</v>
      </c>
      <c r="AC3075" s="10" t="s">
        <v>541</v>
      </c>
      <c r="AD3075" s="10" t="s">
        <v>541</v>
      </c>
    </row>
    <row r="3076" spans="1:30" x14ac:dyDescent="0.2">
      <c r="A3076" s="110">
        <v>3076</v>
      </c>
      <c r="B3076" s="132">
        <v>41870</v>
      </c>
      <c r="C3076" s="117">
        <v>3</v>
      </c>
      <c r="D3076" s="103" t="s">
        <v>72</v>
      </c>
      <c r="E3076" s="103" t="s">
        <v>306</v>
      </c>
      <c r="H3076" s="103"/>
      <c r="I3076" s="103">
        <v>56</v>
      </c>
      <c r="K3076" s="103" t="s">
        <v>365</v>
      </c>
      <c r="L3076" s="133"/>
      <c r="M3076" s="134">
        <v>1.5972222222222224E-2</v>
      </c>
      <c r="N3076" s="137" t="s">
        <v>2745</v>
      </c>
      <c r="O3076" s="133" t="s">
        <v>1888</v>
      </c>
      <c r="Q3076" s="106" t="s">
        <v>4323</v>
      </c>
      <c r="R3076" s="226" t="s">
        <v>4351</v>
      </c>
      <c r="S3076" s="491" t="str">
        <f t="shared" si="101"/>
        <v>x</v>
      </c>
      <c r="T3076" s="492" t="str">
        <f>IFERROR(VLOOKUP(F3076,'Freq-Chan'!C:D,2,FALSE),"x")</f>
        <v>x</v>
      </c>
      <c r="U3076" s="110" t="s">
        <v>541</v>
      </c>
      <c r="V3076" s="110" t="str">
        <f t="shared" si="102"/>
        <v>FWL</v>
      </c>
      <c r="W3076" s="110" t="s">
        <v>541</v>
      </c>
      <c r="X3076" s="110" t="s">
        <v>541</v>
      </c>
      <c r="Y3076" s="110" t="str">
        <f>IFERROR(VLOOKUP(F3076,'Freq-Chan'!C:E,3,FALSE),"na")</f>
        <v>na</v>
      </c>
      <c r="Z3076" s="110" t="s">
        <v>541</v>
      </c>
      <c r="AA3076" s="110" t="s">
        <v>541</v>
      </c>
      <c r="AB3076" s="110" t="s">
        <v>541</v>
      </c>
      <c r="AC3076" s="10" t="s">
        <v>541</v>
      </c>
      <c r="AD3076" s="10" t="s">
        <v>541</v>
      </c>
    </row>
    <row r="3077" spans="1:30" x14ac:dyDescent="0.2">
      <c r="A3077" s="110">
        <v>3077</v>
      </c>
      <c r="B3077" s="132">
        <v>41870</v>
      </c>
      <c r="C3077" s="117">
        <v>3</v>
      </c>
      <c r="D3077" s="103" t="s">
        <v>71</v>
      </c>
      <c r="E3077" s="103" t="s">
        <v>306</v>
      </c>
      <c r="H3077" s="103"/>
      <c r="I3077" s="103">
        <v>55</v>
      </c>
      <c r="K3077" s="103" t="s">
        <v>1032</v>
      </c>
      <c r="L3077" s="133"/>
      <c r="M3077" s="134">
        <v>1.7361111111111112E-2</v>
      </c>
      <c r="N3077" s="137" t="s">
        <v>1803</v>
      </c>
      <c r="O3077" s="133" t="s">
        <v>1888</v>
      </c>
      <c r="Q3077" s="106" t="s">
        <v>4323</v>
      </c>
      <c r="R3077" s="226" t="s">
        <v>4351</v>
      </c>
      <c r="S3077" s="491" t="str">
        <f t="shared" si="101"/>
        <v>x</v>
      </c>
      <c r="T3077" s="492" t="str">
        <f>IFERROR(VLOOKUP(F3077,'Freq-Chan'!C:D,2,FALSE),"x")</f>
        <v>x</v>
      </c>
      <c r="U3077" s="110" t="s">
        <v>541</v>
      </c>
      <c r="V3077" s="110" t="str">
        <f t="shared" si="102"/>
        <v>FWL</v>
      </c>
      <c r="W3077" s="110" t="s">
        <v>541</v>
      </c>
      <c r="X3077" s="110" t="s">
        <v>541</v>
      </c>
      <c r="Y3077" s="110" t="str">
        <f>IFERROR(VLOOKUP(F3077,'Freq-Chan'!C:E,3,FALSE),"na")</f>
        <v>na</v>
      </c>
      <c r="Z3077" s="110" t="s">
        <v>541</v>
      </c>
      <c r="AA3077" s="110" t="s">
        <v>541</v>
      </c>
      <c r="AB3077" s="110" t="s">
        <v>541</v>
      </c>
      <c r="AC3077" s="10" t="s">
        <v>541</v>
      </c>
      <c r="AD3077" s="10" t="s">
        <v>541</v>
      </c>
    </row>
    <row r="3078" spans="1:30" x14ac:dyDescent="0.2">
      <c r="A3078" s="110">
        <v>3078</v>
      </c>
      <c r="B3078" s="132">
        <v>41870</v>
      </c>
      <c r="C3078" s="117">
        <v>3</v>
      </c>
      <c r="D3078" s="103" t="s">
        <v>70</v>
      </c>
      <c r="E3078" s="103" t="s">
        <v>306</v>
      </c>
      <c r="H3078" s="103"/>
      <c r="I3078" s="103">
        <v>47</v>
      </c>
      <c r="K3078" s="103" t="s">
        <v>365</v>
      </c>
      <c r="L3078" s="133"/>
      <c r="M3078" s="134">
        <v>1.5277777777777777E-2</v>
      </c>
      <c r="N3078" s="137" t="s">
        <v>2746</v>
      </c>
      <c r="O3078" s="133" t="s">
        <v>1888</v>
      </c>
      <c r="Q3078" s="106" t="s">
        <v>4323</v>
      </c>
      <c r="R3078" s="226" t="s">
        <v>4351</v>
      </c>
      <c r="S3078" s="491" t="str">
        <f t="shared" si="101"/>
        <v>x</v>
      </c>
      <c r="T3078" s="492" t="str">
        <f>IFERROR(VLOOKUP(F3078,'Freq-Chan'!C:D,2,FALSE),"x")</f>
        <v>x</v>
      </c>
      <c r="U3078" s="110" t="s">
        <v>541</v>
      </c>
      <c r="V3078" s="110" t="str">
        <f t="shared" si="102"/>
        <v>FWL</v>
      </c>
      <c r="W3078" s="110" t="s">
        <v>541</v>
      </c>
      <c r="X3078" s="110" t="s">
        <v>541</v>
      </c>
      <c r="Y3078" s="110" t="str">
        <f>IFERROR(VLOOKUP(F3078,'Freq-Chan'!C:E,3,FALSE),"na")</f>
        <v>na</v>
      </c>
      <c r="Z3078" s="110" t="s">
        <v>541</v>
      </c>
      <c r="AA3078" s="110" t="s">
        <v>541</v>
      </c>
      <c r="AB3078" s="110" t="s">
        <v>541</v>
      </c>
      <c r="AC3078" s="10" t="s">
        <v>541</v>
      </c>
      <c r="AD3078" s="10" t="s">
        <v>541</v>
      </c>
    </row>
    <row r="3079" spans="1:30" x14ac:dyDescent="0.2">
      <c r="A3079" s="110">
        <v>3079</v>
      </c>
      <c r="B3079" s="132">
        <v>41870</v>
      </c>
      <c r="C3079" s="117">
        <v>3</v>
      </c>
      <c r="D3079" s="103" t="s">
        <v>71</v>
      </c>
      <c r="E3079" s="103" t="s">
        <v>306</v>
      </c>
      <c r="H3079" s="103"/>
      <c r="I3079" s="103">
        <v>56</v>
      </c>
      <c r="K3079" s="103" t="s">
        <v>365</v>
      </c>
      <c r="L3079" s="133"/>
      <c r="M3079" s="134">
        <v>1.8055555555555557E-2</v>
      </c>
      <c r="N3079" s="137" t="s">
        <v>1774</v>
      </c>
      <c r="O3079" s="133" t="s">
        <v>1888</v>
      </c>
      <c r="Q3079" s="106" t="s">
        <v>4323</v>
      </c>
      <c r="R3079" s="226" t="s">
        <v>4351</v>
      </c>
      <c r="S3079" s="491" t="str">
        <f t="shared" si="101"/>
        <v>x</v>
      </c>
      <c r="T3079" s="492" t="str">
        <f>IFERROR(VLOOKUP(F3079,'Freq-Chan'!C:D,2,FALSE),"x")</f>
        <v>x</v>
      </c>
      <c r="U3079" s="110" t="s">
        <v>541</v>
      </c>
      <c r="V3079" s="110" t="str">
        <f t="shared" si="102"/>
        <v>FWL</v>
      </c>
      <c r="W3079" s="110" t="s">
        <v>541</v>
      </c>
      <c r="X3079" s="110" t="s">
        <v>541</v>
      </c>
      <c r="Y3079" s="110" t="str">
        <f>IFERROR(VLOOKUP(F3079,'Freq-Chan'!C:E,3,FALSE),"na")</f>
        <v>na</v>
      </c>
      <c r="Z3079" s="110" t="s">
        <v>541</v>
      </c>
      <c r="AA3079" s="110" t="s">
        <v>541</v>
      </c>
      <c r="AB3079" s="110" t="s">
        <v>541</v>
      </c>
      <c r="AC3079" s="10" t="s">
        <v>541</v>
      </c>
      <c r="AD3079" s="10" t="s">
        <v>541</v>
      </c>
    </row>
    <row r="3080" spans="1:30" x14ac:dyDescent="0.2">
      <c r="A3080" s="110">
        <v>3080</v>
      </c>
      <c r="B3080" s="132">
        <v>41870</v>
      </c>
      <c r="C3080" s="117">
        <v>3</v>
      </c>
      <c r="D3080" s="103" t="s">
        <v>177</v>
      </c>
      <c r="E3080" s="103" t="s">
        <v>306</v>
      </c>
      <c r="H3080" s="103"/>
      <c r="I3080" s="103">
        <v>34</v>
      </c>
      <c r="K3080" s="103" t="s">
        <v>1032</v>
      </c>
      <c r="L3080" s="133"/>
      <c r="M3080" s="134">
        <v>5.5555555555555552E-2</v>
      </c>
      <c r="N3080" s="137" t="s">
        <v>1671</v>
      </c>
      <c r="O3080" s="133" t="s">
        <v>1888</v>
      </c>
      <c r="P3080" s="100" t="s">
        <v>4350</v>
      </c>
      <c r="Q3080" s="106" t="s">
        <v>4323</v>
      </c>
      <c r="R3080" s="226" t="s">
        <v>4351</v>
      </c>
      <c r="S3080" s="491" t="str">
        <f t="shared" si="101"/>
        <v>x</v>
      </c>
      <c r="T3080" s="492" t="str">
        <f>IFERROR(VLOOKUP(F3080,'Freq-Chan'!C:D,2,FALSE),"x")</f>
        <v>x</v>
      </c>
      <c r="U3080" s="110" t="s">
        <v>541</v>
      </c>
      <c r="V3080" s="110" t="str">
        <f t="shared" si="102"/>
        <v>FWL</v>
      </c>
      <c r="W3080" s="110" t="s">
        <v>541</v>
      </c>
      <c r="X3080" s="110" t="s">
        <v>541</v>
      </c>
      <c r="Y3080" s="110" t="str">
        <f>IFERROR(VLOOKUP(F3080,'Freq-Chan'!C:E,3,FALSE),"na")</f>
        <v>na</v>
      </c>
      <c r="Z3080" s="110" t="s">
        <v>541</v>
      </c>
      <c r="AA3080" s="110" t="s">
        <v>541</v>
      </c>
      <c r="AB3080" s="110" t="s">
        <v>541</v>
      </c>
      <c r="AC3080" s="10" t="s">
        <v>541</v>
      </c>
      <c r="AD3080" s="10" t="s">
        <v>541</v>
      </c>
    </row>
    <row r="3081" spans="1:30" s="291" customFormat="1" x14ac:dyDescent="0.2">
      <c r="A3081" s="493">
        <v>3081</v>
      </c>
      <c r="B3081" s="283">
        <v>41870</v>
      </c>
      <c r="C3081" s="284">
        <v>3</v>
      </c>
      <c r="D3081" s="285" t="s">
        <v>72</v>
      </c>
      <c r="E3081" s="285" t="s">
        <v>306</v>
      </c>
      <c r="F3081" s="285"/>
      <c r="G3081" s="285"/>
      <c r="H3081" s="285"/>
      <c r="I3081" s="285">
        <v>53</v>
      </c>
      <c r="J3081" s="285"/>
      <c r="K3081" s="285" t="s">
        <v>365</v>
      </c>
      <c r="L3081" s="286"/>
      <c r="M3081" s="287">
        <v>1.7361111111111112E-2</v>
      </c>
      <c r="N3081" s="288" t="s">
        <v>4108</v>
      </c>
      <c r="O3081" s="286" t="s">
        <v>1888</v>
      </c>
      <c r="P3081" s="289" t="s">
        <v>4279</v>
      </c>
      <c r="Q3081" s="395" t="s">
        <v>4323</v>
      </c>
      <c r="R3081" s="290" t="s">
        <v>4351</v>
      </c>
      <c r="S3081" s="494" t="str">
        <f t="shared" si="101"/>
        <v>x</v>
      </c>
      <c r="T3081" s="495" t="str">
        <f>IFERROR(VLOOKUP(F3081,'Freq-Chan'!C:D,2,FALSE),"x")</f>
        <v>x</v>
      </c>
      <c r="U3081" s="493" t="s">
        <v>541</v>
      </c>
      <c r="V3081" s="493" t="str">
        <f t="shared" si="102"/>
        <v>FWL</v>
      </c>
      <c r="W3081" s="493" t="s">
        <v>541</v>
      </c>
      <c r="X3081" s="493" t="s">
        <v>541</v>
      </c>
      <c r="Y3081" s="493" t="str">
        <f>IFERROR(VLOOKUP(F3081,'Freq-Chan'!C:E,3,FALSE),"na")</f>
        <v>na</v>
      </c>
      <c r="Z3081" s="493" t="s">
        <v>541</v>
      </c>
      <c r="AA3081" s="493" t="s">
        <v>541</v>
      </c>
      <c r="AB3081" s="493" t="s">
        <v>541</v>
      </c>
      <c r="AC3081" s="291" t="s">
        <v>541</v>
      </c>
      <c r="AD3081" s="291" t="s">
        <v>541</v>
      </c>
    </row>
    <row r="3082" spans="1:30" x14ac:dyDescent="0.2">
      <c r="A3082" s="110">
        <v>3082</v>
      </c>
      <c r="B3082" s="132">
        <v>41871</v>
      </c>
      <c r="C3082" s="117">
        <v>1</v>
      </c>
      <c r="D3082" s="103" t="s">
        <v>71</v>
      </c>
      <c r="E3082" s="103" t="s">
        <v>306</v>
      </c>
      <c r="F3082" s="103">
        <v>534</v>
      </c>
      <c r="G3082" s="103">
        <v>5</v>
      </c>
      <c r="H3082" s="103" t="s">
        <v>2472</v>
      </c>
      <c r="I3082" s="103">
        <v>55</v>
      </c>
      <c r="K3082" s="103" t="s">
        <v>1032</v>
      </c>
      <c r="L3082" s="133">
        <v>0.35000000000000003</v>
      </c>
      <c r="M3082" s="134">
        <v>2.4305555555555556E-2</v>
      </c>
      <c r="N3082" s="135" t="s">
        <v>3348</v>
      </c>
      <c r="O3082" s="133" t="s">
        <v>1538</v>
      </c>
      <c r="Q3082" s="100" t="s">
        <v>4360</v>
      </c>
      <c r="R3082" s="226" t="s">
        <v>4370</v>
      </c>
      <c r="S3082" s="491">
        <f t="shared" si="101"/>
        <v>1.4178240700000001E-2</v>
      </c>
      <c r="T3082" s="492">
        <f>IFERROR(VLOOKUP(F3082,'Freq-Chan'!C:D,2,FALSE),"x")</f>
        <v>151.53399999999999</v>
      </c>
      <c r="U3082" s="110" t="s">
        <v>541</v>
      </c>
      <c r="V3082" s="110" t="str">
        <f t="shared" si="102"/>
        <v>FWL</v>
      </c>
      <c r="W3082" s="110" t="s">
        <v>541</v>
      </c>
      <c r="X3082" s="110" t="s">
        <v>541</v>
      </c>
      <c r="Y3082" s="110" t="str">
        <f>IFERROR(VLOOKUP(F3082,'Freq-Chan'!C:E,3,FALSE),"na")</f>
        <v>F1840</v>
      </c>
      <c r="Z3082" s="110" t="s">
        <v>541</v>
      </c>
      <c r="AA3082" s="110" t="s">
        <v>541</v>
      </c>
      <c r="AB3082" s="110" t="s">
        <v>541</v>
      </c>
      <c r="AC3082" s="10" t="s">
        <v>541</v>
      </c>
      <c r="AD3082" s="10" t="s">
        <v>541</v>
      </c>
    </row>
    <row r="3083" spans="1:30" x14ac:dyDescent="0.2">
      <c r="A3083" s="110">
        <v>3083</v>
      </c>
      <c r="B3083" s="132">
        <v>41871</v>
      </c>
      <c r="C3083" s="117">
        <v>1</v>
      </c>
      <c r="D3083" s="103" t="s">
        <v>71</v>
      </c>
      <c r="E3083" s="103" t="s">
        <v>306</v>
      </c>
      <c r="H3083" s="103"/>
      <c r="I3083" s="103">
        <v>53</v>
      </c>
      <c r="K3083" s="103" t="s">
        <v>365</v>
      </c>
      <c r="L3083" s="133"/>
      <c r="M3083" s="134">
        <v>1.2499999999999999E-2</v>
      </c>
      <c r="N3083" s="135" t="s">
        <v>3467</v>
      </c>
      <c r="O3083" s="133" t="s">
        <v>1538</v>
      </c>
      <c r="Q3083" s="100" t="s">
        <v>4360</v>
      </c>
      <c r="R3083" s="226" t="s">
        <v>4370</v>
      </c>
      <c r="S3083" s="491" t="str">
        <f t="shared" si="101"/>
        <v>x</v>
      </c>
      <c r="T3083" s="492" t="str">
        <f>IFERROR(VLOOKUP(F3083,'Freq-Chan'!C:D,2,FALSE),"x")</f>
        <v>x</v>
      </c>
      <c r="U3083" s="110" t="s">
        <v>541</v>
      </c>
      <c r="V3083" s="110" t="str">
        <f t="shared" si="102"/>
        <v>FWL</v>
      </c>
      <c r="W3083" s="110" t="s">
        <v>541</v>
      </c>
      <c r="X3083" s="110" t="s">
        <v>541</v>
      </c>
      <c r="Y3083" s="110" t="str">
        <f>IFERROR(VLOOKUP(F3083,'Freq-Chan'!C:E,3,FALSE),"na")</f>
        <v>na</v>
      </c>
      <c r="Z3083" s="110" t="s">
        <v>541</v>
      </c>
      <c r="AA3083" s="110" t="s">
        <v>541</v>
      </c>
      <c r="AB3083" s="110" t="s">
        <v>541</v>
      </c>
      <c r="AC3083" s="10" t="s">
        <v>541</v>
      </c>
      <c r="AD3083" s="10" t="s">
        <v>541</v>
      </c>
    </row>
    <row r="3084" spans="1:30" x14ac:dyDescent="0.2">
      <c r="A3084" s="110">
        <v>3084</v>
      </c>
      <c r="B3084" s="132">
        <v>41871</v>
      </c>
      <c r="C3084" s="117">
        <v>1</v>
      </c>
      <c r="D3084" s="103" t="s">
        <v>71</v>
      </c>
      <c r="E3084" s="103" t="s">
        <v>306</v>
      </c>
      <c r="H3084" s="103"/>
      <c r="I3084" s="103">
        <v>57</v>
      </c>
      <c r="K3084" s="103" t="s">
        <v>365</v>
      </c>
      <c r="L3084" s="133"/>
      <c r="M3084" s="134">
        <v>1.6666666666666666E-2</v>
      </c>
      <c r="N3084" s="135" t="s">
        <v>3448</v>
      </c>
      <c r="O3084" s="133" t="s">
        <v>1538</v>
      </c>
      <c r="P3084" s="100" t="s">
        <v>4364</v>
      </c>
      <c r="Q3084" s="100" t="s">
        <v>4360</v>
      </c>
      <c r="R3084" s="226" t="s">
        <v>4370</v>
      </c>
      <c r="S3084" s="491" t="str">
        <f t="shared" si="101"/>
        <v>x</v>
      </c>
      <c r="T3084" s="492" t="str">
        <f>IFERROR(VLOOKUP(F3084,'Freq-Chan'!C:D,2,FALSE),"x")</f>
        <v>x</v>
      </c>
      <c r="U3084" s="110" t="s">
        <v>541</v>
      </c>
      <c r="V3084" s="110" t="str">
        <f t="shared" si="102"/>
        <v>FWL</v>
      </c>
      <c r="W3084" s="110" t="s">
        <v>541</v>
      </c>
      <c r="X3084" s="110" t="s">
        <v>541</v>
      </c>
      <c r="Y3084" s="110" t="str">
        <f>IFERROR(VLOOKUP(F3084,'Freq-Chan'!C:E,3,FALSE),"na")</f>
        <v>na</v>
      </c>
      <c r="Z3084" s="110" t="s">
        <v>541</v>
      </c>
      <c r="AA3084" s="110" t="s">
        <v>541</v>
      </c>
      <c r="AB3084" s="110" t="s">
        <v>541</v>
      </c>
      <c r="AC3084" s="10" t="s">
        <v>541</v>
      </c>
      <c r="AD3084" s="10" t="s">
        <v>541</v>
      </c>
    </row>
    <row r="3085" spans="1:30" x14ac:dyDescent="0.2">
      <c r="A3085" s="110">
        <v>3085</v>
      </c>
      <c r="B3085" s="132">
        <v>41871</v>
      </c>
      <c r="C3085" s="117">
        <v>1</v>
      </c>
      <c r="D3085" s="103" t="s">
        <v>71</v>
      </c>
      <c r="E3085" s="103" t="s">
        <v>306</v>
      </c>
      <c r="H3085" s="103"/>
      <c r="I3085" s="103">
        <v>50</v>
      </c>
      <c r="K3085" s="103" t="s">
        <v>365</v>
      </c>
      <c r="L3085" s="133"/>
      <c r="M3085" s="134">
        <v>1.5972222222222224E-2</v>
      </c>
      <c r="N3085" s="135" t="s">
        <v>1982</v>
      </c>
      <c r="O3085" s="133" t="s">
        <v>1538</v>
      </c>
      <c r="Q3085" s="100" t="s">
        <v>4360</v>
      </c>
      <c r="R3085" s="226" t="s">
        <v>4370</v>
      </c>
      <c r="S3085" s="491" t="str">
        <f t="shared" si="101"/>
        <v>x</v>
      </c>
      <c r="T3085" s="492" t="str">
        <f>IFERROR(VLOOKUP(F3085,'Freq-Chan'!C:D,2,FALSE),"x")</f>
        <v>x</v>
      </c>
      <c r="U3085" s="110" t="s">
        <v>541</v>
      </c>
      <c r="V3085" s="110" t="str">
        <f t="shared" si="102"/>
        <v>FWL</v>
      </c>
      <c r="W3085" s="110" t="s">
        <v>541</v>
      </c>
      <c r="X3085" s="110" t="s">
        <v>541</v>
      </c>
      <c r="Y3085" s="110" t="str">
        <f>IFERROR(VLOOKUP(F3085,'Freq-Chan'!C:E,3,FALSE),"na")</f>
        <v>na</v>
      </c>
      <c r="Z3085" s="110" t="s">
        <v>541</v>
      </c>
      <c r="AA3085" s="110" t="s">
        <v>541</v>
      </c>
      <c r="AB3085" s="110" t="s">
        <v>541</v>
      </c>
      <c r="AC3085" s="10" t="s">
        <v>541</v>
      </c>
      <c r="AD3085" s="10" t="s">
        <v>541</v>
      </c>
    </row>
    <row r="3086" spans="1:30" x14ac:dyDescent="0.2">
      <c r="A3086" s="110">
        <v>3086</v>
      </c>
      <c r="B3086" s="132">
        <v>41871</v>
      </c>
      <c r="C3086" s="117">
        <v>1</v>
      </c>
      <c r="D3086" s="103" t="s">
        <v>8</v>
      </c>
      <c r="E3086" s="103" t="s">
        <v>306</v>
      </c>
      <c r="F3086" s="103">
        <v>573</v>
      </c>
      <c r="G3086" s="103">
        <v>1</v>
      </c>
      <c r="H3086" s="103" t="s">
        <v>2280</v>
      </c>
      <c r="I3086" s="103">
        <v>45</v>
      </c>
      <c r="K3086" s="103" t="s">
        <v>1032</v>
      </c>
      <c r="L3086" s="133"/>
      <c r="M3086" s="134">
        <v>2.9861111111111113E-2</v>
      </c>
      <c r="N3086" s="135" t="s">
        <v>3450</v>
      </c>
      <c r="O3086" s="133" t="s">
        <v>1538</v>
      </c>
      <c r="Q3086" s="100" t="s">
        <v>4360</v>
      </c>
      <c r="R3086" s="226" t="s">
        <v>4370</v>
      </c>
      <c r="S3086" s="491" t="str">
        <f t="shared" si="101"/>
        <v>x</v>
      </c>
      <c r="T3086" s="492">
        <f>IFERROR(VLOOKUP(F3086,'Freq-Chan'!C:D,2,FALSE),"x")</f>
        <v>151.57300000000001</v>
      </c>
      <c r="U3086" s="110" t="s">
        <v>541</v>
      </c>
      <c r="V3086" s="110" t="str">
        <f t="shared" si="102"/>
        <v>FWL</v>
      </c>
      <c r="W3086" s="110" t="s">
        <v>541</v>
      </c>
      <c r="X3086" s="110" t="s">
        <v>541</v>
      </c>
      <c r="Y3086" s="110" t="str">
        <f>IFERROR(VLOOKUP(F3086,'Freq-Chan'!C:E,3,FALSE),"na")</f>
        <v>F1840</v>
      </c>
      <c r="Z3086" s="110" t="s">
        <v>541</v>
      </c>
      <c r="AA3086" s="110" t="s">
        <v>541</v>
      </c>
      <c r="AB3086" s="110" t="s">
        <v>541</v>
      </c>
      <c r="AC3086" s="10" t="s">
        <v>541</v>
      </c>
      <c r="AD3086" s="10" t="s">
        <v>541</v>
      </c>
    </row>
    <row r="3087" spans="1:30" x14ac:dyDescent="0.2">
      <c r="A3087" s="110">
        <v>3087</v>
      </c>
      <c r="B3087" s="132">
        <v>41871</v>
      </c>
      <c r="C3087" s="117">
        <v>1</v>
      </c>
      <c r="D3087" s="103" t="s">
        <v>71</v>
      </c>
      <c r="E3087" s="103" t="s">
        <v>306</v>
      </c>
      <c r="H3087" s="103"/>
      <c r="I3087" s="103">
        <v>53</v>
      </c>
      <c r="K3087" s="103" t="s">
        <v>1032</v>
      </c>
      <c r="L3087" s="133"/>
      <c r="M3087" s="134">
        <v>1.2499999999999999E-2</v>
      </c>
      <c r="N3087" s="135" t="s">
        <v>3451</v>
      </c>
      <c r="O3087" s="133" t="s">
        <v>1538</v>
      </c>
      <c r="Q3087" s="100" t="s">
        <v>4360</v>
      </c>
      <c r="R3087" s="226" t="s">
        <v>4370</v>
      </c>
      <c r="S3087" s="491" t="str">
        <f t="shared" si="101"/>
        <v>x</v>
      </c>
      <c r="T3087" s="492" t="str">
        <f>IFERROR(VLOOKUP(F3087,'Freq-Chan'!C:D,2,FALSE),"x")</f>
        <v>x</v>
      </c>
      <c r="U3087" s="110" t="s">
        <v>541</v>
      </c>
      <c r="V3087" s="110" t="str">
        <f t="shared" si="102"/>
        <v>FWL</v>
      </c>
      <c r="W3087" s="110" t="s">
        <v>541</v>
      </c>
      <c r="X3087" s="110" t="s">
        <v>541</v>
      </c>
      <c r="Y3087" s="110" t="str">
        <f>IFERROR(VLOOKUP(F3087,'Freq-Chan'!C:E,3,FALSE),"na")</f>
        <v>na</v>
      </c>
      <c r="Z3087" s="110" t="s">
        <v>541</v>
      </c>
      <c r="AA3087" s="110" t="s">
        <v>541</v>
      </c>
      <c r="AB3087" s="110" t="s">
        <v>541</v>
      </c>
      <c r="AC3087" s="10" t="s">
        <v>541</v>
      </c>
      <c r="AD3087" s="10" t="s">
        <v>541</v>
      </c>
    </row>
    <row r="3088" spans="1:30" x14ac:dyDescent="0.2">
      <c r="A3088" s="110">
        <v>3088</v>
      </c>
      <c r="B3088" s="132">
        <v>41871</v>
      </c>
      <c r="C3088" s="117">
        <v>1</v>
      </c>
      <c r="D3088" s="103" t="s">
        <v>71</v>
      </c>
      <c r="E3088" s="103" t="s">
        <v>306</v>
      </c>
      <c r="H3088" s="103"/>
      <c r="I3088" s="103">
        <v>62</v>
      </c>
      <c r="K3088" s="103" t="s">
        <v>1032</v>
      </c>
      <c r="L3088" s="133"/>
      <c r="M3088" s="134">
        <v>1.2499999999999999E-2</v>
      </c>
      <c r="N3088" s="135" t="s">
        <v>1796</v>
      </c>
      <c r="O3088" s="133" t="s">
        <v>1538</v>
      </c>
      <c r="Q3088" s="100" t="s">
        <v>4360</v>
      </c>
      <c r="R3088" s="226" t="s">
        <v>4370</v>
      </c>
      <c r="S3088" s="491" t="str">
        <f t="shared" si="101"/>
        <v>x</v>
      </c>
      <c r="T3088" s="492" t="str">
        <f>IFERROR(VLOOKUP(F3088,'Freq-Chan'!C:D,2,FALSE),"x")</f>
        <v>x</v>
      </c>
      <c r="U3088" s="110" t="s">
        <v>541</v>
      </c>
      <c r="V3088" s="110" t="str">
        <f t="shared" si="102"/>
        <v>FWL</v>
      </c>
      <c r="W3088" s="110" t="s">
        <v>541</v>
      </c>
      <c r="X3088" s="110" t="s">
        <v>541</v>
      </c>
      <c r="Y3088" s="110" t="str">
        <f>IFERROR(VLOOKUP(F3088,'Freq-Chan'!C:E,3,FALSE),"na")</f>
        <v>na</v>
      </c>
      <c r="Z3088" s="110" t="s">
        <v>541</v>
      </c>
      <c r="AA3088" s="110" t="s">
        <v>541</v>
      </c>
      <c r="AB3088" s="110" t="s">
        <v>541</v>
      </c>
      <c r="AC3088" s="10" t="s">
        <v>541</v>
      </c>
      <c r="AD3088" s="10" t="s">
        <v>541</v>
      </c>
    </row>
    <row r="3089" spans="1:30" x14ac:dyDescent="0.2">
      <c r="A3089" s="110">
        <v>3089</v>
      </c>
      <c r="B3089" s="132">
        <v>41871</v>
      </c>
      <c r="C3089" s="117">
        <v>1</v>
      </c>
      <c r="D3089" s="103" t="s">
        <v>72</v>
      </c>
      <c r="E3089" s="103" t="s">
        <v>306</v>
      </c>
      <c r="F3089" s="103">
        <v>325</v>
      </c>
      <c r="G3089" s="103">
        <v>36</v>
      </c>
      <c r="H3089" s="103" t="s">
        <v>3630</v>
      </c>
      <c r="I3089" s="103">
        <v>58</v>
      </c>
      <c r="K3089" s="103" t="s">
        <v>365</v>
      </c>
      <c r="L3089" s="133"/>
      <c r="M3089" s="134">
        <v>3.3333333333333333E-2</v>
      </c>
      <c r="N3089" s="135" t="s">
        <v>2754</v>
      </c>
      <c r="O3089" s="133" t="s">
        <v>1538</v>
      </c>
      <c r="Q3089" s="100" t="s">
        <v>4360</v>
      </c>
      <c r="R3089" s="226" t="s">
        <v>4370</v>
      </c>
      <c r="S3089" s="491" t="str">
        <f t="shared" si="101"/>
        <v>x</v>
      </c>
      <c r="T3089" s="492">
        <f>IFERROR(VLOOKUP(F3089,'Freq-Chan'!C:D,2,FALSE),"x")</f>
        <v>151.32499999999999</v>
      </c>
      <c r="U3089" s="110" t="s">
        <v>541</v>
      </c>
      <c r="V3089" s="110" t="str">
        <f t="shared" si="102"/>
        <v>FWL</v>
      </c>
      <c r="W3089" s="110" t="s">
        <v>541</v>
      </c>
      <c r="X3089" s="110" t="s">
        <v>541</v>
      </c>
      <c r="Y3089" s="110" t="str">
        <f>IFERROR(VLOOKUP(F3089,'Freq-Chan'!C:E,3,FALSE),"na")</f>
        <v>F1840</v>
      </c>
      <c r="Z3089" s="110" t="s">
        <v>541</v>
      </c>
      <c r="AA3089" s="110" t="s">
        <v>541</v>
      </c>
      <c r="AB3089" s="110" t="s">
        <v>541</v>
      </c>
      <c r="AC3089" s="10" t="s">
        <v>541</v>
      </c>
      <c r="AD3089" s="10" t="s">
        <v>541</v>
      </c>
    </row>
    <row r="3090" spans="1:30" x14ac:dyDescent="0.2">
      <c r="A3090" s="110">
        <v>3090</v>
      </c>
      <c r="B3090" s="132">
        <v>41871</v>
      </c>
      <c r="C3090" s="117">
        <v>1</v>
      </c>
      <c r="D3090" s="103" t="s">
        <v>72</v>
      </c>
      <c r="E3090" s="103" t="s">
        <v>306</v>
      </c>
      <c r="F3090" s="103">
        <v>266</v>
      </c>
      <c r="G3090" s="103">
        <v>40</v>
      </c>
      <c r="H3090" s="103" t="s">
        <v>3631</v>
      </c>
      <c r="I3090" s="103">
        <v>51</v>
      </c>
      <c r="K3090" s="103" t="s">
        <v>1032</v>
      </c>
      <c r="L3090" s="133">
        <v>0.42569444444444443</v>
      </c>
      <c r="M3090" s="134">
        <v>3.1944444444444449E-2</v>
      </c>
      <c r="N3090" s="135" t="s">
        <v>3425</v>
      </c>
      <c r="O3090" s="133" t="s">
        <v>1538</v>
      </c>
      <c r="P3090" s="100" t="s">
        <v>4466</v>
      </c>
      <c r="Q3090" s="100" t="s">
        <v>4360</v>
      </c>
      <c r="R3090" s="226" t="s">
        <v>4370</v>
      </c>
      <c r="S3090" s="491">
        <f t="shared" si="101"/>
        <v>1.6828703699999999E-2</v>
      </c>
      <c r="T3090" s="492">
        <f>IFERROR(VLOOKUP(F3090,'Freq-Chan'!C:D,2,FALSE),"x")</f>
        <v>151.26599999999999</v>
      </c>
      <c r="U3090" s="110" t="s">
        <v>541</v>
      </c>
      <c r="V3090" s="110" t="str">
        <f t="shared" si="102"/>
        <v>FWL</v>
      </c>
      <c r="W3090" s="110" t="s">
        <v>541</v>
      </c>
      <c r="X3090" s="110" t="s">
        <v>541</v>
      </c>
      <c r="Y3090" s="110" t="str">
        <f>IFERROR(VLOOKUP(F3090,'Freq-Chan'!C:E,3,FALSE),"na")</f>
        <v>F1840</v>
      </c>
      <c r="Z3090" s="110" t="s">
        <v>541</v>
      </c>
      <c r="AA3090" s="110" t="s">
        <v>541</v>
      </c>
      <c r="AB3090" s="110" t="s">
        <v>541</v>
      </c>
      <c r="AC3090" s="10" t="s">
        <v>541</v>
      </c>
      <c r="AD3090" s="10" t="s">
        <v>541</v>
      </c>
    </row>
    <row r="3091" spans="1:30" x14ac:dyDescent="0.2">
      <c r="A3091" s="110">
        <v>3091</v>
      </c>
      <c r="B3091" s="132">
        <v>41871</v>
      </c>
      <c r="C3091" s="117">
        <v>1</v>
      </c>
      <c r="D3091" s="103" t="s">
        <v>71</v>
      </c>
      <c r="E3091" s="103" t="s">
        <v>306</v>
      </c>
      <c r="H3091" s="103"/>
      <c r="I3091" s="103">
        <v>54</v>
      </c>
      <c r="K3091" s="103" t="s">
        <v>365</v>
      </c>
      <c r="L3091" s="133"/>
      <c r="M3091" s="134">
        <v>1.2499999999999999E-2</v>
      </c>
      <c r="N3091" s="135" t="s">
        <v>3355</v>
      </c>
      <c r="O3091" s="133" t="s">
        <v>1538</v>
      </c>
      <c r="Q3091" s="100" t="s">
        <v>4360</v>
      </c>
      <c r="R3091" s="226" t="s">
        <v>4370</v>
      </c>
      <c r="S3091" s="491" t="str">
        <f t="shared" si="101"/>
        <v>x</v>
      </c>
      <c r="T3091" s="492" t="str">
        <f>IFERROR(VLOOKUP(F3091,'Freq-Chan'!C:D,2,FALSE),"x")</f>
        <v>x</v>
      </c>
      <c r="U3091" s="110" t="s">
        <v>541</v>
      </c>
      <c r="V3091" s="110" t="str">
        <f t="shared" si="102"/>
        <v>FWL</v>
      </c>
      <c r="W3091" s="110" t="s">
        <v>541</v>
      </c>
      <c r="X3091" s="110" t="s">
        <v>541</v>
      </c>
      <c r="Y3091" s="110" t="str">
        <f>IFERROR(VLOOKUP(F3091,'Freq-Chan'!C:E,3,FALSE),"na")</f>
        <v>na</v>
      </c>
      <c r="Z3091" s="110" t="s">
        <v>541</v>
      </c>
      <c r="AA3091" s="110" t="s">
        <v>541</v>
      </c>
      <c r="AB3091" s="110" t="s">
        <v>541</v>
      </c>
      <c r="AC3091" s="10" t="s">
        <v>541</v>
      </c>
      <c r="AD3091" s="10" t="s">
        <v>541</v>
      </c>
    </row>
    <row r="3092" spans="1:30" x14ac:dyDescent="0.2">
      <c r="A3092" s="110">
        <v>3092</v>
      </c>
      <c r="B3092" s="132">
        <v>41871</v>
      </c>
      <c r="C3092" s="117">
        <v>1</v>
      </c>
      <c r="D3092" s="103" t="s">
        <v>71</v>
      </c>
      <c r="E3092" s="103" t="s">
        <v>306</v>
      </c>
      <c r="H3092" s="103"/>
      <c r="I3092" s="103">
        <v>60</v>
      </c>
      <c r="K3092" s="103" t="s">
        <v>365</v>
      </c>
      <c r="L3092" s="133"/>
      <c r="M3092" s="134">
        <v>1.3888888888888888E-2</v>
      </c>
      <c r="N3092" s="137" t="s">
        <v>3355</v>
      </c>
      <c r="O3092" s="133" t="s">
        <v>1538</v>
      </c>
      <c r="Q3092" s="100" t="s">
        <v>4360</v>
      </c>
      <c r="R3092" s="226" t="s">
        <v>4370</v>
      </c>
      <c r="S3092" s="491" t="str">
        <f t="shared" si="101"/>
        <v>x</v>
      </c>
      <c r="T3092" s="492" t="str">
        <f>IFERROR(VLOOKUP(F3092,'Freq-Chan'!C:D,2,FALSE),"x")</f>
        <v>x</v>
      </c>
      <c r="U3092" s="110" t="s">
        <v>541</v>
      </c>
      <c r="V3092" s="110" t="str">
        <f t="shared" si="102"/>
        <v>FWL</v>
      </c>
      <c r="W3092" s="110" t="s">
        <v>541</v>
      </c>
      <c r="X3092" s="110" t="s">
        <v>541</v>
      </c>
      <c r="Y3092" s="110" t="str">
        <f>IFERROR(VLOOKUP(F3092,'Freq-Chan'!C:E,3,FALSE),"na")</f>
        <v>na</v>
      </c>
      <c r="Z3092" s="110" t="s">
        <v>541</v>
      </c>
      <c r="AA3092" s="110" t="s">
        <v>541</v>
      </c>
      <c r="AB3092" s="110" t="s">
        <v>541</v>
      </c>
      <c r="AC3092" s="10" t="s">
        <v>541</v>
      </c>
      <c r="AD3092" s="10" t="s">
        <v>541</v>
      </c>
    </row>
    <row r="3093" spans="1:30" x14ac:dyDescent="0.2">
      <c r="A3093" s="110">
        <v>3093</v>
      </c>
      <c r="B3093" s="132">
        <v>41871</v>
      </c>
      <c r="C3093" s="117">
        <v>1</v>
      </c>
      <c r="D3093" s="103" t="s">
        <v>70</v>
      </c>
      <c r="E3093" s="103" t="s">
        <v>306</v>
      </c>
      <c r="H3093" s="103"/>
      <c r="I3093" s="103">
        <v>38</v>
      </c>
      <c r="K3093" s="103" t="s">
        <v>1032</v>
      </c>
      <c r="L3093" s="133"/>
      <c r="M3093" s="134">
        <v>1.3194444444444444E-2</v>
      </c>
      <c r="N3093" s="137" t="s">
        <v>1783</v>
      </c>
      <c r="O3093" s="133" t="s">
        <v>1538</v>
      </c>
      <c r="Q3093" s="100" t="s">
        <v>4360</v>
      </c>
      <c r="R3093" s="226" t="s">
        <v>4370</v>
      </c>
      <c r="S3093" s="491" t="str">
        <f t="shared" si="101"/>
        <v>x</v>
      </c>
      <c r="T3093" s="492" t="str">
        <f>IFERROR(VLOOKUP(F3093,'Freq-Chan'!C:D,2,FALSE),"x")</f>
        <v>x</v>
      </c>
      <c r="U3093" s="110" t="s">
        <v>541</v>
      </c>
      <c r="V3093" s="110" t="str">
        <f t="shared" si="102"/>
        <v>FWL</v>
      </c>
      <c r="W3093" s="110" t="s">
        <v>541</v>
      </c>
      <c r="X3093" s="110" t="s">
        <v>541</v>
      </c>
      <c r="Y3093" s="110" t="str">
        <f>IFERROR(VLOOKUP(F3093,'Freq-Chan'!C:E,3,FALSE),"na")</f>
        <v>na</v>
      </c>
      <c r="Z3093" s="110" t="s">
        <v>541</v>
      </c>
      <c r="AA3093" s="110" t="s">
        <v>541</v>
      </c>
      <c r="AB3093" s="110" t="s">
        <v>541</v>
      </c>
      <c r="AC3093" s="10" t="s">
        <v>541</v>
      </c>
      <c r="AD3093" s="10" t="s">
        <v>541</v>
      </c>
    </row>
    <row r="3094" spans="1:30" x14ac:dyDescent="0.2">
      <c r="A3094" s="110">
        <v>3094</v>
      </c>
      <c r="B3094" s="132">
        <v>41871</v>
      </c>
      <c r="C3094" s="117">
        <v>1</v>
      </c>
      <c r="D3094" s="103" t="s">
        <v>71</v>
      </c>
      <c r="E3094" s="103" t="s">
        <v>306</v>
      </c>
      <c r="F3094" s="103">
        <v>534</v>
      </c>
      <c r="G3094" s="103">
        <v>45</v>
      </c>
      <c r="H3094" s="103" t="s">
        <v>2475</v>
      </c>
      <c r="I3094" s="103">
        <v>55</v>
      </c>
      <c r="K3094" s="103" t="s">
        <v>1032</v>
      </c>
      <c r="L3094" s="133"/>
      <c r="M3094" s="134">
        <v>3.4027777777777775E-2</v>
      </c>
      <c r="N3094" s="135" t="s">
        <v>4362</v>
      </c>
      <c r="O3094" s="133" t="s">
        <v>1532</v>
      </c>
      <c r="Q3094" s="106" t="s">
        <v>4354</v>
      </c>
      <c r="R3094" s="226" t="s">
        <v>4370</v>
      </c>
      <c r="S3094" s="491" t="str">
        <f t="shared" si="101"/>
        <v>x</v>
      </c>
      <c r="T3094" s="492">
        <f>IFERROR(VLOOKUP(F3094,'Freq-Chan'!C:D,2,FALSE),"x")</f>
        <v>151.53399999999999</v>
      </c>
      <c r="U3094" s="110" t="s">
        <v>541</v>
      </c>
      <c r="V3094" s="110" t="str">
        <f t="shared" si="102"/>
        <v>FWL</v>
      </c>
      <c r="W3094" s="110" t="s">
        <v>541</v>
      </c>
      <c r="X3094" s="110" t="s">
        <v>541</v>
      </c>
      <c r="Y3094" s="110" t="str">
        <f>IFERROR(VLOOKUP(F3094,'Freq-Chan'!C:E,3,FALSE),"na")</f>
        <v>F1840</v>
      </c>
      <c r="Z3094" s="110" t="s">
        <v>541</v>
      </c>
      <c r="AA3094" s="110" t="s">
        <v>541</v>
      </c>
      <c r="AB3094" s="110" t="s">
        <v>541</v>
      </c>
      <c r="AC3094" s="10" t="s">
        <v>541</v>
      </c>
      <c r="AD3094" s="10" t="s">
        <v>541</v>
      </c>
    </row>
    <row r="3095" spans="1:30" x14ac:dyDescent="0.2">
      <c r="A3095" s="110">
        <v>3095</v>
      </c>
      <c r="B3095" s="132">
        <v>41871</v>
      </c>
      <c r="C3095" s="117">
        <v>1</v>
      </c>
      <c r="D3095" s="103" t="s">
        <v>71</v>
      </c>
      <c r="E3095" s="103" t="s">
        <v>306</v>
      </c>
      <c r="H3095" s="103"/>
      <c r="I3095" s="103">
        <v>55</v>
      </c>
      <c r="K3095" s="103" t="s">
        <v>365</v>
      </c>
      <c r="L3095" s="133"/>
      <c r="M3095" s="134">
        <v>2.013888888888889E-2</v>
      </c>
      <c r="N3095" s="135" t="s">
        <v>2529</v>
      </c>
      <c r="O3095" s="133" t="s">
        <v>1532</v>
      </c>
      <c r="Q3095" s="106" t="s">
        <v>4354</v>
      </c>
      <c r="R3095" s="226" t="s">
        <v>4370</v>
      </c>
      <c r="S3095" s="491" t="str">
        <f t="shared" si="101"/>
        <v>x</v>
      </c>
      <c r="T3095" s="492" t="str">
        <f>IFERROR(VLOOKUP(F3095,'Freq-Chan'!C:D,2,FALSE),"x")</f>
        <v>x</v>
      </c>
      <c r="U3095" s="110" t="s">
        <v>541</v>
      </c>
      <c r="V3095" s="110" t="str">
        <f t="shared" si="102"/>
        <v>FWL</v>
      </c>
      <c r="W3095" s="110" t="s">
        <v>541</v>
      </c>
      <c r="X3095" s="110" t="s">
        <v>541</v>
      </c>
      <c r="Y3095" s="110" t="str">
        <f>IFERROR(VLOOKUP(F3095,'Freq-Chan'!C:E,3,FALSE),"na")</f>
        <v>na</v>
      </c>
      <c r="Z3095" s="110" t="s">
        <v>541</v>
      </c>
      <c r="AA3095" s="110" t="s">
        <v>541</v>
      </c>
      <c r="AB3095" s="110" t="s">
        <v>541</v>
      </c>
      <c r="AC3095" s="10" t="s">
        <v>541</v>
      </c>
      <c r="AD3095" s="10" t="s">
        <v>541</v>
      </c>
    </row>
    <row r="3096" spans="1:30" x14ac:dyDescent="0.2">
      <c r="A3096" s="110">
        <v>3096</v>
      </c>
      <c r="B3096" s="132">
        <v>41871</v>
      </c>
      <c r="C3096" s="117">
        <v>1</v>
      </c>
      <c r="D3096" s="103" t="s">
        <v>8</v>
      </c>
      <c r="E3096" s="103" t="s">
        <v>306</v>
      </c>
      <c r="F3096" s="103">
        <v>573</v>
      </c>
      <c r="G3096" s="103">
        <v>6</v>
      </c>
      <c r="H3096" s="103"/>
      <c r="I3096" s="103">
        <v>47</v>
      </c>
      <c r="K3096" s="103" t="s">
        <v>364</v>
      </c>
      <c r="L3096" s="133">
        <v>0.48888888888888887</v>
      </c>
      <c r="M3096" s="134">
        <v>5.7638888888888885E-2</v>
      </c>
      <c r="N3096" s="137" t="s">
        <v>2014</v>
      </c>
      <c r="O3096" s="133" t="s">
        <v>1888</v>
      </c>
      <c r="P3096" s="100" t="s">
        <v>4363</v>
      </c>
      <c r="Q3096" s="106" t="s">
        <v>4354</v>
      </c>
      <c r="R3096" s="226" t="s">
        <v>4370</v>
      </c>
      <c r="S3096" s="491">
        <f t="shared" si="101"/>
        <v>1.1226852000000001E-3</v>
      </c>
      <c r="T3096" s="492">
        <f>IFERROR(VLOOKUP(F3096,'Freq-Chan'!C:D,2,FALSE),"x")</f>
        <v>151.57300000000001</v>
      </c>
      <c r="U3096" s="110" t="s">
        <v>541</v>
      </c>
      <c r="V3096" s="110" t="str">
        <f t="shared" si="102"/>
        <v>FWL</v>
      </c>
      <c r="W3096" s="110" t="s">
        <v>541</v>
      </c>
      <c r="X3096" s="110" t="s">
        <v>541</v>
      </c>
      <c r="Y3096" s="110" t="str">
        <f>IFERROR(VLOOKUP(F3096,'Freq-Chan'!C:E,3,FALSE),"na")</f>
        <v>F1840</v>
      </c>
      <c r="Z3096" s="110" t="s">
        <v>541</v>
      </c>
      <c r="AA3096" s="110" t="s">
        <v>541</v>
      </c>
      <c r="AB3096" s="110" t="s">
        <v>541</v>
      </c>
      <c r="AC3096" s="10" t="s">
        <v>541</v>
      </c>
      <c r="AD3096" s="10" t="s">
        <v>541</v>
      </c>
    </row>
    <row r="3097" spans="1:30" x14ac:dyDescent="0.2">
      <c r="A3097" s="110">
        <v>3097</v>
      </c>
      <c r="B3097" s="132">
        <v>41871</v>
      </c>
      <c r="C3097" s="117">
        <v>1</v>
      </c>
      <c r="D3097" s="103" t="s">
        <v>71</v>
      </c>
      <c r="E3097" s="103" t="s">
        <v>306</v>
      </c>
      <c r="H3097" s="103"/>
      <c r="I3097" s="103">
        <v>51</v>
      </c>
      <c r="K3097" s="103" t="s">
        <v>365</v>
      </c>
      <c r="L3097" s="133"/>
      <c r="M3097" s="134">
        <v>1.7361111111111112E-2</v>
      </c>
      <c r="N3097" s="135" t="s">
        <v>3279</v>
      </c>
      <c r="O3097" s="133" t="s">
        <v>1532</v>
      </c>
      <c r="Q3097" s="106" t="s">
        <v>4354</v>
      </c>
      <c r="R3097" s="226" t="s">
        <v>4370</v>
      </c>
      <c r="S3097" s="491" t="str">
        <f t="shared" si="101"/>
        <v>x</v>
      </c>
      <c r="T3097" s="492" t="str">
        <f>IFERROR(VLOOKUP(F3097,'Freq-Chan'!C:D,2,FALSE),"x")</f>
        <v>x</v>
      </c>
      <c r="U3097" s="110" t="s">
        <v>541</v>
      </c>
      <c r="V3097" s="110" t="str">
        <f t="shared" si="102"/>
        <v>FWL</v>
      </c>
      <c r="W3097" s="110" t="s">
        <v>541</v>
      </c>
      <c r="X3097" s="110" t="s">
        <v>541</v>
      </c>
      <c r="Y3097" s="110" t="str">
        <f>IFERROR(VLOOKUP(F3097,'Freq-Chan'!C:E,3,FALSE),"na")</f>
        <v>na</v>
      </c>
      <c r="Z3097" s="110" t="s">
        <v>541</v>
      </c>
      <c r="AA3097" s="110" t="s">
        <v>541</v>
      </c>
      <c r="AB3097" s="110" t="s">
        <v>541</v>
      </c>
      <c r="AC3097" s="10" t="s">
        <v>541</v>
      </c>
      <c r="AD3097" s="10" t="s">
        <v>541</v>
      </c>
    </row>
    <row r="3098" spans="1:30" x14ac:dyDescent="0.2">
      <c r="A3098" s="110">
        <v>3098</v>
      </c>
      <c r="B3098" s="132">
        <v>41871</v>
      </c>
      <c r="C3098" s="117">
        <v>1</v>
      </c>
      <c r="D3098" s="103" t="s">
        <v>70</v>
      </c>
      <c r="E3098" s="103" t="s">
        <v>306</v>
      </c>
      <c r="H3098" s="103"/>
      <c r="I3098" s="103">
        <v>42</v>
      </c>
      <c r="K3098" s="103" t="s">
        <v>1032</v>
      </c>
      <c r="L3098" s="133"/>
      <c r="M3098" s="134">
        <v>1.5277777777777777E-2</v>
      </c>
      <c r="N3098" s="135" t="s">
        <v>4083</v>
      </c>
      <c r="O3098" s="133" t="s">
        <v>372</v>
      </c>
      <c r="Q3098" s="106" t="s">
        <v>4354</v>
      </c>
      <c r="R3098" s="226" t="s">
        <v>4370</v>
      </c>
      <c r="S3098" s="491" t="str">
        <f t="shared" si="101"/>
        <v>x</v>
      </c>
      <c r="T3098" s="492" t="str">
        <f>IFERROR(VLOOKUP(F3098,'Freq-Chan'!C:D,2,FALSE),"x")</f>
        <v>x</v>
      </c>
      <c r="U3098" s="110" t="s">
        <v>541</v>
      </c>
      <c r="V3098" s="110" t="str">
        <f t="shared" si="102"/>
        <v>FWL</v>
      </c>
      <c r="W3098" s="110" t="s">
        <v>541</v>
      </c>
      <c r="X3098" s="110" t="s">
        <v>541</v>
      </c>
      <c r="Y3098" s="110" t="str">
        <f>IFERROR(VLOOKUP(F3098,'Freq-Chan'!C:E,3,FALSE),"na")</f>
        <v>na</v>
      </c>
      <c r="Z3098" s="110" t="s">
        <v>541</v>
      </c>
      <c r="AA3098" s="110" t="s">
        <v>541</v>
      </c>
      <c r="AB3098" s="110" t="s">
        <v>541</v>
      </c>
      <c r="AC3098" s="10" t="s">
        <v>541</v>
      </c>
      <c r="AD3098" s="10" t="s">
        <v>541</v>
      </c>
    </row>
    <row r="3099" spans="1:30" x14ac:dyDescent="0.2">
      <c r="A3099" s="110">
        <v>3099</v>
      </c>
      <c r="B3099" s="132">
        <v>41871</v>
      </c>
      <c r="C3099" s="117">
        <v>1</v>
      </c>
      <c r="D3099" s="103" t="s">
        <v>71</v>
      </c>
      <c r="E3099" s="103" t="s">
        <v>306</v>
      </c>
      <c r="H3099" s="103"/>
      <c r="I3099" s="103">
        <v>57</v>
      </c>
      <c r="K3099" s="103" t="s">
        <v>365</v>
      </c>
      <c r="L3099" s="133"/>
      <c r="M3099" s="134">
        <v>1.7361111111111112E-2</v>
      </c>
      <c r="N3099" s="135" t="s">
        <v>2593</v>
      </c>
      <c r="O3099" s="133" t="s">
        <v>372</v>
      </c>
      <c r="Q3099" s="106" t="s">
        <v>4354</v>
      </c>
      <c r="R3099" s="226" t="s">
        <v>4370</v>
      </c>
      <c r="S3099" s="491" t="str">
        <f t="shared" si="101"/>
        <v>x</v>
      </c>
      <c r="T3099" s="492" t="str">
        <f>IFERROR(VLOOKUP(F3099,'Freq-Chan'!C:D,2,FALSE),"x")</f>
        <v>x</v>
      </c>
      <c r="U3099" s="110" t="s">
        <v>541</v>
      </c>
      <c r="V3099" s="110" t="str">
        <f t="shared" si="102"/>
        <v>FWL</v>
      </c>
      <c r="W3099" s="110" t="s">
        <v>541</v>
      </c>
      <c r="X3099" s="110" t="s">
        <v>541</v>
      </c>
      <c r="Y3099" s="110" t="str">
        <f>IFERROR(VLOOKUP(F3099,'Freq-Chan'!C:E,3,FALSE),"na")</f>
        <v>na</v>
      </c>
      <c r="Z3099" s="110" t="s">
        <v>541</v>
      </c>
      <c r="AA3099" s="110" t="s">
        <v>541</v>
      </c>
      <c r="AB3099" s="110" t="s">
        <v>541</v>
      </c>
      <c r="AC3099" s="10" t="s">
        <v>541</v>
      </c>
      <c r="AD3099" s="10" t="s">
        <v>541</v>
      </c>
    </row>
    <row r="3100" spans="1:30" x14ac:dyDescent="0.2">
      <c r="A3100" s="110">
        <v>3100</v>
      </c>
      <c r="B3100" s="132">
        <v>41871</v>
      </c>
      <c r="C3100" s="117">
        <v>1</v>
      </c>
      <c r="D3100" s="103" t="s">
        <v>71</v>
      </c>
      <c r="E3100" s="103" t="s">
        <v>306</v>
      </c>
      <c r="H3100" s="103"/>
      <c r="I3100" s="103">
        <v>61</v>
      </c>
      <c r="K3100" s="103" t="s">
        <v>1032</v>
      </c>
      <c r="L3100" s="133"/>
      <c r="M3100" s="134">
        <v>1.5972222222222224E-2</v>
      </c>
      <c r="N3100" s="135" t="s">
        <v>1797</v>
      </c>
      <c r="O3100" s="133" t="s">
        <v>372</v>
      </c>
      <c r="Q3100" s="106" t="s">
        <v>4354</v>
      </c>
      <c r="R3100" s="226" t="s">
        <v>4370</v>
      </c>
      <c r="S3100" s="491" t="str">
        <f t="shared" si="101"/>
        <v>x</v>
      </c>
      <c r="T3100" s="492" t="str">
        <f>IFERROR(VLOOKUP(F3100,'Freq-Chan'!C:D,2,FALSE),"x")</f>
        <v>x</v>
      </c>
      <c r="U3100" s="110" t="s">
        <v>541</v>
      </c>
      <c r="V3100" s="110" t="str">
        <f t="shared" si="102"/>
        <v>FWL</v>
      </c>
      <c r="W3100" s="110" t="s">
        <v>541</v>
      </c>
      <c r="X3100" s="110" t="s">
        <v>541</v>
      </c>
      <c r="Y3100" s="110" t="str">
        <f>IFERROR(VLOOKUP(F3100,'Freq-Chan'!C:E,3,FALSE),"na")</f>
        <v>na</v>
      </c>
      <c r="Z3100" s="110" t="s">
        <v>541</v>
      </c>
      <c r="AA3100" s="110" t="s">
        <v>541</v>
      </c>
      <c r="AB3100" s="110" t="s">
        <v>541</v>
      </c>
      <c r="AC3100" s="10" t="s">
        <v>541</v>
      </c>
      <c r="AD3100" s="10" t="s">
        <v>541</v>
      </c>
    </row>
    <row r="3101" spans="1:30" x14ac:dyDescent="0.2">
      <c r="A3101" s="110">
        <v>3101</v>
      </c>
      <c r="B3101" s="132">
        <v>41871</v>
      </c>
      <c r="C3101" s="117">
        <v>1</v>
      </c>
      <c r="D3101" s="103" t="s">
        <v>71</v>
      </c>
      <c r="E3101" s="103" t="s">
        <v>306</v>
      </c>
      <c r="H3101" s="103"/>
      <c r="I3101" s="103">
        <v>57</v>
      </c>
      <c r="K3101" s="103" t="s">
        <v>365</v>
      </c>
      <c r="L3101" s="133"/>
      <c r="M3101" s="134">
        <v>1.5972222222222224E-2</v>
      </c>
      <c r="N3101" s="135" t="s">
        <v>2535</v>
      </c>
      <c r="O3101" s="133" t="s">
        <v>1532</v>
      </c>
      <c r="Q3101" s="106" t="s">
        <v>4354</v>
      </c>
      <c r="R3101" s="226" t="s">
        <v>4370</v>
      </c>
      <c r="S3101" s="491" t="str">
        <f t="shared" si="101"/>
        <v>x</v>
      </c>
      <c r="T3101" s="492" t="str">
        <f>IFERROR(VLOOKUP(F3101,'Freq-Chan'!C:D,2,FALSE),"x")</f>
        <v>x</v>
      </c>
      <c r="U3101" s="110" t="s">
        <v>541</v>
      </c>
      <c r="V3101" s="110" t="str">
        <f t="shared" si="102"/>
        <v>FWL</v>
      </c>
      <c r="W3101" s="110" t="s">
        <v>541</v>
      </c>
      <c r="X3101" s="110" t="s">
        <v>541</v>
      </c>
      <c r="Y3101" s="110" t="str">
        <f>IFERROR(VLOOKUP(F3101,'Freq-Chan'!C:E,3,FALSE),"na")</f>
        <v>na</v>
      </c>
      <c r="Z3101" s="110" t="s">
        <v>541</v>
      </c>
      <c r="AA3101" s="110" t="s">
        <v>541</v>
      </c>
      <c r="AB3101" s="110" t="s">
        <v>541</v>
      </c>
      <c r="AC3101" s="10" t="s">
        <v>541</v>
      </c>
      <c r="AD3101" s="10" t="s">
        <v>541</v>
      </c>
    </row>
    <row r="3102" spans="1:30" x14ac:dyDescent="0.2">
      <c r="A3102" s="110">
        <v>3102</v>
      </c>
      <c r="B3102" s="132">
        <v>41871</v>
      </c>
      <c r="C3102" s="117">
        <v>1</v>
      </c>
      <c r="D3102" s="103" t="s">
        <v>71</v>
      </c>
      <c r="E3102" s="103" t="s">
        <v>306</v>
      </c>
      <c r="H3102" s="103"/>
      <c r="I3102" s="103">
        <v>50</v>
      </c>
      <c r="K3102" s="103" t="s">
        <v>365</v>
      </c>
      <c r="L3102" s="133"/>
      <c r="M3102" s="134">
        <v>1.5277777777777777E-2</v>
      </c>
      <c r="N3102" s="135" t="s">
        <v>3287</v>
      </c>
      <c r="O3102" s="133" t="s">
        <v>1532</v>
      </c>
      <c r="Q3102" s="106" t="s">
        <v>4354</v>
      </c>
      <c r="R3102" s="226" t="s">
        <v>4370</v>
      </c>
      <c r="S3102" s="491" t="str">
        <f t="shared" si="101"/>
        <v>x</v>
      </c>
      <c r="T3102" s="492" t="str">
        <f>IFERROR(VLOOKUP(F3102,'Freq-Chan'!C:D,2,FALSE),"x")</f>
        <v>x</v>
      </c>
      <c r="U3102" s="110" t="s">
        <v>541</v>
      </c>
      <c r="V3102" s="110" t="str">
        <f t="shared" si="102"/>
        <v>FWL</v>
      </c>
      <c r="W3102" s="110" t="s">
        <v>541</v>
      </c>
      <c r="X3102" s="110" t="s">
        <v>541</v>
      </c>
      <c r="Y3102" s="110" t="str">
        <f>IFERROR(VLOOKUP(F3102,'Freq-Chan'!C:E,3,FALSE),"na")</f>
        <v>na</v>
      </c>
      <c r="Z3102" s="110" t="s">
        <v>541</v>
      </c>
      <c r="AA3102" s="110" t="s">
        <v>541</v>
      </c>
      <c r="AB3102" s="110" t="s">
        <v>541</v>
      </c>
      <c r="AC3102" s="10" t="s">
        <v>541</v>
      </c>
      <c r="AD3102" s="10" t="s">
        <v>541</v>
      </c>
    </row>
    <row r="3103" spans="1:30" x14ac:dyDescent="0.2">
      <c r="A3103" s="110">
        <v>3103</v>
      </c>
      <c r="B3103" s="132">
        <v>41871</v>
      </c>
      <c r="C3103" s="117">
        <v>1</v>
      </c>
      <c r="D3103" s="103" t="s">
        <v>70</v>
      </c>
      <c r="E3103" s="103" t="s">
        <v>306</v>
      </c>
      <c r="H3103" s="103"/>
      <c r="I3103" s="103">
        <v>45</v>
      </c>
      <c r="K3103" s="103" t="s">
        <v>365</v>
      </c>
      <c r="L3103" s="133"/>
      <c r="M3103" s="134">
        <v>2.0833333333333332E-2</v>
      </c>
      <c r="N3103" s="135" t="s">
        <v>2633</v>
      </c>
      <c r="O3103" s="133" t="s">
        <v>376</v>
      </c>
      <c r="Q3103" s="106" t="s">
        <v>4353</v>
      </c>
      <c r="R3103" s="226" t="s">
        <v>4370</v>
      </c>
      <c r="S3103" s="491" t="str">
        <f t="shared" si="101"/>
        <v>x</v>
      </c>
      <c r="T3103" s="492" t="str">
        <f>IFERROR(VLOOKUP(F3103,'Freq-Chan'!C:D,2,FALSE),"x")</f>
        <v>x</v>
      </c>
      <c r="U3103" s="110" t="s">
        <v>541</v>
      </c>
      <c r="V3103" s="110" t="str">
        <f t="shared" si="102"/>
        <v>FWL</v>
      </c>
      <c r="W3103" s="110" t="s">
        <v>541</v>
      </c>
      <c r="X3103" s="110" t="s">
        <v>541</v>
      </c>
      <c r="Y3103" s="110" t="str">
        <f>IFERROR(VLOOKUP(F3103,'Freq-Chan'!C:E,3,FALSE),"na")</f>
        <v>na</v>
      </c>
      <c r="Z3103" s="110" t="s">
        <v>541</v>
      </c>
      <c r="AA3103" s="110" t="s">
        <v>541</v>
      </c>
      <c r="AB3103" s="110" t="s">
        <v>541</v>
      </c>
      <c r="AC3103" s="10" t="s">
        <v>541</v>
      </c>
      <c r="AD3103" s="10" t="s">
        <v>541</v>
      </c>
    </row>
    <row r="3104" spans="1:30" x14ac:dyDescent="0.2">
      <c r="A3104" s="110">
        <v>3104</v>
      </c>
      <c r="B3104" s="132">
        <v>41871</v>
      </c>
      <c r="C3104" s="117">
        <v>1</v>
      </c>
      <c r="D3104" s="103" t="s">
        <v>72</v>
      </c>
      <c r="E3104" s="103" t="s">
        <v>306</v>
      </c>
      <c r="F3104" s="103">
        <v>266</v>
      </c>
      <c r="G3104" s="103">
        <v>56</v>
      </c>
      <c r="H3104" s="103" t="s">
        <v>3639</v>
      </c>
      <c r="I3104" s="103">
        <v>57</v>
      </c>
      <c r="K3104" s="103" t="s">
        <v>365</v>
      </c>
      <c r="L3104" s="133"/>
      <c r="M3104" s="134">
        <v>7.6388888888888895E-2</v>
      </c>
      <c r="N3104" s="137" t="s">
        <v>3736</v>
      </c>
      <c r="O3104" s="133" t="s">
        <v>376</v>
      </c>
      <c r="P3104" s="100" t="s">
        <v>4466</v>
      </c>
      <c r="Q3104" s="106" t="s">
        <v>4353</v>
      </c>
      <c r="R3104" s="226" t="s">
        <v>4370</v>
      </c>
      <c r="S3104" s="491" t="str">
        <f t="shared" si="101"/>
        <v>x</v>
      </c>
      <c r="T3104" s="492">
        <f>IFERROR(VLOOKUP(F3104,'Freq-Chan'!C:D,2,FALSE),"x")</f>
        <v>151.26599999999999</v>
      </c>
      <c r="U3104" s="110" t="s">
        <v>541</v>
      </c>
      <c r="V3104" s="110" t="str">
        <f t="shared" si="102"/>
        <v>FWL</v>
      </c>
      <c r="W3104" s="110" t="s">
        <v>541</v>
      </c>
      <c r="X3104" s="110" t="s">
        <v>541</v>
      </c>
      <c r="Y3104" s="110" t="str">
        <f>IFERROR(VLOOKUP(F3104,'Freq-Chan'!C:E,3,FALSE),"na")</f>
        <v>F1840</v>
      </c>
      <c r="Z3104" s="110" t="s">
        <v>541</v>
      </c>
      <c r="AA3104" s="110" t="s">
        <v>541</v>
      </c>
      <c r="AB3104" s="110" t="s">
        <v>541</v>
      </c>
      <c r="AC3104" s="10" t="s">
        <v>541</v>
      </c>
      <c r="AD3104" s="10" t="s">
        <v>541</v>
      </c>
    </row>
    <row r="3105" spans="1:30" x14ac:dyDescent="0.2">
      <c r="A3105" s="110">
        <v>3105</v>
      </c>
      <c r="B3105" s="132">
        <v>41871</v>
      </c>
      <c r="C3105" s="117">
        <v>1</v>
      </c>
      <c r="D3105" s="103" t="s">
        <v>70</v>
      </c>
      <c r="E3105" s="103" t="s">
        <v>306</v>
      </c>
      <c r="H3105" s="103"/>
      <c r="I3105" s="103">
        <v>42</v>
      </c>
      <c r="K3105" s="103" t="s">
        <v>1032</v>
      </c>
      <c r="L3105" s="133"/>
      <c r="M3105" s="134">
        <v>1.8749999999999999E-2</v>
      </c>
      <c r="N3105" s="135" t="s">
        <v>3807</v>
      </c>
      <c r="O3105" s="133" t="s">
        <v>372</v>
      </c>
      <c r="Q3105" s="106" t="s">
        <v>4353</v>
      </c>
      <c r="R3105" s="226" t="s">
        <v>4370</v>
      </c>
      <c r="S3105" s="491" t="str">
        <f t="shared" si="101"/>
        <v>x</v>
      </c>
      <c r="T3105" s="492" t="str">
        <f>IFERROR(VLOOKUP(F3105,'Freq-Chan'!C:D,2,FALSE),"x")</f>
        <v>x</v>
      </c>
      <c r="U3105" s="110" t="s">
        <v>541</v>
      </c>
      <c r="V3105" s="110" t="str">
        <f t="shared" si="102"/>
        <v>FWL</v>
      </c>
      <c r="W3105" s="110" t="s">
        <v>541</v>
      </c>
      <c r="X3105" s="110" t="s">
        <v>541</v>
      </c>
      <c r="Y3105" s="110" t="str">
        <f>IFERROR(VLOOKUP(F3105,'Freq-Chan'!C:E,3,FALSE),"na")</f>
        <v>na</v>
      </c>
      <c r="Z3105" s="110" t="s">
        <v>541</v>
      </c>
      <c r="AA3105" s="110" t="s">
        <v>541</v>
      </c>
      <c r="AB3105" s="110" t="s">
        <v>541</v>
      </c>
      <c r="AC3105" s="10" t="s">
        <v>541</v>
      </c>
      <c r="AD3105" s="10" t="s">
        <v>541</v>
      </c>
    </row>
    <row r="3106" spans="1:30" x14ac:dyDescent="0.2">
      <c r="A3106" s="110">
        <v>3106</v>
      </c>
      <c r="B3106" s="132">
        <v>41871</v>
      </c>
      <c r="C3106" s="117">
        <v>1</v>
      </c>
      <c r="D3106" s="103" t="s">
        <v>72</v>
      </c>
      <c r="E3106" s="103" t="s">
        <v>306</v>
      </c>
      <c r="F3106" s="103">
        <v>325</v>
      </c>
      <c r="G3106" s="103">
        <v>85</v>
      </c>
      <c r="H3106" s="103" t="s">
        <v>3646</v>
      </c>
      <c r="I3106" s="103">
        <v>52</v>
      </c>
      <c r="K3106" s="103" t="s">
        <v>1032</v>
      </c>
      <c r="L3106" s="133"/>
      <c r="M3106" s="134">
        <v>3.888888888888889E-2</v>
      </c>
      <c r="N3106" s="135" t="s">
        <v>3737</v>
      </c>
      <c r="O3106" s="133" t="s">
        <v>372</v>
      </c>
      <c r="Q3106" s="106" t="s">
        <v>4353</v>
      </c>
      <c r="R3106" s="226" t="s">
        <v>4370</v>
      </c>
      <c r="S3106" s="491" t="str">
        <f t="shared" si="101"/>
        <v>x</v>
      </c>
      <c r="T3106" s="492">
        <f>IFERROR(VLOOKUP(F3106,'Freq-Chan'!C:D,2,FALSE),"x")</f>
        <v>151.32499999999999</v>
      </c>
      <c r="U3106" s="110" t="s">
        <v>541</v>
      </c>
      <c r="V3106" s="110" t="str">
        <f t="shared" si="102"/>
        <v>FWL</v>
      </c>
      <c r="W3106" s="110" t="s">
        <v>541</v>
      </c>
      <c r="X3106" s="110" t="s">
        <v>541</v>
      </c>
      <c r="Y3106" s="110" t="str">
        <f>IFERROR(VLOOKUP(F3106,'Freq-Chan'!C:E,3,FALSE),"na")</f>
        <v>F1840</v>
      </c>
      <c r="Z3106" s="110" t="s">
        <v>541</v>
      </c>
      <c r="AA3106" s="110" t="s">
        <v>541</v>
      </c>
      <c r="AB3106" s="110" t="s">
        <v>541</v>
      </c>
      <c r="AC3106" s="10" t="s">
        <v>541</v>
      </c>
      <c r="AD3106" s="10" t="s">
        <v>541</v>
      </c>
    </row>
    <row r="3107" spans="1:30" x14ac:dyDescent="0.2">
      <c r="A3107" s="110">
        <v>3107</v>
      </c>
      <c r="B3107" s="132">
        <v>41871</v>
      </c>
      <c r="C3107" s="117">
        <v>1</v>
      </c>
      <c r="D3107" s="103" t="s">
        <v>72</v>
      </c>
      <c r="E3107" s="103" t="s">
        <v>306</v>
      </c>
      <c r="H3107" s="103"/>
      <c r="I3107" s="103">
        <v>56</v>
      </c>
      <c r="K3107" s="103" t="s">
        <v>365</v>
      </c>
      <c r="L3107" s="133"/>
      <c r="M3107" s="134">
        <v>1.4583333333333332E-2</v>
      </c>
      <c r="N3107" s="137" t="s">
        <v>3249</v>
      </c>
      <c r="O3107" s="133" t="s">
        <v>1033</v>
      </c>
      <c r="Q3107" s="106" t="s">
        <v>4357</v>
      </c>
      <c r="R3107" s="226" t="s">
        <v>4370</v>
      </c>
      <c r="S3107" s="491" t="str">
        <f t="shared" si="101"/>
        <v>x</v>
      </c>
      <c r="T3107" s="492" t="str">
        <f>IFERROR(VLOOKUP(F3107,'Freq-Chan'!C:D,2,FALSE),"x")</f>
        <v>x</v>
      </c>
      <c r="U3107" s="110" t="s">
        <v>541</v>
      </c>
      <c r="V3107" s="110" t="str">
        <f t="shared" si="102"/>
        <v>FWL</v>
      </c>
      <c r="W3107" s="110" t="s">
        <v>541</v>
      </c>
      <c r="X3107" s="110" t="s">
        <v>541</v>
      </c>
      <c r="Y3107" s="110" t="str">
        <f>IFERROR(VLOOKUP(F3107,'Freq-Chan'!C:E,3,FALSE),"na")</f>
        <v>na</v>
      </c>
      <c r="Z3107" s="110" t="s">
        <v>541</v>
      </c>
      <c r="AA3107" s="110" t="s">
        <v>541</v>
      </c>
      <c r="AB3107" s="110" t="s">
        <v>541</v>
      </c>
      <c r="AC3107" s="10" t="s">
        <v>541</v>
      </c>
      <c r="AD3107" s="10" t="s">
        <v>541</v>
      </c>
    </row>
    <row r="3108" spans="1:30" x14ac:dyDescent="0.2">
      <c r="A3108" s="110">
        <v>3108</v>
      </c>
      <c r="B3108" s="132">
        <v>41871</v>
      </c>
      <c r="C3108" s="117">
        <v>1</v>
      </c>
      <c r="D3108" s="103" t="s">
        <v>72</v>
      </c>
      <c r="E3108" s="103" t="s">
        <v>306</v>
      </c>
      <c r="H3108" s="103"/>
      <c r="I3108" s="103">
        <v>57</v>
      </c>
      <c r="K3108" s="103" t="s">
        <v>1032</v>
      </c>
      <c r="L3108" s="133"/>
      <c r="M3108" s="134">
        <v>1.3888888888888888E-2</v>
      </c>
      <c r="N3108" s="137" t="s">
        <v>504</v>
      </c>
      <c r="O3108" s="133" t="s">
        <v>1033</v>
      </c>
      <c r="Q3108" s="106" t="s">
        <v>4357</v>
      </c>
      <c r="R3108" s="226" t="s">
        <v>4370</v>
      </c>
      <c r="S3108" s="491" t="str">
        <f t="shared" si="101"/>
        <v>x</v>
      </c>
      <c r="T3108" s="492" t="str">
        <f>IFERROR(VLOOKUP(F3108,'Freq-Chan'!C:D,2,FALSE),"x")</f>
        <v>x</v>
      </c>
      <c r="U3108" s="110" t="s">
        <v>541</v>
      </c>
      <c r="V3108" s="110" t="str">
        <f t="shared" si="102"/>
        <v>FWL</v>
      </c>
      <c r="W3108" s="110" t="s">
        <v>541</v>
      </c>
      <c r="X3108" s="110" t="s">
        <v>541</v>
      </c>
      <c r="Y3108" s="110" t="str">
        <f>IFERROR(VLOOKUP(F3108,'Freq-Chan'!C:E,3,FALSE),"na")</f>
        <v>na</v>
      </c>
      <c r="Z3108" s="110" t="s">
        <v>541</v>
      </c>
      <c r="AA3108" s="110" t="s">
        <v>541</v>
      </c>
      <c r="AB3108" s="110" t="s">
        <v>541</v>
      </c>
      <c r="AC3108" s="10" t="s">
        <v>541</v>
      </c>
      <c r="AD3108" s="10" t="s">
        <v>541</v>
      </c>
    </row>
    <row r="3109" spans="1:30" x14ac:dyDescent="0.2">
      <c r="A3109" s="110">
        <v>3109</v>
      </c>
      <c r="B3109" s="132">
        <v>41871</v>
      </c>
      <c r="C3109" s="117">
        <v>1</v>
      </c>
      <c r="D3109" s="103" t="s">
        <v>72</v>
      </c>
      <c r="E3109" s="103" t="s">
        <v>306</v>
      </c>
      <c r="H3109" s="103"/>
      <c r="I3109" s="103">
        <v>56</v>
      </c>
      <c r="K3109" s="103" t="s">
        <v>365</v>
      </c>
      <c r="L3109" s="133"/>
      <c r="M3109" s="134">
        <v>1.4583333333333332E-2</v>
      </c>
      <c r="N3109" s="137" t="s">
        <v>4201</v>
      </c>
      <c r="O3109" s="133" t="s">
        <v>1532</v>
      </c>
      <c r="Q3109" s="106" t="s">
        <v>4357</v>
      </c>
      <c r="R3109" s="226" t="s">
        <v>4370</v>
      </c>
      <c r="S3109" s="491" t="str">
        <f t="shared" si="101"/>
        <v>x</v>
      </c>
      <c r="T3109" s="492" t="str">
        <f>IFERROR(VLOOKUP(F3109,'Freq-Chan'!C:D,2,FALSE),"x")</f>
        <v>x</v>
      </c>
      <c r="U3109" s="110" t="s">
        <v>541</v>
      </c>
      <c r="V3109" s="110" t="str">
        <f t="shared" si="102"/>
        <v>FWL</v>
      </c>
      <c r="W3109" s="110" t="s">
        <v>541</v>
      </c>
      <c r="X3109" s="110" t="s">
        <v>541</v>
      </c>
      <c r="Y3109" s="110" t="str">
        <f>IFERROR(VLOOKUP(F3109,'Freq-Chan'!C:E,3,FALSE),"na")</f>
        <v>na</v>
      </c>
      <c r="Z3109" s="110" t="s">
        <v>541</v>
      </c>
      <c r="AA3109" s="110" t="s">
        <v>541</v>
      </c>
      <c r="AB3109" s="110" t="s">
        <v>541</v>
      </c>
      <c r="AC3109" s="10" t="s">
        <v>541</v>
      </c>
      <c r="AD3109" s="10" t="s">
        <v>541</v>
      </c>
    </row>
    <row r="3110" spans="1:30" x14ac:dyDescent="0.2">
      <c r="A3110" s="110">
        <v>3110</v>
      </c>
      <c r="B3110" s="132">
        <v>41871</v>
      </c>
      <c r="C3110" s="117">
        <v>1</v>
      </c>
      <c r="D3110" s="103" t="s">
        <v>70</v>
      </c>
      <c r="E3110" s="103" t="s">
        <v>306</v>
      </c>
      <c r="H3110" s="103"/>
      <c r="I3110" s="103">
        <v>42</v>
      </c>
      <c r="K3110" s="103" t="s">
        <v>365</v>
      </c>
      <c r="L3110" s="133"/>
      <c r="M3110" s="134">
        <v>1.3194444444444444E-2</v>
      </c>
      <c r="N3110" s="137" t="s">
        <v>3240</v>
      </c>
      <c r="O3110" s="133" t="s">
        <v>1532</v>
      </c>
      <c r="Q3110" s="106" t="s">
        <v>4357</v>
      </c>
      <c r="R3110" s="226" t="s">
        <v>4370</v>
      </c>
      <c r="S3110" s="491" t="str">
        <f t="shared" si="101"/>
        <v>x</v>
      </c>
      <c r="T3110" s="492" t="str">
        <f>IFERROR(VLOOKUP(F3110,'Freq-Chan'!C:D,2,FALSE),"x")</f>
        <v>x</v>
      </c>
      <c r="U3110" s="110" t="s">
        <v>541</v>
      </c>
      <c r="V3110" s="110" t="str">
        <f t="shared" si="102"/>
        <v>FWL</v>
      </c>
      <c r="W3110" s="110" t="s">
        <v>541</v>
      </c>
      <c r="X3110" s="110" t="s">
        <v>541</v>
      </c>
      <c r="Y3110" s="110" t="str">
        <f>IFERROR(VLOOKUP(F3110,'Freq-Chan'!C:E,3,FALSE),"na")</f>
        <v>na</v>
      </c>
      <c r="Z3110" s="110" t="s">
        <v>541</v>
      </c>
      <c r="AA3110" s="110" t="s">
        <v>541</v>
      </c>
      <c r="AB3110" s="110" t="s">
        <v>541</v>
      </c>
      <c r="AC3110" s="10" t="s">
        <v>541</v>
      </c>
      <c r="AD3110" s="10" t="s">
        <v>541</v>
      </c>
    </row>
    <row r="3111" spans="1:30" x14ac:dyDescent="0.2">
      <c r="A3111" s="110">
        <v>3111</v>
      </c>
      <c r="B3111" s="132">
        <v>41871</v>
      </c>
      <c r="C3111" s="117">
        <v>1</v>
      </c>
      <c r="D3111" s="103" t="s">
        <v>72</v>
      </c>
      <c r="E3111" s="103" t="s">
        <v>306</v>
      </c>
      <c r="H3111" s="103"/>
      <c r="I3111" s="103">
        <v>54</v>
      </c>
      <c r="K3111" s="103" t="s">
        <v>365</v>
      </c>
      <c r="L3111" s="133"/>
      <c r="M3111" s="134">
        <v>1.5972222222222224E-2</v>
      </c>
      <c r="N3111" s="135" t="s">
        <v>1948</v>
      </c>
      <c r="O3111" s="133" t="s">
        <v>1033</v>
      </c>
      <c r="Q3111" s="106" t="s">
        <v>4357</v>
      </c>
      <c r="R3111" s="226" t="s">
        <v>4370</v>
      </c>
      <c r="S3111" s="491" t="str">
        <f t="shared" si="101"/>
        <v>x</v>
      </c>
      <c r="T3111" s="492" t="str">
        <f>IFERROR(VLOOKUP(F3111,'Freq-Chan'!C:D,2,FALSE),"x")</f>
        <v>x</v>
      </c>
      <c r="U3111" s="110" t="s">
        <v>541</v>
      </c>
      <c r="V3111" s="110" t="str">
        <f t="shared" si="102"/>
        <v>FWL</v>
      </c>
      <c r="W3111" s="110" t="s">
        <v>541</v>
      </c>
      <c r="X3111" s="110" t="s">
        <v>541</v>
      </c>
      <c r="Y3111" s="110" t="str">
        <f>IFERROR(VLOOKUP(F3111,'Freq-Chan'!C:E,3,FALSE),"na")</f>
        <v>na</v>
      </c>
      <c r="Z3111" s="110" t="s">
        <v>541</v>
      </c>
      <c r="AA3111" s="110" t="s">
        <v>541</v>
      </c>
      <c r="AB3111" s="110" t="s">
        <v>541</v>
      </c>
      <c r="AC3111" s="10" t="s">
        <v>541</v>
      </c>
      <c r="AD3111" s="10" t="s">
        <v>541</v>
      </c>
    </row>
    <row r="3112" spans="1:30" x14ac:dyDescent="0.2">
      <c r="A3112" s="110">
        <v>3112</v>
      </c>
      <c r="B3112" s="132">
        <v>41871</v>
      </c>
      <c r="C3112" s="117">
        <v>1</v>
      </c>
      <c r="D3112" s="103" t="s">
        <v>72</v>
      </c>
      <c r="E3112" s="103" t="s">
        <v>306</v>
      </c>
      <c r="H3112" s="103"/>
      <c r="I3112" s="103">
        <v>57</v>
      </c>
      <c r="K3112" s="103" t="s">
        <v>1032</v>
      </c>
      <c r="L3112" s="133"/>
      <c r="M3112" s="134">
        <v>1.4583333333333332E-2</v>
      </c>
      <c r="N3112" s="135" t="s">
        <v>390</v>
      </c>
      <c r="O3112" s="133" t="s">
        <v>1033</v>
      </c>
      <c r="Q3112" s="106" t="s">
        <v>4357</v>
      </c>
      <c r="R3112" s="226" t="s">
        <v>4370</v>
      </c>
      <c r="S3112" s="491" t="str">
        <f t="shared" si="101"/>
        <v>x</v>
      </c>
      <c r="T3112" s="492" t="str">
        <f>IFERROR(VLOOKUP(F3112,'Freq-Chan'!C:D,2,FALSE),"x")</f>
        <v>x</v>
      </c>
      <c r="U3112" s="110" t="s">
        <v>541</v>
      </c>
      <c r="V3112" s="110" t="str">
        <f t="shared" si="102"/>
        <v>FWL</v>
      </c>
      <c r="W3112" s="110" t="s">
        <v>541</v>
      </c>
      <c r="X3112" s="110" t="s">
        <v>541</v>
      </c>
      <c r="Y3112" s="110" t="str">
        <f>IFERROR(VLOOKUP(F3112,'Freq-Chan'!C:E,3,FALSE),"na")</f>
        <v>na</v>
      </c>
      <c r="Z3112" s="110" t="s">
        <v>541</v>
      </c>
      <c r="AA3112" s="110" t="s">
        <v>541</v>
      </c>
      <c r="AB3112" s="110" t="s">
        <v>541</v>
      </c>
      <c r="AC3112" s="10" t="s">
        <v>541</v>
      </c>
      <c r="AD3112" s="10" t="s">
        <v>541</v>
      </c>
    </row>
    <row r="3113" spans="1:30" s="291" customFormat="1" x14ac:dyDescent="0.2">
      <c r="A3113" s="493">
        <v>3113</v>
      </c>
      <c r="B3113" s="283">
        <v>41871</v>
      </c>
      <c r="C3113" s="284">
        <v>1</v>
      </c>
      <c r="D3113" s="285" t="s">
        <v>72</v>
      </c>
      <c r="E3113" s="285" t="s">
        <v>306</v>
      </c>
      <c r="F3113" s="285"/>
      <c r="G3113" s="285"/>
      <c r="H3113" s="285"/>
      <c r="I3113" s="285">
        <v>51</v>
      </c>
      <c r="J3113" s="285"/>
      <c r="K3113" s="285" t="s">
        <v>1032</v>
      </c>
      <c r="L3113" s="286"/>
      <c r="M3113" s="287">
        <v>1.3194444444444444E-2</v>
      </c>
      <c r="N3113" s="288" t="s">
        <v>510</v>
      </c>
      <c r="O3113" s="286" t="s">
        <v>1033</v>
      </c>
      <c r="P3113" s="289"/>
      <c r="Q3113" s="395" t="s">
        <v>4357</v>
      </c>
      <c r="R3113" s="290" t="s">
        <v>4370</v>
      </c>
      <c r="S3113" s="494" t="str">
        <f t="shared" si="101"/>
        <v>x</v>
      </c>
      <c r="T3113" s="495" t="str">
        <f>IFERROR(VLOOKUP(F3113,'Freq-Chan'!C:D,2,FALSE),"x")</f>
        <v>x</v>
      </c>
      <c r="U3113" s="493" t="s">
        <v>541</v>
      </c>
      <c r="V3113" s="493" t="str">
        <f t="shared" si="102"/>
        <v>FWL</v>
      </c>
      <c r="W3113" s="493" t="s">
        <v>541</v>
      </c>
      <c r="X3113" s="493" t="s">
        <v>541</v>
      </c>
      <c r="Y3113" s="493" t="str">
        <f>IFERROR(VLOOKUP(F3113,'Freq-Chan'!C:E,3,FALSE),"na")</f>
        <v>na</v>
      </c>
      <c r="Z3113" s="493" t="s">
        <v>541</v>
      </c>
      <c r="AA3113" s="493" t="s">
        <v>541</v>
      </c>
      <c r="AB3113" s="493" t="s">
        <v>541</v>
      </c>
      <c r="AC3113" s="291" t="s">
        <v>541</v>
      </c>
      <c r="AD3113" s="291" t="s">
        <v>541</v>
      </c>
    </row>
    <row r="3114" spans="1:30" x14ac:dyDescent="0.2">
      <c r="A3114" s="110">
        <v>3114</v>
      </c>
      <c r="B3114" s="132">
        <v>41871</v>
      </c>
      <c r="C3114" s="117">
        <v>2</v>
      </c>
      <c r="D3114" s="103" t="s">
        <v>71</v>
      </c>
      <c r="E3114" s="103" t="s">
        <v>306</v>
      </c>
      <c r="H3114" s="103"/>
      <c r="I3114" s="103">
        <v>58</v>
      </c>
      <c r="K3114" s="103" t="s">
        <v>1032</v>
      </c>
      <c r="L3114" s="133"/>
      <c r="M3114" s="134">
        <v>1.2499999999999999E-2</v>
      </c>
      <c r="N3114" s="135" t="s">
        <v>3491</v>
      </c>
      <c r="O3114" s="133" t="s">
        <v>1538</v>
      </c>
      <c r="Q3114" s="100" t="s">
        <v>4360</v>
      </c>
      <c r="R3114" s="226" t="s">
        <v>4370</v>
      </c>
      <c r="S3114" s="491" t="str">
        <f t="shared" si="101"/>
        <v>x</v>
      </c>
      <c r="T3114" s="492" t="str">
        <f>IFERROR(VLOOKUP(F3114,'Freq-Chan'!C:D,2,FALSE),"x")</f>
        <v>x</v>
      </c>
      <c r="U3114" s="110" t="s">
        <v>541</v>
      </c>
      <c r="V3114" s="110" t="str">
        <f t="shared" si="102"/>
        <v>FWL</v>
      </c>
      <c r="W3114" s="110" t="s">
        <v>541</v>
      </c>
      <c r="X3114" s="110" t="s">
        <v>541</v>
      </c>
      <c r="Y3114" s="110" t="str">
        <f>IFERROR(VLOOKUP(F3114,'Freq-Chan'!C:E,3,FALSE),"na")</f>
        <v>na</v>
      </c>
      <c r="Z3114" s="110" t="s">
        <v>541</v>
      </c>
      <c r="AA3114" s="110" t="s">
        <v>541</v>
      </c>
      <c r="AB3114" s="110" t="s">
        <v>541</v>
      </c>
      <c r="AC3114" s="10" t="s">
        <v>541</v>
      </c>
      <c r="AD3114" s="10" t="s">
        <v>541</v>
      </c>
    </row>
    <row r="3115" spans="1:30" x14ac:dyDescent="0.2">
      <c r="A3115" s="110">
        <v>3115</v>
      </c>
      <c r="B3115" s="132">
        <v>41871</v>
      </c>
      <c r="C3115" s="117">
        <v>2</v>
      </c>
      <c r="D3115" s="103" t="s">
        <v>71</v>
      </c>
      <c r="E3115" s="103" t="s">
        <v>306</v>
      </c>
      <c r="H3115" s="103"/>
      <c r="I3115" s="103">
        <v>51</v>
      </c>
      <c r="K3115" s="103" t="s">
        <v>1032</v>
      </c>
      <c r="L3115" s="133"/>
      <c r="M3115" s="134">
        <v>1.8055555555555557E-2</v>
      </c>
      <c r="N3115" s="135" t="s">
        <v>3926</v>
      </c>
      <c r="O3115" s="133" t="s">
        <v>1538</v>
      </c>
      <c r="Q3115" s="100" t="s">
        <v>4360</v>
      </c>
      <c r="R3115" s="226" t="s">
        <v>4370</v>
      </c>
      <c r="S3115" s="491" t="str">
        <f t="shared" si="101"/>
        <v>x</v>
      </c>
      <c r="T3115" s="492" t="str">
        <f>IFERROR(VLOOKUP(F3115,'Freq-Chan'!C:D,2,FALSE),"x")</f>
        <v>x</v>
      </c>
      <c r="U3115" s="110" t="s">
        <v>541</v>
      </c>
      <c r="V3115" s="110" t="str">
        <f t="shared" si="102"/>
        <v>FWL</v>
      </c>
      <c r="W3115" s="110" t="s">
        <v>541</v>
      </c>
      <c r="X3115" s="110" t="s">
        <v>541</v>
      </c>
      <c r="Y3115" s="110" t="str">
        <f>IFERROR(VLOOKUP(F3115,'Freq-Chan'!C:E,3,FALSE),"na")</f>
        <v>na</v>
      </c>
      <c r="Z3115" s="110" t="s">
        <v>541</v>
      </c>
      <c r="AA3115" s="110" t="s">
        <v>541</v>
      </c>
      <c r="AB3115" s="110" t="s">
        <v>541</v>
      </c>
      <c r="AC3115" s="10" t="s">
        <v>541</v>
      </c>
      <c r="AD3115" s="10" t="s">
        <v>541</v>
      </c>
    </row>
    <row r="3116" spans="1:30" x14ac:dyDescent="0.2">
      <c r="A3116" s="110">
        <v>3116</v>
      </c>
      <c r="B3116" s="132">
        <v>41871</v>
      </c>
      <c r="C3116" s="117">
        <v>2</v>
      </c>
      <c r="D3116" s="103" t="s">
        <v>71</v>
      </c>
      <c r="E3116" s="103" t="s">
        <v>306</v>
      </c>
      <c r="H3116" s="103"/>
      <c r="I3116" s="103">
        <v>55</v>
      </c>
      <c r="K3116" s="103" t="s">
        <v>1032</v>
      </c>
      <c r="L3116" s="133"/>
      <c r="M3116" s="134">
        <v>1.5277777777777777E-2</v>
      </c>
      <c r="N3116" s="135" t="s">
        <v>3981</v>
      </c>
      <c r="O3116" s="133" t="s">
        <v>1538</v>
      </c>
      <c r="Q3116" s="100" t="s">
        <v>4360</v>
      </c>
      <c r="R3116" s="226" t="s">
        <v>4370</v>
      </c>
      <c r="S3116" s="491" t="str">
        <f t="shared" si="101"/>
        <v>x</v>
      </c>
      <c r="T3116" s="492" t="str">
        <f>IFERROR(VLOOKUP(F3116,'Freq-Chan'!C:D,2,FALSE),"x")</f>
        <v>x</v>
      </c>
      <c r="U3116" s="110" t="s">
        <v>541</v>
      </c>
      <c r="V3116" s="110" t="str">
        <f t="shared" si="102"/>
        <v>FWL</v>
      </c>
      <c r="W3116" s="110" t="s">
        <v>541</v>
      </c>
      <c r="X3116" s="110" t="s">
        <v>541</v>
      </c>
      <c r="Y3116" s="110" t="str">
        <f>IFERROR(VLOOKUP(F3116,'Freq-Chan'!C:E,3,FALSE),"na")</f>
        <v>na</v>
      </c>
      <c r="Z3116" s="110" t="s">
        <v>541</v>
      </c>
      <c r="AA3116" s="110" t="s">
        <v>541</v>
      </c>
      <c r="AB3116" s="110" t="s">
        <v>541</v>
      </c>
      <c r="AC3116" s="10" t="s">
        <v>541</v>
      </c>
      <c r="AD3116" s="10" t="s">
        <v>541</v>
      </c>
    </row>
    <row r="3117" spans="1:30" x14ac:dyDescent="0.2">
      <c r="A3117" s="110">
        <v>3117</v>
      </c>
      <c r="B3117" s="132">
        <v>41871</v>
      </c>
      <c r="C3117" s="117">
        <v>2</v>
      </c>
      <c r="D3117" s="103" t="s">
        <v>71</v>
      </c>
      <c r="E3117" s="103" t="s">
        <v>306</v>
      </c>
      <c r="H3117" s="103"/>
      <c r="I3117" s="103">
        <v>54</v>
      </c>
      <c r="K3117" s="103" t="s">
        <v>365</v>
      </c>
      <c r="L3117" s="133"/>
      <c r="M3117" s="134">
        <v>1.1111111111111112E-2</v>
      </c>
      <c r="N3117" s="137" t="s">
        <v>763</v>
      </c>
      <c r="O3117" s="133" t="s">
        <v>1538</v>
      </c>
      <c r="Q3117" s="100" t="s">
        <v>4360</v>
      </c>
      <c r="R3117" s="226" t="s">
        <v>4370</v>
      </c>
      <c r="S3117" s="491" t="str">
        <f t="shared" si="101"/>
        <v>x</v>
      </c>
      <c r="T3117" s="492" t="str">
        <f>IFERROR(VLOOKUP(F3117,'Freq-Chan'!C:D,2,FALSE),"x")</f>
        <v>x</v>
      </c>
      <c r="U3117" s="110" t="s">
        <v>541</v>
      </c>
      <c r="V3117" s="110" t="str">
        <f t="shared" si="102"/>
        <v>FWL</v>
      </c>
      <c r="W3117" s="110" t="s">
        <v>541</v>
      </c>
      <c r="X3117" s="110" t="s">
        <v>541</v>
      </c>
      <c r="Y3117" s="110" t="str">
        <f>IFERROR(VLOOKUP(F3117,'Freq-Chan'!C:E,3,FALSE),"na")</f>
        <v>na</v>
      </c>
      <c r="Z3117" s="110" t="s">
        <v>541</v>
      </c>
      <c r="AA3117" s="110" t="s">
        <v>541</v>
      </c>
      <c r="AB3117" s="110" t="s">
        <v>541</v>
      </c>
      <c r="AC3117" s="10" t="s">
        <v>541</v>
      </c>
      <c r="AD3117" s="10" t="s">
        <v>541</v>
      </c>
    </row>
    <row r="3118" spans="1:30" x14ac:dyDescent="0.2">
      <c r="A3118" s="110">
        <v>3118</v>
      </c>
      <c r="B3118" s="132">
        <v>41871</v>
      </c>
      <c r="C3118" s="117">
        <v>2</v>
      </c>
      <c r="D3118" s="103" t="s">
        <v>71</v>
      </c>
      <c r="E3118" s="103" t="s">
        <v>306</v>
      </c>
      <c r="H3118" s="103"/>
      <c r="I3118" s="103">
        <v>55</v>
      </c>
      <c r="K3118" s="103" t="s">
        <v>365</v>
      </c>
      <c r="L3118" s="133"/>
      <c r="M3118" s="134">
        <v>1.1805555555555555E-2</v>
      </c>
      <c r="N3118" s="135" t="s">
        <v>3830</v>
      </c>
      <c r="O3118" s="133" t="s">
        <v>1538</v>
      </c>
      <c r="Q3118" s="100" t="s">
        <v>4360</v>
      </c>
      <c r="R3118" s="226" t="s">
        <v>4370</v>
      </c>
      <c r="S3118" s="491" t="str">
        <f t="shared" si="101"/>
        <v>x</v>
      </c>
      <c r="T3118" s="492" t="str">
        <f>IFERROR(VLOOKUP(F3118,'Freq-Chan'!C:D,2,FALSE),"x")</f>
        <v>x</v>
      </c>
      <c r="U3118" s="110" t="s">
        <v>541</v>
      </c>
      <c r="V3118" s="110" t="str">
        <f t="shared" si="102"/>
        <v>FWL</v>
      </c>
      <c r="W3118" s="110" t="s">
        <v>541</v>
      </c>
      <c r="X3118" s="110" t="s">
        <v>541</v>
      </c>
      <c r="Y3118" s="110" t="str">
        <f>IFERROR(VLOOKUP(F3118,'Freq-Chan'!C:E,3,FALSE),"na")</f>
        <v>na</v>
      </c>
      <c r="Z3118" s="110" t="s">
        <v>541</v>
      </c>
      <c r="AA3118" s="110" t="s">
        <v>541</v>
      </c>
      <c r="AB3118" s="110" t="s">
        <v>541</v>
      </c>
      <c r="AC3118" s="10" t="s">
        <v>541</v>
      </c>
      <c r="AD3118" s="10" t="s">
        <v>541</v>
      </c>
    </row>
    <row r="3119" spans="1:30" x14ac:dyDescent="0.2">
      <c r="A3119" s="110">
        <v>3119</v>
      </c>
      <c r="B3119" s="132">
        <v>41871</v>
      </c>
      <c r="C3119" s="117">
        <v>2</v>
      </c>
      <c r="D3119" s="103" t="s">
        <v>71</v>
      </c>
      <c r="E3119" s="103" t="s">
        <v>306</v>
      </c>
      <c r="H3119" s="103"/>
      <c r="I3119" s="103">
        <v>57</v>
      </c>
      <c r="K3119" s="103" t="s">
        <v>365</v>
      </c>
      <c r="L3119" s="133"/>
      <c r="M3119" s="134">
        <v>1.5972222222222224E-2</v>
      </c>
      <c r="N3119" s="135" t="s">
        <v>1798</v>
      </c>
      <c r="O3119" s="133" t="s">
        <v>1532</v>
      </c>
      <c r="Q3119" s="100" t="s">
        <v>4351</v>
      </c>
      <c r="R3119" s="226" t="s">
        <v>4370</v>
      </c>
      <c r="S3119" s="491" t="str">
        <f t="shared" si="101"/>
        <v>x</v>
      </c>
      <c r="T3119" s="492" t="str">
        <f>IFERROR(VLOOKUP(F3119,'Freq-Chan'!C:D,2,FALSE),"x")</f>
        <v>x</v>
      </c>
      <c r="U3119" s="110" t="s">
        <v>541</v>
      </c>
      <c r="V3119" s="110" t="str">
        <f t="shared" si="102"/>
        <v>FWL</v>
      </c>
      <c r="W3119" s="110" t="s">
        <v>541</v>
      </c>
      <c r="X3119" s="110" t="s">
        <v>541</v>
      </c>
      <c r="Y3119" s="110" t="str">
        <f>IFERROR(VLOOKUP(F3119,'Freq-Chan'!C:E,3,FALSE),"na")</f>
        <v>na</v>
      </c>
      <c r="Z3119" s="110" t="s">
        <v>541</v>
      </c>
      <c r="AA3119" s="110" t="s">
        <v>541</v>
      </c>
      <c r="AB3119" s="110" t="s">
        <v>541</v>
      </c>
      <c r="AC3119" s="10" t="s">
        <v>541</v>
      </c>
      <c r="AD3119" s="10" t="s">
        <v>541</v>
      </c>
    </row>
    <row r="3120" spans="1:30" x14ac:dyDescent="0.2">
      <c r="A3120" s="110">
        <v>3120</v>
      </c>
      <c r="B3120" s="132">
        <v>41871</v>
      </c>
      <c r="C3120" s="117">
        <v>2</v>
      </c>
      <c r="D3120" s="103" t="s">
        <v>71</v>
      </c>
      <c r="E3120" s="103" t="s">
        <v>306</v>
      </c>
      <c r="H3120" s="103"/>
      <c r="I3120" s="103">
        <v>63</v>
      </c>
      <c r="K3120" s="103" t="s">
        <v>1032</v>
      </c>
      <c r="L3120" s="133"/>
      <c r="M3120" s="134">
        <v>2.6388888888888889E-2</v>
      </c>
      <c r="N3120" s="135" t="s">
        <v>4150</v>
      </c>
      <c r="O3120" s="133" t="s">
        <v>1532</v>
      </c>
      <c r="Q3120" s="100" t="s">
        <v>4351</v>
      </c>
      <c r="R3120" s="226" t="s">
        <v>4370</v>
      </c>
      <c r="S3120" s="491" t="str">
        <f t="shared" si="101"/>
        <v>x</v>
      </c>
      <c r="T3120" s="492" t="str">
        <f>IFERROR(VLOOKUP(F3120,'Freq-Chan'!C:D,2,FALSE),"x")</f>
        <v>x</v>
      </c>
      <c r="U3120" s="110" t="s">
        <v>541</v>
      </c>
      <c r="V3120" s="110" t="str">
        <f t="shared" si="102"/>
        <v>FWL</v>
      </c>
      <c r="W3120" s="110" t="s">
        <v>541</v>
      </c>
      <c r="X3120" s="110" t="s">
        <v>541</v>
      </c>
      <c r="Y3120" s="110" t="str">
        <f>IFERROR(VLOOKUP(F3120,'Freq-Chan'!C:E,3,FALSE),"na")</f>
        <v>na</v>
      </c>
      <c r="Z3120" s="110" t="s">
        <v>541</v>
      </c>
      <c r="AA3120" s="110" t="s">
        <v>541</v>
      </c>
      <c r="AB3120" s="110" t="s">
        <v>541</v>
      </c>
      <c r="AC3120" s="10" t="s">
        <v>541</v>
      </c>
      <c r="AD3120" s="10" t="s">
        <v>541</v>
      </c>
    </row>
    <row r="3121" spans="1:30" x14ac:dyDescent="0.2">
      <c r="A3121" s="110">
        <v>3121</v>
      </c>
      <c r="B3121" s="132">
        <v>41871</v>
      </c>
      <c r="C3121" s="117">
        <v>2</v>
      </c>
      <c r="D3121" s="103" t="s">
        <v>71</v>
      </c>
      <c r="E3121" s="103" t="s">
        <v>306</v>
      </c>
      <c r="H3121" s="103"/>
      <c r="I3121" s="103">
        <v>56</v>
      </c>
      <c r="K3121" s="103" t="s">
        <v>1032</v>
      </c>
      <c r="L3121" s="133">
        <v>0.6020833333333333</v>
      </c>
      <c r="M3121" s="134">
        <v>1.5972222222222224E-2</v>
      </c>
      <c r="N3121" s="135" t="s">
        <v>1939</v>
      </c>
      <c r="O3121" s="133" t="s">
        <v>376</v>
      </c>
      <c r="Q3121" s="100" t="s">
        <v>4354</v>
      </c>
      <c r="R3121" s="226" t="s">
        <v>4370</v>
      </c>
      <c r="S3121" s="491">
        <f t="shared" si="101"/>
        <v>4.282407E-4</v>
      </c>
      <c r="T3121" s="492" t="str">
        <f>IFERROR(VLOOKUP(F3121,'Freq-Chan'!C:D,2,FALSE),"x")</f>
        <v>x</v>
      </c>
      <c r="U3121" s="110" t="s">
        <v>541</v>
      </c>
      <c r="V3121" s="110" t="str">
        <f t="shared" si="102"/>
        <v>FWL</v>
      </c>
      <c r="W3121" s="110" t="s">
        <v>541</v>
      </c>
      <c r="X3121" s="110" t="s">
        <v>541</v>
      </c>
      <c r="Y3121" s="110" t="str">
        <f>IFERROR(VLOOKUP(F3121,'Freq-Chan'!C:E,3,FALSE),"na")</f>
        <v>na</v>
      </c>
      <c r="Z3121" s="110" t="s">
        <v>541</v>
      </c>
      <c r="AA3121" s="110" t="s">
        <v>541</v>
      </c>
      <c r="AB3121" s="110" t="s">
        <v>541</v>
      </c>
      <c r="AC3121" s="10" t="s">
        <v>541</v>
      </c>
      <c r="AD3121" s="10" t="s">
        <v>541</v>
      </c>
    </row>
    <row r="3122" spans="1:30" x14ac:dyDescent="0.2">
      <c r="A3122" s="110">
        <v>3122</v>
      </c>
      <c r="B3122" s="132">
        <v>41871</v>
      </c>
      <c r="C3122" s="117">
        <v>2</v>
      </c>
      <c r="D3122" s="103" t="s">
        <v>71</v>
      </c>
      <c r="E3122" s="103" t="s">
        <v>306</v>
      </c>
      <c r="H3122" s="103"/>
      <c r="I3122" s="103">
        <v>54</v>
      </c>
      <c r="K3122" s="103" t="s">
        <v>1032</v>
      </c>
      <c r="L3122" s="133"/>
      <c r="M3122" s="134">
        <v>1.4583333333333332E-2</v>
      </c>
      <c r="N3122" s="135" t="s">
        <v>1939</v>
      </c>
      <c r="O3122" s="133" t="s">
        <v>1538</v>
      </c>
      <c r="Q3122" s="100" t="s">
        <v>4354</v>
      </c>
      <c r="R3122" s="226" t="s">
        <v>4370</v>
      </c>
      <c r="S3122" s="491" t="str">
        <f t="shared" ref="S3122:S3185" si="103">IF(IF(OR(L3122=0,N3122=0),"x",ROUND(N3122-L3122-(M3122*24)/(24*60),10))&lt;0,0,IF(OR(L3122=0,N3122=0),"x",ROUND(N3122-L3122-(M3122*24)/(24*60),10)))</f>
        <v>x</v>
      </c>
      <c r="T3122" s="492" t="str">
        <f>IFERROR(VLOOKUP(F3122,'Freq-Chan'!C:D,2,FALSE),"x")</f>
        <v>x</v>
      </c>
      <c r="U3122" s="110" t="s">
        <v>541</v>
      </c>
      <c r="V3122" s="110" t="str">
        <f t="shared" ref="V3122:V3185" si="104">IF(OR(C3122=1,C3122=2,C3122=3),"FWL","NRD")</f>
        <v>FWL</v>
      </c>
      <c r="W3122" s="110" t="s">
        <v>541</v>
      </c>
      <c r="X3122" s="110" t="s">
        <v>541</v>
      </c>
      <c r="Y3122" s="110" t="str">
        <f>IFERROR(VLOOKUP(F3122,'Freq-Chan'!C:E,3,FALSE),"na")</f>
        <v>na</v>
      </c>
      <c r="Z3122" s="110" t="s">
        <v>541</v>
      </c>
      <c r="AA3122" s="110" t="s">
        <v>541</v>
      </c>
      <c r="AB3122" s="110" t="s">
        <v>541</v>
      </c>
      <c r="AC3122" s="10" t="s">
        <v>541</v>
      </c>
      <c r="AD3122" s="10" t="s">
        <v>541</v>
      </c>
    </row>
    <row r="3123" spans="1:30" x14ac:dyDescent="0.2">
      <c r="A3123" s="110">
        <v>3123</v>
      </c>
      <c r="B3123" s="132">
        <v>41871</v>
      </c>
      <c r="C3123" s="117">
        <v>2</v>
      </c>
      <c r="D3123" s="103" t="s">
        <v>71</v>
      </c>
      <c r="E3123" s="103" t="s">
        <v>306</v>
      </c>
      <c r="H3123" s="103"/>
      <c r="I3123" s="103">
        <v>56</v>
      </c>
      <c r="K3123" s="103" t="s">
        <v>365</v>
      </c>
      <c r="L3123" s="133"/>
      <c r="M3123" s="134">
        <v>2.9166666666666664E-2</v>
      </c>
      <c r="N3123" s="135" t="s">
        <v>2899</v>
      </c>
      <c r="O3123" s="133" t="s">
        <v>1538</v>
      </c>
      <c r="Q3123" s="100" t="s">
        <v>4354</v>
      </c>
      <c r="R3123" s="226" t="s">
        <v>4370</v>
      </c>
      <c r="S3123" s="491" t="str">
        <f t="shared" si="103"/>
        <v>x</v>
      </c>
      <c r="T3123" s="492" t="str">
        <f>IFERROR(VLOOKUP(F3123,'Freq-Chan'!C:D,2,FALSE),"x")</f>
        <v>x</v>
      </c>
      <c r="U3123" s="110" t="s">
        <v>541</v>
      </c>
      <c r="V3123" s="110" t="str">
        <f t="shared" si="104"/>
        <v>FWL</v>
      </c>
      <c r="W3123" s="110" t="s">
        <v>541</v>
      </c>
      <c r="X3123" s="110" t="s">
        <v>541</v>
      </c>
      <c r="Y3123" s="110" t="str">
        <f>IFERROR(VLOOKUP(F3123,'Freq-Chan'!C:E,3,FALSE),"na")</f>
        <v>na</v>
      </c>
      <c r="Z3123" s="110" t="s">
        <v>541</v>
      </c>
      <c r="AA3123" s="110" t="s">
        <v>541</v>
      </c>
      <c r="AB3123" s="110" t="s">
        <v>541</v>
      </c>
      <c r="AC3123" s="10" t="s">
        <v>541</v>
      </c>
      <c r="AD3123" s="10" t="s">
        <v>541</v>
      </c>
    </row>
    <row r="3124" spans="1:30" x14ac:dyDescent="0.2">
      <c r="A3124" s="110">
        <v>3124</v>
      </c>
      <c r="B3124" s="132">
        <v>41871</v>
      </c>
      <c r="C3124" s="117">
        <v>2</v>
      </c>
      <c r="D3124" s="103" t="s">
        <v>71</v>
      </c>
      <c r="E3124" s="103" t="s">
        <v>306</v>
      </c>
      <c r="H3124" s="103"/>
      <c r="I3124" s="103">
        <v>59</v>
      </c>
      <c r="K3124" s="103" t="s">
        <v>365</v>
      </c>
      <c r="L3124" s="133"/>
      <c r="M3124" s="134">
        <v>1.6666666666666666E-2</v>
      </c>
      <c r="N3124" s="135" t="s">
        <v>4104</v>
      </c>
      <c r="O3124" s="133" t="s">
        <v>376</v>
      </c>
      <c r="P3124" s="100" t="s">
        <v>4365</v>
      </c>
      <c r="Q3124" s="100" t="s">
        <v>4354</v>
      </c>
      <c r="R3124" s="226" t="s">
        <v>4370</v>
      </c>
      <c r="S3124" s="491" t="str">
        <f t="shared" si="103"/>
        <v>x</v>
      </c>
      <c r="T3124" s="492" t="str">
        <f>IFERROR(VLOOKUP(F3124,'Freq-Chan'!C:D,2,FALSE),"x")</f>
        <v>x</v>
      </c>
      <c r="U3124" s="110" t="s">
        <v>541</v>
      </c>
      <c r="V3124" s="110" t="str">
        <f t="shared" si="104"/>
        <v>FWL</v>
      </c>
      <c r="W3124" s="110" t="s">
        <v>541</v>
      </c>
      <c r="X3124" s="110" t="s">
        <v>541</v>
      </c>
      <c r="Y3124" s="110" t="str">
        <f>IFERROR(VLOOKUP(F3124,'Freq-Chan'!C:E,3,FALSE),"na")</f>
        <v>na</v>
      </c>
      <c r="Z3124" s="110" t="s">
        <v>541</v>
      </c>
      <c r="AA3124" s="110" t="s">
        <v>541</v>
      </c>
      <c r="AB3124" s="110" t="s">
        <v>541</v>
      </c>
      <c r="AC3124" s="10" t="s">
        <v>541</v>
      </c>
      <c r="AD3124" s="10" t="s">
        <v>541</v>
      </c>
    </row>
    <row r="3125" spans="1:30" x14ac:dyDescent="0.2">
      <c r="A3125" s="110">
        <v>3125</v>
      </c>
      <c r="B3125" s="132">
        <v>41871</v>
      </c>
      <c r="C3125" s="117">
        <v>2</v>
      </c>
      <c r="D3125" s="103" t="s">
        <v>71</v>
      </c>
      <c r="E3125" s="103" t="s">
        <v>306</v>
      </c>
      <c r="H3125" s="103"/>
      <c r="I3125" s="103">
        <v>65</v>
      </c>
      <c r="K3125" s="103" t="s">
        <v>365</v>
      </c>
      <c r="L3125" s="133"/>
      <c r="M3125" s="134">
        <v>1.3888888888888888E-2</v>
      </c>
      <c r="N3125" s="135" t="s">
        <v>2811</v>
      </c>
      <c r="O3125" s="133" t="s">
        <v>376</v>
      </c>
      <c r="Q3125" s="100" t="s">
        <v>4354</v>
      </c>
      <c r="R3125" s="226" t="s">
        <v>4370</v>
      </c>
      <c r="S3125" s="491" t="str">
        <f t="shared" si="103"/>
        <v>x</v>
      </c>
      <c r="T3125" s="492" t="str">
        <f>IFERROR(VLOOKUP(F3125,'Freq-Chan'!C:D,2,FALSE),"x")</f>
        <v>x</v>
      </c>
      <c r="U3125" s="110" t="s">
        <v>541</v>
      </c>
      <c r="V3125" s="110" t="str">
        <f t="shared" si="104"/>
        <v>FWL</v>
      </c>
      <c r="W3125" s="110" t="s">
        <v>541</v>
      </c>
      <c r="X3125" s="110" t="s">
        <v>541</v>
      </c>
      <c r="Y3125" s="110" t="str">
        <f>IFERROR(VLOOKUP(F3125,'Freq-Chan'!C:E,3,FALSE),"na")</f>
        <v>na</v>
      </c>
      <c r="Z3125" s="110" t="s">
        <v>541</v>
      </c>
      <c r="AA3125" s="110" t="s">
        <v>541</v>
      </c>
      <c r="AB3125" s="110" t="s">
        <v>541</v>
      </c>
      <c r="AC3125" s="10" t="s">
        <v>541</v>
      </c>
      <c r="AD3125" s="10" t="s">
        <v>541</v>
      </c>
    </row>
    <row r="3126" spans="1:30" x14ac:dyDescent="0.2">
      <c r="A3126" s="110">
        <v>3126</v>
      </c>
      <c r="B3126" s="132">
        <v>41871</v>
      </c>
      <c r="C3126" s="117">
        <v>2</v>
      </c>
      <c r="D3126" s="103" t="s">
        <v>71</v>
      </c>
      <c r="E3126" s="103" t="s">
        <v>306</v>
      </c>
      <c r="H3126" s="103"/>
      <c r="I3126" s="103">
        <v>61</v>
      </c>
      <c r="K3126" s="103" t="s">
        <v>365</v>
      </c>
      <c r="L3126" s="133">
        <v>0.60555555555555551</v>
      </c>
      <c r="M3126" s="134">
        <v>1.9444444444444445E-2</v>
      </c>
      <c r="N3126" s="135" t="s">
        <v>4103</v>
      </c>
      <c r="O3126" s="133" t="s">
        <v>376</v>
      </c>
      <c r="Q3126" s="100" t="s">
        <v>4354</v>
      </c>
      <c r="R3126" s="226" t="s">
        <v>4370</v>
      </c>
      <c r="S3126" s="491">
        <f t="shared" si="103"/>
        <v>3.7037039999999999E-4</v>
      </c>
      <c r="T3126" s="492" t="str">
        <f>IFERROR(VLOOKUP(F3126,'Freq-Chan'!C:D,2,FALSE),"x")</f>
        <v>x</v>
      </c>
      <c r="U3126" s="110" t="s">
        <v>541</v>
      </c>
      <c r="V3126" s="110" t="str">
        <f t="shared" si="104"/>
        <v>FWL</v>
      </c>
      <c r="W3126" s="110" t="s">
        <v>541</v>
      </c>
      <c r="X3126" s="110" t="s">
        <v>541</v>
      </c>
      <c r="Y3126" s="110" t="str">
        <f>IFERROR(VLOOKUP(F3126,'Freq-Chan'!C:E,3,FALSE),"na")</f>
        <v>na</v>
      </c>
      <c r="Z3126" s="110" t="s">
        <v>541</v>
      </c>
      <c r="AA3126" s="110" t="s">
        <v>541</v>
      </c>
      <c r="AB3126" s="110" t="s">
        <v>541</v>
      </c>
      <c r="AC3126" s="10" t="s">
        <v>541</v>
      </c>
      <c r="AD3126" s="10" t="s">
        <v>541</v>
      </c>
    </row>
    <row r="3127" spans="1:30" x14ac:dyDescent="0.2">
      <c r="A3127" s="110">
        <v>3127</v>
      </c>
      <c r="B3127" s="132">
        <v>41871</v>
      </c>
      <c r="C3127" s="117">
        <v>2</v>
      </c>
      <c r="D3127" s="103" t="s">
        <v>71</v>
      </c>
      <c r="E3127" s="103" t="s">
        <v>306</v>
      </c>
      <c r="H3127" s="103"/>
      <c r="I3127" s="103">
        <v>53</v>
      </c>
      <c r="K3127" s="103" t="s">
        <v>365</v>
      </c>
      <c r="L3127" s="133"/>
      <c r="M3127" s="134">
        <v>1.6666666666666666E-2</v>
      </c>
      <c r="N3127" s="135" t="s">
        <v>3986</v>
      </c>
      <c r="O3127" s="133" t="s">
        <v>376</v>
      </c>
      <c r="Q3127" s="100" t="s">
        <v>4354</v>
      </c>
      <c r="R3127" s="226" t="s">
        <v>4370</v>
      </c>
      <c r="S3127" s="491" t="str">
        <f t="shared" si="103"/>
        <v>x</v>
      </c>
      <c r="T3127" s="492" t="str">
        <f>IFERROR(VLOOKUP(F3127,'Freq-Chan'!C:D,2,FALSE),"x")</f>
        <v>x</v>
      </c>
      <c r="U3127" s="110" t="s">
        <v>541</v>
      </c>
      <c r="V3127" s="110" t="str">
        <f t="shared" si="104"/>
        <v>FWL</v>
      </c>
      <c r="W3127" s="110" t="s">
        <v>541</v>
      </c>
      <c r="X3127" s="110" t="s">
        <v>541</v>
      </c>
      <c r="Y3127" s="110" t="str">
        <f>IFERROR(VLOOKUP(F3127,'Freq-Chan'!C:E,3,FALSE),"na")</f>
        <v>na</v>
      </c>
      <c r="Z3127" s="110" t="s">
        <v>541</v>
      </c>
      <c r="AA3127" s="110" t="s">
        <v>541</v>
      </c>
      <c r="AB3127" s="110" t="s">
        <v>541</v>
      </c>
      <c r="AC3127" s="10" t="s">
        <v>541</v>
      </c>
      <c r="AD3127" s="10" t="s">
        <v>541</v>
      </c>
    </row>
    <row r="3128" spans="1:30" x14ac:dyDescent="0.2">
      <c r="A3128" s="110">
        <v>3128</v>
      </c>
      <c r="B3128" s="132">
        <v>41871</v>
      </c>
      <c r="C3128" s="117">
        <v>2</v>
      </c>
      <c r="D3128" s="103" t="s">
        <v>71</v>
      </c>
      <c r="E3128" s="103" t="s">
        <v>306</v>
      </c>
      <c r="H3128" s="103"/>
      <c r="I3128" s="103">
        <v>59</v>
      </c>
      <c r="K3128" s="103" t="s">
        <v>365</v>
      </c>
      <c r="L3128" s="133"/>
      <c r="M3128" s="134">
        <v>1.4583333333333332E-2</v>
      </c>
      <c r="N3128" s="135" t="s">
        <v>3178</v>
      </c>
      <c r="O3128" s="133" t="s">
        <v>376</v>
      </c>
      <c r="Q3128" s="100" t="s">
        <v>4354</v>
      </c>
      <c r="R3128" s="226" t="s">
        <v>4370</v>
      </c>
      <c r="S3128" s="491" t="str">
        <f t="shared" si="103"/>
        <v>x</v>
      </c>
      <c r="T3128" s="492" t="str">
        <f>IFERROR(VLOOKUP(F3128,'Freq-Chan'!C:D,2,FALSE),"x")</f>
        <v>x</v>
      </c>
      <c r="U3128" s="110" t="s">
        <v>541</v>
      </c>
      <c r="V3128" s="110" t="str">
        <f t="shared" si="104"/>
        <v>FWL</v>
      </c>
      <c r="W3128" s="110" t="s">
        <v>541</v>
      </c>
      <c r="X3128" s="110" t="s">
        <v>541</v>
      </c>
      <c r="Y3128" s="110" t="str">
        <f>IFERROR(VLOOKUP(F3128,'Freq-Chan'!C:E,3,FALSE),"na")</f>
        <v>na</v>
      </c>
      <c r="Z3128" s="110" t="s">
        <v>541</v>
      </c>
      <c r="AA3128" s="110" t="s">
        <v>541</v>
      </c>
      <c r="AB3128" s="110" t="s">
        <v>541</v>
      </c>
      <c r="AC3128" s="10" t="s">
        <v>541</v>
      </c>
      <c r="AD3128" s="10" t="s">
        <v>541</v>
      </c>
    </row>
    <row r="3129" spans="1:30" x14ac:dyDescent="0.2">
      <c r="A3129" s="110">
        <v>3129</v>
      </c>
      <c r="B3129" s="132">
        <v>41871</v>
      </c>
      <c r="C3129" s="117">
        <v>2</v>
      </c>
      <c r="D3129" s="103" t="s">
        <v>70</v>
      </c>
      <c r="E3129" s="103" t="s">
        <v>306</v>
      </c>
      <c r="H3129" s="103"/>
      <c r="I3129" s="103">
        <v>44</v>
      </c>
      <c r="K3129" s="103" t="s">
        <v>365</v>
      </c>
      <c r="L3129" s="133"/>
      <c r="M3129" s="134">
        <v>2.8472222222222222E-2</v>
      </c>
      <c r="N3129" s="135" t="s">
        <v>3987</v>
      </c>
      <c r="O3129" s="133" t="s">
        <v>372</v>
      </c>
      <c r="Q3129" s="100" t="s">
        <v>4354</v>
      </c>
      <c r="R3129" s="226" t="s">
        <v>4370</v>
      </c>
      <c r="S3129" s="491" t="str">
        <f t="shared" si="103"/>
        <v>x</v>
      </c>
      <c r="T3129" s="492" t="str">
        <f>IFERROR(VLOOKUP(F3129,'Freq-Chan'!C:D,2,FALSE),"x")</f>
        <v>x</v>
      </c>
      <c r="U3129" s="110" t="s">
        <v>541</v>
      </c>
      <c r="V3129" s="110" t="str">
        <f t="shared" si="104"/>
        <v>FWL</v>
      </c>
      <c r="W3129" s="110" t="s">
        <v>541</v>
      </c>
      <c r="X3129" s="110" t="s">
        <v>541</v>
      </c>
      <c r="Y3129" s="110" t="str">
        <f>IFERROR(VLOOKUP(F3129,'Freq-Chan'!C:E,3,FALSE),"na")</f>
        <v>na</v>
      </c>
      <c r="Z3129" s="110" t="s">
        <v>541</v>
      </c>
      <c r="AA3129" s="110" t="s">
        <v>541</v>
      </c>
      <c r="AB3129" s="110" t="s">
        <v>541</v>
      </c>
      <c r="AC3129" s="10" t="s">
        <v>541</v>
      </c>
      <c r="AD3129" s="10" t="s">
        <v>541</v>
      </c>
    </row>
    <row r="3130" spans="1:30" x14ac:dyDescent="0.2">
      <c r="A3130" s="110">
        <v>3130</v>
      </c>
      <c r="B3130" s="132">
        <v>41871</v>
      </c>
      <c r="C3130" s="117">
        <v>2</v>
      </c>
      <c r="D3130" s="103" t="s">
        <v>70</v>
      </c>
      <c r="E3130" s="103" t="s">
        <v>306</v>
      </c>
      <c r="H3130" s="142"/>
      <c r="I3130" s="103">
        <v>44</v>
      </c>
      <c r="K3130" s="103" t="s">
        <v>365</v>
      </c>
      <c r="L3130" s="133"/>
      <c r="M3130" s="134">
        <v>1.6666666666666666E-2</v>
      </c>
      <c r="N3130" s="135" t="s">
        <v>4195</v>
      </c>
      <c r="O3130" s="133" t="s">
        <v>372</v>
      </c>
      <c r="Q3130" s="100" t="s">
        <v>4354</v>
      </c>
      <c r="R3130" s="226" t="s">
        <v>4370</v>
      </c>
      <c r="S3130" s="491" t="str">
        <f t="shared" si="103"/>
        <v>x</v>
      </c>
      <c r="T3130" s="492" t="str">
        <f>IFERROR(VLOOKUP(F3130,'Freq-Chan'!C:D,2,FALSE),"x")</f>
        <v>x</v>
      </c>
      <c r="U3130" s="110" t="s">
        <v>541</v>
      </c>
      <c r="V3130" s="110" t="str">
        <f t="shared" si="104"/>
        <v>FWL</v>
      </c>
      <c r="W3130" s="110" t="s">
        <v>541</v>
      </c>
      <c r="X3130" s="110" t="s">
        <v>541</v>
      </c>
      <c r="Y3130" s="110" t="str">
        <f>IFERROR(VLOOKUP(F3130,'Freq-Chan'!C:E,3,FALSE),"na")</f>
        <v>na</v>
      </c>
      <c r="Z3130" s="110" t="s">
        <v>541</v>
      </c>
      <c r="AA3130" s="110" t="s">
        <v>541</v>
      </c>
      <c r="AB3130" s="110" t="s">
        <v>541</v>
      </c>
      <c r="AC3130" s="10" t="s">
        <v>541</v>
      </c>
      <c r="AD3130" s="10" t="s">
        <v>541</v>
      </c>
    </row>
    <row r="3131" spans="1:30" x14ac:dyDescent="0.2">
      <c r="A3131" s="110">
        <v>3131</v>
      </c>
      <c r="B3131" s="132">
        <v>41871</v>
      </c>
      <c r="C3131" s="117">
        <v>2</v>
      </c>
      <c r="D3131" s="103" t="s">
        <v>8</v>
      </c>
      <c r="E3131" s="103" t="s">
        <v>306</v>
      </c>
      <c r="F3131" s="103">
        <v>586</v>
      </c>
      <c r="G3131" s="103">
        <v>60</v>
      </c>
      <c r="H3131" s="103" t="s">
        <v>2281</v>
      </c>
      <c r="I3131" s="103">
        <v>47</v>
      </c>
      <c r="K3131" s="103" t="s">
        <v>365</v>
      </c>
      <c r="L3131" s="133"/>
      <c r="M3131" s="134">
        <v>2.9861111111111113E-2</v>
      </c>
      <c r="N3131" s="135" t="s">
        <v>714</v>
      </c>
      <c r="O3131" s="133" t="s">
        <v>1532</v>
      </c>
      <c r="Q3131" s="106" t="s">
        <v>4357</v>
      </c>
      <c r="R3131" s="226" t="s">
        <v>4370</v>
      </c>
      <c r="S3131" s="491" t="str">
        <f t="shared" si="103"/>
        <v>x</v>
      </c>
      <c r="T3131" s="492">
        <f>IFERROR(VLOOKUP(F3131,'Freq-Chan'!C:D,2,FALSE),"x")</f>
        <v>151.58600000000001</v>
      </c>
      <c r="U3131" s="110" t="s">
        <v>541</v>
      </c>
      <c r="V3131" s="110" t="str">
        <f t="shared" si="104"/>
        <v>FWL</v>
      </c>
      <c r="W3131" s="110" t="s">
        <v>541</v>
      </c>
      <c r="X3131" s="110" t="s">
        <v>541</v>
      </c>
      <c r="Y3131" s="110" t="str">
        <f>IFERROR(VLOOKUP(F3131,'Freq-Chan'!C:E,3,FALSE),"na")</f>
        <v>F1840</v>
      </c>
      <c r="Z3131" s="110" t="s">
        <v>541</v>
      </c>
      <c r="AA3131" s="110" t="s">
        <v>541</v>
      </c>
      <c r="AB3131" s="110" t="s">
        <v>541</v>
      </c>
      <c r="AC3131" s="10" t="s">
        <v>541</v>
      </c>
      <c r="AD3131" s="10" t="s">
        <v>541</v>
      </c>
    </row>
    <row r="3132" spans="1:30" x14ac:dyDescent="0.2">
      <c r="A3132" s="110">
        <v>3132</v>
      </c>
      <c r="B3132" s="132">
        <v>41871</v>
      </c>
      <c r="C3132" s="117">
        <v>2</v>
      </c>
      <c r="D3132" s="103" t="s">
        <v>72</v>
      </c>
      <c r="E3132" s="103" t="s">
        <v>306</v>
      </c>
      <c r="H3132" s="103"/>
      <c r="I3132" s="103">
        <v>55</v>
      </c>
      <c r="K3132" s="103" t="s">
        <v>1032</v>
      </c>
      <c r="L3132" s="133"/>
      <c r="M3132" s="134">
        <v>1.5277777777777777E-2</v>
      </c>
      <c r="N3132" s="137" t="s">
        <v>2785</v>
      </c>
      <c r="O3132" s="133" t="s">
        <v>1532</v>
      </c>
      <c r="Q3132" s="106" t="s">
        <v>4357</v>
      </c>
      <c r="R3132" s="226" t="s">
        <v>4370</v>
      </c>
      <c r="S3132" s="491" t="str">
        <f t="shared" si="103"/>
        <v>x</v>
      </c>
      <c r="T3132" s="492" t="str">
        <f>IFERROR(VLOOKUP(F3132,'Freq-Chan'!C:D,2,FALSE),"x")</f>
        <v>x</v>
      </c>
      <c r="U3132" s="110" t="s">
        <v>541</v>
      </c>
      <c r="V3132" s="110" t="str">
        <f t="shared" si="104"/>
        <v>FWL</v>
      </c>
      <c r="W3132" s="110" t="s">
        <v>541</v>
      </c>
      <c r="X3132" s="110" t="s">
        <v>541</v>
      </c>
      <c r="Y3132" s="110" t="str">
        <f>IFERROR(VLOOKUP(F3132,'Freq-Chan'!C:E,3,FALSE),"na")</f>
        <v>na</v>
      </c>
      <c r="Z3132" s="110" t="s">
        <v>541</v>
      </c>
      <c r="AA3132" s="110" t="s">
        <v>541</v>
      </c>
      <c r="AB3132" s="110" t="s">
        <v>541</v>
      </c>
      <c r="AC3132" s="10" t="s">
        <v>541</v>
      </c>
      <c r="AD3132" s="10" t="s">
        <v>541</v>
      </c>
    </row>
    <row r="3133" spans="1:30" x14ac:dyDescent="0.2">
      <c r="A3133" s="110">
        <v>3133</v>
      </c>
      <c r="B3133" s="132">
        <v>41871</v>
      </c>
      <c r="C3133" s="117">
        <v>2</v>
      </c>
      <c r="D3133" s="103" t="s">
        <v>72</v>
      </c>
      <c r="E3133" s="103" t="s">
        <v>306</v>
      </c>
      <c r="H3133" s="103"/>
      <c r="I3133" s="103">
        <v>56</v>
      </c>
      <c r="K3133" s="103" t="s">
        <v>365</v>
      </c>
      <c r="L3133" s="133"/>
      <c r="M3133" s="134">
        <v>1.5972222222222224E-2</v>
      </c>
      <c r="N3133" s="137" t="s">
        <v>3488</v>
      </c>
      <c r="O3133" s="133" t="s">
        <v>1532</v>
      </c>
      <c r="Q3133" s="106" t="s">
        <v>4357</v>
      </c>
      <c r="R3133" s="226" t="s">
        <v>4370</v>
      </c>
      <c r="S3133" s="491" t="str">
        <f t="shared" si="103"/>
        <v>x</v>
      </c>
      <c r="T3133" s="492" t="str">
        <f>IFERROR(VLOOKUP(F3133,'Freq-Chan'!C:D,2,FALSE),"x")</f>
        <v>x</v>
      </c>
      <c r="U3133" s="110" t="s">
        <v>541</v>
      </c>
      <c r="V3133" s="110" t="str">
        <f t="shared" si="104"/>
        <v>FWL</v>
      </c>
      <c r="W3133" s="110" t="s">
        <v>541</v>
      </c>
      <c r="X3133" s="110" t="s">
        <v>541</v>
      </c>
      <c r="Y3133" s="110" t="str">
        <f>IFERROR(VLOOKUP(F3133,'Freq-Chan'!C:E,3,FALSE),"na")</f>
        <v>na</v>
      </c>
      <c r="Z3133" s="110" t="s">
        <v>541</v>
      </c>
      <c r="AA3133" s="110" t="s">
        <v>541</v>
      </c>
      <c r="AB3133" s="110" t="s">
        <v>541</v>
      </c>
      <c r="AC3133" s="10" t="s">
        <v>541</v>
      </c>
      <c r="AD3133" s="10" t="s">
        <v>541</v>
      </c>
    </row>
    <row r="3134" spans="1:30" x14ac:dyDescent="0.2">
      <c r="A3134" s="110">
        <v>3134</v>
      </c>
      <c r="B3134" s="132">
        <v>41871</v>
      </c>
      <c r="C3134" s="117">
        <v>2</v>
      </c>
      <c r="D3134" s="103" t="s">
        <v>8</v>
      </c>
      <c r="E3134" s="103" t="s">
        <v>306</v>
      </c>
      <c r="F3134" s="103">
        <v>573</v>
      </c>
      <c r="G3134" s="103">
        <v>23</v>
      </c>
      <c r="H3134" s="103" t="s">
        <v>2284</v>
      </c>
      <c r="I3134" s="103">
        <v>51</v>
      </c>
      <c r="K3134" s="103" t="s">
        <v>365</v>
      </c>
      <c r="L3134" s="133"/>
      <c r="M3134" s="134">
        <v>3.6111111111111115E-2</v>
      </c>
      <c r="N3134" s="137" t="s">
        <v>1852</v>
      </c>
      <c r="O3134" s="133" t="s">
        <v>1033</v>
      </c>
      <c r="Q3134" s="106" t="s">
        <v>4357</v>
      </c>
      <c r="R3134" s="226" t="s">
        <v>4370</v>
      </c>
      <c r="S3134" s="491" t="str">
        <f t="shared" si="103"/>
        <v>x</v>
      </c>
      <c r="T3134" s="492">
        <f>IFERROR(VLOOKUP(F3134,'Freq-Chan'!C:D,2,FALSE),"x")</f>
        <v>151.57300000000001</v>
      </c>
      <c r="U3134" s="110" t="s">
        <v>541</v>
      </c>
      <c r="V3134" s="110" t="str">
        <f t="shared" si="104"/>
        <v>FWL</v>
      </c>
      <c r="W3134" s="110" t="s">
        <v>541</v>
      </c>
      <c r="X3134" s="110" t="s">
        <v>541</v>
      </c>
      <c r="Y3134" s="110" t="str">
        <f>IFERROR(VLOOKUP(F3134,'Freq-Chan'!C:E,3,FALSE),"na")</f>
        <v>F1840</v>
      </c>
      <c r="Z3134" s="110" t="s">
        <v>541</v>
      </c>
      <c r="AA3134" s="110" t="s">
        <v>541</v>
      </c>
      <c r="AB3134" s="110" t="s">
        <v>541</v>
      </c>
      <c r="AC3134" s="10" t="s">
        <v>541</v>
      </c>
      <c r="AD3134" s="10" t="s">
        <v>541</v>
      </c>
    </row>
    <row r="3135" spans="1:30" s="291" customFormat="1" x14ac:dyDescent="0.2">
      <c r="A3135" s="493">
        <v>3135</v>
      </c>
      <c r="B3135" s="283">
        <v>41871</v>
      </c>
      <c r="C3135" s="284">
        <v>2</v>
      </c>
      <c r="D3135" s="285" t="s">
        <v>8</v>
      </c>
      <c r="E3135" s="285" t="s">
        <v>0</v>
      </c>
      <c r="F3135" s="285"/>
      <c r="G3135" s="285"/>
      <c r="H3135" s="285"/>
      <c r="I3135" s="285">
        <v>33</v>
      </c>
      <c r="J3135" s="285"/>
      <c r="K3135" s="285" t="s">
        <v>364</v>
      </c>
      <c r="L3135" s="286"/>
      <c r="M3135" s="287">
        <v>1.3888888888888888E-2</v>
      </c>
      <c r="N3135" s="339" t="s">
        <v>4299</v>
      </c>
      <c r="O3135" s="286" t="s">
        <v>1033</v>
      </c>
      <c r="P3135" s="289"/>
      <c r="Q3135" s="395" t="s">
        <v>4357</v>
      </c>
      <c r="R3135" s="290" t="s">
        <v>4370</v>
      </c>
      <c r="S3135" s="494" t="str">
        <f t="shared" si="103"/>
        <v>x</v>
      </c>
      <c r="T3135" s="495" t="str">
        <f>IFERROR(VLOOKUP(F3135,'Freq-Chan'!C:D,2,FALSE),"x")</f>
        <v>x</v>
      </c>
      <c r="U3135" s="493" t="s">
        <v>541</v>
      </c>
      <c r="V3135" s="493" t="str">
        <f t="shared" si="104"/>
        <v>FWL</v>
      </c>
      <c r="W3135" s="493" t="s">
        <v>541</v>
      </c>
      <c r="X3135" s="493" t="s">
        <v>541</v>
      </c>
      <c r="Y3135" s="493" t="str">
        <f>IFERROR(VLOOKUP(F3135,'Freq-Chan'!C:E,3,FALSE),"na")</f>
        <v>na</v>
      </c>
      <c r="Z3135" s="493" t="s">
        <v>541</v>
      </c>
      <c r="AA3135" s="493" t="s">
        <v>541</v>
      </c>
      <c r="AB3135" s="493" t="s">
        <v>541</v>
      </c>
      <c r="AC3135" s="291" t="s">
        <v>541</v>
      </c>
      <c r="AD3135" s="291" t="s">
        <v>541</v>
      </c>
    </row>
    <row r="3136" spans="1:30" x14ac:dyDescent="0.2">
      <c r="A3136" s="110">
        <v>3136</v>
      </c>
      <c r="B3136" s="132">
        <v>41871</v>
      </c>
      <c r="C3136" s="117">
        <v>3</v>
      </c>
      <c r="D3136" s="103" t="s">
        <v>70</v>
      </c>
      <c r="E3136" s="103" t="s">
        <v>306</v>
      </c>
      <c r="H3136" s="103"/>
      <c r="I3136" s="103">
        <v>51</v>
      </c>
      <c r="K3136" s="103" t="s">
        <v>1032</v>
      </c>
      <c r="L3136" s="133">
        <v>0.3840277777777778</v>
      </c>
      <c r="M3136" s="134">
        <v>2.0833333333333332E-2</v>
      </c>
      <c r="N3136" s="137" t="s">
        <v>3450</v>
      </c>
      <c r="O3136" s="133" t="s">
        <v>1532</v>
      </c>
      <c r="P3136" s="100" t="s">
        <v>4368</v>
      </c>
      <c r="Q3136" s="100" t="s">
        <v>4354</v>
      </c>
      <c r="R3136" s="226" t="s">
        <v>4370</v>
      </c>
      <c r="S3136" s="491">
        <f t="shared" si="103"/>
        <v>1.7361111000000001E-3</v>
      </c>
      <c r="T3136" s="492" t="str">
        <f>IFERROR(VLOOKUP(F3136,'Freq-Chan'!C:D,2,FALSE),"x")</f>
        <v>x</v>
      </c>
      <c r="U3136" s="110" t="s">
        <v>541</v>
      </c>
      <c r="V3136" s="110" t="str">
        <f t="shared" si="104"/>
        <v>FWL</v>
      </c>
      <c r="W3136" s="110" t="s">
        <v>541</v>
      </c>
      <c r="X3136" s="110" t="s">
        <v>541</v>
      </c>
      <c r="Y3136" s="110" t="str">
        <f>IFERROR(VLOOKUP(F3136,'Freq-Chan'!C:E,3,FALSE),"na")</f>
        <v>na</v>
      </c>
      <c r="Z3136" s="110" t="s">
        <v>541</v>
      </c>
      <c r="AA3136" s="110" t="s">
        <v>541</v>
      </c>
      <c r="AB3136" s="110" t="s">
        <v>541</v>
      </c>
      <c r="AC3136" s="10" t="s">
        <v>541</v>
      </c>
      <c r="AD3136" s="10" t="s">
        <v>541</v>
      </c>
    </row>
    <row r="3137" spans="1:30" x14ac:dyDescent="0.2">
      <c r="A3137" s="110">
        <v>3137</v>
      </c>
      <c r="B3137" s="132">
        <v>41871</v>
      </c>
      <c r="C3137" s="117">
        <v>3</v>
      </c>
      <c r="D3137" s="103" t="s">
        <v>71</v>
      </c>
      <c r="E3137" s="103" t="s">
        <v>306</v>
      </c>
      <c r="F3137" s="103">
        <v>564</v>
      </c>
      <c r="G3137" s="103">
        <v>0</v>
      </c>
      <c r="H3137" s="103" t="s">
        <v>2474</v>
      </c>
      <c r="I3137" s="103">
        <v>57</v>
      </c>
      <c r="K3137" s="103" t="s">
        <v>365</v>
      </c>
      <c r="L3137" s="133">
        <v>0.40625</v>
      </c>
      <c r="M3137" s="134">
        <v>3.1944444444444449E-2</v>
      </c>
      <c r="N3137" s="135" t="s">
        <v>3386</v>
      </c>
      <c r="O3137" s="133" t="s">
        <v>1532</v>
      </c>
      <c r="Q3137" s="100" t="s">
        <v>4354</v>
      </c>
      <c r="R3137" s="226" t="s">
        <v>4370</v>
      </c>
      <c r="S3137" s="491">
        <f t="shared" si="103"/>
        <v>8.4953704000000005E-3</v>
      </c>
      <c r="T3137" s="492">
        <f>IFERROR(VLOOKUP(F3137,'Freq-Chan'!C:D,2,FALSE),"x")</f>
        <v>151.56399999999999</v>
      </c>
      <c r="U3137" s="110" t="s">
        <v>541</v>
      </c>
      <c r="V3137" s="110" t="str">
        <f t="shared" si="104"/>
        <v>FWL</v>
      </c>
      <c r="W3137" s="110" t="s">
        <v>541</v>
      </c>
      <c r="X3137" s="110" t="s">
        <v>541</v>
      </c>
      <c r="Y3137" s="110" t="str">
        <f>IFERROR(VLOOKUP(F3137,'Freq-Chan'!C:E,3,FALSE),"na")</f>
        <v>F1840</v>
      </c>
      <c r="Z3137" s="110" t="s">
        <v>541</v>
      </c>
      <c r="AA3137" s="110" t="s">
        <v>541</v>
      </c>
      <c r="AB3137" s="110" t="s">
        <v>541</v>
      </c>
      <c r="AC3137" s="10" t="s">
        <v>541</v>
      </c>
      <c r="AD3137" s="10" t="s">
        <v>541</v>
      </c>
    </row>
    <row r="3138" spans="1:30" x14ac:dyDescent="0.2">
      <c r="A3138" s="110">
        <v>3138</v>
      </c>
      <c r="B3138" s="132">
        <v>41871</v>
      </c>
      <c r="C3138" s="117">
        <v>3</v>
      </c>
      <c r="D3138" s="103" t="s">
        <v>72</v>
      </c>
      <c r="E3138" s="103" t="s">
        <v>306</v>
      </c>
      <c r="F3138" s="103">
        <v>266</v>
      </c>
      <c r="G3138" s="103">
        <v>60</v>
      </c>
      <c r="H3138" s="103" t="s">
        <v>3634</v>
      </c>
      <c r="I3138" s="103">
        <v>48</v>
      </c>
      <c r="K3138" s="103" t="s">
        <v>1032</v>
      </c>
      <c r="L3138" s="133"/>
      <c r="M3138" s="134">
        <v>4.027777777777778E-2</v>
      </c>
      <c r="N3138" s="135" t="s">
        <v>3834</v>
      </c>
      <c r="O3138" s="133" t="s">
        <v>1888</v>
      </c>
      <c r="P3138" s="100" t="s">
        <v>4471</v>
      </c>
      <c r="Q3138" s="100" t="s">
        <v>4354</v>
      </c>
      <c r="R3138" s="226" t="s">
        <v>4370</v>
      </c>
      <c r="S3138" s="491" t="str">
        <f t="shared" si="103"/>
        <v>x</v>
      </c>
      <c r="T3138" s="492">
        <f>IFERROR(VLOOKUP(F3138,'Freq-Chan'!C:D,2,FALSE),"x")</f>
        <v>151.26599999999999</v>
      </c>
      <c r="U3138" s="110" t="s">
        <v>541</v>
      </c>
      <c r="V3138" s="110" t="str">
        <f t="shared" si="104"/>
        <v>FWL</v>
      </c>
      <c r="W3138" s="110" t="s">
        <v>541</v>
      </c>
      <c r="X3138" s="110" t="s">
        <v>541</v>
      </c>
      <c r="Y3138" s="110" t="str">
        <f>IFERROR(VLOOKUP(F3138,'Freq-Chan'!C:E,3,FALSE),"na")</f>
        <v>F1840</v>
      </c>
      <c r="Z3138" s="110" t="s">
        <v>541</v>
      </c>
      <c r="AA3138" s="110" t="s">
        <v>541</v>
      </c>
      <c r="AB3138" s="110" t="s">
        <v>541</v>
      </c>
      <c r="AC3138" s="10" t="s">
        <v>541</v>
      </c>
      <c r="AD3138" s="10" t="s">
        <v>541</v>
      </c>
    </row>
    <row r="3139" spans="1:30" x14ac:dyDescent="0.2">
      <c r="A3139" s="110">
        <v>3139</v>
      </c>
      <c r="B3139" s="132">
        <v>41871</v>
      </c>
      <c r="C3139" s="117">
        <v>3</v>
      </c>
      <c r="D3139" s="103" t="s">
        <v>72</v>
      </c>
      <c r="E3139" s="103" t="s">
        <v>306</v>
      </c>
      <c r="F3139" s="103">
        <v>325</v>
      </c>
      <c r="G3139" s="103">
        <v>6</v>
      </c>
      <c r="H3139" s="103" t="s">
        <v>3635</v>
      </c>
      <c r="I3139" s="103">
        <v>58</v>
      </c>
      <c r="K3139" s="103" t="s">
        <v>365</v>
      </c>
      <c r="L3139" s="133"/>
      <c r="M3139" s="134">
        <v>4.0972222222222222E-2</v>
      </c>
      <c r="N3139" s="135" t="s">
        <v>2814</v>
      </c>
      <c r="O3139" s="133" t="s">
        <v>1888</v>
      </c>
      <c r="P3139" s="100" t="s">
        <v>4007</v>
      </c>
      <c r="Q3139" s="100" t="s">
        <v>4354</v>
      </c>
      <c r="R3139" s="226" t="s">
        <v>4370</v>
      </c>
      <c r="S3139" s="491" t="str">
        <f t="shared" si="103"/>
        <v>x</v>
      </c>
      <c r="T3139" s="492">
        <f>IFERROR(VLOOKUP(F3139,'Freq-Chan'!C:D,2,FALSE),"x")</f>
        <v>151.32499999999999</v>
      </c>
      <c r="U3139" s="110" t="s">
        <v>541</v>
      </c>
      <c r="V3139" s="110" t="str">
        <f t="shared" si="104"/>
        <v>FWL</v>
      </c>
      <c r="W3139" s="110" t="s">
        <v>541</v>
      </c>
      <c r="X3139" s="110" t="s">
        <v>541</v>
      </c>
      <c r="Y3139" s="110" t="str">
        <f>IFERROR(VLOOKUP(F3139,'Freq-Chan'!C:E,3,FALSE),"na")</f>
        <v>F1840</v>
      </c>
      <c r="Z3139" s="110" t="s">
        <v>541</v>
      </c>
      <c r="AA3139" s="110" t="s">
        <v>541</v>
      </c>
      <c r="AB3139" s="110" t="s">
        <v>541</v>
      </c>
      <c r="AC3139" s="10" t="s">
        <v>541</v>
      </c>
      <c r="AD3139" s="10" t="s">
        <v>541</v>
      </c>
    </row>
    <row r="3140" spans="1:30" x14ac:dyDescent="0.2">
      <c r="A3140" s="110">
        <v>3140</v>
      </c>
      <c r="B3140" s="132">
        <v>41871</v>
      </c>
      <c r="C3140" s="117">
        <v>3</v>
      </c>
      <c r="D3140" s="103" t="s">
        <v>71</v>
      </c>
      <c r="E3140" s="103" t="s">
        <v>306</v>
      </c>
      <c r="H3140" s="103"/>
      <c r="I3140" s="103">
        <v>55</v>
      </c>
      <c r="K3140" s="103" t="s">
        <v>1032</v>
      </c>
      <c r="L3140" s="133"/>
      <c r="M3140" s="134">
        <v>1.4583333333333332E-2</v>
      </c>
      <c r="N3140" s="135" t="s">
        <v>3212</v>
      </c>
      <c r="O3140" s="133" t="s">
        <v>1888</v>
      </c>
      <c r="Q3140" s="100" t="s">
        <v>4354</v>
      </c>
      <c r="R3140" s="226" t="s">
        <v>4370</v>
      </c>
      <c r="S3140" s="491" t="str">
        <f t="shared" si="103"/>
        <v>x</v>
      </c>
      <c r="T3140" s="492" t="str">
        <f>IFERROR(VLOOKUP(F3140,'Freq-Chan'!C:D,2,FALSE),"x")</f>
        <v>x</v>
      </c>
      <c r="U3140" s="110" t="s">
        <v>541</v>
      </c>
      <c r="V3140" s="110" t="str">
        <f t="shared" si="104"/>
        <v>FWL</v>
      </c>
      <c r="W3140" s="110" t="s">
        <v>541</v>
      </c>
      <c r="X3140" s="110" t="s">
        <v>541</v>
      </c>
      <c r="Y3140" s="110" t="str">
        <f>IFERROR(VLOOKUP(F3140,'Freq-Chan'!C:E,3,FALSE),"na")</f>
        <v>na</v>
      </c>
      <c r="Z3140" s="110" t="s">
        <v>541</v>
      </c>
      <c r="AA3140" s="110" t="s">
        <v>541</v>
      </c>
      <c r="AB3140" s="110" t="s">
        <v>541</v>
      </c>
      <c r="AC3140" s="10" t="s">
        <v>541</v>
      </c>
      <c r="AD3140" s="10" t="s">
        <v>541</v>
      </c>
    </row>
    <row r="3141" spans="1:30" x14ac:dyDescent="0.2">
      <c r="A3141" s="110">
        <v>3141</v>
      </c>
      <c r="B3141" s="132">
        <v>41871</v>
      </c>
      <c r="C3141" s="117">
        <v>3</v>
      </c>
      <c r="D3141" s="103" t="s">
        <v>72</v>
      </c>
      <c r="E3141" s="103" t="s">
        <v>306</v>
      </c>
      <c r="F3141" s="103">
        <v>266</v>
      </c>
      <c r="G3141" s="103">
        <v>51</v>
      </c>
      <c r="H3141" s="103" t="s">
        <v>3636</v>
      </c>
      <c r="I3141" s="103">
        <v>57</v>
      </c>
      <c r="K3141" s="103" t="s">
        <v>1032</v>
      </c>
      <c r="L3141" s="133"/>
      <c r="M3141" s="134">
        <v>3.6805555555555557E-2</v>
      </c>
      <c r="N3141" s="135" t="s">
        <v>3903</v>
      </c>
      <c r="O3141" s="133" t="s">
        <v>372</v>
      </c>
      <c r="P3141" s="100" t="s">
        <v>4466</v>
      </c>
      <c r="Q3141" s="100" t="s">
        <v>4354</v>
      </c>
      <c r="R3141" s="226" t="s">
        <v>4370</v>
      </c>
      <c r="S3141" s="491" t="str">
        <f t="shared" si="103"/>
        <v>x</v>
      </c>
      <c r="T3141" s="492">
        <f>IFERROR(VLOOKUP(F3141,'Freq-Chan'!C:D,2,FALSE),"x")</f>
        <v>151.26599999999999</v>
      </c>
      <c r="U3141" s="110" t="s">
        <v>541</v>
      </c>
      <c r="V3141" s="110" t="str">
        <f t="shared" si="104"/>
        <v>FWL</v>
      </c>
      <c r="W3141" s="110" t="s">
        <v>541</v>
      </c>
      <c r="X3141" s="110" t="s">
        <v>541</v>
      </c>
      <c r="Y3141" s="110" t="str">
        <f>IFERROR(VLOOKUP(F3141,'Freq-Chan'!C:E,3,FALSE),"na")</f>
        <v>F1840</v>
      </c>
      <c r="Z3141" s="110" t="s">
        <v>541</v>
      </c>
      <c r="AA3141" s="110" t="s">
        <v>541</v>
      </c>
      <c r="AB3141" s="110" t="s">
        <v>541</v>
      </c>
      <c r="AC3141" s="10" t="s">
        <v>541</v>
      </c>
      <c r="AD3141" s="10" t="s">
        <v>541</v>
      </c>
    </row>
    <row r="3142" spans="1:30" x14ac:dyDescent="0.2">
      <c r="A3142" s="110">
        <v>3142</v>
      </c>
      <c r="B3142" s="132">
        <v>41871</v>
      </c>
      <c r="C3142" s="117">
        <v>3</v>
      </c>
      <c r="D3142" s="103" t="s">
        <v>71</v>
      </c>
      <c r="E3142" s="103" t="s">
        <v>306</v>
      </c>
      <c r="H3142" s="103"/>
      <c r="I3142" s="103">
        <v>56</v>
      </c>
      <c r="K3142" s="103" t="s">
        <v>365</v>
      </c>
      <c r="L3142" s="133"/>
      <c r="M3142" s="134">
        <v>1.2499999999999999E-2</v>
      </c>
      <c r="N3142" s="135" t="s">
        <v>2780</v>
      </c>
      <c r="O3142" s="133" t="s">
        <v>1532</v>
      </c>
      <c r="Q3142" s="100" t="s">
        <v>4354</v>
      </c>
      <c r="R3142" s="226" t="s">
        <v>4370</v>
      </c>
      <c r="S3142" s="491" t="str">
        <f t="shared" si="103"/>
        <v>x</v>
      </c>
      <c r="T3142" s="492" t="str">
        <f>IFERROR(VLOOKUP(F3142,'Freq-Chan'!C:D,2,FALSE),"x")</f>
        <v>x</v>
      </c>
      <c r="U3142" s="110" t="s">
        <v>541</v>
      </c>
      <c r="V3142" s="110" t="str">
        <f t="shared" si="104"/>
        <v>FWL</v>
      </c>
      <c r="W3142" s="110" t="s">
        <v>541</v>
      </c>
      <c r="X3142" s="110" t="s">
        <v>541</v>
      </c>
      <c r="Y3142" s="110" t="str">
        <f>IFERROR(VLOOKUP(F3142,'Freq-Chan'!C:E,3,FALSE),"na")</f>
        <v>na</v>
      </c>
      <c r="Z3142" s="110" t="s">
        <v>541</v>
      </c>
      <c r="AA3142" s="110" t="s">
        <v>541</v>
      </c>
      <c r="AB3142" s="110" t="s">
        <v>541</v>
      </c>
      <c r="AC3142" s="10" t="s">
        <v>541</v>
      </c>
      <c r="AD3142" s="10" t="s">
        <v>541</v>
      </c>
    </row>
    <row r="3143" spans="1:30" x14ac:dyDescent="0.2">
      <c r="A3143" s="110">
        <v>3143</v>
      </c>
      <c r="B3143" s="132">
        <v>41871</v>
      </c>
      <c r="C3143" s="117">
        <v>3</v>
      </c>
      <c r="D3143" s="103" t="s">
        <v>70</v>
      </c>
      <c r="E3143" s="103" t="s">
        <v>306</v>
      </c>
      <c r="H3143" s="103"/>
      <c r="I3143" s="103">
        <v>52</v>
      </c>
      <c r="K3143" s="103" t="s">
        <v>1032</v>
      </c>
      <c r="L3143" s="133"/>
      <c r="M3143" s="134">
        <v>2.4305555555555556E-2</v>
      </c>
      <c r="N3143" s="135" t="s">
        <v>3246</v>
      </c>
      <c r="O3143" s="133" t="s">
        <v>372</v>
      </c>
      <c r="Q3143" s="100" t="s">
        <v>4354</v>
      </c>
      <c r="R3143" s="226" t="s">
        <v>4370</v>
      </c>
      <c r="S3143" s="491" t="str">
        <f t="shared" si="103"/>
        <v>x</v>
      </c>
      <c r="T3143" s="492" t="str">
        <f>IFERROR(VLOOKUP(F3143,'Freq-Chan'!C:D,2,FALSE),"x")</f>
        <v>x</v>
      </c>
      <c r="U3143" s="110" t="s">
        <v>541</v>
      </c>
      <c r="V3143" s="110" t="str">
        <f t="shared" si="104"/>
        <v>FWL</v>
      </c>
      <c r="W3143" s="110" t="s">
        <v>541</v>
      </c>
      <c r="X3143" s="110" t="s">
        <v>541</v>
      </c>
      <c r="Y3143" s="110" t="str">
        <f>IFERROR(VLOOKUP(F3143,'Freq-Chan'!C:E,3,FALSE),"na")</f>
        <v>na</v>
      </c>
      <c r="Z3143" s="110" t="s">
        <v>541</v>
      </c>
      <c r="AA3143" s="110" t="s">
        <v>541</v>
      </c>
      <c r="AB3143" s="110" t="s">
        <v>541</v>
      </c>
      <c r="AC3143" s="10" t="s">
        <v>541</v>
      </c>
      <c r="AD3143" s="10" t="s">
        <v>541</v>
      </c>
    </row>
    <row r="3144" spans="1:30" x14ac:dyDescent="0.2">
      <c r="A3144" s="110">
        <v>3144</v>
      </c>
      <c r="B3144" s="132">
        <v>41871</v>
      </c>
      <c r="C3144" s="117">
        <v>3</v>
      </c>
      <c r="D3144" s="103" t="s">
        <v>72</v>
      </c>
      <c r="E3144" s="103" t="s">
        <v>306</v>
      </c>
      <c r="F3144" s="103">
        <v>325</v>
      </c>
      <c r="G3144" s="103">
        <v>82</v>
      </c>
      <c r="H3144" s="103" t="s">
        <v>3637</v>
      </c>
      <c r="I3144" s="103">
        <v>44</v>
      </c>
      <c r="K3144" s="103" t="s">
        <v>364</v>
      </c>
      <c r="L3144" s="133"/>
      <c r="M3144" s="134">
        <v>4.1666666666666664E-2</v>
      </c>
      <c r="N3144" s="135" t="s">
        <v>3719</v>
      </c>
      <c r="O3144" s="133" t="s">
        <v>1532</v>
      </c>
      <c r="Q3144" s="100" t="s">
        <v>4354</v>
      </c>
      <c r="R3144" s="226" t="s">
        <v>4370</v>
      </c>
      <c r="S3144" s="491" t="str">
        <f t="shared" si="103"/>
        <v>x</v>
      </c>
      <c r="T3144" s="492">
        <f>IFERROR(VLOOKUP(F3144,'Freq-Chan'!C:D,2,FALSE),"x")</f>
        <v>151.32499999999999</v>
      </c>
      <c r="U3144" s="110" t="s">
        <v>541</v>
      </c>
      <c r="V3144" s="110" t="str">
        <f t="shared" si="104"/>
        <v>FWL</v>
      </c>
      <c r="W3144" s="110" t="s">
        <v>541</v>
      </c>
      <c r="X3144" s="110" t="s">
        <v>541</v>
      </c>
      <c r="Y3144" s="110" t="str">
        <f>IFERROR(VLOOKUP(F3144,'Freq-Chan'!C:E,3,FALSE),"na")</f>
        <v>F1840</v>
      </c>
      <c r="Z3144" s="110" t="s">
        <v>541</v>
      </c>
      <c r="AA3144" s="110" t="s">
        <v>541</v>
      </c>
      <c r="AB3144" s="110" t="s">
        <v>541</v>
      </c>
      <c r="AC3144" s="10" t="s">
        <v>541</v>
      </c>
      <c r="AD3144" s="10" t="s">
        <v>541</v>
      </c>
    </row>
    <row r="3145" spans="1:30" x14ac:dyDescent="0.2">
      <c r="A3145" s="110">
        <v>3145</v>
      </c>
      <c r="B3145" s="132">
        <v>41871</v>
      </c>
      <c r="C3145" s="117">
        <v>3</v>
      </c>
      <c r="D3145" s="103" t="s">
        <v>72</v>
      </c>
      <c r="E3145" s="103" t="s">
        <v>306</v>
      </c>
      <c r="F3145" s="103">
        <v>266</v>
      </c>
      <c r="G3145" s="103">
        <v>67</v>
      </c>
      <c r="H3145" s="103" t="s">
        <v>3640</v>
      </c>
      <c r="I3145" s="103">
        <v>54</v>
      </c>
      <c r="K3145" s="103" t="s">
        <v>365</v>
      </c>
      <c r="L3145" s="133"/>
      <c r="M3145" s="134">
        <v>6.25E-2</v>
      </c>
      <c r="N3145" s="135" t="s">
        <v>1578</v>
      </c>
      <c r="O3145" s="133" t="s">
        <v>372</v>
      </c>
      <c r="P3145" s="100" t="s">
        <v>4470</v>
      </c>
      <c r="Q3145" s="100" t="s">
        <v>4360</v>
      </c>
      <c r="R3145" s="226" t="s">
        <v>4370</v>
      </c>
      <c r="S3145" s="491" t="str">
        <f t="shared" si="103"/>
        <v>x</v>
      </c>
      <c r="T3145" s="492">
        <f>IFERROR(VLOOKUP(F3145,'Freq-Chan'!C:D,2,FALSE),"x")</f>
        <v>151.26599999999999</v>
      </c>
      <c r="U3145" s="110" t="s">
        <v>541</v>
      </c>
      <c r="V3145" s="110" t="str">
        <f t="shared" si="104"/>
        <v>FWL</v>
      </c>
      <c r="W3145" s="110" t="s">
        <v>541</v>
      </c>
      <c r="X3145" s="110" t="s">
        <v>541</v>
      </c>
      <c r="Y3145" s="110" t="str">
        <f>IFERROR(VLOOKUP(F3145,'Freq-Chan'!C:E,3,FALSE),"na")</f>
        <v>F1840</v>
      </c>
      <c r="Z3145" s="110" t="s">
        <v>541</v>
      </c>
      <c r="AA3145" s="110" t="s">
        <v>541</v>
      </c>
      <c r="AB3145" s="110" t="s">
        <v>541</v>
      </c>
      <c r="AC3145" s="10" t="s">
        <v>541</v>
      </c>
      <c r="AD3145" s="10" t="s">
        <v>541</v>
      </c>
    </row>
    <row r="3146" spans="1:30" x14ac:dyDescent="0.2">
      <c r="A3146" s="110">
        <v>3146</v>
      </c>
      <c r="B3146" s="132">
        <v>41871</v>
      </c>
      <c r="C3146" s="117">
        <v>3</v>
      </c>
      <c r="D3146" s="103" t="s">
        <v>70</v>
      </c>
      <c r="E3146" s="103" t="s">
        <v>306</v>
      </c>
      <c r="H3146" s="103"/>
      <c r="I3146" s="103">
        <v>49</v>
      </c>
      <c r="K3146" s="103" t="s">
        <v>1032</v>
      </c>
      <c r="L3146" s="133"/>
      <c r="M3146" s="134">
        <v>1.4583333333333332E-2</v>
      </c>
      <c r="N3146" s="137" t="s">
        <v>366</v>
      </c>
      <c r="O3146" s="133" t="s">
        <v>372</v>
      </c>
      <c r="Q3146" s="100" t="s">
        <v>4360</v>
      </c>
      <c r="R3146" s="226" t="s">
        <v>4370</v>
      </c>
      <c r="S3146" s="491" t="str">
        <f t="shared" si="103"/>
        <v>x</v>
      </c>
      <c r="T3146" s="492" t="str">
        <f>IFERROR(VLOOKUP(F3146,'Freq-Chan'!C:D,2,FALSE),"x")</f>
        <v>x</v>
      </c>
      <c r="U3146" s="110" t="s">
        <v>541</v>
      </c>
      <c r="V3146" s="110" t="str">
        <f t="shared" si="104"/>
        <v>FWL</v>
      </c>
      <c r="W3146" s="110" t="s">
        <v>541</v>
      </c>
      <c r="X3146" s="110" t="s">
        <v>541</v>
      </c>
      <c r="Y3146" s="110" t="str">
        <f>IFERROR(VLOOKUP(F3146,'Freq-Chan'!C:E,3,FALSE),"na")</f>
        <v>na</v>
      </c>
      <c r="Z3146" s="110" t="s">
        <v>541</v>
      </c>
      <c r="AA3146" s="110" t="s">
        <v>541</v>
      </c>
      <c r="AB3146" s="110" t="s">
        <v>541</v>
      </c>
      <c r="AC3146" s="10" t="s">
        <v>541</v>
      </c>
      <c r="AD3146" s="10" t="s">
        <v>541</v>
      </c>
    </row>
    <row r="3147" spans="1:30" x14ac:dyDescent="0.2">
      <c r="A3147" s="110">
        <v>3147</v>
      </c>
      <c r="B3147" s="132">
        <v>41871</v>
      </c>
      <c r="C3147" s="117">
        <v>3</v>
      </c>
      <c r="D3147" s="103" t="s">
        <v>72</v>
      </c>
      <c r="E3147" s="103" t="s">
        <v>306</v>
      </c>
      <c r="F3147" s="103">
        <v>266</v>
      </c>
      <c r="G3147" s="103">
        <v>23</v>
      </c>
      <c r="H3147" s="103" t="s">
        <v>3641</v>
      </c>
      <c r="I3147" s="103">
        <v>57</v>
      </c>
      <c r="K3147" s="103" t="s">
        <v>364</v>
      </c>
      <c r="L3147" s="133"/>
      <c r="M3147" s="134">
        <v>4.2361111111111106E-2</v>
      </c>
      <c r="N3147" s="135" t="s">
        <v>1985</v>
      </c>
      <c r="O3147" s="133" t="s">
        <v>372</v>
      </c>
      <c r="P3147" s="100" t="s">
        <v>4469</v>
      </c>
      <c r="Q3147" s="100" t="s">
        <v>4360</v>
      </c>
      <c r="R3147" s="226" t="s">
        <v>4370</v>
      </c>
      <c r="S3147" s="491" t="str">
        <f t="shared" si="103"/>
        <v>x</v>
      </c>
      <c r="T3147" s="492">
        <f>IFERROR(VLOOKUP(F3147,'Freq-Chan'!C:D,2,FALSE),"x")</f>
        <v>151.26599999999999</v>
      </c>
      <c r="U3147" s="110" t="s">
        <v>541</v>
      </c>
      <c r="V3147" s="110" t="str">
        <f t="shared" si="104"/>
        <v>FWL</v>
      </c>
      <c r="W3147" s="110" t="s">
        <v>541</v>
      </c>
      <c r="X3147" s="110" t="s">
        <v>541</v>
      </c>
      <c r="Y3147" s="110" t="str">
        <f>IFERROR(VLOOKUP(F3147,'Freq-Chan'!C:E,3,FALSE),"na")</f>
        <v>F1840</v>
      </c>
      <c r="Z3147" s="110" t="s">
        <v>541</v>
      </c>
      <c r="AA3147" s="110" t="s">
        <v>541</v>
      </c>
      <c r="AB3147" s="110" t="s">
        <v>541</v>
      </c>
      <c r="AC3147" s="10" t="s">
        <v>541</v>
      </c>
      <c r="AD3147" s="10" t="s">
        <v>541</v>
      </c>
    </row>
    <row r="3148" spans="1:30" x14ac:dyDescent="0.2">
      <c r="A3148" s="110">
        <v>3148</v>
      </c>
      <c r="B3148" s="132">
        <v>41871</v>
      </c>
      <c r="C3148" s="117">
        <v>3</v>
      </c>
      <c r="D3148" s="103" t="s">
        <v>71</v>
      </c>
      <c r="E3148" s="103" t="s">
        <v>306</v>
      </c>
      <c r="H3148" s="103"/>
      <c r="I3148" s="103">
        <v>57</v>
      </c>
      <c r="K3148" s="103" t="s">
        <v>1032</v>
      </c>
      <c r="L3148" s="133"/>
      <c r="M3148" s="134">
        <v>1.8055555555555557E-2</v>
      </c>
      <c r="N3148" s="135" t="s">
        <v>2720</v>
      </c>
      <c r="O3148" s="133" t="s">
        <v>372</v>
      </c>
      <c r="Q3148" s="100" t="s">
        <v>4360</v>
      </c>
      <c r="R3148" s="226" t="s">
        <v>4370</v>
      </c>
      <c r="S3148" s="491" t="str">
        <f t="shared" si="103"/>
        <v>x</v>
      </c>
      <c r="T3148" s="492" t="str">
        <f>IFERROR(VLOOKUP(F3148,'Freq-Chan'!C:D,2,FALSE),"x")</f>
        <v>x</v>
      </c>
      <c r="U3148" s="110" t="s">
        <v>541</v>
      </c>
      <c r="V3148" s="110" t="str">
        <f t="shared" si="104"/>
        <v>FWL</v>
      </c>
      <c r="W3148" s="110" t="s">
        <v>541</v>
      </c>
      <c r="X3148" s="110" t="s">
        <v>541</v>
      </c>
      <c r="Y3148" s="110" t="str">
        <f>IFERROR(VLOOKUP(F3148,'Freq-Chan'!C:E,3,FALSE),"na")</f>
        <v>na</v>
      </c>
      <c r="Z3148" s="110" t="s">
        <v>541</v>
      </c>
      <c r="AA3148" s="110" t="s">
        <v>541</v>
      </c>
      <c r="AB3148" s="110" t="s">
        <v>541</v>
      </c>
      <c r="AC3148" s="10" t="s">
        <v>541</v>
      </c>
      <c r="AD3148" s="10" t="s">
        <v>541</v>
      </c>
    </row>
    <row r="3149" spans="1:30" x14ac:dyDescent="0.2">
      <c r="A3149" s="110">
        <v>3149</v>
      </c>
      <c r="B3149" s="132">
        <v>41871</v>
      </c>
      <c r="C3149" s="117">
        <v>3</v>
      </c>
      <c r="D3149" s="103" t="s">
        <v>71</v>
      </c>
      <c r="E3149" s="103" t="s">
        <v>306</v>
      </c>
      <c r="H3149" s="103"/>
      <c r="I3149" s="103">
        <v>55</v>
      </c>
      <c r="K3149" s="103" t="s">
        <v>365</v>
      </c>
      <c r="L3149" s="133"/>
      <c r="M3149" s="134">
        <v>1.2499999999999999E-2</v>
      </c>
      <c r="N3149" s="135" t="s">
        <v>3432</v>
      </c>
      <c r="O3149" s="133" t="s">
        <v>1538</v>
      </c>
      <c r="Q3149" s="100" t="s">
        <v>4360</v>
      </c>
      <c r="R3149" s="226" t="s">
        <v>4370</v>
      </c>
      <c r="S3149" s="491" t="str">
        <f t="shared" si="103"/>
        <v>x</v>
      </c>
      <c r="T3149" s="492" t="str">
        <f>IFERROR(VLOOKUP(F3149,'Freq-Chan'!C:D,2,FALSE),"x")</f>
        <v>x</v>
      </c>
      <c r="U3149" s="110" t="s">
        <v>541</v>
      </c>
      <c r="V3149" s="110" t="str">
        <f t="shared" si="104"/>
        <v>FWL</v>
      </c>
      <c r="W3149" s="110" t="s">
        <v>541</v>
      </c>
      <c r="X3149" s="110" t="s">
        <v>541</v>
      </c>
      <c r="Y3149" s="110" t="str">
        <f>IFERROR(VLOOKUP(F3149,'Freq-Chan'!C:E,3,FALSE),"na")</f>
        <v>na</v>
      </c>
      <c r="Z3149" s="110" t="s">
        <v>541</v>
      </c>
      <c r="AA3149" s="110" t="s">
        <v>541</v>
      </c>
      <c r="AB3149" s="110" t="s">
        <v>541</v>
      </c>
      <c r="AC3149" s="10" t="s">
        <v>541</v>
      </c>
      <c r="AD3149" s="10" t="s">
        <v>541</v>
      </c>
    </row>
    <row r="3150" spans="1:30" x14ac:dyDescent="0.2">
      <c r="A3150" s="110">
        <v>3150</v>
      </c>
      <c r="B3150" s="132">
        <v>41871</v>
      </c>
      <c r="C3150" s="117">
        <v>3</v>
      </c>
      <c r="D3150" s="103" t="s">
        <v>75</v>
      </c>
      <c r="E3150" s="103" t="s">
        <v>798</v>
      </c>
      <c r="H3150" s="103"/>
      <c r="J3150" s="103">
        <v>21</v>
      </c>
      <c r="K3150" s="103" t="s">
        <v>364</v>
      </c>
      <c r="L3150" s="133"/>
      <c r="M3150" s="134">
        <v>1.2499999999999999E-2</v>
      </c>
      <c r="N3150" s="135" t="s">
        <v>847</v>
      </c>
      <c r="O3150" s="133" t="s">
        <v>1538</v>
      </c>
      <c r="Q3150" s="100" t="s">
        <v>4360</v>
      </c>
      <c r="R3150" s="226" t="s">
        <v>4370</v>
      </c>
      <c r="S3150" s="491" t="str">
        <f t="shared" si="103"/>
        <v>x</v>
      </c>
      <c r="T3150" s="492" t="str">
        <f>IFERROR(VLOOKUP(F3150,'Freq-Chan'!C:D,2,FALSE),"x")</f>
        <v>x</v>
      </c>
      <c r="U3150" s="110" t="s">
        <v>541</v>
      </c>
      <c r="V3150" s="110" t="str">
        <f t="shared" si="104"/>
        <v>FWL</v>
      </c>
      <c r="W3150" s="110" t="s">
        <v>541</v>
      </c>
      <c r="X3150" s="110" t="s">
        <v>541</v>
      </c>
      <c r="Y3150" s="110" t="str">
        <f>IFERROR(VLOOKUP(F3150,'Freq-Chan'!C:E,3,FALSE),"na")</f>
        <v>na</v>
      </c>
      <c r="Z3150" s="110" t="s">
        <v>541</v>
      </c>
      <c r="AA3150" s="110" t="s">
        <v>541</v>
      </c>
      <c r="AB3150" s="110" t="s">
        <v>541</v>
      </c>
      <c r="AC3150" s="10" t="s">
        <v>541</v>
      </c>
      <c r="AD3150" s="10" t="s">
        <v>541</v>
      </c>
    </row>
    <row r="3151" spans="1:30" x14ac:dyDescent="0.2">
      <c r="A3151" s="110">
        <v>3151</v>
      </c>
      <c r="B3151" s="132">
        <v>41871</v>
      </c>
      <c r="C3151" s="117">
        <v>3</v>
      </c>
      <c r="D3151" s="103" t="s">
        <v>72</v>
      </c>
      <c r="E3151" s="103" t="s">
        <v>306</v>
      </c>
      <c r="H3151" s="103"/>
      <c r="I3151" s="103">
        <v>54</v>
      </c>
      <c r="K3151" s="103" t="s">
        <v>1032</v>
      </c>
      <c r="L3151" s="133"/>
      <c r="M3151" s="134">
        <v>1.3888888888888888E-2</v>
      </c>
      <c r="N3151" s="137" t="s">
        <v>3434</v>
      </c>
      <c r="O3151" s="133" t="s">
        <v>1538</v>
      </c>
      <c r="Q3151" s="100" t="s">
        <v>4360</v>
      </c>
      <c r="R3151" s="226" t="s">
        <v>4370</v>
      </c>
      <c r="S3151" s="491" t="str">
        <f t="shared" si="103"/>
        <v>x</v>
      </c>
      <c r="T3151" s="492" t="str">
        <f>IFERROR(VLOOKUP(F3151,'Freq-Chan'!C:D,2,FALSE),"x")</f>
        <v>x</v>
      </c>
      <c r="U3151" s="110" t="s">
        <v>541</v>
      </c>
      <c r="V3151" s="110" t="str">
        <f t="shared" si="104"/>
        <v>FWL</v>
      </c>
      <c r="W3151" s="110" t="s">
        <v>541</v>
      </c>
      <c r="X3151" s="110" t="s">
        <v>541</v>
      </c>
      <c r="Y3151" s="110" t="str">
        <f>IFERROR(VLOOKUP(F3151,'Freq-Chan'!C:E,3,FALSE),"na")</f>
        <v>na</v>
      </c>
      <c r="Z3151" s="110" t="s">
        <v>541</v>
      </c>
      <c r="AA3151" s="110" t="s">
        <v>541</v>
      </c>
      <c r="AB3151" s="110" t="s">
        <v>541</v>
      </c>
      <c r="AC3151" s="10" t="s">
        <v>541</v>
      </c>
      <c r="AD3151" s="10" t="s">
        <v>541</v>
      </c>
    </row>
    <row r="3152" spans="1:30" x14ac:dyDescent="0.2">
      <c r="A3152" s="110">
        <v>3152</v>
      </c>
      <c r="B3152" s="132">
        <v>41871</v>
      </c>
      <c r="C3152" s="117">
        <v>3</v>
      </c>
      <c r="D3152" s="103" t="s">
        <v>72</v>
      </c>
      <c r="E3152" s="103" t="s">
        <v>306</v>
      </c>
      <c r="H3152" s="103"/>
      <c r="I3152" s="103">
        <v>48</v>
      </c>
      <c r="K3152" s="103" t="s">
        <v>1032</v>
      </c>
      <c r="L3152" s="133"/>
      <c r="M3152" s="134">
        <v>1.1805555555555555E-2</v>
      </c>
      <c r="N3152" s="135" t="s">
        <v>4366</v>
      </c>
      <c r="O3152" s="133" t="s">
        <v>1538</v>
      </c>
      <c r="Q3152" s="100" t="s">
        <v>4360</v>
      </c>
      <c r="R3152" s="226" t="s">
        <v>4370</v>
      </c>
      <c r="S3152" s="491" t="str">
        <f t="shared" si="103"/>
        <v>x</v>
      </c>
      <c r="T3152" s="492" t="str">
        <f>IFERROR(VLOOKUP(F3152,'Freq-Chan'!C:D,2,FALSE),"x")</f>
        <v>x</v>
      </c>
      <c r="U3152" s="110" t="s">
        <v>541</v>
      </c>
      <c r="V3152" s="110" t="str">
        <f t="shared" si="104"/>
        <v>FWL</v>
      </c>
      <c r="W3152" s="110" t="s">
        <v>541</v>
      </c>
      <c r="X3152" s="110" t="s">
        <v>541</v>
      </c>
      <c r="Y3152" s="110" t="str">
        <f>IFERROR(VLOOKUP(F3152,'Freq-Chan'!C:E,3,FALSE),"na")</f>
        <v>na</v>
      </c>
      <c r="Z3152" s="110" t="s">
        <v>541</v>
      </c>
      <c r="AA3152" s="110" t="s">
        <v>541</v>
      </c>
      <c r="AB3152" s="110" t="s">
        <v>541</v>
      </c>
      <c r="AC3152" s="10" t="s">
        <v>541</v>
      </c>
      <c r="AD3152" s="10" t="s">
        <v>541</v>
      </c>
    </row>
    <row r="3153" spans="1:30" x14ac:dyDescent="0.2">
      <c r="A3153" s="110">
        <v>3153</v>
      </c>
      <c r="B3153" s="132">
        <v>41871</v>
      </c>
      <c r="C3153" s="117">
        <v>3</v>
      </c>
      <c r="D3153" s="103" t="s">
        <v>72</v>
      </c>
      <c r="E3153" s="103" t="s">
        <v>306</v>
      </c>
      <c r="H3153" s="103"/>
      <c r="I3153" s="103">
        <v>49</v>
      </c>
      <c r="K3153" s="103" t="s">
        <v>365</v>
      </c>
      <c r="L3153" s="133"/>
      <c r="M3153" s="134">
        <v>1.9444444444444445E-2</v>
      </c>
      <c r="N3153" s="137" t="s">
        <v>3186</v>
      </c>
      <c r="O3153" s="133" t="s">
        <v>1538</v>
      </c>
      <c r="Q3153" s="100" t="s">
        <v>4360</v>
      </c>
      <c r="R3153" s="226" t="s">
        <v>4370</v>
      </c>
      <c r="S3153" s="491" t="str">
        <f t="shared" si="103"/>
        <v>x</v>
      </c>
      <c r="T3153" s="492" t="str">
        <f>IFERROR(VLOOKUP(F3153,'Freq-Chan'!C:D,2,FALSE),"x")</f>
        <v>x</v>
      </c>
      <c r="U3153" s="110" t="s">
        <v>541</v>
      </c>
      <c r="V3153" s="110" t="str">
        <f t="shared" si="104"/>
        <v>FWL</v>
      </c>
      <c r="W3153" s="110" t="s">
        <v>541</v>
      </c>
      <c r="X3153" s="110" t="s">
        <v>541</v>
      </c>
      <c r="Y3153" s="110" t="str">
        <f>IFERROR(VLOOKUP(F3153,'Freq-Chan'!C:E,3,FALSE),"na")</f>
        <v>na</v>
      </c>
      <c r="Z3153" s="110" t="s">
        <v>541</v>
      </c>
      <c r="AA3153" s="110" t="s">
        <v>541</v>
      </c>
      <c r="AB3153" s="110" t="s">
        <v>541</v>
      </c>
      <c r="AC3153" s="10" t="s">
        <v>541</v>
      </c>
      <c r="AD3153" s="10" t="s">
        <v>541</v>
      </c>
    </row>
    <row r="3154" spans="1:30" x14ac:dyDescent="0.2">
      <c r="A3154" s="110">
        <v>3154</v>
      </c>
      <c r="B3154" s="132">
        <v>41871</v>
      </c>
      <c r="C3154" s="117">
        <v>3</v>
      </c>
      <c r="D3154" s="103" t="s">
        <v>72</v>
      </c>
      <c r="E3154" s="103" t="s">
        <v>306</v>
      </c>
      <c r="H3154" s="103"/>
      <c r="I3154" s="103">
        <v>57</v>
      </c>
      <c r="K3154" s="103" t="s">
        <v>365</v>
      </c>
      <c r="L3154" s="133"/>
      <c r="M3154" s="134">
        <v>1.2499999999999999E-2</v>
      </c>
      <c r="N3154" s="135" t="s">
        <v>4367</v>
      </c>
      <c r="O3154" s="133" t="s">
        <v>1538</v>
      </c>
      <c r="Q3154" s="100" t="s">
        <v>4360</v>
      </c>
      <c r="R3154" s="226" t="s">
        <v>4370</v>
      </c>
      <c r="S3154" s="491" t="str">
        <f t="shared" si="103"/>
        <v>x</v>
      </c>
      <c r="T3154" s="492" t="str">
        <f>IFERROR(VLOOKUP(F3154,'Freq-Chan'!C:D,2,FALSE),"x")</f>
        <v>x</v>
      </c>
      <c r="U3154" s="110" t="s">
        <v>541</v>
      </c>
      <c r="V3154" s="110" t="str">
        <f t="shared" si="104"/>
        <v>FWL</v>
      </c>
      <c r="W3154" s="110" t="s">
        <v>541</v>
      </c>
      <c r="X3154" s="110" t="s">
        <v>541</v>
      </c>
      <c r="Y3154" s="110" t="str">
        <f>IFERROR(VLOOKUP(F3154,'Freq-Chan'!C:E,3,FALSE),"na")</f>
        <v>na</v>
      </c>
      <c r="Z3154" s="110" t="s">
        <v>541</v>
      </c>
      <c r="AA3154" s="110" t="s">
        <v>541</v>
      </c>
      <c r="AB3154" s="110" t="s">
        <v>541</v>
      </c>
      <c r="AC3154" s="10" t="s">
        <v>541</v>
      </c>
      <c r="AD3154" s="10" t="s">
        <v>541</v>
      </c>
    </row>
    <row r="3155" spans="1:30" x14ac:dyDescent="0.2">
      <c r="A3155" s="110">
        <v>3155</v>
      </c>
      <c r="B3155" s="132">
        <v>41871</v>
      </c>
      <c r="C3155" s="117">
        <v>3</v>
      </c>
      <c r="D3155" s="103" t="s">
        <v>71</v>
      </c>
      <c r="E3155" s="103" t="s">
        <v>306</v>
      </c>
      <c r="H3155" s="103"/>
      <c r="I3155" s="103">
        <v>52</v>
      </c>
      <c r="K3155" s="103" t="s">
        <v>1032</v>
      </c>
      <c r="L3155" s="133"/>
      <c r="M3155" s="134">
        <v>1.2499999999999999E-2</v>
      </c>
      <c r="N3155" s="135" t="s">
        <v>772</v>
      </c>
      <c r="O3155" s="133" t="s">
        <v>1538</v>
      </c>
      <c r="Q3155" s="100" t="s">
        <v>4360</v>
      </c>
      <c r="R3155" s="226" t="s">
        <v>4370</v>
      </c>
      <c r="S3155" s="491" t="str">
        <f t="shared" si="103"/>
        <v>x</v>
      </c>
      <c r="T3155" s="492" t="str">
        <f>IFERROR(VLOOKUP(F3155,'Freq-Chan'!C:D,2,FALSE),"x")</f>
        <v>x</v>
      </c>
      <c r="U3155" s="110" t="s">
        <v>541</v>
      </c>
      <c r="V3155" s="110" t="str">
        <f t="shared" si="104"/>
        <v>FWL</v>
      </c>
      <c r="W3155" s="110" t="s">
        <v>541</v>
      </c>
      <c r="X3155" s="110" t="s">
        <v>541</v>
      </c>
      <c r="Y3155" s="110" t="str">
        <f>IFERROR(VLOOKUP(F3155,'Freq-Chan'!C:E,3,FALSE),"na")</f>
        <v>na</v>
      </c>
      <c r="Z3155" s="110" t="s">
        <v>541</v>
      </c>
      <c r="AA3155" s="110" t="s">
        <v>541</v>
      </c>
      <c r="AB3155" s="110" t="s">
        <v>541</v>
      </c>
      <c r="AC3155" s="10" t="s">
        <v>541</v>
      </c>
      <c r="AD3155" s="10" t="s">
        <v>541</v>
      </c>
    </row>
    <row r="3156" spans="1:30" x14ac:dyDescent="0.2">
      <c r="A3156" s="110">
        <v>3156</v>
      </c>
      <c r="B3156" s="132">
        <v>41871</v>
      </c>
      <c r="C3156" s="117">
        <v>3</v>
      </c>
      <c r="D3156" s="103" t="s">
        <v>71</v>
      </c>
      <c r="E3156" s="103" t="s">
        <v>306</v>
      </c>
      <c r="H3156" s="103"/>
      <c r="I3156" s="103">
        <v>54</v>
      </c>
      <c r="K3156" s="103" t="s">
        <v>365</v>
      </c>
      <c r="L3156" s="133"/>
      <c r="M3156" s="134">
        <v>1.2499999999999999E-2</v>
      </c>
      <c r="N3156" s="135" t="s">
        <v>3407</v>
      </c>
      <c r="O3156" s="133" t="s">
        <v>1538</v>
      </c>
      <c r="Q3156" s="100" t="s">
        <v>4360</v>
      </c>
      <c r="R3156" s="226" t="s">
        <v>4370</v>
      </c>
      <c r="S3156" s="491" t="str">
        <f t="shared" si="103"/>
        <v>x</v>
      </c>
      <c r="T3156" s="492" t="str">
        <f>IFERROR(VLOOKUP(F3156,'Freq-Chan'!C:D,2,FALSE),"x")</f>
        <v>x</v>
      </c>
      <c r="U3156" s="110" t="s">
        <v>541</v>
      </c>
      <c r="V3156" s="110" t="str">
        <f t="shared" si="104"/>
        <v>FWL</v>
      </c>
      <c r="W3156" s="110" t="s">
        <v>541</v>
      </c>
      <c r="X3156" s="110" t="s">
        <v>541</v>
      </c>
      <c r="Y3156" s="110" t="str">
        <f>IFERROR(VLOOKUP(F3156,'Freq-Chan'!C:E,3,FALSE),"na")</f>
        <v>na</v>
      </c>
      <c r="Z3156" s="110" t="s">
        <v>541</v>
      </c>
      <c r="AA3156" s="110" t="s">
        <v>541</v>
      </c>
      <c r="AB3156" s="110" t="s">
        <v>541</v>
      </c>
      <c r="AC3156" s="10" t="s">
        <v>541</v>
      </c>
      <c r="AD3156" s="10" t="s">
        <v>541</v>
      </c>
    </row>
    <row r="3157" spans="1:30" x14ac:dyDescent="0.2">
      <c r="A3157" s="110">
        <v>3157</v>
      </c>
      <c r="B3157" s="132">
        <v>41871</v>
      </c>
      <c r="C3157" s="117">
        <v>3</v>
      </c>
      <c r="D3157" s="103" t="s">
        <v>72</v>
      </c>
      <c r="E3157" s="103" t="s">
        <v>306</v>
      </c>
      <c r="H3157" s="103"/>
      <c r="I3157" s="103">
        <v>54</v>
      </c>
      <c r="K3157" s="103" t="s">
        <v>365</v>
      </c>
      <c r="L3157" s="133"/>
      <c r="M3157" s="134">
        <v>1.2499999999999999E-2</v>
      </c>
      <c r="N3157" s="135" t="s">
        <v>3726</v>
      </c>
      <c r="O3157" s="133" t="s">
        <v>1538</v>
      </c>
      <c r="Q3157" s="100" t="s">
        <v>4360</v>
      </c>
      <c r="R3157" s="226" t="s">
        <v>4370</v>
      </c>
      <c r="S3157" s="491" t="str">
        <f t="shared" si="103"/>
        <v>x</v>
      </c>
      <c r="T3157" s="492" t="str">
        <f>IFERROR(VLOOKUP(F3157,'Freq-Chan'!C:D,2,FALSE),"x")</f>
        <v>x</v>
      </c>
      <c r="U3157" s="110" t="s">
        <v>541</v>
      </c>
      <c r="V3157" s="110" t="str">
        <f t="shared" si="104"/>
        <v>FWL</v>
      </c>
      <c r="W3157" s="110" t="s">
        <v>541</v>
      </c>
      <c r="X3157" s="110" t="s">
        <v>541</v>
      </c>
      <c r="Y3157" s="110" t="str">
        <f>IFERROR(VLOOKUP(F3157,'Freq-Chan'!C:E,3,FALSE),"na")</f>
        <v>na</v>
      </c>
      <c r="Z3157" s="110" t="s">
        <v>541</v>
      </c>
      <c r="AA3157" s="110" t="s">
        <v>541</v>
      </c>
      <c r="AB3157" s="110" t="s">
        <v>541</v>
      </c>
      <c r="AC3157" s="10" t="s">
        <v>541</v>
      </c>
      <c r="AD3157" s="10" t="s">
        <v>541</v>
      </c>
    </row>
    <row r="3158" spans="1:30" x14ac:dyDescent="0.2">
      <c r="A3158" s="110">
        <v>3158</v>
      </c>
      <c r="B3158" s="132">
        <v>41871</v>
      </c>
      <c r="C3158" s="117">
        <v>3</v>
      </c>
      <c r="D3158" s="103" t="s">
        <v>88</v>
      </c>
      <c r="E3158" s="103" t="s">
        <v>798</v>
      </c>
      <c r="H3158" s="103"/>
      <c r="J3158" s="103">
        <v>26</v>
      </c>
      <c r="K3158" s="103" t="s">
        <v>364</v>
      </c>
      <c r="L3158" s="133"/>
      <c r="M3158" s="134">
        <v>4.3055555555555562E-2</v>
      </c>
      <c r="N3158" s="135" t="s">
        <v>3233</v>
      </c>
      <c r="O3158" s="133" t="s">
        <v>1538</v>
      </c>
      <c r="Q3158" s="100" t="s">
        <v>4360</v>
      </c>
      <c r="R3158" s="226" t="s">
        <v>4370</v>
      </c>
      <c r="S3158" s="491" t="str">
        <f t="shared" si="103"/>
        <v>x</v>
      </c>
      <c r="T3158" s="492" t="str">
        <f>IFERROR(VLOOKUP(F3158,'Freq-Chan'!C:D,2,FALSE),"x")</f>
        <v>x</v>
      </c>
      <c r="U3158" s="110" t="s">
        <v>541</v>
      </c>
      <c r="V3158" s="110" t="str">
        <f t="shared" si="104"/>
        <v>FWL</v>
      </c>
      <c r="W3158" s="110" t="s">
        <v>541</v>
      </c>
      <c r="X3158" s="110" t="s">
        <v>541</v>
      </c>
      <c r="Y3158" s="110" t="str">
        <f>IFERROR(VLOOKUP(F3158,'Freq-Chan'!C:E,3,FALSE),"na")</f>
        <v>na</v>
      </c>
      <c r="Z3158" s="110" t="s">
        <v>541</v>
      </c>
      <c r="AA3158" s="110" t="s">
        <v>541</v>
      </c>
      <c r="AB3158" s="110" t="s">
        <v>541</v>
      </c>
      <c r="AC3158" s="10" t="s">
        <v>541</v>
      </c>
      <c r="AD3158" s="10" t="s">
        <v>541</v>
      </c>
    </row>
    <row r="3159" spans="1:30" s="291" customFormat="1" x14ac:dyDescent="0.2">
      <c r="A3159" s="493">
        <v>3159</v>
      </c>
      <c r="B3159" s="283">
        <v>41871</v>
      </c>
      <c r="C3159" s="284">
        <v>3</v>
      </c>
      <c r="D3159" s="285" t="s">
        <v>72</v>
      </c>
      <c r="E3159" s="285" t="s">
        <v>306</v>
      </c>
      <c r="F3159" s="285"/>
      <c r="G3159" s="285"/>
      <c r="H3159" s="285"/>
      <c r="I3159" s="285">
        <v>56</v>
      </c>
      <c r="J3159" s="285"/>
      <c r="K3159" s="285" t="s">
        <v>1032</v>
      </c>
      <c r="L3159" s="286"/>
      <c r="M3159" s="287">
        <v>1.2499999999999999E-2</v>
      </c>
      <c r="N3159" s="288" t="s">
        <v>2538</v>
      </c>
      <c r="O3159" s="286" t="s">
        <v>1538</v>
      </c>
      <c r="P3159" s="289"/>
      <c r="Q3159" s="289" t="s">
        <v>4360</v>
      </c>
      <c r="R3159" s="290" t="s">
        <v>4370</v>
      </c>
      <c r="S3159" s="494" t="str">
        <f t="shared" si="103"/>
        <v>x</v>
      </c>
      <c r="T3159" s="495" t="str">
        <f>IFERROR(VLOOKUP(F3159,'Freq-Chan'!C:D,2,FALSE),"x")</f>
        <v>x</v>
      </c>
      <c r="U3159" s="493" t="s">
        <v>541</v>
      </c>
      <c r="V3159" s="493" t="str">
        <f t="shared" si="104"/>
        <v>FWL</v>
      </c>
      <c r="W3159" s="493" t="s">
        <v>541</v>
      </c>
      <c r="X3159" s="493" t="s">
        <v>541</v>
      </c>
      <c r="Y3159" s="493" t="str">
        <f>IFERROR(VLOOKUP(F3159,'Freq-Chan'!C:E,3,FALSE),"na")</f>
        <v>na</v>
      </c>
      <c r="Z3159" s="493" t="s">
        <v>541</v>
      </c>
      <c r="AA3159" s="493" t="s">
        <v>541</v>
      </c>
      <c r="AB3159" s="493" t="s">
        <v>541</v>
      </c>
      <c r="AC3159" s="291" t="s">
        <v>541</v>
      </c>
      <c r="AD3159" s="291" t="s">
        <v>541</v>
      </c>
    </row>
    <row r="3160" spans="1:30" x14ac:dyDescent="0.2">
      <c r="A3160" s="110">
        <v>3160</v>
      </c>
      <c r="B3160" s="132">
        <v>41872</v>
      </c>
      <c r="C3160" s="117">
        <v>1</v>
      </c>
      <c r="D3160" s="103" t="s">
        <v>70</v>
      </c>
      <c r="E3160" s="103" t="s">
        <v>306</v>
      </c>
      <c r="H3160" s="103"/>
      <c r="I3160" s="103">
        <v>45</v>
      </c>
      <c r="K3160" s="103" t="s">
        <v>365</v>
      </c>
      <c r="L3160" s="133"/>
      <c r="M3160" s="134">
        <v>1.2499999999999999E-2</v>
      </c>
      <c r="N3160" s="135" t="s">
        <v>3467</v>
      </c>
      <c r="O3160" s="133" t="s">
        <v>1532</v>
      </c>
      <c r="Q3160" s="100" t="s">
        <v>4371</v>
      </c>
      <c r="R3160" s="226" t="s">
        <v>4391</v>
      </c>
      <c r="S3160" s="491" t="str">
        <f t="shared" si="103"/>
        <v>x</v>
      </c>
      <c r="T3160" s="492" t="str">
        <f>IFERROR(VLOOKUP(F3160,'Freq-Chan'!C:D,2,FALSE),"x")</f>
        <v>x</v>
      </c>
      <c r="U3160" s="110" t="s">
        <v>541</v>
      </c>
      <c r="V3160" s="110" t="str">
        <f t="shared" si="104"/>
        <v>FWL</v>
      </c>
      <c r="W3160" s="110" t="s">
        <v>541</v>
      </c>
      <c r="X3160" s="110" t="s">
        <v>541</v>
      </c>
      <c r="Y3160" s="110" t="str">
        <f>IFERROR(VLOOKUP(F3160,'Freq-Chan'!C:E,3,FALSE),"na")</f>
        <v>na</v>
      </c>
      <c r="Z3160" s="110" t="s">
        <v>541</v>
      </c>
      <c r="AA3160" s="110" t="s">
        <v>541</v>
      </c>
      <c r="AB3160" s="110" t="s">
        <v>541</v>
      </c>
      <c r="AC3160" s="10" t="s">
        <v>541</v>
      </c>
      <c r="AD3160" s="10" t="s">
        <v>541</v>
      </c>
    </row>
    <row r="3161" spans="1:30" x14ac:dyDescent="0.2">
      <c r="A3161" s="110">
        <v>3161</v>
      </c>
      <c r="B3161" s="132">
        <v>41872</v>
      </c>
      <c r="C3161" s="117">
        <v>1</v>
      </c>
      <c r="D3161" s="103" t="s">
        <v>72</v>
      </c>
      <c r="E3161" s="103" t="s">
        <v>306</v>
      </c>
      <c r="F3161" s="103">
        <v>266</v>
      </c>
      <c r="G3161" s="103">
        <v>4</v>
      </c>
      <c r="H3161" s="103" t="s">
        <v>3647</v>
      </c>
      <c r="I3161" s="103">
        <v>48</v>
      </c>
      <c r="K3161" s="103" t="s">
        <v>365</v>
      </c>
      <c r="L3161" s="133"/>
      <c r="M3161" s="134">
        <v>3.9583333333333331E-2</v>
      </c>
      <c r="N3161" s="135" t="s">
        <v>3449</v>
      </c>
      <c r="O3161" s="133" t="s">
        <v>1532</v>
      </c>
      <c r="P3161" s="100" t="s">
        <v>4466</v>
      </c>
      <c r="Q3161" s="100" t="s">
        <v>4371</v>
      </c>
      <c r="R3161" s="226" t="s">
        <v>4391</v>
      </c>
      <c r="S3161" s="491" t="str">
        <f t="shared" si="103"/>
        <v>x</v>
      </c>
      <c r="T3161" s="492">
        <f>IFERROR(VLOOKUP(F3161,'Freq-Chan'!C:D,2,FALSE),"x")</f>
        <v>151.26599999999999</v>
      </c>
      <c r="U3161" s="110" t="s">
        <v>541</v>
      </c>
      <c r="V3161" s="110" t="str">
        <f t="shared" si="104"/>
        <v>FWL</v>
      </c>
      <c r="W3161" s="110" t="s">
        <v>541</v>
      </c>
      <c r="X3161" s="110" t="s">
        <v>541</v>
      </c>
      <c r="Y3161" s="110" t="str">
        <f>IFERROR(VLOOKUP(F3161,'Freq-Chan'!C:E,3,FALSE),"na")</f>
        <v>F1840</v>
      </c>
      <c r="Z3161" s="110" t="s">
        <v>541</v>
      </c>
      <c r="AA3161" s="110" t="s">
        <v>541</v>
      </c>
      <c r="AB3161" s="110" t="s">
        <v>541</v>
      </c>
      <c r="AC3161" s="10" t="s">
        <v>541</v>
      </c>
      <c r="AD3161" s="10" t="s">
        <v>541</v>
      </c>
    </row>
    <row r="3162" spans="1:30" x14ac:dyDescent="0.2">
      <c r="A3162" s="110">
        <v>3162</v>
      </c>
      <c r="B3162" s="132">
        <v>41872</v>
      </c>
      <c r="C3162" s="117">
        <v>1</v>
      </c>
      <c r="D3162" s="103" t="s">
        <v>71</v>
      </c>
      <c r="E3162" s="103" t="s">
        <v>306</v>
      </c>
      <c r="H3162" s="103"/>
      <c r="I3162" s="103">
        <v>54</v>
      </c>
      <c r="K3162" s="103" t="s">
        <v>1032</v>
      </c>
      <c r="L3162" s="133"/>
      <c r="M3162" s="134">
        <v>2.7083333333333334E-2</v>
      </c>
      <c r="N3162" s="135" t="s">
        <v>3330</v>
      </c>
      <c r="O3162" s="133" t="s">
        <v>1532</v>
      </c>
      <c r="Q3162" s="100" t="s">
        <v>4371</v>
      </c>
      <c r="R3162" s="226" t="s">
        <v>4391</v>
      </c>
      <c r="S3162" s="491" t="str">
        <f t="shared" si="103"/>
        <v>x</v>
      </c>
      <c r="T3162" s="492" t="str">
        <f>IFERROR(VLOOKUP(F3162,'Freq-Chan'!C:D,2,FALSE),"x")</f>
        <v>x</v>
      </c>
      <c r="U3162" s="110" t="s">
        <v>541</v>
      </c>
      <c r="V3162" s="110" t="str">
        <f t="shared" si="104"/>
        <v>FWL</v>
      </c>
      <c r="W3162" s="110" t="s">
        <v>541</v>
      </c>
      <c r="X3162" s="110" t="s">
        <v>541</v>
      </c>
      <c r="Y3162" s="110" t="str">
        <f>IFERROR(VLOOKUP(F3162,'Freq-Chan'!C:E,3,FALSE),"na")</f>
        <v>na</v>
      </c>
      <c r="Z3162" s="110" t="s">
        <v>541</v>
      </c>
      <c r="AA3162" s="110" t="s">
        <v>541</v>
      </c>
      <c r="AB3162" s="110" t="s">
        <v>541</v>
      </c>
      <c r="AC3162" s="10" t="s">
        <v>541</v>
      </c>
      <c r="AD3162" s="10" t="s">
        <v>541</v>
      </c>
    </row>
    <row r="3163" spans="1:30" x14ac:dyDescent="0.2">
      <c r="A3163" s="110">
        <v>3163</v>
      </c>
      <c r="B3163" s="132">
        <v>41872</v>
      </c>
      <c r="C3163" s="117">
        <v>1</v>
      </c>
      <c r="D3163" s="103" t="s">
        <v>71</v>
      </c>
      <c r="E3163" s="103" t="s">
        <v>306</v>
      </c>
      <c r="H3163" s="103"/>
      <c r="I3163" s="103">
        <v>51</v>
      </c>
      <c r="K3163" s="103" t="s">
        <v>1032</v>
      </c>
      <c r="L3163" s="133"/>
      <c r="M3163" s="134">
        <v>1.8055555555555557E-2</v>
      </c>
      <c r="N3163" s="135" t="s">
        <v>834</v>
      </c>
      <c r="O3163" s="133" t="s">
        <v>1532</v>
      </c>
      <c r="Q3163" s="100" t="s">
        <v>4371</v>
      </c>
      <c r="R3163" s="226" t="s">
        <v>4391</v>
      </c>
      <c r="S3163" s="491" t="str">
        <f t="shared" si="103"/>
        <v>x</v>
      </c>
      <c r="T3163" s="492" t="str">
        <f>IFERROR(VLOOKUP(F3163,'Freq-Chan'!C:D,2,FALSE),"x")</f>
        <v>x</v>
      </c>
      <c r="U3163" s="110" t="s">
        <v>541</v>
      </c>
      <c r="V3163" s="110" t="str">
        <f t="shared" si="104"/>
        <v>FWL</v>
      </c>
      <c r="W3163" s="110" t="s">
        <v>541</v>
      </c>
      <c r="X3163" s="110" t="s">
        <v>541</v>
      </c>
      <c r="Y3163" s="110" t="str">
        <f>IFERROR(VLOOKUP(F3163,'Freq-Chan'!C:E,3,FALSE),"na")</f>
        <v>na</v>
      </c>
      <c r="Z3163" s="110" t="s">
        <v>541</v>
      </c>
      <c r="AA3163" s="110" t="s">
        <v>541</v>
      </c>
      <c r="AB3163" s="110" t="s">
        <v>541</v>
      </c>
      <c r="AC3163" s="10" t="s">
        <v>541</v>
      </c>
      <c r="AD3163" s="10" t="s">
        <v>541</v>
      </c>
    </row>
    <row r="3164" spans="1:30" x14ac:dyDescent="0.2">
      <c r="A3164" s="110">
        <v>3164</v>
      </c>
      <c r="B3164" s="132">
        <v>41872</v>
      </c>
      <c r="C3164" s="117">
        <v>1</v>
      </c>
      <c r="D3164" s="103" t="s">
        <v>72</v>
      </c>
      <c r="E3164" s="103" t="s">
        <v>306</v>
      </c>
      <c r="F3164" s="103">
        <v>325</v>
      </c>
      <c r="G3164" s="103">
        <v>86</v>
      </c>
      <c r="H3164" s="103" t="s">
        <v>3648</v>
      </c>
      <c r="I3164" s="103">
        <v>48</v>
      </c>
      <c r="K3164" s="103" t="s">
        <v>1032</v>
      </c>
      <c r="L3164" s="133"/>
      <c r="M3164" s="134">
        <v>4.0972222222222222E-2</v>
      </c>
      <c r="N3164" s="135" t="s">
        <v>3354</v>
      </c>
      <c r="O3164" s="133" t="s">
        <v>1532</v>
      </c>
      <c r="Q3164" s="100" t="s">
        <v>4371</v>
      </c>
      <c r="R3164" s="226" t="s">
        <v>4391</v>
      </c>
      <c r="S3164" s="491" t="str">
        <f t="shared" si="103"/>
        <v>x</v>
      </c>
      <c r="T3164" s="492">
        <f>IFERROR(VLOOKUP(F3164,'Freq-Chan'!C:D,2,FALSE),"x")</f>
        <v>151.32499999999999</v>
      </c>
      <c r="U3164" s="110" t="s">
        <v>541</v>
      </c>
      <c r="V3164" s="110" t="str">
        <f t="shared" si="104"/>
        <v>FWL</v>
      </c>
      <c r="W3164" s="110" t="s">
        <v>541</v>
      </c>
      <c r="X3164" s="110" t="s">
        <v>541</v>
      </c>
      <c r="Y3164" s="110" t="str">
        <f>IFERROR(VLOOKUP(F3164,'Freq-Chan'!C:E,3,FALSE),"na")</f>
        <v>F1840</v>
      </c>
      <c r="Z3164" s="110" t="s">
        <v>541</v>
      </c>
      <c r="AA3164" s="110" t="s">
        <v>541</v>
      </c>
      <c r="AB3164" s="110" t="s">
        <v>541</v>
      </c>
      <c r="AC3164" s="10" t="s">
        <v>541</v>
      </c>
      <c r="AD3164" s="10" t="s">
        <v>541</v>
      </c>
    </row>
    <row r="3165" spans="1:30" x14ac:dyDescent="0.2">
      <c r="A3165" s="110">
        <v>3165</v>
      </c>
      <c r="B3165" s="132">
        <v>41872</v>
      </c>
      <c r="C3165" s="117">
        <v>1</v>
      </c>
      <c r="D3165" s="103" t="s">
        <v>71</v>
      </c>
      <c r="E3165" s="103" t="s">
        <v>306</v>
      </c>
      <c r="H3165" s="103"/>
      <c r="I3165" s="103">
        <v>50</v>
      </c>
      <c r="K3165" s="103" t="s">
        <v>365</v>
      </c>
      <c r="L3165" s="133"/>
      <c r="M3165" s="134">
        <v>1.5277777777777777E-2</v>
      </c>
      <c r="N3165" s="135" t="s">
        <v>3474</v>
      </c>
      <c r="O3165" s="133" t="s">
        <v>1532</v>
      </c>
      <c r="Q3165" s="100" t="s">
        <v>4371</v>
      </c>
      <c r="R3165" s="226" t="s">
        <v>4391</v>
      </c>
      <c r="S3165" s="491" t="str">
        <f t="shared" si="103"/>
        <v>x</v>
      </c>
      <c r="T3165" s="492" t="str">
        <f>IFERROR(VLOOKUP(F3165,'Freq-Chan'!C:D,2,FALSE),"x")</f>
        <v>x</v>
      </c>
      <c r="U3165" s="110" t="s">
        <v>541</v>
      </c>
      <c r="V3165" s="110" t="str">
        <f t="shared" si="104"/>
        <v>FWL</v>
      </c>
      <c r="W3165" s="110" t="s">
        <v>541</v>
      </c>
      <c r="X3165" s="110" t="s">
        <v>541</v>
      </c>
      <c r="Y3165" s="110" t="str">
        <f>IFERROR(VLOOKUP(F3165,'Freq-Chan'!C:E,3,FALSE),"na")</f>
        <v>na</v>
      </c>
      <c r="Z3165" s="110" t="s">
        <v>541</v>
      </c>
      <c r="AA3165" s="110" t="s">
        <v>541</v>
      </c>
      <c r="AB3165" s="110" t="s">
        <v>541</v>
      </c>
      <c r="AC3165" s="10" t="s">
        <v>541</v>
      </c>
      <c r="AD3165" s="10" t="s">
        <v>541</v>
      </c>
    </row>
    <row r="3166" spans="1:30" x14ac:dyDescent="0.2">
      <c r="A3166" s="110">
        <v>3166</v>
      </c>
      <c r="B3166" s="132">
        <v>41872</v>
      </c>
      <c r="C3166" s="117">
        <v>1</v>
      </c>
      <c r="D3166" s="103" t="s">
        <v>71</v>
      </c>
      <c r="E3166" s="103" t="s">
        <v>306</v>
      </c>
      <c r="H3166" s="103"/>
      <c r="I3166" s="103">
        <v>55</v>
      </c>
      <c r="K3166" s="103" t="s">
        <v>1032</v>
      </c>
      <c r="L3166" s="133"/>
      <c r="M3166" s="134">
        <v>1.4583333333333332E-2</v>
      </c>
      <c r="N3166" s="135" t="s">
        <v>4130</v>
      </c>
      <c r="O3166" s="133" t="s">
        <v>1532</v>
      </c>
      <c r="Q3166" s="100" t="s">
        <v>4371</v>
      </c>
      <c r="R3166" s="226" t="s">
        <v>4391</v>
      </c>
      <c r="S3166" s="491" t="str">
        <f t="shared" si="103"/>
        <v>x</v>
      </c>
      <c r="T3166" s="492" t="str">
        <f>IFERROR(VLOOKUP(F3166,'Freq-Chan'!C:D,2,FALSE),"x")</f>
        <v>x</v>
      </c>
      <c r="U3166" s="110" t="s">
        <v>541</v>
      </c>
      <c r="V3166" s="110" t="str">
        <f t="shared" si="104"/>
        <v>FWL</v>
      </c>
      <c r="W3166" s="110" t="s">
        <v>541</v>
      </c>
      <c r="X3166" s="110" t="s">
        <v>541</v>
      </c>
      <c r="Y3166" s="110" t="str">
        <f>IFERROR(VLOOKUP(F3166,'Freq-Chan'!C:E,3,FALSE),"na")</f>
        <v>na</v>
      </c>
      <c r="Z3166" s="110" t="s">
        <v>541</v>
      </c>
      <c r="AA3166" s="110" t="s">
        <v>541</v>
      </c>
      <c r="AB3166" s="110" t="s">
        <v>541</v>
      </c>
      <c r="AC3166" s="10" t="s">
        <v>541</v>
      </c>
      <c r="AD3166" s="10" t="s">
        <v>541</v>
      </c>
    </row>
    <row r="3167" spans="1:30" x14ac:dyDescent="0.2">
      <c r="A3167" s="110">
        <v>3167</v>
      </c>
      <c r="B3167" s="132">
        <v>41872</v>
      </c>
      <c r="C3167" s="117">
        <v>1</v>
      </c>
      <c r="D3167" s="103" t="s">
        <v>72</v>
      </c>
      <c r="E3167" s="103" t="s">
        <v>306</v>
      </c>
      <c r="F3167" s="103">
        <v>325</v>
      </c>
      <c r="G3167" s="103">
        <v>21</v>
      </c>
      <c r="H3167" s="103" t="s">
        <v>3649</v>
      </c>
      <c r="I3167" s="103">
        <v>57</v>
      </c>
      <c r="K3167" s="103" t="s">
        <v>1032</v>
      </c>
      <c r="L3167" s="133"/>
      <c r="M3167" s="134">
        <v>3.888888888888889E-2</v>
      </c>
      <c r="N3167" s="135" t="s">
        <v>3799</v>
      </c>
      <c r="O3167" s="133" t="s">
        <v>1532</v>
      </c>
      <c r="Q3167" s="100" t="s">
        <v>4371</v>
      </c>
      <c r="R3167" s="226" t="s">
        <v>4391</v>
      </c>
      <c r="S3167" s="491" t="str">
        <f t="shared" si="103"/>
        <v>x</v>
      </c>
      <c r="T3167" s="492">
        <f>IFERROR(VLOOKUP(F3167,'Freq-Chan'!C:D,2,FALSE),"x")</f>
        <v>151.32499999999999</v>
      </c>
      <c r="U3167" s="110" t="s">
        <v>541</v>
      </c>
      <c r="V3167" s="110" t="str">
        <f t="shared" si="104"/>
        <v>FWL</v>
      </c>
      <c r="W3167" s="110" t="s">
        <v>541</v>
      </c>
      <c r="X3167" s="110" t="s">
        <v>541</v>
      </c>
      <c r="Y3167" s="110" t="str">
        <f>IFERROR(VLOOKUP(F3167,'Freq-Chan'!C:E,3,FALSE),"na")</f>
        <v>F1840</v>
      </c>
      <c r="Z3167" s="110" t="s">
        <v>541</v>
      </c>
      <c r="AA3167" s="110" t="s">
        <v>541</v>
      </c>
      <c r="AB3167" s="110" t="s">
        <v>541</v>
      </c>
      <c r="AC3167" s="10" t="s">
        <v>541</v>
      </c>
      <c r="AD3167" s="10" t="s">
        <v>541</v>
      </c>
    </row>
    <row r="3168" spans="1:30" x14ac:dyDescent="0.2">
      <c r="A3168" s="110">
        <v>3168</v>
      </c>
      <c r="B3168" s="132">
        <v>41872</v>
      </c>
      <c r="C3168" s="117">
        <v>1</v>
      </c>
      <c r="D3168" s="103" t="s">
        <v>71</v>
      </c>
      <c r="E3168" s="103" t="s">
        <v>306</v>
      </c>
      <c r="H3168" s="103"/>
      <c r="I3168" s="103">
        <v>57</v>
      </c>
      <c r="K3168" s="103" t="s">
        <v>365</v>
      </c>
      <c r="L3168" s="133"/>
      <c r="M3168" s="134"/>
      <c r="N3168" s="135" t="s">
        <v>3493</v>
      </c>
      <c r="O3168" s="133" t="s">
        <v>376</v>
      </c>
      <c r="Q3168" s="100" t="s">
        <v>4371</v>
      </c>
      <c r="R3168" s="226" t="s">
        <v>4391</v>
      </c>
      <c r="S3168" s="491" t="str">
        <f t="shared" si="103"/>
        <v>x</v>
      </c>
      <c r="T3168" s="492" t="str">
        <f>IFERROR(VLOOKUP(F3168,'Freq-Chan'!C:D,2,FALSE),"x")</f>
        <v>x</v>
      </c>
      <c r="U3168" s="110" t="s">
        <v>541</v>
      </c>
      <c r="V3168" s="110" t="str">
        <f t="shared" si="104"/>
        <v>FWL</v>
      </c>
      <c r="W3168" s="110" t="s">
        <v>541</v>
      </c>
      <c r="X3168" s="110" t="s">
        <v>541</v>
      </c>
      <c r="Y3168" s="110" t="str">
        <f>IFERROR(VLOOKUP(F3168,'Freq-Chan'!C:E,3,FALSE),"na")</f>
        <v>na</v>
      </c>
      <c r="Z3168" s="110" t="s">
        <v>541</v>
      </c>
      <c r="AA3168" s="110" t="s">
        <v>541</v>
      </c>
      <c r="AB3168" s="110" t="s">
        <v>541</v>
      </c>
      <c r="AC3168" s="10" t="s">
        <v>541</v>
      </c>
      <c r="AD3168" s="10" t="s">
        <v>541</v>
      </c>
    </row>
    <row r="3169" spans="1:30" x14ac:dyDescent="0.2">
      <c r="A3169" s="110">
        <v>3169</v>
      </c>
      <c r="B3169" s="132">
        <v>41872</v>
      </c>
      <c r="C3169" s="117">
        <v>1</v>
      </c>
      <c r="D3169" s="103" t="s">
        <v>70</v>
      </c>
      <c r="E3169" s="103" t="s">
        <v>306</v>
      </c>
      <c r="H3169" s="103"/>
      <c r="I3169" s="103">
        <v>44</v>
      </c>
      <c r="K3169" s="103" t="s">
        <v>365</v>
      </c>
      <c r="L3169" s="133"/>
      <c r="M3169" s="134"/>
      <c r="N3169" s="135" t="s">
        <v>3494</v>
      </c>
      <c r="O3169" s="133" t="s">
        <v>376</v>
      </c>
      <c r="Q3169" s="100" t="s">
        <v>4371</v>
      </c>
      <c r="R3169" s="226" t="s">
        <v>4391</v>
      </c>
      <c r="S3169" s="491" t="str">
        <f t="shared" si="103"/>
        <v>x</v>
      </c>
      <c r="T3169" s="492" t="str">
        <f>IFERROR(VLOOKUP(F3169,'Freq-Chan'!C:D,2,FALSE),"x")</f>
        <v>x</v>
      </c>
      <c r="U3169" s="110" t="s">
        <v>541</v>
      </c>
      <c r="V3169" s="110" t="str">
        <f t="shared" si="104"/>
        <v>FWL</v>
      </c>
      <c r="W3169" s="110" t="s">
        <v>541</v>
      </c>
      <c r="X3169" s="110" t="s">
        <v>541</v>
      </c>
      <c r="Y3169" s="110" t="str">
        <f>IFERROR(VLOOKUP(F3169,'Freq-Chan'!C:E,3,FALSE),"na")</f>
        <v>na</v>
      </c>
      <c r="Z3169" s="110" t="s">
        <v>541</v>
      </c>
      <c r="AA3169" s="110" t="s">
        <v>541</v>
      </c>
      <c r="AB3169" s="110" t="s">
        <v>541</v>
      </c>
      <c r="AC3169" s="10" t="s">
        <v>541</v>
      </c>
      <c r="AD3169" s="10" t="s">
        <v>541</v>
      </c>
    </row>
    <row r="3170" spans="1:30" x14ac:dyDescent="0.2">
      <c r="A3170" s="110">
        <v>3170</v>
      </c>
      <c r="B3170" s="132">
        <v>41872</v>
      </c>
      <c r="C3170" s="117">
        <v>1</v>
      </c>
      <c r="D3170" s="103" t="s">
        <v>70</v>
      </c>
      <c r="E3170" s="103" t="s">
        <v>306</v>
      </c>
      <c r="H3170" s="103"/>
      <c r="I3170" s="103">
        <v>42</v>
      </c>
      <c r="K3170" s="103" t="s">
        <v>365</v>
      </c>
      <c r="L3170" s="133"/>
      <c r="M3170" s="134">
        <v>1.5277777777777777E-2</v>
      </c>
      <c r="N3170" s="135" t="s">
        <v>3881</v>
      </c>
      <c r="O3170" s="133" t="s">
        <v>1033</v>
      </c>
      <c r="Q3170" s="100" t="s">
        <v>4373</v>
      </c>
      <c r="R3170" s="226" t="s">
        <v>4391</v>
      </c>
      <c r="S3170" s="491" t="str">
        <f t="shared" si="103"/>
        <v>x</v>
      </c>
      <c r="T3170" s="492" t="str">
        <f>IFERROR(VLOOKUP(F3170,'Freq-Chan'!C:D,2,FALSE),"x")</f>
        <v>x</v>
      </c>
      <c r="U3170" s="110" t="s">
        <v>541</v>
      </c>
      <c r="V3170" s="110" t="str">
        <f t="shared" si="104"/>
        <v>FWL</v>
      </c>
      <c r="W3170" s="110" t="s">
        <v>541</v>
      </c>
      <c r="X3170" s="110" t="s">
        <v>541</v>
      </c>
      <c r="Y3170" s="110" t="str">
        <f>IFERROR(VLOOKUP(F3170,'Freq-Chan'!C:E,3,FALSE),"na")</f>
        <v>na</v>
      </c>
      <c r="Z3170" s="110" t="s">
        <v>541</v>
      </c>
      <c r="AA3170" s="110" t="s">
        <v>541</v>
      </c>
      <c r="AB3170" s="110" t="s">
        <v>541</v>
      </c>
      <c r="AC3170" s="10" t="s">
        <v>541</v>
      </c>
      <c r="AD3170" s="10" t="s">
        <v>541</v>
      </c>
    </row>
    <row r="3171" spans="1:30" x14ac:dyDescent="0.2">
      <c r="A3171" s="110">
        <v>3171</v>
      </c>
      <c r="B3171" s="132">
        <v>41872</v>
      </c>
      <c r="C3171" s="117">
        <v>1</v>
      </c>
      <c r="D3171" s="103" t="s">
        <v>71</v>
      </c>
      <c r="E3171" s="103" t="s">
        <v>306</v>
      </c>
      <c r="H3171" s="103"/>
      <c r="I3171" s="103">
        <v>52</v>
      </c>
      <c r="K3171" s="103" t="s">
        <v>365</v>
      </c>
      <c r="L3171" s="133"/>
      <c r="M3171" s="134">
        <v>1.1805555555555555E-2</v>
      </c>
      <c r="N3171" s="135" t="s">
        <v>2520</v>
      </c>
      <c r="O3171" s="133" t="s">
        <v>1033</v>
      </c>
      <c r="Q3171" s="100" t="s">
        <v>4373</v>
      </c>
      <c r="R3171" s="226" t="s">
        <v>4391</v>
      </c>
      <c r="S3171" s="491" t="str">
        <f t="shared" si="103"/>
        <v>x</v>
      </c>
      <c r="T3171" s="492" t="str">
        <f>IFERROR(VLOOKUP(F3171,'Freq-Chan'!C:D,2,FALSE),"x")</f>
        <v>x</v>
      </c>
      <c r="U3171" s="110" t="s">
        <v>541</v>
      </c>
      <c r="V3171" s="110" t="str">
        <f t="shared" si="104"/>
        <v>FWL</v>
      </c>
      <c r="W3171" s="110" t="s">
        <v>541</v>
      </c>
      <c r="X3171" s="110" t="s">
        <v>541</v>
      </c>
      <c r="Y3171" s="110" t="str">
        <f>IFERROR(VLOOKUP(F3171,'Freq-Chan'!C:E,3,FALSE),"na")</f>
        <v>na</v>
      </c>
      <c r="Z3171" s="110" t="s">
        <v>541</v>
      </c>
      <c r="AA3171" s="110" t="s">
        <v>541</v>
      </c>
      <c r="AB3171" s="110" t="s">
        <v>541</v>
      </c>
      <c r="AC3171" s="10" t="s">
        <v>541</v>
      </c>
      <c r="AD3171" s="10" t="s">
        <v>541</v>
      </c>
    </row>
    <row r="3172" spans="1:30" x14ac:dyDescent="0.2">
      <c r="A3172" s="110">
        <v>3172</v>
      </c>
      <c r="B3172" s="132">
        <v>41872</v>
      </c>
      <c r="C3172" s="117">
        <v>1</v>
      </c>
      <c r="D3172" s="103" t="s">
        <v>71</v>
      </c>
      <c r="E3172" s="103" t="s">
        <v>306</v>
      </c>
      <c r="H3172" s="103"/>
      <c r="I3172" s="103">
        <v>53</v>
      </c>
      <c r="K3172" s="103" t="s">
        <v>1032</v>
      </c>
      <c r="L3172" s="133"/>
      <c r="M3172" s="134">
        <v>1.4583333333333332E-2</v>
      </c>
      <c r="N3172" s="137" t="s">
        <v>3303</v>
      </c>
      <c r="O3172" s="133" t="s">
        <v>1033</v>
      </c>
      <c r="Q3172" s="100" t="s">
        <v>4373</v>
      </c>
      <c r="R3172" s="226" t="s">
        <v>4391</v>
      </c>
      <c r="S3172" s="491" t="str">
        <f t="shared" si="103"/>
        <v>x</v>
      </c>
      <c r="T3172" s="492" t="str">
        <f>IFERROR(VLOOKUP(F3172,'Freq-Chan'!C:D,2,FALSE),"x")</f>
        <v>x</v>
      </c>
      <c r="U3172" s="110" t="s">
        <v>541</v>
      </c>
      <c r="V3172" s="110" t="str">
        <f t="shared" si="104"/>
        <v>FWL</v>
      </c>
      <c r="W3172" s="110" t="s">
        <v>541</v>
      </c>
      <c r="X3172" s="110" t="s">
        <v>541</v>
      </c>
      <c r="Y3172" s="110" t="str">
        <f>IFERROR(VLOOKUP(F3172,'Freq-Chan'!C:E,3,FALSE),"na")</f>
        <v>na</v>
      </c>
      <c r="Z3172" s="110" t="s">
        <v>541</v>
      </c>
      <c r="AA3172" s="110" t="s">
        <v>541</v>
      </c>
      <c r="AB3172" s="110" t="s">
        <v>541</v>
      </c>
      <c r="AC3172" s="10" t="s">
        <v>541</v>
      </c>
      <c r="AD3172" s="10" t="s">
        <v>541</v>
      </c>
    </row>
    <row r="3173" spans="1:30" x14ac:dyDescent="0.2">
      <c r="A3173" s="110">
        <v>3173</v>
      </c>
      <c r="B3173" s="132">
        <v>41872</v>
      </c>
      <c r="C3173" s="117">
        <v>1</v>
      </c>
      <c r="D3173" s="103" t="s">
        <v>71</v>
      </c>
      <c r="E3173" s="103" t="s">
        <v>306</v>
      </c>
      <c r="H3173" s="103"/>
      <c r="I3173" s="103">
        <v>54</v>
      </c>
      <c r="K3173" s="103" t="s">
        <v>365</v>
      </c>
      <c r="L3173" s="133"/>
      <c r="M3173" s="134">
        <v>1.1111111111111112E-2</v>
      </c>
      <c r="N3173" s="135" t="s">
        <v>2592</v>
      </c>
      <c r="O3173" s="133" t="s">
        <v>1033</v>
      </c>
      <c r="Q3173" s="100" t="s">
        <v>4373</v>
      </c>
      <c r="R3173" s="226" t="s">
        <v>4391</v>
      </c>
      <c r="S3173" s="491" t="str">
        <f t="shared" si="103"/>
        <v>x</v>
      </c>
      <c r="T3173" s="492" t="str">
        <f>IFERROR(VLOOKUP(F3173,'Freq-Chan'!C:D,2,FALSE),"x")</f>
        <v>x</v>
      </c>
      <c r="U3173" s="110" t="s">
        <v>541</v>
      </c>
      <c r="V3173" s="110" t="str">
        <f t="shared" si="104"/>
        <v>FWL</v>
      </c>
      <c r="W3173" s="110" t="s">
        <v>541</v>
      </c>
      <c r="X3173" s="110" t="s">
        <v>541</v>
      </c>
      <c r="Y3173" s="110" t="str">
        <f>IFERROR(VLOOKUP(F3173,'Freq-Chan'!C:E,3,FALSE),"na")</f>
        <v>na</v>
      </c>
      <c r="Z3173" s="110" t="s">
        <v>541</v>
      </c>
      <c r="AA3173" s="110" t="s">
        <v>541</v>
      </c>
      <c r="AB3173" s="110" t="s">
        <v>541</v>
      </c>
      <c r="AC3173" s="10" t="s">
        <v>541</v>
      </c>
      <c r="AD3173" s="10" t="s">
        <v>541</v>
      </c>
    </row>
    <row r="3174" spans="1:30" x14ac:dyDescent="0.2">
      <c r="A3174" s="110">
        <v>3174</v>
      </c>
      <c r="B3174" s="132">
        <v>41872</v>
      </c>
      <c r="C3174" s="117">
        <v>1</v>
      </c>
      <c r="D3174" s="103" t="s">
        <v>72</v>
      </c>
      <c r="E3174" s="103" t="s">
        <v>306</v>
      </c>
      <c r="F3174" s="103">
        <v>325</v>
      </c>
      <c r="G3174" s="103">
        <v>69</v>
      </c>
      <c r="H3174" s="103" t="s">
        <v>3650</v>
      </c>
      <c r="I3174" s="103">
        <v>59</v>
      </c>
      <c r="K3174" s="103" t="s">
        <v>1032</v>
      </c>
      <c r="L3174" s="133"/>
      <c r="M3174" s="134">
        <v>3.4722222222222224E-2</v>
      </c>
      <c r="N3174" s="135" t="s">
        <v>3246</v>
      </c>
      <c r="O3174" s="133" t="s">
        <v>372</v>
      </c>
      <c r="Q3174" s="100" t="s">
        <v>4373</v>
      </c>
      <c r="R3174" s="226" t="s">
        <v>4391</v>
      </c>
      <c r="S3174" s="491" t="str">
        <f t="shared" si="103"/>
        <v>x</v>
      </c>
      <c r="T3174" s="492">
        <f>IFERROR(VLOOKUP(F3174,'Freq-Chan'!C:D,2,FALSE),"x")</f>
        <v>151.32499999999999</v>
      </c>
      <c r="U3174" s="110" t="s">
        <v>541</v>
      </c>
      <c r="V3174" s="110" t="str">
        <f t="shared" si="104"/>
        <v>FWL</v>
      </c>
      <c r="W3174" s="110" t="s">
        <v>541</v>
      </c>
      <c r="X3174" s="110" t="s">
        <v>541</v>
      </c>
      <c r="Y3174" s="110" t="str">
        <f>IFERROR(VLOOKUP(F3174,'Freq-Chan'!C:E,3,FALSE),"na")</f>
        <v>F1840</v>
      </c>
      <c r="Z3174" s="110" t="s">
        <v>541</v>
      </c>
      <c r="AA3174" s="110" t="s">
        <v>541</v>
      </c>
      <c r="AB3174" s="110" t="s">
        <v>541</v>
      </c>
      <c r="AC3174" s="10" t="s">
        <v>541</v>
      </c>
      <c r="AD3174" s="10" t="s">
        <v>541</v>
      </c>
    </row>
    <row r="3175" spans="1:30" x14ac:dyDescent="0.2">
      <c r="A3175" s="110">
        <v>3175</v>
      </c>
      <c r="B3175" s="132">
        <v>41872</v>
      </c>
      <c r="C3175" s="117">
        <v>1</v>
      </c>
      <c r="D3175" s="103" t="s">
        <v>71</v>
      </c>
      <c r="E3175" s="103" t="s">
        <v>306</v>
      </c>
      <c r="H3175" s="103"/>
      <c r="I3175" s="103">
        <v>54</v>
      </c>
      <c r="K3175" s="103" t="s">
        <v>1032</v>
      </c>
      <c r="L3175" s="133"/>
      <c r="M3175" s="134">
        <v>1.3194444444444444E-2</v>
      </c>
      <c r="N3175" s="135" t="s">
        <v>1984</v>
      </c>
      <c r="O3175" s="133" t="s">
        <v>372</v>
      </c>
      <c r="Q3175" s="100" t="s">
        <v>4373</v>
      </c>
      <c r="R3175" s="226" t="s">
        <v>4391</v>
      </c>
      <c r="S3175" s="491" t="str">
        <f t="shared" si="103"/>
        <v>x</v>
      </c>
      <c r="T3175" s="492" t="str">
        <f>IFERROR(VLOOKUP(F3175,'Freq-Chan'!C:D,2,FALSE),"x")</f>
        <v>x</v>
      </c>
      <c r="U3175" s="110" t="s">
        <v>541</v>
      </c>
      <c r="V3175" s="110" t="str">
        <f t="shared" si="104"/>
        <v>FWL</v>
      </c>
      <c r="W3175" s="110" t="s">
        <v>541</v>
      </c>
      <c r="X3175" s="110" t="s">
        <v>541</v>
      </c>
      <c r="Y3175" s="110" t="str">
        <f>IFERROR(VLOOKUP(F3175,'Freq-Chan'!C:E,3,FALSE),"na")</f>
        <v>na</v>
      </c>
      <c r="Z3175" s="110" t="s">
        <v>541</v>
      </c>
      <c r="AA3175" s="110" t="s">
        <v>541</v>
      </c>
      <c r="AB3175" s="110" t="s">
        <v>541</v>
      </c>
      <c r="AC3175" s="10" t="s">
        <v>541</v>
      </c>
      <c r="AD3175" s="10" t="s">
        <v>541</v>
      </c>
    </row>
    <row r="3176" spans="1:30" x14ac:dyDescent="0.2">
      <c r="A3176" s="110">
        <v>3176</v>
      </c>
      <c r="B3176" s="132">
        <v>41872</v>
      </c>
      <c r="C3176" s="117">
        <v>1</v>
      </c>
      <c r="D3176" s="103" t="s">
        <v>71</v>
      </c>
      <c r="E3176" s="103" t="s">
        <v>306</v>
      </c>
      <c r="H3176" s="103"/>
      <c r="I3176" s="103">
        <v>57</v>
      </c>
      <c r="K3176" s="103" t="s">
        <v>1032</v>
      </c>
      <c r="L3176" s="133"/>
      <c r="M3176" s="134">
        <v>1.4583333333333332E-2</v>
      </c>
      <c r="N3176" s="137" t="s">
        <v>3983</v>
      </c>
      <c r="O3176" s="133" t="s">
        <v>372</v>
      </c>
      <c r="Q3176" s="100" t="s">
        <v>4373</v>
      </c>
      <c r="R3176" s="226" t="s">
        <v>4391</v>
      </c>
      <c r="S3176" s="491" t="str">
        <f t="shared" si="103"/>
        <v>x</v>
      </c>
      <c r="T3176" s="492" t="str">
        <f>IFERROR(VLOOKUP(F3176,'Freq-Chan'!C:D,2,FALSE),"x")</f>
        <v>x</v>
      </c>
      <c r="U3176" s="110" t="s">
        <v>541</v>
      </c>
      <c r="V3176" s="110" t="str">
        <f t="shared" si="104"/>
        <v>FWL</v>
      </c>
      <c r="W3176" s="110" t="s">
        <v>541</v>
      </c>
      <c r="X3176" s="110" t="s">
        <v>541</v>
      </c>
      <c r="Y3176" s="110" t="str">
        <f>IFERROR(VLOOKUP(F3176,'Freq-Chan'!C:E,3,FALSE),"na")</f>
        <v>na</v>
      </c>
      <c r="Z3176" s="110" t="s">
        <v>541</v>
      </c>
      <c r="AA3176" s="110" t="s">
        <v>541</v>
      </c>
      <c r="AB3176" s="110" t="s">
        <v>541</v>
      </c>
      <c r="AC3176" s="10" t="s">
        <v>541</v>
      </c>
      <c r="AD3176" s="10" t="s">
        <v>541</v>
      </c>
    </row>
    <row r="3177" spans="1:30" x14ac:dyDescent="0.2">
      <c r="A3177" s="110">
        <v>3177</v>
      </c>
      <c r="B3177" s="132">
        <v>41872</v>
      </c>
      <c r="C3177" s="117">
        <v>1</v>
      </c>
      <c r="D3177" s="103" t="s">
        <v>71</v>
      </c>
      <c r="E3177" s="103" t="s">
        <v>306</v>
      </c>
      <c r="H3177" s="103"/>
      <c r="I3177" s="103">
        <v>57</v>
      </c>
      <c r="K3177" s="103" t="s">
        <v>365</v>
      </c>
      <c r="L3177" s="133">
        <v>0.57430555555555551</v>
      </c>
      <c r="M3177" s="134">
        <v>1.3888888888888888E-2</v>
      </c>
      <c r="N3177" s="137" t="s">
        <v>2780</v>
      </c>
      <c r="O3177" s="133" t="s">
        <v>372</v>
      </c>
      <c r="Q3177" s="100" t="s">
        <v>4373</v>
      </c>
      <c r="R3177" s="226" t="s">
        <v>4391</v>
      </c>
      <c r="S3177" s="491">
        <f t="shared" si="103"/>
        <v>1.1574074E-3</v>
      </c>
      <c r="T3177" s="492" t="str">
        <f>IFERROR(VLOOKUP(F3177,'Freq-Chan'!C:D,2,FALSE),"x")</f>
        <v>x</v>
      </c>
      <c r="U3177" s="110" t="s">
        <v>541</v>
      </c>
      <c r="V3177" s="110" t="str">
        <f t="shared" si="104"/>
        <v>FWL</v>
      </c>
      <c r="W3177" s="110" t="s">
        <v>541</v>
      </c>
      <c r="X3177" s="110" t="s">
        <v>541</v>
      </c>
      <c r="Y3177" s="110" t="str">
        <f>IFERROR(VLOOKUP(F3177,'Freq-Chan'!C:E,3,FALSE),"na")</f>
        <v>na</v>
      </c>
      <c r="Z3177" s="110" t="s">
        <v>541</v>
      </c>
      <c r="AA3177" s="110" t="s">
        <v>541</v>
      </c>
      <c r="AB3177" s="110" t="s">
        <v>541</v>
      </c>
      <c r="AC3177" s="10" t="s">
        <v>541</v>
      </c>
      <c r="AD3177" s="10" t="s">
        <v>541</v>
      </c>
    </row>
    <row r="3178" spans="1:30" x14ac:dyDescent="0.2">
      <c r="A3178" s="110">
        <v>3178</v>
      </c>
      <c r="B3178" s="132">
        <v>41872</v>
      </c>
      <c r="C3178" s="117">
        <v>1</v>
      </c>
      <c r="D3178" s="103" t="s">
        <v>71</v>
      </c>
      <c r="E3178" s="103" t="s">
        <v>306</v>
      </c>
      <c r="H3178" s="103"/>
      <c r="I3178" s="103">
        <v>59</v>
      </c>
      <c r="K3178" s="103" t="s">
        <v>365</v>
      </c>
      <c r="L3178" s="133"/>
      <c r="M3178" s="134">
        <v>1.3194444444444444E-2</v>
      </c>
      <c r="N3178" s="135" t="s">
        <v>4175</v>
      </c>
      <c r="O3178" s="133" t="s">
        <v>372</v>
      </c>
      <c r="Q3178" s="100" t="s">
        <v>4373</v>
      </c>
      <c r="R3178" s="226" t="s">
        <v>4391</v>
      </c>
      <c r="S3178" s="491" t="str">
        <f t="shared" si="103"/>
        <v>x</v>
      </c>
      <c r="T3178" s="492" t="str">
        <f>IFERROR(VLOOKUP(F3178,'Freq-Chan'!C:D,2,FALSE),"x")</f>
        <v>x</v>
      </c>
      <c r="U3178" s="110" t="s">
        <v>541</v>
      </c>
      <c r="V3178" s="110" t="str">
        <f t="shared" si="104"/>
        <v>FWL</v>
      </c>
      <c r="W3178" s="110" t="s">
        <v>541</v>
      </c>
      <c r="X3178" s="110" t="s">
        <v>541</v>
      </c>
      <c r="Y3178" s="110" t="str">
        <f>IFERROR(VLOOKUP(F3178,'Freq-Chan'!C:E,3,FALSE),"na")</f>
        <v>na</v>
      </c>
      <c r="Z3178" s="110" t="s">
        <v>541</v>
      </c>
      <c r="AA3178" s="110" t="s">
        <v>541</v>
      </c>
      <c r="AB3178" s="110" t="s">
        <v>541</v>
      </c>
      <c r="AC3178" s="10" t="s">
        <v>541</v>
      </c>
      <c r="AD3178" s="10" t="s">
        <v>541</v>
      </c>
    </row>
    <row r="3179" spans="1:30" x14ac:dyDescent="0.2">
      <c r="A3179" s="110">
        <v>3179</v>
      </c>
      <c r="B3179" s="132">
        <v>41872</v>
      </c>
      <c r="C3179" s="117">
        <v>1</v>
      </c>
      <c r="D3179" s="103" t="s">
        <v>71</v>
      </c>
      <c r="E3179" s="103" t="s">
        <v>306</v>
      </c>
      <c r="H3179" s="103"/>
      <c r="I3179" s="103">
        <v>54</v>
      </c>
      <c r="K3179" s="103" t="s">
        <v>365</v>
      </c>
      <c r="L3179" s="133"/>
      <c r="M3179" s="134">
        <v>1.1805555555555555E-2</v>
      </c>
      <c r="N3179" s="135" t="s">
        <v>3246</v>
      </c>
      <c r="O3179" s="133" t="s">
        <v>372</v>
      </c>
      <c r="Q3179" s="100" t="s">
        <v>4373</v>
      </c>
      <c r="R3179" s="226" t="s">
        <v>4391</v>
      </c>
      <c r="S3179" s="491" t="str">
        <f t="shared" si="103"/>
        <v>x</v>
      </c>
      <c r="T3179" s="492" t="str">
        <f>IFERROR(VLOOKUP(F3179,'Freq-Chan'!C:D,2,FALSE),"x")</f>
        <v>x</v>
      </c>
      <c r="U3179" s="110" t="s">
        <v>541</v>
      </c>
      <c r="V3179" s="110" t="str">
        <f t="shared" si="104"/>
        <v>FWL</v>
      </c>
      <c r="W3179" s="110" t="s">
        <v>541</v>
      </c>
      <c r="X3179" s="110" t="s">
        <v>541</v>
      </c>
      <c r="Y3179" s="110" t="str">
        <f>IFERROR(VLOOKUP(F3179,'Freq-Chan'!C:E,3,FALSE),"na")</f>
        <v>na</v>
      </c>
      <c r="Z3179" s="110" t="s">
        <v>541</v>
      </c>
      <c r="AA3179" s="110" t="s">
        <v>541</v>
      </c>
      <c r="AB3179" s="110" t="s">
        <v>541</v>
      </c>
      <c r="AC3179" s="10" t="s">
        <v>541</v>
      </c>
      <c r="AD3179" s="10" t="s">
        <v>541</v>
      </c>
    </row>
    <row r="3180" spans="1:30" x14ac:dyDescent="0.2">
      <c r="A3180" s="110">
        <v>3180</v>
      </c>
      <c r="B3180" s="132">
        <v>41872</v>
      </c>
      <c r="C3180" s="117">
        <v>1</v>
      </c>
      <c r="D3180" s="103" t="s">
        <v>71</v>
      </c>
      <c r="E3180" s="103" t="s">
        <v>306</v>
      </c>
      <c r="H3180" s="103"/>
      <c r="I3180" s="103">
        <v>59</v>
      </c>
      <c r="K3180" s="103" t="s">
        <v>365</v>
      </c>
      <c r="L3180" s="133"/>
      <c r="M3180" s="134">
        <v>1.3194444444444444E-2</v>
      </c>
      <c r="N3180" s="135" t="s">
        <v>3984</v>
      </c>
      <c r="O3180" s="133" t="s">
        <v>1033</v>
      </c>
      <c r="Q3180" s="100" t="s">
        <v>4373</v>
      </c>
      <c r="R3180" s="226" t="s">
        <v>4391</v>
      </c>
      <c r="S3180" s="491" t="str">
        <f t="shared" si="103"/>
        <v>x</v>
      </c>
      <c r="T3180" s="492" t="str">
        <f>IFERROR(VLOOKUP(F3180,'Freq-Chan'!C:D,2,FALSE),"x")</f>
        <v>x</v>
      </c>
      <c r="U3180" s="110" t="s">
        <v>541</v>
      </c>
      <c r="V3180" s="110" t="str">
        <f t="shared" si="104"/>
        <v>FWL</v>
      </c>
      <c r="W3180" s="110" t="s">
        <v>541</v>
      </c>
      <c r="X3180" s="110" t="s">
        <v>541</v>
      </c>
      <c r="Y3180" s="110" t="str">
        <f>IFERROR(VLOOKUP(F3180,'Freq-Chan'!C:E,3,FALSE),"na")</f>
        <v>na</v>
      </c>
      <c r="Z3180" s="110" t="s">
        <v>541</v>
      </c>
      <c r="AA3180" s="110" t="s">
        <v>541</v>
      </c>
      <c r="AB3180" s="110" t="s">
        <v>541</v>
      </c>
      <c r="AC3180" s="10" t="s">
        <v>541</v>
      </c>
      <c r="AD3180" s="10" t="s">
        <v>541</v>
      </c>
    </row>
    <row r="3181" spans="1:30" x14ac:dyDescent="0.2">
      <c r="A3181" s="110">
        <v>3181</v>
      </c>
      <c r="B3181" s="132">
        <v>41872</v>
      </c>
      <c r="C3181" s="117">
        <v>1</v>
      </c>
      <c r="D3181" s="103" t="s">
        <v>70</v>
      </c>
      <c r="E3181" s="103" t="s">
        <v>306</v>
      </c>
      <c r="H3181" s="103"/>
      <c r="I3181" s="103">
        <v>49</v>
      </c>
      <c r="K3181" s="103" t="s">
        <v>1032</v>
      </c>
      <c r="L3181" s="133">
        <v>0.5756944444444444</v>
      </c>
      <c r="M3181" s="134">
        <v>1.4583333333333332E-2</v>
      </c>
      <c r="N3181" s="135" t="s">
        <v>2631</v>
      </c>
      <c r="O3181" s="133" t="s">
        <v>1033</v>
      </c>
      <c r="Q3181" s="100" t="s">
        <v>4373</v>
      </c>
      <c r="R3181" s="226" t="s">
        <v>4391</v>
      </c>
      <c r="S3181" s="491">
        <f t="shared" si="103"/>
        <v>3.9236111000000001E-3</v>
      </c>
      <c r="T3181" s="492" t="str">
        <f>IFERROR(VLOOKUP(F3181,'Freq-Chan'!C:D,2,FALSE),"x")</f>
        <v>x</v>
      </c>
      <c r="U3181" s="110" t="s">
        <v>541</v>
      </c>
      <c r="V3181" s="110" t="str">
        <f t="shared" si="104"/>
        <v>FWL</v>
      </c>
      <c r="W3181" s="110" t="s">
        <v>541</v>
      </c>
      <c r="X3181" s="110" t="s">
        <v>541</v>
      </c>
      <c r="Y3181" s="110" t="str">
        <f>IFERROR(VLOOKUP(F3181,'Freq-Chan'!C:E,3,FALSE),"na")</f>
        <v>na</v>
      </c>
      <c r="Z3181" s="110" t="s">
        <v>541</v>
      </c>
      <c r="AA3181" s="110" t="s">
        <v>541</v>
      </c>
      <c r="AB3181" s="110" t="s">
        <v>541</v>
      </c>
      <c r="AC3181" s="10" t="s">
        <v>541</v>
      </c>
      <c r="AD3181" s="10" t="s">
        <v>541</v>
      </c>
    </row>
    <row r="3182" spans="1:30" x14ac:dyDescent="0.2">
      <c r="A3182" s="110">
        <v>3182</v>
      </c>
      <c r="B3182" s="132">
        <v>41872</v>
      </c>
      <c r="C3182" s="117">
        <v>1</v>
      </c>
      <c r="D3182" s="103" t="s">
        <v>71</v>
      </c>
      <c r="E3182" s="103" t="s">
        <v>306</v>
      </c>
      <c r="H3182" s="103"/>
      <c r="I3182" s="103">
        <v>50</v>
      </c>
      <c r="K3182" s="103" t="s">
        <v>1032</v>
      </c>
      <c r="L3182" s="133">
        <v>0.57986111111111105</v>
      </c>
      <c r="M3182" s="134">
        <v>1.4583333333333332E-2</v>
      </c>
      <c r="N3182" s="135" t="s">
        <v>1660</v>
      </c>
      <c r="O3182" s="133" t="s">
        <v>1033</v>
      </c>
      <c r="Q3182" s="100" t="s">
        <v>4373</v>
      </c>
      <c r="R3182" s="226" t="s">
        <v>4391</v>
      </c>
      <c r="S3182" s="491">
        <f t="shared" si="103"/>
        <v>4.5138889999999998E-4</v>
      </c>
      <c r="T3182" s="492" t="str">
        <f>IFERROR(VLOOKUP(F3182,'Freq-Chan'!C:D,2,FALSE),"x")</f>
        <v>x</v>
      </c>
      <c r="U3182" s="110" t="s">
        <v>541</v>
      </c>
      <c r="V3182" s="110" t="str">
        <f t="shared" si="104"/>
        <v>FWL</v>
      </c>
      <c r="W3182" s="110" t="s">
        <v>541</v>
      </c>
      <c r="X3182" s="110" t="s">
        <v>541</v>
      </c>
      <c r="Y3182" s="110" t="str">
        <f>IFERROR(VLOOKUP(F3182,'Freq-Chan'!C:E,3,FALSE),"na")</f>
        <v>na</v>
      </c>
      <c r="Z3182" s="110" t="s">
        <v>541</v>
      </c>
      <c r="AA3182" s="110" t="s">
        <v>541</v>
      </c>
      <c r="AB3182" s="110" t="s">
        <v>541</v>
      </c>
      <c r="AC3182" s="10" t="s">
        <v>541</v>
      </c>
      <c r="AD3182" s="10" t="s">
        <v>541</v>
      </c>
    </row>
    <row r="3183" spans="1:30" x14ac:dyDescent="0.2">
      <c r="A3183" s="110">
        <v>3183</v>
      </c>
      <c r="B3183" s="132">
        <v>41872</v>
      </c>
      <c r="C3183" s="117">
        <v>1</v>
      </c>
      <c r="D3183" s="103" t="s">
        <v>72</v>
      </c>
      <c r="E3183" s="103" t="s">
        <v>306</v>
      </c>
      <c r="F3183" s="103">
        <v>266</v>
      </c>
      <c r="G3183" s="103">
        <v>55</v>
      </c>
      <c r="H3183" s="103" t="s">
        <v>3651</v>
      </c>
      <c r="I3183" s="103">
        <v>53</v>
      </c>
      <c r="K3183" s="103" t="s">
        <v>1032</v>
      </c>
      <c r="L3183" s="133"/>
      <c r="M3183" s="134">
        <v>4.2361111111111106E-2</v>
      </c>
      <c r="N3183" s="135" t="s">
        <v>4114</v>
      </c>
      <c r="O3183" s="133" t="s">
        <v>1532</v>
      </c>
      <c r="P3183" s="100" t="s">
        <v>4466</v>
      </c>
      <c r="Q3183" s="100" t="s">
        <v>4375</v>
      </c>
      <c r="R3183" s="226" t="s">
        <v>4391</v>
      </c>
      <c r="S3183" s="491" t="str">
        <f t="shared" si="103"/>
        <v>x</v>
      </c>
      <c r="T3183" s="492">
        <f>IFERROR(VLOOKUP(F3183,'Freq-Chan'!C:D,2,FALSE),"x")</f>
        <v>151.26599999999999</v>
      </c>
      <c r="U3183" s="110" t="s">
        <v>541</v>
      </c>
      <c r="V3183" s="110" t="str">
        <f t="shared" si="104"/>
        <v>FWL</v>
      </c>
      <c r="W3183" s="110" t="s">
        <v>541</v>
      </c>
      <c r="X3183" s="110" t="s">
        <v>541</v>
      </c>
      <c r="Y3183" s="110" t="str">
        <f>IFERROR(VLOOKUP(F3183,'Freq-Chan'!C:E,3,FALSE),"na")</f>
        <v>F1840</v>
      </c>
      <c r="Z3183" s="110" t="s">
        <v>541</v>
      </c>
      <c r="AA3183" s="110" t="s">
        <v>541</v>
      </c>
      <c r="AB3183" s="110" t="s">
        <v>541</v>
      </c>
      <c r="AC3183" s="10" t="s">
        <v>541</v>
      </c>
      <c r="AD3183" s="10" t="s">
        <v>541</v>
      </c>
    </row>
    <row r="3184" spans="1:30" x14ac:dyDescent="0.2">
      <c r="A3184" s="110">
        <v>3184</v>
      </c>
      <c r="B3184" s="132">
        <v>41872</v>
      </c>
      <c r="C3184" s="117">
        <v>1</v>
      </c>
      <c r="D3184" s="103" t="s">
        <v>72</v>
      </c>
      <c r="E3184" s="103" t="s">
        <v>306</v>
      </c>
      <c r="H3184" s="103"/>
      <c r="I3184" s="103">
        <v>52</v>
      </c>
      <c r="K3184" s="103" t="s">
        <v>365</v>
      </c>
      <c r="L3184" s="133"/>
      <c r="M3184" s="134">
        <v>1.1805555555555555E-2</v>
      </c>
      <c r="N3184" s="135" t="s">
        <v>4384</v>
      </c>
      <c r="O3184" s="133" t="s">
        <v>1033</v>
      </c>
      <c r="Q3184" s="100" t="s">
        <v>4376</v>
      </c>
      <c r="R3184" s="226" t="s">
        <v>4391</v>
      </c>
      <c r="S3184" s="491" t="str">
        <f t="shared" si="103"/>
        <v>x</v>
      </c>
      <c r="T3184" s="492" t="str">
        <f>IFERROR(VLOOKUP(F3184,'Freq-Chan'!C:D,2,FALSE),"x")</f>
        <v>x</v>
      </c>
      <c r="U3184" s="110" t="s">
        <v>541</v>
      </c>
      <c r="V3184" s="110" t="str">
        <f t="shared" si="104"/>
        <v>FWL</v>
      </c>
      <c r="W3184" s="110" t="s">
        <v>541</v>
      </c>
      <c r="X3184" s="110" t="s">
        <v>541</v>
      </c>
      <c r="Y3184" s="110" t="str">
        <f>IFERROR(VLOOKUP(F3184,'Freq-Chan'!C:E,3,FALSE),"na")</f>
        <v>na</v>
      </c>
      <c r="Z3184" s="110" t="s">
        <v>541</v>
      </c>
      <c r="AA3184" s="110" t="s">
        <v>541</v>
      </c>
      <c r="AB3184" s="110" t="s">
        <v>541</v>
      </c>
      <c r="AC3184" s="10" t="s">
        <v>541</v>
      </c>
      <c r="AD3184" s="10" t="s">
        <v>541</v>
      </c>
    </row>
    <row r="3185" spans="1:30" x14ac:dyDescent="0.2">
      <c r="A3185" s="110">
        <v>3185</v>
      </c>
      <c r="B3185" s="132">
        <v>41872</v>
      </c>
      <c r="C3185" s="117">
        <v>1</v>
      </c>
      <c r="D3185" s="103" t="s">
        <v>70</v>
      </c>
      <c r="E3185" s="103" t="s">
        <v>306</v>
      </c>
      <c r="H3185" s="103"/>
      <c r="I3185" s="103">
        <v>46</v>
      </c>
      <c r="K3185" s="103" t="s">
        <v>1032</v>
      </c>
      <c r="L3185" s="133"/>
      <c r="M3185" s="134">
        <v>1.1805555555555555E-2</v>
      </c>
      <c r="N3185" s="135" t="s">
        <v>4366</v>
      </c>
      <c r="O3185" s="133" t="s">
        <v>1033</v>
      </c>
      <c r="Q3185" s="100" t="s">
        <v>4376</v>
      </c>
      <c r="R3185" s="226" t="s">
        <v>4391</v>
      </c>
      <c r="S3185" s="491" t="str">
        <f t="shared" si="103"/>
        <v>x</v>
      </c>
      <c r="T3185" s="492" t="str">
        <f>IFERROR(VLOOKUP(F3185,'Freq-Chan'!C:D,2,FALSE),"x")</f>
        <v>x</v>
      </c>
      <c r="U3185" s="110" t="s">
        <v>541</v>
      </c>
      <c r="V3185" s="110" t="str">
        <f t="shared" si="104"/>
        <v>FWL</v>
      </c>
      <c r="W3185" s="110" t="s">
        <v>541</v>
      </c>
      <c r="X3185" s="110" t="s">
        <v>541</v>
      </c>
      <c r="Y3185" s="110" t="str">
        <f>IFERROR(VLOOKUP(F3185,'Freq-Chan'!C:E,3,FALSE),"na")</f>
        <v>na</v>
      </c>
      <c r="Z3185" s="110" t="s">
        <v>541</v>
      </c>
      <c r="AA3185" s="110" t="s">
        <v>541</v>
      </c>
      <c r="AB3185" s="110" t="s">
        <v>541</v>
      </c>
      <c r="AC3185" s="10" t="s">
        <v>541</v>
      </c>
      <c r="AD3185" s="10" t="s">
        <v>541</v>
      </c>
    </row>
    <row r="3186" spans="1:30" s="291" customFormat="1" x14ac:dyDescent="0.2">
      <c r="A3186" s="493">
        <v>3186</v>
      </c>
      <c r="B3186" s="283">
        <v>41872</v>
      </c>
      <c r="C3186" s="284">
        <v>1</v>
      </c>
      <c r="D3186" s="285" t="s">
        <v>72</v>
      </c>
      <c r="E3186" s="285" t="s">
        <v>306</v>
      </c>
      <c r="F3186" s="285"/>
      <c r="G3186" s="285"/>
      <c r="H3186" s="285"/>
      <c r="I3186" s="285">
        <v>55</v>
      </c>
      <c r="J3186" s="285"/>
      <c r="K3186" s="285" t="s">
        <v>1032</v>
      </c>
      <c r="L3186" s="286"/>
      <c r="M3186" s="287">
        <v>1.3194444444444444E-2</v>
      </c>
      <c r="N3186" s="288" t="s">
        <v>2056</v>
      </c>
      <c r="O3186" s="286" t="s">
        <v>1033</v>
      </c>
      <c r="P3186" s="289"/>
      <c r="Q3186" s="289" t="s">
        <v>4376</v>
      </c>
      <c r="R3186" s="290" t="s">
        <v>4391</v>
      </c>
      <c r="S3186" s="494" t="str">
        <f t="shared" ref="S3186:S3249" si="105">IF(IF(OR(L3186=0,N3186=0),"x",ROUND(N3186-L3186-(M3186*24)/(24*60),10))&lt;0,0,IF(OR(L3186=0,N3186=0),"x",ROUND(N3186-L3186-(M3186*24)/(24*60),10)))</f>
        <v>x</v>
      </c>
      <c r="T3186" s="495" t="str">
        <f>IFERROR(VLOOKUP(F3186,'Freq-Chan'!C:D,2,FALSE),"x")</f>
        <v>x</v>
      </c>
      <c r="U3186" s="493" t="s">
        <v>541</v>
      </c>
      <c r="V3186" s="493" t="str">
        <f t="shared" ref="V3186:V3249" si="106">IF(OR(C3186=1,C3186=2,C3186=3),"FWL","NRD")</f>
        <v>FWL</v>
      </c>
      <c r="W3186" s="493" t="s">
        <v>541</v>
      </c>
      <c r="X3186" s="493" t="s">
        <v>541</v>
      </c>
      <c r="Y3186" s="493" t="str">
        <f>IFERROR(VLOOKUP(F3186,'Freq-Chan'!C:E,3,FALSE),"na")</f>
        <v>na</v>
      </c>
      <c r="Z3186" s="493" t="s">
        <v>541</v>
      </c>
      <c r="AA3186" s="493" t="s">
        <v>541</v>
      </c>
      <c r="AB3186" s="493" t="s">
        <v>541</v>
      </c>
      <c r="AC3186" s="291" t="s">
        <v>541</v>
      </c>
      <c r="AD3186" s="291" t="s">
        <v>541</v>
      </c>
    </row>
    <row r="3187" spans="1:30" x14ac:dyDescent="0.2">
      <c r="A3187" s="110">
        <v>3187</v>
      </c>
      <c r="B3187" s="132">
        <v>41872</v>
      </c>
      <c r="C3187" s="117">
        <v>2</v>
      </c>
      <c r="D3187" s="103" t="s">
        <v>71</v>
      </c>
      <c r="E3187" s="103" t="s">
        <v>306</v>
      </c>
      <c r="H3187" s="103"/>
      <c r="I3187" s="103">
        <v>62</v>
      </c>
      <c r="K3187" s="103" t="s">
        <v>1032</v>
      </c>
      <c r="L3187" s="133"/>
      <c r="M3187" s="134">
        <v>2.8472222222222222E-2</v>
      </c>
      <c r="N3187" s="135" t="s">
        <v>2689</v>
      </c>
      <c r="O3187" s="133" t="s">
        <v>1532</v>
      </c>
      <c r="Q3187" s="100" t="s">
        <v>4371</v>
      </c>
      <c r="R3187" s="226" t="s">
        <v>4391</v>
      </c>
      <c r="S3187" s="491" t="str">
        <f t="shared" si="105"/>
        <v>x</v>
      </c>
      <c r="T3187" s="492" t="str">
        <f>IFERROR(VLOOKUP(F3187,'Freq-Chan'!C:D,2,FALSE),"x")</f>
        <v>x</v>
      </c>
      <c r="U3187" s="110" t="s">
        <v>541</v>
      </c>
      <c r="V3187" s="110" t="str">
        <f t="shared" si="106"/>
        <v>FWL</v>
      </c>
      <c r="W3187" s="110" t="s">
        <v>541</v>
      </c>
      <c r="X3187" s="110" t="s">
        <v>541</v>
      </c>
      <c r="Y3187" s="110" t="str">
        <f>IFERROR(VLOOKUP(F3187,'Freq-Chan'!C:E,3,FALSE),"na")</f>
        <v>na</v>
      </c>
      <c r="Z3187" s="110" t="s">
        <v>541</v>
      </c>
      <c r="AA3187" s="110" t="s">
        <v>541</v>
      </c>
      <c r="AB3187" s="110" t="s">
        <v>541</v>
      </c>
      <c r="AC3187" s="10" t="s">
        <v>541</v>
      </c>
      <c r="AD3187" s="10" t="s">
        <v>541</v>
      </c>
    </row>
    <row r="3188" spans="1:30" x14ac:dyDescent="0.2">
      <c r="A3188" s="110">
        <v>3188</v>
      </c>
      <c r="B3188" s="132">
        <v>41872</v>
      </c>
      <c r="C3188" s="117">
        <v>2</v>
      </c>
      <c r="D3188" s="103" t="s">
        <v>71</v>
      </c>
      <c r="E3188" s="103" t="s">
        <v>306</v>
      </c>
      <c r="F3188" s="103">
        <v>564</v>
      </c>
      <c r="G3188" s="103">
        <v>70</v>
      </c>
      <c r="H3188" s="103" t="s">
        <v>2476</v>
      </c>
      <c r="I3188" s="103">
        <v>55</v>
      </c>
      <c r="K3188" s="103" t="s">
        <v>365</v>
      </c>
      <c r="L3188" s="133"/>
      <c r="M3188" s="134">
        <v>3.6111111111111115E-2</v>
      </c>
      <c r="N3188" s="135" t="s">
        <v>2691</v>
      </c>
      <c r="O3188" s="133" t="s">
        <v>1532</v>
      </c>
      <c r="Q3188" s="100" t="s">
        <v>4371</v>
      </c>
      <c r="R3188" s="226" t="s">
        <v>4391</v>
      </c>
      <c r="S3188" s="491" t="str">
        <f t="shared" si="105"/>
        <v>x</v>
      </c>
      <c r="T3188" s="492">
        <f>IFERROR(VLOOKUP(F3188,'Freq-Chan'!C:D,2,FALSE),"x")</f>
        <v>151.56399999999999</v>
      </c>
      <c r="U3188" s="110" t="s">
        <v>541</v>
      </c>
      <c r="V3188" s="110" t="str">
        <f t="shared" si="106"/>
        <v>FWL</v>
      </c>
      <c r="W3188" s="110" t="s">
        <v>541</v>
      </c>
      <c r="X3188" s="110" t="s">
        <v>541</v>
      </c>
      <c r="Y3188" s="110" t="str">
        <f>IFERROR(VLOOKUP(F3188,'Freq-Chan'!C:E,3,FALSE),"na")</f>
        <v>F1840</v>
      </c>
      <c r="Z3188" s="110" t="s">
        <v>541</v>
      </c>
      <c r="AA3188" s="110" t="s">
        <v>541</v>
      </c>
      <c r="AB3188" s="110" t="s">
        <v>541</v>
      </c>
      <c r="AC3188" s="10" t="s">
        <v>541</v>
      </c>
      <c r="AD3188" s="10" t="s">
        <v>541</v>
      </c>
    </row>
    <row r="3189" spans="1:30" x14ac:dyDescent="0.2">
      <c r="A3189" s="110">
        <v>3189</v>
      </c>
      <c r="B3189" s="132">
        <v>41872</v>
      </c>
      <c r="C3189" s="117">
        <v>2</v>
      </c>
      <c r="D3189" s="142" t="s">
        <v>71</v>
      </c>
      <c r="E3189" s="142" t="s">
        <v>306</v>
      </c>
      <c r="H3189" s="103"/>
      <c r="I3189" s="103">
        <v>56</v>
      </c>
      <c r="K3189" s="142" t="s">
        <v>365</v>
      </c>
      <c r="L3189" s="133"/>
      <c r="M3189" s="134">
        <v>1.4583333333333332E-2</v>
      </c>
      <c r="N3189" s="143" t="s">
        <v>3837</v>
      </c>
      <c r="O3189" s="144" t="s">
        <v>1532</v>
      </c>
      <c r="Q3189" s="100" t="s">
        <v>4371</v>
      </c>
      <c r="R3189" s="226" t="s">
        <v>4391</v>
      </c>
      <c r="S3189" s="491" t="str">
        <f t="shared" si="105"/>
        <v>x</v>
      </c>
      <c r="T3189" s="492" t="str">
        <f>IFERROR(VLOOKUP(F3189,'Freq-Chan'!C:D,2,FALSE),"x")</f>
        <v>x</v>
      </c>
      <c r="U3189" s="110" t="s">
        <v>541</v>
      </c>
      <c r="V3189" s="110" t="str">
        <f t="shared" si="106"/>
        <v>FWL</v>
      </c>
      <c r="W3189" s="110" t="s">
        <v>541</v>
      </c>
      <c r="X3189" s="110" t="s">
        <v>541</v>
      </c>
      <c r="Y3189" s="110" t="str">
        <f>IFERROR(VLOOKUP(F3189,'Freq-Chan'!C:E,3,FALSE),"na")</f>
        <v>na</v>
      </c>
      <c r="Z3189" s="110" t="s">
        <v>541</v>
      </c>
      <c r="AA3189" s="110" t="s">
        <v>541</v>
      </c>
      <c r="AB3189" s="110" t="s">
        <v>541</v>
      </c>
      <c r="AC3189" s="10" t="s">
        <v>541</v>
      </c>
      <c r="AD3189" s="10" t="s">
        <v>541</v>
      </c>
    </row>
    <row r="3190" spans="1:30" x14ac:dyDescent="0.2">
      <c r="A3190" s="110">
        <v>3190</v>
      </c>
      <c r="B3190" s="132">
        <v>41872</v>
      </c>
      <c r="C3190" s="117">
        <v>2</v>
      </c>
      <c r="D3190" s="142" t="s">
        <v>71</v>
      </c>
      <c r="E3190" s="142" t="s">
        <v>306</v>
      </c>
      <c r="H3190" s="103"/>
      <c r="I3190" s="103">
        <v>55</v>
      </c>
      <c r="K3190" s="142" t="s">
        <v>365</v>
      </c>
      <c r="L3190" s="133"/>
      <c r="M3190" s="134">
        <v>1.5277777777777777E-2</v>
      </c>
      <c r="N3190" s="135" t="s">
        <v>3980</v>
      </c>
      <c r="O3190" s="144" t="s">
        <v>1532</v>
      </c>
      <c r="Q3190" s="100" t="s">
        <v>4371</v>
      </c>
      <c r="R3190" s="226" t="s">
        <v>4391</v>
      </c>
      <c r="S3190" s="491" t="str">
        <f t="shared" si="105"/>
        <v>x</v>
      </c>
      <c r="T3190" s="492" t="str">
        <f>IFERROR(VLOOKUP(F3190,'Freq-Chan'!C:D,2,FALSE),"x")</f>
        <v>x</v>
      </c>
      <c r="U3190" s="110" t="s">
        <v>541</v>
      </c>
      <c r="V3190" s="110" t="str">
        <f t="shared" si="106"/>
        <v>FWL</v>
      </c>
      <c r="W3190" s="110" t="s">
        <v>541</v>
      </c>
      <c r="X3190" s="110" t="s">
        <v>541</v>
      </c>
      <c r="Y3190" s="110" t="str">
        <f>IFERROR(VLOOKUP(F3190,'Freq-Chan'!C:E,3,FALSE),"na")</f>
        <v>na</v>
      </c>
      <c r="Z3190" s="110" t="s">
        <v>541</v>
      </c>
      <c r="AA3190" s="110" t="s">
        <v>541</v>
      </c>
      <c r="AB3190" s="110" t="s">
        <v>541</v>
      </c>
      <c r="AC3190" s="10" t="s">
        <v>541</v>
      </c>
      <c r="AD3190" s="10" t="s">
        <v>541</v>
      </c>
    </row>
    <row r="3191" spans="1:30" x14ac:dyDescent="0.2">
      <c r="A3191" s="110">
        <v>3191</v>
      </c>
      <c r="B3191" s="132">
        <v>41872</v>
      </c>
      <c r="C3191" s="117">
        <v>2</v>
      </c>
      <c r="D3191" s="142" t="s">
        <v>71</v>
      </c>
      <c r="E3191" s="142" t="s">
        <v>306</v>
      </c>
      <c r="H3191" s="103"/>
      <c r="I3191" s="103">
        <v>56</v>
      </c>
      <c r="K3191" s="142" t="s">
        <v>1032</v>
      </c>
      <c r="L3191" s="133"/>
      <c r="M3191" s="134">
        <v>1.4583333333333332E-2</v>
      </c>
      <c r="N3191" s="135" t="s">
        <v>3801</v>
      </c>
      <c r="O3191" s="144" t="s">
        <v>1532</v>
      </c>
      <c r="Q3191" s="100" t="s">
        <v>4371</v>
      </c>
      <c r="R3191" s="226" t="s">
        <v>4391</v>
      </c>
      <c r="S3191" s="491" t="str">
        <f t="shared" si="105"/>
        <v>x</v>
      </c>
      <c r="T3191" s="492" t="str">
        <f>IFERROR(VLOOKUP(F3191,'Freq-Chan'!C:D,2,FALSE),"x")</f>
        <v>x</v>
      </c>
      <c r="U3191" s="110" t="s">
        <v>541</v>
      </c>
      <c r="V3191" s="110" t="str">
        <f t="shared" si="106"/>
        <v>FWL</v>
      </c>
      <c r="W3191" s="110" t="s">
        <v>541</v>
      </c>
      <c r="X3191" s="110" t="s">
        <v>541</v>
      </c>
      <c r="Y3191" s="110" t="str">
        <f>IFERROR(VLOOKUP(F3191,'Freq-Chan'!C:E,3,FALSE),"na")</f>
        <v>na</v>
      </c>
      <c r="Z3191" s="110" t="s">
        <v>541</v>
      </c>
      <c r="AA3191" s="110" t="s">
        <v>541</v>
      </c>
      <c r="AB3191" s="110" t="s">
        <v>541</v>
      </c>
      <c r="AC3191" s="10" t="s">
        <v>541</v>
      </c>
      <c r="AD3191" s="10" t="s">
        <v>541</v>
      </c>
    </row>
    <row r="3192" spans="1:30" x14ac:dyDescent="0.2">
      <c r="A3192" s="110">
        <v>3192</v>
      </c>
      <c r="B3192" s="132">
        <v>41872</v>
      </c>
      <c r="C3192" s="117">
        <v>2</v>
      </c>
      <c r="D3192" s="142" t="s">
        <v>71</v>
      </c>
      <c r="E3192" s="142" t="s">
        <v>306</v>
      </c>
      <c r="H3192" s="103"/>
      <c r="I3192" s="103">
        <v>66</v>
      </c>
      <c r="K3192" s="142" t="s">
        <v>1032</v>
      </c>
      <c r="L3192" s="133"/>
      <c r="M3192" s="134">
        <v>1.3194444444444444E-2</v>
      </c>
      <c r="N3192" s="135" t="s">
        <v>3355</v>
      </c>
      <c r="O3192" s="144" t="s">
        <v>1532</v>
      </c>
      <c r="Q3192" s="100" t="s">
        <v>4371</v>
      </c>
      <c r="R3192" s="226" t="s">
        <v>4391</v>
      </c>
      <c r="S3192" s="491" t="str">
        <f t="shared" si="105"/>
        <v>x</v>
      </c>
      <c r="T3192" s="492" t="str">
        <f>IFERROR(VLOOKUP(F3192,'Freq-Chan'!C:D,2,FALSE),"x")</f>
        <v>x</v>
      </c>
      <c r="U3192" s="110" t="s">
        <v>541</v>
      </c>
      <c r="V3192" s="110" t="str">
        <f t="shared" si="106"/>
        <v>FWL</v>
      </c>
      <c r="W3192" s="110" t="s">
        <v>541</v>
      </c>
      <c r="X3192" s="110" t="s">
        <v>541</v>
      </c>
      <c r="Y3192" s="110" t="str">
        <f>IFERROR(VLOOKUP(F3192,'Freq-Chan'!C:E,3,FALSE),"na")</f>
        <v>na</v>
      </c>
      <c r="Z3192" s="110" t="s">
        <v>541</v>
      </c>
      <c r="AA3192" s="110" t="s">
        <v>541</v>
      </c>
      <c r="AB3192" s="110" t="s">
        <v>541</v>
      </c>
      <c r="AC3192" s="10" t="s">
        <v>541</v>
      </c>
      <c r="AD3192" s="10" t="s">
        <v>541</v>
      </c>
    </row>
    <row r="3193" spans="1:30" x14ac:dyDescent="0.2">
      <c r="A3193" s="110">
        <v>3193</v>
      </c>
      <c r="B3193" s="132">
        <v>41872</v>
      </c>
      <c r="C3193" s="117">
        <v>2</v>
      </c>
      <c r="D3193" s="142" t="s">
        <v>71</v>
      </c>
      <c r="E3193" s="142" t="s">
        <v>306</v>
      </c>
      <c r="H3193" s="103"/>
      <c r="I3193" s="103">
        <v>48</v>
      </c>
      <c r="K3193" s="142" t="s">
        <v>364</v>
      </c>
      <c r="L3193" s="133"/>
      <c r="M3193" s="134">
        <v>1.3888888888888888E-2</v>
      </c>
      <c r="N3193" s="135" t="s">
        <v>1783</v>
      </c>
      <c r="O3193" s="144" t="s">
        <v>1532</v>
      </c>
      <c r="Q3193" s="100" t="s">
        <v>4371</v>
      </c>
      <c r="R3193" s="226" t="s">
        <v>4391</v>
      </c>
      <c r="S3193" s="491" t="str">
        <f t="shared" si="105"/>
        <v>x</v>
      </c>
      <c r="T3193" s="492" t="str">
        <f>IFERROR(VLOOKUP(F3193,'Freq-Chan'!C:D,2,FALSE),"x")</f>
        <v>x</v>
      </c>
      <c r="U3193" s="110" t="s">
        <v>541</v>
      </c>
      <c r="V3193" s="110" t="str">
        <f t="shared" si="106"/>
        <v>FWL</v>
      </c>
      <c r="W3193" s="110" t="s">
        <v>541</v>
      </c>
      <c r="X3193" s="110" t="s">
        <v>541</v>
      </c>
      <c r="Y3193" s="110" t="str">
        <f>IFERROR(VLOOKUP(F3193,'Freq-Chan'!C:E,3,FALSE),"na")</f>
        <v>na</v>
      </c>
      <c r="Z3193" s="110" t="s">
        <v>541</v>
      </c>
      <c r="AA3193" s="110" t="s">
        <v>541</v>
      </c>
      <c r="AB3193" s="110" t="s">
        <v>541</v>
      </c>
      <c r="AC3193" s="10" t="s">
        <v>541</v>
      </c>
      <c r="AD3193" s="10" t="s">
        <v>541</v>
      </c>
    </row>
    <row r="3194" spans="1:30" x14ac:dyDescent="0.2">
      <c r="A3194" s="110">
        <v>3194</v>
      </c>
      <c r="B3194" s="132">
        <v>41872</v>
      </c>
      <c r="C3194" s="117">
        <v>2</v>
      </c>
      <c r="D3194" s="142" t="s">
        <v>71</v>
      </c>
      <c r="E3194" s="142" t="s">
        <v>306</v>
      </c>
      <c r="H3194" s="103"/>
      <c r="I3194" s="103">
        <v>57</v>
      </c>
      <c r="K3194" s="142" t="s">
        <v>365</v>
      </c>
      <c r="L3194" s="133"/>
      <c r="M3194" s="134">
        <v>1.5277777777777777E-2</v>
      </c>
      <c r="N3194" s="135" t="s">
        <v>3425</v>
      </c>
      <c r="O3194" s="144" t="s">
        <v>1532</v>
      </c>
      <c r="Q3194" s="100" t="s">
        <v>4371</v>
      </c>
      <c r="R3194" s="226" t="s">
        <v>4391</v>
      </c>
      <c r="S3194" s="491" t="str">
        <f t="shared" si="105"/>
        <v>x</v>
      </c>
      <c r="T3194" s="492" t="str">
        <f>IFERROR(VLOOKUP(F3194,'Freq-Chan'!C:D,2,FALSE),"x")</f>
        <v>x</v>
      </c>
      <c r="U3194" s="110" t="s">
        <v>541</v>
      </c>
      <c r="V3194" s="110" t="str">
        <f t="shared" si="106"/>
        <v>FWL</v>
      </c>
      <c r="W3194" s="110" t="s">
        <v>541</v>
      </c>
      <c r="X3194" s="110" t="s">
        <v>541</v>
      </c>
      <c r="Y3194" s="110" t="str">
        <f>IFERROR(VLOOKUP(F3194,'Freq-Chan'!C:E,3,FALSE),"na")</f>
        <v>na</v>
      </c>
      <c r="Z3194" s="110" t="s">
        <v>541</v>
      </c>
      <c r="AA3194" s="110" t="s">
        <v>541</v>
      </c>
      <c r="AB3194" s="110" t="s">
        <v>541</v>
      </c>
      <c r="AC3194" s="10" t="s">
        <v>541</v>
      </c>
      <c r="AD3194" s="10" t="s">
        <v>541</v>
      </c>
    </row>
    <row r="3195" spans="1:30" x14ac:dyDescent="0.2">
      <c r="A3195" s="110">
        <v>3195</v>
      </c>
      <c r="B3195" s="132">
        <v>41872</v>
      </c>
      <c r="C3195" s="117">
        <v>2</v>
      </c>
      <c r="D3195" s="142" t="s">
        <v>71</v>
      </c>
      <c r="E3195" s="142" t="s">
        <v>306</v>
      </c>
      <c r="H3195" s="103"/>
      <c r="I3195" s="103">
        <v>61</v>
      </c>
      <c r="K3195" s="142" t="s">
        <v>1032</v>
      </c>
      <c r="L3195" s="133"/>
      <c r="M3195" s="134">
        <v>1.8749999999999999E-2</v>
      </c>
      <c r="N3195" s="135" t="s">
        <v>2531</v>
      </c>
      <c r="O3195" s="144" t="s">
        <v>1033</v>
      </c>
      <c r="Q3195" s="106" t="s">
        <v>4375</v>
      </c>
      <c r="R3195" s="226" t="s">
        <v>4391</v>
      </c>
      <c r="S3195" s="491" t="str">
        <f t="shared" si="105"/>
        <v>x</v>
      </c>
      <c r="T3195" s="492" t="str">
        <f>IFERROR(VLOOKUP(F3195,'Freq-Chan'!C:D,2,FALSE),"x")</f>
        <v>x</v>
      </c>
      <c r="U3195" s="110" t="s">
        <v>541</v>
      </c>
      <c r="V3195" s="110" t="str">
        <f t="shared" si="106"/>
        <v>FWL</v>
      </c>
      <c r="W3195" s="110" t="s">
        <v>541</v>
      </c>
      <c r="X3195" s="110" t="s">
        <v>541</v>
      </c>
      <c r="Y3195" s="110" t="str">
        <f>IFERROR(VLOOKUP(F3195,'Freq-Chan'!C:E,3,FALSE),"na")</f>
        <v>na</v>
      </c>
      <c r="Z3195" s="110" t="s">
        <v>541</v>
      </c>
      <c r="AA3195" s="110" t="s">
        <v>541</v>
      </c>
      <c r="AB3195" s="110" t="s">
        <v>541</v>
      </c>
      <c r="AC3195" s="10" t="s">
        <v>541</v>
      </c>
      <c r="AD3195" s="10" t="s">
        <v>541</v>
      </c>
    </row>
    <row r="3196" spans="1:30" x14ac:dyDescent="0.2">
      <c r="A3196" s="110">
        <v>3196</v>
      </c>
      <c r="B3196" s="132">
        <v>41872</v>
      </c>
      <c r="C3196" s="117">
        <v>2</v>
      </c>
      <c r="D3196" s="142" t="s">
        <v>8</v>
      </c>
      <c r="E3196" s="142" t="s">
        <v>306</v>
      </c>
      <c r="F3196" s="103">
        <v>573</v>
      </c>
      <c r="G3196" s="103">
        <v>98</v>
      </c>
      <c r="H3196" s="103" t="s">
        <v>2282</v>
      </c>
      <c r="I3196" s="103">
        <v>48</v>
      </c>
      <c r="K3196" s="142" t="s">
        <v>364</v>
      </c>
      <c r="L3196" s="133"/>
      <c r="M3196" s="134">
        <v>3.1944444444444449E-2</v>
      </c>
      <c r="N3196" s="135" t="s">
        <v>841</v>
      </c>
      <c r="O3196" s="144" t="s">
        <v>1033</v>
      </c>
      <c r="P3196" s="106"/>
      <c r="Q3196" s="106" t="s">
        <v>4375</v>
      </c>
      <c r="R3196" s="226" t="s">
        <v>4391</v>
      </c>
      <c r="S3196" s="491" t="str">
        <f t="shared" si="105"/>
        <v>x</v>
      </c>
      <c r="T3196" s="492">
        <f>IFERROR(VLOOKUP(F3196,'Freq-Chan'!C:D,2,FALSE),"x")</f>
        <v>151.57300000000001</v>
      </c>
      <c r="U3196" s="110" t="s">
        <v>541</v>
      </c>
      <c r="V3196" s="110" t="str">
        <f t="shared" si="106"/>
        <v>FWL</v>
      </c>
      <c r="W3196" s="110" t="s">
        <v>541</v>
      </c>
      <c r="X3196" s="110" t="s">
        <v>541</v>
      </c>
      <c r="Y3196" s="110" t="str">
        <f>IFERROR(VLOOKUP(F3196,'Freq-Chan'!C:E,3,FALSE),"na")</f>
        <v>F1840</v>
      </c>
      <c r="Z3196" s="110" t="s">
        <v>541</v>
      </c>
      <c r="AA3196" s="110" t="s">
        <v>541</v>
      </c>
      <c r="AB3196" s="110" t="s">
        <v>541</v>
      </c>
      <c r="AC3196" s="10" t="s">
        <v>541</v>
      </c>
      <c r="AD3196" s="10" t="s">
        <v>541</v>
      </c>
    </row>
    <row r="3197" spans="1:30" x14ac:dyDescent="0.2">
      <c r="A3197" s="110">
        <v>3197</v>
      </c>
      <c r="B3197" s="132">
        <v>41872</v>
      </c>
      <c r="C3197" s="117">
        <v>2</v>
      </c>
      <c r="D3197" s="142" t="s">
        <v>71</v>
      </c>
      <c r="E3197" s="142" t="s">
        <v>306</v>
      </c>
      <c r="H3197" s="142"/>
      <c r="I3197" s="103">
        <v>56</v>
      </c>
      <c r="K3197" s="142" t="s">
        <v>1032</v>
      </c>
      <c r="L3197" s="133"/>
      <c r="M3197" s="134">
        <v>1.9444444444444445E-2</v>
      </c>
      <c r="N3197" s="135" t="s">
        <v>4150</v>
      </c>
      <c r="O3197" s="144" t="s">
        <v>1033</v>
      </c>
      <c r="Q3197" s="106" t="s">
        <v>4375</v>
      </c>
      <c r="R3197" s="226" t="s">
        <v>4391</v>
      </c>
      <c r="S3197" s="491" t="str">
        <f t="shared" si="105"/>
        <v>x</v>
      </c>
      <c r="T3197" s="492" t="str">
        <f>IFERROR(VLOOKUP(F3197,'Freq-Chan'!C:D,2,FALSE),"x")</f>
        <v>x</v>
      </c>
      <c r="U3197" s="110" t="s">
        <v>541</v>
      </c>
      <c r="V3197" s="110" t="str">
        <f t="shared" si="106"/>
        <v>FWL</v>
      </c>
      <c r="W3197" s="110" t="s">
        <v>541</v>
      </c>
      <c r="X3197" s="110" t="s">
        <v>541</v>
      </c>
      <c r="Y3197" s="110" t="str">
        <f>IFERROR(VLOOKUP(F3197,'Freq-Chan'!C:E,3,FALSE),"na")</f>
        <v>na</v>
      </c>
      <c r="Z3197" s="110" t="s">
        <v>541</v>
      </c>
      <c r="AA3197" s="110" t="s">
        <v>541</v>
      </c>
      <c r="AB3197" s="110" t="s">
        <v>541</v>
      </c>
      <c r="AC3197" s="10" t="s">
        <v>541</v>
      </c>
      <c r="AD3197" s="10" t="s">
        <v>541</v>
      </c>
    </row>
    <row r="3198" spans="1:30" x14ac:dyDescent="0.2">
      <c r="A3198" s="110">
        <v>3198</v>
      </c>
      <c r="B3198" s="132">
        <v>41872</v>
      </c>
      <c r="C3198" s="117">
        <v>2</v>
      </c>
      <c r="D3198" s="142" t="s">
        <v>71</v>
      </c>
      <c r="E3198" s="142" t="s">
        <v>306</v>
      </c>
      <c r="H3198" s="103"/>
      <c r="I3198" s="103">
        <v>55</v>
      </c>
      <c r="K3198" s="142" t="s">
        <v>365</v>
      </c>
      <c r="L3198" s="133"/>
      <c r="M3198" s="134">
        <v>1.1805555555555555E-2</v>
      </c>
      <c r="N3198" s="135" t="s">
        <v>1799</v>
      </c>
      <c r="O3198" s="144" t="s">
        <v>1033</v>
      </c>
      <c r="Q3198" s="106" t="s">
        <v>4375</v>
      </c>
      <c r="R3198" s="226" t="s">
        <v>4391</v>
      </c>
      <c r="S3198" s="491" t="str">
        <f t="shared" si="105"/>
        <v>x</v>
      </c>
      <c r="T3198" s="492" t="str">
        <f>IFERROR(VLOOKUP(F3198,'Freq-Chan'!C:D,2,FALSE),"x")</f>
        <v>x</v>
      </c>
      <c r="U3198" s="110" t="s">
        <v>541</v>
      </c>
      <c r="V3198" s="110" t="str">
        <f t="shared" si="106"/>
        <v>FWL</v>
      </c>
      <c r="W3198" s="110" t="s">
        <v>541</v>
      </c>
      <c r="X3198" s="110" t="s">
        <v>541</v>
      </c>
      <c r="Y3198" s="110" t="str">
        <f>IFERROR(VLOOKUP(F3198,'Freq-Chan'!C:E,3,FALSE),"na")</f>
        <v>na</v>
      </c>
      <c r="Z3198" s="110" t="s">
        <v>541</v>
      </c>
      <c r="AA3198" s="110" t="s">
        <v>541</v>
      </c>
      <c r="AB3198" s="110" t="s">
        <v>541</v>
      </c>
      <c r="AC3198" s="10" t="s">
        <v>541</v>
      </c>
      <c r="AD3198" s="10" t="s">
        <v>541</v>
      </c>
    </row>
    <row r="3199" spans="1:30" x14ac:dyDescent="0.2">
      <c r="A3199" s="110">
        <v>3199</v>
      </c>
      <c r="B3199" s="132">
        <v>41872</v>
      </c>
      <c r="C3199" s="117">
        <v>2</v>
      </c>
      <c r="D3199" s="142" t="s">
        <v>71</v>
      </c>
      <c r="E3199" s="142" t="s">
        <v>306</v>
      </c>
      <c r="H3199" s="103"/>
      <c r="I3199" s="103">
        <v>63</v>
      </c>
      <c r="K3199" s="142" t="s">
        <v>365</v>
      </c>
      <c r="L3199" s="133"/>
      <c r="M3199" s="134">
        <v>1.5277777777777777E-2</v>
      </c>
      <c r="N3199" s="135" t="s">
        <v>3287</v>
      </c>
      <c r="O3199" s="144" t="s">
        <v>1033</v>
      </c>
      <c r="Q3199" s="106" t="s">
        <v>4375</v>
      </c>
      <c r="R3199" s="226" t="s">
        <v>4391</v>
      </c>
      <c r="S3199" s="491" t="str">
        <f t="shared" si="105"/>
        <v>x</v>
      </c>
      <c r="T3199" s="492" t="str">
        <f>IFERROR(VLOOKUP(F3199,'Freq-Chan'!C:D,2,FALSE),"x")</f>
        <v>x</v>
      </c>
      <c r="U3199" s="110" t="s">
        <v>541</v>
      </c>
      <c r="V3199" s="110" t="str">
        <f t="shared" si="106"/>
        <v>FWL</v>
      </c>
      <c r="W3199" s="110" t="s">
        <v>541</v>
      </c>
      <c r="X3199" s="110" t="s">
        <v>541</v>
      </c>
      <c r="Y3199" s="110" t="str">
        <f>IFERROR(VLOOKUP(F3199,'Freq-Chan'!C:E,3,FALSE),"na")</f>
        <v>na</v>
      </c>
      <c r="Z3199" s="110" t="s">
        <v>541</v>
      </c>
      <c r="AA3199" s="110" t="s">
        <v>541</v>
      </c>
      <c r="AB3199" s="110" t="s">
        <v>541</v>
      </c>
      <c r="AC3199" s="10" t="s">
        <v>541</v>
      </c>
      <c r="AD3199" s="10" t="s">
        <v>541</v>
      </c>
    </row>
    <row r="3200" spans="1:30" x14ac:dyDescent="0.2">
      <c r="A3200" s="110">
        <v>3200</v>
      </c>
      <c r="B3200" s="132">
        <v>41872</v>
      </c>
      <c r="C3200" s="117">
        <v>2</v>
      </c>
      <c r="D3200" s="142" t="s">
        <v>71</v>
      </c>
      <c r="E3200" s="142" t="s">
        <v>306</v>
      </c>
      <c r="H3200" s="103"/>
      <c r="I3200" s="103">
        <v>56</v>
      </c>
      <c r="K3200" s="142" t="s">
        <v>1032</v>
      </c>
      <c r="L3200" s="133">
        <v>0.62013888888888891</v>
      </c>
      <c r="M3200" s="134">
        <v>2.4305555555555556E-2</v>
      </c>
      <c r="N3200" s="135" t="s">
        <v>2595</v>
      </c>
      <c r="O3200" s="144" t="s">
        <v>1532</v>
      </c>
      <c r="Q3200" s="106" t="s">
        <v>4381</v>
      </c>
      <c r="R3200" s="226" t="s">
        <v>4391</v>
      </c>
      <c r="S3200" s="491">
        <f t="shared" si="105"/>
        <v>2.8935190000000001E-4</v>
      </c>
      <c r="T3200" s="492" t="str">
        <f>IFERROR(VLOOKUP(F3200,'Freq-Chan'!C:D,2,FALSE),"x")</f>
        <v>x</v>
      </c>
      <c r="U3200" s="110" t="s">
        <v>541</v>
      </c>
      <c r="V3200" s="110" t="str">
        <f t="shared" si="106"/>
        <v>FWL</v>
      </c>
      <c r="W3200" s="110" t="s">
        <v>541</v>
      </c>
      <c r="X3200" s="110" t="s">
        <v>541</v>
      </c>
      <c r="Y3200" s="110" t="str">
        <f>IFERROR(VLOOKUP(F3200,'Freq-Chan'!C:E,3,FALSE),"na")</f>
        <v>na</v>
      </c>
      <c r="Z3200" s="110" t="s">
        <v>541</v>
      </c>
      <c r="AA3200" s="110" t="s">
        <v>541</v>
      </c>
      <c r="AB3200" s="110" t="s">
        <v>541</v>
      </c>
      <c r="AC3200" s="10" t="s">
        <v>541</v>
      </c>
      <c r="AD3200" s="10" t="s">
        <v>541</v>
      </c>
    </row>
    <row r="3201" spans="1:30" x14ac:dyDescent="0.2">
      <c r="A3201" s="110">
        <v>3201</v>
      </c>
      <c r="B3201" s="132">
        <v>41872</v>
      </c>
      <c r="C3201" s="117">
        <v>2</v>
      </c>
      <c r="D3201" s="142" t="s">
        <v>71</v>
      </c>
      <c r="E3201" s="142" t="s">
        <v>306</v>
      </c>
      <c r="H3201" s="103"/>
      <c r="I3201" s="103">
        <v>61</v>
      </c>
      <c r="K3201" s="142" t="s">
        <v>1032</v>
      </c>
      <c r="L3201" s="133"/>
      <c r="M3201" s="134">
        <v>1.2499999999999999E-2</v>
      </c>
      <c r="N3201" s="135" t="s">
        <v>1801</v>
      </c>
      <c r="O3201" s="144" t="s">
        <v>376</v>
      </c>
      <c r="Q3201" s="106" t="s">
        <v>4381</v>
      </c>
      <c r="R3201" s="226" t="s">
        <v>4391</v>
      </c>
      <c r="S3201" s="491" t="str">
        <f t="shared" si="105"/>
        <v>x</v>
      </c>
      <c r="T3201" s="492" t="str">
        <f>IFERROR(VLOOKUP(F3201,'Freq-Chan'!C:D,2,FALSE),"x")</f>
        <v>x</v>
      </c>
      <c r="U3201" s="110" t="s">
        <v>541</v>
      </c>
      <c r="V3201" s="110" t="str">
        <f t="shared" si="106"/>
        <v>FWL</v>
      </c>
      <c r="W3201" s="110" t="s">
        <v>541</v>
      </c>
      <c r="X3201" s="110" t="s">
        <v>541</v>
      </c>
      <c r="Y3201" s="110" t="str">
        <f>IFERROR(VLOOKUP(F3201,'Freq-Chan'!C:E,3,FALSE),"na")</f>
        <v>na</v>
      </c>
      <c r="Z3201" s="110" t="s">
        <v>541</v>
      </c>
      <c r="AA3201" s="110" t="s">
        <v>541</v>
      </c>
      <c r="AB3201" s="110" t="s">
        <v>541</v>
      </c>
      <c r="AC3201" s="10" t="s">
        <v>541</v>
      </c>
      <c r="AD3201" s="10" t="s">
        <v>541</v>
      </c>
    </row>
    <row r="3202" spans="1:30" s="291" customFormat="1" x14ac:dyDescent="0.2">
      <c r="A3202" s="493">
        <v>3202</v>
      </c>
      <c r="B3202" s="283">
        <v>41872</v>
      </c>
      <c r="C3202" s="284">
        <v>2</v>
      </c>
      <c r="D3202" s="396" t="s">
        <v>71</v>
      </c>
      <c r="E3202" s="396" t="s">
        <v>306</v>
      </c>
      <c r="F3202" s="285"/>
      <c r="G3202" s="285"/>
      <c r="H3202" s="285"/>
      <c r="I3202" s="285">
        <v>63</v>
      </c>
      <c r="J3202" s="285"/>
      <c r="K3202" s="396" t="s">
        <v>1032</v>
      </c>
      <c r="L3202" s="286">
        <v>0.67222222222222217</v>
      </c>
      <c r="M3202" s="287">
        <v>1.6666666666666666E-2</v>
      </c>
      <c r="N3202" s="288" t="s">
        <v>4088</v>
      </c>
      <c r="O3202" s="397" t="s">
        <v>376</v>
      </c>
      <c r="P3202" s="289"/>
      <c r="Q3202" s="395" t="s">
        <v>4381</v>
      </c>
      <c r="R3202" s="290" t="s">
        <v>4391</v>
      </c>
      <c r="S3202" s="494">
        <f t="shared" si="105"/>
        <v>4.1666670000000002E-4</v>
      </c>
      <c r="T3202" s="495" t="str">
        <f>IFERROR(VLOOKUP(F3202,'Freq-Chan'!C:D,2,FALSE),"x")</f>
        <v>x</v>
      </c>
      <c r="U3202" s="493" t="s">
        <v>541</v>
      </c>
      <c r="V3202" s="493" t="str">
        <f t="shared" si="106"/>
        <v>FWL</v>
      </c>
      <c r="W3202" s="493" t="s">
        <v>541</v>
      </c>
      <c r="X3202" s="493" t="s">
        <v>541</v>
      </c>
      <c r="Y3202" s="493" t="str">
        <f>IFERROR(VLOOKUP(F3202,'Freq-Chan'!C:E,3,FALSE),"na")</f>
        <v>na</v>
      </c>
      <c r="Z3202" s="493" t="s">
        <v>541</v>
      </c>
      <c r="AA3202" s="493" t="s">
        <v>541</v>
      </c>
      <c r="AB3202" s="493" t="s">
        <v>541</v>
      </c>
      <c r="AC3202" s="291" t="s">
        <v>541</v>
      </c>
      <c r="AD3202" s="291" t="s">
        <v>541</v>
      </c>
    </row>
    <row r="3203" spans="1:30" x14ac:dyDescent="0.2">
      <c r="A3203" s="110">
        <v>3203</v>
      </c>
      <c r="B3203" s="132">
        <v>41872</v>
      </c>
      <c r="C3203" s="117">
        <v>3</v>
      </c>
      <c r="D3203" s="142" t="s">
        <v>71</v>
      </c>
      <c r="E3203" s="142" t="s">
        <v>306</v>
      </c>
      <c r="F3203" s="103">
        <v>564</v>
      </c>
      <c r="G3203" s="103">
        <v>42</v>
      </c>
      <c r="H3203" s="103" t="s">
        <v>2473</v>
      </c>
      <c r="I3203" s="103">
        <v>55</v>
      </c>
      <c r="K3203" s="142" t="s">
        <v>365</v>
      </c>
      <c r="L3203" s="133">
        <v>0.33888888888888885</v>
      </c>
      <c r="M3203" s="134">
        <v>2.8472222222222222E-2</v>
      </c>
      <c r="N3203" s="143" t="s">
        <v>3836</v>
      </c>
      <c r="O3203" s="144" t="s">
        <v>1033</v>
      </c>
      <c r="Q3203" s="106" t="s">
        <v>4373</v>
      </c>
      <c r="R3203" s="226" t="s">
        <v>4391</v>
      </c>
      <c r="S3203" s="491">
        <f t="shared" si="105"/>
        <v>2.9976852E-3</v>
      </c>
      <c r="T3203" s="492">
        <f>IFERROR(VLOOKUP(F3203,'Freq-Chan'!C:D,2,FALSE),"x")</f>
        <v>151.56399999999999</v>
      </c>
      <c r="U3203" s="110" t="s">
        <v>541</v>
      </c>
      <c r="V3203" s="110" t="str">
        <f t="shared" si="106"/>
        <v>FWL</v>
      </c>
      <c r="W3203" s="110" t="s">
        <v>541</v>
      </c>
      <c r="X3203" s="110" t="s">
        <v>541</v>
      </c>
      <c r="Y3203" s="110" t="str">
        <f>IFERROR(VLOOKUP(F3203,'Freq-Chan'!C:E,3,FALSE),"na")</f>
        <v>F1840</v>
      </c>
      <c r="Z3203" s="110" t="s">
        <v>541</v>
      </c>
      <c r="AA3203" s="110" t="s">
        <v>541</v>
      </c>
      <c r="AB3203" s="110" t="s">
        <v>541</v>
      </c>
      <c r="AC3203" s="10" t="s">
        <v>541</v>
      </c>
      <c r="AD3203" s="10" t="s">
        <v>541</v>
      </c>
    </row>
    <row r="3204" spans="1:30" x14ac:dyDescent="0.2">
      <c r="A3204" s="110">
        <v>3204</v>
      </c>
      <c r="B3204" s="132">
        <v>41872</v>
      </c>
      <c r="C3204" s="117">
        <v>3</v>
      </c>
      <c r="D3204" s="142" t="s">
        <v>70</v>
      </c>
      <c r="E3204" s="142" t="s">
        <v>306</v>
      </c>
      <c r="H3204" s="142"/>
      <c r="I3204" s="103">
        <v>44</v>
      </c>
      <c r="K3204" s="142" t="s">
        <v>365</v>
      </c>
      <c r="L3204" s="133">
        <v>0.36805555555555558</v>
      </c>
      <c r="M3204" s="134">
        <v>1.0416666666666666E-2</v>
      </c>
      <c r="N3204" s="143" t="s">
        <v>3769</v>
      </c>
      <c r="O3204" s="144" t="s">
        <v>1538</v>
      </c>
      <c r="Q3204" s="106" t="s">
        <v>4373</v>
      </c>
      <c r="R3204" s="226" t="s">
        <v>4391</v>
      </c>
      <c r="S3204" s="491">
        <f t="shared" si="105"/>
        <v>6.0763889000000001E-3</v>
      </c>
      <c r="T3204" s="492" t="str">
        <f>IFERROR(VLOOKUP(F3204,'Freq-Chan'!C:D,2,FALSE),"x")</f>
        <v>x</v>
      </c>
      <c r="U3204" s="110" t="s">
        <v>541</v>
      </c>
      <c r="V3204" s="110" t="str">
        <f t="shared" si="106"/>
        <v>FWL</v>
      </c>
      <c r="W3204" s="110" t="s">
        <v>541</v>
      </c>
      <c r="X3204" s="110" t="s">
        <v>541</v>
      </c>
      <c r="Y3204" s="110" t="str">
        <f>IFERROR(VLOOKUP(F3204,'Freq-Chan'!C:E,3,FALSE),"na")</f>
        <v>na</v>
      </c>
      <c r="Z3204" s="110" t="s">
        <v>541</v>
      </c>
      <c r="AA3204" s="110" t="s">
        <v>541</v>
      </c>
      <c r="AB3204" s="110" t="s">
        <v>541</v>
      </c>
      <c r="AC3204" s="10" t="s">
        <v>541</v>
      </c>
      <c r="AD3204" s="10" t="s">
        <v>541</v>
      </c>
    </row>
    <row r="3205" spans="1:30" x14ac:dyDescent="0.2">
      <c r="A3205" s="110">
        <v>3205</v>
      </c>
      <c r="B3205" s="132">
        <v>41872</v>
      </c>
      <c r="C3205" s="117">
        <v>3</v>
      </c>
      <c r="D3205" s="142" t="s">
        <v>72</v>
      </c>
      <c r="E3205" s="142" t="s">
        <v>306</v>
      </c>
      <c r="F3205" s="103">
        <v>266</v>
      </c>
      <c r="G3205" s="103">
        <v>69</v>
      </c>
      <c r="H3205" s="142" t="s">
        <v>3638</v>
      </c>
      <c r="I3205" s="103">
        <v>48</v>
      </c>
      <c r="K3205" s="142" t="s">
        <v>365</v>
      </c>
      <c r="L3205" s="133">
        <v>0.37638888888888888</v>
      </c>
      <c r="M3205" s="134">
        <v>2.2916666666666669E-2</v>
      </c>
      <c r="N3205" s="143" t="s">
        <v>3715</v>
      </c>
      <c r="O3205" s="144" t="s">
        <v>1538</v>
      </c>
      <c r="P3205" s="100" t="s">
        <v>4466</v>
      </c>
      <c r="Q3205" s="106" t="s">
        <v>4373</v>
      </c>
      <c r="R3205" s="226" t="s">
        <v>4391</v>
      </c>
      <c r="S3205" s="491">
        <f t="shared" si="105"/>
        <v>4.4791667000000004E-3</v>
      </c>
      <c r="T3205" s="492">
        <f>IFERROR(VLOOKUP(F3205,'Freq-Chan'!C:D,2,FALSE),"x")</f>
        <v>151.26599999999999</v>
      </c>
      <c r="U3205" s="110" t="s">
        <v>541</v>
      </c>
      <c r="V3205" s="110" t="str">
        <f t="shared" si="106"/>
        <v>FWL</v>
      </c>
      <c r="W3205" s="110" t="s">
        <v>541</v>
      </c>
      <c r="X3205" s="110" t="s">
        <v>541</v>
      </c>
      <c r="Y3205" s="110" t="str">
        <f>IFERROR(VLOOKUP(F3205,'Freq-Chan'!C:E,3,FALSE),"na")</f>
        <v>F1840</v>
      </c>
      <c r="Z3205" s="110" t="s">
        <v>541</v>
      </c>
      <c r="AA3205" s="110" t="s">
        <v>541</v>
      </c>
      <c r="AB3205" s="110" t="s">
        <v>541</v>
      </c>
      <c r="AC3205" s="10" t="s">
        <v>541</v>
      </c>
      <c r="AD3205" s="10" t="s">
        <v>541</v>
      </c>
    </row>
    <row r="3206" spans="1:30" x14ac:dyDescent="0.2">
      <c r="A3206" s="110">
        <v>3206</v>
      </c>
      <c r="B3206" s="132">
        <v>41872</v>
      </c>
      <c r="C3206" s="117">
        <v>3</v>
      </c>
      <c r="D3206" s="142" t="s">
        <v>72</v>
      </c>
      <c r="E3206" s="142" t="s">
        <v>306</v>
      </c>
      <c r="H3206" s="103"/>
      <c r="I3206" s="103">
        <v>60</v>
      </c>
      <c r="K3206" s="142" t="s">
        <v>1032</v>
      </c>
      <c r="L3206" s="133">
        <v>0.40347222222222223</v>
      </c>
      <c r="M3206" s="134">
        <v>1.4583333333333332E-2</v>
      </c>
      <c r="N3206" s="135" t="s">
        <v>2718</v>
      </c>
      <c r="O3206" s="144" t="s">
        <v>1538</v>
      </c>
      <c r="P3206" s="100" t="s">
        <v>4387</v>
      </c>
      <c r="Q3206" s="106" t="s">
        <v>4373</v>
      </c>
      <c r="R3206" s="226" t="s">
        <v>4391</v>
      </c>
      <c r="S3206" s="491">
        <f t="shared" si="105"/>
        <v>4.6180555999999996E-3</v>
      </c>
      <c r="T3206" s="492" t="str">
        <f>IFERROR(VLOOKUP(F3206,'Freq-Chan'!C:D,2,FALSE),"x")</f>
        <v>x</v>
      </c>
      <c r="U3206" s="110" t="s">
        <v>541</v>
      </c>
      <c r="V3206" s="110" t="str">
        <f t="shared" si="106"/>
        <v>FWL</v>
      </c>
      <c r="W3206" s="110" t="s">
        <v>541</v>
      </c>
      <c r="X3206" s="110" t="s">
        <v>541</v>
      </c>
      <c r="Y3206" s="110" t="str">
        <f>IFERROR(VLOOKUP(F3206,'Freq-Chan'!C:E,3,FALSE),"na")</f>
        <v>na</v>
      </c>
      <c r="Z3206" s="110" t="s">
        <v>541</v>
      </c>
      <c r="AA3206" s="110" t="s">
        <v>541</v>
      </c>
      <c r="AB3206" s="110" t="s">
        <v>541</v>
      </c>
      <c r="AC3206" s="10" t="s">
        <v>541</v>
      </c>
      <c r="AD3206" s="10" t="s">
        <v>541</v>
      </c>
    </row>
    <row r="3207" spans="1:30" x14ac:dyDescent="0.2">
      <c r="A3207" s="110">
        <v>3207</v>
      </c>
      <c r="B3207" s="132">
        <v>41872</v>
      </c>
      <c r="C3207" s="117">
        <v>3</v>
      </c>
      <c r="D3207" s="142" t="s">
        <v>71</v>
      </c>
      <c r="E3207" s="142" t="s">
        <v>306</v>
      </c>
      <c r="H3207" s="103"/>
      <c r="I3207" s="103">
        <v>60</v>
      </c>
      <c r="K3207" s="142" t="s">
        <v>1032</v>
      </c>
      <c r="L3207" s="133"/>
      <c r="M3207" s="134">
        <v>1.5972222222222224E-2</v>
      </c>
      <c r="N3207" s="135" t="s">
        <v>890</v>
      </c>
      <c r="O3207" s="144" t="s">
        <v>1538</v>
      </c>
      <c r="Q3207" s="106" t="s">
        <v>4373</v>
      </c>
      <c r="R3207" s="226" t="s">
        <v>4391</v>
      </c>
      <c r="S3207" s="491" t="str">
        <f t="shared" si="105"/>
        <v>x</v>
      </c>
      <c r="T3207" s="492" t="str">
        <f>IFERROR(VLOOKUP(F3207,'Freq-Chan'!C:D,2,FALSE),"x")</f>
        <v>x</v>
      </c>
      <c r="U3207" s="110" t="s">
        <v>541</v>
      </c>
      <c r="V3207" s="110" t="str">
        <f t="shared" si="106"/>
        <v>FWL</v>
      </c>
      <c r="W3207" s="110" t="s">
        <v>541</v>
      </c>
      <c r="X3207" s="110" t="s">
        <v>541</v>
      </c>
      <c r="Y3207" s="110" t="str">
        <f>IFERROR(VLOOKUP(F3207,'Freq-Chan'!C:E,3,FALSE),"na")</f>
        <v>na</v>
      </c>
      <c r="Z3207" s="110" t="s">
        <v>541</v>
      </c>
      <c r="AA3207" s="110" t="s">
        <v>541</v>
      </c>
      <c r="AB3207" s="110" t="s">
        <v>541</v>
      </c>
      <c r="AC3207" s="10" t="s">
        <v>541</v>
      </c>
      <c r="AD3207" s="10" t="s">
        <v>541</v>
      </c>
    </row>
    <row r="3208" spans="1:30" x14ac:dyDescent="0.2">
      <c r="A3208" s="110">
        <v>3208</v>
      </c>
      <c r="B3208" s="132">
        <v>41872</v>
      </c>
      <c r="C3208" s="117">
        <v>3</v>
      </c>
      <c r="D3208" s="142" t="s">
        <v>97</v>
      </c>
      <c r="E3208" s="142" t="s">
        <v>798</v>
      </c>
      <c r="H3208" s="103"/>
      <c r="J3208" s="103">
        <v>13</v>
      </c>
      <c r="K3208" s="142" t="s">
        <v>364</v>
      </c>
      <c r="L3208" s="133"/>
      <c r="M3208" s="134">
        <v>2.4305555555555556E-2</v>
      </c>
      <c r="N3208" s="135" t="s">
        <v>763</v>
      </c>
      <c r="O3208" s="144" t="s">
        <v>1538</v>
      </c>
      <c r="Q3208" s="106" t="s">
        <v>4373</v>
      </c>
      <c r="R3208" s="226" t="s">
        <v>4391</v>
      </c>
      <c r="S3208" s="491" t="str">
        <f t="shared" si="105"/>
        <v>x</v>
      </c>
      <c r="T3208" s="492" t="str">
        <f>IFERROR(VLOOKUP(F3208,'Freq-Chan'!C:D,2,FALSE),"x")</f>
        <v>x</v>
      </c>
      <c r="U3208" s="110" t="s">
        <v>541</v>
      </c>
      <c r="V3208" s="110" t="str">
        <f t="shared" si="106"/>
        <v>FWL</v>
      </c>
      <c r="W3208" s="110" t="s">
        <v>541</v>
      </c>
      <c r="X3208" s="110" t="s">
        <v>541</v>
      </c>
      <c r="Y3208" s="110" t="str">
        <f>IFERROR(VLOOKUP(F3208,'Freq-Chan'!C:E,3,FALSE),"na")</f>
        <v>na</v>
      </c>
      <c r="Z3208" s="110" t="s">
        <v>541</v>
      </c>
      <c r="AA3208" s="110" t="s">
        <v>541</v>
      </c>
      <c r="AB3208" s="110" t="s">
        <v>541</v>
      </c>
      <c r="AC3208" s="10" t="s">
        <v>541</v>
      </c>
      <c r="AD3208" s="10" t="s">
        <v>541</v>
      </c>
    </row>
    <row r="3209" spans="1:30" x14ac:dyDescent="0.2">
      <c r="A3209" s="110">
        <v>3209</v>
      </c>
      <c r="B3209" s="132">
        <v>41872</v>
      </c>
      <c r="C3209" s="117">
        <v>3</v>
      </c>
      <c r="D3209" s="142" t="s">
        <v>71</v>
      </c>
      <c r="E3209" s="142" t="s">
        <v>306</v>
      </c>
      <c r="H3209" s="142"/>
      <c r="I3209" s="103">
        <v>52</v>
      </c>
      <c r="K3209" s="142" t="s">
        <v>1032</v>
      </c>
      <c r="L3209" s="133"/>
      <c r="M3209" s="134">
        <v>1.4583333333333332E-2</v>
      </c>
      <c r="N3209" s="143" t="s">
        <v>2017</v>
      </c>
      <c r="O3209" s="144" t="s">
        <v>1538</v>
      </c>
      <c r="Q3209" s="106" t="s">
        <v>4373</v>
      </c>
      <c r="R3209" s="226" t="s">
        <v>4391</v>
      </c>
      <c r="S3209" s="491" t="str">
        <f t="shared" si="105"/>
        <v>x</v>
      </c>
      <c r="T3209" s="492" t="str">
        <f>IFERROR(VLOOKUP(F3209,'Freq-Chan'!C:D,2,FALSE),"x")</f>
        <v>x</v>
      </c>
      <c r="U3209" s="110" t="s">
        <v>541</v>
      </c>
      <c r="V3209" s="110" t="str">
        <f t="shared" si="106"/>
        <v>FWL</v>
      </c>
      <c r="W3209" s="110" t="s">
        <v>541</v>
      </c>
      <c r="X3209" s="110" t="s">
        <v>541</v>
      </c>
      <c r="Y3209" s="110" t="str">
        <f>IFERROR(VLOOKUP(F3209,'Freq-Chan'!C:E,3,FALSE),"na")</f>
        <v>na</v>
      </c>
      <c r="Z3209" s="110" t="s">
        <v>541</v>
      </c>
      <c r="AA3209" s="110" t="s">
        <v>541</v>
      </c>
      <c r="AB3209" s="110" t="s">
        <v>541</v>
      </c>
      <c r="AC3209" s="10" t="s">
        <v>541</v>
      </c>
      <c r="AD3209" s="10" t="s">
        <v>541</v>
      </c>
    </row>
    <row r="3210" spans="1:30" x14ac:dyDescent="0.2">
      <c r="A3210" s="110">
        <v>3210</v>
      </c>
      <c r="B3210" s="132">
        <v>41872</v>
      </c>
      <c r="C3210" s="117">
        <v>3</v>
      </c>
      <c r="D3210" s="142" t="s">
        <v>71</v>
      </c>
      <c r="E3210" s="142" t="s">
        <v>306</v>
      </c>
      <c r="H3210" s="103"/>
      <c r="I3210" s="103">
        <v>49</v>
      </c>
      <c r="K3210" s="142" t="s">
        <v>365</v>
      </c>
      <c r="L3210" s="133"/>
      <c r="M3210" s="134">
        <v>1.1805555555555555E-2</v>
      </c>
      <c r="N3210" s="135" t="s">
        <v>3902</v>
      </c>
      <c r="O3210" s="144" t="s">
        <v>372</v>
      </c>
      <c r="Q3210" s="106" t="s">
        <v>4373</v>
      </c>
      <c r="R3210" s="226" t="s">
        <v>4391</v>
      </c>
      <c r="S3210" s="491" t="str">
        <f t="shared" si="105"/>
        <v>x</v>
      </c>
      <c r="T3210" s="492" t="str">
        <f>IFERROR(VLOOKUP(F3210,'Freq-Chan'!C:D,2,FALSE),"x")</f>
        <v>x</v>
      </c>
      <c r="U3210" s="110" t="s">
        <v>541</v>
      </c>
      <c r="V3210" s="110" t="str">
        <f t="shared" si="106"/>
        <v>FWL</v>
      </c>
      <c r="W3210" s="110" t="s">
        <v>541</v>
      </c>
      <c r="X3210" s="110" t="s">
        <v>541</v>
      </c>
      <c r="Y3210" s="110" t="str">
        <f>IFERROR(VLOOKUP(F3210,'Freq-Chan'!C:E,3,FALSE),"na")</f>
        <v>na</v>
      </c>
      <c r="Z3210" s="110" t="s">
        <v>541</v>
      </c>
      <c r="AA3210" s="110" t="s">
        <v>541</v>
      </c>
      <c r="AB3210" s="110" t="s">
        <v>541</v>
      </c>
      <c r="AC3210" s="10" t="s">
        <v>541</v>
      </c>
      <c r="AD3210" s="10" t="s">
        <v>541</v>
      </c>
    </row>
    <row r="3211" spans="1:30" x14ac:dyDescent="0.2">
      <c r="A3211" s="110">
        <v>3211</v>
      </c>
      <c r="B3211" s="132">
        <v>41872</v>
      </c>
      <c r="C3211" s="117">
        <v>3</v>
      </c>
      <c r="D3211" s="142" t="s">
        <v>72</v>
      </c>
      <c r="E3211" s="142" t="s">
        <v>306</v>
      </c>
      <c r="F3211" s="103">
        <v>266</v>
      </c>
      <c r="G3211" s="103">
        <v>75</v>
      </c>
      <c r="H3211" s="103" t="s">
        <v>3642</v>
      </c>
      <c r="I3211" s="103">
        <v>56</v>
      </c>
      <c r="K3211" s="142" t="s">
        <v>1032</v>
      </c>
      <c r="L3211" s="133"/>
      <c r="M3211" s="134">
        <v>3.4027777777777775E-2</v>
      </c>
      <c r="N3211" s="135" t="s">
        <v>2814</v>
      </c>
      <c r="O3211" s="144" t="s">
        <v>372</v>
      </c>
      <c r="P3211" s="100" t="s">
        <v>4466</v>
      </c>
      <c r="Q3211" s="106" t="s">
        <v>4373</v>
      </c>
      <c r="R3211" s="226" t="s">
        <v>4391</v>
      </c>
      <c r="S3211" s="491" t="str">
        <f t="shared" si="105"/>
        <v>x</v>
      </c>
      <c r="T3211" s="492">
        <f>IFERROR(VLOOKUP(F3211,'Freq-Chan'!C:D,2,FALSE),"x")</f>
        <v>151.26599999999999</v>
      </c>
      <c r="U3211" s="110" t="s">
        <v>541</v>
      </c>
      <c r="V3211" s="110" t="str">
        <f t="shared" si="106"/>
        <v>FWL</v>
      </c>
      <c r="W3211" s="110" t="s">
        <v>541</v>
      </c>
      <c r="X3211" s="110" t="s">
        <v>541</v>
      </c>
      <c r="Y3211" s="110" t="str">
        <f>IFERROR(VLOOKUP(F3211,'Freq-Chan'!C:E,3,FALSE),"na")</f>
        <v>F1840</v>
      </c>
      <c r="Z3211" s="110" t="s">
        <v>541</v>
      </c>
      <c r="AA3211" s="110" t="s">
        <v>541</v>
      </c>
      <c r="AB3211" s="110" t="s">
        <v>541</v>
      </c>
      <c r="AC3211" s="10" t="s">
        <v>541</v>
      </c>
      <c r="AD3211" s="10" t="s">
        <v>541</v>
      </c>
    </row>
    <row r="3212" spans="1:30" x14ac:dyDescent="0.2">
      <c r="A3212" s="110">
        <v>3212</v>
      </c>
      <c r="B3212" s="132">
        <v>41872</v>
      </c>
      <c r="C3212" s="117">
        <v>3</v>
      </c>
      <c r="D3212" s="142" t="s">
        <v>72</v>
      </c>
      <c r="E3212" s="142" t="s">
        <v>306</v>
      </c>
      <c r="F3212" s="103">
        <v>325</v>
      </c>
      <c r="G3212" s="103">
        <v>39</v>
      </c>
      <c r="H3212" s="103" t="s">
        <v>3643</v>
      </c>
      <c r="I3212" s="103">
        <v>55</v>
      </c>
      <c r="K3212" s="142" t="s">
        <v>365</v>
      </c>
      <c r="L3212" s="133">
        <v>0.50624999999999998</v>
      </c>
      <c r="M3212" s="134">
        <v>3.4027777777777775E-2</v>
      </c>
      <c r="N3212" s="135" t="s">
        <v>3903</v>
      </c>
      <c r="O3212" s="144" t="s">
        <v>372</v>
      </c>
      <c r="Q3212" s="106" t="s">
        <v>4373</v>
      </c>
      <c r="R3212" s="226" t="s">
        <v>4391</v>
      </c>
      <c r="S3212" s="491">
        <f t="shared" si="105"/>
        <v>2.2106481E-3</v>
      </c>
      <c r="T3212" s="492">
        <f>IFERROR(VLOOKUP(F3212,'Freq-Chan'!C:D,2,FALSE),"x")</f>
        <v>151.32499999999999</v>
      </c>
      <c r="U3212" s="110" t="s">
        <v>541</v>
      </c>
      <c r="V3212" s="110" t="str">
        <f t="shared" si="106"/>
        <v>FWL</v>
      </c>
      <c r="W3212" s="110" t="s">
        <v>541</v>
      </c>
      <c r="X3212" s="110" t="s">
        <v>541</v>
      </c>
      <c r="Y3212" s="110" t="str">
        <f>IFERROR(VLOOKUP(F3212,'Freq-Chan'!C:E,3,FALSE),"na")</f>
        <v>F1840</v>
      </c>
      <c r="Z3212" s="110" t="s">
        <v>541</v>
      </c>
      <c r="AA3212" s="110" t="s">
        <v>541</v>
      </c>
      <c r="AB3212" s="110" t="s">
        <v>541</v>
      </c>
      <c r="AC3212" s="10" t="s">
        <v>541</v>
      </c>
      <c r="AD3212" s="10" t="s">
        <v>541</v>
      </c>
    </row>
    <row r="3213" spans="1:30" x14ac:dyDescent="0.2">
      <c r="A3213" s="110">
        <v>3213</v>
      </c>
      <c r="B3213" s="132">
        <v>41872</v>
      </c>
      <c r="C3213" s="117">
        <v>3</v>
      </c>
      <c r="D3213" s="142" t="s">
        <v>71</v>
      </c>
      <c r="E3213" s="142" t="s">
        <v>306</v>
      </c>
      <c r="H3213" s="103"/>
      <c r="I3213" s="103">
        <v>56</v>
      </c>
      <c r="K3213" s="142" t="s">
        <v>365</v>
      </c>
      <c r="L3213" s="133">
        <v>0.51388888888888895</v>
      </c>
      <c r="M3213" s="134">
        <v>1.1805555555555555E-2</v>
      </c>
      <c r="N3213" s="135" t="s">
        <v>3254</v>
      </c>
      <c r="O3213" s="144" t="s">
        <v>372</v>
      </c>
      <c r="P3213" s="100" t="s">
        <v>4388</v>
      </c>
      <c r="Q3213" s="106" t="s">
        <v>4373</v>
      </c>
      <c r="R3213" s="226" t="s">
        <v>4391</v>
      </c>
      <c r="S3213" s="491">
        <f t="shared" si="105"/>
        <v>6.7476851999999999E-3</v>
      </c>
      <c r="T3213" s="492" t="str">
        <f>IFERROR(VLOOKUP(F3213,'Freq-Chan'!C:D,2,FALSE),"x")</f>
        <v>x</v>
      </c>
      <c r="U3213" s="110" t="s">
        <v>541</v>
      </c>
      <c r="V3213" s="110" t="str">
        <f t="shared" si="106"/>
        <v>FWL</v>
      </c>
      <c r="W3213" s="110" t="s">
        <v>541</v>
      </c>
      <c r="X3213" s="110" t="s">
        <v>541</v>
      </c>
      <c r="Y3213" s="110" t="str">
        <f>IFERROR(VLOOKUP(F3213,'Freq-Chan'!C:E,3,FALSE),"na")</f>
        <v>na</v>
      </c>
      <c r="Z3213" s="110" t="s">
        <v>541</v>
      </c>
      <c r="AA3213" s="110" t="s">
        <v>541</v>
      </c>
      <c r="AB3213" s="110" t="s">
        <v>541</v>
      </c>
      <c r="AC3213" s="10" t="s">
        <v>541</v>
      </c>
      <c r="AD3213" s="10" t="s">
        <v>541</v>
      </c>
    </row>
    <row r="3214" spans="1:30" x14ac:dyDescent="0.2">
      <c r="A3214" s="110">
        <v>3214</v>
      </c>
      <c r="B3214" s="132">
        <v>41872</v>
      </c>
      <c r="C3214" s="117">
        <v>3</v>
      </c>
      <c r="D3214" s="142" t="s">
        <v>71</v>
      </c>
      <c r="E3214" s="142" t="s">
        <v>306</v>
      </c>
      <c r="H3214" s="103"/>
      <c r="I3214" s="103">
        <v>56</v>
      </c>
      <c r="K3214" s="142" t="s">
        <v>365</v>
      </c>
      <c r="L3214" s="133">
        <v>0.52152777777777781</v>
      </c>
      <c r="M3214" s="134">
        <v>1.3194444444444444E-2</v>
      </c>
      <c r="N3214" s="135" t="s">
        <v>2655</v>
      </c>
      <c r="O3214" s="144" t="s">
        <v>372</v>
      </c>
      <c r="P3214" s="100" t="s">
        <v>4389</v>
      </c>
      <c r="Q3214" s="106" t="s">
        <v>4373</v>
      </c>
      <c r="R3214" s="226" t="s">
        <v>4391</v>
      </c>
      <c r="S3214" s="491">
        <f t="shared" si="105"/>
        <v>4.7453699999999997E-4</v>
      </c>
      <c r="T3214" s="492" t="str">
        <f>IFERROR(VLOOKUP(F3214,'Freq-Chan'!C:D,2,FALSE),"x")</f>
        <v>x</v>
      </c>
      <c r="U3214" s="110" t="s">
        <v>541</v>
      </c>
      <c r="V3214" s="110" t="str">
        <f t="shared" si="106"/>
        <v>FWL</v>
      </c>
      <c r="W3214" s="110" t="s">
        <v>541</v>
      </c>
      <c r="X3214" s="110" t="s">
        <v>541</v>
      </c>
      <c r="Y3214" s="110" t="str">
        <f>IFERROR(VLOOKUP(F3214,'Freq-Chan'!C:E,3,FALSE),"na")</f>
        <v>na</v>
      </c>
      <c r="Z3214" s="110" t="s">
        <v>541</v>
      </c>
      <c r="AA3214" s="110" t="s">
        <v>541</v>
      </c>
      <c r="AB3214" s="110" t="s">
        <v>541</v>
      </c>
      <c r="AC3214" s="10" t="s">
        <v>541</v>
      </c>
      <c r="AD3214" s="10" t="s">
        <v>541</v>
      </c>
    </row>
    <row r="3215" spans="1:30" x14ac:dyDescent="0.2">
      <c r="A3215" s="110">
        <v>3215</v>
      </c>
      <c r="B3215" s="132">
        <v>41872</v>
      </c>
      <c r="C3215" s="117">
        <v>3</v>
      </c>
      <c r="D3215" s="142" t="s">
        <v>71</v>
      </c>
      <c r="E3215" s="142" t="s">
        <v>306</v>
      </c>
      <c r="H3215" s="103"/>
      <c r="I3215" s="103">
        <v>53</v>
      </c>
      <c r="K3215" s="142" t="s">
        <v>1032</v>
      </c>
      <c r="L3215" s="133"/>
      <c r="M3215" s="134">
        <v>1.1111111111111112E-2</v>
      </c>
      <c r="N3215" s="135" t="s">
        <v>4385</v>
      </c>
      <c r="O3215" s="144" t="s">
        <v>372</v>
      </c>
      <c r="Q3215" s="106" t="s">
        <v>4373</v>
      </c>
      <c r="R3215" s="226" t="s">
        <v>4391</v>
      </c>
      <c r="S3215" s="491" t="str">
        <f t="shared" si="105"/>
        <v>x</v>
      </c>
      <c r="T3215" s="492" t="str">
        <f>IFERROR(VLOOKUP(F3215,'Freq-Chan'!C:D,2,FALSE),"x")</f>
        <v>x</v>
      </c>
      <c r="U3215" s="110" t="s">
        <v>541</v>
      </c>
      <c r="V3215" s="110" t="str">
        <f t="shared" si="106"/>
        <v>FWL</v>
      </c>
      <c r="W3215" s="110" t="s">
        <v>541</v>
      </c>
      <c r="X3215" s="110" t="s">
        <v>541</v>
      </c>
      <c r="Y3215" s="110" t="str">
        <f>IFERROR(VLOOKUP(F3215,'Freq-Chan'!C:E,3,FALSE),"na")</f>
        <v>na</v>
      </c>
      <c r="Z3215" s="110" t="s">
        <v>541</v>
      </c>
      <c r="AA3215" s="110" t="s">
        <v>541</v>
      </c>
      <c r="AB3215" s="110" t="s">
        <v>541</v>
      </c>
      <c r="AC3215" s="10" t="s">
        <v>541</v>
      </c>
      <c r="AD3215" s="10" t="s">
        <v>541</v>
      </c>
    </row>
    <row r="3216" spans="1:30" x14ac:dyDescent="0.2">
      <c r="A3216" s="110">
        <v>3216</v>
      </c>
      <c r="B3216" s="132">
        <v>41872</v>
      </c>
      <c r="C3216" s="117">
        <v>3</v>
      </c>
      <c r="D3216" s="142" t="s">
        <v>71</v>
      </c>
      <c r="E3216" s="142" t="s">
        <v>306</v>
      </c>
      <c r="H3216" s="103"/>
      <c r="I3216" s="103">
        <v>53</v>
      </c>
      <c r="K3216" s="142" t="s">
        <v>1032</v>
      </c>
      <c r="L3216" s="133"/>
      <c r="M3216" s="134">
        <v>1.1111111111111112E-2</v>
      </c>
      <c r="N3216" s="135" t="s">
        <v>4386</v>
      </c>
      <c r="O3216" s="144" t="s">
        <v>372</v>
      </c>
      <c r="Q3216" s="106" t="s">
        <v>4373</v>
      </c>
      <c r="R3216" s="226" t="s">
        <v>4391</v>
      </c>
      <c r="S3216" s="491" t="str">
        <f t="shared" si="105"/>
        <v>x</v>
      </c>
      <c r="T3216" s="492" t="str">
        <f>IFERROR(VLOOKUP(F3216,'Freq-Chan'!C:D,2,FALSE),"x")</f>
        <v>x</v>
      </c>
      <c r="U3216" s="110" t="s">
        <v>541</v>
      </c>
      <c r="V3216" s="110" t="str">
        <f t="shared" si="106"/>
        <v>FWL</v>
      </c>
      <c r="W3216" s="110" t="s">
        <v>541</v>
      </c>
      <c r="X3216" s="110" t="s">
        <v>541</v>
      </c>
      <c r="Y3216" s="110" t="str">
        <f>IFERROR(VLOOKUP(F3216,'Freq-Chan'!C:E,3,FALSE),"na")</f>
        <v>na</v>
      </c>
      <c r="Z3216" s="110" t="s">
        <v>541</v>
      </c>
      <c r="AA3216" s="110" t="s">
        <v>541</v>
      </c>
      <c r="AB3216" s="110" t="s">
        <v>541</v>
      </c>
      <c r="AC3216" s="10" t="s">
        <v>541</v>
      </c>
      <c r="AD3216" s="10" t="s">
        <v>541</v>
      </c>
    </row>
    <row r="3217" spans="1:30" x14ac:dyDescent="0.2">
      <c r="A3217" s="110">
        <v>3217</v>
      </c>
      <c r="B3217" s="132">
        <v>41872</v>
      </c>
      <c r="C3217" s="117">
        <v>3</v>
      </c>
      <c r="D3217" s="142" t="s">
        <v>71</v>
      </c>
      <c r="E3217" s="142" t="s">
        <v>306</v>
      </c>
      <c r="H3217" s="103"/>
      <c r="I3217" s="103">
        <v>52</v>
      </c>
      <c r="K3217" s="142" t="s">
        <v>365</v>
      </c>
      <c r="L3217" s="133"/>
      <c r="M3217" s="134">
        <v>1.2499999999999999E-2</v>
      </c>
      <c r="N3217" s="135" t="s">
        <v>2019</v>
      </c>
      <c r="O3217" s="144" t="s">
        <v>372</v>
      </c>
      <c r="Q3217" s="106" t="s">
        <v>4373</v>
      </c>
      <c r="R3217" s="226" t="s">
        <v>4391</v>
      </c>
      <c r="S3217" s="491" t="str">
        <f t="shared" si="105"/>
        <v>x</v>
      </c>
      <c r="T3217" s="492" t="str">
        <f>IFERROR(VLOOKUP(F3217,'Freq-Chan'!C:D,2,FALSE),"x")</f>
        <v>x</v>
      </c>
      <c r="U3217" s="110" t="s">
        <v>541</v>
      </c>
      <c r="V3217" s="110" t="str">
        <f t="shared" si="106"/>
        <v>FWL</v>
      </c>
      <c r="W3217" s="110" t="s">
        <v>541</v>
      </c>
      <c r="X3217" s="110" t="s">
        <v>541</v>
      </c>
      <c r="Y3217" s="110" t="str">
        <f>IFERROR(VLOOKUP(F3217,'Freq-Chan'!C:E,3,FALSE),"na")</f>
        <v>na</v>
      </c>
      <c r="Z3217" s="110" t="s">
        <v>541</v>
      </c>
      <c r="AA3217" s="110" t="s">
        <v>541</v>
      </c>
      <c r="AB3217" s="110" t="s">
        <v>541</v>
      </c>
      <c r="AC3217" s="10" t="s">
        <v>541</v>
      </c>
      <c r="AD3217" s="10" t="s">
        <v>541</v>
      </c>
    </row>
    <row r="3218" spans="1:30" x14ac:dyDescent="0.2">
      <c r="A3218" s="110">
        <v>3218</v>
      </c>
      <c r="B3218" s="132">
        <v>41872</v>
      </c>
      <c r="C3218" s="117">
        <v>3</v>
      </c>
      <c r="D3218" s="142" t="s">
        <v>72</v>
      </c>
      <c r="E3218" s="142" t="s">
        <v>306</v>
      </c>
      <c r="F3218" s="103">
        <v>266</v>
      </c>
      <c r="G3218" s="103">
        <v>22</v>
      </c>
      <c r="H3218" s="103" t="s">
        <v>3644</v>
      </c>
      <c r="I3218" s="103">
        <v>51</v>
      </c>
      <c r="K3218" s="142" t="s">
        <v>365</v>
      </c>
      <c r="L3218" s="133"/>
      <c r="M3218" s="134">
        <v>2.8472222222222222E-2</v>
      </c>
      <c r="N3218" s="135" t="s">
        <v>1838</v>
      </c>
      <c r="O3218" s="144" t="s">
        <v>372</v>
      </c>
      <c r="P3218" s="100" t="s">
        <v>4466</v>
      </c>
      <c r="Q3218" s="106" t="s">
        <v>4373</v>
      </c>
      <c r="R3218" s="226" t="s">
        <v>4391</v>
      </c>
      <c r="S3218" s="491" t="str">
        <f t="shared" si="105"/>
        <v>x</v>
      </c>
      <c r="T3218" s="492">
        <f>IFERROR(VLOOKUP(F3218,'Freq-Chan'!C:D,2,FALSE),"x")</f>
        <v>151.26599999999999</v>
      </c>
      <c r="U3218" s="110" t="s">
        <v>541</v>
      </c>
      <c r="V3218" s="110" t="str">
        <f t="shared" si="106"/>
        <v>FWL</v>
      </c>
      <c r="W3218" s="110" t="s">
        <v>541</v>
      </c>
      <c r="X3218" s="110" t="s">
        <v>541</v>
      </c>
      <c r="Y3218" s="110" t="str">
        <f>IFERROR(VLOOKUP(F3218,'Freq-Chan'!C:E,3,FALSE),"na")</f>
        <v>F1840</v>
      </c>
      <c r="Z3218" s="110" t="s">
        <v>541</v>
      </c>
      <c r="AA3218" s="110" t="s">
        <v>541</v>
      </c>
      <c r="AB3218" s="110" t="s">
        <v>541</v>
      </c>
      <c r="AC3218" s="10" t="s">
        <v>541</v>
      </c>
      <c r="AD3218" s="10" t="s">
        <v>541</v>
      </c>
    </row>
    <row r="3219" spans="1:30" x14ac:dyDescent="0.2">
      <c r="A3219" s="110">
        <v>3219</v>
      </c>
      <c r="B3219" s="132">
        <v>41872</v>
      </c>
      <c r="C3219" s="117">
        <v>3</v>
      </c>
      <c r="D3219" s="142" t="s">
        <v>71</v>
      </c>
      <c r="E3219" s="142" t="s">
        <v>306</v>
      </c>
      <c r="H3219" s="103"/>
      <c r="I3219" s="103">
        <v>56</v>
      </c>
      <c r="K3219" s="142" t="s">
        <v>365</v>
      </c>
      <c r="L3219" s="133"/>
      <c r="M3219" s="134">
        <v>1.0416666666666666E-2</v>
      </c>
      <c r="N3219" s="143" t="s">
        <v>2022</v>
      </c>
      <c r="O3219" s="144" t="s">
        <v>372</v>
      </c>
      <c r="Q3219" s="106" t="s">
        <v>4373</v>
      </c>
      <c r="R3219" s="226" t="s">
        <v>4391</v>
      </c>
      <c r="S3219" s="491" t="str">
        <f t="shared" si="105"/>
        <v>x</v>
      </c>
      <c r="T3219" s="492" t="str">
        <f>IFERROR(VLOOKUP(F3219,'Freq-Chan'!C:D,2,FALSE),"x")</f>
        <v>x</v>
      </c>
      <c r="U3219" s="110" t="s">
        <v>541</v>
      </c>
      <c r="V3219" s="110" t="str">
        <f t="shared" si="106"/>
        <v>FWL</v>
      </c>
      <c r="W3219" s="110" t="s">
        <v>541</v>
      </c>
      <c r="X3219" s="110" t="s">
        <v>541</v>
      </c>
      <c r="Y3219" s="110" t="str">
        <f>IFERROR(VLOOKUP(F3219,'Freq-Chan'!C:E,3,FALSE),"na")</f>
        <v>na</v>
      </c>
      <c r="Z3219" s="110" t="s">
        <v>541</v>
      </c>
      <c r="AA3219" s="110" t="s">
        <v>541</v>
      </c>
      <c r="AB3219" s="110" t="s">
        <v>541</v>
      </c>
      <c r="AC3219" s="10" t="s">
        <v>541</v>
      </c>
      <c r="AD3219" s="10" t="s">
        <v>541</v>
      </c>
    </row>
    <row r="3220" spans="1:30" x14ac:dyDescent="0.2">
      <c r="A3220" s="110">
        <v>3220</v>
      </c>
      <c r="B3220" s="132">
        <v>41872</v>
      </c>
      <c r="C3220" s="117">
        <v>3</v>
      </c>
      <c r="D3220" s="142" t="s">
        <v>71</v>
      </c>
      <c r="E3220" s="142" t="s">
        <v>306</v>
      </c>
      <c r="H3220" s="103"/>
      <c r="I3220" s="103">
        <v>51</v>
      </c>
      <c r="K3220" s="142" t="s">
        <v>1032</v>
      </c>
      <c r="L3220" s="133"/>
      <c r="M3220" s="134">
        <v>2.7777777777777776E-2</v>
      </c>
      <c r="N3220" s="135" t="s">
        <v>1664</v>
      </c>
      <c r="O3220" s="144" t="s">
        <v>1532</v>
      </c>
      <c r="Q3220" s="106" t="s">
        <v>4390</v>
      </c>
      <c r="R3220" s="226" t="s">
        <v>4391</v>
      </c>
      <c r="S3220" s="491" t="str">
        <f t="shared" si="105"/>
        <v>x</v>
      </c>
      <c r="T3220" s="492" t="str">
        <f>IFERROR(VLOOKUP(F3220,'Freq-Chan'!C:D,2,FALSE),"x")</f>
        <v>x</v>
      </c>
      <c r="U3220" s="110" t="s">
        <v>541</v>
      </c>
      <c r="V3220" s="110" t="str">
        <f t="shared" si="106"/>
        <v>FWL</v>
      </c>
      <c r="W3220" s="110" t="s">
        <v>541</v>
      </c>
      <c r="X3220" s="110" t="s">
        <v>541</v>
      </c>
      <c r="Y3220" s="110" t="str">
        <f>IFERROR(VLOOKUP(F3220,'Freq-Chan'!C:E,3,FALSE),"na")</f>
        <v>na</v>
      </c>
      <c r="Z3220" s="110" t="s">
        <v>541</v>
      </c>
      <c r="AA3220" s="110" t="s">
        <v>541</v>
      </c>
      <c r="AB3220" s="110" t="s">
        <v>541</v>
      </c>
      <c r="AC3220" s="10" t="s">
        <v>541</v>
      </c>
      <c r="AD3220" s="10" t="s">
        <v>541</v>
      </c>
    </row>
    <row r="3221" spans="1:30" x14ac:dyDescent="0.2">
      <c r="A3221" s="110">
        <v>3221</v>
      </c>
      <c r="B3221" s="132">
        <v>41872</v>
      </c>
      <c r="C3221" s="117">
        <v>3</v>
      </c>
      <c r="D3221" s="142" t="s">
        <v>71</v>
      </c>
      <c r="E3221" s="142" t="s">
        <v>306</v>
      </c>
      <c r="H3221" s="103"/>
      <c r="I3221" s="103">
        <v>60</v>
      </c>
      <c r="K3221" s="142" t="s">
        <v>1032</v>
      </c>
      <c r="L3221" s="133"/>
      <c r="M3221" s="134">
        <v>1.5972222222222224E-2</v>
      </c>
      <c r="N3221" s="135" t="s">
        <v>4264</v>
      </c>
      <c r="O3221" s="144" t="s">
        <v>1532</v>
      </c>
      <c r="Q3221" s="106" t="s">
        <v>4390</v>
      </c>
      <c r="R3221" s="226" t="s">
        <v>4391</v>
      </c>
      <c r="S3221" s="491" t="str">
        <f t="shared" si="105"/>
        <v>x</v>
      </c>
      <c r="T3221" s="492" t="str">
        <f>IFERROR(VLOOKUP(F3221,'Freq-Chan'!C:D,2,FALSE),"x")</f>
        <v>x</v>
      </c>
      <c r="U3221" s="110" t="s">
        <v>541</v>
      </c>
      <c r="V3221" s="110" t="str">
        <f t="shared" si="106"/>
        <v>FWL</v>
      </c>
      <c r="W3221" s="110" t="s">
        <v>541</v>
      </c>
      <c r="X3221" s="110" t="s">
        <v>541</v>
      </c>
      <c r="Y3221" s="110" t="str">
        <f>IFERROR(VLOOKUP(F3221,'Freq-Chan'!C:E,3,FALSE),"na")</f>
        <v>na</v>
      </c>
      <c r="Z3221" s="110" t="s">
        <v>541</v>
      </c>
      <c r="AA3221" s="110" t="s">
        <v>541</v>
      </c>
      <c r="AB3221" s="110" t="s">
        <v>541</v>
      </c>
      <c r="AC3221" s="10" t="s">
        <v>541</v>
      </c>
      <c r="AD3221" s="10" t="s">
        <v>541</v>
      </c>
    </row>
    <row r="3222" spans="1:30" x14ac:dyDescent="0.2">
      <c r="A3222" s="110">
        <v>3222</v>
      </c>
      <c r="B3222" s="132">
        <v>41872</v>
      </c>
      <c r="C3222" s="117">
        <v>3</v>
      </c>
      <c r="D3222" s="142" t="s">
        <v>70</v>
      </c>
      <c r="E3222" s="142" t="s">
        <v>306</v>
      </c>
      <c r="H3222" s="103"/>
      <c r="I3222" s="103">
        <v>43</v>
      </c>
      <c r="K3222" s="142" t="s">
        <v>365</v>
      </c>
      <c r="L3222" s="133"/>
      <c r="M3222" s="134">
        <v>1.5277777777777777E-2</v>
      </c>
      <c r="N3222" s="135" t="s">
        <v>3486</v>
      </c>
      <c r="O3222" s="144" t="s">
        <v>1532</v>
      </c>
      <c r="Q3222" s="106" t="s">
        <v>4390</v>
      </c>
      <c r="R3222" s="226" t="s">
        <v>4391</v>
      </c>
      <c r="S3222" s="491" t="str">
        <f t="shared" si="105"/>
        <v>x</v>
      </c>
      <c r="T3222" s="492" t="str">
        <f>IFERROR(VLOOKUP(F3222,'Freq-Chan'!C:D,2,FALSE),"x")</f>
        <v>x</v>
      </c>
      <c r="U3222" s="110" t="s">
        <v>541</v>
      </c>
      <c r="V3222" s="110" t="str">
        <f t="shared" si="106"/>
        <v>FWL</v>
      </c>
      <c r="W3222" s="110" t="s">
        <v>541</v>
      </c>
      <c r="X3222" s="110" t="s">
        <v>541</v>
      </c>
      <c r="Y3222" s="110" t="str">
        <f>IFERROR(VLOOKUP(F3222,'Freq-Chan'!C:E,3,FALSE),"na")</f>
        <v>na</v>
      </c>
      <c r="Z3222" s="110" t="s">
        <v>541</v>
      </c>
      <c r="AA3222" s="110" t="s">
        <v>541</v>
      </c>
      <c r="AB3222" s="110" t="s">
        <v>541</v>
      </c>
      <c r="AC3222" s="10" t="s">
        <v>541</v>
      </c>
      <c r="AD3222" s="10" t="s">
        <v>541</v>
      </c>
    </row>
    <row r="3223" spans="1:30" x14ac:dyDescent="0.2">
      <c r="A3223" s="110">
        <v>3223</v>
      </c>
      <c r="B3223" s="132">
        <v>41872</v>
      </c>
      <c r="C3223" s="117">
        <v>3</v>
      </c>
      <c r="D3223" s="142" t="s">
        <v>8</v>
      </c>
      <c r="E3223" s="142" t="s">
        <v>306</v>
      </c>
      <c r="F3223" s="103">
        <v>586</v>
      </c>
      <c r="G3223" s="103">
        <v>19</v>
      </c>
      <c r="H3223" s="103" t="s">
        <v>2283</v>
      </c>
      <c r="I3223" s="103">
        <v>49</v>
      </c>
      <c r="K3223" s="142" t="s">
        <v>364</v>
      </c>
      <c r="L3223" s="133"/>
      <c r="M3223" s="134">
        <v>4.4444444444444446E-2</v>
      </c>
      <c r="N3223" s="135" t="s">
        <v>3757</v>
      </c>
      <c r="O3223" s="144" t="s">
        <v>1532</v>
      </c>
      <c r="Q3223" s="106" t="s">
        <v>4390</v>
      </c>
      <c r="R3223" s="226" t="s">
        <v>4391</v>
      </c>
      <c r="S3223" s="491" t="str">
        <f t="shared" si="105"/>
        <v>x</v>
      </c>
      <c r="T3223" s="492">
        <f>IFERROR(VLOOKUP(F3223,'Freq-Chan'!C:D,2,FALSE),"x")</f>
        <v>151.58600000000001</v>
      </c>
      <c r="U3223" s="110" t="s">
        <v>541</v>
      </c>
      <c r="V3223" s="110" t="str">
        <f t="shared" si="106"/>
        <v>FWL</v>
      </c>
      <c r="W3223" s="110" t="s">
        <v>541</v>
      </c>
      <c r="X3223" s="110" t="s">
        <v>541</v>
      </c>
      <c r="Y3223" s="110" t="str">
        <f>IFERROR(VLOOKUP(F3223,'Freq-Chan'!C:E,3,FALSE),"na")</f>
        <v>F1840</v>
      </c>
      <c r="Z3223" s="110" t="s">
        <v>541</v>
      </c>
      <c r="AA3223" s="110" t="s">
        <v>541</v>
      </c>
      <c r="AB3223" s="110" t="s">
        <v>541</v>
      </c>
      <c r="AC3223" s="10" t="s">
        <v>541</v>
      </c>
      <c r="AD3223" s="10" t="s">
        <v>541</v>
      </c>
    </row>
    <row r="3224" spans="1:30" x14ac:dyDescent="0.2">
      <c r="A3224" s="110">
        <v>3224</v>
      </c>
      <c r="B3224" s="132">
        <v>41872</v>
      </c>
      <c r="C3224" s="117">
        <v>3</v>
      </c>
      <c r="D3224" s="142" t="s">
        <v>72</v>
      </c>
      <c r="E3224" s="142" t="s">
        <v>306</v>
      </c>
      <c r="H3224" s="103"/>
      <c r="I3224" s="103">
        <v>51</v>
      </c>
      <c r="K3224" s="142" t="s">
        <v>1032</v>
      </c>
      <c r="L3224" s="133"/>
      <c r="M3224" s="134">
        <v>1.6666666666666666E-2</v>
      </c>
      <c r="N3224" s="135" t="s">
        <v>3227</v>
      </c>
      <c r="O3224" s="144" t="s">
        <v>376</v>
      </c>
      <c r="Q3224" s="106" t="s">
        <v>4390</v>
      </c>
      <c r="R3224" s="226" t="s">
        <v>4391</v>
      </c>
      <c r="S3224" s="491" t="str">
        <f t="shared" si="105"/>
        <v>x</v>
      </c>
      <c r="T3224" s="492" t="str">
        <f>IFERROR(VLOOKUP(F3224,'Freq-Chan'!C:D,2,FALSE),"x")</f>
        <v>x</v>
      </c>
      <c r="U3224" s="110" t="s">
        <v>541</v>
      </c>
      <c r="V3224" s="110" t="str">
        <f t="shared" si="106"/>
        <v>FWL</v>
      </c>
      <c r="W3224" s="110" t="s">
        <v>541</v>
      </c>
      <c r="X3224" s="110" t="s">
        <v>541</v>
      </c>
      <c r="Y3224" s="110" t="str">
        <f>IFERROR(VLOOKUP(F3224,'Freq-Chan'!C:E,3,FALSE),"na")</f>
        <v>na</v>
      </c>
      <c r="Z3224" s="110" t="s">
        <v>541</v>
      </c>
      <c r="AA3224" s="110" t="s">
        <v>541</v>
      </c>
      <c r="AB3224" s="110" t="s">
        <v>541</v>
      </c>
      <c r="AC3224" s="10" t="s">
        <v>541</v>
      </c>
      <c r="AD3224" s="10" t="s">
        <v>541</v>
      </c>
    </row>
    <row r="3225" spans="1:30" x14ac:dyDescent="0.2">
      <c r="A3225" s="110">
        <v>3225</v>
      </c>
      <c r="B3225" s="132">
        <v>41872</v>
      </c>
      <c r="C3225" s="117">
        <v>3</v>
      </c>
      <c r="D3225" s="142" t="s">
        <v>71</v>
      </c>
      <c r="E3225" s="142" t="s">
        <v>306</v>
      </c>
      <c r="H3225" s="103"/>
      <c r="I3225" s="103">
        <v>48</v>
      </c>
      <c r="K3225" s="142" t="s">
        <v>1032</v>
      </c>
      <c r="L3225" s="133"/>
      <c r="M3225" s="134">
        <v>1.5972222222222224E-2</v>
      </c>
      <c r="N3225" s="135" t="s">
        <v>878</v>
      </c>
      <c r="O3225" s="144" t="s">
        <v>376</v>
      </c>
      <c r="Q3225" s="106" t="s">
        <v>4390</v>
      </c>
      <c r="R3225" s="226" t="s">
        <v>4391</v>
      </c>
      <c r="S3225" s="491" t="str">
        <f t="shared" si="105"/>
        <v>x</v>
      </c>
      <c r="T3225" s="492" t="str">
        <f>IFERROR(VLOOKUP(F3225,'Freq-Chan'!C:D,2,FALSE),"x")</f>
        <v>x</v>
      </c>
      <c r="U3225" s="110" t="s">
        <v>541</v>
      </c>
      <c r="V3225" s="110" t="str">
        <f t="shared" si="106"/>
        <v>FWL</v>
      </c>
      <c r="W3225" s="110" t="s">
        <v>541</v>
      </c>
      <c r="X3225" s="110" t="s">
        <v>541</v>
      </c>
      <c r="Y3225" s="110" t="str">
        <f>IFERROR(VLOOKUP(F3225,'Freq-Chan'!C:E,3,FALSE),"na")</f>
        <v>na</v>
      </c>
      <c r="Z3225" s="110" t="s">
        <v>541</v>
      </c>
      <c r="AA3225" s="110" t="s">
        <v>541</v>
      </c>
      <c r="AB3225" s="110" t="s">
        <v>541</v>
      </c>
      <c r="AC3225" s="10" t="s">
        <v>541</v>
      </c>
      <c r="AD3225" s="10" t="s">
        <v>541</v>
      </c>
    </row>
    <row r="3226" spans="1:30" x14ac:dyDescent="0.2">
      <c r="A3226" s="110">
        <v>3226</v>
      </c>
      <c r="B3226" s="132">
        <v>41872</v>
      </c>
      <c r="C3226" s="117">
        <v>3</v>
      </c>
      <c r="D3226" s="142" t="s">
        <v>71</v>
      </c>
      <c r="E3226" s="142" t="s">
        <v>306</v>
      </c>
      <c r="H3226" s="103"/>
      <c r="I3226" s="103">
        <v>54</v>
      </c>
      <c r="K3226" s="142" t="s">
        <v>365</v>
      </c>
      <c r="L3226" s="133"/>
      <c r="M3226" s="134">
        <v>1.2499999999999999E-2</v>
      </c>
      <c r="N3226" s="135" t="s">
        <v>1832</v>
      </c>
      <c r="O3226" s="144" t="s">
        <v>376</v>
      </c>
      <c r="P3226" s="106"/>
      <c r="Q3226" s="106" t="s">
        <v>4390</v>
      </c>
      <c r="R3226" s="226" t="s">
        <v>4391</v>
      </c>
      <c r="S3226" s="491" t="str">
        <f t="shared" si="105"/>
        <v>x</v>
      </c>
      <c r="T3226" s="492" t="str">
        <f>IFERROR(VLOOKUP(F3226,'Freq-Chan'!C:D,2,FALSE),"x")</f>
        <v>x</v>
      </c>
      <c r="U3226" s="110" t="s">
        <v>541</v>
      </c>
      <c r="V3226" s="110" t="str">
        <f t="shared" si="106"/>
        <v>FWL</v>
      </c>
      <c r="W3226" s="110" t="s">
        <v>541</v>
      </c>
      <c r="X3226" s="110" t="s">
        <v>541</v>
      </c>
      <c r="Y3226" s="110" t="str">
        <f>IFERROR(VLOOKUP(F3226,'Freq-Chan'!C:E,3,FALSE),"na")</f>
        <v>na</v>
      </c>
      <c r="Z3226" s="110" t="s">
        <v>541</v>
      </c>
      <c r="AA3226" s="110" t="s">
        <v>541</v>
      </c>
      <c r="AB3226" s="110" t="s">
        <v>541</v>
      </c>
      <c r="AC3226" s="10" t="s">
        <v>541</v>
      </c>
      <c r="AD3226" s="10" t="s">
        <v>541</v>
      </c>
    </row>
    <row r="3227" spans="1:30" x14ac:dyDescent="0.2">
      <c r="A3227" s="110">
        <v>3227</v>
      </c>
      <c r="B3227" s="132">
        <v>41872</v>
      </c>
      <c r="C3227" s="117">
        <v>3</v>
      </c>
      <c r="D3227" s="142" t="s">
        <v>71</v>
      </c>
      <c r="E3227" s="142" t="s">
        <v>306</v>
      </c>
      <c r="H3227" s="103"/>
      <c r="I3227" s="103">
        <v>60</v>
      </c>
      <c r="K3227" s="142" t="s">
        <v>365</v>
      </c>
      <c r="L3227" s="133"/>
      <c r="M3227" s="134">
        <v>1.5277777777777777E-2</v>
      </c>
      <c r="N3227" s="135" t="s">
        <v>4082</v>
      </c>
      <c r="O3227" s="144" t="s">
        <v>376</v>
      </c>
      <c r="Q3227" s="106" t="s">
        <v>4390</v>
      </c>
      <c r="R3227" s="226" t="s">
        <v>4391</v>
      </c>
      <c r="S3227" s="491" t="str">
        <f t="shared" si="105"/>
        <v>x</v>
      </c>
      <c r="T3227" s="492" t="str">
        <f>IFERROR(VLOOKUP(F3227,'Freq-Chan'!C:D,2,FALSE),"x")</f>
        <v>x</v>
      </c>
      <c r="U3227" s="110" t="s">
        <v>541</v>
      </c>
      <c r="V3227" s="110" t="str">
        <f t="shared" si="106"/>
        <v>FWL</v>
      </c>
      <c r="W3227" s="110" t="s">
        <v>541</v>
      </c>
      <c r="X3227" s="110" t="s">
        <v>541</v>
      </c>
      <c r="Y3227" s="110" t="str">
        <f>IFERROR(VLOOKUP(F3227,'Freq-Chan'!C:E,3,FALSE),"na")</f>
        <v>na</v>
      </c>
      <c r="Z3227" s="110" t="s">
        <v>541</v>
      </c>
      <c r="AA3227" s="110" t="s">
        <v>541</v>
      </c>
      <c r="AB3227" s="110" t="s">
        <v>541</v>
      </c>
      <c r="AC3227" s="10" t="s">
        <v>541</v>
      </c>
      <c r="AD3227" s="10" t="s">
        <v>541</v>
      </c>
    </row>
    <row r="3228" spans="1:30" x14ac:dyDescent="0.2">
      <c r="A3228" s="110">
        <v>3228</v>
      </c>
      <c r="B3228" s="132">
        <v>41872</v>
      </c>
      <c r="C3228" s="117">
        <v>3</v>
      </c>
      <c r="D3228" s="142" t="s">
        <v>71</v>
      </c>
      <c r="E3228" s="142" t="s">
        <v>306</v>
      </c>
      <c r="H3228" s="103"/>
      <c r="I3228" s="103">
        <v>55</v>
      </c>
      <c r="K3228" s="142" t="s">
        <v>365</v>
      </c>
      <c r="L3228" s="133"/>
      <c r="M3228" s="134">
        <v>1.8055555555555557E-2</v>
      </c>
      <c r="N3228" s="135" t="s">
        <v>4384</v>
      </c>
      <c r="O3228" s="144" t="s">
        <v>376</v>
      </c>
      <c r="Q3228" s="106" t="s">
        <v>4390</v>
      </c>
      <c r="R3228" s="226" t="s">
        <v>4391</v>
      </c>
      <c r="S3228" s="491" t="str">
        <f t="shared" si="105"/>
        <v>x</v>
      </c>
      <c r="T3228" s="492" t="str">
        <f>IFERROR(VLOOKUP(F3228,'Freq-Chan'!C:D,2,FALSE),"x")</f>
        <v>x</v>
      </c>
      <c r="U3228" s="110" t="s">
        <v>541</v>
      </c>
      <c r="V3228" s="110" t="str">
        <f t="shared" si="106"/>
        <v>FWL</v>
      </c>
      <c r="W3228" s="110" t="s">
        <v>541</v>
      </c>
      <c r="X3228" s="110" t="s">
        <v>541</v>
      </c>
      <c r="Y3228" s="110" t="str">
        <f>IFERROR(VLOOKUP(F3228,'Freq-Chan'!C:E,3,FALSE),"na")</f>
        <v>na</v>
      </c>
      <c r="Z3228" s="110" t="s">
        <v>541</v>
      </c>
      <c r="AA3228" s="110" t="s">
        <v>541</v>
      </c>
      <c r="AB3228" s="110" t="s">
        <v>541</v>
      </c>
      <c r="AC3228" s="10" t="s">
        <v>541</v>
      </c>
      <c r="AD3228" s="10" t="s">
        <v>541</v>
      </c>
    </row>
    <row r="3229" spans="1:30" x14ac:dyDescent="0.2">
      <c r="A3229" s="110">
        <v>3229</v>
      </c>
      <c r="B3229" s="132">
        <v>41872</v>
      </c>
      <c r="C3229" s="117">
        <v>3</v>
      </c>
      <c r="D3229" s="142" t="s">
        <v>72</v>
      </c>
      <c r="E3229" s="142" t="s">
        <v>306</v>
      </c>
      <c r="H3229" s="103"/>
      <c r="I3229" s="103">
        <v>55</v>
      </c>
      <c r="K3229" s="142" t="s">
        <v>1032</v>
      </c>
      <c r="L3229" s="133"/>
      <c r="M3229" s="134">
        <v>2.1527777777777781E-2</v>
      </c>
      <c r="N3229" s="135" t="s">
        <v>1969</v>
      </c>
      <c r="O3229" s="144" t="s">
        <v>376</v>
      </c>
      <c r="Q3229" s="106" t="s">
        <v>4390</v>
      </c>
      <c r="R3229" s="226" t="s">
        <v>4391</v>
      </c>
      <c r="S3229" s="491" t="str">
        <f t="shared" si="105"/>
        <v>x</v>
      </c>
      <c r="T3229" s="492" t="str">
        <f>IFERROR(VLOOKUP(F3229,'Freq-Chan'!C:D,2,FALSE),"x")</f>
        <v>x</v>
      </c>
      <c r="U3229" s="110" t="s">
        <v>541</v>
      </c>
      <c r="V3229" s="110" t="str">
        <f t="shared" si="106"/>
        <v>FWL</v>
      </c>
      <c r="W3229" s="110" t="s">
        <v>541</v>
      </c>
      <c r="X3229" s="110" t="s">
        <v>541</v>
      </c>
      <c r="Y3229" s="110" t="str">
        <f>IFERROR(VLOOKUP(F3229,'Freq-Chan'!C:E,3,FALSE),"na")</f>
        <v>na</v>
      </c>
      <c r="Z3229" s="110" t="s">
        <v>541</v>
      </c>
      <c r="AA3229" s="110" t="s">
        <v>541</v>
      </c>
      <c r="AB3229" s="110" t="s">
        <v>541</v>
      </c>
      <c r="AC3229" s="10" t="s">
        <v>541</v>
      </c>
      <c r="AD3229" s="10" t="s">
        <v>541</v>
      </c>
    </row>
    <row r="3230" spans="1:30" x14ac:dyDescent="0.2">
      <c r="A3230" s="110">
        <v>3230</v>
      </c>
      <c r="B3230" s="132">
        <v>41872</v>
      </c>
      <c r="C3230" s="117">
        <v>3</v>
      </c>
      <c r="D3230" s="142" t="s">
        <v>72</v>
      </c>
      <c r="E3230" s="142" t="s">
        <v>306</v>
      </c>
      <c r="H3230" s="103"/>
      <c r="I3230" s="103">
        <v>56</v>
      </c>
      <c r="K3230" s="142" t="s">
        <v>365</v>
      </c>
      <c r="L3230" s="133"/>
      <c r="M3230" s="134">
        <v>2.6388888888888889E-2</v>
      </c>
      <c r="N3230" s="135" t="s">
        <v>2745</v>
      </c>
      <c r="O3230" s="144" t="s">
        <v>376</v>
      </c>
      <c r="Q3230" s="106" t="s">
        <v>4390</v>
      </c>
      <c r="R3230" s="226" t="s">
        <v>4391</v>
      </c>
      <c r="S3230" s="491" t="str">
        <f t="shared" si="105"/>
        <v>x</v>
      </c>
      <c r="T3230" s="492" t="str">
        <f>IFERROR(VLOOKUP(F3230,'Freq-Chan'!C:D,2,FALSE),"x")</f>
        <v>x</v>
      </c>
      <c r="U3230" s="110" t="s">
        <v>541</v>
      </c>
      <c r="V3230" s="110" t="str">
        <f t="shared" si="106"/>
        <v>FWL</v>
      </c>
      <c r="W3230" s="110" t="s">
        <v>541</v>
      </c>
      <c r="X3230" s="110" t="s">
        <v>541</v>
      </c>
      <c r="Y3230" s="110" t="str">
        <f>IFERROR(VLOOKUP(F3230,'Freq-Chan'!C:E,3,FALSE),"na")</f>
        <v>na</v>
      </c>
      <c r="Z3230" s="110" t="s">
        <v>541</v>
      </c>
      <c r="AA3230" s="110" t="s">
        <v>541</v>
      </c>
      <c r="AB3230" s="110" t="s">
        <v>541</v>
      </c>
      <c r="AC3230" s="10" t="s">
        <v>541</v>
      </c>
      <c r="AD3230" s="10" t="s">
        <v>541</v>
      </c>
    </row>
    <row r="3231" spans="1:30" x14ac:dyDescent="0.2">
      <c r="A3231" s="110">
        <v>3231</v>
      </c>
      <c r="B3231" s="132">
        <v>41872</v>
      </c>
      <c r="C3231" s="117">
        <v>3</v>
      </c>
      <c r="D3231" s="142" t="s">
        <v>72</v>
      </c>
      <c r="E3231" s="142" t="s">
        <v>306</v>
      </c>
      <c r="H3231" s="103"/>
      <c r="I3231" s="103">
        <v>57</v>
      </c>
      <c r="K3231" s="142" t="s">
        <v>365</v>
      </c>
      <c r="L3231" s="133"/>
      <c r="M3231" s="134">
        <v>1.7361111111111112E-2</v>
      </c>
      <c r="N3231" s="135" t="s">
        <v>504</v>
      </c>
      <c r="O3231" s="144" t="s">
        <v>376</v>
      </c>
      <c r="Q3231" s="106" t="s">
        <v>4390</v>
      </c>
      <c r="R3231" s="226" t="s">
        <v>4391</v>
      </c>
      <c r="S3231" s="491" t="str">
        <f t="shared" si="105"/>
        <v>x</v>
      </c>
      <c r="T3231" s="492" t="str">
        <f>IFERROR(VLOOKUP(F3231,'Freq-Chan'!C:D,2,FALSE),"x")</f>
        <v>x</v>
      </c>
      <c r="U3231" s="110" t="s">
        <v>541</v>
      </c>
      <c r="V3231" s="110" t="str">
        <f t="shared" si="106"/>
        <v>FWL</v>
      </c>
      <c r="W3231" s="110" t="s">
        <v>541</v>
      </c>
      <c r="X3231" s="110" t="s">
        <v>541</v>
      </c>
      <c r="Y3231" s="110" t="str">
        <f>IFERROR(VLOOKUP(F3231,'Freq-Chan'!C:E,3,FALSE),"na")</f>
        <v>na</v>
      </c>
      <c r="Z3231" s="110" t="s">
        <v>541</v>
      </c>
      <c r="AA3231" s="110" t="s">
        <v>541</v>
      </c>
      <c r="AB3231" s="110" t="s">
        <v>541</v>
      </c>
      <c r="AC3231" s="10" t="s">
        <v>541</v>
      </c>
      <c r="AD3231" s="10" t="s">
        <v>541</v>
      </c>
    </row>
    <row r="3232" spans="1:30" x14ac:dyDescent="0.2">
      <c r="A3232" s="110">
        <v>3232</v>
      </c>
      <c r="B3232" s="132">
        <v>41872</v>
      </c>
      <c r="C3232" s="117">
        <v>3</v>
      </c>
      <c r="D3232" s="142" t="s">
        <v>72</v>
      </c>
      <c r="E3232" s="142" t="s">
        <v>306</v>
      </c>
      <c r="H3232" s="103"/>
      <c r="I3232" s="103">
        <v>54</v>
      </c>
      <c r="K3232" s="142" t="s">
        <v>365</v>
      </c>
      <c r="L3232" s="133"/>
      <c r="M3232" s="134">
        <v>1.4583333333333332E-2</v>
      </c>
      <c r="N3232" s="135" t="s">
        <v>1803</v>
      </c>
      <c r="O3232" s="144" t="s">
        <v>376</v>
      </c>
      <c r="P3232" s="106"/>
      <c r="Q3232" s="106" t="s">
        <v>4390</v>
      </c>
      <c r="R3232" s="226" t="s">
        <v>4391</v>
      </c>
      <c r="S3232" s="491" t="str">
        <f t="shared" si="105"/>
        <v>x</v>
      </c>
      <c r="T3232" s="492" t="str">
        <f>IFERROR(VLOOKUP(F3232,'Freq-Chan'!C:D,2,FALSE),"x")</f>
        <v>x</v>
      </c>
      <c r="U3232" s="110" t="s">
        <v>541</v>
      </c>
      <c r="V3232" s="110" t="str">
        <f t="shared" si="106"/>
        <v>FWL</v>
      </c>
      <c r="W3232" s="110" t="s">
        <v>541</v>
      </c>
      <c r="X3232" s="110" t="s">
        <v>541</v>
      </c>
      <c r="Y3232" s="110" t="str">
        <f>IFERROR(VLOOKUP(F3232,'Freq-Chan'!C:E,3,FALSE),"na")</f>
        <v>na</v>
      </c>
      <c r="Z3232" s="110" t="s">
        <v>541</v>
      </c>
      <c r="AA3232" s="110" t="s">
        <v>541</v>
      </c>
      <c r="AB3232" s="110" t="s">
        <v>541</v>
      </c>
      <c r="AC3232" s="10" t="s">
        <v>541</v>
      </c>
      <c r="AD3232" s="10" t="s">
        <v>541</v>
      </c>
    </row>
    <row r="3233" spans="1:30" x14ac:dyDescent="0.2">
      <c r="A3233" s="110">
        <v>3233</v>
      </c>
      <c r="B3233" s="132">
        <v>41872</v>
      </c>
      <c r="C3233" s="117">
        <v>3</v>
      </c>
      <c r="D3233" s="142" t="s">
        <v>70</v>
      </c>
      <c r="E3233" s="142" t="s">
        <v>306</v>
      </c>
      <c r="H3233" s="103"/>
      <c r="I3233" s="103">
        <v>42</v>
      </c>
      <c r="K3233" s="142" t="s">
        <v>365</v>
      </c>
      <c r="L3233" s="133"/>
      <c r="M3233" s="134">
        <v>1.6666666666666666E-2</v>
      </c>
      <c r="N3233" s="143" t="s">
        <v>2948</v>
      </c>
      <c r="O3233" s="144" t="s">
        <v>376</v>
      </c>
      <c r="Q3233" s="106" t="s">
        <v>4390</v>
      </c>
      <c r="R3233" s="226" t="s">
        <v>4391</v>
      </c>
      <c r="S3233" s="491" t="str">
        <f t="shared" si="105"/>
        <v>x</v>
      </c>
      <c r="T3233" s="492" t="str">
        <f>IFERROR(VLOOKUP(F3233,'Freq-Chan'!C:D,2,FALSE),"x")</f>
        <v>x</v>
      </c>
      <c r="U3233" s="110" t="s">
        <v>541</v>
      </c>
      <c r="V3233" s="110" t="str">
        <f t="shared" si="106"/>
        <v>FWL</v>
      </c>
      <c r="W3233" s="110" t="s">
        <v>541</v>
      </c>
      <c r="X3233" s="110" t="s">
        <v>541</v>
      </c>
      <c r="Y3233" s="110" t="str">
        <f>IFERROR(VLOOKUP(F3233,'Freq-Chan'!C:E,3,FALSE),"na")</f>
        <v>na</v>
      </c>
      <c r="Z3233" s="110" t="s">
        <v>541</v>
      </c>
      <c r="AA3233" s="110" t="s">
        <v>541</v>
      </c>
      <c r="AB3233" s="110" t="s">
        <v>541</v>
      </c>
      <c r="AC3233" s="10" t="s">
        <v>541</v>
      </c>
      <c r="AD3233" s="10" t="s">
        <v>541</v>
      </c>
    </row>
    <row r="3234" spans="1:30" x14ac:dyDescent="0.2">
      <c r="A3234" s="110">
        <v>3234</v>
      </c>
      <c r="B3234" s="132">
        <v>41872</v>
      </c>
      <c r="C3234" s="117">
        <v>3</v>
      </c>
      <c r="D3234" s="142" t="s">
        <v>72</v>
      </c>
      <c r="E3234" s="142" t="s">
        <v>306</v>
      </c>
      <c r="H3234" s="103"/>
      <c r="I3234" s="103">
        <v>47</v>
      </c>
      <c r="K3234" s="142" t="s">
        <v>1032</v>
      </c>
      <c r="L3234" s="133"/>
      <c r="M3234" s="134">
        <v>2.1527777777777781E-2</v>
      </c>
      <c r="N3234" s="135" t="s">
        <v>3726</v>
      </c>
      <c r="O3234" s="144" t="s">
        <v>376</v>
      </c>
      <c r="Q3234" s="106" t="s">
        <v>4390</v>
      </c>
      <c r="R3234" s="226" t="s">
        <v>4391</v>
      </c>
      <c r="S3234" s="491" t="str">
        <f t="shared" si="105"/>
        <v>x</v>
      </c>
      <c r="T3234" s="492" t="str">
        <f>IFERROR(VLOOKUP(F3234,'Freq-Chan'!C:D,2,FALSE),"x")</f>
        <v>x</v>
      </c>
      <c r="U3234" s="110" t="s">
        <v>541</v>
      </c>
      <c r="V3234" s="110" t="str">
        <f t="shared" si="106"/>
        <v>FWL</v>
      </c>
      <c r="W3234" s="110" t="s">
        <v>541</v>
      </c>
      <c r="X3234" s="110" t="s">
        <v>541</v>
      </c>
      <c r="Y3234" s="110" t="str">
        <f>IFERROR(VLOOKUP(F3234,'Freq-Chan'!C:E,3,FALSE),"na")</f>
        <v>na</v>
      </c>
      <c r="Z3234" s="110" t="s">
        <v>541</v>
      </c>
      <c r="AA3234" s="110" t="s">
        <v>541</v>
      </c>
      <c r="AB3234" s="110" t="s">
        <v>541</v>
      </c>
      <c r="AC3234" s="10" t="s">
        <v>541</v>
      </c>
      <c r="AD3234" s="10" t="s">
        <v>541</v>
      </c>
    </row>
    <row r="3235" spans="1:30" x14ac:dyDescent="0.2">
      <c r="A3235" s="110">
        <v>3235</v>
      </c>
      <c r="B3235" s="132">
        <v>41872</v>
      </c>
      <c r="C3235" s="117">
        <v>3</v>
      </c>
      <c r="D3235" s="142" t="s">
        <v>72</v>
      </c>
      <c r="E3235" s="142" t="s">
        <v>306</v>
      </c>
      <c r="H3235" s="103"/>
      <c r="I3235" s="103">
        <v>54</v>
      </c>
      <c r="K3235" s="142" t="s">
        <v>1032</v>
      </c>
      <c r="L3235" s="133"/>
      <c r="M3235" s="134">
        <v>1.6666666666666666E-2</v>
      </c>
      <c r="N3235" s="135" t="s">
        <v>3727</v>
      </c>
      <c r="O3235" s="144" t="s">
        <v>376</v>
      </c>
      <c r="Q3235" s="106" t="s">
        <v>4390</v>
      </c>
      <c r="R3235" s="226" t="s">
        <v>4391</v>
      </c>
      <c r="S3235" s="491" t="str">
        <f t="shared" si="105"/>
        <v>x</v>
      </c>
      <c r="T3235" s="492" t="str">
        <f>IFERROR(VLOOKUP(F3235,'Freq-Chan'!C:D,2,FALSE),"x")</f>
        <v>x</v>
      </c>
      <c r="U3235" s="110" t="s">
        <v>541</v>
      </c>
      <c r="V3235" s="110" t="str">
        <f t="shared" si="106"/>
        <v>FWL</v>
      </c>
      <c r="W3235" s="110" t="s">
        <v>541</v>
      </c>
      <c r="X3235" s="110" t="s">
        <v>541</v>
      </c>
      <c r="Y3235" s="110" t="str">
        <f>IFERROR(VLOOKUP(F3235,'Freq-Chan'!C:E,3,FALSE),"na")</f>
        <v>na</v>
      </c>
      <c r="Z3235" s="110" t="s">
        <v>541</v>
      </c>
      <c r="AA3235" s="110" t="s">
        <v>541</v>
      </c>
      <c r="AB3235" s="110" t="s">
        <v>541</v>
      </c>
      <c r="AC3235" s="10" t="s">
        <v>541</v>
      </c>
      <c r="AD3235" s="10" t="s">
        <v>541</v>
      </c>
    </row>
    <row r="3236" spans="1:30" s="291" customFormat="1" x14ac:dyDescent="0.2">
      <c r="A3236" s="493">
        <v>3236</v>
      </c>
      <c r="B3236" s="283">
        <v>41872</v>
      </c>
      <c r="C3236" s="284">
        <v>3</v>
      </c>
      <c r="D3236" s="396" t="s">
        <v>72</v>
      </c>
      <c r="E3236" s="396" t="s">
        <v>306</v>
      </c>
      <c r="F3236" s="285"/>
      <c r="G3236" s="285"/>
      <c r="H3236" s="285"/>
      <c r="I3236" s="285">
        <v>54</v>
      </c>
      <c r="J3236" s="285"/>
      <c r="K3236" s="396" t="s">
        <v>1032</v>
      </c>
      <c r="L3236" s="286">
        <v>0.8340277777777777</v>
      </c>
      <c r="M3236" s="287">
        <v>1.2499999999999999E-2</v>
      </c>
      <c r="N3236" s="288" t="s">
        <v>3978</v>
      </c>
      <c r="O3236" s="397" t="s">
        <v>376</v>
      </c>
      <c r="P3236" s="289"/>
      <c r="Q3236" s="395" t="s">
        <v>4390</v>
      </c>
      <c r="R3236" s="290" t="s">
        <v>4391</v>
      </c>
      <c r="S3236" s="494">
        <f t="shared" si="105"/>
        <v>1.8749999999999999E-3</v>
      </c>
      <c r="T3236" s="495" t="str">
        <f>IFERROR(VLOOKUP(F3236,'Freq-Chan'!C:D,2,FALSE),"x")</f>
        <v>x</v>
      </c>
      <c r="U3236" s="493" t="s">
        <v>541</v>
      </c>
      <c r="V3236" s="493" t="str">
        <f t="shared" si="106"/>
        <v>FWL</v>
      </c>
      <c r="W3236" s="493" t="s">
        <v>541</v>
      </c>
      <c r="X3236" s="493" t="s">
        <v>541</v>
      </c>
      <c r="Y3236" s="493" t="str">
        <f>IFERROR(VLOOKUP(F3236,'Freq-Chan'!C:E,3,FALSE),"na")</f>
        <v>na</v>
      </c>
      <c r="Z3236" s="493" t="s">
        <v>541</v>
      </c>
      <c r="AA3236" s="493" t="s">
        <v>541</v>
      </c>
      <c r="AB3236" s="493" t="s">
        <v>541</v>
      </c>
      <c r="AC3236" s="291" t="s">
        <v>541</v>
      </c>
      <c r="AD3236" s="291" t="s">
        <v>541</v>
      </c>
    </row>
    <row r="3237" spans="1:30" x14ac:dyDescent="0.2">
      <c r="A3237" s="110">
        <v>3237</v>
      </c>
      <c r="B3237" s="132">
        <v>41873</v>
      </c>
      <c r="C3237" s="117">
        <v>1</v>
      </c>
      <c r="D3237" s="142" t="s">
        <v>72</v>
      </c>
      <c r="E3237" s="142" t="s">
        <v>306</v>
      </c>
      <c r="F3237" s="103">
        <v>266</v>
      </c>
      <c r="G3237" s="103">
        <v>33</v>
      </c>
      <c r="H3237" s="103" t="s">
        <v>3657</v>
      </c>
      <c r="I3237" s="103">
        <v>57</v>
      </c>
      <c r="K3237" s="142" t="s">
        <v>1032</v>
      </c>
      <c r="L3237" s="133"/>
      <c r="M3237" s="134">
        <v>4.4444444444444446E-2</v>
      </c>
      <c r="N3237" s="135" t="s">
        <v>3349</v>
      </c>
      <c r="O3237" s="144" t="s">
        <v>1033</v>
      </c>
      <c r="P3237" s="100" t="s">
        <v>4466</v>
      </c>
      <c r="Q3237" s="106" t="s">
        <v>4393</v>
      </c>
      <c r="R3237" s="226" t="s">
        <v>4409</v>
      </c>
      <c r="S3237" s="491" t="str">
        <f t="shared" si="105"/>
        <v>x</v>
      </c>
      <c r="T3237" s="492">
        <f>IFERROR(VLOOKUP(F3237,'Freq-Chan'!C:D,2,FALSE),"x")</f>
        <v>151.26599999999999</v>
      </c>
      <c r="U3237" s="110" t="s">
        <v>541</v>
      </c>
      <c r="V3237" s="110" t="str">
        <f t="shared" si="106"/>
        <v>FWL</v>
      </c>
      <c r="W3237" s="110" t="s">
        <v>541</v>
      </c>
      <c r="X3237" s="110" t="s">
        <v>541</v>
      </c>
      <c r="Y3237" s="110" t="str">
        <f>IFERROR(VLOOKUP(F3237,'Freq-Chan'!C:E,3,FALSE),"na")</f>
        <v>F1840</v>
      </c>
      <c r="Z3237" s="110" t="s">
        <v>541</v>
      </c>
      <c r="AA3237" s="110" t="s">
        <v>541</v>
      </c>
      <c r="AB3237" s="110" t="s">
        <v>541</v>
      </c>
      <c r="AC3237" s="10" t="s">
        <v>541</v>
      </c>
      <c r="AD3237" s="10" t="s">
        <v>541</v>
      </c>
    </row>
    <row r="3238" spans="1:30" x14ac:dyDescent="0.2">
      <c r="A3238" s="110">
        <v>3238</v>
      </c>
      <c r="B3238" s="132">
        <v>41873</v>
      </c>
      <c r="C3238" s="117">
        <v>1</v>
      </c>
      <c r="D3238" s="142" t="s">
        <v>71</v>
      </c>
      <c r="E3238" s="142" t="s">
        <v>306</v>
      </c>
      <c r="F3238" s="103">
        <v>564</v>
      </c>
      <c r="G3238" s="103">
        <v>54</v>
      </c>
      <c r="H3238" s="103" t="s">
        <v>2477</v>
      </c>
      <c r="I3238" s="103">
        <v>59</v>
      </c>
      <c r="K3238" s="142" t="s">
        <v>365</v>
      </c>
      <c r="L3238" s="133"/>
      <c r="M3238" s="134">
        <v>5.6250000000000001E-2</v>
      </c>
      <c r="N3238" s="135" t="s">
        <v>3243</v>
      </c>
      <c r="O3238" s="144" t="s">
        <v>1033</v>
      </c>
      <c r="Q3238" s="106" t="s">
        <v>4393</v>
      </c>
      <c r="R3238" s="226" t="s">
        <v>4409</v>
      </c>
      <c r="S3238" s="491" t="str">
        <f t="shared" si="105"/>
        <v>x</v>
      </c>
      <c r="T3238" s="492">
        <f>IFERROR(VLOOKUP(F3238,'Freq-Chan'!C:D,2,FALSE),"x")</f>
        <v>151.56399999999999</v>
      </c>
      <c r="U3238" s="110" t="s">
        <v>541</v>
      </c>
      <c r="V3238" s="110" t="str">
        <f t="shared" si="106"/>
        <v>FWL</v>
      </c>
      <c r="W3238" s="110" t="s">
        <v>541</v>
      </c>
      <c r="X3238" s="110" t="s">
        <v>541</v>
      </c>
      <c r="Y3238" s="110" t="str">
        <f>IFERROR(VLOOKUP(F3238,'Freq-Chan'!C:E,3,FALSE),"na")</f>
        <v>F1840</v>
      </c>
      <c r="Z3238" s="110" t="s">
        <v>541</v>
      </c>
      <c r="AA3238" s="110" t="s">
        <v>541</v>
      </c>
      <c r="AB3238" s="110" t="s">
        <v>541</v>
      </c>
      <c r="AC3238" s="10" t="s">
        <v>541</v>
      </c>
      <c r="AD3238" s="10" t="s">
        <v>541</v>
      </c>
    </row>
    <row r="3239" spans="1:30" x14ac:dyDescent="0.2">
      <c r="A3239" s="110">
        <v>3239</v>
      </c>
      <c r="B3239" s="132">
        <v>41873</v>
      </c>
      <c r="C3239" s="117">
        <v>1</v>
      </c>
      <c r="D3239" s="142" t="s">
        <v>72</v>
      </c>
      <c r="E3239" s="142" t="s">
        <v>306</v>
      </c>
      <c r="F3239" s="103">
        <v>266</v>
      </c>
      <c r="G3239" s="103">
        <v>36</v>
      </c>
      <c r="H3239" s="103" t="s">
        <v>3658</v>
      </c>
      <c r="I3239" s="103">
        <v>45</v>
      </c>
      <c r="K3239" s="142" t="s">
        <v>365</v>
      </c>
      <c r="L3239" s="133"/>
      <c r="M3239" s="134">
        <v>3.8194444444444441E-2</v>
      </c>
      <c r="N3239" s="135" t="s">
        <v>839</v>
      </c>
      <c r="O3239" s="144" t="s">
        <v>1033</v>
      </c>
      <c r="P3239" s="100" t="s">
        <v>4466</v>
      </c>
      <c r="Q3239" s="106" t="s">
        <v>4393</v>
      </c>
      <c r="R3239" s="226" t="s">
        <v>4409</v>
      </c>
      <c r="S3239" s="491" t="str">
        <f t="shared" si="105"/>
        <v>x</v>
      </c>
      <c r="T3239" s="492">
        <f>IFERROR(VLOOKUP(F3239,'Freq-Chan'!C:D,2,FALSE),"x")</f>
        <v>151.26599999999999</v>
      </c>
      <c r="U3239" s="110" t="s">
        <v>541</v>
      </c>
      <c r="V3239" s="110" t="str">
        <f t="shared" si="106"/>
        <v>FWL</v>
      </c>
      <c r="W3239" s="110" t="s">
        <v>541</v>
      </c>
      <c r="X3239" s="110" t="s">
        <v>541</v>
      </c>
      <c r="Y3239" s="110" t="str">
        <f>IFERROR(VLOOKUP(F3239,'Freq-Chan'!C:E,3,FALSE),"na")</f>
        <v>F1840</v>
      </c>
      <c r="Z3239" s="110" t="s">
        <v>541</v>
      </c>
      <c r="AA3239" s="110" t="s">
        <v>541</v>
      </c>
      <c r="AB3239" s="110" t="s">
        <v>541</v>
      </c>
      <c r="AC3239" s="10" t="s">
        <v>541</v>
      </c>
      <c r="AD3239" s="10" t="s">
        <v>541</v>
      </c>
    </row>
    <row r="3240" spans="1:30" x14ac:dyDescent="0.2">
      <c r="A3240" s="110">
        <v>3240</v>
      </c>
      <c r="B3240" s="132">
        <v>41873</v>
      </c>
      <c r="C3240" s="117">
        <v>1</v>
      </c>
      <c r="D3240" s="142" t="s">
        <v>70</v>
      </c>
      <c r="E3240" s="142" t="s">
        <v>306</v>
      </c>
      <c r="H3240" s="103"/>
      <c r="I3240" s="103">
        <v>43</v>
      </c>
      <c r="K3240" s="142" t="s">
        <v>365</v>
      </c>
      <c r="L3240" s="133"/>
      <c r="M3240" s="134">
        <v>1.5277777777777777E-2</v>
      </c>
      <c r="N3240" s="135" t="s">
        <v>3398</v>
      </c>
      <c r="O3240" s="144" t="s">
        <v>1033</v>
      </c>
      <c r="P3240" s="106"/>
      <c r="Q3240" s="106" t="s">
        <v>4393</v>
      </c>
      <c r="R3240" s="226" t="s">
        <v>4409</v>
      </c>
      <c r="S3240" s="491" t="str">
        <f t="shared" si="105"/>
        <v>x</v>
      </c>
      <c r="T3240" s="492" t="str">
        <f>IFERROR(VLOOKUP(F3240,'Freq-Chan'!C:D,2,FALSE),"x")</f>
        <v>x</v>
      </c>
      <c r="U3240" s="110" t="s">
        <v>541</v>
      </c>
      <c r="V3240" s="110" t="str">
        <f t="shared" si="106"/>
        <v>FWL</v>
      </c>
      <c r="W3240" s="110" t="s">
        <v>541</v>
      </c>
      <c r="X3240" s="110" t="s">
        <v>541</v>
      </c>
      <c r="Y3240" s="110" t="str">
        <f>IFERROR(VLOOKUP(F3240,'Freq-Chan'!C:E,3,FALSE),"na")</f>
        <v>na</v>
      </c>
      <c r="Z3240" s="110" t="s">
        <v>541</v>
      </c>
      <c r="AA3240" s="110" t="s">
        <v>541</v>
      </c>
      <c r="AB3240" s="110" t="s">
        <v>541</v>
      </c>
      <c r="AC3240" s="10" t="s">
        <v>541</v>
      </c>
      <c r="AD3240" s="10" t="s">
        <v>541</v>
      </c>
    </row>
    <row r="3241" spans="1:30" x14ac:dyDescent="0.2">
      <c r="A3241" s="110">
        <v>3241</v>
      </c>
      <c r="B3241" s="132">
        <v>41873</v>
      </c>
      <c r="C3241" s="117">
        <v>1</v>
      </c>
      <c r="D3241" s="142" t="s">
        <v>71</v>
      </c>
      <c r="E3241" s="142" t="s">
        <v>306</v>
      </c>
      <c r="H3241" s="103"/>
      <c r="I3241" s="103">
        <v>57</v>
      </c>
      <c r="K3241" s="142" t="s">
        <v>365</v>
      </c>
      <c r="L3241" s="133"/>
      <c r="M3241" s="134">
        <v>1.4583333333333332E-2</v>
      </c>
      <c r="N3241" s="135" t="s">
        <v>3253</v>
      </c>
      <c r="O3241" s="144" t="s">
        <v>1033</v>
      </c>
      <c r="P3241" s="106"/>
      <c r="Q3241" s="106" t="s">
        <v>4393</v>
      </c>
      <c r="R3241" s="226" t="s">
        <v>4409</v>
      </c>
      <c r="S3241" s="491" t="str">
        <f t="shared" si="105"/>
        <v>x</v>
      </c>
      <c r="T3241" s="492" t="str">
        <f>IFERROR(VLOOKUP(F3241,'Freq-Chan'!C:D,2,FALSE),"x")</f>
        <v>x</v>
      </c>
      <c r="U3241" s="110" t="s">
        <v>541</v>
      </c>
      <c r="V3241" s="110" t="str">
        <f t="shared" si="106"/>
        <v>FWL</v>
      </c>
      <c r="W3241" s="110" t="s">
        <v>541</v>
      </c>
      <c r="X3241" s="110" t="s">
        <v>541</v>
      </c>
      <c r="Y3241" s="110" t="str">
        <f>IFERROR(VLOOKUP(F3241,'Freq-Chan'!C:E,3,FALSE),"na")</f>
        <v>na</v>
      </c>
      <c r="Z3241" s="110" t="s">
        <v>541</v>
      </c>
      <c r="AA3241" s="110" t="s">
        <v>541</v>
      </c>
      <c r="AB3241" s="110" t="s">
        <v>541</v>
      </c>
      <c r="AC3241" s="10" t="s">
        <v>541</v>
      </c>
      <c r="AD3241" s="10" t="s">
        <v>541</v>
      </c>
    </row>
    <row r="3242" spans="1:30" x14ac:dyDescent="0.2">
      <c r="A3242" s="110">
        <v>3242</v>
      </c>
      <c r="B3242" s="132">
        <v>41873</v>
      </c>
      <c r="C3242" s="117">
        <v>1</v>
      </c>
      <c r="D3242" s="142" t="s">
        <v>71</v>
      </c>
      <c r="E3242" s="142" t="s">
        <v>306</v>
      </c>
      <c r="H3242" s="103"/>
      <c r="I3242" s="103">
        <v>53</v>
      </c>
      <c r="K3242" s="142" t="s">
        <v>1032</v>
      </c>
      <c r="L3242" s="133"/>
      <c r="M3242" s="134">
        <v>1.3194444444444444E-2</v>
      </c>
      <c r="N3242" s="135" t="s">
        <v>3244</v>
      </c>
      <c r="O3242" s="144" t="s">
        <v>1033</v>
      </c>
      <c r="P3242" s="106"/>
      <c r="Q3242" s="106" t="s">
        <v>4393</v>
      </c>
      <c r="R3242" s="226" t="s">
        <v>4409</v>
      </c>
      <c r="S3242" s="491" t="str">
        <f t="shared" si="105"/>
        <v>x</v>
      </c>
      <c r="T3242" s="492" t="str">
        <f>IFERROR(VLOOKUP(F3242,'Freq-Chan'!C:D,2,FALSE),"x")</f>
        <v>x</v>
      </c>
      <c r="U3242" s="110" t="s">
        <v>541</v>
      </c>
      <c r="V3242" s="110" t="str">
        <f t="shared" si="106"/>
        <v>FWL</v>
      </c>
      <c r="W3242" s="110" t="s">
        <v>541</v>
      </c>
      <c r="X3242" s="110" t="s">
        <v>541</v>
      </c>
      <c r="Y3242" s="110" t="str">
        <f>IFERROR(VLOOKUP(F3242,'Freq-Chan'!C:E,3,FALSE),"na")</f>
        <v>na</v>
      </c>
      <c r="Z3242" s="110" t="s">
        <v>541</v>
      </c>
      <c r="AA3242" s="110" t="s">
        <v>541</v>
      </c>
      <c r="AB3242" s="110" t="s">
        <v>541</v>
      </c>
      <c r="AC3242" s="10" t="s">
        <v>541</v>
      </c>
      <c r="AD3242" s="10" t="s">
        <v>541</v>
      </c>
    </row>
    <row r="3243" spans="1:30" x14ac:dyDescent="0.2">
      <c r="A3243" s="110">
        <v>3243</v>
      </c>
      <c r="B3243" s="132">
        <v>41873</v>
      </c>
      <c r="C3243" s="117">
        <v>1</v>
      </c>
      <c r="D3243" s="142" t="s">
        <v>72</v>
      </c>
      <c r="E3243" s="142" t="s">
        <v>306</v>
      </c>
      <c r="F3243" s="103">
        <v>266</v>
      </c>
      <c r="G3243" s="103">
        <v>0</v>
      </c>
      <c r="H3243" s="142" t="s">
        <v>3659</v>
      </c>
      <c r="I3243" s="103">
        <v>61</v>
      </c>
      <c r="K3243" s="142" t="s">
        <v>1032</v>
      </c>
      <c r="L3243" s="133"/>
      <c r="M3243" s="134">
        <v>3.3333333333333333E-2</v>
      </c>
      <c r="N3243" s="143" t="s">
        <v>3470</v>
      </c>
      <c r="O3243" s="144" t="s">
        <v>376</v>
      </c>
      <c r="P3243" s="100" t="s">
        <v>4466</v>
      </c>
      <c r="Q3243" s="106" t="s">
        <v>4393</v>
      </c>
      <c r="R3243" s="226" t="s">
        <v>4409</v>
      </c>
      <c r="S3243" s="491" t="str">
        <f t="shared" si="105"/>
        <v>x</v>
      </c>
      <c r="T3243" s="492">
        <f>IFERROR(VLOOKUP(F3243,'Freq-Chan'!C:D,2,FALSE),"x")</f>
        <v>151.26599999999999</v>
      </c>
      <c r="U3243" s="110" t="s">
        <v>541</v>
      </c>
      <c r="V3243" s="110" t="str">
        <f t="shared" si="106"/>
        <v>FWL</v>
      </c>
      <c r="W3243" s="110" t="s">
        <v>541</v>
      </c>
      <c r="X3243" s="110" t="s">
        <v>541</v>
      </c>
      <c r="Y3243" s="110" t="str">
        <f>IFERROR(VLOOKUP(F3243,'Freq-Chan'!C:E,3,FALSE),"na")</f>
        <v>F1840</v>
      </c>
      <c r="Z3243" s="110" t="s">
        <v>541</v>
      </c>
      <c r="AA3243" s="110" t="s">
        <v>541</v>
      </c>
      <c r="AB3243" s="110" t="s">
        <v>541</v>
      </c>
      <c r="AC3243" s="10" t="s">
        <v>541</v>
      </c>
      <c r="AD3243" s="10" t="s">
        <v>541</v>
      </c>
    </row>
    <row r="3244" spans="1:30" x14ac:dyDescent="0.2">
      <c r="A3244" s="110">
        <v>3244</v>
      </c>
      <c r="B3244" s="132">
        <v>41873</v>
      </c>
      <c r="C3244" s="117">
        <v>1</v>
      </c>
      <c r="D3244" s="142" t="s">
        <v>71</v>
      </c>
      <c r="E3244" s="142" t="s">
        <v>306</v>
      </c>
      <c r="H3244" s="103"/>
      <c r="I3244" s="103">
        <v>52</v>
      </c>
      <c r="K3244" s="142" t="s">
        <v>365</v>
      </c>
      <c r="L3244" s="133"/>
      <c r="M3244" s="134">
        <v>1.2499999999999999E-2</v>
      </c>
      <c r="N3244" s="143" t="s">
        <v>3928</v>
      </c>
      <c r="O3244" s="144" t="s">
        <v>1033</v>
      </c>
      <c r="P3244" s="106"/>
      <c r="Q3244" s="106" t="s">
        <v>4393</v>
      </c>
      <c r="R3244" s="226" t="s">
        <v>4409</v>
      </c>
      <c r="S3244" s="491" t="str">
        <f t="shared" si="105"/>
        <v>x</v>
      </c>
      <c r="T3244" s="492" t="str">
        <f>IFERROR(VLOOKUP(F3244,'Freq-Chan'!C:D,2,FALSE),"x")</f>
        <v>x</v>
      </c>
      <c r="U3244" s="110" t="s">
        <v>541</v>
      </c>
      <c r="V3244" s="110" t="str">
        <f t="shared" si="106"/>
        <v>FWL</v>
      </c>
      <c r="W3244" s="110" t="s">
        <v>541</v>
      </c>
      <c r="X3244" s="110" t="s">
        <v>541</v>
      </c>
      <c r="Y3244" s="110" t="str">
        <f>IFERROR(VLOOKUP(F3244,'Freq-Chan'!C:E,3,FALSE),"na")</f>
        <v>na</v>
      </c>
      <c r="Z3244" s="110" t="s">
        <v>541</v>
      </c>
      <c r="AA3244" s="110" t="s">
        <v>541</v>
      </c>
      <c r="AB3244" s="110" t="s">
        <v>541</v>
      </c>
      <c r="AC3244" s="10" t="s">
        <v>541</v>
      </c>
      <c r="AD3244" s="10" t="s">
        <v>541</v>
      </c>
    </row>
    <row r="3245" spans="1:30" x14ac:dyDescent="0.2">
      <c r="A3245" s="110">
        <v>3245</v>
      </c>
      <c r="B3245" s="132">
        <v>41873</v>
      </c>
      <c r="C3245" s="117">
        <v>1</v>
      </c>
      <c r="D3245" s="142" t="s">
        <v>71</v>
      </c>
      <c r="E3245" s="142" t="s">
        <v>306</v>
      </c>
      <c r="H3245" s="142"/>
      <c r="I3245" s="103">
        <v>60</v>
      </c>
      <c r="K3245" s="142" t="s">
        <v>365</v>
      </c>
      <c r="L3245" s="133"/>
      <c r="M3245" s="134">
        <v>1.2499999999999999E-2</v>
      </c>
      <c r="N3245" s="143" t="s">
        <v>3936</v>
      </c>
      <c r="O3245" s="144" t="s">
        <v>1033</v>
      </c>
      <c r="Q3245" s="106" t="s">
        <v>4393</v>
      </c>
      <c r="R3245" s="226" t="s">
        <v>4409</v>
      </c>
      <c r="S3245" s="491" t="str">
        <f t="shared" si="105"/>
        <v>x</v>
      </c>
      <c r="T3245" s="492" t="str">
        <f>IFERROR(VLOOKUP(F3245,'Freq-Chan'!C:D,2,FALSE),"x")</f>
        <v>x</v>
      </c>
      <c r="U3245" s="110" t="s">
        <v>541</v>
      </c>
      <c r="V3245" s="110" t="str">
        <f t="shared" si="106"/>
        <v>FWL</v>
      </c>
      <c r="W3245" s="110" t="s">
        <v>541</v>
      </c>
      <c r="X3245" s="110" t="s">
        <v>541</v>
      </c>
      <c r="Y3245" s="110" t="str">
        <f>IFERROR(VLOOKUP(F3245,'Freq-Chan'!C:E,3,FALSE),"na")</f>
        <v>na</v>
      </c>
      <c r="Z3245" s="110" t="s">
        <v>541</v>
      </c>
      <c r="AA3245" s="110" t="s">
        <v>541</v>
      </c>
      <c r="AB3245" s="110" t="s">
        <v>541</v>
      </c>
      <c r="AC3245" s="10" t="s">
        <v>541</v>
      </c>
      <c r="AD3245" s="10" t="s">
        <v>541</v>
      </c>
    </row>
    <row r="3246" spans="1:30" x14ac:dyDescent="0.2">
      <c r="A3246" s="110">
        <v>3246</v>
      </c>
      <c r="B3246" s="132">
        <v>41873</v>
      </c>
      <c r="C3246" s="117">
        <v>1</v>
      </c>
      <c r="D3246" s="142" t="s">
        <v>72</v>
      </c>
      <c r="E3246" s="142" t="s">
        <v>306</v>
      </c>
      <c r="F3246" s="103">
        <v>266</v>
      </c>
      <c r="G3246" s="103">
        <v>70</v>
      </c>
      <c r="H3246" s="103" t="s">
        <v>3661</v>
      </c>
      <c r="I3246" s="103">
        <v>48</v>
      </c>
      <c r="K3246" s="142" t="s">
        <v>365</v>
      </c>
      <c r="L3246" s="133"/>
      <c r="M3246" s="134">
        <v>3.4722222222222224E-2</v>
      </c>
      <c r="N3246" s="143" t="s">
        <v>3281</v>
      </c>
      <c r="O3246" s="144" t="s">
        <v>1532</v>
      </c>
      <c r="P3246" s="100" t="s">
        <v>4466</v>
      </c>
      <c r="Q3246" s="106" t="s">
        <v>4399</v>
      </c>
      <c r="R3246" s="226" t="s">
        <v>4409</v>
      </c>
      <c r="S3246" s="491" t="str">
        <f t="shared" si="105"/>
        <v>x</v>
      </c>
      <c r="T3246" s="492">
        <f>IFERROR(VLOOKUP(F3246,'Freq-Chan'!C:D,2,FALSE),"x")</f>
        <v>151.26599999999999</v>
      </c>
      <c r="U3246" s="110" t="s">
        <v>541</v>
      </c>
      <c r="V3246" s="110" t="str">
        <f t="shared" si="106"/>
        <v>FWL</v>
      </c>
      <c r="W3246" s="110" t="s">
        <v>541</v>
      </c>
      <c r="X3246" s="110" t="s">
        <v>541</v>
      </c>
      <c r="Y3246" s="110" t="str">
        <f>IFERROR(VLOOKUP(F3246,'Freq-Chan'!C:E,3,FALSE),"na")</f>
        <v>F1840</v>
      </c>
      <c r="Z3246" s="110" t="s">
        <v>541</v>
      </c>
      <c r="AA3246" s="110" t="s">
        <v>541</v>
      </c>
      <c r="AB3246" s="110" t="s">
        <v>541</v>
      </c>
      <c r="AC3246" s="10" t="s">
        <v>541</v>
      </c>
      <c r="AD3246" s="10" t="s">
        <v>541</v>
      </c>
    </row>
    <row r="3247" spans="1:30" x14ac:dyDescent="0.2">
      <c r="A3247" s="110">
        <v>3247</v>
      </c>
      <c r="B3247" s="132">
        <v>41873</v>
      </c>
      <c r="C3247" s="117">
        <v>1</v>
      </c>
      <c r="D3247" s="142" t="s">
        <v>8</v>
      </c>
      <c r="E3247" s="142" t="s">
        <v>306</v>
      </c>
      <c r="F3247" s="103">
        <v>573</v>
      </c>
      <c r="G3247" s="103">
        <v>11</v>
      </c>
      <c r="H3247" s="103" t="s">
        <v>2261</v>
      </c>
      <c r="I3247" s="103">
        <v>47</v>
      </c>
      <c r="K3247" s="142" t="s">
        <v>364</v>
      </c>
      <c r="L3247" s="133"/>
      <c r="M3247" s="134">
        <v>3.888888888888889E-2</v>
      </c>
      <c r="N3247" s="143" t="s">
        <v>4013</v>
      </c>
      <c r="O3247" s="144" t="s">
        <v>1532</v>
      </c>
      <c r="Q3247" s="106" t="s">
        <v>4399</v>
      </c>
      <c r="R3247" s="226" t="s">
        <v>4409</v>
      </c>
      <c r="S3247" s="491" t="str">
        <f t="shared" si="105"/>
        <v>x</v>
      </c>
      <c r="T3247" s="492">
        <f>IFERROR(VLOOKUP(F3247,'Freq-Chan'!C:D,2,FALSE),"x")</f>
        <v>151.57300000000001</v>
      </c>
      <c r="U3247" s="110" t="s">
        <v>541</v>
      </c>
      <c r="V3247" s="110" t="str">
        <f t="shared" si="106"/>
        <v>FWL</v>
      </c>
      <c r="W3247" s="110" t="s">
        <v>541</v>
      </c>
      <c r="X3247" s="110" t="s">
        <v>541</v>
      </c>
      <c r="Y3247" s="110" t="str">
        <f>IFERROR(VLOOKUP(F3247,'Freq-Chan'!C:E,3,FALSE),"na")</f>
        <v>F1840</v>
      </c>
      <c r="Z3247" s="110" t="s">
        <v>541</v>
      </c>
      <c r="AA3247" s="110" t="s">
        <v>541</v>
      </c>
      <c r="AB3247" s="110" t="s">
        <v>541</v>
      </c>
      <c r="AC3247" s="10" t="s">
        <v>541</v>
      </c>
      <c r="AD3247" s="10" t="s">
        <v>541</v>
      </c>
    </row>
    <row r="3248" spans="1:30" x14ac:dyDescent="0.2">
      <c r="A3248" s="110">
        <v>3248</v>
      </c>
      <c r="B3248" s="132">
        <v>41873</v>
      </c>
      <c r="C3248" s="117">
        <v>1</v>
      </c>
      <c r="D3248" s="142" t="s">
        <v>71</v>
      </c>
      <c r="E3248" s="142" t="s">
        <v>306</v>
      </c>
      <c r="H3248" s="103"/>
      <c r="I3248" s="103">
        <v>62</v>
      </c>
      <c r="K3248" s="142" t="s">
        <v>1032</v>
      </c>
      <c r="L3248" s="133"/>
      <c r="M3248" s="134">
        <v>1.8055555555555557E-2</v>
      </c>
      <c r="N3248" s="143" t="s">
        <v>3176</v>
      </c>
      <c r="O3248" s="144" t="s">
        <v>1888</v>
      </c>
      <c r="Q3248" s="106" t="s">
        <v>4399</v>
      </c>
      <c r="R3248" s="226" t="s">
        <v>4409</v>
      </c>
      <c r="S3248" s="491" t="str">
        <f t="shared" si="105"/>
        <v>x</v>
      </c>
      <c r="T3248" s="492" t="str">
        <f>IFERROR(VLOOKUP(F3248,'Freq-Chan'!C:D,2,FALSE),"x")</f>
        <v>x</v>
      </c>
      <c r="U3248" s="110" t="s">
        <v>541</v>
      </c>
      <c r="V3248" s="110" t="str">
        <f t="shared" si="106"/>
        <v>FWL</v>
      </c>
      <c r="W3248" s="110" t="s">
        <v>541</v>
      </c>
      <c r="X3248" s="110" t="s">
        <v>541</v>
      </c>
      <c r="Y3248" s="110" t="str">
        <f>IFERROR(VLOOKUP(F3248,'Freq-Chan'!C:E,3,FALSE),"na")</f>
        <v>na</v>
      </c>
      <c r="Z3248" s="110" t="s">
        <v>541</v>
      </c>
      <c r="AA3248" s="110" t="s">
        <v>541</v>
      </c>
      <c r="AB3248" s="110" t="s">
        <v>541</v>
      </c>
      <c r="AC3248" s="10" t="s">
        <v>541</v>
      </c>
      <c r="AD3248" s="10" t="s">
        <v>541</v>
      </c>
    </row>
    <row r="3249" spans="1:30" x14ac:dyDescent="0.2">
      <c r="A3249" s="110">
        <v>3249</v>
      </c>
      <c r="B3249" s="132">
        <v>41873</v>
      </c>
      <c r="C3249" s="117">
        <v>1</v>
      </c>
      <c r="D3249" s="142" t="s">
        <v>72</v>
      </c>
      <c r="E3249" s="142" t="s">
        <v>306</v>
      </c>
      <c r="H3249" s="103"/>
      <c r="I3249" s="103">
        <v>60</v>
      </c>
      <c r="K3249" s="142" t="s">
        <v>1032</v>
      </c>
      <c r="L3249" s="133"/>
      <c r="M3249" s="134">
        <v>1.3194444444444444E-2</v>
      </c>
      <c r="N3249" s="143" t="s">
        <v>2899</v>
      </c>
      <c r="O3249" s="144" t="s">
        <v>1033</v>
      </c>
      <c r="Q3249" s="106" t="s">
        <v>4398</v>
      </c>
      <c r="R3249" s="226" t="s">
        <v>4409</v>
      </c>
      <c r="S3249" s="491" t="str">
        <f t="shared" si="105"/>
        <v>x</v>
      </c>
      <c r="T3249" s="492" t="str">
        <f>IFERROR(VLOOKUP(F3249,'Freq-Chan'!C:D,2,FALSE),"x")</f>
        <v>x</v>
      </c>
      <c r="U3249" s="110" t="s">
        <v>541</v>
      </c>
      <c r="V3249" s="110" t="str">
        <f t="shared" si="106"/>
        <v>FWL</v>
      </c>
      <c r="W3249" s="110" t="s">
        <v>541</v>
      </c>
      <c r="X3249" s="110" t="s">
        <v>541</v>
      </c>
      <c r="Y3249" s="110" t="str">
        <f>IFERROR(VLOOKUP(F3249,'Freq-Chan'!C:E,3,FALSE),"na")</f>
        <v>na</v>
      </c>
      <c r="Z3249" s="110" t="s">
        <v>541</v>
      </c>
      <c r="AA3249" s="110" t="s">
        <v>541</v>
      </c>
      <c r="AB3249" s="110" t="s">
        <v>541</v>
      </c>
      <c r="AC3249" s="10" t="s">
        <v>541</v>
      </c>
      <c r="AD3249" s="10" t="s">
        <v>541</v>
      </c>
    </row>
    <row r="3250" spans="1:30" x14ac:dyDescent="0.2">
      <c r="A3250" s="110">
        <v>3250</v>
      </c>
      <c r="B3250" s="132">
        <v>41873</v>
      </c>
      <c r="C3250" s="117">
        <v>1</v>
      </c>
      <c r="D3250" s="142" t="s">
        <v>72</v>
      </c>
      <c r="E3250" s="142" t="s">
        <v>306</v>
      </c>
      <c r="H3250" s="103"/>
      <c r="I3250" s="103">
        <v>47</v>
      </c>
      <c r="K3250" s="142" t="s">
        <v>365</v>
      </c>
      <c r="L3250" s="133"/>
      <c r="M3250" s="134">
        <v>1.2499999999999999E-2</v>
      </c>
      <c r="N3250" s="143" t="s">
        <v>4104</v>
      </c>
      <c r="O3250" s="144" t="s">
        <v>1033</v>
      </c>
      <c r="Q3250" s="106" t="s">
        <v>4398</v>
      </c>
      <c r="R3250" s="226" t="s">
        <v>4409</v>
      </c>
      <c r="S3250" s="491" t="str">
        <f t="shared" ref="S3250:S3313" si="107">IF(IF(OR(L3250=0,N3250=0),"x",ROUND(N3250-L3250-(M3250*24)/(24*60),10))&lt;0,0,IF(OR(L3250=0,N3250=0),"x",ROUND(N3250-L3250-(M3250*24)/(24*60),10)))</f>
        <v>x</v>
      </c>
      <c r="T3250" s="492" t="str">
        <f>IFERROR(VLOOKUP(F3250,'Freq-Chan'!C:D,2,FALSE),"x")</f>
        <v>x</v>
      </c>
      <c r="U3250" s="110" t="s">
        <v>541</v>
      </c>
      <c r="V3250" s="110" t="str">
        <f t="shared" ref="V3250:V3313" si="108">IF(OR(C3250=1,C3250=2,C3250=3),"FWL","NRD")</f>
        <v>FWL</v>
      </c>
      <c r="W3250" s="110" t="s">
        <v>541</v>
      </c>
      <c r="X3250" s="110" t="s">
        <v>541</v>
      </c>
      <c r="Y3250" s="110" t="str">
        <f>IFERROR(VLOOKUP(F3250,'Freq-Chan'!C:E,3,FALSE),"na")</f>
        <v>na</v>
      </c>
      <c r="Z3250" s="110" t="s">
        <v>541</v>
      </c>
      <c r="AA3250" s="110" t="s">
        <v>541</v>
      </c>
      <c r="AB3250" s="110" t="s">
        <v>541</v>
      </c>
      <c r="AC3250" s="10" t="s">
        <v>541</v>
      </c>
      <c r="AD3250" s="10" t="s">
        <v>541</v>
      </c>
    </row>
    <row r="3251" spans="1:30" x14ac:dyDescent="0.2">
      <c r="A3251" s="110">
        <v>3251</v>
      </c>
      <c r="B3251" s="132">
        <v>41873</v>
      </c>
      <c r="C3251" s="117">
        <v>1</v>
      </c>
      <c r="D3251" s="142" t="s">
        <v>71</v>
      </c>
      <c r="E3251" s="142" t="s">
        <v>306</v>
      </c>
      <c r="H3251" s="103"/>
      <c r="I3251" s="103">
        <v>50</v>
      </c>
      <c r="K3251" s="142" t="s">
        <v>365</v>
      </c>
      <c r="L3251" s="133"/>
      <c r="M3251" s="134">
        <v>1.1805555555555555E-2</v>
      </c>
      <c r="N3251" s="143" t="s">
        <v>4103</v>
      </c>
      <c r="O3251" s="144" t="s">
        <v>1033</v>
      </c>
      <c r="Q3251" s="106" t="s">
        <v>4398</v>
      </c>
      <c r="R3251" s="226" t="s">
        <v>4409</v>
      </c>
      <c r="S3251" s="491" t="str">
        <f t="shared" si="107"/>
        <v>x</v>
      </c>
      <c r="T3251" s="492" t="str">
        <f>IFERROR(VLOOKUP(F3251,'Freq-Chan'!C:D,2,FALSE),"x")</f>
        <v>x</v>
      </c>
      <c r="U3251" s="110" t="s">
        <v>541</v>
      </c>
      <c r="V3251" s="110" t="str">
        <f t="shared" si="108"/>
        <v>FWL</v>
      </c>
      <c r="W3251" s="110" t="s">
        <v>541</v>
      </c>
      <c r="X3251" s="110" t="s">
        <v>541</v>
      </c>
      <c r="Y3251" s="110" t="str">
        <f>IFERROR(VLOOKUP(F3251,'Freq-Chan'!C:E,3,FALSE),"na")</f>
        <v>na</v>
      </c>
      <c r="Z3251" s="110" t="s">
        <v>541</v>
      </c>
      <c r="AA3251" s="110" t="s">
        <v>541</v>
      </c>
      <c r="AB3251" s="110" t="s">
        <v>541</v>
      </c>
      <c r="AC3251" s="10" t="s">
        <v>541</v>
      </c>
      <c r="AD3251" s="10" t="s">
        <v>541</v>
      </c>
    </row>
    <row r="3252" spans="1:30" x14ac:dyDescent="0.2">
      <c r="A3252" s="110">
        <v>3252</v>
      </c>
      <c r="B3252" s="132">
        <v>41873</v>
      </c>
      <c r="C3252" s="117">
        <v>1</v>
      </c>
      <c r="D3252" s="142" t="s">
        <v>71</v>
      </c>
      <c r="E3252" s="142" t="s">
        <v>306</v>
      </c>
      <c r="H3252" s="103"/>
      <c r="I3252" s="103">
        <v>52</v>
      </c>
      <c r="K3252" s="142" t="s">
        <v>365</v>
      </c>
      <c r="L3252" s="133"/>
      <c r="M3252" s="134">
        <v>1.3888888888888888E-2</v>
      </c>
      <c r="N3252" s="143" t="s">
        <v>3178</v>
      </c>
      <c r="O3252" s="144" t="s">
        <v>1033</v>
      </c>
      <c r="Q3252" s="106" t="s">
        <v>4398</v>
      </c>
      <c r="R3252" s="226" t="s">
        <v>4409</v>
      </c>
      <c r="S3252" s="491" t="str">
        <f t="shared" si="107"/>
        <v>x</v>
      </c>
      <c r="T3252" s="492" t="str">
        <f>IFERROR(VLOOKUP(F3252,'Freq-Chan'!C:D,2,FALSE),"x")</f>
        <v>x</v>
      </c>
      <c r="U3252" s="110" t="s">
        <v>541</v>
      </c>
      <c r="V3252" s="110" t="str">
        <f t="shared" si="108"/>
        <v>FWL</v>
      </c>
      <c r="W3252" s="110" t="s">
        <v>541</v>
      </c>
      <c r="X3252" s="110" t="s">
        <v>541</v>
      </c>
      <c r="Y3252" s="110" t="str">
        <f>IFERROR(VLOOKUP(F3252,'Freq-Chan'!C:E,3,FALSE),"na")</f>
        <v>na</v>
      </c>
      <c r="Z3252" s="110" t="s">
        <v>541</v>
      </c>
      <c r="AA3252" s="110" t="s">
        <v>541</v>
      </c>
      <c r="AB3252" s="110" t="s">
        <v>541</v>
      </c>
      <c r="AC3252" s="10" t="s">
        <v>541</v>
      </c>
      <c r="AD3252" s="10" t="s">
        <v>541</v>
      </c>
    </row>
    <row r="3253" spans="1:30" x14ac:dyDescent="0.2">
      <c r="A3253" s="110">
        <v>3253</v>
      </c>
      <c r="B3253" s="132">
        <v>41873</v>
      </c>
      <c r="C3253" s="117">
        <v>1</v>
      </c>
      <c r="D3253" s="142" t="s">
        <v>70</v>
      </c>
      <c r="E3253" s="142" t="s">
        <v>306</v>
      </c>
      <c r="H3253" s="103"/>
      <c r="I3253" s="103">
        <v>47</v>
      </c>
      <c r="K3253" s="142" t="s">
        <v>1032</v>
      </c>
      <c r="L3253" s="133"/>
      <c r="M3253" s="134">
        <v>1.1111111111111112E-2</v>
      </c>
      <c r="N3253" s="143" t="s">
        <v>3180</v>
      </c>
      <c r="O3253" s="144" t="s">
        <v>1033</v>
      </c>
      <c r="P3253" s="106"/>
      <c r="Q3253" s="106" t="s">
        <v>4398</v>
      </c>
      <c r="R3253" s="226" t="s">
        <v>4409</v>
      </c>
      <c r="S3253" s="491" t="str">
        <f t="shared" si="107"/>
        <v>x</v>
      </c>
      <c r="T3253" s="492" t="str">
        <f>IFERROR(VLOOKUP(F3253,'Freq-Chan'!C:D,2,FALSE),"x")</f>
        <v>x</v>
      </c>
      <c r="U3253" s="110" t="s">
        <v>541</v>
      </c>
      <c r="V3253" s="110" t="str">
        <f t="shared" si="108"/>
        <v>FWL</v>
      </c>
      <c r="W3253" s="110" t="s">
        <v>541</v>
      </c>
      <c r="X3253" s="110" t="s">
        <v>541</v>
      </c>
      <c r="Y3253" s="110" t="str">
        <f>IFERROR(VLOOKUP(F3253,'Freq-Chan'!C:E,3,FALSE),"na")</f>
        <v>na</v>
      </c>
      <c r="Z3253" s="110" t="s">
        <v>541</v>
      </c>
      <c r="AA3253" s="110" t="s">
        <v>541</v>
      </c>
      <c r="AB3253" s="110" t="s">
        <v>541</v>
      </c>
      <c r="AC3253" s="10" t="s">
        <v>541</v>
      </c>
      <c r="AD3253" s="10" t="s">
        <v>541</v>
      </c>
    </row>
    <row r="3254" spans="1:30" x14ac:dyDescent="0.2">
      <c r="A3254" s="110">
        <v>3254</v>
      </c>
      <c r="B3254" s="132">
        <v>41873</v>
      </c>
      <c r="C3254" s="117">
        <v>1</v>
      </c>
      <c r="D3254" s="142" t="s">
        <v>71</v>
      </c>
      <c r="E3254" s="142" t="s">
        <v>306</v>
      </c>
      <c r="H3254" s="103"/>
      <c r="I3254" s="103">
        <v>50</v>
      </c>
      <c r="K3254" s="142" t="s">
        <v>1032</v>
      </c>
      <c r="L3254" s="133"/>
      <c r="M3254" s="134">
        <v>1.1805555555555555E-2</v>
      </c>
      <c r="N3254" s="143" t="s">
        <v>3721</v>
      </c>
      <c r="O3254" s="144" t="s">
        <v>376</v>
      </c>
      <c r="Q3254" s="106" t="s">
        <v>4398</v>
      </c>
      <c r="R3254" s="226" t="s">
        <v>4409</v>
      </c>
      <c r="S3254" s="491" t="str">
        <f t="shared" si="107"/>
        <v>x</v>
      </c>
      <c r="T3254" s="492" t="str">
        <f>IFERROR(VLOOKUP(F3254,'Freq-Chan'!C:D,2,FALSE),"x")</f>
        <v>x</v>
      </c>
      <c r="U3254" s="110" t="s">
        <v>541</v>
      </c>
      <c r="V3254" s="110" t="str">
        <f t="shared" si="108"/>
        <v>FWL</v>
      </c>
      <c r="W3254" s="110" t="s">
        <v>541</v>
      </c>
      <c r="X3254" s="110" t="s">
        <v>541</v>
      </c>
      <c r="Y3254" s="110" t="str">
        <f>IFERROR(VLOOKUP(F3254,'Freq-Chan'!C:E,3,FALSE),"na")</f>
        <v>na</v>
      </c>
      <c r="Z3254" s="110" t="s">
        <v>541</v>
      </c>
      <c r="AA3254" s="110" t="s">
        <v>541</v>
      </c>
      <c r="AB3254" s="110" t="s">
        <v>541</v>
      </c>
      <c r="AC3254" s="10" t="s">
        <v>541</v>
      </c>
      <c r="AD3254" s="10" t="s">
        <v>541</v>
      </c>
    </row>
    <row r="3255" spans="1:30" x14ac:dyDescent="0.2">
      <c r="A3255" s="110">
        <v>3255</v>
      </c>
      <c r="B3255" s="132">
        <v>41873</v>
      </c>
      <c r="C3255" s="117">
        <v>1</v>
      </c>
      <c r="D3255" s="142" t="s">
        <v>72</v>
      </c>
      <c r="E3255" s="142" t="s">
        <v>306</v>
      </c>
      <c r="H3255" s="103"/>
      <c r="I3255" s="103">
        <v>55</v>
      </c>
      <c r="K3255" s="142" t="s">
        <v>1032</v>
      </c>
      <c r="L3255" s="133"/>
      <c r="M3255" s="134">
        <v>1.3194444444444444E-2</v>
      </c>
      <c r="N3255" s="143" t="s">
        <v>1665</v>
      </c>
      <c r="O3255" s="144" t="s">
        <v>376</v>
      </c>
      <c r="Q3255" s="106" t="s">
        <v>4398</v>
      </c>
      <c r="R3255" s="226" t="s">
        <v>4409</v>
      </c>
      <c r="S3255" s="491" t="str">
        <f t="shared" si="107"/>
        <v>x</v>
      </c>
      <c r="T3255" s="492" t="str">
        <f>IFERROR(VLOOKUP(F3255,'Freq-Chan'!C:D,2,FALSE),"x")</f>
        <v>x</v>
      </c>
      <c r="U3255" s="110" t="s">
        <v>541</v>
      </c>
      <c r="V3255" s="110" t="str">
        <f t="shared" si="108"/>
        <v>FWL</v>
      </c>
      <c r="W3255" s="110" t="s">
        <v>541</v>
      </c>
      <c r="X3255" s="110" t="s">
        <v>541</v>
      </c>
      <c r="Y3255" s="110" t="str">
        <f>IFERROR(VLOOKUP(F3255,'Freq-Chan'!C:E,3,FALSE),"na")</f>
        <v>na</v>
      </c>
      <c r="Z3255" s="110" t="s">
        <v>541</v>
      </c>
      <c r="AA3255" s="110" t="s">
        <v>541</v>
      </c>
      <c r="AB3255" s="110" t="s">
        <v>541</v>
      </c>
      <c r="AC3255" s="10" t="s">
        <v>541</v>
      </c>
      <c r="AD3255" s="10" t="s">
        <v>541</v>
      </c>
    </row>
    <row r="3256" spans="1:30" x14ac:dyDescent="0.2">
      <c r="A3256" s="110">
        <v>3256</v>
      </c>
      <c r="B3256" s="132">
        <v>41873</v>
      </c>
      <c r="C3256" s="117">
        <v>1</v>
      </c>
      <c r="D3256" s="142" t="s">
        <v>70</v>
      </c>
      <c r="E3256" s="142" t="s">
        <v>306</v>
      </c>
      <c r="H3256" s="103"/>
      <c r="I3256" s="103">
        <v>47</v>
      </c>
      <c r="K3256" s="142" t="s">
        <v>365</v>
      </c>
      <c r="L3256" s="133"/>
      <c r="M3256" s="134">
        <v>9.7222222222222224E-3</v>
      </c>
      <c r="N3256" s="135" t="s">
        <v>2541</v>
      </c>
      <c r="O3256" s="144" t="s">
        <v>376</v>
      </c>
      <c r="Q3256" s="106" t="s">
        <v>4393</v>
      </c>
      <c r="R3256" s="226" t="s">
        <v>4409</v>
      </c>
      <c r="S3256" s="491" t="str">
        <f t="shared" si="107"/>
        <v>x</v>
      </c>
      <c r="T3256" s="492" t="str">
        <f>IFERROR(VLOOKUP(F3256,'Freq-Chan'!C:D,2,FALSE),"x")</f>
        <v>x</v>
      </c>
      <c r="U3256" s="110" t="s">
        <v>541</v>
      </c>
      <c r="V3256" s="110" t="str">
        <f t="shared" si="108"/>
        <v>FWL</v>
      </c>
      <c r="W3256" s="110" t="s">
        <v>541</v>
      </c>
      <c r="X3256" s="110" t="s">
        <v>541</v>
      </c>
      <c r="Y3256" s="110" t="str">
        <f>IFERROR(VLOOKUP(F3256,'Freq-Chan'!C:E,3,FALSE),"na")</f>
        <v>na</v>
      </c>
      <c r="Z3256" s="110" t="s">
        <v>541</v>
      </c>
      <c r="AA3256" s="110" t="s">
        <v>541</v>
      </c>
      <c r="AB3256" s="110" t="s">
        <v>541</v>
      </c>
      <c r="AC3256" s="10" t="s">
        <v>541</v>
      </c>
      <c r="AD3256" s="10" t="s">
        <v>541</v>
      </c>
    </row>
    <row r="3257" spans="1:30" x14ac:dyDescent="0.2">
      <c r="A3257" s="110">
        <v>3257</v>
      </c>
      <c r="B3257" s="132">
        <v>41873</v>
      </c>
      <c r="C3257" s="117">
        <v>1</v>
      </c>
      <c r="D3257" s="142" t="s">
        <v>71</v>
      </c>
      <c r="E3257" s="142" t="s">
        <v>306</v>
      </c>
      <c r="H3257" s="103"/>
      <c r="I3257" s="103">
        <v>57</v>
      </c>
      <c r="K3257" s="142" t="s">
        <v>365</v>
      </c>
      <c r="L3257" s="133"/>
      <c r="M3257" s="134">
        <v>1.3194444444444444E-2</v>
      </c>
      <c r="N3257" s="143" t="s">
        <v>3405</v>
      </c>
      <c r="O3257" s="144" t="s">
        <v>376</v>
      </c>
      <c r="Q3257" s="106" t="s">
        <v>4393</v>
      </c>
      <c r="R3257" s="226" t="s">
        <v>4409</v>
      </c>
      <c r="S3257" s="491" t="str">
        <f t="shared" si="107"/>
        <v>x</v>
      </c>
      <c r="T3257" s="492" t="str">
        <f>IFERROR(VLOOKUP(F3257,'Freq-Chan'!C:D,2,FALSE),"x")</f>
        <v>x</v>
      </c>
      <c r="U3257" s="110" t="s">
        <v>541</v>
      </c>
      <c r="V3257" s="110" t="str">
        <f t="shared" si="108"/>
        <v>FWL</v>
      </c>
      <c r="W3257" s="110" t="s">
        <v>541</v>
      </c>
      <c r="X3257" s="110" t="s">
        <v>541</v>
      </c>
      <c r="Y3257" s="110" t="str">
        <f>IFERROR(VLOOKUP(F3257,'Freq-Chan'!C:E,3,FALSE),"na")</f>
        <v>na</v>
      </c>
      <c r="Z3257" s="110" t="s">
        <v>541</v>
      </c>
      <c r="AA3257" s="110" t="s">
        <v>541</v>
      </c>
      <c r="AB3257" s="110" t="s">
        <v>541</v>
      </c>
      <c r="AC3257" s="10" t="s">
        <v>541</v>
      </c>
      <c r="AD3257" s="10" t="s">
        <v>541</v>
      </c>
    </row>
    <row r="3258" spans="1:30" x14ac:dyDescent="0.2">
      <c r="A3258" s="110">
        <v>3258</v>
      </c>
      <c r="B3258" s="132">
        <v>41873</v>
      </c>
      <c r="C3258" s="117">
        <v>1</v>
      </c>
      <c r="D3258" s="142" t="s">
        <v>72</v>
      </c>
      <c r="E3258" s="142" t="s">
        <v>306</v>
      </c>
      <c r="H3258" s="103"/>
      <c r="I3258" s="103">
        <v>50</v>
      </c>
      <c r="K3258" s="142" t="s">
        <v>365</v>
      </c>
      <c r="L3258" s="133"/>
      <c r="M3258" s="134">
        <v>1.3888888888888888E-2</v>
      </c>
      <c r="N3258" s="143" t="s">
        <v>4401</v>
      </c>
      <c r="O3258" s="144" t="s">
        <v>376</v>
      </c>
      <c r="Q3258" s="106" t="s">
        <v>4393</v>
      </c>
      <c r="R3258" s="226" t="s">
        <v>4409</v>
      </c>
      <c r="S3258" s="491" t="str">
        <f t="shared" si="107"/>
        <v>x</v>
      </c>
      <c r="T3258" s="492" t="str">
        <f>IFERROR(VLOOKUP(F3258,'Freq-Chan'!C:D,2,FALSE),"x")</f>
        <v>x</v>
      </c>
      <c r="U3258" s="110" t="s">
        <v>541</v>
      </c>
      <c r="V3258" s="110" t="str">
        <f t="shared" si="108"/>
        <v>FWL</v>
      </c>
      <c r="W3258" s="110" t="s">
        <v>541</v>
      </c>
      <c r="X3258" s="110" t="s">
        <v>541</v>
      </c>
      <c r="Y3258" s="110" t="str">
        <f>IFERROR(VLOOKUP(F3258,'Freq-Chan'!C:E,3,FALSE),"na")</f>
        <v>na</v>
      </c>
      <c r="Z3258" s="110" t="s">
        <v>541</v>
      </c>
      <c r="AA3258" s="110" t="s">
        <v>541</v>
      </c>
      <c r="AB3258" s="110" t="s">
        <v>541</v>
      </c>
      <c r="AC3258" s="10" t="s">
        <v>541</v>
      </c>
      <c r="AD3258" s="10" t="s">
        <v>541</v>
      </c>
    </row>
    <row r="3259" spans="1:30" x14ac:dyDescent="0.2">
      <c r="A3259" s="110">
        <v>3259</v>
      </c>
      <c r="B3259" s="132">
        <v>41873</v>
      </c>
      <c r="C3259" s="117">
        <v>1</v>
      </c>
      <c r="D3259" s="142" t="s">
        <v>72</v>
      </c>
      <c r="E3259" s="142" t="s">
        <v>306</v>
      </c>
      <c r="H3259" s="103"/>
      <c r="I3259" s="103">
        <v>55</v>
      </c>
      <c r="K3259" s="142" t="s">
        <v>365</v>
      </c>
      <c r="L3259" s="133"/>
      <c r="M3259" s="134">
        <v>2.0833333333333332E-2</v>
      </c>
      <c r="N3259" s="135" t="s">
        <v>2816</v>
      </c>
      <c r="O3259" s="144" t="s">
        <v>376</v>
      </c>
      <c r="Q3259" s="106" t="s">
        <v>4393</v>
      </c>
      <c r="R3259" s="226" t="s">
        <v>4409</v>
      </c>
      <c r="S3259" s="491" t="str">
        <f t="shared" si="107"/>
        <v>x</v>
      </c>
      <c r="T3259" s="492" t="str">
        <f>IFERROR(VLOOKUP(F3259,'Freq-Chan'!C:D,2,FALSE),"x")</f>
        <v>x</v>
      </c>
      <c r="U3259" s="110" t="s">
        <v>541</v>
      </c>
      <c r="V3259" s="110" t="str">
        <f t="shared" si="108"/>
        <v>FWL</v>
      </c>
      <c r="W3259" s="110" t="s">
        <v>541</v>
      </c>
      <c r="X3259" s="110" t="s">
        <v>541</v>
      </c>
      <c r="Y3259" s="110" t="str">
        <f>IFERROR(VLOOKUP(F3259,'Freq-Chan'!C:E,3,FALSE),"na")</f>
        <v>na</v>
      </c>
      <c r="Z3259" s="110" t="s">
        <v>541</v>
      </c>
      <c r="AA3259" s="110" t="s">
        <v>541</v>
      </c>
      <c r="AB3259" s="110" t="s">
        <v>541</v>
      </c>
      <c r="AC3259" s="10" t="s">
        <v>541</v>
      </c>
      <c r="AD3259" s="10" t="s">
        <v>541</v>
      </c>
    </row>
    <row r="3260" spans="1:30" x14ac:dyDescent="0.2">
      <c r="A3260" s="110">
        <v>3260</v>
      </c>
      <c r="B3260" s="132">
        <v>41873</v>
      </c>
      <c r="C3260" s="117">
        <v>1</v>
      </c>
      <c r="D3260" s="142" t="s">
        <v>72</v>
      </c>
      <c r="E3260" s="142" t="s">
        <v>306</v>
      </c>
      <c r="H3260" s="103"/>
      <c r="I3260" s="103">
        <v>54</v>
      </c>
      <c r="K3260" s="142" t="s">
        <v>1032</v>
      </c>
      <c r="L3260" s="133"/>
      <c r="M3260" s="134">
        <v>1.8749999999999999E-2</v>
      </c>
      <c r="N3260" s="135" t="s">
        <v>2816</v>
      </c>
      <c r="O3260" s="144" t="s">
        <v>376</v>
      </c>
      <c r="Q3260" s="106" t="s">
        <v>4393</v>
      </c>
      <c r="R3260" s="226" t="s">
        <v>4409</v>
      </c>
      <c r="S3260" s="491" t="str">
        <f t="shared" si="107"/>
        <v>x</v>
      </c>
      <c r="T3260" s="492" t="str">
        <f>IFERROR(VLOOKUP(F3260,'Freq-Chan'!C:D,2,FALSE),"x")</f>
        <v>x</v>
      </c>
      <c r="U3260" s="110" t="s">
        <v>541</v>
      </c>
      <c r="V3260" s="110" t="str">
        <f t="shared" si="108"/>
        <v>FWL</v>
      </c>
      <c r="W3260" s="110" t="s">
        <v>541</v>
      </c>
      <c r="X3260" s="110" t="s">
        <v>541</v>
      </c>
      <c r="Y3260" s="110" t="str">
        <f>IFERROR(VLOOKUP(F3260,'Freq-Chan'!C:E,3,FALSE),"na")</f>
        <v>na</v>
      </c>
      <c r="Z3260" s="110" t="s">
        <v>541</v>
      </c>
      <c r="AA3260" s="110" t="s">
        <v>541</v>
      </c>
      <c r="AB3260" s="110" t="s">
        <v>541</v>
      </c>
      <c r="AC3260" s="10" t="s">
        <v>541</v>
      </c>
      <c r="AD3260" s="10" t="s">
        <v>541</v>
      </c>
    </row>
    <row r="3261" spans="1:30" x14ac:dyDescent="0.2">
      <c r="A3261" s="110">
        <v>3261</v>
      </c>
      <c r="B3261" s="132">
        <v>41873</v>
      </c>
      <c r="C3261" s="117">
        <v>1</v>
      </c>
      <c r="D3261" s="142" t="s">
        <v>72</v>
      </c>
      <c r="E3261" s="142" t="s">
        <v>306</v>
      </c>
      <c r="H3261" s="103"/>
      <c r="I3261" s="103">
        <v>57</v>
      </c>
      <c r="K3261" s="142" t="s">
        <v>1032</v>
      </c>
      <c r="L3261" s="133"/>
      <c r="M3261" s="134">
        <v>2.0833333333333332E-2</v>
      </c>
      <c r="N3261" s="135" t="s">
        <v>3906</v>
      </c>
      <c r="O3261" s="144" t="s">
        <v>376</v>
      </c>
      <c r="Q3261" s="106" t="s">
        <v>4393</v>
      </c>
      <c r="R3261" s="226" t="s">
        <v>4409</v>
      </c>
      <c r="S3261" s="491" t="str">
        <f t="shared" si="107"/>
        <v>x</v>
      </c>
      <c r="T3261" s="492" t="str">
        <f>IFERROR(VLOOKUP(F3261,'Freq-Chan'!C:D,2,FALSE),"x")</f>
        <v>x</v>
      </c>
      <c r="U3261" s="110" t="s">
        <v>541</v>
      </c>
      <c r="V3261" s="110" t="str">
        <f t="shared" si="108"/>
        <v>FWL</v>
      </c>
      <c r="W3261" s="110" t="s">
        <v>541</v>
      </c>
      <c r="X3261" s="110" t="s">
        <v>541</v>
      </c>
      <c r="Y3261" s="110" t="str">
        <f>IFERROR(VLOOKUP(F3261,'Freq-Chan'!C:E,3,FALSE),"na")</f>
        <v>na</v>
      </c>
      <c r="Z3261" s="110" t="s">
        <v>541</v>
      </c>
      <c r="AA3261" s="110" t="s">
        <v>541</v>
      </c>
      <c r="AB3261" s="110" t="s">
        <v>541</v>
      </c>
      <c r="AC3261" s="10" t="s">
        <v>541</v>
      </c>
      <c r="AD3261" s="10" t="s">
        <v>541</v>
      </c>
    </row>
    <row r="3262" spans="1:30" x14ac:dyDescent="0.2">
      <c r="A3262" s="110">
        <v>3262</v>
      </c>
      <c r="B3262" s="132">
        <v>41873</v>
      </c>
      <c r="C3262" s="117">
        <v>1</v>
      </c>
      <c r="D3262" s="142" t="s">
        <v>71</v>
      </c>
      <c r="E3262" s="142" t="s">
        <v>306</v>
      </c>
      <c r="H3262" s="103"/>
      <c r="I3262" s="103">
        <v>53</v>
      </c>
      <c r="K3262" s="142" t="s">
        <v>1032</v>
      </c>
      <c r="L3262" s="133"/>
      <c r="M3262" s="134">
        <v>2.1527777777777781E-2</v>
      </c>
      <c r="N3262" s="135" t="s">
        <v>4110</v>
      </c>
      <c r="O3262" s="144" t="s">
        <v>3932</v>
      </c>
      <c r="Q3262" s="106" t="s">
        <v>4397</v>
      </c>
      <c r="R3262" s="226" t="s">
        <v>4409</v>
      </c>
      <c r="S3262" s="491" t="str">
        <f t="shared" si="107"/>
        <v>x</v>
      </c>
      <c r="T3262" s="492" t="str">
        <f>IFERROR(VLOOKUP(F3262,'Freq-Chan'!C:D,2,FALSE),"x")</f>
        <v>x</v>
      </c>
      <c r="U3262" s="110" t="s">
        <v>541</v>
      </c>
      <c r="V3262" s="110" t="str">
        <f t="shared" si="108"/>
        <v>FWL</v>
      </c>
      <c r="W3262" s="110" t="s">
        <v>541</v>
      </c>
      <c r="X3262" s="110" t="s">
        <v>541</v>
      </c>
      <c r="Y3262" s="110" t="str">
        <f>IFERROR(VLOOKUP(F3262,'Freq-Chan'!C:E,3,FALSE),"na")</f>
        <v>na</v>
      </c>
      <c r="Z3262" s="110" t="s">
        <v>541</v>
      </c>
      <c r="AA3262" s="110" t="s">
        <v>541</v>
      </c>
      <c r="AB3262" s="110" t="s">
        <v>541</v>
      </c>
      <c r="AC3262" s="10" t="s">
        <v>541</v>
      </c>
      <c r="AD3262" s="10" t="s">
        <v>541</v>
      </c>
    </row>
    <row r="3263" spans="1:30" x14ac:dyDescent="0.2">
      <c r="A3263" s="110">
        <v>3263</v>
      </c>
      <c r="B3263" s="132">
        <v>41873</v>
      </c>
      <c r="C3263" s="117">
        <v>1</v>
      </c>
      <c r="D3263" s="142" t="s">
        <v>72</v>
      </c>
      <c r="E3263" s="142" t="s">
        <v>306</v>
      </c>
      <c r="H3263" s="142"/>
      <c r="I3263" s="103">
        <v>44</v>
      </c>
      <c r="K3263" s="142" t="s">
        <v>1032</v>
      </c>
      <c r="L3263" s="133"/>
      <c r="M3263" s="134">
        <v>2.013888888888889E-2</v>
      </c>
      <c r="N3263" s="143" t="s">
        <v>4402</v>
      </c>
      <c r="O3263" s="144" t="s">
        <v>3932</v>
      </c>
      <c r="Q3263" s="106" t="s">
        <v>4397</v>
      </c>
      <c r="R3263" s="226" t="s">
        <v>4409</v>
      </c>
      <c r="S3263" s="491" t="str">
        <f t="shared" si="107"/>
        <v>x</v>
      </c>
      <c r="T3263" s="492" t="str">
        <f>IFERROR(VLOOKUP(F3263,'Freq-Chan'!C:D,2,FALSE),"x")</f>
        <v>x</v>
      </c>
      <c r="U3263" s="110" t="s">
        <v>541</v>
      </c>
      <c r="V3263" s="110" t="str">
        <f t="shared" si="108"/>
        <v>FWL</v>
      </c>
      <c r="W3263" s="110" t="s">
        <v>541</v>
      </c>
      <c r="X3263" s="110" t="s">
        <v>541</v>
      </c>
      <c r="Y3263" s="110" t="str">
        <f>IFERROR(VLOOKUP(F3263,'Freq-Chan'!C:E,3,FALSE),"na")</f>
        <v>na</v>
      </c>
      <c r="Z3263" s="110" t="s">
        <v>541</v>
      </c>
      <c r="AA3263" s="110" t="s">
        <v>541</v>
      </c>
      <c r="AB3263" s="110" t="s">
        <v>541</v>
      </c>
      <c r="AC3263" s="10" t="s">
        <v>541</v>
      </c>
      <c r="AD3263" s="10" t="s">
        <v>541</v>
      </c>
    </row>
    <row r="3264" spans="1:30" x14ac:dyDescent="0.2">
      <c r="A3264" s="110">
        <v>3264</v>
      </c>
      <c r="B3264" s="132">
        <v>41873</v>
      </c>
      <c r="C3264" s="117">
        <v>1</v>
      </c>
      <c r="D3264" s="142" t="s">
        <v>70</v>
      </c>
      <c r="E3264" s="142" t="s">
        <v>306</v>
      </c>
      <c r="H3264" s="103"/>
      <c r="I3264" s="103">
        <v>43</v>
      </c>
      <c r="K3264" s="142" t="s">
        <v>365</v>
      </c>
      <c r="L3264" s="133"/>
      <c r="M3264" s="134">
        <v>1.8749999999999999E-2</v>
      </c>
      <c r="N3264" s="135" t="s">
        <v>1687</v>
      </c>
      <c r="O3264" s="144" t="s">
        <v>3932</v>
      </c>
      <c r="Q3264" s="106" t="s">
        <v>4397</v>
      </c>
      <c r="R3264" s="226" t="s">
        <v>4409</v>
      </c>
      <c r="S3264" s="491" t="str">
        <f t="shared" si="107"/>
        <v>x</v>
      </c>
      <c r="T3264" s="492" t="str">
        <f>IFERROR(VLOOKUP(F3264,'Freq-Chan'!C:D,2,FALSE),"x")</f>
        <v>x</v>
      </c>
      <c r="U3264" s="110" t="s">
        <v>541</v>
      </c>
      <c r="V3264" s="110" t="str">
        <f t="shared" si="108"/>
        <v>FWL</v>
      </c>
      <c r="W3264" s="110" t="s">
        <v>541</v>
      </c>
      <c r="X3264" s="110" t="s">
        <v>541</v>
      </c>
      <c r="Y3264" s="110" t="str">
        <f>IFERROR(VLOOKUP(F3264,'Freq-Chan'!C:E,3,FALSE),"na")</f>
        <v>na</v>
      </c>
      <c r="Z3264" s="110" t="s">
        <v>541</v>
      </c>
      <c r="AA3264" s="110" t="s">
        <v>541</v>
      </c>
      <c r="AB3264" s="110" t="s">
        <v>541</v>
      </c>
      <c r="AC3264" s="10" t="s">
        <v>541</v>
      </c>
      <c r="AD3264" s="10" t="s">
        <v>541</v>
      </c>
    </row>
    <row r="3265" spans="1:30" x14ac:dyDescent="0.2">
      <c r="A3265" s="110">
        <v>3265</v>
      </c>
      <c r="B3265" s="132">
        <v>41873</v>
      </c>
      <c r="C3265" s="117">
        <v>1</v>
      </c>
      <c r="D3265" s="142" t="s">
        <v>71</v>
      </c>
      <c r="E3265" s="142" t="s">
        <v>306</v>
      </c>
      <c r="H3265" s="103"/>
      <c r="I3265" s="103">
        <v>55</v>
      </c>
      <c r="K3265" s="142" t="s">
        <v>365</v>
      </c>
      <c r="L3265" s="133"/>
      <c r="M3265" s="134">
        <v>2.4305555555555556E-2</v>
      </c>
      <c r="N3265" s="135" t="s">
        <v>4108</v>
      </c>
      <c r="O3265" s="144" t="s">
        <v>3932</v>
      </c>
      <c r="Q3265" s="106" t="s">
        <v>4397</v>
      </c>
      <c r="R3265" s="226" t="s">
        <v>4409</v>
      </c>
      <c r="S3265" s="491" t="str">
        <f t="shared" si="107"/>
        <v>x</v>
      </c>
      <c r="T3265" s="492" t="str">
        <f>IFERROR(VLOOKUP(F3265,'Freq-Chan'!C:D,2,FALSE),"x")</f>
        <v>x</v>
      </c>
      <c r="U3265" s="110" t="s">
        <v>541</v>
      </c>
      <c r="V3265" s="110" t="str">
        <f t="shared" si="108"/>
        <v>FWL</v>
      </c>
      <c r="W3265" s="110" t="s">
        <v>541</v>
      </c>
      <c r="X3265" s="110" t="s">
        <v>541</v>
      </c>
      <c r="Y3265" s="110" t="str">
        <f>IFERROR(VLOOKUP(F3265,'Freq-Chan'!C:E,3,FALSE),"na")</f>
        <v>na</v>
      </c>
      <c r="Z3265" s="110" t="s">
        <v>541</v>
      </c>
      <c r="AA3265" s="110" t="s">
        <v>541</v>
      </c>
      <c r="AB3265" s="110" t="s">
        <v>541</v>
      </c>
      <c r="AC3265" s="10" t="s">
        <v>541</v>
      </c>
      <c r="AD3265" s="10" t="s">
        <v>541</v>
      </c>
    </row>
    <row r="3266" spans="1:30" x14ac:dyDescent="0.2">
      <c r="A3266" s="110">
        <v>3266</v>
      </c>
      <c r="B3266" s="132">
        <v>41873</v>
      </c>
      <c r="C3266" s="117">
        <v>1</v>
      </c>
      <c r="D3266" s="142" t="s">
        <v>71</v>
      </c>
      <c r="E3266" s="142" t="s">
        <v>306</v>
      </c>
      <c r="H3266" s="103"/>
      <c r="I3266" s="103">
        <v>58</v>
      </c>
      <c r="K3266" s="142" t="s">
        <v>1032</v>
      </c>
      <c r="L3266" s="133"/>
      <c r="M3266" s="134">
        <v>2.2916666666666669E-2</v>
      </c>
      <c r="N3266" s="135" t="s">
        <v>4216</v>
      </c>
      <c r="O3266" s="144" t="s">
        <v>3932</v>
      </c>
      <c r="Q3266" s="106" t="s">
        <v>4397</v>
      </c>
      <c r="R3266" s="226" t="s">
        <v>4409</v>
      </c>
      <c r="S3266" s="491" t="str">
        <f t="shared" si="107"/>
        <v>x</v>
      </c>
      <c r="T3266" s="492" t="str">
        <f>IFERROR(VLOOKUP(F3266,'Freq-Chan'!C:D,2,FALSE),"x")</f>
        <v>x</v>
      </c>
      <c r="U3266" s="110" t="s">
        <v>541</v>
      </c>
      <c r="V3266" s="110" t="str">
        <f t="shared" si="108"/>
        <v>FWL</v>
      </c>
      <c r="W3266" s="110" t="s">
        <v>541</v>
      </c>
      <c r="X3266" s="110" t="s">
        <v>541</v>
      </c>
      <c r="Y3266" s="110" t="str">
        <f>IFERROR(VLOOKUP(F3266,'Freq-Chan'!C:E,3,FALSE),"na")</f>
        <v>na</v>
      </c>
      <c r="Z3266" s="110" t="s">
        <v>541</v>
      </c>
      <c r="AA3266" s="110" t="s">
        <v>541</v>
      </c>
      <c r="AB3266" s="110" t="s">
        <v>541</v>
      </c>
      <c r="AC3266" s="10" t="s">
        <v>541</v>
      </c>
      <c r="AD3266" s="10" t="s">
        <v>541</v>
      </c>
    </row>
    <row r="3267" spans="1:30" x14ac:dyDescent="0.2">
      <c r="A3267" s="110">
        <v>3267</v>
      </c>
      <c r="B3267" s="132">
        <v>41873</v>
      </c>
      <c r="C3267" s="117">
        <v>1</v>
      </c>
      <c r="D3267" s="142" t="s">
        <v>72</v>
      </c>
      <c r="E3267" s="142" t="s">
        <v>306</v>
      </c>
      <c r="H3267" s="142"/>
      <c r="I3267" s="103">
        <v>59</v>
      </c>
      <c r="K3267" s="142" t="s">
        <v>1032</v>
      </c>
      <c r="L3267" s="133"/>
      <c r="M3267" s="134">
        <v>2.013888888888889E-2</v>
      </c>
      <c r="N3267" s="143" t="s">
        <v>2747</v>
      </c>
      <c r="O3267" s="144" t="s">
        <v>3932</v>
      </c>
      <c r="Q3267" s="106" t="s">
        <v>4397</v>
      </c>
      <c r="R3267" s="226" t="s">
        <v>4409</v>
      </c>
      <c r="S3267" s="491" t="str">
        <f t="shared" si="107"/>
        <v>x</v>
      </c>
      <c r="T3267" s="492" t="str">
        <f>IFERROR(VLOOKUP(F3267,'Freq-Chan'!C:D,2,FALSE),"x")</f>
        <v>x</v>
      </c>
      <c r="U3267" s="110" t="s">
        <v>541</v>
      </c>
      <c r="V3267" s="110" t="str">
        <f t="shared" si="108"/>
        <v>FWL</v>
      </c>
      <c r="W3267" s="110" t="s">
        <v>541</v>
      </c>
      <c r="X3267" s="110" t="s">
        <v>541</v>
      </c>
      <c r="Y3267" s="110" t="str">
        <f>IFERROR(VLOOKUP(F3267,'Freq-Chan'!C:E,3,FALSE),"na")</f>
        <v>na</v>
      </c>
      <c r="Z3267" s="110" t="s">
        <v>541</v>
      </c>
      <c r="AA3267" s="110" t="s">
        <v>541</v>
      </c>
      <c r="AB3267" s="110" t="s">
        <v>541</v>
      </c>
      <c r="AC3267" s="10" t="s">
        <v>541</v>
      </c>
      <c r="AD3267" s="10" t="s">
        <v>541</v>
      </c>
    </row>
    <row r="3268" spans="1:30" x14ac:dyDescent="0.2">
      <c r="A3268" s="110">
        <v>3268</v>
      </c>
      <c r="B3268" s="132">
        <v>41873</v>
      </c>
      <c r="C3268" s="117">
        <v>1</v>
      </c>
      <c r="D3268" s="142" t="s">
        <v>71</v>
      </c>
      <c r="E3268" s="142" t="s">
        <v>306</v>
      </c>
      <c r="H3268" s="103"/>
      <c r="I3268" s="103">
        <v>57</v>
      </c>
      <c r="K3268" s="142" t="s">
        <v>365</v>
      </c>
      <c r="L3268" s="133"/>
      <c r="M3268" s="134">
        <v>1.5972222222222224E-2</v>
      </c>
      <c r="N3268" s="135" t="s">
        <v>2657</v>
      </c>
      <c r="O3268" s="144" t="s">
        <v>3932</v>
      </c>
      <c r="Q3268" s="106" t="s">
        <v>4397</v>
      </c>
      <c r="R3268" s="226" t="s">
        <v>4409</v>
      </c>
      <c r="S3268" s="491" t="str">
        <f t="shared" si="107"/>
        <v>x</v>
      </c>
      <c r="T3268" s="492" t="str">
        <f>IFERROR(VLOOKUP(F3268,'Freq-Chan'!C:D,2,FALSE),"x")</f>
        <v>x</v>
      </c>
      <c r="U3268" s="110" t="s">
        <v>541</v>
      </c>
      <c r="V3268" s="110" t="str">
        <f t="shared" si="108"/>
        <v>FWL</v>
      </c>
      <c r="W3268" s="110" t="s">
        <v>541</v>
      </c>
      <c r="X3268" s="110" t="s">
        <v>541</v>
      </c>
      <c r="Y3268" s="110" t="str">
        <f>IFERROR(VLOOKUP(F3268,'Freq-Chan'!C:E,3,FALSE),"na")</f>
        <v>na</v>
      </c>
      <c r="Z3268" s="110" t="s">
        <v>541</v>
      </c>
      <c r="AA3268" s="110" t="s">
        <v>541</v>
      </c>
      <c r="AB3268" s="110" t="s">
        <v>541</v>
      </c>
      <c r="AC3268" s="10" t="s">
        <v>541</v>
      </c>
      <c r="AD3268" s="10" t="s">
        <v>541</v>
      </c>
    </row>
    <row r="3269" spans="1:30" x14ac:dyDescent="0.2">
      <c r="A3269" s="110">
        <v>3269</v>
      </c>
      <c r="B3269" s="132">
        <v>41873</v>
      </c>
      <c r="C3269" s="117">
        <v>1</v>
      </c>
      <c r="D3269" s="142" t="s">
        <v>70</v>
      </c>
      <c r="E3269" s="142" t="s">
        <v>306</v>
      </c>
      <c r="H3269" s="103"/>
      <c r="I3269" s="103">
        <v>47</v>
      </c>
      <c r="K3269" s="142" t="s">
        <v>365</v>
      </c>
      <c r="L3269" s="133"/>
      <c r="M3269" s="134">
        <v>1.3888888888888888E-2</v>
      </c>
      <c r="N3269" s="135" t="s">
        <v>2657</v>
      </c>
      <c r="O3269" s="144" t="s">
        <v>3932</v>
      </c>
      <c r="Q3269" s="106" t="s">
        <v>4397</v>
      </c>
      <c r="R3269" s="226" t="s">
        <v>4409</v>
      </c>
      <c r="S3269" s="491" t="str">
        <f t="shared" si="107"/>
        <v>x</v>
      </c>
      <c r="T3269" s="492" t="str">
        <f>IFERROR(VLOOKUP(F3269,'Freq-Chan'!C:D,2,FALSE),"x")</f>
        <v>x</v>
      </c>
      <c r="U3269" s="110" t="s">
        <v>541</v>
      </c>
      <c r="V3269" s="110" t="str">
        <f t="shared" si="108"/>
        <v>FWL</v>
      </c>
      <c r="W3269" s="110" t="s">
        <v>541</v>
      </c>
      <c r="X3269" s="110" t="s">
        <v>541</v>
      </c>
      <c r="Y3269" s="110" t="str">
        <f>IFERROR(VLOOKUP(F3269,'Freq-Chan'!C:E,3,FALSE),"na")</f>
        <v>na</v>
      </c>
      <c r="Z3269" s="110" t="s">
        <v>541</v>
      </c>
      <c r="AA3269" s="110" t="s">
        <v>541</v>
      </c>
      <c r="AB3269" s="110" t="s">
        <v>541</v>
      </c>
      <c r="AC3269" s="10" t="s">
        <v>541</v>
      </c>
      <c r="AD3269" s="10" t="s">
        <v>541</v>
      </c>
    </row>
    <row r="3270" spans="1:30" x14ac:dyDescent="0.2">
      <c r="A3270" s="110">
        <v>3270</v>
      </c>
      <c r="B3270" s="132">
        <v>41873</v>
      </c>
      <c r="C3270" s="117">
        <v>1</v>
      </c>
      <c r="D3270" s="142" t="s">
        <v>71</v>
      </c>
      <c r="E3270" s="142" t="s">
        <v>306</v>
      </c>
      <c r="H3270" s="103"/>
      <c r="I3270" s="103">
        <v>56</v>
      </c>
      <c r="K3270" s="142" t="s">
        <v>365</v>
      </c>
      <c r="L3270" s="133"/>
      <c r="M3270" s="134">
        <v>1.5972222222222224E-2</v>
      </c>
      <c r="N3270" s="135" t="s">
        <v>716</v>
      </c>
      <c r="O3270" s="144" t="s">
        <v>3932</v>
      </c>
      <c r="Q3270" s="106" t="s">
        <v>4397</v>
      </c>
      <c r="R3270" s="226" t="s">
        <v>4409</v>
      </c>
      <c r="S3270" s="491" t="str">
        <f t="shared" si="107"/>
        <v>x</v>
      </c>
      <c r="T3270" s="492" t="str">
        <f>IFERROR(VLOOKUP(F3270,'Freq-Chan'!C:D,2,FALSE),"x")</f>
        <v>x</v>
      </c>
      <c r="U3270" s="110" t="s">
        <v>541</v>
      </c>
      <c r="V3270" s="110" t="str">
        <f t="shared" si="108"/>
        <v>FWL</v>
      </c>
      <c r="W3270" s="110" t="s">
        <v>541</v>
      </c>
      <c r="X3270" s="110" t="s">
        <v>541</v>
      </c>
      <c r="Y3270" s="110" t="str">
        <f>IFERROR(VLOOKUP(F3270,'Freq-Chan'!C:E,3,FALSE),"na")</f>
        <v>na</v>
      </c>
      <c r="Z3270" s="110" t="s">
        <v>541</v>
      </c>
      <c r="AA3270" s="110" t="s">
        <v>541</v>
      </c>
      <c r="AB3270" s="110" t="s">
        <v>541</v>
      </c>
      <c r="AC3270" s="10" t="s">
        <v>541</v>
      </c>
      <c r="AD3270" s="10" t="s">
        <v>541</v>
      </c>
    </row>
    <row r="3271" spans="1:30" x14ac:dyDescent="0.2">
      <c r="A3271" s="110">
        <v>3271</v>
      </c>
      <c r="B3271" s="132">
        <v>41873</v>
      </c>
      <c r="C3271" s="117">
        <v>1</v>
      </c>
      <c r="D3271" s="142" t="s">
        <v>70</v>
      </c>
      <c r="E3271" s="142" t="s">
        <v>306</v>
      </c>
      <c r="H3271" s="103"/>
      <c r="I3271" s="103">
        <v>44</v>
      </c>
      <c r="K3271" s="142" t="s">
        <v>365</v>
      </c>
      <c r="L3271" s="133"/>
      <c r="M3271" s="134">
        <v>1.5277777777777777E-2</v>
      </c>
      <c r="N3271" s="135" t="s">
        <v>1692</v>
      </c>
      <c r="O3271" s="144" t="s">
        <v>3932</v>
      </c>
      <c r="Q3271" s="106" t="s">
        <v>4397</v>
      </c>
      <c r="R3271" s="226" t="s">
        <v>4409</v>
      </c>
      <c r="S3271" s="503" t="str">
        <f t="shared" si="107"/>
        <v>x</v>
      </c>
      <c r="T3271" s="504" t="str">
        <f>IFERROR(VLOOKUP(F3271,'Freq-Chan'!C:D,2,FALSE),"x")</f>
        <v>x</v>
      </c>
      <c r="U3271" s="110" t="s">
        <v>541</v>
      </c>
      <c r="V3271" s="110" t="str">
        <f t="shared" si="108"/>
        <v>FWL</v>
      </c>
      <c r="W3271" s="110" t="s">
        <v>541</v>
      </c>
      <c r="X3271" s="110" t="s">
        <v>541</v>
      </c>
      <c r="Y3271" s="110" t="str">
        <f>IFERROR(VLOOKUP(F3271,'Freq-Chan'!C:E,3,FALSE),"na")</f>
        <v>na</v>
      </c>
      <c r="Z3271" s="110" t="s">
        <v>541</v>
      </c>
      <c r="AA3271" s="110" t="s">
        <v>541</v>
      </c>
      <c r="AB3271" s="110" t="s">
        <v>541</v>
      </c>
      <c r="AC3271" s="10" t="s">
        <v>541</v>
      </c>
      <c r="AD3271" s="10" t="s">
        <v>541</v>
      </c>
    </row>
    <row r="3272" spans="1:30" s="291" customFormat="1" x14ac:dyDescent="0.2">
      <c r="A3272" s="493">
        <v>3272</v>
      </c>
      <c r="B3272" s="283">
        <v>41873</v>
      </c>
      <c r="C3272" s="284">
        <v>1</v>
      </c>
      <c r="D3272" s="396" t="s">
        <v>88</v>
      </c>
      <c r="E3272" s="396" t="s">
        <v>798</v>
      </c>
      <c r="F3272" s="285"/>
      <c r="G3272" s="285"/>
      <c r="H3272" s="285"/>
      <c r="I3272" s="285"/>
      <c r="J3272" s="285">
        <v>32</v>
      </c>
      <c r="K3272" s="396" t="s">
        <v>364</v>
      </c>
      <c r="L3272" s="286"/>
      <c r="M3272" s="287">
        <v>1.6666666666666666E-2</v>
      </c>
      <c r="N3272" s="288" t="s">
        <v>4403</v>
      </c>
      <c r="O3272" s="397" t="s">
        <v>3932</v>
      </c>
      <c r="P3272" s="289"/>
      <c r="Q3272" s="395" t="s">
        <v>4397</v>
      </c>
      <c r="R3272" s="226" t="s">
        <v>4409</v>
      </c>
      <c r="S3272" s="494" t="str">
        <f t="shared" si="107"/>
        <v>x</v>
      </c>
      <c r="T3272" s="495" t="str">
        <f>IFERROR(VLOOKUP(F3272,'Freq-Chan'!C:D,2,FALSE),"x")</f>
        <v>x</v>
      </c>
      <c r="U3272" s="493" t="s">
        <v>541</v>
      </c>
      <c r="V3272" s="493" t="str">
        <f t="shared" si="108"/>
        <v>FWL</v>
      </c>
      <c r="W3272" s="493" t="s">
        <v>541</v>
      </c>
      <c r="X3272" s="493" t="s">
        <v>541</v>
      </c>
      <c r="Y3272" s="493" t="str">
        <f>IFERROR(VLOOKUP(F3272,'Freq-Chan'!C:E,3,FALSE),"na")</f>
        <v>na</v>
      </c>
      <c r="Z3272" s="493" t="s">
        <v>541</v>
      </c>
      <c r="AA3272" s="493" t="s">
        <v>541</v>
      </c>
      <c r="AB3272" s="493" t="s">
        <v>541</v>
      </c>
      <c r="AC3272" s="291" t="s">
        <v>541</v>
      </c>
      <c r="AD3272" s="291" t="s">
        <v>541</v>
      </c>
    </row>
    <row r="3273" spans="1:30" x14ac:dyDescent="0.2">
      <c r="A3273" s="110">
        <v>3273</v>
      </c>
      <c r="B3273" s="132">
        <v>41873</v>
      </c>
      <c r="C3273" s="117">
        <v>2</v>
      </c>
      <c r="D3273" s="142" t="s">
        <v>71</v>
      </c>
      <c r="E3273" s="142" t="s">
        <v>306</v>
      </c>
      <c r="H3273" s="142"/>
      <c r="I3273" s="103">
        <v>59</v>
      </c>
      <c r="K3273" s="142" t="s">
        <v>1032</v>
      </c>
      <c r="L3273" s="133"/>
      <c r="M3273" s="134">
        <v>1.4583333333333332E-2</v>
      </c>
      <c r="N3273" s="143" t="s">
        <v>3752</v>
      </c>
      <c r="O3273" s="144" t="s">
        <v>1033</v>
      </c>
      <c r="Q3273" s="106" t="s">
        <v>4398</v>
      </c>
      <c r="R3273" s="226" t="s">
        <v>4409</v>
      </c>
      <c r="S3273" s="491" t="str">
        <f t="shared" si="107"/>
        <v>x</v>
      </c>
      <c r="T3273" s="492" t="str">
        <f>IFERROR(VLOOKUP(F3273,'Freq-Chan'!C:D,2,FALSE),"x")</f>
        <v>x</v>
      </c>
      <c r="U3273" s="110" t="s">
        <v>541</v>
      </c>
      <c r="V3273" s="110" t="str">
        <f t="shared" si="108"/>
        <v>FWL</v>
      </c>
      <c r="W3273" s="110" t="s">
        <v>541</v>
      </c>
      <c r="X3273" s="110" t="s">
        <v>541</v>
      </c>
      <c r="Y3273" s="110" t="str">
        <f>IFERROR(VLOOKUP(F3273,'Freq-Chan'!C:E,3,FALSE),"na")</f>
        <v>na</v>
      </c>
      <c r="Z3273" s="110" t="s">
        <v>541</v>
      </c>
      <c r="AA3273" s="110" t="s">
        <v>541</v>
      </c>
      <c r="AB3273" s="110" t="s">
        <v>541</v>
      </c>
      <c r="AC3273" s="10" t="s">
        <v>541</v>
      </c>
      <c r="AD3273" s="10" t="s">
        <v>541</v>
      </c>
    </row>
    <row r="3274" spans="1:30" x14ac:dyDescent="0.2">
      <c r="A3274" s="110">
        <v>3274</v>
      </c>
      <c r="B3274" s="132">
        <v>41873</v>
      </c>
      <c r="C3274" s="117">
        <v>2</v>
      </c>
      <c r="D3274" s="142" t="s">
        <v>71</v>
      </c>
      <c r="E3274" s="142" t="s">
        <v>306</v>
      </c>
      <c r="H3274" s="103"/>
      <c r="I3274" s="103">
        <v>62</v>
      </c>
      <c r="K3274" s="142" t="s">
        <v>365</v>
      </c>
      <c r="L3274" s="133"/>
      <c r="M3274" s="134">
        <v>1.3888888888888888E-2</v>
      </c>
      <c r="N3274" s="135" t="s">
        <v>3497</v>
      </c>
      <c r="O3274" s="144" t="s">
        <v>376</v>
      </c>
      <c r="Q3274" s="106" t="s">
        <v>4398</v>
      </c>
      <c r="R3274" s="226" t="s">
        <v>4409</v>
      </c>
      <c r="S3274" s="491" t="str">
        <f t="shared" si="107"/>
        <v>x</v>
      </c>
      <c r="T3274" s="492" t="str">
        <f>IFERROR(VLOOKUP(F3274,'Freq-Chan'!C:D,2,FALSE),"x")</f>
        <v>x</v>
      </c>
      <c r="U3274" s="110" t="s">
        <v>541</v>
      </c>
      <c r="V3274" s="110" t="str">
        <f t="shared" si="108"/>
        <v>FWL</v>
      </c>
      <c r="W3274" s="110" t="s">
        <v>541</v>
      </c>
      <c r="X3274" s="110" t="s">
        <v>541</v>
      </c>
      <c r="Y3274" s="110" t="str">
        <f>IFERROR(VLOOKUP(F3274,'Freq-Chan'!C:E,3,FALSE),"na")</f>
        <v>na</v>
      </c>
      <c r="Z3274" s="110" t="s">
        <v>541</v>
      </c>
      <c r="AA3274" s="110" t="s">
        <v>541</v>
      </c>
      <c r="AB3274" s="110" t="s">
        <v>541</v>
      </c>
      <c r="AC3274" s="10" t="s">
        <v>541</v>
      </c>
      <c r="AD3274" s="10" t="s">
        <v>541</v>
      </c>
    </row>
    <row r="3275" spans="1:30" x14ac:dyDescent="0.2">
      <c r="A3275" s="110">
        <v>3275</v>
      </c>
      <c r="B3275" s="132">
        <v>41873</v>
      </c>
      <c r="C3275" s="117">
        <v>2</v>
      </c>
      <c r="D3275" s="142" t="s">
        <v>71</v>
      </c>
      <c r="E3275" s="142" t="s">
        <v>306</v>
      </c>
      <c r="H3275" s="103"/>
      <c r="I3275" s="103">
        <v>50</v>
      </c>
      <c r="K3275" s="142" t="s">
        <v>1032</v>
      </c>
      <c r="L3275" s="133"/>
      <c r="M3275" s="134">
        <v>1.6666666666666666E-2</v>
      </c>
      <c r="N3275" s="135" t="s">
        <v>4238</v>
      </c>
      <c r="O3275" s="144" t="s">
        <v>1888</v>
      </c>
      <c r="Q3275" s="106" t="s">
        <v>4399</v>
      </c>
      <c r="R3275" s="226" t="s">
        <v>4409</v>
      </c>
      <c r="S3275" s="491" t="str">
        <f t="shared" si="107"/>
        <v>x</v>
      </c>
      <c r="T3275" s="492" t="str">
        <f>IFERROR(VLOOKUP(F3275,'Freq-Chan'!C:D,2,FALSE),"x")</f>
        <v>x</v>
      </c>
      <c r="U3275" s="110" t="s">
        <v>541</v>
      </c>
      <c r="V3275" s="110" t="str">
        <f t="shared" si="108"/>
        <v>FWL</v>
      </c>
      <c r="W3275" s="110" t="s">
        <v>541</v>
      </c>
      <c r="X3275" s="110" t="s">
        <v>541</v>
      </c>
      <c r="Y3275" s="110" t="str">
        <f>IFERROR(VLOOKUP(F3275,'Freq-Chan'!C:E,3,FALSE),"na")</f>
        <v>na</v>
      </c>
      <c r="Z3275" s="110" t="s">
        <v>541</v>
      </c>
      <c r="AA3275" s="110" t="s">
        <v>541</v>
      </c>
      <c r="AB3275" s="110" t="s">
        <v>541</v>
      </c>
      <c r="AC3275" s="10" t="s">
        <v>541</v>
      </c>
      <c r="AD3275" s="10" t="s">
        <v>541</v>
      </c>
    </row>
    <row r="3276" spans="1:30" x14ac:dyDescent="0.2">
      <c r="A3276" s="110">
        <v>3276</v>
      </c>
      <c r="B3276" s="132">
        <v>41873</v>
      </c>
      <c r="C3276" s="117">
        <v>2</v>
      </c>
      <c r="D3276" s="142" t="s">
        <v>71</v>
      </c>
      <c r="E3276" s="142" t="s">
        <v>306</v>
      </c>
      <c r="H3276" s="103"/>
      <c r="I3276" s="103">
        <v>53</v>
      </c>
      <c r="K3276" s="142" t="s">
        <v>365</v>
      </c>
      <c r="L3276" s="133"/>
      <c r="M3276" s="134">
        <v>1.2499999999999999E-2</v>
      </c>
      <c r="N3276" s="135" t="s">
        <v>2815</v>
      </c>
      <c r="O3276" s="144" t="s">
        <v>1033</v>
      </c>
      <c r="Q3276" s="106" t="s">
        <v>4393</v>
      </c>
      <c r="R3276" s="226" t="s">
        <v>4409</v>
      </c>
      <c r="S3276" s="491" t="str">
        <f t="shared" si="107"/>
        <v>x</v>
      </c>
      <c r="T3276" s="492" t="str">
        <f>IFERROR(VLOOKUP(F3276,'Freq-Chan'!C:D,2,FALSE),"x")</f>
        <v>x</v>
      </c>
      <c r="U3276" s="110" t="s">
        <v>541</v>
      </c>
      <c r="V3276" s="110" t="str">
        <f t="shared" si="108"/>
        <v>FWL</v>
      </c>
      <c r="W3276" s="110" t="s">
        <v>541</v>
      </c>
      <c r="X3276" s="110" t="s">
        <v>541</v>
      </c>
      <c r="Y3276" s="110" t="str">
        <f>IFERROR(VLOOKUP(F3276,'Freq-Chan'!C:E,3,FALSE),"na")</f>
        <v>na</v>
      </c>
      <c r="Z3276" s="110" t="s">
        <v>541</v>
      </c>
      <c r="AA3276" s="110" t="s">
        <v>541</v>
      </c>
      <c r="AB3276" s="110" t="s">
        <v>541</v>
      </c>
      <c r="AC3276" s="10" t="s">
        <v>541</v>
      </c>
      <c r="AD3276" s="10" t="s">
        <v>541</v>
      </c>
    </row>
    <row r="3277" spans="1:30" x14ac:dyDescent="0.2">
      <c r="A3277" s="110">
        <v>3277</v>
      </c>
      <c r="B3277" s="132">
        <v>41873</v>
      </c>
      <c r="C3277" s="117">
        <v>2</v>
      </c>
      <c r="D3277" s="142" t="s">
        <v>71</v>
      </c>
      <c r="E3277" s="142" t="s">
        <v>306</v>
      </c>
      <c r="H3277" s="103"/>
      <c r="I3277" s="103">
        <v>55</v>
      </c>
      <c r="K3277" s="142" t="s">
        <v>1032</v>
      </c>
      <c r="L3277" s="133"/>
      <c r="M3277" s="134">
        <v>1.3194444444444444E-2</v>
      </c>
      <c r="N3277" s="135" t="s">
        <v>768</v>
      </c>
      <c r="O3277" s="144" t="s">
        <v>376</v>
      </c>
      <c r="Q3277" s="106" t="s">
        <v>4393</v>
      </c>
      <c r="R3277" s="226" t="s">
        <v>4409</v>
      </c>
      <c r="S3277" s="491" t="str">
        <f t="shared" si="107"/>
        <v>x</v>
      </c>
      <c r="T3277" s="492" t="str">
        <f>IFERROR(VLOOKUP(F3277,'Freq-Chan'!C:D,2,FALSE),"x")</f>
        <v>x</v>
      </c>
      <c r="U3277" s="110" t="s">
        <v>541</v>
      </c>
      <c r="V3277" s="110" t="str">
        <f t="shared" si="108"/>
        <v>FWL</v>
      </c>
      <c r="W3277" s="110" t="s">
        <v>541</v>
      </c>
      <c r="X3277" s="110" t="s">
        <v>541</v>
      </c>
      <c r="Y3277" s="110" t="str">
        <f>IFERROR(VLOOKUP(F3277,'Freq-Chan'!C:E,3,FALSE),"na")</f>
        <v>na</v>
      </c>
      <c r="Z3277" s="110" t="s">
        <v>541</v>
      </c>
      <c r="AA3277" s="110" t="s">
        <v>541</v>
      </c>
      <c r="AB3277" s="110" t="s">
        <v>541</v>
      </c>
      <c r="AC3277" s="10" t="s">
        <v>541</v>
      </c>
      <c r="AD3277" s="10" t="s">
        <v>541</v>
      </c>
    </row>
    <row r="3278" spans="1:30" x14ac:dyDescent="0.2">
      <c r="A3278" s="110">
        <v>3278</v>
      </c>
      <c r="B3278" s="132">
        <v>41873</v>
      </c>
      <c r="C3278" s="117">
        <v>2</v>
      </c>
      <c r="D3278" s="142" t="s">
        <v>72</v>
      </c>
      <c r="E3278" s="142" t="s">
        <v>306</v>
      </c>
      <c r="H3278" s="103"/>
      <c r="I3278" s="103">
        <v>51</v>
      </c>
      <c r="K3278" s="142" t="s">
        <v>1032</v>
      </c>
      <c r="L3278" s="133"/>
      <c r="M3278" s="134">
        <v>1.3888888888888888E-2</v>
      </c>
      <c r="N3278" s="135" t="s">
        <v>3760</v>
      </c>
      <c r="O3278" s="144" t="s">
        <v>376</v>
      </c>
      <c r="Q3278" s="106" t="s">
        <v>4393</v>
      </c>
      <c r="R3278" s="226" t="s">
        <v>4409</v>
      </c>
      <c r="S3278" s="491" t="str">
        <f t="shared" si="107"/>
        <v>x</v>
      </c>
      <c r="T3278" s="492" t="str">
        <f>IFERROR(VLOOKUP(F3278,'Freq-Chan'!C:D,2,FALSE),"x")</f>
        <v>x</v>
      </c>
      <c r="U3278" s="110" t="s">
        <v>541</v>
      </c>
      <c r="V3278" s="110" t="str">
        <f t="shared" si="108"/>
        <v>FWL</v>
      </c>
      <c r="W3278" s="110" t="s">
        <v>541</v>
      </c>
      <c r="X3278" s="110" t="s">
        <v>541</v>
      </c>
      <c r="Y3278" s="110" t="str">
        <f>IFERROR(VLOOKUP(F3278,'Freq-Chan'!C:E,3,FALSE),"na")</f>
        <v>na</v>
      </c>
      <c r="Z3278" s="110" t="s">
        <v>541</v>
      </c>
      <c r="AA3278" s="110" t="s">
        <v>541</v>
      </c>
      <c r="AB3278" s="110" t="s">
        <v>541</v>
      </c>
      <c r="AC3278" s="10" t="s">
        <v>541</v>
      </c>
      <c r="AD3278" s="10" t="s">
        <v>541</v>
      </c>
    </row>
    <row r="3279" spans="1:30" x14ac:dyDescent="0.2">
      <c r="A3279" s="110">
        <v>3279</v>
      </c>
      <c r="B3279" s="132">
        <v>41873</v>
      </c>
      <c r="C3279" s="117">
        <v>2</v>
      </c>
      <c r="D3279" s="142" t="s">
        <v>8</v>
      </c>
      <c r="E3279" s="142" t="s">
        <v>306</v>
      </c>
      <c r="F3279" s="103">
        <v>586</v>
      </c>
      <c r="G3279" s="103">
        <v>23</v>
      </c>
      <c r="H3279" s="103" t="s">
        <v>2265</v>
      </c>
      <c r="I3279" s="103">
        <v>54</v>
      </c>
      <c r="K3279" s="142" t="s">
        <v>1032</v>
      </c>
      <c r="L3279" s="133"/>
      <c r="M3279" s="134">
        <v>2.7777777777777776E-2</v>
      </c>
      <c r="N3279" s="135" t="s">
        <v>1801</v>
      </c>
      <c r="O3279" s="144" t="s">
        <v>1033</v>
      </c>
      <c r="Q3279" s="106" t="s">
        <v>4393</v>
      </c>
      <c r="R3279" s="226" t="s">
        <v>4409</v>
      </c>
      <c r="S3279" s="491" t="str">
        <f t="shared" si="107"/>
        <v>x</v>
      </c>
      <c r="T3279" s="492">
        <f>IFERROR(VLOOKUP(F3279,'Freq-Chan'!C:D,2,FALSE),"x")</f>
        <v>151.58600000000001</v>
      </c>
      <c r="U3279" s="110" t="s">
        <v>541</v>
      </c>
      <c r="V3279" s="110" t="str">
        <f t="shared" si="108"/>
        <v>FWL</v>
      </c>
      <c r="W3279" s="110" t="s">
        <v>541</v>
      </c>
      <c r="X3279" s="110" t="s">
        <v>541</v>
      </c>
      <c r="Y3279" s="110" t="str">
        <f>IFERROR(VLOOKUP(F3279,'Freq-Chan'!C:E,3,FALSE),"na")</f>
        <v>F1840</v>
      </c>
      <c r="Z3279" s="110" t="s">
        <v>541</v>
      </c>
      <c r="AA3279" s="110" t="s">
        <v>541</v>
      </c>
      <c r="AB3279" s="110" t="s">
        <v>541</v>
      </c>
      <c r="AC3279" s="10" t="s">
        <v>541</v>
      </c>
      <c r="AD3279" s="10" t="s">
        <v>541</v>
      </c>
    </row>
    <row r="3280" spans="1:30" x14ac:dyDescent="0.2">
      <c r="A3280" s="110">
        <v>3280</v>
      </c>
      <c r="B3280" s="132">
        <v>41873</v>
      </c>
      <c r="C3280" s="117">
        <v>2</v>
      </c>
      <c r="D3280" s="142" t="s">
        <v>72</v>
      </c>
      <c r="E3280" s="142" t="s">
        <v>306</v>
      </c>
      <c r="H3280" s="103"/>
      <c r="I3280" s="103">
        <v>59</v>
      </c>
      <c r="K3280" s="142" t="s">
        <v>1032</v>
      </c>
      <c r="L3280" s="133"/>
      <c r="M3280" s="134">
        <v>1.1805555555555555E-2</v>
      </c>
      <c r="N3280" s="135" t="s">
        <v>392</v>
      </c>
      <c r="O3280" s="144" t="s">
        <v>376</v>
      </c>
      <c r="Q3280" s="106" t="s">
        <v>4393</v>
      </c>
      <c r="R3280" s="226" t="s">
        <v>4409</v>
      </c>
      <c r="S3280" s="491" t="str">
        <f t="shared" si="107"/>
        <v>x</v>
      </c>
      <c r="T3280" s="492" t="str">
        <f>IFERROR(VLOOKUP(F3280,'Freq-Chan'!C:D,2,FALSE),"x")</f>
        <v>x</v>
      </c>
      <c r="U3280" s="110" t="s">
        <v>541</v>
      </c>
      <c r="V3280" s="110" t="str">
        <f t="shared" si="108"/>
        <v>FWL</v>
      </c>
      <c r="W3280" s="110" t="s">
        <v>541</v>
      </c>
      <c r="X3280" s="110" t="s">
        <v>541</v>
      </c>
      <c r="Y3280" s="110" t="str">
        <f>IFERROR(VLOOKUP(F3280,'Freq-Chan'!C:E,3,FALSE),"na")</f>
        <v>na</v>
      </c>
      <c r="Z3280" s="110" t="s">
        <v>541</v>
      </c>
      <c r="AA3280" s="110" t="s">
        <v>541</v>
      </c>
      <c r="AB3280" s="110" t="s">
        <v>541</v>
      </c>
      <c r="AC3280" s="10" t="s">
        <v>541</v>
      </c>
      <c r="AD3280" s="10" t="s">
        <v>541</v>
      </c>
    </row>
    <row r="3281" spans="1:30" x14ac:dyDescent="0.2">
      <c r="A3281" s="110">
        <v>3281</v>
      </c>
      <c r="B3281" s="132">
        <v>41873</v>
      </c>
      <c r="C3281" s="117">
        <v>2</v>
      </c>
      <c r="D3281" s="142" t="s">
        <v>71</v>
      </c>
      <c r="E3281" s="142" t="s">
        <v>306</v>
      </c>
      <c r="H3281" s="103"/>
      <c r="I3281" s="103">
        <v>57</v>
      </c>
      <c r="K3281" s="142" t="s">
        <v>1032</v>
      </c>
      <c r="L3281" s="133"/>
      <c r="M3281" s="134">
        <v>1.2499999999999999E-2</v>
      </c>
      <c r="N3281" s="135" t="s">
        <v>2930</v>
      </c>
      <c r="O3281" s="144" t="s">
        <v>376</v>
      </c>
      <c r="Q3281" s="106" t="s">
        <v>4393</v>
      </c>
      <c r="R3281" s="226" t="s">
        <v>4409</v>
      </c>
      <c r="S3281" s="491" t="str">
        <f t="shared" si="107"/>
        <v>x</v>
      </c>
      <c r="T3281" s="492" t="str">
        <f>IFERROR(VLOOKUP(F3281,'Freq-Chan'!C:D,2,FALSE),"x")</f>
        <v>x</v>
      </c>
      <c r="U3281" s="110" t="s">
        <v>541</v>
      </c>
      <c r="V3281" s="110" t="str">
        <f t="shared" si="108"/>
        <v>FWL</v>
      </c>
      <c r="W3281" s="110" t="s">
        <v>541</v>
      </c>
      <c r="X3281" s="110" t="s">
        <v>541</v>
      </c>
      <c r="Y3281" s="110" t="str">
        <f>IFERROR(VLOOKUP(F3281,'Freq-Chan'!C:E,3,FALSE),"na")</f>
        <v>na</v>
      </c>
      <c r="Z3281" s="110" t="s">
        <v>541</v>
      </c>
      <c r="AA3281" s="110" t="s">
        <v>541</v>
      </c>
      <c r="AB3281" s="110" t="s">
        <v>541</v>
      </c>
      <c r="AC3281" s="10" t="s">
        <v>541</v>
      </c>
      <c r="AD3281" s="10" t="s">
        <v>541</v>
      </c>
    </row>
    <row r="3282" spans="1:30" x14ac:dyDescent="0.2">
      <c r="A3282" s="110">
        <v>3282</v>
      </c>
      <c r="B3282" s="132">
        <v>41873</v>
      </c>
      <c r="C3282" s="117">
        <v>2</v>
      </c>
      <c r="D3282" s="142" t="s">
        <v>71</v>
      </c>
      <c r="E3282" s="142" t="s">
        <v>306</v>
      </c>
      <c r="H3282" s="103"/>
      <c r="I3282" s="103">
        <v>60</v>
      </c>
      <c r="K3282" s="142" t="s">
        <v>1032</v>
      </c>
      <c r="L3282" s="133"/>
      <c r="M3282" s="134">
        <v>1.5277777777777777E-2</v>
      </c>
      <c r="N3282" s="135" t="s">
        <v>391</v>
      </c>
      <c r="O3282" s="144" t="s">
        <v>1033</v>
      </c>
      <c r="Q3282" s="106" t="s">
        <v>4393</v>
      </c>
      <c r="R3282" s="226" t="s">
        <v>4409</v>
      </c>
      <c r="S3282" s="491" t="str">
        <f t="shared" si="107"/>
        <v>x</v>
      </c>
      <c r="T3282" s="492" t="str">
        <f>IFERROR(VLOOKUP(F3282,'Freq-Chan'!C:D,2,FALSE),"x")</f>
        <v>x</v>
      </c>
      <c r="U3282" s="110" t="s">
        <v>541</v>
      </c>
      <c r="V3282" s="110" t="str">
        <f t="shared" si="108"/>
        <v>FWL</v>
      </c>
      <c r="W3282" s="110" t="s">
        <v>541</v>
      </c>
      <c r="X3282" s="110" t="s">
        <v>541</v>
      </c>
      <c r="Y3282" s="110" t="str">
        <f>IFERROR(VLOOKUP(F3282,'Freq-Chan'!C:E,3,FALSE),"na")</f>
        <v>na</v>
      </c>
      <c r="Z3282" s="110" t="s">
        <v>541</v>
      </c>
      <c r="AA3282" s="110" t="s">
        <v>541</v>
      </c>
      <c r="AB3282" s="110" t="s">
        <v>541</v>
      </c>
      <c r="AC3282" s="10" t="s">
        <v>541</v>
      </c>
      <c r="AD3282" s="10" t="s">
        <v>541</v>
      </c>
    </row>
    <row r="3283" spans="1:30" x14ac:dyDescent="0.2">
      <c r="A3283" s="110">
        <v>3283</v>
      </c>
      <c r="B3283" s="132">
        <v>41873</v>
      </c>
      <c r="C3283" s="117">
        <v>2</v>
      </c>
      <c r="D3283" s="142" t="s">
        <v>70</v>
      </c>
      <c r="E3283" s="142" t="s">
        <v>306</v>
      </c>
      <c r="H3283" s="103"/>
      <c r="I3283" s="103">
        <v>47</v>
      </c>
      <c r="K3283" s="142" t="s">
        <v>1032</v>
      </c>
      <c r="L3283" s="133"/>
      <c r="M3283" s="134">
        <v>1.2499999999999999E-2</v>
      </c>
      <c r="N3283" s="135" t="s">
        <v>1851</v>
      </c>
      <c r="O3283" s="144" t="s">
        <v>376</v>
      </c>
      <c r="Q3283" s="106" t="s">
        <v>4393</v>
      </c>
      <c r="R3283" s="226" t="s">
        <v>4409</v>
      </c>
      <c r="S3283" s="491" t="str">
        <f t="shared" si="107"/>
        <v>x</v>
      </c>
      <c r="T3283" s="492" t="str">
        <f>IFERROR(VLOOKUP(F3283,'Freq-Chan'!C:D,2,FALSE),"x")</f>
        <v>x</v>
      </c>
      <c r="U3283" s="110" t="s">
        <v>541</v>
      </c>
      <c r="V3283" s="110" t="str">
        <f t="shared" si="108"/>
        <v>FWL</v>
      </c>
      <c r="W3283" s="110" t="s">
        <v>541</v>
      </c>
      <c r="X3283" s="110" t="s">
        <v>541</v>
      </c>
      <c r="Y3283" s="110" t="str">
        <f>IFERROR(VLOOKUP(F3283,'Freq-Chan'!C:E,3,FALSE),"na")</f>
        <v>na</v>
      </c>
      <c r="Z3283" s="110" t="s">
        <v>541</v>
      </c>
      <c r="AA3283" s="110" t="s">
        <v>541</v>
      </c>
      <c r="AB3283" s="110" t="s">
        <v>541</v>
      </c>
      <c r="AC3283" s="10" t="s">
        <v>541</v>
      </c>
      <c r="AD3283" s="10" t="s">
        <v>541</v>
      </c>
    </row>
    <row r="3284" spans="1:30" x14ac:dyDescent="0.2">
      <c r="A3284" s="110">
        <v>3284</v>
      </c>
      <c r="B3284" s="132">
        <v>41873</v>
      </c>
      <c r="C3284" s="117">
        <v>2</v>
      </c>
      <c r="D3284" s="142" t="s">
        <v>71</v>
      </c>
      <c r="E3284" s="142" t="s">
        <v>306</v>
      </c>
      <c r="H3284" s="103"/>
      <c r="I3284" s="103">
        <v>59</v>
      </c>
      <c r="K3284" s="142" t="s">
        <v>1032</v>
      </c>
      <c r="L3284" s="133"/>
      <c r="M3284" s="134">
        <v>2.0833333333333332E-2</v>
      </c>
      <c r="N3284" s="135" t="s">
        <v>3430</v>
      </c>
      <c r="O3284" s="144" t="s">
        <v>3932</v>
      </c>
      <c r="Q3284" s="106" t="s">
        <v>4397</v>
      </c>
      <c r="R3284" s="226" t="s">
        <v>4409</v>
      </c>
      <c r="S3284" s="491" t="str">
        <f t="shared" si="107"/>
        <v>x</v>
      </c>
      <c r="T3284" s="492" t="str">
        <f>IFERROR(VLOOKUP(F3284,'Freq-Chan'!C:D,2,FALSE),"x")</f>
        <v>x</v>
      </c>
      <c r="U3284" s="110" t="s">
        <v>541</v>
      </c>
      <c r="V3284" s="110" t="str">
        <f t="shared" si="108"/>
        <v>FWL</v>
      </c>
      <c r="W3284" s="110" t="s">
        <v>541</v>
      </c>
      <c r="X3284" s="110" t="s">
        <v>541</v>
      </c>
      <c r="Y3284" s="110" t="str">
        <f>IFERROR(VLOOKUP(F3284,'Freq-Chan'!C:E,3,FALSE),"na")</f>
        <v>na</v>
      </c>
      <c r="Z3284" s="110" t="s">
        <v>541</v>
      </c>
      <c r="AA3284" s="110" t="s">
        <v>541</v>
      </c>
      <c r="AB3284" s="110" t="s">
        <v>541</v>
      </c>
      <c r="AC3284" s="10" t="s">
        <v>541</v>
      </c>
      <c r="AD3284" s="10" t="s">
        <v>541</v>
      </c>
    </row>
    <row r="3285" spans="1:30" x14ac:dyDescent="0.2">
      <c r="A3285" s="110">
        <v>3285</v>
      </c>
      <c r="B3285" s="132">
        <v>41873</v>
      </c>
      <c r="C3285" s="117">
        <v>2</v>
      </c>
      <c r="D3285" s="142" t="s">
        <v>71</v>
      </c>
      <c r="E3285" s="142" t="s">
        <v>306</v>
      </c>
      <c r="H3285" s="103"/>
      <c r="I3285" s="103">
        <v>45</v>
      </c>
      <c r="K3285" s="142" t="s">
        <v>1032</v>
      </c>
      <c r="L3285" s="133"/>
      <c r="M3285" s="134">
        <v>1.5972222222222224E-2</v>
      </c>
      <c r="N3285" s="135" t="s">
        <v>4016</v>
      </c>
      <c r="O3285" s="144" t="s">
        <v>3932</v>
      </c>
      <c r="Q3285" s="106" t="s">
        <v>4397</v>
      </c>
      <c r="R3285" s="226" t="s">
        <v>4409</v>
      </c>
      <c r="S3285" s="491" t="str">
        <f t="shared" si="107"/>
        <v>x</v>
      </c>
      <c r="T3285" s="492" t="str">
        <f>IFERROR(VLOOKUP(F3285,'Freq-Chan'!C:D,2,FALSE),"x")</f>
        <v>x</v>
      </c>
      <c r="U3285" s="110" t="s">
        <v>541</v>
      </c>
      <c r="V3285" s="110" t="str">
        <f t="shared" si="108"/>
        <v>FWL</v>
      </c>
      <c r="W3285" s="110" t="s">
        <v>541</v>
      </c>
      <c r="X3285" s="110" t="s">
        <v>541</v>
      </c>
      <c r="Y3285" s="110" t="str">
        <f>IFERROR(VLOOKUP(F3285,'Freq-Chan'!C:E,3,FALSE),"na")</f>
        <v>na</v>
      </c>
      <c r="Z3285" s="110" t="s">
        <v>541</v>
      </c>
      <c r="AA3285" s="110" t="s">
        <v>541</v>
      </c>
      <c r="AB3285" s="110" t="s">
        <v>541</v>
      </c>
      <c r="AC3285" s="10" t="s">
        <v>541</v>
      </c>
      <c r="AD3285" s="10" t="s">
        <v>541</v>
      </c>
    </row>
    <row r="3286" spans="1:30" x14ac:dyDescent="0.2">
      <c r="A3286" s="110">
        <v>3286</v>
      </c>
      <c r="B3286" s="132">
        <v>41873</v>
      </c>
      <c r="C3286" s="117">
        <v>2</v>
      </c>
      <c r="D3286" s="142" t="s">
        <v>71</v>
      </c>
      <c r="E3286" s="142" t="s">
        <v>306</v>
      </c>
      <c r="H3286" s="103"/>
      <c r="I3286" s="103">
        <v>57</v>
      </c>
      <c r="K3286" s="142" t="s">
        <v>1032</v>
      </c>
      <c r="L3286" s="133"/>
      <c r="M3286" s="134">
        <v>2.1527777777777781E-2</v>
      </c>
      <c r="N3286" s="135" t="s">
        <v>3229</v>
      </c>
      <c r="O3286" s="144" t="s">
        <v>3932</v>
      </c>
      <c r="Q3286" s="106" t="s">
        <v>4397</v>
      </c>
      <c r="R3286" s="226" t="s">
        <v>4409</v>
      </c>
      <c r="S3286" s="491" t="str">
        <f t="shared" si="107"/>
        <v>x</v>
      </c>
      <c r="T3286" s="492" t="str">
        <f>IFERROR(VLOOKUP(F3286,'Freq-Chan'!C:D,2,FALSE),"x")</f>
        <v>x</v>
      </c>
      <c r="U3286" s="110" t="s">
        <v>541</v>
      </c>
      <c r="V3286" s="110" t="str">
        <f t="shared" si="108"/>
        <v>FWL</v>
      </c>
      <c r="W3286" s="110" t="s">
        <v>541</v>
      </c>
      <c r="X3286" s="110" t="s">
        <v>541</v>
      </c>
      <c r="Y3286" s="110" t="str">
        <f>IFERROR(VLOOKUP(F3286,'Freq-Chan'!C:E,3,FALSE),"na")</f>
        <v>na</v>
      </c>
      <c r="Z3286" s="110" t="s">
        <v>541</v>
      </c>
      <c r="AA3286" s="110" t="s">
        <v>541</v>
      </c>
      <c r="AB3286" s="110" t="s">
        <v>541</v>
      </c>
      <c r="AC3286" s="10" t="s">
        <v>541</v>
      </c>
      <c r="AD3286" s="10" t="s">
        <v>541</v>
      </c>
    </row>
    <row r="3287" spans="1:30" x14ac:dyDescent="0.2">
      <c r="A3287" s="110">
        <v>3287</v>
      </c>
      <c r="B3287" s="132">
        <v>41873</v>
      </c>
      <c r="C3287" s="117">
        <v>2</v>
      </c>
      <c r="D3287" s="142" t="s">
        <v>72</v>
      </c>
      <c r="E3287" s="142" t="s">
        <v>306</v>
      </c>
      <c r="H3287" s="103"/>
      <c r="I3287" s="103">
        <v>58</v>
      </c>
      <c r="K3287" s="142" t="s">
        <v>365</v>
      </c>
      <c r="L3287" s="133"/>
      <c r="M3287" s="134">
        <v>2.361111111111111E-2</v>
      </c>
      <c r="N3287" s="135" t="s">
        <v>3803</v>
      </c>
      <c r="O3287" s="144" t="s">
        <v>3932</v>
      </c>
      <c r="Q3287" s="106" t="s">
        <v>4397</v>
      </c>
      <c r="R3287" s="226" t="s">
        <v>4409</v>
      </c>
      <c r="S3287" s="491" t="str">
        <f t="shared" si="107"/>
        <v>x</v>
      </c>
      <c r="T3287" s="492" t="str">
        <f>IFERROR(VLOOKUP(F3287,'Freq-Chan'!C:D,2,FALSE),"x")</f>
        <v>x</v>
      </c>
      <c r="U3287" s="110" t="s">
        <v>541</v>
      </c>
      <c r="V3287" s="110" t="str">
        <f t="shared" si="108"/>
        <v>FWL</v>
      </c>
      <c r="W3287" s="110" t="s">
        <v>541</v>
      </c>
      <c r="X3287" s="110" t="s">
        <v>541</v>
      </c>
      <c r="Y3287" s="110" t="str">
        <f>IFERROR(VLOOKUP(F3287,'Freq-Chan'!C:E,3,FALSE),"na")</f>
        <v>na</v>
      </c>
      <c r="Z3287" s="110" t="s">
        <v>541</v>
      </c>
      <c r="AA3287" s="110" t="s">
        <v>541</v>
      </c>
      <c r="AB3287" s="110" t="s">
        <v>541</v>
      </c>
      <c r="AC3287" s="10" t="s">
        <v>541</v>
      </c>
      <c r="AD3287" s="10" t="s">
        <v>541</v>
      </c>
    </row>
    <row r="3288" spans="1:30" x14ac:dyDescent="0.2">
      <c r="A3288" s="110">
        <v>3288</v>
      </c>
      <c r="B3288" s="132">
        <v>41873</v>
      </c>
      <c r="C3288" s="117">
        <v>2</v>
      </c>
      <c r="D3288" s="142" t="s">
        <v>71</v>
      </c>
      <c r="E3288" s="142" t="s">
        <v>306</v>
      </c>
      <c r="H3288" s="103"/>
      <c r="I3288" s="103">
        <v>58</v>
      </c>
      <c r="K3288" s="142" t="s">
        <v>365</v>
      </c>
      <c r="L3288" s="133"/>
      <c r="M3288" s="134">
        <v>2.0833333333333332E-2</v>
      </c>
      <c r="N3288" s="135" t="s">
        <v>3934</v>
      </c>
      <c r="O3288" s="144" t="s">
        <v>3932</v>
      </c>
      <c r="Q3288" s="106" t="s">
        <v>4397</v>
      </c>
      <c r="R3288" s="226" t="s">
        <v>4409</v>
      </c>
      <c r="S3288" s="491" t="str">
        <f t="shared" si="107"/>
        <v>x</v>
      </c>
      <c r="T3288" s="492" t="str">
        <f>IFERROR(VLOOKUP(F3288,'Freq-Chan'!C:D,2,FALSE),"x")</f>
        <v>x</v>
      </c>
      <c r="U3288" s="110" t="s">
        <v>541</v>
      </c>
      <c r="V3288" s="110" t="str">
        <f t="shared" si="108"/>
        <v>FWL</v>
      </c>
      <c r="W3288" s="110" t="s">
        <v>541</v>
      </c>
      <c r="X3288" s="110" t="s">
        <v>541</v>
      </c>
      <c r="Y3288" s="110" t="str">
        <f>IFERROR(VLOOKUP(F3288,'Freq-Chan'!C:E,3,FALSE),"na")</f>
        <v>na</v>
      </c>
      <c r="Z3288" s="110" t="s">
        <v>541</v>
      </c>
      <c r="AA3288" s="110" t="s">
        <v>541</v>
      </c>
      <c r="AB3288" s="110" t="s">
        <v>541</v>
      </c>
      <c r="AC3288" s="10" t="s">
        <v>541</v>
      </c>
      <c r="AD3288" s="10" t="s">
        <v>541</v>
      </c>
    </row>
    <row r="3289" spans="1:30" x14ac:dyDescent="0.2">
      <c r="A3289" s="110">
        <v>3289</v>
      </c>
      <c r="B3289" s="132">
        <v>41873</v>
      </c>
      <c r="C3289" s="117">
        <v>2</v>
      </c>
      <c r="D3289" s="142" t="s">
        <v>71</v>
      </c>
      <c r="E3289" s="142" t="s">
        <v>306</v>
      </c>
      <c r="H3289" s="103"/>
      <c r="I3289" s="103">
        <v>63</v>
      </c>
      <c r="K3289" s="142" t="s">
        <v>365</v>
      </c>
      <c r="L3289" s="133"/>
      <c r="M3289" s="134">
        <v>2.2916666666666669E-2</v>
      </c>
      <c r="N3289" s="135" t="s">
        <v>1852</v>
      </c>
      <c r="O3289" s="144" t="s">
        <v>3932</v>
      </c>
      <c r="Q3289" s="106" t="s">
        <v>4397</v>
      </c>
      <c r="R3289" s="226" t="s">
        <v>4409</v>
      </c>
      <c r="S3289" s="503" t="str">
        <f t="shared" si="107"/>
        <v>x</v>
      </c>
      <c r="T3289" s="504" t="str">
        <f>IFERROR(VLOOKUP(F3289,'Freq-Chan'!C:D,2,FALSE),"x")</f>
        <v>x</v>
      </c>
      <c r="U3289" s="110" t="s">
        <v>541</v>
      </c>
      <c r="V3289" s="110" t="str">
        <f t="shared" si="108"/>
        <v>FWL</v>
      </c>
      <c r="W3289" s="110" t="s">
        <v>541</v>
      </c>
      <c r="X3289" s="110" t="s">
        <v>541</v>
      </c>
      <c r="Y3289" s="110" t="str">
        <f>IFERROR(VLOOKUP(F3289,'Freq-Chan'!C:E,3,FALSE),"na")</f>
        <v>na</v>
      </c>
      <c r="Z3289" s="110" t="s">
        <v>541</v>
      </c>
      <c r="AA3289" s="110" t="s">
        <v>541</v>
      </c>
      <c r="AB3289" s="110" t="s">
        <v>541</v>
      </c>
      <c r="AC3289" s="10" t="s">
        <v>541</v>
      </c>
      <c r="AD3289" s="10" t="s">
        <v>541</v>
      </c>
    </row>
    <row r="3290" spans="1:30" s="291" customFormat="1" x14ac:dyDescent="0.2">
      <c r="A3290" s="493">
        <v>3290</v>
      </c>
      <c r="B3290" s="283">
        <v>41873</v>
      </c>
      <c r="C3290" s="284">
        <v>2</v>
      </c>
      <c r="D3290" s="396" t="s">
        <v>71</v>
      </c>
      <c r="E3290" s="396" t="s">
        <v>306</v>
      </c>
      <c r="F3290" s="285"/>
      <c r="G3290" s="285"/>
      <c r="H3290" s="396"/>
      <c r="I3290" s="285">
        <v>64</v>
      </c>
      <c r="J3290" s="285"/>
      <c r="K3290" s="396" t="s">
        <v>365</v>
      </c>
      <c r="L3290" s="286"/>
      <c r="M3290" s="287">
        <v>2.7083333333333334E-2</v>
      </c>
      <c r="N3290" s="398" t="s">
        <v>3435</v>
      </c>
      <c r="O3290" s="397" t="s">
        <v>3932</v>
      </c>
      <c r="P3290" s="289"/>
      <c r="Q3290" s="395" t="s">
        <v>4397</v>
      </c>
      <c r="R3290" s="226" t="s">
        <v>4409</v>
      </c>
      <c r="S3290" s="494" t="str">
        <f t="shared" si="107"/>
        <v>x</v>
      </c>
      <c r="T3290" s="495" t="str">
        <f>IFERROR(VLOOKUP(F3290,'Freq-Chan'!C:D,2,FALSE),"x")</f>
        <v>x</v>
      </c>
      <c r="U3290" s="493" t="s">
        <v>541</v>
      </c>
      <c r="V3290" s="493" t="str">
        <f t="shared" si="108"/>
        <v>FWL</v>
      </c>
      <c r="W3290" s="493" t="s">
        <v>541</v>
      </c>
      <c r="X3290" s="493" t="s">
        <v>541</v>
      </c>
      <c r="Y3290" s="493" t="str">
        <f>IFERROR(VLOOKUP(F3290,'Freq-Chan'!C:E,3,FALSE),"na")</f>
        <v>na</v>
      </c>
      <c r="Z3290" s="493" t="s">
        <v>541</v>
      </c>
      <c r="AA3290" s="493" t="s">
        <v>541</v>
      </c>
      <c r="AB3290" s="493" t="s">
        <v>541</v>
      </c>
      <c r="AC3290" s="291" t="s">
        <v>541</v>
      </c>
      <c r="AD3290" s="291" t="s">
        <v>541</v>
      </c>
    </row>
    <row r="3291" spans="1:30" x14ac:dyDescent="0.2">
      <c r="A3291" s="110">
        <v>3291</v>
      </c>
      <c r="B3291" s="132">
        <v>41873</v>
      </c>
      <c r="C3291" s="117">
        <v>3</v>
      </c>
      <c r="D3291" s="142" t="s">
        <v>70</v>
      </c>
      <c r="E3291" s="142" t="s">
        <v>306</v>
      </c>
      <c r="H3291" s="103"/>
      <c r="I3291" s="103">
        <v>45</v>
      </c>
      <c r="K3291" s="142" t="s">
        <v>365</v>
      </c>
      <c r="L3291" s="133">
        <v>0.34513888888888888</v>
      </c>
      <c r="M3291" s="134">
        <v>1.3194444444444444E-2</v>
      </c>
      <c r="N3291" s="135" t="s">
        <v>4404</v>
      </c>
      <c r="O3291" s="144" t="s">
        <v>1532</v>
      </c>
      <c r="P3291" s="100" t="s">
        <v>4405</v>
      </c>
      <c r="Q3291" s="106" t="s">
        <v>4406</v>
      </c>
      <c r="R3291" s="226" t="s">
        <v>4409</v>
      </c>
      <c r="S3291" s="491">
        <f t="shared" si="107"/>
        <v>1.1689815000000001E-3</v>
      </c>
      <c r="T3291" s="492" t="str">
        <f>IFERROR(VLOOKUP(F3291,'Freq-Chan'!C:D,2,FALSE),"x")</f>
        <v>x</v>
      </c>
      <c r="U3291" s="110" t="s">
        <v>541</v>
      </c>
      <c r="V3291" s="110" t="str">
        <f t="shared" si="108"/>
        <v>FWL</v>
      </c>
      <c r="W3291" s="110" t="s">
        <v>541</v>
      </c>
      <c r="X3291" s="110" t="s">
        <v>541</v>
      </c>
      <c r="Y3291" s="110" t="str">
        <f>IFERROR(VLOOKUP(F3291,'Freq-Chan'!C:E,3,FALSE),"na")</f>
        <v>na</v>
      </c>
      <c r="Z3291" s="110" t="s">
        <v>541</v>
      </c>
      <c r="AA3291" s="110" t="s">
        <v>541</v>
      </c>
      <c r="AB3291" s="110" t="s">
        <v>541</v>
      </c>
      <c r="AC3291" s="10" t="s">
        <v>541</v>
      </c>
      <c r="AD3291" s="10" t="s">
        <v>541</v>
      </c>
    </row>
    <row r="3292" spans="1:30" x14ac:dyDescent="0.2">
      <c r="A3292" s="110">
        <v>3292</v>
      </c>
      <c r="B3292" s="132">
        <v>41873</v>
      </c>
      <c r="C3292" s="117">
        <v>3</v>
      </c>
      <c r="D3292" s="142" t="s">
        <v>72</v>
      </c>
      <c r="E3292" s="142" t="s">
        <v>306</v>
      </c>
      <c r="F3292" s="103">
        <v>325</v>
      </c>
      <c r="G3292" s="103">
        <v>56</v>
      </c>
      <c r="H3292" s="103" t="s">
        <v>3645</v>
      </c>
      <c r="I3292" s="103">
        <v>60</v>
      </c>
      <c r="K3292" s="142" t="s">
        <v>1032</v>
      </c>
      <c r="L3292" s="133">
        <v>0.39513888888888887</v>
      </c>
      <c r="M3292" s="134">
        <v>4.9305555555555554E-2</v>
      </c>
      <c r="N3292" s="135" t="s">
        <v>3402</v>
      </c>
      <c r="O3292" s="144" t="s">
        <v>1888</v>
      </c>
      <c r="Q3292" s="106" t="s">
        <v>4406</v>
      </c>
      <c r="R3292" s="226" t="s">
        <v>4409</v>
      </c>
      <c r="S3292" s="491">
        <f t="shared" si="107"/>
        <v>2.650463E-3</v>
      </c>
      <c r="T3292" s="492">
        <f>IFERROR(VLOOKUP(F3292,'Freq-Chan'!C:D,2,FALSE),"x")</f>
        <v>151.32499999999999</v>
      </c>
      <c r="U3292" s="110" t="s">
        <v>541</v>
      </c>
      <c r="V3292" s="110" t="str">
        <f t="shared" si="108"/>
        <v>FWL</v>
      </c>
      <c r="W3292" s="110" t="s">
        <v>541</v>
      </c>
      <c r="X3292" s="110" t="s">
        <v>541</v>
      </c>
      <c r="Y3292" s="110" t="str">
        <f>IFERROR(VLOOKUP(F3292,'Freq-Chan'!C:E,3,FALSE),"na")</f>
        <v>F1840</v>
      </c>
      <c r="Z3292" s="110" t="s">
        <v>541</v>
      </c>
      <c r="AA3292" s="110" t="s">
        <v>541</v>
      </c>
      <c r="AB3292" s="110" t="s">
        <v>541</v>
      </c>
      <c r="AC3292" s="10" t="s">
        <v>541</v>
      </c>
      <c r="AD3292" s="10" t="s">
        <v>541</v>
      </c>
    </row>
    <row r="3293" spans="1:30" x14ac:dyDescent="0.2">
      <c r="A3293" s="110">
        <v>3293</v>
      </c>
      <c r="B3293" s="132">
        <v>41873</v>
      </c>
      <c r="C3293" s="117">
        <v>3</v>
      </c>
      <c r="D3293" s="142" t="s">
        <v>72</v>
      </c>
      <c r="E3293" s="142" t="s">
        <v>306</v>
      </c>
      <c r="F3293" s="103">
        <v>325</v>
      </c>
      <c r="G3293" s="103">
        <v>10</v>
      </c>
      <c r="H3293" s="103" t="s">
        <v>3652</v>
      </c>
      <c r="I3293" s="103">
        <v>51</v>
      </c>
      <c r="K3293" s="142" t="s">
        <v>1032</v>
      </c>
      <c r="L3293" s="133"/>
      <c r="M3293" s="134">
        <v>4.027777777777778E-2</v>
      </c>
      <c r="N3293" s="135" t="s">
        <v>2653</v>
      </c>
      <c r="O3293" s="144" t="s">
        <v>1888</v>
      </c>
      <c r="P3293" s="106" t="s">
        <v>4341</v>
      </c>
      <c r="Q3293" s="106" t="s">
        <v>4406</v>
      </c>
      <c r="R3293" s="226" t="s">
        <v>4409</v>
      </c>
      <c r="S3293" s="491" t="str">
        <f t="shared" si="107"/>
        <v>x</v>
      </c>
      <c r="T3293" s="492">
        <f>IFERROR(VLOOKUP(F3293,'Freq-Chan'!C:D,2,FALSE),"x")</f>
        <v>151.32499999999999</v>
      </c>
      <c r="U3293" s="110" t="s">
        <v>541</v>
      </c>
      <c r="V3293" s="110" t="str">
        <f t="shared" si="108"/>
        <v>FWL</v>
      </c>
      <c r="W3293" s="110" t="s">
        <v>541</v>
      </c>
      <c r="X3293" s="110" t="s">
        <v>541</v>
      </c>
      <c r="Y3293" s="110" t="str">
        <f>IFERROR(VLOOKUP(F3293,'Freq-Chan'!C:E,3,FALSE),"na")</f>
        <v>F1840</v>
      </c>
      <c r="Z3293" s="110" t="s">
        <v>541</v>
      </c>
      <c r="AA3293" s="110" t="s">
        <v>541</v>
      </c>
      <c r="AB3293" s="110" t="s">
        <v>541</v>
      </c>
      <c r="AC3293" s="10" t="s">
        <v>541</v>
      </c>
      <c r="AD3293" s="10" t="s">
        <v>541</v>
      </c>
    </row>
    <row r="3294" spans="1:30" x14ac:dyDescent="0.2">
      <c r="A3294" s="110">
        <v>3294</v>
      </c>
      <c r="B3294" s="132">
        <v>41873</v>
      </c>
      <c r="C3294" s="117">
        <v>3</v>
      </c>
      <c r="D3294" s="142" t="s">
        <v>72</v>
      </c>
      <c r="E3294" s="142" t="s">
        <v>306</v>
      </c>
      <c r="F3294" s="103">
        <v>266</v>
      </c>
      <c r="G3294" s="103">
        <v>39</v>
      </c>
      <c r="H3294" s="103" t="s">
        <v>3653</v>
      </c>
      <c r="I3294" s="103">
        <v>58</v>
      </c>
      <c r="K3294" s="142" t="s">
        <v>1032</v>
      </c>
      <c r="L3294" s="133"/>
      <c r="M3294" s="134">
        <v>3.9583333333333331E-2</v>
      </c>
      <c r="N3294" s="135" t="s">
        <v>2892</v>
      </c>
      <c r="O3294" s="144" t="s">
        <v>1888</v>
      </c>
      <c r="P3294" s="100" t="s">
        <v>4474</v>
      </c>
      <c r="Q3294" s="106" t="s">
        <v>4406</v>
      </c>
      <c r="R3294" s="226" t="s">
        <v>4409</v>
      </c>
      <c r="S3294" s="491" t="str">
        <f t="shared" si="107"/>
        <v>x</v>
      </c>
      <c r="T3294" s="492">
        <f>IFERROR(VLOOKUP(F3294,'Freq-Chan'!C:D,2,FALSE),"x")</f>
        <v>151.26599999999999</v>
      </c>
      <c r="U3294" s="110" t="s">
        <v>541</v>
      </c>
      <c r="V3294" s="110" t="str">
        <f t="shared" si="108"/>
        <v>FWL</v>
      </c>
      <c r="W3294" s="110" t="s">
        <v>541</v>
      </c>
      <c r="X3294" s="110" t="s">
        <v>541</v>
      </c>
      <c r="Y3294" s="110" t="str">
        <f>IFERROR(VLOOKUP(F3294,'Freq-Chan'!C:E,3,FALSE),"na")</f>
        <v>F1840</v>
      </c>
      <c r="Z3294" s="110" t="s">
        <v>541</v>
      </c>
      <c r="AA3294" s="110" t="s">
        <v>541</v>
      </c>
      <c r="AB3294" s="110" t="s">
        <v>541</v>
      </c>
      <c r="AC3294" s="10" t="s">
        <v>541</v>
      </c>
      <c r="AD3294" s="10" t="s">
        <v>541</v>
      </c>
    </row>
    <row r="3295" spans="1:30" x14ac:dyDescent="0.2">
      <c r="A3295" s="110">
        <v>3295</v>
      </c>
      <c r="B3295" s="132">
        <v>41873</v>
      </c>
      <c r="C3295" s="117">
        <v>3</v>
      </c>
      <c r="D3295" s="142" t="s">
        <v>75</v>
      </c>
      <c r="E3295" s="142" t="s">
        <v>798</v>
      </c>
      <c r="H3295" s="103"/>
      <c r="J3295" s="103">
        <v>37</v>
      </c>
      <c r="K3295" s="142" t="s">
        <v>364</v>
      </c>
      <c r="L3295" s="133"/>
      <c r="M3295" s="134">
        <v>2.1527777777777781E-2</v>
      </c>
      <c r="N3295" s="135" t="s">
        <v>4068</v>
      </c>
      <c r="O3295" s="144" t="s">
        <v>1532</v>
      </c>
      <c r="Q3295" s="106" t="s">
        <v>4406</v>
      </c>
      <c r="R3295" s="226" t="s">
        <v>4409</v>
      </c>
      <c r="S3295" s="491" t="str">
        <f t="shared" si="107"/>
        <v>x</v>
      </c>
      <c r="T3295" s="492" t="str">
        <f>IFERROR(VLOOKUP(F3295,'Freq-Chan'!C:D,2,FALSE),"x")</f>
        <v>x</v>
      </c>
      <c r="U3295" s="110" t="s">
        <v>541</v>
      </c>
      <c r="V3295" s="110" t="str">
        <f t="shared" si="108"/>
        <v>FWL</v>
      </c>
      <c r="W3295" s="110" t="s">
        <v>541</v>
      </c>
      <c r="X3295" s="110" t="s">
        <v>541</v>
      </c>
      <c r="Y3295" s="110" t="str">
        <f>IFERROR(VLOOKUP(F3295,'Freq-Chan'!C:E,3,FALSE),"na")</f>
        <v>na</v>
      </c>
      <c r="Z3295" s="110" t="s">
        <v>541</v>
      </c>
      <c r="AA3295" s="110" t="s">
        <v>541</v>
      </c>
      <c r="AB3295" s="110" t="s">
        <v>541</v>
      </c>
      <c r="AC3295" s="10" t="s">
        <v>541</v>
      </c>
      <c r="AD3295" s="10" t="s">
        <v>541</v>
      </c>
    </row>
    <row r="3296" spans="1:30" x14ac:dyDescent="0.2">
      <c r="A3296" s="110">
        <v>3296</v>
      </c>
      <c r="B3296" s="132">
        <v>41873</v>
      </c>
      <c r="C3296" s="117">
        <v>3</v>
      </c>
      <c r="D3296" s="142" t="s">
        <v>72</v>
      </c>
      <c r="E3296" s="142" t="s">
        <v>306</v>
      </c>
      <c r="F3296" s="103">
        <v>325</v>
      </c>
      <c r="G3296" s="103">
        <v>55</v>
      </c>
      <c r="H3296" s="103" t="s">
        <v>3654</v>
      </c>
      <c r="I3296" s="103">
        <v>55</v>
      </c>
      <c r="K3296" s="142" t="s">
        <v>364</v>
      </c>
      <c r="L3296" s="133"/>
      <c r="M3296" s="134">
        <v>4.5138888888888888E-2</v>
      </c>
      <c r="N3296" s="135" t="s">
        <v>4049</v>
      </c>
      <c r="O3296" s="144" t="s">
        <v>1532</v>
      </c>
      <c r="P3296" s="100" t="s">
        <v>1802</v>
      </c>
      <c r="Q3296" s="106" t="s">
        <v>4406</v>
      </c>
      <c r="R3296" s="226" t="s">
        <v>4409</v>
      </c>
      <c r="S3296" s="491" t="str">
        <f t="shared" si="107"/>
        <v>x</v>
      </c>
      <c r="T3296" s="492">
        <f>IFERROR(VLOOKUP(F3296,'Freq-Chan'!C:D,2,FALSE),"x")</f>
        <v>151.32499999999999</v>
      </c>
      <c r="U3296" s="110" t="s">
        <v>541</v>
      </c>
      <c r="V3296" s="110" t="str">
        <f t="shared" si="108"/>
        <v>FWL</v>
      </c>
      <c r="W3296" s="110" t="s">
        <v>541</v>
      </c>
      <c r="X3296" s="110" t="s">
        <v>541</v>
      </c>
      <c r="Y3296" s="110" t="str">
        <f>IFERROR(VLOOKUP(F3296,'Freq-Chan'!C:E,3,FALSE),"na")</f>
        <v>F1840</v>
      </c>
      <c r="Z3296" s="110" t="s">
        <v>541</v>
      </c>
      <c r="AA3296" s="110" t="s">
        <v>541</v>
      </c>
      <c r="AB3296" s="110" t="s">
        <v>541</v>
      </c>
      <c r="AC3296" s="10" t="s">
        <v>541</v>
      </c>
      <c r="AD3296" s="10" t="s">
        <v>541</v>
      </c>
    </row>
    <row r="3297" spans="1:30" x14ac:dyDescent="0.2">
      <c r="A3297" s="110">
        <v>3297</v>
      </c>
      <c r="B3297" s="132">
        <v>41873</v>
      </c>
      <c r="C3297" s="117">
        <v>3</v>
      </c>
      <c r="D3297" s="142" t="s">
        <v>71</v>
      </c>
      <c r="E3297" s="142" t="s">
        <v>306</v>
      </c>
      <c r="F3297" s="103">
        <v>564</v>
      </c>
      <c r="G3297" s="103">
        <v>53</v>
      </c>
      <c r="H3297" s="103" t="s">
        <v>2479</v>
      </c>
      <c r="I3297" s="103">
        <v>57</v>
      </c>
      <c r="K3297" s="142" t="s">
        <v>1032</v>
      </c>
      <c r="L3297" s="133"/>
      <c r="M3297" s="134">
        <v>4.3055555555555562E-2</v>
      </c>
      <c r="N3297" s="135" t="s">
        <v>3734</v>
      </c>
      <c r="O3297" s="144" t="s">
        <v>4407</v>
      </c>
      <c r="P3297" s="106"/>
      <c r="Q3297" s="106" t="s">
        <v>4406</v>
      </c>
      <c r="R3297" s="226" t="s">
        <v>4409</v>
      </c>
      <c r="S3297" s="491" t="str">
        <f t="shared" si="107"/>
        <v>x</v>
      </c>
      <c r="T3297" s="492">
        <f>IFERROR(VLOOKUP(F3297,'Freq-Chan'!C:D,2,FALSE),"x")</f>
        <v>151.56399999999999</v>
      </c>
      <c r="U3297" s="110" t="s">
        <v>541</v>
      </c>
      <c r="V3297" s="110" t="str">
        <f t="shared" si="108"/>
        <v>FWL</v>
      </c>
      <c r="W3297" s="110" t="s">
        <v>541</v>
      </c>
      <c r="X3297" s="110" t="s">
        <v>541</v>
      </c>
      <c r="Y3297" s="110" t="str">
        <f>IFERROR(VLOOKUP(F3297,'Freq-Chan'!C:E,3,FALSE),"na")</f>
        <v>F1840</v>
      </c>
      <c r="Z3297" s="110" t="s">
        <v>541</v>
      </c>
      <c r="AA3297" s="110" t="s">
        <v>541</v>
      </c>
      <c r="AB3297" s="110" t="s">
        <v>541</v>
      </c>
      <c r="AC3297" s="10" t="s">
        <v>541</v>
      </c>
      <c r="AD3297" s="10" t="s">
        <v>541</v>
      </c>
    </row>
    <row r="3298" spans="1:30" x14ac:dyDescent="0.2">
      <c r="A3298" s="110">
        <v>3298</v>
      </c>
      <c r="B3298" s="132">
        <v>41873</v>
      </c>
      <c r="C3298" s="117">
        <v>3</v>
      </c>
      <c r="D3298" s="142" t="s">
        <v>71</v>
      </c>
      <c r="E3298" s="142" t="s">
        <v>306</v>
      </c>
      <c r="H3298" s="103"/>
      <c r="I3298" s="103">
        <v>57</v>
      </c>
      <c r="K3298" s="142" t="s">
        <v>1032</v>
      </c>
      <c r="L3298" s="133"/>
      <c r="M3298" s="134">
        <v>2.2916666666666669E-2</v>
      </c>
      <c r="N3298" s="135" t="s">
        <v>763</v>
      </c>
      <c r="O3298" s="144" t="s">
        <v>1532</v>
      </c>
      <c r="Q3298" s="106" t="s">
        <v>4406</v>
      </c>
      <c r="R3298" s="226" t="s">
        <v>4409</v>
      </c>
      <c r="S3298" s="491" t="str">
        <f t="shared" si="107"/>
        <v>x</v>
      </c>
      <c r="T3298" s="492" t="str">
        <f>IFERROR(VLOOKUP(F3298,'Freq-Chan'!C:D,2,FALSE),"x")</f>
        <v>x</v>
      </c>
      <c r="U3298" s="110" t="s">
        <v>541</v>
      </c>
      <c r="V3298" s="110" t="str">
        <f t="shared" si="108"/>
        <v>FWL</v>
      </c>
      <c r="W3298" s="110" t="s">
        <v>541</v>
      </c>
      <c r="X3298" s="110" t="s">
        <v>541</v>
      </c>
      <c r="Y3298" s="110" t="str">
        <f>IFERROR(VLOOKUP(F3298,'Freq-Chan'!C:E,3,FALSE),"na")</f>
        <v>na</v>
      </c>
      <c r="Z3298" s="110" t="s">
        <v>541</v>
      </c>
      <c r="AA3298" s="110" t="s">
        <v>541</v>
      </c>
      <c r="AB3298" s="110" t="s">
        <v>541</v>
      </c>
      <c r="AC3298" s="10" t="s">
        <v>541</v>
      </c>
      <c r="AD3298" s="10" t="s">
        <v>541</v>
      </c>
    </row>
    <row r="3299" spans="1:30" x14ac:dyDescent="0.2">
      <c r="A3299" s="110">
        <v>3299</v>
      </c>
      <c r="B3299" s="132">
        <v>41873</v>
      </c>
      <c r="C3299" s="117">
        <v>3</v>
      </c>
      <c r="D3299" s="142" t="s">
        <v>71</v>
      </c>
      <c r="E3299" s="142" t="s">
        <v>306</v>
      </c>
      <c r="H3299" s="103"/>
      <c r="I3299" s="103">
        <v>54</v>
      </c>
      <c r="K3299" s="142" t="s">
        <v>1032</v>
      </c>
      <c r="L3299" s="133"/>
      <c r="M3299" s="134">
        <v>1.2499999999999999E-2</v>
      </c>
      <c r="N3299" s="135" t="s">
        <v>1909</v>
      </c>
      <c r="O3299" s="144" t="s">
        <v>1532</v>
      </c>
      <c r="Q3299" s="106" t="s">
        <v>4406</v>
      </c>
      <c r="R3299" s="226" t="s">
        <v>4409</v>
      </c>
      <c r="S3299" s="491" t="str">
        <f t="shared" si="107"/>
        <v>x</v>
      </c>
      <c r="T3299" s="492" t="str">
        <f>IFERROR(VLOOKUP(F3299,'Freq-Chan'!C:D,2,FALSE),"x")</f>
        <v>x</v>
      </c>
      <c r="U3299" s="110" t="s">
        <v>541</v>
      </c>
      <c r="V3299" s="110" t="str">
        <f t="shared" si="108"/>
        <v>FWL</v>
      </c>
      <c r="W3299" s="110" t="s">
        <v>541</v>
      </c>
      <c r="X3299" s="110" t="s">
        <v>541</v>
      </c>
      <c r="Y3299" s="110" t="str">
        <f>IFERROR(VLOOKUP(F3299,'Freq-Chan'!C:E,3,FALSE),"na")</f>
        <v>na</v>
      </c>
      <c r="Z3299" s="110" t="s">
        <v>541</v>
      </c>
      <c r="AA3299" s="110" t="s">
        <v>541</v>
      </c>
      <c r="AB3299" s="110" t="s">
        <v>541</v>
      </c>
      <c r="AC3299" s="10" t="s">
        <v>541</v>
      </c>
      <c r="AD3299" s="10" t="s">
        <v>541</v>
      </c>
    </row>
    <row r="3300" spans="1:30" x14ac:dyDescent="0.2">
      <c r="A3300" s="110">
        <v>3300</v>
      </c>
      <c r="B3300" s="132">
        <v>41873</v>
      </c>
      <c r="C3300" s="117">
        <v>3</v>
      </c>
      <c r="D3300" s="142" t="s">
        <v>71</v>
      </c>
      <c r="E3300" s="142" t="s">
        <v>306</v>
      </c>
      <c r="H3300" s="142"/>
      <c r="I3300" s="103">
        <v>56</v>
      </c>
      <c r="K3300" s="142" t="s">
        <v>1032</v>
      </c>
      <c r="L3300" s="133"/>
      <c r="M3300" s="134">
        <v>1.6666666666666666E-2</v>
      </c>
      <c r="N3300" s="143" t="s">
        <v>1909</v>
      </c>
      <c r="O3300" s="144" t="s">
        <v>1532</v>
      </c>
      <c r="Q3300" s="106" t="s">
        <v>4406</v>
      </c>
      <c r="R3300" s="226" t="s">
        <v>4409</v>
      </c>
      <c r="S3300" s="491" t="str">
        <f t="shared" si="107"/>
        <v>x</v>
      </c>
      <c r="T3300" s="492" t="str">
        <f>IFERROR(VLOOKUP(F3300,'Freq-Chan'!C:D,2,FALSE),"x")</f>
        <v>x</v>
      </c>
      <c r="U3300" s="110" t="s">
        <v>541</v>
      </c>
      <c r="V3300" s="110" t="str">
        <f t="shared" si="108"/>
        <v>FWL</v>
      </c>
      <c r="W3300" s="110" t="s">
        <v>541</v>
      </c>
      <c r="X3300" s="110" t="s">
        <v>541</v>
      </c>
      <c r="Y3300" s="110" t="str">
        <f>IFERROR(VLOOKUP(F3300,'Freq-Chan'!C:E,3,FALSE),"na")</f>
        <v>na</v>
      </c>
      <c r="Z3300" s="110" t="s">
        <v>541</v>
      </c>
      <c r="AA3300" s="110" t="s">
        <v>541</v>
      </c>
      <c r="AB3300" s="110" t="s">
        <v>541</v>
      </c>
      <c r="AC3300" s="10" t="s">
        <v>541</v>
      </c>
      <c r="AD3300" s="10" t="s">
        <v>541</v>
      </c>
    </row>
    <row r="3301" spans="1:30" x14ac:dyDescent="0.2">
      <c r="A3301" s="110">
        <v>3301</v>
      </c>
      <c r="B3301" s="132">
        <v>41873</v>
      </c>
      <c r="C3301" s="117">
        <v>3</v>
      </c>
      <c r="D3301" s="142" t="s">
        <v>71</v>
      </c>
      <c r="E3301" s="142" t="s">
        <v>306</v>
      </c>
      <c r="H3301" s="103"/>
      <c r="I3301" s="103">
        <v>52</v>
      </c>
      <c r="K3301" s="142" t="s">
        <v>1032</v>
      </c>
      <c r="L3301" s="133"/>
      <c r="M3301" s="134">
        <v>1.5972222222222224E-2</v>
      </c>
      <c r="N3301" s="135" t="s">
        <v>3903</v>
      </c>
      <c r="O3301" s="144" t="s">
        <v>1532</v>
      </c>
      <c r="Q3301" s="106" t="s">
        <v>4406</v>
      </c>
      <c r="R3301" s="226" t="s">
        <v>4409</v>
      </c>
      <c r="S3301" s="491" t="str">
        <f t="shared" si="107"/>
        <v>x</v>
      </c>
      <c r="T3301" s="492" t="str">
        <f>IFERROR(VLOOKUP(F3301,'Freq-Chan'!C:D,2,FALSE),"x")</f>
        <v>x</v>
      </c>
      <c r="U3301" s="110" t="s">
        <v>541</v>
      </c>
      <c r="V3301" s="110" t="str">
        <f t="shared" si="108"/>
        <v>FWL</v>
      </c>
      <c r="W3301" s="110" t="s">
        <v>541</v>
      </c>
      <c r="X3301" s="110" t="s">
        <v>541</v>
      </c>
      <c r="Y3301" s="110" t="str">
        <f>IFERROR(VLOOKUP(F3301,'Freq-Chan'!C:E,3,FALSE),"na")</f>
        <v>na</v>
      </c>
      <c r="Z3301" s="110" t="s">
        <v>541</v>
      </c>
      <c r="AA3301" s="110" t="s">
        <v>541</v>
      </c>
      <c r="AB3301" s="110" t="s">
        <v>541</v>
      </c>
      <c r="AC3301" s="10" t="s">
        <v>541</v>
      </c>
      <c r="AD3301" s="10" t="s">
        <v>541</v>
      </c>
    </row>
    <row r="3302" spans="1:30" x14ac:dyDescent="0.2">
      <c r="A3302" s="110">
        <v>3302</v>
      </c>
      <c r="B3302" s="132">
        <v>41873</v>
      </c>
      <c r="C3302" s="117">
        <v>3</v>
      </c>
      <c r="D3302" s="142" t="s">
        <v>75</v>
      </c>
      <c r="E3302" s="142" t="s">
        <v>306</v>
      </c>
      <c r="H3302" s="103"/>
      <c r="J3302" s="103">
        <v>31</v>
      </c>
      <c r="K3302" s="142" t="s">
        <v>364</v>
      </c>
      <c r="L3302" s="133"/>
      <c r="M3302" s="134">
        <v>1.0416666666666666E-2</v>
      </c>
      <c r="N3302" s="135" t="s">
        <v>1654</v>
      </c>
      <c r="O3302" s="144" t="s">
        <v>1888</v>
      </c>
      <c r="P3302" s="106"/>
      <c r="Q3302" s="106" t="s">
        <v>4406</v>
      </c>
      <c r="R3302" s="226" t="s">
        <v>4409</v>
      </c>
      <c r="S3302" s="491" t="str">
        <f t="shared" si="107"/>
        <v>x</v>
      </c>
      <c r="T3302" s="492" t="str">
        <f>IFERROR(VLOOKUP(F3302,'Freq-Chan'!C:D,2,FALSE),"x")</f>
        <v>x</v>
      </c>
      <c r="U3302" s="110" t="s">
        <v>541</v>
      </c>
      <c r="V3302" s="110" t="str">
        <f t="shared" si="108"/>
        <v>FWL</v>
      </c>
      <c r="W3302" s="110" t="s">
        <v>541</v>
      </c>
      <c r="X3302" s="110" t="s">
        <v>541</v>
      </c>
      <c r="Y3302" s="110" t="str">
        <f>IFERROR(VLOOKUP(F3302,'Freq-Chan'!C:E,3,FALSE),"na")</f>
        <v>na</v>
      </c>
      <c r="Z3302" s="110" t="s">
        <v>541</v>
      </c>
      <c r="AA3302" s="110" t="s">
        <v>541</v>
      </c>
      <c r="AB3302" s="110" t="s">
        <v>541</v>
      </c>
      <c r="AC3302" s="10" t="s">
        <v>541</v>
      </c>
      <c r="AD3302" s="10" t="s">
        <v>541</v>
      </c>
    </row>
    <row r="3303" spans="1:30" x14ac:dyDescent="0.2">
      <c r="A3303" s="110">
        <v>3303</v>
      </c>
      <c r="B3303" s="132">
        <v>41873</v>
      </c>
      <c r="C3303" s="117">
        <v>3</v>
      </c>
      <c r="D3303" s="103" t="s">
        <v>71</v>
      </c>
      <c r="E3303" s="142" t="s">
        <v>306</v>
      </c>
      <c r="H3303" s="103"/>
      <c r="I3303" s="103">
        <v>57</v>
      </c>
      <c r="K3303" s="142" t="s">
        <v>365</v>
      </c>
      <c r="L3303" s="133"/>
      <c r="M3303" s="134">
        <v>1.8055555555555557E-2</v>
      </c>
      <c r="N3303" s="135" t="s">
        <v>765</v>
      </c>
      <c r="O3303" s="144" t="s">
        <v>1532</v>
      </c>
      <c r="P3303" s="106"/>
      <c r="Q3303" s="106" t="s">
        <v>4406</v>
      </c>
      <c r="R3303" s="226" t="s">
        <v>4409</v>
      </c>
      <c r="S3303" s="491" t="str">
        <f t="shared" si="107"/>
        <v>x</v>
      </c>
      <c r="T3303" s="492" t="str">
        <f>IFERROR(VLOOKUP(F3303,'Freq-Chan'!C:D,2,FALSE),"x")</f>
        <v>x</v>
      </c>
      <c r="U3303" s="110" t="s">
        <v>541</v>
      </c>
      <c r="V3303" s="110" t="str">
        <f t="shared" si="108"/>
        <v>FWL</v>
      </c>
      <c r="W3303" s="110" t="s">
        <v>541</v>
      </c>
      <c r="X3303" s="110" t="s">
        <v>541</v>
      </c>
      <c r="Y3303" s="110" t="str">
        <f>IFERROR(VLOOKUP(F3303,'Freq-Chan'!C:E,3,FALSE),"na")</f>
        <v>na</v>
      </c>
      <c r="Z3303" s="110" t="s">
        <v>541</v>
      </c>
      <c r="AA3303" s="110" t="s">
        <v>541</v>
      </c>
      <c r="AB3303" s="110" t="s">
        <v>541</v>
      </c>
      <c r="AC3303" s="10" t="s">
        <v>541</v>
      </c>
      <c r="AD3303" s="10" t="s">
        <v>541</v>
      </c>
    </row>
    <row r="3304" spans="1:30" x14ac:dyDescent="0.2">
      <c r="A3304" s="110">
        <v>3304</v>
      </c>
      <c r="B3304" s="132">
        <v>41873</v>
      </c>
      <c r="C3304" s="117">
        <v>3</v>
      </c>
      <c r="D3304" s="142" t="s">
        <v>70</v>
      </c>
      <c r="E3304" s="142" t="s">
        <v>306</v>
      </c>
      <c r="H3304" s="142"/>
      <c r="I3304" s="103">
        <v>44</v>
      </c>
      <c r="K3304" s="142" t="s">
        <v>365</v>
      </c>
      <c r="L3304" s="133"/>
      <c r="M3304" s="134">
        <v>1.6666666666666666E-2</v>
      </c>
      <c r="N3304" s="143" t="s">
        <v>840</v>
      </c>
      <c r="O3304" s="144" t="s">
        <v>1888</v>
      </c>
      <c r="P3304" s="100" t="s">
        <v>4408</v>
      </c>
      <c r="Q3304" s="106" t="s">
        <v>4406</v>
      </c>
      <c r="R3304" s="226" t="s">
        <v>4409</v>
      </c>
      <c r="S3304" s="491" t="str">
        <f t="shared" si="107"/>
        <v>x</v>
      </c>
      <c r="T3304" s="492" t="str">
        <f>IFERROR(VLOOKUP(F3304,'Freq-Chan'!C:D,2,FALSE),"x")</f>
        <v>x</v>
      </c>
      <c r="U3304" s="110" t="s">
        <v>541</v>
      </c>
      <c r="V3304" s="110" t="str">
        <f t="shared" si="108"/>
        <v>FWL</v>
      </c>
      <c r="W3304" s="110" t="s">
        <v>541</v>
      </c>
      <c r="X3304" s="110" t="s">
        <v>541</v>
      </c>
      <c r="Y3304" s="110" t="str">
        <f>IFERROR(VLOOKUP(F3304,'Freq-Chan'!C:E,3,FALSE),"na")</f>
        <v>na</v>
      </c>
      <c r="Z3304" s="110" t="s">
        <v>541</v>
      </c>
      <c r="AA3304" s="110" t="s">
        <v>541</v>
      </c>
      <c r="AB3304" s="110" t="s">
        <v>541</v>
      </c>
      <c r="AC3304" s="10" t="s">
        <v>541</v>
      </c>
      <c r="AD3304" s="10" t="s">
        <v>541</v>
      </c>
    </row>
    <row r="3305" spans="1:30" x14ac:dyDescent="0.2">
      <c r="A3305" s="110">
        <v>3305</v>
      </c>
      <c r="B3305" s="132">
        <v>41873</v>
      </c>
      <c r="C3305" s="117">
        <v>3</v>
      </c>
      <c r="D3305" s="142" t="s">
        <v>71</v>
      </c>
      <c r="E3305" s="142" t="s">
        <v>306</v>
      </c>
      <c r="H3305" s="142"/>
      <c r="I3305" s="103">
        <v>52</v>
      </c>
      <c r="K3305" s="142" t="s">
        <v>365</v>
      </c>
      <c r="L3305" s="133"/>
      <c r="M3305" s="134">
        <v>1.2499999999999999E-2</v>
      </c>
      <c r="N3305" s="143" t="s">
        <v>3287</v>
      </c>
      <c r="O3305" s="144" t="s">
        <v>1888</v>
      </c>
      <c r="Q3305" s="106" t="s">
        <v>4406</v>
      </c>
      <c r="R3305" s="226" t="s">
        <v>4409</v>
      </c>
      <c r="S3305" s="491" t="str">
        <f t="shared" si="107"/>
        <v>x</v>
      </c>
      <c r="T3305" s="492" t="str">
        <f>IFERROR(VLOOKUP(F3305,'Freq-Chan'!C:D,2,FALSE),"x")</f>
        <v>x</v>
      </c>
      <c r="U3305" s="110" t="s">
        <v>541</v>
      </c>
      <c r="V3305" s="110" t="str">
        <f t="shared" si="108"/>
        <v>FWL</v>
      </c>
      <c r="W3305" s="110" t="s">
        <v>541</v>
      </c>
      <c r="X3305" s="110" t="s">
        <v>541</v>
      </c>
      <c r="Y3305" s="110" t="str">
        <f>IFERROR(VLOOKUP(F3305,'Freq-Chan'!C:E,3,FALSE),"na")</f>
        <v>na</v>
      </c>
      <c r="Z3305" s="110" t="s">
        <v>541</v>
      </c>
      <c r="AA3305" s="110" t="s">
        <v>541</v>
      </c>
      <c r="AB3305" s="110" t="s">
        <v>541</v>
      </c>
      <c r="AC3305" s="10" t="s">
        <v>541</v>
      </c>
      <c r="AD3305" s="10" t="s">
        <v>541</v>
      </c>
    </row>
    <row r="3306" spans="1:30" x14ac:dyDescent="0.2">
      <c r="A3306" s="110">
        <v>3306</v>
      </c>
      <c r="B3306" s="132">
        <v>41873</v>
      </c>
      <c r="C3306" s="117">
        <v>3</v>
      </c>
      <c r="D3306" s="142" t="s">
        <v>72</v>
      </c>
      <c r="E3306" s="142" t="s">
        <v>306</v>
      </c>
      <c r="F3306" s="103">
        <v>266</v>
      </c>
      <c r="G3306" s="103">
        <v>99</v>
      </c>
      <c r="H3306" s="142" t="s">
        <v>3655</v>
      </c>
      <c r="I3306" s="103">
        <v>54</v>
      </c>
      <c r="K3306" s="142" t="s">
        <v>364</v>
      </c>
      <c r="L3306" s="133">
        <v>0.5708333333333333</v>
      </c>
      <c r="M3306" s="134">
        <v>3.6111111111111115E-2</v>
      </c>
      <c r="N3306" s="143" t="s">
        <v>3931</v>
      </c>
      <c r="O3306" s="144" t="s">
        <v>1888</v>
      </c>
      <c r="P3306" s="100" t="s">
        <v>4466</v>
      </c>
      <c r="Q3306" s="106" t="s">
        <v>4406</v>
      </c>
      <c r="R3306" s="226" t="s">
        <v>4409</v>
      </c>
      <c r="S3306" s="491">
        <f t="shared" si="107"/>
        <v>1.4814814999999999E-3</v>
      </c>
      <c r="T3306" s="492">
        <f>IFERROR(VLOOKUP(F3306,'Freq-Chan'!C:D,2,FALSE),"x")</f>
        <v>151.26599999999999</v>
      </c>
      <c r="U3306" s="110" t="s">
        <v>541</v>
      </c>
      <c r="V3306" s="110" t="str">
        <f t="shared" si="108"/>
        <v>FWL</v>
      </c>
      <c r="W3306" s="110" t="s">
        <v>541</v>
      </c>
      <c r="X3306" s="110" t="s">
        <v>541</v>
      </c>
      <c r="Y3306" s="110" t="str">
        <f>IFERROR(VLOOKUP(F3306,'Freq-Chan'!C:E,3,FALSE),"na")</f>
        <v>F1840</v>
      </c>
      <c r="Z3306" s="110" t="s">
        <v>541</v>
      </c>
      <c r="AA3306" s="110" t="s">
        <v>541</v>
      </c>
      <c r="AB3306" s="110" t="s">
        <v>541</v>
      </c>
      <c r="AC3306" s="10" t="s">
        <v>541</v>
      </c>
      <c r="AD3306" s="10" t="s">
        <v>541</v>
      </c>
    </row>
    <row r="3307" spans="1:30" x14ac:dyDescent="0.2">
      <c r="A3307" s="110">
        <v>3307</v>
      </c>
      <c r="B3307" s="132">
        <v>41873</v>
      </c>
      <c r="C3307" s="117">
        <v>3</v>
      </c>
      <c r="D3307" s="142" t="s">
        <v>8</v>
      </c>
      <c r="E3307" s="142" t="s">
        <v>306</v>
      </c>
      <c r="F3307" s="103">
        <v>573</v>
      </c>
      <c r="G3307" s="103">
        <v>10</v>
      </c>
      <c r="H3307" s="103" t="s">
        <v>2266</v>
      </c>
      <c r="I3307" s="103">
        <v>49</v>
      </c>
      <c r="K3307" s="142" t="s">
        <v>364</v>
      </c>
      <c r="L3307" s="133"/>
      <c r="M3307" s="134">
        <v>5.2777777777777778E-2</v>
      </c>
      <c r="N3307" s="135" t="s">
        <v>1984</v>
      </c>
      <c r="O3307" s="144" t="s">
        <v>1888</v>
      </c>
      <c r="Q3307" s="106" t="s">
        <v>4406</v>
      </c>
      <c r="R3307" s="226" t="s">
        <v>4409</v>
      </c>
      <c r="S3307" s="491" t="str">
        <f t="shared" si="107"/>
        <v>x</v>
      </c>
      <c r="T3307" s="492">
        <f>IFERROR(VLOOKUP(F3307,'Freq-Chan'!C:D,2,FALSE),"x")</f>
        <v>151.57300000000001</v>
      </c>
      <c r="U3307" s="110" t="s">
        <v>541</v>
      </c>
      <c r="V3307" s="110" t="str">
        <f t="shared" si="108"/>
        <v>FWL</v>
      </c>
      <c r="W3307" s="110" t="s">
        <v>541</v>
      </c>
      <c r="X3307" s="110" t="s">
        <v>541</v>
      </c>
      <c r="Y3307" s="110" t="str">
        <f>IFERROR(VLOOKUP(F3307,'Freq-Chan'!C:E,3,FALSE),"na")</f>
        <v>F1840</v>
      </c>
      <c r="Z3307" s="110" t="s">
        <v>541</v>
      </c>
      <c r="AA3307" s="110" t="s">
        <v>541</v>
      </c>
      <c r="AB3307" s="110" t="s">
        <v>541</v>
      </c>
      <c r="AC3307" s="10" t="s">
        <v>541</v>
      </c>
      <c r="AD3307" s="10" t="s">
        <v>541</v>
      </c>
    </row>
    <row r="3308" spans="1:30" x14ac:dyDescent="0.2">
      <c r="A3308" s="110">
        <v>3308</v>
      </c>
      <c r="B3308" s="132">
        <v>41873</v>
      </c>
      <c r="C3308" s="117">
        <v>3</v>
      </c>
      <c r="D3308" s="142" t="s">
        <v>88</v>
      </c>
      <c r="E3308" s="142" t="s">
        <v>798</v>
      </c>
      <c r="H3308" s="103"/>
      <c r="J3308" s="103">
        <v>31</v>
      </c>
      <c r="K3308" s="142" t="s">
        <v>364</v>
      </c>
      <c r="L3308" s="133"/>
      <c r="M3308" s="134">
        <v>1.9444444444444445E-2</v>
      </c>
      <c r="N3308" s="135" t="s">
        <v>3433</v>
      </c>
      <c r="O3308" s="144" t="s">
        <v>372</v>
      </c>
      <c r="Q3308" s="106" t="s">
        <v>4398</v>
      </c>
      <c r="R3308" s="226" t="s">
        <v>4409</v>
      </c>
      <c r="S3308" s="491" t="str">
        <f t="shared" si="107"/>
        <v>x</v>
      </c>
      <c r="T3308" s="492" t="str">
        <f>IFERROR(VLOOKUP(F3308,'Freq-Chan'!C:D,2,FALSE),"x")</f>
        <v>x</v>
      </c>
      <c r="U3308" s="110" t="s">
        <v>541</v>
      </c>
      <c r="V3308" s="110" t="str">
        <f t="shared" si="108"/>
        <v>FWL</v>
      </c>
      <c r="W3308" s="110" t="s">
        <v>541</v>
      </c>
      <c r="X3308" s="110" t="s">
        <v>541</v>
      </c>
      <c r="Y3308" s="110" t="str">
        <f>IFERROR(VLOOKUP(F3308,'Freq-Chan'!C:E,3,FALSE),"na")</f>
        <v>na</v>
      </c>
      <c r="Z3308" s="110" t="s">
        <v>541</v>
      </c>
      <c r="AA3308" s="110" t="s">
        <v>541</v>
      </c>
      <c r="AB3308" s="110" t="s">
        <v>541</v>
      </c>
      <c r="AC3308" s="10" t="s">
        <v>541</v>
      </c>
      <c r="AD3308" s="10" t="s">
        <v>541</v>
      </c>
    </row>
    <row r="3309" spans="1:30" x14ac:dyDescent="0.2">
      <c r="A3309" s="110">
        <v>3309</v>
      </c>
      <c r="B3309" s="132">
        <v>41873</v>
      </c>
      <c r="C3309" s="117">
        <v>3</v>
      </c>
      <c r="D3309" s="142" t="s">
        <v>71</v>
      </c>
      <c r="E3309" s="142" t="s">
        <v>306</v>
      </c>
      <c r="H3309" s="103"/>
      <c r="I3309" s="103">
        <v>53</v>
      </c>
      <c r="K3309" s="142" t="s">
        <v>1032</v>
      </c>
      <c r="L3309" s="133"/>
      <c r="M3309" s="134">
        <v>1.4583333333333332E-2</v>
      </c>
      <c r="N3309" s="135" t="s">
        <v>1770</v>
      </c>
      <c r="O3309" s="144" t="s">
        <v>1888</v>
      </c>
      <c r="Q3309" s="106" t="s">
        <v>4398</v>
      </c>
      <c r="R3309" s="226" t="s">
        <v>4409</v>
      </c>
      <c r="S3309" s="491" t="str">
        <f t="shared" si="107"/>
        <v>x</v>
      </c>
      <c r="T3309" s="492" t="str">
        <f>IFERROR(VLOOKUP(F3309,'Freq-Chan'!C:D,2,FALSE),"x")</f>
        <v>x</v>
      </c>
      <c r="U3309" s="110" t="s">
        <v>541</v>
      </c>
      <c r="V3309" s="110" t="str">
        <f t="shared" si="108"/>
        <v>FWL</v>
      </c>
      <c r="W3309" s="110" t="s">
        <v>541</v>
      </c>
      <c r="X3309" s="110" t="s">
        <v>541</v>
      </c>
      <c r="Y3309" s="110" t="str">
        <f>IFERROR(VLOOKUP(F3309,'Freq-Chan'!C:E,3,FALSE),"na")</f>
        <v>na</v>
      </c>
      <c r="Z3309" s="110" t="s">
        <v>541</v>
      </c>
      <c r="AA3309" s="110" t="s">
        <v>541</v>
      </c>
      <c r="AB3309" s="110" t="s">
        <v>541</v>
      </c>
      <c r="AC3309" s="10" t="s">
        <v>541</v>
      </c>
      <c r="AD3309" s="10" t="s">
        <v>541</v>
      </c>
    </row>
    <row r="3310" spans="1:30" x14ac:dyDescent="0.2">
      <c r="A3310" s="110">
        <v>3310</v>
      </c>
      <c r="B3310" s="132">
        <v>41873</v>
      </c>
      <c r="C3310" s="117">
        <v>3</v>
      </c>
      <c r="D3310" s="142" t="s">
        <v>72</v>
      </c>
      <c r="E3310" s="142" t="s">
        <v>306</v>
      </c>
      <c r="H3310" s="103"/>
      <c r="I3310" s="103">
        <v>60</v>
      </c>
      <c r="K3310" s="142" t="s">
        <v>365</v>
      </c>
      <c r="L3310" s="133">
        <v>0.62847222222222221</v>
      </c>
      <c r="M3310" s="134">
        <v>1.3888888888888888E-2</v>
      </c>
      <c r="N3310" s="135" t="s">
        <v>1985</v>
      </c>
      <c r="O3310" s="144" t="s">
        <v>1033</v>
      </c>
      <c r="Q3310" s="106" t="s">
        <v>4398</v>
      </c>
      <c r="R3310" s="226" t="s">
        <v>4409</v>
      </c>
      <c r="S3310" s="491">
        <f t="shared" si="107"/>
        <v>3.2407407E-3</v>
      </c>
      <c r="T3310" s="492" t="str">
        <f>IFERROR(VLOOKUP(F3310,'Freq-Chan'!C:D,2,FALSE),"x")</f>
        <v>x</v>
      </c>
      <c r="U3310" s="110" t="s">
        <v>541</v>
      </c>
      <c r="V3310" s="110" t="str">
        <f t="shared" si="108"/>
        <v>FWL</v>
      </c>
      <c r="W3310" s="110" t="s">
        <v>541</v>
      </c>
      <c r="X3310" s="110" t="s">
        <v>541</v>
      </c>
      <c r="Y3310" s="110" t="str">
        <f>IFERROR(VLOOKUP(F3310,'Freq-Chan'!C:E,3,FALSE),"na")</f>
        <v>na</v>
      </c>
      <c r="Z3310" s="110" t="s">
        <v>541</v>
      </c>
      <c r="AA3310" s="110" t="s">
        <v>541</v>
      </c>
      <c r="AB3310" s="110" t="s">
        <v>541</v>
      </c>
      <c r="AC3310" s="10" t="s">
        <v>541</v>
      </c>
      <c r="AD3310" s="10" t="s">
        <v>541</v>
      </c>
    </row>
    <row r="3311" spans="1:30" x14ac:dyDescent="0.2">
      <c r="A3311" s="110">
        <v>3311</v>
      </c>
      <c r="B3311" s="132">
        <v>41873</v>
      </c>
      <c r="C3311" s="117">
        <v>3</v>
      </c>
      <c r="D3311" s="142" t="s">
        <v>72</v>
      </c>
      <c r="E3311" s="142" t="s">
        <v>306</v>
      </c>
      <c r="H3311" s="142"/>
      <c r="I3311" s="103">
        <v>51</v>
      </c>
      <c r="K3311" s="142" t="s">
        <v>1032</v>
      </c>
      <c r="L3311" s="133"/>
      <c r="M3311" s="134">
        <v>1.3194444444444444E-2</v>
      </c>
      <c r="N3311" s="143" t="s">
        <v>1664</v>
      </c>
      <c r="O3311" s="144" t="s">
        <v>1033</v>
      </c>
      <c r="Q3311" s="106" t="s">
        <v>4398</v>
      </c>
      <c r="R3311" s="226" t="s">
        <v>4409</v>
      </c>
      <c r="S3311" s="491" t="str">
        <f t="shared" si="107"/>
        <v>x</v>
      </c>
      <c r="T3311" s="492" t="str">
        <f>IFERROR(VLOOKUP(F3311,'Freq-Chan'!C:D,2,FALSE),"x")</f>
        <v>x</v>
      </c>
      <c r="U3311" s="110" t="s">
        <v>541</v>
      </c>
      <c r="V3311" s="110" t="str">
        <f t="shared" si="108"/>
        <v>FWL</v>
      </c>
      <c r="W3311" s="110" t="s">
        <v>541</v>
      </c>
      <c r="X3311" s="110" t="s">
        <v>541</v>
      </c>
      <c r="Y3311" s="110" t="str">
        <f>IFERROR(VLOOKUP(F3311,'Freq-Chan'!C:E,3,FALSE),"na")</f>
        <v>na</v>
      </c>
      <c r="Z3311" s="110" t="s">
        <v>541</v>
      </c>
      <c r="AA3311" s="110" t="s">
        <v>541</v>
      </c>
      <c r="AB3311" s="110" t="s">
        <v>541</v>
      </c>
      <c r="AC3311" s="10" t="s">
        <v>541</v>
      </c>
      <c r="AD3311" s="10" t="s">
        <v>541</v>
      </c>
    </row>
    <row r="3312" spans="1:30" x14ac:dyDescent="0.2">
      <c r="A3312" s="110">
        <v>3312</v>
      </c>
      <c r="B3312" s="132">
        <v>41873</v>
      </c>
      <c r="C3312" s="117">
        <v>3</v>
      </c>
      <c r="D3312" s="142" t="s">
        <v>72</v>
      </c>
      <c r="E3312" s="142" t="s">
        <v>306</v>
      </c>
      <c r="H3312" s="103"/>
      <c r="I3312" s="103">
        <v>60</v>
      </c>
      <c r="K3312" s="142" t="s">
        <v>1032</v>
      </c>
      <c r="L3312" s="133"/>
      <c r="M3312" s="134">
        <v>1.5972222222222224E-2</v>
      </c>
      <c r="N3312" s="135" t="s">
        <v>4264</v>
      </c>
      <c r="O3312" s="144" t="s">
        <v>1033</v>
      </c>
      <c r="Q3312" s="106" t="s">
        <v>4398</v>
      </c>
      <c r="R3312" s="226" t="s">
        <v>4409</v>
      </c>
      <c r="S3312" s="491" t="str">
        <f t="shared" si="107"/>
        <v>x</v>
      </c>
      <c r="T3312" s="492" t="str">
        <f>IFERROR(VLOOKUP(F3312,'Freq-Chan'!C:D,2,FALSE),"x")</f>
        <v>x</v>
      </c>
      <c r="U3312" s="110" t="s">
        <v>541</v>
      </c>
      <c r="V3312" s="110" t="str">
        <f t="shared" si="108"/>
        <v>FWL</v>
      </c>
      <c r="W3312" s="110" t="s">
        <v>541</v>
      </c>
      <c r="X3312" s="110" t="s">
        <v>541</v>
      </c>
      <c r="Y3312" s="110" t="str">
        <f>IFERROR(VLOOKUP(F3312,'Freq-Chan'!C:E,3,FALSE),"na")</f>
        <v>na</v>
      </c>
      <c r="Z3312" s="110" t="s">
        <v>541</v>
      </c>
      <c r="AA3312" s="110" t="s">
        <v>541</v>
      </c>
      <c r="AB3312" s="110" t="s">
        <v>541</v>
      </c>
      <c r="AC3312" s="10" t="s">
        <v>541</v>
      </c>
      <c r="AD3312" s="10" t="s">
        <v>541</v>
      </c>
    </row>
    <row r="3313" spans="1:30" x14ac:dyDescent="0.2">
      <c r="A3313" s="110">
        <v>3313</v>
      </c>
      <c r="B3313" s="132">
        <v>41873</v>
      </c>
      <c r="C3313" s="117">
        <v>3</v>
      </c>
      <c r="D3313" s="142" t="s">
        <v>71</v>
      </c>
      <c r="E3313" s="142" t="s">
        <v>306</v>
      </c>
      <c r="H3313" s="103"/>
      <c r="I3313" s="103">
        <v>56</v>
      </c>
      <c r="K3313" s="142" t="s">
        <v>1032</v>
      </c>
      <c r="L3313" s="133"/>
      <c r="M3313" s="134">
        <v>1.2499999999999999E-2</v>
      </c>
      <c r="N3313" s="135" t="s">
        <v>3486</v>
      </c>
      <c r="O3313" s="144" t="s">
        <v>1033</v>
      </c>
      <c r="Q3313" s="106" t="s">
        <v>4398</v>
      </c>
      <c r="R3313" s="226" t="s">
        <v>4409</v>
      </c>
      <c r="S3313" s="491" t="str">
        <f t="shared" si="107"/>
        <v>x</v>
      </c>
      <c r="T3313" s="492" t="str">
        <f>IFERROR(VLOOKUP(F3313,'Freq-Chan'!C:D,2,FALSE),"x")</f>
        <v>x</v>
      </c>
      <c r="U3313" s="110" t="s">
        <v>541</v>
      </c>
      <c r="V3313" s="110" t="str">
        <f t="shared" si="108"/>
        <v>FWL</v>
      </c>
      <c r="W3313" s="110" t="s">
        <v>541</v>
      </c>
      <c r="X3313" s="110" t="s">
        <v>541</v>
      </c>
      <c r="Y3313" s="110" t="str">
        <f>IFERROR(VLOOKUP(F3313,'Freq-Chan'!C:E,3,FALSE),"na")</f>
        <v>na</v>
      </c>
      <c r="Z3313" s="110" t="s">
        <v>541</v>
      </c>
      <c r="AA3313" s="110" t="s">
        <v>541</v>
      </c>
      <c r="AB3313" s="110" t="s">
        <v>541</v>
      </c>
      <c r="AC3313" s="10" t="s">
        <v>541</v>
      </c>
      <c r="AD3313" s="10" t="s">
        <v>541</v>
      </c>
    </row>
    <row r="3314" spans="1:30" x14ac:dyDescent="0.2">
      <c r="A3314" s="110">
        <v>3314</v>
      </c>
      <c r="B3314" s="132">
        <v>41873</v>
      </c>
      <c r="C3314" s="117">
        <v>3</v>
      </c>
      <c r="D3314" s="142" t="s">
        <v>71</v>
      </c>
      <c r="E3314" s="142" t="s">
        <v>306</v>
      </c>
      <c r="H3314" s="142"/>
      <c r="I3314" s="103">
        <v>61</v>
      </c>
      <c r="K3314" s="142" t="s">
        <v>1032</v>
      </c>
      <c r="L3314" s="133"/>
      <c r="M3314" s="134">
        <v>1.3194444444444444E-2</v>
      </c>
      <c r="N3314" s="143" t="s">
        <v>711</v>
      </c>
      <c r="O3314" s="144" t="s">
        <v>1033</v>
      </c>
      <c r="Q3314" s="106" t="s">
        <v>4398</v>
      </c>
      <c r="R3314" s="226" t="s">
        <v>4409</v>
      </c>
      <c r="S3314" s="491" t="str">
        <f t="shared" ref="S3314:S3377" si="109">IF(IF(OR(L3314=0,N3314=0),"x",ROUND(N3314-L3314-(M3314*24)/(24*60),10))&lt;0,0,IF(OR(L3314=0,N3314=0),"x",ROUND(N3314-L3314-(M3314*24)/(24*60),10)))</f>
        <v>x</v>
      </c>
      <c r="T3314" s="492" t="str">
        <f>IFERROR(VLOOKUP(F3314,'Freq-Chan'!C:D,2,FALSE),"x")</f>
        <v>x</v>
      </c>
      <c r="U3314" s="110" t="s">
        <v>541</v>
      </c>
      <c r="V3314" s="110" t="str">
        <f t="shared" ref="V3314:V3377" si="110">IF(OR(C3314=1,C3314=2,C3314=3),"FWL","NRD")</f>
        <v>FWL</v>
      </c>
      <c r="W3314" s="110" t="s">
        <v>541</v>
      </c>
      <c r="X3314" s="110" t="s">
        <v>541</v>
      </c>
      <c r="Y3314" s="110" t="str">
        <f>IFERROR(VLOOKUP(F3314,'Freq-Chan'!C:E,3,FALSE),"na")</f>
        <v>na</v>
      </c>
      <c r="Z3314" s="110" t="s">
        <v>541</v>
      </c>
      <c r="AA3314" s="110" t="s">
        <v>541</v>
      </c>
      <c r="AB3314" s="110" t="s">
        <v>541</v>
      </c>
      <c r="AC3314" s="10" t="s">
        <v>541</v>
      </c>
      <c r="AD3314" s="10" t="s">
        <v>541</v>
      </c>
    </row>
    <row r="3315" spans="1:30" x14ac:dyDescent="0.2">
      <c r="A3315" s="110">
        <v>3315</v>
      </c>
      <c r="B3315" s="132">
        <v>41873</v>
      </c>
      <c r="C3315" s="117">
        <v>3</v>
      </c>
      <c r="D3315" s="142" t="s">
        <v>71</v>
      </c>
      <c r="E3315" s="142" t="s">
        <v>306</v>
      </c>
      <c r="H3315" s="103"/>
      <c r="I3315" s="103">
        <v>55</v>
      </c>
      <c r="K3315" s="142" t="s">
        <v>365</v>
      </c>
      <c r="L3315" s="133"/>
      <c r="M3315" s="134">
        <v>1.2499999999999999E-2</v>
      </c>
      <c r="N3315" s="135" t="s">
        <v>3843</v>
      </c>
      <c r="O3315" s="144" t="s">
        <v>376</v>
      </c>
      <c r="Q3315" s="106" t="s">
        <v>4398</v>
      </c>
      <c r="R3315" s="226" t="s">
        <v>4409</v>
      </c>
      <c r="S3315" s="491" t="str">
        <f t="shared" si="109"/>
        <v>x</v>
      </c>
      <c r="T3315" s="492" t="str">
        <f>IFERROR(VLOOKUP(F3315,'Freq-Chan'!C:D,2,FALSE),"x")</f>
        <v>x</v>
      </c>
      <c r="U3315" s="110" t="s">
        <v>541</v>
      </c>
      <c r="V3315" s="110" t="str">
        <f t="shared" si="110"/>
        <v>FWL</v>
      </c>
      <c r="W3315" s="110" t="s">
        <v>541</v>
      </c>
      <c r="X3315" s="110" t="s">
        <v>541</v>
      </c>
      <c r="Y3315" s="110" t="str">
        <f>IFERROR(VLOOKUP(F3315,'Freq-Chan'!C:E,3,FALSE),"na")</f>
        <v>na</v>
      </c>
      <c r="Z3315" s="110" t="s">
        <v>541</v>
      </c>
      <c r="AA3315" s="110" t="s">
        <v>541</v>
      </c>
      <c r="AB3315" s="110" t="s">
        <v>541</v>
      </c>
      <c r="AC3315" s="10" t="s">
        <v>541</v>
      </c>
      <c r="AD3315" s="10" t="s">
        <v>541</v>
      </c>
    </row>
    <row r="3316" spans="1:30" x14ac:dyDescent="0.2">
      <c r="A3316" s="110">
        <v>3316</v>
      </c>
      <c r="B3316" s="132">
        <v>41873</v>
      </c>
      <c r="C3316" s="117">
        <v>3</v>
      </c>
      <c r="D3316" s="142" t="s">
        <v>71</v>
      </c>
      <c r="E3316" s="142" t="s">
        <v>306</v>
      </c>
      <c r="H3316" s="103"/>
      <c r="I3316" s="103">
        <v>53</v>
      </c>
      <c r="K3316" s="142" t="s">
        <v>1032</v>
      </c>
      <c r="L3316" s="133"/>
      <c r="M3316" s="134">
        <v>1.4583333333333332E-2</v>
      </c>
      <c r="N3316" s="135" t="s">
        <v>3974</v>
      </c>
      <c r="O3316" s="144" t="s">
        <v>376</v>
      </c>
      <c r="Q3316" s="106" t="s">
        <v>4398</v>
      </c>
      <c r="R3316" s="226" t="s">
        <v>4409</v>
      </c>
      <c r="S3316" s="491" t="str">
        <f t="shared" si="109"/>
        <v>x</v>
      </c>
      <c r="T3316" s="492" t="str">
        <f>IFERROR(VLOOKUP(F3316,'Freq-Chan'!C:D,2,FALSE),"x")</f>
        <v>x</v>
      </c>
      <c r="U3316" s="110" t="s">
        <v>541</v>
      </c>
      <c r="V3316" s="110" t="str">
        <f t="shared" si="110"/>
        <v>FWL</v>
      </c>
      <c r="W3316" s="110" t="s">
        <v>541</v>
      </c>
      <c r="X3316" s="110" t="s">
        <v>541</v>
      </c>
      <c r="Y3316" s="110" t="str">
        <f>IFERROR(VLOOKUP(F3316,'Freq-Chan'!C:E,3,FALSE),"na")</f>
        <v>na</v>
      </c>
      <c r="Z3316" s="110" t="s">
        <v>541</v>
      </c>
      <c r="AA3316" s="110" t="s">
        <v>541</v>
      </c>
      <c r="AB3316" s="110" t="s">
        <v>541</v>
      </c>
      <c r="AC3316" s="10" t="s">
        <v>541</v>
      </c>
      <c r="AD3316" s="10" t="s">
        <v>541</v>
      </c>
    </row>
    <row r="3317" spans="1:30" x14ac:dyDescent="0.2">
      <c r="A3317" s="110">
        <v>3317</v>
      </c>
      <c r="B3317" s="132">
        <v>41873</v>
      </c>
      <c r="C3317" s="117">
        <v>3</v>
      </c>
      <c r="D3317" s="142" t="s">
        <v>72</v>
      </c>
      <c r="E3317" s="142" t="s">
        <v>306</v>
      </c>
      <c r="H3317" s="103"/>
      <c r="I3317" s="103">
        <v>62</v>
      </c>
      <c r="K3317" s="142" t="s">
        <v>1032</v>
      </c>
      <c r="L3317" s="133"/>
      <c r="M3317" s="134">
        <v>1.5277777777777777E-2</v>
      </c>
      <c r="N3317" s="135" t="s">
        <v>4110</v>
      </c>
      <c r="O3317" s="144" t="s">
        <v>376</v>
      </c>
      <c r="Q3317" s="106" t="s">
        <v>4398</v>
      </c>
      <c r="R3317" s="226" t="s">
        <v>4409</v>
      </c>
      <c r="S3317" s="491" t="str">
        <f t="shared" si="109"/>
        <v>x</v>
      </c>
      <c r="T3317" s="492" t="str">
        <f>IFERROR(VLOOKUP(F3317,'Freq-Chan'!C:D,2,FALSE),"x")</f>
        <v>x</v>
      </c>
      <c r="U3317" s="110" t="s">
        <v>541</v>
      </c>
      <c r="V3317" s="110" t="str">
        <f t="shared" si="110"/>
        <v>FWL</v>
      </c>
      <c r="W3317" s="110" t="s">
        <v>541</v>
      </c>
      <c r="X3317" s="110" t="s">
        <v>541</v>
      </c>
      <c r="Y3317" s="110" t="str">
        <f>IFERROR(VLOOKUP(F3317,'Freq-Chan'!C:E,3,FALSE),"na")</f>
        <v>na</v>
      </c>
      <c r="Z3317" s="110" t="s">
        <v>541</v>
      </c>
      <c r="AA3317" s="110" t="s">
        <v>541</v>
      </c>
      <c r="AB3317" s="110" t="s">
        <v>541</v>
      </c>
      <c r="AC3317" s="10" t="s">
        <v>541</v>
      </c>
      <c r="AD3317" s="10" t="s">
        <v>541</v>
      </c>
    </row>
    <row r="3318" spans="1:30" x14ac:dyDescent="0.2">
      <c r="A3318" s="110">
        <v>3318</v>
      </c>
      <c r="B3318" s="132">
        <v>41873</v>
      </c>
      <c r="C3318" s="117">
        <v>3</v>
      </c>
      <c r="D3318" s="142" t="s">
        <v>71</v>
      </c>
      <c r="E3318" s="142" t="s">
        <v>306</v>
      </c>
      <c r="H3318" s="103"/>
      <c r="I3318" s="103">
        <v>58</v>
      </c>
      <c r="K3318" s="142" t="s">
        <v>365</v>
      </c>
      <c r="L3318" s="133"/>
      <c r="M3318" s="134">
        <v>1.3194444444444444E-2</v>
      </c>
      <c r="N3318" s="135" t="s">
        <v>3835</v>
      </c>
      <c r="O3318" s="144" t="s">
        <v>376</v>
      </c>
      <c r="Q3318" s="106" t="s">
        <v>4398</v>
      </c>
      <c r="R3318" s="226" t="s">
        <v>4409</v>
      </c>
      <c r="S3318" s="491" t="str">
        <f t="shared" si="109"/>
        <v>x</v>
      </c>
      <c r="T3318" s="492" t="str">
        <f>IFERROR(VLOOKUP(F3318,'Freq-Chan'!C:D,2,FALSE),"x")</f>
        <v>x</v>
      </c>
      <c r="U3318" s="110" t="s">
        <v>541</v>
      </c>
      <c r="V3318" s="110" t="str">
        <f t="shared" si="110"/>
        <v>FWL</v>
      </c>
      <c r="W3318" s="110" t="s">
        <v>541</v>
      </c>
      <c r="X3318" s="110" t="s">
        <v>541</v>
      </c>
      <c r="Y3318" s="110" t="str">
        <f>IFERROR(VLOOKUP(F3318,'Freq-Chan'!C:E,3,FALSE),"na")</f>
        <v>na</v>
      </c>
      <c r="Z3318" s="110" t="s">
        <v>541</v>
      </c>
      <c r="AA3318" s="110" t="s">
        <v>541</v>
      </c>
      <c r="AB3318" s="110" t="s">
        <v>541</v>
      </c>
      <c r="AC3318" s="10" t="s">
        <v>541</v>
      </c>
      <c r="AD3318" s="10" t="s">
        <v>541</v>
      </c>
    </row>
    <row r="3319" spans="1:30" x14ac:dyDescent="0.2">
      <c r="A3319" s="110">
        <v>3319</v>
      </c>
      <c r="B3319" s="132">
        <v>41873</v>
      </c>
      <c r="C3319" s="117">
        <v>3</v>
      </c>
      <c r="D3319" s="142" t="s">
        <v>72</v>
      </c>
      <c r="E3319" s="142" t="s">
        <v>306</v>
      </c>
      <c r="H3319" s="103"/>
      <c r="I3319" s="103">
        <v>56</v>
      </c>
      <c r="K3319" s="142" t="s">
        <v>1032</v>
      </c>
      <c r="L3319" s="133"/>
      <c r="M3319" s="134">
        <v>1.2499999999999999E-2</v>
      </c>
      <c r="N3319" s="143" t="s">
        <v>3835</v>
      </c>
      <c r="O3319" s="144" t="s">
        <v>376</v>
      </c>
      <c r="Q3319" s="106" t="s">
        <v>4398</v>
      </c>
      <c r="R3319" s="226" t="s">
        <v>4409</v>
      </c>
      <c r="S3319" s="491" t="str">
        <f t="shared" si="109"/>
        <v>x</v>
      </c>
      <c r="T3319" s="492" t="str">
        <f>IFERROR(VLOOKUP(F3319,'Freq-Chan'!C:D,2,FALSE),"x")</f>
        <v>x</v>
      </c>
      <c r="U3319" s="110" t="s">
        <v>541</v>
      </c>
      <c r="V3319" s="110" t="str">
        <f t="shared" si="110"/>
        <v>FWL</v>
      </c>
      <c r="W3319" s="110" t="s">
        <v>541</v>
      </c>
      <c r="X3319" s="110" t="s">
        <v>541</v>
      </c>
      <c r="Y3319" s="110" t="str">
        <f>IFERROR(VLOOKUP(F3319,'Freq-Chan'!C:E,3,FALSE),"na")</f>
        <v>na</v>
      </c>
      <c r="Z3319" s="110" t="s">
        <v>541</v>
      </c>
      <c r="AA3319" s="110" t="s">
        <v>541</v>
      </c>
      <c r="AB3319" s="110" t="s">
        <v>541</v>
      </c>
      <c r="AC3319" s="10" t="s">
        <v>541</v>
      </c>
      <c r="AD3319" s="10" t="s">
        <v>541</v>
      </c>
    </row>
    <row r="3320" spans="1:30" x14ac:dyDescent="0.2">
      <c r="A3320" s="110">
        <v>3320</v>
      </c>
      <c r="B3320" s="132">
        <v>41873</v>
      </c>
      <c r="C3320" s="117">
        <v>3</v>
      </c>
      <c r="D3320" s="142" t="s">
        <v>70</v>
      </c>
      <c r="E3320" s="142" t="s">
        <v>306</v>
      </c>
      <c r="H3320" s="103"/>
      <c r="I3320" s="103">
        <v>36</v>
      </c>
      <c r="K3320" s="142" t="s">
        <v>365</v>
      </c>
      <c r="L3320" s="133"/>
      <c r="M3320" s="134">
        <v>1.3888888888888888E-2</v>
      </c>
      <c r="N3320" s="135" t="s">
        <v>4402</v>
      </c>
      <c r="O3320" s="144" t="s">
        <v>376</v>
      </c>
      <c r="Q3320" s="106" t="s">
        <v>4398</v>
      </c>
      <c r="R3320" s="226" t="s">
        <v>4409</v>
      </c>
      <c r="S3320" s="491" t="str">
        <f t="shared" si="109"/>
        <v>x</v>
      </c>
      <c r="T3320" s="492" t="str">
        <f>IFERROR(VLOOKUP(F3320,'Freq-Chan'!C:D,2,FALSE),"x")</f>
        <v>x</v>
      </c>
      <c r="U3320" s="110" t="s">
        <v>541</v>
      </c>
      <c r="V3320" s="110" t="str">
        <f t="shared" si="110"/>
        <v>FWL</v>
      </c>
      <c r="W3320" s="110" t="s">
        <v>541</v>
      </c>
      <c r="X3320" s="110" t="s">
        <v>541</v>
      </c>
      <c r="Y3320" s="110" t="str">
        <f>IFERROR(VLOOKUP(F3320,'Freq-Chan'!C:E,3,FALSE),"na")</f>
        <v>na</v>
      </c>
      <c r="Z3320" s="110" t="s">
        <v>541</v>
      </c>
      <c r="AA3320" s="110" t="s">
        <v>541</v>
      </c>
      <c r="AB3320" s="110" t="s">
        <v>541</v>
      </c>
      <c r="AC3320" s="10" t="s">
        <v>541</v>
      </c>
      <c r="AD3320" s="10" t="s">
        <v>541</v>
      </c>
    </row>
    <row r="3321" spans="1:30" x14ac:dyDescent="0.2">
      <c r="A3321" s="110">
        <v>3321</v>
      </c>
      <c r="B3321" s="132">
        <v>41873</v>
      </c>
      <c r="C3321" s="117">
        <v>3</v>
      </c>
      <c r="D3321" s="142" t="s">
        <v>72</v>
      </c>
      <c r="E3321" s="142" t="s">
        <v>306</v>
      </c>
      <c r="H3321" s="103"/>
      <c r="I3321" s="103">
        <v>56</v>
      </c>
      <c r="K3321" s="142" t="s">
        <v>365</v>
      </c>
      <c r="L3321" s="133"/>
      <c r="M3321" s="134">
        <v>1.3194444444444444E-2</v>
      </c>
      <c r="N3321" s="135" t="s">
        <v>1686</v>
      </c>
      <c r="O3321" s="144" t="s">
        <v>376</v>
      </c>
      <c r="Q3321" s="106" t="s">
        <v>4398</v>
      </c>
      <c r="R3321" s="226" t="s">
        <v>4409</v>
      </c>
      <c r="S3321" s="491" t="str">
        <f t="shared" si="109"/>
        <v>x</v>
      </c>
      <c r="T3321" s="492" t="str">
        <f>IFERROR(VLOOKUP(F3321,'Freq-Chan'!C:D,2,FALSE),"x")</f>
        <v>x</v>
      </c>
      <c r="U3321" s="110" t="s">
        <v>541</v>
      </c>
      <c r="V3321" s="110" t="str">
        <f t="shared" si="110"/>
        <v>FWL</v>
      </c>
      <c r="W3321" s="110" t="s">
        <v>541</v>
      </c>
      <c r="X3321" s="110" t="s">
        <v>541</v>
      </c>
      <c r="Y3321" s="110" t="str">
        <f>IFERROR(VLOOKUP(F3321,'Freq-Chan'!C:E,3,FALSE),"na")</f>
        <v>na</v>
      </c>
      <c r="Z3321" s="110" t="s">
        <v>541</v>
      </c>
      <c r="AA3321" s="110" t="s">
        <v>541</v>
      </c>
      <c r="AB3321" s="110" t="s">
        <v>541</v>
      </c>
      <c r="AC3321" s="10" t="s">
        <v>541</v>
      </c>
      <c r="AD3321" s="10" t="s">
        <v>541</v>
      </c>
    </row>
    <row r="3322" spans="1:30" x14ac:dyDescent="0.2">
      <c r="A3322" s="110">
        <v>3322</v>
      </c>
      <c r="B3322" s="132">
        <v>41873</v>
      </c>
      <c r="C3322" s="117">
        <v>3</v>
      </c>
      <c r="D3322" s="142" t="s">
        <v>70</v>
      </c>
      <c r="E3322" s="142" t="s">
        <v>306</v>
      </c>
      <c r="H3322" s="103"/>
      <c r="I3322" s="103">
        <v>32</v>
      </c>
      <c r="K3322" s="142" t="s">
        <v>365</v>
      </c>
      <c r="L3322" s="133"/>
      <c r="M3322" s="134">
        <v>1.1111111111111112E-2</v>
      </c>
      <c r="N3322" s="135" t="s">
        <v>770</v>
      </c>
      <c r="O3322" s="144" t="s">
        <v>376</v>
      </c>
      <c r="Q3322" s="106" t="s">
        <v>4398</v>
      </c>
      <c r="R3322" s="226" t="s">
        <v>4409</v>
      </c>
      <c r="S3322" s="491" t="str">
        <f t="shared" si="109"/>
        <v>x</v>
      </c>
      <c r="T3322" s="492" t="str">
        <f>IFERROR(VLOOKUP(F3322,'Freq-Chan'!C:D,2,FALSE),"x")</f>
        <v>x</v>
      </c>
      <c r="U3322" s="110" t="s">
        <v>541</v>
      </c>
      <c r="V3322" s="110" t="str">
        <f t="shared" si="110"/>
        <v>FWL</v>
      </c>
      <c r="W3322" s="110" t="s">
        <v>541</v>
      </c>
      <c r="X3322" s="110" t="s">
        <v>541</v>
      </c>
      <c r="Y3322" s="110" t="str">
        <f>IFERROR(VLOOKUP(F3322,'Freq-Chan'!C:E,3,FALSE),"na")</f>
        <v>na</v>
      </c>
      <c r="Z3322" s="110" t="s">
        <v>541</v>
      </c>
      <c r="AA3322" s="110" t="s">
        <v>541</v>
      </c>
      <c r="AB3322" s="110" t="s">
        <v>541</v>
      </c>
      <c r="AC3322" s="10" t="s">
        <v>541</v>
      </c>
      <c r="AD3322" s="10" t="s">
        <v>541</v>
      </c>
    </row>
    <row r="3323" spans="1:30" x14ac:dyDescent="0.2">
      <c r="A3323" s="110">
        <v>3323</v>
      </c>
      <c r="B3323" s="132">
        <v>41873</v>
      </c>
      <c r="C3323" s="117">
        <v>3</v>
      </c>
      <c r="D3323" s="142" t="s">
        <v>70</v>
      </c>
      <c r="E3323" s="142" t="s">
        <v>306</v>
      </c>
      <c r="H3323" s="103"/>
      <c r="I3323" s="103">
        <v>43</v>
      </c>
      <c r="K3323" s="142" t="s">
        <v>365</v>
      </c>
      <c r="L3323" s="133"/>
      <c r="M3323" s="134">
        <v>1.3888888888888888E-2</v>
      </c>
      <c r="N3323" s="135" t="s">
        <v>3186</v>
      </c>
      <c r="O3323" s="144" t="s">
        <v>1033</v>
      </c>
      <c r="Q3323" s="106" t="s">
        <v>4398</v>
      </c>
      <c r="R3323" s="226" t="s">
        <v>4409</v>
      </c>
      <c r="S3323" s="491" t="str">
        <f t="shared" si="109"/>
        <v>x</v>
      </c>
      <c r="T3323" s="492" t="str">
        <f>IFERROR(VLOOKUP(F3323,'Freq-Chan'!C:D,2,FALSE),"x")</f>
        <v>x</v>
      </c>
      <c r="U3323" s="110" t="s">
        <v>541</v>
      </c>
      <c r="V3323" s="110" t="str">
        <f t="shared" si="110"/>
        <v>FWL</v>
      </c>
      <c r="W3323" s="110" t="s">
        <v>541</v>
      </c>
      <c r="X3323" s="110" t="s">
        <v>541</v>
      </c>
      <c r="Y3323" s="110" t="str">
        <f>IFERROR(VLOOKUP(F3323,'Freq-Chan'!C:E,3,FALSE),"na")</f>
        <v>na</v>
      </c>
      <c r="Z3323" s="110" t="s">
        <v>541</v>
      </c>
      <c r="AA3323" s="110" t="s">
        <v>541</v>
      </c>
      <c r="AB3323" s="110" t="s">
        <v>541</v>
      </c>
      <c r="AC3323" s="10" t="s">
        <v>541</v>
      </c>
      <c r="AD3323" s="10" t="s">
        <v>541</v>
      </c>
    </row>
    <row r="3324" spans="1:30" x14ac:dyDescent="0.2">
      <c r="A3324" s="110">
        <v>3324</v>
      </c>
      <c r="B3324" s="132">
        <v>41873</v>
      </c>
      <c r="C3324" s="117">
        <v>3</v>
      </c>
      <c r="D3324" s="142" t="s">
        <v>71</v>
      </c>
      <c r="E3324" s="142" t="s">
        <v>306</v>
      </c>
      <c r="H3324" s="103"/>
      <c r="I3324" s="103">
        <v>57</v>
      </c>
      <c r="K3324" s="142" t="s">
        <v>365</v>
      </c>
      <c r="L3324" s="133"/>
      <c r="M3324" s="134">
        <v>1.2499999999999999E-2</v>
      </c>
      <c r="N3324" s="135" t="s">
        <v>4367</v>
      </c>
      <c r="O3324" s="144" t="s">
        <v>1033</v>
      </c>
      <c r="Q3324" s="106" t="s">
        <v>4398</v>
      </c>
      <c r="R3324" s="226" t="s">
        <v>4409</v>
      </c>
      <c r="S3324" s="491" t="str">
        <f t="shared" si="109"/>
        <v>x</v>
      </c>
      <c r="T3324" s="492" t="str">
        <f>IFERROR(VLOOKUP(F3324,'Freq-Chan'!C:D,2,FALSE),"x")</f>
        <v>x</v>
      </c>
      <c r="U3324" s="110" t="s">
        <v>541</v>
      </c>
      <c r="V3324" s="110" t="str">
        <f t="shared" si="110"/>
        <v>FWL</v>
      </c>
      <c r="W3324" s="110" t="s">
        <v>541</v>
      </c>
      <c r="X3324" s="110" t="s">
        <v>541</v>
      </c>
      <c r="Y3324" s="110" t="str">
        <f>IFERROR(VLOOKUP(F3324,'Freq-Chan'!C:E,3,FALSE),"na")</f>
        <v>na</v>
      </c>
      <c r="Z3324" s="110" t="s">
        <v>541</v>
      </c>
      <c r="AA3324" s="110" t="s">
        <v>541</v>
      </c>
      <c r="AB3324" s="110" t="s">
        <v>541</v>
      </c>
      <c r="AC3324" s="10" t="s">
        <v>541</v>
      </c>
      <c r="AD3324" s="10" t="s">
        <v>541</v>
      </c>
    </row>
    <row r="3325" spans="1:30" x14ac:dyDescent="0.2">
      <c r="A3325" s="110">
        <v>3325</v>
      </c>
      <c r="B3325" s="132">
        <v>41873</v>
      </c>
      <c r="C3325" s="117">
        <v>3</v>
      </c>
      <c r="D3325" s="142" t="s">
        <v>71</v>
      </c>
      <c r="E3325" s="142" t="s">
        <v>306</v>
      </c>
      <c r="H3325" s="103"/>
      <c r="I3325" s="103">
        <v>52</v>
      </c>
      <c r="K3325" s="142" t="s">
        <v>365</v>
      </c>
      <c r="L3325" s="133"/>
      <c r="M3325" s="134">
        <v>1.5972222222222224E-2</v>
      </c>
      <c r="N3325" s="135" t="s">
        <v>1772</v>
      </c>
      <c r="O3325" s="144" t="s">
        <v>1033</v>
      </c>
      <c r="Q3325" s="106" t="s">
        <v>4398</v>
      </c>
      <c r="R3325" s="226" t="s">
        <v>4409</v>
      </c>
      <c r="S3325" s="491" t="str">
        <f t="shared" si="109"/>
        <v>x</v>
      </c>
      <c r="T3325" s="492" t="str">
        <f>IFERROR(VLOOKUP(F3325,'Freq-Chan'!C:D,2,FALSE),"x")</f>
        <v>x</v>
      </c>
      <c r="U3325" s="110" t="s">
        <v>541</v>
      </c>
      <c r="V3325" s="110" t="str">
        <f t="shared" si="110"/>
        <v>FWL</v>
      </c>
      <c r="W3325" s="110" t="s">
        <v>541</v>
      </c>
      <c r="X3325" s="110" t="s">
        <v>541</v>
      </c>
      <c r="Y3325" s="110" t="str">
        <f>IFERROR(VLOOKUP(F3325,'Freq-Chan'!C:E,3,FALSE),"na")</f>
        <v>na</v>
      </c>
      <c r="Z3325" s="110" t="s">
        <v>541</v>
      </c>
      <c r="AA3325" s="110" t="s">
        <v>541</v>
      </c>
      <c r="AB3325" s="110" t="s">
        <v>541</v>
      </c>
      <c r="AC3325" s="10" t="s">
        <v>541</v>
      </c>
      <c r="AD3325" s="10" t="s">
        <v>541</v>
      </c>
    </row>
    <row r="3326" spans="1:30" x14ac:dyDescent="0.2">
      <c r="A3326" s="110">
        <v>3326</v>
      </c>
      <c r="B3326" s="132">
        <v>41873</v>
      </c>
      <c r="C3326" s="117">
        <v>3</v>
      </c>
      <c r="D3326" s="142" t="s">
        <v>75</v>
      </c>
      <c r="E3326" s="142" t="s">
        <v>798</v>
      </c>
      <c r="H3326" s="103"/>
      <c r="J3326" s="103">
        <v>41</v>
      </c>
      <c r="K3326" s="142" t="s">
        <v>364</v>
      </c>
      <c r="L3326" s="133"/>
      <c r="M3326" s="134">
        <v>1.2499999999999999E-2</v>
      </c>
      <c r="N3326" s="135" t="s">
        <v>1773</v>
      </c>
      <c r="O3326" s="144" t="s">
        <v>1033</v>
      </c>
      <c r="Q3326" s="106" t="s">
        <v>4398</v>
      </c>
      <c r="R3326" s="226" t="s">
        <v>4409</v>
      </c>
      <c r="S3326" s="491" t="str">
        <f t="shared" si="109"/>
        <v>x</v>
      </c>
      <c r="T3326" s="492" t="str">
        <f>IFERROR(VLOOKUP(F3326,'Freq-Chan'!C:D,2,FALSE),"x")</f>
        <v>x</v>
      </c>
      <c r="U3326" s="110" t="s">
        <v>541</v>
      </c>
      <c r="V3326" s="110" t="str">
        <f t="shared" si="110"/>
        <v>FWL</v>
      </c>
      <c r="W3326" s="110" t="s">
        <v>541</v>
      </c>
      <c r="X3326" s="110" t="s">
        <v>541</v>
      </c>
      <c r="Y3326" s="110" t="str">
        <f>IFERROR(VLOOKUP(F3326,'Freq-Chan'!C:E,3,FALSE),"na")</f>
        <v>na</v>
      </c>
      <c r="Z3326" s="110" t="s">
        <v>541</v>
      </c>
      <c r="AA3326" s="110" t="s">
        <v>541</v>
      </c>
      <c r="AB3326" s="110" t="s">
        <v>541</v>
      </c>
      <c r="AC3326" s="10" t="s">
        <v>541</v>
      </c>
      <c r="AD3326" s="10" t="s">
        <v>541</v>
      </c>
    </row>
    <row r="3327" spans="1:30" x14ac:dyDescent="0.2">
      <c r="A3327" s="110">
        <v>3327</v>
      </c>
      <c r="B3327" s="132">
        <v>41873</v>
      </c>
      <c r="C3327" s="117">
        <v>3</v>
      </c>
      <c r="D3327" s="142" t="s">
        <v>71</v>
      </c>
      <c r="E3327" s="142" t="s">
        <v>306</v>
      </c>
      <c r="H3327" s="103"/>
      <c r="I3327" s="103">
        <v>63</v>
      </c>
      <c r="K3327" s="142" t="s">
        <v>1032</v>
      </c>
      <c r="L3327" s="133"/>
      <c r="M3327" s="134">
        <v>1.3888888888888888E-2</v>
      </c>
      <c r="N3327" s="135" t="s">
        <v>4201</v>
      </c>
      <c r="O3327" s="144" t="s">
        <v>1033</v>
      </c>
      <c r="Q3327" s="106" t="s">
        <v>4398</v>
      </c>
      <c r="R3327" s="226" t="s">
        <v>4409</v>
      </c>
      <c r="S3327" s="503" t="str">
        <f t="shared" si="109"/>
        <v>x</v>
      </c>
      <c r="T3327" s="504" t="str">
        <f>IFERROR(VLOOKUP(F3327,'Freq-Chan'!C:D,2,FALSE),"x")</f>
        <v>x</v>
      </c>
      <c r="U3327" s="110" t="s">
        <v>541</v>
      </c>
      <c r="V3327" s="110" t="str">
        <f t="shared" si="110"/>
        <v>FWL</v>
      </c>
      <c r="W3327" s="110" t="s">
        <v>541</v>
      </c>
      <c r="X3327" s="110" t="s">
        <v>541</v>
      </c>
      <c r="Y3327" s="110" t="str">
        <f>IFERROR(VLOOKUP(F3327,'Freq-Chan'!C:E,3,FALSE),"na")</f>
        <v>na</v>
      </c>
      <c r="Z3327" s="110" t="s">
        <v>541</v>
      </c>
      <c r="AA3327" s="110" t="s">
        <v>541</v>
      </c>
      <c r="AB3327" s="110" t="s">
        <v>541</v>
      </c>
      <c r="AC3327" s="10" t="s">
        <v>541</v>
      </c>
      <c r="AD3327" s="10" t="s">
        <v>541</v>
      </c>
    </row>
    <row r="3328" spans="1:30" x14ac:dyDescent="0.2">
      <c r="A3328" s="110">
        <v>3328</v>
      </c>
      <c r="B3328" s="132">
        <v>41873</v>
      </c>
      <c r="C3328" s="117">
        <v>3</v>
      </c>
      <c r="D3328" s="142" t="s">
        <v>8</v>
      </c>
      <c r="E3328" s="142" t="s">
        <v>306</v>
      </c>
      <c r="F3328" s="103">
        <v>586</v>
      </c>
      <c r="G3328" s="103">
        <v>92</v>
      </c>
      <c r="H3328" s="103" t="s">
        <v>2267</v>
      </c>
      <c r="I3328" s="103">
        <v>50</v>
      </c>
      <c r="K3328" s="142" t="s">
        <v>365</v>
      </c>
      <c r="L3328" s="133"/>
      <c r="M3328" s="134">
        <v>5.1388888888888894E-2</v>
      </c>
      <c r="N3328" s="135" t="s">
        <v>4047</v>
      </c>
      <c r="O3328" s="144" t="s">
        <v>376</v>
      </c>
      <c r="Q3328" s="106" t="s">
        <v>4398</v>
      </c>
      <c r="R3328" s="226" t="s">
        <v>4409</v>
      </c>
      <c r="S3328" s="491" t="str">
        <f t="shared" si="109"/>
        <v>x</v>
      </c>
      <c r="T3328" s="492">
        <f>IFERROR(VLOOKUP(F3328,'Freq-Chan'!C:D,2,FALSE),"x")</f>
        <v>151.58600000000001</v>
      </c>
      <c r="U3328" s="110" t="s">
        <v>541</v>
      </c>
      <c r="V3328" s="110" t="str">
        <f t="shared" si="110"/>
        <v>FWL</v>
      </c>
      <c r="W3328" s="110" t="s">
        <v>541</v>
      </c>
      <c r="X3328" s="110" t="s">
        <v>541</v>
      </c>
      <c r="Y3328" s="110" t="str">
        <f>IFERROR(VLOOKUP(F3328,'Freq-Chan'!C:E,3,FALSE),"na")</f>
        <v>F1840</v>
      </c>
      <c r="Z3328" s="110" t="s">
        <v>541</v>
      </c>
      <c r="AA3328" s="110" t="s">
        <v>541</v>
      </c>
      <c r="AB3328" s="110" t="s">
        <v>541</v>
      </c>
      <c r="AC3328" s="10" t="s">
        <v>541</v>
      </c>
      <c r="AD3328" s="10" t="s">
        <v>541</v>
      </c>
    </row>
    <row r="3329" spans="1:30" x14ac:dyDescent="0.2">
      <c r="A3329" s="110">
        <v>3329</v>
      </c>
      <c r="B3329" s="132">
        <v>41873</v>
      </c>
      <c r="C3329" s="117">
        <v>3</v>
      </c>
      <c r="D3329" s="142" t="s">
        <v>72</v>
      </c>
      <c r="E3329" s="142" t="s">
        <v>306</v>
      </c>
      <c r="H3329" s="142"/>
      <c r="I3329" s="103">
        <v>57</v>
      </c>
      <c r="K3329" s="142" t="s">
        <v>365</v>
      </c>
      <c r="L3329" s="133"/>
      <c r="M3329" s="134">
        <v>1.4583333333333332E-2</v>
      </c>
      <c r="N3329" s="143" t="s">
        <v>3241</v>
      </c>
      <c r="O3329" s="144" t="s">
        <v>1033</v>
      </c>
      <c r="Q3329" s="106" t="s">
        <v>4398</v>
      </c>
      <c r="R3329" s="226" t="s">
        <v>4409</v>
      </c>
      <c r="S3329" s="491" t="str">
        <f t="shared" si="109"/>
        <v>x</v>
      </c>
      <c r="T3329" s="492" t="str">
        <f>IFERROR(VLOOKUP(F3329,'Freq-Chan'!C:D,2,FALSE),"x")</f>
        <v>x</v>
      </c>
      <c r="U3329" s="110" t="s">
        <v>541</v>
      </c>
      <c r="V3329" s="110" t="str">
        <f t="shared" si="110"/>
        <v>FWL</v>
      </c>
      <c r="W3329" s="110" t="s">
        <v>541</v>
      </c>
      <c r="X3329" s="110" t="s">
        <v>541</v>
      </c>
      <c r="Y3329" s="110" t="str">
        <f>IFERROR(VLOOKUP(F3329,'Freq-Chan'!C:E,3,FALSE),"na")</f>
        <v>na</v>
      </c>
      <c r="Z3329" s="110" t="s">
        <v>541</v>
      </c>
      <c r="AA3329" s="110" t="s">
        <v>541</v>
      </c>
      <c r="AB3329" s="110" t="s">
        <v>541</v>
      </c>
      <c r="AC3329" s="10" t="s">
        <v>541</v>
      </c>
      <c r="AD3329" s="10" t="s">
        <v>541</v>
      </c>
    </row>
    <row r="3330" spans="1:30" s="291" customFormat="1" x14ac:dyDescent="0.2">
      <c r="A3330" s="493">
        <v>3330</v>
      </c>
      <c r="B3330" s="283">
        <v>41873</v>
      </c>
      <c r="C3330" s="284">
        <v>3</v>
      </c>
      <c r="D3330" s="396" t="s">
        <v>72</v>
      </c>
      <c r="E3330" s="396" t="s">
        <v>306</v>
      </c>
      <c r="F3330" s="285"/>
      <c r="G3330" s="285"/>
      <c r="H3330" s="285"/>
      <c r="I3330" s="285">
        <v>54</v>
      </c>
      <c r="J3330" s="285"/>
      <c r="K3330" s="396" t="s">
        <v>1032</v>
      </c>
      <c r="L3330" s="286"/>
      <c r="M3330" s="287">
        <v>1.3888888888888888E-2</v>
      </c>
      <c r="N3330" s="288" t="s">
        <v>4127</v>
      </c>
      <c r="O3330" s="397" t="s">
        <v>1033</v>
      </c>
      <c r="P3330" s="289"/>
      <c r="Q3330" s="395" t="s">
        <v>4398</v>
      </c>
      <c r="R3330" s="290" t="s">
        <v>4409</v>
      </c>
      <c r="S3330" s="494" t="str">
        <f t="shared" si="109"/>
        <v>x</v>
      </c>
      <c r="T3330" s="495" t="str">
        <f>IFERROR(VLOOKUP(F3330,'Freq-Chan'!C:D,2,FALSE),"x")</f>
        <v>x</v>
      </c>
      <c r="U3330" s="493" t="s">
        <v>541</v>
      </c>
      <c r="V3330" s="493" t="str">
        <f t="shared" si="110"/>
        <v>FWL</v>
      </c>
      <c r="W3330" s="493" t="s">
        <v>541</v>
      </c>
      <c r="X3330" s="493" t="s">
        <v>541</v>
      </c>
      <c r="Y3330" s="493" t="str">
        <f>IFERROR(VLOOKUP(F3330,'Freq-Chan'!C:E,3,FALSE),"na")</f>
        <v>na</v>
      </c>
      <c r="Z3330" s="493" t="s">
        <v>541</v>
      </c>
      <c r="AA3330" s="493" t="s">
        <v>541</v>
      </c>
      <c r="AB3330" s="493" t="s">
        <v>541</v>
      </c>
      <c r="AC3330" s="291" t="s">
        <v>541</v>
      </c>
      <c r="AD3330" s="291" t="s">
        <v>541</v>
      </c>
    </row>
    <row r="3331" spans="1:30" x14ac:dyDescent="0.2">
      <c r="A3331" s="110">
        <v>3331</v>
      </c>
      <c r="B3331" s="132">
        <v>41874</v>
      </c>
      <c r="C3331" s="117">
        <v>1</v>
      </c>
      <c r="D3331" s="142" t="s">
        <v>71</v>
      </c>
      <c r="E3331" s="142" t="s">
        <v>306</v>
      </c>
      <c r="F3331" s="103">
        <v>564</v>
      </c>
      <c r="G3331" s="103">
        <v>33</v>
      </c>
      <c r="H3331" s="103" t="s">
        <v>2481</v>
      </c>
      <c r="I3331" s="103">
        <v>59</v>
      </c>
      <c r="K3331" s="142" t="s">
        <v>365</v>
      </c>
      <c r="L3331" s="133"/>
      <c r="M3331" s="134">
        <v>8.1250000000000003E-2</v>
      </c>
      <c r="N3331" s="135" t="s">
        <v>3169</v>
      </c>
      <c r="O3331" s="144" t="s">
        <v>3932</v>
      </c>
      <c r="Q3331" s="106" t="s">
        <v>4411</v>
      </c>
      <c r="R3331" s="226" t="s">
        <v>4421</v>
      </c>
      <c r="S3331" s="491" t="str">
        <f t="shared" si="109"/>
        <v>x</v>
      </c>
      <c r="T3331" s="492">
        <f>IFERROR(VLOOKUP(F3331,'Freq-Chan'!C:D,2,FALSE),"x")</f>
        <v>151.56399999999999</v>
      </c>
      <c r="U3331" s="110" t="s">
        <v>541</v>
      </c>
      <c r="V3331" s="110" t="str">
        <f t="shared" si="110"/>
        <v>FWL</v>
      </c>
      <c r="W3331" s="110" t="s">
        <v>541</v>
      </c>
      <c r="X3331" s="110" t="s">
        <v>541</v>
      </c>
      <c r="Y3331" s="110" t="str">
        <f>IFERROR(VLOOKUP(F3331,'Freq-Chan'!C:E,3,FALSE),"na")</f>
        <v>F1840</v>
      </c>
      <c r="Z3331" s="110" t="s">
        <v>541</v>
      </c>
      <c r="AA3331" s="110" t="s">
        <v>541</v>
      </c>
      <c r="AB3331" s="110" t="s">
        <v>541</v>
      </c>
      <c r="AC3331" s="10" t="s">
        <v>541</v>
      </c>
      <c r="AD3331" s="10" t="s">
        <v>541</v>
      </c>
    </row>
    <row r="3332" spans="1:30" x14ac:dyDescent="0.2">
      <c r="A3332" s="110">
        <v>3332</v>
      </c>
      <c r="B3332" s="132">
        <v>41874</v>
      </c>
      <c r="C3332" s="117">
        <v>1</v>
      </c>
      <c r="D3332" s="142" t="s">
        <v>71</v>
      </c>
      <c r="E3332" s="142" t="s">
        <v>306</v>
      </c>
      <c r="H3332" s="103"/>
      <c r="I3332" s="103">
        <v>60</v>
      </c>
      <c r="K3332" s="142" t="s">
        <v>1032</v>
      </c>
      <c r="L3332" s="133"/>
      <c r="M3332" s="134">
        <v>1.5277777777777777E-2</v>
      </c>
      <c r="N3332" s="135" t="s">
        <v>3384</v>
      </c>
      <c r="O3332" s="144" t="s">
        <v>4418</v>
      </c>
      <c r="Q3332" s="106" t="s">
        <v>4411</v>
      </c>
      <c r="R3332" s="226" t="s">
        <v>4421</v>
      </c>
      <c r="S3332" s="491" t="str">
        <f t="shared" si="109"/>
        <v>x</v>
      </c>
      <c r="T3332" s="492" t="str">
        <f>IFERROR(VLOOKUP(F3332,'Freq-Chan'!C:D,2,FALSE),"x")</f>
        <v>x</v>
      </c>
      <c r="U3332" s="110" t="s">
        <v>541</v>
      </c>
      <c r="V3332" s="110" t="str">
        <f t="shared" si="110"/>
        <v>FWL</v>
      </c>
      <c r="W3332" s="110" t="s">
        <v>541</v>
      </c>
      <c r="X3332" s="110" t="s">
        <v>541</v>
      </c>
      <c r="Y3332" s="110" t="str">
        <f>IFERROR(VLOOKUP(F3332,'Freq-Chan'!C:E,3,FALSE),"na")</f>
        <v>na</v>
      </c>
      <c r="Z3332" s="110" t="s">
        <v>541</v>
      </c>
      <c r="AA3332" s="110" t="s">
        <v>541</v>
      </c>
      <c r="AB3332" s="110" t="s">
        <v>541</v>
      </c>
      <c r="AC3332" s="10" t="s">
        <v>541</v>
      </c>
      <c r="AD3332" s="10" t="s">
        <v>541</v>
      </c>
    </row>
    <row r="3333" spans="1:30" x14ac:dyDescent="0.2">
      <c r="A3333" s="110">
        <v>3333</v>
      </c>
      <c r="B3333" s="132">
        <v>41874</v>
      </c>
      <c r="C3333" s="117">
        <v>1</v>
      </c>
      <c r="D3333" s="142" t="s">
        <v>71</v>
      </c>
      <c r="E3333" s="142" t="s">
        <v>306</v>
      </c>
      <c r="H3333" s="103"/>
      <c r="I3333" s="103">
        <v>55</v>
      </c>
      <c r="K3333" s="142" t="s">
        <v>365</v>
      </c>
      <c r="L3333" s="133"/>
      <c r="M3333" s="134">
        <v>1.6666666666666666E-2</v>
      </c>
      <c r="N3333" s="135" t="s">
        <v>2934</v>
      </c>
      <c r="O3333" s="144" t="s">
        <v>4418</v>
      </c>
      <c r="Q3333" s="106" t="s">
        <v>4411</v>
      </c>
      <c r="R3333" s="226" t="s">
        <v>4421</v>
      </c>
      <c r="S3333" s="491" t="str">
        <f t="shared" si="109"/>
        <v>x</v>
      </c>
      <c r="T3333" s="492" t="str">
        <f>IFERROR(VLOOKUP(F3333,'Freq-Chan'!C:D,2,FALSE),"x")</f>
        <v>x</v>
      </c>
      <c r="U3333" s="110" t="s">
        <v>541</v>
      </c>
      <c r="V3333" s="110" t="str">
        <f t="shared" si="110"/>
        <v>FWL</v>
      </c>
      <c r="W3333" s="110" t="s">
        <v>541</v>
      </c>
      <c r="X3333" s="110" t="s">
        <v>541</v>
      </c>
      <c r="Y3333" s="110" t="str">
        <f>IFERROR(VLOOKUP(F3333,'Freq-Chan'!C:E,3,FALSE),"na")</f>
        <v>na</v>
      </c>
      <c r="Z3333" s="110" t="s">
        <v>541</v>
      </c>
      <c r="AA3333" s="110" t="s">
        <v>541</v>
      </c>
      <c r="AB3333" s="110" t="s">
        <v>541</v>
      </c>
      <c r="AC3333" s="10" t="s">
        <v>541</v>
      </c>
      <c r="AD3333" s="10" t="s">
        <v>541</v>
      </c>
    </row>
    <row r="3334" spans="1:30" x14ac:dyDescent="0.2">
      <c r="A3334" s="110">
        <v>3334</v>
      </c>
      <c r="B3334" s="132">
        <v>41874</v>
      </c>
      <c r="C3334" s="117">
        <v>1</v>
      </c>
      <c r="D3334" s="142" t="s">
        <v>71</v>
      </c>
      <c r="E3334" s="142" t="s">
        <v>306</v>
      </c>
      <c r="H3334" s="103"/>
      <c r="I3334" s="103">
        <v>53</v>
      </c>
      <c r="K3334" s="142" t="s">
        <v>1032</v>
      </c>
      <c r="L3334" s="133"/>
      <c r="M3334" s="134">
        <v>2.361111111111111E-2</v>
      </c>
      <c r="N3334" s="135" t="s">
        <v>3960</v>
      </c>
      <c r="O3334" s="144" t="s">
        <v>4418</v>
      </c>
      <c r="Q3334" s="106" t="s">
        <v>4411</v>
      </c>
      <c r="R3334" s="226" t="s">
        <v>4421</v>
      </c>
      <c r="S3334" s="491" t="str">
        <f t="shared" si="109"/>
        <v>x</v>
      </c>
      <c r="T3334" s="492" t="str">
        <f>IFERROR(VLOOKUP(F3334,'Freq-Chan'!C:D,2,FALSE),"x")</f>
        <v>x</v>
      </c>
      <c r="U3334" s="110" t="s">
        <v>541</v>
      </c>
      <c r="V3334" s="110" t="str">
        <f t="shared" si="110"/>
        <v>FWL</v>
      </c>
      <c r="W3334" s="110" t="s">
        <v>541</v>
      </c>
      <c r="X3334" s="110" t="s">
        <v>541</v>
      </c>
      <c r="Y3334" s="110" t="str">
        <f>IFERROR(VLOOKUP(F3334,'Freq-Chan'!C:E,3,FALSE),"na")</f>
        <v>na</v>
      </c>
      <c r="Z3334" s="110" t="s">
        <v>541</v>
      </c>
      <c r="AA3334" s="110" t="s">
        <v>541</v>
      </c>
      <c r="AB3334" s="110" t="s">
        <v>541</v>
      </c>
      <c r="AC3334" s="10" t="s">
        <v>541</v>
      </c>
      <c r="AD3334" s="10" t="s">
        <v>541</v>
      </c>
    </row>
    <row r="3335" spans="1:30" x14ac:dyDescent="0.2">
      <c r="A3335" s="110">
        <v>3335</v>
      </c>
      <c r="B3335" s="132">
        <v>41874</v>
      </c>
      <c r="C3335" s="117">
        <v>1</v>
      </c>
      <c r="D3335" s="142" t="s">
        <v>70</v>
      </c>
      <c r="E3335" s="142" t="s">
        <v>306</v>
      </c>
      <c r="H3335" s="103"/>
      <c r="I3335" s="103">
        <v>44</v>
      </c>
      <c r="K3335" s="142" t="s">
        <v>365</v>
      </c>
      <c r="L3335" s="133"/>
      <c r="M3335" s="134">
        <v>2.0833333333333332E-2</v>
      </c>
      <c r="N3335" s="135" t="s">
        <v>3730</v>
      </c>
      <c r="O3335" s="144" t="s">
        <v>4418</v>
      </c>
      <c r="Q3335" s="106" t="s">
        <v>4411</v>
      </c>
      <c r="R3335" s="226" t="s">
        <v>4421</v>
      </c>
      <c r="S3335" s="491" t="str">
        <f t="shared" si="109"/>
        <v>x</v>
      </c>
      <c r="T3335" s="492" t="str">
        <f>IFERROR(VLOOKUP(F3335,'Freq-Chan'!C:D,2,FALSE),"x")</f>
        <v>x</v>
      </c>
      <c r="U3335" s="110" t="s">
        <v>541</v>
      </c>
      <c r="V3335" s="110" t="str">
        <f t="shared" si="110"/>
        <v>FWL</v>
      </c>
      <c r="W3335" s="110" t="s">
        <v>541</v>
      </c>
      <c r="X3335" s="110" t="s">
        <v>541</v>
      </c>
      <c r="Y3335" s="110" t="str">
        <f>IFERROR(VLOOKUP(F3335,'Freq-Chan'!C:E,3,FALSE),"na")</f>
        <v>na</v>
      </c>
      <c r="Z3335" s="110" t="s">
        <v>541</v>
      </c>
      <c r="AA3335" s="110" t="s">
        <v>541</v>
      </c>
      <c r="AB3335" s="110" t="s">
        <v>541</v>
      </c>
      <c r="AC3335" s="10" t="s">
        <v>541</v>
      </c>
      <c r="AD3335" s="10" t="s">
        <v>541</v>
      </c>
    </row>
    <row r="3336" spans="1:30" x14ac:dyDescent="0.2">
      <c r="A3336" s="110">
        <v>3336</v>
      </c>
      <c r="B3336" s="132">
        <v>41874</v>
      </c>
      <c r="C3336" s="117">
        <v>1</v>
      </c>
      <c r="D3336" s="142" t="s">
        <v>71</v>
      </c>
      <c r="E3336" s="142" t="s">
        <v>306</v>
      </c>
      <c r="H3336" s="142"/>
      <c r="I3336" s="103">
        <v>62</v>
      </c>
      <c r="K3336" s="142" t="s">
        <v>1032</v>
      </c>
      <c r="L3336" s="133"/>
      <c r="M3336" s="134">
        <v>1.9444444444444445E-2</v>
      </c>
      <c r="N3336" s="143" t="s">
        <v>2891</v>
      </c>
      <c r="O3336" s="144" t="s">
        <v>3932</v>
      </c>
      <c r="Q3336" s="106" t="s">
        <v>4411</v>
      </c>
      <c r="R3336" s="226" t="s">
        <v>4421</v>
      </c>
      <c r="S3336" s="491" t="str">
        <f t="shared" si="109"/>
        <v>x</v>
      </c>
      <c r="T3336" s="492" t="str">
        <f>IFERROR(VLOOKUP(F3336,'Freq-Chan'!C:D,2,FALSE),"x")</f>
        <v>x</v>
      </c>
      <c r="U3336" s="110" t="s">
        <v>541</v>
      </c>
      <c r="V3336" s="110" t="str">
        <f t="shared" si="110"/>
        <v>FWL</v>
      </c>
      <c r="W3336" s="110" t="s">
        <v>541</v>
      </c>
      <c r="X3336" s="110" t="s">
        <v>541</v>
      </c>
      <c r="Y3336" s="110" t="str">
        <f>IFERROR(VLOOKUP(F3336,'Freq-Chan'!C:E,3,FALSE),"na")</f>
        <v>na</v>
      </c>
      <c r="Z3336" s="110" t="s">
        <v>541</v>
      </c>
      <c r="AA3336" s="110" t="s">
        <v>541</v>
      </c>
      <c r="AB3336" s="110" t="s">
        <v>541</v>
      </c>
      <c r="AC3336" s="10" t="s">
        <v>541</v>
      </c>
      <c r="AD3336" s="10" t="s">
        <v>541</v>
      </c>
    </row>
    <row r="3337" spans="1:30" x14ac:dyDescent="0.2">
      <c r="A3337" s="110">
        <v>3337</v>
      </c>
      <c r="B3337" s="132">
        <v>41874</v>
      </c>
      <c r="C3337" s="117">
        <v>1</v>
      </c>
      <c r="D3337" s="142" t="s">
        <v>71</v>
      </c>
      <c r="E3337" s="142" t="s">
        <v>306</v>
      </c>
      <c r="H3337" s="142"/>
      <c r="I3337" s="103">
        <v>55</v>
      </c>
      <c r="K3337" s="142" t="s">
        <v>365</v>
      </c>
      <c r="L3337" s="133"/>
      <c r="M3337" s="134">
        <v>2.2222222222222223E-2</v>
      </c>
      <c r="N3337" s="143" t="s">
        <v>2018</v>
      </c>
      <c r="O3337" s="144" t="s">
        <v>373</v>
      </c>
      <c r="Q3337" s="106" t="s">
        <v>4413</v>
      </c>
      <c r="R3337" s="226" t="s">
        <v>4421</v>
      </c>
      <c r="S3337" s="491" t="str">
        <f t="shared" si="109"/>
        <v>x</v>
      </c>
      <c r="T3337" s="492" t="str">
        <f>IFERROR(VLOOKUP(F3337,'Freq-Chan'!C:D,2,FALSE),"x")</f>
        <v>x</v>
      </c>
      <c r="U3337" s="110" t="s">
        <v>541</v>
      </c>
      <c r="V3337" s="110" t="str">
        <f t="shared" si="110"/>
        <v>FWL</v>
      </c>
      <c r="W3337" s="110" t="s">
        <v>541</v>
      </c>
      <c r="X3337" s="110" t="s">
        <v>541</v>
      </c>
      <c r="Y3337" s="110" t="str">
        <f>IFERROR(VLOOKUP(F3337,'Freq-Chan'!C:E,3,FALSE),"na")</f>
        <v>na</v>
      </c>
      <c r="Z3337" s="110" t="s">
        <v>541</v>
      </c>
      <c r="AA3337" s="110" t="s">
        <v>541</v>
      </c>
      <c r="AB3337" s="110" t="s">
        <v>541</v>
      </c>
      <c r="AC3337" s="10" t="s">
        <v>541</v>
      </c>
      <c r="AD3337" s="10" t="s">
        <v>541</v>
      </c>
    </row>
    <row r="3338" spans="1:30" x14ac:dyDescent="0.2">
      <c r="A3338" s="110">
        <v>3338</v>
      </c>
      <c r="B3338" s="132">
        <v>41874</v>
      </c>
      <c r="C3338" s="117">
        <v>1</v>
      </c>
      <c r="D3338" s="142" t="s">
        <v>71</v>
      </c>
      <c r="E3338" s="142" t="s">
        <v>306</v>
      </c>
      <c r="H3338" s="103"/>
      <c r="I3338" s="103">
        <v>55</v>
      </c>
      <c r="K3338" s="142" t="s">
        <v>1032</v>
      </c>
      <c r="L3338" s="133"/>
      <c r="M3338" s="134">
        <v>2.2916666666666669E-2</v>
      </c>
      <c r="N3338" s="143" t="s">
        <v>2588</v>
      </c>
      <c r="O3338" s="144" t="s">
        <v>373</v>
      </c>
      <c r="Q3338" s="106" t="s">
        <v>4413</v>
      </c>
      <c r="R3338" s="226" t="s">
        <v>4421</v>
      </c>
      <c r="S3338" s="491" t="str">
        <f t="shared" si="109"/>
        <v>x</v>
      </c>
      <c r="T3338" s="492" t="str">
        <f>IFERROR(VLOOKUP(F3338,'Freq-Chan'!C:D,2,FALSE),"x")</f>
        <v>x</v>
      </c>
      <c r="U3338" s="110" t="s">
        <v>541</v>
      </c>
      <c r="V3338" s="110" t="str">
        <f t="shared" si="110"/>
        <v>FWL</v>
      </c>
      <c r="W3338" s="110" t="s">
        <v>541</v>
      </c>
      <c r="X3338" s="110" t="s">
        <v>541</v>
      </c>
      <c r="Y3338" s="110" t="str">
        <f>IFERROR(VLOOKUP(F3338,'Freq-Chan'!C:E,3,FALSE),"na")</f>
        <v>na</v>
      </c>
      <c r="Z3338" s="110" t="s">
        <v>541</v>
      </c>
      <c r="AA3338" s="110" t="s">
        <v>541</v>
      </c>
      <c r="AB3338" s="110" t="s">
        <v>541</v>
      </c>
      <c r="AC3338" s="10" t="s">
        <v>541</v>
      </c>
      <c r="AD3338" s="10" t="s">
        <v>541</v>
      </c>
    </row>
    <row r="3339" spans="1:30" x14ac:dyDescent="0.2">
      <c r="A3339" s="110">
        <v>3339</v>
      </c>
      <c r="B3339" s="132">
        <v>41874</v>
      </c>
      <c r="C3339" s="117">
        <v>1</v>
      </c>
      <c r="D3339" s="142" t="s">
        <v>72</v>
      </c>
      <c r="E3339" s="142" t="s">
        <v>306</v>
      </c>
      <c r="F3339" s="103">
        <v>325</v>
      </c>
      <c r="G3339" s="103">
        <v>78</v>
      </c>
      <c r="H3339" s="103" t="s">
        <v>3660</v>
      </c>
      <c r="I3339" s="103">
        <v>54</v>
      </c>
      <c r="K3339" s="142" t="s">
        <v>365</v>
      </c>
      <c r="L3339" s="133">
        <v>0.57013888888888886</v>
      </c>
      <c r="M3339" s="134">
        <v>3.888888888888889E-2</v>
      </c>
      <c r="N3339" s="135" t="s">
        <v>4239</v>
      </c>
      <c r="O3339" s="144" t="s">
        <v>1033</v>
      </c>
      <c r="Q3339" s="106" t="s">
        <v>4413</v>
      </c>
      <c r="R3339" s="226" t="s">
        <v>4421</v>
      </c>
      <c r="S3339" s="491">
        <f t="shared" si="109"/>
        <v>1.39351852E-2</v>
      </c>
      <c r="T3339" s="492">
        <f>IFERROR(VLOOKUP(F3339,'Freq-Chan'!C:D,2,FALSE),"x")</f>
        <v>151.32499999999999</v>
      </c>
      <c r="U3339" s="110" t="s">
        <v>541</v>
      </c>
      <c r="V3339" s="110" t="str">
        <f t="shared" si="110"/>
        <v>FWL</v>
      </c>
      <c r="W3339" s="110" t="s">
        <v>541</v>
      </c>
      <c r="X3339" s="110" t="s">
        <v>541</v>
      </c>
      <c r="Y3339" s="110" t="str">
        <f>IFERROR(VLOOKUP(F3339,'Freq-Chan'!C:E,3,FALSE),"na")</f>
        <v>F1840</v>
      </c>
      <c r="Z3339" s="110" t="s">
        <v>541</v>
      </c>
      <c r="AA3339" s="110" t="s">
        <v>541</v>
      </c>
      <c r="AB3339" s="110" t="s">
        <v>541</v>
      </c>
      <c r="AC3339" s="10" t="s">
        <v>541</v>
      </c>
      <c r="AD3339" s="10" t="s">
        <v>541</v>
      </c>
    </row>
    <row r="3340" spans="1:30" x14ac:dyDescent="0.2">
      <c r="A3340" s="110">
        <v>3340</v>
      </c>
      <c r="B3340" s="132">
        <v>41874</v>
      </c>
      <c r="C3340" s="117">
        <v>1</v>
      </c>
      <c r="D3340" s="142" t="s">
        <v>71</v>
      </c>
      <c r="E3340" s="142" t="s">
        <v>306</v>
      </c>
      <c r="H3340" s="142"/>
      <c r="I3340" s="103">
        <v>60</v>
      </c>
      <c r="K3340" s="142" t="s">
        <v>365</v>
      </c>
      <c r="L3340" s="133"/>
      <c r="M3340" s="134">
        <v>1.8055555555555557E-2</v>
      </c>
      <c r="N3340" s="143" t="s">
        <v>3802</v>
      </c>
      <c r="O3340" s="144" t="s">
        <v>1033</v>
      </c>
      <c r="Q3340" s="106" t="s">
        <v>4413</v>
      </c>
      <c r="R3340" s="226" t="s">
        <v>4421</v>
      </c>
      <c r="S3340" s="491" t="str">
        <f t="shared" si="109"/>
        <v>x</v>
      </c>
      <c r="T3340" s="492" t="str">
        <f>IFERROR(VLOOKUP(F3340,'Freq-Chan'!C:D,2,FALSE),"x")</f>
        <v>x</v>
      </c>
      <c r="U3340" s="110" t="s">
        <v>541</v>
      </c>
      <c r="V3340" s="110" t="str">
        <f t="shared" si="110"/>
        <v>FWL</v>
      </c>
      <c r="W3340" s="110" t="s">
        <v>541</v>
      </c>
      <c r="X3340" s="110" t="s">
        <v>541</v>
      </c>
      <c r="Y3340" s="110" t="str">
        <f>IFERROR(VLOOKUP(F3340,'Freq-Chan'!C:E,3,FALSE),"na")</f>
        <v>na</v>
      </c>
      <c r="Z3340" s="110" t="s">
        <v>541</v>
      </c>
      <c r="AA3340" s="110" t="s">
        <v>541</v>
      </c>
      <c r="AB3340" s="110" t="s">
        <v>541</v>
      </c>
      <c r="AC3340" s="10" t="s">
        <v>541</v>
      </c>
      <c r="AD3340" s="10" t="s">
        <v>541</v>
      </c>
    </row>
    <row r="3341" spans="1:30" x14ac:dyDescent="0.2">
      <c r="A3341" s="110">
        <v>3341</v>
      </c>
      <c r="B3341" s="132">
        <v>41874</v>
      </c>
      <c r="C3341" s="117">
        <v>1</v>
      </c>
      <c r="D3341" s="142" t="s">
        <v>71</v>
      </c>
      <c r="E3341" s="142" t="s">
        <v>306</v>
      </c>
      <c r="H3341" s="103"/>
      <c r="I3341" s="103">
        <v>54</v>
      </c>
      <c r="K3341" s="142" t="s">
        <v>365</v>
      </c>
      <c r="L3341" s="133"/>
      <c r="M3341" s="134">
        <v>1.6666666666666666E-2</v>
      </c>
      <c r="N3341" s="135" t="s">
        <v>3476</v>
      </c>
      <c r="O3341" s="144" t="s">
        <v>1033</v>
      </c>
      <c r="Q3341" s="106" t="s">
        <v>4413</v>
      </c>
      <c r="R3341" s="226" t="s">
        <v>4421</v>
      </c>
      <c r="S3341" s="491" t="str">
        <f t="shared" si="109"/>
        <v>x</v>
      </c>
      <c r="T3341" s="492" t="str">
        <f>IFERROR(VLOOKUP(F3341,'Freq-Chan'!C:D,2,FALSE),"x")</f>
        <v>x</v>
      </c>
      <c r="U3341" s="110" t="s">
        <v>541</v>
      </c>
      <c r="V3341" s="110" t="str">
        <f t="shared" si="110"/>
        <v>FWL</v>
      </c>
      <c r="W3341" s="110" t="s">
        <v>541</v>
      </c>
      <c r="X3341" s="110" t="s">
        <v>541</v>
      </c>
      <c r="Y3341" s="110" t="str">
        <f>IFERROR(VLOOKUP(F3341,'Freq-Chan'!C:E,3,FALSE),"na")</f>
        <v>na</v>
      </c>
      <c r="Z3341" s="110" t="s">
        <v>541</v>
      </c>
      <c r="AA3341" s="110" t="s">
        <v>541</v>
      </c>
      <c r="AB3341" s="110" t="s">
        <v>541</v>
      </c>
      <c r="AC3341" s="10" t="s">
        <v>541</v>
      </c>
      <c r="AD3341" s="10" t="s">
        <v>541</v>
      </c>
    </row>
    <row r="3342" spans="1:30" x14ac:dyDescent="0.2">
      <c r="A3342" s="110">
        <v>3342</v>
      </c>
      <c r="B3342" s="132">
        <v>41874</v>
      </c>
      <c r="C3342" s="117">
        <v>1</v>
      </c>
      <c r="D3342" s="142" t="s">
        <v>71</v>
      </c>
      <c r="E3342" s="142" t="s">
        <v>306</v>
      </c>
      <c r="H3342" s="103"/>
      <c r="I3342" s="103">
        <v>58</v>
      </c>
      <c r="K3342" s="142" t="s">
        <v>1032</v>
      </c>
      <c r="L3342" s="133"/>
      <c r="M3342" s="134">
        <v>2.7083333333333334E-2</v>
      </c>
      <c r="N3342" s="135" t="s">
        <v>969</v>
      </c>
      <c r="O3342" s="144" t="s">
        <v>1033</v>
      </c>
      <c r="Q3342" s="106" t="s">
        <v>4413</v>
      </c>
      <c r="R3342" s="226" t="s">
        <v>4421</v>
      </c>
      <c r="S3342" s="491" t="str">
        <f t="shared" si="109"/>
        <v>x</v>
      </c>
      <c r="T3342" s="492" t="str">
        <f>IFERROR(VLOOKUP(F3342,'Freq-Chan'!C:D,2,FALSE),"x")</f>
        <v>x</v>
      </c>
      <c r="U3342" s="110" t="s">
        <v>541</v>
      </c>
      <c r="V3342" s="110" t="str">
        <f t="shared" si="110"/>
        <v>FWL</v>
      </c>
      <c r="W3342" s="110" t="s">
        <v>541</v>
      </c>
      <c r="X3342" s="110" t="s">
        <v>541</v>
      </c>
      <c r="Y3342" s="110" t="str">
        <f>IFERROR(VLOOKUP(F3342,'Freq-Chan'!C:E,3,FALSE),"na")</f>
        <v>na</v>
      </c>
      <c r="Z3342" s="110" t="s">
        <v>541</v>
      </c>
      <c r="AA3342" s="110" t="s">
        <v>541</v>
      </c>
      <c r="AB3342" s="110" t="s">
        <v>541</v>
      </c>
      <c r="AC3342" s="10" t="s">
        <v>541</v>
      </c>
      <c r="AD3342" s="10" t="s">
        <v>541</v>
      </c>
    </row>
    <row r="3343" spans="1:30" x14ac:dyDescent="0.2">
      <c r="A3343" s="110">
        <v>3343</v>
      </c>
      <c r="B3343" s="132">
        <v>41874</v>
      </c>
      <c r="C3343" s="117">
        <v>1</v>
      </c>
      <c r="D3343" s="142" t="s">
        <v>71</v>
      </c>
      <c r="E3343" s="142" t="s">
        <v>306</v>
      </c>
      <c r="H3343" s="103"/>
      <c r="I3343" s="103">
        <v>58</v>
      </c>
      <c r="K3343" s="142" t="s">
        <v>365</v>
      </c>
      <c r="L3343" s="133"/>
      <c r="M3343" s="134">
        <v>1.5972222222222224E-2</v>
      </c>
      <c r="N3343" s="135" t="s">
        <v>4084</v>
      </c>
      <c r="O3343" s="144" t="s">
        <v>1033</v>
      </c>
      <c r="Q3343" s="106" t="s">
        <v>4413</v>
      </c>
      <c r="R3343" s="226" t="s">
        <v>4421</v>
      </c>
      <c r="S3343" s="491" t="str">
        <f t="shared" si="109"/>
        <v>x</v>
      </c>
      <c r="T3343" s="492" t="str">
        <f>IFERROR(VLOOKUP(F3343,'Freq-Chan'!C:D,2,FALSE),"x")</f>
        <v>x</v>
      </c>
      <c r="U3343" s="110" t="s">
        <v>541</v>
      </c>
      <c r="V3343" s="110" t="str">
        <f t="shared" si="110"/>
        <v>FWL</v>
      </c>
      <c r="W3343" s="110" t="s">
        <v>541</v>
      </c>
      <c r="X3343" s="110" t="s">
        <v>541</v>
      </c>
      <c r="Y3343" s="110" t="str">
        <f>IFERROR(VLOOKUP(F3343,'Freq-Chan'!C:E,3,FALSE),"na")</f>
        <v>na</v>
      </c>
      <c r="Z3343" s="110" t="s">
        <v>541</v>
      </c>
      <c r="AA3343" s="110" t="s">
        <v>541</v>
      </c>
      <c r="AB3343" s="110" t="s">
        <v>541</v>
      </c>
      <c r="AC3343" s="10" t="s">
        <v>541</v>
      </c>
      <c r="AD3343" s="10" t="s">
        <v>541</v>
      </c>
    </row>
    <row r="3344" spans="1:30" x14ac:dyDescent="0.2">
      <c r="A3344" s="110">
        <v>3344</v>
      </c>
      <c r="B3344" s="132">
        <v>41874</v>
      </c>
      <c r="C3344" s="117">
        <v>1</v>
      </c>
      <c r="D3344" s="142" t="s">
        <v>71</v>
      </c>
      <c r="E3344" s="142" t="s">
        <v>306</v>
      </c>
      <c r="H3344" s="103"/>
      <c r="I3344" s="103">
        <v>53</v>
      </c>
      <c r="K3344" s="142" t="s">
        <v>1032</v>
      </c>
      <c r="L3344" s="133"/>
      <c r="M3344" s="134">
        <v>1.4583333333333332E-2</v>
      </c>
      <c r="N3344" s="135" t="s">
        <v>383</v>
      </c>
      <c r="O3344" s="144" t="s">
        <v>1033</v>
      </c>
      <c r="Q3344" s="106" t="s">
        <v>4413</v>
      </c>
      <c r="R3344" s="226" t="s">
        <v>4421</v>
      </c>
      <c r="S3344" s="491" t="str">
        <f t="shared" si="109"/>
        <v>x</v>
      </c>
      <c r="T3344" s="492" t="str">
        <f>IFERROR(VLOOKUP(F3344,'Freq-Chan'!C:D,2,FALSE),"x")</f>
        <v>x</v>
      </c>
      <c r="U3344" s="110" t="s">
        <v>541</v>
      </c>
      <c r="V3344" s="110" t="str">
        <f t="shared" si="110"/>
        <v>FWL</v>
      </c>
      <c r="W3344" s="110" t="s">
        <v>541</v>
      </c>
      <c r="X3344" s="110" t="s">
        <v>541</v>
      </c>
      <c r="Y3344" s="110" t="str">
        <f>IFERROR(VLOOKUP(F3344,'Freq-Chan'!C:E,3,FALSE),"na")</f>
        <v>na</v>
      </c>
      <c r="Z3344" s="110" t="s">
        <v>541</v>
      </c>
      <c r="AA3344" s="110" t="s">
        <v>541</v>
      </c>
      <c r="AB3344" s="110" t="s">
        <v>541</v>
      </c>
      <c r="AC3344" s="10" t="s">
        <v>541</v>
      </c>
      <c r="AD3344" s="10" t="s">
        <v>541</v>
      </c>
    </row>
    <row r="3345" spans="1:30" x14ac:dyDescent="0.2">
      <c r="A3345" s="110">
        <v>3345</v>
      </c>
      <c r="B3345" s="132">
        <v>41874</v>
      </c>
      <c r="C3345" s="117">
        <v>1</v>
      </c>
      <c r="D3345" s="142" t="s">
        <v>71</v>
      </c>
      <c r="E3345" s="142" t="s">
        <v>306</v>
      </c>
      <c r="H3345" s="103"/>
      <c r="I3345" s="103">
        <v>62</v>
      </c>
      <c r="K3345" s="142" t="s">
        <v>1032</v>
      </c>
      <c r="L3345" s="133"/>
      <c r="M3345" s="134">
        <v>1.9444444444444445E-2</v>
      </c>
      <c r="N3345" s="135" t="s">
        <v>4129</v>
      </c>
      <c r="O3345" s="144" t="s">
        <v>1033</v>
      </c>
      <c r="Q3345" s="106" t="s">
        <v>4413</v>
      </c>
      <c r="R3345" s="226" t="s">
        <v>4421</v>
      </c>
      <c r="S3345" s="491" t="str">
        <f t="shared" si="109"/>
        <v>x</v>
      </c>
      <c r="T3345" s="492" t="str">
        <f>IFERROR(VLOOKUP(F3345,'Freq-Chan'!C:D,2,FALSE),"x")</f>
        <v>x</v>
      </c>
      <c r="U3345" s="110" t="s">
        <v>541</v>
      </c>
      <c r="V3345" s="110" t="str">
        <f t="shared" si="110"/>
        <v>FWL</v>
      </c>
      <c r="W3345" s="110" t="s">
        <v>541</v>
      </c>
      <c r="X3345" s="110" t="s">
        <v>541</v>
      </c>
      <c r="Y3345" s="110" t="str">
        <f>IFERROR(VLOOKUP(F3345,'Freq-Chan'!C:E,3,FALSE),"na")</f>
        <v>na</v>
      </c>
      <c r="Z3345" s="110" t="s">
        <v>541</v>
      </c>
      <c r="AA3345" s="110" t="s">
        <v>541</v>
      </c>
      <c r="AB3345" s="110" t="s">
        <v>541</v>
      </c>
      <c r="AC3345" s="10" t="s">
        <v>541</v>
      </c>
      <c r="AD3345" s="10" t="s">
        <v>541</v>
      </c>
    </row>
    <row r="3346" spans="1:30" x14ac:dyDescent="0.2">
      <c r="A3346" s="110">
        <v>3346</v>
      </c>
      <c r="B3346" s="132">
        <v>41874</v>
      </c>
      <c r="C3346" s="117">
        <v>1</v>
      </c>
      <c r="D3346" s="142" t="s">
        <v>71</v>
      </c>
      <c r="E3346" s="142" t="s">
        <v>306</v>
      </c>
      <c r="H3346" s="103"/>
      <c r="I3346" s="103">
        <v>54</v>
      </c>
      <c r="K3346" s="142" t="s">
        <v>1032</v>
      </c>
      <c r="L3346" s="133">
        <v>0.64930555555555558</v>
      </c>
      <c r="M3346" s="134">
        <v>1.5277777777777777E-2</v>
      </c>
      <c r="N3346" s="135" t="s">
        <v>3886</v>
      </c>
      <c r="O3346" s="144" t="s">
        <v>373</v>
      </c>
      <c r="Q3346" s="106" t="s">
        <v>4413</v>
      </c>
      <c r="R3346" s="226" t="s">
        <v>4421</v>
      </c>
      <c r="S3346" s="491">
        <f t="shared" si="109"/>
        <v>2.5231480999999998E-3</v>
      </c>
      <c r="T3346" s="492" t="str">
        <f>IFERROR(VLOOKUP(F3346,'Freq-Chan'!C:D,2,FALSE),"x")</f>
        <v>x</v>
      </c>
      <c r="U3346" s="110" t="s">
        <v>541</v>
      </c>
      <c r="V3346" s="110" t="str">
        <f t="shared" si="110"/>
        <v>FWL</v>
      </c>
      <c r="W3346" s="110" t="s">
        <v>541</v>
      </c>
      <c r="X3346" s="110" t="s">
        <v>541</v>
      </c>
      <c r="Y3346" s="110" t="str">
        <f>IFERROR(VLOOKUP(F3346,'Freq-Chan'!C:E,3,FALSE),"na")</f>
        <v>na</v>
      </c>
      <c r="Z3346" s="110" t="s">
        <v>541</v>
      </c>
      <c r="AA3346" s="110" t="s">
        <v>541</v>
      </c>
      <c r="AB3346" s="110" t="s">
        <v>541</v>
      </c>
      <c r="AC3346" s="10" t="s">
        <v>541</v>
      </c>
      <c r="AD3346" s="10" t="s">
        <v>541</v>
      </c>
    </row>
    <row r="3347" spans="1:30" x14ac:dyDescent="0.2">
      <c r="A3347" s="110">
        <v>3347</v>
      </c>
      <c r="B3347" s="132">
        <v>41874</v>
      </c>
      <c r="C3347" s="117">
        <v>1</v>
      </c>
      <c r="D3347" s="142" t="s">
        <v>71</v>
      </c>
      <c r="E3347" s="142" t="s">
        <v>306</v>
      </c>
      <c r="H3347" s="103"/>
      <c r="I3347" s="103">
        <v>60</v>
      </c>
      <c r="K3347" s="142" t="s">
        <v>365</v>
      </c>
      <c r="L3347" s="133"/>
      <c r="M3347" s="134">
        <v>2.013888888888889E-2</v>
      </c>
      <c r="N3347" s="135" t="s">
        <v>877</v>
      </c>
      <c r="O3347" s="144" t="s">
        <v>373</v>
      </c>
      <c r="Q3347" s="106" t="s">
        <v>4413</v>
      </c>
      <c r="R3347" s="226" t="s">
        <v>4421</v>
      </c>
      <c r="S3347" s="491" t="str">
        <f t="shared" si="109"/>
        <v>x</v>
      </c>
      <c r="T3347" s="492" t="str">
        <f>IFERROR(VLOOKUP(F3347,'Freq-Chan'!C:D,2,FALSE),"x")</f>
        <v>x</v>
      </c>
      <c r="U3347" s="110" t="s">
        <v>541</v>
      </c>
      <c r="V3347" s="110" t="str">
        <f t="shared" si="110"/>
        <v>FWL</v>
      </c>
      <c r="W3347" s="110" t="s">
        <v>541</v>
      </c>
      <c r="X3347" s="110" t="s">
        <v>541</v>
      </c>
      <c r="Y3347" s="110" t="str">
        <f>IFERROR(VLOOKUP(F3347,'Freq-Chan'!C:E,3,FALSE),"na")</f>
        <v>na</v>
      </c>
      <c r="Z3347" s="110" t="s">
        <v>541</v>
      </c>
      <c r="AA3347" s="110" t="s">
        <v>541</v>
      </c>
      <c r="AB3347" s="110" t="s">
        <v>541</v>
      </c>
      <c r="AC3347" s="10" t="s">
        <v>541</v>
      </c>
      <c r="AD3347" s="10" t="s">
        <v>541</v>
      </c>
    </row>
    <row r="3348" spans="1:30" s="291" customFormat="1" x14ac:dyDescent="0.2">
      <c r="A3348" s="493">
        <v>3348</v>
      </c>
      <c r="B3348" s="283">
        <v>41874</v>
      </c>
      <c r="C3348" s="284">
        <v>1</v>
      </c>
      <c r="D3348" s="396" t="s">
        <v>72</v>
      </c>
      <c r="E3348" s="396" t="s">
        <v>306</v>
      </c>
      <c r="F3348" s="285">
        <v>266</v>
      </c>
      <c r="G3348" s="285">
        <v>18</v>
      </c>
      <c r="H3348" s="285" t="s">
        <v>3667</v>
      </c>
      <c r="I3348" s="285">
        <v>57</v>
      </c>
      <c r="J3348" s="285"/>
      <c r="K3348" s="396" t="s">
        <v>1032</v>
      </c>
      <c r="L3348" s="286"/>
      <c r="M3348" s="287">
        <v>7.4305555555555555E-2</v>
      </c>
      <c r="N3348" s="288" t="s">
        <v>3434</v>
      </c>
      <c r="O3348" s="397" t="s">
        <v>376</v>
      </c>
      <c r="P3348" s="289" t="s">
        <v>4466</v>
      </c>
      <c r="Q3348" s="395" t="s">
        <v>4416</v>
      </c>
      <c r="R3348" s="226" t="s">
        <v>4421</v>
      </c>
      <c r="S3348" s="494" t="str">
        <f t="shared" si="109"/>
        <v>x</v>
      </c>
      <c r="T3348" s="495">
        <f>IFERROR(VLOOKUP(F3348,'Freq-Chan'!C:D,2,FALSE),"x")</f>
        <v>151.26599999999999</v>
      </c>
      <c r="U3348" s="493" t="s">
        <v>541</v>
      </c>
      <c r="V3348" s="493" t="str">
        <f t="shared" si="110"/>
        <v>FWL</v>
      </c>
      <c r="W3348" s="493" t="s">
        <v>541</v>
      </c>
      <c r="X3348" s="493" t="s">
        <v>541</v>
      </c>
      <c r="Y3348" s="493" t="str">
        <f>IFERROR(VLOOKUP(F3348,'Freq-Chan'!C:E,3,FALSE),"na")</f>
        <v>F1840</v>
      </c>
      <c r="Z3348" s="493" t="s">
        <v>541</v>
      </c>
      <c r="AA3348" s="493" t="s">
        <v>541</v>
      </c>
      <c r="AB3348" s="493" t="s">
        <v>541</v>
      </c>
      <c r="AC3348" s="291" t="s">
        <v>541</v>
      </c>
      <c r="AD3348" s="291" t="s">
        <v>541</v>
      </c>
    </row>
    <row r="3349" spans="1:30" x14ac:dyDescent="0.2">
      <c r="A3349" s="110">
        <v>3349</v>
      </c>
      <c r="B3349" s="132">
        <v>41874</v>
      </c>
      <c r="C3349" s="117">
        <v>2</v>
      </c>
      <c r="D3349" s="142" t="s">
        <v>71</v>
      </c>
      <c r="E3349" s="142" t="s">
        <v>306</v>
      </c>
      <c r="H3349" s="103"/>
      <c r="I3349" s="103">
        <v>59</v>
      </c>
      <c r="K3349" s="142" t="s">
        <v>1032</v>
      </c>
      <c r="L3349" s="133"/>
      <c r="M3349" s="134">
        <v>2.2222222222222223E-2</v>
      </c>
      <c r="N3349" s="143" t="s">
        <v>395</v>
      </c>
      <c r="O3349" s="144" t="s">
        <v>4418</v>
      </c>
      <c r="Q3349" s="106" t="s">
        <v>4411</v>
      </c>
      <c r="R3349" s="226" t="s">
        <v>4421</v>
      </c>
      <c r="S3349" s="491" t="str">
        <f t="shared" si="109"/>
        <v>x</v>
      </c>
      <c r="T3349" s="492" t="str">
        <f>IFERROR(VLOOKUP(F3349,'Freq-Chan'!C:D,2,FALSE),"x")</f>
        <v>x</v>
      </c>
      <c r="U3349" s="110" t="s">
        <v>541</v>
      </c>
      <c r="V3349" s="110" t="str">
        <f t="shared" si="110"/>
        <v>FWL</v>
      </c>
      <c r="W3349" s="110" t="s">
        <v>541</v>
      </c>
      <c r="X3349" s="110" t="s">
        <v>541</v>
      </c>
      <c r="Y3349" s="110" t="str">
        <f>IFERROR(VLOOKUP(F3349,'Freq-Chan'!C:E,3,FALSE),"na")</f>
        <v>na</v>
      </c>
      <c r="Z3349" s="110" t="s">
        <v>541</v>
      </c>
      <c r="AA3349" s="110" t="s">
        <v>541</v>
      </c>
      <c r="AB3349" s="110" t="s">
        <v>541</v>
      </c>
      <c r="AC3349" s="10" t="s">
        <v>541</v>
      </c>
      <c r="AD3349" s="10" t="s">
        <v>541</v>
      </c>
    </row>
    <row r="3350" spans="1:30" x14ac:dyDescent="0.2">
      <c r="A3350" s="110">
        <v>3350</v>
      </c>
      <c r="B3350" s="132">
        <v>41874</v>
      </c>
      <c r="C3350" s="117">
        <v>2</v>
      </c>
      <c r="D3350" s="142" t="s">
        <v>71</v>
      </c>
      <c r="E3350" s="142" t="s">
        <v>306</v>
      </c>
      <c r="H3350" s="103"/>
      <c r="I3350" s="103">
        <v>59</v>
      </c>
      <c r="K3350" s="142" t="s">
        <v>1032</v>
      </c>
      <c r="L3350" s="133"/>
      <c r="M3350" s="134">
        <v>2.4999999999999998E-2</v>
      </c>
      <c r="N3350" s="135" t="s">
        <v>1651</v>
      </c>
      <c r="O3350" s="144" t="s">
        <v>4418</v>
      </c>
      <c r="Q3350" s="106" t="s">
        <v>4411</v>
      </c>
      <c r="R3350" s="226" t="s">
        <v>4421</v>
      </c>
      <c r="S3350" s="491" t="str">
        <f t="shared" si="109"/>
        <v>x</v>
      </c>
      <c r="T3350" s="492" t="str">
        <f>IFERROR(VLOOKUP(F3350,'Freq-Chan'!C:D,2,FALSE),"x")</f>
        <v>x</v>
      </c>
      <c r="U3350" s="110" t="s">
        <v>541</v>
      </c>
      <c r="V3350" s="110" t="str">
        <f t="shared" si="110"/>
        <v>FWL</v>
      </c>
      <c r="W3350" s="110" t="s">
        <v>541</v>
      </c>
      <c r="X3350" s="110" t="s">
        <v>541</v>
      </c>
      <c r="Y3350" s="110" t="str">
        <f>IFERROR(VLOOKUP(F3350,'Freq-Chan'!C:E,3,FALSE),"na")</f>
        <v>na</v>
      </c>
      <c r="Z3350" s="110" t="s">
        <v>541</v>
      </c>
      <c r="AA3350" s="110" t="s">
        <v>541</v>
      </c>
      <c r="AB3350" s="110" t="s">
        <v>541</v>
      </c>
      <c r="AC3350" s="10" t="s">
        <v>541</v>
      </c>
      <c r="AD3350" s="10" t="s">
        <v>541</v>
      </c>
    </row>
    <row r="3351" spans="1:30" x14ac:dyDescent="0.2">
      <c r="A3351" s="110">
        <v>3351</v>
      </c>
      <c r="B3351" s="132">
        <v>41874</v>
      </c>
      <c r="C3351" s="117">
        <v>2</v>
      </c>
      <c r="D3351" s="142" t="s">
        <v>71</v>
      </c>
      <c r="E3351" s="142" t="s">
        <v>306</v>
      </c>
      <c r="H3351" s="103"/>
      <c r="I3351" s="103">
        <v>55</v>
      </c>
      <c r="K3351" s="142" t="s">
        <v>1032</v>
      </c>
      <c r="L3351" s="133"/>
      <c r="M3351" s="134">
        <v>2.361111111111111E-2</v>
      </c>
      <c r="N3351" s="135" t="s">
        <v>3837</v>
      </c>
      <c r="O3351" s="144" t="s">
        <v>4418</v>
      </c>
      <c r="Q3351" s="106" t="s">
        <v>4411</v>
      </c>
      <c r="R3351" s="226" t="s">
        <v>4421</v>
      </c>
      <c r="S3351" s="491" t="str">
        <f t="shared" si="109"/>
        <v>x</v>
      </c>
      <c r="T3351" s="492" t="str">
        <f>IFERROR(VLOOKUP(F3351,'Freq-Chan'!C:D,2,FALSE),"x")</f>
        <v>x</v>
      </c>
      <c r="U3351" s="110" t="s">
        <v>541</v>
      </c>
      <c r="V3351" s="110" t="str">
        <f t="shared" si="110"/>
        <v>FWL</v>
      </c>
      <c r="W3351" s="110" t="s">
        <v>541</v>
      </c>
      <c r="X3351" s="110" t="s">
        <v>541</v>
      </c>
      <c r="Y3351" s="110" t="str">
        <f>IFERROR(VLOOKUP(F3351,'Freq-Chan'!C:E,3,FALSE),"na")</f>
        <v>na</v>
      </c>
      <c r="Z3351" s="110" t="s">
        <v>541</v>
      </c>
      <c r="AA3351" s="110" t="s">
        <v>541</v>
      </c>
      <c r="AB3351" s="110" t="s">
        <v>541</v>
      </c>
      <c r="AC3351" s="10" t="s">
        <v>541</v>
      </c>
      <c r="AD3351" s="10" t="s">
        <v>541</v>
      </c>
    </row>
    <row r="3352" spans="1:30" x14ac:dyDescent="0.2">
      <c r="A3352" s="110">
        <v>3352</v>
      </c>
      <c r="B3352" s="132">
        <v>41874</v>
      </c>
      <c r="C3352" s="117">
        <v>2</v>
      </c>
      <c r="D3352" s="142" t="s">
        <v>71</v>
      </c>
      <c r="E3352" s="142" t="s">
        <v>306</v>
      </c>
      <c r="H3352" s="103"/>
      <c r="I3352" s="103">
        <v>56</v>
      </c>
      <c r="K3352" s="142" t="s">
        <v>1032</v>
      </c>
      <c r="L3352" s="133"/>
      <c r="M3352" s="134">
        <v>1.8749999999999999E-2</v>
      </c>
      <c r="N3352" s="135" t="s">
        <v>1652</v>
      </c>
      <c r="O3352" s="144" t="s">
        <v>4418</v>
      </c>
      <c r="Q3352" s="106" t="s">
        <v>4411</v>
      </c>
      <c r="R3352" s="226" t="s">
        <v>4421</v>
      </c>
      <c r="S3352" s="491" t="str">
        <f t="shared" si="109"/>
        <v>x</v>
      </c>
      <c r="T3352" s="492" t="str">
        <f>IFERROR(VLOOKUP(F3352,'Freq-Chan'!C:D,2,FALSE),"x")</f>
        <v>x</v>
      </c>
      <c r="U3352" s="110" t="s">
        <v>541</v>
      </c>
      <c r="V3352" s="110" t="str">
        <f t="shared" si="110"/>
        <v>FWL</v>
      </c>
      <c r="W3352" s="110" t="s">
        <v>541</v>
      </c>
      <c r="X3352" s="110" t="s">
        <v>541</v>
      </c>
      <c r="Y3352" s="110" t="str">
        <f>IFERROR(VLOOKUP(F3352,'Freq-Chan'!C:E,3,FALSE),"na")</f>
        <v>na</v>
      </c>
      <c r="Z3352" s="110" t="s">
        <v>541</v>
      </c>
      <c r="AA3352" s="110" t="s">
        <v>541</v>
      </c>
      <c r="AB3352" s="110" t="s">
        <v>541</v>
      </c>
      <c r="AC3352" s="10" t="s">
        <v>541</v>
      </c>
      <c r="AD3352" s="10" t="s">
        <v>541</v>
      </c>
    </row>
    <row r="3353" spans="1:30" x14ac:dyDescent="0.2">
      <c r="A3353" s="110">
        <v>3353</v>
      </c>
      <c r="B3353" s="132">
        <v>41874</v>
      </c>
      <c r="C3353" s="117">
        <v>2</v>
      </c>
      <c r="D3353" s="142" t="s">
        <v>71</v>
      </c>
      <c r="E3353" s="142" t="s">
        <v>306</v>
      </c>
      <c r="H3353" s="103"/>
      <c r="I3353" s="103">
        <v>59</v>
      </c>
      <c r="K3353" s="142" t="s">
        <v>1032</v>
      </c>
      <c r="L3353" s="133"/>
      <c r="M3353" s="134">
        <v>2.013888888888889E-2</v>
      </c>
      <c r="N3353" s="135" t="s">
        <v>1935</v>
      </c>
      <c r="O3353" s="144" t="s">
        <v>1033</v>
      </c>
      <c r="Q3353" s="106" t="s">
        <v>4415</v>
      </c>
      <c r="R3353" s="226" t="s">
        <v>4421</v>
      </c>
      <c r="S3353" s="491" t="str">
        <f t="shared" si="109"/>
        <v>x</v>
      </c>
      <c r="T3353" s="492" t="str">
        <f>IFERROR(VLOOKUP(F3353,'Freq-Chan'!C:D,2,FALSE),"x")</f>
        <v>x</v>
      </c>
      <c r="U3353" s="110" t="s">
        <v>541</v>
      </c>
      <c r="V3353" s="110" t="str">
        <f t="shared" si="110"/>
        <v>FWL</v>
      </c>
      <c r="W3353" s="110" t="s">
        <v>541</v>
      </c>
      <c r="X3353" s="110" t="s">
        <v>541</v>
      </c>
      <c r="Y3353" s="110" t="str">
        <f>IFERROR(VLOOKUP(F3353,'Freq-Chan'!C:E,3,FALSE),"na")</f>
        <v>na</v>
      </c>
      <c r="Z3353" s="110" t="s">
        <v>541</v>
      </c>
      <c r="AA3353" s="110" t="s">
        <v>541</v>
      </c>
      <c r="AB3353" s="110" t="s">
        <v>541</v>
      </c>
      <c r="AC3353" s="10" t="s">
        <v>541</v>
      </c>
      <c r="AD3353" s="10" t="s">
        <v>541</v>
      </c>
    </row>
    <row r="3354" spans="1:30" s="291" customFormat="1" x14ac:dyDescent="0.2">
      <c r="A3354" s="493">
        <v>3354</v>
      </c>
      <c r="B3354" s="283">
        <v>41874</v>
      </c>
      <c r="C3354" s="284">
        <v>2</v>
      </c>
      <c r="D3354" s="396" t="s">
        <v>71</v>
      </c>
      <c r="E3354" s="396" t="s">
        <v>306</v>
      </c>
      <c r="F3354" s="285"/>
      <c r="G3354" s="285"/>
      <c r="H3354" s="285"/>
      <c r="I3354" s="285">
        <v>66</v>
      </c>
      <c r="J3354" s="285"/>
      <c r="K3354" s="396" t="s">
        <v>365</v>
      </c>
      <c r="L3354" s="286">
        <v>0.53125</v>
      </c>
      <c r="M3354" s="287">
        <v>1.6666666666666666E-2</v>
      </c>
      <c r="N3354" s="288" t="s">
        <v>841</v>
      </c>
      <c r="O3354" s="397" t="s">
        <v>1033</v>
      </c>
      <c r="P3354" s="289"/>
      <c r="Q3354" s="395" t="s">
        <v>4415</v>
      </c>
      <c r="R3354" s="226" t="s">
        <v>4421</v>
      </c>
      <c r="S3354" s="494">
        <f t="shared" si="109"/>
        <v>5.9722222000000002E-3</v>
      </c>
      <c r="T3354" s="495" t="str">
        <f>IFERROR(VLOOKUP(F3354,'Freq-Chan'!C:D,2,FALSE),"x")</f>
        <v>x</v>
      </c>
      <c r="U3354" s="493" t="s">
        <v>541</v>
      </c>
      <c r="V3354" s="493" t="str">
        <f t="shared" si="110"/>
        <v>FWL</v>
      </c>
      <c r="W3354" s="493" t="s">
        <v>541</v>
      </c>
      <c r="X3354" s="493" t="s">
        <v>541</v>
      </c>
      <c r="Y3354" s="493" t="str">
        <f>IFERROR(VLOOKUP(F3354,'Freq-Chan'!C:E,3,FALSE),"na")</f>
        <v>na</v>
      </c>
      <c r="Z3354" s="493" t="s">
        <v>541</v>
      </c>
      <c r="AA3354" s="493" t="s">
        <v>541</v>
      </c>
      <c r="AB3354" s="493" t="s">
        <v>541</v>
      </c>
      <c r="AC3354" s="291" t="s">
        <v>541</v>
      </c>
      <c r="AD3354" s="291" t="s">
        <v>541</v>
      </c>
    </row>
    <row r="3355" spans="1:30" x14ac:dyDescent="0.2">
      <c r="A3355" s="110">
        <v>3355</v>
      </c>
      <c r="B3355" s="132">
        <v>41874</v>
      </c>
      <c r="C3355" s="117">
        <v>3</v>
      </c>
      <c r="D3355" s="142" t="s">
        <v>70</v>
      </c>
      <c r="E3355" s="142" t="s">
        <v>306</v>
      </c>
      <c r="H3355" s="103"/>
      <c r="I3355" s="103">
        <v>47</v>
      </c>
      <c r="K3355" s="142" t="s">
        <v>1032</v>
      </c>
      <c r="L3355" s="133"/>
      <c r="M3355" s="134">
        <v>1.4583333333333332E-2</v>
      </c>
      <c r="N3355" s="135" t="s">
        <v>3332</v>
      </c>
      <c r="O3355" s="144" t="s">
        <v>555</v>
      </c>
      <c r="Q3355" s="106" t="s">
        <v>4416</v>
      </c>
      <c r="R3355" s="226" t="s">
        <v>4421</v>
      </c>
      <c r="S3355" s="491" t="str">
        <f t="shared" si="109"/>
        <v>x</v>
      </c>
      <c r="T3355" s="492" t="str">
        <f>IFERROR(VLOOKUP(F3355,'Freq-Chan'!C:D,2,FALSE),"x")</f>
        <v>x</v>
      </c>
      <c r="U3355" s="110" t="s">
        <v>541</v>
      </c>
      <c r="V3355" s="110" t="str">
        <f t="shared" si="110"/>
        <v>FWL</v>
      </c>
      <c r="W3355" s="110" t="s">
        <v>541</v>
      </c>
      <c r="X3355" s="110" t="s">
        <v>541</v>
      </c>
      <c r="Y3355" s="110" t="str">
        <f>IFERROR(VLOOKUP(F3355,'Freq-Chan'!C:E,3,FALSE),"na")</f>
        <v>na</v>
      </c>
      <c r="Z3355" s="110" t="s">
        <v>541</v>
      </c>
      <c r="AA3355" s="110" t="s">
        <v>541</v>
      </c>
      <c r="AB3355" s="110" t="s">
        <v>541</v>
      </c>
      <c r="AC3355" s="10" t="s">
        <v>541</v>
      </c>
      <c r="AD3355" s="10" t="s">
        <v>541</v>
      </c>
    </row>
    <row r="3356" spans="1:30" x14ac:dyDescent="0.2">
      <c r="A3356" s="110">
        <v>3356</v>
      </c>
      <c r="B3356" s="132">
        <v>41874</v>
      </c>
      <c r="C3356" s="117">
        <v>3</v>
      </c>
      <c r="D3356" s="142" t="s">
        <v>75</v>
      </c>
      <c r="E3356" s="142" t="s">
        <v>798</v>
      </c>
      <c r="H3356" s="103"/>
      <c r="J3356" s="103">
        <v>19</v>
      </c>
      <c r="K3356" s="142" t="s">
        <v>364</v>
      </c>
      <c r="L3356" s="133"/>
      <c r="M3356" s="134">
        <v>2.0833333333333332E-2</v>
      </c>
      <c r="N3356" s="135" t="s">
        <v>3349</v>
      </c>
      <c r="O3356" s="144" t="s">
        <v>376</v>
      </c>
      <c r="P3356" s="106"/>
      <c r="Q3356" s="106" t="s">
        <v>4416</v>
      </c>
      <c r="R3356" s="226" t="s">
        <v>4421</v>
      </c>
      <c r="S3356" s="491" t="str">
        <f t="shared" si="109"/>
        <v>x</v>
      </c>
      <c r="T3356" s="492" t="str">
        <f>IFERROR(VLOOKUP(F3356,'Freq-Chan'!C:D,2,FALSE),"x")</f>
        <v>x</v>
      </c>
      <c r="U3356" s="110" t="s">
        <v>541</v>
      </c>
      <c r="V3356" s="110" t="str">
        <f t="shared" si="110"/>
        <v>FWL</v>
      </c>
      <c r="W3356" s="110" t="s">
        <v>541</v>
      </c>
      <c r="X3356" s="110" t="s">
        <v>541</v>
      </c>
      <c r="Y3356" s="110" t="str">
        <f>IFERROR(VLOOKUP(F3356,'Freq-Chan'!C:E,3,FALSE),"na")</f>
        <v>na</v>
      </c>
      <c r="Z3356" s="110" t="s">
        <v>541</v>
      </c>
      <c r="AA3356" s="110" t="s">
        <v>541</v>
      </c>
      <c r="AB3356" s="110" t="s">
        <v>541</v>
      </c>
      <c r="AC3356" s="10" t="s">
        <v>541</v>
      </c>
      <c r="AD3356" s="10" t="s">
        <v>541</v>
      </c>
    </row>
    <row r="3357" spans="1:30" x14ac:dyDescent="0.2">
      <c r="A3357" s="110">
        <v>3357</v>
      </c>
      <c r="B3357" s="132">
        <v>41874</v>
      </c>
      <c r="C3357" s="117">
        <v>3</v>
      </c>
      <c r="D3357" s="142" t="s">
        <v>71</v>
      </c>
      <c r="E3357" s="142" t="s">
        <v>306</v>
      </c>
      <c r="F3357" s="103">
        <v>564</v>
      </c>
      <c r="G3357" s="103">
        <v>84</v>
      </c>
      <c r="H3357" s="103" t="s">
        <v>2480</v>
      </c>
      <c r="I3357" s="103">
        <v>58</v>
      </c>
      <c r="K3357" s="142" t="s">
        <v>1032</v>
      </c>
      <c r="L3357" s="133"/>
      <c r="M3357" s="134">
        <v>5.6250000000000001E-2</v>
      </c>
      <c r="N3357" s="135" t="s">
        <v>763</v>
      </c>
      <c r="O3357" s="144" t="s">
        <v>555</v>
      </c>
      <c r="Q3357" s="106" t="s">
        <v>4416</v>
      </c>
      <c r="R3357" s="226" t="s">
        <v>4421</v>
      </c>
      <c r="S3357" s="491" t="str">
        <f t="shared" si="109"/>
        <v>x</v>
      </c>
      <c r="T3357" s="492">
        <f>IFERROR(VLOOKUP(F3357,'Freq-Chan'!C:D,2,FALSE),"x")</f>
        <v>151.56399999999999</v>
      </c>
      <c r="U3357" s="110" t="s">
        <v>541</v>
      </c>
      <c r="V3357" s="110" t="str">
        <f t="shared" si="110"/>
        <v>FWL</v>
      </c>
      <c r="W3357" s="110" t="s">
        <v>541</v>
      </c>
      <c r="X3357" s="110" t="s">
        <v>541</v>
      </c>
      <c r="Y3357" s="110" t="str">
        <f>IFERROR(VLOOKUP(F3357,'Freq-Chan'!C:E,3,FALSE),"na")</f>
        <v>F1840</v>
      </c>
      <c r="Z3357" s="110" t="s">
        <v>541</v>
      </c>
      <c r="AA3357" s="110" t="s">
        <v>541</v>
      </c>
      <c r="AB3357" s="110" t="s">
        <v>541</v>
      </c>
      <c r="AC3357" s="10" t="s">
        <v>541</v>
      </c>
      <c r="AD3357" s="10" t="s">
        <v>541</v>
      </c>
    </row>
    <row r="3358" spans="1:30" x14ac:dyDescent="0.2">
      <c r="A3358" s="110">
        <v>3358</v>
      </c>
      <c r="B3358" s="132">
        <v>41874</v>
      </c>
      <c r="C3358" s="117">
        <v>3</v>
      </c>
      <c r="D3358" s="142" t="s">
        <v>71</v>
      </c>
      <c r="E3358" s="142" t="s">
        <v>306</v>
      </c>
      <c r="H3358" s="103"/>
      <c r="I3358" s="103">
        <v>53</v>
      </c>
      <c r="K3358" s="142" t="s">
        <v>365</v>
      </c>
      <c r="L3358" s="133"/>
      <c r="M3358" s="134">
        <v>1.0416666666666666E-2</v>
      </c>
      <c r="N3358" s="135" t="s">
        <v>3936</v>
      </c>
      <c r="O3358" s="144" t="s">
        <v>376</v>
      </c>
      <c r="P3358" s="106"/>
      <c r="Q3358" s="106" t="s">
        <v>4416</v>
      </c>
      <c r="R3358" s="226" t="s">
        <v>4421</v>
      </c>
      <c r="S3358" s="491" t="str">
        <f t="shared" si="109"/>
        <v>x</v>
      </c>
      <c r="T3358" s="492" t="str">
        <f>IFERROR(VLOOKUP(F3358,'Freq-Chan'!C:D,2,FALSE),"x")</f>
        <v>x</v>
      </c>
      <c r="U3358" s="110" t="s">
        <v>541</v>
      </c>
      <c r="V3358" s="110" t="str">
        <f t="shared" si="110"/>
        <v>FWL</v>
      </c>
      <c r="W3358" s="110" t="s">
        <v>541</v>
      </c>
      <c r="X3358" s="110" t="s">
        <v>541</v>
      </c>
      <c r="Y3358" s="110" t="str">
        <f>IFERROR(VLOOKUP(F3358,'Freq-Chan'!C:E,3,FALSE),"na")</f>
        <v>na</v>
      </c>
      <c r="Z3358" s="110" t="s">
        <v>541</v>
      </c>
      <c r="AA3358" s="110" t="s">
        <v>541</v>
      </c>
      <c r="AB3358" s="110" t="s">
        <v>541</v>
      </c>
      <c r="AC3358" s="10" t="s">
        <v>541</v>
      </c>
      <c r="AD3358" s="10" t="s">
        <v>541</v>
      </c>
    </row>
    <row r="3359" spans="1:30" x14ac:dyDescent="0.2">
      <c r="A3359" s="110">
        <v>3359</v>
      </c>
      <c r="B3359" s="132">
        <v>41874</v>
      </c>
      <c r="C3359" s="117">
        <v>3</v>
      </c>
      <c r="D3359" s="142" t="s">
        <v>71</v>
      </c>
      <c r="E3359" s="142" t="s">
        <v>306</v>
      </c>
      <c r="H3359" s="103"/>
      <c r="I3359" s="103">
        <v>58</v>
      </c>
      <c r="K3359" s="142" t="s">
        <v>1032</v>
      </c>
      <c r="L3359" s="133"/>
      <c r="M3359" s="134">
        <v>1.1805555555555555E-2</v>
      </c>
      <c r="N3359" s="135" t="s">
        <v>3717</v>
      </c>
      <c r="O3359" s="144" t="s">
        <v>376</v>
      </c>
      <c r="Q3359" s="106" t="s">
        <v>4416</v>
      </c>
      <c r="R3359" s="226" t="s">
        <v>4421</v>
      </c>
      <c r="S3359" s="491" t="str">
        <f t="shared" si="109"/>
        <v>x</v>
      </c>
      <c r="T3359" s="492" t="str">
        <f>IFERROR(VLOOKUP(F3359,'Freq-Chan'!C:D,2,FALSE),"x")</f>
        <v>x</v>
      </c>
      <c r="U3359" s="110" t="s">
        <v>541</v>
      </c>
      <c r="V3359" s="110" t="str">
        <f t="shared" si="110"/>
        <v>FWL</v>
      </c>
      <c r="W3359" s="110" t="s">
        <v>541</v>
      </c>
      <c r="X3359" s="110" t="s">
        <v>541</v>
      </c>
      <c r="Y3359" s="110" t="str">
        <f>IFERROR(VLOOKUP(F3359,'Freq-Chan'!C:E,3,FALSE),"na")</f>
        <v>na</v>
      </c>
      <c r="Z3359" s="110" t="s">
        <v>541</v>
      </c>
      <c r="AA3359" s="110" t="s">
        <v>541</v>
      </c>
      <c r="AB3359" s="110" t="s">
        <v>541</v>
      </c>
      <c r="AC3359" s="10" t="s">
        <v>541</v>
      </c>
      <c r="AD3359" s="10" t="s">
        <v>541</v>
      </c>
    </row>
    <row r="3360" spans="1:30" x14ac:dyDescent="0.2">
      <c r="A3360" s="110">
        <v>3360</v>
      </c>
      <c r="B3360" s="132">
        <v>41874</v>
      </c>
      <c r="C3360" s="117">
        <v>3</v>
      </c>
      <c r="D3360" s="142" t="s">
        <v>75</v>
      </c>
      <c r="E3360" s="142" t="s">
        <v>798</v>
      </c>
      <c r="H3360" s="103"/>
      <c r="J3360" s="103">
        <v>21</v>
      </c>
      <c r="K3360" s="142" t="s">
        <v>364</v>
      </c>
      <c r="L3360" s="133"/>
      <c r="M3360" s="134"/>
      <c r="N3360" s="143" t="s">
        <v>2891</v>
      </c>
      <c r="O3360" s="144" t="s">
        <v>376</v>
      </c>
      <c r="Q3360" s="106" t="s">
        <v>4416</v>
      </c>
      <c r="R3360" s="226" t="s">
        <v>4421</v>
      </c>
      <c r="S3360" s="491" t="str">
        <f t="shared" si="109"/>
        <v>x</v>
      </c>
      <c r="T3360" s="492" t="str">
        <f>IFERROR(VLOOKUP(F3360,'Freq-Chan'!C:D,2,FALSE),"x")</f>
        <v>x</v>
      </c>
      <c r="U3360" s="110" t="s">
        <v>541</v>
      </c>
      <c r="V3360" s="110" t="str">
        <f t="shared" si="110"/>
        <v>FWL</v>
      </c>
      <c r="W3360" s="110" t="s">
        <v>541</v>
      </c>
      <c r="X3360" s="110" t="s">
        <v>541</v>
      </c>
      <c r="Y3360" s="110" t="str">
        <f>IFERROR(VLOOKUP(F3360,'Freq-Chan'!C:E,3,FALSE),"na")</f>
        <v>na</v>
      </c>
      <c r="Z3360" s="110" t="s">
        <v>541</v>
      </c>
      <c r="AA3360" s="110" t="s">
        <v>541</v>
      </c>
      <c r="AB3360" s="110" t="s">
        <v>541</v>
      </c>
      <c r="AC3360" s="10" t="s">
        <v>541</v>
      </c>
      <c r="AD3360" s="10" t="s">
        <v>541</v>
      </c>
    </row>
    <row r="3361" spans="1:30" x14ac:dyDescent="0.2">
      <c r="A3361" s="110">
        <v>3361</v>
      </c>
      <c r="B3361" s="132">
        <v>41874</v>
      </c>
      <c r="C3361" s="117">
        <v>3</v>
      </c>
      <c r="D3361" s="142" t="s">
        <v>72</v>
      </c>
      <c r="E3361" s="142" t="s">
        <v>306</v>
      </c>
      <c r="H3361" s="142"/>
      <c r="I3361" s="103">
        <v>51</v>
      </c>
      <c r="K3361" s="142" t="s">
        <v>365</v>
      </c>
      <c r="L3361" s="133"/>
      <c r="M3361" s="134">
        <v>7.8472222222222221E-2</v>
      </c>
      <c r="N3361" s="143" t="s">
        <v>3225</v>
      </c>
      <c r="O3361" s="144" t="s">
        <v>555</v>
      </c>
      <c r="P3361" s="100" t="s">
        <v>4419</v>
      </c>
      <c r="Q3361" s="106" t="s">
        <v>4416</v>
      </c>
      <c r="R3361" s="226" t="s">
        <v>4421</v>
      </c>
      <c r="S3361" s="491" t="str">
        <f t="shared" si="109"/>
        <v>x</v>
      </c>
      <c r="T3361" s="492" t="str">
        <f>IFERROR(VLOOKUP(F3361,'Freq-Chan'!C:D,2,FALSE),"x")</f>
        <v>x</v>
      </c>
      <c r="U3361" s="110" t="s">
        <v>541</v>
      </c>
      <c r="V3361" s="110" t="str">
        <f t="shared" si="110"/>
        <v>FWL</v>
      </c>
      <c r="W3361" s="110" t="s">
        <v>541</v>
      </c>
      <c r="X3361" s="110" t="s">
        <v>541</v>
      </c>
      <c r="Y3361" s="110" t="str">
        <f>IFERROR(VLOOKUP(F3361,'Freq-Chan'!C:E,3,FALSE),"na")</f>
        <v>na</v>
      </c>
      <c r="Z3361" s="110" t="s">
        <v>541</v>
      </c>
      <c r="AA3361" s="110" t="s">
        <v>541</v>
      </c>
      <c r="AB3361" s="110" t="s">
        <v>541</v>
      </c>
      <c r="AC3361" s="10" t="s">
        <v>541</v>
      </c>
      <c r="AD3361" s="10" t="s">
        <v>541</v>
      </c>
    </row>
    <row r="3362" spans="1:30" x14ac:dyDescent="0.2">
      <c r="A3362" s="110">
        <v>3362</v>
      </c>
      <c r="B3362" s="132">
        <v>41874</v>
      </c>
      <c r="C3362" s="117">
        <v>3</v>
      </c>
      <c r="D3362" s="142" t="s">
        <v>71</v>
      </c>
      <c r="E3362" s="142" t="s">
        <v>306</v>
      </c>
      <c r="H3362" s="103"/>
      <c r="I3362" s="103">
        <v>57</v>
      </c>
      <c r="K3362" s="142" t="s">
        <v>365</v>
      </c>
      <c r="L3362" s="133"/>
      <c r="M3362" s="134">
        <v>1.1111111111111112E-2</v>
      </c>
      <c r="N3362" s="135" t="s">
        <v>3948</v>
      </c>
      <c r="O3362" s="144" t="s">
        <v>376</v>
      </c>
      <c r="Q3362" s="106" t="s">
        <v>4416</v>
      </c>
      <c r="R3362" s="226" t="s">
        <v>4421</v>
      </c>
      <c r="S3362" s="491" t="str">
        <f t="shared" si="109"/>
        <v>x</v>
      </c>
      <c r="T3362" s="492" t="str">
        <f>IFERROR(VLOOKUP(F3362,'Freq-Chan'!C:D,2,FALSE),"x")</f>
        <v>x</v>
      </c>
      <c r="U3362" s="110" t="s">
        <v>541</v>
      </c>
      <c r="V3362" s="110" t="str">
        <f t="shared" si="110"/>
        <v>FWL</v>
      </c>
      <c r="W3362" s="110" t="s">
        <v>541</v>
      </c>
      <c r="X3362" s="110" t="s">
        <v>541</v>
      </c>
      <c r="Y3362" s="110" t="str">
        <f>IFERROR(VLOOKUP(F3362,'Freq-Chan'!C:E,3,FALSE),"na")</f>
        <v>na</v>
      </c>
      <c r="Z3362" s="110" t="s">
        <v>541</v>
      </c>
      <c r="AA3362" s="110" t="s">
        <v>541</v>
      </c>
      <c r="AB3362" s="110" t="s">
        <v>541</v>
      </c>
      <c r="AC3362" s="10" t="s">
        <v>541</v>
      </c>
      <c r="AD3362" s="10" t="s">
        <v>541</v>
      </c>
    </row>
    <row r="3363" spans="1:30" x14ac:dyDescent="0.2">
      <c r="A3363" s="110">
        <v>3363</v>
      </c>
      <c r="B3363" s="132">
        <v>41874</v>
      </c>
      <c r="C3363" s="117">
        <v>3</v>
      </c>
      <c r="D3363" s="142" t="s">
        <v>71</v>
      </c>
      <c r="E3363" s="142" t="s">
        <v>306</v>
      </c>
      <c r="H3363" s="103"/>
      <c r="I3363" s="103">
        <v>52</v>
      </c>
      <c r="K3363" s="142" t="s">
        <v>365</v>
      </c>
      <c r="L3363" s="133"/>
      <c r="M3363" s="134">
        <v>1.6666666666666666E-2</v>
      </c>
      <c r="N3363" s="135" t="s">
        <v>3905</v>
      </c>
      <c r="O3363" s="144" t="s">
        <v>376</v>
      </c>
      <c r="Q3363" s="106" t="s">
        <v>4416</v>
      </c>
      <c r="R3363" s="226" t="s">
        <v>4421</v>
      </c>
      <c r="S3363" s="491" t="str">
        <f t="shared" si="109"/>
        <v>x</v>
      </c>
      <c r="T3363" s="492" t="str">
        <f>IFERROR(VLOOKUP(F3363,'Freq-Chan'!C:D,2,FALSE),"x")</f>
        <v>x</v>
      </c>
      <c r="U3363" s="110" t="s">
        <v>541</v>
      </c>
      <c r="V3363" s="110" t="str">
        <f t="shared" si="110"/>
        <v>FWL</v>
      </c>
      <c r="W3363" s="110" t="s">
        <v>541</v>
      </c>
      <c r="X3363" s="110" t="s">
        <v>541</v>
      </c>
      <c r="Y3363" s="110" t="str">
        <f>IFERROR(VLOOKUP(F3363,'Freq-Chan'!C:E,3,FALSE),"na")</f>
        <v>na</v>
      </c>
      <c r="Z3363" s="110" t="s">
        <v>541</v>
      </c>
      <c r="AA3363" s="110" t="s">
        <v>541</v>
      </c>
      <c r="AB3363" s="110" t="s">
        <v>541</v>
      </c>
      <c r="AC3363" s="10" t="s">
        <v>541</v>
      </c>
      <c r="AD3363" s="10" t="s">
        <v>541</v>
      </c>
    </row>
    <row r="3364" spans="1:30" x14ac:dyDescent="0.2">
      <c r="A3364" s="110">
        <v>3364</v>
      </c>
      <c r="B3364" s="132">
        <v>41874</v>
      </c>
      <c r="C3364" s="117">
        <v>3</v>
      </c>
      <c r="D3364" s="142" t="s">
        <v>70</v>
      </c>
      <c r="E3364" s="142" t="s">
        <v>306</v>
      </c>
      <c r="H3364" s="103"/>
      <c r="I3364" s="103">
        <v>48</v>
      </c>
      <c r="K3364" s="142" t="s">
        <v>1032</v>
      </c>
      <c r="L3364" s="133"/>
      <c r="M3364" s="134">
        <v>1.6666666666666666E-2</v>
      </c>
      <c r="N3364" s="135" t="s">
        <v>4105</v>
      </c>
      <c r="O3364" s="144" t="s">
        <v>376</v>
      </c>
      <c r="Q3364" s="106" t="s">
        <v>4416</v>
      </c>
      <c r="R3364" s="226" t="s">
        <v>4421</v>
      </c>
      <c r="S3364" s="491" t="str">
        <f t="shared" si="109"/>
        <v>x</v>
      </c>
      <c r="T3364" s="492" t="str">
        <f>IFERROR(VLOOKUP(F3364,'Freq-Chan'!C:D,2,FALSE),"x")</f>
        <v>x</v>
      </c>
      <c r="U3364" s="110" t="s">
        <v>541</v>
      </c>
      <c r="V3364" s="110" t="str">
        <f t="shared" si="110"/>
        <v>FWL</v>
      </c>
      <c r="W3364" s="110" t="s">
        <v>541</v>
      </c>
      <c r="X3364" s="110" t="s">
        <v>541</v>
      </c>
      <c r="Y3364" s="110" t="str">
        <f>IFERROR(VLOOKUP(F3364,'Freq-Chan'!C:E,3,FALSE),"na")</f>
        <v>na</v>
      </c>
      <c r="Z3364" s="110" t="s">
        <v>541</v>
      </c>
      <c r="AA3364" s="110" t="s">
        <v>541</v>
      </c>
      <c r="AB3364" s="110" t="s">
        <v>541</v>
      </c>
      <c r="AC3364" s="10" t="s">
        <v>541</v>
      </c>
      <c r="AD3364" s="10" t="s">
        <v>541</v>
      </c>
    </row>
    <row r="3365" spans="1:30" x14ac:dyDescent="0.2">
      <c r="A3365" s="110">
        <v>3365</v>
      </c>
      <c r="B3365" s="132">
        <v>41874</v>
      </c>
      <c r="C3365" s="117">
        <v>3</v>
      </c>
      <c r="D3365" s="142" t="s">
        <v>71</v>
      </c>
      <c r="E3365" s="142" t="s">
        <v>306</v>
      </c>
      <c r="H3365" s="103"/>
      <c r="I3365" s="103">
        <v>62</v>
      </c>
      <c r="K3365" s="142" t="s">
        <v>1032</v>
      </c>
      <c r="L3365" s="133"/>
      <c r="M3365" s="134">
        <v>2.2222222222222223E-2</v>
      </c>
      <c r="N3365" s="135" t="s">
        <v>1770</v>
      </c>
      <c r="O3365" s="144" t="s">
        <v>555</v>
      </c>
      <c r="Q3365" s="106" t="s">
        <v>4416</v>
      </c>
      <c r="R3365" s="226" t="s">
        <v>4421</v>
      </c>
      <c r="S3365" s="491" t="str">
        <f t="shared" si="109"/>
        <v>x</v>
      </c>
      <c r="T3365" s="492" t="str">
        <f>IFERROR(VLOOKUP(F3365,'Freq-Chan'!C:D,2,FALSE),"x")</f>
        <v>x</v>
      </c>
      <c r="U3365" s="110" t="s">
        <v>541</v>
      </c>
      <c r="V3365" s="110" t="str">
        <f t="shared" si="110"/>
        <v>FWL</v>
      </c>
      <c r="W3365" s="110" t="s">
        <v>541</v>
      </c>
      <c r="X3365" s="110" t="s">
        <v>541</v>
      </c>
      <c r="Y3365" s="110" t="str">
        <f>IFERROR(VLOOKUP(F3365,'Freq-Chan'!C:E,3,FALSE),"na")</f>
        <v>na</v>
      </c>
      <c r="Z3365" s="110" t="s">
        <v>541</v>
      </c>
      <c r="AA3365" s="110" t="s">
        <v>541</v>
      </c>
      <c r="AB3365" s="110" t="s">
        <v>541</v>
      </c>
      <c r="AC3365" s="10" t="s">
        <v>541</v>
      </c>
      <c r="AD3365" s="10" t="s">
        <v>541</v>
      </c>
    </row>
    <row r="3366" spans="1:30" x14ac:dyDescent="0.2">
      <c r="A3366" s="110">
        <v>3366</v>
      </c>
      <c r="B3366" s="132">
        <v>41874</v>
      </c>
      <c r="C3366" s="117">
        <v>3</v>
      </c>
      <c r="D3366" s="142" t="s">
        <v>71</v>
      </c>
      <c r="E3366" s="142" t="s">
        <v>306</v>
      </c>
      <c r="H3366" s="103"/>
      <c r="I3366" s="103">
        <v>57</v>
      </c>
      <c r="K3366" s="142" t="s">
        <v>1032</v>
      </c>
      <c r="L3366" s="133"/>
      <c r="M3366" s="134">
        <v>2.013888888888889E-2</v>
      </c>
      <c r="N3366" s="135" t="s">
        <v>3258</v>
      </c>
      <c r="O3366" s="144" t="s">
        <v>555</v>
      </c>
      <c r="Q3366" s="106" t="s">
        <v>4416</v>
      </c>
      <c r="R3366" s="226" t="s">
        <v>4421</v>
      </c>
      <c r="S3366" s="491" t="str">
        <f t="shared" si="109"/>
        <v>x</v>
      </c>
      <c r="T3366" s="492" t="str">
        <f>IFERROR(VLOOKUP(F3366,'Freq-Chan'!C:D,2,FALSE),"x")</f>
        <v>x</v>
      </c>
      <c r="U3366" s="110" t="s">
        <v>541</v>
      </c>
      <c r="V3366" s="110" t="str">
        <f t="shared" si="110"/>
        <v>FWL</v>
      </c>
      <c r="W3366" s="110" t="s">
        <v>541</v>
      </c>
      <c r="X3366" s="110" t="s">
        <v>541</v>
      </c>
      <c r="Y3366" s="110" t="str">
        <f>IFERROR(VLOOKUP(F3366,'Freq-Chan'!C:E,3,FALSE),"na")</f>
        <v>na</v>
      </c>
      <c r="Z3366" s="110" t="s">
        <v>541</v>
      </c>
      <c r="AA3366" s="110" t="s">
        <v>541</v>
      </c>
      <c r="AB3366" s="110" t="s">
        <v>541</v>
      </c>
      <c r="AC3366" s="10" t="s">
        <v>541</v>
      </c>
      <c r="AD3366" s="10" t="s">
        <v>541</v>
      </c>
    </row>
    <row r="3367" spans="1:30" x14ac:dyDescent="0.2">
      <c r="A3367" s="110">
        <v>3367</v>
      </c>
      <c r="B3367" s="132">
        <v>41874</v>
      </c>
      <c r="C3367" s="117">
        <v>3</v>
      </c>
      <c r="D3367" s="142" t="s">
        <v>71</v>
      </c>
      <c r="E3367" s="142" t="s">
        <v>306</v>
      </c>
      <c r="H3367" s="103"/>
      <c r="I3367" s="103">
        <v>63</v>
      </c>
      <c r="K3367" s="142" t="s">
        <v>1032</v>
      </c>
      <c r="L3367" s="133"/>
      <c r="M3367" s="134">
        <v>2.6388888888888889E-2</v>
      </c>
      <c r="N3367" s="135" t="s">
        <v>3983</v>
      </c>
      <c r="O3367" s="144" t="s">
        <v>555</v>
      </c>
      <c r="Q3367" s="106" t="s">
        <v>4416</v>
      </c>
      <c r="R3367" s="226" t="s">
        <v>4421</v>
      </c>
      <c r="S3367" s="491" t="str">
        <f t="shared" si="109"/>
        <v>x</v>
      </c>
      <c r="T3367" s="492" t="str">
        <f>IFERROR(VLOOKUP(F3367,'Freq-Chan'!C:D,2,FALSE),"x")</f>
        <v>x</v>
      </c>
      <c r="U3367" s="110" t="s">
        <v>541</v>
      </c>
      <c r="V3367" s="110" t="str">
        <f t="shared" si="110"/>
        <v>FWL</v>
      </c>
      <c r="W3367" s="110" t="s">
        <v>541</v>
      </c>
      <c r="X3367" s="110" t="s">
        <v>541</v>
      </c>
      <c r="Y3367" s="110" t="str">
        <f>IFERROR(VLOOKUP(F3367,'Freq-Chan'!C:E,3,FALSE),"na")</f>
        <v>na</v>
      </c>
      <c r="Z3367" s="110" t="s">
        <v>541</v>
      </c>
      <c r="AA3367" s="110" t="s">
        <v>541</v>
      </c>
      <c r="AB3367" s="110" t="s">
        <v>541</v>
      </c>
      <c r="AC3367" s="10" t="s">
        <v>541</v>
      </c>
      <c r="AD3367" s="10" t="s">
        <v>541</v>
      </c>
    </row>
    <row r="3368" spans="1:30" x14ac:dyDescent="0.2">
      <c r="A3368" s="110">
        <v>3368</v>
      </c>
      <c r="B3368" s="132">
        <v>41874</v>
      </c>
      <c r="C3368" s="117">
        <v>3</v>
      </c>
      <c r="D3368" s="142" t="s">
        <v>72</v>
      </c>
      <c r="E3368" s="142" t="s">
        <v>306</v>
      </c>
      <c r="F3368" s="103">
        <v>266</v>
      </c>
      <c r="G3368" s="103">
        <v>34</v>
      </c>
      <c r="H3368" s="103" t="s">
        <v>3656</v>
      </c>
      <c r="I3368" s="103">
        <v>61</v>
      </c>
      <c r="K3368" s="103" t="s">
        <v>1032</v>
      </c>
      <c r="L3368" s="133"/>
      <c r="M3368" s="134">
        <v>4.2361111111111106E-2</v>
      </c>
      <c r="N3368" s="135" t="s">
        <v>4175</v>
      </c>
      <c r="O3368" s="144" t="s">
        <v>555</v>
      </c>
      <c r="P3368" s="100" t="s">
        <v>4466</v>
      </c>
      <c r="Q3368" s="106" t="s">
        <v>4416</v>
      </c>
      <c r="R3368" s="226" t="s">
        <v>4421</v>
      </c>
      <c r="S3368" s="491" t="str">
        <f t="shared" si="109"/>
        <v>x</v>
      </c>
      <c r="T3368" s="492">
        <f>IFERROR(VLOOKUP(F3368,'Freq-Chan'!C:D,2,FALSE),"x")</f>
        <v>151.26599999999999</v>
      </c>
      <c r="U3368" s="110" t="s">
        <v>541</v>
      </c>
      <c r="V3368" s="110" t="str">
        <f t="shared" si="110"/>
        <v>FWL</v>
      </c>
      <c r="W3368" s="110" t="s">
        <v>541</v>
      </c>
      <c r="X3368" s="110" t="s">
        <v>541</v>
      </c>
      <c r="Y3368" s="110" t="str">
        <f>IFERROR(VLOOKUP(F3368,'Freq-Chan'!C:E,3,FALSE),"na")</f>
        <v>F1840</v>
      </c>
      <c r="Z3368" s="110" t="s">
        <v>541</v>
      </c>
      <c r="AA3368" s="110" t="s">
        <v>541</v>
      </c>
      <c r="AB3368" s="110" t="s">
        <v>541</v>
      </c>
      <c r="AC3368" s="10" t="s">
        <v>541</v>
      </c>
      <c r="AD3368" s="10" t="s">
        <v>541</v>
      </c>
    </row>
    <row r="3369" spans="1:30" x14ac:dyDescent="0.2">
      <c r="A3369" s="110">
        <v>3369</v>
      </c>
      <c r="B3369" s="132">
        <v>41874</v>
      </c>
      <c r="C3369" s="117">
        <v>3</v>
      </c>
      <c r="D3369" s="142" t="s">
        <v>72</v>
      </c>
      <c r="E3369" s="142" t="s">
        <v>306</v>
      </c>
      <c r="F3369" s="103">
        <v>325</v>
      </c>
      <c r="G3369" s="103">
        <v>71</v>
      </c>
      <c r="H3369" s="103" t="s">
        <v>3662</v>
      </c>
      <c r="I3369" s="103">
        <v>52</v>
      </c>
      <c r="K3369" s="142" t="s">
        <v>364</v>
      </c>
      <c r="L3369" s="133"/>
      <c r="M3369" s="134">
        <v>4.027777777777778E-2</v>
      </c>
      <c r="N3369" s="135" t="s">
        <v>1661</v>
      </c>
      <c r="O3369" s="144" t="s">
        <v>555</v>
      </c>
      <c r="Q3369" s="106" t="s">
        <v>4416</v>
      </c>
      <c r="R3369" s="226" t="s">
        <v>4421</v>
      </c>
      <c r="S3369" s="491" t="str">
        <f t="shared" si="109"/>
        <v>x</v>
      </c>
      <c r="T3369" s="492">
        <f>IFERROR(VLOOKUP(F3369,'Freq-Chan'!C:D,2,FALSE),"x")</f>
        <v>151.32499999999999</v>
      </c>
      <c r="U3369" s="110" t="s">
        <v>541</v>
      </c>
      <c r="V3369" s="110" t="str">
        <f t="shared" si="110"/>
        <v>FWL</v>
      </c>
      <c r="W3369" s="110" t="s">
        <v>541</v>
      </c>
      <c r="X3369" s="110" t="s">
        <v>541</v>
      </c>
      <c r="Y3369" s="110" t="str">
        <f>IFERROR(VLOOKUP(F3369,'Freq-Chan'!C:E,3,FALSE),"na")</f>
        <v>F1840</v>
      </c>
      <c r="Z3369" s="110" t="s">
        <v>541</v>
      </c>
      <c r="AA3369" s="110" t="s">
        <v>541</v>
      </c>
      <c r="AB3369" s="110" t="s">
        <v>541</v>
      </c>
      <c r="AC3369" s="10" t="s">
        <v>541</v>
      </c>
      <c r="AD3369" s="10" t="s">
        <v>541</v>
      </c>
    </row>
    <row r="3370" spans="1:30" x14ac:dyDescent="0.2">
      <c r="A3370" s="110">
        <v>3370</v>
      </c>
      <c r="B3370" s="132">
        <v>41874</v>
      </c>
      <c r="C3370" s="117">
        <v>3</v>
      </c>
      <c r="D3370" s="142" t="s">
        <v>72</v>
      </c>
      <c r="E3370" s="142" t="s">
        <v>306</v>
      </c>
      <c r="F3370" s="103">
        <v>266</v>
      </c>
      <c r="G3370" s="103">
        <v>14</v>
      </c>
      <c r="H3370" s="103" t="s">
        <v>3663</v>
      </c>
      <c r="I3370" s="103">
        <v>59</v>
      </c>
      <c r="K3370" s="142" t="s">
        <v>1032</v>
      </c>
      <c r="L3370" s="133"/>
      <c r="M3370" s="134">
        <v>4.2361111111111106E-2</v>
      </c>
      <c r="N3370" s="135" t="s">
        <v>3484</v>
      </c>
      <c r="O3370" s="144" t="s">
        <v>555</v>
      </c>
      <c r="P3370" s="100" t="s">
        <v>4466</v>
      </c>
      <c r="Q3370" s="106" t="s">
        <v>4416</v>
      </c>
      <c r="R3370" s="226" t="s">
        <v>4421</v>
      </c>
      <c r="S3370" s="491" t="str">
        <f t="shared" si="109"/>
        <v>x</v>
      </c>
      <c r="T3370" s="492">
        <f>IFERROR(VLOOKUP(F3370,'Freq-Chan'!C:D,2,FALSE),"x")</f>
        <v>151.26599999999999</v>
      </c>
      <c r="U3370" s="110" t="s">
        <v>541</v>
      </c>
      <c r="V3370" s="110" t="str">
        <f t="shared" si="110"/>
        <v>FWL</v>
      </c>
      <c r="W3370" s="110" t="s">
        <v>541</v>
      </c>
      <c r="X3370" s="110" t="s">
        <v>541</v>
      </c>
      <c r="Y3370" s="110" t="str">
        <f>IFERROR(VLOOKUP(F3370,'Freq-Chan'!C:E,3,FALSE),"na")</f>
        <v>F1840</v>
      </c>
      <c r="Z3370" s="110" t="s">
        <v>541</v>
      </c>
      <c r="AA3370" s="110" t="s">
        <v>541</v>
      </c>
      <c r="AB3370" s="110" t="s">
        <v>541</v>
      </c>
      <c r="AC3370" s="10" t="s">
        <v>541</v>
      </c>
      <c r="AD3370" s="10" t="s">
        <v>541</v>
      </c>
    </row>
    <row r="3371" spans="1:30" x14ac:dyDescent="0.2">
      <c r="A3371" s="110">
        <v>3371</v>
      </c>
      <c r="B3371" s="132">
        <v>41874</v>
      </c>
      <c r="C3371" s="117">
        <v>3</v>
      </c>
      <c r="D3371" s="142" t="s">
        <v>72</v>
      </c>
      <c r="E3371" s="142" t="s">
        <v>306</v>
      </c>
      <c r="F3371" s="103">
        <v>266</v>
      </c>
      <c r="G3371" s="103">
        <v>96</v>
      </c>
      <c r="H3371" s="142"/>
      <c r="I3371" s="103">
        <v>55</v>
      </c>
      <c r="K3371" s="142" t="s">
        <v>1032</v>
      </c>
      <c r="L3371" s="133"/>
      <c r="M3371" s="134">
        <v>4.2361111111111106E-2</v>
      </c>
      <c r="N3371" s="143" t="s">
        <v>3914</v>
      </c>
      <c r="O3371" s="144" t="s">
        <v>3932</v>
      </c>
      <c r="P3371" s="100" t="s">
        <v>4476</v>
      </c>
      <c r="Q3371" s="106" t="s">
        <v>4411</v>
      </c>
      <c r="R3371" s="226" t="s">
        <v>4421</v>
      </c>
      <c r="S3371" s="491" t="str">
        <f t="shared" si="109"/>
        <v>x</v>
      </c>
      <c r="T3371" s="492">
        <f>IFERROR(VLOOKUP(F3371,'Freq-Chan'!C:D,2,FALSE),"x")</f>
        <v>151.26599999999999</v>
      </c>
      <c r="U3371" s="110" t="s">
        <v>541</v>
      </c>
      <c r="V3371" s="110" t="str">
        <f t="shared" si="110"/>
        <v>FWL</v>
      </c>
      <c r="W3371" s="110" t="s">
        <v>541</v>
      </c>
      <c r="X3371" s="110" t="s">
        <v>541</v>
      </c>
      <c r="Y3371" s="110" t="str">
        <f>IFERROR(VLOOKUP(F3371,'Freq-Chan'!C:E,3,FALSE),"na")</f>
        <v>F1840</v>
      </c>
      <c r="Z3371" s="110" t="s">
        <v>541</v>
      </c>
      <c r="AA3371" s="110" t="s">
        <v>541</v>
      </c>
      <c r="AB3371" s="110" t="s">
        <v>541</v>
      </c>
      <c r="AC3371" s="10" t="s">
        <v>541</v>
      </c>
      <c r="AD3371" s="10" t="s">
        <v>541</v>
      </c>
    </row>
    <row r="3372" spans="1:30" x14ac:dyDescent="0.2">
      <c r="A3372" s="110">
        <v>3372</v>
      </c>
      <c r="B3372" s="132">
        <v>41874</v>
      </c>
      <c r="C3372" s="117">
        <v>3</v>
      </c>
      <c r="D3372" s="142" t="s">
        <v>72</v>
      </c>
      <c r="E3372" s="142" t="s">
        <v>306</v>
      </c>
      <c r="F3372" s="103">
        <v>266</v>
      </c>
      <c r="G3372" s="103">
        <v>31</v>
      </c>
      <c r="H3372" s="103" t="s">
        <v>3664</v>
      </c>
      <c r="I3372" s="103">
        <v>44</v>
      </c>
      <c r="K3372" s="142" t="s">
        <v>1032</v>
      </c>
      <c r="L3372" s="133"/>
      <c r="M3372" s="134">
        <v>6.458333333333334E-2</v>
      </c>
      <c r="N3372" s="135" t="s">
        <v>4420</v>
      </c>
      <c r="O3372" s="144" t="s">
        <v>3932</v>
      </c>
      <c r="P3372" s="100" t="s">
        <v>4466</v>
      </c>
      <c r="Q3372" s="106" t="s">
        <v>4411</v>
      </c>
      <c r="R3372" s="226" t="s">
        <v>4421</v>
      </c>
      <c r="S3372" s="491" t="str">
        <f t="shared" si="109"/>
        <v>x</v>
      </c>
      <c r="T3372" s="492">
        <f>IFERROR(VLOOKUP(F3372,'Freq-Chan'!C:D,2,FALSE),"x")</f>
        <v>151.26599999999999</v>
      </c>
      <c r="U3372" s="110" t="s">
        <v>541</v>
      </c>
      <c r="V3372" s="110" t="str">
        <f t="shared" si="110"/>
        <v>FWL</v>
      </c>
      <c r="W3372" s="110" t="s">
        <v>541</v>
      </c>
      <c r="X3372" s="110" t="s">
        <v>541</v>
      </c>
      <c r="Y3372" s="110" t="str">
        <f>IFERROR(VLOOKUP(F3372,'Freq-Chan'!C:E,3,FALSE),"na")</f>
        <v>F1840</v>
      </c>
      <c r="Z3372" s="110" t="s">
        <v>541</v>
      </c>
      <c r="AA3372" s="110" t="s">
        <v>541</v>
      </c>
      <c r="AB3372" s="110" t="s">
        <v>541</v>
      </c>
      <c r="AC3372" s="10" t="s">
        <v>541</v>
      </c>
      <c r="AD3372" s="10" t="s">
        <v>541</v>
      </c>
    </row>
    <row r="3373" spans="1:30" x14ac:dyDescent="0.2">
      <c r="A3373" s="110">
        <v>3373</v>
      </c>
      <c r="B3373" s="132">
        <v>41874</v>
      </c>
      <c r="C3373" s="117">
        <v>3</v>
      </c>
      <c r="D3373" s="142" t="s">
        <v>71</v>
      </c>
      <c r="E3373" s="142" t="s">
        <v>306</v>
      </c>
      <c r="H3373" s="103"/>
      <c r="I3373" s="103">
        <v>55</v>
      </c>
      <c r="K3373" s="142" t="s">
        <v>1032</v>
      </c>
      <c r="L3373" s="133"/>
      <c r="M3373" s="134">
        <v>1.3888888888888888E-2</v>
      </c>
      <c r="N3373" s="135" t="s">
        <v>2541</v>
      </c>
      <c r="O3373" s="144" t="s">
        <v>4418</v>
      </c>
      <c r="Q3373" s="106" t="s">
        <v>4411</v>
      </c>
      <c r="R3373" s="226" t="s">
        <v>4421</v>
      </c>
      <c r="S3373" s="491" t="str">
        <f t="shared" si="109"/>
        <v>x</v>
      </c>
      <c r="T3373" s="492" t="str">
        <f>IFERROR(VLOOKUP(F3373,'Freq-Chan'!C:D,2,FALSE),"x")</f>
        <v>x</v>
      </c>
      <c r="U3373" s="110" t="s">
        <v>541</v>
      </c>
      <c r="V3373" s="110" t="str">
        <f t="shared" si="110"/>
        <v>FWL</v>
      </c>
      <c r="W3373" s="110" t="s">
        <v>541</v>
      </c>
      <c r="X3373" s="110" t="s">
        <v>541</v>
      </c>
      <c r="Y3373" s="110" t="str">
        <f>IFERROR(VLOOKUP(F3373,'Freq-Chan'!C:E,3,FALSE),"na")</f>
        <v>na</v>
      </c>
      <c r="Z3373" s="110" t="s">
        <v>541</v>
      </c>
      <c r="AA3373" s="110" t="s">
        <v>541</v>
      </c>
      <c r="AB3373" s="110" t="s">
        <v>541</v>
      </c>
      <c r="AC3373" s="10" t="s">
        <v>541</v>
      </c>
      <c r="AD3373" s="10" t="s">
        <v>541</v>
      </c>
    </row>
    <row r="3374" spans="1:30" x14ac:dyDescent="0.2">
      <c r="A3374" s="110">
        <v>3374</v>
      </c>
      <c r="B3374" s="132">
        <v>41874</v>
      </c>
      <c r="C3374" s="117">
        <v>3</v>
      </c>
      <c r="D3374" s="142" t="s">
        <v>71</v>
      </c>
      <c r="E3374" s="142" t="s">
        <v>306</v>
      </c>
      <c r="H3374" s="103"/>
      <c r="I3374" s="103">
        <v>55</v>
      </c>
      <c r="K3374" s="142" t="s">
        <v>365</v>
      </c>
      <c r="L3374" s="133"/>
      <c r="M3374" s="134">
        <v>2.0833333333333332E-2</v>
      </c>
      <c r="N3374" s="135" t="s">
        <v>3906</v>
      </c>
      <c r="O3374" s="144" t="s">
        <v>4418</v>
      </c>
      <c r="Q3374" s="106" t="s">
        <v>4411</v>
      </c>
      <c r="R3374" s="226" t="s">
        <v>4421</v>
      </c>
      <c r="S3374" s="491" t="str">
        <f t="shared" si="109"/>
        <v>x</v>
      </c>
      <c r="T3374" s="492" t="str">
        <f>IFERROR(VLOOKUP(F3374,'Freq-Chan'!C:D,2,FALSE),"x")</f>
        <v>x</v>
      </c>
      <c r="U3374" s="110" t="s">
        <v>541</v>
      </c>
      <c r="V3374" s="110" t="str">
        <f t="shared" si="110"/>
        <v>FWL</v>
      </c>
      <c r="W3374" s="110" t="s">
        <v>541</v>
      </c>
      <c r="X3374" s="110" t="s">
        <v>541</v>
      </c>
      <c r="Y3374" s="110" t="str">
        <f>IFERROR(VLOOKUP(F3374,'Freq-Chan'!C:E,3,FALSE),"na")</f>
        <v>na</v>
      </c>
      <c r="Z3374" s="110" t="s">
        <v>541</v>
      </c>
      <c r="AA3374" s="110" t="s">
        <v>541</v>
      </c>
      <c r="AB3374" s="110" t="s">
        <v>541</v>
      </c>
      <c r="AC3374" s="10" t="s">
        <v>541</v>
      </c>
      <c r="AD3374" s="10" t="s">
        <v>541</v>
      </c>
    </row>
    <row r="3375" spans="1:30" x14ac:dyDescent="0.2">
      <c r="A3375" s="110">
        <v>3375</v>
      </c>
      <c r="B3375" s="132">
        <v>41874</v>
      </c>
      <c r="C3375" s="117">
        <v>3</v>
      </c>
      <c r="D3375" s="142" t="s">
        <v>8</v>
      </c>
      <c r="E3375" s="142" t="s">
        <v>306</v>
      </c>
      <c r="F3375" s="103">
        <v>586</v>
      </c>
      <c r="G3375" s="103">
        <v>9</v>
      </c>
      <c r="H3375" s="103" t="s">
        <v>2287</v>
      </c>
      <c r="I3375" s="103">
        <v>53</v>
      </c>
      <c r="K3375" s="142" t="s">
        <v>1032</v>
      </c>
      <c r="L3375" s="133"/>
      <c r="M3375" s="134">
        <v>6.3194444444444442E-2</v>
      </c>
      <c r="N3375" s="135" t="s">
        <v>4275</v>
      </c>
      <c r="O3375" s="144" t="s">
        <v>3932</v>
      </c>
      <c r="Q3375" s="106" t="s">
        <v>4411</v>
      </c>
      <c r="R3375" s="226" t="s">
        <v>4421</v>
      </c>
      <c r="S3375" s="491" t="str">
        <f t="shared" si="109"/>
        <v>x</v>
      </c>
      <c r="T3375" s="492">
        <f>IFERROR(VLOOKUP(F3375,'Freq-Chan'!C:D,2,FALSE),"x")</f>
        <v>151.58600000000001</v>
      </c>
      <c r="U3375" s="110" t="s">
        <v>541</v>
      </c>
      <c r="V3375" s="110" t="str">
        <f t="shared" si="110"/>
        <v>FWL</v>
      </c>
      <c r="W3375" s="110" t="s">
        <v>541</v>
      </c>
      <c r="X3375" s="110" t="s">
        <v>541</v>
      </c>
      <c r="Y3375" s="110" t="str">
        <f>IFERROR(VLOOKUP(F3375,'Freq-Chan'!C:E,3,FALSE),"na")</f>
        <v>F1840</v>
      </c>
      <c r="Z3375" s="110" t="s">
        <v>541</v>
      </c>
      <c r="AA3375" s="110" t="s">
        <v>541</v>
      </c>
      <c r="AB3375" s="110" t="s">
        <v>541</v>
      </c>
      <c r="AC3375" s="10" t="s">
        <v>541</v>
      </c>
      <c r="AD3375" s="10" t="s">
        <v>541</v>
      </c>
    </row>
    <row r="3376" spans="1:30" x14ac:dyDescent="0.2">
      <c r="A3376" s="110">
        <v>3376</v>
      </c>
      <c r="B3376" s="132">
        <v>41874</v>
      </c>
      <c r="C3376" s="117">
        <v>3</v>
      </c>
      <c r="D3376" s="142" t="s">
        <v>70</v>
      </c>
      <c r="E3376" s="142" t="s">
        <v>306</v>
      </c>
      <c r="H3376" s="142"/>
      <c r="I3376" s="103">
        <v>46</v>
      </c>
      <c r="K3376" s="142" t="s">
        <v>1032</v>
      </c>
      <c r="L3376" s="133"/>
      <c r="M3376" s="134">
        <v>1.5277777777777777E-2</v>
      </c>
      <c r="N3376" s="143" t="s">
        <v>3190</v>
      </c>
      <c r="O3376" s="144" t="s">
        <v>4418</v>
      </c>
      <c r="Q3376" s="106" t="s">
        <v>4411</v>
      </c>
      <c r="R3376" s="226" t="s">
        <v>4421</v>
      </c>
      <c r="S3376" s="491" t="str">
        <f t="shared" si="109"/>
        <v>x</v>
      </c>
      <c r="T3376" s="492" t="str">
        <f>IFERROR(VLOOKUP(F3376,'Freq-Chan'!C:D,2,FALSE),"x")</f>
        <v>x</v>
      </c>
      <c r="U3376" s="110" t="s">
        <v>541</v>
      </c>
      <c r="V3376" s="110" t="str">
        <f t="shared" si="110"/>
        <v>FWL</v>
      </c>
      <c r="W3376" s="110" t="s">
        <v>541</v>
      </c>
      <c r="X3376" s="110" t="s">
        <v>541</v>
      </c>
      <c r="Y3376" s="110" t="str">
        <f>IFERROR(VLOOKUP(F3376,'Freq-Chan'!C:E,3,FALSE),"na")</f>
        <v>na</v>
      </c>
      <c r="Z3376" s="110" t="s">
        <v>541</v>
      </c>
      <c r="AA3376" s="110" t="s">
        <v>541</v>
      </c>
      <c r="AB3376" s="110" t="s">
        <v>541</v>
      </c>
      <c r="AC3376" s="10" t="s">
        <v>541</v>
      </c>
      <c r="AD3376" s="10" t="s">
        <v>541</v>
      </c>
    </row>
    <row r="3377" spans="1:30" x14ac:dyDescent="0.2">
      <c r="A3377" s="110">
        <v>3377</v>
      </c>
      <c r="B3377" s="132">
        <v>41874</v>
      </c>
      <c r="C3377" s="117">
        <v>3</v>
      </c>
      <c r="D3377" s="142" t="s">
        <v>72</v>
      </c>
      <c r="E3377" s="142" t="s">
        <v>306</v>
      </c>
      <c r="F3377" s="103">
        <v>266</v>
      </c>
      <c r="G3377" s="103">
        <v>43</v>
      </c>
      <c r="H3377" s="103" t="s">
        <v>3665</v>
      </c>
      <c r="I3377" s="103">
        <v>60</v>
      </c>
      <c r="K3377" s="142" t="s">
        <v>1032</v>
      </c>
      <c r="L3377" s="133"/>
      <c r="M3377" s="134">
        <v>5.486111111111111E-2</v>
      </c>
      <c r="N3377" s="135" t="s">
        <v>878</v>
      </c>
      <c r="O3377" s="144" t="s">
        <v>3932</v>
      </c>
      <c r="P3377" s="100" t="s">
        <v>4477</v>
      </c>
      <c r="Q3377" s="106" t="s">
        <v>4411</v>
      </c>
      <c r="R3377" s="226" t="s">
        <v>4421</v>
      </c>
      <c r="S3377" s="491" t="str">
        <f t="shared" si="109"/>
        <v>x</v>
      </c>
      <c r="T3377" s="492">
        <f>IFERROR(VLOOKUP(F3377,'Freq-Chan'!C:D,2,FALSE),"x")</f>
        <v>151.26599999999999</v>
      </c>
      <c r="U3377" s="110" t="s">
        <v>541</v>
      </c>
      <c r="V3377" s="110" t="str">
        <f t="shared" si="110"/>
        <v>FWL</v>
      </c>
      <c r="W3377" s="110" t="s">
        <v>541</v>
      </c>
      <c r="X3377" s="110" t="s">
        <v>541</v>
      </c>
      <c r="Y3377" s="110" t="str">
        <f>IFERROR(VLOOKUP(F3377,'Freq-Chan'!C:E,3,FALSE),"na")</f>
        <v>F1840</v>
      </c>
      <c r="Z3377" s="110" t="s">
        <v>541</v>
      </c>
      <c r="AA3377" s="110" t="s">
        <v>541</v>
      </c>
      <c r="AB3377" s="110" t="s">
        <v>541</v>
      </c>
      <c r="AC3377" s="10" t="s">
        <v>541</v>
      </c>
      <c r="AD3377" s="10" t="s">
        <v>541</v>
      </c>
    </row>
    <row r="3378" spans="1:30" x14ac:dyDescent="0.2">
      <c r="A3378" s="110">
        <v>3378</v>
      </c>
      <c r="B3378" s="132">
        <v>41874</v>
      </c>
      <c r="C3378" s="117">
        <v>3</v>
      </c>
      <c r="D3378" s="142" t="s">
        <v>72</v>
      </c>
      <c r="E3378" s="142" t="s">
        <v>306</v>
      </c>
      <c r="F3378" s="103">
        <v>266</v>
      </c>
      <c r="G3378" s="103">
        <v>98</v>
      </c>
      <c r="H3378" s="103" t="s">
        <v>3666</v>
      </c>
      <c r="I3378" s="103">
        <v>59</v>
      </c>
      <c r="K3378" s="142" t="s">
        <v>365</v>
      </c>
      <c r="L3378" s="133"/>
      <c r="M3378" s="134">
        <v>5.9722222222222225E-2</v>
      </c>
      <c r="N3378" s="135" t="s">
        <v>3882</v>
      </c>
      <c r="O3378" s="144" t="s">
        <v>3932</v>
      </c>
      <c r="P3378" s="100" t="s">
        <v>4466</v>
      </c>
      <c r="Q3378" s="106" t="s">
        <v>4411</v>
      </c>
      <c r="R3378" s="226" t="s">
        <v>4421</v>
      </c>
      <c r="S3378" s="491" t="str">
        <f t="shared" ref="S3378:S3441" si="111">IF(IF(OR(L3378=0,N3378=0),"x",ROUND(N3378-L3378-(M3378*24)/(24*60),10))&lt;0,0,IF(OR(L3378=0,N3378=0),"x",ROUND(N3378-L3378-(M3378*24)/(24*60),10)))</f>
        <v>x</v>
      </c>
      <c r="T3378" s="492">
        <f>IFERROR(VLOOKUP(F3378,'Freq-Chan'!C:D,2,FALSE),"x")</f>
        <v>151.26599999999999</v>
      </c>
      <c r="U3378" s="110" t="s">
        <v>541</v>
      </c>
      <c r="V3378" s="110" t="str">
        <f t="shared" ref="V3378:V3441" si="112">IF(OR(C3378=1,C3378=2,C3378=3),"FWL","NRD")</f>
        <v>FWL</v>
      </c>
      <c r="W3378" s="110" t="s">
        <v>541</v>
      </c>
      <c r="X3378" s="110" t="s">
        <v>541</v>
      </c>
      <c r="Y3378" s="110" t="str">
        <f>IFERROR(VLOOKUP(F3378,'Freq-Chan'!C:E,3,FALSE),"na")</f>
        <v>F1840</v>
      </c>
      <c r="Z3378" s="110" t="s">
        <v>541</v>
      </c>
      <c r="AA3378" s="110" t="s">
        <v>541</v>
      </c>
      <c r="AB3378" s="110" t="s">
        <v>541</v>
      </c>
      <c r="AC3378" s="10" t="s">
        <v>541</v>
      </c>
      <c r="AD3378" s="10" t="s">
        <v>541</v>
      </c>
    </row>
    <row r="3379" spans="1:30" x14ac:dyDescent="0.2">
      <c r="A3379" s="110">
        <v>3379</v>
      </c>
      <c r="B3379" s="132">
        <v>41874</v>
      </c>
      <c r="C3379" s="117">
        <v>3</v>
      </c>
      <c r="D3379" s="142" t="s">
        <v>71</v>
      </c>
      <c r="E3379" s="142" t="s">
        <v>306</v>
      </c>
      <c r="H3379" s="103"/>
      <c r="I3379" s="103">
        <v>56</v>
      </c>
      <c r="K3379" s="142" t="s">
        <v>365</v>
      </c>
      <c r="L3379" s="133"/>
      <c r="M3379" s="134">
        <v>1.5972222222222224E-2</v>
      </c>
      <c r="N3379" s="135" t="s">
        <v>879</v>
      </c>
      <c r="O3379" s="144" t="s">
        <v>4418</v>
      </c>
      <c r="Q3379" s="106" t="s">
        <v>4411</v>
      </c>
      <c r="R3379" s="226" t="s">
        <v>4421</v>
      </c>
      <c r="S3379" s="491" t="str">
        <f t="shared" si="111"/>
        <v>x</v>
      </c>
      <c r="T3379" s="492" t="str">
        <f>IFERROR(VLOOKUP(F3379,'Freq-Chan'!C:D,2,FALSE),"x")</f>
        <v>x</v>
      </c>
      <c r="U3379" s="110" t="s">
        <v>541</v>
      </c>
      <c r="V3379" s="110" t="str">
        <f t="shared" si="112"/>
        <v>FWL</v>
      </c>
      <c r="W3379" s="110" t="s">
        <v>541</v>
      </c>
      <c r="X3379" s="110" t="s">
        <v>541</v>
      </c>
      <c r="Y3379" s="110" t="str">
        <f>IFERROR(VLOOKUP(F3379,'Freq-Chan'!C:E,3,FALSE),"na")</f>
        <v>na</v>
      </c>
      <c r="Z3379" s="110" t="s">
        <v>541</v>
      </c>
      <c r="AA3379" s="110" t="s">
        <v>541</v>
      </c>
      <c r="AB3379" s="110" t="s">
        <v>541</v>
      </c>
      <c r="AC3379" s="10" t="s">
        <v>541</v>
      </c>
      <c r="AD3379" s="10" t="s">
        <v>541</v>
      </c>
    </row>
    <row r="3380" spans="1:30" x14ac:dyDescent="0.2">
      <c r="A3380" s="110">
        <v>3380</v>
      </c>
      <c r="B3380" s="132">
        <v>41874</v>
      </c>
      <c r="C3380" s="117">
        <v>3</v>
      </c>
      <c r="D3380" s="142" t="s">
        <v>71</v>
      </c>
      <c r="E3380" s="142" t="s">
        <v>306</v>
      </c>
      <c r="H3380" s="103"/>
      <c r="I3380" s="103">
        <v>55</v>
      </c>
      <c r="K3380" s="142" t="s">
        <v>1032</v>
      </c>
      <c r="L3380" s="133"/>
      <c r="M3380" s="134">
        <v>2.013888888888889E-2</v>
      </c>
      <c r="N3380" s="135" t="s">
        <v>1580</v>
      </c>
      <c r="O3380" s="144" t="s">
        <v>4418</v>
      </c>
      <c r="Q3380" s="106" t="s">
        <v>4411</v>
      </c>
      <c r="R3380" s="226" t="s">
        <v>4421</v>
      </c>
      <c r="S3380" s="491" t="str">
        <f t="shared" si="111"/>
        <v>x</v>
      </c>
      <c r="T3380" s="492" t="str">
        <f>IFERROR(VLOOKUP(F3380,'Freq-Chan'!C:D,2,FALSE),"x")</f>
        <v>x</v>
      </c>
      <c r="U3380" s="110" t="s">
        <v>541</v>
      </c>
      <c r="V3380" s="110" t="str">
        <f t="shared" si="112"/>
        <v>FWL</v>
      </c>
      <c r="W3380" s="110" t="s">
        <v>541</v>
      </c>
      <c r="X3380" s="110" t="s">
        <v>541</v>
      </c>
      <c r="Y3380" s="110" t="str">
        <f>IFERROR(VLOOKUP(F3380,'Freq-Chan'!C:E,3,FALSE),"na")</f>
        <v>na</v>
      </c>
      <c r="Z3380" s="110" t="s">
        <v>541</v>
      </c>
      <c r="AA3380" s="110" t="s">
        <v>541</v>
      </c>
      <c r="AB3380" s="110" t="s">
        <v>541</v>
      </c>
      <c r="AC3380" s="10" t="s">
        <v>541</v>
      </c>
      <c r="AD3380" s="10" t="s">
        <v>541</v>
      </c>
    </row>
    <row r="3381" spans="1:30" x14ac:dyDescent="0.2">
      <c r="A3381" s="110">
        <v>3381</v>
      </c>
      <c r="B3381" s="132">
        <v>41874</v>
      </c>
      <c r="C3381" s="117">
        <v>3</v>
      </c>
      <c r="D3381" s="142" t="s">
        <v>72</v>
      </c>
      <c r="E3381" s="142" t="s">
        <v>306</v>
      </c>
      <c r="H3381" s="103"/>
      <c r="I3381" s="103">
        <v>54</v>
      </c>
      <c r="K3381" s="142" t="s">
        <v>365</v>
      </c>
      <c r="L3381" s="133"/>
      <c r="M3381" s="134">
        <v>1.6666666666666666E-2</v>
      </c>
      <c r="N3381" s="135" t="s">
        <v>3313</v>
      </c>
      <c r="O3381" s="144" t="s">
        <v>4418</v>
      </c>
      <c r="Q3381" s="106" t="s">
        <v>4411</v>
      </c>
      <c r="R3381" s="226" t="s">
        <v>4421</v>
      </c>
      <c r="S3381" s="491" t="str">
        <f t="shared" si="111"/>
        <v>x</v>
      </c>
      <c r="T3381" s="492" t="str">
        <f>IFERROR(VLOOKUP(F3381,'Freq-Chan'!C:D,2,FALSE),"x")</f>
        <v>x</v>
      </c>
      <c r="U3381" s="110" t="s">
        <v>541</v>
      </c>
      <c r="V3381" s="110" t="str">
        <f t="shared" si="112"/>
        <v>FWL</v>
      </c>
      <c r="W3381" s="110" t="s">
        <v>541</v>
      </c>
      <c r="X3381" s="110" t="s">
        <v>541</v>
      </c>
      <c r="Y3381" s="110" t="str">
        <f>IFERROR(VLOOKUP(F3381,'Freq-Chan'!C:E,3,FALSE),"na")</f>
        <v>na</v>
      </c>
      <c r="Z3381" s="110" t="s">
        <v>541</v>
      </c>
      <c r="AA3381" s="110" t="s">
        <v>541</v>
      </c>
      <c r="AB3381" s="110" t="s">
        <v>541</v>
      </c>
      <c r="AC3381" s="10" t="s">
        <v>541</v>
      </c>
      <c r="AD3381" s="10" t="s">
        <v>541</v>
      </c>
    </row>
    <row r="3382" spans="1:30" x14ac:dyDescent="0.2">
      <c r="A3382" s="110">
        <v>3382</v>
      </c>
      <c r="B3382" s="132">
        <v>41874</v>
      </c>
      <c r="C3382" s="117">
        <v>3</v>
      </c>
      <c r="D3382" s="142" t="s">
        <v>72</v>
      </c>
      <c r="E3382" s="142" t="s">
        <v>306</v>
      </c>
      <c r="H3382" s="103"/>
      <c r="I3382" s="103">
        <v>57</v>
      </c>
      <c r="K3382" s="142" t="s">
        <v>1032</v>
      </c>
      <c r="L3382" s="133"/>
      <c r="M3382" s="134">
        <v>2.6388888888888889E-2</v>
      </c>
      <c r="N3382" s="135" t="s">
        <v>849</v>
      </c>
      <c r="O3382" s="144" t="s">
        <v>4418</v>
      </c>
      <c r="Q3382" s="106" t="s">
        <v>4411</v>
      </c>
      <c r="R3382" s="226" t="s">
        <v>4421</v>
      </c>
      <c r="S3382" s="491" t="str">
        <f t="shared" si="111"/>
        <v>x</v>
      </c>
      <c r="T3382" s="492" t="str">
        <f>IFERROR(VLOOKUP(F3382,'Freq-Chan'!C:D,2,FALSE),"x")</f>
        <v>x</v>
      </c>
      <c r="U3382" s="110" t="s">
        <v>541</v>
      </c>
      <c r="V3382" s="110" t="str">
        <f t="shared" si="112"/>
        <v>FWL</v>
      </c>
      <c r="W3382" s="110" t="s">
        <v>541</v>
      </c>
      <c r="X3382" s="110" t="s">
        <v>541</v>
      </c>
      <c r="Y3382" s="110" t="str">
        <f>IFERROR(VLOOKUP(F3382,'Freq-Chan'!C:E,3,FALSE),"na")</f>
        <v>na</v>
      </c>
      <c r="Z3382" s="110" t="s">
        <v>541</v>
      </c>
      <c r="AA3382" s="110" t="s">
        <v>541</v>
      </c>
      <c r="AB3382" s="110" t="s">
        <v>541</v>
      </c>
      <c r="AC3382" s="10" t="s">
        <v>541</v>
      </c>
      <c r="AD3382" s="10" t="s">
        <v>541</v>
      </c>
    </row>
    <row r="3383" spans="1:30" x14ac:dyDescent="0.2">
      <c r="A3383" s="110">
        <v>3383</v>
      </c>
      <c r="B3383" s="132">
        <v>41874</v>
      </c>
      <c r="C3383" s="117">
        <v>3</v>
      </c>
      <c r="D3383" s="142" t="s">
        <v>72</v>
      </c>
      <c r="E3383" s="142" t="s">
        <v>306</v>
      </c>
      <c r="H3383" s="103"/>
      <c r="I3383" s="103">
        <v>59</v>
      </c>
      <c r="K3383" s="142" t="s">
        <v>365</v>
      </c>
      <c r="L3383" s="133"/>
      <c r="M3383" s="134">
        <v>1.7361111111111112E-2</v>
      </c>
      <c r="N3383" s="135" t="s">
        <v>2538</v>
      </c>
      <c r="O3383" s="144" t="s">
        <v>4418</v>
      </c>
      <c r="Q3383" s="106" t="s">
        <v>4411</v>
      </c>
      <c r="R3383" s="226" t="s">
        <v>4421</v>
      </c>
      <c r="S3383" s="491" t="str">
        <f t="shared" si="111"/>
        <v>x</v>
      </c>
      <c r="T3383" s="492" t="str">
        <f>IFERROR(VLOOKUP(F3383,'Freq-Chan'!C:D,2,FALSE),"x")</f>
        <v>x</v>
      </c>
      <c r="U3383" s="110" t="s">
        <v>541</v>
      </c>
      <c r="V3383" s="110" t="str">
        <f t="shared" si="112"/>
        <v>FWL</v>
      </c>
      <c r="W3383" s="110" t="s">
        <v>541</v>
      </c>
      <c r="X3383" s="110" t="s">
        <v>541</v>
      </c>
      <c r="Y3383" s="110" t="str">
        <f>IFERROR(VLOOKUP(F3383,'Freq-Chan'!C:E,3,FALSE),"na")</f>
        <v>na</v>
      </c>
      <c r="Z3383" s="110" t="s">
        <v>541</v>
      </c>
      <c r="AA3383" s="110" t="s">
        <v>541</v>
      </c>
      <c r="AB3383" s="110" t="s">
        <v>541</v>
      </c>
      <c r="AC3383" s="10" t="s">
        <v>541</v>
      </c>
      <c r="AD3383" s="10" t="s">
        <v>541</v>
      </c>
    </row>
    <row r="3384" spans="1:30" x14ac:dyDescent="0.2">
      <c r="A3384" s="110">
        <v>3384</v>
      </c>
      <c r="B3384" s="132">
        <v>41874</v>
      </c>
      <c r="C3384" s="117">
        <v>3</v>
      </c>
      <c r="D3384" s="142" t="s">
        <v>72</v>
      </c>
      <c r="E3384" s="142" t="s">
        <v>306</v>
      </c>
      <c r="H3384" s="103"/>
      <c r="I3384" s="103">
        <v>58</v>
      </c>
      <c r="K3384" s="142" t="s">
        <v>365</v>
      </c>
      <c r="L3384" s="133"/>
      <c r="M3384" s="134">
        <v>1.8055555555555557E-2</v>
      </c>
      <c r="N3384" s="135" t="s">
        <v>2932</v>
      </c>
      <c r="O3384" s="144" t="s">
        <v>4418</v>
      </c>
      <c r="Q3384" s="106" t="s">
        <v>4411</v>
      </c>
      <c r="R3384" s="226" t="s">
        <v>4421</v>
      </c>
      <c r="S3384" s="491" t="str">
        <f t="shared" si="111"/>
        <v>x</v>
      </c>
      <c r="T3384" s="492" t="str">
        <f>IFERROR(VLOOKUP(F3384,'Freq-Chan'!C:D,2,FALSE),"x")</f>
        <v>x</v>
      </c>
      <c r="U3384" s="110" t="s">
        <v>541</v>
      </c>
      <c r="V3384" s="110" t="str">
        <f t="shared" si="112"/>
        <v>FWL</v>
      </c>
      <c r="W3384" s="110" t="s">
        <v>541</v>
      </c>
      <c r="X3384" s="110" t="s">
        <v>541</v>
      </c>
      <c r="Y3384" s="110" t="str">
        <f>IFERROR(VLOOKUP(F3384,'Freq-Chan'!C:E,3,FALSE),"na")</f>
        <v>na</v>
      </c>
      <c r="Z3384" s="110" t="s">
        <v>541</v>
      </c>
      <c r="AA3384" s="110" t="s">
        <v>541</v>
      </c>
      <c r="AB3384" s="110" t="s">
        <v>541</v>
      </c>
      <c r="AC3384" s="10" t="s">
        <v>541</v>
      </c>
      <c r="AD3384" s="10" t="s">
        <v>541</v>
      </c>
    </row>
    <row r="3385" spans="1:30" x14ac:dyDescent="0.2">
      <c r="A3385" s="110">
        <v>3385</v>
      </c>
      <c r="B3385" s="132">
        <v>41874</v>
      </c>
      <c r="C3385" s="117">
        <v>3</v>
      </c>
      <c r="D3385" s="142" t="s">
        <v>72</v>
      </c>
      <c r="E3385" s="142" t="s">
        <v>306</v>
      </c>
      <c r="H3385" s="103"/>
      <c r="I3385" s="103">
        <v>65</v>
      </c>
      <c r="K3385" s="142" t="s">
        <v>1032</v>
      </c>
      <c r="L3385" s="133"/>
      <c r="M3385" s="134">
        <v>2.7083333333333334E-2</v>
      </c>
      <c r="N3385" s="135" t="s">
        <v>3166</v>
      </c>
      <c r="O3385" s="144" t="s">
        <v>4418</v>
      </c>
      <c r="Q3385" s="106" t="s">
        <v>4411</v>
      </c>
      <c r="R3385" s="226" t="s">
        <v>4421</v>
      </c>
      <c r="S3385" s="491" t="str">
        <f t="shared" si="111"/>
        <v>x</v>
      </c>
      <c r="T3385" s="492" t="str">
        <f>IFERROR(VLOOKUP(F3385,'Freq-Chan'!C:D,2,FALSE),"x")</f>
        <v>x</v>
      </c>
      <c r="U3385" s="110" t="s">
        <v>541</v>
      </c>
      <c r="V3385" s="110" t="str">
        <f t="shared" si="112"/>
        <v>FWL</v>
      </c>
      <c r="W3385" s="110" t="s">
        <v>541</v>
      </c>
      <c r="X3385" s="110" t="s">
        <v>541</v>
      </c>
      <c r="Y3385" s="110" t="str">
        <f>IFERROR(VLOOKUP(F3385,'Freq-Chan'!C:E,3,FALSE),"na")</f>
        <v>na</v>
      </c>
      <c r="Z3385" s="110" t="s">
        <v>541</v>
      </c>
      <c r="AA3385" s="110" t="s">
        <v>541</v>
      </c>
      <c r="AB3385" s="110" t="s">
        <v>541</v>
      </c>
      <c r="AC3385" s="10" t="s">
        <v>541</v>
      </c>
      <c r="AD3385" s="10" t="s">
        <v>541</v>
      </c>
    </row>
    <row r="3386" spans="1:30" x14ac:dyDescent="0.2">
      <c r="A3386" s="110">
        <v>3386</v>
      </c>
      <c r="B3386" s="132">
        <v>41874</v>
      </c>
      <c r="C3386" s="117">
        <v>3</v>
      </c>
      <c r="D3386" s="142" t="s">
        <v>72</v>
      </c>
      <c r="E3386" s="142" t="s">
        <v>306</v>
      </c>
      <c r="H3386" s="142"/>
      <c r="I3386" s="103">
        <v>57</v>
      </c>
      <c r="K3386" s="142" t="s">
        <v>365</v>
      </c>
      <c r="L3386" s="133"/>
      <c r="M3386" s="134">
        <v>1.8749999999999999E-2</v>
      </c>
      <c r="N3386" s="143" t="s">
        <v>3340</v>
      </c>
      <c r="O3386" s="144" t="s">
        <v>4418</v>
      </c>
      <c r="Q3386" s="106" t="s">
        <v>4411</v>
      </c>
      <c r="R3386" s="226" t="s">
        <v>4421</v>
      </c>
      <c r="S3386" s="491" t="str">
        <f t="shared" si="111"/>
        <v>x</v>
      </c>
      <c r="T3386" s="492" t="str">
        <f>IFERROR(VLOOKUP(F3386,'Freq-Chan'!C:D,2,FALSE),"x")</f>
        <v>x</v>
      </c>
      <c r="U3386" s="110" t="s">
        <v>541</v>
      </c>
      <c r="V3386" s="110" t="str">
        <f t="shared" si="112"/>
        <v>FWL</v>
      </c>
      <c r="W3386" s="110" t="s">
        <v>541</v>
      </c>
      <c r="X3386" s="110" t="s">
        <v>541</v>
      </c>
      <c r="Y3386" s="110" t="str">
        <f>IFERROR(VLOOKUP(F3386,'Freq-Chan'!C:E,3,FALSE),"na")</f>
        <v>na</v>
      </c>
      <c r="Z3386" s="110" t="s">
        <v>541</v>
      </c>
      <c r="AA3386" s="110" t="s">
        <v>541</v>
      </c>
      <c r="AB3386" s="110" t="s">
        <v>541</v>
      </c>
      <c r="AC3386" s="10" t="s">
        <v>541</v>
      </c>
      <c r="AD3386" s="10" t="s">
        <v>541</v>
      </c>
    </row>
    <row r="3387" spans="1:30" x14ac:dyDescent="0.2">
      <c r="A3387" s="110">
        <v>3387</v>
      </c>
      <c r="B3387" s="132">
        <v>41874</v>
      </c>
      <c r="C3387" s="117">
        <v>3</v>
      </c>
      <c r="D3387" s="142" t="s">
        <v>71</v>
      </c>
      <c r="E3387" s="142" t="s">
        <v>306</v>
      </c>
      <c r="H3387" s="103"/>
      <c r="I3387" s="103">
        <v>57</v>
      </c>
      <c r="K3387" s="142" t="s">
        <v>1032</v>
      </c>
      <c r="L3387" s="133"/>
      <c r="M3387" s="134">
        <v>1.5972222222222224E-2</v>
      </c>
      <c r="N3387" s="135" t="s">
        <v>1854</v>
      </c>
      <c r="O3387" s="144" t="s">
        <v>4418</v>
      </c>
      <c r="Q3387" s="106" t="s">
        <v>4411</v>
      </c>
      <c r="R3387" s="226" t="s">
        <v>4421</v>
      </c>
      <c r="S3387" s="491" t="str">
        <f t="shared" si="111"/>
        <v>x</v>
      </c>
      <c r="T3387" s="492" t="str">
        <f>IFERROR(VLOOKUP(F3387,'Freq-Chan'!C:D,2,FALSE),"x")</f>
        <v>x</v>
      </c>
      <c r="U3387" s="110" t="s">
        <v>541</v>
      </c>
      <c r="V3387" s="110" t="str">
        <f t="shared" si="112"/>
        <v>FWL</v>
      </c>
      <c r="W3387" s="110" t="s">
        <v>541</v>
      </c>
      <c r="X3387" s="110" t="s">
        <v>541</v>
      </c>
      <c r="Y3387" s="110" t="str">
        <f>IFERROR(VLOOKUP(F3387,'Freq-Chan'!C:E,3,FALSE),"na")</f>
        <v>na</v>
      </c>
      <c r="Z3387" s="110" t="s">
        <v>541</v>
      </c>
      <c r="AA3387" s="110" t="s">
        <v>541</v>
      </c>
      <c r="AB3387" s="110" t="s">
        <v>541</v>
      </c>
      <c r="AC3387" s="10" t="s">
        <v>541</v>
      </c>
      <c r="AD3387" s="10" t="s">
        <v>541</v>
      </c>
    </row>
    <row r="3388" spans="1:30" x14ac:dyDescent="0.2">
      <c r="A3388" s="110">
        <v>3388</v>
      </c>
      <c r="B3388" s="132">
        <v>41874</v>
      </c>
      <c r="C3388" s="117">
        <v>3</v>
      </c>
      <c r="D3388" s="142" t="s">
        <v>70</v>
      </c>
      <c r="E3388" s="142" t="s">
        <v>306</v>
      </c>
      <c r="H3388" s="103"/>
      <c r="I3388" s="103">
        <v>40</v>
      </c>
      <c r="K3388" s="142" t="s">
        <v>1032</v>
      </c>
      <c r="L3388" s="133"/>
      <c r="M3388" s="134">
        <v>1.5277777777777777E-2</v>
      </c>
      <c r="N3388" s="135" t="s">
        <v>2539</v>
      </c>
      <c r="O3388" s="144" t="s">
        <v>4418</v>
      </c>
      <c r="Q3388" s="106" t="s">
        <v>4411</v>
      </c>
      <c r="R3388" s="226" t="s">
        <v>4421</v>
      </c>
      <c r="S3388" s="491" t="str">
        <f t="shared" si="111"/>
        <v>x</v>
      </c>
      <c r="T3388" s="492" t="str">
        <f>IFERROR(VLOOKUP(F3388,'Freq-Chan'!C:D,2,FALSE),"x")</f>
        <v>x</v>
      </c>
      <c r="U3388" s="110" t="s">
        <v>541</v>
      </c>
      <c r="V3388" s="110" t="str">
        <f t="shared" si="112"/>
        <v>FWL</v>
      </c>
      <c r="W3388" s="110" t="s">
        <v>541</v>
      </c>
      <c r="X3388" s="110" t="s">
        <v>541</v>
      </c>
      <c r="Y3388" s="110" t="str">
        <f>IFERROR(VLOOKUP(F3388,'Freq-Chan'!C:E,3,FALSE),"na")</f>
        <v>na</v>
      </c>
      <c r="Z3388" s="110" t="s">
        <v>541</v>
      </c>
      <c r="AA3388" s="110" t="s">
        <v>541</v>
      </c>
      <c r="AB3388" s="110" t="s">
        <v>541</v>
      </c>
      <c r="AC3388" s="10" t="s">
        <v>541</v>
      </c>
      <c r="AD3388" s="10" t="s">
        <v>541</v>
      </c>
    </row>
    <row r="3389" spans="1:30" s="291" customFormat="1" x14ac:dyDescent="0.2">
      <c r="A3389" s="493">
        <v>3389</v>
      </c>
      <c r="B3389" s="283">
        <v>41874</v>
      </c>
      <c r="C3389" s="284">
        <v>3</v>
      </c>
      <c r="D3389" s="396" t="s">
        <v>72</v>
      </c>
      <c r="E3389" s="396" t="s">
        <v>306</v>
      </c>
      <c r="F3389" s="285"/>
      <c r="G3389" s="285"/>
      <c r="H3389" s="285"/>
      <c r="I3389" s="285">
        <v>60</v>
      </c>
      <c r="J3389" s="285"/>
      <c r="K3389" s="396" t="s">
        <v>1032</v>
      </c>
      <c r="L3389" s="286"/>
      <c r="M3389" s="287">
        <v>1.6666666666666666E-2</v>
      </c>
      <c r="N3389" s="288" t="s">
        <v>2787</v>
      </c>
      <c r="O3389" s="397" t="s">
        <v>4418</v>
      </c>
      <c r="P3389" s="289"/>
      <c r="Q3389" s="395" t="s">
        <v>4411</v>
      </c>
      <c r="R3389" s="290" t="s">
        <v>4421</v>
      </c>
      <c r="S3389" s="494" t="str">
        <f t="shared" si="111"/>
        <v>x</v>
      </c>
      <c r="T3389" s="495" t="str">
        <f>IFERROR(VLOOKUP(F3389,'Freq-Chan'!C:D,2,FALSE),"x")</f>
        <v>x</v>
      </c>
      <c r="U3389" s="493" t="s">
        <v>541</v>
      </c>
      <c r="V3389" s="493" t="str">
        <f t="shared" si="112"/>
        <v>FWL</v>
      </c>
      <c r="W3389" s="493" t="s">
        <v>541</v>
      </c>
      <c r="X3389" s="493" t="s">
        <v>541</v>
      </c>
      <c r="Y3389" s="493" t="str">
        <f>IFERROR(VLOOKUP(F3389,'Freq-Chan'!C:E,3,FALSE),"na")</f>
        <v>na</v>
      </c>
      <c r="Z3389" s="493" t="s">
        <v>541</v>
      </c>
      <c r="AA3389" s="493" t="s">
        <v>541</v>
      </c>
      <c r="AB3389" s="493" t="s">
        <v>541</v>
      </c>
      <c r="AC3389" s="291" t="s">
        <v>541</v>
      </c>
      <c r="AD3389" s="291" t="s">
        <v>541</v>
      </c>
    </row>
    <row r="3390" spans="1:30" x14ac:dyDescent="0.2">
      <c r="A3390" s="110">
        <v>3390</v>
      </c>
      <c r="B3390" s="132">
        <v>41875</v>
      </c>
      <c r="C3390" s="117">
        <v>1</v>
      </c>
      <c r="D3390" s="142" t="s">
        <v>71</v>
      </c>
      <c r="E3390" s="142" t="s">
        <v>306</v>
      </c>
      <c r="H3390" s="142"/>
      <c r="I3390" s="103">
        <v>56</v>
      </c>
      <c r="K3390" s="142" t="s">
        <v>365</v>
      </c>
      <c r="L3390" s="133"/>
      <c r="M3390" s="134">
        <v>1.3888888888888888E-2</v>
      </c>
      <c r="N3390" s="143" t="s">
        <v>2934</v>
      </c>
      <c r="O3390" s="144" t="s">
        <v>3932</v>
      </c>
      <c r="Q3390" s="106" t="s">
        <v>4428</v>
      </c>
      <c r="R3390" s="226" t="s">
        <v>4439</v>
      </c>
      <c r="S3390" s="491" t="str">
        <f t="shared" si="111"/>
        <v>x</v>
      </c>
      <c r="T3390" s="492" t="str">
        <f>IFERROR(VLOOKUP(F3390,'Freq-Chan'!C:D,2,FALSE),"x")</f>
        <v>x</v>
      </c>
      <c r="U3390" s="110" t="s">
        <v>541</v>
      </c>
      <c r="V3390" s="110" t="str">
        <f t="shared" si="112"/>
        <v>FWL</v>
      </c>
      <c r="W3390" s="110" t="s">
        <v>541</v>
      </c>
      <c r="X3390" s="110" t="s">
        <v>541</v>
      </c>
      <c r="Y3390" s="110" t="str">
        <f>IFERROR(VLOOKUP(F3390,'Freq-Chan'!C:E,3,FALSE),"na")</f>
        <v>na</v>
      </c>
      <c r="Z3390" s="110" t="s">
        <v>541</v>
      </c>
      <c r="AA3390" s="110" t="s">
        <v>541</v>
      </c>
      <c r="AB3390" s="110" t="s">
        <v>541</v>
      </c>
      <c r="AC3390" s="10" t="s">
        <v>541</v>
      </c>
      <c r="AD3390" s="10" t="s">
        <v>541</v>
      </c>
    </row>
    <row r="3391" spans="1:30" x14ac:dyDescent="0.2">
      <c r="A3391" s="110">
        <v>3391</v>
      </c>
      <c r="B3391" s="132">
        <v>41875</v>
      </c>
      <c r="C3391" s="103">
        <v>1</v>
      </c>
      <c r="D3391" s="142" t="s">
        <v>71</v>
      </c>
      <c r="E3391" s="142" t="s">
        <v>306</v>
      </c>
      <c r="H3391" s="103"/>
      <c r="I3391" s="103">
        <v>59</v>
      </c>
      <c r="K3391" s="142" t="s">
        <v>365</v>
      </c>
      <c r="M3391" s="134">
        <v>1.4583333333333332E-2</v>
      </c>
      <c r="N3391" s="137" t="s">
        <v>3386</v>
      </c>
      <c r="O3391" s="142" t="s">
        <v>3932</v>
      </c>
      <c r="Q3391" s="106" t="s">
        <v>4428</v>
      </c>
      <c r="R3391" s="226" t="s">
        <v>4439</v>
      </c>
      <c r="S3391" s="509" t="str">
        <f t="shared" si="111"/>
        <v>x</v>
      </c>
      <c r="T3391" s="492" t="str">
        <f>IFERROR(VLOOKUP(F3391,'Freq-Chan'!C:D,2,FALSE),"x")</f>
        <v>x</v>
      </c>
      <c r="U3391" s="110" t="s">
        <v>541</v>
      </c>
      <c r="V3391" s="110" t="str">
        <f t="shared" si="112"/>
        <v>FWL</v>
      </c>
      <c r="W3391" s="110" t="s">
        <v>541</v>
      </c>
      <c r="X3391" s="110" t="s">
        <v>541</v>
      </c>
      <c r="Y3391" s="110" t="str">
        <f>IFERROR(VLOOKUP(F3391,'Freq-Chan'!C:E,3,FALSE),"na")</f>
        <v>na</v>
      </c>
      <c r="Z3391" s="110" t="s">
        <v>541</v>
      </c>
      <c r="AA3391" s="110" t="s">
        <v>541</v>
      </c>
      <c r="AB3391" s="110" t="s">
        <v>541</v>
      </c>
      <c r="AC3391" s="10" t="s">
        <v>541</v>
      </c>
      <c r="AD3391" s="10" t="s">
        <v>541</v>
      </c>
    </row>
    <row r="3392" spans="1:30" x14ac:dyDescent="0.2">
      <c r="A3392" s="110">
        <v>3392</v>
      </c>
      <c r="B3392" s="132">
        <v>41875</v>
      </c>
      <c r="C3392" s="103">
        <v>1</v>
      </c>
      <c r="D3392" s="142" t="s">
        <v>71</v>
      </c>
      <c r="E3392" s="142" t="s">
        <v>306</v>
      </c>
      <c r="H3392" s="103"/>
      <c r="I3392" s="103">
        <v>57</v>
      </c>
      <c r="K3392" s="142" t="s">
        <v>1032</v>
      </c>
      <c r="M3392" s="134">
        <v>1.5277777777777777E-2</v>
      </c>
      <c r="N3392" s="137" t="s">
        <v>3730</v>
      </c>
      <c r="O3392" s="142" t="s">
        <v>3932</v>
      </c>
      <c r="Q3392" s="106" t="s">
        <v>4428</v>
      </c>
      <c r="R3392" s="226" t="s">
        <v>4439</v>
      </c>
      <c r="S3392" s="509" t="str">
        <f t="shared" si="111"/>
        <v>x</v>
      </c>
      <c r="T3392" s="492" t="str">
        <f>IFERROR(VLOOKUP(F3392,'Freq-Chan'!C:D,2,FALSE),"x")</f>
        <v>x</v>
      </c>
      <c r="U3392" s="110" t="s">
        <v>541</v>
      </c>
      <c r="V3392" s="110" t="str">
        <f t="shared" si="112"/>
        <v>FWL</v>
      </c>
      <c r="W3392" s="110" t="s">
        <v>541</v>
      </c>
      <c r="X3392" s="110" t="s">
        <v>541</v>
      </c>
      <c r="Y3392" s="110" t="str">
        <f>IFERROR(VLOOKUP(F3392,'Freq-Chan'!C:E,3,FALSE),"na")</f>
        <v>na</v>
      </c>
      <c r="Z3392" s="110" t="s">
        <v>541</v>
      </c>
      <c r="AA3392" s="110" t="s">
        <v>541</v>
      </c>
      <c r="AB3392" s="110" t="s">
        <v>541</v>
      </c>
      <c r="AC3392" s="10" t="s">
        <v>541</v>
      </c>
      <c r="AD3392" s="10" t="s">
        <v>541</v>
      </c>
    </row>
    <row r="3393" spans="1:30" x14ac:dyDescent="0.2">
      <c r="A3393" s="110">
        <v>3393</v>
      </c>
      <c r="B3393" s="132">
        <v>41875</v>
      </c>
      <c r="C3393" s="103">
        <v>1</v>
      </c>
      <c r="D3393" s="142" t="s">
        <v>71</v>
      </c>
      <c r="E3393" s="142" t="s">
        <v>306</v>
      </c>
      <c r="H3393" s="103"/>
      <c r="I3393" s="103">
        <v>52</v>
      </c>
      <c r="K3393" s="142" t="s">
        <v>365</v>
      </c>
      <c r="M3393" s="134">
        <v>1.9444444444444445E-2</v>
      </c>
      <c r="N3393" s="137" t="s">
        <v>3927</v>
      </c>
      <c r="O3393" s="142" t="s">
        <v>3932</v>
      </c>
      <c r="Q3393" s="106" t="s">
        <v>4428</v>
      </c>
      <c r="R3393" s="226" t="s">
        <v>4439</v>
      </c>
      <c r="S3393" s="509" t="str">
        <f t="shared" si="111"/>
        <v>x</v>
      </c>
      <c r="T3393" s="492" t="str">
        <f>IFERROR(VLOOKUP(F3393,'Freq-Chan'!C:D,2,FALSE),"x")</f>
        <v>x</v>
      </c>
      <c r="U3393" s="110" t="s">
        <v>541</v>
      </c>
      <c r="V3393" s="110" t="str">
        <f t="shared" si="112"/>
        <v>FWL</v>
      </c>
      <c r="W3393" s="110" t="s">
        <v>541</v>
      </c>
      <c r="X3393" s="110" t="s">
        <v>541</v>
      </c>
      <c r="Y3393" s="110" t="str">
        <f>IFERROR(VLOOKUP(F3393,'Freq-Chan'!C:E,3,FALSE),"na")</f>
        <v>na</v>
      </c>
      <c r="Z3393" s="110" t="s">
        <v>541</v>
      </c>
      <c r="AA3393" s="110" t="s">
        <v>541</v>
      </c>
      <c r="AB3393" s="110" t="s">
        <v>541</v>
      </c>
      <c r="AC3393" s="10" t="s">
        <v>541</v>
      </c>
      <c r="AD3393" s="10" t="s">
        <v>541</v>
      </c>
    </row>
    <row r="3394" spans="1:30" x14ac:dyDescent="0.2">
      <c r="A3394" s="110">
        <v>3394</v>
      </c>
      <c r="B3394" s="132">
        <v>41875</v>
      </c>
      <c r="C3394" s="103">
        <v>1</v>
      </c>
      <c r="D3394" s="142" t="s">
        <v>71</v>
      </c>
      <c r="E3394" s="142" t="s">
        <v>306</v>
      </c>
      <c r="H3394" s="103"/>
      <c r="I3394" s="103">
        <v>59</v>
      </c>
      <c r="K3394" s="142" t="s">
        <v>365</v>
      </c>
      <c r="M3394" s="134">
        <v>1.8055555555555557E-2</v>
      </c>
      <c r="N3394" s="137" t="s">
        <v>901</v>
      </c>
      <c r="O3394" s="142" t="s">
        <v>3932</v>
      </c>
      <c r="Q3394" s="106" t="s">
        <v>4428</v>
      </c>
      <c r="R3394" s="226" t="s">
        <v>4439</v>
      </c>
      <c r="S3394" s="509" t="str">
        <f t="shared" si="111"/>
        <v>x</v>
      </c>
      <c r="T3394" s="492" t="str">
        <f>IFERROR(VLOOKUP(F3394,'Freq-Chan'!C:D,2,FALSE),"x")</f>
        <v>x</v>
      </c>
      <c r="U3394" s="110" t="s">
        <v>541</v>
      </c>
      <c r="V3394" s="110" t="str">
        <f t="shared" si="112"/>
        <v>FWL</v>
      </c>
      <c r="W3394" s="110" t="s">
        <v>541</v>
      </c>
      <c r="X3394" s="110" t="s">
        <v>541</v>
      </c>
      <c r="Y3394" s="110" t="str">
        <f>IFERROR(VLOOKUP(F3394,'Freq-Chan'!C:E,3,FALSE),"na")</f>
        <v>na</v>
      </c>
      <c r="Z3394" s="110" t="s">
        <v>541</v>
      </c>
      <c r="AA3394" s="110" t="s">
        <v>541</v>
      </c>
      <c r="AB3394" s="110" t="s">
        <v>541</v>
      </c>
      <c r="AC3394" s="10" t="s">
        <v>541</v>
      </c>
      <c r="AD3394" s="10" t="s">
        <v>541</v>
      </c>
    </row>
    <row r="3395" spans="1:30" x14ac:dyDescent="0.2">
      <c r="A3395" s="110">
        <v>3395</v>
      </c>
      <c r="B3395" s="132">
        <v>41875</v>
      </c>
      <c r="C3395" s="103">
        <v>1</v>
      </c>
      <c r="D3395" s="142" t="s">
        <v>71</v>
      </c>
      <c r="E3395" s="142" t="s">
        <v>306</v>
      </c>
      <c r="H3395" s="103"/>
      <c r="I3395" s="103">
        <v>56</v>
      </c>
      <c r="K3395" s="142" t="s">
        <v>365</v>
      </c>
      <c r="M3395" s="134">
        <v>1.1111111111111112E-2</v>
      </c>
      <c r="N3395" s="137" t="s">
        <v>4429</v>
      </c>
      <c r="O3395" s="142" t="s">
        <v>3932</v>
      </c>
      <c r="Q3395" s="106" t="s">
        <v>4428</v>
      </c>
      <c r="R3395" s="226" t="s">
        <v>4439</v>
      </c>
      <c r="S3395" s="509" t="str">
        <f t="shared" si="111"/>
        <v>x</v>
      </c>
      <c r="T3395" s="492" t="str">
        <f>IFERROR(VLOOKUP(F3395,'Freq-Chan'!C:D,2,FALSE),"x")</f>
        <v>x</v>
      </c>
      <c r="U3395" s="110" t="s">
        <v>541</v>
      </c>
      <c r="V3395" s="110" t="str">
        <f t="shared" si="112"/>
        <v>FWL</v>
      </c>
      <c r="W3395" s="110" t="s">
        <v>541</v>
      </c>
      <c r="X3395" s="110" t="s">
        <v>541</v>
      </c>
      <c r="Y3395" s="110" t="str">
        <f>IFERROR(VLOOKUP(F3395,'Freq-Chan'!C:E,3,FALSE),"na")</f>
        <v>na</v>
      </c>
      <c r="Z3395" s="110" t="s">
        <v>541</v>
      </c>
      <c r="AA3395" s="110" t="s">
        <v>541</v>
      </c>
      <c r="AB3395" s="110" t="s">
        <v>541</v>
      </c>
      <c r="AC3395" s="10" t="s">
        <v>541</v>
      </c>
      <c r="AD3395" s="10" t="s">
        <v>541</v>
      </c>
    </row>
    <row r="3396" spans="1:30" x14ac:dyDescent="0.2">
      <c r="A3396" s="110">
        <v>3396</v>
      </c>
      <c r="B3396" s="132">
        <v>41875</v>
      </c>
      <c r="C3396" s="103">
        <v>1</v>
      </c>
      <c r="D3396" s="142" t="s">
        <v>71</v>
      </c>
      <c r="E3396" s="142" t="s">
        <v>306</v>
      </c>
      <c r="H3396" s="103"/>
      <c r="I3396" s="103">
        <v>61</v>
      </c>
      <c r="K3396" s="142" t="s">
        <v>1032</v>
      </c>
      <c r="M3396" s="134">
        <v>1.5972222222222224E-2</v>
      </c>
      <c r="N3396" s="137" t="s">
        <v>4430</v>
      </c>
      <c r="O3396" s="142" t="s">
        <v>3932</v>
      </c>
      <c r="Q3396" s="106" t="s">
        <v>4428</v>
      </c>
      <c r="R3396" s="226" t="s">
        <v>4439</v>
      </c>
      <c r="S3396" s="509" t="str">
        <f t="shared" si="111"/>
        <v>x</v>
      </c>
      <c r="T3396" s="492" t="str">
        <f>IFERROR(VLOOKUP(F3396,'Freq-Chan'!C:D,2,FALSE),"x")</f>
        <v>x</v>
      </c>
      <c r="U3396" s="110" t="s">
        <v>541</v>
      </c>
      <c r="V3396" s="110" t="str">
        <f t="shared" si="112"/>
        <v>FWL</v>
      </c>
      <c r="W3396" s="110" t="s">
        <v>541</v>
      </c>
      <c r="X3396" s="110" t="s">
        <v>541</v>
      </c>
      <c r="Y3396" s="110" t="str">
        <f>IFERROR(VLOOKUP(F3396,'Freq-Chan'!C:E,3,FALSE),"na")</f>
        <v>na</v>
      </c>
      <c r="Z3396" s="110" t="s">
        <v>541</v>
      </c>
      <c r="AA3396" s="110" t="s">
        <v>541</v>
      </c>
      <c r="AB3396" s="110" t="s">
        <v>541</v>
      </c>
      <c r="AC3396" s="10" t="s">
        <v>541</v>
      </c>
      <c r="AD3396" s="10" t="s">
        <v>541</v>
      </c>
    </row>
    <row r="3397" spans="1:30" x14ac:dyDescent="0.2">
      <c r="A3397" s="110">
        <v>3397</v>
      </c>
      <c r="B3397" s="132">
        <v>41875</v>
      </c>
      <c r="C3397" s="103">
        <v>1</v>
      </c>
      <c r="D3397" s="142" t="s">
        <v>71</v>
      </c>
      <c r="E3397" s="142" t="s">
        <v>306</v>
      </c>
      <c r="H3397" s="103"/>
      <c r="I3397" s="103">
        <v>62</v>
      </c>
      <c r="K3397" s="142" t="s">
        <v>365</v>
      </c>
      <c r="M3397" s="134">
        <v>1.6666666666666666E-2</v>
      </c>
      <c r="N3397" s="137" t="s">
        <v>501</v>
      </c>
      <c r="O3397" s="142" t="s">
        <v>1033</v>
      </c>
      <c r="Q3397" s="106" t="s">
        <v>4426</v>
      </c>
      <c r="R3397" s="226" t="s">
        <v>4439</v>
      </c>
      <c r="S3397" s="509" t="str">
        <f t="shared" si="111"/>
        <v>x</v>
      </c>
      <c r="T3397" s="492" t="str">
        <f>IFERROR(VLOOKUP(F3397,'Freq-Chan'!C:D,2,FALSE),"x")</f>
        <v>x</v>
      </c>
      <c r="U3397" s="110" t="s">
        <v>541</v>
      </c>
      <c r="V3397" s="110" t="str">
        <f t="shared" si="112"/>
        <v>FWL</v>
      </c>
      <c r="W3397" s="110" t="s">
        <v>541</v>
      </c>
      <c r="X3397" s="110" t="s">
        <v>541</v>
      </c>
      <c r="Y3397" s="110" t="str">
        <f>IFERROR(VLOOKUP(F3397,'Freq-Chan'!C:E,3,FALSE),"na")</f>
        <v>na</v>
      </c>
      <c r="Z3397" s="110" t="s">
        <v>541</v>
      </c>
      <c r="AA3397" s="110" t="s">
        <v>541</v>
      </c>
      <c r="AB3397" s="110" t="s">
        <v>541</v>
      </c>
      <c r="AC3397" s="10" t="s">
        <v>541</v>
      </c>
      <c r="AD3397" s="10" t="s">
        <v>541</v>
      </c>
    </row>
    <row r="3398" spans="1:30" x14ac:dyDescent="0.2">
      <c r="A3398" s="110">
        <v>3398</v>
      </c>
      <c r="B3398" s="132">
        <v>41875</v>
      </c>
      <c r="C3398" s="103">
        <v>1</v>
      </c>
      <c r="D3398" s="142" t="s">
        <v>72</v>
      </c>
      <c r="E3398" s="142" t="s">
        <v>306</v>
      </c>
      <c r="F3398" s="103">
        <v>266</v>
      </c>
      <c r="G3398" s="103">
        <v>45</v>
      </c>
      <c r="H3398" s="103" t="s">
        <v>3669</v>
      </c>
      <c r="I3398" s="103">
        <v>56</v>
      </c>
      <c r="K3398" s="142" t="s">
        <v>365</v>
      </c>
      <c r="M3398" s="134">
        <v>3.5416666666666666E-2</v>
      </c>
      <c r="N3398" s="137" t="s">
        <v>4196</v>
      </c>
      <c r="O3398" s="142" t="s">
        <v>1033</v>
      </c>
      <c r="P3398" s="100" t="s">
        <v>4477</v>
      </c>
      <c r="Q3398" s="106" t="s">
        <v>4426</v>
      </c>
      <c r="R3398" s="226" t="s">
        <v>4439</v>
      </c>
      <c r="S3398" s="509" t="str">
        <f t="shared" si="111"/>
        <v>x</v>
      </c>
      <c r="T3398" s="492">
        <f>IFERROR(VLOOKUP(F3398,'Freq-Chan'!C:D,2,FALSE),"x")</f>
        <v>151.26599999999999</v>
      </c>
      <c r="U3398" s="110" t="s">
        <v>541</v>
      </c>
      <c r="V3398" s="110" t="str">
        <f t="shared" si="112"/>
        <v>FWL</v>
      </c>
      <c r="W3398" s="110" t="s">
        <v>541</v>
      </c>
      <c r="X3398" s="110" t="s">
        <v>541</v>
      </c>
      <c r="Y3398" s="110" t="str">
        <f>IFERROR(VLOOKUP(F3398,'Freq-Chan'!C:E,3,FALSE),"na")</f>
        <v>F1840</v>
      </c>
      <c r="Z3398" s="110" t="s">
        <v>541</v>
      </c>
      <c r="AA3398" s="110" t="s">
        <v>541</v>
      </c>
      <c r="AB3398" s="110" t="s">
        <v>541</v>
      </c>
      <c r="AC3398" s="10" t="s">
        <v>541</v>
      </c>
      <c r="AD3398" s="10" t="s">
        <v>541</v>
      </c>
    </row>
    <row r="3399" spans="1:30" x14ac:dyDescent="0.2">
      <c r="A3399" s="110">
        <v>3399</v>
      </c>
      <c r="B3399" s="132">
        <v>41875</v>
      </c>
      <c r="C3399" s="103">
        <v>1</v>
      </c>
      <c r="D3399" s="142" t="s">
        <v>71</v>
      </c>
      <c r="E3399" s="142" t="s">
        <v>306</v>
      </c>
      <c r="H3399" s="103"/>
      <c r="I3399" s="103">
        <v>56</v>
      </c>
      <c r="K3399" s="142" t="s">
        <v>365</v>
      </c>
      <c r="M3399" s="134">
        <v>1.3888888888888888E-2</v>
      </c>
      <c r="N3399" s="137" t="s">
        <v>4431</v>
      </c>
      <c r="O3399" s="142" t="s">
        <v>1033</v>
      </c>
      <c r="Q3399" s="106" t="s">
        <v>4426</v>
      </c>
      <c r="R3399" s="226" t="s">
        <v>4439</v>
      </c>
      <c r="S3399" s="509" t="str">
        <f t="shared" si="111"/>
        <v>x</v>
      </c>
      <c r="T3399" s="492" t="str">
        <f>IFERROR(VLOOKUP(F3399,'Freq-Chan'!C:D,2,FALSE),"x")</f>
        <v>x</v>
      </c>
      <c r="U3399" s="110" t="s">
        <v>541</v>
      </c>
      <c r="V3399" s="110" t="str">
        <f t="shared" si="112"/>
        <v>FWL</v>
      </c>
      <c r="W3399" s="110" t="s">
        <v>541</v>
      </c>
      <c r="X3399" s="110" t="s">
        <v>541</v>
      </c>
      <c r="Y3399" s="110" t="str">
        <f>IFERROR(VLOOKUP(F3399,'Freq-Chan'!C:E,3,FALSE),"na")</f>
        <v>na</v>
      </c>
      <c r="Z3399" s="110" t="s">
        <v>541</v>
      </c>
      <c r="AA3399" s="110" t="s">
        <v>541</v>
      </c>
      <c r="AB3399" s="110" t="s">
        <v>541</v>
      </c>
      <c r="AC3399" s="10" t="s">
        <v>541</v>
      </c>
      <c r="AD3399" s="10" t="s">
        <v>541</v>
      </c>
    </row>
    <row r="3400" spans="1:30" x14ac:dyDescent="0.2">
      <c r="A3400" s="110">
        <v>3400</v>
      </c>
      <c r="B3400" s="132">
        <v>41875</v>
      </c>
      <c r="C3400" s="103">
        <v>1</v>
      </c>
      <c r="D3400" s="142" t="s">
        <v>71</v>
      </c>
      <c r="E3400" s="142" t="s">
        <v>306</v>
      </c>
      <c r="H3400" s="103"/>
      <c r="I3400" s="103">
        <v>59</v>
      </c>
      <c r="K3400" s="142" t="s">
        <v>365</v>
      </c>
      <c r="M3400" s="134">
        <v>2.0833333333333332E-2</v>
      </c>
      <c r="N3400" s="137" t="s">
        <v>3309</v>
      </c>
      <c r="O3400" s="142" t="s">
        <v>1033</v>
      </c>
      <c r="Q3400" s="106" t="s">
        <v>4426</v>
      </c>
      <c r="R3400" s="226" t="s">
        <v>4439</v>
      </c>
      <c r="S3400" s="509" t="str">
        <f t="shared" si="111"/>
        <v>x</v>
      </c>
      <c r="T3400" s="492" t="str">
        <f>IFERROR(VLOOKUP(F3400,'Freq-Chan'!C:D,2,FALSE),"x")</f>
        <v>x</v>
      </c>
      <c r="U3400" s="110" t="s">
        <v>541</v>
      </c>
      <c r="V3400" s="110" t="str">
        <f t="shared" si="112"/>
        <v>FWL</v>
      </c>
      <c r="W3400" s="110" t="s">
        <v>541</v>
      </c>
      <c r="X3400" s="110" t="s">
        <v>541</v>
      </c>
      <c r="Y3400" s="110" t="str">
        <f>IFERROR(VLOOKUP(F3400,'Freq-Chan'!C:E,3,FALSE),"na")</f>
        <v>na</v>
      </c>
      <c r="Z3400" s="110" t="s">
        <v>541</v>
      </c>
      <c r="AA3400" s="110" t="s">
        <v>541</v>
      </c>
      <c r="AB3400" s="110" t="s">
        <v>541</v>
      </c>
      <c r="AC3400" s="10" t="s">
        <v>541</v>
      </c>
      <c r="AD3400" s="10" t="s">
        <v>541</v>
      </c>
    </row>
    <row r="3401" spans="1:30" x14ac:dyDescent="0.2">
      <c r="A3401" s="110">
        <v>3401</v>
      </c>
      <c r="B3401" s="132">
        <v>41875</v>
      </c>
      <c r="C3401" s="103">
        <v>1</v>
      </c>
      <c r="D3401" s="142" t="s">
        <v>71</v>
      </c>
      <c r="E3401" s="142" t="s">
        <v>306</v>
      </c>
      <c r="H3401" s="103"/>
      <c r="I3401" s="103">
        <v>60</v>
      </c>
      <c r="K3401" s="142" t="s">
        <v>1032</v>
      </c>
      <c r="L3401" s="134">
        <v>0.66041666666666665</v>
      </c>
      <c r="M3401" s="134">
        <v>1.2499999999999999E-2</v>
      </c>
      <c r="N3401" s="137" t="s">
        <v>3976</v>
      </c>
      <c r="O3401" s="142" t="s">
        <v>1033</v>
      </c>
      <c r="Q3401" s="106" t="s">
        <v>4426</v>
      </c>
      <c r="R3401" s="226" t="s">
        <v>4439</v>
      </c>
      <c r="S3401" s="509">
        <f t="shared" si="111"/>
        <v>1.1805556E-3</v>
      </c>
      <c r="T3401" s="492" t="str">
        <f>IFERROR(VLOOKUP(F3401,'Freq-Chan'!C:D,2,FALSE),"x")</f>
        <v>x</v>
      </c>
      <c r="U3401" s="110" t="s">
        <v>541</v>
      </c>
      <c r="V3401" s="110" t="str">
        <f t="shared" si="112"/>
        <v>FWL</v>
      </c>
      <c r="W3401" s="110" t="s">
        <v>541</v>
      </c>
      <c r="X3401" s="110" t="s">
        <v>541</v>
      </c>
      <c r="Y3401" s="110" t="str">
        <f>IFERROR(VLOOKUP(F3401,'Freq-Chan'!C:E,3,FALSE),"na")</f>
        <v>na</v>
      </c>
      <c r="Z3401" s="110" t="s">
        <v>541</v>
      </c>
      <c r="AA3401" s="110" t="s">
        <v>541</v>
      </c>
      <c r="AB3401" s="110" t="s">
        <v>541</v>
      </c>
      <c r="AC3401" s="10" t="s">
        <v>541</v>
      </c>
      <c r="AD3401" s="10" t="s">
        <v>541</v>
      </c>
    </row>
    <row r="3402" spans="1:30" x14ac:dyDescent="0.2">
      <c r="A3402" s="110">
        <v>3402</v>
      </c>
      <c r="B3402" s="132">
        <v>41875</v>
      </c>
      <c r="C3402" s="103">
        <v>1</v>
      </c>
      <c r="D3402" s="142" t="s">
        <v>72</v>
      </c>
      <c r="E3402" s="142" t="s">
        <v>306</v>
      </c>
      <c r="F3402" s="103">
        <v>266</v>
      </c>
      <c r="G3402" s="103">
        <v>41</v>
      </c>
      <c r="H3402" s="103" t="s">
        <v>3670</v>
      </c>
      <c r="I3402" s="103">
        <v>48</v>
      </c>
      <c r="K3402" s="142" t="s">
        <v>1032</v>
      </c>
      <c r="M3402" s="134">
        <v>4.1666666666666664E-2</v>
      </c>
      <c r="N3402" s="137" t="s">
        <v>878</v>
      </c>
      <c r="O3402" s="142" t="s">
        <v>373</v>
      </c>
      <c r="P3402" s="100" t="s">
        <v>4477</v>
      </c>
      <c r="Q3402" s="106" t="s">
        <v>4426</v>
      </c>
      <c r="R3402" s="226" t="s">
        <v>4439</v>
      </c>
      <c r="S3402" s="509" t="str">
        <f t="shared" si="111"/>
        <v>x</v>
      </c>
      <c r="T3402" s="492">
        <f>IFERROR(VLOOKUP(F3402,'Freq-Chan'!C:D,2,FALSE),"x")</f>
        <v>151.26599999999999</v>
      </c>
      <c r="U3402" s="110" t="s">
        <v>541</v>
      </c>
      <c r="V3402" s="110" t="str">
        <f t="shared" si="112"/>
        <v>FWL</v>
      </c>
      <c r="W3402" s="110" t="s">
        <v>541</v>
      </c>
      <c r="X3402" s="110" t="s">
        <v>541</v>
      </c>
      <c r="Y3402" s="110" t="str">
        <f>IFERROR(VLOOKUP(F3402,'Freq-Chan'!C:E,3,FALSE),"na")</f>
        <v>F1840</v>
      </c>
      <c r="Z3402" s="110" t="s">
        <v>541</v>
      </c>
      <c r="AA3402" s="110" t="s">
        <v>541</v>
      </c>
      <c r="AB3402" s="110" t="s">
        <v>541</v>
      </c>
      <c r="AC3402" s="10" t="s">
        <v>541</v>
      </c>
      <c r="AD3402" s="10" t="s">
        <v>541</v>
      </c>
    </row>
    <row r="3403" spans="1:30" x14ac:dyDescent="0.2">
      <c r="A3403" s="110">
        <v>3403</v>
      </c>
      <c r="B3403" s="132">
        <v>41875</v>
      </c>
      <c r="C3403" s="103">
        <v>1</v>
      </c>
      <c r="D3403" s="142" t="s">
        <v>88</v>
      </c>
      <c r="E3403" s="142" t="s">
        <v>798</v>
      </c>
      <c r="H3403" s="103"/>
      <c r="J3403" s="103">
        <v>31</v>
      </c>
      <c r="K3403" s="142" t="s">
        <v>364</v>
      </c>
      <c r="M3403" s="134">
        <v>1.8055555555555557E-2</v>
      </c>
      <c r="N3403" s="137" t="s">
        <v>881</v>
      </c>
      <c r="O3403" s="142" t="s">
        <v>555</v>
      </c>
      <c r="Q3403" s="106" t="s">
        <v>4432</v>
      </c>
      <c r="R3403" s="226" t="s">
        <v>4439</v>
      </c>
      <c r="S3403" s="509" t="str">
        <f t="shared" si="111"/>
        <v>x</v>
      </c>
      <c r="T3403" s="492" t="str">
        <f>IFERROR(VLOOKUP(F3403,'Freq-Chan'!C:D,2,FALSE),"x")</f>
        <v>x</v>
      </c>
      <c r="U3403" s="110" t="s">
        <v>541</v>
      </c>
      <c r="V3403" s="110" t="str">
        <f t="shared" si="112"/>
        <v>FWL</v>
      </c>
      <c r="W3403" s="110" t="s">
        <v>541</v>
      </c>
      <c r="X3403" s="110" t="s">
        <v>541</v>
      </c>
      <c r="Y3403" s="110" t="str">
        <f>IFERROR(VLOOKUP(F3403,'Freq-Chan'!C:E,3,FALSE),"na")</f>
        <v>na</v>
      </c>
      <c r="Z3403" s="110" t="s">
        <v>541</v>
      </c>
      <c r="AA3403" s="110" t="s">
        <v>541</v>
      </c>
      <c r="AB3403" s="110" t="s">
        <v>541</v>
      </c>
      <c r="AC3403" s="10" t="s">
        <v>541</v>
      </c>
      <c r="AD3403" s="10" t="s">
        <v>541</v>
      </c>
    </row>
    <row r="3404" spans="1:30" x14ac:dyDescent="0.2">
      <c r="A3404" s="110">
        <v>3404</v>
      </c>
      <c r="B3404" s="132">
        <v>41875</v>
      </c>
      <c r="C3404" s="103">
        <v>1</v>
      </c>
      <c r="D3404" s="142" t="s">
        <v>71</v>
      </c>
      <c r="E3404" s="142" t="s">
        <v>306</v>
      </c>
      <c r="H3404" s="103"/>
      <c r="I3404" s="103">
        <v>56</v>
      </c>
      <c r="K3404" s="142" t="s">
        <v>1032</v>
      </c>
      <c r="M3404" s="134">
        <v>1.4583333333333332E-2</v>
      </c>
      <c r="N3404" s="137" t="s">
        <v>1785</v>
      </c>
      <c r="O3404" s="142" t="s">
        <v>376</v>
      </c>
      <c r="Q3404" s="106" t="s">
        <v>4432</v>
      </c>
      <c r="R3404" s="226" t="s">
        <v>4439</v>
      </c>
      <c r="S3404" s="509" t="str">
        <f t="shared" si="111"/>
        <v>x</v>
      </c>
      <c r="T3404" s="492" t="str">
        <f>IFERROR(VLOOKUP(F3404,'Freq-Chan'!C:D,2,FALSE),"x")</f>
        <v>x</v>
      </c>
      <c r="U3404" s="110" t="s">
        <v>541</v>
      </c>
      <c r="V3404" s="110" t="str">
        <f t="shared" si="112"/>
        <v>FWL</v>
      </c>
      <c r="W3404" s="110" t="s">
        <v>541</v>
      </c>
      <c r="X3404" s="110" t="s">
        <v>541</v>
      </c>
      <c r="Y3404" s="110" t="str">
        <f>IFERROR(VLOOKUP(F3404,'Freq-Chan'!C:E,3,FALSE),"na")</f>
        <v>na</v>
      </c>
      <c r="Z3404" s="110" t="s">
        <v>541</v>
      </c>
      <c r="AA3404" s="110" t="s">
        <v>541</v>
      </c>
      <c r="AB3404" s="110" t="s">
        <v>541</v>
      </c>
      <c r="AC3404" s="10" t="s">
        <v>541</v>
      </c>
      <c r="AD3404" s="10" t="s">
        <v>541</v>
      </c>
    </row>
    <row r="3405" spans="1:30" x14ac:dyDescent="0.2">
      <c r="A3405" s="110">
        <v>3405</v>
      </c>
      <c r="B3405" s="132">
        <v>41875</v>
      </c>
      <c r="C3405" s="103">
        <v>1</v>
      </c>
      <c r="D3405" s="142" t="s">
        <v>70</v>
      </c>
      <c r="E3405" s="142" t="s">
        <v>306</v>
      </c>
      <c r="F3405" s="142"/>
      <c r="H3405" s="103"/>
      <c r="I3405" s="103">
        <v>46</v>
      </c>
      <c r="K3405" s="142" t="s">
        <v>365</v>
      </c>
      <c r="M3405" s="134">
        <v>1.6666666666666666E-2</v>
      </c>
      <c r="N3405" s="137" t="s">
        <v>4210</v>
      </c>
      <c r="O3405" s="142" t="s">
        <v>376</v>
      </c>
      <c r="Q3405" s="106" t="s">
        <v>4432</v>
      </c>
      <c r="R3405" s="226" t="s">
        <v>4439</v>
      </c>
      <c r="S3405" s="509" t="str">
        <f t="shared" si="111"/>
        <v>x</v>
      </c>
      <c r="T3405" s="492" t="str">
        <f>IFERROR(VLOOKUP(F3405,'Freq-Chan'!C:D,2,FALSE),"x")</f>
        <v>x</v>
      </c>
      <c r="U3405" s="110" t="s">
        <v>541</v>
      </c>
      <c r="V3405" s="110" t="str">
        <f t="shared" si="112"/>
        <v>FWL</v>
      </c>
      <c r="W3405" s="110" t="s">
        <v>541</v>
      </c>
      <c r="X3405" s="110" t="s">
        <v>541</v>
      </c>
      <c r="Y3405" s="110" t="str">
        <f>IFERROR(VLOOKUP(F3405,'Freq-Chan'!C:E,3,FALSE),"na")</f>
        <v>na</v>
      </c>
      <c r="Z3405" s="110" t="s">
        <v>541</v>
      </c>
      <c r="AA3405" s="110" t="s">
        <v>541</v>
      </c>
      <c r="AB3405" s="110" t="s">
        <v>541</v>
      </c>
      <c r="AC3405" s="10" t="s">
        <v>541</v>
      </c>
      <c r="AD3405" s="10" t="s">
        <v>541</v>
      </c>
    </row>
    <row r="3406" spans="1:30" s="291" customFormat="1" x14ac:dyDescent="0.2">
      <c r="A3406" s="493">
        <v>3406</v>
      </c>
      <c r="B3406" s="283">
        <v>41875</v>
      </c>
      <c r="C3406" s="284">
        <v>1</v>
      </c>
      <c r="D3406" s="396" t="s">
        <v>71</v>
      </c>
      <c r="E3406" s="396" t="s">
        <v>306</v>
      </c>
      <c r="F3406" s="285"/>
      <c r="G3406" s="285"/>
      <c r="H3406" s="285"/>
      <c r="I3406" s="285">
        <v>65</v>
      </c>
      <c r="J3406" s="285"/>
      <c r="K3406" s="396" t="s">
        <v>1032</v>
      </c>
      <c r="L3406" s="286"/>
      <c r="M3406" s="287">
        <v>1.2499999999999999E-2</v>
      </c>
      <c r="N3406" s="288" t="s">
        <v>4433</v>
      </c>
      <c r="O3406" s="397" t="s">
        <v>376</v>
      </c>
      <c r="P3406" s="289"/>
      <c r="Q3406" s="395" t="s">
        <v>4432</v>
      </c>
      <c r="R3406" s="290" t="s">
        <v>4439</v>
      </c>
      <c r="S3406" s="494" t="str">
        <f t="shared" si="111"/>
        <v>x</v>
      </c>
      <c r="T3406" s="495" t="str">
        <f>IFERROR(VLOOKUP(F3406,'Freq-Chan'!C:D,2,FALSE),"x")</f>
        <v>x</v>
      </c>
      <c r="U3406" s="493" t="s">
        <v>541</v>
      </c>
      <c r="V3406" s="493" t="str">
        <f t="shared" si="112"/>
        <v>FWL</v>
      </c>
      <c r="W3406" s="493" t="s">
        <v>541</v>
      </c>
      <c r="X3406" s="493" t="s">
        <v>541</v>
      </c>
      <c r="Y3406" s="493" t="str">
        <f>IFERROR(VLOOKUP(F3406,'Freq-Chan'!C:E,3,FALSE),"na")</f>
        <v>na</v>
      </c>
      <c r="Z3406" s="493" t="s">
        <v>541</v>
      </c>
      <c r="AA3406" s="493" t="s">
        <v>541</v>
      </c>
      <c r="AB3406" s="493" t="s">
        <v>541</v>
      </c>
      <c r="AC3406" s="291" t="s">
        <v>541</v>
      </c>
      <c r="AD3406" s="291" t="s">
        <v>541</v>
      </c>
    </row>
    <row r="3407" spans="1:30" x14ac:dyDescent="0.2">
      <c r="A3407" s="110">
        <v>3407</v>
      </c>
      <c r="B3407" s="132">
        <v>41875</v>
      </c>
      <c r="C3407" s="117">
        <v>2</v>
      </c>
      <c r="D3407" s="142" t="s">
        <v>71</v>
      </c>
      <c r="E3407" s="142" t="s">
        <v>306</v>
      </c>
      <c r="F3407" s="103">
        <v>564</v>
      </c>
      <c r="G3407" s="103">
        <v>34</v>
      </c>
      <c r="H3407" s="103" t="s">
        <v>2483</v>
      </c>
      <c r="I3407" s="103">
        <v>57</v>
      </c>
      <c r="K3407" s="142" t="s">
        <v>365</v>
      </c>
      <c r="L3407" s="133"/>
      <c r="M3407" s="134">
        <v>6.3194444444444442E-2</v>
      </c>
      <c r="N3407" s="135" t="s">
        <v>3492</v>
      </c>
      <c r="O3407" s="144" t="s">
        <v>4418</v>
      </c>
      <c r="Q3407" s="106" t="s">
        <v>4424</v>
      </c>
      <c r="R3407" s="226" t="s">
        <v>4439</v>
      </c>
      <c r="S3407" s="491" t="str">
        <f t="shared" si="111"/>
        <v>x</v>
      </c>
      <c r="T3407" s="492">
        <f>IFERROR(VLOOKUP(F3407,'Freq-Chan'!C:D,2,FALSE),"x")</f>
        <v>151.56399999999999</v>
      </c>
      <c r="U3407" s="110" t="s">
        <v>541</v>
      </c>
      <c r="V3407" s="110" t="str">
        <f t="shared" si="112"/>
        <v>FWL</v>
      </c>
      <c r="W3407" s="110" t="s">
        <v>541</v>
      </c>
      <c r="X3407" s="110" t="s">
        <v>541</v>
      </c>
      <c r="Y3407" s="110" t="str">
        <f>IFERROR(VLOOKUP(F3407,'Freq-Chan'!C:E,3,FALSE),"na")</f>
        <v>F1840</v>
      </c>
      <c r="Z3407" s="110" t="s">
        <v>541</v>
      </c>
      <c r="AA3407" s="110" t="s">
        <v>541</v>
      </c>
      <c r="AB3407" s="110" t="s">
        <v>541</v>
      </c>
      <c r="AC3407" s="10" t="s">
        <v>541</v>
      </c>
      <c r="AD3407" s="10" t="s">
        <v>541</v>
      </c>
    </row>
    <row r="3408" spans="1:30" x14ac:dyDescent="0.2">
      <c r="A3408" s="110">
        <v>3408</v>
      </c>
      <c r="B3408" s="132">
        <v>41875</v>
      </c>
      <c r="C3408" s="117">
        <v>2</v>
      </c>
      <c r="D3408" s="142" t="s">
        <v>71</v>
      </c>
      <c r="E3408" s="142" t="s">
        <v>306</v>
      </c>
      <c r="H3408" s="103"/>
      <c r="I3408" s="103">
        <v>61</v>
      </c>
      <c r="K3408" s="142" t="s">
        <v>365</v>
      </c>
      <c r="L3408" s="133"/>
      <c r="M3408" s="134">
        <v>2.013888888888889E-2</v>
      </c>
      <c r="N3408" s="135" t="s">
        <v>4434</v>
      </c>
      <c r="O3408" s="144" t="s">
        <v>1033</v>
      </c>
      <c r="Q3408" s="106" t="s">
        <v>4426</v>
      </c>
      <c r="R3408" s="226" t="s">
        <v>4439</v>
      </c>
      <c r="S3408" s="491" t="str">
        <f t="shared" si="111"/>
        <v>x</v>
      </c>
      <c r="T3408" s="492" t="str">
        <f>IFERROR(VLOOKUP(F3408,'Freq-Chan'!C:D,2,FALSE),"x")</f>
        <v>x</v>
      </c>
      <c r="U3408" s="110" t="s">
        <v>541</v>
      </c>
      <c r="V3408" s="110" t="str">
        <f t="shared" si="112"/>
        <v>FWL</v>
      </c>
      <c r="W3408" s="110" t="s">
        <v>541</v>
      </c>
      <c r="X3408" s="110" t="s">
        <v>541</v>
      </c>
      <c r="Y3408" s="110" t="str">
        <f>IFERROR(VLOOKUP(F3408,'Freq-Chan'!C:E,3,FALSE),"na")</f>
        <v>na</v>
      </c>
      <c r="Z3408" s="110" t="s">
        <v>541</v>
      </c>
      <c r="AA3408" s="110" t="s">
        <v>541</v>
      </c>
      <c r="AB3408" s="110" t="s">
        <v>541</v>
      </c>
      <c r="AC3408" s="10" t="s">
        <v>541</v>
      </c>
      <c r="AD3408" s="10" t="s">
        <v>541</v>
      </c>
    </row>
    <row r="3409" spans="1:30" x14ac:dyDescent="0.2">
      <c r="A3409" s="110">
        <v>3409</v>
      </c>
      <c r="B3409" s="132">
        <v>41875</v>
      </c>
      <c r="C3409" s="117">
        <v>2</v>
      </c>
      <c r="D3409" s="142" t="s">
        <v>71</v>
      </c>
      <c r="E3409" s="142" t="s">
        <v>306</v>
      </c>
      <c r="H3409" s="103"/>
      <c r="I3409" s="103">
        <v>57</v>
      </c>
      <c r="K3409" s="142" t="s">
        <v>365</v>
      </c>
      <c r="L3409" s="133"/>
      <c r="M3409" s="134">
        <v>1.5277777777777777E-2</v>
      </c>
      <c r="N3409" s="135" t="s">
        <v>3718</v>
      </c>
      <c r="O3409" s="144" t="s">
        <v>1033</v>
      </c>
      <c r="Q3409" s="106" t="s">
        <v>4426</v>
      </c>
      <c r="R3409" s="226" t="s">
        <v>4439</v>
      </c>
      <c r="S3409" s="491" t="str">
        <f t="shared" si="111"/>
        <v>x</v>
      </c>
      <c r="T3409" s="492" t="str">
        <f>IFERROR(VLOOKUP(F3409,'Freq-Chan'!C:D,2,FALSE),"x")</f>
        <v>x</v>
      </c>
      <c r="U3409" s="110" t="s">
        <v>541</v>
      </c>
      <c r="V3409" s="110" t="str">
        <f t="shared" si="112"/>
        <v>FWL</v>
      </c>
      <c r="W3409" s="110" t="s">
        <v>541</v>
      </c>
      <c r="X3409" s="110" t="s">
        <v>541</v>
      </c>
      <c r="Y3409" s="110" t="str">
        <f>IFERROR(VLOOKUP(F3409,'Freq-Chan'!C:E,3,FALSE),"na")</f>
        <v>na</v>
      </c>
      <c r="Z3409" s="110" t="s">
        <v>541</v>
      </c>
      <c r="AA3409" s="110" t="s">
        <v>541</v>
      </c>
      <c r="AB3409" s="110" t="s">
        <v>541</v>
      </c>
      <c r="AC3409" s="10" t="s">
        <v>541</v>
      </c>
      <c r="AD3409" s="10" t="s">
        <v>541</v>
      </c>
    </row>
    <row r="3410" spans="1:30" x14ac:dyDescent="0.2">
      <c r="A3410" s="110">
        <v>3410</v>
      </c>
      <c r="B3410" s="132">
        <v>41875</v>
      </c>
      <c r="C3410" s="117">
        <v>2</v>
      </c>
      <c r="D3410" s="142" t="s">
        <v>72</v>
      </c>
      <c r="E3410" s="142" t="s">
        <v>306</v>
      </c>
      <c r="F3410" s="103">
        <v>266</v>
      </c>
      <c r="G3410" s="103">
        <v>94</v>
      </c>
      <c r="H3410" s="103" t="s">
        <v>3668</v>
      </c>
      <c r="I3410" s="103">
        <v>53</v>
      </c>
      <c r="K3410" s="142" t="s">
        <v>365</v>
      </c>
      <c r="L3410" s="133"/>
      <c r="M3410" s="134">
        <v>5.1388888888888894E-2</v>
      </c>
      <c r="N3410" s="135" t="s">
        <v>787</v>
      </c>
      <c r="O3410" s="144" t="s">
        <v>373</v>
      </c>
      <c r="P3410" s="100" t="s">
        <v>4477</v>
      </c>
      <c r="Q3410" s="106" t="s">
        <v>4426</v>
      </c>
      <c r="R3410" s="226" t="s">
        <v>4439</v>
      </c>
      <c r="S3410" s="491" t="str">
        <f t="shared" si="111"/>
        <v>x</v>
      </c>
      <c r="T3410" s="492">
        <f>IFERROR(VLOOKUP(F3410,'Freq-Chan'!C:D,2,FALSE),"x")</f>
        <v>151.26599999999999</v>
      </c>
      <c r="U3410" s="110" t="s">
        <v>541</v>
      </c>
      <c r="V3410" s="110" t="str">
        <f t="shared" si="112"/>
        <v>FWL</v>
      </c>
      <c r="W3410" s="110" t="s">
        <v>541</v>
      </c>
      <c r="X3410" s="110" t="s">
        <v>541</v>
      </c>
      <c r="Y3410" s="110" t="str">
        <f>IFERROR(VLOOKUP(F3410,'Freq-Chan'!C:E,3,FALSE),"na")</f>
        <v>F1840</v>
      </c>
      <c r="Z3410" s="110" t="s">
        <v>541</v>
      </c>
      <c r="AA3410" s="110" t="s">
        <v>541</v>
      </c>
      <c r="AB3410" s="110" t="s">
        <v>541</v>
      </c>
      <c r="AC3410" s="10" t="s">
        <v>541</v>
      </c>
      <c r="AD3410" s="10" t="s">
        <v>541</v>
      </c>
    </row>
    <row r="3411" spans="1:30" x14ac:dyDescent="0.2">
      <c r="A3411" s="110">
        <v>3411</v>
      </c>
      <c r="B3411" s="132">
        <v>41875</v>
      </c>
      <c r="C3411" s="117">
        <v>2</v>
      </c>
      <c r="D3411" s="142" t="s">
        <v>71</v>
      </c>
      <c r="E3411" s="142" t="s">
        <v>306</v>
      </c>
      <c r="H3411" s="103"/>
      <c r="I3411" s="103">
        <v>58</v>
      </c>
      <c r="K3411" s="142" t="s">
        <v>365</v>
      </c>
      <c r="L3411" s="133"/>
      <c r="M3411" s="134">
        <v>2.013888888888889E-2</v>
      </c>
      <c r="N3411" s="135" t="s">
        <v>392</v>
      </c>
      <c r="O3411" s="144" t="s">
        <v>373</v>
      </c>
      <c r="Q3411" s="106" t="s">
        <v>4426</v>
      </c>
      <c r="R3411" s="226" t="s">
        <v>4439</v>
      </c>
      <c r="S3411" s="491" t="str">
        <f t="shared" si="111"/>
        <v>x</v>
      </c>
      <c r="T3411" s="492" t="str">
        <f>IFERROR(VLOOKUP(F3411,'Freq-Chan'!C:D,2,FALSE),"x")</f>
        <v>x</v>
      </c>
      <c r="U3411" s="110" t="s">
        <v>541</v>
      </c>
      <c r="V3411" s="110" t="str">
        <f t="shared" si="112"/>
        <v>FWL</v>
      </c>
      <c r="W3411" s="110" t="s">
        <v>541</v>
      </c>
      <c r="X3411" s="110" t="s">
        <v>541</v>
      </c>
      <c r="Y3411" s="110" t="str">
        <f>IFERROR(VLOOKUP(F3411,'Freq-Chan'!C:E,3,FALSE),"na")</f>
        <v>na</v>
      </c>
      <c r="Z3411" s="110" t="s">
        <v>541</v>
      </c>
      <c r="AA3411" s="110" t="s">
        <v>541</v>
      </c>
      <c r="AB3411" s="110" t="s">
        <v>541</v>
      </c>
      <c r="AC3411" s="10" t="s">
        <v>541</v>
      </c>
      <c r="AD3411" s="10" t="s">
        <v>541</v>
      </c>
    </row>
    <row r="3412" spans="1:30" x14ac:dyDescent="0.2">
      <c r="A3412" s="110">
        <v>3412</v>
      </c>
      <c r="B3412" s="132">
        <v>41875</v>
      </c>
      <c r="C3412" s="117">
        <v>2</v>
      </c>
      <c r="D3412" s="142" t="s">
        <v>71</v>
      </c>
      <c r="E3412" s="142" t="s">
        <v>306</v>
      </c>
      <c r="H3412" s="103"/>
      <c r="I3412" s="103">
        <v>50</v>
      </c>
      <c r="K3412" s="142" t="s">
        <v>365</v>
      </c>
      <c r="L3412" s="133"/>
      <c r="M3412" s="134">
        <v>2.4999999999999998E-2</v>
      </c>
      <c r="N3412" s="135" t="s">
        <v>392</v>
      </c>
      <c r="O3412" s="144" t="s">
        <v>373</v>
      </c>
      <c r="Q3412" s="106" t="s">
        <v>4426</v>
      </c>
      <c r="R3412" s="226" t="s">
        <v>4439</v>
      </c>
      <c r="S3412" s="491" t="str">
        <f t="shared" si="111"/>
        <v>x</v>
      </c>
      <c r="T3412" s="492" t="str">
        <f>IFERROR(VLOOKUP(F3412,'Freq-Chan'!C:D,2,FALSE),"x")</f>
        <v>x</v>
      </c>
      <c r="U3412" s="110" t="s">
        <v>541</v>
      </c>
      <c r="V3412" s="110" t="str">
        <f t="shared" si="112"/>
        <v>FWL</v>
      </c>
      <c r="W3412" s="110" t="s">
        <v>541</v>
      </c>
      <c r="X3412" s="110" t="s">
        <v>541</v>
      </c>
      <c r="Y3412" s="110" t="str">
        <f>IFERROR(VLOOKUP(F3412,'Freq-Chan'!C:E,3,FALSE),"na")</f>
        <v>na</v>
      </c>
      <c r="Z3412" s="110" t="s">
        <v>541</v>
      </c>
      <c r="AA3412" s="110" t="s">
        <v>541</v>
      </c>
      <c r="AB3412" s="110" t="s">
        <v>541</v>
      </c>
      <c r="AC3412" s="10" t="s">
        <v>541</v>
      </c>
      <c r="AD3412" s="10" t="s">
        <v>541</v>
      </c>
    </row>
    <row r="3413" spans="1:30" x14ac:dyDescent="0.2">
      <c r="A3413" s="110">
        <v>3413</v>
      </c>
      <c r="B3413" s="132">
        <v>41875</v>
      </c>
      <c r="C3413" s="117">
        <v>2</v>
      </c>
      <c r="D3413" s="142" t="s">
        <v>71</v>
      </c>
      <c r="E3413" s="142" t="s">
        <v>306</v>
      </c>
      <c r="H3413" s="103"/>
      <c r="I3413" s="103">
        <v>54</v>
      </c>
      <c r="K3413" s="142" t="s">
        <v>365</v>
      </c>
      <c r="L3413" s="133"/>
      <c r="M3413" s="134">
        <v>1.3888888888888888E-2</v>
      </c>
      <c r="N3413" s="135" t="s">
        <v>1801</v>
      </c>
      <c r="O3413" s="144" t="s">
        <v>373</v>
      </c>
      <c r="Q3413" s="106" t="s">
        <v>4426</v>
      </c>
      <c r="R3413" s="226" t="s">
        <v>4439</v>
      </c>
      <c r="S3413" s="491" t="str">
        <f t="shared" si="111"/>
        <v>x</v>
      </c>
      <c r="T3413" s="492" t="str">
        <f>IFERROR(VLOOKUP(F3413,'Freq-Chan'!C:D,2,FALSE),"x")</f>
        <v>x</v>
      </c>
      <c r="U3413" s="110" t="s">
        <v>541</v>
      </c>
      <c r="V3413" s="110" t="str">
        <f t="shared" si="112"/>
        <v>FWL</v>
      </c>
      <c r="W3413" s="110" t="s">
        <v>541</v>
      </c>
      <c r="X3413" s="110" t="s">
        <v>541</v>
      </c>
      <c r="Y3413" s="110" t="str">
        <f>IFERROR(VLOOKUP(F3413,'Freq-Chan'!C:E,3,FALSE),"na")</f>
        <v>na</v>
      </c>
      <c r="Z3413" s="110" t="s">
        <v>541</v>
      </c>
      <c r="AA3413" s="110" t="s">
        <v>541</v>
      </c>
      <c r="AB3413" s="110" t="s">
        <v>541</v>
      </c>
      <c r="AC3413" s="10" t="s">
        <v>541</v>
      </c>
      <c r="AD3413" s="10" t="s">
        <v>541</v>
      </c>
    </row>
    <row r="3414" spans="1:30" x14ac:dyDescent="0.2">
      <c r="A3414" s="110">
        <v>3414</v>
      </c>
      <c r="B3414" s="132">
        <v>41875</v>
      </c>
      <c r="C3414" s="117">
        <v>2</v>
      </c>
      <c r="D3414" s="142" t="s">
        <v>71</v>
      </c>
      <c r="E3414" s="142" t="s">
        <v>306</v>
      </c>
      <c r="H3414" s="103"/>
      <c r="I3414" s="103">
        <v>56</v>
      </c>
      <c r="K3414" s="142" t="s">
        <v>1032</v>
      </c>
      <c r="L3414" s="133">
        <v>0.66805555555555562</v>
      </c>
      <c r="M3414" s="134">
        <v>2.5694444444444447E-2</v>
      </c>
      <c r="N3414" s="135" t="s">
        <v>844</v>
      </c>
      <c r="O3414" s="144" t="s">
        <v>373</v>
      </c>
      <c r="Q3414" s="106" t="s">
        <v>4426</v>
      </c>
      <c r="R3414" s="226" t="s">
        <v>4439</v>
      </c>
      <c r="S3414" s="491">
        <f t="shared" si="111"/>
        <v>3.0439815E-3</v>
      </c>
      <c r="T3414" s="492" t="str">
        <f>IFERROR(VLOOKUP(F3414,'Freq-Chan'!C:D,2,FALSE),"x")</f>
        <v>x</v>
      </c>
      <c r="U3414" s="110" t="s">
        <v>541</v>
      </c>
      <c r="V3414" s="110" t="str">
        <f t="shared" si="112"/>
        <v>FWL</v>
      </c>
      <c r="W3414" s="110" t="s">
        <v>541</v>
      </c>
      <c r="X3414" s="110" t="s">
        <v>541</v>
      </c>
      <c r="Y3414" s="110" t="str">
        <f>IFERROR(VLOOKUP(F3414,'Freq-Chan'!C:E,3,FALSE),"na")</f>
        <v>na</v>
      </c>
      <c r="Z3414" s="110" t="s">
        <v>541</v>
      </c>
      <c r="AA3414" s="110" t="s">
        <v>541</v>
      </c>
      <c r="AB3414" s="110" t="s">
        <v>541</v>
      </c>
      <c r="AC3414" s="10" t="s">
        <v>541</v>
      </c>
      <c r="AD3414" s="10" t="s">
        <v>541</v>
      </c>
    </row>
    <row r="3415" spans="1:30" x14ac:dyDescent="0.2">
      <c r="A3415" s="110">
        <v>3415</v>
      </c>
      <c r="B3415" s="132">
        <v>41875</v>
      </c>
      <c r="C3415" s="117">
        <v>2</v>
      </c>
      <c r="D3415" s="142" t="s">
        <v>71</v>
      </c>
      <c r="E3415" s="142" t="s">
        <v>306</v>
      </c>
      <c r="H3415" s="103"/>
      <c r="I3415" s="103">
        <v>58</v>
      </c>
      <c r="K3415" s="142" t="s">
        <v>365</v>
      </c>
      <c r="L3415" s="133">
        <v>0.6791666666666667</v>
      </c>
      <c r="M3415" s="134">
        <v>1.8055555555555557E-2</v>
      </c>
      <c r="N3415" s="135" t="s">
        <v>4274</v>
      </c>
      <c r="O3415" s="144" t="s">
        <v>373</v>
      </c>
      <c r="Q3415" s="106" t="s">
        <v>4426</v>
      </c>
      <c r="R3415" s="226" t="s">
        <v>4439</v>
      </c>
      <c r="S3415" s="491">
        <f t="shared" si="111"/>
        <v>1.7824074000000001E-3</v>
      </c>
      <c r="T3415" s="492" t="str">
        <f>IFERROR(VLOOKUP(F3415,'Freq-Chan'!C:D,2,FALSE),"x")</f>
        <v>x</v>
      </c>
      <c r="U3415" s="110" t="s">
        <v>541</v>
      </c>
      <c r="V3415" s="110" t="str">
        <f t="shared" si="112"/>
        <v>FWL</v>
      </c>
      <c r="W3415" s="110" t="s">
        <v>541</v>
      </c>
      <c r="X3415" s="110" t="s">
        <v>541</v>
      </c>
      <c r="Y3415" s="110" t="str">
        <f>IFERROR(VLOOKUP(F3415,'Freq-Chan'!C:E,3,FALSE),"na")</f>
        <v>na</v>
      </c>
      <c r="Z3415" s="110" t="s">
        <v>541</v>
      </c>
      <c r="AA3415" s="110" t="s">
        <v>541</v>
      </c>
      <c r="AB3415" s="110" t="s">
        <v>541</v>
      </c>
      <c r="AC3415" s="10" t="s">
        <v>541</v>
      </c>
      <c r="AD3415" s="10" t="s">
        <v>541</v>
      </c>
    </row>
    <row r="3416" spans="1:30" x14ac:dyDescent="0.2">
      <c r="A3416" s="110">
        <v>3416</v>
      </c>
      <c r="B3416" s="132">
        <v>41875</v>
      </c>
      <c r="C3416" s="117">
        <v>2</v>
      </c>
      <c r="D3416" s="142" t="s">
        <v>71</v>
      </c>
      <c r="E3416" s="142" t="s">
        <v>306</v>
      </c>
      <c r="H3416" s="103"/>
      <c r="I3416" s="103">
        <v>48</v>
      </c>
      <c r="K3416" s="142" t="s">
        <v>365</v>
      </c>
      <c r="L3416" s="133"/>
      <c r="M3416" s="134">
        <v>1.5277777777777777E-2</v>
      </c>
      <c r="N3416" s="135" t="s">
        <v>4197</v>
      </c>
      <c r="O3416" s="144" t="s">
        <v>1033</v>
      </c>
      <c r="Q3416" s="106" t="s">
        <v>4426</v>
      </c>
      <c r="R3416" s="226" t="s">
        <v>4439</v>
      </c>
      <c r="S3416" s="491" t="str">
        <f t="shared" si="111"/>
        <v>x</v>
      </c>
      <c r="T3416" s="492" t="str">
        <f>IFERROR(VLOOKUP(F3416,'Freq-Chan'!C:D,2,FALSE),"x")</f>
        <v>x</v>
      </c>
      <c r="U3416" s="110" t="s">
        <v>541</v>
      </c>
      <c r="V3416" s="110" t="str">
        <f t="shared" si="112"/>
        <v>FWL</v>
      </c>
      <c r="W3416" s="110" t="s">
        <v>541</v>
      </c>
      <c r="X3416" s="110" t="s">
        <v>541</v>
      </c>
      <c r="Y3416" s="110" t="str">
        <f>IFERROR(VLOOKUP(F3416,'Freq-Chan'!C:E,3,FALSE),"na")</f>
        <v>na</v>
      </c>
      <c r="Z3416" s="110" t="s">
        <v>541</v>
      </c>
      <c r="AA3416" s="110" t="s">
        <v>541</v>
      </c>
      <c r="AB3416" s="110" t="s">
        <v>541</v>
      </c>
      <c r="AC3416" s="10" t="s">
        <v>541</v>
      </c>
      <c r="AD3416" s="10" t="s">
        <v>541</v>
      </c>
    </row>
    <row r="3417" spans="1:30" x14ac:dyDescent="0.2">
      <c r="A3417" s="110">
        <v>3417</v>
      </c>
      <c r="B3417" s="132">
        <v>41875</v>
      </c>
      <c r="C3417" s="117">
        <v>2</v>
      </c>
      <c r="D3417" s="142" t="s">
        <v>71</v>
      </c>
      <c r="E3417" s="142" t="s">
        <v>306</v>
      </c>
      <c r="H3417" s="142"/>
      <c r="I3417" s="103">
        <v>52</v>
      </c>
      <c r="K3417" s="142" t="s">
        <v>1032</v>
      </c>
      <c r="L3417" s="133"/>
      <c r="M3417" s="134">
        <v>1.9444444444444445E-2</v>
      </c>
      <c r="N3417" s="135" t="s">
        <v>4176</v>
      </c>
      <c r="O3417" s="144" t="s">
        <v>1033</v>
      </c>
      <c r="Q3417" s="106" t="s">
        <v>4426</v>
      </c>
      <c r="R3417" s="226" t="s">
        <v>4439</v>
      </c>
      <c r="S3417" s="491" t="str">
        <f t="shared" si="111"/>
        <v>x</v>
      </c>
      <c r="T3417" s="492" t="str">
        <f>IFERROR(VLOOKUP(F3417,'Freq-Chan'!C:D,2,FALSE),"x")</f>
        <v>x</v>
      </c>
      <c r="U3417" s="110" t="s">
        <v>541</v>
      </c>
      <c r="V3417" s="110" t="str">
        <f t="shared" si="112"/>
        <v>FWL</v>
      </c>
      <c r="W3417" s="110" t="s">
        <v>541</v>
      </c>
      <c r="X3417" s="110" t="s">
        <v>541</v>
      </c>
      <c r="Y3417" s="110" t="str">
        <f>IFERROR(VLOOKUP(F3417,'Freq-Chan'!C:E,3,FALSE),"na")</f>
        <v>na</v>
      </c>
      <c r="Z3417" s="110" t="s">
        <v>541</v>
      </c>
      <c r="AA3417" s="110" t="s">
        <v>541</v>
      </c>
      <c r="AB3417" s="110" t="s">
        <v>541</v>
      </c>
      <c r="AC3417" s="10" t="s">
        <v>541</v>
      </c>
      <c r="AD3417" s="10" t="s">
        <v>541</v>
      </c>
    </row>
    <row r="3418" spans="1:30" x14ac:dyDescent="0.2">
      <c r="A3418" s="110">
        <v>3418</v>
      </c>
      <c r="B3418" s="132">
        <v>41875</v>
      </c>
      <c r="C3418" s="117">
        <v>2</v>
      </c>
      <c r="D3418" s="142" t="s">
        <v>71</v>
      </c>
      <c r="E3418" s="142" t="s">
        <v>306</v>
      </c>
      <c r="H3418" s="103"/>
      <c r="I3418" s="103">
        <v>57</v>
      </c>
      <c r="K3418" s="142" t="s">
        <v>1032</v>
      </c>
      <c r="L3418" s="133"/>
      <c r="M3418" s="134">
        <v>2.1527777777777781E-2</v>
      </c>
      <c r="N3418" s="135" t="s">
        <v>639</v>
      </c>
      <c r="O3418" s="144" t="s">
        <v>555</v>
      </c>
      <c r="Q3418" s="106" t="s">
        <v>4432</v>
      </c>
      <c r="R3418" s="226" t="s">
        <v>4439</v>
      </c>
      <c r="S3418" s="491" t="str">
        <f t="shared" si="111"/>
        <v>x</v>
      </c>
      <c r="T3418" s="492" t="str">
        <f>IFERROR(VLOOKUP(F3418,'Freq-Chan'!C:D,2,FALSE),"x")</f>
        <v>x</v>
      </c>
      <c r="U3418" s="110" t="s">
        <v>541</v>
      </c>
      <c r="V3418" s="110" t="str">
        <f t="shared" si="112"/>
        <v>FWL</v>
      </c>
      <c r="W3418" s="110" t="s">
        <v>541</v>
      </c>
      <c r="X3418" s="110" t="s">
        <v>541</v>
      </c>
      <c r="Y3418" s="110" t="str">
        <f>IFERROR(VLOOKUP(F3418,'Freq-Chan'!C:E,3,FALSE),"na")</f>
        <v>na</v>
      </c>
      <c r="Z3418" s="110" t="s">
        <v>541</v>
      </c>
      <c r="AA3418" s="110" t="s">
        <v>541</v>
      </c>
      <c r="AB3418" s="110" t="s">
        <v>541</v>
      </c>
      <c r="AC3418" s="10" t="s">
        <v>541</v>
      </c>
      <c r="AD3418" s="10" t="s">
        <v>541</v>
      </c>
    </row>
    <row r="3419" spans="1:30" x14ac:dyDescent="0.2">
      <c r="A3419" s="110">
        <v>3419</v>
      </c>
      <c r="B3419" s="132">
        <v>41875</v>
      </c>
      <c r="C3419" s="117">
        <v>2</v>
      </c>
      <c r="D3419" s="142" t="s">
        <v>71</v>
      </c>
      <c r="E3419" s="142" t="s">
        <v>306</v>
      </c>
      <c r="H3419" s="103"/>
      <c r="I3419" s="103">
        <v>55</v>
      </c>
      <c r="K3419" s="142" t="s">
        <v>1032</v>
      </c>
      <c r="L3419" s="133"/>
      <c r="M3419" s="134">
        <v>1.8055555555555557E-2</v>
      </c>
      <c r="N3419" s="135" t="s">
        <v>713</v>
      </c>
      <c r="O3419" s="144" t="s">
        <v>555</v>
      </c>
      <c r="Q3419" s="106" t="s">
        <v>4432</v>
      </c>
      <c r="R3419" s="226" t="s">
        <v>4439</v>
      </c>
      <c r="S3419" s="491" t="str">
        <f t="shared" si="111"/>
        <v>x</v>
      </c>
      <c r="T3419" s="492" t="str">
        <f>IFERROR(VLOOKUP(F3419,'Freq-Chan'!C:D,2,FALSE),"x")</f>
        <v>x</v>
      </c>
      <c r="U3419" s="110" t="s">
        <v>541</v>
      </c>
      <c r="V3419" s="110" t="str">
        <f t="shared" si="112"/>
        <v>FWL</v>
      </c>
      <c r="W3419" s="110" t="s">
        <v>541</v>
      </c>
      <c r="X3419" s="110" t="s">
        <v>541</v>
      </c>
      <c r="Y3419" s="110" t="str">
        <f>IFERROR(VLOOKUP(F3419,'Freq-Chan'!C:E,3,FALSE),"na")</f>
        <v>na</v>
      </c>
      <c r="Z3419" s="110" t="s">
        <v>541</v>
      </c>
      <c r="AA3419" s="110" t="s">
        <v>541</v>
      </c>
      <c r="AB3419" s="110" t="s">
        <v>541</v>
      </c>
      <c r="AC3419" s="10" t="s">
        <v>541</v>
      </c>
      <c r="AD3419" s="10" t="s">
        <v>541</v>
      </c>
    </row>
    <row r="3420" spans="1:30" x14ac:dyDescent="0.2">
      <c r="A3420" s="110">
        <v>3420</v>
      </c>
      <c r="B3420" s="132">
        <v>41875</v>
      </c>
      <c r="C3420" s="117">
        <v>2</v>
      </c>
      <c r="D3420" s="142" t="s">
        <v>71</v>
      </c>
      <c r="E3420" s="142" t="s">
        <v>306</v>
      </c>
      <c r="H3420" s="103"/>
      <c r="I3420" s="103">
        <v>58</v>
      </c>
      <c r="K3420" s="142" t="s">
        <v>1032</v>
      </c>
      <c r="L3420" s="133"/>
      <c r="M3420" s="134">
        <v>2.6388888888888889E-2</v>
      </c>
      <c r="N3420" s="135" t="s">
        <v>3314</v>
      </c>
      <c r="O3420" s="144" t="s">
        <v>376</v>
      </c>
      <c r="Q3420" s="106" t="s">
        <v>4432</v>
      </c>
      <c r="R3420" s="226" t="s">
        <v>4439</v>
      </c>
      <c r="S3420" s="491" t="str">
        <f t="shared" si="111"/>
        <v>x</v>
      </c>
      <c r="T3420" s="492" t="str">
        <f>IFERROR(VLOOKUP(F3420,'Freq-Chan'!C:D,2,FALSE),"x")</f>
        <v>x</v>
      </c>
      <c r="U3420" s="110" t="s">
        <v>541</v>
      </c>
      <c r="V3420" s="110" t="str">
        <f t="shared" si="112"/>
        <v>FWL</v>
      </c>
      <c r="W3420" s="110" t="s">
        <v>541</v>
      </c>
      <c r="X3420" s="110" t="s">
        <v>541</v>
      </c>
      <c r="Y3420" s="110" t="str">
        <f>IFERROR(VLOOKUP(F3420,'Freq-Chan'!C:E,3,FALSE),"na")</f>
        <v>na</v>
      </c>
      <c r="Z3420" s="110" t="s">
        <v>541</v>
      </c>
      <c r="AA3420" s="110" t="s">
        <v>541</v>
      </c>
      <c r="AB3420" s="110" t="s">
        <v>541</v>
      </c>
      <c r="AC3420" s="10" t="s">
        <v>541</v>
      </c>
      <c r="AD3420" s="10" t="s">
        <v>541</v>
      </c>
    </row>
    <row r="3421" spans="1:30" x14ac:dyDescent="0.2">
      <c r="A3421" s="110">
        <v>3421</v>
      </c>
      <c r="B3421" s="132">
        <v>41875</v>
      </c>
      <c r="C3421" s="117">
        <v>2</v>
      </c>
      <c r="D3421" s="142" t="s">
        <v>71</v>
      </c>
      <c r="E3421" s="142" t="s">
        <v>306</v>
      </c>
      <c r="H3421" s="103"/>
      <c r="I3421" s="103">
        <v>54</v>
      </c>
      <c r="K3421" s="142" t="s">
        <v>365</v>
      </c>
      <c r="L3421" s="133"/>
      <c r="M3421" s="134">
        <v>1.7361111111111112E-2</v>
      </c>
      <c r="N3421" s="135" t="s">
        <v>2543</v>
      </c>
      <c r="O3421" s="144" t="s">
        <v>376</v>
      </c>
      <c r="Q3421" s="106" t="s">
        <v>4432</v>
      </c>
      <c r="R3421" s="226" t="s">
        <v>4439</v>
      </c>
      <c r="S3421" s="491" t="str">
        <f t="shared" si="111"/>
        <v>x</v>
      </c>
      <c r="T3421" s="492" t="str">
        <f>IFERROR(VLOOKUP(F3421,'Freq-Chan'!C:D,2,FALSE),"x")</f>
        <v>x</v>
      </c>
      <c r="U3421" s="110" t="s">
        <v>541</v>
      </c>
      <c r="V3421" s="110" t="str">
        <f t="shared" si="112"/>
        <v>FWL</v>
      </c>
      <c r="W3421" s="110" t="s">
        <v>541</v>
      </c>
      <c r="X3421" s="110" t="s">
        <v>541</v>
      </c>
      <c r="Y3421" s="110" t="str">
        <f>IFERROR(VLOOKUP(F3421,'Freq-Chan'!C:E,3,FALSE),"na")</f>
        <v>na</v>
      </c>
      <c r="Z3421" s="110" t="s">
        <v>541</v>
      </c>
      <c r="AA3421" s="110" t="s">
        <v>541</v>
      </c>
      <c r="AB3421" s="110" t="s">
        <v>541</v>
      </c>
      <c r="AC3421" s="10" t="s">
        <v>541</v>
      </c>
      <c r="AD3421" s="10" t="s">
        <v>541</v>
      </c>
    </row>
    <row r="3422" spans="1:30" x14ac:dyDescent="0.2">
      <c r="A3422" s="110">
        <v>3422</v>
      </c>
      <c r="B3422" s="132">
        <v>41875</v>
      </c>
      <c r="C3422" s="117">
        <v>2</v>
      </c>
      <c r="D3422" s="142" t="s">
        <v>71</v>
      </c>
      <c r="E3422" s="142" t="s">
        <v>306</v>
      </c>
      <c r="H3422" s="103"/>
      <c r="I3422" s="103">
        <v>58</v>
      </c>
      <c r="K3422" s="142" t="s">
        <v>1032</v>
      </c>
      <c r="L3422" s="133"/>
      <c r="M3422" s="134">
        <v>3.2638888888888891E-2</v>
      </c>
      <c r="N3422" s="135" t="s">
        <v>4128</v>
      </c>
      <c r="O3422" s="144" t="s">
        <v>376</v>
      </c>
      <c r="Q3422" s="106" t="s">
        <v>4432</v>
      </c>
      <c r="R3422" s="226" t="s">
        <v>4439</v>
      </c>
      <c r="S3422" s="491" t="str">
        <f t="shared" si="111"/>
        <v>x</v>
      </c>
      <c r="T3422" s="492" t="str">
        <f>IFERROR(VLOOKUP(F3422,'Freq-Chan'!C:D,2,FALSE),"x")</f>
        <v>x</v>
      </c>
      <c r="U3422" s="110" t="s">
        <v>541</v>
      </c>
      <c r="V3422" s="110" t="str">
        <f t="shared" si="112"/>
        <v>FWL</v>
      </c>
      <c r="W3422" s="110" t="s">
        <v>541</v>
      </c>
      <c r="X3422" s="110" t="s">
        <v>541</v>
      </c>
      <c r="Y3422" s="110" t="str">
        <f>IFERROR(VLOOKUP(F3422,'Freq-Chan'!C:E,3,FALSE),"na")</f>
        <v>na</v>
      </c>
      <c r="Z3422" s="110" t="s">
        <v>541</v>
      </c>
      <c r="AA3422" s="110" t="s">
        <v>541</v>
      </c>
      <c r="AB3422" s="110" t="s">
        <v>541</v>
      </c>
      <c r="AC3422" s="10" t="s">
        <v>541</v>
      </c>
      <c r="AD3422" s="10" t="s">
        <v>541</v>
      </c>
    </row>
    <row r="3423" spans="1:30" x14ac:dyDescent="0.2">
      <c r="A3423" s="110">
        <v>3423</v>
      </c>
      <c r="B3423" s="132">
        <v>41875</v>
      </c>
      <c r="C3423" s="117">
        <v>2</v>
      </c>
      <c r="D3423" s="142" t="s">
        <v>8</v>
      </c>
      <c r="E3423" s="142" t="s">
        <v>306</v>
      </c>
      <c r="F3423" s="103">
        <v>573</v>
      </c>
      <c r="G3423" s="103">
        <v>38</v>
      </c>
      <c r="H3423" s="103" t="s">
        <v>2285</v>
      </c>
      <c r="I3423" s="103">
        <v>49</v>
      </c>
      <c r="K3423" s="142" t="s">
        <v>364</v>
      </c>
      <c r="L3423" s="133"/>
      <c r="M3423" s="134">
        <v>4.3055555555555562E-2</v>
      </c>
      <c r="N3423" s="135" t="s">
        <v>2841</v>
      </c>
      <c r="O3423" s="144" t="s">
        <v>555</v>
      </c>
      <c r="Q3423" s="106" t="s">
        <v>4432</v>
      </c>
      <c r="R3423" s="226" t="s">
        <v>4439</v>
      </c>
      <c r="S3423" s="491" t="str">
        <f t="shared" si="111"/>
        <v>x</v>
      </c>
      <c r="T3423" s="492">
        <f>IFERROR(VLOOKUP(F3423,'Freq-Chan'!C:D,2,FALSE),"x")</f>
        <v>151.57300000000001</v>
      </c>
      <c r="U3423" s="110" t="s">
        <v>541</v>
      </c>
      <c r="V3423" s="110" t="str">
        <f t="shared" si="112"/>
        <v>FWL</v>
      </c>
      <c r="W3423" s="110" t="s">
        <v>541</v>
      </c>
      <c r="X3423" s="110" t="s">
        <v>541</v>
      </c>
      <c r="Y3423" s="110" t="str">
        <f>IFERROR(VLOOKUP(F3423,'Freq-Chan'!C:E,3,FALSE),"na")</f>
        <v>F1840</v>
      </c>
      <c r="Z3423" s="110" t="s">
        <v>541</v>
      </c>
      <c r="AA3423" s="110" t="s">
        <v>541</v>
      </c>
      <c r="AB3423" s="110" t="s">
        <v>541</v>
      </c>
      <c r="AC3423" s="10" t="s">
        <v>541</v>
      </c>
      <c r="AD3423" s="10" t="s">
        <v>541</v>
      </c>
    </row>
    <row r="3424" spans="1:30" x14ac:dyDescent="0.2">
      <c r="A3424" s="110">
        <v>3424</v>
      </c>
      <c r="B3424" s="132">
        <v>41875</v>
      </c>
      <c r="C3424" s="117">
        <v>2</v>
      </c>
      <c r="D3424" s="142" t="s">
        <v>71</v>
      </c>
      <c r="E3424" s="142" t="s">
        <v>306</v>
      </c>
      <c r="H3424" s="103"/>
      <c r="I3424" s="103">
        <v>60</v>
      </c>
      <c r="K3424" s="142" t="s">
        <v>1032</v>
      </c>
      <c r="L3424" s="133"/>
      <c r="M3424" s="134">
        <v>2.5694444444444447E-2</v>
      </c>
      <c r="N3424" s="135" t="s">
        <v>2745</v>
      </c>
      <c r="O3424" s="144" t="s">
        <v>555</v>
      </c>
      <c r="Q3424" s="106" t="s">
        <v>4432</v>
      </c>
      <c r="R3424" s="226" t="s">
        <v>4439</v>
      </c>
      <c r="S3424" s="491" t="str">
        <f t="shared" si="111"/>
        <v>x</v>
      </c>
      <c r="T3424" s="492" t="str">
        <f>IFERROR(VLOOKUP(F3424,'Freq-Chan'!C:D,2,FALSE),"x")</f>
        <v>x</v>
      </c>
      <c r="U3424" s="110" t="s">
        <v>541</v>
      </c>
      <c r="V3424" s="110" t="str">
        <f t="shared" si="112"/>
        <v>FWL</v>
      </c>
      <c r="W3424" s="110" t="s">
        <v>541</v>
      </c>
      <c r="X3424" s="110" t="s">
        <v>541</v>
      </c>
      <c r="Y3424" s="110" t="str">
        <f>IFERROR(VLOOKUP(F3424,'Freq-Chan'!C:E,3,FALSE),"na")</f>
        <v>na</v>
      </c>
      <c r="Z3424" s="110" t="s">
        <v>541</v>
      </c>
      <c r="AA3424" s="110" t="s">
        <v>541</v>
      </c>
      <c r="AB3424" s="110" t="s">
        <v>541</v>
      </c>
      <c r="AC3424" s="10" t="s">
        <v>541</v>
      </c>
      <c r="AD3424" s="10" t="s">
        <v>541</v>
      </c>
    </row>
    <row r="3425" spans="1:30" s="291" customFormat="1" x14ac:dyDescent="0.2">
      <c r="A3425" s="493">
        <v>3425</v>
      </c>
      <c r="B3425" s="283">
        <v>41875</v>
      </c>
      <c r="C3425" s="284">
        <v>2</v>
      </c>
      <c r="D3425" s="396" t="s">
        <v>72</v>
      </c>
      <c r="E3425" s="396" t="s">
        <v>306</v>
      </c>
      <c r="F3425" s="285">
        <v>266</v>
      </c>
      <c r="G3425" s="285">
        <v>91</v>
      </c>
      <c r="H3425" s="396" t="s">
        <v>3671</v>
      </c>
      <c r="I3425" s="285">
        <v>55</v>
      </c>
      <c r="J3425" s="285"/>
      <c r="K3425" s="396" t="s">
        <v>365</v>
      </c>
      <c r="L3425" s="286"/>
      <c r="M3425" s="287">
        <v>5.9722222222222225E-2</v>
      </c>
      <c r="N3425" s="398" t="s">
        <v>2538</v>
      </c>
      <c r="O3425" s="397" t="s">
        <v>376</v>
      </c>
      <c r="P3425" s="289" t="s">
        <v>4477</v>
      </c>
      <c r="Q3425" s="395" t="s">
        <v>4432</v>
      </c>
      <c r="R3425" s="290" t="s">
        <v>4439</v>
      </c>
      <c r="S3425" s="494" t="str">
        <f t="shared" si="111"/>
        <v>x</v>
      </c>
      <c r="T3425" s="495">
        <f>IFERROR(VLOOKUP(F3425,'Freq-Chan'!C:D,2,FALSE),"x")</f>
        <v>151.26599999999999</v>
      </c>
      <c r="U3425" s="493" t="s">
        <v>541</v>
      </c>
      <c r="V3425" s="493" t="str">
        <f t="shared" si="112"/>
        <v>FWL</v>
      </c>
      <c r="W3425" s="493" t="s">
        <v>541</v>
      </c>
      <c r="X3425" s="493" t="s">
        <v>541</v>
      </c>
      <c r="Y3425" s="493" t="str">
        <f>IFERROR(VLOOKUP(F3425,'Freq-Chan'!C:E,3,FALSE),"na")</f>
        <v>F1840</v>
      </c>
      <c r="Z3425" s="493" t="s">
        <v>541</v>
      </c>
      <c r="AA3425" s="493" t="s">
        <v>541</v>
      </c>
      <c r="AB3425" s="493" t="s">
        <v>541</v>
      </c>
      <c r="AC3425" s="291" t="s">
        <v>541</v>
      </c>
      <c r="AD3425" s="291" t="s">
        <v>541</v>
      </c>
    </row>
    <row r="3426" spans="1:30" x14ac:dyDescent="0.2">
      <c r="A3426" s="110">
        <v>3426</v>
      </c>
      <c r="B3426" s="132">
        <v>41875</v>
      </c>
      <c r="C3426" s="117">
        <v>3</v>
      </c>
      <c r="D3426" s="142" t="s">
        <v>71</v>
      </c>
      <c r="E3426" s="142" t="s">
        <v>306</v>
      </c>
      <c r="F3426" s="103">
        <v>564</v>
      </c>
      <c r="G3426" s="103">
        <v>78</v>
      </c>
      <c r="H3426" s="103" t="s">
        <v>2482</v>
      </c>
      <c r="I3426" s="103">
        <v>57</v>
      </c>
      <c r="K3426" s="142" t="s">
        <v>365</v>
      </c>
      <c r="L3426" s="133"/>
      <c r="M3426" s="134">
        <v>4.7916666666666663E-2</v>
      </c>
      <c r="N3426" s="135" t="s">
        <v>4130</v>
      </c>
      <c r="O3426" s="144" t="s">
        <v>376</v>
      </c>
      <c r="Q3426" s="106" t="s">
        <v>4427</v>
      </c>
      <c r="R3426" s="226" t="s">
        <v>4439</v>
      </c>
      <c r="S3426" s="491" t="str">
        <f t="shared" si="111"/>
        <v>x</v>
      </c>
      <c r="T3426" s="492">
        <f>IFERROR(VLOOKUP(F3426,'Freq-Chan'!C:D,2,FALSE),"x")</f>
        <v>151.56399999999999</v>
      </c>
      <c r="U3426" s="110" t="s">
        <v>541</v>
      </c>
      <c r="V3426" s="110" t="str">
        <f t="shared" si="112"/>
        <v>FWL</v>
      </c>
      <c r="W3426" s="110" t="s">
        <v>541</v>
      </c>
      <c r="X3426" s="110" t="s">
        <v>541</v>
      </c>
      <c r="Y3426" s="110" t="str">
        <f>IFERROR(VLOOKUP(F3426,'Freq-Chan'!C:E,3,FALSE),"na")</f>
        <v>F1840</v>
      </c>
      <c r="Z3426" s="110" t="s">
        <v>541</v>
      </c>
      <c r="AA3426" s="110" t="s">
        <v>541</v>
      </c>
      <c r="AB3426" s="110" t="s">
        <v>541</v>
      </c>
      <c r="AC3426" s="10" t="s">
        <v>541</v>
      </c>
      <c r="AD3426" s="10" t="s">
        <v>541</v>
      </c>
    </row>
    <row r="3427" spans="1:30" x14ac:dyDescent="0.2">
      <c r="A3427" s="110">
        <v>3427</v>
      </c>
      <c r="B3427" s="132">
        <v>41875</v>
      </c>
      <c r="C3427" s="117">
        <v>3</v>
      </c>
      <c r="D3427" s="142" t="s">
        <v>71</v>
      </c>
      <c r="E3427" s="142" t="s">
        <v>306</v>
      </c>
      <c r="H3427" s="103"/>
      <c r="I3427" s="103">
        <v>56</v>
      </c>
      <c r="K3427" s="142" t="s">
        <v>365</v>
      </c>
      <c r="L3427" s="133"/>
      <c r="M3427" s="134">
        <v>2.2916666666666669E-2</v>
      </c>
      <c r="N3427" s="135" t="s">
        <v>3494</v>
      </c>
      <c r="O3427" s="144" t="s">
        <v>376</v>
      </c>
      <c r="Q3427" s="106" t="s">
        <v>4427</v>
      </c>
      <c r="R3427" s="226" t="s">
        <v>4439</v>
      </c>
      <c r="S3427" s="491" t="str">
        <f t="shared" si="111"/>
        <v>x</v>
      </c>
      <c r="T3427" s="492" t="str">
        <f>IFERROR(VLOOKUP(F3427,'Freq-Chan'!C:D,2,FALSE),"x")</f>
        <v>x</v>
      </c>
      <c r="U3427" s="110" t="s">
        <v>541</v>
      </c>
      <c r="V3427" s="110" t="str">
        <f t="shared" si="112"/>
        <v>FWL</v>
      </c>
      <c r="W3427" s="110" t="s">
        <v>541</v>
      </c>
      <c r="X3427" s="110" t="s">
        <v>541</v>
      </c>
      <c r="Y3427" s="110" t="str">
        <f>IFERROR(VLOOKUP(F3427,'Freq-Chan'!C:E,3,FALSE),"na")</f>
        <v>na</v>
      </c>
      <c r="Z3427" s="110" t="s">
        <v>541</v>
      </c>
      <c r="AA3427" s="110" t="s">
        <v>541</v>
      </c>
      <c r="AB3427" s="110" t="s">
        <v>541</v>
      </c>
      <c r="AC3427" s="10" t="s">
        <v>541</v>
      </c>
      <c r="AD3427" s="10" t="s">
        <v>541</v>
      </c>
    </row>
    <row r="3428" spans="1:30" x14ac:dyDescent="0.2">
      <c r="A3428" s="110">
        <v>3428</v>
      </c>
      <c r="B3428" s="132">
        <v>41875</v>
      </c>
      <c r="C3428" s="117">
        <v>3</v>
      </c>
      <c r="D3428" s="142" t="s">
        <v>71</v>
      </c>
      <c r="E3428" s="142" t="s">
        <v>306</v>
      </c>
      <c r="H3428" s="103"/>
      <c r="I3428" s="103">
        <v>62</v>
      </c>
      <c r="K3428" s="142" t="s">
        <v>1032</v>
      </c>
      <c r="L3428" s="133"/>
      <c r="M3428" s="134">
        <v>1.7361111111111112E-2</v>
      </c>
      <c r="N3428" s="135" t="s">
        <v>4000</v>
      </c>
      <c r="O3428" s="144" t="s">
        <v>376</v>
      </c>
      <c r="Q3428" s="106" t="s">
        <v>4427</v>
      </c>
      <c r="R3428" s="226" t="s">
        <v>4439</v>
      </c>
      <c r="S3428" s="491" t="str">
        <f t="shared" si="111"/>
        <v>x</v>
      </c>
      <c r="T3428" s="492" t="str">
        <f>IFERROR(VLOOKUP(F3428,'Freq-Chan'!C:D,2,FALSE),"x")</f>
        <v>x</v>
      </c>
      <c r="U3428" s="110" t="s">
        <v>541</v>
      </c>
      <c r="V3428" s="110" t="str">
        <f t="shared" si="112"/>
        <v>FWL</v>
      </c>
      <c r="W3428" s="110" t="s">
        <v>541</v>
      </c>
      <c r="X3428" s="110" t="s">
        <v>541</v>
      </c>
      <c r="Y3428" s="110" t="str">
        <f>IFERROR(VLOOKUP(F3428,'Freq-Chan'!C:E,3,FALSE),"na")</f>
        <v>na</v>
      </c>
      <c r="Z3428" s="110" t="s">
        <v>541</v>
      </c>
      <c r="AA3428" s="110" t="s">
        <v>541</v>
      </c>
      <c r="AB3428" s="110" t="s">
        <v>541</v>
      </c>
      <c r="AC3428" s="10" t="s">
        <v>541</v>
      </c>
      <c r="AD3428" s="10" t="s">
        <v>541</v>
      </c>
    </row>
    <row r="3429" spans="1:30" x14ac:dyDescent="0.2">
      <c r="A3429" s="110">
        <v>3429</v>
      </c>
      <c r="B3429" s="132">
        <v>41875</v>
      </c>
      <c r="C3429" s="117">
        <v>3</v>
      </c>
      <c r="D3429" s="142" t="s">
        <v>72</v>
      </c>
      <c r="E3429" s="142" t="s">
        <v>306</v>
      </c>
      <c r="F3429" s="103">
        <v>266</v>
      </c>
      <c r="G3429" s="103">
        <v>42</v>
      </c>
      <c r="H3429" s="103" t="s">
        <v>3672</v>
      </c>
      <c r="I3429" s="103">
        <v>59</v>
      </c>
      <c r="K3429" s="142" t="s">
        <v>364</v>
      </c>
      <c r="L3429" s="133"/>
      <c r="M3429" s="134">
        <v>4.027777777777778E-2</v>
      </c>
      <c r="N3429" s="135" t="s">
        <v>3424</v>
      </c>
      <c r="O3429" s="144" t="s">
        <v>376</v>
      </c>
      <c r="P3429" s="100" t="s">
        <v>4477</v>
      </c>
      <c r="Q3429" s="106" t="s">
        <v>4427</v>
      </c>
      <c r="R3429" s="226" t="s">
        <v>4439</v>
      </c>
      <c r="S3429" s="491" t="str">
        <f t="shared" si="111"/>
        <v>x</v>
      </c>
      <c r="T3429" s="492">
        <f>IFERROR(VLOOKUP(F3429,'Freq-Chan'!C:D,2,FALSE),"x")</f>
        <v>151.26599999999999</v>
      </c>
      <c r="U3429" s="110" t="s">
        <v>541</v>
      </c>
      <c r="V3429" s="110" t="str">
        <f t="shared" si="112"/>
        <v>FWL</v>
      </c>
      <c r="W3429" s="110" t="s">
        <v>541</v>
      </c>
      <c r="X3429" s="110" t="s">
        <v>541</v>
      </c>
      <c r="Y3429" s="110" t="str">
        <f>IFERROR(VLOOKUP(F3429,'Freq-Chan'!C:E,3,FALSE),"na")</f>
        <v>F1840</v>
      </c>
      <c r="Z3429" s="110" t="s">
        <v>541</v>
      </c>
      <c r="AA3429" s="110" t="s">
        <v>541</v>
      </c>
      <c r="AB3429" s="110" t="s">
        <v>541</v>
      </c>
      <c r="AC3429" s="10" t="s">
        <v>541</v>
      </c>
      <c r="AD3429" s="10" t="s">
        <v>541</v>
      </c>
    </row>
    <row r="3430" spans="1:30" x14ac:dyDescent="0.2">
      <c r="A3430" s="110">
        <v>3430</v>
      </c>
      <c r="B3430" s="132">
        <v>41875</v>
      </c>
      <c r="C3430" s="117">
        <v>3</v>
      </c>
      <c r="D3430" s="142" t="s">
        <v>71</v>
      </c>
      <c r="E3430" s="142" t="s">
        <v>306</v>
      </c>
      <c r="H3430" s="103"/>
      <c r="I3430" s="103">
        <v>55</v>
      </c>
      <c r="K3430" s="142" t="s">
        <v>364</v>
      </c>
      <c r="L3430" s="133"/>
      <c r="M3430" s="134">
        <v>1.8749999999999999E-2</v>
      </c>
      <c r="N3430" s="135" t="s">
        <v>3980</v>
      </c>
      <c r="O3430" s="144" t="s">
        <v>376</v>
      </c>
      <c r="Q3430" s="106" t="s">
        <v>4427</v>
      </c>
      <c r="R3430" s="226" t="s">
        <v>4439</v>
      </c>
      <c r="S3430" s="491" t="str">
        <f t="shared" si="111"/>
        <v>x</v>
      </c>
      <c r="T3430" s="492" t="str">
        <f>IFERROR(VLOOKUP(F3430,'Freq-Chan'!C:D,2,FALSE),"x")</f>
        <v>x</v>
      </c>
      <c r="U3430" s="110" t="s">
        <v>541</v>
      </c>
      <c r="V3430" s="110" t="str">
        <f t="shared" si="112"/>
        <v>FWL</v>
      </c>
      <c r="W3430" s="110" t="s">
        <v>541</v>
      </c>
      <c r="X3430" s="110" t="s">
        <v>541</v>
      </c>
      <c r="Y3430" s="110" t="str">
        <f>IFERROR(VLOOKUP(F3430,'Freq-Chan'!C:E,3,FALSE),"na")</f>
        <v>na</v>
      </c>
      <c r="Z3430" s="110" t="s">
        <v>541</v>
      </c>
      <c r="AA3430" s="110" t="s">
        <v>541</v>
      </c>
      <c r="AB3430" s="110" t="s">
        <v>541</v>
      </c>
      <c r="AC3430" s="10" t="s">
        <v>541</v>
      </c>
      <c r="AD3430" s="10" t="s">
        <v>541</v>
      </c>
    </row>
    <row r="3431" spans="1:30" x14ac:dyDescent="0.2">
      <c r="A3431" s="110">
        <v>3431</v>
      </c>
      <c r="B3431" s="132">
        <v>41875</v>
      </c>
      <c r="C3431" s="117">
        <v>3</v>
      </c>
      <c r="D3431" s="142" t="s">
        <v>71</v>
      </c>
      <c r="E3431" s="142" t="s">
        <v>306</v>
      </c>
      <c r="H3431" s="103"/>
      <c r="I3431" s="103">
        <v>60</v>
      </c>
      <c r="K3431" s="142" t="s">
        <v>1032</v>
      </c>
      <c r="L3431" s="133"/>
      <c r="M3431" s="134">
        <v>1.5277777777777777E-2</v>
      </c>
      <c r="N3431" s="135" t="s">
        <v>3355</v>
      </c>
      <c r="O3431" s="144" t="s">
        <v>376</v>
      </c>
      <c r="Q3431" s="106" t="s">
        <v>4427</v>
      </c>
      <c r="R3431" s="226" t="s">
        <v>4439</v>
      </c>
      <c r="S3431" s="491" t="str">
        <f t="shared" si="111"/>
        <v>x</v>
      </c>
      <c r="T3431" s="492" t="str">
        <f>IFERROR(VLOOKUP(F3431,'Freq-Chan'!C:D,2,FALSE),"x")</f>
        <v>x</v>
      </c>
      <c r="U3431" s="110" t="s">
        <v>541</v>
      </c>
      <c r="V3431" s="110" t="str">
        <f t="shared" si="112"/>
        <v>FWL</v>
      </c>
      <c r="W3431" s="110" t="s">
        <v>541</v>
      </c>
      <c r="X3431" s="110" t="s">
        <v>541</v>
      </c>
      <c r="Y3431" s="110" t="str">
        <f>IFERROR(VLOOKUP(F3431,'Freq-Chan'!C:E,3,FALSE),"na")</f>
        <v>na</v>
      </c>
      <c r="Z3431" s="110" t="s">
        <v>541</v>
      </c>
      <c r="AA3431" s="110" t="s">
        <v>541</v>
      </c>
      <c r="AB3431" s="110" t="s">
        <v>541</v>
      </c>
      <c r="AC3431" s="10" t="s">
        <v>541</v>
      </c>
      <c r="AD3431" s="10" t="s">
        <v>541</v>
      </c>
    </row>
    <row r="3432" spans="1:30" x14ac:dyDescent="0.2">
      <c r="A3432" s="110">
        <v>3432</v>
      </c>
      <c r="B3432" s="132">
        <v>41875</v>
      </c>
      <c r="C3432" s="117">
        <v>3</v>
      </c>
      <c r="D3432" s="142" t="s">
        <v>72</v>
      </c>
      <c r="E3432" s="142" t="s">
        <v>306</v>
      </c>
      <c r="F3432" s="103">
        <v>266</v>
      </c>
      <c r="G3432" s="103">
        <v>44</v>
      </c>
      <c r="H3432" s="103" t="s">
        <v>3673</v>
      </c>
      <c r="I3432" s="103">
        <v>59</v>
      </c>
      <c r="K3432" s="142" t="s">
        <v>364</v>
      </c>
      <c r="L3432" s="133"/>
      <c r="M3432" s="134">
        <v>5.7638888888888885E-2</v>
      </c>
      <c r="N3432" s="135" t="s">
        <v>3335</v>
      </c>
      <c r="O3432" s="144" t="s">
        <v>376</v>
      </c>
      <c r="P3432" s="100" t="s">
        <v>4477</v>
      </c>
      <c r="Q3432" s="106" t="s">
        <v>4427</v>
      </c>
      <c r="R3432" s="226" t="s">
        <v>4439</v>
      </c>
      <c r="S3432" s="491" t="str">
        <f t="shared" si="111"/>
        <v>x</v>
      </c>
      <c r="T3432" s="492">
        <f>IFERROR(VLOOKUP(F3432,'Freq-Chan'!C:D,2,FALSE),"x")</f>
        <v>151.26599999999999</v>
      </c>
      <c r="U3432" s="110" t="s">
        <v>541</v>
      </c>
      <c r="V3432" s="110" t="str">
        <f t="shared" si="112"/>
        <v>FWL</v>
      </c>
      <c r="W3432" s="110" t="s">
        <v>541</v>
      </c>
      <c r="X3432" s="110" t="s">
        <v>541</v>
      </c>
      <c r="Y3432" s="110" t="str">
        <f>IFERROR(VLOOKUP(F3432,'Freq-Chan'!C:E,3,FALSE),"na")</f>
        <v>F1840</v>
      </c>
      <c r="Z3432" s="110" t="s">
        <v>541</v>
      </c>
      <c r="AA3432" s="110" t="s">
        <v>541</v>
      </c>
      <c r="AB3432" s="110" t="s">
        <v>541</v>
      </c>
      <c r="AC3432" s="10" t="s">
        <v>541</v>
      </c>
      <c r="AD3432" s="10" t="s">
        <v>541</v>
      </c>
    </row>
    <row r="3433" spans="1:30" x14ac:dyDescent="0.2">
      <c r="A3433" s="110">
        <v>3433</v>
      </c>
      <c r="B3433" s="132">
        <v>41875</v>
      </c>
      <c r="C3433" s="117">
        <v>3</v>
      </c>
      <c r="D3433" s="142" t="s">
        <v>2</v>
      </c>
      <c r="E3433" s="142" t="s">
        <v>306</v>
      </c>
      <c r="H3433" s="103"/>
      <c r="I3433" s="103">
        <v>63</v>
      </c>
      <c r="K3433" s="103" t="s">
        <v>364</v>
      </c>
      <c r="L3433" s="133"/>
      <c r="M3433" s="134">
        <v>1.6666666666666666E-2</v>
      </c>
      <c r="N3433" s="135" t="s">
        <v>3205</v>
      </c>
      <c r="O3433" s="144" t="s">
        <v>376</v>
      </c>
      <c r="P3433" s="106" t="s">
        <v>4435</v>
      </c>
      <c r="Q3433" s="106" t="s">
        <v>4427</v>
      </c>
      <c r="R3433" s="226" t="s">
        <v>4439</v>
      </c>
      <c r="S3433" s="491" t="str">
        <f t="shared" si="111"/>
        <v>x</v>
      </c>
      <c r="T3433" s="492" t="str">
        <f>IFERROR(VLOOKUP(F3433,'Freq-Chan'!C:D,2,FALSE),"x")</f>
        <v>x</v>
      </c>
      <c r="U3433" s="110" t="s">
        <v>541</v>
      </c>
      <c r="V3433" s="110" t="str">
        <f t="shared" si="112"/>
        <v>FWL</v>
      </c>
      <c r="W3433" s="110" t="s">
        <v>541</v>
      </c>
      <c r="X3433" s="110" t="s">
        <v>541</v>
      </c>
      <c r="Y3433" s="110" t="str">
        <f>IFERROR(VLOOKUP(F3433,'Freq-Chan'!C:E,3,FALSE),"na")</f>
        <v>na</v>
      </c>
      <c r="Z3433" s="110" t="s">
        <v>541</v>
      </c>
      <c r="AA3433" s="110" t="s">
        <v>541</v>
      </c>
      <c r="AB3433" s="110" t="s">
        <v>541</v>
      </c>
      <c r="AC3433" s="10" t="s">
        <v>541</v>
      </c>
      <c r="AD3433" s="10" t="s">
        <v>541</v>
      </c>
    </row>
    <row r="3434" spans="1:30" x14ac:dyDescent="0.2">
      <c r="A3434" s="110">
        <v>3434</v>
      </c>
      <c r="B3434" s="132">
        <v>41875</v>
      </c>
      <c r="C3434" s="117">
        <v>3</v>
      </c>
      <c r="D3434" s="142" t="s">
        <v>72</v>
      </c>
      <c r="E3434" s="142" t="s">
        <v>306</v>
      </c>
      <c r="F3434" s="103">
        <v>266</v>
      </c>
      <c r="G3434" s="103">
        <v>48</v>
      </c>
      <c r="H3434" s="103" t="s">
        <v>3674</v>
      </c>
      <c r="I3434" s="103">
        <v>52</v>
      </c>
      <c r="K3434" s="142" t="s">
        <v>365</v>
      </c>
      <c r="L3434" s="133"/>
      <c r="M3434" s="134">
        <v>4.027777777777778E-2</v>
      </c>
      <c r="N3434" s="135" t="s">
        <v>825</v>
      </c>
      <c r="O3434" s="144" t="s">
        <v>555</v>
      </c>
      <c r="P3434" s="100" t="s">
        <v>4477</v>
      </c>
      <c r="Q3434" s="106" t="s">
        <v>4427</v>
      </c>
      <c r="R3434" s="226" t="s">
        <v>4439</v>
      </c>
      <c r="S3434" s="491" t="str">
        <f t="shared" si="111"/>
        <v>x</v>
      </c>
      <c r="T3434" s="492">
        <f>IFERROR(VLOOKUP(F3434,'Freq-Chan'!C:D,2,FALSE),"x")</f>
        <v>151.26599999999999</v>
      </c>
      <c r="U3434" s="110" t="s">
        <v>541</v>
      </c>
      <c r="V3434" s="110" t="str">
        <f t="shared" si="112"/>
        <v>FWL</v>
      </c>
      <c r="W3434" s="110" t="s">
        <v>541</v>
      </c>
      <c r="X3434" s="110" t="s">
        <v>541</v>
      </c>
      <c r="Y3434" s="110" t="str">
        <f>IFERROR(VLOOKUP(F3434,'Freq-Chan'!C:E,3,FALSE),"na")</f>
        <v>F1840</v>
      </c>
      <c r="Z3434" s="110" t="s">
        <v>541</v>
      </c>
      <c r="AA3434" s="110" t="s">
        <v>541</v>
      </c>
      <c r="AB3434" s="110" t="s">
        <v>541</v>
      </c>
      <c r="AC3434" s="10" t="s">
        <v>541</v>
      </c>
      <c r="AD3434" s="10" t="s">
        <v>541</v>
      </c>
    </row>
    <row r="3435" spans="1:30" x14ac:dyDescent="0.2">
      <c r="A3435" s="110">
        <v>3435</v>
      </c>
      <c r="B3435" s="132">
        <v>41875</v>
      </c>
      <c r="C3435" s="117">
        <v>3</v>
      </c>
      <c r="D3435" s="142" t="s">
        <v>72</v>
      </c>
      <c r="E3435" s="142" t="s">
        <v>306</v>
      </c>
      <c r="F3435" s="103">
        <v>266</v>
      </c>
      <c r="G3435" s="103">
        <v>47</v>
      </c>
      <c r="H3435" s="103" t="s">
        <v>3675</v>
      </c>
      <c r="I3435" s="103">
        <v>51</v>
      </c>
      <c r="K3435" s="142" t="s">
        <v>364</v>
      </c>
      <c r="L3435" s="133"/>
      <c r="M3435" s="134">
        <v>5.2083333333333336E-2</v>
      </c>
      <c r="N3435" s="135" t="s">
        <v>2631</v>
      </c>
      <c r="O3435" s="144" t="s">
        <v>555</v>
      </c>
      <c r="P3435" s="100" t="s">
        <v>4477</v>
      </c>
      <c r="Q3435" s="106" t="s">
        <v>4427</v>
      </c>
      <c r="R3435" s="226" t="s">
        <v>4439</v>
      </c>
      <c r="S3435" s="491" t="str">
        <f t="shared" si="111"/>
        <v>x</v>
      </c>
      <c r="T3435" s="492">
        <f>IFERROR(VLOOKUP(F3435,'Freq-Chan'!C:D,2,FALSE),"x")</f>
        <v>151.26599999999999</v>
      </c>
      <c r="U3435" s="110" t="s">
        <v>541</v>
      </c>
      <c r="V3435" s="110" t="str">
        <f t="shared" si="112"/>
        <v>FWL</v>
      </c>
      <c r="W3435" s="110" t="s">
        <v>541</v>
      </c>
      <c r="X3435" s="110" t="s">
        <v>541</v>
      </c>
      <c r="Y3435" s="110" t="str">
        <f>IFERROR(VLOOKUP(F3435,'Freq-Chan'!C:E,3,FALSE),"na")</f>
        <v>F1840</v>
      </c>
      <c r="Z3435" s="110" t="s">
        <v>541</v>
      </c>
      <c r="AA3435" s="110" t="s">
        <v>541</v>
      </c>
      <c r="AB3435" s="110" t="s">
        <v>541</v>
      </c>
      <c r="AC3435" s="10" t="s">
        <v>541</v>
      </c>
      <c r="AD3435" s="10" t="s">
        <v>541</v>
      </c>
    </row>
    <row r="3436" spans="1:30" x14ac:dyDescent="0.2">
      <c r="A3436" s="110">
        <v>3436</v>
      </c>
      <c r="B3436" s="132">
        <v>41875</v>
      </c>
      <c r="C3436" s="117">
        <v>3</v>
      </c>
      <c r="D3436" s="142" t="s">
        <v>72</v>
      </c>
      <c r="E3436" s="142" t="s">
        <v>306</v>
      </c>
      <c r="H3436" s="103"/>
      <c r="I3436" s="103">
        <v>48</v>
      </c>
      <c r="K3436" s="142" t="s">
        <v>364</v>
      </c>
      <c r="L3436" s="133"/>
      <c r="M3436" s="134">
        <v>2.013888888888889E-2</v>
      </c>
      <c r="N3436" s="135" t="s">
        <v>1660</v>
      </c>
      <c r="O3436" s="144" t="s">
        <v>555</v>
      </c>
      <c r="Q3436" s="106" t="s">
        <v>4427</v>
      </c>
      <c r="R3436" s="226" t="s">
        <v>4439</v>
      </c>
      <c r="S3436" s="491" t="str">
        <f t="shared" si="111"/>
        <v>x</v>
      </c>
      <c r="T3436" s="492" t="str">
        <f>IFERROR(VLOOKUP(F3436,'Freq-Chan'!C:D,2,FALSE),"x")</f>
        <v>x</v>
      </c>
      <c r="U3436" s="110" t="s">
        <v>541</v>
      </c>
      <c r="V3436" s="110" t="str">
        <f t="shared" si="112"/>
        <v>FWL</v>
      </c>
      <c r="W3436" s="110" t="s">
        <v>541</v>
      </c>
      <c r="X3436" s="110" t="s">
        <v>541</v>
      </c>
      <c r="Y3436" s="110" t="str">
        <f>IFERROR(VLOOKUP(F3436,'Freq-Chan'!C:E,3,FALSE),"na")</f>
        <v>na</v>
      </c>
      <c r="Z3436" s="110" t="s">
        <v>541</v>
      </c>
      <c r="AA3436" s="110" t="s">
        <v>541</v>
      </c>
      <c r="AB3436" s="110" t="s">
        <v>541</v>
      </c>
      <c r="AC3436" s="10" t="s">
        <v>541</v>
      </c>
      <c r="AD3436" s="10" t="s">
        <v>541</v>
      </c>
    </row>
    <row r="3437" spans="1:30" x14ac:dyDescent="0.2">
      <c r="A3437" s="110">
        <v>3437</v>
      </c>
      <c r="B3437" s="132">
        <v>41875</v>
      </c>
      <c r="C3437" s="117">
        <v>3</v>
      </c>
      <c r="D3437" s="142" t="s">
        <v>72</v>
      </c>
      <c r="E3437" s="142" t="s">
        <v>306</v>
      </c>
      <c r="H3437" s="103"/>
      <c r="I3437" s="103">
        <v>56</v>
      </c>
      <c r="K3437" s="142" t="s">
        <v>1032</v>
      </c>
      <c r="L3437" s="133"/>
      <c r="M3437" s="134">
        <v>1.7361111111111112E-2</v>
      </c>
      <c r="N3437" s="135" t="s">
        <v>2632</v>
      </c>
      <c r="O3437" s="144" t="s">
        <v>555</v>
      </c>
      <c r="Q3437" s="106" t="s">
        <v>4427</v>
      </c>
      <c r="R3437" s="226" t="s">
        <v>4439</v>
      </c>
      <c r="S3437" s="491" t="str">
        <f t="shared" si="111"/>
        <v>x</v>
      </c>
      <c r="T3437" s="492" t="str">
        <f>IFERROR(VLOOKUP(F3437,'Freq-Chan'!C:D,2,FALSE),"x")</f>
        <v>x</v>
      </c>
      <c r="U3437" s="110" t="s">
        <v>541</v>
      </c>
      <c r="V3437" s="110" t="str">
        <f t="shared" si="112"/>
        <v>FWL</v>
      </c>
      <c r="W3437" s="110" t="s">
        <v>541</v>
      </c>
      <c r="X3437" s="110" t="s">
        <v>541</v>
      </c>
      <c r="Y3437" s="110" t="str">
        <f>IFERROR(VLOOKUP(F3437,'Freq-Chan'!C:E,3,FALSE),"na")</f>
        <v>na</v>
      </c>
      <c r="Z3437" s="110" t="s">
        <v>541</v>
      </c>
      <c r="AA3437" s="110" t="s">
        <v>541</v>
      </c>
      <c r="AB3437" s="110" t="s">
        <v>541</v>
      </c>
      <c r="AC3437" s="10" t="s">
        <v>541</v>
      </c>
      <c r="AD3437" s="10" t="s">
        <v>541</v>
      </c>
    </row>
    <row r="3438" spans="1:30" x14ac:dyDescent="0.2">
      <c r="A3438" s="110">
        <v>3438</v>
      </c>
      <c r="B3438" s="132">
        <v>41875</v>
      </c>
      <c r="C3438" s="117">
        <v>3</v>
      </c>
      <c r="D3438" s="142" t="s">
        <v>72</v>
      </c>
      <c r="E3438" s="142" t="s">
        <v>306</v>
      </c>
      <c r="H3438" s="103"/>
      <c r="I3438" s="103">
        <v>60</v>
      </c>
      <c r="K3438" s="142" t="s">
        <v>365</v>
      </c>
      <c r="L3438" s="133"/>
      <c r="M3438" s="134">
        <v>2.2916666666666669E-2</v>
      </c>
      <c r="N3438" s="135" t="s">
        <v>3985</v>
      </c>
      <c r="O3438" s="144" t="s">
        <v>555</v>
      </c>
      <c r="Q3438" s="106" t="s">
        <v>4427</v>
      </c>
      <c r="R3438" s="226" t="s">
        <v>4439</v>
      </c>
      <c r="S3438" s="491" t="str">
        <f t="shared" si="111"/>
        <v>x</v>
      </c>
      <c r="T3438" s="492" t="str">
        <f>IFERROR(VLOOKUP(F3438,'Freq-Chan'!C:D,2,FALSE),"x")</f>
        <v>x</v>
      </c>
      <c r="U3438" s="110" t="s">
        <v>541</v>
      </c>
      <c r="V3438" s="110" t="str">
        <f t="shared" si="112"/>
        <v>FWL</v>
      </c>
      <c r="W3438" s="110" t="s">
        <v>541</v>
      </c>
      <c r="X3438" s="110" t="s">
        <v>541</v>
      </c>
      <c r="Y3438" s="110" t="str">
        <f>IFERROR(VLOOKUP(F3438,'Freq-Chan'!C:E,3,FALSE),"na")</f>
        <v>na</v>
      </c>
      <c r="Z3438" s="110" t="s">
        <v>541</v>
      </c>
      <c r="AA3438" s="110" t="s">
        <v>541</v>
      </c>
      <c r="AB3438" s="110" t="s">
        <v>541</v>
      </c>
      <c r="AC3438" s="10" t="s">
        <v>541</v>
      </c>
      <c r="AD3438" s="10" t="s">
        <v>541</v>
      </c>
    </row>
    <row r="3439" spans="1:30" x14ac:dyDescent="0.2">
      <c r="A3439" s="110">
        <v>3439</v>
      </c>
      <c r="B3439" s="132">
        <v>41875</v>
      </c>
      <c r="C3439" s="117">
        <v>3</v>
      </c>
      <c r="D3439" s="142" t="s">
        <v>72</v>
      </c>
      <c r="E3439" s="142" t="s">
        <v>306</v>
      </c>
      <c r="H3439" s="103"/>
      <c r="I3439" s="103">
        <v>59</v>
      </c>
      <c r="K3439" s="142" t="s">
        <v>1032</v>
      </c>
      <c r="L3439" s="133"/>
      <c r="M3439" s="134">
        <v>2.013888888888889E-2</v>
      </c>
      <c r="N3439" s="135" t="s">
        <v>711</v>
      </c>
      <c r="O3439" s="144" t="s">
        <v>4436</v>
      </c>
      <c r="Q3439" s="106" t="s">
        <v>4428</v>
      </c>
      <c r="R3439" s="226" t="s">
        <v>4439</v>
      </c>
      <c r="S3439" s="491" t="str">
        <f t="shared" si="111"/>
        <v>x</v>
      </c>
      <c r="T3439" s="492" t="str">
        <f>IFERROR(VLOOKUP(F3439,'Freq-Chan'!C:D,2,FALSE),"x")</f>
        <v>x</v>
      </c>
      <c r="U3439" s="110" t="s">
        <v>541</v>
      </c>
      <c r="V3439" s="110" t="str">
        <f t="shared" si="112"/>
        <v>FWL</v>
      </c>
      <c r="W3439" s="110" t="s">
        <v>541</v>
      </c>
      <c r="X3439" s="110" t="s">
        <v>541</v>
      </c>
      <c r="Y3439" s="110" t="str">
        <f>IFERROR(VLOOKUP(F3439,'Freq-Chan'!C:E,3,FALSE),"na")</f>
        <v>na</v>
      </c>
      <c r="Z3439" s="110" t="s">
        <v>541</v>
      </c>
      <c r="AA3439" s="110" t="s">
        <v>541</v>
      </c>
      <c r="AB3439" s="110" t="s">
        <v>541</v>
      </c>
      <c r="AC3439" s="10" t="s">
        <v>541</v>
      </c>
      <c r="AD3439" s="10" t="s">
        <v>541</v>
      </c>
    </row>
    <row r="3440" spans="1:30" x14ac:dyDescent="0.2">
      <c r="A3440" s="110">
        <v>3440</v>
      </c>
      <c r="B3440" s="132">
        <v>41875</v>
      </c>
      <c r="C3440" s="117">
        <v>3</v>
      </c>
      <c r="D3440" s="142" t="s">
        <v>72</v>
      </c>
      <c r="E3440" s="142" t="s">
        <v>306</v>
      </c>
      <c r="H3440" s="103"/>
      <c r="I3440" s="103">
        <v>50</v>
      </c>
      <c r="K3440" s="142" t="s">
        <v>365</v>
      </c>
      <c r="L3440" s="133"/>
      <c r="M3440" s="134">
        <v>1.6666666666666666E-2</v>
      </c>
      <c r="N3440" s="135" t="s">
        <v>4437</v>
      </c>
      <c r="O3440" s="144" t="s">
        <v>3932</v>
      </c>
      <c r="Q3440" s="106" t="s">
        <v>4428</v>
      </c>
      <c r="R3440" s="226" t="s">
        <v>4439</v>
      </c>
      <c r="S3440" s="491" t="str">
        <f t="shared" si="111"/>
        <v>x</v>
      </c>
      <c r="T3440" s="492" t="str">
        <f>IFERROR(VLOOKUP(F3440,'Freq-Chan'!C:D,2,FALSE),"x")</f>
        <v>x</v>
      </c>
      <c r="U3440" s="110" t="s">
        <v>541</v>
      </c>
      <c r="V3440" s="110" t="str">
        <f t="shared" si="112"/>
        <v>FWL</v>
      </c>
      <c r="W3440" s="110" t="s">
        <v>541</v>
      </c>
      <c r="X3440" s="110" t="s">
        <v>541</v>
      </c>
      <c r="Y3440" s="110" t="str">
        <f>IFERROR(VLOOKUP(F3440,'Freq-Chan'!C:E,3,FALSE),"na")</f>
        <v>na</v>
      </c>
      <c r="Z3440" s="110" t="s">
        <v>541</v>
      </c>
      <c r="AA3440" s="110" t="s">
        <v>541</v>
      </c>
      <c r="AB3440" s="110" t="s">
        <v>541</v>
      </c>
      <c r="AC3440" s="10" t="s">
        <v>541</v>
      </c>
      <c r="AD3440" s="10" t="s">
        <v>541</v>
      </c>
    </row>
    <row r="3441" spans="1:30" x14ac:dyDescent="0.2">
      <c r="A3441" s="110">
        <v>3441</v>
      </c>
      <c r="B3441" s="132">
        <v>41875</v>
      </c>
      <c r="C3441" s="117">
        <v>3</v>
      </c>
      <c r="D3441" s="142" t="s">
        <v>72</v>
      </c>
      <c r="E3441" s="142" t="s">
        <v>306</v>
      </c>
      <c r="H3441" s="103"/>
      <c r="I3441" s="103">
        <v>59</v>
      </c>
      <c r="K3441" s="142" t="s">
        <v>365</v>
      </c>
      <c r="L3441" s="133"/>
      <c r="M3441" s="134">
        <v>1.7361111111111112E-2</v>
      </c>
      <c r="N3441" s="135" t="s">
        <v>4126</v>
      </c>
      <c r="O3441" s="144" t="s">
        <v>3932</v>
      </c>
      <c r="Q3441" s="106" t="s">
        <v>4428</v>
      </c>
      <c r="R3441" s="226" t="s">
        <v>4439</v>
      </c>
      <c r="S3441" s="491" t="str">
        <f t="shared" si="111"/>
        <v>x</v>
      </c>
      <c r="T3441" s="492" t="str">
        <f>IFERROR(VLOOKUP(F3441,'Freq-Chan'!C:D,2,FALSE),"x")</f>
        <v>x</v>
      </c>
      <c r="U3441" s="110" t="s">
        <v>541</v>
      </c>
      <c r="V3441" s="110" t="str">
        <f t="shared" si="112"/>
        <v>FWL</v>
      </c>
      <c r="W3441" s="110" t="s">
        <v>541</v>
      </c>
      <c r="X3441" s="110" t="s">
        <v>541</v>
      </c>
      <c r="Y3441" s="110" t="str">
        <f>IFERROR(VLOOKUP(F3441,'Freq-Chan'!C:E,3,FALSE),"na")</f>
        <v>na</v>
      </c>
      <c r="Z3441" s="110" t="s">
        <v>541</v>
      </c>
      <c r="AA3441" s="110" t="s">
        <v>541</v>
      </c>
      <c r="AB3441" s="110" t="s">
        <v>541</v>
      </c>
      <c r="AC3441" s="10" t="s">
        <v>541</v>
      </c>
      <c r="AD3441" s="10" t="s">
        <v>541</v>
      </c>
    </row>
    <row r="3442" spans="1:30" x14ac:dyDescent="0.2">
      <c r="A3442" s="110">
        <v>3442</v>
      </c>
      <c r="B3442" s="132">
        <v>41875</v>
      </c>
      <c r="C3442" s="117">
        <v>3</v>
      </c>
      <c r="D3442" s="142" t="s">
        <v>72</v>
      </c>
      <c r="E3442" s="142" t="s">
        <v>306</v>
      </c>
      <c r="H3442" s="103"/>
      <c r="I3442" s="103">
        <v>56</v>
      </c>
      <c r="K3442" s="142" t="s">
        <v>365</v>
      </c>
      <c r="L3442" s="133"/>
      <c r="M3442" s="134">
        <v>2.361111111111111E-2</v>
      </c>
      <c r="N3442" s="135" t="s">
        <v>1580</v>
      </c>
      <c r="O3442" s="144" t="s">
        <v>3932</v>
      </c>
      <c r="Q3442" s="106" t="s">
        <v>4428</v>
      </c>
      <c r="R3442" s="226" t="s">
        <v>4439</v>
      </c>
      <c r="S3442" s="491" t="str">
        <f t="shared" ref="S3442:S3505" si="113">IF(IF(OR(L3442=0,N3442=0),"x",ROUND(N3442-L3442-(M3442*24)/(24*60),10))&lt;0,0,IF(OR(L3442=0,N3442=0),"x",ROUND(N3442-L3442-(M3442*24)/(24*60),10)))</f>
        <v>x</v>
      </c>
      <c r="T3442" s="492" t="str">
        <f>IFERROR(VLOOKUP(F3442,'Freq-Chan'!C:D,2,FALSE),"x")</f>
        <v>x</v>
      </c>
      <c r="U3442" s="110" t="s">
        <v>541</v>
      </c>
      <c r="V3442" s="110" t="str">
        <f t="shared" ref="V3442:V3505" si="114">IF(OR(C3442=1,C3442=2,C3442=3),"FWL","NRD")</f>
        <v>FWL</v>
      </c>
      <c r="W3442" s="110" t="s">
        <v>541</v>
      </c>
      <c r="X3442" s="110" t="s">
        <v>541</v>
      </c>
      <c r="Y3442" s="110" t="str">
        <f>IFERROR(VLOOKUP(F3442,'Freq-Chan'!C:E,3,FALSE),"na")</f>
        <v>na</v>
      </c>
      <c r="Z3442" s="110" t="s">
        <v>541</v>
      </c>
      <c r="AA3442" s="110" t="s">
        <v>541</v>
      </c>
      <c r="AB3442" s="110" t="s">
        <v>541</v>
      </c>
      <c r="AC3442" s="10" t="s">
        <v>541</v>
      </c>
      <c r="AD3442" s="10" t="s">
        <v>541</v>
      </c>
    </row>
    <row r="3443" spans="1:30" x14ac:dyDescent="0.2">
      <c r="A3443" s="110">
        <v>3443</v>
      </c>
      <c r="B3443" s="132">
        <v>41875</v>
      </c>
      <c r="C3443" s="117">
        <v>3</v>
      </c>
      <c r="D3443" s="142" t="s">
        <v>72</v>
      </c>
      <c r="E3443" s="142" t="s">
        <v>306</v>
      </c>
      <c r="H3443" s="142"/>
      <c r="I3443" s="103">
        <v>47</v>
      </c>
      <c r="K3443" s="142" t="s">
        <v>1032</v>
      </c>
      <c r="L3443" s="133"/>
      <c r="M3443" s="134">
        <v>1.4583333333333332E-2</v>
      </c>
      <c r="N3443" s="135" t="s">
        <v>880</v>
      </c>
      <c r="O3443" s="144" t="s">
        <v>3932</v>
      </c>
      <c r="Q3443" s="106" t="s">
        <v>4428</v>
      </c>
      <c r="R3443" s="226" t="s">
        <v>4439</v>
      </c>
      <c r="S3443" s="491" t="str">
        <f t="shared" si="113"/>
        <v>x</v>
      </c>
      <c r="T3443" s="492" t="str">
        <f>IFERROR(VLOOKUP(F3443,'Freq-Chan'!C:D,2,FALSE),"x")</f>
        <v>x</v>
      </c>
      <c r="U3443" s="110" t="s">
        <v>541</v>
      </c>
      <c r="V3443" s="110" t="str">
        <f t="shared" si="114"/>
        <v>FWL</v>
      </c>
      <c r="W3443" s="110" t="s">
        <v>541</v>
      </c>
      <c r="X3443" s="110" t="s">
        <v>541</v>
      </c>
      <c r="Y3443" s="110" t="str">
        <f>IFERROR(VLOOKUP(F3443,'Freq-Chan'!C:E,3,FALSE),"na")</f>
        <v>na</v>
      </c>
      <c r="Z3443" s="110" t="s">
        <v>541</v>
      </c>
      <c r="AA3443" s="110" t="s">
        <v>541</v>
      </c>
      <c r="AB3443" s="110" t="s">
        <v>541</v>
      </c>
      <c r="AC3443" s="10" t="s">
        <v>541</v>
      </c>
      <c r="AD3443" s="10" t="s">
        <v>541</v>
      </c>
    </row>
    <row r="3444" spans="1:30" x14ac:dyDescent="0.2">
      <c r="A3444" s="110">
        <v>3444</v>
      </c>
      <c r="B3444" s="132">
        <v>41875</v>
      </c>
      <c r="C3444" s="117">
        <v>3</v>
      </c>
      <c r="D3444" s="142" t="s">
        <v>71</v>
      </c>
      <c r="E3444" s="142" t="s">
        <v>306</v>
      </c>
      <c r="H3444" s="142"/>
      <c r="I3444" s="103">
        <v>61</v>
      </c>
      <c r="K3444" s="142" t="s">
        <v>1032</v>
      </c>
      <c r="L3444" s="133"/>
      <c r="M3444" s="134">
        <v>1.4583333333333332E-2</v>
      </c>
      <c r="N3444" s="135" t="s">
        <v>2596</v>
      </c>
      <c r="O3444" s="144" t="s">
        <v>3932</v>
      </c>
      <c r="Q3444" s="106" t="s">
        <v>4428</v>
      </c>
      <c r="R3444" s="226" t="s">
        <v>4439</v>
      </c>
      <c r="S3444" s="491" t="str">
        <f t="shared" si="113"/>
        <v>x</v>
      </c>
      <c r="T3444" s="492" t="str">
        <f>IFERROR(VLOOKUP(F3444,'Freq-Chan'!C:D,2,FALSE),"x")</f>
        <v>x</v>
      </c>
      <c r="U3444" s="110" t="s">
        <v>541</v>
      </c>
      <c r="V3444" s="110" t="str">
        <f t="shared" si="114"/>
        <v>FWL</v>
      </c>
      <c r="W3444" s="110" t="s">
        <v>541</v>
      </c>
      <c r="X3444" s="110" t="s">
        <v>541</v>
      </c>
      <c r="Y3444" s="110" t="str">
        <f>IFERROR(VLOOKUP(F3444,'Freq-Chan'!C:E,3,FALSE),"na")</f>
        <v>na</v>
      </c>
      <c r="Z3444" s="110" t="s">
        <v>541</v>
      </c>
      <c r="AA3444" s="110" t="s">
        <v>541</v>
      </c>
      <c r="AB3444" s="110" t="s">
        <v>541</v>
      </c>
      <c r="AC3444" s="10" t="s">
        <v>541</v>
      </c>
      <c r="AD3444" s="10" t="s">
        <v>541</v>
      </c>
    </row>
    <row r="3445" spans="1:30" x14ac:dyDescent="0.2">
      <c r="A3445" s="110">
        <v>3445</v>
      </c>
      <c r="B3445" s="132">
        <v>41875</v>
      </c>
      <c r="C3445" s="117">
        <v>3</v>
      </c>
      <c r="D3445" s="142" t="s">
        <v>71</v>
      </c>
      <c r="E3445" s="142" t="s">
        <v>306</v>
      </c>
      <c r="H3445" s="103"/>
      <c r="I3445" s="103">
        <v>51</v>
      </c>
      <c r="K3445" s="142" t="s">
        <v>365</v>
      </c>
      <c r="L3445" s="133"/>
      <c r="M3445" s="134">
        <v>1.9444444444444445E-2</v>
      </c>
      <c r="N3445" s="135" t="s">
        <v>1943</v>
      </c>
      <c r="O3445" s="144" t="s">
        <v>3932</v>
      </c>
      <c r="Q3445" s="106" t="s">
        <v>4428</v>
      </c>
      <c r="R3445" s="226" t="s">
        <v>4439</v>
      </c>
      <c r="S3445" s="491" t="str">
        <f t="shared" si="113"/>
        <v>x</v>
      </c>
      <c r="T3445" s="492" t="str">
        <f>IFERROR(VLOOKUP(F3445,'Freq-Chan'!C:D,2,FALSE),"x")</f>
        <v>x</v>
      </c>
      <c r="U3445" s="110" t="s">
        <v>541</v>
      </c>
      <c r="V3445" s="110" t="str">
        <f t="shared" si="114"/>
        <v>FWL</v>
      </c>
      <c r="W3445" s="110" t="s">
        <v>541</v>
      </c>
      <c r="X3445" s="110" t="s">
        <v>541</v>
      </c>
      <c r="Y3445" s="110" t="str">
        <f>IFERROR(VLOOKUP(F3445,'Freq-Chan'!C:E,3,FALSE),"na")</f>
        <v>na</v>
      </c>
      <c r="Z3445" s="110" t="s">
        <v>541</v>
      </c>
      <c r="AA3445" s="110" t="s">
        <v>541</v>
      </c>
      <c r="AB3445" s="110" t="s">
        <v>541</v>
      </c>
      <c r="AC3445" s="10" t="s">
        <v>541</v>
      </c>
      <c r="AD3445" s="10" t="s">
        <v>541</v>
      </c>
    </row>
    <row r="3446" spans="1:30" x14ac:dyDescent="0.2">
      <c r="A3446" s="110">
        <v>3446</v>
      </c>
      <c r="B3446" s="132">
        <v>41875</v>
      </c>
      <c r="C3446" s="117">
        <v>3</v>
      </c>
      <c r="D3446" s="142" t="s">
        <v>71</v>
      </c>
      <c r="E3446" s="142" t="s">
        <v>306</v>
      </c>
      <c r="H3446" s="103"/>
      <c r="I3446" s="103">
        <v>50</v>
      </c>
      <c r="K3446" s="142" t="s">
        <v>365</v>
      </c>
      <c r="L3446" s="133"/>
      <c r="M3446" s="134">
        <v>1.3888888888888888E-2</v>
      </c>
      <c r="N3446" s="135" t="s">
        <v>1887</v>
      </c>
      <c r="O3446" s="144" t="s">
        <v>3932</v>
      </c>
      <c r="Q3446" s="106" t="s">
        <v>4428</v>
      </c>
      <c r="R3446" s="226" t="s">
        <v>4439</v>
      </c>
      <c r="S3446" s="491" t="str">
        <f t="shared" si="113"/>
        <v>x</v>
      </c>
      <c r="T3446" s="492" t="str">
        <f>IFERROR(VLOOKUP(F3446,'Freq-Chan'!C:D,2,FALSE),"x")</f>
        <v>x</v>
      </c>
      <c r="U3446" s="110" t="s">
        <v>541</v>
      </c>
      <c r="V3446" s="110" t="str">
        <f t="shared" si="114"/>
        <v>FWL</v>
      </c>
      <c r="W3446" s="110" t="s">
        <v>541</v>
      </c>
      <c r="X3446" s="110" t="s">
        <v>541</v>
      </c>
      <c r="Y3446" s="110" t="str">
        <f>IFERROR(VLOOKUP(F3446,'Freq-Chan'!C:E,3,FALSE),"na")</f>
        <v>na</v>
      </c>
      <c r="Z3446" s="110" t="s">
        <v>541</v>
      </c>
      <c r="AA3446" s="110" t="s">
        <v>541</v>
      </c>
      <c r="AB3446" s="110" t="s">
        <v>541</v>
      </c>
      <c r="AC3446" s="10" t="s">
        <v>541</v>
      </c>
      <c r="AD3446" s="10" t="s">
        <v>541</v>
      </c>
    </row>
    <row r="3447" spans="1:30" x14ac:dyDescent="0.2">
      <c r="A3447" s="110">
        <v>3447</v>
      </c>
      <c r="B3447" s="132">
        <v>41875</v>
      </c>
      <c r="C3447" s="117">
        <v>3</v>
      </c>
      <c r="D3447" s="142" t="s">
        <v>72</v>
      </c>
      <c r="E3447" s="142" t="s">
        <v>306</v>
      </c>
      <c r="H3447" s="103"/>
      <c r="I3447" s="103">
        <v>60</v>
      </c>
      <c r="K3447" s="142" t="s">
        <v>1032</v>
      </c>
      <c r="L3447" s="133"/>
      <c r="M3447" s="134">
        <v>2.013888888888889E-2</v>
      </c>
      <c r="N3447" s="135" t="s">
        <v>3393</v>
      </c>
      <c r="O3447" s="144" t="s">
        <v>4436</v>
      </c>
      <c r="Q3447" s="106" t="s">
        <v>4428</v>
      </c>
      <c r="R3447" s="226" t="s">
        <v>4439</v>
      </c>
      <c r="S3447" s="491" t="str">
        <f t="shared" si="113"/>
        <v>x</v>
      </c>
      <c r="T3447" s="492" t="str">
        <f>IFERROR(VLOOKUP(F3447,'Freq-Chan'!C:D,2,FALSE),"x")</f>
        <v>x</v>
      </c>
      <c r="U3447" s="110" t="s">
        <v>541</v>
      </c>
      <c r="V3447" s="110" t="str">
        <f t="shared" si="114"/>
        <v>FWL</v>
      </c>
      <c r="W3447" s="110" t="s">
        <v>541</v>
      </c>
      <c r="X3447" s="110" t="s">
        <v>541</v>
      </c>
      <c r="Y3447" s="110" t="str">
        <f>IFERROR(VLOOKUP(F3447,'Freq-Chan'!C:E,3,FALSE),"na")</f>
        <v>na</v>
      </c>
      <c r="Z3447" s="110" t="s">
        <v>541</v>
      </c>
      <c r="AA3447" s="110" t="s">
        <v>541</v>
      </c>
      <c r="AB3447" s="110" t="s">
        <v>541</v>
      </c>
      <c r="AC3447" s="10" t="s">
        <v>541</v>
      </c>
      <c r="AD3447" s="10" t="s">
        <v>541</v>
      </c>
    </row>
    <row r="3448" spans="1:30" x14ac:dyDescent="0.2">
      <c r="A3448" s="110">
        <v>3448</v>
      </c>
      <c r="B3448" s="132">
        <v>41875</v>
      </c>
      <c r="C3448" s="117">
        <v>3</v>
      </c>
      <c r="D3448" s="142" t="s">
        <v>71</v>
      </c>
      <c r="E3448" s="142" t="s">
        <v>306</v>
      </c>
      <c r="H3448" s="103"/>
      <c r="I3448" s="103">
        <v>54</v>
      </c>
      <c r="K3448" s="142" t="s">
        <v>365</v>
      </c>
      <c r="L3448" s="133"/>
      <c r="M3448" s="134">
        <v>2.0833333333333332E-2</v>
      </c>
      <c r="N3448" s="135" t="s">
        <v>4241</v>
      </c>
      <c r="O3448" s="144" t="s">
        <v>4436</v>
      </c>
      <c r="Q3448" s="106" t="s">
        <v>4428</v>
      </c>
      <c r="R3448" s="226" t="s">
        <v>4439</v>
      </c>
      <c r="S3448" s="491" t="str">
        <f t="shared" si="113"/>
        <v>x</v>
      </c>
      <c r="T3448" s="492" t="str">
        <f>IFERROR(VLOOKUP(F3448,'Freq-Chan'!C:D,2,FALSE),"x")</f>
        <v>x</v>
      </c>
      <c r="U3448" s="110" t="s">
        <v>541</v>
      </c>
      <c r="V3448" s="110" t="str">
        <f t="shared" si="114"/>
        <v>FWL</v>
      </c>
      <c r="W3448" s="110" t="s">
        <v>541</v>
      </c>
      <c r="X3448" s="110" t="s">
        <v>541</v>
      </c>
      <c r="Y3448" s="110" t="str">
        <f>IFERROR(VLOOKUP(F3448,'Freq-Chan'!C:E,3,FALSE),"na")</f>
        <v>na</v>
      </c>
      <c r="Z3448" s="110" t="s">
        <v>541</v>
      </c>
      <c r="AA3448" s="110" t="s">
        <v>541</v>
      </c>
      <c r="AB3448" s="110" t="s">
        <v>541</v>
      </c>
      <c r="AC3448" s="10" t="s">
        <v>541</v>
      </c>
      <c r="AD3448" s="10" t="s">
        <v>541</v>
      </c>
    </row>
    <row r="3449" spans="1:30" x14ac:dyDescent="0.2">
      <c r="A3449" s="110">
        <v>3449</v>
      </c>
      <c r="B3449" s="132">
        <v>41875</v>
      </c>
      <c r="C3449" s="117">
        <v>3</v>
      </c>
      <c r="D3449" s="142" t="s">
        <v>71</v>
      </c>
      <c r="E3449" s="142" t="s">
        <v>306</v>
      </c>
      <c r="H3449" s="103"/>
      <c r="I3449" s="103">
        <v>54</v>
      </c>
      <c r="K3449" s="142" t="s">
        <v>1032</v>
      </c>
      <c r="L3449" s="133"/>
      <c r="M3449" s="134">
        <v>2.2916666666666669E-2</v>
      </c>
      <c r="N3449" s="135" t="s">
        <v>4299</v>
      </c>
      <c r="O3449" s="144" t="s">
        <v>4436</v>
      </c>
      <c r="Q3449" s="106" t="s">
        <v>4428</v>
      </c>
      <c r="R3449" s="226" t="s">
        <v>4439</v>
      </c>
      <c r="S3449" s="491" t="str">
        <f t="shared" si="113"/>
        <v>x</v>
      </c>
      <c r="T3449" s="492" t="str">
        <f>IFERROR(VLOOKUP(F3449,'Freq-Chan'!C:D,2,FALSE),"x")</f>
        <v>x</v>
      </c>
      <c r="U3449" s="110" t="s">
        <v>541</v>
      </c>
      <c r="V3449" s="110" t="str">
        <f t="shared" si="114"/>
        <v>FWL</v>
      </c>
      <c r="W3449" s="110" t="s">
        <v>541</v>
      </c>
      <c r="X3449" s="110" t="s">
        <v>541</v>
      </c>
      <c r="Y3449" s="110" t="str">
        <f>IFERROR(VLOOKUP(F3449,'Freq-Chan'!C:E,3,FALSE),"na")</f>
        <v>na</v>
      </c>
      <c r="Z3449" s="110" t="s">
        <v>541</v>
      </c>
      <c r="AA3449" s="110" t="s">
        <v>541</v>
      </c>
      <c r="AB3449" s="110" t="s">
        <v>541</v>
      </c>
      <c r="AC3449" s="10" t="s">
        <v>541</v>
      </c>
      <c r="AD3449" s="10" t="s">
        <v>541</v>
      </c>
    </row>
    <row r="3450" spans="1:30" x14ac:dyDescent="0.2">
      <c r="A3450" s="110">
        <v>3450</v>
      </c>
      <c r="B3450" s="132">
        <v>41875</v>
      </c>
      <c r="C3450" s="117">
        <v>3</v>
      </c>
      <c r="D3450" s="142" t="s">
        <v>8</v>
      </c>
      <c r="E3450" s="142" t="s">
        <v>306</v>
      </c>
      <c r="F3450" s="103">
        <v>573</v>
      </c>
      <c r="G3450" s="103">
        <v>2</v>
      </c>
      <c r="H3450" s="103" t="s">
        <v>2288</v>
      </c>
      <c r="I3450" s="103">
        <v>53</v>
      </c>
      <c r="K3450" s="142" t="s">
        <v>365</v>
      </c>
      <c r="L3450" s="133"/>
      <c r="M3450" s="134">
        <v>4.7222222222222221E-2</v>
      </c>
      <c r="N3450" s="135" t="s">
        <v>4127</v>
      </c>
      <c r="O3450" s="144" t="s">
        <v>4436</v>
      </c>
      <c r="P3450" s="100" t="s">
        <v>4438</v>
      </c>
      <c r="Q3450" s="106" t="s">
        <v>4428</v>
      </c>
      <c r="R3450" s="226" t="s">
        <v>4439</v>
      </c>
      <c r="S3450" s="491" t="str">
        <f t="shared" si="113"/>
        <v>x</v>
      </c>
      <c r="T3450" s="492">
        <f>IFERROR(VLOOKUP(F3450,'Freq-Chan'!C:D,2,FALSE),"x")</f>
        <v>151.57300000000001</v>
      </c>
      <c r="U3450" s="110" t="s">
        <v>541</v>
      </c>
      <c r="V3450" s="110" t="str">
        <f t="shared" si="114"/>
        <v>FWL</v>
      </c>
      <c r="W3450" s="110" t="s">
        <v>541</v>
      </c>
      <c r="X3450" s="110" t="s">
        <v>541</v>
      </c>
      <c r="Y3450" s="110" t="str">
        <f>IFERROR(VLOOKUP(F3450,'Freq-Chan'!C:E,3,FALSE),"na")</f>
        <v>F1840</v>
      </c>
      <c r="Z3450" s="110" t="s">
        <v>541</v>
      </c>
      <c r="AA3450" s="110" t="s">
        <v>541</v>
      </c>
      <c r="AB3450" s="110" t="s">
        <v>541</v>
      </c>
      <c r="AC3450" s="10" t="s">
        <v>541</v>
      </c>
      <c r="AD3450" s="10" t="s">
        <v>541</v>
      </c>
    </row>
    <row r="3451" spans="1:30" s="291" customFormat="1" x14ac:dyDescent="0.2">
      <c r="A3451" s="493">
        <v>3451</v>
      </c>
      <c r="B3451" s="283">
        <v>41875</v>
      </c>
      <c r="C3451" s="284">
        <v>3</v>
      </c>
      <c r="D3451" s="396" t="s">
        <v>72</v>
      </c>
      <c r="E3451" s="396" t="s">
        <v>306</v>
      </c>
      <c r="F3451" s="285"/>
      <c r="G3451" s="285"/>
      <c r="H3451" s="285"/>
      <c r="I3451" s="285">
        <v>61</v>
      </c>
      <c r="J3451" s="285"/>
      <c r="K3451" s="396" t="s">
        <v>365</v>
      </c>
      <c r="L3451" s="286"/>
      <c r="M3451" s="287">
        <v>2.2916666666666669E-2</v>
      </c>
      <c r="N3451" s="288" t="s">
        <v>2056</v>
      </c>
      <c r="O3451" s="397" t="s">
        <v>4418</v>
      </c>
      <c r="P3451" s="289"/>
      <c r="Q3451" s="395" t="s">
        <v>4428</v>
      </c>
      <c r="R3451" s="290" t="s">
        <v>4439</v>
      </c>
      <c r="S3451" s="494" t="str">
        <f t="shared" si="113"/>
        <v>x</v>
      </c>
      <c r="T3451" s="495" t="str">
        <f>IFERROR(VLOOKUP(F3451,'Freq-Chan'!C:D,2,FALSE),"x")</f>
        <v>x</v>
      </c>
      <c r="U3451" s="493" t="s">
        <v>541</v>
      </c>
      <c r="V3451" s="493" t="str">
        <f t="shared" si="114"/>
        <v>FWL</v>
      </c>
      <c r="W3451" s="493" t="s">
        <v>541</v>
      </c>
      <c r="X3451" s="493" t="s">
        <v>541</v>
      </c>
      <c r="Y3451" s="493" t="str">
        <f>IFERROR(VLOOKUP(F3451,'Freq-Chan'!C:E,3,FALSE),"na")</f>
        <v>na</v>
      </c>
      <c r="Z3451" s="493" t="s">
        <v>541</v>
      </c>
      <c r="AA3451" s="493" t="s">
        <v>541</v>
      </c>
      <c r="AB3451" s="493" t="s">
        <v>541</v>
      </c>
      <c r="AC3451" s="291" t="s">
        <v>541</v>
      </c>
      <c r="AD3451" s="291" t="s">
        <v>541</v>
      </c>
    </row>
    <row r="3452" spans="1:30" x14ac:dyDescent="0.2">
      <c r="A3452" s="110">
        <v>3452</v>
      </c>
      <c r="B3452" s="132">
        <v>41876</v>
      </c>
      <c r="C3452" s="117">
        <v>1</v>
      </c>
      <c r="D3452" s="142" t="s">
        <v>71</v>
      </c>
      <c r="E3452" s="142" t="s">
        <v>306</v>
      </c>
      <c r="H3452" s="103"/>
      <c r="I3452" s="103">
        <v>56</v>
      </c>
      <c r="K3452" s="142" t="s">
        <v>1032</v>
      </c>
      <c r="L3452" s="133"/>
      <c r="M3452" s="134">
        <v>2.361111111111111E-2</v>
      </c>
      <c r="N3452" s="135" t="s">
        <v>3334</v>
      </c>
      <c r="O3452" s="144" t="s">
        <v>4418</v>
      </c>
      <c r="Q3452" s="106" t="s">
        <v>4442</v>
      </c>
      <c r="R3452" s="226" t="s">
        <v>4455</v>
      </c>
      <c r="S3452" s="491" t="str">
        <f t="shared" si="113"/>
        <v>x</v>
      </c>
      <c r="T3452" s="492" t="str">
        <f>IFERROR(VLOOKUP(F3452,'Freq-Chan'!C:D,2,FALSE),"x")</f>
        <v>x</v>
      </c>
      <c r="U3452" s="110" t="s">
        <v>541</v>
      </c>
      <c r="V3452" s="110" t="str">
        <f t="shared" si="114"/>
        <v>FWL</v>
      </c>
      <c r="W3452" s="110" t="s">
        <v>541</v>
      </c>
      <c r="X3452" s="110" t="s">
        <v>541</v>
      </c>
      <c r="Y3452" s="110" t="str">
        <f>IFERROR(VLOOKUP(F3452,'Freq-Chan'!C:E,3,FALSE),"na")</f>
        <v>na</v>
      </c>
      <c r="Z3452" s="110" t="s">
        <v>541</v>
      </c>
      <c r="AA3452" s="110" t="s">
        <v>541</v>
      </c>
      <c r="AB3452" s="110" t="s">
        <v>541</v>
      </c>
      <c r="AC3452" s="10" t="s">
        <v>541</v>
      </c>
      <c r="AD3452" s="10" t="s">
        <v>541</v>
      </c>
    </row>
    <row r="3453" spans="1:30" x14ac:dyDescent="0.2">
      <c r="A3453" s="110">
        <v>3453</v>
      </c>
      <c r="B3453" s="132">
        <v>41876</v>
      </c>
      <c r="C3453" s="117">
        <v>1</v>
      </c>
      <c r="D3453" s="142" t="s">
        <v>71</v>
      </c>
      <c r="E3453" s="142" t="s">
        <v>306</v>
      </c>
      <c r="H3453" s="103"/>
      <c r="I3453" s="103">
        <v>53</v>
      </c>
      <c r="K3453" s="142" t="s">
        <v>365</v>
      </c>
      <c r="L3453" s="133"/>
      <c r="M3453" s="134">
        <v>9.7222222222222224E-3</v>
      </c>
      <c r="N3453" s="135" t="s">
        <v>3292</v>
      </c>
      <c r="O3453" s="144" t="s">
        <v>4418</v>
      </c>
      <c r="Q3453" s="106" t="s">
        <v>4442</v>
      </c>
      <c r="R3453" s="226" t="s">
        <v>4455</v>
      </c>
      <c r="S3453" s="491" t="str">
        <f t="shared" si="113"/>
        <v>x</v>
      </c>
      <c r="T3453" s="492" t="str">
        <f>IFERROR(VLOOKUP(F3453,'Freq-Chan'!C:D,2,FALSE),"x")</f>
        <v>x</v>
      </c>
      <c r="U3453" s="110" t="s">
        <v>541</v>
      </c>
      <c r="V3453" s="110" t="str">
        <f t="shared" si="114"/>
        <v>FWL</v>
      </c>
      <c r="W3453" s="110" t="s">
        <v>541</v>
      </c>
      <c r="X3453" s="110" t="s">
        <v>541</v>
      </c>
      <c r="Y3453" s="110" t="str">
        <f>IFERROR(VLOOKUP(F3453,'Freq-Chan'!C:E,3,FALSE),"na")</f>
        <v>na</v>
      </c>
      <c r="Z3453" s="110" t="s">
        <v>541</v>
      </c>
      <c r="AA3453" s="110" t="s">
        <v>541</v>
      </c>
      <c r="AB3453" s="110" t="s">
        <v>541</v>
      </c>
      <c r="AC3453" s="10" t="s">
        <v>541</v>
      </c>
      <c r="AD3453" s="10" t="s">
        <v>541</v>
      </c>
    </row>
    <row r="3454" spans="1:30" x14ac:dyDescent="0.2">
      <c r="A3454" s="110">
        <v>3454</v>
      </c>
      <c r="B3454" s="132">
        <v>41876</v>
      </c>
      <c r="C3454" s="117">
        <v>1</v>
      </c>
      <c r="D3454" s="142" t="s">
        <v>71</v>
      </c>
      <c r="E3454" s="142" t="s">
        <v>306</v>
      </c>
      <c r="H3454" s="103"/>
      <c r="I3454" s="103">
        <v>54</v>
      </c>
      <c r="K3454" s="142" t="s">
        <v>365</v>
      </c>
      <c r="L3454" s="133"/>
      <c r="M3454" s="134">
        <v>1.5972222222222224E-2</v>
      </c>
      <c r="N3454" s="135" t="s">
        <v>3495</v>
      </c>
      <c r="O3454" s="144" t="s">
        <v>555</v>
      </c>
      <c r="Q3454" s="106" t="s">
        <v>4442</v>
      </c>
      <c r="R3454" s="226" t="s">
        <v>4455</v>
      </c>
      <c r="S3454" s="491" t="str">
        <f t="shared" si="113"/>
        <v>x</v>
      </c>
      <c r="T3454" s="492" t="str">
        <f>IFERROR(VLOOKUP(F3454,'Freq-Chan'!C:D,2,FALSE),"x")</f>
        <v>x</v>
      </c>
      <c r="U3454" s="110" t="s">
        <v>541</v>
      </c>
      <c r="V3454" s="110" t="str">
        <f t="shared" si="114"/>
        <v>FWL</v>
      </c>
      <c r="W3454" s="110" t="s">
        <v>541</v>
      </c>
      <c r="X3454" s="110" t="s">
        <v>541</v>
      </c>
      <c r="Y3454" s="110" t="str">
        <f>IFERROR(VLOOKUP(F3454,'Freq-Chan'!C:E,3,FALSE),"na")</f>
        <v>na</v>
      </c>
      <c r="Z3454" s="110" t="s">
        <v>541</v>
      </c>
      <c r="AA3454" s="110" t="s">
        <v>541</v>
      </c>
      <c r="AB3454" s="110" t="s">
        <v>541</v>
      </c>
      <c r="AC3454" s="10" t="s">
        <v>541</v>
      </c>
      <c r="AD3454" s="10" t="s">
        <v>541</v>
      </c>
    </row>
    <row r="3455" spans="1:30" x14ac:dyDescent="0.2">
      <c r="A3455" s="110">
        <v>3455</v>
      </c>
      <c r="B3455" s="132">
        <v>41876</v>
      </c>
      <c r="C3455" s="117">
        <v>1</v>
      </c>
      <c r="D3455" s="142" t="s">
        <v>71</v>
      </c>
      <c r="E3455" s="142" t="s">
        <v>306</v>
      </c>
      <c r="H3455" s="103"/>
      <c r="I3455" s="103">
        <v>54</v>
      </c>
      <c r="K3455" s="142" t="s">
        <v>1032</v>
      </c>
      <c r="L3455" s="133"/>
      <c r="M3455" s="134">
        <v>1.4583333333333332E-2</v>
      </c>
      <c r="N3455" s="135" t="s">
        <v>1800</v>
      </c>
      <c r="O3455" s="144" t="s">
        <v>376</v>
      </c>
      <c r="Q3455" s="106" t="s">
        <v>4443</v>
      </c>
      <c r="R3455" s="226" t="s">
        <v>4455</v>
      </c>
      <c r="S3455" s="491" t="str">
        <f t="shared" si="113"/>
        <v>x</v>
      </c>
      <c r="T3455" s="492" t="str">
        <f>IFERROR(VLOOKUP(F3455,'Freq-Chan'!C:D,2,FALSE),"x")</f>
        <v>x</v>
      </c>
      <c r="U3455" s="110" t="s">
        <v>541</v>
      </c>
      <c r="V3455" s="110" t="str">
        <f t="shared" si="114"/>
        <v>FWL</v>
      </c>
      <c r="W3455" s="110" t="s">
        <v>541</v>
      </c>
      <c r="X3455" s="110" t="s">
        <v>541</v>
      </c>
      <c r="Y3455" s="110" t="str">
        <f>IFERROR(VLOOKUP(F3455,'Freq-Chan'!C:E,3,FALSE),"na")</f>
        <v>na</v>
      </c>
      <c r="Z3455" s="110" t="s">
        <v>541</v>
      </c>
      <c r="AA3455" s="110" t="s">
        <v>541</v>
      </c>
      <c r="AB3455" s="110" t="s">
        <v>541</v>
      </c>
      <c r="AC3455" s="10" t="s">
        <v>541</v>
      </c>
      <c r="AD3455" s="10" t="s">
        <v>541</v>
      </c>
    </row>
    <row r="3456" spans="1:30" x14ac:dyDescent="0.2">
      <c r="A3456" s="110">
        <v>3456</v>
      </c>
      <c r="B3456" s="132">
        <v>41876</v>
      </c>
      <c r="C3456" s="117">
        <v>1</v>
      </c>
      <c r="D3456" s="142" t="s">
        <v>71</v>
      </c>
      <c r="E3456" s="142" t="s">
        <v>306</v>
      </c>
      <c r="H3456" s="103"/>
      <c r="I3456" s="103">
        <v>59</v>
      </c>
      <c r="K3456" s="142" t="s">
        <v>365</v>
      </c>
      <c r="L3456" s="133"/>
      <c r="M3456" s="134">
        <v>1.5277777777777777E-2</v>
      </c>
      <c r="N3456" s="135" t="s">
        <v>392</v>
      </c>
      <c r="O3456" s="144" t="s">
        <v>1033</v>
      </c>
      <c r="Q3456" s="106" t="s">
        <v>4443</v>
      </c>
      <c r="R3456" s="226" t="s">
        <v>4455</v>
      </c>
      <c r="S3456" s="491" t="str">
        <f t="shared" si="113"/>
        <v>x</v>
      </c>
      <c r="T3456" s="492" t="str">
        <f>IFERROR(VLOOKUP(F3456,'Freq-Chan'!C:D,2,FALSE),"x")</f>
        <v>x</v>
      </c>
      <c r="U3456" s="110" t="s">
        <v>541</v>
      </c>
      <c r="V3456" s="110" t="str">
        <f t="shared" si="114"/>
        <v>FWL</v>
      </c>
      <c r="W3456" s="110" t="s">
        <v>541</v>
      </c>
      <c r="X3456" s="110" t="s">
        <v>541</v>
      </c>
      <c r="Y3456" s="110" t="str">
        <f>IFERROR(VLOOKUP(F3456,'Freq-Chan'!C:E,3,FALSE),"na")</f>
        <v>na</v>
      </c>
      <c r="Z3456" s="110" t="s">
        <v>541</v>
      </c>
      <c r="AA3456" s="110" t="s">
        <v>541</v>
      </c>
      <c r="AB3456" s="110" t="s">
        <v>541</v>
      </c>
      <c r="AC3456" s="10" t="s">
        <v>541</v>
      </c>
      <c r="AD3456" s="10" t="s">
        <v>541</v>
      </c>
    </row>
    <row r="3457" spans="1:30" x14ac:dyDescent="0.2">
      <c r="A3457" s="110">
        <v>3457</v>
      </c>
      <c r="B3457" s="132">
        <v>41876</v>
      </c>
      <c r="C3457" s="117">
        <v>1</v>
      </c>
      <c r="D3457" s="142" t="s">
        <v>71</v>
      </c>
      <c r="E3457" s="142" t="s">
        <v>306</v>
      </c>
      <c r="H3457" s="103"/>
      <c r="I3457" s="103">
        <v>61</v>
      </c>
      <c r="K3457" s="142" t="s">
        <v>365</v>
      </c>
      <c r="L3457" s="133"/>
      <c r="M3457" s="134">
        <v>1.3888888888888888E-2</v>
      </c>
      <c r="N3457" s="135" t="s">
        <v>3951</v>
      </c>
      <c r="O3457" s="144" t="s">
        <v>1033</v>
      </c>
      <c r="Q3457" s="106" t="s">
        <v>4443</v>
      </c>
      <c r="R3457" s="226" t="s">
        <v>4455</v>
      </c>
      <c r="S3457" s="491" t="str">
        <f t="shared" si="113"/>
        <v>x</v>
      </c>
      <c r="T3457" s="492" t="str">
        <f>IFERROR(VLOOKUP(F3457,'Freq-Chan'!C:D,2,FALSE),"x")</f>
        <v>x</v>
      </c>
      <c r="U3457" s="110" t="s">
        <v>541</v>
      </c>
      <c r="V3457" s="110" t="str">
        <f t="shared" si="114"/>
        <v>FWL</v>
      </c>
      <c r="W3457" s="110" t="s">
        <v>541</v>
      </c>
      <c r="X3457" s="110" t="s">
        <v>541</v>
      </c>
      <c r="Y3457" s="110" t="str">
        <f>IFERROR(VLOOKUP(F3457,'Freq-Chan'!C:E,3,FALSE),"na")</f>
        <v>na</v>
      </c>
      <c r="Z3457" s="110" t="s">
        <v>541</v>
      </c>
      <c r="AA3457" s="110" t="s">
        <v>541</v>
      </c>
      <c r="AB3457" s="110" t="s">
        <v>541</v>
      </c>
      <c r="AC3457" s="10" t="s">
        <v>541</v>
      </c>
      <c r="AD3457" s="10" t="s">
        <v>541</v>
      </c>
    </row>
    <row r="3458" spans="1:30" x14ac:dyDescent="0.2">
      <c r="A3458" s="110">
        <v>3458</v>
      </c>
      <c r="B3458" s="132">
        <v>41876</v>
      </c>
      <c r="C3458" s="117">
        <v>1</v>
      </c>
      <c r="D3458" s="142" t="s">
        <v>71</v>
      </c>
      <c r="E3458" s="142" t="s">
        <v>306</v>
      </c>
      <c r="H3458" s="103"/>
      <c r="I3458" s="103">
        <v>59</v>
      </c>
      <c r="K3458" s="142" t="s">
        <v>365</v>
      </c>
      <c r="L3458" s="133"/>
      <c r="M3458" s="134">
        <v>1.4583333333333332E-2</v>
      </c>
      <c r="N3458" s="135" t="s">
        <v>768</v>
      </c>
      <c r="O3458" s="144" t="s">
        <v>1033</v>
      </c>
      <c r="Q3458" s="106" t="s">
        <v>4443</v>
      </c>
      <c r="R3458" s="226" t="s">
        <v>4455</v>
      </c>
      <c r="S3458" s="491" t="str">
        <f t="shared" si="113"/>
        <v>x</v>
      </c>
      <c r="T3458" s="492" t="str">
        <f>IFERROR(VLOOKUP(F3458,'Freq-Chan'!C:D,2,FALSE),"x")</f>
        <v>x</v>
      </c>
      <c r="U3458" s="110" t="s">
        <v>541</v>
      </c>
      <c r="V3458" s="110" t="str">
        <f t="shared" si="114"/>
        <v>FWL</v>
      </c>
      <c r="W3458" s="110" t="s">
        <v>541</v>
      </c>
      <c r="X3458" s="110" t="s">
        <v>541</v>
      </c>
      <c r="Y3458" s="110" t="str">
        <f>IFERROR(VLOOKUP(F3458,'Freq-Chan'!C:E,3,FALSE),"na")</f>
        <v>na</v>
      </c>
      <c r="Z3458" s="110" t="s">
        <v>541</v>
      </c>
      <c r="AA3458" s="110" t="s">
        <v>541</v>
      </c>
      <c r="AB3458" s="110" t="s">
        <v>541</v>
      </c>
      <c r="AC3458" s="10" t="s">
        <v>541</v>
      </c>
      <c r="AD3458" s="10" t="s">
        <v>541</v>
      </c>
    </row>
    <row r="3459" spans="1:30" x14ac:dyDescent="0.2">
      <c r="A3459" s="110">
        <v>3459</v>
      </c>
      <c r="B3459" s="132">
        <v>41876</v>
      </c>
      <c r="C3459" s="117">
        <v>1</v>
      </c>
      <c r="D3459" s="142" t="s">
        <v>71</v>
      </c>
      <c r="E3459" s="142" t="s">
        <v>306</v>
      </c>
      <c r="H3459" s="103"/>
      <c r="I3459" s="103">
        <v>55</v>
      </c>
      <c r="K3459" s="142" t="s">
        <v>365</v>
      </c>
      <c r="L3459" s="133"/>
      <c r="M3459" s="134">
        <v>1.5972222222222224E-2</v>
      </c>
      <c r="N3459" s="135" t="s">
        <v>4126</v>
      </c>
      <c r="O3459" s="144" t="s">
        <v>1033</v>
      </c>
      <c r="Q3459" s="106" t="s">
        <v>4443</v>
      </c>
      <c r="R3459" s="226" t="s">
        <v>4455</v>
      </c>
      <c r="S3459" s="491" t="str">
        <f t="shared" si="113"/>
        <v>x</v>
      </c>
      <c r="T3459" s="492" t="str">
        <f>IFERROR(VLOOKUP(F3459,'Freq-Chan'!C:D,2,FALSE),"x")</f>
        <v>x</v>
      </c>
      <c r="U3459" s="110" t="s">
        <v>541</v>
      </c>
      <c r="V3459" s="110" t="str">
        <f t="shared" si="114"/>
        <v>FWL</v>
      </c>
      <c r="W3459" s="110" t="s">
        <v>541</v>
      </c>
      <c r="X3459" s="110" t="s">
        <v>541</v>
      </c>
      <c r="Y3459" s="110" t="str">
        <f>IFERROR(VLOOKUP(F3459,'Freq-Chan'!C:E,3,FALSE),"na")</f>
        <v>na</v>
      </c>
      <c r="Z3459" s="110" t="s">
        <v>541</v>
      </c>
      <c r="AA3459" s="110" t="s">
        <v>541</v>
      </c>
      <c r="AB3459" s="110" t="s">
        <v>541</v>
      </c>
      <c r="AC3459" s="10" t="s">
        <v>541</v>
      </c>
      <c r="AD3459" s="10" t="s">
        <v>541</v>
      </c>
    </row>
    <row r="3460" spans="1:30" x14ac:dyDescent="0.2">
      <c r="A3460" s="110">
        <v>3460</v>
      </c>
      <c r="B3460" s="132">
        <v>41876</v>
      </c>
      <c r="C3460" s="117">
        <v>1</v>
      </c>
      <c r="D3460" s="142" t="s">
        <v>72</v>
      </c>
      <c r="E3460" s="142" t="s">
        <v>306</v>
      </c>
      <c r="H3460" s="103"/>
      <c r="I3460" s="103">
        <v>57</v>
      </c>
      <c r="K3460" s="142" t="s">
        <v>365</v>
      </c>
      <c r="L3460" s="133"/>
      <c r="M3460" s="134">
        <v>9.7222222222222224E-3</v>
      </c>
      <c r="N3460" s="135" t="s">
        <v>4128</v>
      </c>
      <c r="O3460" s="144" t="s">
        <v>1033</v>
      </c>
      <c r="Q3460" s="106" t="s">
        <v>4443</v>
      </c>
      <c r="R3460" s="226" t="s">
        <v>4455</v>
      </c>
      <c r="S3460" s="491" t="str">
        <f t="shared" si="113"/>
        <v>x</v>
      </c>
      <c r="T3460" s="492" t="str">
        <f>IFERROR(VLOOKUP(F3460,'Freq-Chan'!C:D,2,FALSE),"x")</f>
        <v>x</v>
      </c>
      <c r="U3460" s="110" t="s">
        <v>541</v>
      </c>
      <c r="V3460" s="110" t="str">
        <f t="shared" si="114"/>
        <v>FWL</v>
      </c>
      <c r="W3460" s="110" t="s">
        <v>541</v>
      </c>
      <c r="X3460" s="110" t="s">
        <v>541</v>
      </c>
      <c r="Y3460" s="110" t="str">
        <f>IFERROR(VLOOKUP(F3460,'Freq-Chan'!C:E,3,FALSE),"na")</f>
        <v>na</v>
      </c>
      <c r="Z3460" s="110" t="s">
        <v>541</v>
      </c>
      <c r="AA3460" s="110" t="s">
        <v>541</v>
      </c>
      <c r="AB3460" s="110" t="s">
        <v>541</v>
      </c>
      <c r="AC3460" s="10" t="s">
        <v>541</v>
      </c>
      <c r="AD3460" s="10" t="s">
        <v>541</v>
      </c>
    </row>
    <row r="3461" spans="1:30" x14ac:dyDescent="0.2">
      <c r="A3461" s="110">
        <v>3461</v>
      </c>
      <c r="B3461" s="132">
        <v>41876</v>
      </c>
      <c r="C3461" s="117">
        <v>1</v>
      </c>
      <c r="D3461" s="142" t="s">
        <v>72</v>
      </c>
      <c r="E3461" s="142" t="s">
        <v>306</v>
      </c>
      <c r="H3461" s="103"/>
      <c r="I3461" s="103">
        <v>54</v>
      </c>
      <c r="K3461" s="142" t="s">
        <v>365</v>
      </c>
      <c r="L3461" s="133"/>
      <c r="M3461" s="134">
        <v>1.0416666666666666E-2</v>
      </c>
      <c r="N3461" s="135" t="s">
        <v>719</v>
      </c>
      <c r="O3461" s="144" t="s">
        <v>1033</v>
      </c>
      <c r="Q3461" s="106" t="s">
        <v>4443</v>
      </c>
      <c r="R3461" s="226" t="s">
        <v>4455</v>
      </c>
      <c r="S3461" s="491" t="str">
        <f t="shared" si="113"/>
        <v>x</v>
      </c>
      <c r="T3461" s="492" t="str">
        <f>IFERROR(VLOOKUP(F3461,'Freq-Chan'!C:D,2,FALSE),"x")</f>
        <v>x</v>
      </c>
      <c r="U3461" s="110" t="s">
        <v>541</v>
      </c>
      <c r="V3461" s="110" t="str">
        <f t="shared" si="114"/>
        <v>FWL</v>
      </c>
      <c r="W3461" s="110" t="s">
        <v>541</v>
      </c>
      <c r="X3461" s="110" t="s">
        <v>541</v>
      </c>
      <c r="Y3461" s="110" t="str">
        <f>IFERROR(VLOOKUP(F3461,'Freq-Chan'!C:E,3,FALSE),"na")</f>
        <v>na</v>
      </c>
      <c r="Z3461" s="110" t="s">
        <v>541</v>
      </c>
      <c r="AA3461" s="110" t="s">
        <v>541</v>
      </c>
      <c r="AB3461" s="110" t="s">
        <v>541</v>
      </c>
      <c r="AC3461" s="10" t="s">
        <v>541</v>
      </c>
      <c r="AD3461" s="10" t="s">
        <v>541</v>
      </c>
    </row>
    <row r="3462" spans="1:30" x14ac:dyDescent="0.2">
      <c r="A3462" s="110">
        <v>3462</v>
      </c>
      <c r="B3462" s="132">
        <v>41876</v>
      </c>
      <c r="C3462" s="117">
        <v>1</v>
      </c>
      <c r="D3462" s="142" t="s">
        <v>72</v>
      </c>
      <c r="E3462" s="142" t="s">
        <v>306</v>
      </c>
      <c r="H3462" s="103"/>
      <c r="I3462" s="103">
        <v>55</v>
      </c>
      <c r="K3462" s="142" t="s">
        <v>1032</v>
      </c>
      <c r="L3462" s="133"/>
      <c r="M3462" s="134">
        <v>1.2499999999999999E-2</v>
      </c>
      <c r="N3462" s="135" t="s">
        <v>1805</v>
      </c>
      <c r="O3462" s="144" t="s">
        <v>1033</v>
      </c>
      <c r="Q3462" s="106" t="s">
        <v>4443</v>
      </c>
      <c r="R3462" s="226" t="s">
        <v>4455</v>
      </c>
      <c r="S3462" s="491" t="str">
        <f t="shared" si="113"/>
        <v>x</v>
      </c>
      <c r="T3462" s="492" t="str">
        <f>IFERROR(VLOOKUP(F3462,'Freq-Chan'!C:D,2,FALSE),"x")</f>
        <v>x</v>
      </c>
      <c r="U3462" s="110" t="s">
        <v>541</v>
      </c>
      <c r="V3462" s="110" t="str">
        <f t="shared" si="114"/>
        <v>FWL</v>
      </c>
      <c r="W3462" s="110" t="s">
        <v>541</v>
      </c>
      <c r="X3462" s="110" t="s">
        <v>541</v>
      </c>
      <c r="Y3462" s="110" t="str">
        <f>IFERROR(VLOOKUP(F3462,'Freq-Chan'!C:E,3,FALSE),"na")</f>
        <v>na</v>
      </c>
      <c r="Z3462" s="110" t="s">
        <v>541</v>
      </c>
      <c r="AA3462" s="110" t="s">
        <v>541</v>
      </c>
      <c r="AB3462" s="110" t="s">
        <v>541</v>
      </c>
      <c r="AC3462" s="10" t="s">
        <v>541</v>
      </c>
      <c r="AD3462" s="10" t="s">
        <v>541</v>
      </c>
    </row>
    <row r="3463" spans="1:30" x14ac:dyDescent="0.2">
      <c r="A3463" s="110">
        <v>3463</v>
      </c>
      <c r="B3463" s="132">
        <v>41876</v>
      </c>
      <c r="C3463" s="117">
        <v>1</v>
      </c>
      <c r="D3463" s="142" t="s">
        <v>72</v>
      </c>
      <c r="E3463" s="142" t="s">
        <v>306</v>
      </c>
      <c r="H3463" s="142"/>
      <c r="I3463" s="103">
        <v>55</v>
      </c>
      <c r="K3463" s="142" t="s">
        <v>1032</v>
      </c>
      <c r="L3463" s="133"/>
      <c r="M3463" s="134">
        <v>1.3194444444444444E-2</v>
      </c>
      <c r="N3463" s="143" t="s">
        <v>1969</v>
      </c>
      <c r="O3463" s="144" t="s">
        <v>1033</v>
      </c>
      <c r="Q3463" s="106" t="s">
        <v>4443</v>
      </c>
      <c r="R3463" s="226" t="s">
        <v>4455</v>
      </c>
      <c r="S3463" s="491" t="str">
        <f t="shared" si="113"/>
        <v>x</v>
      </c>
      <c r="T3463" s="492" t="str">
        <f>IFERROR(VLOOKUP(F3463,'Freq-Chan'!C:D,2,FALSE),"x")</f>
        <v>x</v>
      </c>
      <c r="U3463" s="110" t="s">
        <v>541</v>
      </c>
      <c r="V3463" s="110" t="str">
        <f t="shared" si="114"/>
        <v>FWL</v>
      </c>
      <c r="W3463" s="110" t="s">
        <v>541</v>
      </c>
      <c r="X3463" s="110" t="s">
        <v>541</v>
      </c>
      <c r="Y3463" s="110" t="str">
        <f>IFERROR(VLOOKUP(F3463,'Freq-Chan'!C:E,3,FALSE),"na")</f>
        <v>na</v>
      </c>
      <c r="Z3463" s="110" t="s">
        <v>541</v>
      </c>
      <c r="AA3463" s="110" t="s">
        <v>541</v>
      </c>
      <c r="AB3463" s="110" t="s">
        <v>541</v>
      </c>
      <c r="AC3463" s="10" t="s">
        <v>541</v>
      </c>
      <c r="AD3463" s="10" t="s">
        <v>541</v>
      </c>
    </row>
    <row r="3464" spans="1:30" x14ac:dyDescent="0.2">
      <c r="A3464" s="110">
        <v>3464</v>
      </c>
      <c r="B3464" s="132">
        <v>41876</v>
      </c>
      <c r="C3464" s="117">
        <v>1</v>
      </c>
      <c r="D3464" s="142" t="s">
        <v>71</v>
      </c>
      <c r="E3464" s="142" t="s">
        <v>306</v>
      </c>
      <c r="H3464" s="103"/>
      <c r="I3464" s="103">
        <v>53</v>
      </c>
      <c r="K3464" s="142" t="s">
        <v>365</v>
      </c>
      <c r="L3464" s="133"/>
      <c r="M3464" s="134">
        <v>9.0277777777777787E-3</v>
      </c>
      <c r="N3464" s="135" t="s">
        <v>3832</v>
      </c>
      <c r="O3464" s="144" t="s">
        <v>1033</v>
      </c>
      <c r="Q3464" s="106" t="s">
        <v>4443</v>
      </c>
      <c r="R3464" s="226" t="s">
        <v>4455</v>
      </c>
      <c r="S3464" s="491" t="str">
        <f t="shared" si="113"/>
        <v>x</v>
      </c>
      <c r="T3464" s="492" t="str">
        <f>IFERROR(VLOOKUP(F3464,'Freq-Chan'!C:D,2,FALSE),"x")</f>
        <v>x</v>
      </c>
      <c r="U3464" s="110" t="s">
        <v>541</v>
      </c>
      <c r="V3464" s="110" t="str">
        <f t="shared" si="114"/>
        <v>FWL</v>
      </c>
      <c r="W3464" s="110" t="s">
        <v>541</v>
      </c>
      <c r="X3464" s="110" t="s">
        <v>541</v>
      </c>
      <c r="Y3464" s="110" t="str">
        <f>IFERROR(VLOOKUP(F3464,'Freq-Chan'!C:E,3,FALSE),"na")</f>
        <v>na</v>
      </c>
      <c r="Z3464" s="110" t="s">
        <v>541</v>
      </c>
      <c r="AA3464" s="110" t="s">
        <v>541</v>
      </c>
      <c r="AB3464" s="110" t="s">
        <v>541</v>
      </c>
      <c r="AC3464" s="10" t="s">
        <v>541</v>
      </c>
      <c r="AD3464" s="10" t="s">
        <v>541</v>
      </c>
    </row>
    <row r="3465" spans="1:30" x14ac:dyDescent="0.2">
      <c r="A3465" s="110">
        <v>3465</v>
      </c>
      <c r="B3465" s="132">
        <v>41876</v>
      </c>
      <c r="C3465" s="117">
        <v>1</v>
      </c>
      <c r="D3465" s="142" t="s">
        <v>72</v>
      </c>
      <c r="E3465" s="142" t="s">
        <v>306</v>
      </c>
      <c r="H3465" s="142"/>
      <c r="I3465" s="103">
        <v>53</v>
      </c>
      <c r="K3465" s="142" t="s">
        <v>1032</v>
      </c>
      <c r="L3465" s="133"/>
      <c r="M3465" s="134">
        <v>1.0416666666666666E-2</v>
      </c>
      <c r="N3465" s="143" t="s">
        <v>715</v>
      </c>
      <c r="O3465" s="144" t="s">
        <v>1033</v>
      </c>
      <c r="Q3465" s="106" t="s">
        <v>4443</v>
      </c>
      <c r="R3465" s="226" t="s">
        <v>4455</v>
      </c>
      <c r="S3465" s="491" t="str">
        <f t="shared" si="113"/>
        <v>x</v>
      </c>
      <c r="T3465" s="492" t="str">
        <f>IFERROR(VLOOKUP(F3465,'Freq-Chan'!C:D,2,FALSE),"x")</f>
        <v>x</v>
      </c>
      <c r="U3465" s="110" t="s">
        <v>541</v>
      </c>
      <c r="V3465" s="110" t="str">
        <f t="shared" si="114"/>
        <v>FWL</v>
      </c>
      <c r="W3465" s="110" t="s">
        <v>541</v>
      </c>
      <c r="X3465" s="110" t="s">
        <v>541</v>
      </c>
      <c r="Y3465" s="110" t="str">
        <f>IFERROR(VLOOKUP(F3465,'Freq-Chan'!C:E,3,FALSE),"na")</f>
        <v>na</v>
      </c>
      <c r="Z3465" s="110" t="s">
        <v>541</v>
      </c>
      <c r="AA3465" s="110" t="s">
        <v>541</v>
      </c>
      <c r="AB3465" s="110" t="s">
        <v>541</v>
      </c>
      <c r="AC3465" s="10" t="s">
        <v>541</v>
      </c>
      <c r="AD3465" s="10" t="s">
        <v>541</v>
      </c>
    </row>
    <row r="3466" spans="1:30" x14ac:dyDescent="0.2">
      <c r="A3466" s="110">
        <v>3466</v>
      </c>
      <c r="B3466" s="132">
        <v>41876</v>
      </c>
      <c r="C3466" s="117">
        <v>1</v>
      </c>
      <c r="D3466" s="142" t="s">
        <v>72</v>
      </c>
      <c r="E3466" s="142" t="s">
        <v>306</v>
      </c>
      <c r="H3466" s="103"/>
      <c r="I3466" s="103">
        <v>53</v>
      </c>
      <c r="K3466" s="142" t="s">
        <v>1032</v>
      </c>
      <c r="L3466" s="133"/>
      <c r="M3466" s="134">
        <v>1.3888888888888888E-2</v>
      </c>
      <c r="N3466" s="135" t="s">
        <v>4448</v>
      </c>
      <c r="O3466" s="144" t="s">
        <v>1033</v>
      </c>
      <c r="Q3466" s="106" t="s">
        <v>4443</v>
      </c>
      <c r="R3466" s="226" t="s">
        <v>4455</v>
      </c>
      <c r="S3466" s="491" t="str">
        <f t="shared" si="113"/>
        <v>x</v>
      </c>
      <c r="T3466" s="492" t="str">
        <f>IFERROR(VLOOKUP(F3466,'Freq-Chan'!C:D,2,FALSE),"x")</f>
        <v>x</v>
      </c>
      <c r="U3466" s="110" t="s">
        <v>541</v>
      </c>
      <c r="V3466" s="110" t="str">
        <f t="shared" si="114"/>
        <v>FWL</v>
      </c>
      <c r="W3466" s="110" t="s">
        <v>541</v>
      </c>
      <c r="X3466" s="110" t="s">
        <v>541</v>
      </c>
      <c r="Y3466" s="110" t="str">
        <f>IFERROR(VLOOKUP(F3466,'Freq-Chan'!C:E,3,FALSE),"na")</f>
        <v>na</v>
      </c>
      <c r="Z3466" s="110" t="s">
        <v>541</v>
      </c>
      <c r="AA3466" s="110" t="s">
        <v>541</v>
      </c>
      <c r="AB3466" s="110" t="s">
        <v>541</v>
      </c>
      <c r="AC3466" s="10" t="s">
        <v>541</v>
      </c>
      <c r="AD3466" s="10" t="s">
        <v>541</v>
      </c>
    </row>
    <row r="3467" spans="1:30" s="291" customFormat="1" x14ac:dyDescent="0.2">
      <c r="A3467" s="493">
        <v>3467</v>
      </c>
      <c r="B3467" s="283">
        <v>41876</v>
      </c>
      <c r="C3467" s="284">
        <v>1</v>
      </c>
      <c r="D3467" s="396" t="s">
        <v>71</v>
      </c>
      <c r="E3467" s="396" t="s">
        <v>306</v>
      </c>
      <c r="F3467" s="285"/>
      <c r="G3467" s="285"/>
      <c r="H3467" s="285"/>
      <c r="I3467" s="285">
        <v>51</v>
      </c>
      <c r="J3467" s="285"/>
      <c r="K3467" s="396" t="s">
        <v>365</v>
      </c>
      <c r="L3467" s="286"/>
      <c r="M3467" s="287">
        <v>1.4583333333333332E-2</v>
      </c>
      <c r="N3467" s="288" t="s">
        <v>4449</v>
      </c>
      <c r="O3467" s="397" t="s">
        <v>1033</v>
      </c>
      <c r="P3467" s="289"/>
      <c r="Q3467" s="395" t="s">
        <v>4443</v>
      </c>
      <c r="R3467" s="290" t="s">
        <v>4455</v>
      </c>
      <c r="S3467" s="494" t="str">
        <f t="shared" si="113"/>
        <v>x</v>
      </c>
      <c r="T3467" s="495" t="str">
        <f>IFERROR(VLOOKUP(F3467,'Freq-Chan'!C:D,2,FALSE),"x")</f>
        <v>x</v>
      </c>
      <c r="U3467" s="493" t="s">
        <v>541</v>
      </c>
      <c r="V3467" s="493" t="str">
        <f t="shared" si="114"/>
        <v>FWL</v>
      </c>
      <c r="W3467" s="493" t="s">
        <v>541</v>
      </c>
      <c r="X3467" s="493" t="s">
        <v>541</v>
      </c>
      <c r="Y3467" s="493" t="str">
        <f>IFERROR(VLOOKUP(F3467,'Freq-Chan'!C:E,3,FALSE),"na")</f>
        <v>na</v>
      </c>
      <c r="Z3467" s="493" t="s">
        <v>541</v>
      </c>
      <c r="AA3467" s="493" t="s">
        <v>541</v>
      </c>
      <c r="AB3467" s="493" t="s">
        <v>541</v>
      </c>
      <c r="AC3467" s="291" t="s">
        <v>541</v>
      </c>
      <c r="AD3467" s="291" t="s">
        <v>541</v>
      </c>
    </row>
    <row r="3468" spans="1:30" x14ac:dyDescent="0.2">
      <c r="A3468" s="110">
        <v>3468</v>
      </c>
      <c r="B3468" s="132">
        <v>41876</v>
      </c>
      <c r="C3468" s="117">
        <v>2</v>
      </c>
      <c r="D3468" s="142" t="s">
        <v>71</v>
      </c>
      <c r="E3468" s="142" t="s">
        <v>306</v>
      </c>
      <c r="H3468" s="103"/>
      <c r="I3468" s="103">
        <v>57</v>
      </c>
      <c r="K3468" s="142" t="s">
        <v>1032</v>
      </c>
      <c r="L3468" s="133"/>
      <c r="M3468" s="134">
        <v>1.4583333333333332E-2</v>
      </c>
      <c r="N3468" s="135" t="s">
        <v>4066</v>
      </c>
      <c r="O3468" s="144" t="s">
        <v>4418</v>
      </c>
      <c r="Q3468" s="106" t="s">
        <v>4442</v>
      </c>
      <c r="R3468" s="226" t="s">
        <v>4455</v>
      </c>
      <c r="S3468" s="491" t="str">
        <f t="shared" si="113"/>
        <v>x</v>
      </c>
      <c r="T3468" s="492" t="str">
        <f>IFERROR(VLOOKUP(F3468,'Freq-Chan'!C:D,2,FALSE),"x")</f>
        <v>x</v>
      </c>
      <c r="U3468" s="110" t="s">
        <v>541</v>
      </c>
      <c r="V3468" s="110" t="str">
        <f t="shared" si="114"/>
        <v>FWL</v>
      </c>
      <c r="W3468" s="110" t="s">
        <v>541</v>
      </c>
      <c r="X3468" s="110" t="s">
        <v>541</v>
      </c>
      <c r="Y3468" s="110" t="str">
        <f>IFERROR(VLOOKUP(F3468,'Freq-Chan'!C:E,3,FALSE),"na")</f>
        <v>na</v>
      </c>
      <c r="Z3468" s="110" t="s">
        <v>541</v>
      </c>
      <c r="AA3468" s="110" t="s">
        <v>541</v>
      </c>
      <c r="AB3468" s="110" t="s">
        <v>541</v>
      </c>
      <c r="AC3468" s="10" t="s">
        <v>541</v>
      </c>
      <c r="AD3468" s="10" t="s">
        <v>541</v>
      </c>
    </row>
    <row r="3469" spans="1:30" x14ac:dyDescent="0.2">
      <c r="A3469" s="110">
        <v>3469</v>
      </c>
      <c r="B3469" s="132">
        <v>41876</v>
      </c>
      <c r="C3469" s="117">
        <v>2</v>
      </c>
      <c r="D3469" s="142" t="s">
        <v>71</v>
      </c>
      <c r="E3469" s="142" t="s">
        <v>306</v>
      </c>
      <c r="H3469" s="103"/>
      <c r="I3469" s="103">
        <v>59</v>
      </c>
      <c r="K3469" s="142" t="s">
        <v>1032</v>
      </c>
      <c r="L3469" s="133"/>
      <c r="M3469" s="134">
        <v>1.3194444444444444E-2</v>
      </c>
      <c r="N3469" s="135" t="s">
        <v>3402</v>
      </c>
      <c r="O3469" s="144" t="s">
        <v>4418</v>
      </c>
      <c r="Q3469" s="106" t="s">
        <v>4442</v>
      </c>
      <c r="R3469" s="226" t="s">
        <v>4455</v>
      </c>
      <c r="S3469" s="491" t="str">
        <f t="shared" si="113"/>
        <v>x</v>
      </c>
      <c r="T3469" s="492" t="str">
        <f>IFERROR(VLOOKUP(F3469,'Freq-Chan'!C:D,2,FALSE),"x")</f>
        <v>x</v>
      </c>
      <c r="U3469" s="110" t="s">
        <v>541</v>
      </c>
      <c r="V3469" s="110" t="str">
        <f t="shared" si="114"/>
        <v>FWL</v>
      </c>
      <c r="W3469" s="110" t="s">
        <v>541</v>
      </c>
      <c r="X3469" s="110" t="s">
        <v>541</v>
      </c>
      <c r="Y3469" s="110" t="str">
        <f>IFERROR(VLOOKUP(F3469,'Freq-Chan'!C:E,3,FALSE),"na")</f>
        <v>na</v>
      </c>
      <c r="Z3469" s="110" t="s">
        <v>541</v>
      </c>
      <c r="AA3469" s="110" t="s">
        <v>541</v>
      </c>
      <c r="AB3469" s="110" t="s">
        <v>541</v>
      </c>
      <c r="AC3469" s="10" t="s">
        <v>541</v>
      </c>
      <c r="AD3469" s="10" t="s">
        <v>541</v>
      </c>
    </row>
    <row r="3470" spans="1:30" x14ac:dyDescent="0.2">
      <c r="A3470" s="110">
        <v>3470</v>
      </c>
      <c r="B3470" s="132">
        <v>41876</v>
      </c>
      <c r="C3470" s="117">
        <v>2</v>
      </c>
      <c r="D3470" s="145" t="s">
        <v>71</v>
      </c>
      <c r="E3470" s="145" t="s">
        <v>306</v>
      </c>
      <c r="H3470" s="103"/>
      <c r="I3470" s="103">
        <v>60</v>
      </c>
      <c r="K3470" s="142" t="s">
        <v>1032</v>
      </c>
      <c r="L3470" s="133"/>
      <c r="M3470" s="134">
        <v>1.4583333333333332E-2</v>
      </c>
      <c r="N3470" s="135" t="s">
        <v>3244</v>
      </c>
      <c r="O3470" s="144" t="s">
        <v>4418</v>
      </c>
      <c r="P3470" s="106"/>
      <c r="Q3470" s="106" t="s">
        <v>4442</v>
      </c>
      <c r="R3470" s="226" t="s">
        <v>4455</v>
      </c>
      <c r="S3470" s="491" t="str">
        <f t="shared" si="113"/>
        <v>x</v>
      </c>
      <c r="T3470" s="492" t="str">
        <f>IFERROR(VLOOKUP(F3470,'Freq-Chan'!C:D,2,FALSE),"x")</f>
        <v>x</v>
      </c>
      <c r="U3470" s="110" t="s">
        <v>541</v>
      </c>
      <c r="V3470" s="110" t="str">
        <f t="shared" si="114"/>
        <v>FWL</v>
      </c>
      <c r="W3470" s="110" t="s">
        <v>541</v>
      </c>
      <c r="X3470" s="110" t="s">
        <v>541</v>
      </c>
      <c r="Y3470" s="110" t="str">
        <f>IFERROR(VLOOKUP(F3470,'Freq-Chan'!C:E,3,FALSE),"na")</f>
        <v>na</v>
      </c>
      <c r="Z3470" s="110" t="s">
        <v>541</v>
      </c>
      <c r="AA3470" s="110" t="s">
        <v>541</v>
      </c>
      <c r="AB3470" s="110" t="s">
        <v>541</v>
      </c>
      <c r="AC3470" s="10" t="s">
        <v>541</v>
      </c>
      <c r="AD3470" s="10" t="s">
        <v>541</v>
      </c>
    </row>
    <row r="3471" spans="1:30" x14ac:dyDescent="0.2">
      <c r="A3471" s="110">
        <v>3471</v>
      </c>
      <c r="B3471" s="132">
        <v>41876</v>
      </c>
      <c r="C3471" s="117">
        <v>2</v>
      </c>
      <c r="D3471" s="142" t="s">
        <v>71</v>
      </c>
      <c r="E3471" s="142" t="s">
        <v>306</v>
      </c>
      <c r="H3471" s="142"/>
      <c r="I3471" s="103">
        <v>61</v>
      </c>
      <c r="K3471" s="142" t="s">
        <v>1032</v>
      </c>
      <c r="L3471" s="133"/>
      <c r="M3471" s="134">
        <v>1.2499999999999999E-2</v>
      </c>
      <c r="N3471" s="143" t="s">
        <v>3352</v>
      </c>
      <c r="O3471" s="144" t="s">
        <v>4418</v>
      </c>
      <c r="Q3471" s="106" t="s">
        <v>4442</v>
      </c>
      <c r="R3471" s="226" t="s">
        <v>4455</v>
      </c>
      <c r="S3471" s="491" t="str">
        <f t="shared" si="113"/>
        <v>x</v>
      </c>
      <c r="T3471" s="492" t="str">
        <f>IFERROR(VLOOKUP(F3471,'Freq-Chan'!C:D,2,FALSE),"x")</f>
        <v>x</v>
      </c>
      <c r="U3471" s="110" t="s">
        <v>541</v>
      </c>
      <c r="V3471" s="110" t="str">
        <f t="shared" si="114"/>
        <v>FWL</v>
      </c>
      <c r="W3471" s="110" t="s">
        <v>541</v>
      </c>
      <c r="X3471" s="110" t="s">
        <v>541</v>
      </c>
      <c r="Y3471" s="110" t="str">
        <f>IFERROR(VLOOKUP(F3471,'Freq-Chan'!C:E,3,FALSE),"na")</f>
        <v>na</v>
      </c>
      <c r="Z3471" s="110" t="s">
        <v>541</v>
      </c>
      <c r="AA3471" s="110" t="s">
        <v>541</v>
      </c>
      <c r="AB3471" s="110" t="s">
        <v>541</v>
      </c>
      <c r="AC3471" s="10" t="s">
        <v>541</v>
      </c>
      <c r="AD3471" s="10" t="s">
        <v>541</v>
      </c>
    </row>
    <row r="3472" spans="1:30" x14ac:dyDescent="0.2">
      <c r="A3472" s="110">
        <v>3472</v>
      </c>
      <c r="B3472" s="132">
        <v>41876</v>
      </c>
      <c r="C3472" s="117">
        <v>2</v>
      </c>
      <c r="D3472" s="142" t="s">
        <v>71</v>
      </c>
      <c r="E3472" s="142" t="s">
        <v>306</v>
      </c>
      <c r="H3472" s="103"/>
      <c r="I3472" s="103">
        <v>59</v>
      </c>
      <c r="K3472" s="142" t="s">
        <v>1032</v>
      </c>
      <c r="L3472" s="133"/>
      <c r="M3472" s="134">
        <v>1.3194444444444444E-2</v>
      </c>
      <c r="N3472" s="135" t="s">
        <v>1650</v>
      </c>
      <c r="O3472" s="144" t="s">
        <v>4418</v>
      </c>
      <c r="Q3472" s="106" t="s">
        <v>4442</v>
      </c>
      <c r="R3472" s="226" t="s">
        <v>4455</v>
      </c>
      <c r="S3472" s="491" t="str">
        <f t="shared" si="113"/>
        <v>x</v>
      </c>
      <c r="T3472" s="492" t="str">
        <f>IFERROR(VLOOKUP(F3472,'Freq-Chan'!C:D,2,FALSE),"x")</f>
        <v>x</v>
      </c>
      <c r="U3472" s="110" t="s">
        <v>541</v>
      </c>
      <c r="V3472" s="110" t="str">
        <f t="shared" si="114"/>
        <v>FWL</v>
      </c>
      <c r="W3472" s="110" t="s">
        <v>541</v>
      </c>
      <c r="X3472" s="110" t="s">
        <v>541</v>
      </c>
      <c r="Y3472" s="110" t="str">
        <f>IFERROR(VLOOKUP(F3472,'Freq-Chan'!C:E,3,FALSE),"na")</f>
        <v>na</v>
      </c>
      <c r="Z3472" s="110" t="s">
        <v>541</v>
      </c>
      <c r="AA3472" s="110" t="s">
        <v>541</v>
      </c>
      <c r="AB3472" s="110" t="s">
        <v>541</v>
      </c>
      <c r="AC3472" s="10" t="s">
        <v>541</v>
      </c>
      <c r="AD3472" s="10" t="s">
        <v>541</v>
      </c>
    </row>
    <row r="3473" spans="1:30" x14ac:dyDescent="0.2">
      <c r="A3473" s="110">
        <v>3473</v>
      </c>
      <c r="B3473" s="132">
        <v>41876</v>
      </c>
      <c r="C3473" s="117">
        <v>2</v>
      </c>
      <c r="D3473" s="142" t="s">
        <v>71</v>
      </c>
      <c r="E3473" s="142" t="s">
        <v>306</v>
      </c>
      <c r="H3473" s="103"/>
      <c r="I3473" s="103">
        <v>58</v>
      </c>
      <c r="K3473" s="142" t="s">
        <v>365</v>
      </c>
      <c r="L3473" s="133"/>
      <c r="M3473" s="134">
        <v>1.8749999999999999E-2</v>
      </c>
      <c r="N3473" s="135" t="s">
        <v>4068</v>
      </c>
      <c r="O3473" s="144" t="s">
        <v>4418</v>
      </c>
      <c r="Q3473" s="106" t="s">
        <v>4442</v>
      </c>
      <c r="R3473" s="226" t="s">
        <v>4455</v>
      </c>
      <c r="S3473" s="491" t="str">
        <f t="shared" si="113"/>
        <v>x</v>
      </c>
      <c r="T3473" s="492" t="str">
        <f>IFERROR(VLOOKUP(F3473,'Freq-Chan'!C:D,2,FALSE),"x")</f>
        <v>x</v>
      </c>
      <c r="U3473" s="110" t="s">
        <v>541</v>
      </c>
      <c r="V3473" s="110" t="str">
        <f t="shared" si="114"/>
        <v>FWL</v>
      </c>
      <c r="W3473" s="110" t="s">
        <v>541</v>
      </c>
      <c r="X3473" s="110" t="s">
        <v>541</v>
      </c>
      <c r="Y3473" s="110" t="str">
        <f>IFERROR(VLOOKUP(F3473,'Freq-Chan'!C:E,3,FALSE),"na")</f>
        <v>na</v>
      </c>
      <c r="Z3473" s="110" t="s">
        <v>541</v>
      </c>
      <c r="AA3473" s="110" t="s">
        <v>541</v>
      </c>
      <c r="AB3473" s="110" t="s">
        <v>541</v>
      </c>
      <c r="AC3473" s="10" t="s">
        <v>541</v>
      </c>
      <c r="AD3473" s="10" t="s">
        <v>541</v>
      </c>
    </row>
    <row r="3474" spans="1:30" x14ac:dyDescent="0.2">
      <c r="A3474" s="110">
        <v>3474</v>
      </c>
      <c r="B3474" s="132">
        <v>41876</v>
      </c>
      <c r="C3474" s="117">
        <v>2</v>
      </c>
      <c r="D3474" s="142" t="s">
        <v>71</v>
      </c>
      <c r="E3474" s="142" t="s">
        <v>306</v>
      </c>
      <c r="H3474" s="103"/>
      <c r="I3474" s="103">
        <v>58</v>
      </c>
      <c r="K3474" s="142" t="s">
        <v>1032</v>
      </c>
      <c r="L3474" s="133"/>
      <c r="M3474" s="134">
        <v>1.3888888888888888E-2</v>
      </c>
      <c r="N3474" s="135" t="s">
        <v>1796</v>
      </c>
      <c r="O3474" s="144" t="s">
        <v>4418</v>
      </c>
      <c r="Q3474" s="106" t="s">
        <v>4442</v>
      </c>
      <c r="R3474" s="226" t="s">
        <v>4455</v>
      </c>
      <c r="S3474" s="491" t="str">
        <f t="shared" si="113"/>
        <v>x</v>
      </c>
      <c r="T3474" s="492" t="str">
        <f>IFERROR(VLOOKUP(F3474,'Freq-Chan'!C:D,2,FALSE),"x")</f>
        <v>x</v>
      </c>
      <c r="U3474" s="110" t="s">
        <v>541</v>
      </c>
      <c r="V3474" s="110" t="str">
        <f t="shared" si="114"/>
        <v>FWL</v>
      </c>
      <c r="W3474" s="110" t="s">
        <v>541</v>
      </c>
      <c r="X3474" s="110" t="s">
        <v>541</v>
      </c>
      <c r="Y3474" s="110" t="str">
        <f>IFERROR(VLOOKUP(F3474,'Freq-Chan'!C:E,3,FALSE),"na")</f>
        <v>na</v>
      </c>
      <c r="Z3474" s="110" t="s">
        <v>541</v>
      </c>
      <c r="AA3474" s="110" t="s">
        <v>541</v>
      </c>
      <c r="AB3474" s="110" t="s">
        <v>541</v>
      </c>
      <c r="AC3474" s="10" t="s">
        <v>541</v>
      </c>
      <c r="AD3474" s="10" t="s">
        <v>541</v>
      </c>
    </row>
    <row r="3475" spans="1:30" x14ac:dyDescent="0.2">
      <c r="A3475" s="110">
        <v>3475</v>
      </c>
      <c r="B3475" s="132">
        <v>41876</v>
      </c>
      <c r="C3475" s="117">
        <v>2</v>
      </c>
      <c r="D3475" s="142" t="s">
        <v>71</v>
      </c>
      <c r="E3475" s="142" t="s">
        <v>306</v>
      </c>
      <c r="H3475" s="103"/>
      <c r="I3475" s="103">
        <v>59</v>
      </c>
      <c r="K3475" s="142" t="s">
        <v>1032</v>
      </c>
      <c r="L3475" s="133"/>
      <c r="M3475" s="134">
        <v>1.6666666666666666E-2</v>
      </c>
      <c r="N3475" s="135" t="s">
        <v>2892</v>
      </c>
      <c r="O3475" s="144" t="s">
        <v>4418</v>
      </c>
      <c r="Q3475" s="106" t="s">
        <v>4442</v>
      </c>
      <c r="R3475" s="226" t="s">
        <v>4455</v>
      </c>
      <c r="S3475" s="491" t="str">
        <f t="shared" si="113"/>
        <v>x</v>
      </c>
      <c r="T3475" s="492" t="str">
        <f>IFERROR(VLOOKUP(F3475,'Freq-Chan'!C:D,2,FALSE),"x")</f>
        <v>x</v>
      </c>
      <c r="U3475" s="110" t="s">
        <v>541</v>
      </c>
      <c r="V3475" s="110" t="str">
        <f t="shared" si="114"/>
        <v>FWL</v>
      </c>
      <c r="W3475" s="110" t="s">
        <v>541</v>
      </c>
      <c r="X3475" s="110" t="s">
        <v>541</v>
      </c>
      <c r="Y3475" s="110" t="str">
        <f>IFERROR(VLOOKUP(F3475,'Freq-Chan'!C:E,3,FALSE),"na")</f>
        <v>na</v>
      </c>
      <c r="Z3475" s="110" t="s">
        <v>541</v>
      </c>
      <c r="AA3475" s="110" t="s">
        <v>541</v>
      </c>
      <c r="AB3475" s="110" t="s">
        <v>541</v>
      </c>
      <c r="AC3475" s="10" t="s">
        <v>541</v>
      </c>
      <c r="AD3475" s="10" t="s">
        <v>541</v>
      </c>
    </row>
    <row r="3476" spans="1:30" x14ac:dyDescent="0.2">
      <c r="A3476" s="110">
        <v>3476</v>
      </c>
      <c r="B3476" s="132">
        <v>41876</v>
      </c>
      <c r="C3476" s="117">
        <v>2</v>
      </c>
      <c r="D3476" s="142" t="s">
        <v>71</v>
      </c>
      <c r="E3476" s="142" t="s">
        <v>306</v>
      </c>
      <c r="H3476" s="103"/>
      <c r="I3476" s="103">
        <v>54</v>
      </c>
      <c r="K3476" s="142" t="s">
        <v>1032</v>
      </c>
      <c r="L3476" s="133"/>
      <c r="M3476" s="134">
        <v>2.0833333333333332E-2</v>
      </c>
      <c r="N3476" s="135" t="s">
        <v>2777</v>
      </c>
      <c r="O3476" s="144" t="s">
        <v>4418</v>
      </c>
      <c r="Q3476" s="106" t="s">
        <v>4442</v>
      </c>
      <c r="R3476" s="226" t="s">
        <v>4455</v>
      </c>
      <c r="S3476" s="491" t="str">
        <f t="shared" si="113"/>
        <v>x</v>
      </c>
      <c r="T3476" s="492" t="str">
        <f>IFERROR(VLOOKUP(F3476,'Freq-Chan'!C:D,2,FALSE),"x")</f>
        <v>x</v>
      </c>
      <c r="U3476" s="110" t="s">
        <v>541</v>
      </c>
      <c r="V3476" s="110" t="str">
        <f t="shared" si="114"/>
        <v>FWL</v>
      </c>
      <c r="W3476" s="110" t="s">
        <v>541</v>
      </c>
      <c r="X3476" s="110" t="s">
        <v>541</v>
      </c>
      <c r="Y3476" s="110" t="str">
        <f>IFERROR(VLOOKUP(F3476,'Freq-Chan'!C:E,3,FALSE),"na")</f>
        <v>na</v>
      </c>
      <c r="Z3476" s="110" t="s">
        <v>541</v>
      </c>
      <c r="AA3476" s="110" t="s">
        <v>541</v>
      </c>
      <c r="AB3476" s="110" t="s">
        <v>541</v>
      </c>
      <c r="AC3476" s="10" t="s">
        <v>541</v>
      </c>
      <c r="AD3476" s="10" t="s">
        <v>541</v>
      </c>
    </row>
    <row r="3477" spans="1:30" x14ac:dyDescent="0.2">
      <c r="A3477" s="110">
        <v>3477</v>
      </c>
      <c r="B3477" s="132">
        <v>41876</v>
      </c>
      <c r="C3477" s="117">
        <v>2</v>
      </c>
      <c r="D3477" s="142" t="s">
        <v>71</v>
      </c>
      <c r="E3477" s="142" t="s">
        <v>306</v>
      </c>
      <c r="H3477" s="103"/>
      <c r="I3477" s="103">
        <v>58</v>
      </c>
      <c r="K3477" s="142" t="s">
        <v>365</v>
      </c>
      <c r="L3477" s="133"/>
      <c r="M3477" s="134">
        <v>1.3888888888888888E-2</v>
      </c>
      <c r="N3477" s="135" t="s">
        <v>4131</v>
      </c>
      <c r="O3477" s="144" t="s">
        <v>4418</v>
      </c>
      <c r="P3477" s="106"/>
      <c r="Q3477" s="106" t="s">
        <v>4442</v>
      </c>
      <c r="R3477" s="226" t="s">
        <v>4455</v>
      </c>
      <c r="S3477" s="491" t="str">
        <f t="shared" si="113"/>
        <v>x</v>
      </c>
      <c r="T3477" s="492" t="str">
        <f>IFERROR(VLOOKUP(F3477,'Freq-Chan'!C:D,2,FALSE),"x")</f>
        <v>x</v>
      </c>
      <c r="U3477" s="110" t="s">
        <v>541</v>
      </c>
      <c r="V3477" s="110" t="str">
        <f t="shared" si="114"/>
        <v>FWL</v>
      </c>
      <c r="W3477" s="110" t="s">
        <v>541</v>
      </c>
      <c r="X3477" s="110" t="s">
        <v>541</v>
      </c>
      <c r="Y3477" s="110" t="str">
        <f>IFERROR(VLOOKUP(F3477,'Freq-Chan'!C:E,3,FALSE),"na")</f>
        <v>na</v>
      </c>
      <c r="Z3477" s="110" t="s">
        <v>541</v>
      </c>
      <c r="AA3477" s="110" t="s">
        <v>541</v>
      </c>
      <c r="AB3477" s="110" t="s">
        <v>541</v>
      </c>
      <c r="AC3477" s="10" t="s">
        <v>541</v>
      </c>
      <c r="AD3477" s="10" t="s">
        <v>541</v>
      </c>
    </row>
    <row r="3478" spans="1:30" x14ac:dyDescent="0.2">
      <c r="A3478" s="110">
        <v>3478</v>
      </c>
      <c r="B3478" s="132">
        <v>41876</v>
      </c>
      <c r="C3478" s="117">
        <v>2</v>
      </c>
      <c r="D3478" s="142" t="s">
        <v>72</v>
      </c>
      <c r="E3478" s="142" t="s">
        <v>306</v>
      </c>
      <c r="H3478" s="142"/>
      <c r="I3478" s="103">
        <v>56</v>
      </c>
      <c r="K3478" s="142" t="s">
        <v>365</v>
      </c>
      <c r="L3478" s="133"/>
      <c r="M3478" s="134">
        <v>1.3888888888888888E-2</v>
      </c>
      <c r="N3478" s="143" t="s">
        <v>722</v>
      </c>
      <c r="O3478" s="144" t="s">
        <v>4418</v>
      </c>
      <c r="P3478" s="100" t="s">
        <v>4450</v>
      </c>
      <c r="Q3478" s="106" t="s">
        <v>4442</v>
      </c>
      <c r="R3478" s="226" t="s">
        <v>4455</v>
      </c>
      <c r="S3478" s="491" t="str">
        <f t="shared" si="113"/>
        <v>x</v>
      </c>
      <c r="T3478" s="492" t="str">
        <f>IFERROR(VLOOKUP(F3478,'Freq-Chan'!C:D,2,FALSE),"x")</f>
        <v>x</v>
      </c>
      <c r="U3478" s="110" t="s">
        <v>541</v>
      </c>
      <c r="V3478" s="110" t="str">
        <f t="shared" si="114"/>
        <v>FWL</v>
      </c>
      <c r="W3478" s="110" t="s">
        <v>541</v>
      </c>
      <c r="X3478" s="110" t="s">
        <v>541</v>
      </c>
      <c r="Y3478" s="110" t="str">
        <f>IFERROR(VLOOKUP(F3478,'Freq-Chan'!C:E,3,FALSE),"na")</f>
        <v>na</v>
      </c>
      <c r="Z3478" s="110" t="s">
        <v>541</v>
      </c>
      <c r="AA3478" s="110" t="s">
        <v>541</v>
      </c>
      <c r="AB3478" s="110" t="s">
        <v>541</v>
      </c>
      <c r="AC3478" s="10" t="s">
        <v>541</v>
      </c>
      <c r="AD3478" s="10" t="s">
        <v>541</v>
      </c>
    </row>
    <row r="3479" spans="1:30" x14ac:dyDescent="0.2">
      <c r="A3479" s="110">
        <v>3479</v>
      </c>
      <c r="B3479" s="132">
        <v>41876</v>
      </c>
      <c r="C3479" s="117">
        <v>2</v>
      </c>
      <c r="D3479" s="142" t="s">
        <v>71</v>
      </c>
      <c r="E3479" s="142" t="s">
        <v>306</v>
      </c>
      <c r="H3479" s="103"/>
      <c r="I3479" s="103">
        <v>59</v>
      </c>
      <c r="K3479" s="142" t="s">
        <v>1032</v>
      </c>
      <c r="L3479" s="133"/>
      <c r="M3479" s="134">
        <v>1.7361111111111112E-2</v>
      </c>
      <c r="N3479" s="135" t="s">
        <v>3905</v>
      </c>
      <c r="O3479" s="144" t="s">
        <v>4418</v>
      </c>
      <c r="Q3479" s="106" t="s">
        <v>4442</v>
      </c>
      <c r="R3479" s="226" t="s">
        <v>4455</v>
      </c>
      <c r="S3479" s="491" t="str">
        <f t="shared" si="113"/>
        <v>x</v>
      </c>
      <c r="T3479" s="492" t="str">
        <f>IFERROR(VLOOKUP(F3479,'Freq-Chan'!C:D,2,FALSE),"x")</f>
        <v>x</v>
      </c>
      <c r="U3479" s="110" t="s">
        <v>541</v>
      </c>
      <c r="V3479" s="110" t="str">
        <f t="shared" si="114"/>
        <v>FWL</v>
      </c>
      <c r="W3479" s="110" t="s">
        <v>541</v>
      </c>
      <c r="X3479" s="110" t="s">
        <v>541</v>
      </c>
      <c r="Y3479" s="110" t="str">
        <f>IFERROR(VLOOKUP(F3479,'Freq-Chan'!C:E,3,FALSE),"na")</f>
        <v>na</v>
      </c>
      <c r="Z3479" s="110" t="s">
        <v>541</v>
      </c>
      <c r="AA3479" s="110" t="s">
        <v>541</v>
      </c>
      <c r="AB3479" s="110" t="s">
        <v>541</v>
      </c>
      <c r="AC3479" s="10" t="s">
        <v>541</v>
      </c>
      <c r="AD3479" s="10" t="s">
        <v>541</v>
      </c>
    </row>
    <row r="3480" spans="1:30" x14ac:dyDescent="0.2">
      <c r="A3480" s="110">
        <v>3480</v>
      </c>
      <c r="B3480" s="132">
        <v>41876</v>
      </c>
      <c r="C3480" s="117">
        <v>2</v>
      </c>
      <c r="D3480" s="142" t="s">
        <v>71</v>
      </c>
      <c r="E3480" s="142" t="s">
        <v>306</v>
      </c>
      <c r="H3480" s="103"/>
      <c r="I3480" s="103">
        <v>56</v>
      </c>
      <c r="K3480" s="142" t="s">
        <v>1032</v>
      </c>
      <c r="L3480" s="133"/>
      <c r="M3480" s="134">
        <v>1.2499999999999999E-2</v>
      </c>
      <c r="N3480" s="135" t="s">
        <v>4105</v>
      </c>
      <c r="O3480" s="144" t="s">
        <v>4418</v>
      </c>
      <c r="Q3480" s="106" t="s">
        <v>4442</v>
      </c>
      <c r="R3480" s="226" t="s">
        <v>4455</v>
      </c>
      <c r="S3480" s="491" t="str">
        <f t="shared" si="113"/>
        <v>x</v>
      </c>
      <c r="T3480" s="492" t="str">
        <f>IFERROR(VLOOKUP(F3480,'Freq-Chan'!C:D,2,FALSE),"x")</f>
        <v>x</v>
      </c>
      <c r="U3480" s="110" t="s">
        <v>541</v>
      </c>
      <c r="V3480" s="110" t="str">
        <f t="shared" si="114"/>
        <v>FWL</v>
      </c>
      <c r="W3480" s="110" t="s">
        <v>541</v>
      </c>
      <c r="X3480" s="110" t="s">
        <v>541</v>
      </c>
      <c r="Y3480" s="110" t="str">
        <f>IFERROR(VLOOKUP(F3480,'Freq-Chan'!C:E,3,FALSE),"na")</f>
        <v>na</v>
      </c>
      <c r="Z3480" s="110" t="s">
        <v>541</v>
      </c>
      <c r="AA3480" s="110" t="s">
        <v>541</v>
      </c>
      <c r="AB3480" s="110" t="s">
        <v>541</v>
      </c>
      <c r="AC3480" s="10" t="s">
        <v>541</v>
      </c>
      <c r="AD3480" s="10" t="s">
        <v>541</v>
      </c>
    </row>
    <row r="3481" spans="1:30" x14ac:dyDescent="0.2">
      <c r="A3481" s="110">
        <v>3481</v>
      </c>
      <c r="B3481" s="132">
        <v>41876</v>
      </c>
      <c r="C3481" s="117">
        <v>2</v>
      </c>
      <c r="D3481" s="142" t="s">
        <v>71</v>
      </c>
      <c r="E3481" s="142" t="s">
        <v>306</v>
      </c>
      <c r="H3481" s="103"/>
      <c r="I3481" s="103">
        <v>57</v>
      </c>
      <c r="K3481" s="142" t="s">
        <v>1032</v>
      </c>
      <c r="L3481" s="133"/>
      <c r="M3481" s="134">
        <v>1.3194444444444444E-2</v>
      </c>
      <c r="N3481" s="135" t="s">
        <v>1937</v>
      </c>
      <c r="O3481" s="144" t="s">
        <v>4418</v>
      </c>
      <c r="Q3481" s="106" t="s">
        <v>4442</v>
      </c>
      <c r="R3481" s="226" t="s">
        <v>4455</v>
      </c>
      <c r="S3481" s="491" t="str">
        <f t="shared" si="113"/>
        <v>x</v>
      </c>
      <c r="T3481" s="492" t="str">
        <f>IFERROR(VLOOKUP(F3481,'Freq-Chan'!C:D,2,FALSE),"x")</f>
        <v>x</v>
      </c>
      <c r="U3481" s="110" t="s">
        <v>541</v>
      </c>
      <c r="V3481" s="110" t="str">
        <f t="shared" si="114"/>
        <v>FWL</v>
      </c>
      <c r="W3481" s="110" t="s">
        <v>541</v>
      </c>
      <c r="X3481" s="110" t="s">
        <v>541</v>
      </c>
      <c r="Y3481" s="110" t="str">
        <f>IFERROR(VLOOKUP(F3481,'Freq-Chan'!C:E,3,FALSE),"na")</f>
        <v>na</v>
      </c>
      <c r="Z3481" s="110" t="s">
        <v>541</v>
      </c>
      <c r="AA3481" s="110" t="s">
        <v>541</v>
      </c>
      <c r="AB3481" s="110" t="s">
        <v>541</v>
      </c>
      <c r="AC3481" s="10" t="s">
        <v>541</v>
      </c>
      <c r="AD3481" s="10" t="s">
        <v>541</v>
      </c>
    </row>
    <row r="3482" spans="1:30" x14ac:dyDescent="0.2">
      <c r="A3482" s="110">
        <v>3482</v>
      </c>
      <c r="B3482" s="132">
        <v>41876</v>
      </c>
      <c r="C3482" s="117">
        <v>2</v>
      </c>
      <c r="D3482" s="142" t="s">
        <v>71</v>
      </c>
      <c r="E3482" s="142" t="s">
        <v>306</v>
      </c>
      <c r="H3482" s="103"/>
      <c r="I3482" s="103">
        <v>60</v>
      </c>
      <c r="K3482" s="142" t="s">
        <v>1032</v>
      </c>
      <c r="L3482" s="133"/>
      <c r="M3482" s="134">
        <v>1.6666666666666666E-2</v>
      </c>
      <c r="N3482" s="135" t="s">
        <v>825</v>
      </c>
      <c r="O3482" s="144" t="s">
        <v>4418</v>
      </c>
      <c r="P3482" s="106"/>
      <c r="Q3482" s="106" t="s">
        <v>4442</v>
      </c>
      <c r="R3482" s="226" t="s">
        <v>4455</v>
      </c>
      <c r="S3482" s="491" t="str">
        <f t="shared" si="113"/>
        <v>x</v>
      </c>
      <c r="T3482" s="492" t="str">
        <f>IFERROR(VLOOKUP(F3482,'Freq-Chan'!C:D,2,FALSE),"x")</f>
        <v>x</v>
      </c>
      <c r="U3482" s="110" t="s">
        <v>541</v>
      </c>
      <c r="V3482" s="110" t="str">
        <f t="shared" si="114"/>
        <v>FWL</v>
      </c>
      <c r="W3482" s="110" t="s">
        <v>541</v>
      </c>
      <c r="X3482" s="110" t="s">
        <v>541</v>
      </c>
      <c r="Y3482" s="110" t="str">
        <f>IFERROR(VLOOKUP(F3482,'Freq-Chan'!C:E,3,FALSE),"na")</f>
        <v>na</v>
      </c>
      <c r="Z3482" s="110" t="s">
        <v>541</v>
      </c>
      <c r="AA3482" s="110" t="s">
        <v>541</v>
      </c>
      <c r="AB3482" s="110" t="s">
        <v>541</v>
      </c>
      <c r="AC3482" s="10" t="s">
        <v>541</v>
      </c>
      <c r="AD3482" s="10" t="s">
        <v>541</v>
      </c>
    </row>
    <row r="3483" spans="1:30" x14ac:dyDescent="0.2">
      <c r="A3483" s="110">
        <v>3483</v>
      </c>
      <c r="B3483" s="132">
        <v>41876</v>
      </c>
      <c r="C3483" s="117">
        <v>2</v>
      </c>
      <c r="D3483" s="142" t="s">
        <v>71</v>
      </c>
      <c r="E3483" s="142" t="s">
        <v>306</v>
      </c>
      <c r="H3483" s="103"/>
      <c r="I3483" s="103">
        <v>51</v>
      </c>
      <c r="K3483" s="142" t="s">
        <v>1032</v>
      </c>
      <c r="L3483" s="133"/>
      <c r="M3483" s="134">
        <v>1.6666666666666666E-2</v>
      </c>
      <c r="N3483" s="135" t="s">
        <v>2692</v>
      </c>
      <c r="O3483" s="144" t="s">
        <v>4418</v>
      </c>
      <c r="Q3483" s="106" t="s">
        <v>4442</v>
      </c>
      <c r="R3483" s="226" t="s">
        <v>4455</v>
      </c>
      <c r="S3483" s="491" t="str">
        <f t="shared" si="113"/>
        <v>x</v>
      </c>
      <c r="T3483" s="492" t="str">
        <f>IFERROR(VLOOKUP(F3483,'Freq-Chan'!C:D,2,FALSE),"x")</f>
        <v>x</v>
      </c>
      <c r="U3483" s="110" t="s">
        <v>541</v>
      </c>
      <c r="V3483" s="110" t="str">
        <f t="shared" si="114"/>
        <v>FWL</v>
      </c>
      <c r="W3483" s="110" t="s">
        <v>541</v>
      </c>
      <c r="X3483" s="110" t="s">
        <v>541</v>
      </c>
      <c r="Y3483" s="110" t="str">
        <f>IFERROR(VLOOKUP(F3483,'Freq-Chan'!C:E,3,FALSE),"na")</f>
        <v>na</v>
      </c>
      <c r="Z3483" s="110" t="s">
        <v>541</v>
      </c>
      <c r="AA3483" s="110" t="s">
        <v>541</v>
      </c>
      <c r="AB3483" s="110" t="s">
        <v>541</v>
      </c>
      <c r="AC3483" s="10" t="s">
        <v>541</v>
      </c>
      <c r="AD3483" s="10" t="s">
        <v>541</v>
      </c>
    </row>
    <row r="3484" spans="1:30" x14ac:dyDescent="0.2">
      <c r="A3484" s="110">
        <v>3484</v>
      </c>
      <c r="B3484" s="132">
        <v>41876</v>
      </c>
      <c r="C3484" s="117">
        <v>2</v>
      </c>
      <c r="D3484" s="142" t="s">
        <v>72</v>
      </c>
      <c r="E3484" s="142" t="s">
        <v>306</v>
      </c>
      <c r="F3484" s="103">
        <v>325</v>
      </c>
      <c r="G3484" s="103">
        <v>46</v>
      </c>
      <c r="H3484" s="142" t="s">
        <v>3680</v>
      </c>
      <c r="I3484" s="103">
        <v>56</v>
      </c>
      <c r="K3484" s="142" t="s">
        <v>1032</v>
      </c>
      <c r="L3484" s="133"/>
      <c r="M3484" s="134">
        <v>2.9861111111111113E-2</v>
      </c>
      <c r="N3484" s="143" t="s">
        <v>3839</v>
      </c>
      <c r="O3484" s="144" t="s">
        <v>555</v>
      </c>
      <c r="Q3484" s="106" t="s">
        <v>4442</v>
      </c>
      <c r="R3484" s="226" t="s">
        <v>4455</v>
      </c>
      <c r="S3484" s="491" t="str">
        <f t="shared" si="113"/>
        <v>x</v>
      </c>
      <c r="T3484" s="492">
        <f>IFERROR(VLOOKUP(F3484,'Freq-Chan'!C:D,2,FALSE),"x")</f>
        <v>151.32499999999999</v>
      </c>
      <c r="U3484" s="110" t="s">
        <v>541</v>
      </c>
      <c r="V3484" s="110" t="str">
        <f t="shared" si="114"/>
        <v>FWL</v>
      </c>
      <c r="W3484" s="110" t="s">
        <v>541</v>
      </c>
      <c r="X3484" s="110" t="s">
        <v>541</v>
      </c>
      <c r="Y3484" s="110" t="str">
        <f>IFERROR(VLOOKUP(F3484,'Freq-Chan'!C:E,3,FALSE),"na")</f>
        <v>F1840</v>
      </c>
      <c r="Z3484" s="110" t="s">
        <v>541</v>
      </c>
      <c r="AA3484" s="110" t="s">
        <v>541</v>
      </c>
      <c r="AB3484" s="110" t="s">
        <v>541</v>
      </c>
      <c r="AC3484" s="10" t="s">
        <v>541</v>
      </c>
      <c r="AD3484" s="10" t="s">
        <v>541</v>
      </c>
    </row>
    <row r="3485" spans="1:30" x14ac:dyDescent="0.2">
      <c r="A3485" s="110">
        <v>3485</v>
      </c>
      <c r="B3485" s="132">
        <v>41876</v>
      </c>
      <c r="C3485" s="117">
        <v>2</v>
      </c>
      <c r="D3485" s="142" t="s">
        <v>72</v>
      </c>
      <c r="E3485" s="142" t="s">
        <v>306</v>
      </c>
      <c r="F3485" s="103">
        <v>325</v>
      </c>
      <c r="G3485" s="103">
        <v>41</v>
      </c>
      <c r="H3485" s="103" t="s">
        <v>3682</v>
      </c>
      <c r="I3485" s="103">
        <v>52</v>
      </c>
      <c r="K3485" s="142" t="s">
        <v>1032</v>
      </c>
      <c r="L3485" s="133"/>
      <c r="M3485" s="134">
        <v>3.6805555555555557E-2</v>
      </c>
      <c r="N3485" s="135" t="s">
        <v>4083</v>
      </c>
      <c r="O3485" s="144" t="s">
        <v>555</v>
      </c>
      <c r="Q3485" s="106" t="s">
        <v>4442</v>
      </c>
      <c r="R3485" s="226" t="s">
        <v>4455</v>
      </c>
      <c r="S3485" s="491" t="str">
        <f t="shared" si="113"/>
        <v>x</v>
      </c>
      <c r="T3485" s="492">
        <f>IFERROR(VLOOKUP(F3485,'Freq-Chan'!C:D,2,FALSE),"x")</f>
        <v>151.32499999999999</v>
      </c>
      <c r="U3485" s="110" t="s">
        <v>541</v>
      </c>
      <c r="V3485" s="110" t="str">
        <f t="shared" si="114"/>
        <v>FWL</v>
      </c>
      <c r="W3485" s="110" t="s">
        <v>541</v>
      </c>
      <c r="X3485" s="110" t="s">
        <v>541</v>
      </c>
      <c r="Y3485" s="110" t="str">
        <f>IFERROR(VLOOKUP(F3485,'Freq-Chan'!C:E,3,FALSE),"na")</f>
        <v>F1840</v>
      </c>
      <c r="Z3485" s="110" t="s">
        <v>541</v>
      </c>
      <c r="AA3485" s="110" t="s">
        <v>541</v>
      </c>
      <c r="AB3485" s="110" t="s">
        <v>541</v>
      </c>
      <c r="AC3485" s="10" t="s">
        <v>541</v>
      </c>
      <c r="AD3485" s="10" t="s">
        <v>541</v>
      </c>
    </row>
    <row r="3486" spans="1:30" x14ac:dyDescent="0.2">
      <c r="A3486" s="110">
        <v>3486</v>
      </c>
      <c r="B3486" s="132">
        <v>41876</v>
      </c>
      <c r="C3486" s="117">
        <v>2</v>
      </c>
      <c r="D3486" s="142" t="s">
        <v>72</v>
      </c>
      <c r="E3486" s="142" t="s">
        <v>306</v>
      </c>
      <c r="F3486" s="103">
        <v>325</v>
      </c>
      <c r="G3486" s="103">
        <v>47</v>
      </c>
      <c r="H3486" s="103" t="s">
        <v>3683</v>
      </c>
      <c r="I3486" s="103">
        <v>56</v>
      </c>
      <c r="K3486" s="142" t="s">
        <v>365</v>
      </c>
      <c r="L3486" s="133"/>
      <c r="M3486" s="134">
        <v>3.888888888888889E-2</v>
      </c>
      <c r="N3486" s="135" t="s">
        <v>712</v>
      </c>
      <c r="O3486" s="144" t="s">
        <v>1033</v>
      </c>
      <c r="Q3486" s="106" t="s">
        <v>4443</v>
      </c>
      <c r="R3486" s="226" t="s">
        <v>4455</v>
      </c>
      <c r="S3486" s="491" t="str">
        <f t="shared" si="113"/>
        <v>x</v>
      </c>
      <c r="T3486" s="492">
        <f>IFERROR(VLOOKUP(F3486,'Freq-Chan'!C:D,2,FALSE),"x")</f>
        <v>151.32499999999999</v>
      </c>
      <c r="U3486" s="110" t="s">
        <v>541</v>
      </c>
      <c r="V3486" s="110" t="str">
        <f t="shared" si="114"/>
        <v>FWL</v>
      </c>
      <c r="W3486" s="110" t="s">
        <v>541</v>
      </c>
      <c r="X3486" s="110" t="s">
        <v>541</v>
      </c>
      <c r="Y3486" s="110" t="str">
        <f>IFERROR(VLOOKUP(F3486,'Freq-Chan'!C:E,3,FALSE),"na")</f>
        <v>F1840</v>
      </c>
      <c r="Z3486" s="110" t="s">
        <v>541</v>
      </c>
      <c r="AA3486" s="110" t="s">
        <v>541</v>
      </c>
      <c r="AB3486" s="110" t="s">
        <v>541</v>
      </c>
      <c r="AC3486" s="10" t="s">
        <v>541</v>
      </c>
      <c r="AD3486" s="10" t="s">
        <v>541</v>
      </c>
    </row>
    <row r="3487" spans="1:30" x14ac:dyDescent="0.2">
      <c r="A3487" s="110">
        <v>3487</v>
      </c>
      <c r="B3487" s="132">
        <v>41876</v>
      </c>
      <c r="C3487" s="117">
        <v>2</v>
      </c>
      <c r="D3487" s="142" t="s">
        <v>8</v>
      </c>
      <c r="E3487" s="142" t="s">
        <v>306</v>
      </c>
      <c r="H3487" s="103"/>
      <c r="I3487" s="103">
        <v>47</v>
      </c>
      <c r="K3487" s="142" t="s">
        <v>364</v>
      </c>
      <c r="L3487" s="133"/>
      <c r="M3487" s="134">
        <v>2.4999999999999998E-2</v>
      </c>
      <c r="N3487" s="135" t="s">
        <v>3183</v>
      </c>
      <c r="O3487" s="144" t="s">
        <v>1033</v>
      </c>
      <c r="P3487" s="100" t="s">
        <v>4454</v>
      </c>
      <c r="Q3487" s="108" t="s">
        <v>4443</v>
      </c>
      <c r="R3487" s="226" t="s">
        <v>4455</v>
      </c>
      <c r="S3487" s="491" t="str">
        <f t="shared" si="113"/>
        <v>x</v>
      </c>
      <c r="T3487" s="492" t="str">
        <f>IFERROR(VLOOKUP(F3487,'Freq-Chan'!C:D,2,FALSE),"x")</f>
        <v>x</v>
      </c>
      <c r="U3487" s="110" t="s">
        <v>541</v>
      </c>
      <c r="V3487" s="110" t="str">
        <f t="shared" si="114"/>
        <v>FWL</v>
      </c>
      <c r="W3487" s="110" t="s">
        <v>541</v>
      </c>
      <c r="X3487" s="110" t="s">
        <v>541</v>
      </c>
      <c r="Y3487" s="110" t="str">
        <f>IFERROR(VLOOKUP(F3487,'Freq-Chan'!C:E,3,FALSE),"na")</f>
        <v>na</v>
      </c>
      <c r="Z3487" s="110" t="s">
        <v>541</v>
      </c>
      <c r="AA3487" s="110" t="s">
        <v>541</v>
      </c>
      <c r="AB3487" s="110" t="s">
        <v>541</v>
      </c>
      <c r="AC3487" s="10" t="s">
        <v>541</v>
      </c>
      <c r="AD3487" s="10" t="s">
        <v>541</v>
      </c>
    </row>
    <row r="3488" spans="1:30" s="291" customFormat="1" x14ac:dyDescent="0.2">
      <c r="A3488" s="493">
        <v>3488</v>
      </c>
      <c r="B3488" s="283">
        <v>41876</v>
      </c>
      <c r="C3488" s="284">
        <v>2</v>
      </c>
      <c r="D3488" s="396" t="s">
        <v>72</v>
      </c>
      <c r="E3488" s="396" t="s">
        <v>306</v>
      </c>
      <c r="F3488" s="285"/>
      <c r="G3488" s="285"/>
      <c r="H3488" s="285"/>
      <c r="I3488" s="285">
        <v>57</v>
      </c>
      <c r="J3488" s="285"/>
      <c r="K3488" s="396" t="s">
        <v>1032</v>
      </c>
      <c r="L3488" s="286"/>
      <c r="M3488" s="287">
        <v>1.4583333333333332E-2</v>
      </c>
      <c r="N3488" s="288" t="s">
        <v>4298</v>
      </c>
      <c r="O3488" s="397" t="s">
        <v>1033</v>
      </c>
      <c r="P3488" s="289"/>
      <c r="Q3488" s="399" t="s">
        <v>4443</v>
      </c>
      <c r="R3488" s="290" t="s">
        <v>4455</v>
      </c>
      <c r="S3488" s="494" t="str">
        <f t="shared" si="113"/>
        <v>x</v>
      </c>
      <c r="T3488" s="495" t="str">
        <f>IFERROR(VLOOKUP(F3488,'Freq-Chan'!C:D,2,FALSE),"x")</f>
        <v>x</v>
      </c>
      <c r="U3488" s="493" t="s">
        <v>541</v>
      </c>
      <c r="V3488" s="493" t="str">
        <f t="shared" si="114"/>
        <v>FWL</v>
      </c>
      <c r="W3488" s="493" t="s">
        <v>541</v>
      </c>
      <c r="X3488" s="493" t="s">
        <v>541</v>
      </c>
      <c r="Y3488" s="493" t="str">
        <f>IFERROR(VLOOKUP(F3488,'Freq-Chan'!C:E,3,FALSE),"na")</f>
        <v>na</v>
      </c>
      <c r="Z3488" s="493" t="s">
        <v>541</v>
      </c>
      <c r="AA3488" s="493" t="s">
        <v>541</v>
      </c>
      <c r="AB3488" s="493" t="s">
        <v>541</v>
      </c>
      <c r="AC3488" s="291" t="s">
        <v>541</v>
      </c>
      <c r="AD3488" s="291" t="s">
        <v>541</v>
      </c>
    </row>
    <row r="3489" spans="1:30" x14ac:dyDescent="0.2">
      <c r="A3489" s="110">
        <v>3489</v>
      </c>
      <c r="B3489" s="132">
        <v>41876</v>
      </c>
      <c r="C3489" s="117">
        <v>3</v>
      </c>
      <c r="D3489" s="142" t="s">
        <v>71</v>
      </c>
      <c r="E3489" s="142" t="s">
        <v>306</v>
      </c>
      <c r="H3489" s="103"/>
      <c r="I3489" s="103">
        <v>56</v>
      </c>
      <c r="K3489" s="142" t="s">
        <v>365</v>
      </c>
      <c r="L3489" s="133"/>
      <c r="M3489" s="134">
        <v>1.7361111111111112E-2</v>
      </c>
      <c r="N3489" s="135" t="s">
        <v>2839</v>
      </c>
      <c r="O3489" s="144" t="s">
        <v>376</v>
      </c>
      <c r="Q3489" s="108" t="s">
        <v>4443</v>
      </c>
      <c r="R3489" s="100" t="s">
        <v>4455</v>
      </c>
      <c r="S3489" s="503" t="str">
        <f t="shared" si="113"/>
        <v>x</v>
      </c>
      <c r="T3489" s="504" t="str">
        <f>IFERROR(VLOOKUP(F3489,'Freq-Chan'!C:D,2,FALSE),"x")</f>
        <v>x</v>
      </c>
      <c r="U3489" s="110" t="s">
        <v>541</v>
      </c>
      <c r="V3489" s="110" t="str">
        <f t="shared" si="114"/>
        <v>FWL</v>
      </c>
      <c r="W3489" s="110" t="s">
        <v>541</v>
      </c>
      <c r="X3489" s="110" t="s">
        <v>541</v>
      </c>
      <c r="Y3489" s="110" t="str">
        <f>IFERROR(VLOOKUP(F3489,'Freq-Chan'!C:E,3,FALSE),"na")</f>
        <v>na</v>
      </c>
      <c r="Z3489" s="110" t="s">
        <v>541</v>
      </c>
      <c r="AA3489" s="110" t="s">
        <v>541</v>
      </c>
      <c r="AB3489" s="110" t="s">
        <v>541</v>
      </c>
      <c r="AC3489" s="10" t="s">
        <v>541</v>
      </c>
      <c r="AD3489" s="10" t="s">
        <v>541</v>
      </c>
    </row>
    <row r="3490" spans="1:30" x14ac:dyDescent="0.2">
      <c r="A3490" s="110">
        <v>3490</v>
      </c>
      <c r="B3490" s="132">
        <v>41876</v>
      </c>
      <c r="C3490" s="117">
        <v>3</v>
      </c>
      <c r="D3490" s="103" t="s">
        <v>71</v>
      </c>
      <c r="E3490" s="103" t="s">
        <v>306</v>
      </c>
      <c r="H3490" s="103"/>
      <c r="I3490" s="103">
        <v>60</v>
      </c>
      <c r="K3490" s="103" t="s">
        <v>365</v>
      </c>
      <c r="L3490" s="133"/>
      <c r="M3490" s="134">
        <v>1.3888888888888888E-2</v>
      </c>
      <c r="N3490" s="135" t="s">
        <v>3935</v>
      </c>
      <c r="O3490" s="133" t="s">
        <v>1033</v>
      </c>
      <c r="Q3490" s="100" t="s">
        <v>4443</v>
      </c>
      <c r="R3490" s="100" t="s">
        <v>4455</v>
      </c>
      <c r="S3490" s="491" t="str">
        <f t="shared" si="113"/>
        <v>x</v>
      </c>
      <c r="T3490" s="492" t="str">
        <f>IFERROR(VLOOKUP(F3490,'Freq-Chan'!C:D,2,FALSE),"x")</f>
        <v>x</v>
      </c>
      <c r="U3490" s="110" t="s">
        <v>541</v>
      </c>
      <c r="V3490" s="110" t="str">
        <f t="shared" si="114"/>
        <v>FWL</v>
      </c>
      <c r="W3490" s="110" t="s">
        <v>541</v>
      </c>
      <c r="X3490" s="110" t="s">
        <v>541</v>
      </c>
      <c r="Y3490" s="110" t="str">
        <f>IFERROR(VLOOKUP(F3490,'Freq-Chan'!C:E,3,FALSE),"na")</f>
        <v>na</v>
      </c>
      <c r="Z3490" s="110" t="s">
        <v>541</v>
      </c>
      <c r="AA3490" s="110" t="s">
        <v>541</v>
      </c>
      <c r="AB3490" s="110" t="s">
        <v>541</v>
      </c>
      <c r="AC3490" s="10" t="s">
        <v>541</v>
      </c>
      <c r="AD3490" s="10" t="s">
        <v>541</v>
      </c>
    </row>
    <row r="3491" spans="1:30" x14ac:dyDescent="0.2">
      <c r="A3491" s="110">
        <v>3491</v>
      </c>
      <c r="B3491" s="132">
        <v>41876</v>
      </c>
      <c r="C3491" s="117">
        <v>3</v>
      </c>
      <c r="D3491" s="103" t="s">
        <v>72</v>
      </c>
      <c r="E3491" s="103" t="s">
        <v>306</v>
      </c>
      <c r="F3491" s="103">
        <v>266</v>
      </c>
      <c r="G3491" s="103">
        <v>92</v>
      </c>
      <c r="H3491" s="103" t="s">
        <v>3677</v>
      </c>
      <c r="I3491" s="103">
        <v>54</v>
      </c>
      <c r="K3491" s="103" t="s">
        <v>1032</v>
      </c>
      <c r="L3491" s="133"/>
      <c r="M3491" s="134">
        <v>3.125E-2</v>
      </c>
      <c r="N3491" s="135" t="s">
        <v>2591</v>
      </c>
      <c r="O3491" s="133" t="s">
        <v>1033</v>
      </c>
      <c r="P3491" s="100" t="s">
        <v>4477</v>
      </c>
      <c r="Q3491" s="100" t="s">
        <v>4443</v>
      </c>
      <c r="R3491" s="100" t="s">
        <v>4455</v>
      </c>
      <c r="S3491" s="491" t="str">
        <f t="shared" si="113"/>
        <v>x</v>
      </c>
      <c r="T3491" s="492">
        <f>IFERROR(VLOOKUP(F3491,'Freq-Chan'!C:D,2,FALSE),"x")</f>
        <v>151.26599999999999</v>
      </c>
      <c r="U3491" s="110" t="s">
        <v>541</v>
      </c>
      <c r="V3491" s="110" t="str">
        <f t="shared" si="114"/>
        <v>FWL</v>
      </c>
      <c r="W3491" s="110" t="s">
        <v>541</v>
      </c>
      <c r="X3491" s="110" t="s">
        <v>541</v>
      </c>
      <c r="Y3491" s="110" t="str">
        <f>IFERROR(VLOOKUP(F3491,'Freq-Chan'!C:E,3,FALSE),"na")</f>
        <v>F1840</v>
      </c>
      <c r="Z3491" s="110" t="s">
        <v>541</v>
      </c>
      <c r="AA3491" s="110" t="s">
        <v>541</v>
      </c>
      <c r="AB3491" s="110" t="s">
        <v>541</v>
      </c>
      <c r="AC3491" s="10" t="s">
        <v>541</v>
      </c>
      <c r="AD3491" s="10" t="s">
        <v>541</v>
      </c>
    </row>
    <row r="3492" spans="1:30" x14ac:dyDescent="0.2">
      <c r="A3492" s="110">
        <v>3492</v>
      </c>
      <c r="B3492" s="132">
        <v>41876</v>
      </c>
      <c r="C3492" s="117">
        <v>3</v>
      </c>
      <c r="D3492" s="103" t="s">
        <v>71</v>
      </c>
      <c r="E3492" s="103" t="s">
        <v>306</v>
      </c>
      <c r="H3492" s="103"/>
      <c r="I3492" s="103">
        <v>59</v>
      </c>
      <c r="K3492" s="103" t="s">
        <v>1032</v>
      </c>
      <c r="L3492" s="133"/>
      <c r="M3492" s="134">
        <v>1.5277777777777777E-2</v>
      </c>
      <c r="N3492" s="135" t="s">
        <v>3210</v>
      </c>
      <c r="O3492" s="133" t="s">
        <v>1033</v>
      </c>
      <c r="Q3492" s="100" t="s">
        <v>4443</v>
      </c>
      <c r="R3492" s="100" t="s">
        <v>4455</v>
      </c>
      <c r="S3492" s="491" t="str">
        <f t="shared" si="113"/>
        <v>x</v>
      </c>
      <c r="T3492" s="492" t="str">
        <f>IFERROR(VLOOKUP(F3492,'Freq-Chan'!C:D,2,FALSE),"x")</f>
        <v>x</v>
      </c>
      <c r="U3492" s="110" t="s">
        <v>541</v>
      </c>
      <c r="V3492" s="110" t="str">
        <f t="shared" si="114"/>
        <v>FWL</v>
      </c>
      <c r="W3492" s="110" t="s">
        <v>541</v>
      </c>
      <c r="X3492" s="110" t="s">
        <v>541</v>
      </c>
      <c r="Y3492" s="110" t="str">
        <f>IFERROR(VLOOKUP(F3492,'Freq-Chan'!C:E,3,FALSE),"na")</f>
        <v>na</v>
      </c>
      <c r="Z3492" s="110" t="s">
        <v>541</v>
      </c>
      <c r="AA3492" s="110" t="s">
        <v>541</v>
      </c>
      <c r="AB3492" s="110" t="s">
        <v>541</v>
      </c>
      <c r="AC3492" s="10" t="s">
        <v>541</v>
      </c>
      <c r="AD3492" s="10" t="s">
        <v>541</v>
      </c>
    </row>
    <row r="3493" spans="1:30" x14ac:dyDescent="0.2">
      <c r="A3493" s="110">
        <v>3493</v>
      </c>
      <c r="B3493" s="132">
        <v>41876</v>
      </c>
      <c r="C3493" s="117">
        <v>3</v>
      </c>
      <c r="D3493" s="103" t="s">
        <v>72</v>
      </c>
      <c r="E3493" s="103" t="s">
        <v>306</v>
      </c>
      <c r="F3493" s="103">
        <v>266</v>
      </c>
      <c r="G3493" s="103">
        <v>49</v>
      </c>
      <c r="H3493" s="103" t="s">
        <v>3679</v>
      </c>
      <c r="I3493" s="103">
        <v>52</v>
      </c>
      <c r="K3493" s="103" t="s">
        <v>1032</v>
      </c>
      <c r="L3493" s="133"/>
      <c r="M3493" s="134">
        <v>6.0416666666666667E-2</v>
      </c>
      <c r="N3493" s="135" t="s">
        <v>2050</v>
      </c>
      <c r="O3493" s="133" t="s">
        <v>3932</v>
      </c>
      <c r="P3493" s="100" t="s">
        <v>4477</v>
      </c>
      <c r="Q3493" s="100" t="s">
        <v>4446</v>
      </c>
      <c r="R3493" s="100" t="s">
        <v>4455</v>
      </c>
      <c r="S3493" s="491" t="str">
        <f t="shared" si="113"/>
        <v>x</v>
      </c>
      <c r="T3493" s="492">
        <f>IFERROR(VLOOKUP(F3493,'Freq-Chan'!C:D,2,FALSE),"x")</f>
        <v>151.26599999999999</v>
      </c>
      <c r="U3493" s="110" t="s">
        <v>541</v>
      </c>
      <c r="V3493" s="110" t="str">
        <f t="shared" si="114"/>
        <v>FWL</v>
      </c>
      <c r="W3493" s="110" t="s">
        <v>541</v>
      </c>
      <c r="X3493" s="110" t="s">
        <v>541</v>
      </c>
      <c r="Y3493" s="110" t="str">
        <f>IFERROR(VLOOKUP(F3493,'Freq-Chan'!C:E,3,FALSE),"na")</f>
        <v>F1840</v>
      </c>
      <c r="Z3493" s="110" t="s">
        <v>541</v>
      </c>
      <c r="AA3493" s="110" t="s">
        <v>541</v>
      </c>
      <c r="AB3493" s="110" t="s">
        <v>541</v>
      </c>
      <c r="AC3493" s="10" t="s">
        <v>541</v>
      </c>
      <c r="AD3493" s="10" t="s">
        <v>541</v>
      </c>
    </row>
    <row r="3494" spans="1:30" x14ac:dyDescent="0.2">
      <c r="A3494" s="110">
        <v>3494</v>
      </c>
      <c r="B3494" s="132">
        <v>41876</v>
      </c>
      <c r="C3494" s="117">
        <v>3</v>
      </c>
      <c r="D3494" s="103" t="s">
        <v>72</v>
      </c>
      <c r="E3494" s="103" t="s">
        <v>306</v>
      </c>
      <c r="F3494" s="103">
        <v>266</v>
      </c>
      <c r="G3494" s="103">
        <v>7</v>
      </c>
      <c r="H3494" s="103" t="s">
        <v>3681</v>
      </c>
      <c r="I3494" s="103">
        <v>52</v>
      </c>
      <c r="K3494" s="103" t="s">
        <v>365</v>
      </c>
      <c r="L3494" s="133"/>
      <c r="M3494" s="134">
        <v>0.10069444444444443</v>
      </c>
      <c r="N3494" s="135" t="s">
        <v>3718</v>
      </c>
      <c r="O3494" s="133" t="s">
        <v>3932</v>
      </c>
      <c r="P3494" s="100" t="s">
        <v>4478</v>
      </c>
      <c r="Q3494" s="100" t="s">
        <v>4446</v>
      </c>
      <c r="R3494" s="100" t="s">
        <v>4455</v>
      </c>
      <c r="S3494" s="491" t="str">
        <f t="shared" si="113"/>
        <v>x</v>
      </c>
      <c r="T3494" s="492">
        <f>IFERROR(VLOOKUP(F3494,'Freq-Chan'!C:D,2,FALSE),"x")</f>
        <v>151.26599999999999</v>
      </c>
      <c r="U3494" s="110" t="s">
        <v>541</v>
      </c>
      <c r="V3494" s="110" t="str">
        <f t="shared" si="114"/>
        <v>FWL</v>
      </c>
      <c r="W3494" s="110" t="s">
        <v>541</v>
      </c>
      <c r="X3494" s="110" t="s">
        <v>541</v>
      </c>
      <c r="Y3494" s="110" t="str">
        <f>IFERROR(VLOOKUP(F3494,'Freq-Chan'!C:E,3,FALSE),"na")</f>
        <v>F1840</v>
      </c>
      <c r="Z3494" s="110" t="s">
        <v>541</v>
      </c>
      <c r="AA3494" s="110" t="s">
        <v>541</v>
      </c>
      <c r="AB3494" s="110" t="s">
        <v>541</v>
      </c>
      <c r="AC3494" s="10" t="s">
        <v>541</v>
      </c>
      <c r="AD3494" s="10" t="s">
        <v>541</v>
      </c>
    </row>
    <row r="3495" spans="1:30" x14ac:dyDescent="0.2">
      <c r="A3495" s="110">
        <v>3495</v>
      </c>
      <c r="B3495" s="132">
        <v>41876</v>
      </c>
      <c r="C3495" s="117">
        <v>3</v>
      </c>
      <c r="D3495" s="103" t="s">
        <v>71</v>
      </c>
      <c r="E3495" s="103" t="s">
        <v>306</v>
      </c>
      <c r="H3495" s="103"/>
      <c r="I3495" s="103">
        <v>53</v>
      </c>
      <c r="K3495" s="103" t="s">
        <v>1032</v>
      </c>
      <c r="L3495" s="133"/>
      <c r="M3495" s="134">
        <v>1.6666666666666666E-2</v>
      </c>
      <c r="N3495" s="135" t="s">
        <v>2773</v>
      </c>
      <c r="O3495" s="133" t="s">
        <v>373</v>
      </c>
      <c r="Q3495" s="100" t="s">
        <v>4446</v>
      </c>
      <c r="R3495" s="100" t="s">
        <v>4455</v>
      </c>
      <c r="S3495" s="491" t="str">
        <f t="shared" si="113"/>
        <v>x</v>
      </c>
      <c r="T3495" s="492" t="str">
        <f>IFERROR(VLOOKUP(F3495,'Freq-Chan'!C:D,2,FALSE),"x")</f>
        <v>x</v>
      </c>
      <c r="U3495" s="110" t="s">
        <v>541</v>
      </c>
      <c r="V3495" s="110" t="str">
        <f t="shared" si="114"/>
        <v>FWL</v>
      </c>
      <c r="W3495" s="110" t="s">
        <v>541</v>
      </c>
      <c r="X3495" s="110" t="s">
        <v>541</v>
      </c>
      <c r="Y3495" s="110" t="str">
        <f>IFERROR(VLOOKUP(F3495,'Freq-Chan'!C:E,3,FALSE),"na")</f>
        <v>na</v>
      </c>
      <c r="Z3495" s="110" t="s">
        <v>541</v>
      </c>
      <c r="AA3495" s="110" t="s">
        <v>541</v>
      </c>
      <c r="AB3495" s="110" t="s">
        <v>541</v>
      </c>
      <c r="AC3495" s="10" t="s">
        <v>541</v>
      </c>
      <c r="AD3495" s="10" t="s">
        <v>541</v>
      </c>
    </row>
    <row r="3496" spans="1:30" x14ac:dyDescent="0.2">
      <c r="A3496" s="110">
        <v>3496</v>
      </c>
      <c r="B3496" s="132">
        <v>41876</v>
      </c>
      <c r="C3496" s="117">
        <v>3</v>
      </c>
      <c r="D3496" s="103" t="s">
        <v>72</v>
      </c>
      <c r="E3496" s="103" t="s">
        <v>306</v>
      </c>
      <c r="F3496" s="103">
        <v>266</v>
      </c>
      <c r="G3496" s="103">
        <v>46</v>
      </c>
      <c r="H3496" s="103" t="s">
        <v>3676</v>
      </c>
      <c r="I3496" s="103">
        <v>58</v>
      </c>
      <c r="K3496" s="103" t="s">
        <v>365</v>
      </c>
      <c r="L3496" s="133"/>
      <c r="M3496" s="134">
        <v>7.8472222222222221E-2</v>
      </c>
      <c r="N3496" s="135" t="s">
        <v>4209</v>
      </c>
      <c r="O3496" s="133" t="s">
        <v>3932</v>
      </c>
      <c r="P3496" s="100" t="s">
        <v>4477</v>
      </c>
      <c r="Q3496" s="100" t="s">
        <v>4446</v>
      </c>
      <c r="R3496" s="100" t="s">
        <v>4455</v>
      </c>
      <c r="S3496" s="491" t="str">
        <f t="shared" si="113"/>
        <v>x</v>
      </c>
      <c r="T3496" s="492">
        <f>IFERROR(VLOOKUP(F3496,'Freq-Chan'!C:D,2,FALSE),"x")</f>
        <v>151.26599999999999</v>
      </c>
      <c r="U3496" s="110" t="s">
        <v>541</v>
      </c>
      <c r="V3496" s="110" t="str">
        <f t="shared" si="114"/>
        <v>FWL</v>
      </c>
      <c r="W3496" s="110" t="s">
        <v>541</v>
      </c>
      <c r="X3496" s="110" t="s">
        <v>541</v>
      </c>
      <c r="Y3496" s="110" t="str">
        <f>IFERROR(VLOOKUP(F3496,'Freq-Chan'!C:E,3,FALSE),"na")</f>
        <v>F1840</v>
      </c>
      <c r="Z3496" s="110" t="s">
        <v>541</v>
      </c>
      <c r="AA3496" s="110" t="s">
        <v>541</v>
      </c>
      <c r="AB3496" s="110" t="s">
        <v>541</v>
      </c>
      <c r="AC3496" s="10" t="s">
        <v>541</v>
      </c>
      <c r="AD3496" s="10" t="s">
        <v>541</v>
      </c>
    </row>
    <row r="3497" spans="1:30" x14ac:dyDescent="0.2">
      <c r="A3497" s="110">
        <v>3497</v>
      </c>
      <c r="B3497" s="132">
        <v>41876</v>
      </c>
      <c r="C3497" s="117">
        <v>3</v>
      </c>
      <c r="D3497" s="103" t="s">
        <v>71</v>
      </c>
      <c r="E3497" s="103" t="s">
        <v>306</v>
      </c>
      <c r="H3497" s="103"/>
      <c r="I3497" s="103">
        <v>59</v>
      </c>
      <c r="K3497" s="103" t="s">
        <v>1032</v>
      </c>
      <c r="L3497" s="133"/>
      <c r="M3497" s="134">
        <v>2.2222222222222223E-2</v>
      </c>
      <c r="N3497" s="135" t="s">
        <v>3845</v>
      </c>
      <c r="O3497" s="133" t="s">
        <v>373</v>
      </c>
      <c r="Q3497" s="100" t="s">
        <v>4446</v>
      </c>
      <c r="R3497" s="100" t="s">
        <v>4455</v>
      </c>
      <c r="S3497" s="491" t="str">
        <f t="shared" si="113"/>
        <v>x</v>
      </c>
      <c r="T3497" s="492" t="str">
        <f>IFERROR(VLOOKUP(F3497,'Freq-Chan'!C:D,2,FALSE),"x")</f>
        <v>x</v>
      </c>
      <c r="U3497" s="110" t="s">
        <v>541</v>
      </c>
      <c r="V3497" s="110" t="str">
        <f t="shared" si="114"/>
        <v>FWL</v>
      </c>
      <c r="W3497" s="110" t="s">
        <v>541</v>
      </c>
      <c r="X3497" s="110" t="s">
        <v>541</v>
      </c>
      <c r="Y3497" s="110" t="str">
        <f>IFERROR(VLOOKUP(F3497,'Freq-Chan'!C:E,3,FALSE),"na")</f>
        <v>na</v>
      </c>
      <c r="Z3497" s="110" t="s">
        <v>541</v>
      </c>
      <c r="AA3497" s="110" t="s">
        <v>541</v>
      </c>
      <c r="AB3497" s="110" t="s">
        <v>541</v>
      </c>
      <c r="AC3497" s="10" t="s">
        <v>541</v>
      </c>
      <c r="AD3497" s="10" t="s">
        <v>541</v>
      </c>
    </row>
    <row r="3498" spans="1:30" x14ac:dyDescent="0.2">
      <c r="A3498" s="110">
        <v>3498</v>
      </c>
      <c r="B3498" s="132">
        <v>41876</v>
      </c>
      <c r="C3498" s="117">
        <v>3</v>
      </c>
      <c r="D3498" s="103" t="s">
        <v>72</v>
      </c>
      <c r="E3498" s="103" t="s">
        <v>306</v>
      </c>
      <c r="H3498" s="103"/>
      <c r="I3498" s="103">
        <v>58</v>
      </c>
      <c r="K3498" s="103" t="s">
        <v>365</v>
      </c>
      <c r="L3498" s="133"/>
      <c r="M3498" s="134">
        <v>1.6666666666666666E-2</v>
      </c>
      <c r="N3498" s="135" t="s">
        <v>4282</v>
      </c>
      <c r="O3498" s="133" t="s">
        <v>373</v>
      </c>
      <c r="Q3498" s="100" t="s">
        <v>4446</v>
      </c>
      <c r="R3498" s="100" t="s">
        <v>4455</v>
      </c>
      <c r="S3498" s="491" t="str">
        <f t="shared" si="113"/>
        <v>x</v>
      </c>
      <c r="T3498" s="492" t="str">
        <f>IFERROR(VLOOKUP(F3498,'Freq-Chan'!C:D,2,FALSE),"x")</f>
        <v>x</v>
      </c>
      <c r="U3498" s="110" t="s">
        <v>541</v>
      </c>
      <c r="V3498" s="110" t="str">
        <f t="shared" si="114"/>
        <v>FWL</v>
      </c>
      <c r="W3498" s="110" t="s">
        <v>541</v>
      </c>
      <c r="X3498" s="110" t="s">
        <v>541</v>
      </c>
      <c r="Y3498" s="110" t="str">
        <f>IFERROR(VLOOKUP(F3498,'Freq-Chan'!C:E,3,FALSE),"na")</f>
        <v>na</v>
      </c>
      <c r="Z3498" s="110" t="s">
        <v>541</v>
      </c>
      <c r="AA3498" s="110" t="s">
        <v>541</v>
      </c>
      <c r="AB3498" s="110" t="s">
        <v>541</v>
      </c>
      <c r="AC3498" s="10" t="s">
        <v>541</v>
      </c>
      <c r="AD3498" s="10" t="s">
        <v>541</v>
      </c>
    </row>
    <row r="3499" spans="1:30" x14ac:dyDescent="0.2">
      <c r="A3499" s="110">
        <v>3499</v>
      </c>
      <c r="B3499" s="132">
        <v>41876</v>
      </c>
      <c r="C3499" s="117">
        <v>3</v>
      </c>
      <c r="D3499" s="103" t="s">
        <v>72</v>
      </c>
      <c r="E3499" s="103" t="s">
        <v>306</v>
      </c>
      <c r="H3499" s="103"/>
      <c r="I3499" s="103">
        <v>56</v>
      </c>
      <c r="K3499" s="103" t="s">
        <v>365</v>
      </c>
      <c r="L3499" s="133"/>
      <c r="M3499" s="134">
        <v>3.0555555555555555E-2</v>
      </c>
      <c r="N3499" s="135" t="s">
        <v>3190</v>
      </c>
      <c r="O3499" s="133" t="s">
        <v>373</v>
      </c>
      <c r="Q3499" s="100" t="s">
        <v>4446</v>
      </c>
      <c r="R3499" s="100" t="s">
        <v>4455</v>
      </c>
      <c r="S3499" s="491" t="str">
        <f t="shared" si="113"/>
        <v>x</v>
      </c>
      <c r="T3499" s="492" t="str">
        <f>IFERROR(VLOOKUP(F3499,'Freq-Chan'!C:D,2,FALSE),"x")</f>
        <v>x</v>
      </c>
      <c r="U3499" s="110" t="s">
        <v>541</v>
      </c>
      <c r="V3499" s="110" t="str">
        <f t="shared" si="114"/>
        <v>FWL</v>
      </c>
      <c r="W3499" s="110" t="s">
        <v>541</v>
      </c>
      <c r="X3499" s="110" t="s">
        <v>541</v>
      </c>
      <c r="Y3499" s="110" t="str">
        <f>IFERROR(VLOOKUP(F3499,'Freq-Chan'!C:E,3,FALSE),"na")</f>
        <v>na</v>
      </c>
      <c r="Z3499" s="110" t="s">
        <v>541</v>
      </c>
      <c r="AA3499" s="110" t="s">
        <v>541</v>
      </c>
      <c r="AB3499" s="110" t="s">
        <v>541</v>
      </c>
      <c r="AC3499" s="10" t="s">
        <v>541</v>
      </c>
      <c r="AD3499" s="10" t="s">
        <v>541</v>
      </c>
    </row>
    <row r="3500" spans="1:30" x14ac:dyDescent="0.2">
      <c r="A3500" s="110">
        <v>3500</v>
      </c>
      <c r="B3500" s="132">
        <v>41876</v>
      </c>
      <c r="C3500" s="117">
        <v>3</v>
      </c>
      <c r="D3500" s="103" t="s">
        <v>8</v>
      </c>
      <c r="E3500" s="103" t="s">
        <v>306</v>
      </c>
      <c r="F3500" s="103">
        <v>573</v>
      </c>
      <c r="G3500" s="103">
        <v>68</v>
      </c>
      <c r="H3500" s="103" t="s">
        <v>2289</v>
      </c>
      <c r="I3500" s="103">
        <v>60</v>
      </c>
      <c r="K3500" s="103" t="s">
        <v>1032</v>
      </c>
      <c r="L3500" s="133"/>
      <c r="M3500" s="134">
        <v>4.5138888888888888E-2</v>
      </c>
      <c r="N3500" s="135" t="s">
        <v>3186</v>
      </c>
      <c r="O3500" s="133" t="s">
        <v>555</v>
      </c>
      <c r="Q3500" s="100" t="s">
        <v>4442</v>
      </c>
      <c r="R3500" s="100" t="s">
        <v>4455</v>
      </c>
      <c r="S3500" s="491" t="str">
        <f t="shared" si="113"/>
        <v>x</v>
      </c>
      <c r="T3500" s="492">
        <f>IFERROR(VLOOKUP(F3500,'Freq-Chan'!C:D,2,FALSE),"x")</f>
        <v>151.57300000000001</v>
      </c>
      <c r="U3500" s="110" t="s">
        <v>541</v>
      </c>
      <c r="V3500" s="110" t="str">
        <f t="shared" si="114"/>
        <v>FWL</v>
      </c>
      <c r="W3500" s="110" t="s">
        <v>541</v>
      </c>
      <c r="X3500" s="110" t="s">
        <v>541</v>
      </c>
      <c r="Y3500" s="110" t="str">
        <f>IFERROR(VLOOKUP(F3500,'Freq-Chan'!C:E,3,FALSE),"na")</f>
        <v>F1840</v>
      </c>
      <c r="Z3500" s="110" t="s">
        <v>541</v>
      </c>
      <c r="AA3500" s="110" t="s">
        <v>541</v>
      </c>
      <c r="AB3500" s="110" t="s">
        <v>541</v>
      </c>
      <c r="AC3500" s="10" t="s">
        <v>541</v>
      </c>
      <c r="AD3500" s="10" t="s">
        <v>541</v>
      </c>
    </row>
    <row r="3501" spans="1:30" x14ac:dyDescent="0.2">
      <c r="A3501" s="110">
        <v>3501</v>
      </c>
      <c r="B3501" s="132">
        <v>41876</v>
      </c>
      <c r="C3501" s="117">
        <v>3</v>
      </c>
      <c r="D3501" s="103" t="s">
        <v>72</v>
      </c>
      <c r="E3501" s="103" t="s">
        <v>306</v>
      </c>
      <c r="H3501" s="103"/>
      <c r="I3501" s="103">
        <v>50</v>
      </c>
      <c r="K3501" s="103" t="s">
        <v>1032</v>
      </c>
      <c r="L3501" s="133"/>
      <c r="M3501" s="134">
        <v>1.5277777777777777E-2</v>
      </c>
      <c r="N3501" s="135" t="s">
        <v>1772</v>
      </c>
      <c r="O3501" s="133" t="s">
        <v>4418</v>
      </c>
      <c r="Q3501" s="100" t="s">
        <v>4442</v>
      </c>
      <c r="R3501" s="100" t="s">
        <v>4455</v>
      </c>
      <c r="S3501" s="491" t="str">
        <f t="shared" si="113"/>
        <v>x</v>
      </c>
      <c r="T3501" s="492" t="str">
        <f>IFERROR(VLOOKUP(F3501,'Freq-Chan'!C:D,2,FALSE),"x")</f>
        <v>x</v>
      </c>
      <c r="U3501" s="110" t="s">
        <v>541</v>
      </c>
      <c r="V3501" s="110" t="str">
        <f t="shared" si="114"/>
        <v>FWL</v>
      </c>
      <c r="W3501" s="110" t="s">
        <v>541</v>
      </c>
      <c r="X3501" s="110" t="s">
        <v>541</v>
      </c>
      <c r="Y3501" s="110" t="str">
        <f>IFERROR(VLOOKUP(F3501,'Freq-Chan'!C:E,3,FALSE),"na")</f>
        <v>na</v>
      </c>
      <c r="Z3501" s="110" t="s">
        <v>541</v>
      </c>
      <c r="AA3501" s="110" t="s">
        <v>541</v>
      </c>
      <c r="AB3501" s="110" t="s">
        <v>541</v>
      </c>
      <c r="AC3501" s="10" t="s">
        <v>541</v>
      </c>
      <c r="AD3501" s="10" t="s">
        <v>541</v>
      </c>
    </row>
    <row r="3502" spans="1:30" x14ac:dyDescent="0.2">
      <c r="A3502" s="110">
        <v>3502</v>
      </c>
      <c r="B3502" s="132">
        <v>41876</v>
      </c>
      <c r="C3502" s="117">
        <v>3</v>
      </c>
      <c r="D3502" s="103" t="s">
        <v>72</v>
      </c>
      <c r="E3502" s="103" t="s">
        <v>306</v>
      </c>
      <c r="H3502" s="103"/>
      <c r="I3502" s="103">
        <v>58</v>
      </c>
      <c r="K3502" s="103" t="s">
        <v>1032</v>
      </c>
      <c r="L3502" s="133"/>
      <c r="M3502" s="134">
        <v>1.6666666666666666E-2</v>
      </c>
      <c r="N3502" s="135" t="s">
        <v>4201</v>
      </c>
      <c r="O3502" s="133" t="s">
        <v>4418</v>
      </c>
      <c r="Q3502" s="100" t="s">
        <v>4442</v>
      </c>
      <c r="R3502" s="100" t="s">
        <v>4455</v>
      </c>
      <c r="S3502" s="491" t="str">
        <f t="shared" si="113"/>
        <v>x</v>
      </c>
      <c r="T3502" s="492" t="str">
        <f>IFERROR(VLOOKUP(F3502,'Freq-Chan'!C:D,2,FALSE),"x")</f>
        <v>x</v>
      </c>
      <c r="U3502" s="110" t="s">
        <v>541</v>
      </c>
      <c r="V3502" s="110" t="str">
        <f t="shared" si="114"/>
        <v>FWL</v>
      </c>
      <c r="W3502" s="110" t="s">
        <v>541</v>
      </c>
      <c r="X3502" s="110" t="s">
        <v>541</v>
      </c>
      <c r="Y3502" s="110" t="str">
        <f>IFERROR(VLOOKUP(F3502,'Freq-Chan'!C:E,3,FALSE),"na")</f>
        <v>na</v>
      </c>
      <c r="Z3502" s="110" t="s">
        <v>541</v>
      </c>
      <c r="AA3502" s="110" t="s">
        <v>541</v>
      </c>
      <c r="AB3502" s="110" t="s">
        <v>541</v>
      </c>
      <c r="AC3502" s="10" t="s">
        <v>541</v>
      </c>
      <c r="AD3502" s="10" t="s">
        <v>541</v>
      </c>
    </row>
    <row r="3503" spans="1:30" x14ac:dyDescent="0.2">
      <c r="A3503" s="110">
        <v>3503</v>
      </c>
      <c r="B3503" s="132">
        <v>41876</v>
      </c>
      <c r="C3503" s="117">
        <v>3</v>
      </c>
      <c r="D3503" s="103" t="s">
        <v>72</v>
      </c>
      <c r="E3503" s="103" t="s">
        <v>306</v>
      </c>
      <c r="H3503" s="103"/>
      <c r="I3503" s="103">
        <v>58</v>
      </c>
      <c r="K3503" s="103" t="s">
        <v>1032</v>
      </c>
      <c r="L3503" s="133"/>
      <c r="M3503" s="134">
        <v>1.5972222222222224E-2</v>
      </c>
      <c r="N3503" s="135" t="s">
        <v>2586</v>
      </c>
      <c r="O3503" s="133" t="s">
        <v>4418</v>
      </c>
      <c r="Q3503" s="100" t="s">
        <v>4442</v>
      </c>
      <c r="R3503" s="100" t="s">
        <v>4455</v>
      </c>
      <c r="S3503" s="491" t="str">
        <f t="shared" si="113"/>
        <v>x</v>
      </c>
      <c r="T3503" s="492" t="str">
        <f>IFERROR(VLOOKUP(F3503,'Freq-Chan'!C:D,2,FALSE),"x")</f>
        <v>x</v>
      </c>
      <c r="U3503" s="110" t="s">
        <v>541</v>
      </c>
      <c r="V3503" s="110" t="str">
        <f t="shared" si="114"/>
        <v>FWL</v>
      </c>
      <c r="W3503" s="110" t="s">
        <v>541</v>
      </c>
      <c r="X3503" s="110" t="s">
        <v>541</v>
      </c>
      <c r="Y3503" s="110" t="str">
        <f>IFERROR(VLOOKUP(F3503,'Freq-Chan'!C:E,3,FALSE),"na")</f>
        <v>na</v>
      </c>
      <c r="Z3503" s="110" t="s">
        <v>541</v>
      </c>
      <c r="AA3503" s="110" t="s">
        <v>541</v>
      </c>
      <c r="AB3503" s="110" t="s">
        <v>541</v>
      </c>
      <c r="AC3503" s="10" t="s">
        <v>541</v>
      </c>
      <c r="AD3503" s="10" t="s">
        <v>541</v>
      </c>
    </row>
    <row r="3504" spans="1:30" s="291" customFormat="1" x14ac:dyDescent="0.2">
      <c r="A3504" s="493">
        <v>3504</v>
      </c>
      <c r="B3504" s="283">
        <v>41876</v>
      </c>
      <c r="C3504" s="284">
        <v>3</v>
      </c>
      <c r="D3504" s="285" t="s">
        <v>97</v>
      </c>
      <c r="E3504" s="285" t="s">
        <v>306</v>
      </c>
      <c r="F3504" s="285"/>
      <c r="G3504" s="285"/>
      <c r="H3504" s="285"/>
      <c r="I3504" s="285"/>
      <c r="J3504" s="285">
        <v>20</v>
      </c>
      <c r="K3504" s="285" t="s">
        <v>364</v>
      </c>
      <c r="L3504" s="286"/>
      <c r="M3504" s="287">
        <v>6.9444444444444441E-3</v>
      </c>
      <c r="N3504" s="288" t="s">
        <v>1673</v>
      </c>
      <c r="O3504" s="286" t="s">
        <v>555</v>
      </c>
      <c r="P3504" s="289" t="s">
        <v>4451</v>
      </c>
      <c r="Q3504" s="289" t="s">
        <v>4442</v>
      </c>
      <c r="R3504" s="400" t="s">
        <v>4455</v>
      </c>
      <c r="S3504" s="494" t="str">
        <f t="shared" si="113"/>
        <v>x</v>
      </c>
      <c r="T3504" s="495" t="str">
        <f>IFERROR(VLOOKUP(F3504,'Freq-Chan'!C:D,2,FALSE),"x")</f>
        <v>x</v>
      </c>
      <c r="U3504" s="493" t="s">
        <v>541</v>
      </c>
      <c r="V3504" s="493" t="str">
        <f t="shared" si="114"/>
        <v>FWL</v>
      </c>
      <c r="W3504" s="493" t="s">
        <v>541</v>
      </c>
      <c r="X3504" s="493" t="s">
        <v>541</v>
      </c>
      <c r="Y3504" s="493" t="str">
        <f>IFERROR(VLOOKUP(F3504,'Freq-Chan'!C:E,3,FALSE),"na")</f>
        <v>na</v>
      </c>
      <c r="Z3504" s="493" t="s">
        <v>541</v>
      </c>
      <c r="AA3504" s="493" t="s">
        <v>541</v>
      </c>
      <c r="AB3504" s="493" t="s">
        <v>541</v>
      </c>
      <c r="AC3504" s="291" t="s">
        <v>541</v>
      </c>
      <c r="AD3504" s="291" t="s">
        <v>541</v>
      </c>
    </row>
    <row r="3505" spans="1:30" x14ac:dyDescent="0.2">
      <c r="A3505" s="110">
        <v>3505</v>
      </c>
      <c r="B3505" s="132">
        <v>41877</v>
      </c>
      <c r="C3505" s="117">
        <v>1</v>
      </c>
      <c r="D3505" s="103" t="s">
        <v>72</v>
      </c>
      <c r="E3505" s="103" t="s">
        <v>306</v>
      </c>
      <c r="F3505" s="103">
        <v>325</v>
      </c>
      <c r="G3505" s="103">
        <v>49</v>
      </c>
      <c r="H3505" s="103" t="s">
        <v>3684</v>
      </c>
      <c r="I3505" s="103">
        <v>56</v>
      </c>
      <c r="K3505" s="103" t="s">
        <v>364</v>
      </c>
      <c r="L3505" s="133"/>
      <c r="M3505" s="134">
        <v>6.8749999999999992E-2</v>
      </c>
      <c r="N3505" s="135" t="s">
        <v>3292</v>
      </c>
      <c r="O3505" s="133" t="s">
        <v>4418</v>
      </c>
      <c r="Q3505" s="100" t="s">
        <v>4457</v>
      </c>
      <c r="R3505" s="227" t="s">
        <v>4464</v>
      </c>
      <c r="S3505" s="491" t="str">
        <f t="shared" si="113"/>
        <v>x</v>
      </c>
      <c r="T3505" s="492">
        <f>IFERROR(VLOOKUP(F3505,'Freq-Chan'!C:D,2,FALSE),"x")</f>
        <v>151.32499999999999</v>
      </c>
      <c r="U3505" s="110" t="s">
        <v>541</v>
      </c>
      <c r="V3505" s="110" t="str">
        <f t="shared" si="114"/>
        <v>FWL</v>
      </c>
      <c r="W3505" s="110" t="s">
        <v>541</v>
      </c>
      <c r="X3505" s="110" t="s">
        <v>541</v>
      </c>
      <c r="Y3505" s="110" t="str">
        <f>IFERROR(VLOOKUP(F3505,'Freq-Chan'!C:E,3,FALSE),"na")</f>
        <v>F1840</v>
      </c>
      <c r="Z3505" s="110" t="s">
        <v>541</v>
      </c>
      <c r="AA3505" s="110" t="s">
        <v>541</v>
      </c>
      <c r="AB3505" s="110" t="s">
        <v>541</v>
      </c>
      <c r="AC3505" s="10" t="s">
        <v>541</v>
      </c>
      <c r="AD3505" s="10" t="s">
        <v>541</v>
      </c>
    </row>
    <row r="3506" spans="1:30" x14ac:dyDescent="0.2">
      <c r="A3506" s="110">
        <v>3506</v>
      </c>
      <c r="B3506" s="132">
        <v>41877</v>
      </c>
      <c r="C3506" s="117">
        <v>1</v>
      </c>
      <c r="D3506" s="103" t="s">
        <v>71</v>
      </c>
      <c r="E3506" s="103" t="s">
        <v>306</v>
      </c>
      <c r="H3506" s="103"/>
      <c r="I3506" s="103">
        <v>62</v>
      </c>
      <c r="K3506" s="103" t="s">
        <v>1032</v>
      </c>
      <c r="L3506" s="133">
        <v>0.4458333333333333</v>
      </c>
      <c r="M3506" s="134">
        <v>1.6666666666666666E-2</v>
      </c>
      <c r="N3506" s="135" t="s">
        <v>3716</v>
      </c>
      <c r="O3506" s="133" t="s">
        <v>555</v>
      </c>
      <c r="Q3506" s="100" t="s">
        <v>4457</v>
      </c>
      <c r="R3506" s="227" t="s">
        <v>4464</v>
      </c>
      <c r="S3506" s="491">
        <f t="shared" ref="S3506:S3569" si="115">IF(IF(OR(L3506=0,N3506=0),"x",ROUND(N3506-L3506-(M3506*24)/(24*60),10))&lt;0,0,IF(OR(L3506=0,N3506=0),"x",ROUND(N3506-L3506-(M3506*24)/(24*60),10)))</f>
        <v>1.1111110999999999E-3</v>
      </c>
      <c r="T3506" s="492" t="str">
        <f>IFERROR(VLOOKUP(F3506,'Freq-Chan'!C:D,2,FALSE),"x")</f>
        <v>x</v>
      </c>
      <c r="U3506" s="110" t="s">
        <v>541</v>
      </c>
      <c r="V3506" s="110" t="str">
        <f t="shared" ref="V3506:V3569" si="116">IF(OR(C3506=1,C3506=2,C3506=3),"FWL","NRD")</f>
        <v>FWL</v>
      </c>
      <c r="W3506" s="110" t="s">
        <v>541</v>
      </c>
      <c r="X3506" s="110" t="s">
        <v>541</v>
      </c>
      <c r="Y3506" s="110" t="str">
        <f>IFERROR(VLOOKUP(F3506,'Freq-Chan'!C:E,3,FALSE),"na")</f>
        <v>na</v>
      </c>
      <c r="Z3506" s="110" t="s">
        <v>541</v>
      </c>
      <c r="AA3506" s="110" t="s">
        <v>541</v>
      </c>
      <c r="AB3506" s="110" t="s">
        <v>541</v>
      </c>
      <c r="AC3506" s="10" t="s">
        <v>541</v>
      </c>
      <c r="AD3506" s="10" t="s">
        <v>541</v>
      </c>
    </row>
    <row r="3507" spans="1:30" x14ac:dyDescent="0.2">
      <c r="A3507" s="110">
        <v>3507</v>
      </c>
      <c r="B3507" s="132">
        <v>41877</v>
      </c>
      <c r="C3507" s="117">
        <v>1</v>
      </c>
      <c r="D3507" s="103" t="s">
        <v>71</v>
      </c>
      <c r="E3507" s="103" t="s">
        <v>306</v>
      </c>
      <c r="H3507" s="103"/>
      <c r="I3507" s="103">
        <v>56</v>
      </c>
      <c r="K3507" s="103" t="s">
        <v>365</v>
      </c>
      <c r="L3507" s="133"/>
      <c r="M3507" s="134">
        <v>1.8055555555555557E-2</v>
      </c>
      <c r="N3507" s="135" t="s">
        <v>1840</v>
      </c>
      <c r="O3507" s="133" t="s">
        <v>4418</v>
      </c>
      <c r="Q3507" s="100" t="s">
        <v>4457</v>
      </c>
      <c r="R3507" s="227" t="s">
        <v>4464</v>
      </c>
      <c r="S3507" s="491" t="str">
        <f t="shared" si="115"/>
        <v>x</v>
      </c>
      <c r="T3507" s="492" t="str">
        <f>IFERROR(VLOOKUP(F3507,'Freq-Chan'!C:D,2,FALSE),"x")</f>
        <v>x</v>
      </c>
      <c r="U3507" s="110" t="s">
        <v>541</v>
      </c>
      <c r="V3507" s="110" t="str">
        <f t="shared" si="116"/>
        <v>FWL</v>
      </c>
      <c r="W3507" s="110" t="s">
        <v>541</v>
      </c>
      <c r="X3507" s="110" t="s">
        <v>541</v>
      </c>
      <c r="Y3507" s="110" t="str">
        <f>IFERROR(VLOOKUP(F3507,'Freq-Chan'!C:E,3,FALSE),"na")</f>
        <v>na</v>
      </c>
      <c r="Z3507" s="110" t="s">
        <v>541</v>
      </c>
      <c r="AA3507" s="110" t="s">
        <v>541</v>
      </c>
      <c r="AB3507" s="110" t="s">
        <v>541</v>
      </c>
      <c r="AC3507" s="10" t="s">
        <v>541</v>
      </c>
      <c r="AD3507" s="10" t="s">
        <v>541</v>
      </c>
    </row>
    <row r="3508" spans="1:30" x14ac:dyDescent="0.2">
      <c r="A3508" s="110">
        <v>3508</v>
      </c>
      <c r="B3508" s="132">
        <v>41877</v>
      </c>
      <c r="C3508" s="117">
        <v>1</v>
      </c>
      <c r="D3508" s="103" t="s">
        <v>71</v>
      </c>
      <c r="E3508" s="103" t="s">
        <v>306</v>
      </c>
      <c r="H3508" s="103"/>
      <c r="I3508" s="103">
        <v>55</v>
      </c>
      <c r="K3508" s="103" t="s">
        <v>1032</v>
      </c>
      <c r="L3508" s="133">
        <v>0.68402777777777779</v>
      </c>
      <c r="M3508" s="134">
        <v>9.7222222222222224E-3</v>
      </c>
      <c r="N3508" s="135" t="s">
        <v>1667</v>
      </c>
      <c r="O3508" s="133" t="s">
        <v>1033</v>
      </c>
      <c r="Q3508" s="100" t="s">
        <v>4457</v>
      </c>
      <c r="R3508" s="227" t="s">
        <v>4464</v>
      </c>
      <c r="S3508" s="491">
        <f t="shared" si="115"/>
        <v>3.3101851999999998E-3</v>
      </c>
      <c r="T3508" s="492" t="str">
        <f>IFERROR(VLOOKUP(F3508,'Freq-Chan'!C:D,2,FALSE),"x")</f>
        <v>x</v>
      </c>
      <c r="U3508" s="110" t="s">
        <v>541</v>
      </c>
      <c r="V3508" s="110" t="str">
        <f t="shared" si="116"/>
        <v>FWL</v>
      </c>
      <c r="W3508" s="110" t="s">
        <v>541</v>
      </c>
      <c r="X3508" s="110" t="s">
        <v>541</v>
      </c>
      <c r="Y3508" s="110" t="str">
        <f>IFERROR(VLOOKUP(F3508,'Freq-Chan'!C:E,3,FALSE),"na")</f>
        <v>na</v>
      </c>
      <c r="Z3508" s="110" t="s">
        <v>541</v>
      </c>
      <c r="AA3508" s="110" t="s">
        <v>541</v>
      </c>
      <c r="AB3508" s="110" t="s">
        <v>541</v>
      </c>
      <c r="AC3508" s="10" t="s">
        <v>541</v>
      </c>
      <c r="AD3508" s="10" t="s">
        <v>541</v>
      </c>
    </row>
    <row r="3509" spans="1:30" x14ac:dyDescent="0.2">
      <c r="A3509" s="110">
        <v>3509</v>
      </c>
      <c r="B3509" s="132">
        <v>41877</v>
      </c>
      <c r="C3509" s="117">
        <v>1</v>
      </c>
      <c r="D3509" s="103" t="s">
        <v>72</v>
      </c>
      <c r="E3509" s="103" t="s">
        <v>306</v>
      </c>
      <c r="F3509" s="103">
        <v>266</v>
      </c>
      <c r="G3509" s="103">
        <v>90</v>
      </c>
      <c r="H3509" s="103" t="s">
        <v>3685</v>
      </c>
      <c r="I3509" s="103">
        <v>59</v>
      </c>
      <c r="K3509" s="103" t="s">
        <v>365</v>
      </c>
      <c r="L3509" s="133"/>
      <c r="M3509" s="134">
        <v>3.7499999999999999E-2</v>
      </c>
      <c r="N3509" s="135" t="s">
        <v>1912</v>
      </c>
      <c r="O3509" s="133" t="s">
        <v>1033</v>
      </c>
      <c r="P3509" s="100" t="s">
        <v>4477</v>
      </c>
      <c r="Q3509" s="100" t="s">
        <v>4460</v>
      </c>
      <c r="R3509" s="227" t="s">
        <v>4464</v>
      </c>
      <c r="S3509" s="491" t="str">
        <f t="shared" si="115"/>
        <v>x</v>
      </c>
      <c r="T3509" s="492">
        <f>IFERROR(VLOOKUP(F3509,'Freq-Chan'!C:D,2,FALSE),"x")</f>
        <v>151.26599999999999</v>
      </c>
      <c r="U3509" s="110" t="s">
        <v>541</v>
      </c>
      <c r="V3509" s="110" t="str">
        <f t="shared" si="116"/>
        <v>FWL</v>
      </c>
      <c r="W3509" s="110" t="s">
        <v>541</v>
      </c>
      <c r="X3509" s="110" t="s">
        <v>541</v>
      </c>
      <c r="Y3509" s="110" t="str">
        <f>IFERROR(VLOOKUP(F3509,'Freq-Chan'!C:E,3,FALSE),"na")</f>
        <v>F1840</v>
      </c>
      <c r="Z3509" s="110" t="s">
        <v>541</v>
      </c>
      <c r="AA3509" s="110" t="s">
        <v>541</v>
      </c>
      <c r="AB3509" s="110" t="s">
        <v>541</v>
      </c>
      <c r="AC3509" s="10" t="s">
        <v>541</v>
      </c>
      <c r="AD3509" s="10" t="s">
        <v>541</v>
      </c>
    </row>
    <row r="3510" spans="1:30" x14ac:dyDescent="0.2">
      <c r="A3510" s="110">
        <v>3510</v>
      </c>
      <c r="B3510" s="132">
        <v>41877</v>
      </c>
      <c r="C3510" s="117">
        <v>1</v>
      </c>
      <c r="D3510" s="103" t="s">
        <v>8</v>
      </c>
      <c r="E3510" s="103" t="s">
        <v>0</v>
      </c>
      <c r="H3510" s="103"/>
      <c r="I3510" s="103">
        <v>35</v>
      </c>
      <c r="K3510" s="103" t="s">
        <v>364</v>
      </c>
      <c r="L3510" s="133"/>
      <c r="M3510" s="134">
        <v>2.4999999999999998E-2</v>
      </c>
      <c r="N3510" s="135" t="s">
        <v>639</v>
      </c>
      <c r="O3510" s="133" t="s">
        <v>1033</v>
      </c>
      <c r="P3510" s="100" t="s">
        <v>776</v>
      </c>
      <c r="Q3510" s="100" t="s">
        <v>4460</v>
      </c>
      <c r="R3510" s="227" t="s">
        <v>4464</v>
      </c>
      <c r="S3510" s="491" t="str">
        <f t="shared" si="115"/>
        <v>x</v>
      </c>
      <c r="T3510" s="492" t="str">
        <f>IFERROR(VLOOKUP(F3510,'Freq-Chan'!C:D,2,FALSE),"x")</f>
        <v>x</v>
      </c>
      <c r="U3510" s="110" t="s">
        <v>541</v>
      </c>
      <c r="V3510" s="110" t="str">
        <f t="shared" si="116"/>
        <v>FWL</v>
      </c>
      <c r="W3510" s="110" t="s">
        <v>541</v>
      </c>
      <c r="X3510" s="110" t="s">
        <v>541</v>
      </c>
      <c r="Y3510" s="110" t="str">
        <f>IFERROR(VLOOKUP(F3510,'Freq-Chan'!C:E,3,FALSE),"na")</f>
        <v>na</v>
      </c>
      <c r="Z3510" s="110" t="s">
        <v>541</v>
      </c>
      <c r="AA3510" s="110" t="s">
        <v>541</v>
      </c>
      <c r="AB3510" s="110" t="s">
        <v>541</v>
      </c>
      <c r="AC3510" s="10" t="s">
        <v>541</v>
      </c>
      <c r="AD3510" s="10" t="s">
        <v>541</v>
      </c>
    </row>
    <row r="3511" spans="1:30" s="291" customFormat="1" x14ac:dyDescent="0.2">
      <c r="A3511" s="493">
        <v>3511</v>
      </c>
      <c r="B3511" s="283">
        <v>41877</v>
      </c>
      <c r="C3511" s="284">
        <v>1</v>
      </c>
      <c r="D3511" s="285" t="s">
        <v>71</v>
      </c>
      <c r="E3511" s="285" t="s">
        <v>306</v>
      </c>
      <c r="F3511" s="285"/>
      <c r="G3511" s="285"/>
      <c r="H3511" s="285"/>
      <c r="I3511" s="285">
        <v>57</v>
      </c>
      <c r="J3511" s="285"/>
      <c r="K3511" s="285" t="s">
        <v>365</v>
      </c>
      <c r="L3511" s="286"/>
      <c r="M3511" s="287">
        <v>1.3888888888888888E-2</v>
      </c>
      <c r="N3511" s="288" t="s">
        <v>3363</v>
      </c>
      <c r="O3511" s="286" t="s">
        <v>1033</v>
      </c>
      <c r="P3511" s="289"/>
      <c r="Q3511" s="289" t="s">
        <v>4460</v>
      </c>
      <c r="R3511" s="400" t="s">
        <v>4464</v>
      </c>
      <c r="S3511" s="494" t="str">
        <f t="shared" si="115"/>
        <v>x</v>
      </c>
      <c r="T3511" s="495" t="str">
        <f>IFERROR(VLOOKUP(F3511,'Freq-Chan'!C:D,2,FALSE),"x")</f>
        <v>x</v>
      </c>
      <c r="U3511" s="493" t="s">
        <v>541</v>
      </c>
      <c r="V3511" s="493" t="str">
        <f t="shared" si="116"/>
        <v>FWL</v>
      </c>
      <c r="W3511" s="493" t="s">
        <v>541</v>
      </c>
      <c r="X3511" s="493" t="s">
        <v>541</v>
      </c>
      <c r="Y3511" s="493" t="str">
        <f>IFERROR(VLOOKUP(F3511,'Freq-Chan'!C:E,3,FALSE),"na")</f>
        <v>na</v>
      </c>
      <c r="Z3511" s="493" t="s">
        <v>541</v>
      </c>
      <c r="AA3511" s="493" t="s">
        <v>541</v>
      </c>
      <c r="AB3511" s="493" t="s">
        <v>541</v>
      </c>
      <c r="AC3511" s="291" t="s">
        <v>541</v>
      </c>
      <c r="AD3511" s="291" t="s">
        <v>541</v>
      </c>
    </row>
    <row r="3512" spans="1:30" x14ac:dyDescent="0.2">
      <c r="A3512" s="110">
        <v>3512</v>
      </c>
      <c r="B3512" s="132">
        <v>41877</v>
      </c>
      <c r="C3512" s="117">
        <v>2</v>
      </c>
      <c r="D3512" s="103" t="s">
        <v>71</v>
      </c>
      <c r="E3512" s="103" t="s">
        <v>306</v>
      </c>
      <c r="H3512" s="103"/>
      <c r="I3512" s="103">
        <v>55</v>
      </c>
      <c r="K3512" s="103" t="s">
        <v>365</v>
      </c>
      <c r="L3512" s="133"/>
      <c r="M3512" s="134">
        <v>1.3888888888888888E-2</v>
      </c>
      <c r="N3512" s="135" t="s">
        <v>3244</v>
      </c>
      <c r="O3512" s="133" t="s">
        <v>4418</v>
      </c>
      <c r="Q3512" s="100" t="s">
        <v>4458</v>
      </c>
      <c r="R3512" s="227" t="s">
        <v>4464</v>
      </c>
      <c r="S3512" s="491" t="str">
        <f t="shared" si="115"/>
        <v>x</v>
      </c>
      <c r="T3512" s="492" t="str">
        <f>IFERROR(VLOOKUP(F3512,'Freq-Chan'!C:D,2,FALSE),"x")</f>
        <v>x</v>
      </c>
      <c r="U3512" s="110" t="s">
        <v>541</v>
      </c>
      <c r="V3512" s="110" t="str">
        <f t="shared" si="116"/>
        <v>FWL</v>
      </c>
      <c r="W3512" s="110" t="s">
        <v>541</v>
      </c>
      <c r="X3512" s="110" t="s">
        <v>541</v>
      </c>
      <c r="Y3512" s="110" t="str">
        <f>IFERROR(VLOOKUP(F3512,'Freq-Chan'!C:E,3,FALSE),"na")</f>
        <v>na</v>
      </c>
      <c r="Z3512" s="110" t="s">
        <v>541</v>
      </c>
      <c r="AA3512" s="110" t="s">
        <v>541</v>
      </c>
      <c r="AB3512" s="110" t="s">
        <v>541</v>
      </c>
      <c r="AC3512" s="10" t="s">
        <v>541</v>
      </c>
      <c r="AD3512" s="10" t="s">
        <v>541</v>
      </c>
    </row>
    <row r="3513" spans="1:30" x14ac:dyDescent="0.2">
      <c r="A3513" s="110">
        <v>3513</v>
      </c>
      <c r="B3513" s="132">
        <v>41877</v>
      </c>
      <c r="C3513" s="117">
        <v>2</v>
      </c>
      <c r="D3513" s="103" t="s">
        <v>70</v>
      </c>
      <c r="E3513" s="103" t="s">
        <v>306</v>
      </c>
      <c r="H3513" s="103"/>
      <c r="I3513" s="103">
        <v>44</v>
      </c>
      <c r="K3513" s="103" t="s">
        <v>1032</v>
      </c>
      <c r="L3513" s="133">
        <v>0.39999999999999997</v>
      </c>
      <c r="M3513" s="134">
        <v>1.3888888888888888E-2</v>
      </c>
      <c r="N3513" s="135" t="s">
        <v>2653</v>
      </c>
      <c r="O3513" s="133" t="s">
        <v>4418</v>
      </c>
      <c r="P3513" s="100" t="s">
        <v>4462</v>
      </c>
      <c r="Q3513" s="100" t="s">
        <v>4458</v>
      </c>
      <c r="R3513" s="227" t="s">
        <v>4464</v>
      </c>
      <c r="S3513" s="491">
        <f t="shared" si="115"/>
        <v>1.1574074E-3</v>
      </c>
      <c r="T3513" s="492" t="str">
        <f>IFERROR(VLOOKUP(F3513,'Freq-Chan'!C:D,2,FALSE),"x")</f>
        <v>x</v>
      </c>
      <c r="U3513" s="110" t="s">
        <v>541</v>
      </c>
      <c r="V3513" s="110" t="str">
        <f t="shared" si="116"/>
        <v>FWL</v>
      </c>
      <c r="W3513" s="110" t="s">
        <v>541</v>
      </c>
      <c r="X3513" s="110" t="s">
        <v>541</v>
      </c>
      <c r="Y3513" s="110" t="str">
        <f>IFERROR(VLOOKUP(F3513,'Freq-Chan'!C:E,3,FALSE),"na")</f>
        <v>na</v>
      </c>
      <c r="Z3513" s="110" t="s">
        <v>541</v>
      </c>
      <c r="AA3513" s="110" t="s">
        <v>541</v>
      </c>
      <c r="AB3513" s="110" t="s">
        <v>541</v>
      </c>
      <c r="AC3513" s="10" t="s">
        <v>541</v>
      </c>
      <c r="AD3513" s="10" t="s">
        <v>541</v>
      </c>
    </row>
    <row r="3514" spans="1:30" x14ac:dyDescent="0.2">
      <c r="A3514" s="110">
        <v>3514</v>
      </c>
      <c r="B3514" s="132">
        <v>41877</v>
      </c>
      <c r="C3514" s="117">
        <v>2</v>
      </c>
      <c r="D3514" s="103" t="s">
        <v>71</v>
      </c>
      <c r="E3514" s="103" t="s">
        <v>306</v>
      </c>
      <c r="H3514" s="103"/>
      <c r="I3514" s="103">
        <v>58</v>
      </c>
      <c r="K3514" s="103" t="s">
        <v>365</v>
      </c>
      <c r="L3514" s="133"/>
      <c r="M3514" s="134">
        <v>1.5972222222222224E-2</v>
      </c>
      <c r="N3514" s="135" t="s">
        <v>4068</v>
      </c>
      <c r="O3514" s="133" t="s">
        <v>4418</v>
      </c>
      <c r="Q3514" s="100" t="s">
        <v>4458</v>
      </c>
      <c r="R3514" s="227" t="s">
        <v>4464</v>
      </c>
      <c r="S3514" s="491" t="str">
        <f t="shared" si="115"/>
        <v>x</v>
      </c>
      <c r="T3514" s="492" t="str">
        <f>IFERROR(VLOOKUP(F3514,'Freq-Chan'!C:D,2,FALSE),"x")</f>
        <v>x</v>
      </c>
      <c r="U3514" s="110" t="s">
        <v>541</v>
      </c>
      <c r="V3514" s="110" t="str">
        <f t="shared" si="116"/>
        <v>FWL</v>
      </c>
      <c r="W3514" s="110" t="s">
        <v>541</v>
      </c>
      <c r="X3514" s="110" t="s">
        <v>541</v>
      </c>
      <c r="Y3514" s="110" t="str">
        <f>IFERROR(VLOOKUP(F3514,'Freq-Chan'!C:E,3,FALSE),"na")</f>
        <v>na</v>
      </c>
      <c r="Z3514" s="110" t="s">
        <v>541</v>
      </c>
      <c r="AA3514" s="110" t="s">
        <v>541</v>
      </c>
      <c r="AB3514" s="110" t="s">
        <v>541</v>
      </c>
      <c r="AC3514" s="10" t="s">
        <v>541</v>
      </c>
      <c r="AD3514" s="10" t="s">
        <v>541</v>
      </c>
    </row>
    <row r="3515" spans="1:30" x14ac:dyDescent="0.2">
      <c r="A3515" s="110">
        <v>3515</v>
      </c>
      <c r="B3515" s="132">
        <v>41877</v>
      </c>
      <c r="C3515" s="117">
        <v>2</v>
      </c>
      <c r="D3515" s="103" t="s">
        <v>71</v>
      </c>
      <c r="E3515" s="103" t="s">
        <v>306</v>
      </c>
      <c r="H3515" s="103"/>
      <c r="I3515" s="103">
        <v>60</v>
      </c>
      <c r="K3515" s="103" t="s">
        <v>365</v>
      </c>
      <c r="L3515" s="133"/>
      <c r="M3515" s="134">
        <v>1.9444444444444445E-2</v>
      </c>
      <c r="N3515" s="135" t="s">
        <v>2892</v>
      </c>
      <c r="O3515" s="133" t="s">
        <v>4418</v>
      </c>
      <c r="Q3515" s="100" t="s">
        <v>4458</v>
      </c>
      <c r="R3515" s="227" t="s">
        <v>4464</v>
      </c>
      <c r="S3515" s="491" t="str">
        <f t="shared" si="115"/>
        <v>x</v>
      </c>
      <c r="T3515" s="492" t="str">
        <f>IFERROR(VLOOKUP(F3515,'Freq-Chan'!C:D,2,FALSE),"x")</f>
        <v>x</v>
      </c>
      <c r="U3515" s="110" t="s">
        <v>541</v>
      </c>
      <c r="V3515" s="110" t="str">
        <f t="shared" si="116"/>
        <v>FWL</v>
      </c>
      <c r="W3515" s="110" t="s">
        <v>541</v>
      </c>
      <c r="X3515" s="110" t="s">
        <v>541</v>
      </c>
      <c r="Y3515" s="110" t="str">
        <f>IFERROR(VLOOKUP(F3515,'Freq-Chan'!C:E,3,FALSE),"na")</f>
        <v>na</v>
      </c>
      <c r="Z3515" s="110" t="s">
        <v>541</v>
      </c>
      <c r="AA3515" s="110" t="s">
        <v>541</v>
      </c>
      <c r="AB3515" s="110" t="s">
        <v>541</v>
      </c>
      <c r="AC3515" s="10" t="s">
        <v>541</v>
      </c>
      <c r="AD3515" s="10" t="s">
        <v>541</v>
      </c>
    </row>
    <row r="3516" spans="1:30" x14ac:dyDescent="0.2">
      <c r="A3516" s="110">
        <v>3516</v>
      </c>
      <c r="B3516" s="132">
        <v>41877</v>
      </c>
      <c r="C3516" s="117">
        <v>2</v>
      </c>
      <c r="D3516" s="103" t="s">
        <v>71</v>
      </c>
      <c r="E3516" s="103" t="s">
        <v>306</v>
      </c>
      <c r="H3516" s="103"/>
      <c r="I3516" s="103">
        <v>61</v>
      </c>
      <c r="K3516" s="103" t="s">
        <v>365</v>
      </c>
      <c r="L3516" s="133"/>
      <c r="M3516" s="134">
        <v>1.4583333333333332E-2</v>
      </c>
      <c r="N3516" s="135" t="s">
        <v>2777</v>
      </c>
      <c r="O3516" s="133" t="s">
        <v>4418</v>
      </c>
      <c r="Q3516" s="100" t="s">
        <v>4458</v>
      </c>
      <c r="R3516" s="227" t="s">
        <v>4464</v>
      </c>
      <c r="S3516" s="491" t="str">
        <f t="shared" si="115"/>
        <v>x</v>
      </c>
      <c r="T3516" s="492" t="str">
        <f>IFERROR(VLOOKUP(F3516,'Freq-Chan'!C:D,2,FALSE),"x")</f>
        <v>x</v>
      </c>
      <c r="U3516" s="110" t="s">
        <v>541</v>
      </c>
      <c r="V3516" s="110" t="str">
        <f t="shared" si="116"/>
        <v>FWL</v>
      </c>
      <c r="W3516" s="110" t="s">
        <v>541</v>
      </c>
      <c r="X3516" s="110" t="s">
        <v>541</v>
      </c>
      <c r="Y3516" s="110" t="str">
        <f>IFERROR(VLOOKUP(F3516,'Freq-Chan'!C:E,3,FALSE),"na")</f>
        <v>na</v>
      </c>
      <c r="Z3516" s="110" t="s">
        <v>541</v>
      </c>
      <c r="AA3516" s="110" t="s">
        <v>541</v>
      </c>
      <c r="AB3516" s="110" t="s">
        <v>541</v>
      </c>
      <c r="AC3516" s="10" t="s">
        <v>541</v>
      </c>
      <c r="AD3516" s="10" t="s">
        <v>541</v>
      </c>
    </row>
    <row r="3517" spans="1:30" x14ac:dyDescent="0.2">
      <c r="A3517" s="110">
        <v>3517</v>
      </c>
      <c r="B3517" s="132">
        <v>41877</v>
      </c>
      <c r="C3517" s="117">
        <v>2</v>
      </c>
      <c r="D3517" s="103" t="s">
        <v>71</v>
      </c>
      <c r="E3517" s="103" t="s">
        <v>306</v>
      </c>
      <c r="F3517" s="103">
        <v>917</v>
      </c>
      <c r="G3517" s="103">
        <v>39</v>
      </c>
      <c r="H3517" s="103" t="s">
        <v>2478</v>
      </c>
      <c r="I3517" s="103">
        <v>58</v>
      </c>
      <c r="K3517" s="103" t="s">
        <v>365</v>
      </c>
      <c r="L3517" s="133"/>
      <c r="M3517" s="134">
        <v>4.3750000000000004E-2</v>
      </c>
      <c r="N3517" s="135" t="s">
        <v>3884</v>
      </c>
      <c r="O3517" s="133" t="s">
        <v>4418</v>
      </c>
      <c r="Q3517" s="100" t="s">
        <v>4458</v>
      </c>
      <c r="R3517" s="227" t="s">
        <v>4464</v>
      </c>
      <c r="S3517" s="491" t="str">
        <f t="shared" si="115"/>
        <v>x</v>
      </c>
      <c r="T3517" s="492">
        <f>IFERROR(VLOOKUP(F3517,'Freq-Chan'!C:D,2,FALSE),"x")</f>
        <v>151.917</v>
      </c>
      <c r="U3517" s="110" t="s">
        <v>541</v>
      </c>
      <c r="V3517" s="110" t="str">
        <f t="shared" si="116"/>
        <v>FWL</v>
      </c>
      <c r="W3517" s="110" t="s">
        <v>541</v>
      </c>
      <c r="X3517" s="110" t="s">
        <v>541</v>
      </c>
      <c r="Y3517" s="110" t="str">
        <f>IFERROR(VLOOKUP(F3517,'Freq-Chan'!C:E,3,FALSE),"na")</f>
        <v>F1835</v>
      </c>
      <c r="Z3517" s="110" t="s">
        <v>541</v>
      </c>
      <c r="AA3517" s="110" t="s">
        <v>541</v>
      </c>
      <c r="AB3517" s="110" t="s">
        <v>541</v>
      </c>
      <c r="AC3517" s="10" t="s">
        <v>541</v>
      </c>
      <c r="AD3517" s="10" t="s">
        <v>541</v>
      </c>
    </row>
    <row r="3518" spans="1:30" x14ac:dyDescent="0.2">
      <c r="A3518" s="110">
        <v>3518</v>
      </c>
      <c r="B3518" s="132">
        <v>41877</v>
      </c>
      <c r="C3518" s="117">
        <v>2</v>
      </c>
      <c r="D3518" s="103" t="s">
        <v>71</v>
      </c>
      <c r="E3518" s="103" t="s">
        <v>306</v>
      </c>
      <c r="H3518" s="103"/>
      <c r="I3518" s="103">
        <v>49</v>
      </c>
      <c r="K3518" s="103" t="s">
        <v>365</v>
      </c>
      <c r="L3518" s="133"/>
      <c r="M3518" s="134">
        <v>1.7361111111111112E-2</v>
      </c>
      <c r="N3518" s="135" t="s">
        <v>3215</v>
      </c>
      <c r="O3518" s="133" t="s">
        <v>4418</v>
      </c>
      <c r="Q3518" s="100" t="s">
        <v>4458</v>
      </c>
      <c r="R3518" s="227" t="s">
        <v>4464</v>
      </c>
      <c r="S3518" s="491" t="str">
        <f t="shared" si="115"/>
        <v>x</v>
      </c>
      <c r="T3518" s="492" t="str">
        <f>IFERROR(VLOOKUP(F3518,'Freq-Chan'!C:D,2,FALSE),"x")</f>
        <v>x</v>
      </c>
      <c r="U3518" s="110" t="s">
        <v>541</v>
      </c>
      <c r="V3518" s="110" t="str">
        <f t="shared" si="116"/>
        <v>FWL</v>
      </c>
      <c r="W3518" s="110" t="s">
        <v>541</v>
      </c>
      <c r="X3518" s="110" t="s">
        <v>541</v>
      </c>
      <c r="Y3518" s="110" t="str">
        <f>IFERROR(VLOOKUP(F3518,'Freq-Chan'!C:E,3,FALSE),"na")</f>
        <v>na</v>
      </c>
      <c r="Z3518" s="110" t="s">
        <v>541</v>
      </c>
      <c r="AA3518" s="110" t="s">
        <v>541</v>
      </c>
      <c r="AB3518" s="110" t="s">
        <v>541</v>
      </c>
      <c r="AC3518" s="10" t="s">
        <v>541</v>
      </c>
      <c r="AD3518" s="10" t="s">
        <v>541</v>
      </c>
    </row>
    <row r="3519" spans="1:30" x14ac:dyDescent="0.2">
      <c r="A3519" s="110">
        <v>3519</v>
      </c>
      <c r="B3519" s="132">
        <v>41877</v>
      </c>
      <c r="C3519" s="117">
        <v>2</v>
      </c>
      <c r="D3519" s="103" t="s">
        <v>71</v>
      </c>
      <c r="E3519" s="103" t="s">
        <v>306</v>
      </c>
      <c r="H3519" s="103"/>
      <c r="I3519" s="103">
        <v>57</v>
      </c>
      <c r="K3519" s="103" t="s">
        <v>1032</v>
      </c>
      <c r="L3519" s="133"/>
      <c r="M3519" s="134">
        <v>1.4583333333333332E-2</v>
      </c>
      <c r="N3519" s="135" t="s">
        <v>3972</v>
      </c>
      <c r="O3519" s="133" t="s">
        <v>1033</v>
      </c>
      <c r="Q3519" s="100" t="s">
        <v>4460</v>
      </c>
      <c r="R3519" s="227" t="s">
        <v>4464</v>
      </c>
      <c r="S3519" s="491" t="str">
        <f t="shared" si="115"/>
        <v>x</v>
      </c>
      <c r="T3519" s="492" t="str">
        <f>IFERROR(VLOOKUP(F3519,'Freq-Chan'!C:D,2,FALSE),"x")</f>
        <v>x</v>
      </c>
      <c r="U3519" s="110" t="s">
        <v>541</v>
      </c>
      <c r="V3519" s="110" t="str">
        <f t="shared" si="116"/>
        <v>FWL</v>
      </c>
      <c r="W3519" s="110" t="s">
        <v>541</v>
      </c>
      <c r="X3519" s="110" t="s">
        <v>541</v>
      </c>
      <c r="Y3519" s="110" t="str">
        <f>IFERROR(VLOOKUP(F3519,'Freq-Chan'!C:E,3,FALSE),"na")</f>
        <v>na</v>
      </c>
      <c r="Z3519" s="110" t="s">
        <v>541</v>
      </c>
      <c r="AA3519" s="110" t="s">
        <v>541</v>
      </c>
      <c r="AB3519" s="110" t="s">
        <v>541</v>
      </c>
      <c r="AC3519" s="10" t="s">
        <v>541</v>
      </c>
      <c r="AD3519" s="10" t="s">
        <v>541</v>
      </c>
    </row>
    <row r="3520" spans="1:30" x14ac:dyDescent="0.2">
      <c r="A3520" s="110">
        <v>3520</v>
      </c>
      <c r="B3520" s="132">
        <v>41877</v>
      </c>
      <c r="C3520" s="117">
        <v>2</v>
      </c>
      <c r="D3520" s="103" t="s">
        <v>71</v>
      </c>
      <c r="E3520" s="103" t="s">
        <v>306</v>
      </c>
      <c r="H3520" s="103"/>
      <c r="I3520" s="103">
        <v>53</v>
      </c>
      <c r="K3520" s="103" t="s">
        <v>365</v>
      </c>
      <c r="L3520" s="133"/>
      <c r="M3520" s="134">
        <v>1.5277777777777777E-2</v>
      </c>
      <c r="N3520" s="135" t="s">
        <v>3754</v>
      </c>
      <c r="O3520" s="133" t="s">
        <v>1033</v>
      </c>
      <c r="Q3520" s="100" t="s">
        <v>4460</v>
      </c>
      <c r="R3520" s="227" t="s">
        <v>4464</v>
      </c>
      <c r="S3520" s="491" t="str">
        <f t="shared" si="115"/>
        <v>x</v>
      </c>
      <c r="T3520" s="492" t="str">
        <f>IFERROR(VLOOKUP(F3520,'Freq-Chan'!C:D,2,FALSE),"x")</f>
        <v>x</v>
      </c>
      <c r="U3520" s="110" t="s">
        <v>541</v>
      </c>
      <c r="V3520" s="110" t="str">
        <f t="shared" si="116"/>
        <v>FWL</v>
      </c>
      <c r="W3520" s="110" t="s">
        <v>541</v>
      </c>
      <c r="X3520" s="110" t="s">
        <v>541</v>
      </c>
      <c r="Y3520" s="110" t="str">
        <f>IFERROR(VLOOKUP(F3520,'Freq-Chan'!C:E,3,FALSE),"na")</f>
        <v>na</v>
      </c>
      <c r="Z3520" s="110" t="s">
        <v>541</v>
      </c>
      <c r="AA3520" s="110" t="s">
        <v>541</v>
      </c>
      <c r="AB3520" s="110" t="s">
        <v>541</v>
      </c>
      <c r="AC3520" s="10" t="s">
        <v>541</v>
      </c>
      <c r="AD3520" s="10" t="s">
        <v>541</v>
      </c>
    </row>
    <row r="3521" spans="1:30" x14ac:dyDescent="0.2">
      <c r="A3521" s="110">
        <v>3521</v>
      </c>
      <c r="B3521" s="132">
        <v>41877</v>
      </c>
      <c r="C3521" s="117">
        <v>2</v>
      </c>
      <c r="D3521" s="103" t="s">
        <v>71</v>
      </c>
      <c r="E3521" s="103" t="s">
        <v>306</v>
      </c>
      <c r="H3521" s="103"/>
      <c r="I3521" s="103">
        <v>64</v>
      </c>
      <c r="K3521" s="103" t="s">
        <v>365</v>
      </c>
      <c r="L3521" s="133"/>
      <c r="M3521" s="134">
        <v>1.2499999999999999E-2</v>
      </c>
      <c r="N3521" s="135" t="s">
        <v>1914</v>
      </c>
      <c r="O3521" s="133" t="s">
        <v>1033</v>
      </c>
      <c r="Q3521" s="100" t="s">
        <v>4460</v>
      </c>
      <c r="R3521" s="227" t="s">
        <v>4464</v>
      </c>
      <c r="S3521" s="491" t="str">
        <f t="shared" si="115"/>
        <v>x</v>
      </c>
      <c r="T3521" s="492" t="str">
        <f>IFERROR(VLOOKUP(F3521,'Freq-Chan'!C:D,2,FALSE),"x")</f>
        <v>x</v>
      </c>
      <c r="U3521" s="110" t="s">
        <v>541</v>
      </c>
      <c r="V3521" s="110" t="str">
        <f t="shared" si="116"/>
        <v>FWL</v>
      </c>
      <c r="W3521" s="110" t="s">
        <v>541</v>
      </c>
      <c r="X3521" s="110" t="s">
        <v>541</v>
      </c>
      <c r="Y3521" s="110" t="str">
        <f>IFERROR(VLOOKUP(F3521,'Freq-Chan'!C:E,3,FALSE),"na")</f>
        <v>na</v>
      </c>
      <c r="Z3521" s="110" t="s">
        <v>541</v>
      </c>
      <c r="AA3521" s="110" t="s">
        <v>541</v>
      </c>
      <c r="AB3521" s="110" t="s">
        <v>541</v>
      </c>
      <c r="AC3521" s="10" t="s">
        <v>541</v>
      </c>
      <c r="AD3521" s="10" t="s">
        <v>541</v>
      </c>
    </row>
    <row r="3522" spans="1:30" x14ac:dyDescent="0.2">
      <c r="A3522" s="110">
        <v>3522</v>
      </c>
      <c r="B3522" s="132">
        <v>41877</v>
      </c>
      <c r="C3522" s="117">
        <v>2</v>
      </c>
      <c r="D3522" s="103" t="s">
        <v>71</v>
      </c>
      <c r="E3522" s="103" t="s">
        <v>306</v>
      </c>
      <c r="H3522" s="103"/>
      <c r="I3522" s="103">
        <v>57</v>
      </c>
      <c r="K3522" s="103" t="s">
        <v>365</v>
      </c>
      <c r="L3522" s="133"/>
      <c r="M3522" s="134">
        <v>1.3194444444444444E-2</v>
      </c>
      <c r="N3522" s="135" t="s">
        <v>1946</v>
      </c>
      <c r="O3522" s="133" t="s">
        <v>1033</v>
      </c>
      <c r="Q3522" s="100" t="s">
        <v>4460</v>
      </c>
      <c r="R3522" s="227" t="s">
        <v>4464</v>
      </c>
      <c r="S3522" s="491" t="str">
        <f t="shared" si="115"/>
        <v>x</v>
      </c>
      <c r="T3522" s="492" t="str">
        <f>IFERROR(VLOOKUP(F3522,'Freq-Chan'!C:D,2,FALSE),"x")</f>
        <v>x</v>
      </c>
      <c r="U3522" s="110" t="s">
        <v>541</v>
      </c>
      <c r="V3522" s="110" t="str">
        <f t="shared" si="116"/>
        <v>FWL</v>
      </c>
      <c r="W3522" s="110" t="s">
        <v>541</v>
      </c>
      <c r="X3522" s="110" t="s">
        <v>541</v>
      </c>
      <c r="Y3522" s="110" t="str">
        <f>IFERROR(VLOOKUP(F3522,'Freq-Chan'!C:E,3,FALSE),"na")</f>
        <v>na</v>
      </c>
      <c r="Z3522" s="110" t="s">
        <v>541</v>
      </c>
      <c r="AA3522" s="110" t="s">
        <v>541</v>
      </c>
      <c r="AB3522" s="110" t="s">
        <v>541</v>
      </c>
      <c r="AC3522" s="10" t="s">
        <v>541</v>
      </c>
      <c r="AD3522" s="10" t="s">
        <v>541</v>
      </c>
    </row>
    <row r="3523" spans="1:30" x14ac:dyDescent="0.2">
      <c r="A3523" s="110">
        <v>3523</v>
      </c>
      <c r="B3523" s="132">
        <v>41877</v>
      </c>
      <c r="C3523" s="117">
        <v>2</v>
      </c>
      <c r="D3523" s="103" t="s">
        <v>71</v>
      </c>
      <c r="E3523" s="103" t="s">
        <v>306</v>
      </c>
      <c r="H3523" s="103"/>
      <c r="I3523" s="103">
        <v>55</v>
      </c>
      <c r="K3523" s="103" t="s">
        <v>365</v>
      </c>
      <c r="L3523" s="133"/>
      <c r="M3523" s="134">
        <v>1.3888888888888888E-2</v>
      </c>
      <c r="N3523" s="135" t="s">
        <v>1915</v>
      </c>
      <c r="O3523" s="133" t="s">
        <v>1033</v>
      </c>
      <c r="Q3523" s="100" t="s">
        <v>4460</v>
      </c>
      <c r="R3523" s="227" t="s">
        <v>4464</v>
      </c>
      <c r="S3523" s="491" t="str">
        <f t="shared" si="115"/>
        <v>x</v>
      </c>
      <c r="T3523" s="492" t="str">
        <f>IFERROR(VLOOKUP(F3523,'Freq-Chan'!C:D,2,FALSE),"x")</f>
        <v>x</v>
      </c>
      <c r="U3523" s="110" t="s">
        <v>541</v>
      </c>
      <c r="V3523" s="110" t="str">
        <f t="shared" si="116"/>
        <v>FWL</v>
      </c>
      <c r="W3523" s="110" t="s">
        <v>541</v>
      </c>
      <c r="X3523" s="110" t="s">
        <v>541</v>
      </c>
      <c r="Y3523" s="110" t="str">
        <f>IFERROR(VLOOKUP(F3523,'Freq-Chan'!C:E,3,FALSE),"na")</f>
        <v>na</v>
      </c>
      <c r="Z3523" s="110" t="s">
        <v>541</v>
      </c>
      <c r="AA3523" s="110" t="s">
        <v>541</v>
      </c>
      <c r="AB3523" s="110" t="s">
        <v>541</v>
      </c>
      <c r="AC3523" s="10" t="s">
        <v>541</v>
      </c>
      <c r="AD3523" s="10" t="s">
        <v>541</v>
      </c>
    </row>
    <row r="3524" spans="1:30" x14ac:dyDescent="0.2">
      <c r="A3524" s="110">
        <v>3524</v>
      </c>
      <c r="B3524" s="132">
        <v>41877</v>
      </c>
      <c r="C3524" s="117">
        <v>2</v>
      </c>
      <c r="D3524" s="103" t="s">
        <v>71</v>
      </c>
      <c r="E3524" s="103" t="s">
        <v>306</v>
      </c>
      <c r="H3524" s="103"/>
      <c r="I3524" s="103">
        <v>62</v>
      </c>
      <c r="K3524" s="103" t="s">
        <v>365</v>
      </c>
      <c r="L3524" s="133"/>
      <c r="M3524" s="134">
        <v>1.4583333333333332E-2</v>
      </c>
      <c r="N3524" s="135" t="s">
        <v>2932</v>
      </c>
      <c r="O3524" s="133" t="s">
        <v>1033</v>
      </c>
      <c r="Q3524" s="100" t="s">
        <v>4460</v>
      </c>
      <c r="R3524" s="227" t="s">
        <v>4464</v>
      </c>
      <c r="S3524" s="491" t="str">
        <f t="shared" si="115"/>
        <v>x</v>
      </c>
      <c r="T3524" s="492" t="str">
        <f>IFERROR(VLOOKUP(F3524,'Freq-Chan'!C:D,2,FALSE),"x")</f>
        <v>x</v>
      </c>
      <c r="U3524" s="110" t="s">
        <v>541</v>
      </c>
      <c r="V3524" s="110" t="str">
        <f t="shared" si="116"/>
        <v>FWL</v>
      </c>
      <c r="W3524" s="110" t="s">
        <v>541</v>
      </c>
      <c r="X3524" s="110" t="s">
        <v>541</v>
      </c>
      <c r="Y3524" s="110" t="str">
        <f>IFERROR(VLOOKUP(F3524,'Freq-Chan'!C:E,3,FALSE),"na")</f>
        <v>na</v>
      </c>
      <c r="Z3524" s="110" t="s">
        <v>541</v>
      </c>
      <c r="AA3524" s="110" t="s">
        <v>541</v>
      </c>
      <c r="AB3524" s="110" t="s">
        <v>541</v>
      </c>
      <c r="AC3524" s="10" t="s">
        <v>541</v>
      </c>
      <c r="AD3524" s="10" t="s">
        <v>541</v>
      </c>
    </row>
    <row r="3525" spans="1:30" x14ac:dyDescent="0.2">
      <c r="A3525" s="110">
        <v>3525</v>
      </c>
      <c r="B3525" s="132">
        <v>41877</v>
      </c>
      <c r="C3525" s="117">
        <v>2</v>
      </c>
      <c r="D3525" s="103" t="s">
        <v>71</v>
      </c>
      <c r="E3525" s="103" t="s">
        <v>306</v>
      </c>
      <c r="H3525" s="103"/>
      <c r="I3525" s="103">
        <v>59</v>
      </c>
      <c r="K3525" s="103" t="s">
        <v>1032</v>
      </c>
      <c r="L3525" s="133"/>
      <c r="M3525" s="134">
        <v>1.5972222222222224E-2</v>
      </c>
      <c r="N3525" s="135" t="s">
        <v>3166</v>
      </c>
      <c r="O3525" s="133" t="s">
        <v>1033</v>
      </c>
      <c r="Q3525" s="100" t="s">
        <v>4460</v>
      </c>
      <c r="R3525" s="227" t="s">
        <v>4464</v>
      </c>
      <c r="S3525" s="491" t="str">
        <f t="shared" si="115"/>
        <v>x</v>
      </c>
      <c r="T3525" s="492" t="str">
        <f>IFERROR(VLOOKUP(F3525,'Freq-Chan'!C:D,2,FALSE),"x")</f>
        <v>x</v>
      </c>
      <c r="U3525" s="110" t="s">
        <v>541</v>
      </c>
      <c r="V3525" s="110" t="str">
        <f t="shared" si="116"/>
        <v>FWL</v>
      </c>
      <c r="W3525" s="110" t="s">
        <v>541</v>
      </c>
      <c r="X3525" s="110" t="s">
        <v>541</v>
      </c>
      <c r="Y3525" s="110" t="str">
        <f>IFERROR(VLOOKUP(F3525,'Freq-Chan'!C:E,3,FALSE),"na")</f>
        <v>na</v>
      </c>
      <c r="Z3525" s="110" t="s">
        <v>541</v>
      </c>
      <c r="AA3525" s="110" t="s">
        <v>541</v>
      </c>
      <c r="AB3525" s="110" t="s">
        <v>541</v>
      </c>
      <c r="AC3525" s="10" t="s">
        <v>541</v>
      </c>
      <c r="AD3525" s="10" t="s">
        <v>541</v>
      </c>
    </row>
    <row r="3526" spans="1:30" x14ac:dyDescent="0.2">
      <c r="A3526" s="110">
        <v>3526</v>
      </c>
      <c r="B3526" s="132">
        <v>41877</v>
      </c>
      <c r="C3526" s="117">
        <v>2</v>
      </c>
      <c r="D3526" s="103" t="s">
        <v>71</v>
      </c>
      <c r="E3526" s="103" t="s">
        <v>306</v>
      </c>
      <c r="H3526" s="103"/>
      <c r="I3526" s="103">
        <v>62</v>
      </c>
      <c r="K3526" s="103" t="s">
        <v>1032</v>
      </c>
      <c r="L3526" s="133"/>
      <c r="M3526" s="134">
        <v>1.5277777777777777E-2</v>
      </c>
      <c r="N3526" s="135" t="s">
        <v>3340</v>
      </c>
      <c r="O3526" s="133" t="s">
        <v>1033</v>
      </c>
      <c r="Q3526" s="100" t="s">
        <v>4460</v>
      </c>
      <c r="R3526" s="227" t="s">
        <v>4464</v>
      </c>
      <c r="S3526" s="491" t="str">
        <f t="shared" si="115"/>
        <v>x</v>
      </c>
      <c r="T3526" s="492" t="str">
        <f>IFERROR(VLOOKUP(F3526,'Freq-Chan'!C:D,2,FALSE),"x")</f>
        <v>x</v>
      </c>
      <c r="U3526" s="110" t="s">
        <v>541</v>
      </c>
      <c r="V3526" s="110" t="str">
        <f t="shared" si="116"/>
        <v>FWL</v>
      </c>
      <c r="W3526" s="110" t="s">
        <v>541</v>
      </c>
      <c r="X3526" s="110" t="s">
        <v>541</v>
      </c>
      <c r="Y3526" s="110" t="str">
        <f>IFERROR(VLOOKUP(F3526,'Freq-Chan'!C:E,3,FALSE),"na")</f>
        <v>na</v>
      </c>
      <c r="Z3526" s="110" t="s">
        <v>541</v>
      </c>
      <c r="AA3526" s="110" t="s">
        <v>541</v>
      </c>
      <c r="AB3526" s="110" t="s">
        <v>541</v>
      </c>
      <c r="AC3526" s="10" t="s">
        <v>541</v>
      </c>
      <c r="AD3526" s="10" t="s">
        <v>541</v>
      </c>
    </row>
    <row r="3527" spans="1:30" s="291" customFormat="1" x14ac:dyDescent="0.2">
      <c r="A3527" s="493">
        <v>3527</v>
      </c>
      <c r="B3527" s="283">
        <v>41877</v>
      </c>
      <c r="C3527" s="284">
        <v>2</v>
      </c>
      <c r="D3527" s="285" t="s">
        <v>71</v>
      </c>
      <c r="E3527" s="285" t="s">
        <v>306</v>
      </c>
      <c r="F3527" s="285"/>
      <c r="G3527" s="285"/>
      <c r="H3527" s="285"/>
      <c r="I3527" s="285">
        <v>56</v>
      </c>
      <c r="J3527" s="285"/>
      <c r="K3527" s="285" t="s">
        <v>1032</v>
      </c>
      <c r="L3527" s="286"/>
      <c r="M3527" s="287">
        <v>1.5972222222222224E-2</v>
      </c>
      <c r="N3527" s="288" t="s">
        <v>3990</v>
      </c>
      <c r="O3527" s="286" t="s">
        <v>1033</v>
      </c>
      <c r="P3527" s="289"/>
      <c r="Q3527" s="289" t="s">
        <v>4460</v>
      </c>
      <c r="R3527" s="400" t="s">
        <v>4464</v>
      </c>
      <c r="S3527" s="494" t="str">
        <f t="shared" si="115"/>
        <v>x</v>
      </c>
      <c r="T3527" s="495" t="str">
        <f>IFERROR(VLOOKUP(F3527,'Freq-Chan'!C:D,2,FALSE),"x")</f>
        <v>x</v>
      </c>
      <c r="U3527" s="493" t="s">
        <v>541</v>
      </c>
      <c r="V3527" s="493" t="str">
        <f t="shared" si="116"/>
        <v>FWL</v>
      </c>
      <c r="W3527" s="493" t="s">
        <v>541</v>
      </c>
      <c r="X3527" s="493" t="s">
        <v>541</v>
      </c>
      <c r="Y3527" s="493" t="str">
        <f>IFERROR(VLOOKUP(F3527,'Freq-Chan'!C:E,3,FALSE),"na")</f>
        <v>na</v>
      </c>
      <c r="Z3527" s="493" t="s">
        <v>541</v>
      </c>
      <c r="AA3527" s="493" t="s">
        <v>541</v>
      </c>
      <c r="AB3527" s="493" t="s">
        <v>541</v>
      </c>
      <c r="AC3527" s="291" t="s">
        <v>541</v>
      </c>
      <c r="AD3527" s="291" t="s">
        <v>541</v>
      </c>
    </row>
    <row r="3528" spans="1:30" x14ac:dyDescent="0.2">
      <c r="A3528" s="110">
        <v>3528</v>
      </c>
      <c r="B3528" s="132">
        <v>41877</v>
      </c>
      <c r="C3528" s="117">
        <v>3</v>
      </c>
      <c r="D3528" s="103" t="s">
        <v>72</v>
      </c>
      <c r="E3528" s="103" t="s">
        <v>306</v>
      </c>
      <c r="F3528" s="103">
        <v>325</v>
      </c>
      <c r="G3528" s="103">
        <v>90</v>
      </c>
      <c r="H3528" s="103" t="s">
        <v>3688</v>
      </c>
      <c r="I3528" s="103">
        <v>50</v>
      </c>
      <c r="K3528" s="103" t="s">
        <v>365</v>
      </c>
      <c r="L3528" s="133"/>
      <c r="M3528" s="134">
        <v>3.5416666666666666E-2</v>
      </c>
      <c r="N3528" s="135" t="s">
        <v>1905</v>
      </c>
      <c r="O3528" s="133" t="s">
        <v>1033</v>
      </c>
      <c r="Q3528" s="100" t="s">
        <v>4460</v>
      </c>
      <c r="R3528" s="227" t="s">
        <v>4464</v>
      </c>
      <c r="S3528" s="491" t="str">
        <f t="shared" si="115"/>
        <v>x</v>
      </c>
      <c r="T3528" s="492">
        <f>IFERROR(VLOOKUP(F3528,'Freq-Chan'!C:D,2,FALSE),"x")</f>
        <v>151.32499999999999</v>
      </c>
      <c r="U3528" s="110" t="s">
        <v>541</v>
      </c>
      <c r="V3528" s="110" t="str">
        <f t="shared" si="116"/>
        <v>FWL</v>
      </c>
      <c r="W3528" s="110" t="s">
        <v>541</v>
      </c>
      <c r="X3528" s="110" t="s">
        <v>541</v>
      </c>
      <c r="Y3528" s="110" t="str">
        <f>IFERROR(VLOOKUP(F3528,'Freq-Chan'!C:E,3,FALSE),"na")</f>
        <v>F1840</v>
      </c>
      <c r="Z3528" s="110" t="s">
        <v>541</v>
      </c>
      <c r="AA3528" s="110" t="s">
        <v>541</v>
      </c>
      <c r="AB3528" s="110" t="s">
        <v>541</v>
      </c>
      <c r="AC3528" s="10" t="s">
        <v>541</v>
      </c>
      <c r="AD3528" s="10" t="s">
        <v>541</v>
      </c>
    </row>
    <row r="3529" spans="1:30" x14ac:dyDescent="0.2">
      <c r="A3529" s="110">
        <v>3529</v>
      </c>
      <c r="B3529" s="132">
        <v>41877</v>
      </c>
      <c r="C3529" s="117">
        <v>3</v>
      </c>
      <c r="D3529" s="103" t="s">
        <v>72</v>
      </c>
      <c r="E3529" s="103" t="s">
        <v>306</v>
      </c>
      <c r="F3529" s="103">
        <v>266</v>
      </c>
      <c r="G3529" s="103">
        <v>93</v>
      </c>
      <c r="H3529" s="103" t="s">
        <v>3678</v>
      </c>
      <c r="I3529" s="103">
        <v>53</v>
      </c>
      <c r="K3529" s="103" t="s">
        <v>1032</v>
      </c>
      <c r="L3529" s="133"/>
      <c r="M3529" s="134">
        <v>5.2777777777777778E-2</v>
      </c>
      <c r="N3529" s="135" t="s">
        <v>497</v>
      </c>
      <c r="O3529" s="133" t="s">
        <v>3932</v>
      </c>
      <c r="P3529" s="100" t="s">
        <v>4477</v>
      </c>
      <c r="Q3529" s="100" t="s">
        <v>4461</v>
      </c>
      <c r="R3529" s="227" t="s">
        <v>4464</v>
      </c>
      <c r="S3529" s="491" t="str">
        <f t="shared" si="115"/>
        <v>x</v>
      </c>
      <c r="T3529" s="492">
        <f>IFERROR(VLOOKUP(F3529,'Freq-Chan'!C:D,2,FALSE),"x")</f>
        <v>151.26599999999999</v>
      </c>
      <c r="U3529" s="110" t="s">
        <v>541</v>
      </c>
      <c r="V3529" s="110" t="str">
        <f t="shared" si="116"/>
        <v>FWL</v>
      </c>
      <c r="W3529" s="110" t="s">
        <v>541</v>
      </c>
      <c r="X3529" s="110" t="s">
        <v>541</v>
      </c>
      <c r="Y3529" s="110" t="str">
        <f>IFERROR(VLOOKUP(F3529,'Freq-Chan'!C:E,3,FALSE),"na")</f>
        <v>F1840</v>
      </c>
      <c r="Z3529" s="110" t="s">
        <v>541</v>
      </c>
      <c r="AA3529" s="110" t="s">
        <v>541</v>
      </c>
      <c r="AB3529" s="110" t="s">
        <v>541</v>
      </c>
      <c r="AC3529" s="10" t="s">
        <v>541</v>
      </c>
      <c r="AD3529" s="10" t="s">
        <v>541</v>
      </c>
    </row>
    <row r="3530" spans="1:30" x14ac:dyDescent="0.2">
      <c r="A3530" s="110">
        <v>3530</v>
      </c>
      <c r="B3530" s="132">
        <v>41877</v>
      </c>
      <c r="C3530" s="117">
        <v>3</v>
      </c>
      <c r="D3530" s="103" t="s">
        <v>71</v>
      </c>
      <c r="E3530" s="103" t="s">
        <v>306</v>
      </c>
      <c r="H3530" s="103"/>
      <c r="I3530" s="103">
        <v>55</v>
      </c>
      <c r="K3530" s="103" t="s">
        <v>365</v>
      </c>
      <c r="L3530" s="133">
        <v>0.56041666666666667</v>
      </c>
      <c r="M3530" s="134">
        <v>2.013888888888889E-2</v>
      </c>
      <c r="N3530" s="135" t="s">
        <v>4434</v>
      </c>
      <c r="O3530" s="133" t="s">
        <v>373</v>
      </c>
      <c r="Q3530" s="100" t="s">
        <v>4461</v>
      </c>
      <c r="R3530" s="227" t="s">
        <v>4464</v>
      </c>
      <c r="S3530" s="491">
        <f t="shared" si="115"/>
        <v>1.0532407E-3</v>
      </c>
      <c r="T3530" s="492" t="str">
        <f>IFERROR(VLOOKUP(F3530,'Freq-Chan'!C:D,2,FALSE),"x")</f>
        <v>x</v>
      </c>
      <c r="U3530" s="110" t="s">
        <v>541</v>
      </c>
      <c r="V3530" s="110" t="str">
        <f t="shared" si="116"/>
        <v>FWL</v>
      </c>
      <c r="W3530" s="110" t="s">
        <v>541</v>
      </c>
      <c r="X3530" s="110" t="s">
        <v>541</v>
      </c>
      <c r="Y3530" s="110" t="str">
        <f>IFERROR(VLOOKUP(F3530,'Freq-Chan'!C:E,3,FALSE),"na")</f>
        <v>na</v>
      </c>
      <c r="Z3530" s="110" t="s">
        <v>541</v>
      </c>
      <c r="AA3530" s="110" t="s">
        <v>541</v>
      </c>
      <c r="AB3530" s="110" t="s">
        <v>541</v>
      </c>
      <c r="AC3530" s="10" t="s">
        <v>541</v>
      </c>
      <c r="AD3530" s="10" t="s">
        <v>541</v>
      </c>
    </row>
    <row r="3531" spans="1:30" x14ac:dyDescent="0.2">
      <c r="A3531" s="110">
        <v>3531</v>
      </c>
      <c r="B3531" s="132">
        <v>41877</v>
      </c>
      <c r="C3531" s="117">
        <v>3</v>
      </c>
      <c r="D3531" s="103" t="s">
        <v>71</v>
      </c>
      <c r="E3531" s="103" t="s">
        <v>306</v>
      </c>
      <c r="F3531" s="103">
        <v>917</v>
      </c>
      <c r="G3531" s="103">
        <v>82</v>
      </c>
      <c r="H3531" s="103" t="s">
        <v>2484</v>
      </c>
      <c r="I3531" s="103">
        <v>58</v>
      </c>
      <c r="K3531" s="103" t="s">
        <v>1032</v>
      </c>
      <c r="L3531" s="133">
        <v>0.59027777777777779</v>
      </c>
      <c r="M3531" s="134">
        <v>4.8611111111111112E-2</v>
      </c>
      <c r="N3531" s="135" t="s">
        <v>502</v>
      </c>
      <c r="O3531" s="133" t="s">
        <v>3932</v>
      </c>
      <c r="Q3531" s="100" t="s">
        <v>4461</v>
      </c>
      <c r="R3531" s="227" t="s">
        <v>4464</v>
      </c>
      <c r="S3531" s="491">
        <f t="shared" si="115"/>
        <v>9.6064814999999998E-3</v>
      </c>
      <c r="T3531" s="492">
        <f>IFERROR(VLOOKUP(F3531,'Freq-Chan'!C:D,2,FALSE),"x")</f>
        <v>151.917</v>
      </c>
      <c r="U3531" s="110" t="s">
        <v>541</v>
      </c>
      <c r="V3531" s="110" t="str">
        <f t="shared" si="116"/>
        <v>FWL</v>
      </c>
      <c r="W3531" s="110" t="s">
        <v>541</v>
      </c>
      <c r="X3531" s="110" t="s">
        <v>541</v>
      </c>
      <c r="Y3531" s="110" t="str">
        <f>IFERROR(VLOOKUP(F3531,'Freq-Chan'!C:E,3,FALSE),"na")</f>
        <v>F1835</v>
      </c>
      <c r="Z3531" s="110" t="s">
        <v>541</v>
      </c>
      <c r="AA3531" s="110" t="s">
        <v>541</v>
      </c>
      <c r="AB3531" s="110" t="s">
        <v>541</v>
      </c>
      <c r="AC3531" s="10" t="s">
        <v>541</v>
      </c>
      <c r="AD3531" s="10" t="s">
        <v>541</v>
      </c>
    </row>
    <row r="3532" spans="1:30" x14ac:dyDescent="0.2">
      <c r="A3532" s="110">
        <v>3532</v>
      </c>
      <c r="B3532" s="132">
        <v>41877</v>
      </c>
      <c r="C3532" s="117">
        <v>3</v>
      </c>
      <c r="D3532" s="103" t="s">
        <v>72</v>
      </c>
      <c r="E3532" s="103" t="s">
        <v>306</v>
      </c>
      <c r="F3532" s="103">
        <v>325</v>
      </c>
      <c r="G3532" s="103">
        <v>7</v>
      </c>
      <c r="H3532" s="103" t="s">
        <v>3689</v>
      </c>
      <c r="I3532" s="103">
        <v>52</v>
      </c>
      <c r="K3532" s="103" t="s">
        <v>365</v>
      </c>
      <c r="L3532" s="133"/>
      <c r="M3532" s="134">
        <v>5.2777777777777778E-2</v>
      </c>
      <c r="N3532" s="135" t="s">
        <v>3308</v>
      </c>
      <c r="O3532" s="133" t="s">
        <v>3932</v>
      </c>
      <c r="Q3532" s="100" t="s">
        <v>4461</v>
      </c>
      <c r="R3532" s="227" t="s">
        <v>4464</v>
      </c>
      <c r="S3532" s="491" t="str">
        <f t="shared" si="115"/>
        <v>x</v>
      </c>
      <c r="T3532" s="492">
        <f>IFERROR(VLOOKUP(F3532,'Freq-Chan'!C:D,2,FALSE),"x")</f>
        <v>151.32499999999999</v>
      </c>
      <c r="U3532" s="110" t="s">
        <v>541</v>
      </c>
      <c r="V3532" s="110" t="str">
        <f t="shared" si="116"/>
        <v>FWL</v>
      </c>
      <c r="W3532" s="110" t="s">
        <v>541</v>
      </c>
      <c r="X3532" s="110" t="s">
        <v>541</v>
      </c>
      <c r="Y3532" s="110" t="str">
        <f>IFERROR(VLOOKUP(F3532,'Freq-Chan'!C:E,3,FALSE),"na")</f>
        <v>F1840</v>
      </c>
      <c r="Z3532" s="110" t="s">
        <v>541</v>
      </c>
      <c r="AA3532" s="110" t="s">
        <v>541</v>
      </c>
      <c r="AB3532" s="110" t="s">
        <v>541</v>
      </c>
      <c r="AC3532" s="10" t="s">
        <v>541</v>
      </c>
      <c r="AD3532" s="10" t="s">
        <v>541</v>
      </c>
    </row>
    <row r="3533" spans="1:30" x14ac:dyDescent="0.2">
      <c r="A3533" s="110">
        <v>3533</v>
      </c>
      <c r="B3533" s="132">
        <v>41877</v>
      </c>
      <c r="C3533" s="117">
        <v>3</v>
      </c>
      <c r="D3533" s="103" t="s">
        <v>72</v>
      </c>
      <c r="E3533" s="103" t="s">
        <v>306</v>
      </c>
      <c r="F3533" s="103">
        <v>325</v>
      </c>
      <c r="G3533" s="103">
        <v>93</v>
      </c>
      <c r="H3533" s="103" t="s">
        <v>3690</v>
      </c>
      <c r="I3533" s="103">
        <v>54</v>
      </c>
      <c r="K3533" s="103" t="s">
        <v>365</v>
      </c>
      <c r="L3533" s="133"/>
      <c r="M3533" s="134">
        <v>0.11388888888888889</v>
      </c>
      <c r="N3533" s="135" t="s">
        <v>3180</v>
      </c>
      <c r="O3533" s="133" t="s">
        <v>3932</v>
      </c>
      <c r="P3533" s="100" t="s">
        <v>4463</v>
      </c>
      <c r="Q3533" s="100" t="s">
        <v>4461</v>
      </c>
      <c r="R3533" s="227" t="s">
        <v>4464</v>
      </c>
      <c r="S3533" s="491" t="str">
        <f t="shared" si="115"/>
        <v>x</v>
      </c>
      <c r="T3533" s="492">
        <f>IFERROR(VLOOKUP(F3533,'Freq-Chan'!C:D,2,FALSE),"x")</f>
        <v>151.32499999999999</v>
      </c>
      <c r="U3533" s="110" t="s">
        <v>541</v>
      </c>
      <c r="V3533" s="110" t="str">
        <f t="shared" si="116"/>
        <v>FWL</v>
      </c>
      <c r="W3533" s="110" t="s">
        <v>541</v>
      </c>
      <c r="X3533" s="110" t="s">
        <v>541</v>
      </c>
      <c r="Y3533" s="110" t="str">
        <f>IFERROR(VLOOKUP(F3533,'Freq-Chan'!C:E,3,FALSE),"na")</f>
        <v>F1840</v>
      </c>
      <c r="Z3533" s="110" t="s">
        <v>541</v>
      </c>
      <c r="AA3533" s="110" t="s">
        <v>541</v>
      </c>
      <c r="AB3533" s="110" t="s">
        <v>541</v>
      </c>
      <c r="AC3533" s="10" t="s">
        <v>541</v>
      </c>
      <c r="AD3533" s="10" t="s">
        <v>541</v>
      </c>
    </row>
    <row r="3534" spans="1:30" x14ac:dyDescent="0.2">
      <c r="A3534" s="110">
        <v>3534</v>
      </c>
      <c r="B3534" s="132">
        <v>41877</v>
      </c>
      <c r="C3534" s="117">
        <v>3</v>
      </c>
      <c r="D3534" s="103" t="s">
        <v>72</v>
      </c>
      <c r="E3534" s="103" t="s">
        <v>306</v>
      </c>
      <c r="H3534" s="103"/>
      <c r="I3534" s="103">
        <v>55</v>
      </c>
      <c r="K3534" s="103" t="s">
        <v>1032</v>
      </c>
      <c r="L3534" s="133"/>
      <c r="M3534" s="134">
        <v>2.361111111111111E-2</v>
      </c>
      <c r="N3534" s="135" t="s">
        <v>4240</v>
      </c>
      <c r="O3534" s="133" t="s">
        <v>373</v>
      </c>
      <c r="Q3534" s="100" t="s">
        <v>4461</v>
      </c>
      <c r="R3534" s="227" t="s">
        <v>4464</v>
      </c>
      <c r="S3534" s="491" t="str">
        <f t="shared" si="115"/>
        <v>x</v>
      </c>
      <c r="T3534" s="492" t="str">
        <f>IFERROR(VLOOKUP(F3534,'Freq-Chan'!C:D,2,FALSE),"x")</f>
        <v>x</v>
      </c>
      <c r="U3534" s="110" t="s">
        <v>541</v>
      </c>
      <c r="V3534" s="110" t="str">
        <f t="shared" si="116"/>
        <v>FWL</v>
      </c>
      <c r="W3534" s="110" t="s">
        <v>541</v>
      </c>
      <c r="X3534" s="110" t="s">
        <v>541</v>
      </c>
      <c r="Y3534" s="110" t="str">
        <f>IFERROR(VLOOKUP(F3534,'Freq-Chan'!C:E,3,FALSE),"na")</f>
        <v>na</v>
      </c>
      <c r="Z3534" s="110" t="s">
        <v>541</v>
      </c>
      <c r="AA3534" s="110" t="s">
        <v>541</v>
      </c>
      <c r="AB3534" s="110" t="s">
        <v>541</v>
      </c>
      <c r="AC3534" s="10" t="s">
        <v>541</v>
      </c>
      <c r="AD3534" s="10" t="s">
        <v>541</v>
      </c>
    </row>
    <row r="3535" spans="1:30" x14ac:dyDescent="0.2">
      <c r="A3535" s="110">
        <v>3535</v>
      </c>
      <c r="B3535" s="132">
        <v>41877</v>
      </c>
      <c r="C3535" s="117">
        <v>3</v>
      </c>
      <c r="D3535" s="103" t="s">
        <v>72</v>
      </c>
      <c r="E3535" s="103" t="s">
        <v>306</v>
      </c>
      <c r="H3535" s="103"/>
      <c r="I3535" s="103">
        <v>54</v>
      </c>
      <c r="K3535" s="103" t="s">
        <v>1032</v>
      </c>
      <c r="L3535" s="133"/>
      <c r="M3535" s="134">
        <v>1.6666666666666666E-2</v>
      </c>
      <c r="N3535" s="135" t="s">
        <v>878</v>
      </c>
      <c r="O3535" s="133" t="s">
        <v>373</v>
      </c>
      <c r="Q3535" s="100" t="s">
        <v>4461</v>
      </c>
      <c r="R3535" s="227" t="s">
        <v>4464</v>
      </c>
      <c r="S3535" s="491" t="str">
        <f t="shared" si="115"/>
        <v>x</v>
      </c>
      <c r="T3535" s="492" t="str">
        <f>IFERROR(VLOOKUP(F3535,'Freq-Chan'!C:D,2,FALSE),"x")</f>
        <v>x</v>
      </c>
      <c r="U3535" s="110" t="s">
        <v>541</v>
      </c>
      <c r="V3535" s="110" t="str">
        <f t="shared" si="116"/>
        <v>FWL</v>
      </c>
      <c r="W3535" s="110" t="s">
        <v>541</v>
      </c>
      <c r="X3535" s="110" t="s">
        <v>541</v>
      </c>
      <c r="Y3535" s="110" t="str">
        <f>IFERROR(VLOOKUP(F3535,'Freq-Chan'!C:E,3,FALSE),"na")</f>
        <v>na</v>
      </c>
      <c r="Z3535" s="110" t="s">
        <v>541</v>
      </c>
      <c r="AA3535" s="110" t="s">
        <v>541</v>
      </c>
      <c r="AB3535" s="110" t="s">
        <v>541</v>
      </c>
      <c r="AC3535" s="10" t="s">
        <v>541</v>
      </c>
      <c r="AD3535" s="10" t="s">
        <v>541</v>
      </c>
    </row>
    <row r="3536" spans="1:30" x14ac:dyDescent="0.2">
      <c r="A3536" s="110">
        <v>3536</v>
      </c>
      <c r="B3536" s="132">
        <v>41877</v>
      </c>
      <c r="C3536" s="117">
        <v>3</v>
      </c>
      <c r="D3536" s="103" t="s">
        <v>72</v>
      </c>
      <c r="E3536" s="103" t="s">
        <v>306</v>
      </c>
      <c r="F3536" s="103">
        <v>325</v>
      </c>
      <c r="G3536" s="103">
        <v>43</v>
      </c>
      <c r="H3536" s="103" t="s">
        <v>3693</v>
      </c>
      <c r="I3536" s="103">
        <v>51</v>
      </c>
      <c r="K3536" s="103" t="s">
        <v>1032</v>
      </c>
      <c r="L3536" s="133"/>
      <c r="M3536" s="134">
        <v>4.4444444444444446E-2</v>
      </c>
      <c r="N3536" s="135" t="s">
        <v>4294</v>
      </c>
      <c r="O3536" s="133" t="s">
        <v>4418</v>
      </c>
      <c r="Q3536" s="100" t="s">
        <v>4458</v>
      </c>
      <c r="R3536" s="227" t="s">
        <v>4464</v>
      </c>
      <c r="S3536" s="491" t="str">
        <f t="shared" si="115"/>
        <v>x</v>
      </c>
      <c r="T3536" s="492">
        <f>IFERROR(VLOOKUP(F3536,'Freq-Chan'!C:D,2,FALSE),"x")</f>
        <v>151.32499999999999</v>
      </c>
      <c r="U3536" s="110" t="s">
        <v>541</v>
      </c>
      <c r="V3536" s="110" t="str">
        <f t="shared" si="116"/>
        <v>FWL</v>
      </c>
      <c r="W3536" s="110" t="s">
        <v>541</v>
      </c>
      <c r="X3536" s="110" t="s">
        <v>541</v>
      </c>
      <c r="Y3536" s="110" t="str">
        <f>IFERROR(VLOOKUP(F3536,'Freq-Chan'!C:E,3,FALSE),"na")</f>
        <v>F1840</v>
      </c>
      <c r="Z3536" s="110" t="s">
        <v>541</v>
      </c>
      <c r="AA3536" s="110" t="s">
        <v>541</v>
      </c>
      <c r="AB3536" s="110" t="s">
        <v>541</v>
      </c>
      <c r="AC3536" s="10" t="s">
        <v>541</v>
      </c>
      <c r="AD3536" s="10" t="s">
        <v>541</v>
      </c>
    </row>
    <row r="3537" spans="1:30" x14ac:dyDescent="0.2">
      <c r="A3537" s="110">
        <v>3537</v>
      </c>
      <c r="B3537" s="132">
        <v>41877</v>
      </c>
      <c r="C3537" s="117">
        <v>3</v>
      </c>
      <c r="D3537" s="103" t="s">
        <v>72</v>
      </c>
      <c r="E3537" s="103" t="s">
        <v>306</v>
      </c>
      <c r="F3537" s="103">
        <v>325</v>
      </c>
      <c r="G3537" s="103">
        <v>48</v>
      </c>
      <c r="H3537" s="103" t="s">
        <v>3691</v>
      </c>
      <c r="I3537" s="103">
        <v>51</v>
      </c>
      <c r="K3537" s="103" t="s">
        <v>365</v>
      </c>
      <c r="L3537" s="133"/>
      <c r="M3537" s="134">
        <v>5.4166666666666669E-2</v>
      </c>
      <c r="N3537" s="135" t="s">
        <v>2841</v>
      </c>
      <c r="O3537" s="133" t="s">
        <v>4418</v>
      </c>
      <c r="Q3537" s="100" t="s">
        <v>4458</v>
      </c>
      <c r="R3537" s="227" t="s">
        <v>4464</v>
      </c>
      <c r="S3537" s="491" t="str">
        <f t="shared" si="115"/>
        <v>x</v>
      </c>
      <c r="T3537" s="492">
        <f>IFERROR(VLOOKUP(F3537,'Freq-Chan'!C:D,2,FALSE),"x")</f>
        <v>151.32499999999999</v>
      </c>
      <c r="U3537" s="110" t="s">
        <v>541</v>
      </c>
      <c r="V3537" s="110" t="str">
        <f t="shared" si="116"/>
        <v>FWL</v>
      </c>
      <c r="W3537" s="110" t="s">
        <v>541</v>
      </c>
      <c r="X3537" s="110" t="s">
        <v>541</v>
      </c>
      <c r="Y3537" s="110" t="str">
        <f>IFERROR(VLOOKUP(F3537,'Freq-Chan'!C:E,3,FALSE),"na")</f>
        <v>F1840</v>
      </c>
      <c r="Z3537" s="110" t="s">
        <v>541</v>
      </c>
      <c r="AA3537" s="110" t="s">
        <v>541</v>
      </c>
      <c r="AB3537" s="110" t="s">
        <v>541</v>
      </c>
      <c r="AC3537" s="10" t="s">
        <v>541</v>
      </c>
      <c r="AD3537" s="10" t="s">
        <v>541</v>
      </c>
    </row>
    <row r="3538" spans="1:30" x14ac:dyDescent="0.2">
      <c r="A3538" s="110">
        <v>3538</v>
      </c>
      <c r="B3538" s="132">
        <v>41877</v>
      </c>
      <c r="C3538" s="117">
        <v>3</v>
      </c>
      <c r="D3538" s="103" t="s">
        <v>71</v>
      </c>
      <c r="E3538" s="103" t="s">
        <v>306</v>
      </c>
      <c r="H3538" s="103"/>
      <c r="I3538" s="103">
        <v>58</v>
      </c>
      <c r="K3538" s="103" t="s">
        <v>365</v>
      </c>
      <c r="L3538" s="133"/>
      <c r="M3538" s="134">
        <v>1.8055555555555557E-2</v>
      </c>
      <c r="N3538" s="135" t="s">
        <v>4003</v>
      </c>
      <c r="O3538" s="133" t="s">
        <v>4418</v>
      </c>
      <c r="Q3538" s="100" t="s">
        <v>4458</v>
      </c>
      <c r="R3538" s="227" t="s">
        <v>4464</v>
      </c>
      <c r="S3538" s="491" t="str">
        <f t="shared" si="115"/>
        <v>x</v>
      </c>
      <c r="T3538" s="492" t="str">
        <f>IFERROR(VLOOKUP(F3538,'Freq-Chan'!C:D,2,FALSE),"x")</f>
        <v>x</v>
      </c>
      <c r="U3538" s="110" t="s">
        <v>541</v>
      </c>
      <c r="V3538" s="110" t="str">
        <f t="shared" si="116"/>
        <v>FWL</v>
      </c>
      <c r="W3538" s="110" t="s">
        <v>541</v>
      </c>
      <c r="X3538" s="110" t="s">
        <v>541</v>
      </c>
      <c r="Y3538" s="110" t="str">
        <f>IFERROR(VLOOKUP(F3538,'Freq-Chan'!C:E,3,FALSE),"na")</f>
        <v>na</v>
      </c>
      <c r="Z3538" s="110" t="s">
        <v>541</v>
      </c>
      <c r="AA3538" s="110" t="s">
        <v>541</v>
      </c>
      <c r="AB3538" s="110" t="s">
        <v>541</v>
      </c>
      <c r="AC3538" s="10" t="s">
        <v>541</v>
      </c>
      <c r="AD3538" s="10" t="s">
        <v>541</v>
      </c>
    </row>
    <row r="3539" spans="1:30" x14ac:dyDescent="0.2">
      <c r="A3539" s="110">
        <v>3539</v>
      </c>
      <c r="B3539" s="132">
        <v>41877</v>
      </c>
      <c r="C3539" s="117">
        <v>3</v>
      </c>
      <c r="D3539" s="103" t="s">
        <v>72</v>
      </c>
      <c r="E3539" s="103" t="s">
        <v>306</v>
      </c>
      <c r="F3539" s="103">
        <v>534</v>
      </c>
      <c r="G3539" s="103">
        <v>48</v>
      </c>
      <c r="H3539" s="103" t="s">
        <v>3692</v>
      </c>
      <c r="I3539" s="103">
        <v>59</v>
      </c>
      <c r="K3539" s="103" t="s">
        <v>365</v>
      </c>
      <c r="L3539" s="133"/>
      <c r="M3539" s="134">
        <v>6.0416666666666667E-2</v>
      </c>
      <c r="N3539" s="135" t="s">
        <v>1803</v>
      </c>
      <c r="O3539" s="133" t="s">
        <v>4418</v>
      </c>
      <c r="P3539" s="100" t="s">
        <v>4479</v>
      </c>
      <c r="Q3539" s="100" t="s">
        <v>4458</v>
      </c>
      <c r="R3539" s="227" t="s">
        <v>4464</v>
      </c>
      <c r="S3539" s="491" t="str">
        <f t="shared" si="115"/>
        <v>x</v>
      </c>
      <c r="T3539" s="492">
        <f>IFERROR(VLOOKUP(F3539,'Freq-Chan'!C:D,2,FALSE),"x")</f>
        <v>151.53399999999999</v>
      </c>
      <c r="U3539" s="110" t="s">
        <v>541</v>
      </c>
      <c r="V3539" s="110" t="str">
        <f t="shared" si="116"/>
        <v>FWL</v>
      </c>
      <c r="W3539" s="110" t="s">
        <v>541</v>
      </c>
      <c r="X3539" s="110" t="s">
        <v>541</v>
      </c>
      <c r="Y3539" s="110" t="str">
        <f>IFERROR(VLOOKUP(F3539,'Freq-Chan'!C:E,3,FALSE),"na")</f>
        <v>F1840</v>
      </c>
      <c r="Z3539" s="110" t="s">
        <v>541</v>
      </c>
      <c r="AA3539" s="110" t="s">
        <v>541</v>
      </c>
      <c r="AB3539" s="110" t="s">
        <v>541</v>
      </c>
      <c r="AC3539" s="10" t="s">
        <v>541</v>
      </c>
      <c r="AD3539" s="10" t="s">
        <v>541</v>
      </c>
    </row>
    <row r="3540" spans="1:30" s="291" customFormat="1" x14ac:dyDescent="0.2">
      <c r="A3540" s="493">
        <v>3540</v>
      </c>
      <c r="B3540" s="283">
        <v>41877</v>
      </c>
      <c r="C3540" s="284">
        <v>3</v>
      </c>
      <c r="D3540" s="285" t="s">
        <v>71</v>
      </c>
      <c r="E3540" s="285" t="s">
        <v>306</v>
      </c>
      <c r="F3540" s="285"/>
      <c r="G3540" s="285"/>
      <c r="H3540" s="285"/>
      <c r="I3540" s="285">
        <v>55</v>
      </c>
      <c r="J3540" s="285"/>
      <c r="K3540" s="285" t="s">
        <v>1032</v>
      </c>
      <c r="L3540" s="286"/>
      <c r="M3540" s="287">
        <v>1.5277777777777777E-2</v>
      </c>
      <c r="N3540" s="288" t="s">
        <v>1807</v>
      </c>
      <c r="O3540" s="286" t="s">
        <v>4418</v>
      </c>
      <c r="P3540" s="289"/>
      <c r="Q3540" s="289" t="s">
        <v>4458</v>
      </c>
      <c r="R3540" s="400" t="s">
        <v>4464</v>
      </c>
      <c r="S3540" s="494" t="str">
        <f t="shared" si="115"/>
        <v>x</v>
      </c>
      <c r="T3540" s="495" t="str">
        <f>IFERROR(VLOOKUP(F3540,'Freq-Chan'!C:D,2,FALSE),"x")</f>
        <v>x</v>
      </c>
      <c r="U3540" s="493" t="s">
        <v>541</v>
      </c>
      <c r="V3540" s="493" t="str">
        <f t="shared" si="116"/>
        <v>FWL</v>
      </c>
      <c r="W3540" s="493" t="s">
        <v>541</v>
      </c>
      <c r="X3540" s="493" t="s">
        <v>541</v>
      </c>
      <c r="Y3540" s="493" t="str">
        <f>IFERROR(VLOOKUP(F3540,'Freq-Chan'!C:E,3,FALSE),"na")</f>
        <v>na</v>
      </c>
      <c r="Z3540" s="493" t="s">
        <v>541</v>
      </c>
      <c r="AA3540" s="493" t="s">
        <v>541</v>
      </c>
      <c r="AB3540" s="493" t="s">
        <v>541</v>
      </c>
      <c r="AC3540" s="291" t="s">
        <v>541</v>
      </c>
      <c r="AD3540" s="291" t="s">
        <v>541</v>
      </c>
    </row>
    <row r="3541" spans="1:30" x14ac:dyDescent="0.2">
      <c r="A3541" s="110">
        <v>3541</v>
      </c>
      <c r="B3541" s="132">
        <v>41878</v>
      </c>
      <c r="C3541" s="117">
        <v>1</v>
      </c>
      <c r="D3541" s="103" t="s">
        <v>8</v>
      </c>
      <c r="E3541" s="103" t="s">
        <v>0</v>
      </c>
      <c r="H3541" s="103"/>
      <c r="I3541" s="103">
        <v>36</v>
      </c>
      <c r="K3541" s="103" t="s">
        <v>364</v>
      </c>
      <c r="L3541" s="133"/>
      <c r="M3541" s="134">
        <v>1.2499999999999999E-2</v>
      </c>
      <c r="N3541" s="135" t="s">
        <v>3287</v>
      </c>
      <c r="O3541" s="133" t="s">
        <v>373</v>
      </c>
      <c r="P3541" s="100" t="s">
        <v>4491</v>
      </c>
      <c r="Q3541" s="100" t="s">
        <v>4485</v>
      </c>
      <c r="R3541" s="227" t="s">
        <v>4500</v>
      </c>
      <c r="S3541" s="491" t="str">
        <f t="shared" si="115"/>
        <v>x</v>
      </c>
      <c r="T3541" s="492" t="str">
        <f>IFERROR(VLOOKUP(F3541,'Freq-Chan'!C:D,2,FALSE),"x")</f>
        <v>x</v>
      </c>
      <c r="U3541" s="110" t="s">
        <v>541</v>
      </c>
      <c r="V3541" s="110" t="str">
        <f t="shared" si="116"/>
        <v>FWL</v>
      </c>
      <c r="W3541" s="110" t="s">
        <v>541</v>
      </c>
      <c r="X3541" s="110" t="s">
        <v>541</v>
      </c>
      <c r="Y3541" s="110" t="str">
        <f>IFERROR(VLOOKUP(F3541,'Freq-Chan'!C:E,3,FALSE),"na")</f>
        <v>na</v>
      </c>
      <c r="Z3541" s="110" t="s">
        <v>541</v>
      </c>
      <c r="AA3541" s="110" t="s">
        <v>541</v>
      </c>
      <c r="AB3541" s="110" t="s">
        <v>541</v>
      </c>
      <c r="AC3541" s="10" t="s">
        <v>541</v>
      </c>
      <c r="AD3541" s="10" t="s">
        <v>541</v>
      </c>
    </row>
    <row r="3542" spans="1:30" x14ac:dyDescent="0.2">
      <c r="A3542" s="110">
        <v>3542</v>
      </c>
      <c r="B3542" s="132">
        <v>41878</v>
      </c>
      <c r="C3542" s="117">
        <v>1</v>
      </c>
      <c r="D3542" s="103" t="s">
        <v>71</v>
      </c>
      <c r="E3542" s="103" t="s">
        <v>306</v>
      </c>
      <c r="H3542" s="103"/>
      <c r="I3542" s="103">
        <v>59</v>
      </c>
      <c r="K3542" s="103" t="s">
        <v>1032</v>
      </c>
      <c r="L3542" s="133"/>
      <c r="M3542" s="134">
        <v>1.4583333333333332E-2</v>
      </c>
      <c r="N3542" s="135" t="s">
        <v>1698</v>
      </c>
      <c r="O3542" s="133" t="s">
        <v>373</v>
      </c>
      <c r="Q3542" s="100" t="s">
        <v>4485</v>
      </c>
      <c r="R3542" s="227" t="s">
        <v>4500</v>
      </c>
      <c r="S3542" s="491" t="str">
        <f t="shared" si="115"/>
        <v>x</v>
      </c>
      <c r="T3542" s="492" t="str">
        <f>IFERROR(VLOOKUP(F3542,'Freq-Chan'!C:D,2,FALSE),"x")</f>
        <v>x</v>
      </c>
      <c r="U3542" s="110" t="s">
        <v>541</v>
      </c>
      <c r="V3542" s="110" t="str">
        <f t="shared" si="116"/>
        <v>FWL</v>
      </c>
      <c r="W3542" s="110" t="s">
        <v>541</v>
      </c>
      <c r="X3542" s="110" t="s">
        <v>541</v>
      </c>
      <c r="Y3542" s="110" t="str">
        <f>IFERROR(VLOOKUP(F3542,'Freq-Chan'!C:E,3,FALSE),"na")</f>
        <v>na</v>
      </c>
      <c r="Z3542" s="110" t="s">
        <v>541</v>
      </c>
      <c r="AA3542" s="110" t="s">
        <v>541</v>
      </c>
      <c r="AB3542" s="110" t="s">
        <v>541</v>
      </c>
      <c r="AC3542" s="10" t="s">
        <v>541</v>
      </c>
      <c r="AD3542" s="10" t="s">
        <v>541</v>
      </c>
    </row>
    <row r="3543" spans="1:30" x14ac:dyDescent="0.2">
      <c r="A3543" s="110">
        <v>3543</v>
      </c>
      <c r="B3543" s="132">
        <v>41878</v>
      </c>
      <c r="C3543" s="117">
        <v>1</v>
      </c>
      <c r="D3543" s="103" t="s">
        <v>71</v>
      </c>
      <c r="E3543" s="103" t="s">
        <v>306</v>
      </c>
      <c r="H3543" s="103"/>
      <c r="I3543" s="103">
        <v>52</v>
      </c>
      <c r="K3543" s="103" t="s">
        <v>1032</v>
      </c>
      <c r="L3543" s="133"/>
      <c r="M3543" s="134">
        <v>2.2222222222222223E-2</v>
      </c>
      <c r="N3543" s="135" t="s">
        <v>639</v>
      </c>
      <c r="O3543" s="133" t="s">
        <v>376</v>
      </c>
      <c r="Q3543" s="100" t="s">
        <v>4485</v>
      </c>
      <c r="R3543" s="227" t="s">
        <v>4500</v>
      </c>
      <c r="S3543" s="491" t="str">
        <f t="shared" si="115"/>
        <v>x</v>
      </c>
      <c r="T3543" s="492" t="str">
        <f>IFERROR(VLOOKUP(F3543,'Freq-Chan'!C:D,2,FALSE),"x")</f>
        <v>x</v>
      </c>
      <c r="U3543" s="110" t="s">
        <v>541</v>
      </c>
      <c r="V3543" s="110" t="str">
        <f t="shared" si="116"/>
        <v>FWL</v>
      </c>
      <c r="W3543" s="110" t="s">
        <v>541</v>
      </c>
      <c r="X3543" s="110" t="s">
        <v>541</v>
      </c>
      <c r="Y3543" s="110" t="str">
        <f>IFERROR(VLOOKUP(F3543,'Freq-Chan'!C:E,3,FALSE),"na")</f>
        <v>na</v>
      </c>
      <c r="Z3543" s="110" t="s">
        <v>541</v>
      </c>
      <c r="AA3543" s="110" t="s">
        <v>541</v>
      </c>
      <c r="AB3543" s="110" t="s">
        <v>541</v>
      </c>
      <c r="AC3543" s="10" t="s">
        <v>541</v>
      </c>
      <c r="AD3543" s="10" t="s">
        <v>541</v>
      </c>
    </row>
    <row r="3544" spans="1:30" x14ac:dyDescent="0.2">
      <c r="A3544" s="110">
        <v>3544</v>
      </c>
      <c r="B3544" s="132">
        <v>41878</v>
      </c>
      <c r="C3544" s="117">
        <v>1</v>
      </c>
      <c r="D3544" s="103" t="s">
        <v>72</v>
      </c>
      <c r="E3544" s="142" t="s">
        <v>306</v>
      </c>
      <c r="F3544" s="103">
        <v>572</v>
      </c>
      <c r="G3544" s="103">
        <v>98</v>
      </c>
      <c r="H3544" s="103" t="s">
        <v>3686</v>
      </c>
      <c r="I3544" s="103">
        <v>42</v>
      </c>
      <c r="K3544" s="103" t="s">
        <v>1032</v>
      </c>
      <c r="L3544" s="133"/>
      <c r="M3544" s="134">
        <v>7.3611111111111113E-2</v>
      </c>
      <c r="N3544" s="135" t="s">
        <v>4492</v>
      </c>
      <c r="O3544" s="133" t="s">
        <v>376</v>
      </c>
      <c r="P3544" s="100" t="s">
        <v>4494</v>
      </c>
      <c r="Q3544" s="100" t="s">
        <v>4485</v>
      </c>
      <c r="R3544" s="227" t="s">
        <v>4500</v>
      </c>
      <c r="S3544" s="491" t="str">
        <f t="shared" si="115"/>
        <v>x</v>
      </c>
      <c r="T3544" s="492" t="str">
        <f>IFERROR(VLOOKUP(F3544,'Freq-Chan'!C:D,2,FALSE),"x")</f>
        <v>x</v>
      </c>
      <c r="U3544" s="110" t="s">
        <v>541</v>
      </c>
      <c r="V3544" s="110" t="str">
        <f t="shared" si="116"/>
        <v>FWL</v>
      </c>
      <c r="W3544" s="110" t="s">
        <v>541</v>
      </c>
      <c r="X3544" s="110" t="s">
        <v>541</v>
      </c>
      <c r="Y3544" s="110" t="str">
        <f>IFERROR(VLOOKUP(F3544,'Freq-Chan'!C:E,3,FALSE),"na")</f>
        <v>na</v>
      </c>
      <c r="Z3544" s="110" t="s">
        <v>541</v>
      </c>
      <c r="AA3544" s="110" t="s">
        <v>541</v>
      </c>
      <c r="AB3544" s="110" t="s">
        <v>541</v>
      </c>
      <c r="AC3544" s="10" t="s">
        <v>541</v>
      </c>
      <c r="AD3544" s="10" t="s">
        <v>541</v>
      </c>
    </row>
    <row r="3545" spans="1:30" s="291" customFormat="1" x14ac:dyDescent="0.2">
      <c r="A3545" s="493">
        <v>3545</v>
      </c>
      <c r="B3545" s="283">
        <v>41878</v>
      </c>
      <c r="C3545" s="284">
        <v>1</v>
      </c>
      <c r="D3545" s="396" t="s">
        <v>71</v>
      </c>
      <c r="E3545" s="396" t="s">
        <v>306</v>
      </c>
      <c r="F3545" s="285"/>
      <c r="G3545" s="285"/>
      <c r="H3545" s="285"/>
      <c r="I3545" s="285">
        <v>57</v>
      </c>
      <c r="J3545" s="285"/>
      <c r="K3545" s="396" t="s">
        <v>365</v>
      </c>
      <c r="L3545" s="286"/>
      <c r="M3545" s="287">
        <v>1.9444444444444445E-2</v>
      </c>
      <c r="N3545" s="288" t="s">
        <v>714</v>
      </c>
      <c r="O3545" s="397" t="s">
        <v>376</v>
      </c>
      <c r="P3545" s="289"/>
      <c r="Q3545" s="395" t="s">
        <v>4485</v>
      </c>
      <c r="R3545" s="290" t="s">
        <v>4500</v>
      </c>
      <c r="S3545" s="494" t="str">
        <f t="shared" si="115"/>
        <v>x</v>
      </c>
      <c r="T3545" s="495" t="str">
        <f>IFERROR(VLOOKUP(F3545,'Freq-Chan'!C:D,2,FALSE),"x")</f>
        <v>x</v>
      </c>
      <c r="U3545" s="493" t="s">
        <v>541</v>
      </c>
      <c r="V3545" s="493" t="str">
        <f t="shared" si="116"/>
        <v>FWL</v>
      </c>
      <c r="W3545" s="493" t="s">
        <v>541</v>
      </c>
      <c r="X3545" s="493" t="s">
        <v>541</v>
      </c>
      <c r="Y3545" s="493" t="str">
        <f>IFERROR(VLOOKUP(F3545,'Freq-Chan'!C:E,3,FALSE),"na")</f>
        <v>na</v>
      </c>
      <c r="Z3545" s="493" t="s">
        <v>541</v>
      </c>
      <c r="AA3545" s="493" t="s">
        <v>541</v>
      </c>
      <c r="AB3545" s="493" t="s">
        <v>541</v>
      </c>
      <c r="AC3545" s="291" t="s">
        <v>541</v>
      </c>
      <c r="AD3545" s="291" t="s">
        <v>541</v>
      </c>
    </row>
    <row r="3546" spans="1:30" x14ac:dyDescent="0.2">
      <c r="A3546" s="110">
        <v>3546</v>
      </c>
      <c r="B3546" s="132">
        <v>41878</v>
      </c>
      <c r="C3546" s="117">
        <v>2</v>
      </c>
      <c r="D3546" s="142" t="s">
        <v>71</v>
      </c>
      <c r="E3546" s="142" t="s">
        <v>306</v>
      </c>
      <c r="H3546" s="103"/>
      <c r="I3546" s="103">
        <v>60</v>
      </c>
      <c r="K3546" s="142" t="s">
        <v>365</v>
      </c>
      <c r="L3546" s="133"/>
      <c r="M3546" s="134">
        <v>1.4583333333333332E-2</v>
      </c>
      <c r="N3546" s="135" t="s">
        <v>3182</v>
      </c>
      <c r="O3546" s="144" t="s">
        <v>376</v>
      </c>
      <c r="Q3546" s="106" t="s">
        <v>4488</v>
      </c>
      <c r="R3546" s="226" t="s">
        <v>4500</v>
      </c>
      <c r="S3546" s="491" t="str">
        <f t="shared" si="115"/>
        <v>x</v>
      </c>
      <c r="T3546" s="492" t="str">
        <f>IFERROR(VLOOKUP(F3546,'Freq-Chan'!C:D,2,FALSE),"x")</f>
        <v>x</v>
      </c>
      <c r="U3546" s="110" t="s">
        <v>541</v>
      </c>
      <c r="V3546" s="110" t="str">
        <f t="shared" si="116"/>
        <v>FWL</v>
      </c>
      <c r="W3546" s="110" t="s">
        <v>541</v>
      </c>
      <c r="X3546" s="110" t="s">
        <v>541</v>
      </c>
      <c r="Y3546" s="110" t="str">
        <f>IFERROR(VLOOKUP(F3546,'Freq-Chan'!C:E,3,FALSE),"na")</f>
        <v>na</v>
      </c>
      <c r="Z3546" s="110" t="s">
        <v>541</v>
      </c>
      <c r="AA3546" s="110" t="s">
        <v>541</v>
      </c>
      <c r="AB3546" s="110" t="s">
        <v>541</v>
      </c>
      <c r="AC3546" s="10" t="s">
        <v>541</v>
      </c>
      <c r="AD3546" s="10" t="s">
        <v>541</v>
      </c>
    </row>
    <row r="3547" spans="1:30" x14ac:dyDescent="0.2">
      <c r="A3547" s="110">
        <v>3547</v>
      </c>
      <c r="B3547" s="132">
        <v>41878</v>
      </c>
      <c r="C3547" s="117">
        <v>2</v>
      </c>
      <c r="D3547" s="142" t="s">
        <v>71</v>
      </c>
      <c r="E3547" s="142" t="s">
        <v>306</v>
      </c>
      <c r="H3547" s="103"/>
      <c r="I3547" s="103">
        <v>54</v>
      </c>
      <c r="K3547" s="142" t="s">
        <v>365</v>
      </c>
      <c r="L3547" s="133"/>
      <c r="M3547" s="134">
        <v>1.9444444444444445E-2</v>
      </c>
      <c r="N3547" s="135" t="s">
        <v>4176</v>
      </c>
      <c r="O3547" s="144" t="s">
        <v>376</v>
      </c>
      <c r="P3547" s="100" t="s">
        <v>4493</v>
      </c>
      <c r="Q3547" s="106" t="s">
        <v>4488</v>
      </c>
      <c r="R3547" s="226" t="s">
        <v>4500</v>
      </c>
      <c r="S3547" s="491" t="str">
        <f t="shared" si="115"/>
        <v>x</v>
      </c>
      <c r="T3547" s="492" t="str">
        <f>IFERROR(VLOOKUP(F3547,'Freq-Chan'!C:D,2,FALSE),"x")</f>
        <v>x</v>
      </c>
      <c r="U3547" s="110" t="s">
        <v>541</v>
      </c>
      <c r="V3547" s="110" t="str">
        <f t="shared" si="116"/>
        <v>FWL</v>
      </c>
      <c r="W3547" s="110" t="s">
        <v>541</v>
      </c>
      <c r="X3547" s="110" t="s">
        <v>541</v>
      </c>
      <c r="Y3547" s="110" t="str">
        <f>IFERROR(VLOOKUP(F3547,'Freq-Chan'!C:E,3,FALSE),"na")</f>
        <v>na</v>
      </c>
      <c r="Z3547" s="110" t="s">
        <v>541</v>
      </c>
      <c r="AA3547" s="110" t="s">
        <v>541</v>
      </c>
      <c r="AB3547" s="110" t="s">
        <v>541</v>
      </c>
      <c r="AC3547" s="10" t="s">
        <v>541</v>
      </c>
      <c r="AD3547" s="10" t="s">
        <v>541</v>
      </c>
    </row>
    <row r="3548" spans="1:30" x14ac:dyDescent="0.2">
      <c r="A3548" s="110">
        <v>3548</v>
      </c>
      <c r="B3548" s="132">
        <v>41878</v>
      </c>
      <c r="C3548" s="117">
        <v>2</v>
      </c>
      <c r="D3548" s="142" t="s">
        <v>71</v>
      </c>
      <c r="E3548" s="142" t="s">
        <v>306</v>
      </c>
      <c r="H3548" s="103"/>
      <c r="I3548" s="103">
        <v>57</v>
      </c>
      <c r="K3548" s="142" t="s">
        <v>1032</v>
      </c>
      <c r="L3548" s="133"/>
      <c r="M3548" s="134">
        <v>1.8749999999999999E-2</v>
      </c>
      <c r="N3548" s="135" t="s">
        <v>4179</v>
      </c>
      <c r="O3548" s="144" t="s">
        <v>376</v>
      </c>
      <c r="Q3548" s="106" t="s">
        <v>4488</v>
      </c>
      <c r="R3548" s="226" t="s">
        <v>4500</v>
      </c>
      <c r="S3548" s="491" t="str">
        <f t="shared" si="115"/>
        <v>x</v>
      </c>
      <c r="T3548" s="492" t="str">
        <f>IFERROR(VLOOKUP(F3548,'Freq-Chan'!C:D,2,FALSE),"x")</f>
        <v>x</v>
      </c>
      <c r="U3548" s="110" t="s">
        <v>541</v>
      </c>
      <c r="V3548" s="110" t="str">
        <f t="shared" si="116"/>
        <v>FWL</v>
      </c>
      <c r="W3548" s="110" t="s">
        <v>541</v>
      </c>
      <c r="X3548" s="110" t="s">
        <v>541</v>
      </c>
      <c r="Y3548" s="110" t="str">
        <f>IFERROR(VLOOKUP(F3548,'Freq-Chan'!C:E,3,FALSE),"na")</f>
        <v>na</v>
      </c>
      <c r="Z3548" s="110" t="s">
        <v>541</v>
      </c>
      <c r="AA3548" s="110" t="s">
        <v>541</v>
      </c>
      <c r="AB3548" s="110" t="s">
        <v>541</v>
      </c>
      <c r="AC3548" s="10" t="s">
        <v>541</v>
      </c>
      <c r="AD3548" s="10" t="s">
        <v>541</v>
      </c>
    </row>
    <row r="3549" spans="1:30" s="291" customFormat="1" x14ac:dyDescent="0.2">
      <c r="A3549" s="493">
        <v>3549</v>
      </c>
      <c r="B3549" s="283">
        <v>41878</v>
      </c>
      <c r="C3549" s="284">
        <v>2</v>
      </c>
      <c r="D3549" s="396" t="s">
        <v>71</v>
      </c>
      <c r="E3549" s="396" t="s">
        <v>306</v>
      </c>
      <c r="F3549" s="285"/>
      <c r="G3549" s="285"/>
      <c r="H3549" s="285"/>
      <c r="I3549" s="285">
        <v>59</v>
      </c>
      <c r="J3549" s="285"/>
      <c r="K3549" s="396" t="s">
        <v>365</v>
      </c>
      <c r="L3549" s="286"/>
      <c r="M3549" s="287">
        <v>1.2499999999999999E-2</v>
      </c>
      <c r="N3549" s="288" t="s">
        <v>3363</v>
      </c>
      <c r="O3549" s="397" t="s">
        <v>555</v>
      </c>
      <c r="P3549" s="289"/>
      <c r="Q3549" s="395" t="s">
        <v>4486</v>
      </c>
      <c r="R3549" s="290" t="s">
        <v>4500</v>
      </c>
      <c r="S3549" s="494" t="str">
        <f t="shared" si="115"/>
        <v>x</v>
      </c>
      <c r="T3549" s="495" t="str">
        <f>IFERROR(VLOOKUP(F3549,'Freq-Chan'!C:D,2,FALSE),"x")</f>
        <v>x</v>
      </c>
      <c r="U3549" s="493" t="s">
        <v>541</v>
      </c>
      <c r="V3549" s="493" t="str">
        <f t="shared" si="116"/>
        <v>FWL</v>
      </c>
      <c r="W3549" s="493" t="s">
        <v>541</v>
      </c>
      <c r="X3549" s="493" t="s">
        <v>541</v>
      </c>
      <c r="Y3549" s="493" t="str">
        <f>IFERROR(VLOOKUP(F3549,'Freq-Chan'!C:E,3,FALSE),"na")</f>
        <v>na</v>
      </c>
      <c r="Z3549" s="493" t="s">
        <v>541</v>
      </c>
      <c r="AA3549" s="493" t="s">
        <v>541</v>
      </c>
      <c r="AB3549" s="493" t="s">
        <v>541</v>
      </c>
      <c r="AC3549" s="291" t="s">
        <v>541</v>
      </c>
      <c r="AD3549" s="291" t="s">
        <v>541</v>
      </c>
    </row>
    <row r="3550" spans="1:30" x14ac:dyDescent="0.2">
      <c r="A3550" s="110">
        <v>3550</v>
      </c>
      <c r="B3550" s="132">
        <v>41878</v>
      </c>
      <c r="C3550" s="117">
        <v>3</v>
      </c>
      <c r="D3550" s="142" t="s">
        <v>72</v>
      </c>
      <c r="E3550" s="142" t="s">
        <v>306</v>
      </c>
      <c r="F3550" s="103">
        <v>584</v>
      </c>
      <c r="G3550" s="103">
        <v>12</v>
      </c>
      <c r="H3550" s="103" t="s">
        <v>3694</v>
      </c>
      <c r="I3550" s="103">
        <v>51</v>
      </c>
      <c r="K3550" s="142" t="s">
        <v>364</v>
      </c>
      <c r="L3550" s="133"/>
      <c r="M3550" s="134">
        <v>3.6111111111111115E-2</v>
      </c>
      <c r="N3550" s="135" t="s">
        <v>3358</v>
      </c>
      <c r="O3550" s="144" t="s">
        <v>555</v>
      </c>
      <c r="P3550" s="100" t="s">
        <v>4495</v>
      </c>
      <c r="Q3550" s="106" t="s">
        <v>4489</v>
      </c>
      <c r="R3550" s="226" t="s">
        <v>4500</v>
      </c>
      <c r="S3550" s="491" t="str">
        <f t="shared" si="115"/>
        <v>x</v>
      </c>
      <c r="T3550" s="492" t="str">
        <f>IFERROR(VLOOKUP(F3550,'Freq-Chan'!C:D,2,FALSE),"x")</f>
        <v>x</v>
      </c>
      <c r="U3550" s="110" t="s">
        <v>541</v>
      </c>
      <c r="V3550" s="110" t="str">
        <f t="shared" si="116"/>
        <v>FWL</v>
      </c>
      <c r="W3550" s="110" t="s">
        <v>541</v>
      </c>
      <c r="X3550" s="110" t="s">
        <v>541</v>
      </c>
      <c r="Y3550" s="110" t="str">
        <f>IFERROR(VLOOKUP(F3550,'Freq-Chan'!C:E,3,FALSE),"na")</f>
        <v>na</v>
      </c>
      <c r="Z3550" s="110" t="s">
        <v>541</v>
      </c>
      <c r="AA3550" s="110" t="s">
        <v>541</v>
      </c>
      <c r="AB3550" s="110" t="s">
        <v>541</v>
      </c>
      <c r="AC3550" s="10" t="s">
        <v>541</v>
      </c>
      <c r="AD3550" s="10" t="s">
        <v>541</v>
      </c>
    </row>
    <row r="3551" spans="1:30" x14ac:dyDescent="0.2">
      <c r="A3551" s="110">
        <v>3551</v>
      </c>
      <c r="B3551" s="132">
        <v>41878</v>
      </c>
      <c r="C3551" s="117">
        <v>3</v>
      </c>
      <c r="D3551" s="142" t="s">
        <v>72</v>
      </c>
      <c r="E3551" s="142" t="s">
        <v>306</v>
      </c>
      <c r="F3551" s="103">
        <v>584</v>
      </c>
      <c r="G3551" s="103">
        <v>45</v>
      </c>
      <c r="H3551" s="103" t="s">
        <v>3695</v>
      </c>
      <c r="I3551" s="103">
        <v>57</v>
      </c>
      <c r="K3551" s="142" t="s">
        <v>1032</v>
      </c>
      <c r="L3551" s="133"/>
      <c r="M3551" s="134">
        <v>4.8611111111111112E-2</v>
      </c>
      <c r="N3551" s="135" t="s">
        <v>4197</v>
      </c>
      <c r="O3551" s="144" t="s">
        <v>1033</v>
      </c>
      <c r="P3551" s="100" t="s">
        <v>4496</v>
      </c>
      <c r="Q3551" s="106" t="s">
        <v>4490</v>
      </c>
      <c r="R3551" s="226" t="s">
        <v>4500</v>
      </c>
      <c r="S3551" s="491" t="str">
        <f t="shared" si="115"/>
        <v>x</v>
      </c>
      <c r="T3551" s="492" t="str">
        <f>IFERROR(VLOOKUP(F3551,'Freq-Chan'!C:D,2,FALSE),"x")</f>
        <v>x</v>
      </c>
      <c r="U3551" s="110" t="s">
        <v>541</v>
      </c>
      <c r="V3551" s="110" t="str">
        <f t="shared" si="116"/>
        <v>FWL</v>
      </c>
      <c r="W3551" s="110" t="s">
        <v>541</v>
      </c>
      <c r="X3551" s="110" t="s">
        <v>541</v>
      </c>
      <c r="Y3551" s="110" t="str">
        <f>IFERROR(VLOOKUP(F3551,'Freq-Chan'!C:E,3,FALSE),"na")</f>
        <v>na</v>
      </c>
      <c r="Z3551" s="110" t="s">
        <v>541</v>
      </c>
      <c r="AA3551" s="110" t="s">
        <v>541</v>
      </c>
      <c r="AB3551" s="110" t="s">
        <v>541</v>
      </c>
      <c r="AC3551" s="10" t="s">
        <v>541</v>
      </c>
      <c r="AD3551" s="10" t="s">
        <v>541</v>
      </c>
    </row>
    <row r="3552" spans="1:30" s="291" customFormat="1" x14ac:dyDescent="0.2">
      <c r="A3552" s="493">
        <v>3552</v>
      </c>
      <c r="B3552" s="283">
        <v>41878</v>
      </c>
      <c r="C3552" s="284">
        <v>3</v>
      </c>
      <c r="D3552" s="396" t="s">
        <v>72</v>
      </c>
      <c r="E3552" s="396" t="s">
        <v>306</v>
      </c>
      <c r="F3552" s="285">
        <v>586</v>
      </c>
      <c r="G3552" s="285">
        <v>78</v>
      </c>
      <c r="H3552" s="285" t="s">
        <v>3687</v>
      </c>
      <c r="I3552" s="285">
        <v>51</v>
      </c>
      <c r="J3552" s="285"/>
      <c r="K3552" s="396" t="s">
        <v>1032</v>
      </c>
      <c r="L3552" s="286"/>
      <c r="M3552" s="287">
        <v>5.486111111111111E-2</v>
      </c>
      <c r="N3552" s="288" t="s">
        <v>3233</v>
      </c>
      <c r="O3552" s="397" t="s">
        <v>1033</v>
      </c>
      <c r="P3552" s="289"/>
      <c r="Q3552" s="395" t="s">
        <v>4490</v>
      </c>
      <c r="R3552" s="290" t="s">
        <v>4500</v>
      </c>
      <c r="S3552" s="494" t="str">
        <f t="shared" si="115"/>
        <v>x</v>
      </c>
      <c r="T3552" s="495">
        <f>IFERROR(VLOOKUP(F3552,'Freq-Chan'!C:D,2,FALSE),"x")</f>
        <v>151.58600000000001</v>
      </c>
      <c r="U3552" s="493" t="s">
        <v>541</v>
      </c>
      <c r="V3552" s="493" t="str">
        <f t="shared" si="116"/>
        <v>FWL</v>
      </c>
      <c r="W3552" s="493" t="s">
        <v>541</v>
      </c>
      <c r="X3552" s="493" t="s">
        <v>541</v>
      </c>
      <c r="Y3552" s="493" t="str">
        <f>IFERROR(VLOOKUP(F3552,'Freq-Chan'!C:E,3,FALSE),"na")</f>
        <v>F1840</v>
      </c>
      <c r="Z3552" s="493" t="s">
        <v>541</v>
      </c>
      <c r="AA3552" s="493" t="s">
        <v>541</v>
      </c>
      <c r="AB3552" s="493" t="s">
        <v>541</v>
      </c>
      <c r="AC3552" s="291" t="s">
        <v>541</v>
      </c>
      <c r="AD3552" s="291" t="s">
        <v>541</v>
      </c>
    </row>
    <row r="3553" spans="1:30" s="314" customFormat="1" x14ac:dyDescent="0.2">
      <c r="A3553" s="499">
        <v>3553</v>
      </c>
      <c r="B3553" s="294">
        <v>41879</v>
      </c>
      <c r="C3553" s="295">
        <v>1</v>
      </c>
      <c r="D3553" s="404" t="s">
        <v>71</v>
      </c>
      <c r="E3553" s="404" t="s">
        <v>306</v>
      </c>
      <c r="F3553" s="296"/>
      <c r="G3553" s="296"/>
      <c r="H3553" s="296"/>
      <c r="I3553" s="296">
        <v>53</v>
      </c>
      <c r="J3553" s="296"/>
      <c r="K3553" s="404" t="s">
        <v>365</v>
      </c>
      <c r="L3553" s="297"/>
      <c r="M3553" s="298">
        <v>6.9444444444444441E-3</v>
      </c>
      <c r="N3553" s="299" t="s">
        <v>4504</v>
      </c>
      <c r="O3553" s="405" t="s">
        <v>1033</v>
      </c>
      <c r="P3553" s="300" t="s">
        <v>4505</v>
      </c>
      <c r="Q3553" s="406" t="s">
        <v>4500</v>
      </c>
      <c r="R3553" s="301" t="s">
        <v>4525</v>
      </c>
      <c r="S3553" s="500" t="str">
        <f t="shared" si="115"/>
        <v>x</v>
      </c>
      <c r="T3553" s="501" t="str">
        <f>IFERROR(VLOOKUP(F3553,'Freq-Chan'!C:D,2,FALSE),"x")</f>
        <v>x</v>
      </c>
      <c r="U3553" s="499" t="s">
        <v>541</v>
      </c>
      <c r="V3553" s="499" t="str">
        <f t="shared" si="116"/>
        <v>FWL</v>
      </c>
      <c r="W3553" s="499" t="s">
        <v>541</v>
      </c>
      <c r="X3553" s="499" t="s">
        <v>541</v>
      </c>
      <c r="Y3553" s="499" t="str">
        <f>IFERROR(VLOOKUP(F3553,'Freq-Chan'!C:E,3,FALSE),"na")</f>
        <v>na</v>
      </c>
      <c r="Z3553" s="499" t="s">
        <v>541</v>
      </c>
      <c r="AA3553" s="499" t="s">
        <v>541</v>
      </c>
      <c r="AB3553" s="499" t="s">
        <v>541</v>
      </c>
      <c r="AC3553" s="314" t="s">
        <v>541</v>
      </c>
      <c r="AD3553" s="314" t="s">
        <v>541</v>
      </c>
    </row>
    <row r="3554" spans="1:30" x14ac:dyDescent="0.2">
      <c r="A3554" s="110">
        <v>3554</v>
      </c>
      <c r="B3554" s="132">
        <v>41879</v>
      </c>
      <c r="C3554" s="117">
        <v>2</v>
      </c>
      <c r="D3554" s="142" t="s">
        <v>71</v>
      </c>
      <c r="E3554" s="142" t="s">
        <v>306</v>
      </c>
      <c r="H3554" s="103"/>
      <c r="I3554" s="103">
        <v>56</v>
      </c>
      <c r="K3554" s="142" t="s">
        <v>365</v>
      </c>
      <c r="L3554" s="133"/>
      <c r="M3554" s="134">
        <v>9.7222222222222224E-3</v>
      </c>
      <c r="N3554" s="135" t="s">
        <v>767</v>
      </c>
      <c r="O3554" s="144" t="s">
        <v>4418</v>
      </c>
      <c r="Q3554" s="106" t="s">
        <v>4500</v>
      </c>
      <c r="R3554" s="226" t="s">
        <v>4525</v>
      </c>
      <c r="S3554" s="491" t="str">
        <f t="shared" si="115"/>
        <v>x</v>
      </c>
      <c r="T3554" s="492" t="str">
        <f>IFERROR(VLOOKUP(F3554,'Freq-Chan'!C:D,2,FALSE),"x")</f>
        <v>x</v>
      </c>
      <c r="U3554" s="110" t="s">
        <v>541</v>
      </c>
      <c r="V3554" s="110" t="str">
        <f t="shared" si="116"/>
        <v>FWL</v>
      </c>
      <c r="W3554" s="110" t="s">
        <v>541</v>
      </c>
      <c r="X3554" s="110" t="s">
        <v>541</v>
      </c>
      <c r="Y3554" s="110" t="str">
        <f>IFERROR(VLOOKUP(F3554,'Freq-Chan'!C:E,3,FALSE),"na")</f>
        <v>na</v>
      </c>
      <c r="Z3554" s="110" t="s">
        <v>541</v>
      </c>
      <c r="AA3554" s="110" t="s">
        <v>541</v>
      </c>
      <c r="AB3554" s="110" t="s">
        <v>541</v>
      </c>
      <c r="AC3554" s="10" t="s">
        <v>541</v>
      </c>
      <c r="AD3554" s="10" t="s">
        <v>541</v>
      </c>
    </row>
    <row r="3555" spans="1:30" s="291" customFormat="1" x14ac:dyDescent="0.2">
      <c r="A3555" s="493">
        <v>3555</v>
      </c>
      <c r="B3555" s="283">
        <v>41879</v>
      </c>
      <c r="C3555" s="284">
        <v>2</v>
      </c>
      <c r="D3555" s="396" t="s">
        <v>71</v>
      </c>
      <c r="E3555" s="396" t="s">
        <v>306</v>
      </c>
      <c r="F3555" s="285"/>
      <c r="G3555" s="285"/>
      <c r="H3555" s="285"/>
      <c r="I3555" s="285">
        <v>56</v>
      </c>
      <c r="J3555" s="285"/>
      <c r="K3555" s="396" t="s">
        <v>365</v>
      </c>
      <c r="L3555" s="286"/>
      <c r="M3555" s="287">
        <v>1.3194444444444444E-2</v>
      </c>
      <c r="N3555" s="288" t="s">
        <v>3390</v>
      </c>
      <c r="O3555" s="397" t="s">
        <v>4418</v>
      </c>
      <c r="P3555" s="289"/>
      <c r="Q3555" s="395" t="s">
        <v>4500</v>
      </c>
      <c r="R3555" s="290" t="s">
        <v>4525</v>
      </c>
      <c r="S3555" s="494" t="str">
        <f t="shared" si="115"/>
        <v>x</v>
      </c>
      <c r="T3555" s="495" t="str">
        <f>IFERROR(VLOOKUP(F3555,'Freq-Chan'!C:D,2,FALSE),"x")</f>
        <v>x</v>
      </c>
      <c r="U3555" s="493" t="s">
        <v>541</v>
      </c>
      <c r="V3555" s="493" t="str">
        <f t="shared" si="116"/>
        <v>FWL</v>
      </c>
      <c r="W3555" s="493" t="s">
        <v>541</v>
      </c>
      <c r="X3555" s="493" t="s">
        <v>541</v>
      </c>
      <c r="Y3555" s="493" t="str">
        <f>IFERROR(VLOOKUP(F3555,'Freq-Chan'!C:E,3,FALSE),"na")</f>
        <v>na</v>
      </c>
      <c r="Z3555" s="493" t="s">
        <v>541</v>
      </c>
      <c r="AA3555" s="493" t="s">
        <v>541</v>
      </c>
      <c r="AB3555" s="493" t="s">
        <v>541</v>
      </c>
      <c r="AC3555" s="291" t="s">
        <v>541</v>
      </c>
      <c r="AD3555" s="291" t="s">
        <v>541</v>
      </c>
    </row>
    <row r="3556" spans="1:30" x14ac:dyDescent="0.2">
      <c r="A3556" s="110">
        <v>3556</v>
      </c>
      <c r="B3556" s="132">
        <v>41879</v>
      </c>
      <c r="C3556" s="117">
        <v>3</v>
      </c>
      <c r="D3556" s="142" t="s">
        <v>72</v>
      </c>
      <c r="E3556" s="142" t="s">
        <v>306</v>
      </c>
      <c r="H3556" s="103"/>
      <c r="I3556" s="103">
        <v>56</v>
      </c>
      <c r="K3556" s="142" t="s">
        <v>365</v>
      </c>
      <c r="L3556" s="133"/>
      <c r="M3556" s="134">
        <v>1.4583333333333332E-2</v>
      </c>
      <c r="N3556" s="135" t="s">
        <v>3475</v>
      </c>
      <c r="O3556" s="144" t="s">
        <v>555</v>
      </c>
      <c r="Q3556" s="106" t="s">
        <v>4503</v>
      </c>
      <c r="R3556" s="226" t="s">
        <v>4525</v>
      </c>
      <c r="S3556" s="491" t="str">
        <f t="shared" si="115"/>
        <v>x</v>
      </c>
      <c r="T3556" s="492" t="str">
        <f>IFERROR(VLOOKUP(F3556,'Freq-Chan'!C:D,2,FALSE),"x")</f>
        <v>x</v>
      </c>
      <c r="U3556" s="110" t="s">
        <v>541</v>
      </c>
      <c r="V3556" s="110" t="str">
        <f t="shared" si="116"/>
        <v>FWL</v>
      </c>
      <c r="W3556" s="110" t="s">
        <v>541</v>
      </c>
      <c r="X3556" s="110" t="s">
        <v>541</v>
      </c>
      <c r="Y3556" s="110" t="str">
        <f>IFERROR(VLOOKUP(F3556,'Freq-Chan'!C:E,3,FALSE),"na")</f>
        <v>na</v>
      </c>
      <c r="Z3556" s="110" t="s">
        <v>541</v>
      </c>
      <c r="AA3556" s="110" t="s">
        <v>541</v>
      </c>
      <c r="AB3556" s="110" t="s">
        <v>541</v>
      </c>
      <c r="AC3556" s="10" t="s">
        <v>541</v>
      </c>
      <c r="AD3556" s="10" t="s">
        <v>541</v>
      </c>
    </row>
    <row r="3557" spans="1:30" x14ac:dyDescent="0.2">
      <c r="A3557" s="110">
        <v>3557</v>
      </c>
      <c r="B3557" s="132">
        <v>41879</v>
      </c>
      <c r="C3557" s="117">
        <v>3</v>
      </c>
      <c r="D3557" s="142" t="s">
        <v>72</v>
      </c>
      <c r="E3557" s="142" t="s">
        <v>306</v>
      </c>
      <c r="F3557" s="103">
        <v>325</v>
      </c>
      <c r="G3557" s="103">
        <v>42</v>
      </c>
      <c r="H3557" s="103" t="s">
        <v>3698</v>
      </c>
      <c r="I3557" s="103">
        <v>64</v>
      </c>
      <c r="K3557" s="142" t="s">
        <v>1032</v>
      </c>
      <c r="L3557" s="133"/>
      <c r="M3557" s="134">
        <v>4.3055555555555562E-2</v>
      </c>
      <c r="N3557" s="135" t="s">
        <v>3984</v>
      </c>
      <c r="O3557" s="144" t="s">
        <v>555</v>
      </c>
      <c r="Q3557" s="106" t="s">
        <v>4503</v>
      </c>
      <c r="R3557" s="226" t="s">
        <v>4525</v>
      </c>
      <c r="S3557" s="491" t="str">
        <f t="shared" si="115"/>
        <v>x</v>
      </c>
      <c r="T3557" s="492">
        <f>IFERROR(VLOOKUP(F3557,'Freq-Chan'!C:D,2,FALSE),"x")</f>
        <v>151.32499999999999</v>
      </c>
      <c r="U3557" s="110" t="s">
        <v>541</v>
      </c>
      <c r="V3557" s="110" t="str">
        <f t="shared" si="116"/>
        <v>FWL</v>
      </c>
      <c r="W3557" s="110" t="s">
        <v>541</v>
      </c>
      <c r="X3557" s="110" t="s">
        <v>541</v>
      </c>
      <c r="Y3557" s="110" t="str">
        <f>IFERROR(VLOOKUP(F3557,'Freq-Chan'!C:E,3,FALSE),"na")</f>
        <v>F1840</v>
      </c>
      <c r="Z3557" s="110" t="s">
        <v>541</v>
      </c>
      <c r="AA3557" s="110" t="s">
        <v>541</v>
      </c>
      <c r="AB3557" s="110" t="s">
        <v>541</v>
      </c>
      <c r="AC3557" s="10" t="s">
        <v>541</v>
      </c>
      <c r="AD3557" s="10" t="s">
        <v>541</v>
      </c>
    </row>
    <row r="3558" spans="1:30" x14ac:dyDescent="0.2">
      <c r="A3558" s="110">
        <v>3558</v>
      </c>
      <c r="B3558" s="132">
        <v>41879</v>
      </c>
      <c r="C3558" s="117">
        <v>3</v>
      </c>
      <c r="D3558" s="142" t="s">
        <v>72</v>
      </c>
      <c r="E3558" s="142" t="s">
        <v>306</v>
      </c>
      <c r="F3558" s="103">
        <v>325</v>
      </c>
      <c r="G3558" s="103">
        <v>91</v>
      </c>
      <c r="H3558" s="103" t="s">
        <v>3699</v>
      </c>
      <c r="I3558" s="103">
        <v>58</v>
      </c>
      <c r="K3558" s="142" t="s">
        <v>1032</v>
      </c>
      <c r="L3558" s="133"/>
      <c r="M3558" s="134">
        <v>3.9583333333333331E-2</v>
      </c>
      <c r="N3558" s="135" t="s">
        <v>2746</v>
      </c>
      <c r="O3558" s="144" t="s">
        <v>1033</v>
      </c>
      <c r="Q3558" s="106" t="s">
        <v>4500</v>
      </c>
      <c r="R3558" s="226" t="s">
        <v>4525</v>
      </c>
      <c r="S3558" s="491" t="str">
        <f t="shared" si="115"/>
        <v>x</v>
      </c>
      <c r="T3558" s="492">
        <f>IFERROR(VLOOKUP(F3558,'Freq-Chan'!C:D,2,FALSE),"x")</f>
        <v>151.32499999999999</v>
      </c>
      <c r="U3558" s="110" t="s">
        <v>541</v>
      </c>
      <c r="V3558" s="110" t="str">
        <f t="shared" si="116"/>
        <v>FWL</v>
      </c>
      <c r="W3558" s="110" t="s">
        <v>541</v>
      </c>
      <c r="X3558" s="110" t="s">
        <v>541</v>
      </c>
      <c r="Y3558" s="110" t="str">
        <f>IFERROR(VLOOKUP(F3558,'Freq-Chan'!C:E,3,FALSE),"na")</f>
        <v>F1840</v>
      </c>
      <c r="Z3558" s="110" t="s">
        <v>541</v>
      </c>
      <c r="AA3558" s="110" t="s">
        <v>541</v>
      </c>
      <c r="AB3558" s="110" t="s">
        <v>541</v>
      </c>
      <c r="AC3558" s="10" t="s">
        <v>541</v>
      </c>
      <c r="AD3558" s="10" t="s">
        <v>541</v>
      </c>
    </row>
    <row r="3559" spans="1:30" s="291" customFormat="1" x14ac:dyDescent="0.2">
      <c r="A3559" s="493">
        <v>3559</v>
      </c>
      <c r="B3559" s="283">
        <v>41879</v>
      </c>
      <c r="C3559" s="284">
        <v>3</v>
      </c>
      <c r="D3559" s="396" t="s">
        <v>72</v>
      </c>
      <c r="E3559" s="396" t="s">
        <v>306</v>
      </c>
      <c r="F3559" s="285"/>
      <c r="G3559" s="285"/>
      <c r="H3559" s="285"/>
      <c r="I3559" s="285">
        <v>51</v>
      </c>
      <c r="J3559" s="285"/>
      <c r="K3559" s="396" t="s">
        <v>1032</v>
      </c>
      <c r="L3559" s="286"/>
      <c r="M3559" s="287">
        <v>1.2499999999999999E-2</v>
      </c>
      <c r="N3559" s="288" t="s">
        <v>4045</v>
      </c>
      <c r="O3559" s="397" t="s">
        <v>1033</v>
      </c>
      <c r="P3559" s="289"/>
      <c r="Q3559" s="395" t="s">
        <v>4500</v>
      </c>
      <c r="R3559" s="290" t="s">
        <v>4525</v>
      </c>
      <c r="S3559" s="494" t="str">
        <f t="shared" si="115"/>
        <v>x</v>
      </c>
      <c r="T3559" s="495" t="str">
        <f>IFERROR(VLOOKUP(F3559,'Freq-Chan'!C:D,2,FALSE),"x")</f>
        <v>x</v>
      </c>
      <c r="U3559" s="493" t="s">
        <v>541</v>
      </c>
      <c r="V3559" s="493" t="str">
        <f t="shared" si="116"/>
        <v>FWL</v>
      </c>
      <c r="W3559" s="493" t="s">
        <v>541</v>
      </c>
      <c r="X3559" s="493" t="s">
        <v>541</v>
      </c>
      <c r="Y3559" s="493" t="str">
        <f>IFERROR(VLOOKUP(F3559,'Freq-Chan'!C:E,3,FALSE),"na")</f>
        <v>na</v>
      </c>
      <c r="Z3559" s="493" t="s">
        <v>541</v>
      </c>
      <c r="AA3559" s="493" t="s">
        <v>541</v>
      </c>
      <c r="AB3559" s="493" t="s">
        <v>541</v>
      </c>
      <c r="AC3559" s="291" t="s">
        <v>541</v>
      </c>
      <c r="AD3559" s="291" t="s">
        <v>541</v>
      </c>
    </row>
    <row r="3560" spans="1:30" x14ac:dyDescent="0.2">
      <c r="A3560" s="110">
        <v>3560</v>
      </c>
      <c r="B3560" s="132">
        <v>41880</v>
      </c>
      <c r="C3560" s="117">
        <v>1</v>
      </c>
      <c r="D3560" s="142" t="s">
        <v>71</v>
      </c>
      <c r="E3560" s="142" t="s">
        <v>306</v>
      </c>
      <c r="H3560" s="103"/>
      <c r="I3560" s="103">
        <v>52</v>
      </c>
      <c r="K3560" s="142" t="s">
        <v>365</v>
      </c>
      <c r="L3560" s="133"/>
      <c r="M3560" s="134">
        <v>1.1111111111111112E-2</v>
      </c>
      <c r="N3560" s="135" t="s">
        <v>1798</v>
      </c>
      <c r="O3560" s="144" t="s">
        <v>1033</v>
      </c>
      <c r="P3560" s="100" t="s">
        <v>4518</v>
      </c>
      <c r="Q3560" s="106" t="s">
        <v>4507</v>
      </c>
      <c r="R3560" s="226" t="s">
        <v>4525</v>
      </c>
      <c r="S3560" s="491" t="str">
        <f t="shared" si="115"/>
        <v>x</v>
      </c>
      <c r="T3560" s="492" t="str">
        <f>IFERROR(VLOOKUP(F3560,'Freq-Chan'!C:D,2,FALSE),"x")</f>
        <v>x</v>
      </c>
      <c r="U3560" s="110" t="s">
        <v>541</v>
      </c>
      <c r="V3560" s="110" t="str">
        <f t="shared" si="116"/>
        <v>FWL</v>
      </c>
      <c r="W3560" s="110" t="s">
        <v>541</v>
      </c>
      <c r="X3560" s="110" t="s">
        <v>541</v>
      </c>
      <c r="Y3560" s="110" t="str">
        <f>IFERROR(VLOOKUP(F3560,'Freq-Chan'!C:E,3,FALSE),"na")</f>
        <v>na</v>
      </c>
      <c r="Z3560" s="110" t="s">
        <v>541</v>
      </c>
      <c r="AA3560" s="110" t="s">
        <v>541</v>
      </c>
      <c r="AB3560" s="110" t="s">
        <v>541</v>
      </c>
      <c r="AC3560" s="10" t="s">
        <v>541</v>
      </c>
      <c r="AD3560" s="10" t="s">
        <v>541</v>
      </c>
    </row>
    <row r="3561" spans="1:30" x14ac:dyDescent="0.2">
      <c r="A3561" s="110">
        <v>3561</v>
      </c>
      <c r="B3561" s="132">
        <v>41880</v>
      </c>
      <c r="C3561" s="117">
        <v>1</v>
      </c>
      <c r="D3561" s="142" t="s">
        <v>72</v>
      </c>
      <c r="E3561" s="142" t="s">
        <v>306</v>
      </c>
      <c r="F3561" s="103">
        <v>917</v>
      </c>
      <c r="G3561" s="103">
        <v>81</v>
      </c>
      <c r="H3561" s="142" t="s">
        <v>3696</v>
      </c>
      <c r="I3561" s="103">
        <v>54</v>
      </c>
      <c r="K3561" s="142" t="s">
        <v>365</v>
      </c>
      <c r="L3561" s="133"/>
      <c r="M3561" s="134">
        <v>3.1944444444444449E-2</v>
      </c>
      <c r="N3561" s="143" t="s">
        <v>3755</v>
      </c>
      <c r="O3561" s="144" t="s">
        <v>3932</v>
      </c>
      <c r="Q3561" s="106" t="s">
        <v>4507</v>
      </c>
      <c r="R3561" s="226" t="s">
        <v>4525</v>
      </c>
      <c r="S3561" s="491" t="str">
        <f t="shared" si="115"/>
        <v>x</v>
      </c>
      <c r="T3561" s="492">
        <f>IFERROR(VLOOKUP(F3561,'Freq-Chan'!C:D,2,FALSE),"x")</f>
        <v>151.917</v>
      </c>
      <c r="U3561" s="110" t="s">
        <v>541</v>
      </c>
      <c r="V3561" s="110" t="str">
        <f t="shared" si="116"/>
        <v>FWL</v>
      </c>
      <c r="W3561" s="110" t="s">
        <v>541</v>
      </c>
      <c r="X3561" s="110" t="s">
        <v>541</v>
      </c>
      <c r="Y3561" s="110" t="str">
        <f>IFERROR(VLOOKUP(F3561,'Freq-Chan'!C:E,3,FALSE),"na")</f>
        <v>F1835</v>
      </c>
      <c r="Z3561" s="110" t="s">
        <v>541</v>
      </c>
      <c r="AA3561" s="110" t="s">
        <v>541</v>
      </c>
      <c r="AB3561" s="110" t="s">
        <v>541</v>
      </c>
      <c r="AC3561" s="10" t="s">
        <v>541</v>
      </c>
      <c r="AD3561" s="10" t="s">
        <v>541</v>
      </c>
    </row>
    <row r="3562" spans="1:30" x14ac:dyDescent="0.2">
      <c r="A3562" s="110">
        <v>3562</v>
      </c>
      <c r="B3562" s="132">
        <v>41880</v>
      </c>
      <c r="C3562" s="117">
        <v>1</v>
      </c>
      <c r="D3562" s="142" t="s">
        <v>71</v>
      </c>
      <c r="E3562" s="142" t="s">
        <v>306</v>
      </c>
      <c r="H3562" s="103"/>
      <c r="I3562" s="103">
        <v>54</v>
      </c>
      <c r="K3562" s="142" t="s">
        <v>1032</v>
      </c>
      <c r="L3562" s="133"/>
      <c r="M3562" s="134">
        <v>1.4583333333333332E-2</v>
      </c>
      <c r="N3562" s="135" t="s">
        <v>3339</v>
      </c>
      <c r="O3562" s="144" t="s">
        <v>3932</v>
      </c>
      <c r="Q3562" s="106" t="s">
        <v>4507</v>
      </c>
      <c r="R3562" s="226" t="s">
        <v>4525</v>
      </c>
      <c r="S3562" s="491" t="str">
        <f t="shared" si="115"/>
        <v>x</v>
      </c>
      <c r="T3562" s="492" t="str">
        <f>IFERROR(VLOOKUP(F3562,'Freq-Chan'!C:D,2,FALSE),"x")</f>
        <v>x</v>
      </c>
      <c r="U3562" s="110" t="s">
        <v>541</v>
      </c>
      <c r="V3562" s="110" t="str">
        <f t="shared" si="116"/>
        <v>FWL</v>
      </c>
      <c r="W3562" s="110" t="s">
        <v>541</v>
      </c>
      <c r="X3562" s="110" t="s">
        <v>541</v>
      </c>
      <c r="Y3562" s="110" t="str">
        <f>IFERROR(VLOOKUP(F3562,'Freq-Chan'!C:E,3,FALSE),"na")</f>
        <v>na</v>
      </c>
      <c r="Z3562" s="110" t="s">
        <v>541</v>
      </c>
      <c r="AA3562" s="110" t="s">
        <v>541</v>
      </c>
      <c r="AB3562" s="110" t="s">
        <v>541</v>
      </c>
      <c r="AC3562" s="10" t="s">
        <v>541</v>
      </c>
      <c r="AD3562" s="10" t="s">
        <v>541</v>
      </c>
    </row>
    <row r="3563" spans="1:30" x14ac:dyDescent="0.2">
      <c r="A3563" s="110">
        <v>3563</v>
      </c>
      <c r="B3563" s="132">
        <v>41880</v>
      </c>
      <c r="C3563" s="117">
        <v>1</v>
      </c>
      <c r="D3563" s="142" t="s">
        <v>70</v>
      </c>
      <c r="E3563" s="142" t="s">
        <v>306</v>
      </c>
      <c r="F3563" s="103">
        <v>917</v>
      </c>
      <c r="G3563" s="103">
        <v>70</v>
      </c>
      <c r="H3563" s="103" t="s">
        <v>3047</v>
      </c>
      <c r="I3563" s="103">
        <v>44</v>
      </c>
      <c r="K3563" s="142" t="s">
        <v>1032</v>
      </c>
      <c r="L3563" s="133"/>
      <c r="M3563" s="134">
        <v>5.7638888888888885E-2</v>
      </c>
      <c r="N3563" s="135" t="s">
        <v>774</v>
      </c>
      <c r="O3563" s="144" t="s">
        <v>4519</v>
      </c>
      <c r="P3563" s="100" t="s">
        <v>4526</v>
      </c>
      <c r="Q3563" s="106" t="s">
        <v>4510</v>
      </c>
      <c r="R3563" s="226" t="s">
        <v>4525</v>
      </c>
      <c r="S3563" s="491" t="str">
        <f t="shared" si="115"/>
        <v>x</v>
      </c>
      <c r="T3563" s="492">
        <f>IFERROR(VLOOKUP(F3563,'Freq-Chan'!C:D,2,FALSE),"x")</f>
        <v>151.917</v>
      </c>
      <c r="U3563" s="110" t="s">
        <v>541</v>
      </c>
      <c r="V3563" s="110" t="str">
        <f t="shared" si="116"/>
        <v>FWL</v>
      </c>
      <c r="W3563" s="110" t="s">
        <v>541</v>
      </c>
      <c r="X3563" s="110" t="s">
        <v>541</v>
      </c>
      <c r="Y3563" s="110" t="str">
        <f>IFERROR(VLOOKUP(F3563,'Freq-Chan'!C:E,3,FALSE),"na")</f>
        <v>F1835</v>
      </c>
      <c r="Z3563" s="110" t="s">
        <v>541</v>
      </c>
      <c r="AA3563" s="110" t="s">
        <v>541</v>
      </c>
      <c r="AB3563" s="110" t="s">
        <v>541</v>
      </c>
      <c r="AC3563" s="10" t="s">
        <v>541</v>
      </c>
      <c r="AD3563" s="10" t="s">
        <v>541</v>
      </c>
    </row>
    <row r="3564" spans="1:30" s="291" customFormat="1" x14ac:dyDescent="0.2">
      <c r="A3564" s="493">
        <v>3564</v>
      </c>
      <c r="B3564" s="283">
        <v>41880</v>
      </c>
      <c r="C3564" s="284">
        <v>1</v>
      </c>
      <c r="D3564" s="396" t="s">
        <v>71</v>
      </c>
      <c r="E3564" s="396" t="s">
        <v>306</v>
      </c>
      <c r="F3564" s="285"/>
      <c r="G3564" s="285"/>
      <c r="H3564" s="396"/>
      <c r="I3564" s="285">
        <v>58</v>
      </c>
      <c r="J3564" s="285"/>
      <c r="K3564" s="396" t="s">
        <v>1032</v>
      </c>
      <c r="L3564" s="286"/>
      <c r="M3564" s="287">
        <v>1.7361111111111112E-2</v>
      </c>
      <c r="N3564" s="398" t="s">
        <v>4520</v>
      </c>
      <c r="O3564" s="397" t="s">
        <v>4519</v>
      </c>
      <c r="P3564" s="289"/>
      <c r="Q3564" s="395" t="s">
        <v>4510</v>
      </c>
      <c r="R3564" s="290" t="s">
        <v>4525</v>
      </c>
      <c r="S3564" s="494" t="str">
        <f t="shared" si="115"/>
        <v>x</v>
      </c>
      <c r="T3564" s="495" t="str">
        <f>IFERROR(VLOOKUP(F3564,'Freq-Chan'!C:D,2,FALSE),"x")</f>
        <v>x</v>
      </c>
      <c r="U3564" s="493" t="s">
        <v>541</v>
      </c>
      <c r="V3564" s="493" t="str">
        <f t="shared" si="116"/>
        <v>FWL</v>
      </c>
      <c r="W3564" s="493" t="s">
        <v>541</v>
      </c>
      <c r="X3564" s="493" t="s">
        <v>541</v>
      </c>
      <c r="Y3564" s="493" t="str">
        <f>IFERROR(VLOOKUP(F3564,'Freq-Chan'!C:E,3,FALSE),"na")</f>
        <v>na</v>
      </c>
      <c r="Z3564" s="493" t="s">
        <v>541</v>
      </c>
      <c r="AA3564" s="493" t="s">
        <v>541</v>
      </c>
      <c r="AB3564" s="493" t="s">
        <v>541</v>
      </c>
      <c r="AC3564" s="291" t="s">
        <v>541</v>
      </c>
      <c r="AD3564" s="291" t="s">
        <v>541</v>
      </c>
    </row>
    <row r="3565" spans="1:30" x14ac:dyDescent="0.2">
      <c r="A3565" s="110">
        <v>3565</v>
      </c>
      <c r="B3565" s="132">
        <v>41880</v>
      </c>
      <c r="C3565" s="117">
        <v>2</v>
      </c>
      <c r="D3565" s="142" t="s">
        <v>71</v>
      </c>
      <c r="E3565" s="142" t="s">
        <v>306</v>
      </c>
      <c r="H3565" s="103"/>
      <c r="I3565" s="103">
        <v>60</v>
      </c>
      <c r="K3565" s="142" t="s">
        <v>365</v>
      </c>
      <c r="L3565" s="133"/>
      <c r="M3565" s="134">
        <v>1.2499999999999999E-2</v>
      </c>
      <c r="N3565" s="135" t="s">
        <v>3429</v>
      </c>
      <c r="O3565" s="144" t="s">
        <v>1033</v>
      </c>
      <c r="Q3565" s="106" t="s">
        <v>4507</v>
      </c>
      <c r="R3565" s="226" t="s">
        <v>4525</v>
      </c>
      <c r="S3565" s="491" t="str">
        <f t="shared" si="115"/>
        <v>x</v>
      </c>
      <c r="T3565" s="492" t="str">
        <f>IFERROR(VLOOKUP(F3565,'Freq-Chan'!C:D,2,FALSE),"x")</f>
        <v>x</v>
      </c>
      <c r="U3565" s="110" t="s">
        <v>541</v>
      </c>
      <c r="V3565" s="110" t="str">
        <f t="shared" si="116"/>
        <v>FWL</v>
      </c>
      <c r="W3565" s="110" t="s">
        <v>541</v>
      </c>
      <c r="X3565" s="110" t="s">
        <v>541</v>
      </c>
      <c r="Y3565" s="110" t="str">
        <f>IFERROR(VLOOKUP(F3565,'Freq-Chan'!C:E,3,FALSE),"na")</f>
        <v>na</v>
      </c>
      <c r="Z3565" s="110" t="s">
        <v>541</v>
      </c>
      <c r="AA3565" s="110" t="s">
        <v>541</v>
      </c>
      <c r="AB3565" s="110" t="s">
        <v>541</v>
      </c>
      <c r="AC3565" s="10" t="s">
        <v>541</v>
      </c>
      <c r="AD3565" s="10" t="s">
        <v>541</v>
      </c>
    </row>
    <row r="3566" spans="1:30" x14ac:dyDescent="0.2">
      <c r="A3566" s="110">
        <v>3566</v>
      </c>
      <c r="B3566" s="132">
        <v>41880</v>
      </c>
      <c r="C3566" s="117">
        <v>2</v>
      </c>
      <c r="D3566" s="142" t="s">
        <v>71</v>
      </c>
      <c r="E3566" s="142" t="s">
        <v>306</v>
      </c>
      <c r="H3566" s="103"/>
      <c r="I3566" s="103">
        <v>58</v>
      </c>
      <c r="K3566" s="142" t="s">
        <v>1032</v>
      </c>
      <c r="L3566" s="133"/>
      <c r="M3566" s="134">
        <v>1.3194444444444444E-2</v>
      </c>
      <c r="N3566" s="135" t="s">
        <v>4083</v>
      </c>
      <c r="O3566" s="144" t="s">
        <v>1033</v>
      </c>
      <c r="Q3566" s="106" t="s">
        <v>4507</v>
      </c>
      <c r="R3566" s="226" t="s">
        <v>4525</v>
      </c>
      <c r="S3566" s="491" t="str">
        <f t="shared" si="115"/>
        <v>x</v>
      </c>
      <c r="T3566" s="492" t="str">
        <f>IFERROR(VLOOKUP(F3566,'Freq-Chan'!C:D,2,FALSE),"x")</f>
        <v>x</v>
      </c>
      <c r="U3566" s="110" t="s">
        <v>541</v>
      </c>
      <c r="V3566" s="110" t="str">
        <f t="shared" si="116"/>
        <v>FWL</v>
      </c>
      <c r="W3566" s="110" t="s">
        <v>541</v>
      </c>
      <c r="X3566" s="110" t="s">
        <v>541</v>
      </c>
      <c r="Y3566" s="110" t="str">
        <f>IFERROR(VLOOKUP(F3566,'Freq-Chan'!C:E,3,FALSE),"na")</f>
        <v>na</v>
      </c>
      <c r="Z3566" s="110" t="s">
        <v>541</v>
      </c>
      <c r="AA3566" s="110" t="s">
        <v>541</v>
      </c>
      <c r="AB3566" s="110" t="s">
        <v>541</v>
      </c>
      <c r="AC3566" s="10" t="s">
        <v>541</v>
      </c>
      <c r="AD3566" s="10" t="s">
        <v>541</v>
      </c>
    </row>
    <row r="3567" spans="1:30" x14ac:dyDescent="0.2">
      <c r="A3567" s="110">
        <v>3567</v>
      </c>
      <c r="B3567" s="132">
        <v>41880</v>
      </c>
      <c r="C3567" s="117">
        <v>2</v>
      </c>
      <c r="D3567" s="142" t="s">
        <v>71</v>
      </c>
      <c r="E3567" s="142" t="s">
        <v>306</v>
      </c>
      <c r="H3567" s="103"/>
      <c r="I3567" s="103">
        <v>52</v>
      </c>
      <c r="K3567" s="142" t="s">
        <v>1032</v>
      </c>
      <c r="L3567" s="133"/>
      <c r="M3567" s="134">
        <v>1.4583333333333332E-2</v>
      </c>
      <c r="N3567" s="135" t="s">
        <v>4083</v>
      </c>
      <c r="O3567" s="144" t="s">
        <v>1033</v>
      </c>
      <c r="Q3567" s="106" t="s">
        <v>4507</v>
      </c>
      <c r="R3567" s="226" t="s">
        <v>4525</v>
      </c>
      <c r="S3567" s="491" t="str">
        <f t="shared" si="115"/>
        <v>x</v>
      </c>
      <c r="T3567" s="492" t="str">
        <f>IFERROR(VLOOKUP(F3567,'Freq-Chan'!C:D,2,FALSE),"x")</f>
        <v>x</v>
      </c>
      <c r="U3567" s="110" t="s">
        <v>541</v>
      </c>
      <c r="V3567" s="110" t="str">
        <f t="shared" si="116"/>
        <v>FWL</v>
      </c>
      <c r="W3567" s="110" t="s">
        <v>541</v>
      </c>
      <c r="X3567" s="110" t="s">
        <v>541</v>
      </c>
      <c r="Y3567" s="110" t="str">
        <f>IFERROR(VLOOKUP(F3567,'Freq-Chan'!C:E,3,FALSE),"na")</f>
        <v>na</v>
      </c>
      <c r="Z3567" s="110" t="s">
        <v>541</v>
      </c>
      <c r="AA3567" s="110" t="s">
        <v>541</v>
      </c>
      <c r="AB3567" s="110" t="s">
        <v>541</v>
      </c>
      <c r="AC3567" s="10" t="s">
        <v>541</v>
      </c>
      <c r="AD3567" s="10" t="s">
        <v>541</v>
      </c>
    </row>
    <row r="3568" spans="1:30" x14ac:dyDescent="0.2">
      <c r="A3568" s="110">
        <v>3568</v>
      </c>
      <c r="B3568" s="132">
        <v>41880</v>
      </c>
      <c r="C3568" s="117">
        <v>2</v>
      </c>
      <c r="D3568" s="142" t="s">
        <v>71</v>
      </c>
      <c r="E3568" s="142" t="s">
        <v>306</v>
      </c>
      <c r="H3568" s="103"/>
      <c r="I3568" s="103">
        <v>58</v>
      </c>
      <c r="K3568" s="142" t="s">
        <v>365</v>
      </c>
      <c r="L3568" s="133"/>
      <c r="M3568" s="134">
        <v>1.3194444444444444E-2</v>
      </c>
      <c r="N3568" s="135" t="s">
        <v>4521</v>
      </c>
      <c r="O3568" s="144" t="s">
        <v>1585</v>
      </c>
      <c r="Q3568" s="106" t="s">
        <v>4510</v>
      </c>
      <c r="R3568" s="226" t="s">
        <v>4525</v>
      </c>
      <c r="S3568" s="491" t="str">
        <f t="shared" si="115"/>
        <v>x</v>
      </c>
      <c r="T3568" s="492" t="str">
        <f>IFERROR(VLOOKUP(F3568,'Freq-Chan'!C:D,2,FALSE),"x")</f>
        <v>x</v>
      </c>
      <c r="U3568" s="110" t="s">
        <v>541</v>
      </c>
      <c r="V3568" s="110" t="str">
        <f t="shared" si="116"/>
        <v>FWL</v>
      </c>
      <c r="W3568" s="110" t="s">
        <v>541</v>
      </c>
      <c r="X3568" s="110" t="s">
        <v>541</v>
      </c>
      <c r="Y3568" s="110" t="str">
        <f>IFERROR(VLOOKUP(F3568,'Freq-Chan'!C:E,3,FALSE),"na")</f>
        <v>na</v>
      </c>
      <c r="Z3568" s="110" t="s">
        <v>541</v>
      </c>
      <c r="AA3568" s="110" t="s">
        <v>541</v>
      </c>
      <c r="AB3568" s="110" t="s">
        <v>541</v>
      </c>
      <c r="AC3568" s="10" t="s">
        <v>541</v>
      </c>
      <c r="AD3568" s="10" t="s">
        <v>541</v>
      </c>
    </row>
    <row r="3569" spans="1:30" x14ac:dyDescent="0.2">
      <c r="A3569" s="110">
        <v>3569</v>
      </c>
      <c r="B3569" s="132">
        <v>41880</v>
      </c>
      <c r="C3569" s="117">
        <v>2</v>
      </c>
      <c r="D3569" s="142" t="s">
        <v>71</v>
      </c>
      <c r="E3569" s="142" t="s">
        <v>306</v>
      </c>
      <c r="H3569" s="103"/>
      <c r="I3569" s="103">
        <v>52</v>
      </c>
      <c r="K3569" s="142" t="s">
        <v>1032</v>
      </c>
      <c r="L3569" s="133"/>
      <c r="M3569" s="134">
        <v>1.5277777777777777E-2</v>
      </c>
      <c r="N3569" s="135" t="s">
        <v>4522</v>
      </c>
      <c r="O3569" s="144" t="s">
        <v>4519</v>
      </c>
      <c r="Q3569" s="106" t="s">
        <v>4510</v>
      </c>
      <c r="R3569" s="226" t="s">
        <v>4525</v>
      </c>
      <c r="S3569" s="491" t="str">
        <f t="shared" si="115"/>
        <v>x</v>
      </c>
      <c r="T3569" s="492" t="str">
        <f>IFERROR(VLOOKUP(F3569,'Freq-Chan'!C:D,2,FALSE),"x")</f>
        <v>x</v>
      </c>
      <c r="U3569" s="110" t="s">
        <v>541</v>
      </c>
      <c r="V3569" s="110" t="str">
        <f t="shared" si="116"/>
        <v>FWL</v>
      </c>
      <c r="W3569" s="110" t="s">
        <v>541</v>
      </c>
      <c r="X3569" s="110" t="s">
        <v>541</v>
      </c>
      <c r="Y3569" s="110" t="str">
        <f>IFERROR(VLOOKUP(F3569,'Freq-Chan'!C:E,3,FALSE),"na")</f>
        <v>na</v>
      </c>
      <c r="Z3569" s="110" t="s">
        <v>541</v>
      </c>
      <c r="AA3569" s="110" t="s">
        <v>541</v>
      </c>
      <c r="AB3569" s="110" t="s">
        <v>541</v>
      </c>
      <c r="AC3569" s="10" t="s">
        <v>541</v>
      </c>
      <c r="AD3569" s="10" t="s">
        <v>541</v>
      </c>
    </row>
    <row r="3570" spans="1:30" x14ac:dyDescent="0.2">
      <c r="A3570" s="110">
        <v>3570</v>
      </c>
      <c r="B3570" s="132">
        <v>41880</v>
      </c>
      <c r="C3570" s="117">
        <v>2</v>
      </c>
      <c r="D3570" s="142" t="s">
        <v>71</v>
      </c>
      <c r="E3570" s="142" t="s">
        <v>306</v>
      </c>
      <c r="H3570" s="103"/>
      <c r="I3570" s="103">
        <v>54</v>
      </c>
      <c r="K3570" s="142" t="s">
        <v>1032</v>
      </c>
      <c r="L3570" s="133"/>
      <c r="M3570" s="134">
        <v>1.5972222222222224E-2</v>
      </c>
      <c r="N3570" s="135" t="s">
        <v>1853</v>
      </c>
      <c r="O3570" s="144" t="s">
        <v>4519</v>
      </c>
      <c r="Q3570" s="106" t="s">
        <v>4510</v>
      </c>
      <c r="R3570" s="226" t="s">
        <v>4525</v>
      </c>
      <c r="S3570" s="491" t="str">
        <f t="shared" ref="S3570:S3629" si="117">IF(IF(OR(L3570=0,N3570=0),"x",ROUND(N3570-L3570-(M3570*24)/(24*60),10))&lt;0,0,IF(OR(L3570=0,N3570=0),"x",ROUND(N3570-L3570-(M3570*24)/(24*60),10)))</f>
        <v>x</v>
      </c>
      <c r="T3570" s="492" t="str">
        <f>IFERROR(VLOOKUP(F3570,'Freq-Chan'!C:D,2,FALSE),"x")</f>
        <v>x</v>
      </c>
      <c r="U3570" s="110" t="s">
        <v>541</v>
      </c>
      <c r="V3570" s="110" t="str">
        <f t="shared" ref="V3570:V3629" si="118">IF(OR(C3570=1,C3570=2,C3570=3),"FWL","NRD")</f>
        <v>FWL</v>
      </c>
      <c r="W3570" s="110" t="s">
        <v>541</v>
      </c>
      <c r="X3570" s="110" t="s">
        <v>541</v>
      </c>
      <c r="Y3570" s="110" t="str">
        <f>IFERROR(VLOOKUP(F3570,'Freq-Chan'!C:E,3,FALSE),"na")</f>
        <v>na</v>
      </c>
      <c r="Z3570" s="110" t="s">
        <v>541</v>
      </c>
      <c r="AA3570" s="110" t="s">
        <v>541</v>
      </c>
      <c r="AB3570" s="110" t="s">
        <v>541</v>
      </c>
      <c r="AC3570" s="10" t="s">
        <v>541</v>
      </c>
      <c r="AD3570" s="10" t="s">
        <v>541</v>
      </c>
    </row>
    <row r="3571" spans="1:30" s="291" customFormat="1" x14ac:dyDescent="0.2">
      <c r="A3571" s="493">
        <v>3571</v>
      </c>
      <c r="B3571" s="283">
        <v>41880</v>
      </c>
      <c r="C3571" s="284">
        <v>2</v>
      </c>
      <c r="D3571" s="396" t="s">
        <v>71</v>
      </c>
      <c r="E3571" s="396" t="s">
        <v>306</v>
      </c>
      <c r="F3571" s="285"/>
      <c r="G3571" s="285"/>
      <c r="H3571" s="285"/>
      <c r="I3571" s="285">
        <v>47</v>
      </c>
      <c r="J3571" s="285"/>
      <c r="K3571" s="396" t="s">
        <v>365</v>
      </c>
      <c r="L3571" s="286"/>
      <c r="M3571" s="287">
        <v>1.3194444444444444E-2</v>
      </c>
      <c r="N3571" s="288" t="s">
        <v>4523</v>
      </c>
      <c r="O3571" s="397" t="s">
        <v>4519</v>
      </c>
      <c r="P3571" s="289"/>
      <c r="Q3571" s="395" t="s">
        <v>4510</v>
      </c>
      <c r="R3571" s="290" t="s">
        <v>4525</v>
      </c>
      <c r="S3571" s="494" t="str">
        <f t="shared" si="117"/>
        <v>x</v>
      </c>
      <c r="T3571" s="495" t="str">
        <f>IFERROR(VLOOKUP(F3571,'Freq-Chan'!C:D,2,FALSE),"x")</f>
        <v>x</v>
      </c>
      <c r="U3571" s="493" t="s">
        <v>541</v>
      </c>
      <c r="V3571" s="493" t="str">
        <f t="shared" si="118"/>
        <v>FWL</v>
      </c>
      <c r="W3571" s="493" t="s">
        <v>541</v>
      </c>
      <c r="X3571" s="493" t="s">
        <v>541</v>
      </c>
      <c r="Y3571" s="493" t="str">
        <f>IFERROR(VLOOKUP(F3571,'Freq-Chan'!C:E,3,FALSE),"na")</f>
        <v>na</v>
      </c>
      <c r="Z3571" s="493" t="s">
        <v>541</v>
      </c>
      <c r="AA3571" s="493" t="s">
        <v>541</v>
      </c>
      <c r="AB3571" s="493" t="s">
        <v>541</v>
      </c>
      <c r="AC3571" s="291" t="s">
        <v>541</v>
      </c>
      <c r="AD3571" s="291" t="s">
        <v>541</v>
      </c>
    </row>
    <row r="3572" spans="1:30" x14ac:dyDescent="0.2">
      <c r="A3572" s="110">
        <v>3572</v>
      </c>
      <c r="B3572" s="132">
        <v>41880</v>
      </c>
      <c r="C3572" s="117">
        <v>3</v>
      </c>
      <c r="D3572" s="142" t="s">
        <v>71</v>
      </c>
      <c r="E3572" s="142" t="s">
        <v>306</v>
      </c>
      <c r="H3572" s="103"/>
      <c r="I3572" s="103">
        <v>54</v>
      </c>
      <c r="K3572" s="142" t="s">
        <v>365</v>
      </c>
      <c r="L3572" s="133"/>
      <c r="M3572" s="134">
        <v>1.3194444444444444E-2</v>
      </c>
      <c r="N3572" s="135" t="s">
        <v>1830</v>
      </c>
      <c r="O3572" s="144" t="s">
        <v>1033</v>
      </c>
      <c r="Q3572" s="106" t="s">
        <v>4524</v>
      </c>
      <c r="R3572" s="226" t="s">
        <v>4525</v>
      </c>
      <c r="S3572" s="491" t="str">
        <f t="shared" si="117"/>
        <v>x</v>
      </c>
      <c r="T3572" s="492" t="str">
        <f>IFERROR(VLOOKUP(F3572,'Freq-Chan'!C:D,2,FALSE),"x")</f>
        <v>x</v>
      </c>
      <c r="U3572" s="110" t="s">
        <v>541</v>
      </c>
      <c r="V3572" s="110" t="str">
        <f t="shared" si="118"/>
        <v>FWL</v>
      </c>
      <c r="W3572" s="110" t="s">
        <v>541</v>
      </c>
      <c r="X3572" s="110" t="s">
        <v>541</v>
      </c>
      <c r="Y3572" s="110" t="str">
        <f>IFERROR(VLOOKUP(F3572,'Freq-Chan'!C:E,3,FALSE),"na")</f>
        <v>na</v>
      </c>
      <c r="Z3572" s="110" t="s">
        <v>541</v>
      </c>
      <c r="AA3572" s="110" t="s">
        <v>541</v>
      </c>
      <c r="AB3572" s="110" t="s">
        <v>541</v>
      </c>
      <c r="AC3572" s="10" t="s">
        <v>541</v>
      </c>
      <c r="AD3572" s="10" t="s">
        <v>541</v>
      </c>
    </row>
    <row r="3573" spans="1:30" x14ac:dyDescent="0.2">
      <c r="A3573" s="110">
        <v>3573</v>
      </c>
      <c r="B3573" s="132">
        <v>41880</v>
      </c>
      <c r="C3573" s="117">
        <v>3</v>
      </c>
      <c r="D3573" s="142" t="s">
        <v>71</v>
      </c>
      <c r="E3573" s="142" t="s">
        <v>306</v>
      </c>
      <c r="H3573" s="103"/>
      <c r="I3573" s="103">
        <v>55</v>
      </c>
      <c r="K3573" s="142" t="s">
        <v>1032</v>
      </c>
      <c r="L3573" s="133"/>
      <c r="M3573" s="134">
        <v>1.3888888888888888E-2</v>
      </c>
      <c r="N3573" s="135" t="s">
        <v>843</v>
      </c>
      <c r="O3573" s="144" t="s">
        <v>1033</v>
      </c>
      <c r="Q3573" s="106" t="s">
        <v>4524</v>
      </c>
      <c r="R3573" s="226" t="s">
        <v>4525</v>
      </c>
      <c r="S3573" s="491" t="str">
        <f t="shared" si="117"/>
        <v>x</v>
      </c>
      <c r="T3573" s="492" t="str">
        <f>IFERROR(VLOOKUP(F3573,'Freq-Chan'!C:D,2,FALSE),"x")</f>
        <v>x</v>
      </c>
      <c r="U3573" s="110" t="s">
        <v>541</v>
      </c>
      <c r="V3573" s="110" t="str">
        <f t="shared" si="118"/>
        <v>FWL</v>
      </c>
      <c r="W3573" s="110" t="s">
        <v>541</v>
      </c>
      <c r="X3573" s="110" t="s">
        <v>541</v>
      </c>
      <c r="Y3573" s="110" t="str">
        <f>IFERROR(VLOOKUP(F3573,'Freq-Chan'!C:E,3,FALSE),"na")</f>
        <v>na</v>
      </c>
      <c r="Z3573" s="110" t="s">
        <v>541</v>
      </c>
      <c r="AA3573" s="110" t="s">
        <v>541</v>
      </c>
      <c r="AB3573" s="110" t="s">
        <v>541</v>
      </c>
      <c r="AC3573" s="10" t="s">
        <v>541</v>
      </c>
      <c r="AD3573" s="10" t="s">
        <v>541</v>
      </c>
    </row>
    <row r="3574" spans="1:30" x14ac:dyDescent="0.2">
      <c r="A3574" s="110">
        <v>3574</v>
      </c>
      <c r="B3574" s="132">
        <v>41880</v>
      </c>
      <c r="C3574" s="117">
        <v>3</v>
      </c>
      <c r="D3574" s="142" t="s">
        <v>8</v>
      </c>
      <c r="E3574" s="142" t="s">
        <v>0</v>
      </c>
      <c r="H3574" s="103"/>
      <c r="I3574" s="103">
        <v>39</v>
      </c>
      <c r="K3574" s="142" t="s">
        <v>1032</v>
      </c>
      <c r="L3574" s="133"/>
      <c r="M3574" s="134">
        <v>2.9166666666666664E-2</v>
      </c>
      <c r="N3574" s="135" t="s">
        <v>847</v>
      </c>
      <c r="O3574" s="144" t="s">
        <v>3932</v>
      </c>
      <c r="Q3574" s="106" t="s">
        <v>4507</v>
      </c>
      <c r="R3574" s="226" t="s">
        <v>4525</v>
      </c>
      <c r="S3574" s="491" t="str">
        <f t="shared" si="117"/>
        <v>x</v>
      </c>
      <c r="T3574" s="492" t="str">
        <f>IFERROR(VLOOKUP(F3574,'Freq-Chan'!C:D,2,FALSE),"x")</f>
        <v>x</v>
      </c>
      <c r="U3574" s="110" t="s">
        <v>541</v>
      </c>
      <c r="V3574" s="110" t="str">
        <f t="shared" si="118"/>
        <v>FWL</v>
      </c>
      <c r="W3574" s="110" t="s">
        <v>541</v>
      </c>
      <c r="X3574" s="110" t="s">
        <v>541</v>
      </c>
      <c r="Y3574" s="110" t="str">
        <f>IFERROR(VLOOKUP(F3574,'Freq-Chan'!C:E,3,FALSE),"na")</f>
        <v>na</v>
      </c>
      <c r="Z3574" s="110" t="s">
        <v>541</v>
      </c>
      <c r="AA3574" s="110" t="s">
        <v>541</v>
      </c>
      <c r="AB3574" s="110" t="s">
        <v>541</v>
      </c>
      <c r="AC3574" s="10" t="s">
        <v>541</v>
      </c>
      <c r="AD3574" s="10" t="s">
        <v>541</v>
      </c>
    </row>
    <row r="3575" spans="1:30" x14ac:dyDescent="0.2">
      <c r="A3575" s="110">
        <v>3575</v>
      </c>
      <c r="B3575" s="132">
        <v>41880</v>
      </c>
      <c r="C3575" s="117">
        <v>3</v>
      </c>
      <c r="D3575" s="142" t="s">
        <v>71</v>
      </c>
      <c r="E3575" s="142" t="s">
        <v>306</v>
      </c>
      <c r="H3575" s="142"/>
      <c r="I3575" s="103">
        <v>51</v>
      </c>
      <c r="K3575" s="142" t="s">
        <v>365</v>
      </c>
      <c r="L3575" s="133"/>
      <c r="M3575" s="134">
        <v>1.8055555555555557E-2</v>
      </c>
      <c r="N3575" s="143" t="s">
        <v>3835</v>
      </c>
      <c r="O3575" s="144" t="s">
        <v>3932</v>
      </c>
      <c r="Q3575" s="106" t="s">
        <v>4507</v>
      </c>
      <c r="R3575" s="226" t="s">
        <v>4525</v>
      </c>
      <c r="S3575" s="491" t="str">
        <f t="shared" si="117"/>
        <v>x</v>
      </c>
      <c r="T3575" s="492" t="str">
        <f>IFERROR(VLOOKUP(F3575,'Freq-Chan'!C:D,2,FALSE),"x")</f>
        <v>x</v>
      </c>
      <c r="U3575" s="110" t="s">
        <v>541</v>
      </c>
      <c r="V3575" s="110" t="str">
        <f t="shared" si="118"/>
        <v>FWL</v>
      </c>
      <c r="W3575" s="110" t="s">
        <v>541</v>
      </c>
      <c r="X3575" s="110" t="s">
        <v>541</v>
      </c>
      <c r="Y3575" s="110" t="str">
        <f>IFERROR(VLOOKUP(F3575,'Freq-Chan'!C:E,3,FALSE),"na")</f>
        <v>na</v>
      </c>
      <c r="Z3575" s="110" t="s">
        <v>541</v>
      </c>
      <c r="AA3575" s="110" t="s">
        <v>541</v>
      </c>
      <c r="AB3575" s="110" t="s">
        <v>541</v>
      </c>
      <c r="AC3575" s="10" t="s">
        <v>541</v>
      </c>
      <c r="AD3575" s="10" t="s">
        <v>541</v>
      </c>
    </row>
    <row r="3576" spans="1:30" x14ac:dyDescent="0.2">
      <c r="A3576" s="110">
        <v>3576</v>
      </c>
      <c r="B3576" s="132">
        <v>41880</v>
      </c>
      <c r="C3576" s="117">
        <v>3</v>
      </c>
      <c r="D3576" s="142" t="s">
        <v>72</v>
      </c>
      <c r="E3576" s="142" t="s">
        <v>306</v>
      </c>
      <c r="F3576" s="103">
        <v>917</v>
      </c>
      <c r="G3576" s="103">
        <v>89</v>
      </c>
      <c r="H3576" s="103" t="s">
        <v>3697</v>
      </c>
      <c r="I3576" s="103">
        <v>50</v>
      </c>
      <c r="K3576" s="142" t="s">
        <v>365</v>
      </c>
      <c r="L3576" s="133"/>
      <c r="M3576" s="134">
        <v>3.2638888888888891E-2</v>
      </c>
      <c r="N3576" s="135" t="s">
        <v>1687</v>
      </c>
      <c r="O3576" s="144" t="s">
        <v>555</v>
      </c>
      <c r="Q3576" s="106" t="s">
        <v>4507</v>
      </c>
      <c r="R3576" s="226" t="s">
        <v>4525</v>
      </c>
      <c r="S3576" s="491" t="str">
        <f t="shared" si="117"/>
        <v>x</v>
      </c>
      <c r="T3576" s="492">
        <f>IFERROR(VLOOKUP(F3576,'Freq-Chan'!C:D,2,FALSE),"x")</f>
        <v>151.917</v>
      </c>
      <c r="U3576" s="110" t="s">
        <v>541</v>
      </c>
      <c r="V3576" s="110" t="str">
        <f t="shared" si="118"/>
        <v>FWL</v>
      </c>
      <c r="W3576" s="110" t="s">
        <v>541</v>
      </c>
      <c r="X3576" s="110" t="s">
        <v>541</v>
      </c>
      <c r="Y3576" s="110" t="str">
        <f>IFERROR(VLOOKUP(F3576,'Freq-Chan'!C:E,3,FALSE),"na")</f>
        <v>F1835</v>
      </c>
      <c r="Z3576" s="110" t="s">
        <v>541</v>
      </c>
      <c r="AA3576" s="110" t="s">
        <v>541</v>
      </c>
      <c r="AB3576" s="110" t="s">
        <v>541</v>
      </c>
      <c r="AC3576" s="10" t="s">
        <v>541</v>
      </c>
      <c r="AD3576" s="10" t="s">
        <v>541</v>
      </c>
    </row>
    <row r="3577" spans="1:30" x14ac:dyDescent="0.2">
      <c r="A3577" s="110">
        <v>3577</v>
      </c>
      <c r="B3577" s="132">
        <v>41880</v>
      </c>
      <c r="C3577" s="117">
        <v>3</v>
      </c>
      <c r="D3577" s="142" t="s">
        <v>72</v>
      </c>
      <c r="E3577" s="142" t="s">
        <v>306</v>
      </c>
      <c r="F3577" s="103">
        <v>917</v>
      </c>
      <c r="G3577" s="103">
        <v>3</v>
      </c>
      <c r="H3577" s="103"/>
      <c r="I3577" s="103">
        <v>56</v>
      </c>
      <c r="K3577" s="142" t="s">
        <v>365</v>
      </c>
      <c r="L3577" s="133"/>
      <c r="M3577" s="134">
        <v>4.3750000000000004E-2</v>
      </c>
      <c r="N3577" s="135" t="s">
        <v>3435</v>
      </c>
      <c r="O3577" s="144" t="s">
        <v>4519</v>
      </c>
      <c r="Q3577" s="106" t="s">
        <v>4510</v>
      </c>
      <c r="R3577" s="226" t="s">
        <v>4525</v>
      </c>
      <c r="S3577" s="491" t="str">
        <f t="shared" si="117"/>
        <v>x</v>
      </c>
      <c r="T3577" s="492">
        <f>IFERROR(VLOOKUP(F3577,'Freq-Chan'!C:D,2,FALSE),"x")</f>
        <v>151.917</v>
      </c>
      <c r="U3577" s="110" t="s">
        <v>541</v>
      </c>
      <c r="V3577" s="110" t="str">
        <f t="shared" si="118"/>
        <v>FWL</v>
      </c>
      <c r="W3577" s="110" t="s">
        <v>541</v>
      </c>
      <c r="X3577" s="110" t="s">
        <v>541</v>
      </c>
      <c r="Y3577" s="110" t="str">
        <f>IFERROR(VLOOKUP(F3577,'Freq-Chan'!C:E,3,FALSE),"na")</f>
        <v>F1835</v>
      </c>
      <c r="Z3577" s="110" t="s">
        <v>541</v>
      </c>
      <c r="AA3577" s="110" t="s">
        <v>541</v>
      </c>
      <c r="AB3577" s="110" t="s">
        <v>541</v>
      </c>
      <c r="AC3577" s="10" t="s">
        <v>541</v>
      </c>
      <c r="AD3577" s="10" t="s">
        <v>541</v>
      </c>
    </row>
    <row r="3578" spans="1:30" x14ac:dyDescent="0.2">
      <c r="A3578" s="110">
        <v>3578</v>
      </c>
      <c r="B3578" s="132">
        <v>41880</v>
      </c>
      <c r="C3578" s="117">
        <v>3</v>
      </c>
      <c r="D3578" s="142" t="s">
        <v>72</v>
      </c>
      <c r="E3578" s="142" t="s">
        <v>306</v>
      </c>
      <c r="F3578" s="103">
        <v>917</v>
      </c>
      <c r="G3578" s="103">
        <v>97</v>
      </c>
      <c r="H3578" s="103"/>
      <c r="I3578" s="103">
        <v>57</v>
      </c>
      <c r="K3578" s="142" t="s">
        <v>1032</v>
      </c>
      <c r="L3578" s="133"/>
      <c r="M3578" s="134">
        <v>3.9583333333333331E-2</v>
      </c>
      <c r="N3578" s="135" t="s">
        <v>3436</v>
      </c>
      <c r="O3578" s="144" t="s">
        <v>4519</v>
      </c>
      <c r="Q3578" s="106" t="s">
        <v>4510</v>
      </c>
      <c r="R3578" s="226" t="s">
        <v>4525</v>
      </c>
      <c r="S3578" s="491" t="str">
        <f t="shared" si="117"/>
        <v>x</v>
      </c>
      <c r="T3578" s="492">
        <f>IFERROR(VLOOKUP(F3578,'Freq-Chan'!C:D,2,FALSE),"x")</f>
        <v>151.917</v>
      </c>
      <c r="U3578" s="110" t="s">
        <v>541</v>
      </c>
      <c r="V3578" s="110" t="str">
        <f t="shared" si="118"/>
        <v>FWL</v>
      </c>
      <c r="W3578" s="110" t="s">
        <v>541</v>
      </c>
      <c r="X3578" s="110" t="s">
        <v>541</v>
      </c>
      <c r="Y3578" s="110" t="str">
        <f>IFERROR(VLOOKUP(F3578,'Freq-Chan'!C:E,3,FALSE),"na")</f>
        <v>F1835</v>
      </c>
      <c r="Z3578" s="110" t="s">
        <v>541</v>
      </c>
      <c r="AA3578" s="110" t="s">
        <v>541</v>
      </c>
      <c r="AB3578" s="110" t="s">
        <v>541</v>
      </c>
      <c r="AC3578" s="10" t="s">
        <v>541</v>
      </c>
      <c r="AD3578" s="10" t="s">
        <v>541</v>
      </c>
    </row>
    <row r="3579" spans="1:30" s="291" customFormat="1" x14ac:dyDescent="0.2">
      <c r="A3579" s="493">
        <v>3579</v>
      </c>
      <c r="B3579" s="283">
        <v>41880</v>
      </c>
      <c r="C3579" s="284">
        <v>3</v>
      </c>
      <c r="D3579" s="396" t="s">
        <v>88</v>
      </c>
      <c r="E3579" s="396" t="s">
        <v>798</v>
      </c>
      <c r="F3579" s="285"/>
      <c r="G3579" s="285"/>
      <c r="H3579" s="285"/>
      <c r="I3579" s="285"/>
      <c r="J3579" s="285">
        <v>16</v>
      </c>
      <c r="K3579" s="396" t="s">
        <v>364</v>
      </c>
      <c r="L3579" s="286"/>
      <c r="M3579" s="287">
        <v>1.6666666666666666E-2</v>
      </c>
      <c r="N3579" s="288" t="s">
        <v>4127</v>
      </c>
      <c r="O3579" s="397" t="s">
        <v>4519</v>
      </c>
      <c r="P3579" s="289"/>
      <c r="Q3579" s="395" t="s">
        <v>4510</v>
      </c>
      <c r="R3579" s="290" t="s">
        <v>4525</v>
      </c>
      <c r="S3579" s="494" t="str">
        <f t="shared" si="117"/>
        <v>x</v>
      </c>
      <c r="T3579" s="495" t="str">
        <f>IFERROR(VLOOKUP(F3579,'Freq-Chan'!C:D,2,FALSE),"x")</f>
        <v>x</v>
      </c>
      <c r="U3579" s="493" t="s">
        <v>541</v>
      </c>
      <c r="V3579" s="493" t="str">
        <f t="shared" si="118"/>
        <v>FWL</v>
      </c>
      <c r="W3579" s="493" t="s">
        <v>541</v>
      </c>
      <c r="X3579" s="493" t="s">
        <v>541</v>
      </c>
      <c r="Y3579" s="493" t="str">
        <f>IFERROR(VLOOKUP(F3579,'Freq-Chan'!C:E,3,FALSE),"na")</f>
        <v>na</v>
      </c>
      <c r="Z3579" s="493" t="s">
        <v>541</v>
      </c>
      <c r="AA3579" s="493" t="s">
        <v>541</v>
      </c>
      <c r="AB3579" s="493" t="s">
        <v>541</v>
      </c>
      <c r="AC3579" s="291" t="s">
        <v>541</v>
      </c>
      <c r="AD3579" s="291" t="s">
        <v>541</v>
      </c>
    </row>
    <row r="3580" spans="1:30" x14ac:dyDescent="0.2">
      <c r="A3580" s="110">
        <v>3580</v>
      </c>
      <c r="B3580" s="132">
        <v>41881</v>
      </c>
      <c r="C3580" s="117">
        <v>1</v>
      </c>
      <c r="D3580" s="142" t="s">
        <v>71</v>
      </c>
      <c r="E3580" s="142" t="s">
        <v>306</v>
      </c>
      <c r="H3580" s="103"/>
      <c r="I3580" s="103">
        <v>53</v>
      </c>
      <c r="K3580" s="142" t="s">
        <v>1032</v>
      </c>
      <c r="L3580" s="133"/>
      <c r="M3580" s="134">
        <v>2.7083333333333334E-2</v>
      </c>
      <c r="N3580" s="135" t="s">
        <v>2588</v>
      </c>
      <c r="O3580" s="144" t="s">
        <v>4418</v>
      </c>
      <c r="Q3580" s="106" t="s">
        <v>4532</v>
      </c>
      <c r="R3580" s="226" t="s">
        <v>4537</v>
      </c>
      <c r="S3580" s="491" t="str">
        <f t="shared" si="117"/>
        <v>x</v>
      </c>
      <c r="T3580" s="492" t="str">
        <f>IFERROR(VLOOKUP(F3580,'Freq-Chan'!C:D,2,FALSE),"x")</f>
        <v>x</v>
      </c>
      <c r="U3580" s="110" t="s">
        <v>541</v>
      </c>
      <c r="V3580" s="110" t="str">
        <f t="shared" si="118"/>
        <v>FWL</v>
      </c>
      <c r="W3580" s="110" t="s">
        <v>541</v>
      </c>
      <c r="X3580" s="110" t="s">
        <v>541</v>
      </c>
      <c r="Y3580" s="110" t="str">
        <f>IFERROR(VLOOKUP(F3580,'Freq-Chan'!C:E,3,FALSE),"na")</f>
        <v>na</v>
      </c>
      <c r="Z3580" s="110" t="s">
        <v>541</v>
      </c>
      <c r="AA3580" s="110" t="s">
        <v>541</v>
      </c>
      <c r="AB3580" s="110" t="s">
        <v>541</v>
      </c>
      <c r="AC3580" s="10" t="s">
        <v>541</v>
      </c>
      <c r="AD3580" s="10" t="s">
        <v>541</v>
      </c>
    </row>
    <row r="3581" spans="1:30" x14ac:dyDescent="0.2">
      <c r="A3581" s="110">
        <v>3581</v>
      </c>
      <c r="B3581" s="132">
        <v>41881</v>
      </c>
      <c r="C3581" s="117">
        <v>1</v>
      </c>
      <c r="D3581" s="142" t="s">
        <v>72</v>
      </c>
      <c r="E3581" s="142" t="s">
        <v>306</v>
      </c>
      <c r="F3581" s="103">
        <v>917</v>
      </c>
      <c r="G3581" s="103">
        <v>99</v>
      </c>
      <c r="H3581" s="103"/>
      <c r="I3581" s="103">
        <v>52</v>
      </c>
      <c r="K3581" s="142" t="s">
        <v>1032</v>
      </c>
      <c r="L3581" s="133"/>
      <c r="M3581" s="134">
        <v>4.7916666666666663E-2</v>
      </c>
      <c r="N3581" s="135" t="s">
        <v>3498</v>
      </c>
      <c r="O3581" s="144" t="s">
        <v>4418</v>
      </c>
      <c r="Q3581" s="106" t="s">
        <v>4532</v>
      </c>
      <c r="R3581" s="226" t="s">
        <v>4537</v>
      </c>
      <c r="S3581" s="491" t="str">
        <f t="shared" si="117"/>
        <v>x</v>
      </c>
      <c r="T3581" s="492">
        <f>IFERROR(VLOOKUP(F3581,'Freq-Chan'!C:D,2,FALSE),"x")</f>
        <v>151.917</v>
      </c>
      <c r="U3581" s="110" t="s">
        <v>541</v>
      </c>
      <c r="V3581" s="110" t="str">
        <f t="shared" si="118"/>
        <v>FWL</v>
      </c>
      <c r="W3581" s="110" t="s">
        <v>541</v>
      </c>
      <c r="X3581" s="110" t="s">
        <v>541</v>
      </c>
      <c r="Y3581" s="110" t="str">
        <f>IFERROR(VLOOKUP(F3581,'Freq-Chan'!C:E,3,FALSE),"na")</f>
        <v>F1835</v>
      </c>
      <c r="Z3581" s="110" t="s">
        <v>541</v>
      </c>
      <c r="AA3581" s="110" t="s">
        <v>541</v>
      </c>
      <c r="AB3581" s="110" t="s">
        <v>541</v>
      </c>
      <c r="AC3581" s="10" t="s">
        <v>541</v>
      </c>
      <c r="AD3581" s="10" t="s">
        <v>541</v>
      </c>
    </row>
    <row r="3582" spans="1:30" x14ac:dyDescent="0.2">
      <c r="A3582" s="110">
        <v>3582</v>
      </c>
      <c r="B3582" s="132">
        <v>41881</v>
      </c>
      <c r="C3582" s="117">
        <v>1</v>
      </c>
      <c r="D3582" s="142" t="s">
        <v>71</v>
      </c>
      <c r="E3582" s="142" t="s">
        <v>306</v>
      </c>
      <c r="H3582" s="103"/>
      <c r="I3582" s="103">
        <v>56</v>
      </c>
      <c r="K3582" s="142" t="s">
        <v>365</v>
      </c>
      <c r="L3582" s="133"/>
      <c r="M3582" s="134">
        <v>1.3194444444444444E-2</v>
      </c>
      <c r="N3582" s="135" t="s">
        <v>2052</v>
      </c>
      <c r="O3582" s="144" t="s">
        <v>4418</v>
      </c>
      <c r="P3582" s="106"/>
      <c r="Q3582" s="106" t="s">
        <v>4532</v>
      </c>
      <c r="R3582" s="226" t="s">
        <v>4537</v>
      </c>
      <c r="S3582" s="491" t="str">
        <f t="shared" si="117"/>
        <v>x</v>
      </c>
      <c r="T3582" s="492" t="str">
        <f>IFERROR(VLOOKUP(F3582,'Freq-Chan'!C:D,2,FALSE),"x")</f>
        <v>x</v>
      </c>
      <c r="U3582" s="110" t="s">
        <v>541</v>
      </c>
      <c r="V3582" s="110" t="str">
        <f t="shared" si="118"/>
        <v>FWL</v>
      </c>
      <c r="W3582" s="110" t="s">
        <v>541</v>
      </c>
      <c r="X3582" s="110" t="s">
        <v>541</v>
      </c>
      <c r="Y3582" s="110" t="str">
        <f>IFERROR(VLOOKUP(F3582,'Freq-Chan'!C:E,3,FALSE),"na")</f>
        <v>na</v>
      </c>
      <c r="Z3582" s="110" t="s">
        <v>541</v>
      </c>
      <c r="AA3582" s="110" t="s">
        <v>541</v>
      </c>
      <c r="AB3582" s="110" t="s">
        <v>541</v>
      </c>
      <c r="AC3582" s="10" t="s">
        <v>541</v>
      </c>
      <c r="AD3582" s="10" t="s">
        <v>541</v>
      </c>
    </row>
    <row r="3583" spans="1:30" x14ac:dyDescent="0.2">
      <c r="A3583" s="110">
        <v>3583</v>
      </c>
      <c r="B3583" s="132">
        <v>41881</v>
      </c>
      <c r="C3583" s="117">
        <v>1</v>
      </c>
      <c r="D3583" s="142" t="s">
        <v>72</v>
      </c>
      <c r="E3583" s="142" t="s">
        <v>306</v>
      </c>
      <c r="F3583" s="103">
        <v>917</v>
      </c>
      <c r="G3583" s="103">
        <v>73</v>
      </c>
      <c r="H3583" s="103"/>
      <c r="I3583" s="103">
        <v>57</v>
      </c>
      <c r="K3583" s="142" t="s">
        <v>1032</v>
      </c>
      <c r="L3583" s="133"/>
      <c r="M3583" s="134">
        <v>4.2361111111111106E-2</v>
      </c>
      <c r="N3583" s="135" t="s">
        <v>3947</v>
      </c>
      <c r="O3583" s="144" t="s">
        <v>1585</v>
      </c>
      <c r="Q3583" s="106" t="s">
        <v>4532</v>
      </c>
      <c r="R3583" s="226" t="s">
        <v>4537</v>
      </c>
      <c r="S3583" s="491" t="str">
        <f t="shared" si="117"/>
        <v>x</v>
      </c>
      <c r="T3583" s="492">
        <f>IFERROR(VLOOKUP(F3583,'Freq-Chan'!C:D,2,FALSE),"x")</f>
        <v>151.917</v>
      </c>
      <c r="U3583" s="110" t="s">
        <v>541</v>
      </c>
      <c r="V3583" s="110" t="str">
        <f t="shared" si="118"/>
        <v>FWL</v>
      </c>
      <c r="W3583" s="110" t="s">
        <v>541</v>
      </c>
      <c r="X3583" s="110" t="s">
        <v>541</v>
      </c>
      <c r="Y3583" s="110" t="str">
        <f>IFERROR(VLOOKUP(F3583,'Freq-Chan'!C:E,3,FALSE),"na")</f>
        <v>F1835</v>
      </c>
      <c r="Z3583" s="110" t="s">
        <v>541</v>
      </c>
      <c r="AA3583" s="110" t="s">
        <v>541</v>
      </c>
      <c r="AB3583" s="110" t="s">
        <v>541</v>
      </c>
      <c r="AC3583" s="10" t="s">
        <v>541</v>
      </c>
      <c r="AD3583" s="10" t="s">
        <v>541</v>
      </c>
    </row>
    <row r="3584" spans="1:30" x14ac:dyDescent="0.2">
      <c r="A3584" s="110">
        <v>3584</v>
      </c>
      <c r="B3584" s="132">
        <v>41881</v>
      </c>
      <c r="C3584" s="117">
        <v>1</v>
      </c>
      <c r="D3584" s="142" t="s">
        <v>71</v>
      </c>
      <c r="E3584" s="142" t="s">
        <v>306</v>
      </c>
      <c r="H3584" s="103"/>
      <c r="I3584" s="103">
        <v>51</v>
      </c>
      <c r="K3584" s="142" t="s">
        <v>1032</v>
      </c>
      <c r="L3584" s="133"/>
      <c r="M3584" s="134">
        <v>1.5972222222222224E-2</v>
      </c>
      <c r="N3584" s="135" t="s">
        <v>2846</v>
      </c>
      <c r="O3584" s="144" t="s">
        <v>1585</v>
      </c>
      <c r="Q3584" s="106" t="s">
        <v>4532</v>
      </c>
      <c r="R3584" s="226" t="s">
        <v>4537</v>
      </c>
      <c r="S3584" s="491" t="str">
        <f t="shared" si="117"/>
        <v>x</v>
      </c>
      <c r="T3584" s="492" t="str">
        <f>IFERROR(VLOOKUP(F3584,'Freq-Chan'!C:D,2,FALSE),"x")</f>
        <v>x</v>
      </c>
      <c r="U3584" s="110" t="s">
        <v>541</v>
      </c>
      <c r="V3584" s="110" t="str">
        <f t="shared" si="118"/>
        <v>FWL</v>
      </c>
      <c r="W3584" s="110" t="s">
        <v>541</v>
      </c>
      <c r="X3584" s="110" t="s">
        <v>541</v>
      </c>
      <c r="Y3584" s="110" t="str">
        <f>IFERROR(VLOOKUP(F3584,'Freq-Chan'!C:E,3,FALSE),"na")</f>
        <v>na</v>
      </c>
      <c r="Z3584" s="110" t="s">
        <v>541</v>
      </c>
      <c r="AA3584" s="110" t="s">
        <v>541</v>
      </c>
      <c r="AB3584" s="110" t="s">
        <v>541</v>
      </c>
      <c r="AC3584" s="10" t="s">
        <v>541</v>
      </c>
      <c r="AD3584" s="10" t="s">
        <v>541</v>
      </c>
    </row>
    <row r="3585" spans="1:30" x14ac:dyDescent="0.2">
      <c r="A3585" s="110">
        <v>3585</v>
      </c>
      <c r="B3585" s="132">
        <v>41881</v>
      </c>
      <c r="C3585" s="117">
        <v>1</v>
      </c>
      <c r="D3585" s="142" t="s">
        <v>8</v>
      </c>
      <c r="E3585" s="142" t="s">
        <v>306</v>
      </c>
      <c r="F3585" s="103">
        <v>586</v>
      </c>
      <c r="G3585" s="103">
        <v>96</v>
      </c>
      <c r="H3585" s="103" t="s">
        <v>2290</v>
      </c>
      <c r="I3585" s="103">
        <v>44</v>
      </c>
      <c r="K3585" s="142" t="s">
        <v>1032</v>
      </c>
      <c r="L3585" s="133"/>
      <c r="M3585" s="134">
        <v>4.2361111111111106E-2</v>
      </c>
      <c r="N3585" s="135" t="s">
        <v>4433</v>
      </c>
      <c r="O3585" s="144" t="s">
        <v>1585</v>
      </c>
      <c r="Q3585" s="106" t="s">
        <v>4532</v>
      </c>
      <c r="R3585" s="226" t="s">
        <v>4537</v>
      </c>
      <c r="S3585" s="491" t="str">
        <f t="shared" si="117"/>
        <v>x</v>
      </c>
      <c r="T3585" s="492">
        <f>IFERROR(VLOOKUP(F3585,'Freq-Chan'!C:D,2,FALSE),"x")</f>
        <v>151.58600000000001</v>
      </c>
      <c r="U3585" s="110" t="s">
        <v>541</v>
      </c>
      <c r="V3585" s="110" t="str">
        <f t="shared" si="118"/>
        <v>FWL</v>
      </c>
      <c r="W3585" s="110" t="s">
        <v>541</v>
      </c>
      <c r="X3585" s="110" t="s">
        <v>541</v>
      </c>
      <c r="Y3585" s="110" t="str">
        <f>IFERROR(VLOOKUP(F3585,'Freq-Chan'!C:E,3,FALSE),"na")</f>
        <v>F1840</v>
      </c>
      <c r="Z3585" s="110" t="s">
        <v>541</v>
      </c>
      <c r="AA3585" s="110" t="s">
        <v>541</v>
      </c>
      <c r="AB3585" s="110" t="s">
        <v>541</v>
      </c>
      <c r="AC3585" s="10" t="s">
        <v>541</v>
      </c>
      <c r="AD3585" s="10" t="s">
        <v>541</v>
      </c>
    </row>
    <row r="3586" spans="1:30" x14ac:dyDescent="0.2">
      <c r="A3586" s="110">
        <v>3586</v>
      </c>
      <c r="B3586" s="132">
        <v>41881</v>
      </c>
      <c r="C3586" s="117">
        <v>1</v>
      </c>
      <c r="D3586" s="142" t="s">
        <v>70</v>
      </c>
      <c r="E3586" s="142" t="s">
        <v>306</v>
      </c>
      <c r="H3586" s="103"/>
      <c r="I3586" s="103">
        <v>48</v>
      </c>
      <c r="K3586" s="142" t="s">
        <v>1032</v>
      </c>
      <c r="L3586" s="133"/>
      <c r="M3586" s="134">
        <v>1.5277777777777777E-2</v>
      </c>
      <c r="N3586" s="135" t="s">
        <v>4448</v>
      </c>
      <c r="O3586" s="144" t="s">
        <v>1585</v>
      </c>
      <c r="Q3586" s="106" t="s">
        <v>4532</v>
      </c>
      <c r="R3586" s="106" t="s">
        <v>4537</v>
      </c>
      <c r="S3586" s="491" t="str">
        <f t="shared" si="117"/>
        <v>x</v>
      </c>
      <c r="T3586" s="492" t="str">
        <f>IFERROR(VLOOKUP(F3586,'Freq-Chan'!C:D,2,FALSE),"x")</f>
        <v>x</v>
      </c>
      <c r="U3586" s="110" t="s">
        <v>541</v>
      </c>
      <c r="V3586" s="110" t="str">
        <f t="shared" si="118"/>
        <v>FWL</v>
      </c>
      <c r="W3586" s="110" t="s">
        <v>541</v>
      </c>
      <c r="X3586" s="110" t="s">
        <v>541</v>
      </c>
      <c r="Y3586" s="110" t="str">
        <f>IFERROR(VLOOKUP(F3586,'Freq-Chan'!C:E,3,FALSE),"na")</f>
        <v>na</v>
      </c>
      <c r="Z3586" s="110" t="s">
        <v>541</v>
      </c>
      <c r="AA3586" s="110" t="s">
        <v>541</v>
      </c>
      <c r="AB3586" s="110" t="s">
        <v>541</v>
      </c>
      <c r="AC3586" s="10" t="s">
        <v>541</v>
      </c>
      <c r="AD3586" s="10" t="s">
        <v>541</v>
      </c>
    </row>
    <row r="3587" spans="1:30" s="291" customFormat="1" x14ac:dyDescent="0.2">
      <c r="A3587" s="493">
        <v>3587</v>
      </c>
      <c r="B3587" s="283">
        <v>41881</v>
      </c>
      <c r="C3587" s="284">
        <v>1</v>
      </c>
      <c r="D3587" s="396" t="s">
        <v>71</v>
      </c>
      <c r="E3587" s="396" t="s">
        <v>306</v>
      </c>
      <c r="F3587" s="285"/>
      <c r="G3587" s="285"/>
      <c r="H3587" s="285"/>
      <c r="I3587" s="285">
        <v>51</v>
      </c>
      <c r="J3587" s="285"/>
      <c r="K3587" s="396" t="s">
        <v>1032</v>
      </c>
      <c r="L3587" s="286"/>
      <c r="M3587" s="287">
        <v>1.8749999999999999E-2</v>
      </c>
      <c r="N3587" s="288" t="s">
        <v>4535</v>
      </c>
      <c r="O3587" s="397" t="s">
        <v>1585</v>
      </c>
      <c r="P3587" s="289"/>
      <c r="Q3587" s="395" t="s">
        <v>4532</v>
      </c>
      <c r="R3587" s="395" t="s">
        <v>4537</v>
      </c>
      <c r="S3587" s="494" t="str">
        <f t="shared" si="117"/>
        <v>x</v>
      </c>
      <c r="T3587" s="495" t="str">
        <f>IFERROR(VLOOKUP(F3587,'Freq-Chan'!C:D,2,FALSE),"x")</f>
        <v>x</v>
      </c>
      <c r="U3587" s="493" t="s">
        <v>541</v>
      </c>
      <c r="V3587" s="493" t="str">
        <f t="shared" si="118"/>
        <v>FWL</v>
      </c>
      <c r="W3587" s="493" t="s">
        <v>541</v>
      </c>
      <c r="X3587" s="493" t="s">
        <v>541</v>
      </c>
      <c r="Y3587" s="493" t="str">
        <f>IFERROR(VLOOKUP(F3587,'Freq-Chan'!C:E,3,FALSE),"na")</f>
        <v>na</v>
      </c>
      <c r="Z3587" s="493" t="s">
        <v>541</v>
      </c>
      <c r="AA3587" s="493" t="s">
        <v>541</v>
      </c>
      <c r="AB3587" s="493" t="s">
        <v>541</v>
      </c>
      <c r="AC3587" s="291" t="s">
        <v>541</v>
      </c>
      <c r="AD3587" s="291" t="s">
        <v>541</v>
      </c>
    </row>
    <row r="3588" spans="1:30" x14ac:dyDescent="0.2">
      <c r="A3588" s="110">
        <v>3588</v>
      </c>
      <c r="B3588" s="132">
        <v>41881</v>
      </c>
      <c r="C3588" s="117">
        <v>2</v>
      </c>
      <c r="D3588" s="142" t="s">
        <v>71</v>
      </c>
      <c r="E3588" s="142" t="s">
        <v>306</v>
      </c>
      <c r="H3588" s="103"/>
      <c r="I3588" s="103">
        <v>60</v>
      </c>
      <c r="K3588" s="142" t="s">
        <v>1032</v>
      </c>
      <c r="L3588" s="133"/>
      <c r="M3588" s="134">
        <v>1.7361111111111112E-2</v>
      </c>
      <c r="N3588" s="135" t="s">
        <v>1963</v>
      </c>
      <c r="O3588" s="144" t="s">
        <v>4418</v>
      </c>
      <c r="Q3588" s="106" t="s">
        <v>4532</v>
      </c>
      <c r="R3588" s="106" t="s">
        <v>4537</v>
      </c>
      <c r="S3588" s="491" t="str">
        <f t="shared" si="117"/>
        <v>x</v>
      </c>
      <c r="T3588" s="492" t="str">
        <f>IFERROR(VLOOKUP(F3588,'Freq-Chan'!C:D,2,FALSE),"x")</f>
        <v>x</v>
      </c>
      <c r="U3588" s="110" t="s">
        <v>541</v>
      </c>
      <c r="V3588" s="110" t="str">
        <f t="shared" si="118"/>
        <v>FWL</v>
      </c>
      <c r="W3588" s="110" t="s">
        <v>541</v>
      </c>
      <c r="X3588" s="110" t="s">
        <v>541</v>
      </c>
      <c r="Y3588" s="110" t="str">
        <f>IFERROR(VLOOKUP(F3588,'Freq-Chan'!C:E,3,FALSE),"na")</f>
        <v>na</v>
      </c>
      <c r="Z3588" s="110" t="s">
        <v>541</v>
      </c>
      <c r="AA3588" s="110" t="s">
        <v>541</v>
      </c>
      <c r="AB3588" s="110" t="s">
        <v>541</v>
      </c>
      <c r="AC3588" s="10" t="s">
        <v>541</v>
      </c>
      <c r="AD3588" s="10" t="s">
        <v>541</v>
      </c>
    </row>
    <row r="3589" spans="1:30" x14ac:dyDescent="0.2">
      <c r="A3589" s="110">
        <v>3589</v>
      </c>
      <c r="B3589" s="132">
        <v>41881</v>
      </c>
      <c r="C3589" s="117">
        <v>2</v>
      </c>
      <c r="D3589" s="142" t="s">
        <v>72</v>
      </c>
      <c r="E3589" s="142" t="s">
        <v>306</v>
      </c>
      <c r="F3589" s="103">
        <v>917</v>
      </c>
      <c r="G3589" s="103">
        <v>15</v>
      </c>
      <c r="H3589" s="103"/>
      <c r="I3589" s="103">
        <v>61</v>
      </c>
      <c r="K3589" s="142" t="s">
        <v>1032</v>
      </c>
      <c r="L3589" s="133">
        <v>0.55902777777777779</v>
      </c>
      <c r="M3589" s="134">
        <v>0.10416666666666667</v>
      </c>
      <c r="N3589" s="135" t="s">
        <v>4434</v>
      </c>
      <c r="O3589" s="144" t="s">
        <v>4418</v>
      </c>
      <c r="P3589" s="106"/>
      <c r="Q3589" s="106" t="s">
        <v>4530</v>
      </c>
      <c r="R3589" s="106" t="s">
        <v>4537</v>
      </c>
      <c r="S3589" s="491">
        <f t="shared" si="117"/>
        <v>1.0416666999999999E-3</v>
      </c>
      <c r="T3589" s="492">
        <f>IFERROR(VLOOKUP(F3589,'Freq-Chan'!C:D,2,FALSE),"x")</f>
        <v>151.917</v>
      </c>
      <c r="U3589" s="110" t="s">
        <v>541</v>
      </c>
      <c r="V3589" s="110" t="str">
        <f t="shared" si="118"/>
        <v>FWL</v>
      </c>
      <c r="W3589" s="110" t="s">
        <v>541</v>
      </c>
      <c r="X3589" s="110" t="s">
        <v>541</v>
      </c>
      <c r="Y3589" s="110" t="str">
        <f>IFERROR(VLOOKUP(F3589,'Freq-Chan'!C:E,3,FALSE),"na")</f>
        <v>F1835</v>
      </c>
      <c r="Z3589" s="110" t="s">
        <v>541</v>
      </c>
      <c r="AA3589" s="110" t="s">
        <v>541</v>
      </c>
      <c r="AB3589" s="110" t="s">
        <v>541</v>
      </c>
      <c r="AC3589" s="10" t="s">
        <v>541</v>
      </c>
      <c r="AD3589" s="10" t="s">
        <v>541</v>
      </c>
    </row>
    <row r="3590" spans="1:30" s="291" customFormat="1" x14ac:dyDescent="0.2">
      <c r="A3590" s="493">
        <v>3590</v>
      </c>
      <c r="B3590" s="283">
        <v>41881</v>
      </c>
      <c r="C3590" s="284">
        <v>2</v>
      </c>
      <c r="D3590" s="396" t="s">
        <v>71</v>
      </c>
      <c r="E3590" s="396" t="s">
        <v>306</v>
      </c>
      <c r="F3590" s="285"/>
      <c r="G3590" s="285"/>
      <c r="H3590" s="285"/>
      <c r="I3590" s="285">
        <v>61</v>
      </c>
      <c r="J3590" s="285"/>
      <c r="K3590" s="396" t="s">
        <v>1032</v>
      </c>
      <c r="L3590" s="286">
        <v>0.83194444444444438</v>
      </c>
      <c r="M3590" s="287">
        <v>1.6666666666666666E-2</v>
      </c>
      <c r="N3590" s="288" t="s">
        <v>4241</v>
      </c>
      <c r="O3590" s="397" t="s">
        <v>4418</v>
      </c>
      <c r="P3590" s="289"/>
      <c r="Q3590" s="395" t="s">
        <v>4530</v>
      </c>
      <c r="R3590" s="395" t="s">
        <v>4537</v>
      </c>
      <c r="S3590" s="494">
        <f t="shared" si="117"/>
        <v>4.5833332999999999E-3</v>
      </c>
      <c r="T3590" s="495" t="str">
        <f>IFERROR(VLOOKUP(F3590,'Freq-Chan'!C:D,2,FALSE),"x")</f>
        <v>x</v>
      </c>
      <c r="U3590" s="493" t="s">
        <v>541</v>
      </c>
      <c r="V3590" s="493" t="str">
        <f t="shared" si="118"/>
        <v>FWL</v>
      </c>
      <c r="W3590" s="493" t="s">
        <v>541</v>
      </c>
      <c r="X3590" s="493" t="s">
        <v>541</v>
      </c>
      <c r="Y3590" s="493" t="str">
        <f>IFERROR(VLOOKUP(F3590,'Freq-Chan'!C:E,3,FALSE),"na")</f>
        <v>na</v>
      </c>
      <c r="Z3590" s="493" t="s">
        <v>541</v>
      </c>
      <c r="AA3590" s="493" t="s">
        <v>541</v>
      </c>
      <c r="AB3590" s="493" t="s">
        <v>541</v>
      </c>
      <c r="AC3590" s="291" t="s">
        <v>541</v>
      </c>
      <c r="AD3590" s="291" t="s">
        <v>541</v>
      </c>
    </row>
    <row r="3591" spans="1:30" x14ac:dyDescent="0.2">
      <c r="A3591" s="110">
        <v>3591</v>
      </c>
      <c r="B3591" s="132">
        <v>41881</v>
      </c>
      <c r="C3591" s="117">
        <v>3</v>
      </c>
      <c r="D3591" s="142" t="s">
        <v>71</v>
      </c>
      <c r="E3591" s="142" t="s">
        <v>306</v>
      </c>
      <c r="H3591" s="103"/>
      <c r="I3591" s="103">
        <v>56</v>
      </c>
      <c r="K3591" s="142" t="s">
        <v>1032</v>
      </c>
      <c r="L3591" s="133"/>
      <c r="M3591" s="134">
        <v>1.4583333333333332E-2</v>
      </c>
      <c r="N3591" s="135" t="s">
        <v>2840</v>
      </c>
      <c r="O3591" s="144" t="s">
        <v>4418</v>
      </c>
      <c r="Q3591" s="106" t="s">
        <v>4532</v>
      </c>
      <c r="R3591" s="106" t="s">
        <v>4537</v>
      </c>
      <c r="S3591" s="491" t="str">
        <f t="shared" si="117"/>
        <v>x</v>
      </c>
      <c r="T3591" s="492" t="str">
        <f>IFERROR(VLOOKUP(F3591,'Freq-Chan'!C:D,2,FALSE),"x")</f>
        <v>x</v>
      </c>
      <c r="U3591" s="110" t="s">
        <v>541</v>
      </c>
      <c r="V3591" s="110" t="str">
        <f t="shared" si="118"/>
        <v>FWL</v>
      </c>
      <c r="W3591" s="110" t="s">
        <v>541</v>
      </c>
      <c r="X3591" s="110" t="s">
        <v>541</v>
      </c>
      <c r="Y3591" s="110" t="str">
        <f>IFERROR(VLOOKUP(F3591,'Freq-Chan'!C:E,3,FALSE),"na")</f>
        <v>na</v>
      </c>
      <c r="Z3591" s="110" t="s">
        <v>541</v>
      </c>
      <c r="AA3591" s="110" t="s">
        <v>541</v>
      </c>
      <c r="AB3591" s="110" t="s">
        <v>541</v>
      </c>
      <c r="AC3591" s="10" t="s">
        <v>541</v>
      </c>
      <c r="AD3591" s="10" t="s">
        <v>541</v>
      </c>
    </row>
    <row r="3592" spans="1:30" x14ac:dyDescent="0.2">
      <c r="A3592" s="110">
        <v>3592</v>
      </c>
      <c r="B3592" s="132">
        <v>41881</v>
      </c>
      <c r="C3592" s="117">
        <v>3</v>
      </c>
      <c r="D3592" s="142" t="s">
        <v>71</v>
      </c>
      <c r="E3592" s="142" t="s">
        <v>306</v>
      </c>
      <c r="H3592" s="103"/>
      <c r="I3592" s="103">
        <v>51</v>
      </c>
      <c r="K3592" s="142" t="s">
        <v>1032</v>
      </c>
      <c r="L3592" s="133"/>
      <c r="M3592" s="134">
        <v>1.8055555555555557E-2</v>
      </c>
      <c r="N3592" s="135" t="s">
        <v>3914</v>
      </c>
      <c r="O3592" s="144" t="s">
        <v>4418</v>
      </c>
      <c r="Q3592" s="106" t="s">
        <v>4532</v>
      </c>
      <c r="R3592" s="106" t="s">
        <v>4537</v>
      </c>
      <c r="S3592" s="491" t="str">
        <f t="shared" si="117"/>
        <v>x</v>
      </c>
      <c r="T3592" s="492" t="str">
        <f>IFERROR(VLOOKUP(F3592,'Freq-Chan'!C:D,2,FALSE),"x")</f>
        <v>x</v>
      </c>
      <c r="U3592" s="110" t="s">
        <v>541</v>
      </c>
      <c r="V3592" s="110" t="str">
        <f t="shared" si="118"/>
        <v>FWL</v>
      </c>
      <c r="W3592" s="110" t="s">
        <v>541</v>
      </c>
      <c r="X3592" s="110" t="s">
        <v>541</v>
      </c>
      <c r="Y3592" s="110" t="str">
        <f>IFERROR(VLOOKUP(F3592,'Freq-Chan'!C:E,3,FALSE),"na")</f>
        <v>na</v>
      </c>
      <c r="Z3592" s="110" t="s">
        <v>541</v>
      </c>
      <c r="AA3592" s="110" t="s">
        <v>541</v>
      </c>
      <c r="AB3592" s="110" t="s">
        <v>541</v>
      </c>
      <c r="AC3592" s="10" t="s">
        <v>541</v>
      </c>
      <c r="AD3592" s="10" t="s">
        <v>541</v>
      </c>
    </row>
    <row r="3593" spans="1:30" s="291" customFormat="1" x14ac:dyDescent="0.2">
      <c r="A3593" s="493">
        <v>3593</v>
      </c>
      <c r="B3593" s="283">
        <v>41881</v>
      </c>
      <c r="C3593" s="284">
        <v>3</v>
      </c>
      <c r="D3593" s="396" t="s">
        <v>72</v>
      </c>
      <c r="E3593" s="396" t="s">
        <v>306</v>
      </c>
      <c r="F3593" s="285">
        <v>917</v>
      </c>
      <c r="G3593" s="285">
        <v>6</v>
      </c>
      <c r="H3593" s="285"/>
      <c r="I3593" s="285">
        <v>54</v>
      </c>
      <c r="J3593" s="285"/>
      <c r="K3593" s="396" t="s">
        <v>1032</v>
      </c>
      <c r="L3593" s="286"/>
      <c r="M3593" s="287">
        <v>4.5138888888888888E-2</v>
      </c>
      <c r="N3593" s="288" t="s">
        <v>505</v>
      </c>
      <c r="O3593" s="397" t="s">
        <v>4418</v>
      </c>
      <c r="P3593" s="289"/>
      <c r="Q3593" s="395" t="s">
        <v>4532</v>
      </c>
      <c r="R3593" s="395" t="s">
        <v>4537</v>
      </c>
      <c r="S3593" s="494" t="str">
        <f t="shared" si="117"/>
        <v>x</v>
      </c>
      <c r="T3593" s="495">
        <f>IFERROR(VLOOKUP(F3593,'Freq-Chan'!C:D,2,FALSE),"x")</f>
        <v>151.917</v>
      </c>
      <c r="U3593" s="493" t="s">
        <v>541</v>
      </c>
      <c r="V3593" s="493" t="str">
        <f t="shared" si="118"/>
        <v>FWL</v>
      </c>
      <c r="W3593" s="493" t="s">
        <v>541</v>
      </c>
      <c r="X3593" s="493" t="s">
        <v>541</v>
      </c>
      <c r="Y3593" s="493" t="str">
        <f>IFERROR(VLOOKUP(F3593,'Freq-Chan'!C:E,3,FALSE),"na")</f>
        <v>F1835</v>
      </c>
      <c r="Z3593" s="493" t="s">
        <v>541</v>
      </c>
      <c r="AA3593" s="493" t="s">
        <v>541</v>
      </c>
      <c r="AB3593" s="493" t="s">
        <v>541</v>
      </c>
      <c r="AC3593" s="291" t="s">
        <v>541</v>
      </c>
      <c r="AD3593" s="291" t="s">
        <v>541</v>
      </c>
    </row>
    <row r="3594" spans="1:30" ht="12.75" customHeight="1" x14ac:dyDescent="0.2">
      <c r="A3594" s="110">
        <v>3594</v>
      </c>
      <c r="B3594" s="132">
        <v>41882</v>
      </c>
      <c r="C3594" s="117">
        <v>1</v>
      </c>
      <c r="D3594" s="142" t="s">
        <v>8</v>
      </c>
      <c r="E3594" s="142" t="s">
        <v>0</v>
      </c>
      <c r="H3594" s="103"/>
      <c r="I3594" s="103">
        <v>33</v>
      </c>
      <c r="K3594" s="142" t="s">
        <v>364</v>
      </c>
      <c r="L3594" s="133">
        <v>0.49722222222222223</v>
      </c>
      <c r="M3594" s="134">
        <v>1.5277777777777777E-2</v>
      </c>
      <c r="N3594" s="135" t="s">
        <v>3245</v>
      </c>
      <c r="O3594" s="144" t="s">
        <v>4418</v>
      </c>
      <c r="Q3594" s="106" t="s">
        <v>4537</v>
      </c>
      <c r="R3594" s="106" t="s">
        <v>4549</v>
      </c>
      <c r="S3594" s="491">
        <f t="shared" si="117"/>
        <v>2.5231480999999998E-3</v>
      </c>
      <c r="T3594" s="492" t="str">
        <f>IFERROR(VLOOKUP(F3594,'Freq-Chan'!C:D,2,FALSE),"x")</f>
        <v>x</v>
      </c>
      <c r="U3594" s="110" t="s">
        <v>541</v>
      </c>
      <c r="V3594" s="110" t="str">
        <f t="shared" si="118"/>
        <v>FWL</v>
      </c>
      <c r="W3594" s="110" t="s">
        <v>541</v>
      </c>
      <c r="X3594" s="110" t="s">
        <v>541</v>
      </c>
      <c r="Y3594" s="110" t="str">
        <f>IFERROR(VLOOKUP(F3594,'Freq-Chan'!C:E,3,FALSE),"na")</f>
        <v>na</v>
      </c>
      <c r="Z3594" s="110" t="s">
        <v>541</v>
      </c>
      <c r="AA3594" s="110" t="s">
        <v>541</v>
      </c>
      <c r="AB3594" s="110" t="s">
        <v>541</v>
      </c>
      <c r="AC3594" s="10" t="s">
        <v>541</v>
      </c>
      <c r="AD3594" s="10" t="s">
        <v>541</v>
      </c>
    </row>
    <row r="3595" spans="1:30" x14ac:dyDescent="0.2">
      <c r="A3595" s="110">
        <v>3595</v>
      </c>
      <c r="B3595" s="132">
        <v>41882</v>
      </c>
      <c r="C3595" s="117">
        <v>1</v>
      </c>
      <c r="D3595" s="142" t="s">
        <v>71</v>
      </c>
      <c r="E3595" s="142" t="s">
        <v>306</v>
      </c>
      <c r="H3595" s="103"/>
      <c r="I3595" s="103">
        <v>53</v>
      </c>
      <c r="K3595" s="142" t="s">
        <v>1032</v>
      </c>
      <c r="L3595" s="133"/>
      <c r="M3595" s="134">
        <v>1.3888888888888888E-2</v>
      </c>
      <c r="N3595" s="135" t="s">
        <v>4196</v>
      </c>
      <c r="O3595" s="144" t="s">
        <v>4418</v>
      </c>
      <c r="Q3595" s="106" t="s">
        <v>4537</v>
      </c>
      <c r="R3595" s="106" t="s">
        <v>4549</v>
      </c>
      <c r="S3595" s="491" t="str">
        <f t="shared" si="117"/>
        <v>x</v>
      </c>
      <c r="T3595" s="492" t="str">
        <f>IFERROR(VLOOKUP(F3595,'Freq-Chan'!C:D,2,FALSE),"x")</f>
        <v>x</v>
      </c>
      <c r="U3595" s="110" t="s">
        <v>541</v>
      </c>
      <c r="V3595" s="110" t="str">
        <f t="shared" si="118"/>
        <v>FWL</v>
      </c>
      <c r="W3595" s="110" t="s">
        <v>541</v>
      </c>
      <c r="X3595" s="110" t="s">
        <v>541</v>
      </c>
      <c r="Y3595" s="110" t="str">
        <f>IFERROR(VLOOKUP(F3595,'Freq-Chan'!C:E,3,FALSE),"na")</f>
        <v>na</v>
      </c>
      <c r="Z3595" s="110" t="s">
        <v>541</v>
      </c>
      <c r="AA3595" s="110" t="s">
        <v>541</v>
      </c>
      <c r="AB3595" s="110" t="s">
        <v>541</v>
      </c>
      <c r="AC3595" s="10" t="s">
        <v>541</v>
      </c>
      <c r="AD3595" s="10" t="s">
        <v>541</v>
      </c>
    </row>
    <row r="3596" spans="1:30" x14ac:dyDescent="0.2">
      <c r="A3596" s="110">
        <v>3596</v>
      </c>
      <c r="B3596" s="132">
        <v>41882</v>
      </c>
      <c r="C3596" s="117">
        <v>1</v>
      </c>
      <c r="D3596" s="103" t="s">
        <v>71</v>
      </c>
      <c r="E3596" s="103" t="s">
        <v>306</v>
      </c>
      <c r="H3596" s="103"/>
      <c r="I3596" s="103">
        <v>55</v>
      </c>
      <c r="K3596" s="103" t="s">
        <v>365</v>
      </c>
      <c r="L3596" s="133"/>
      <c r="M3596" s="134">
        <v>1.5972222222222224E-2</v>
      </c>
      <c r="N3596" s="135" t="s">
        <v>4297</v>
      </c>
      <c r="O3596" s="133" t="s">
        <v>4418</v>
      </c>
      <c r="Q3596" s="100" t="s">
        <v>4537</v>
      </c>
      <c r="R3596" s="100" t="s">
        <v>4549</v>
      </c>
      <c r="S3596" s="491" t="str">
        <f t="shared" si="117"/>
        <v>x</v>
      </c>
      <c r="T3596" s="492" t="str">
        <f>IFERROR(VLOOKUP(F3596,'Freq-Chan'!C:D,2,FALSE),"x")</f>
        <v>x</v>
      </c>
      <c r="U3596" s="110" t="s">
        <v>541</v>
      </c>
      <c r="V3596" s="110" t="str">
        <f t="shared" si="118"/>
        <v>FWL</v>
      </c>
      <c r="W3596" s="110" t="s">
        <v>541</v>
      </c>
      <c r="X3596" s="110" t="s">
        <v>541</v>
      </c>
      <c r="Y3596" s="110" t="str">
        <f>IFERROR(VLOOKUP(F3596,'Freq-Chan'!C:E,3,FALSE),"na")</f>
        <v>na</v>
      </c>
      <c r="Z3596" s="110" t="s">
        <v>541</v>
      </c>
      <c r="AA3596" s="110" t="s">
        <v>541</v>
      </c>
      <c r="AB3596" s="110" t="s">
        <v>541</v>
      </c>
      <c r="AC3596" s="10" t="s">
        <v>541</v>
      </c>
      <c r="AD3596" s="10" t="s">
        <v>541</v>
      </c>
    </row>
    <row r="3597" spans="1:30" x14ac:dyDescent="0.2">
      <c r="A3597" s="110">
        <v>3597</v>
      </c>
      <c r="B3597" s="132">
        <v>41882</v>
      </c>
      <c r="C3597" s="117">
        <v>1</v>
      </c>
      <c r="D3597" s="103" t="s">
        <v>71</v>
      </c>
      <c r="E3597" s="103" t="s">
        <v>306</v>
      </c>
      <c r="H3597" s="103"/>
      <c r="I3597" s="103">
        <v>60</v>
      </c>
      <c r="K3597" s="103" t="s">
        <v>1032</v>
      </c>
      <c r="L3597" s="133"/>
      <c r="M3597" s="134">
        <v>2.4999999999999998E-2</v>
      </c>
      <c r="N3597" s="135" t="s">
        <v>2633</v>
      </c>
      <c r="O3597" s="133" t="s">
        <v>4418</v>
      </c>
      <c r="Q3597" s="100" t="s">
        <v>4537</v>
      </c>
      <c r="R3597" s="100" t="s">
        <v>4549</v>
      </c>
      <c r="S3597" s="491" t="str">
        <f t="shared" si="117"/>
        <v>x</v>
      </c>
      <c r="T3597" s="492" t="str">
        <f>IFERROR(VLOOKUP(F3597,'Freq-Chan'!C:D,2,FALSE),"x")</f>
        <v>x</v>
      </c>
      <c r="U3597" s="110" t="s">
        <v>541</v>
      </c>
      <c r="V3597" s="110" t="str">
        <f t="shared" si="118"/>
        <v>FWL</v>
      </c>
      <c r="W3597" s="110" t="s">
        <v>541</v>
      </c>
      <c r="X3597" s="110" t="s">
        <v>541</v>
      </c>
      <c r="Y3597" s="110" t="str">
        <f>IFERROR(VLOOKUP(F3597,'Freq-Chan'!C:E,3,FALSE),"na")</f>
        <v>na</v>
      </c>
      <c r="Z3597" s="110" t="s">
        <v>541</v>
      </c>
      <c r="AA3597" s="110" t="s">
        <v>541</v>
      </c>
      <c r="AB3597" s="110" t="s">
        <v>541</v>
      </c>
      <c r="AC3597" s="10" t="s">
        <v>541</v>
      </c>
      <c r="AD3597" s="10" t="s">
        <v>541</v>
      </c>
    </row>
    <row r="3598" spans="1:30" x14ac:dyDescent="0.2">
      <c r="A3598" s="110">
        <v>3598</v>
      </c>
      <c r="B3598" s="132">
        <v>41882</v>
      </c>
      <c r="C3598" s="117">
        <v>1</v>
      </c>
      <c r="D3598" s="103" t="s">
        <v>71</v>
      </c>
      <c r="E3598" s="103" t="s">
        <v>306</v>
      </c>
      <c r="H3598" s="103"/>
      <c r="I3598" s="103">
        <v>55</v>
      </c>
      <c r="K3598" s="103" t="s">
        <v>365</v>
      </c>
      <c r="L3598" s="133"/>
      <c r="M3598" s="134">
        <v>2.2222222222222223E-2</v>
      </c>
      <c r="N3598" s="135" t="s">
        <v>877</v>
      </c>
      <c r="O3598" s="133" t="s">
        <v>373</v>
      </c>
      <c r="Q3598" s="100" t="s">
        <v>4537</v>
      </c>
      <c r="R3598" s="100" t="s">
        <v>4549</v>
      </c>
      <c r="S3598" s="491" t="str">
        <f t="shared" si="117"/>
        <v>x</v>
      </c>
      <c r="T3598" s="492" t="str">
        <f>IFERROR(VLOOKUP(F3598,'Freq-Chan'!C:D,2,FALSE),"x")</f>
        <v>x</v>
      </c>
      <c r="U3598" s="110" t="s">
        <v>541</v>
      </c>
      <c r="V3598" s="110" t="str">
        <f t="shared" si="118"/>
        <v>FWL</v>
      </c>
      <c r="W3598" s="110" t="s">
        <v>541</v>
      </c>
      <c r="X3598" s="110" t="s">
        <v>541</v>
      </c>
      <c r="Y3598" s="110" t="str">
        <f>IFERROR(VLOOKUP(F3598,'Freq-Chan'!C:E,3,FALSE),"na")</f>
        <v>na</v>
      </c>
      <c r="Z3598" s="110" t="s">
        <v>541</v>
      </c>
      <c r="AA3598" s="110" t="s">
        <v>541</v>
      </c>
      <c r="AB3598" s="110" t="s">
        <v>541</v>
      </c>
      <c r="AC3598" s="10" t="s">
        <v>541</v>
      </c>
      <c r="AD3598" s="10" t="s">
        <v>541</v>
      </c>
    </row>
    <row r="3599" spans="1:30" x14ac:dyDescent="0.2">
      <c r="A3599" s="110">
        <v>3599</v>
      </c>
      <c r="B3599" s="132">
        <v>41882</v>
      </c>
      <c r="C3599" s="117">
        <v>1</v>
      </c>
      <c r="D3599" s="103" t="s">
        <v>72</v>
      </c>
      <c r="E3599" s="103" t="s">
        <v>0</v>
      </c>
      <c r="H3599" s="103"/>
      <c r="I3599" s="103">
        <v>33</v>
      </c>
      <c r="K3599" s="103" t="s">
        <v>364</v>
      </c>
      <c r="L3599" s="133"/>
      <c r="M3599" s="134">
        <v>2.013888888888889E-2</v>
      </c>
      <c r="N3599" s="135" t="s">
        <v>3227</v>
      </c>
      <c r="O3599" s="133" t="s">
        <v>373</v>
      </c>
      <c r="Q3599" s="100" t="s">
        <v>4537</v>
      </c>
      <c r="R3599" s="100" t="s">
        <v>4549</v>
      </c>
      <c r="S3599" s="491" t="str">
        <f t="shared" si="117"/>
        <v>x</v>
      </c>
      <c r="T3599" s="492" t="str">
        <f>IFERROR(VLOOKUP(F3599,'Freq-Chan'!C:D,2,FALSE),"x")</f>
        <v>x</v>
      </c>
      <c r="U3599" s="110" t="s">
        <v>541</v>
      </c>
      <c r="V3599" s="110" t="str">
        <f t="shared" si="118"/>
        <v>FWL</v>
      </c>
      <c r="W3599" s="110" t="s">
        <v>541</v>
      </c>
      <c r="X3599" s="110" t="s">
        <v>541</v>
      </c>
      <c r="Y3599" s="110" t="str">
        <f>IFERROR(VLOOKUP(F3599,'Freq-Chan'!C:E,3,FALSE),"na")</f>
        <v>na</v>
      </c>
      <c r="Z3599" s="110" t="s">
        <v>541</v>
      </c>
      <c r="AA3599" s="110" t="s">
        <v>541</v>
      </c>
      <c r="AB3599" s="110" t="s">
        <v>541</v>
      </c>
      <c r="AC3599" s="10" t="s">
        <v>541</v>
      </c>
      <c r="AD3599" s="10" t="s">
        <v>541</v>
      </c>
    </row>
    <row r="3600" spans="1:30" x14ac:dyDescent="0.2">
      <c r="A3600" s="110">
        <v>3600</v>
      </c>
      <c r="B3600" s="132">
        <v>41882</v>
      </c>
      <c r="C3600" s="117">
        <v>1</v>
      </c>
      <c r="D3600" s="103" t="s">
        <v>88</v>
      </c>
      <c r="E3600" s="103" t="s">
        <v>798</v>
      </c>
      <c r="H3600" s="103"/>
      <c r="J3600" s="103">
        <v>26</v>
      </c>
      <c r="K3600" s="103" t="s">
        <v>364</v>
      </c>
      <c r="L3600" s="133"/>
      <c r="M3600" s="134">
        <v>1.6666666666666666E-2</v>
      </c>
      <c r="N3600" s="135" t="s">
        <v>3488</v>
      </c>
      <c r="O3600" s="133" t="s">
        <v>4418</v>
      </c>
      <c r="Q3600" s="100" t="s">
        <v>4537</v>
      </c>
      <c r="R3600" s="100" t="s">
        <v>4549</v>
      </c>
      <c r="S3600" s="491" t="str">
        <f t="shared" si="117"/>
        <v>x</v>
      </c>
      <c r="T3600" s="492" t="str">
        <f>IFERROR(VLOOKUP(F3600,'Freq-Chan'!C:D,2,FALSE),"x")</f>
        <v>x</v>
      </c>
      <c r="U3600" s="110" t="s">
        <v>541</v>
      </c>
      <c r="V3600" s="110" t="str">
        <f t="shared" si="118"/>
        <v>FWL</v>
      </c>
      <c r="W3600" s="110" t="s">
        <v>541</v>
      </c>
      <c r="X3600" s="110" t="s">
        <v>541</v>
      </c>
      <c r="Y3600" s="110" t="str">
        <f>IFERROR(VLOOKUP(F3600,'Freq-Chan'!C:E,3,FALSE),"na")</f>
        <v>na</v>
      </c>
      <c r="Z3600" s="110" t="s">
        <v>541</v>
      </c>
      <c r="AA3600" s="110" t="s">
        <v>541</v>
      </c>
      <c r="AB3600" s="110" t="s">
        <v>541</v>
      </c>
      <c r="AC3600" s="10" t="s">
        <v>541</v>
      </c>
      <c r="AD3600" s="10" t="s">
        <v>541</v>
      </c>
    </row>
    <row r="3601" spans="1:30" s="291" customFormat="1" x14ac:dyDescent="0.2">
      <c r="A3601" s="493">
        <v>3601</v>
      </c>
      <c r="B3601" s="283">
        <v>41882</v>
      </c>
      <c r="C3601" s="284">
        <v>1</v>
      </c>
      <c r="D3601" s="285" t="s">
        <v>71</v>
      </c>
      <c r="E3601" s="285" t="s">
        <v>306</v>
      </c>
      <c r="F3601" s="285"/>
      <c r="G3601" s="285"/>
      <c r="H3601" s="285"/>
      <c r="I3601" s="285">
        <v>58</v>
      </c>
      <c r="J3601" s="285"/>
      <c r="K3601" s="285" t="s">
        <v>1032</v>
      </c>
      <c r="L3601" s="286"/>
      <c r="M3601" s="287">
        <v>1.7361111111111112E-2</v>
      </c>
      <c r="N3601" s="288" t="s">
        <v>3934</v>
      </c>
      <c r="O3601" s="286" t="s">
        <v>4418</v>
      </c>
      <c r="P3601" s="289"/>
      <c r="Q3601" s="289" t="s">
        <v>4537</v>
      </c>
      <c r="R3601" s="289" t="s">
        <v>4549</v>
      </c>
      <c r="S3601" s="494" t="str">
        <f t="shared" si="117"/>
        <v>x</v>
      </c>
      <c r="T3601" s="495" t="str">
        <f>IFERROR(VLOOKUP(F3601,'Freq-Chan'!C:D,2,FALSE),"x")</f>
        <v>x</v>
      </c>
      <c r="U3601" s="493" t="s">
        <v>541</v>
      </c>
      <c r="V3601" s="493" t="str">
        <f t="shared" si="118"/>
        <v>FWL</v>
      </c>
      <c r="W3601" s="493" t="s">
        <v>541</v>
      </c>
      <c r="X3601" s="493" t="s">
        <v>541</v>
      </c>
      <c r="Y3601" s="493" t="str">
        <f>IFERROR(VLOOKUP(F3601,'Freq-Chan'!C:E,3,FALSE),"na")</f>
        <v>na</v>
      </c>
      <c r="Z3601" s="493" t="s">
        <v>541</v>
      </c>
      <c r="AA3601" s="493" t="s">
        <v>541</v>
      </c>
      <c r="AB3601" s="493" t="s">
        <v>541</v>
      </c>
      <c r="AC3601" s="291" t="s">
        <v>541</v>
      </c>
      <c r="AD3601" s="291" t="s">
        <v>541</v>
      </c>
    </row>
    <row r="3602" spans="1:30" x14ac:dyDescent="0.2">
      <c r="A3602" s="110">
        <v>3602</v>
      </c>
      <c r="B3602" s="132">
        <v>41882</v>
      </c>
      <c r="C3602" s="117">
        <v>2</v>
      </c>
      <c r="D3602" s="103" t="s">
        <v>71</v>
      </c>
      <c r="E3602" s="103" t="s">
        <v>306</v>
      </c>
      <c r="H3602" s="103"/>
      <c r="I3602" s="103">
        <v>56</v>
      </c>
      <c r="K3602" s="103" t="s">
        <v>1032</v>
      </c>
      <c r="L3602" s="133"/>
      <c r="M3602" s="134">
        <v>2.5694444444444447E-2</v>
      </c>
      <c r="N3602" s="135" t="s">
        <v>4543</v>
      </c>
      <c r="O3602" s="133" t="s">
        <v>4418</v>
      </c>
      <c r="P3602" s="100" t="s">
        <v>4550</v>
      </c>
      <c r="Q3602" s="100" t="s">
        <v>4537</v>
      </c>
      <c r="R3602" s="100" t="s">
        <v>4549</v>
      </c>
      <c r="S3602" s="491" t="str">
        <f t="shared" si="117"/>
        <v>x</v>
      </c>
      <c r="T3602" s="492" t="str">
        <f>IFERROR(VLOOKUP(F3602,'Freq-Chan'!C:D,2,FALSE),"x")</f>
        <v>x</v>
      </c>
      <c r="U3602" s="110" t="s">
        <v>541</v>
      </c>
      <c r="V3602" s="110" t="str">
        <f t="shared" si="118"/>
        <v>FWL</v>
      </c>
      <c r="W3602" s="110" t="s">
        <v>541</v>
      </c>
      <c r="X3602" s="110" t="s">
        <v>541</v>
      </c>
      <c r="Y3602" s="110" t="str">
        <f>IFERROR(VLOOKUP(F3602,'Freq-Chan'!C:E,3,FALSE),"na")</f>
        <v>na</v>
      </c>
      <c r="Z3602" s="110" t="s">
        <v>541</v>
      </c>
      <c r="AA3602" s="110" t="s">
        <v>541</v>
      </c>
      <c r="AB3602" s="110" t="s">
        <v>541</v>
      </c>
      <c r="AC3602" s="10" t="s">
        <v>541</v>
      </c>
      <c r="AD3602" s="10" t="s">
        <v>541</v>
      </c>
    </row>
    <row r="3603" spans="1:30" x14ac:dyDescent="0.2">
      <c r="A3603" s="110">
        <v>3603</v>
      </c>
      <c r="B3603" s="132">
        <v>41882</v>
      </c>
      <c r="C3603" s="117">
        <v>2</v>
      </c>
      <c r="D3603" s="103" t="s">
        <v>71</v>
      </c>
      <c r="E3603" s="103" t="s">
        <v>306</v>
      </c>
      <c r="H3603" s="103"/>
      <c r="I3603" s="103">
        <v>52</v>
      </c>
      <c r="K3603" s="103" t="s">
        <v>365</v>
      </c>
      <c r="L3603" s="133"/>
      <c r="M3603" s="134">
        <v>1.3194444444444444E-2</v>
      </c>
      <c r="N3603" s="135" t="s">
        <v>2815</v>
      </c>
      <c r="O3603" s="133" t="s">
        <v>4418</v>
      </c>
      <c r="Q3603" s="100" t="s">
        <v>4537</v>
      </c>
      <c r="R3603" s="100" t="s">
        <v>4549</v>
      </c>
      <c r="S3603" s="491" t="str">
        <f t="shared" si="117"/>
        <v>x</v>
      </c>
      <c r="T3603" s="492" t="str">
        <f>IFERROR(VLOOKUP(F3603,'Freq-Chan'!C:D,2,FALSE),"x")</f>
        <v>x</v>
      </c>
      <c r="U3603" s="110" t="s">
        <v>541</v>
      </c>
      <c r="V3603" s="110" t="str">
        <f t="shared" si="118"/>
        <v>FWL</v>
      </c>
      <c r="W3603" s="110" t="s">
        <v>541</v>
      </c>
      <c r="X3603" s="110" t="s">
        <v>541</v>
      </c>
      <c r="Y3603" s="110" t="str">
        <f>IFERROR(VLOOKUP(F3603,'Freq-Chan'!C:E,3,FALSE),"na")</f>
        <v>na</v>
      </c>
      <c r="Z3603" s="110" t="s">
        <v>541</v>
      </c>
      <c r="AA3603" s="110" t="s">
        <v>541</v>
      </c>
      <c r="AB3603" s="110" t="s">
        <v>541</v>
      </c>
      <c r="AC3603" s="10" t="s">
        <v>541</v>
      </c>
      <c r="AD3603" s="10" t="s">
        <v>541</v>
      </c>
    </row>
    <row r="3604" spans="1:30" x14ac:dyDescent="0.2">
      <c r="A3604" s="110">
        <v>3604</v>
      </c>
      <c r="B3604" s="132">
        <v>41882</v>
      </c>
      <c r="C3604" s="117">
        <v>2</v>
      </c>
      <c r="D3604" s="103" t="s">
        <v>71</v>
      </c>
      <c r="E3604" s="103" t="s">
        <v>306</v>
      </c>
      <c r="H3604" s="103"/>
      <c r="I3604" s="103">
        <v>61</v>
      </c>
      <c r="K3604" s="103" t="s">
        <v>365</v>
      </c>
      <c r="L3604" s="133"/>
      <c r="M3604" s="134">
        <v>1.9444444444444445E-2</v>
      </c>
      <c r="N3604" s="135" t="s">
        <v>4544</v>
      </c>
      <c r="O3604" s="133" t="s">
        <v>4418</v>
      </c>
      <c r="Q3604" s="100" t="s">
        <v>4537</v>
      </c>
      <c r="R3604" s="100" t="s">
        <v>4549</v>
      </c>
      <c r="S3604" s="491" t="str">
        <f t="shared" si="117"/>
        <v>x</v>
      </c>
      <c r="T3604" s="492" t="str">
        <f>IFERROR(VLOOKUP(F3604,'Freq-Chan'!C:D,2,FALSE),"x")</f>
        <v>x</v>
      </c>
      <c r="U3604" s="110" t="s">
        <v>541</v>
      </c>
      <c r="V3604" s="110" t="str">
        <f t="shared" si="118"/>
        <v>FWL</v>
      </c>
      <c r="W3604" s="110" t="s">
        <v>541</v>
      </c>
      <c r="X3604" s="110" t="s">
        <v>541</v>
      </c>
      <c r="Y3604" s="110" t="str">
        <f>IFERROR(VLOOKUP(F3604,'Freq-Chan'!C:E,3,FALSE),"na")</f>
        <v>na</v>
      </c>
      <c r="Z3604" s="110" t="s">
        <v>541</v>
      </c>
      <c r="AA3604" s="110" t="s">
        <v>541</v>
      </c>
      <c r="AB3604" s="110" t="s">
        <v>541</v>
      </c>
      <c r="AC3604" s="10" t="s">
        <v>541</v>
      </c>
      <c r="AD3604" s="10" t="s">
        <v>541</v>
      </c>
    </row>
    <row r="3605" spans="1:30" x14ac:dyDescent="0.2">
      <c r="A3605" s="110">
        <v>3605</v>
      </c>
      <c r="B3605" s="132">
        <v>41882</v>
      </c>
      <c r="C3605" s="117">
        <v>2</v>
      </c>
      <c r="D3605" s="103" t="s">
        <v>71</v>
      </c>
      <c r="E3605" s="103" t="s">
        <v>306</v>
      </c>
      <c r="H3605" s="103"/>
      <c r="I3605" s="103">
        <v>55</v>
      </c>
      <c r="K3605" s="103" t="s">
        <v>365</v>
      </c>
      <c r="L3605" s="133"/>
      <c r="M3605" s="134">
        <v>2.2916666666666669E-2</v>
      </c>
      <c r="N3605" s="135" t="s">
        <v>4420</v>
      </c>
      <c r="O3605" s="133" t="s">
        <v>4418</v>
      </c>
      <c r="Q3605" s="100" t="s">
        <v>4537</v>
      </c>
      <c r="R3605" s="100" t="s">
        <v>4549</v>
      </c>
      <c r="S3605" s="491" t="str">
        <f t="shared" si="117"/>
        <v>x</v>
      </c>
      <c r="T3605" s="492" t="str">
        <f>IFERROR(VLOOKUP(F3605,'Freq-Chan'!C:D,2,FALSE),"x")</f>
        <v>x</v>
      </c>
      <c r="U3605" s="110" t="s">
        <v>541</v>
      </c>
      <c r="V3605" s="110" t="str">
        <f t="shared" si="118"/>
        <v>FWL</v>
      </c>
      <c r="W3605" s="110" t="s">
        <v>541</v>
      </c>
      <c r="X3605" s="110" t="s">
        <v>541</v>
      </c>
      <c r="Y3605" s="110" t="str">
        <f>IFERROR(VLOOKUP(F3605,'Freq-Chan'!C:E,3,FALSE),"na")</f>
        <v>na</v>
      </c>
      <c r="Z3605" s="110" t="s">
        <v>541</v>
      </c>
      <c r="AA3605" s="110" t="s">
        <v>541</v>
      </c>
      <c r="AB3605" s="110" t="s">
        <v>541</v>
      </c>
      <c r="AC3605" s="10" t="s">
        <v>541</v>
      </c>
      <c r="AD3605" s="10" t="s">
        <v>541</v>
      </c>
    </row>
    <row r="3606" spans="1:30" x14ac:dyDescent="0.2">
      <c r="A3606" s="110">
        <v>3606</v>
      </c>
      <c r="B3606" s="132">
        <v>41882</v>
      </c>
      <c r="C3606" s="117">
        <v>2</v>
      </c>
      <c r="D3606" s="103" t="s">
        <v>71</v>
      </c>
      <c r="E3606" s="103" t="s">
        <v>306</v>
      </c>
      <c r="H3606" s="103"/>
      <c r="I3606" s="103">
        <v>53</v>
      </c>
      <c r="K3606" s="103" t="s">
        <v>365</v>
      </c>
      <c r="L3606" s="133"/>
      <c r="M3606" s="134">
        <v>2.0833333333333332E-2</v>
      </c>
      <c r="N3606" s="135" t="s">
        <v>3182</v>
      </c>
      <c r="O3606" s="133" t="s">
        <v>4418</v>
      </c>
      <c r="Q3606" s="100" t="s">
        <v>4537</v>
      </c>
      <c r="R3606" s="100" t="s">
        <v>4549</v>
      </c>
      <c r="S3606" s="491" t="str">
        <f t="shared" si="117"/>
        <v>x</v>
      </c>
      <c r="T3606" s="492" t="str">
        <f>IFERROR(VLOOKUP(F3606,'Freq-Chan'!C:D,2,FALSE),"x")</f>
        <v>x</v>
      </c>
      <c r="U3606" s="110" t="s">
        <v>541</v>
      </c>
      <c r="V3606" s="110" t="str">
        <f t="shared" si="118"/>
        <v>FWL</v>
      </c>
      <c r="W3606" s="110" t="s">
        <v>541</v>
      </c>
      <c r="X3606" s="110" t="s">
        <v>541</v>
      </c>
      <c r="Y3606" s="110" t="str">
        <f>IFERROR(VLOOKUP(F3606,'Freq-Chan'!C:E,3,FALSE),"na")</f>
        <v>na</v>
      </c>
      <c r="Z3606" s="110" t="s">
        <v>541</v>
      </c>
      <c r="AA3606" s="110" t="s">
        <v>541</v>
      </c>
      <c r="AB3606" s="110" t="s">
        <v>541</v>
      </c>
      <c r="AC3606" s="10" t="s">
        <v>541</v>
      </c>
      <c r="AD3606" s="10" t="s">
        <v>541</v>
      </c>
    </row>
    <row r="3607" spans="1:30" x14ac:dyDescent="0.2">
      <c r="A3607" s="110">
        <v>3607</v>
      </c>
      <c r="B3607" s="132">
        <v>41882</v>
      </c>
      <c r="C3607" s="117">
        <v>2</v>
      </c>
      <c r="D3607" s="103" t="s">
        <v>71</v>
      </c>
      <c r="E3607" s="103" t="s">
        <v>306</v>
      </c>
      <c r="H3607" s="103"/>
      <c r="I3607" s="103">
        <v>58</v>
      </c>
      <c r="K3607" s="103" t="s">
        <v>365</v>
      </c>
      <c r="L3607" s="133"/>
      <c r="M3607" s="134">
        <v>1.1805555555555555E-2</v>
      </c>
      <c r="N3607" s="135" t="s">
        <v>3186</v>
      </c>
      <c r="O3607" s="133" t="s">
        <v>4418</v>
      </c>
      <c r="Q3607" s="100" t="s">
        <v>4545</v>
      </c>
      <c r="R3607" s="100" t="s">
        <v>4549</v>
      </c>
      <c r="S3607" s="491" t="str">
        <f t="shared" si="117"/>
        <v>x</v>
      </c>
      <c r="T3607" s="492" t="str">
        <f>IFERROR(VLOOKUP(F3607,'Freq-Chan'!C:D,2,FALSE),"x")</f>
        <v>x</v>
      </c>
      <c r="U3607" s="110" t="s">
        <v>541</v>
      </c>
      <c r="V3607" s="110" t="str">
        <f t="shared" si="118"/>
        <v>FWL</v>
      </c>
      <c r="W3607" s="110" t="s">
        <v>541</v>
      </c>
      <c r="X3607" s="110" t="s">
        <v>541</v>
      </c>
      <c r="Y3607" s="110" t="str">
        <f>IFERROR(VLOOKUP(F3607,'Freq-Chan'!C:E,3,FALSE),"na")</f>
        <v>na</v>
      </c>
      <c r="Z3607" s="110" t="s">
        <v>541</v>
      </c>
      <c r="AA3607" s="110" t="s">
        <v>541</v>
      </c>
      <c r="AB3607" s="110" t="s">
        <v>541</v>
      </c>
      <c r="AC3607" s="10" t="s">
        <v>541</v>
      </c>
      <c r="AD3607" s="10" t="s">
        <v>541</v>
      </c>
    </row>
    <row r="3608" spans="1:30" x14ac:dyDescent="0.2">
      <c r="A3608" s="110">
        <v>3608</v>
      </c>
      <c r="B3608" s="132">
        <v>41882</v>
      </c>
      <c r="C3608" s="117">
        <v>2</v>
      </c>
      <c r="D3608" s="103" t="s">
        <v>71</v>
      </c>
      <c r="E3608" s="103" t="s">
        <v>306</v>
      </c>
      <c r="H3608" s="103"/>
      <c r="I3608" s="103">
        <v>49</v>
      </c>
      <c r="K3608" s="103" t="s">
        <v>1032</v>
      </c>
      <c r="L3608" s="133"/>
      <c r="M3608" s="134">
        <v>1.7361111111111112E-2</v>
      </c>
      <c r="N3608" s="135" t="s">
        <v>4367</v>
      </c>
      <c r="O3608" s="133" t="s">
        <v>4418</v>
      </c>
      <c r="P3608" s="100" t="s">
        <v>4551</v>
      </c>
      <c r="Q3608" s="100" t="s">
        <v>4545</v>
      </c>
      <c r="R3608" s="100" t="s">
        <v>4549</v>
      </c>
      <c r="S3608" s="491" t="str">
        <f t="shared" si="117"/>
        <v>x</v>
      </c>
      <c r="T3608" s="492" t="str">
        <f>IFERROR(VLOOKUP(F3608,'Freq-Chan'!C:D,2,FALSE),"x")</f>
        <v>x</v>
      </c>
      <c r="U3608" s="110" t="s">
        <v>541</v>
      </c>
      <c r="V3608" s="110" t="str">
        <f t="shared" si="118"/>
        <v>FWL</v>
      </c>
      <c r="W3608" s="110" t="s">
        <v>541</v>
      </c>
      <c r="X3608" s="110" t="s">
        <v>541</v>
      </c>
      <c r="Y3608" s="110" t="str">
        <f>IFERROR(VLOOKUP(F3608,'Freq-Chan'!C:E,3,FALSE),"na")</f>
        <v>na</v>
      </c>
      <c r="Z3608" s="110" t="s">
        <v>541</v>
      </c>
      <c r="AA3608" s="110" t="s">
        <v>541</v>
      </c>
      <c r="AB3608" s="110" t="s">
        <v>541</v>
      </c>
      <c r="AC3608" s="10" t="s">
        <v>541</v>
      </c>
      <c r="AD3608" s="10" t="s">
        <v>541</v>
      </c>
    </row>
    <row r="3609" spans="1:30" s="291" customFormat="1" x14ac:dyDescent="0.2">
      <c r="A3609" s="493">
        <v>3609</v>
      </c>
      <c r="B3609" s="283">
        <v>41882</v>
      </c>
      <c r="C3609" s="284">
        <v>2</v>
      </c>
      <c r="D3609" s="285" t="s">
        <v>72</v>
      </c>
      <c r="E3609" s="285" t="s">
        <v>306</v>
      </c>
      <c r="F3609" s="285"/>
      <c r="G3609" s="285"/>
      <c r="H3609" s="285"/>
      <c r="I3609" s="285">
        <v>51</v>
      </c>
      <c r="J3609" s="285"/>
      <c r="K3609" s="285" t="s">
        <v>365</v>
      </c>
      <c r="L3609" s="286"/>
      <c r="M3609" s="287">
        <v>1.5972222222222224E-2</v>
      </c>
      <c r="N3609" s="288" t="s">
        <v>1772</v>
      </c>
      <c r="O3609" s="286" t="s">
        <v>4418</v>
      </c>
      <c r="P3609" s="289"/>
      <c r="Q3609" s="100" t="s">
        <v>4545</v>
      </c>
      <c r="R3609" s="100" t="s">
        <v>4549</v>
      </c>
      <c r="S3609" s="494" t="str">
        <f t="shared" si="117"/>
        <v>x</v>
      </c>
      <c r="T3609" s="495" t="str">
        <f>IFERROR(VLOOKUP(F3609,'Freq-Chan'!C:D,2,FALSE),"x")</f>
        <v>x</v>
      </c>
      <c r="U3609" s="493" t="s">
        <v>541</v>
      </c>
      <c r="V3609" s="493" t="str">
        <f t="shared" si="118"/>
        <v>FWL</v>
      </c>
      <c r="W3609" s="493" t="s">
        <v>541</v>
      </c>
      <c r="X3609" s="493" t="s">
        <v>541</v>
      </c>
      <c r="Y3609" s="493" t="str">
        <f>IFERROR(VLOOKUP(F3609,'Freq-Chan'!C:E,3,FALSE),"na")</f>
        <v>na</v>
      </c>
      <c r="Z3609" s="493" t="s">
        <v>541</v>
      </c>
      <c r="AA3609" s="493" t="s">
        <v>541</v>
      </c>
      <c r="AB3609" s="493" t="s">
        <v>541</v>
      </c>
      <c r="AC3609" s="291" t="s">
        <v>541</v>
      </c>
      <c r="AD3609" s="291" t="s">
        <v>541</v>
      </c>
    </row>
    <row r="3610" spans="1:30" x14ac:dyDescent="0.2">
      <c r="A3610" s="110">
        <v>3610</v>
      </c>
      <c r="B3610" s="132">
        <v>41882</v>
      </c>
      <c r="C3610" s="117">
        <v>3</v>
      </c>
      <c r="D3610" s="103" t="s">
        <v>75</v>
      </c>
      <c r="E3610" s="103" t="s">
        <v>798</v>
      </c>
      <c r="H3610" s="103"/>
      <c r="J3610" s="103">
        <v>24</v>
      </c>
      <c r="K3610" s="103" t="s">
        <v>364</v>
      </c>
      <c r="L3610" s="133"/>
      <c r="M3610" s="134">
        <v>2.6388888888888889E-2</v>
      </c>
      <c r="N3610" s="135" t="s">
        <v>1909</v>
      </c>
      <c r="O3610" s="133" t="s">
        <v>1585</v>
      </c>
      <c r="Q3610" s="100" t="s">
        <v>4537</v>
      </c>
      <c r="R3610" s="100" t="s">
        <v>4549</v>
      </c>
      <c r="S3610" s="491" t="str">
        <f t="shared" si="117"/>
        <v>x</v>
      </c>
      <c r="T3610" s="492" t="str">
        <f>IFERROR(VLOOKUP(F3610,'Freq-Chan'!C:D,2,FALSE),"x")</f>
        <v>x</v>
      </c>
      <c r="U3610" s="110" t="s">
        <v>541</v>
      </c>
      <c r="V3610" s="110" t="str">
        <f t="shared" si="118"/>
        <v>FWL</v>
      </c>
      <c r="W3610" s="110" t="s">
        <v>541</v>
      </c>
      <c r="X3610" s="110" t="s">
        <v>541</v>
      </c>
      <c r="Y3610" s="110" t="str">
        <f>IFERROR(VLOOKUP(F3610,'Freq-Chan'!C:E,3,FALSE),"na")</f>
        <v>na</v>
      </c>
      <c r="Z3610" s="110" t="s">
        <v>541</v>
      </c>
      <c r="AA3610" s="110" t="s">
        <v>541</v>
      </c>
      <c r="AB3610" s="110" t="s">
        <v>541</v>
      </c>
      <c r="AC3610" s="10" t="s">
        <v>541</v>
      </c>
      <c r="AD3610" s="10" t="s">
        <v>541</v>
      </c>
    </row>
    <row r="3611" spans="1:30" x14ac:dyDescent="0.2">
      <c r="A3611" s="110">
        <v>3611</v>
      </c>
      <c r="B3611" s="132">
        <v>41882</v>
      </c>
      <c r="C3611" s="117">
        <v>3</v>
      </c>
      <c r="D3611" s="103" t="s">
        <v>72</v>
      </c>
      <c r="E3611" s="103" t="s">
        <v>306</v>
      </c>
      <c r="F3611" s="103">
        <v>917</v>
      </c>
      <c r="G3611" s="103">
        <v>2</v>
      </c>
      <c r="H3611" s="103"/>
      <c r="I3611" s="103">
        <v>58</v>
      </c>
      <c r="K3611" s="103" t="s">
        <v>365</v>
      </c>
      <c r="L3611" s="133"/>
      <c r="M3611" s="134">
        <v>4.0972222222222222E-2</v>
      </c>
      <c r="N3611" s="135" t="s">
        <v>1578</v>
      </c>
      <c r="O3611" s="133" t="s">
        <v>1585</v>
      </c>
      <c r="Q3611" s="100" t="s">
        <v>4537</v>
      </c>
      <c r="R3611" s="100" t="s">
        <v>4549</v>
      </c>
      <c r="S3611" s="491" t="str">
        <f t="shared" si="117"/>
        <v>x</v>
      </c>
      <c r="T3611" s="492">
        <f>IFERROR(VLOOKUP(F3611,'Freq-Chan'!C:D,2,FALSE),"x")</f>
        <v>151.917</v>
      </c>
      <c r="U3611" s="110" t="s">
        <v>541</v>
      </c>
      <c r="V3611" s="110" t="str">
        <f t="shared" si="118"/>
        <v>FWL</v>
      </c>
      <c r="W3611" s="110" t="s">
        <v>541</v>
      </c>
      <c r="X3611" s="110" t="s">
        <v>541</v>
      </c>
      <c r="Y3611" s="110" t="str">
        <f>IFERROR(VLOOKUP(F3611,'Freq-Chan'!C:E,3,FALSE),"na")</f>
        <v>F1835</v>
      </c>
      <c r="Z3611" s="110" t="s">
        <v>541</v>
      </c>
      <c r="AA3611" s="110" t="s">
        <v>541</v>
      </c>
      <c r="AB3611" s="110" t="s">
        <v>541</v>
      </c>
      <c r="AC3611" s="10" t="s">
        <v>541</v>
      </c>
      <c r="AD3611" s="10" t="s">
        <v>541</v>
      </c>
    </row>
    <row r="3612" spans="1:30" s="291" customFormat="1" x14ac:dyDescent="0.2">
      <c r="A3612" s="493">
        <v>3612</v>
      </c>
      <c r="B3612" s="283">
        <v>41882</v>
      </c>
      <c r="C3612" s="284">
        <v>3</v>
      </c>
      <c r="D3612" s="285" t="s">
        <v>72</v>
      </c>
      <c r="E3612" s="285" t="s">
        <v>306</v>
      </c>
      <c r="F3612" s="285">
        <v>917</v>
      </c>
      <c r="G3612" s="285">
        <v>43</v>
      </c>
      <c r="H3612" s="285"/>
      <c r="I3612" s="285">
        <v>49</v>
      </c>
      <c r="J3612" s="285"/>
      <c r="K3612" s="285" t="s">
        <v>1032</v>
      </c>
      <c r="L3612" s="286"/>
      <c r="M3612" s="287">
        <v>6.9444444444444434E-2</v>
      </c>
      <c r="N3612" s="288" t="s">
        <v>3725</v>
      </c>
      <c r="O3612" s="286" t="s">
        <v>1585</v>
      </c>
      <c r="P3612" s="289"/>
      <c r="Q3612" s="289" t="s">
        <v>4537</v>
      </c>
      <c r="R3612" s="289" t="s">
        <v>4549</v>
      </c>
      <c r="S3612" s="494" t="str">
        <f t="shared" si="117"/>
        <v>x</v>
      </c>
      <c r="T3612" s="495">
        <f>IFERROR(VLOOKUP(F3612,'Freq-Chan'!C:D,2,FALSE),"x")</f>
        <v>151.917</v>
      </c>
      <c r="U3612" s="493" t="s">
        <v>541</v>
      </c>
      <c r="V3612" s="493" t="str">
        <f t="shared" si="118"/>
        <v>FWL</v>
      </c>
      <c r="W3612" s="493" t="s">
        <v>541</v>
      </c>
      <c r="X3612" s="493" t="s">
        <v>541</v>
      </c>
      <c r="Y3612" s="493" t="str">
        <f>IFERROR(VLOOKUP(F3612,'Freq-Chan'!C:E,3,FALSE),"na")</f>
        <v>F1835</v>
      </c>
      <c r="Z3612" s="493" t="s">
        <v>541</v>
      </c>
      <c r="AA3612" s="493" t="s">
        <v>541</v>
      </c>
      <c r="AB3612" s="493" t="s">
        <v>541</v>
      </c>
      <c r="AC3612" s="291" t="s">
        <v>541</v>
      </c>
      <c r="AD3612" s="291" t="s">
        <v>541</v>
      </c>
    </row>
    <row r="3613" spans="1:30" x14ac:dyDescent="0.2">
      <c r="A3613" s="110">
        <v>3613</v>
      </c>
      <c r="B3613" s="132">
        <v>41883</v>
      </c>
      <c r="C3613" s="117">
        <v>1</v>
      </c>
      <c r="D3613" s="103" t="s">
        <v>71</v>
      </c>
      <c r="E3613" s="103" t="s">
        <v>306</v>
      </c>
      <c r="H3613" s="103"/>
      <c r="I3613" s="103">
        <v>59</v>
      </c>
      <c r="K3613" s="103" t="s">
        <v>365</v>
      </c>
      <c r="L3613" s="133"/>
      <c r="M3613" s="134">
        <v>1.5277777777777777E-2</v>
      </c>
      <c r="N3613" s="135" t="s">
        <v>2694</v>
      </c>
      <c r="O3613" s="133" t="s">
        <v>4418</v>
      </c>
      <c r="Q3613" s="100" t="s">
        <v>4549</v>
      </c>
      <c r="R3613" s="100" t="s">
        <v>4563</v>
      </c>
      <c r="S3613" s="491" t="str">
        <f t="shared" si="117"/>
        <v>x</v>
      </c>
      <c r="T3613" s="492" t="str">
        <f>IFERROR(VLOOKUP(F3613,'Freq-Chan'!C:D,2,FALSE),"x")</f>
        <v>x</v>
      </c>
      <c r="U3613" s="110" t="s">
        <v>541</v>
      </c>
      <c r="V3613" s="110" t="str">
        <f t="shared" si="118"/>
        <v>FWL</v>
      </c>
      <c r="W3613" s="110" t="s">
        <v>541</v>
      </c>
      <c r="X3613" s="110" t="s">
        <v>541</v>
      </c>
      <c r="Y3613" s="110" t="str">
        <f>IFERROR(VLOOKUP(F3613,'Freq-Chan'!C:E,3,FALSE),"na")</f>
        <v>na</v>
      </c>
      <c r="Z3613" s="110" t="s">
        <v>541</v>
      </c>
      <c r="AA3613" s="110" t="s">
        <v>541</v>
      </c>
      <c r="AB3613" s="110" t="s">
        <v>541</v>
      </c>
      <c r="AC3613" s="10" t="s">
        <v>541</v>
      </c>
      <c r="AD3613" s="10" t="s">
        <v>541</v>
      </c>
    </row>
    <row r="3614" spans="1:30" s="291" customFormat="1" x14ac:dyDescent="0.2">
      <c r="A3614" s="493">
        <v>3614</v>
      </c>
      <c r="B3614" s="283">
        <v>41883</v>
      </c>
      <c r="C3614" s="284">
        <v>1</v>
      </c>
      <c r="D3614" s="285" t="s">
        <v>72</v>
      </c>
      <c r="E3614" s="285" t="s">
        <v>306</v>
      </c>
      <c r="F3614" s="285">
        <v>917</v>
      </c>
      <c r="G3614" s="285">
        <v>79</v>
      </c>
      <c r="H3614" s="285"/>
      <c r="I3614" s="285">
        <v>58</v>
      </c>
      <c r="J3614" s="285"/>
      <c r="K3614" s="285" t="s">
        <v>1032</v>
      </c>
      <c r="L3614" s="286"/>
      <c r="M3614" s="287">
        <v>5.5555555555555552E-2</v>
      </c>
      <c r="N3614" s="288" t="s">
        <v>840</v>
      </c>
      <c r="O3614" s="286" t="s">
        <v>4418</v>
      </c>
      <c r="P3614" s="289"/>
      <c r="Q3614" s="289" t="s">
        <v>4549</v>
      </c>
      <c r="R3614" s="289" t="s">
        <v>4563</v>
      </c>
      <c r="S3614" s="494" t="str">
        <f t="shared" si="117"/>
        <v>x</v>
      </c>
      <c r="T3614" s="495">
        <f>IFERROR(VLOOKUP(F3614,'Freq-Chan'!C:D,2,FALSE),"x")</f>
        <v>151.917</v>
      </c>
      <c r="U3614" s="493" t="s">
        <v>541</v>
      </c>
      <c r="V3614" s="493" t="str">
        <f t="shared" si="118"/>
        <v>FWL</v>
      </c>
      <c r="W3614" s="493" t="s">
        <v>541</v>
      </c>
      <c r="X3614" s="493" t="s">
        <v>541</v>
      </c>
      <c r="Y3614" s="493" t="str">
        <f>IFERROR(VLOOKUP(F3614,'Freq-Chan'!C:E,3,FALSE),"na")</f>
        <v>F1835</v>
      </c>
      <c r="Z3614" s="493" t="s">
        <v>541</v>
      </c>
      <c r="AA3614" s="493" t="s">
        <v>541</v>
      </c>
      <c r="AB3614" s="493" t="s">
        <v>541</v>
      </c>
      <c r="AC3614" s="291" t="s">
        <v>541</v>
      </c>
      <c r="AD3614" s="291" t="s">
        <v>541</v>
      </c>
    </row>
    <row r="3615" spans="1:30" x14ac:dyDescent="0.2">
      <c r="A3615" s="110">
        <v>3615</v>
      </c>
      <c r="B3615" s="132">
        <v>41883</v>
      </c>
      <c r="C3615" s="117">
        <v>2</v>
      </c>
      <c r="D3615" s="103" t="s">
        <v>71</v>
      </c>
      <c r="E3615" s="103" t="s">
        <v>306</v>
      </c>
      <c r="H3615" s="103"/>
      <c r="I3615" s="103">
        <v>59</v>
      </c>
      <c r="K3615" s="103" t="s">
        <v>1032</v>
      </c>
      <c r="L3615" s="133"/>
      <c r="M3615" s="134">
        <v>1.5277777777777777E-2</v>
      </c>
      <c r="N3615" s="135" t="s">
        <v>3236</v>
      </c>
      <c r="O3615" s="133" t="s">
        <v>4418</v>
      </c>
      <c r="Q3615" s="100" t="s">
        <v>4557</v>
      </c>
      <c r="R3615" s="100" t="s">
        <v>4563</v>
      </c>
      <c r="S3615" s="491" t="str">
        <f t="shared" si="117"/>
        <v>x</v>
      </c>
      <c r="T3615" s="492" t="str">
        <f>IFERROR(VLOOKUP(F3615,'Freq-Chan'!C:D,2,FALSE),"x")</f>
        <v>x</v>
      </c>
      <c r="U3615" s="110" t="s">
        <v>541</v>
      </c>
      <c r="V3615" s="110" t="str">
        <f t="shared" si="118"/>
        <v>FWL</v>
      </c>
      <c r="W3615" s="110" t="s">
        <v>541</v>
      </c>
      <c r="X3615" s="110" t="s">
        <v>541</v>
      </c>
      <c r="Y3615" s="110" t="str">
        <f>IFERROR(VLOOKUP(F3615,'Freq-Chan'!C:E,3,FALSE),"na")</f>
        <v>na</v>
      </c>
      <c r="Z3615" s="110" t="s">
        <v>541</v>
      </c>
      <c r="AA3615" s="110" t="s">
        <v>541</v>
      </c>
      <c r="AB3615" s="110" t="s">
        <v>541</v>
      </c>
      <c r="AC3615" s="10" t="s">
        <v>541</v>
      </c>
      <c r="AD3615" s="10" t="s">
        <v>541</v>
      </c>
    </row>
    <row r="3616" spans="1:30" x14ac:dyDescent="0.2">
      <c r="A3616" s="110">
        <v>3616</v>
      </c>
      <c r="B3616" s="132">
        <v>41883</v>
      </c>
      <c r="C3616" s="117">
        <v>2</v>
      </c>
      <c r="D3616" s="103" t="s">
        <v>71</v>
      </c>
      <c r="E3616" s="103" t="s">
        <v>306</v>
      </c>
      <c r="H3616" s="103"/>
      <c r="I3616" s="103">
        <v>62</v>
      </c>
      <c r="K3616" s="103" t="s">
        <v>365</v>
      </c>
      <c r="L3616" s="133"/>
      <c r="M3616" s="134">
        <v>1.8749999999999999E-2</v>
      </c>
      <c r="N3616" s="135" t="s">
        <v>4561</v>
      </c>
      <c r="O3616" s="133" t="s">
        <v>4418</v>
      </c>
      <c r="Q3616" s="100" t="s">
        <v>4557</v>
      </c>
      <c r="R3616" s="100" t="s">
        <v>4563</v>
      </c>
      <c r="S3616" s="491" t="str">
        <f t="shared" si="117"/>
        <v>x</v>
      </c>
      <c r="T3616" s="492" t="str">
        <f>IFERROR(VLOOKUP(F3616,'Freq-Chan'!C:D,2,FALSE),"x")</f>
        <v>x</v>
      </c>
      <c r="U3616" s="110" t="s">
        <v>541</v>
      </c>
      <c r="V3616" s="110" t="str">
        <f t="shared" si="118"/>
        <v>FWL</v>
      </c>
      <c r="W3616" s="110" t="s">
        <v>541</v>
      </c>
      <c r="X3616" s="110" t="s">
        <v>541</v>
      </c>
      <c r="Y3616" s="110" t="str">
        <f>IFERROR(VLOOKUP(F3616,'Freq-Chan'!C:E,3,FALSE),"na")</f>
        <v>na</v>
      </c>
      <c r="Z3616" s="110" t="s">
        <v>541</v>
      </c>
      <c r="AA3616" s="110" t="s">
        <v>541</v>
      </c>
      <c r="AB3616" s="110" t="s">
        <v>541</v>
      </c>
      <c r="AC3616" s="10" t="s">
        <v>541</v>
      </c>
      <c r="AD3616" s="10" t="s">
        <v>541</v>
      </c>
    </row>
    <row r="3617" spans="1:30" x14ac:dyDescent="0.2">
      <c r="A3617" s="110">
        <v>3617</v>
      </c>
      <c r="B3617" s="132">
        <v>41883</v>
      </c>
      <c r="C3617" s="117">
        <v>2</v>
      </c>
      <c r="D3617" s="103" t="s">
        <v>8</v>
      </c>
      <c r="E3617" s="103" t="s">
        <v>306</v>
      </c>
      <c r="F3617" s="103">
        <v>573</v>
      </c>
      <c r="G3617" s="103">
        <v>74</v>
      </c>
      <c r="H3617" s="103" t="s">
        <v>2286</v>
      </c>
      <c r="I3617" s="103">
        <v>49</v>
      </c>
      <c r="K3617" s="103" t="s">
        <v>365</v>
      </c>
      <c r="L3617" s="133"/>
      <c r="M3617" s="134">
        <v>4.7916666666666663E-2</v>
      </c>
      <c r="N3617" s="135" t="s">
        <v>2778</v>
      </c>
      <c r="O3617" s="133" t="s">
        <v>4418</v>
      </c>
      <c r="Q3617" s="100" t="s">
        <v>4557</v>
      </c>
      <c r="R3617" s="100" t="s">
        <v>4563</v>
      </c>
      <c r="S3617" s="491" t="str">
        <f t="shared" si="117"/>
        <v>x</v>
      </c>
      <c r="T3617" s="492">
        <f>IFERROR(VLOOKUP(F3617,'Freq-Chan'!C:D,2,FALSE),"x")</f>
        <v>151.57300000000001</v>
      </c>
      <c r="U3617" s="110" t="s">
        <v>541</v>
      </c>
      <c r="V3617" s="110" t="str">
        <f t="shared" si="118"/>
        <v>FWL</v>
      </c>
      <c r="W3617" s="110" t="s">
        <v>541</v>
      </c>
      <c r="X3617" s="110" t="s">
        <v>541</v>
      </c>
      <c r="Y3617" s="110" t="str">
        <f>IFERROR(VLOOKUP(F3617,'Freq-Chan'!C:E,3,FALSE),"na")</f>
        <v>F1840</v>
      </c>
      <c r="Z3617" s="110" t="s">
        <v>541</v>
      </c>
      <c r="AA3617" s="110" t="s">
        <v>541</v>
      </c>
      <c r="AB3617" s="110" t="s">
        <v>541</v>
      </c>
      <c r="AC3617" s="10" t="s">
        <v>541</v>
      </c>
      <c r="AD3617" s="10" t="s">
        <v>541</v>
      </c>
    </row>
    <row r="3618" spans="1:30" s="291" customFormat="1" x14ac:dyDescent="0.2">
      <c r="A3618" s="493">
        <v>3618</v>
      </c>
      <c r="B3618" s="283">
        <v>41883</v>
      </c>
      <c r="C3618" s="284">
        <v>2</v>
      </c>
      <c r="D3618" s="285" t="s">
        <v>71</v>
      </c>
      <c r="E3618" s="285" t="s">
        <v>306</v>
      </c>
      <c r="F3618" s="285"/>
      <c r="G3618" s="285"/>
      <c r="H3618" s="285"/>
      <c r="I3618" s="285">
        <v>61</v>
      </c>
      <c r="J3618" s="285"/>
      <c r="K3618" s="285" t="s">
        <v>364</v>
      </c>
      <c r="L3618" s="286"/>
      <c r="M3618" s="287">
        <v>2.1527777777777781E-2</v>
      </c>
      <c r="N3618" s="288" t="s">
        <v>2852</v>
      </c>
      <c r="O3618" s="286" t="s">
        <v>1585</v>
      </c>
      <c r="P3618" s="289"/>
      <c r="Q3618" s="289" t="s">
        <v>4557</v>
      </c>
      <c r="R3618" s="289" t="s">
        <v>4563</v>
      </c>
      <c r="S3618" s="494" t="str">
        <f t="shared" si="117"/>
        <v>x</v>
      </c>
      <c r="T3618" s="495" t="str">
        <f>IFERROR(VLOOKUP(F3618,'Freq-Chan'!C:D,2,FALSE),"x")</f>
        <v>x</v>
      </c>
      <c r="U3618" s="493" t="s">
        <v>541</v>
      </c>
      <c r="V3618" s="493" t="str">
        <f t="shared" si="118"/>
        <v>FWL</v>
      </c>
      <c r="W3618" s="493" t="s">
        <v>541</v>
      </c>
      <c r="X3618" s="493" t="s">
        <v>541</v>
      </c>
      <c r="Y3618" s="493" t="str">
        <f>IFERROR(VLOOKUP(F3618,'Freq-Chan'!C:E,3,FALSE),"na")</f>
        <v>na</v>
      </c>
      <c r="Z3618" s="493" t="s">
        <v>541</v>
      </c>
      <c r="AA3618" s="493" t="s">
        <v>541</v>
      </c>
      <c r="AB3618" s="493" t="s">
        <v>541</v>
      </c>
      <c r="AC3618" s="291" t="s">
        <v>541</v>
      </c>
      <c r="AD3618" s="291" t="s">
        <v>541</v>
      </c>
    </row>
    <row r="3619" spans="1:30" x14ac:dyDescent="0.2">
      <c r="A3619" s="110">
        <v>3619</v>
      </c>
      <c r="B3619" s="132">
        <v>41883</v>
      </c>
      <c r="C3619" s="117">
        <v>3</v>
      </c>
      <c r="D3619" s="103" t="s">
        <v>72</v>
      </c>
      <c r="E3619" s="103" t="s">
        <v>306</v>
      </c>
      <c r="F3619" s="103">
        <v>917</v>
      </c>
      <c r="G3619" s="103">
        <v>18</v>
      </c>
      <c r="H3619" s="103"/>
      <c r="I3619" s="103">
        <v>57</v>
      </c>
      <c r="K3619" s="103" t="s">
        <v>365</v>
      </c>
      <c r="L3619" s="133"/>
      <c r="M3619" s="134">
        <v>4.5833333333333337E-2</v>
      </c>
      <c r="N3619" s="135" t="s">
        <v>2747</v>
      </c>
      <c r="O3619" s="133" t="s">
        <v>4418</v>
      </c>
      <c r="Q3619" s="100" t="s">
        <v>4557</v>
      </c>
      <c r="R3619" s="100" t="s">
        <v>4563</v>
      </c>
      <c r="S3619" s="491" t="str">
        <f t="shared" si="117"/>
        <v>x</v>
      </c>
      <c r="T3619" s="492">
        <f>IFERROR(VLOOKUP(F3619,'Freq-Chan'!C:D,2,FALSE),"x")</f>
        <v>151.917</v>
      </c>
      <c r="U3619" s="110" t="s">
        <v>541</v>
      </c>
      <c r="V3619" s="110" t="str">
        <f t="shared" si="118"/>
        <v>FWL</v>
      </c>
      <c r="W3619" s="110" t="s">
        <v>541</v>
      </c>
      <c r="X3619" s="110" t="s">
        <v>541</v>
      </c>
      <c r="Y3619" s="110" t="str">
        <f>IFERROR(VLOOKUP(F3619,'Freq-Chan'!C:E,3,FALSE),"na")</f>
        <v>F1835</v>
      </c>
      <c r="Z3619" s="110" t="s">
        <v>541</v>
      </c>
      <c r="AA3619" s="110" t="s">
        <v>541</v>
      </c>
      <c r="AB3619" s="110" t="s">
        <v>541</v>
      </c>
      <c r="AC3619" s="10" t="s">
        <v>541</v>
      </c>
      <c r="AD3619" s="10" t="s">
        <v>541</v>
      </c>
    </row>
    <row r="3620" spans="1:30" s="291" customFormat="1" x14ac:dyDescent="0.2">
      <c r="A3620" s="493">
        <v>3620</v>
      </c>
      <c r="B3620" s="283">
        <v>41883</v>
      </c>
      <c r="C3620" s="284">
        <v>3</v>
      </c>
      <c r="D3620" s="285" t="s">
        <v>72</v>
      </c>
      <c r="E3620" s="285" t="s">
        <v>306</v>
      </c>
      <c r="F3620" s="285"/>
      <c r="G3620" s="285"/>
      <c r="H3620" s="285"/>
      <c r="I3620" s="285">
        <v>60</v>
      </c>
      <c r="J3620" s="285"/>
      <c r="K3620" s="285" t="s">
        <v>1032</v>
      </c>
      <c r="L3620" s="286"/>
      <c r="M3620" s="287">
        <v>2.0833333333333332E-2</v>
      </c>
      <c r="N3620" s="288" t="s">
        <v>1690</v>
      </c>
      <c r="O3620" s="286" t="s">
        <v>4418</v>
      </c>
      <c r="P3620" s="289"/>
      <c r="Q3620" s="289" t="s">
        <v>4557</v>
      </c>
      <c r="R3620" s="289" t="s">
        <v>4563</v>
      </c>
      <c r="S3620" s="494" t="str">
        <f t="shared" si="117"/>
        <v>x</v>
      </c>
      <c r="T3620" s="495" t="str">
        <f>IFERROR(VLOOKUP(F3620,'Freq-Chan'!C:D,2,FALSE),"x")</f>
        <v>x</v>
      </c>
      <c r="U3620" s="493" t="s">
        <v>541</v>
      </c>
      <c r="V3620" s="493" t="str">
        <f t="shared" si="118"/>
        <v>FWL</v>
      </c>
      <c r="W3620" s="493" t="s">
        <v>541</v>
      </c>
      <c r="X3620" s="493" t="s">
        <v>541</v>
      </c>
      <c r="Y3620" s="493" t="str">
        <f>IFERROR(VLOOKUP(F3620,'Freq-Chan'!C:E,3,FALSE),"na")</f>
        <v>na</v>
      </c>
      <c r="Z3620" s="493" t="s">
        <v>541</v>
      </c>
      <c r="AA3620" s="493" t="s">
        <v>541</v>
      </c>
      <c r="AB3620" s="493" t="s">
        <v>541</v>
      </c>
      <c r="AC3620" s="291" t="s">
        <v>541</v>
      </c>
      <c r="AD3620" s="291" t="s">
        <v>541</v>
      </c>
    </row>
    <row r="3621" spans="1:30" x14ac:dyDescent="0.2">
      <c r="A3621" s="110">
        <v>3621</v>
      </c>
      <c r="B3621" s="132">
        <v>41884</v>
      </c>
      <c r="C3621" s="117">
        <v>2</v>
      </c>
      <c r="D3621" s="103" t="s">
        <v>71</v>
      </c>
      <c r="E3621" s="103" t="s">
        <v>306</v>
      </c>
      <c r="H3621" s="103"/>
      <c r="I3621" s="103">
        <v>56</v>
      </c>
      <c r="K3621" s="103" t="s">
        <v>1032</v>
      </c>
      <c r="L3621" s="133"/>
      <c r="M3621" s="134">
        <v>1.5972222222222224E-2</v>
      </c>
      <c r="N3621" s="135" t="s">
        <v>2778</v>
      </c>
      <c r="O3621" s="133" t="s">
        <v>3932</v>
      </c>
      <c r="Q3621" s="100" t="s">
        <v>4566</v>
      </c>
      <c r="R3621" s="100" t="s">
        <v>4569</v>
      </c>
      <c r="S3621" s="491" t="str">
        <f t="shared" si="117"/>
        <v>x</v>
      </c>
      <c r="T3621" s="492" t="str">
        <f>IFERROR(VLOOKUP(F3621,'Freq-Chan'!C:D,2,FALSE),"x")</f>
        <v>x</v>
      </c>
      <c r="U3621" s="110" t="s">
        <v>541</v>
      </c>
      <c r="V3621" s="110" t="str">
        <f t="shared" si="118"/>
        <v>FWL</v>
      </c>
      <c r="W3621" s="110" t="s">
        <v>541</v>
      </c>
      <c r="X3621" s="110" t="s">
        <v>541</v>
      </c>
      <c r="Y3621" s="110" t="str">
        <f>IFERROR(VLOOKUP(F3621,'Freq-Chan'!C:E,3,FALSE),"na")</f>
        <v>na</v>
      </c>
      <c r="Z3621" s="110" t="s">
        <v>541</v>
      </c>
      <c r="AA3621" s="110" t="s">
        <v>541</v>
      </c>
      <c r="AB3621" s="110" t="s">
        <v>541</v>
      </c>
      <c r="AC3621" s="10" t="s">
        <v>541</v>
      </c>
      <c r="AD3621" s="10" t="s">
        <v>541</v>
      </c>
    </row>
    <row r="3622" spans="1:30" x14ac:dyDescent="0.2">
      <c r="A3622" s="110">
        <v>3622</v>
      </c>
      <c r="B3622" s="132">
        <v>41884</v>
      </c>
      <c r="C3622" s="117">
        <v>2</v>
      </c>
      <c r="D3622" s="103" t="s">
        <v>71</v>
      </c>
      <c r="E3622" s="103" t="s">
        <v>306</v>
      </c>
      <c r="H3622" s="103"/>
      <c r="I3622" s="103">
        <v>58</v>
      </c>
      <c r="K3622" s="103" t="s">
        <v>365</v>
      </c>
      <c r="L3622" s="133"/>
      <c r="M3622" s="134">
        <v>1.9444444444444445E-2</v>
      </c>
      <c r="N3622" s="135" t="s">
        <v>3286</v>
      </c>
      <c r="O3622" s="133" t="s">
        <v>3932</v>
      </c>
      <c r="Q3622" s="100" t="s">
        <v>4566</v>
      </c>
      <c r="R3622" s="100" t="s">
        <v>4569</v>
      </c>
      <c r="S3622" s="491" t="str">
        <f t="shared" si="117"/>
        <v>x</v>
      </c>
      <c r="T3622" s="492" t="str">
        <f>IFERROR(VLOOKUP(F3622,'Freq-Chan'!C:D,2,FALSE),"x")</f>
        <v>x</v>
      </c>
      <c r="U3622" s="110" t="s">
        <v>541</v>
      </c>
      <c r="V3622" s="110" t="str">
        <f t="shared" si="118"/>
        <v>FWL</v>
      </c>
      <c r="W3622" s="110" t="s">
        <v>541</v>
      </c>
      <c r="X3622" s="110" t="s">
        <v>541</v>
      </c>
      <c r="Y3622" s="110" t="str">
        <f>IFERROR(VLOOKUP(F3622,'Freq-Chan'!C:E,3,FALSE),"na")</f>
        <v>na</v>
      </c>
      <c r="Z3622" s="110" t="s">
        <v>541</v>
      </c>
      <c r="AA3622" s="110" t="s">
        <v>541</v>
      </c>
      <c r="AB3622" s="110" t="s">
        <v>541</v>
      </c>
      <c r="AC3622" s="10" t="s">
        <v>541</v>
      </c>
      <c r="AD3622" s="10" t="s">
        <v>541</v>
      </c>
    </row>
    <row r="3623" spans="1:30" s="291" customFormat="1" x14ac:dyDescent="0.2">
      <c r="A3623" s="493">
        <v>3623</v>
      </c>
      <c r="B3623" s="283">
        <v>41884</v>
      </c>
      <c r="C3623" s="284">
        <v>2</v>
      </c>
      <c r="D3623" s="285" t="s">
        <v>71</v>
      </c>
      <c r="E3623" s="285" t="s">
        <v>306</v>
      </c>
      <c r="F3623" s="285"/>
      <c r="G3623" s="285"/>
      <c r="H3623" s="285"/>
      <c r="I3623" s="285">
        <v>57</v>
      </c>
      <c r="J3623" s="285"/>
      <c r="K3623" s="285" t="s">
        <v>1032</v>
      </c>
      <c r="L3623" s="286"/>
      <c r="M3623" s="287">
        <v>1.8055555555555557E-2</v>
      </c>
      <c r="N3623" s="288" t="s">
        <v>3249</v>
      </c>
      <c r="O3623" s="286" t="s">
        <v>3932</v>
      </c>
      <c r="P3623" s="289"/>
      <c r="Q3623" s="289" t="s">
        <v>4566</v>
      </c>
      <c r="R3623" s="100" t="s">
        <v>4569</v>
      </c>
      <c r="S3623" s="494" t="str">
        <f t="shared" si="117"/>
        <v>x</v>
      </c>
      <c r="T3623" s="495" t="str">
        <f>IFERROR(VLOOKUP(F3623,'Freq-Chan'!C:D,2,FALSE),"x")</f>
        <v>x</v>
      </c>
      <c r="U3623" s="493" t="s">
        <v>541</v>
      </c>
      <c r="V3623" s="493" t="str">
        <f t="shared" si="118"/>
        <v>FWL</v>
      </c>
      <c r="W3623" s="493" t="s">
        <v>541</v>
      </c>
      <c r="X3623" s="493" t="s">
        <v>541</v>
      </c>
      <c r="Y3623" s="493" t="str">
        <f>IFERROR(VLOOKUP(F3623,'Freq-Chan'!C:E,3,FALSE),"na")</f>
        <v>na</v>
      </c>
      <c r="Z3623" s="493" t="s">
        <v>541</v>
      </c>
      <c r="AA3623" s="493" t="s">
        <v>541</v>
      </c>
      <c r="AB3623" s="493" t="s">
        <v>541</v>
      </c>
      <c r="AC3623" s="291" t="s">
        <v>541</v>
      </c>
      <c r="AD3623" s="291" t="s">
        <v>541</v>
      </c>
    </row>
    <row r="3624" spans="1:30" s="314" customFormat="1" x14ac:dyDescent="0.2">
      <c r="A3624" s="499">
        <v>3624</v>
      </c>
      <c r="B3624" s="294">
        <v>41884</v>
      </c>
      <c r="C3624" s="295">
        <v>3</v>
      </c>
      <c r="D3624" s="296" t="s">
        <v>71</v>
      </c>
      <c r="E3624" s="296" t="s">
        <v>306</v>
      </c>
      <c r="F3624" s="296"/>
      <c r="G3624" s="296"/>
      <c r="H3624" s="296"/>
      <c r="I3624" s="296">
        <v>56</v>
      </c>
      <c r="J3624" s="296"/>
      <c r="K3624" s="296" t="s">
        <v>1032</v>
      </c>
      <c r="L3624" s="297"/>
      <c r="M3624" s="298">
        <v>1.8749999999999999E-2</v>
      </c>
      <c r="N3624" s="299" t="s">
        <v>1698</v>
      </c>
      <c r="O3624" s="297" t="s">
        <v>3932</v>
      </c>
      <c r="P3624" s="300"/>
      <c r="Q3624" s="300" t="s">
        <v>4566</v>
      </c>
      <c r="R3624" s="301" t="s">
        <v>4569</v>
      </c>
      <c r="S3624" s="500" t="str">
        <f t="shared" si="117"/>
        <v>x</v>
      </c>
      <c r="T3624" s="501" t="str">
        <f>IFERROR(VLOOKUP(F3624,'Freq-Chan'!C:D,2,FALSE),"x")</f>
        <v>x</v>
      </c>
      <c r="U3624" s="499" t="s">
        <v>541</v>
      </c>
      <c r="V3624" s="499" t="str">
        <f t="shared" si="118"/>
        <v>FWL</v>
      </c>
      <c r="W3624" s="499" t="s">
        <v>541</v>
      </c>
      <c r="X3624" s="499" t="s">
        <v>541</v>
      </c>
      <c r="Y3624" s="499" t="str">
        <f>IFERROR(VLOOKUP(F3624,'Freq-Chan'!C:E,3,FALSE),"na")</f>
        <v>na</v>
      </c>
      <c r="Z3624" s="499" t="s">
        <v>541</v>
      </c>
      <c r="AA3624" s="499" t="s">
        <v>541</v>
      </c>
      <c r="AB3624" s="499" t="s">
        <v>541</v>
      </c>
      <c r="AC3624" s="314" t="s">
        <v>541</v>
      </c>
      <c r="AD3624" s="314" t="s">
        <v>541</v>
      </c>
    </row>
    <row r="3625" spans="1:30" s="314" customFormat="1" x14ac:dyDescent="0.2">
      <c r="A3625" s="499">
        <v>3625</v>
      </c>
      <c r="B3625" s="294">
        <v>41885</v>
      </c>
      <c r="C3625" s="295">
        <v>1</v>
      </c>
      <c r="D3625" s="296" t="s">
        <v>72</v>
      </c>
      <c r="E3625" s="296" t="s">
        <v>306</v>
      </c>
      <c r="F3625" s="296">
        <v>917</v>
      </c>
      <c r="G3625" s="296">
        <v>87</v>
      </c>
      <c r="H3625" s="296"/>
      <c r="I3625" s="296">
        <v>60</v>
      </c>
      <c r="J3625" s="296"/>
      <c r="K3625" s="296" t="s">
        <v>365</v>
      </c>
      <c r="L3625" s="297"/>
      <c r="M3625" s="298">
        <v>3.2638888888888891E-2</v>
      </c>
      <c r="N3625" s="299" t="s">
        <v>3986</v>
      </c>
      <c r="O3625" s="297" t="s">
        <v>555</v>
      </c>
      <c r="P3625" s="300"/>
      <c r="Q3625" s="300" t="s">
        <v>4572</v>
      </c>
      <c r="R3625" s="301" t="s">
        <v>4569</v>
      </c>
      <c r="S3625" s="500" t="str">
        <f t="shared" si="117"/>
        <v>x</v>
      </c>
      <c r="T3625" s="501">
        <f>IFERROR(VLOOKUP(F3625,'Freq-Chan'!C:D,2,FALSE),"x")</f>
        <v>151.917</v>
      </c>
      <c r="U3625" s="499" t="s">
        <v>541</v>
      </c>
      <c r="V3625" s="499" t="str">
        <f t="shared" si="118"/>
        <v>FWL</v>
      </c>
      <c r="W3625" s="499" t="s">
        <v>541</v>
      </c>
      <c r="X3625" s="499" t="s">
        <v>541</v>
      </c>
      <c r="Y3625" s="499" t="str">
        <f>IFERROR(VLOOKUP(F3625,'Freq-Chan'!C:E,3,FALSE),"na")</f>
        <v>F1835</v>
      </c>
      <c r="Z3625" s="499" t="s">
        <v>541</v>
      </c>
      <c r="AA3625" s="499" t="s">
        <v>541</v>
      </c>
      <c r="AB3625" s="499" t="s">
        <v>541</v>
      </c>
      <c r="AC3625" s="314" t="s">
        <v>541</v>
      </c>
      <c r="AD3625" s="314" t="s">
        <v>541</v>
      </c>
    </row>
    <row r="3626" spans="1:30" s="314" customFormat="1" x14ac:dyDescent="0.2">
      <c r="A3626" s="499">
        <v>3626</v>
      </c>
      <c r="B3626" s="294">
        <v>41885</v>
      </c>
      <c r="C3626" s="295">
        <v>2</v>
      </c>
      <c r="D3626" s="296" t="s">
        <v>8</v>
      </c>
      <c r="E3626" s="296" t="s">
        <v>306</v>
      </c>
      <c r="F3626" s="296">
        <v>573</v>
      </c>
      <c r="G3626" s="296">
        <v>30</v>
      </c>
      <c r="H3626" s="296" t="s">
        <v>2291</v>
      </c>
      <c r="I3626" s="296">
        <v>50</v>
      </c>
      <c r="J3626" s="296"/>
      <c r="K3626" s="296" t="s">
        <v>1032</v>
      </c>
      <c r="L3626" s="297"/>
      <c r="M3626" s="298">
        <v>7.013888888888889E-2</v>
      </c>
      <c r="N3626" s="299" t="s">
        <v>770</v>
      </c>
      <c r="O3626" s="297" t="s">
        <v>555</v>
      </c>
      <c r="P3626" s="300" t="s">
        <v>4576</v>
      </c>
      <c r="Q3626" s="300" t="s">
        <v>4574</v>
      </c>
      <c r="R3626" s="301" t="s">
        <v>4569</v>
      </c>
      <c r="S3626" s="500" t="str">
        <f t="shared" si="117"/>
        <v>x</v>
      </c>
      <c r="T3626" s="501">
        <f>IFERROR(VLOOKUP(F3626,'Freq-Chan'!C:D,2,FALSE),"x")</f>
        <v>151.57300000000001</v>
      </c>
      <c r="U3626" s="499" t="s">
        <v>541</v>
      </c>
      <c r="V3626" s="499" t="str">
        <f t="shared" ref="V3626:V3628" si="119">IF(OR(C3626=1,C3626=2,C3626=3),"FWL","NRD")</f>
        <v>FWL</v>
      </c>
      <c r="W3626" s="499" t="s">
        <v>541</v>
      </c>
      <c r="X3626" s="499" t="s">
        <v>541</v>
      </c>
      <c r="Y3626" s="499" t="str">
        <f>IFERROR(VLOOKUP(F3626,'Freq-Chan'!C:E,3,FALSE),"na")</f>
        <v>F1840</v>
      </c>
      <c r="Z3626" s="499" t="s">
        <v>541</v>
      </c>
      <c r="AA3626" s="499" t="s">
        <v>541</v>
      </c>
      <c r="AB3626" s="499" t="s">
        <v>541</v>
      </c>
      <c r="AC3626" s="314" t="s">
        <v>541</v>
      </c>
      <c r="AD3626" s="314" t="s">
        <v>541</v>
      </c>
    </row>
    <row r="3627" spans="1:30" x14ac:dyDescent="0.2">
      <c r="A3627" s="110">
        <v>3627</v>
      </c>
      <c r="B3627" s="132">
        <v>41885</v>
      </c>
      <c r="C3627" s="117">
        <v>3</v>
      </c>
      <c r="D3627" s="103" t="s">
        <v>72</v>
      </c>
      <c r="E3627" s="103" t="s">
        <v>306</v>
      </c>
      <c r="F3627" s="103">
        <v>917</v>
      </c>
      <c r="G3627" s="103">
        <v>55</v>
      </c>
      <c r="H3627" s="103"/>
      <c r="I3627" s="103">
        <v>52</v>
      </c>
      <c r="K3627" s="103" t="s">
        <v>1032</v>
      </c>
      <c r="L3627" s="133"/>
      <c r="M3627" s="134">
        <v>2.5694444444444447E-2</v>
      </c>
      <c r="N3627" s="135" t="s">
        <v>3798</v>
      </c>
      <c r="O3627" s="133" t="s">
        <v>555</v>
      </c>
      <c r="Q3627" s="100" t="s">
        <v>4574</v>
      </c>
      <c r="R3627" s="312" t="s">
        <v>4569</v>
      </c>
      <c r="S3627" s="491" t="str">
        <f t="shared" si="117"/>
        <v>x</v>
      </c>
      <c r="T3627" s="492">
        <f>IFERROR(VLOOKUP(F3627,'Freq-Chan'!C:D,2,FALSE),"x")</f>
        <v>151.917</v>
      </c>
      <c r="U3627" s="110" t="s">
        <v>541</v>
      </c>
      <c r="V3627" s="110" t="str">
        <f t="shared" si="119"/>
        <v>FWL</v>
      </c>
      <c r="W3627" s="110" t="s">
        <v>541</v>
      </c>
      <c r="X3627" s="110" t="s">
        <v>541</v>
      </c>
      <c r="Y3627" s="110" t="str">
        <f>IFERROR(VLOOKUP(F3627,'Freq-Chan'!C:E,3,FALSE),"na")</f>
        <v>F1835</v>
      </c>
      <c r="Z3627" s="110" t="s">
        <v>541</v>
      </c>
      <c r="AA3627" s="110" t="s">
        <v>541</v>
      </c>
      <c r="AB3627" s="110" t="s">
        <v>541</v>
      </c>
      <c r="AC3627" s="10" t="s">
        <v>541</v>
      </c>
      <c r="AD3627" s="10" t="s">
        <v>541</v>
      </c>
    </row>
    <row r="3628" spans="1:30" s="291" customFormat="1" x14ac:dyDescent="0.2">
      <c r="A3628" s="493">
        <v>3628</v>
      </c>
      <c r="B3628" s="283">
        <v>41885</v>
      </c>
      <c r="C3628" s="284">
        <v>3</v>
      </c>
      <c r="D3628" s="285" t="s">
        <v>88</v>
      </c>
      <c r="E3628" s="285" t="s">
        <v>798</v>
      </c>
      <c r="F3628" s="285"/>
      <c r="G3628" s="285"/>
      <c r="H3628" s="285"/>
      <c r="I3628" s="285"/>
      <c r="J3628" s="285">
        <v>29.5</v>
      </c>
      <c r="K3628" s="285" t="s">
        <v>364</v>
      </c>
      <c r="L3628" s="286"/>
      <c r="M3628" s="287">
        <v>1.5277777777777777E-2</v>
      </c>
      <c r="N3628" s="288" t="s">
        <v>1966</v>
      </c>
      <c r="O3628" s="286" t="s">
        <v>3932</v>
      </c>
      <c r="P3628" s="289" t="s">
        <v>4575</v>
      </c>
      <c r="Q3628" s="289" t="s">
        <v>4574</v>
      </c>
      <c r="R3628" s="290" t="s">
        <v>4569</v>
      </c>
      <c r="S3628" s="494" t="str">
        <f t="shared" si="117"/>
        <v>x</v>
      </c>
      <c r="T3628" s="495" t="str">
        <f>IFERROR(VLOOKUP(F3628,'Freq-Chan'!C:D,2,FALSE),"x")</f>
        <v>x</v>
      </c>
      <c r="U3628" s="493" t="s">
        <v>541</v>
      </c>
      <c r="V3628" s="493" t="str">
        <f t="shared" si="119"/>
        <v>FWL</v>
      </c>
      <c r="W3628" s="493" t="s">
        <v>541</v>
      </c>
      <c r="X3628" s="493" t="s">
        <v>541</v>
      </c>
      <c r="Y3628" s="493" t="str">
        <f>IFERROR(VLOOKUP(F3628,'Freq-Chan'!C:E,3,FALSE),"na")</f>
        <v>na</v>
      </c>
      <c r="Z3628" s="493" t="s">
        <v>541</v>
      </c>
      <c r="AA3628" s="493" t="s">
        <v>541</v>
      </c>
      <c r="AB3628" s="493" t="s">
        <v>541</v>
      </c>
      <c r="AC3628" s="291" t="s">
        <v>541</v>
      </c>
      <c r="AD3628" s="291" t="s">
        <v>541</v>
      </c>
    </row>
    <row r="3629" spans="1:30" s="314" customFormat="1" x14ac:dyDescent="0.2">
      <c r="A3629" s="499">
        <v>3629</v>
      </c>
      <c r="B3629" s="294">
        <v>41887</v>
      </c>
      <c r="C3629" s="295">
        <v>3</v>
      </c>
      <c r="D3629" s="296" t="s">
        <v>71</v>
      </c>
      <c r="E3629" s="296" t="s">
        <v>306</v>
      </c>
      <c r="F3629" s="296"/>
      <c r="G3629" s="296"/>
      <c r="H3629" s="296"/>
      <c r="I3629" s="296">
        <v>61</v>
      </c>
      <c r="J3629" s="296"/>
      <c r="K3629" s="296" t="s">
        <v>1032</v>
      </c>
      <c r="L3629" s="297"/>
      <c r="M3629" s="298">
        <v>1.6666666666666666E-2</v>
      </c>
      <c r="N3629" s="299" t="s">
        <v>4295</v>
      </c>
      <c r="O3629" s="297" t="s">
        <v>3932</v>
      </c>
      <c r="P3629" s="300" t="s">
        <v>4017</v>
      </c>
      <c r="Q3629" s="300" t="s">
        <v>4585</v>
      </c>
      <c r="R3629" s="407" t="s">
        <v>4589</v>
      </c>
      <c r="S3629" s="500" t="str">
        <f t="shared" si="117"/>
        <v>x</v>
      </c>
      <c r="T3629" s="501" t="str">
        <f>IFERROR(VLOOKUP(F3629,'Freq-Chan'!C:D,2,FALSE),"x")</f>
        <v>x</v>
      </c>
      <c r="U3629" s="499" t="s">
        <v>541</v>
      </c>
      <c r="V3629" s="499" t="str">
        <f t="shared" si="118"/>
        <v>FWL</v>
      </c>
      <c r="W3629" s="499" t="s">
        <v>541</v>
      </c>
      <c r="X3629" s="499" t="s">
        <v>541</v>
      </c>
      <c r="Y3629" s="499" t="str">
        <f>IFERROR(VLOOKUP(F3629,'Freq-Chan'!C:E,3,FALSE),"na")</f>
        <v>na</v>
      </c>
      <c r="Z3629" s="499" t="s">
        <v>541</v>
      </c>
      <c r="AA3629" s="499" t="s">
        <v>541</v>
      </c>
      <c r="AB3629" s="499" t="s">
        <v>541</v>
      </c>
      <c r="AC3629" s="314" t="s">
        <v>541</v>
      </c>
      <c r="AD3629" s="314" t="s">
        <v>541</v>
      </c>
    </row>
    <row r="3630" spans="1:30" hidden="1" x14ac:dyDescent="0.2">
      <c r="B3630" s="132"/>
      <c r="C3630" s="117"/>
      <c r="L3630" s="133"/>
      <c r="M3630" s="134"/>
      <c r="N3630" s="135"/>
      <c r="O3630" s="133"/>
    </row>
    <row r="3631" spans="1:30" hidden="1" x14ac:dyDescent="0.2">
      <c r="B3631" s="132"/>
      <c r="C3631" s="117"/>
      <c r="L3631" s="133"/>
      <c r="M3631" s="134"/>
      <c r="N3631" s="135"/>
      <c r="O3631" s="133"/>
    </row>
    <row r="3632" spans="1:30" hidden="1" x14ac:dyDescent="0.2">
      <c r="B3632" s="132"/>
      <c r="C3632" s="117"/>
      <c r="L3632" s="133"/>
      <c r="M3632" s="134"/>
      <c r="N3632" s="135"/>
      <c r="O3632" s="133"/>
    </row>
    <row r="3633" spans="2:15" hidden="1" x14ac:dyDescent="0.2">
      <c r="B3633" s="132"/>
      <c r="C3633" s="117"/>
      <c r="L3633" s="133"/>
      <c r="M3633" s="134"/>
      <c r="N3633" s="135"/>
      <c r="O3633" s="133"/>
    </row>
    <row r="3634" spans="2:15" hidden="1" x14ac:dyDescent="0.2">
      <c r="B3634" s="132"/>
      <c r="C3634" s="117"/>
      <c r="L3634" s="133"/>
      <c r="M3634" s="134"/>
      <c r="N3634" s="135"/>
      <c r="O3634" s="133"/>
    </row>
    <row r="3635" spans="2:15" hidden="1" x14ac:dyDescent="0.2">
      <c r="B3635" s="132"/>
      <c r="C3635" s="117"/>
      <c r="L3635" s="133"/>
      <c r="M3635" s="134"/>
      <c r="N3635" s="135"/>
      <c r="O3635" s="133"/>
    </row>
    <row r="3636" spans="2:15" hidden="1" x14ac:dyDescent="0.2">
      <c r="B3636" s="132"/>
      <c r="C3636" s="117"/>
      <c r="L3636" s="133"/>
      <c r="M3636" s="134"/>
      <c r="N3636" s="135"/>
      <c r="O3636" s="133"/>
    </row>
    <row r="3637" spans="2:15" hidden="1" x14ac:dyDescent="0.2">
      <c r="B3637" s="132"/>
      <c r="C3637" s="117"/>
      <c r="L3637" s="133"/>
      <c r="M3637" s="134"/>
      <c r="N3637" s="135"/>
      <c r="O3637" s="133"/>
    </row>
    <row r="3638" spans="2:15" hidden="1" x14ac:dyDescent="0.2">
      <c r="B3638" s="132"/>
      <c r="C3638" s="117"/>
      <c r="L3638" s="133"/>
      <c r="M3638" s="134"/>
      <c r="N3638" s="135"/>
      <c r="O3638" s="133"/>
    </row>
    <row r="3639" spans="2:15" hidden="1" x14ac:dyDescent="0.2">
      <c r="B3639" s="132"/>
      <c r="C3639" s="117"/>
      <c r="L3639" s="133"/>
      <c r="M3639" s="134"/>
      <c r="N3639" s="135"/>
      <c r="O3639" s="133"/>
    </row>
    <row r="3640" spans="2:15" hidden="1" x14ac:dyDescent="0.2">
      <c r="B3640" s="132"/>
      <c r="C3640" s="117"/>
      <c r="L3640" s="133"/>
      <c r="M3640" s="134"/>
      <c r="N3640" s="135"/>
      <c r="O3640" s="133"/>
    </row>
    <row r="3641" spans="2:15" hidden="1" x14ac:dyDescent="0.2">
      <c r="B3641" s="132"/>
      <c r="C3641" s="117"/>
      <c r="L3641" s="133"/>
      <c r="M3641" s="134"/>
      <c r="N3641" s="135"/>
      <c r="O3641" s="133"/>
    </row>
    <row r="3642" spans="2:15" hidden="1" x14ac:dyDescent="0.2">
      <c r="B3642" s="132"/>
      <c r="C3642" s="117"/>
      <c r="L3642" s="133"/>
      <c r="M3642" s="134"/>
      <c r="N3642" s="135"/>
      <c r="O3642" s="133"/>
    </row>
    <row r="3643" spans="2:15" hidden="1" x14ac:dyDescent="0.2">
      <c r="B3643" s="132"/>
      <c r="C3643" s="117"/>
      <c r="L3643" s="133"/>
      <c r="M3643" s="134"/>
      <c r="N3643" s="135"/>
      <c r="O3643" s="133"/>
    </row>
    <row r="3644" spans="2:15" hidden="1" x14ac:dyDescent="0.2">
      <c r="B3644" s="132"/>
      <c r="C3644" s="117"/>
      <c r="L3644" s="133"/>
      <c r="M3644" s="134"/>
      <c r="N3644" s="135"/>
      <c r="O3644" s="133"/>
    </row>
    <row r="3645" spans="2:15" hidden="1" x14ac:dyDescent="0.2">
      <c r="B3645" s="132"/>
      <c r="C3645" s="117"/>
      <c r="L3645" s="133"/>
      <c r="M3645" s="134"/>
      <c r="N3645" s="135"/>
      <c r="O3645" s="133"/>
    </row>
    <row r="3646" spans="2:15" hidden="1" x14ac:dyDescent="0.2">
      <c r="B3646" s="132"/>
      <c r="C3646" s="117"/>
      <c r="L3646" s="133"/>
      <c r="M3646" s="134"/>
      <c r="N3646" s="135"/>
      <c r="O3646" s="133"/>
    </row>
    <row r="3647" spans="2:15" hidden="1" x14ac:dyDescent="0.2">
      <c r="B3647" s="132"/>
      <c r="C3647" s="117"/>
      <c r="L3647" s="133"/>
      <c r="M3647" s="134"/>
      <c r="N3647" s="135"/>
      <c r="O3647" s="133"/>
    </row>
    <row r="3648" spans="2:15" hidden="1" x14ac:dyDescent="0.2">
      <c r="B3648" s="132"/>
      <c r="C3648" s="117"/>
      <c r="L3648" s="133"/>
      <c r="M3648" s="134"/>
      <c r="N3648" s="135"/>
      <c r="O3648" s="133"/>
    </row>
    <row r="3649" spans="2:15" hidden="1" x14ac:dyDescent="0.2">
      <c r="B3649" s="132"/>
      <c r="C3649" s="117"/>
      <c r="L3649" s="133"/>
      <c r="M3649" s="134"/>
      <c r="N3649" s="135"/>
      <c r="O3649" s="133"/>
    </row>
    <row r="3650" spans="2:15" hidden="1" x14ac:dyDescent="0.2">
      <c r="B3650" s="132"/>
      <c r="C3650" s="117"/>
      <c r="L3650" s="133"/>
      <c r="M3650" s="134"/>
      <c r="N3650" s="135"/>
      <c r="O3650" s="133"/>
    </row>
    <row r="3651" spans="2:15" hidden="1" x14ac:dyDescent="0.2">
      <c r="B3651" s="132"/>
      <c r="C3651" s="117"/>
      <c r="L3651" s="133"/>
      <c r="M3651" s="134"/>
      <c r="N3651" s="135"/>
      <c r="O3651" s="133"/>
    </row>
    <row r="3652" spans="2:15" hidden="1" x14ac:dyDescent="0.2">
      <c r="B3652" s="132"/>
      <c r="C3652" s="117"/>
      <c r="L3652" s="133"/>
      <c r="M3652" s="134"/>
      <c r="N3652" s="135"/>
      <c r="O3652" s="133"/>
    </row>
    <row r="3653" spans="2:15" hidden="1" x14ac:dyDescent="0.2">
      <c r="B3653" s="132"/>
      <c r="C3653" s="117"/>
      <c r="L3653" s="133"/>
      <c r="M3653" s="134"/>
      <c r="N3653" s="135"/>
      <c r="O3653" s="133"/>
    </row>
    <row r="3654" spans="2:15" hidden="1" x14ac:dyDescent="0.2">
      <c r="B3654" s="132"/>
      <c r="C3654" s="117"/>
      <c r="L3654" s="133"/>
      <c r="M3654" s="134"/>
      <c r="N3654" s="135"/>
      <c r="O3654" s="133"/>
    </row>
    <row r="3655" spans="2:15" hidden="1" x14ac:dyDescent="0.2">
      <c r="B3655" s="132"/>
      <c r="C3655" s="117"/>
      <c r="L3655" s="133"/>
      <c r="M3655" s="134"/>
      <c r="N3655" s="135"/>
      <c r="O3655" s="133"/>
    </row>
    <row r="3656" spans="2:15" hidden="1" x14ac:dyDescent="0.2">
      <c r="B3656" s="132"/>
      <c r="C3656" s="117"/>
      <c r="L3656" s="133"/>
      <c r="M3656" s="134"/>
      <c r="N3656" s="135"/>
      <c r="O3656" s="133"/>
    </row>
    <row r="3657" spans="2:15" hidden="1" x14ac:dyDescent="0.2">
      <c r="B3657" s="132"/>
      <c r="C3657" s="117"/>
      <c r="L3657" s="133"/>
      <c r="M3657" s="134"/>
      <c r="N3657" s="135"/>
      <c r="O3657" s="133"/>
    </row>
    <row r="3658" spans="2:15" hidden="1" x14ac:dyDescent="0.2">
      <c r="B3658" s="132"/>
      <c r="C3658" s="117"/>
      <c r="L3658" s="133"/>
      <c r="M3658" s="134"/>
      <c r="N3658" s="135"/>
      <c r="O3658" s="133"/>
    </row>
    <row r="3659" spans="2:15" hidden="1" x14ac:dyDescent="0.2">
      <c r="B3659" s="132"/>
      <c r="C3659" s="117"/>
      <c r="L3659" s="133"/>
      <c r="M3659" s="134"/>
      <c r="N3659" s="135"/>
      <c r="O3659" s="133"/>
    </row>
    <row r="3660" spans="2:15" hidden="1" x14ac:dyDescent="0.2">
      <c r="B3660" s="132"/>
      <c r="C3660" s="117"/>
      <c r="L3660" s="133"/>
      <c r="M3660" s="134"/>
      <c r="N3660" s="135"/>
      <c r="O3660" s="133"/>
    </row>
    <row r="3661" spans="2:15" hidden="1" x14ac:dyDescent="0.2">
      <c r="B3661" s="132"/>
      <c r="C3661" s="117"/>
      <c r="L3661" s="133"/>
      <c r="M3661" s="134"/>
      <c r="N3661" s="135"/>
      <c r="O3661" s="133"/>
    </row>
    <row r="3662" spans="2:15" hidden="1" x14ac:dyDescent="0.2">
      <c r="B3662" s="132"/>
      <c r="C3662" s="117"/>
      <c r="L3662" s="133"/>
      <c r="M3662" s="134"/>
      <c r="N3662" s="135"/>
      <c r="O3662" s="133"/>
    </row>
    <row r="3663" spans="2:15" hidden="1" x14ac:dyDescent="0.2">
      <c r="B3663" s="132"/>
      <c r="C3663" s="117"/>
      <c r="L3663" s="133"/>
      <c r="M3663" s="134"/>
      <c r="N3663" s="135"/>
      <c r="O3663" s="133"/>
    </row>
    <row r="3664" spans="2:15" hidden="1" x14ac:dyDescent="0.2">
      <c r="B3664" s="132"/>
      <c r="C3664" s="117"/>
      <c r="L3664" s="133"/>
      <c r="M3664" s="134"/>
      <c r="N3664" s="135"/>
      <c r="O3664" s="133"/>
    </row>
    <row r="3665" spans="2:15" hidden="1" x14ac:dyDescent="0.2">
      <c r="B3665" s="132"/>
      <c r="C3665" s="117"/>
      <c r="L3665" s="133"/>
      <c r="M3665" s="134"/>
      <c r="N3665" s="135"/>
      <c r="O3665" s="133"/>
    </row>
    <row r="3666" spans="2:15" hidden="1" x14ac:dyDescent="0.2">
      <c r="B3666" s="132"/>
      <c r="C3666" s="117"/>
      <c r="L3666" s="133"/>
      <c r="M3666" s="134"/>
      <c r="N3666" s="135"/>
      <c r="O3666" s="133"/>
    </row>
    <row r="3667" spans="2:15" hidden="1" x14ac:dyDescent="0.2">
      <c r="B3667" s="132"/>
      <c r="C3667" s="117"/>
      <c r="L3667" s="133"/>
      <c r="M3667" s="134"/>
      <c r="N3667" s="135"/>
      <c r="O3667" s="133"/>
    </row>
    <row r="3668" spans="2:15" hidden="1" x14ac:dyDescent="0.2">
      <c r="B3668" s="132"/>
      <c r="C3668" s="117"/>
      <c r="L3668" s="133"/>
      <c r="M3668" s="134"/>
      <c r="N3668" s="135"/>
      <c r="O3668" s="133"/>
    </row>
    <row r="3669" spans="2:15" hidden="1" x14ac:dyDescent="0.2">
      <c r="B3669" s="132"/>
      <c r="C3669" s="117"/>
      <c r="L3669" s="133"/>
      <c r="M3669" s="134"/>
      <c r="N3669" s="135"/>
      <c r="O3669" s="133"/>
    </row>
    <row r="3670" spans="2:15" hidden="1" x14ac:dyDescent="0.2">
      <c r="B3670" s="132"/>
      <c r="C3670" s="117"/>
      <c r="L3670" s="133"/>
      <c r="M3670" s="134"/>
      <c r="N3670" s="135"/>
      <c r="O3670" s="133"/>
    </row>
    <row r="3671" spans="2:15" hidden="1" x14ac:dyDescent="0.2">
      <c r="B3671" s="132"/>
      <c r="C3671" s="117"/>
      <c r="L3671" s="133"/>
      <c r="M3671" s="134"/>
      <c r="N3671" s="135"/>
      <c r="O3671" s="133"/>
    </row>
    <row r="3672" spans="2:15" hidden="1" x14ac:dyDescent="0.2">
      <c r="B3672" s="132"/>
      <c r="C3672" s="117"/>
      <c r="L3672" s="133"/>
      <c r="M3672" s="134"/>
      <c r="N3672" s="135"/>
      <c r="O3672" s="133"/>
    </row>
    <row r="3673" spans="2:15" hidden="1" x14ac:dyDescent="0.2">
      <c r="B3673" s="132"/>
      <c r="C3673" s="117"/>
      <c r="L3673" s="133"/>
      <c r="M3673" s="134"/>
      <c r="N3673" s="135"/>
      <c r="O3673" s="133"/>
    </row>
    <row r="3674" spans="2:15" hidden="1" x14ac:dyDescent="0.2">
      <c r="B3674" s="132"/>
      <c r="C3674" s="117"/>
      <c r="L3674" s="133"/>
      <c r="M3674" s="134"/>
      <c r="N3674" s="135"/>
      <c r="O3674" s="133"/>
    </row>
    <row r="3675" spans="2:15" hidden="1" x14ac:dyDescent="0.2">
      <c r="B3675" s="132"/>
      <c r="C3675" s="117"/>
      <c r="L3675" s="133"/>
      <c r="M3675" s="134"/>
      <c r="N3675" s="135"/>
      <c r="O3675" s="133"/>
    </row>
    <row r="3676" spans="2:15" hidden="1" x14ac:dyDescent="0.2">
      <c r="B3676" s="132"/>
      <c r="C3676" s="117"/>
      <c r="L3676" s="133"/>
      <c r="M3676" s="134"/>
      <c r="N3676" s="135"/>
      <c r="O3676" s="133"/>
    </row>
    <row r="3677" spans="2:15" hidden="1" x14ac:dyDescent="0.2">
      <c r="B3677" s="132"/>
      <c r="C3677" s="117"/>
      <c r="L3677" s="133"/>
      <c r="M3677" s="134"/>
      <c r="N3677" s="135"/>
      <c r="O3677" s="133"/>
    </row>
    <row r="3678" spans="2:15" hidden="1" x14ac:dyDescent="0.2">
      <c r="B3678" s="132"/>
      <c r="C3678" s="117"/>
      <c r="L3678" s="133"/>
      <c r="M3678" s="134"/>
      <c r="N3678" s="135"/>
      <c r="O3678" s="133"/>
    </row>
    <row r="3679" spans="2:15" hidden="1" x14ac:dyDescent="0.2">
      <c r="B3679" s="132"/>
      <c r="C3679" s="117"/>
      <c r="L3679" s="133"/>
      <c r="M3679" s="134"/>
      <c r="N3679" s="135"/>
      <c r="O3679" s="133"/>
    </row>
    <row r="3680" spans="2:15" hidden="1" x14ac:dyDescent="0.2">
      <c r="B3680" s="132"/>
      <c r="C3680" s="117"/>
      <c r="L3680" s="133"/>
      <c r="M3680" s="134"/>
      <c r="N3680" s="135"/>
      <c r="O3680" s="133"/>
    </row>
    <row r="3681" spans="2:15" hidden="1" x14ac:dyDescent="0.2">
      <c r="B3681" s="132"/>
      <c r="C3681" s="117"/>
      <c r="L3681" s="133"/>
      <c r="M3681" s="134"/>
      <c r="N3681" s="135"/>
      <c r="O3681" s="133"/>
    </row>
    <row r="3682" spans="2:15" hidden="1" x14ac:dyDescent="0.2">
      <c r="B3682" s="132"/>
      <c r="C3682" s="117"/>
      <c r="L3682" s="133"/>
      <c r="M3682" s="134"/>
      <c r="N3682" s="135"/>
      <c r="O3682" s="133"/>
    </row>
    <row r="3683" spans="2:15" hidden="1" x14ac:dyDescent="0.2">
      <c r="B3683" s="132"/>
      <c r="C3683" s="117"/>
      <c r="L3683" s="133"/>
      <c r="M3683" s="134"/>
      <c r="N3683" s="135"/>
      <c r="O3683" s="133"/>
    </row>
    <row r="3684" spans="2:15" hidden="1" x14ac:dyDescent="0.2">
      <c r="B3684" s="132"/>
      <c r="C3684" s="117"/>
      <c r="L3684" s="133"/>
      <c r="M3684" s="134"/>
      <c r="N3684" s="135"/>
      <c r="O3684" s="133"/>
    </row>
    <row r="3685" spans="2:15" hidden="1" x14ac:dyDescent="0.2">
      <c r="B3685" s="132"/>
      <c r="C3685" s="117"/>
      <c r="L3685" s="133"/>
      <c r="M3685" s="134"/>
      <c r="N3685" s="135"/>
      <c r="O3685" s="133"/>
    </row>
    <row r="3686" spans="2:15" hidden="1" x14ac:dyDescent="0.2">
      <c r="B3686" s="132"/>
      <c r="C3686" s="117"/>
      <c r="L3686" s="133"/>
      <c r="M3686" s="134"/>
      <c r="N3686" s="135"/>
      <c r="O3686" s="133"/>
    </row>
    <row r="3687" spans="2:15" hidden="1" x14ac:dyDescent="0.2">
      <c r="B3687" s="132"/>
      <c r="C3687" s="117"/>
      <c r="L3687" s="133"/>
      <c r="M3687" s="134"/>
      <c r="N3687" s="135"/>
      <c r="O3687" s="133"/>
    </row>
    <row r="3688" spans="2:15" hidden="1" x14ac:dyDescent="0.2">
      <c r="B3688" s="132"/>
      <c r="C3688" s="117"/>
      <c r="L3688" s="133"/>
      <c r="M3688" s="134"/>
      <c r="N3688" s="135"/>
      <c r="O3688" s="133"/>
    </row>
    <row r="3689" spans="2:15" hidden="1" x14ac:dyDescent="0.2">
      <c r="B3689" s="132"/>
      <c r="C3689" s="117"/>
      <c r="L3689" s="133"/>
      <c r="M3689" s="134"/>
      <c r="N3689" s="135"/>
      <c r="O3689" s="133"/>
    </row>
    <row r="3690" spans="2:15" hidden="1" x14ac:dyDescent="0.2">
      <c r="B3690" s="132"/>
      <c r="C3690" s="117"/>
      <c r="L3690" s="133"/>
      <c r="M3690" s="134"/>
      <c r="N3690" s="135"/>
      <c r="O3690" s="133"/>
    </row>
    <row r="3691" spans="2:15" hidden="1" x14ac:dyDescent="0.2">
      <c r="B3691" s="132"/>
      <c r="C3691" s="117"/>
      <c r="L3691" s="133"/>
      <c r="M3691" s="134"/>
      <c r="N3691" s="135"/>
      <c r="O3691" s="133"/>
    </row>
    <row r="3692" spans="2:15" x14ac:dyDescent="0.2"/>
    <row r="3693" spans="2:15" x14ac:dyDescent="0.2"/>
    <row r="3694" spans="2:15" x14ac:dyDescent="0.2"/>
    <row r="3695" spans="2:15" x14ac:dyDescent="0.2"/>
    <row r="3696" spans="2:15"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sheetData>
  <sheetProtection formatCells="0" autoFilter="0" pivotTables="0"/>
  <protectedRanges>
    <protectedRange sqref="N2:N2186 C2184:M2187 C2188:N2217 B2184:B2217 N2218:N2221 Q2:Q2245 D2218:J2275 G2474:I2609 G2631:I3552 H2610:I2630 M2474:M2894 M2896:M3552 K2218:M2473 N2223:N2834 D2277:J2473 J2474:J3552 L2474:L3552 K2474:K2941 K2943:K3552 D2474:D2982 D2984:D3552 N2836:N3552 B2:M2183 B2218:C3552 Q2247:Q3552 R2:R3552 E2474:F3552 O2:P3552 R3564:R3629 B3561:Q3629" name="Data Entry"/>
    <protectedRange sqref="R3561:R3563 B3553:R3560" name="Data Entry_1"/>
  </protectedRanges>
  <phoneticPr fontId="5" type="noConversion"/>
  <dataValidations count="13">
    <dataValidation type="list" allowBlank="1" showInputMessage="1" showErrorMessage="1" sqref="K1091:K2941 K2:K946 K948:K1089 K2943:K3390 K3406:K1048576">
      <formula1>"F, M, U"</formula1>
    </dataValidation>
    <dataValidation type="date" operator="greaterThan" allowBlank="1" showInputMessage="1" showErrorMessage="1" sqref="B2:B946 B968:B1048576">
      <formula1>41395</formula1>
    </dataValidation>
    <dataValidation type="whole" allowBlank="1" showInputMessage="1" showErrorMessage="1" sqref="F1847:F2009 F2011:F2247 F1091:F1601 F3398 F2:F946 F948:F1089 F1603:F1845 F2249:F2275 F3402 F2277:F3390 F3406:F1048576">
      <formula1>0</formula1>
      <formula2>999</formula2>
    </dataValidation>
    <dataValidation type="whole" allowBlank="1" showInputMessage="1" showErrorMessage="1" sqref="G2277:G2609 G2:G946 G948:G1089 G1091:G2275 I2610:I2630 G2631:G3390 G3406:G1048576">
      <formula1>0</formula1>
      <formula2>99</formula2>
    </dataValidation>
    <dataValidation type="decimal" errorStyle="warning" allowBlank="1" showInputMessage="1" showErrorMessage="1" error="Odd size, please confirm." sqref="J2277:J3390 J2:J946 J948:J1089 J1091:J2275 J3406:J1048576">
      <formula1>0</formula1>
      <formula2>200</formula2>
    </dataValidation>
    <dataValidation type="decimal" allowBlank="1" showInputMessage="1" showErrorMessage="1" sqref="I1645:I1678 I2277:I2609 I2:I946 I948:I1089 I1091:I1643 I1680:I2275 I2631:I3390 I3406:I1048576">
      <formula1>0</formula1>
      <formula2>200</formula2>
    </dataValidation>
    <dataValidation type="time" allowBlank="1" showInputMessage="1" showErrorMessage="1" sqref="L1091:L3390 L2:L753 L755:L946 L948:L959 L961:L1089 L3406:L1048576">
      <formula1>0</formula1>
      <formula2>0.999305555555556</formula2>
    </dataValidation>
    <dataValidation type="time" operator="greaterThan" allowBlank="1" showInputMessage="1" showErrorMessage="1" sqref="M3296:M3390 M1091:M2894 M2:M41 M55:M946 M948:M1089 M2896:M3294 M3406:M1048576">
      <formula1>0</formula1>
    </dataValidation>
    <dataValidation type="textLength" allowBlank="1" showInputMessage="1" showErrorMessage="1" sqref="N2836:N3390 N2477:N2834 N3406:N3629">
      <formula1>5</formula1>
      <formula2>6</formula2>
    </dataValidation>
    <dataValidation type="list" allowBlank="1" showInputMessage="1" showErrorMessage="1" sqref="E2248:F2248 F1846 F2010 E1091:E2247 E2:E946 E948:E1089 E2277:E3390 E2249:E2275 E3406:E3629">
      <formula1>"Adult, Jack, Immature, Unknown, Unrecorded"</formula1>
    </dataValidation>
    <dataValidation operator="greaterThan" allowBlank="1" showInputMessage="1" showErrorMessage="1" sqref="H2277:H3390 H2:H946 H948:H1089 H1091:H2275 H3406:H3629"/>
    <dataValidation type="list" allowBlank="1" showInputMessage="1" showErrorMessage="1" sqref="D1:D946 D948:D1089 D1091:D2275 D2277:D2982 D2984:D1048576">
      <formula1>"CN,CNj,SO,PK,CM,CO,RT,DV,BU,RW,LS,HW,AG,WF"</formula1>
    </dataValidation>
    <dataValidation type="list" allowBlank="1" showInputMessage="1" showErrorMessage="1" sqref="C1:C946 C948:C1089 C1091:C1048576">
      <formula1>"1,2,3,BS_1,BS_2,BS_3,BS_4,BS_5,BS_6,BS_7,BS_8,BS_9,BS_10"</formula1>
    </dataValidation>
  </dataValidations>
  <pageMargins left="0.75" right="0.75" top="1" bottom="1" header="0.5" footer="0.5"/>
  <pageSetup scale="7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AJ101"/>
  <sheetViews>
    <sheetView zoomScale="90" zoomScaleNormal="90" workbookViewId="0">
      <selection activeCell="B2" sqref="B2"/>
    </sheetView>
  </sheetViews>
  <sheetFormatPr defaultRowHeight="12.75" x14ac:dyDescent="0.2"/>
  <cols>
    <col min="1" max="1" width="7.140625" style="355" customWidth="1"/>
    <col min="2" max="2" width="12.28515625" style="355" bestFit="1" customWidth="1"/>
    <col min="3" max="3" width="4.42578125" style="355" bestFit="1" customWidth="1"/>
    <col min="4" max="4" width="7.7109375" style="355" bestFit="1" customWidth="1"/>
    <col min="5" max="5" width="5.7109375" style="355" bestFit="1" customWidth="1"/>
    <col min="6" max="6" width="7.7109375" style="355" bestFit="1" customWidth="1"/>
    <col min="7" max="7" width="5.28515625" style="355" customWidth="1"/>
    <col min="8" max="8" width="5" style="355" bestFit="1" customWidth="1"/>
    <col min="9" max="9" width="3.140625" style="355" bestFit="1" customWidth="1"/>
    <col min="10" max="10" width="4.28515625" style="355" bestFit="1" customWidth="1"/>
    <col min="11" max="13" width="7.85546875" style="355" bestFit="1" customWidth="1"/>
    <col min="14" max="14" width="7.140625" style="355" bestFit="1" customWidth="1"/>
    <col min="15" max="15" width="6.28515625" style="355" bestFit="1" customWidth="1"/>
    <col min="16" max="16" width="52.42578125" style="365" customWidth="1"/>
    <col min="17" max="17" width="19.85546875" style="355" bestFit="1" customWidth="1"/>
    <col min="18" max="18" width="19.85546875" style="372" bestFit="1" customWidth="1"/>
    <col min="19" max="19" width="12.140625" style="355" bestFit="1" customWidth="1"/>
    <col min="20" max="20" width="8.5703125" style="372" customWidth="1"/>
    <col min="21" max="21" width="12.28515625" style="355" customWidth="1"/>
    <col min="22" max="22" width="8.7109375" style="355" customWidth="1"/>
    <col min="23" max="23" width="10" style="355" customWidth="1"/>
    <col min="24" max="24" width="14" style="355" customWidth="1"/>
    <col min="25" max="25" width="7" style="355" customWidth="1"/>
    <col min="26" max="26" width="10.28515625" style="355" customWidth="1"/>
    <col min="27" max="27" width="10.7109375" style="355" customWidth="1"/>
    <col min="28" max="29" width="8.140625" style="355" customWidth="1"/>
    <col min="30" max="30" width="9.28515625" style="355" customWidth="1"/>
    <col min="31" max="31" width="8.42578125" style="355" customWidth="1"/>
    <col min="32" max="32" width="10.140625" style="355" customWidth="1"/>
    <col min="33" max="33" width="11.5703125" style="355" customWidth="1"/>
    <col min="34" max="34" width="11.28515625" style="355" customWidth="1"/>
    <col min="35" max="35" width="11.42578125" style="355" customWidth="1"/>
    <col min="36" max="36" width="9.140625" style="355"/>
    <col min="37" max="16384" width="9.140625" style="18"/>
  </cols>
  <sheetData>
    <row r="1" spans="1:36" s="126" customFormat="1" ht="26.25" thickBot="1" x14ac:dyDescent="0.25">
      <c r="A1" s="124" t="s">
        <v>194</v>
      </c>
      <c r="B1" s="124" t="s">
        <v>3</v>
      </c>
      <c r="C1" s="148" t="s">
        <v>99</v>
      </c>
      <c r="D1" s="124" t="s">
        <v>141</v>
      </c>
      <c r="E1" s="124" t="s">
        <v>143</v>
      </c>
      <c r="F1" s="124" t="s">
        <v>140</v>
      </c>
      <c r="G1" s="124" t="s">
        <v>15</v>
      </c>
      <c r="H1" s="124" t="s">
        <v>73</v>
      </c>
      <c r="I1" s="124" t="s">
        <v>16</v>
      </c>
      <c r="J1" s="124" t="s">
        <v>17</v>
      </c>
      <c r="K1" s="124" t="s">
        <v>121</v>
      </c>
      <c r="L1" s="124" t="s">
        <v>142</v>
      </c>
      <c r="M1" s="124" t="s">
        <v>122</v>
      </c>
      <c r="N1" s="349" t="s">
        <v>120</v>
      </c>
      <c r="O1" s="124" t="s">
        <v>106</v>
      </c>
      <c r="P1" s="124" t="s">
        <v>76</v>
      </c>
      <c r="Q1" s="124" t="s">
        <v>29</v>
      </c>
      <c r="R1" s="350" t="s">
        <v>30</v>
      </c>
      <c r="S1" s="124" t="s">
        <v>74</v>
      </c>
      <c r="T1" s="510" t="s">
        <v>5</v>
      </c>
      <c r="U1" s="124" t="s">
        <v>3</v>
      </c>
      <c r="V1" s="124" t="s">
        <v>182</v>
      </c>
      <c r="W1" s="124" t="s">
        <v>84</v>
      </c>
      <c r="X1" s="124" t="s">
        <v>183</v>
      </c>
      <c r="Y1" s="124" t="s">
        <v>181</v>
      </c>
      <c r="Z1" s="124" t="s">
        <v>184</v>
      </c>
      <c r="AA1" s="124" t="s">
        <v>141</v>
      </c>
      <c r="AB1" s="124" t="s">
        <v>185</v>
      </c>
      <c r="AC1" s="124" t="s">
        <v>15</v>
      </c>
      <c r="AD1" s="124" t="s">
        <v>186</v>
      </c>
      <c r="AE1" s="124" t="s">
        <v>187</v>
      </c>
      <c r="AF1" s="124" t="s">
        <v>188</v>
      </c>
      <c r="AG1" s="124" t="s">
        <v>189</v>
      </c>
      <c r="AH1" s="124" t="s">
        <v>190</v>
      </c>
      <c r="AI1" s="124" t="s">
        <v>191</v>
      </c>
      <c r="AJ1" s="130" t="s">
        <v>1746</v>
      </c>
    </row>
    <row r="2" spans="1:36" x14ac:dyDescent="0.2">
      <c r="A2" s="10">
        <v>1</v>
      </c>
      <c r="B2" s="351">
        <v>41819</v>
      </c>
      <c r="C2" s="511">
        <v>1</v>
      </c>
      <c r="D2" s="10" t="s">
        <v>2</v>
      </c>
      <c r="E2" s="10" t="s">
        <v>1591</v>
      </c>
      <c r="F2" s="10">
        <v>764</v>
      </c>
      <c r="G2" s="10">
        <v>11</v>
      </c>
      <c r="H2" s="10">
        <v>94</v>
      </c>
      <c r="I2" s="10"/>
      <c r="J2" s="10" t="s">
        <v>364</v>
      </c>
      <c r="K2" s="352"/>
      <c r="L2" s="353">
        <v>0.11597222222222221</v>
      </c>
      <c r="M2" s="354" t="s">
        <v>1631</v>
      </c>
      <c r="N2" s="355" t="s">
        <v>1592</v>
      </c>
      <c r="O2" s="371" t="s">
        <v>806</v>
      </c>
      <c r="P2" s="344"/>
      <c r="Q2" s="10" t="s">
        <v>1726</v>
      </c>
      <c r="R2" s="226" t="s">
        <v>1697</v>
      </c>
      <c r="S2" s="512">
        <f t="shared" ref="S2" si="0">M2-K2-(L2*24)/(24*60)</f>
        <v>0.2459837962962963</v>
      </c>
      <c r="T2" s="364">
        <f>IF(ISERROR(VLOOKUP(F2,'Freq-Chan'!C:E,2,FALSE)),IF(F2&gt;0,"CHECK",""),151+(F2/1000))</f>
        <v>151.76400000000001</v>
      </c>
      <c r="U2" s="513">
        <f t="shared" ref="U2" si="1">B2</f>
        <v>41819</v>
      </c>
      <c r="V2" s="355" t="str">
        <f t="shared" ref="V2" si="2">IFERROR(TEXT(M2,"hh:mm:ss"),"12:00:01")</f>
        <v>05:57:00</v>
      </c>
      <c r="W2" s="10">
        <f>VLOOKUP($C2,ReleaseSites!$A:$D,3,FALSE)</f>
        <v>62.616370000000003</v>
      </c>
      <c r="X2" s="10">
        <f>VLOOKUP($C2,ReleaseSites!$A:$D,4,FALSE)</f>
        <v>-150.01661999999999</v>
      </c>
      <c r="Y2" s="10">
        <v>5512</v>
      </c>
      <c r="Z2" s="10">
        <v>-10</v>
      </c>
      <c r="AA2" s="10" t="s">
        <v>381</v>
      </c>
      <c r="AB2" s="355">
        <f t="shared" ref="AB2" si="3">IF(F2="","",F2)</f>
        <v>764</v>
      </c>
      <c r="AC2" s="355">
        <f t="shared" ref="AC2" si="4">IF(G2="","",G2)</f>
        <v>11</v>
      </c>
      <c r="AD2" s="355">
        <v>150</v>
      </c>
      <c r="AE2" s="355" t="str">
        <f>AB2&amp;"-"&amp;AC2</f>
        <v>764-11</v>
      </c>
      <c r="AF2" s="355" t="s">
        <v>193</v>
      </c>
      <c r="AG2" s="355">
        <v>1</v>
      </c>
      <c r="AH2" s="355">
        <v>0</v>
      </c>
      <c r="AI2" s="355">
        <v>105</v>
      </c>
      <c r="AJ2" s="10" t="s">
        <v>1591</v>
      </c>
    </row>
    <row r="3" spans="1:36" s="345" customFormat="1" x14ac:dyDescent="0.2">
      <c r="A3" s="291">
        <v>2</v>
      </c>
      <c r="B3" s="356">
        <v>41819</v>
      </c>
      <c r="C3" s="514">
        <v>1</v>
      </c>
      <c r="D3" s="291" t="s">
        <v>2</v>
      </c>
      <c r="E3" s="291" t="s">
        <v>1591</v>
      </c>
      <c r="F3" s="291"/>
      <c r="G3" s="291"/>
      <c r="H3" s="291">
        <v>88</v>
      </c>
      <c r="I3" s="291"/>
      <c r="J3" s="291" t="s">
        <v>364</v>
      </c>
      <c r="K3" s="357">
        <v>0.40277777777777773</v>
      </c>
      <c r="L3" s="358">
        <v>2.7777777777777776E-2</v>
      </c>
      <c r="M3" s="359" t="s">
        <v>2754</v>
      </c>
      <c r="N3" s="360" t="s">
        <v>1592</v>
      </c>
      <c r="O3" s="515" t="s">
        <v>1532</v>
      </c>
      <c r="P3" s="346" t="s">
        <v>1593</v>
      </c>
      <c r="Q3" s="291" t="s">
        <v>1726</v>
      </c>
      <c r="R3" s="290" t="s">
        <v>1697</v>
      </c>
      <c r="S3" s="516">
        <f t="shared" ref="S3" si="5">M3-K3-(L3*24)/(24*60)</f>
        <v>3.0092592592593026E-3</v>
      </c>
      <c r="T3" s="362" t="str">
        <f>IF(ISERROR(VLOOKUP(F3,'Freq-Chan'!C:E,2,FALSE)),IF(F3&gt;0,"CHECK",""),151+(F3/1000))</f>
        <v/>
      </c>
      <c r="U3" s="517">
        <f t="shared" ref="U3" si="6">B3</f>
        <v>41819</v>
      </c>
      <c r="V3" s="360" t="str">
        <f t="shared" ref="V3" si="7">IFERROR(TEXT(M3,"hh:mm:ss"),"12:00:01")</f>
        <v>09:45:00</v>
      </c>
      <c r="W3" s="291">
        <f>VLOOKUP($C3,ReleaseSites!$A:$D,3,FALSE)</f>
        <v>62.616370000000003</v>
      </c>
      <c r="X3" s="291">
        <f>VLOOKUP($C3,ReleaseSites!$A:$D,4,FALSE)</f>
        <v>-150.01661999999999</v>
      </c>
      <c r="Y3" s="291" t="s">
        <v>192</v>
      </c>
      <c r="Z3" s="291" t="s">
        <v>192</v>
      </c>
      <c r="AA3" s="291" t="s">
        <v>192</v>
      </c>
      <c r="AB3" s="360" t="str">
        <f t="shared" ref="AB3" si="8">IF(F3="","",F3)</f>
        <v/>
      </c>
      <c r="AC3" s="360" t="str">
        <f t="shared" ref="AC3" si="9">IF(G3="","",G3)</f>
        <v/>
      </c>
      <c r="AD3" s="360">
        <v>150</v>
      </c>
      <c r="AE3" s="360" t="str">
        <f t="shared" ref="AE3" si="10">AB3&amp;"-"&amp;AC3</f>
        <v>-</v>
      </c>
      <c r="AF3" s="360" t="s">
        <v>193</v>
      </c>
      <c r="AG3" s="360">
        <v>1</v>
      </c>
      <c r="AH3" s="360">
        <v>0</v>
      </c>
      <c r="AI3" s="360">
        <v>105</v>
      </c>
      <c r="AJ3" s="291" t="s">
        <v>1591</v>
      </c>
    </row>
    <row r="4" spans="1:36" x14ac:dyDescent="0.2">
      <c r="A4" s="10">
        <v>3</v>
      </c>
      <c r="B4" s="518">
        <v>41821</v>
      </c>
      <c r="C4" s="511">
        <v>1</v>
      </c>
      <c r="D4" s="10" t="s">
        <v>2</v>
      </c>
      <c r="E4" s="10" t="s">
        <v>1592</v>
      </c>
      <c r="F4" s="10"/>
      <c r="G4" s="10"/>
      <c r="H4" s="10">
        <v>57</v>
      </c>
      <c r="I4" s="10"/>
      <c r="J4" s="10" t="s">
        <v>364</v>
      </c>
      <c r="K4" s="352"/>
      <c r="L4" s="353">
        <v>4.7222222222222221E-2</v>
      </c>
      <c r="M4" s="354" t="s">
        <v>2753</v>
      </c>
      <c r="N4" s="10" t="s">
        <v>1592</v>
      </c>
      <c r="O4" s="371" t="s">
        <v>372</v>
      </c>
      <c r="P4" s="344" t="s">
        <v>1725</v>
      </c>
      <c r="Q4" s="100" t="s">
        <v>1706</v>
      </c>
      <c r="R4" s="361" t="s">
        <v>1739</v>
      </c>
      <c r="S4" s="512">
        <f t="shared" ref="S4:S13" si="11">M4-K4-(L4*24)/(24*60)</f>
        <v>0.23393518518518516</v>
      </c>
      <c r="T4" s="364" t="str">
        <f>IF(ISERROR(VLOOKUP(F4,'Freq-Chan'!C:E,2,FALSE)),IF(F4&gt;0,"CHECK",""),151+(F4/1000))</f>
        <v/>
      </c>
      <c r="U4" s="513">
        <f t="shared" ref="U4:U13" si="12">B4</f>
        <v>41821</v>
      </c>
      <c r="V4" s="355" t="str">
        <f t="shared" ref="V4:V13" si="13">IFERROR(TEXT(M4,"hh:mm:ss"),"12:00:01")</f>
        <v>05:38:00</v>
      </c>
      <c r="W4" s="10">
        <f>VLOOKUP($C4,ReleaseSites!$A:$D,3,FALSE)</f>
        <v>62.616370000000003</v>
      </c>
      <c r="X4" s="10">
        <f>VLOOKUP($C4,ReleaseSites!$A:$D,4,FALSE)</f>
        <v>-150.01661999999999</v>
      </c>
      <c r="Y4" s="10" t="s">
        <v>192</v>
      </c>
      <c r="Z4" s="10" t="s">
        <v>192</v>
      </c>
      <c r="AA4" s="10" t="s">
        <v>192</v>
      </c>
      <c r="AB4" s="355" t="str">
        <f t="shared" ref="AB4:AB13" si="14">IF(F4="","",F4)</f>
        <v/>
      </c>
      <c r="AC4" s="355" t="str">
        <f t="shared" ref="AC4:AC13" si="15">IF(G4="","",G4)</f>
        <v/>
      </c>
      <c r="AD4" s="355">
        <v>150</v>
      </c>
      <c r="AE4" s="355" t="str">
        <f t="shared" ref="AE4:AE13" si="16">AB4&amp;"-"&amp;AC4</f>
        <v>-</v>
      </c>
      <c r="AF4" s="355" t="s">
        <v>193</v>
      </c>
      <c r="AG4" s="355">
        <v>1</v>
      </c>
      <c r="AH4" s="355">
        <v>0</v>
      </c>
      <c r="AI4" s="355">
        <v>105</v>
      </c>
      <c r="AJ4" s="10" t="s">
        <v>1591</v>
      </c>
    </row>
    <row r="5" spans="1:36" s="345" customFormat="1" x14ac:dyDescent="0.2">
      <c r="A5" s="291">
        <v>4</v>
      </c>
      <c r="B5" s="519">
        <v>41821</v>
      </c>
      <c r="C5" s="514">
        <v>1</v>
      </c>
      <c r="D5" s="291" t="s">
        <v>2</v>
      </c>
      <c r="E5" s="291" t="s">
        <v>1591</v>
      </c>
      <c r="F5" s="291">
        <v>684</v>
      </c>
      <c r="G5" s="291">
        <v>58</v>
      </c>
      <c r="H5" s="291"/>
      <c r="I5" s="291"/>
      <c r="J5" s="291" t="s">
        <v>364</v>
      </c>
      <c r="K5" s="357">
        <v>0.29722222222222222</v>
      </c>
      <c r="L5" s="358">
        <v>5.0694444444444452E-2</v>
      </c>
      <c r="M5" s="359" t="s">
        <v>2752</v>
      </c>
      <c r="N5" s="291" t="s">
        <v>1592</v>
      </c>
      <c r="O5" s="515" t="s">
        <v>372</v>
      </c>
      <c r="P5" s="346"/>
      <c r="Q5" s="289" t="s">
        <v>1706</v>
      </c>
      <c r="R5" s="362" t="s">
        <v>1739</v>
      </c>
      <c r="S5" s="516">
        <f t="shared" si="11"/>
        <v>6.0995370370370127E-3</v>
      </c>
      <c r="T5" s="362">
        <f>IF(ISERROR(VLOOKUP(F5,'Freq-Chan'!C:E,2,FALSE)),IF(F5&gt;0,"CHECK",""),151+(F5/1000))</f>
        <v>151.684</v>
      </c>
      <c r="U5" s="517">
        <f t="shared" si="12"/>
        <v>41821</v>
      </c>
      <c r="V5" s="360" t="str">
        <f t="shared" si="13"/>
        <v>07:18:00</v>
      </c>
      <c r="W5" s="291">
        <f>VLOOKUP($C5,ReleaseSites!$A:$D,3,FALSE)</f>
        <v>62.616370000000003</v>
      </c>
      <c r="X5" s="291">
        <f>VLOOKUP($C5,ReleaseSites!$A:$D,4,FALSE)</f>
        <v>-150.01661999999999</v>
      </c>
      <c r="Y5" s="291">
        <v>373</v>
      </c>
      <c r="Z5" s="291">
        <v>-1</v>
      </c>
      <c r="AA5" s="291" t="s">
        <v>2</v>
      </c>
      <c r="AB5" s="360">
        <f t="shared" si="14"/>
        <v>684</v>
      </c>
      <c r="AC5" s="360">
        <f t="shared" si="15"/>
        <v>58</v>
      </c>
      <c r="AD5" s="360">
        <v>150</v>
      </c>
      <c r="AE5" s="360" t="str">
        <f t="shared" si="16"/>
        <v>684-58</v>
      </c>
      <c r="AF5" s="360" t="s">
        <v>193</v>
      </c>
      <c r="AG5" s="360">
        <v>1</v>
      </c>
      <c r="AH5" s="360">
        <v>0</v>
      </c>
      <c r="AI5" s="360">
        <v>105</v>
      </c>
      <c r="AJ5" s="291" t="s">
        <v>1591</v>
      </c>
    </row>
    <row r="6" spans="1:36" x14ac:dyDescent="0.2">
      <c r="A6" s="10">
        <v>5</v>
      </c>
      <c r="B6" s="351">
        <v>41822</v>
      </c>
      <c r="C6" s="511">
        <v>3</v>
      </c>
      <c r="D6" s="10" t="s">
        <v>177</v>
      </c>
      <c r="E6" s="10"/>
      <c r="F6" s="10">
        <v>917</v>
      </c>
      <c r="G6" s="10">
        <v>26</v>
      </c>
      <c r="H6" s="10">
        <v>46</v>
      </c>
      <c r="I6" s="10"/>
      <c r="J6" s="10" t="s">
        <v>364</v>
      </c>
      <c r="K6" s="352"/>
      <c r="L6" s="353">
        <v>5.4166666666666669E-2</v>
      </c>
      <c r="M6" s="354" t="s">
        <v>1741</v>
      </c>
      <c r="N6" s="10" t="s">
        <v>1592</v>
      </c>
      <c r="O6" s="371" t="s">
        <v>372</v>
      </c>
      <c r="P6" s="363"/>
      <c r="Q6" s="10" t="s">
        <v>1744</v>
      </c>
      <c r="R6" s="364" t="s">
        <v>1745</v>
      </c>
      <c r="S6" s="512">
        <f t="shared" si="11"/>
        <v>0.72826388888888882</v>
      </c>
      <c r="T6" s="364">
        <f>IF(ISERROR(VLOOKUP(F6,'Freq-Chan'!C:E,2,FALSE)),IF(F6&gt;0,"CHECK",""),151+(F6/1000))</f>
        <v>151.917</v>
      </c>
      <c r="U6" s="513">
        <f t="shared" si="12"/>
        <v>41822</v>
      </c>
      <c r="V6" s="355" t="str">
        <f t="shared" si="13"/>
        <v>17:30:00</v>
      </c>
      <c r="W6" s="10">
        <f>VLOOKUP($C6,ReleaseSites!$A:$D,3,FALSE)</f>
        <v>62.637349999999998</v>
      </c>
      <c r="X6" s="10">
        <f>VLOOKUP($C6,ReleaseSites!$A:$D,4,FALSE)</f>
        <v>-149.97753</v>
      </c>
      <c r="Y6" s="10">
        <v>273</v>
      </c>
      <c r="Z6" s="10">
        <v>-1</v>
      </c>
      <c r="AA6" s="10" t="s">
        <v>177</v>
      </c>
      <c r="AB6" s="355">
        <f t="shared" si="14"/>
        <v>917</v>
      </c>
      <c r="AC6" s="355">
        <f t="shared" si="15"/>
        <v>26</v>
      </c>
      <c r="AD6" s="355">
        <v>150</v>
      </c>
      <c r="AE6" s="355" t="str">
        <f t="shared" si="16"/>
        <v>917-26</v>
      </c>
      <c r="AF6" s="355" t="s">
        <v>193</v>
      </c>
      <c r="AG6" s="355">
        <v>1</v>
      </c>
      <c r="AH6" s="355">
        <v>0</v>
      </c>
      <c r="AI6" s="355">
        <v>105</v>
      </c>
      <c r="AJ6" s="10" t="s">
        <v>1591</v>
      </c>
    </row>
    <row r="7" spans="1:36" x14ac:dyDescent="0.2">
      <c r="A7" s="10">
        <v>6</v>
      </c>
      <c r="B7" s="351">
        <v>41822</v>
      </c>
      <c r="C7" s="511">
        <v>3</v>
      </c>
      <c r="D7" s="10" t="s">
        <v>2</v>
      </c>
      <c r="E7" s="11"/>
      <c r="F7" s="10">
        <v>725</v>
      </c>
      <c r="G7" s="10">
        <v>94</v>
      </c>
      <c r="H7" s="10"/>
      <c r="I7" s="10"/>
      <c r="J7" s="10" t="s">
        <v>364</v>
      </c>
      <c r="K7" s="352"/>
      <c r="L7" s="353">
        <v>0.10833333333333334</v>
      </c>
      <c r="M7" s="354" t="s">
        <v>1742</v>
      </c>
      <c r="N7" s="10" t="s">
        <v>1592</v>
      </c>
      <c r="O7" s="371" t="s">
        <v>806</v>
      </c>
      <c r="Q7" s="10" t="s">
        <v>1744</v>
      </c>
      <c r="R7" s="364" t="s">
        <v>1745</v>
      </c>
      <c r="S7" s="512">
        <f t="shared" si="11"/>
        <v>0.81486111111111126</v>
      </c>
      <c r="T7" s="364">
        <f>IF(ISERROR(VLOOKUP(F7,'Freq-Chan'!C:E,2,FALSE)),IF(F7&gt;0,"CHECK",""),151+(F7/1000))</f>
        <v>151.72499999999999</v>
      </c>
      <c r="U7" s="513">
        <f t="shared" si="12"/>
        <v>41822</v>
      </c>
      <c r="V7" s="355" t="str">
        <f t="shared" si="13"/>
        <v>19:36:00</v>
      </c>
      <c r="W7" s="10">
        <f>VLOOKUP($C7,ReleaseSites!$A:$D,3,FALSE)</f>
        <v>62.637349999999998</v>
      </c>
      <c r="X7" s="10">
        <f>VLOOKUP($C7,ReleaseSites!$A:$D,4,FALSE)</f>
        <v>-149.97753</v>
      </c>
      <c r="Y7" s="10">
        <v>316</v>
      </c>
      <c r="Z7" s="10">
        <v>-1</v>
      </c>
      <c r="AA7" s="10" t="s">
        <v>2</v>
      </c>
      <c r="AB7" s="355">
        <f t="shared" si="14"/>
        <v>725</v>
      </c>
      <c r="AC7" s="355">
        <f t="shared" si="15"/>
        <v>94</v>
      </c>
      <c r="AD7" s="355">
        <v>150</v>
      </c>
      <c r="AE7" s="355" t="str">
        <f t="shared" si="16"/>
        <v>725-94</v>
      </c>
      <c r="AF7" s="355" t="s">
        <v>193</v>
      </c>
      <c r="AG7" s="355">
        <v>1</v>
      </c>
      <c r="AH7" s="355">
        <v>0</v>
      </c>
      <c r="AI7" s="355">
        <v>105</v>
      </c>
      <c r="AJ7" s="10" t="s">
        <v>1591</v>
      </c>
    </row>
    <row r="8" spans="1:36" x14ac:dyDescent="0.2">
      <c r="A8" s="10">
        <v>7</v>
      </c>
      <c r="B8" s="351">
        <v>41822</v>
      </c>
      <c r="C8" s="511">
        <v>3</v>
      </c>
      <c r="D8" s="10" t="s">
        <v>2</v>
      </c>
      <c r="E8" s="11"/>
      <c r="F8" s="10">
        <v>924</v>
      </c>
      <c r="G8" s="10">
        <v>12</v>
      </c>
      <c r="H8" s="10"/>
      <c r="I8" s="10"/>
      <c r="J8" s="10" t="s">
        <v>364</v>
      </c>
      <c r="K8" s="352">
        <v>0.86805555555555547</v>
      </c>
      <c r="L8" s="353">
        <v>0.10069444444444443</v>
      </c>
      <c r="M8" s="354" t="s">
        <v>368</v>
      </c>
      <c r="N8" s="10" t="s">
        <v>1592</v>
      </c>
      <c r="O8" s="371" t="s">
        <v>806</v>
      </c>
      <c r="P8" s="366"/>
      <c r="Q8" s="10" t="s">
        <v>1744</v>
      </c>
      <c r="R8" s="364" t="s">
        <v>1745</v>
      </c>
      <c r="S8" s="512">
        <f t="shared" si="11"/>
        <v>1.7939814814815803E-3</v>
      </c>
      <c r="T8" s="364">
        <f>IF(ISERROR(VLOOKUP(F8,'Freq-Chan'!C:E,2,FALSE)),IF(F8&gt;0,"CHECK",""),151+(F8/1000))</f>
        <v>151.92400000000001</v>
      </c>
      <c r="U8" s="513">
        <f t="shared" si="12"/>
        <v>41822</v>
      </c>
      <c r="V8" s="355" t="str">
        <f t="shared" si="13"/>
        <v>20:55:00</v>
      </c>
      <c r="W8" s="10">
        <f>VLOOKUP($C8,ReleaseSites!$A:$D,3,FALSE)</f>
        <v>62.637349999999998</v>
      </c>
      <c r="X8" s="10">
        <f>VLOOKUP($C8,ReleaseSites!$A:$D,4,FALSE)</f>
        <v>-149.97753</v>
      </c>
      <c r="Y8" s="10">
        <v>5713</v>
      </c>
      <c r="Z8" s="10">
        <v>-10</v>
      </c>
      <c r="AA8" s="10" t="s">
        <v>381</v>
      </c>
      <c r="AB8" s="355">
        <f t="shared" si="14"/>
        <v>924</v>
      </c>
      <c r="AC8" s="355">
        <f t="shared" si="15"/>
        <v>12</v>
      </c>
      <c r="AD8" s="355">
        <v>150</v>
      </c>
      <c r="AE8" s="355" t="str">
        <f t="shared" si="16"/>
        <v>924-12</v>
      </c>
      <c r="AF8" s="355" t="s">
        <v>193</v>
      </c>
      <c r="AG8" s="355">
        <v>1</v>
      </c>
      <c r="AH8" s="355">
        <v>0</v>
      </c>
      <c r="AI8" s="355">
        <v>105</v>
      </c>
      <c r="AJ8" s="10" t="s">
        <v>1591</v>
      </c>
    </row>
    <row r="9" spans="1:36" s="345" customFormat="1" x14ac:dyDescent="0.2">
      <c r="A9" s="291">
        <v>8</v>
      </c>
      <c r="B9" s="356">
        <v>41822</v>
      </c>
      <c r="C9" s="514">
        <v>3</v>
      </c>
      <c r="D9" s="291" t="s">
        <v>2</v>
      </c>
      <c r="E9" s="367"/>
      <c r="F9" s="291">
        <v>784</v>
      </c>
      <c r="G9" s="291">
        <v>75</v>
      </c>
      <c r="H9" s="291">
        <v>80</v>
      </c>
      <c r="I9" s="291"/>
      <c r="J9" s="367" t="s">
        <v>364</v>
      </c>
      <c r="K9" s="357">
        <v>0.8833333333333333</v>
      </c>
      <c r="L9" s="358">
        <v>0.10069444444444443</v>
      </c>
      <c r="M9" s="359" t="s">
        <v>1743</v>
      </c>
      <c r="N9" s="367" t="s">
        <v>1592</v>
      </c>
      <c r="O9" s="515" t="s">
        <v>806</v>
      </c>
      <c r="P9" s="346"/>
      <c r="Q9" s="291" t="s">
        <v>1744</v>
      </c>
      <c r="R9" s="362" t="s">
        <v>1745</v>
      </c>
      <c r="S9" s="516">
        <f t="shared" si="11"/>
        <v>1.0995370370370273E-3</v>
      </c>
      <c r="T9" s="362">
        <f>IF(ISERROR(VLOOKUP(F9,'Freq-Chan'!C:E,2,FALSE)),IF(F9&gt;0,"CHECK",""),151+(F9/1000))</f>
        <v>151.78399999999999</v>
      </c>
      <c r="U9" s="517">
        <f t="shared" si="12"/>
        <v>41822</v>
      </c>
      <c r="V9" s="360" t="str">
        <f t="shared" si="13"/>
        <v>21:16:00</v>
      </c>
      <c r="W9" s="291">
        <f>VLOOKUP($C9,ReleaseSites!$A:$D,3,FALSE)</f>
        <v>62.637349999999998</v>
      </c>
      <c r="X9" s="291">
        <f>VLOOKUP($C9,ReleaseSites!$A:$D,4,FALSE)</f>
        <v>-149.97753</v>
      </c>
      <c r="Y9" s="291">
        <v>458</v>
      </c>
      <c r="Z9" s="291">
        <v>-2</v>
      </c>
      <c r="AA9" s="291" t="s">
        <v>2</v>
      </c>
      <c r="AB9" s="360">
        <f t="shared" si="14"/>
        <v>784</v>
      </c>
      <c r="AC9" s="360">
        <f t="shared" si="15"/>
        <v>75</v>
      </c>
      <c r="AD9" s="360">
        <v>150</v>
      </c>
      <c r="AE9" s="360" t="str">
        <f t="shared" si="16"/>
        <v>784-75</v>
      </c>
      <c r="AF9" s="360" t="s">
        <v>193</v>
      </c>
      <c r="AG9" s="360">
        <v>1</v>
      </c>
      <c r="AH9" s="360">
        <v>0</v>
      </c>
      <c r="AI9" s="360">
        <v>105</v>
      </c>
      <c r="AJ9" s="291" t="s">
        <v>1591</v>
      </c>
    </row>
    <row r="10" spans="1:36" x14ac:dyDescent="0.2">
      <c r="A10" s="10">
        <v>9</v>
      </c>
      <c r="B10" s="518">
        <v>41824</v>
      </c>
      <c r="C10" s="511">
        <v>3</v>
      </c>
      <c r="D10" s="11" t="s">
        <v>2</v>
      </c>
      <c r="E10" s="11"/>
      <c r="F10" s="10"/>
      <c r="G10" s="10"/>
      <c r="H10" s="10"/>
      <c r="I10" s="10"/>
      <c r="J10" s="11" t="s">
        <v>364</v>
      </c>
      <c r="K10" s="368">
        <v>0.3298611111111111</v>
      </c>
      <c r="L10" s="369">
        <v>0.125</v>
      </c>
      <c r="M10" s="354" t="s">
        <v>1870</v>
      </c>
      <c r="N10" s="11" t="s">
        <v>1592</v>
      </c>
      <c r="O10" s="371" t="s">
        <v>802</v>
      </c>
      <c r="P10" s="344" t="s">
        <v>1871</v>
      </c>
      <c r="Q10" s="355" t="s">
        <v>1872</v>
      </c>
      <c r="R10" s="372" t="s">
        <v>2081</v>
      </c>
      <c r="S10" s="512">
        <f t="shared" si="11"/>
        <v>1.1111111111111065E-2</v>
      </c>
      <c r="T10" s="364" t="str">
        <f>IF(ISERROR(VLOOKUP(F10,'Freq-Chan'!C:E,2,FALSE)),IF(F10&gt;0,"CHECK",""),151+(F10/1000))</f>
        <v/>
      </c>
      <c r="U10" s="513">
        <f t="shared" si="12"/>
        <v>41824</v>
      </c>
      <c r="V10" s="355" t="str">
        <f t="shared" si="13"/>
        <v>08:14:00</v>
      </c>
      <c r="W10" s="10">
        <f>VLOOKUP($C10,ReleaseSites!$A:$D,3,FALSE)</f>
        <v>62.637349999999998</v>
      </c>
      <c r="X10" s="10">
        <f>VLOOKUP($C10,ReleaseSites!$A:$D,4,FALSE)</f>
        <v>-149.97753</v>
      </c>
      <c r="Y10" s="10" t="s">
        <v>192</v>
      </c>
      <c r="Z10" s="10" t="s">
        <v>192</v>
      </c>
      <c r="AA10" s="10" t="s">
        <v>192</v>
      </c>
      <c r="AB10" s="355" t="str">
        <f t="shared" si="14"/>
        <v/>
      </c>
      <c r="AC10" s="355" t="str">
        <f t="shared" si="15"/>
        <v/>
      </c>
      <c r="AD10" s="355">
        <v>150</v>
      </c>
      <c r="AE10" s="355" t="str">
        <f t="shared" si="16"/>
        <v>-</v>
      </c>
      <c r="AF10" s="355" t="s">
        <v>193</v>
      </c>
      <c r="AG10" s="355">
        <v>1</v>
      </c>
      <c r="AH10" s="355">
        <v>0</v>
      </c>
      <c r="AI10" s="355">
        <v>105</v>
      </c>
      <c r="AJ10" s="10" t="s">
        <v>1591</v>
      </c>
    </row>
    <row r="11" spans="1:36" x14ac:dyDescent="0.2">
      <c r="A11" s="10">
        <v>10</v>
      </c>
      <c r="B11" s="351">
        <v>41825</v>
      </c>
      <c r="C11" s="511">
        <v>1</v>
      </c>
      <c r="D11" s="11" t="s">
        <v>2</v>
      </c>
      <c r="E11" s="11" t="s">
        <v>1591</v>
      </c>
      <c r="F11" s="10">
        <v>784</v>
      </c>
      <c r="G11" s="10">
        <v>22</v>
      </c>
      <c r="H11" s="10">
        <v>79</v>
      </c>
      <c r="I11" s="10"/>
      <c r="J11" s="10" t="s">
        <v>364</v>
      </c>
      <c r="K11" s="352">
        <v>0.51736111111111105</v>
      </c>
      <c r="L11" s="353">
        <v>6.7361111111111108E-2</v>
      </c>
      <c r="M11" s="354" t="s">
        <v>1874</v>
      </c>
      <c r="N11" s="10" t="s">
        <v>1592</v>
      </c>
      <c r="O11" s="371" t="s">
        <v>1875</v>
      </c>
      <c r="P11" s="344" t="s">
        <v>1876</v>
      </c>
      <c r="Q11" s="355" t="s">
        <v>1877</v>
      </c>
      <c r="R11" s="372" t="s">
        <v>2081</v>
      </c>
      <c r="S11" s="512">
        <f t="shared" si="11"/>
        <v>5.1273148148149039E-3</v>
      </c>
      <c r="T11" s="364">
        <f>IF(ISERROR(VLOOKUP(F11,'Freq-Chan'!C:E,2,FALSE)),IF(F11&gt;0,"CHECK",""),151+(F11/1000))</f>
        <v>151.78399999999999</v>
      </c>
      <c r="U11" s="513">
        <f t="shared" si="12"/>
        <v>41825</v>
      </c>
      <c r="V11" s="355" t="str">
        <f t="shared" si="13"/>
        <v>12:34:00</v>
      </c>
      <c r="W11" s="10">
        <f>VLOOKUP($C11,ReleaseSites!$A:$D,3,FALSE)</f>
        <v>62.616370000000003</v>
      </c>
      <c r="X11" s="10">
        <f>VLOOKUP($C11,ReleaseSites!$A:$D,4,FALSE)</f>
        <v>-150.01661999999999</v>
      </c>
      <c r="Y11" s="10">
        <v>562</v>
      </c>
      <c r="Z11" s="10">
        <v>-1</v>
      </c>
      <c r="AA11" s="10" t="s">
        <v>2</v>
      </c>
      <c r="AB11" s="355">
        <f t="shared" si="14"/>
        <v>784</v>
      </c>
      <c r="AC11" s="355">
        <f t="shared" si="15"/>
        <v>22</v>
      </c>
      <c r="AD11" s="355">
        <v>150</v>
      </c>
      <c r="AE11" s="355" t="str">
        <f t="shared" si="16"/>
        <v>784-22</v>
      </c>
      <c r="AF11" s="355" t="s">
        <v>193</v>
      </c>
      <c r="AG11" s="355">
        <v>1</v>
      </c>
      <c r="AH11" s="355">
        <v>0</v>
      </c>
      <c r="AI11" s="355">
        <v>105</v>
      </c>
      <c r="AJ11" s="10" t="s">
        <v>1591</v>
      </c>
    </row>
    <row r="12" spans="1:36" x14ac:dyDescent="0.2">
      <c r="A12" s="10">
        <v>11</v>
      </c>
      <c r="B12" s="518">
        <v>41825</v>
      </c>
      <c r="C12" s="511">
        <v>3</v>
      </c>
      <c r="D12" s="11" t="s">
        <v>2</v>
      </c>
      <c r="E12" s="11" t="s">
        <v>1591</v>
      </c>
      <c r="F12" s="10">
        <v>784</v>
      </c>
      <c r="G12" s="10">
        <v>65</v>
      </c>
      <c r="H12" s="10">
        <v>87</v>
      </c>
      <c r="I12" s="10"/>
      <c r="J12" s="10" t="s">
        <v>364</v>
      </c>
      <c r="K12" s="352">
        <v>0.83750000000000002</v>
      </c>
      <c r="L12" s="353">
        <v>4.0972222222222222E-2</v>
      </c>
      <c r="M12" s="370" t="s">
        <v>1878</v>
      </c>
      <c r="N12" s="10" t="s">
        <v>1592</v>
      </c>
      <c r="O12" s="352" t="s">
        <v>804</v>
      </c>
      <c r="P12" s="344"/>
      <c r="Q12" s="520" t="s">
        <v>1879</v>
      </c>
      <c r="R12" s="521" t="s">
        <v>2081</v>
      </c>
      <c r="S12" s="512">
        <f t="shared" si="11"/>
        <v>7.6504629629629336E-3</v>
      </c>
      <c r="T12" s="364">
        <f>IF(ISERROR(VLOOKUP(F12,'Freq-Chan'!C:E,2,FALSE)),IF(F12&gt;0,"CHECK",""),151+(F12/1000))</f>
        <v>151.78399999999999</v>
      </c>
      <c r="U12" s="513">
        <f t="shared" si="12"/>
        <v>41825</v>
      </c>
      <c r="V12" s="355" t="str">
        <f t="shared" si="13"/>
        <v>20:18:00</v>
      </c>
      <c r="W12" s="10">
        <f>VLOOKUP($C12,ReleaseSites!$A:$D,3,FALSE)</f>
        <v>62.637349999999998</v>
      </c>
      <c r="X12" s="10">
        <f>VLOOKUP($C12,ReleaseSites!$A:$D,4,FALSE)</f>
        <v>-149.97753</v>
      </c>
      <c r="Y12" s="10">
        <v>564</v>
      </c>
      <c r="Z12" s="10">
        <v>-1</v>
      </c>
      <c r="AA12" s="10" t="s">
        <v>2</v>
      </c>
      <c r="AB12" s="355">
        <f t="shared" si="14"/>
        <v>784</v>
      </c>
      <c r="AC12" s="355">
        <f t="shared" si="15"/>
        <v>65</v>
      </c>
      <c r="AD12" s="355">
        <v>150</v>
      </c>
      <c r="AE12" s="355" t="str">
        <f t="shared" si="16"/>
        <v>784-65</v>
      </c>
      <c r="AF12" s="355" t="s">
        <v>193</v>
      </c>
      <c r="AG12" s="355">
        <v>1</v>
      </c>
      <c r="AH12" s="355">
        <v>0</v>
      </c>
      <c r="AI12" s="355">
        <v>105</v>
      </c>
      <c r="AJ12" s="10" t="s">
        <v>1591</v>
      </c>
    </row>
    <row r="13" spans="1:36" s="345" customFormat="1" x14ac:dyDescent="0.2">
      <c r="A13" s="291">
        <v>12</v>
      </c>
      <c r="B13" s="356">
        <v>41826</v>
      </c>
      <c r="C13" s="514">
        <v>3</v>
      </c>
      <c r="D13" s="522" t="s">
        <v>2</v>
      </c>
      <c r="E13" s="367" t="s">
        <v>1591</v>
      </c>
      <c r="F13" s="291">
        <v>755</v>
      </c>
      <c r="G13" s="291">
        <v>78</v>
      </c>
      <c r="H13" s="291"/>
      <c r="I13" s="291"/>
      <c r="J13" s="291" t="s">
        <v>364</v>
      </c>
      <c r="K13" s="357"/>
      <c r="L13" s="358">
        <v>1.0416666666666666E-2</v>
      </c>
      <c r="M13" s="373" t="s">
        <v>1852</v>
      </c>
      <c r="N13" s="360" t="s">
        <v>1592</v>
      </c>
      <c r="O13" s="523" t="s">
        <v>75</v>
      </c>
      <c r="P13" s="374"/>
      <c r="Q13" s="360" t="s">
        <v>1873</v>
      </c>
      <c r="R13" s="524" t="s">
        <v>4096</v>
      </c>
      <c r="S13" s="516">
        <f t="shared" si="11"/>
        <v>0.8081597222222221</v>
      </c>
      <c r="T13" s="362">
        <f>IF(ISERROR(VLOOKUP(F13,'Freq-Chan'!C:E,2,FALSE)),IF(F13&gt;0,"CHECK",""),151+(F13/1000))</f>
        <v>151.755</v>
      </c>
      <c r="U13" s="517">
        <f t="shared" si="12"/>
        <v>41826</v>
      </c>
      <c r="V13" s="360" t="str">
        <f t="shared" si="13"/>
        <v>19:24:00</v>
      </c>
      <c r="W13" s="291">
        <f>VLOOKUP($C13,ReleaseSites!$A:$D,3,FALSE)</f>
        <v>62.637349999999998</v>
      </c>
      <c r="X13" s="291">
        <f>VLOOKUP($C13,ReleaseSites!$A:$D,4,FALSE)</f>
        <v>-149.97753</v>
      </c>
      <c r="Y13" s="291">
        <v>646</v>
      </c>
      <c r="Z13" s="291">
        <v>-2</v>
      </c>
      <c r="AA13" s="291" t="s">
        <v>2</v>
      </c>
      <c r="AB13" s="360">
        <f t="shared" si="14"/>
        <v>755</v>
      </c>
      <c r="AC13" s="360">
        <f t="shared" si="15"/>
        <v>78</v>
      </c>
      <c r="AD13" s="360">
        <v>150</v>
      </c>
      <c r="AE13" s="360" t="str">
        <f t="shared" si="16"/>
        <v>755-78</v>
      </c>
      <c r="AF13" s="360" t="s">
        <v>193</v>
      </c>
      <c r="AG13" s="360">
        <v>1</v>
      </c>
      <c r="AH13" s="360">
        <v>0</v>
      </c>
      <c r="AI13" s="360">
        <v>105</v>
      </c>
      <c r="AJ13" s="291" t="s">
        <v>1591</v>
      </c>
    </row>
    <row r="14" spans="1:36" x14ac:dyDescent="0.2">
      <c r="A14" s="10">
        <v>13</v>
      </c>
      <c r="B14" s="351">
        <v>41827</v>
      </c>
      <c r="C14" s="511">
        <v>3</v>
      </c>
      <c r="D14" s="520" t="s">
        <v>2</v>
      </c>
      <c r="E14" s="11" t="s">
        <v>1591</v>
      </c>
      <c r="F14" s="10"/>
      <c r="G14" s="10"/>
      <c r="H14" s="10"/>
      <c r="I14" s="10"/>
      <c r="J14" s="10" t="s">
        <v>364</v>
      </c>
      <c r="K14" s="352"/>
      <c r="L14" s="353">
        <v>4.8611111111111112E-2</v>
      </c>
      <c r="M14" s="370" t="s">
        <v>2541</v>
      </c>
      <c r="O14" s="525" t="s">
        <v>803</v>
      </c>
      <c r="P14" s="365" t="s">
        <v>2542</v>
      </c>
      <c r="Q14" s="355" t="s">
        <v>2545</v>
      </c>
      <c r="R14" s="521" t="s">
        <v>2550</v>
      </c>
      <c r="S14" s="512">
        <f t="shared" ref="S14:S24" si="17">M14-K14-(L14*24)/(24*60)</f>
        <v>0.68460648148148151</v>
      </c>
      <c r="T14" s="364" t="str">
        <f>IF(ISERROR(VLOOKUP(F14,'Freq-Chan'!C:E,2,FALSE)),IF(F14&gt;0,"CHECK",""),151+(F14/1000))</f>
        <v/>
      </c>
      <c r="U14" s="513">
        <f t="shared" ref="U14:U24" si="18">B14</f>
        <v>41827</v>
      </c>
      <c r="V14" s="355" t="str">
        <f t="shared" ref="V14:V24" si="19">IFERROR(TEXT(M14,"hh:mm:ss"),"12:00:01")</f>
        <v>16:27:00</v>
      </c>
      <c r="W14" s="10">
        <f>VLOOKUP($C14,ReleaseSites!$A:$D,3,FALSE)</f>
        <v>62.637349999999998</v>
      </c>
      <c r="X14" s="10">
        <f>VLOOKUP($C14,ReleaseSites!$A:$D,4,FALSE)</f>
        <v>-149.97753</v>
      </c>
      <c r="Y14" s="10" t="s">
        <v>192</v>
      </c>
      <c r="Z14" s="10" t="s">
        <v>192</v>
      </c>
      <c r="AA14" s="10" t="s">
        <v>192</v>
      </c>
      <c r="AB14" s="355" t="str">
        <f t="shared" ref="AB14:AB18" si="20">IF(F14="","",F14)</f>
        <v/>
      </c>
      <c r="AC14" s="355" t="str">
        <f t="shared" ref="AC14:AC18" si="21">IF(G14="","",G14)</f>
        <v/>
      </c>
      <c r="AD14" s="355">
        <v>150</v>
      </c>
      <c r="AE14" s="355" t="str">
        <f t="shared" ref="AE14:AE18" si="22">AB14&amp;"-"&amp;AC14</f>
        <v>-</v>
      </c>
      <c r="AF14" s="355" t="s">
        <v>193</v>
      </c>
      <c r="AG14" s="355">
        <v>1</v>
      </c>
      <c r="AH14" s="355">
        <v>0</v>
      </c>
      <c r="AI14" s="355">
        <v>105</v>
      </c>
      <c r="AJ14" s="355" t="s">
        <v>1591</v>
      </c>
    </row>
    <row r="15" spans="1:36" s="345" customFormat="1" x14ac:dyDescent="0.2">
      <c r="A15" s="291">
        <v>14</v>
      </c>
      <c r="B15" s="356">
        <v>41827</v>
      </c>
      <c r="C15" s="514">
        <v>3</v>
      </c>
      <c r="D15" s="522" t="s">
        <v>2</v>
      </c>
      <c r="E15" s="367" t="s">
        <v>1591</v>
      </c>
      <c r="F15" s="291"/>
      <c r="G15" s="291"/>
      <c r="H15" s="291"/>
      <c r="I15" s="291"/>
      <c r="J15" s="291" t="s">
        <v>364</v>
      </c>
      <c r="K15" s="357"/>
      <c r="L15" s="358">
        <v>3.3333333333333333E-2</v>
      </c>
      <c r="M15" s="373" t="s">
        <v>2543</v>
      </c>
      <c r="N15" s="360"/>
      <c r="O15" s="523" t="s">
        <v>1663</v>
      </c>
      <c r="P15" s="374" t="s">
        <v>2544</v>
      </c>
      <c r="Q15" s="360" t="s">
        <v>2545</v>
      </c>
      <c r="R15" s="526" t="s">
        <v>2550</v>
      </c>
      <c r="S15" s="516">
        <f t="shared" si="17"/>
        <v>0.76055555555555554</v>
      </c>
      <c r="T15" s="362" t="str">
        <f>IF(ISERROR(VLOOKUP(F15,'Freq-Chan'!C:E,2,FALSE)),IF(F15&gt;0,"CHECK",""),151+(F15/1000))</f>
        <v/>
      </c>
      <c r="U15" s="517">
        <f t="shared" si="18"/>
        <v>41827</v>
      </c>
      <c r="V15" s="360" t="str">
        <f t="shared" si="19"/>
        <v>18:16:00</v>
      </c>
      <c r="W15" s="360">
        <f>VLOOKUP($C15,ReleaseSites!$A:$D,3,FALSE)</f>
        <v>62.637349999999998</v>
      </c>
      <c r="X15" s="360">
        <f>VLOOKUP($C15,ReleaseSites!$A:$D,4,FALSE)</f>
        <v>-149.97753</v>
      </c>
      <c r="Y15" s="291" t="s">
        <v>192</v>
      </c>
      <c r="Z15" s="291" t="s">
        <v>192</v>
      </c>
      <c r="AA15" s="291" t="s">
        <v>192</v>
      </c>
      <c r="AB15" s="360" t="str">
        <f t="shared" si="20"/>
        <v/>
      </c>
      <c r="AC15" s="360" t="str">
        <f t="shared" si="21"/>
        <v/>
      </c>
      <c r="AD15" s="360">
        <v>150</v>
      </c>
      <c r="AE15" s="360" t="str">
        <f t="shared" si="22"/>
        <v>-</v>
      </c>
      <c r="AF15" s="360" t="s">
        <v>193</v>
      </c>
      <c r="AG15" s="360">
        <v>1</v>
      </c>
      <c r="AH15" s="360">
        <v>0</v>
      </c>
      <c r="AI15" s="360">
        <v>105</v>
      </c>
      <c r="AJ15" s="360" t="s">
        <v>1591</v>
      </c>
    </row>
    <row r="16" spans="1:36" s="535" customFormat="1" x14ac:dyDescent="0.2">
      <c r="A16" s="314">
        <v>15</v>
      </c>
      <c r="B16" s="527">
        <v>41829</v>
      </c>
      <c r="C16" s="528">
        <v>1</v>
      </c>
      <c r="D16" s="529" t="s">
        <v>2</v>
      </c>
      <c r="E16" s="375" t="s">
        <v>1591</v>
      </c>
      <c r="F16" s="314">
        <v>875</v>
      </c>
      <c r="G16" s="314">
        <v>10</v>
      </c>
      <c r="H16" s="314"/>
      <c r="I16" s="314"/>
      <c r="J16" s="314" t="s">
        <v>364</v>
      </c>
      <c r="K16" s="376"/>
      <c r="L16" s="377"/>
      <c r="M16" s="378" t="s">
        <v>2600</v>
      </c>
      <c r="N16" s="379" t="s">
        <v>1592</v>
      </c>
      <c r="O16" s="530" t="s">
        <v>1532</v>
      </c>
      <c r="P16" s="380"/>
      <c r="Q16" s="529" t="s">
        <v>2572</v>
      </c>
      <c r="R16" s="531" t="s">
        <v>2612</v>
      </c>
      <c r="S16" s="532">
        <f t="shared" si="17"/>
        <v>0.59791666666666665</v>
      </c>
      <c r="T16" s="533">
        <f>IF(ISERROR(VLOOKUP(F16,'Freq-Chan'!C:E,2,FALSE)),IF(F16&gt;0,"CHECK",""),151+(F16/1000))</f>
        <v>151.875</v>
      </c>
      <c r="U16" s="534">
        <f t="shared" si="18"/>
        <v>41829</v>
      </c>
      <c r="V16" s="379" t="str">
        <f t="shared" si="19"/>
        <v>14:21:00</v>
      </c>
      <c r="W16" s="379">
        <f>VLOOKUP($C16,ReleaseSites!$A:$D,3,FALSE)</f>
        <v>62.616370000000003</v>
      </c>
      <c r="X16" s="379">
        <f>VLOOKUP($C16,ReleaseSites!$A:$D,4,FALSE)</f>
        <v>-150.01661999999999</v>
      </c>
      <c r="Y16" s="314">
        <v>619</v>
      </c>
      <c r="Z16" s="314">
        <v>-1</v>
      </c>
      <c r="AA16" s="314" t="s">
        <v>2</v>
      </c>
      <c r="AB16" s="379">
        <f t="shared" si="20"/>
        <v>875</v>
      </c>
      <c r="AC16" s="379">
        <f t="shared" si="21"/>
        <v>10</v>
      </c>
      <c r="AD16" s="379">
        <v>150</v>
      </c>
      <c r="AE16" s="379" t="str">
        <f t="shared" si="22"/>
        <v>875-10</v>
      </c>
      <c r="AF16" s="379" t="s">
        <v>193</v>
      </c>
      <c r="AG16" s="379">
        <v>1</v>
      </c>
      <c r="AH16" s="379">
        <v>0</v>
      </c>
      <c r="AI16" s="379">
        <v>105</v>
      </c>
      <c r="AJ16" s="379" t="s">
        <v>1591</v>
      </c>
    </row>
    <row r="17" spans="1:36" s="535" customFormat="1" x14ac:dyDescent="0.2">
      <c r="A17" s="314">
        <v>16</v>
      </c>
      <c r="B17" s="527">
        <v>41829</v>
      </c>
      <c r="C17" s="528">
        <v>3</v>
      </c>
      <c r="D17" s="529" t="s">
        <v>2</v>
      </c>
      <c r="E17" s="375" t="s">
        <v>1591</v>
      </c>
      <c r="F17" s="314"/>
      <c r="G17" s="314"/>
      <c r="H17" s="314"/>
      <c r="I17" s="314"/>
      <c r="J17" s="314" t="s">
        <v>364</v>
      </c>
      <c r="K17" s="376">
        <v>0.95833333333333337</v>
      </c>
      <c r="L17" s="377"/>
      <c r="M17" s="378" t="s">
        <v>2601</v>
      </c>
      <c r="N17" s="379"/>
      <c r="O17" s="530" t="s">
        <v>1875</v>
      </c>
      <c r="P17" s="380" t="s">
        <v>2602</v>
      </c>
      <c r="Q17" s="529" t="s">
        <v>2569</v>
      </c>
      <c r="R17" s="531" t="s">
        <v>2612</v>
      </c>
      <c r="S17" s="532">
        <f t="shared" si="17"/>
        <v>2.0138888888888928E-2</v>
      </c>
      <c r="T17" s="533" t="str">
        <f>IF(ISERROR(VLOOKUP(F17,'Freq-Chan'!C:E,2,FALSE)),IF(F17&gt;0,"CHECK",""),151+(F17/1000))</f>
        <v/>
      </c>
      <c r="U17" s="534">
        <f t="shared" si="18"/>
        <v>41829</v>
      </c>
      <c r="V17" s="379" t="str">
        <f t="shared" si="19"/>
        <v>23:29:00</v>
      </c>
      <c r="W17" s="379">
        <f>VLOOKUP($C17,ReleaseSites!$A:$D,3,FALSE)</f>
        <v>62.637349999999998</v>
      </c>
      <c r="X17" s="379">
        <f>VLOOKUP($C17,ReleaseSites!$A:$D,4,FALSE)</f>
        <v>-149.97753</v>
      </c>
      <c r="Y17" s="314" t="s">
        <v>192</v>
      </c>
      <c r="Z17" s="314" t="s">
        <v>192</v>
      </c>
      <c r="AA17" s="314" t="s">
        <v>192</v>
      </c>
      <c r="AB17" s="379" t="str">
        <f t="shared" si="20"/>
        <v/>
      </c>
      <c r="AC17" s="379" t="str">
        <f t="shared" si="21"/>
        <v/>
      </c>
      <c r="AD17" s="379">
        <v>150</v>
      </c>
      <c r="AE17" s="379" t="str">
        <f t="shared" si="22"/>
        <v>-</v>
      </c>
      <c r="AF17" s="379" t="s">
        <v>193</v>
      </c>
      <c r="AG17" s="379">
        <v>1</v>
      </c>
      <c r="AH17" s="379">
        <v>0</v>
      </c>
      <c r="AI17" s="379">
        <v>105</v>
      </c>
      <c r="AJ17" s="379" t="s">
        <v>1591</v>
      </c>
    </row>
    <row r="18" spans="1:36" s="535" customFormat="1" x14ac:dyDescent="0.2">
      <c r="A18" s="314">
        <v>17</v>
      </c>
      <c r="B18" s="527">
        <v>41830</v>
      </c>
      <c r="C18" s="528">
        <v>3</v>
      </c>
      <c r="D18" s="375" t="s">
        <v>2</v>
      </c>
      <c r="E18" s="375" t="s">
        <v>1591</v>
      </c>
      <c r="F18" s="314">
        <v>935</v>
      </c>
      <c r="G18" s="314">
        <v>28</v>
      </c>
      <c r="H18" s="314"/>
      <c r="I18" s="314"/>
      <c r="J18" s="314" t="s">
        <v>364</v>
      </c>
      <c r="K18" s="376"/>
      <c r="L18" s="377">
        <v>2.0833333333333332E-2</v>
      </c>
      <c r="M18" s="378" t="s">
        <v>2751</v>
      </c>
      <c r="N18" s="314" t="s">
        <v>1592</v>
      </c>
      <c r="O18" s="376" t="s">
        <v>1888</v>
      </c>
      <c r="P18" s="380" t="s">
        <v>2636</v>
      </c>
      <c r="Q18" s="375" t="s">
        <v>2637</v>
      </c>
      <c r="R18" s="536" t="s">
        <v>2639</v>
      </c>
      <c r="S18" s="532">
        <f t="shared" si="17"/>
        <v>0.31493055555555555</v>
      </c>
      <c r="T18" s="533">
        <f>IF(ISERROR(VLOOKUP(F18,'Freq-Chan'!C:E,2,FALSE)),IF(F18&gt;0,"CHECK",""),151+(F18/1000))</f>
        <v>151.935</v>
      </c>
      <c r="U18" s="534">
        <f t="shared" si="18"/>
        <v>41830</v>
      </c>
      <c r="V18" s="379" t="str">
        <f t="shared" si="19"/>
        <v>07:34:00</v>
      </c>
      <c r="W18" s="379">
        <f>VLOOKUP($C18,ReleaseSites!$A:$D,3,FALSE)</f>
        <v>62.637349999999998</v>
      </c>
      <c r="X18" s="379">
        <f>VLOOKUP($C18,ReleaseSites!$A:$D,4,FALSE)</f>
        <v>-149.97753</v>
      </c>
      <c r="Y18" s="314">
        <v>5829</v>
      </c>
      <c r="Z18" s="314">
        <v>-10</v>
      </c>
      <c r="AA18" s="314" t="s">
        <v>381</v>
      </c>
      <c r="AB18" s="379">
        <f t="shared" si="20"/>
        <v>935</v>
      </c>
      <c r="AC18" s="379">
        <f t="shared" si="21"/>
        <v>28</v>
      </c>
      <c r="AD18" s="379">
        <v>150</v>
      </c>
      <c r="AE18" s="379" t="str">
        <f t="shared" si="22"/>
        <v>935-28</v>
      </c>
      <c r="AF18" s="379" t="s">
        <v>193</v>
      </c>
      <c r="AG18" s="379">
        <v>1</v>
      </c>
      <c r="AH18" s="379">
        <v>0</v>
      </c>
      <c r="AI18" s="379">
        <v>105</v>
      </c>
      <c r="AJ18" s="379" t="s">
        <v>1591</v>
      </c>
    </row>
    <row r="19" spans="1:36" x14ac:dyDescent="0.2">
      <c r="A19" s="10">
        <v>18</v>
      </c>
      <c r="B19" s="351">
        <v>41831</v>
      </c>
      <c r="C19" s="511">
        <v>3</v>
      </c>
      <c r="D19" s="11" t="s">
        <v>2</v>
      </c>
      <c r="E19" s="11" t="s">
        <v>1591</v>
      </c>
      <c r="F19" s="10">
        <v>784</v>
      </c>
      <c r="G19" s="10">
        <v>65</v>
      </c>
      <c r="H19" s="10"/>
      <c r="I19" s="10"/>
      <c r="J19" s="10" t="s">
        <v>364</v>
      </c>
      <c r="K19" s="352"/>
      <c r="L19" s="369">
        <v>2.4305555555555556E-2</v>
      </c>
      <c r="M19" s="370" t="s">
        <v>2660</v>
      </c>
      <c r="N19" s="10" t="s">
        <v>1592</v>
      </c>
      <c r="O19" s="352" t="s">
        <v>1888</v>
      </c>
      <c r="P19" s="344" t="s">
        <v>2661</v>
      </c>
      <c r="Q19" s="11" t="s">
        <v>2662</v>
      </c>
      <c r="R19" s="361" t="s">
        <v>2684</v>
      </c>
      <c r="S19" s="512">
        <f t="shared" si="17"/>
        <v>0.2648726851851852</v>
      </c>
      <c r="T19" s="364">
        <f>IF(ISERROR(VLOOKUP(F19,'Freq-Chan'!C:E,2,FALSE)),IF(F19&gt;0,"CHECK",""),151+(F19/1000))</f>
        <v>151.78399999999999</v>
      </c>
      <c r="U19" s="513">
        <f t="shared" si="18"/>
        <v>41831</v>
      </c>
      <c r="V19" s="355" t="str">
        <f t="shared" si="19"/>
        <v>06:22:00</v>
      </c>
      <c r="W19" s="355">
        <f>VLOOKUP($C19,ReleaseSites!$A:$D,3,FALSE)</f>
        <v>62.637349999999998</v>
      </c>
      <c r="X19" s="355">
        <f>VLOOKUP($C19,ReleaseSites!$A:$D,4,FALSE)</f>
        <v>-149.97753</v>
      </c>
      <c r="Y19" s="10">
        <v>564</v>
      </c>
      <c r="Z19" s="10">
        <v>-1</v>
      </c>
      <c r="AA19" s="10" t="s">
        <v>2</v>
      </c>
      <c r="AB19" s="355">
        <f t="shared" ref="AB19" si="23">IF(F19="","",F19)</f>
        <v>784</v>
      </c>
      <c r="AC19" s="355">
        <f t="shared" ref="AC19" si="24">IF(G19="","",G19)</f>
        <v>65</v>
      </c>
      <c r="AD19" s="355">
        <v>150</v>
      </c>
      <c r="AE19" s="355" t="str">
        <f t="shared" ref="AE19" si="25">AB19&amp;"-"&amp;AC19</f>
        <v>784-65</v>
      </c>
      <c r="AF19" s="355" t="s">
        <v>193</v>
      </c>
      <c r="AG19" s="355">
        <v>1</v>
      </c>
      <c r="AH19" s="355">
        <v>0</v>
      </c>
      <c r="AI19" s="355">
        <v>105</v>
      </c>
      <c r="AJ19" s="10" t="s">
        <v>1591</v>
      </c>
    </row>
    <row r="20" spans="1:36" s="345" customFormat="1" x14ac:dyDescent="0.2">
      <c r="A20" s="291">
        <v>19</v>
      </c>
      <c r="B20" s="356">
        <v>41831</v>
      </c>
      <c r="C20" s="514">
        <v>3</v>
      </c>
      <c r="D20" s="367" t="s">
        <v>2</v>
      </c>
      <c r="E20" s="367" t="s">
        <v>1591</v>
      </c>
      <c r="F20" s="291">
        <v>875</v>
      </c>
      <c r="G20" s="291">
        <v>67</v>
      </c>
      <c r="H20" s="291"/>
      <c r="I20" s="291"/>
      <c r="J20" s="291" t="s">
        <v>364</v>
      </c>
      <c r="K20" s="357"/>
      <c r="L20" s="381">
        <v>1.5277777777777777E-2</v>
      </c>
      <c r="M20" s="373" t="s">
        <v>2663</v>
      </c>
      <c r="N20" s="291" t="s">
        <v>1592</v>
      </c>
      <c r="O20" s="357" t="s">
        <v>802</v>
      </c>
      <c r="P20" s="346"/>
      <c r="Q20" s="367" t="s">
        <v>2662</v>
      </c>
      <c r="R20" s="537" t="s">
        <v>2684</v>
      </c>
      <c r="S20" s="516">
        <f t="shared" si="17"/>
        <v>0.73099537037037043</v>
      </c>
      <c r="T20" s="362">
        <f>IF(ISERROR(VLOOKUP(F20,'Freq-Chan'!C:E,2,FALSE)),IF(F20&gt;0,"CHECK",""),151+(F20/1000))</f>
        <v>151.875</v>
      </c>
      <c r="U20" s="517">
        <f t="shared" si="18"/>
        <v>41831</v>
      </c>
      <c r="V20" s="360" t="str">
        <f t="shared" si="19"/>
        <v>17:33:00</v>
      </c>
      <c r="W20" s="360">
        <f>VLOOKUP($C20,ReleaseSites!$A:$D,3,FALSE)</f>
        <v>62.637349999999998</v>
      </c>
      <c r="X20" s="360">
        <f>VLOOKUP($C20,ReleaseSites!$A:$D,4,FALSE)</f>
        <v>-149.97753</v>
      </c>
      <c r="Y20" s="291">
        <v>784</v>
      </c>
      <c r="Z20" s="291">
        <v>-2</v>
      </c>
      <c r="AA20" s="291" t="s">
        <v>2</v>
      </c>
      <c r="AB20" s="360">
        <f t="shared" ref="AB20:AB33" si="26">IF(F20="","",F20)</f>
        <v>875</v>
      </c>
      <c r="AC20" s="360">
        <f t="shared" ref="AC20:AC33" si="27">IF(G20="","",G20)</f>
        <v>67</v>
      </c>
      <c r="AD20" s="360">
        <v>150</v>
      </c>
      <c r="AE20" s="360" t="str">
        <f t="shared" ref="AE20:AE33" si="28">AB20&amp;"-"&amp;AC20</f>
        <v>875-67</v>
      </c>
      <c r="AF20" s="360" t="s">
        <v>193</v>
      </c>
      <c r="AG20" s="360">
        <v>1</v>
      </c>
      <c r="AH20" s="360">
        <v>0</v>
      </c>
      <c r="AI20" s="360">
        <v>105</v>
      </c>
      <c r="AJ20" s="291" t="s">
        <v>1591</v>
      </c>
    </row>
    <row r="21" spans="1:36" s="535" customFormat="1" x14ac:dyDescent="0.2">
      <c r="A21" s="314">
        <v>20</v>
      </c>
      <c r="B21" s="527">
        <v>41833</v>
      </c>
      <c r="C21" s="528">
        <v>2</v>
      </c>
      <c r="D21" s="375" t="s">
        <v>2</v>
      </c>
      <c r="E21" s="375" t="s">
        <v>1591</v>
      </c>
      <c r="F21" s="314">
        <v>875</v>
      </c>
      <c r="G21" s="314">
        <v>48</v>
      </c>
      <c r="H21" s="314"/>
      <c r="I21" s="314"/>
      <c r="J21" s="314" t="s">
        <v>364</v>
      </c>
      <c r="K21" s="376"/>
      <c r="L21" s="377"/>
      <c r="M21" s="378" t="s">
        <v>2048</v>
      </c>
      <c r="N21" s="314" t="s">
        <v>1592</v>
      </c>
      <c r="O21" s="376" t="s">
        <v>1875</v>
      </c>
      <c r="P21" s="383"/>
      <c r="Q21" s="314" t="s">
        <v>2723</v>
      </c>
      <c r="R21" s="533" t="s">
        <v>2727</v>
      </c>
      <c r="S21" s="532">
        <f t="shared" si="17"/>
        <v>0.51041666666666663</v>
      </c>
      <c r="T21" s="533">
        <f>IF(ISERROR(VLOOKUP(F21,'Freq-Chan'!C:E,2,FALSE)),IF(F21&gt;0,"CHECK",""),151+(F21/1000))</f>
        <v>151.875</v>
      </c>
      <c r="U21" s="534">
        <f t="shared" si="18"/>
        <v>41833</v>
      </c>
      <c r="V21" s="379" t="str">
        <f t="shared" si="19"/>
        <v>12:15:00</v>
      </c>
      <c r="W21" s="379">
        <f>VLOOKUP($C21,ReleaseSites!$A:$D,3,FALSE)</f>
        <v>62.601680000000002</v>
      </c>
      <c r="X21" s="379">
        <f>VLOOKUP($C21,ReleaseSites!$A:$D,4,FALSE)</f>
        <v>-150.02646999999999</v>
      </c>
      <c r="Y21" s="314">
        <v>818</v>
      </c>
      <c r="Z21" s="314">
        <v>-2</v>
      </c>
      <c r="AA21" s="314" t="s">
        <v>2</v>
      </c>
      <c r="AB21" s="379">
        <f t="shared" si="26"/>
        <v>875</v>
      </c>
      <c r="AC21" s="379">
        <f t="shared" si="27"/>
        <v>48</v>
      </c>
      <c r="AD21" s="379">
        <v>150</v>
      </c>
      <c r="AE21" s="379" t="str">
        <f t="shared" si="28"/>
        <v>875-48</v>
      </c>
      <c r="AF21" s="379" t="s">
        <v>193</v>
      </c>
      <c r="AG21" s="379">
        <v>1</v>
      </c>
      <c r="AH21" s="379">
        <v>0</v>
      </c>
      <c r="AI21" s="379">
        <v>105</v>
      </c>
      <c r="AJ21" s="314" t="s">
        <v>1591</v>
      </c>
    </row>
    <row r="22" spans="1:36" x14ac:dyDescent="0.2">
      <c r="A22" s="10">
        <v>21</v>
      </c>
      <c r="B22" s="351">
        <v>41834</v>
      </c>
      <c r="C22" s="511">
        <v>3</v>
      </c>
      <c r="D22" s="11" t="s">
        <v>2</v>
      </c>
      <c r="E22" s="11" t="s">
        <v>1591</v>
      </c>
      <c r="F22" s="10">
        <v>875</v>
      </c>
      <c r="G22" s="10">
        <v>9</v>
      </c>
      <c r="H22" s="10"/>
      <c r="I22" s="10"/>
      <c r="J22" s="10" t="s">
        <v>364</v>
      </c>
      <c r="K22" s="352"/>
      <c r="L22" s="353">
        <v>4.5833333333333337E-2</v>
      </c>
      <c r="M22" s="370" t="s">
        <v>2749</v>
      </c>
      <c r="N22" s="10" t="s">
        <v>1592</v>
      </c>
      <c r="O22" s="352" t="s">
        <v>803</v>
      </c>
      <c r="P22" s="355" t="s">
        <v>2750</v>
      </c>
      <c r="Q22" s="10" t="s">
        <v>2755</v>
      </c>
      <c r="R22" s="361" t="s">
        <v>4095</v>
      </c>
      <c r="S22" s="512">
        <f t="shared" si="17"/>
        <v>0.25756944444444446</v>
      </c>
      <c r="T22" s="364">
        <f>IF(ISERROR(VLOOKUP(F22,'Freq-Chan'!C:E,2,FALSE)),IF(F22&gt;0,"CHECK",""),151+(F22/1000))</f>
        <v>151.875</v>
      </c>
      <c r="U22" s="513">
        <f t="shared" si="18"/>
        <v>41834</v>
      </c>
      <c r="V22" s="355" t="str">
        <f t="shared" si="19"/>
        <v>06:12:00</v>
      </c>
      <c r="W22" s="355">
        <f>VLOOKUP($C22,ReleaseSites!$A:$D,3,FALSE)</f>
        <v>62.637349999999998</v>
      </c>
      <c r="X22" s="355">
        <f>VLOOKUP($C22,ReleaseSites!$A:$D,4,FALSE)</f>
        <v>-149.97753</v>
      </c>
      <c r="Y22" s="10">
        <v>686</v>
      </c>
      <c r="Z22" s="10">
        <v>-1</v>
      </c>
      <c r="AA22" s="10" t="s">
        <v>2</v>
      </c>
      <c r="AB22" s="355">
        <f t="shared" si="26"/>
        <v>875</v>
      </c>
      <c r="AC22" s="355">
        <f t="shared" si="27"/>
        <v>9</v>
      </c>
      <c r="AD22" s="355">
        <v>150</v>
      </c>
      <c r="AE22" s="355" t="str">
        <f t="shared" si="28"/>
        <v>875-9</v>
      </c>
      <c r="AF22" s="355" t="s">
        <v>193</v>
      </c>
      <c r="AG22" s="355">
        <v>1</v>
      </c>
      <c r="AH22" s="355">
        <v>0</v>
      </c>
      <c r="AI22" s="355">
        <v>105</v>
      </c>
      <c r="AJ22" s="10" t="s">
        <v>1591</v>
      </c>
    </row>
    <row r="23" spans="1:36" s="345" customFormat="1" x14ac:dyDescent="0.2">
      <c r="A23" s="291">
        <v>22</v>
      </c>
      <c r="B23" s="356">
        <v>41834</v>
      </c>
      <c r="C23" s="514">
        <v>3</v>
      </c>
      <c r="D23" s="367" t="s">
        <v>2</v>
      </c>
      <c r="E23" s="367" t="s">
        <v>1591</v>
      </c>
      <c r="F23" s="291">
        <v>875</v>
      </c>
      <c r="G23" s="291">
        <v>30</v>
      </c>
      <c r="H23" s="291"/>
      <c r="I23" s="291"/>
      <c r="J23" s="291" t="s">
        <v>364</v>
      </c>
      <c r="K23" s="357"/>
      <c r="L23" s="358">
        <v>1.0416666666666666E-2</v>
      </c>
      <c r="M23" s="373" t="s">
        <v>1980</v>
      </c>
      <c r="N23" s="291" t="s">
        <v>1592</v>
      </c>
      <c r="O23" s="357" t="s">
        <v>803</v>
      </c>
      <c r="P23" s="374"/>
      <c r="Q23" s="291" t="s">
        <v>2755</v>
      </c>
      <c r="R23" s="537" t="s">
        <v>4095</v>
      </c>
      <c r="S23" s="516">
        <f t="shared" si="17"/>
        <v>0.30746527777777777</v>
      </c>
      <c r="T23" s="362">
        <f>IF(ISERROR(VLOOKUP(F23,'Freq-Chan'!C:E,2,FALSE)),IF(F23&gt;0,"CHECK",""),151+(F23/1000))</f>
        <v>151.875</v>
      </c>
      <c r="U23" s="517">
        <f t="shared" si="18"/>
        <v>41834</v>
      </c>
      <c r="V23" s="360" t="str">
        <f t="shared" si="19"/>
        <v>07:23:00</v>
      </c>
      <c r="W23" s="360">
        <f>VLOOKUP($C23,ReleaseSites!$A:$D,3,FALSE)</f>
        <v>62.637349999999998</v>
      </c>
      <c r="X23" s="360">
        <f>VLOOKUP($C23,ReleaseSites!$A:$D,4,FALSE)</f>
        <v>-149.97753</v>
      </c>
      <c r="Y23" s="291">
        <v>733</v>
      </c>
      <c r="Z23" s="291">
        <v>-1</v>
      </c>
      <c r="AA23" s="291" t="s">
        <v>2</v>
      </c>
      <c r="AB23" s="360">
        <f t="shared" si="26"/>
        <v>875</v>
      </c>
      <c r="AC23" s="360">
        <f t="shared" si="27"/>
        <v>30</v>
      </c>
      <c r="AD23" s="360">
        <v>150</v>
      </c>
      <c r="AE23" s="360" t="str">
        <f t="shared" si="28"/>
        <v>875-30</v>
      </c>
      <c r="AF23" s="360" t="s">
        <v>193</v>
      </c>
      <c r="AG23" s="360">
        <v>1</v>
      </c>
      <c r="AH23" s="360">
        <v>0</v>
      </c>
      <c r="AI23" s="360">
        <v>105</v>
      </c>
      <c r="AJ23" s="291" t="s">
        <v>1591</v>
      </c>
    </row>
    <row r="24" spans="1:36" s="535" customFormat="1" x14ac:dyDescent="0.2">
      <c r="A24" s="314">
        <v>23</v>
      </c>
      <c r="B24" s="527">
        <v>41835</v>
      </c>
      <c r="C24" s="528">
        <v>1</v>
      </c>
      <c r="D24" s="375" t="s">
        <v>8</v>
      </c>
      <c r="E24" s="375" t="s">
        <v>1591</v>
      </c>
      <c r="F24" s="314">
        <v>573</v>
      </c>
      <c r="G24" s="314">
        <v>7</v>
      </c>
      <c r="H24" s="314"/>
      <c r="I24" s="314"/>
      <c r="J24" s="314" t="s">
        <v>364</v>
      </c>
      <c r="K24" s="376"/>
      <c r="L24" s="384">
        <v>2.0833333333333332E-2</v>
      </c>
      <c r="M24" s="385" t="s">
        <v>850</v>
      </c>
      <c r="N24" s="314" t="s">
        <v>1592</v>
      </c>
      <c r="O24" s="538" t="s">
        <v>1532</v>
      </c>
      <c r="P24" s="383"/>
      <c r="Q24" s="314" t="s">
        <v>2760</v>
      </c>
      <c r="R24" s="536" t="s">
        <v>2798</v>
      </c>
      <c r="S24" s="532">
        <f t="shared" si="17"/>
        <v>0.93368055555555551</v>
      </c>
      <c r="T24" s="533">
        <f>IF(ISERROR(VLOOKUP(F24,'Freq-Chan'!C:E,2,FALSE)),IF(F24&gt;0,"CHECK",""),151+(F24/1000))</f>
        <v>151.57300000000001</v>
      </c>
      <c r="U24" s="534">
        <f t="shared" si="18"/>
        <v>41835</v>
      </c>
      <c r="V24" s="379" t="str">
        <f t="shared" si="19"/>
        <v>22:25:00</v>
      </c>
      <c r="W24" s="379">
        <f>VLOOKUP($C24,ReleaseSites!$A:$D,3,FALSE)</f>
        <v>62.616370000000003</v>
      </c>
      <c r="X24" s="379">
        <f>VLOOKUP($C24,ReleaseSites!$A:$D,4,FALSE)</f>
        <v>-150.01661999999999</v>
      </c>
      <c r="Y24" s="314">
        <v>852</v>
      </c>
      <c r="Z24" s="314">
        <v>-2</v>
      </c>
      <c r="AA24" s="314" t="s">
        <v>8</v>
      </c>
      <c r="AB24" s="379">
        <f t="shared" si="26"/>
        <v>573</v>
      </c>
      <c r="AC24" s="379">
        <f t="shared" si="27"/>
        <v>7</v>
      </c>
      <c r="AD24" s="379">
        <v>150</v>
      </c>
      <c r="AE24" s="379" t="str">
        <f t="shared" si="28"/>
        <v>573-7</v>
      </c>
      <c r="AF24" s="379" t="s">
        <v>193</v>
      </c>
      <c r="AG24" s="379">
        <v>1</v>
      </c>
      <c r="AH24" s="379">
        <v>0</v>
      </c>
      <c r="AI24" s="379">
        <v>105</v>
      </c>
      <c r="AJ24" s="314" t="s">
        <v>1591</v>
      </c>
    </row>
    <row r="25" spans="1:36" x14ac:dyDescent="0.2">
      <c r="A25" s="10">
        <v>24</v>
      </c>
      <c r="B25" s="351">
        <v>41836</v>
      </c>
      <c r="C25" s="511">
        <v>3</v>
      </c>
      <c r="D25" s="11" t="s">
        <v>2</v>
      </c>
      <c r="E25" s="11" t="s">
        <v>1591</v>
      </c>
      <c r="F25" s="10">
        <v>875</v>
      </c>
      <c r="G25" s="10">
        <v>47</v>
      </c>
      <c r="H25" s="10">
        <v>60</v>
      </c>
      <c r="I25" s="10"/>
      <c r="J25" s="10" t="s">
        <v>364</v>
      </c>
      <c r="K25" s="352"/>
      <c r="L25" s="353">
        <v>1.9444444444444445E-2</v>
      </c>
      <c r="M25" s="354" t="s">
        <v>2819</v>
      </c>
      <c r="N25" s="10" t="s">
        <v>1592</v>
      </c>
      <c r="O25" s="371" t="s">
        <v>1663</v>
      </c>
      <c r="P25" s="344" t="s">
        <v>2821</v>
      </c>
      <c r="Q25" s="10" t="s">
        <v>2798</v>
      </c>
      <c r="R25" s="539" t="s">
        <v>2826</v>
      </c>
      <c r="S25" s="512">
        <f t="shared" ref="S25:S33" si="29">M25-K25-(L25*24)/(24*60)</f>
        <v>0.68995370370370368</v>
      </c>
      <c r="T25" s="364">
        <f>IF(ISERROR(VLOOKUP(F25,'Freq-Chan'!C:E,2,FALSE)),IF(F25&gt;0,"CHECK",""),151+(F25/1000))</f>
        <v>151.875</v>
      </c>
      <c r="U25" s="513">
        <f t="shared" ref="U25:U33" si="30">B25</f>
        <v>41836</v>
      </c>
      <c r="V25" s="355" t="str">
        <f t="shared" ref="V25:V33" si="31">IFERROR(TEXT(M25,"hh:mm:ss"),"12:00:01")</f>
        <v>16:34:00</v>
      </c>
      <c r="W25" s="355">
        <f>VLOOKUP($C25,ReleaseSites!$A:$D,3,FALSE)</f>
        <v>62.637349999999998</v>
      </c>
      <c r="X25" s="355">
        <f>VLOOKUP($C25,ReleaseSites!$A:$D,4,FALSE)</f>
        <v>-149.97753</v>
      </c>
      <c r="Y25" s="10">
        <v>786</v>
      </c>
      <c r="Z25" s="10">
        <v>-2</v>
      </c>
      <c r="AA25" s="10" t="s">
        <v>2</v>
      </c>
      <c r="AB25" s="355">
        <f t="shared" si="26"/>
        <v>875</v>
      </c>
      <c r="AC25" s="355">
        <f t="shared" si="27"/>
        <v>47</v>
      </c>
      <c r="AD25" s="355">
        <v>150</v>
      </c>
      <c r="AE25" s="355" t="str">
        <f t="shared" si="28"/>
        <v>875-47</v>
      </c>
      <c r="AF25" s="355" t="s">
        <v>193</v>
      </c>
      <c r="AG25" s="355">
        <v>1</v>
      </c>
      <c r="AH25" s="355">
        <v>0</v>
      </c>
      <c r="AI25" s="355">
        <v>105</v>
      </c>
      <c r="AJ25" s="10" t="s">
        <v>1591</v>
      </c>
    </row>
    <row r="26" spans="1:36" x14ac:dyDescent="0.2">
      <c r="A26" s="10">
        <v>25</v>
      </c>
      <c r="B26" s="351">
        <v>41836</v>
      </c>
      <c r="C26" s="511">
        <v>3</v>
      </c>
      <c r="D26" s="11" t="s">
        <v>2</v>
      </c>
      <c r="E26" s="11" t="s">
        <v>1591</v>
      </c>
      <c r="F26" s="10">
        <v>364</v>
      </c>
      <c r="G26" s="10">
        <v>31</v>
      </c>
      <c r="H26" s="10"/>
      <c r="I26" s="10"/>
      <c r="J26" s="10" t="s">
        <v>364</v>
      </c>
      <c r="K26" s="352">
        <v>0.86597222222222225</v>
      </c>
      <c r="L26" s="353"/>
      <c r="M26" s="354" t="s">
        <v>1892</v>
      </c>
      <c r="N26" s="10" t="s">
        <v>1592</v>
      </c>
      <c r="O26" s="371" t="s">
        <v>1875</v>
      </c>
      <c r="P26" s="344" t="s">
        <v>2825</v>
      </c>
      <c r="Q26" s="10" t="s">
        <v>2798</v>
      </c>
      <c r="R26" s="364" t="s">
        <v>2826</v>
      </c>
      <c r="S26" s="512">
        <f t="shared" si="29"/>
        <v>2.7777777777777679E-3</v>
      </c>
      <c r="T26" s="364">
        <f>IF(ISERROR(VLOOKUP(F26,'Freq-Chan'!C:E,2,FALSE)),IF(F26&gt;0,"CHECK",""),151+(F26/1000))</f>
        <v>151.364</v>
      </c>
      <c r="U26" s="513">
        <f t="shared" si="30"/>
        <v>41836</v>
      </c>
      <c r="V26" s="355" t="str">
        <f t="shared" si="31"/>
        <v>20:51:00</v>
      </c>
      <c r="W26" s="355">
        <f>VLOOKUP($C26,ReleaseSites!$A:$D,3,FALSE)</f>
        <v>62.637349999999998</v>
      </c>
      <c r="X26" s="355">
        <f>VLOOKUP($C26,ReleaseSites!$A:$D,4,FALSE)</f>
        <v>-149.97753</v>
      </c>
      <c r="Y26" s="10">
        <v>590</v>
      </c>
      <c r="Z26" s="10">
        <v>-2</v>
      </c>
      <c r="AA26" s="10" t="s">
        <v>2</v>
      </c>
      <c r="AB26" s="355">
        <f t="shared" si="26"/>
        <v>364</v>
      </c>
      <c r="AC26" s="355">
        <f t="shared" si="27"/>
        <v>31</v>
      </c>
      <c r="AD26" s="355">
        <v>150</v>
      </c>
      <c r="AE26" s="355" t="str">
        <f t="shared" si="28"/>
        <v>364-31</v>
      </c>
      <c r="AF26" s="355" t="s">
        <v>193</v>
      </c>
      <c r="AG26" s="355">
        <v>1</v>
      </c>
      <c r="AH26" s="355">
        <v>0</v>
      </c>
      <c r="AI26" s="355">
        <v>105</v>
      </c>
      <c r="AJ26" s="10" t="s">
        <v>1591</v>
      </c>
    </row>
    <row r="27" spans="1:36" s="345" customFormat="1" x14ac:dyDescent="0.2">
      <c r="A27" s="291">
        <v>26</v>
      </c>
      <c r="B27" s="356">
        <v>41836</v>
      </c>
      <c r="C27" s="514">
        <v>3</v>
      </c>
      <c r="D27" s="367" t="s">
        <v>8</v>
      </c>
      <c r="E27" s="367" t="s">
        <v>1591</v>
      </c>
      <c r="F27" s="291">
        <v>573</v>
      </c>
      <c r="G27" s="291">
        <v>33</v>
      </c>
      <c r="H27" s="291"/>
      <c r="I27" s="291"/>
      <c r="J27" s="291" t="s">
        <v>364</v>
      </c>
      <c r="K27" s="357"/>
      <c r="L27" s="358">
        <v>0.1173611111111111</v>
      </c>
      <c r="M27" s="359" t="s">
        <v>2820</v>
      </c>
      <c r="N27" s="291" t="s">
        <v>1592</v>
      </c>
      <c r="O27" s="515" t="s">
        <v>1875</v>
      </c>
      <c r="P27" s="386"/>
      <c r="Q27" s="291" t="s">
        <v>2798</v>
      </c>
      <c r="R27" s="362" t="s">
        <v>2826</v>
      </c>
      <c r="S27" s="516">
        <f t="shared" si="29"/>
        <v>0.97165509259259253</v>
      </c>
      <c r="T27" s="362">
        <f>IF(ISERROR(VLOOKUP(F27,'Freq-Chan'!C:E,2,FALSE)),IF(F27&gt;0,"CHECK",""),151+(F27/1000))</f>
        <v>151.57300000000001</v>
      </c>
      <c r="U27" s="517">
        <f t="shared" si="30"/>
        <v>41836</v>
      </c>
      <c r="V27" s="360" t="str">
        <f t="shared" si="31"/>
        <v>23:22:00</v>
      </c>
      <c r="W27" s="360">
        <f>VLOOKUP($C27,ReleaseSites!$A:$D,3,FALSE)</f>
        <v>62.637349999999998</v>
      </c>
      <c r="X27" s="360">
        <f>VLOOKUP($C27,ReleaseSites!$A:$D,4,FALSE)</f>
        <v>-149.97753</v>
      </c>
      <c r="Y27" s="291">
        <v>785</v>
      </c>
      <c r="Z27" s="291">
        <v>-2</v>
      </c>
      <c r="AA27" s="291" t="s">
        <v>8</v>
      </c>
      <c r="AB27" s="360">
        <f t="shared" si="26"/>
        <v>573</v>
      </c>
      <c r="AC27" s="360">
        <f t="shared" si="27"/>
        <v>33</v>
      </c>
      <c r="AD27" s="360">
        <v>150</v>
      </c>
      <c r="AE27" s="360" t="str">
        <f t="shared" si="28"/>
        <v>573-33</v>
      </c>
      <c r="AF27" s="360" t="s">
        <v>193</v>
      </c>
      <c r="AG27" s="360">
        <v>1</v>
      </c>
      <c r="AH27" s="360">
        <v>0</v>
      </c>
      <c r="AI27" s="360">
        <v>105</v>
      </c>
      <c r="AJ27" s="291" t="s">
        <v>1591</v>
      </c>
    </row>
    <row r="28" spans="1:36" x14ac:dyDescent="0.2">
      <c r="A28" s="10">
        <v>27</v>
      </c>
      <c r="B28" s="351">
        <v>41837</v>
      </c>
      <c r="C28" s="511">
        <v>1</v>
      </c>
      <c r="D28" s="11" t="s">
        <v>2</v>
      </c>
      <c r="E28" s="11" t="s">
        <v>1591</v>
      </c>
      <c r="F28" s="10">
        <v>875</v>
      </c>
      <c r="G28" s="10">
        <v>20</v>
      </c>
      <c r="H28" s="10">
        <v>54</v>
      </c>
      <c r="I28" s="10"/>
      <c r="J28" s="10" t="s">
        <v>364</v>
      </c>
      <c r="K28" s="352"/>
      <c r="L28" s="353">
        <v>0.1111111111111111</v>
      </c>
      <c r="M28" s="354" t="s">
        <v>2752</v>
      </c>
      <c r="N28" s="355" t="s">
        <v>1592</v>
      </c>
      <c r="O28" s="371" t="s">
        <v>1585</v>
      </c>
      <c r="P28" s="365" t="s">
        <v>2859</v>
      </c>
      <c r="Q28" s="10" t="s">
        <v>2831</v>
      </c>
      <c r="R28" s="364" t="s">
        <v>2864</v>
      </c>
      <c r="S28" s="512">
        <f t="shared" si="29"/>
        <v>0.30231481481481481</v>
      </c>
      <c r="T28" s="364">
        <f>IF(ISERROR(VLOOKUP(F28,'Freq-Chan'!C:E,2,FALSE)),IF(F28&gt;0,"CHECK",""),151+(F28/1000))</f>
        <v>151.875</v>
      </c>
      <c r="U28" s="513">
        <f t="shared" si="30"/>
        <v>41837</v>
      </c>
      <c r="V28" s="355" t="str">
        <f t="shared" si="31"/>
        <v>07:18:00</v>
      </c>
      <c r="W28" s="355">
        <f>VLOOKUP($C28,ReleaseSites!$A:$D,3,FALSE)</f>
        <v>62.616370000000003</v>
      </c>
      <c r="X28" s="355">
        <f>VLOOKUP($C28,ReleaseSites!$A:$D,4,FALSE)</f>
        <v>-150.01661999999999</v>
      </c>
      <c r="Y28" s="10">
        <v>788</v>
      </c>
      <c r="Z28" s="10">
        <v>-9</v>
      </c>
      <c r="AA28" s="10" t="s">
        <v>2</v>
      </c>
      <c r="AB28" s="355">
        <f t="shared" si="26"/>
        <v>875</v>
      </c>
      <c r="AC28" s="355">
        <f t="shared" si="27"/>
        <v>20</v>
      </c>
      <c r="AD28" s="355">
        <v>150</v>
      </c>
      <c r="AE28" s="355" t="str">
        <f t="shared" si="28"/>
        <v>875-20</v>
      </c>
      <c r="AF28" s="355" t="s">
        <v>193</v>
      </c>
      <c r="AG28" s="355">
        <v>1</v>
      </c>
      <c r="AH28" s="355">
        <v>0</v>
      </c>
      <c r="AI28" s="355">
        <v>105</v>
      </c>
      <c r="AJ28" s="10" t="s">
        <v>1591</v>
      </c>
    </row>
    <row r="29" spans="1:36" s="345" customFormat="1" x14ac:dyDescent="0.2">
      <c r="A29" s="291">
        <v>28</v>
      </c>
      <c r="B29" s="356">
        <v>41837</v>
      </c>
      <c r="C29" s="514">
        <v>3</v>
      </c>
      <c r="D29" s="367" t="s">
        <v>177</v>
      </c>
      <c r="E29" s="367" t="s">
        <v>1591</v>
      </c>
      <c r="F29" s="291">
        <v>917</v>
      </c>
      <c r="G29" s="291">
        <v>72</v>
      </c>
      <c r="H29" s="291"/>
      <c r="I29" s="291"/>
      <c r="J29" s="291" t="s">
        <v>364</v>
      </c>
      <c r="K29" s="357"/>
      <c r="L29" s="358">
        <v>1.4583333333333332E-2</v>
      </c>
      <c r="M29" s="359" t="s">
        <v>2860</v>
      </c>
      <c r="N29" s="291" t="s">
        <v>1592</v>
      </c>
      <c r="O29" s="515" t="s">
        <v>1875</v>
      </c>
      <c r="P29" s="346"/>
      <c r="Q29" s="291" t="s">
        <v>2826</v>
      </c>
      <c r="R29" s="362" t="s">
        <v>2864</v>
      </c>
      <c r="S29" s="516">
        <f t="shared" si="29"/>
        <v>0.93725694444444441</v>
      </c>
      <c r="T29" s="362">
        <f>IF(ISERROR(VLOOKUP(F29,'Freq-Chan'!C:E,2,FALSE)),IF(F29&gt;0,"CHECK",""),151+(F29/1000))</f>
        <v>151.917</v>
      </c>
      <c r="U29" s="517">
        <f t="shared" si="30"/>
        <v>41837</v>
      </c>
      <c r="V29" s="360" t="str">
        <f t="shared" si="31"/>
        <v>22:30:00</v>
      </c>
      <c r="W29" s="360">
        <f>VLOOKUP($C29,ReleaseSites!$A:$D,3,FALSE)</f>
        <v>62.637349999999998</v>
      </c>
      <c r="X29" s="360">
        <f>VLOOKUP($C29,ReleaseSites!$A:$D,4,FALSE)</f>
        <v>-149.97753</v>
      </c>
      <c r="Y29" s="291">
        <v>515</v>
      </c>
      <c r="Z29" s="291">
        <v>-1</v>
      </c>
      <c r="AA29" s="291" t="s">
        <v>177</v>
      </c>
      <c r="AB29" s="360">
        <f t="shared" si="26"/>
        <v>917</v>
      </c>
      <c r="AC29" s="360">
        <f t="shared" si="27"/>
        <v>72</v>
      </c>
      <c r="AD29" s="360">
        <v>150</v>
      </c>
      <c r="AE29" s="360" t="str">
        <f t="shared" si="28"/>
        <v>917-72</v>
      </c>
      <c r="AF29" s="360" t="s">
        <v>193</v>
      </c>
      <c r="AG29" s="360">
        <v>1</v>
      </c>
      <c r="AH29" s="360">
        <v>0</v>
      </c>
      <c r="AI29" s="360">
        <v>105</v>
      </c>
      <c r="AJ29" s="291" t="s">
        <v>1591</v>
      </c>
    </row>
    <row r="30" spans="1:36" x14ac:dyDescent="0.2">
      <c r="A30" s="10">
        <v>29</v>
      </c>
      <c r="B30" s="351">
        <v>41838</v>
      </c>
      <c r="C30" s="511">
        <v>3</v>
      </c>
      <c r="D30" s="10" t="s">
        <v>2</v>
      </c>
      <c r="E30" s="10" t="s">
        <v>1591</v>
      </c>
      <c r="F30" s="10">
        <v>755</v>
      </c>
      <c r="G30" s="10">
        <v>5</v>
      </c>
      <c r="H30" s="10">
        <v>65</v>
      </c>
      <c r="I30" s="10"/>
      <c r="J30" s="10" t="s">
        <v>364</v>
      </c>
      <c r="K30" s="352"/>
      <c r="L30" s="353">
        <v>8.6111111111111124E-2</v>
      </c>
      <c r="M30" s="354" t="s">
        <v>1976</v>
      </c>
      <c r="N30" s="10" t="s">
        <v>1592</v>
      </c>
      <c r="O30" s="352" t="s">
        <v>1585</v>
      </c>
      <c r="P30" s="344" t="s">
        <v>2912</v>
      </c>
      <c r="Q30" s="10" t="s">
        <v>2876</v>
      </c>
      <c r="R30" s="364" t="s">
        <v>2914</v>
      </c>
      <c r="S30" s="512">
        <f t="shared" si="29"/>
        <v>0.252037037037037</v>
      </c>
      <c r="T30" s="364">
        <f>IF(ISERROR(VLOOKUP(F30,'Freq-Chan'!C:E,2,FALSE)),IF(F30&gt;0,"CHECK",""),151+(F30/1000))</f>
        <v>151.755</v>
      </c>
      <c r="U30" s="513">
        <f t="shared" si="30"/>
        <v>41838</v>
      </c>
      <c r="V30" s="355" t="str">
        <f t="shared" si="31"/>
        <v>06:05:00</v>
      </c>
      <c r="W30" s="355">
        <f>VLOOKUP($C30,ReleaseSites!$A:$D,3,FALSE)</f>
        <v>62.637349999999998</v>
      </c>
      <c r="X30" s="355">
        <f>VLOOKUP($C30,ReleaseSites!$A:$D,4,FALSE)</f>
        <v>-149.97753</v>
      </c>
      <c r="Y30" s="10">
        <v>578</v>
      </c>
      <c r="Z30" s="10">
        <v>-2</v>
      </c>
      <c r="AA30" s="10" t="s">
        <v>2</v>
      </c>
      <c r="AB30" s="355">
        <f t="shared" si="26"/>
        <v>755</v>
      </c>
      <c r="AC30" s="355">
        <f t="shared" si="27"/>
        <v>5</v>
      </c>
      <c r="AD30" s="355">
        <v>150</v>
      </c>
      <c r="AE30" s="355" t="str">
        <f t="shared" si="28"/>
        <v>755-5</v>
      </c>
      <c r="AF30" s="355" t="s">
        <v>193</v>
      </c>
      <c r="AG30" s="355">
        <v>1</v>
      </c>
      <c r="AH30" s="355">
        <v>0</v>
      </c>
      <c r="AI30" s="355">
        <v>105</v>
      </c>
      <c r="AJ30" s="10" t="s">
        <v>1591</v>
      </c>
    </row>
    <row r="31" spans="1:36" s="345" customFormat="1" x14ac:dyDescent="0.2">
      <c r="A31" s="291">
        <v>30</v>
      </c>
      <c r="B31" s="356">
        <v>41838</v>
      </c>
      <c r="C31" s="514">
        <v>3</v>
      </c>
      <c r="D31" s="291" t="s">
        <v>70</v>
      </c>
      <c r="E31" s="291" t="s">
        <v>1591</v>
      </c>
      <c r="F31" s="367">
        <v>596</v>
      </c>
      <c r="G31" s="291">
        <v>19</v>
      </c>
      <c r="H31" s="291">
        <v>44</v>
      </c>
      <c r="I31" s="291"/>
      <c r="J31" s="291" t="s">
        <v>364</v>
      </c>
      <c r="K31" s="357"/>
      <c r="L31" s="358">
        <v>2.0833333333333333E-3</v>
      </c>
      <c r="M31" s="359" t="s">
        <v>2653</v>
      </c>
      <c r="N31" s="291" t="s">
        <v>1592</v>
      </c>
      <c r="O31" s="357" t="s">
        <v>1663</v>
      </c>
      <c r="P31" s="346" t="s">
        <v>2913</v>
      </c>
      <c r="Q31" s="291" t="s">
        <v>2876</v>
      </c>
      <c r="R31" s="362" t="s">
        <v>2914</v>
      </c>
      <c r="S31" s="516">
        <f t="shared" si="29"/>
        <v>0.40135416666666662</v>
      </c>
      <c r="T31" s="362">
        <f>IF(ISERROR(VLOOKUP(F31,'Freq-Chan'!C:E,2,FALSE)),IF(F31&gt;0,"CHECK",""),151+(F31/1000))</f>
        <v>151.596</v>
      </c>
      <c r="U31" s="517">
        <f t="shared" si="30"/>
        <v>41838</v>
      </c>
      <c r="V31" s="360" t="str">
        <f t="shared" si="31"/>
        <v>09:38:00</v>
      </c>
      <c r="W31" s="360">
        <f>VLOOKUP($C31,ReleaseSites!$A:$D,3,FALSE)</f>
        <v>62.637349999999998</v>
      </c>
      <c r="X31" s="360">
        <f>VLOOKUP($C31,ReleaseSites!$A:$D,4,FALSE)</f>
        <v>-149.97753</v>
      </c>
      <c r="Y31" s="291">
        <v>924</v>
      </c>
      <c r="Z31" s="291">
        <v>-9</v>
      </c>
      <c r="AA31" s="291" t="s">
        <v>70</v>
      </c>
      <c r="AB31" s="360">
        <f t="shared" si="26"/>
        <v>596</v>
      </c>
      <c r="AC31" s="360">
        <f t="shared" si="27"/>
        <v>19</v>
      </c>
      <c r="AD31" s="360">
        <v>150</v>
      </c>
      <c r="AE31" s="360" t="str">
        <f t="shared" si="28"/>
        <v>596-19</v>
      </c>
      <c r="AF31" s="360" t="s">
        <v>193</v>
      </c>
      <c r="AG31" s="360">
        <v>1</v>
      </c>
      <c r="AH31" s="360">
        <v>0</v>
      </c>
      <c r="AI31" s="360">
        <v>105</v>
      </c>
      <c r="AJ31" s="291" t="s">
        <v>1591</v>
      </c>
    </row>
    <row r="32" spans="1:36" x14ac:dyDescent="0.2">
      <c r="A32" s="10">
        <v>31</v>
      </c>
      <c r="B32" s="351">
        <v>41839</v>
      </c>
      <c r="C32" s="511">
        <v>3</v>
      </c>
      <c r="D32" s="10" t="s">
        <v>2</v>
      </c>
      <c r="E32" s="10" t="s">
        <v>1591</v>
      </c>
      <c r="F32" s="10">
        <v>713</v>
      </c>
      <c r="G32" s="10">
        <v>79</v>
      </c>
      <c r="H32" s="10"/>
      <c r="I32" s="10"/>
      <c r="J32" s="10" t="s">
        <v>364</v>
      </c>
      <c r="K32" s="352">
        <v>0.68333333333333324</v>
      </c>
      <c r="L32" s="353">
        <v>2.5694444444444447E-2</v>
      </c>
      <c r="M32" s="354" t="s">
        <v>2819</v>
      </c>
      <c r="N32" s="10" t="s">
        <v>1592</v>
      </c>
      <c r="O32" s="352" t="s">
        <v>372</v>
      </c>
      <c r="P32" s="344" t="s">
        <v>2953</v>
      </c>
      <c r="Q32" s="10" t="s">
        <v>2914</v>
      </c>
      <c r="R32" s="364" t="s">
        <v>2956</v>
      </c>
      <c r="S32" s="512">
        <f t="shared" si="29"/>
        <v>6.5162037037037896E-3</v>
      </c>
      <c r="T32" s="364">
        <f>IF(ISERROR(VLOOKUP(F32,'Freq-Chan'!C:E,2,FALSE)),IF(F32&gt;0,"CHECK",""),151+(F32/1000))</f>
        <v>151.71299999999999</v>
      </c>
      <c r="U32" s="513">
        <f t="shared" si="30"/>
        <v>41839</v>
      </c>
      <c r="V32" s="355" t="str">
        <f t="shared" si="31"/>
        <v>16:34:00</v>
      </c>
      <c r="W32" s="355">
        <f>VLOOKUP($C32,ReleaseSites!$A:$D,3,FALSE)</f>
        <v>62.637349999999998</v>
      </c>
      <c r="X32" s="355">
        <f>VLOOKUP($C32,ReleaseSites!$A:$D,4,FALSE)</f>
        <v>-149.97753</v>
      </c>
      <c r="Y32" s="10">
        <v>5380</v>
      </c>
      <c r="Z32" s="10">
        <v>-10</v>
      </c>
      <c r="AA32" s="10" t="s">
        <v>381</v>
      </c>
      <c r="AB32" s="355">
        <f t="shared" si="26"/>
        <v>713</v>
      </c>
      <c r="AC32" s="355">
        <f t="shared" si="27"/>
        <v>79</v>
      </c>
      <c r="AD32" s="355">
        <v>150</v>
      </c>
      <c r="AE32" s="355" t="str">
        <f t="shared" si="28"/>
        <v>713-79</v>
      </c>
      <c r="AF32" s="355" t="s">
        <v>193</v>
      </c>
      <c r="AG32" s="355">
        <v>1</v>
      </c>
      <c r="AH32" s="355">
        <v>0</v>
      </c>
      <c r="AI32" s="355">
        <v>105</v>
      </c>
      <c r="AJ32" s="10" t="s">
        <v>1591</v>
      </c>
    </row>
    <row r="33" spans="1:36" x14ac:dyDescent="0.2">
      <c r="A33" s="10">
        <v>32</v>
      </c>
      <c r="B33" s="351">
        <v>41839</v>
      </c>
      <c r="C33" s="511">
        <v>3</v>
      </c>
      <c r="D33" s="10" t="s">
        <v>177</v>
      </c>
      <c r="E33" s="10" t="s">
        <v>1591</v>
      </c>
      <c r="F33" s="10">
        <v>917</v>
      </c>
      <c r="G33" s="10">
        <v>17</v>
      </c>
      <c r="H33" s="10"/>
      <c r="I33" s="10"/>
      <c r="J33" s="10" t="s">
        <v>364</v>
      </c>
      <c r="K33" s="352"/>
      <c r="L33" s="353">
        <v>7.013888888888889E-2</v>
      </c>
      <c r="M33" s="354" t="s">
        <v>1832</v>
      </c>
      <c r="N33" s="10" t="s">
        <v>1592</v>
      </c>
      <c r="O33" s="352" t="s">
        <v>372</v>
      </c>
      <c r="P33" s="344" t="s">
        <v>2954</v>
      </c>
      <c r="Q33" s="10" t="s">
        <v>2914</v>
      </c>
      <c r="R33" s="364" t="s">
        <v>2956</v>
      </c>
      <c r="S33" s="512">
        <f t="shared" si="29"/>
        <v>0.70508101851851845</v>
      </c>
      <c r="T33" s="364">
        <f>IF(ISERROR(VLOOKUP(F33,'Freq-Chan'!C:E,2,FALSE)),IF(F33&gt;0,"CHECK",""),151+(F33/1000))</f>
        <v>151.917</v>
      </c>
      <c r="U33" s="513">
        <f t="shared" si="30"/>
        <v>41839</v>
      </c>
      <c r="V33" s="355" t="str">
        <f t="shared" si="31"/>
        <v>16:57:00</v>
      </c>
      <c r="W33" s="355">
        <f>VLOOKUP($C33,ReleaseSites!$A:$D,3,FALSE)</f>
        <v>62.637349999999998</v>
      </c>
      <c r="X33" s="355">
        <f>VLOOKUP($C33,ReleaseSites!$A:$D,4,FALSE)</f>
        <v>-149.97753</v>
      </c>
      <c r="Y33" s="10">
        <v>574</v>
      </c>
      <c r="Z33" s="10">
        <v>-1</v>
      </c>
      <c r="AA33" s="10" t="s">
        <v>177</v>
      </c>
      <c r="AB33" s="355">
        <f t="shared" si="26"/>
        <v>917</v>
      </c>
      <c r="AC33" s="355">
        <f t="shared" si="27"/>
        <v>17</v>
      </c>
      <c r="AD33" s="355">
        <v>150</v>
      </c>
      <c r="AE33" s="355" t="str">
        <f t="shared" si="28"/>
        <v>917-17</v>
      </c>
      <c r="AF33" s="355" t="s">
        <v>193</v>
      </c>
      <c r="AG33" s="355">
        <v>1</v>
      </c>
      <c r="AH33" s="355">
        <v>0</v>
      </c>
      <c r="AI33" s="355">
        <v>105</v>
      </c>
      <c r="AJ33" s="10" t="s">
        <v>1591</v>
      </c>
    </row>
    <row r="34" spans="1:36" s="345" customFormat="1" x14ac:dyDescent="0.2">
      <c r="A34" s="291">
        <v>33</v>
      </c>
      <c r="B34" s="356">
        <v>41839</v>
      </c>
      <c r="C34" s="514">
        <v>3</v>
      </c>
      <c r="D34" s="291" t="s">
        <v>2</v>
      </c>
      <c r="E34" s="291" t="s">
        <v>1591</v>
      </c>
      <c r="F34" s="291">
        <v>364</v>
      </c>
      <c r="G34" s="291">
        <v>31</v>
      </c>
      <c r="H34" s="291"/>
      <c r="I34" s="291"/>
      <c r="J34" s="291" t="s">
        <v>364</v>
      </c>
      <c r="K34" s="357">
        <v>0.78194444444444444</v>
      </c>
      <c r="L34" s="358">
        <v>2.0833333333333332E-2</v>
      </c>
      <c r="M34" s="359" t="s">
        <v>2955</v>
      </c>
      <c r="N34" s="291" t="s">
        <v>1592</v>
      </c>
      <c r="O34" s="357" t="s">
        <v>555</v>
      </c>
      <c r="P34" s="346"/>
      <c r="Q34" s="291" t="s">
        <v>2928</v>
      </c>
      <c r="R34" s="362" t="s">
        <v>2956</v>
      </c>
      <c r="S34" s="516">
        <f t="shared" ref="S34:S39" si="32">M34-K34-(L34*24)/(24*60)</f>
        <v>2.4305555555555456E-3</v>
      </c>
      <c r="T34" s="362">
        <f>IF(ISERROR(VLOOKUP(F34,'Freq-Chan'!C:E,2,FALSE)),IF(F34&gt;0,"CHECK",""),151+(F34/1000))</f>
        <v>151.364</v>
      </c>
      <c r="U34" s="517">
        <f t="shared" ref="U34:U39" si="33">B34</f>
        <v>41839</v>
      </c>
      <c r="V34" s="360" t="str">
        <f t="shared" ref="V34:V39" si="34">IFERROR(TEXT(M34,"hh:mm:ss"),"12:00:01")</f>
        <v>18:50:00</v>
      </c>
      <c r="W34" s="360">
        <f>VLOOKUP($C34,ReleaseSites!$A:$D,3,FALSE)</f>
        <v>62.637349999999998</v>
      </c>
      <c r="X34" s="360">
        <f>VLOOKUP($C34,ReleaseSites!$A:$D,4,FALSE)</f>
        <v>-149.97753</v>
      </c>
      <c r="Y34" s="291">
        <v>590</v>
      </c>
      <c r="Z34" s="291">
        <v>-2</v>
      </c>
      <c r="AA34" s="291" t="s">
        <v>2</v>
      </c>
      <c r="AB34" s="360">
        <f t="shared" ref="AB34:AB39" si="35">IF(F34="","",F34)</f>
        <v>364</v>
      </c>
      <c r="AC34" s="360">
        <f t="shared" ref="AC34:AC39" si="36">IF(G34="","",G34)</f>
        <v>31</v>
      </c>
      <c r="AD34" s="360">
        <v>150</v>
      </c>
      <c r="AE34" s="360" t="str">
        <f t="shared" ref="AE34:AE39" si="37">AB34&amp;"-"&amp;AC34</f>
        <v>364-31</v>
      </c>
      <c r="AF34" s="360" t="s">
        <v>193</v>
      </c>
      <c r="AG34" s="360">
        <v>1</v>
      </c>
      <c r="AH34" s="360">
        <v>0</v>
      </c>
      <c r="AI34" s="360">
        <v>105</v>
      </c>
      <c r="AJ34" s="291" t="s">
        <v>1591</v>
      </c>
    </row>
    <row r="35" spans="1:36" s="535" customFormat="1" x14ac:dyDescent="0.2">
      <c r="A35" s="314">
        <v>34</v>
      </c>
      <c r="B35" s="527">
        <v>41840</v>
      </c>
      <c r="C35" s="528">
        <v>3</v>
      </c>
      <c r="D35" s="314" t="s">
        <v>70</v>
      </c>
      <c r="E35" s="314" t="s">
        <v>1591</v>
      </c>
      <c r="F35" s="375">
        <v>917</v>
      </c>
      <c r="G35" s="314">
        <v>83</v>
      </c>
      <c r="H35" s="314"/>
      <c r="I35" s="314"/>
      <c r="J35" s="314" t="s">
        <v>365</v>
      </c>
      <c r="K35" s="376"/>
      <c r="L35" s="384">
        <v>0.10416666666666667</v>
      </c>
      <c r="M35" s="385" t="s">
        <v>3190</v>
      </c>
      <c r="N35" s="314" t="s">
        <v>1592</v>
      </c>
      <c r="O35" s="376" t="s">
        <v>372</v>
      </c>
      <c r="P35" s="314" t="s">
        <v>3191</v>
      </c>
      <c r="Q35" s="314" t="s">
        <v>2956</v>
      </c>
      <c r="R35" s="540" t="s">
        <v>3196</v>
      </c>
      <c r="S35" s="532">
        <f t="shared" si="32"/>
        <v>0.69895833333333324</v>
      </c>
      <c r="T35" s="533">
        <f>IF(ISERROR(VLOOKUP(F35,'Freq-Chan'!C:E,2,FALSE)),IF(F35&gt;0,"CHECK",""),151+(F35/1000))</f>
        <v>151.917</v>
      </c>
      <c r="U35" s="534">
        <f t="shared" si="33"/>
        <v>41840</v>
      </c>
      <c r="V35" s="379" t="str">
        <f t="shared" si="34"/>
        <v>16:49:00</v>
      </c>
      <c r="W35" s="379">
        <f>VLOOKUP($C35,ReleaseSites!$A:$D,3,FALSE)</f>
        <v>62.637349999999998</v>
      </c>
      <c r="X35" s="379">
        <f>VLOOKUP($C35,ReleaseSites!$A:$D,4,FALSE)</f>
        <v>-149.97753</v>
      </c>
      <c r="Y35" s="314">
        <v>874</v>
      </c>
      <c r="Z35" s="314">
        <v>-1</v>
      </c>
      <c r="AA35" s="314" t="s">
        <v>177</v>
      </c>
      <c r="AB35" s="379">
        <f t="shared" si="35"/>
        <v>917</v>
      </c>
      <c r="AC35" s="379">
        <f t="shared" si="36"/>
        <v>83</v>
      </c>
      <c r="AD35" s="379">
        <v>150</v>
      </c>
      <c r="AE35" s="379" t="str">
        <f t="shared" si="37"/>
        <v>917-83</v>
      </c>
      <c r="AF35" s="379" t="s">
        <v>193</v>
      </c>
      <c r="AG35" s="379">
        <v>1</v>
      </c>
      <c r="AH35" s="379">
        <v>0</v>
      </c>
      <c r="AI35" s="379">
        <v>105</v>
      </c>
      <c r="AJ35" s="314" t="s">
        <v>1591</v>
      </c>
    </row>
    <row r="36" spans="1:36" x14ac:dyDescent="0.2">
      <c r="A36" s="10">
        <v>35</v>
      </c>
      <c r="B36" s="351">
        <v>41842</v>
      </c>
      <c r="C36" s="511">
        <v>1</v>
      </c>
      <c r="D36" s="10" t="s">
        <v>70</v>
      </c>
      <c r="E36" s="10" t="s">
        <v>1591</v>
      </c>
      <c r="F36" s="11"/>
      <c r="G36" s="10"/>
      <c r="H36" s="10"/>
      <c r="I36" s="10"/>
      <c r="J36" s="10" t="s">
        <v>364</v>
      </c>
      <c r="K36" s="352"/>
      <c r="L36" s="353">
        <v>3.4722222222222224E-2</v>
      </c>
      <c r="M36" s="354" t="s">
        <v>3254</v>
      </c>
      <c r="N36" s="10" t="s">
        <v>1592</v>
      </c>
      <c r="O36" s="352" t="s">
        <v>1888</v>
      </c>
      <c r="P36" s="344" t="s">
        <v>3255</v>
      </c>
      <c r="Q36" s="10" t="s">
        <v>3234</v>
      </c>
      <c r="R36" s="364" t="s">
        <v>3262</v>
      </c>
      <c r="S36" s="512">
        <f t="shared" si="32"/>
        <v>0.52025462962962965</v>
      </c>
      <c r="T36" s="364" t="str">
        <f>IF(ISERROR(VLOOKUP(F36,'Freq-Chan'!C:E,2,FALSE)),IF(F36&gt;0,"CHECK",""),151+(F36/1000))</f>
        <v/>
      </c>
      <c r="U36" s="513">
        <f t="shared" si="33"/>
        <v>41842</v>
      </c>
      <c r="V36" s="355" t="str">
        <f t="shared" si="34"/>
        <v>12:30:00</v>
      </c>
      <c r="W36" s="355">
        <f>VLOOKUP($C36,ReleaseSites!$A:$D,3,FALSE)</f>
        <v>62.616370000000003</v>
      </c>
      <c r="X36" s="355">
        <f>VLOOKUP($C36,ReleaseSites!$A:$D,4,FALSE)</f>
        <v>-150.01661999999999</v>
      </c>
      <c r="Y36" s="10" t="s">
        <v>192</v>
      </c>
      <c r="Z36" s="10" t="s">
        <v>192</v>
      </c>
      <c r="AA36" s="10" t="s">
        <v>192</v>
      </c>
      <c r="AB36" s="355" t="str">
        <f t="shared" si="35"/>
        <v/>
      </c>
      <c r="AC36" s="355" t="str">
        <f t="shared" si="36"/>
        <v/>
      </c>
      <c r="AD36" s="355">
        <v>150</v>
      </c>
      <c r="AE36" s="355" t="str">
        <f t="shared" si="37"/>
        <v>-</v>
      </c>
      <c r="AF36" s="355" t="s">
        <v>193</v>
      </c>
      <c r="AG36" s="355">
        <v>1</v>
      </c>
      <c r="AH36" s="355">
        <v>0</v>
      </c>
      <c r="AI36" s="355">
        <v>105</v>
      </c>
      <c r="AJ36" s="10" t="s">
        <v>1591</v>
      </c>
    </row>
    <row r="37" spans="1:36" s="345" customFormat="1" x14ac:dyDescent="0.2">
      <c r="A37" s="291">
        <v>36</v>
      </c>
      <c r="B37" s="356">
        <v>41842</v>
      </c>
      <c r="C37" s="514">
        <v>1</v>
      </c>
      <c r="D37" s="291" t="s">
        <v>71</v>
      </c>
      <c r="E37" s="291" t="s">
        <v>1591</v>
      </c>
      <c r="F37" s="367">
        <v>564</v>
      </c>
      <c r="G37" s="291">
        <v>44</v>
      </c>
      <c r="H37" s="291">
        <v>62</v>
      </c>
      <c r="I37" s="291"/>
      <c r="J37" s="291" t="s">
        <v>364</v>
      </c>
      <c r="K37" s="357"/>
      <c r="L37" s="358">
        <v>8.3333333333333329E-2</v>
      </c>
      <c r="M37" s="373" t="s">
        <v>3256</v>
      </c>
      <c r="N37" s="291" t="s">
        <v>1592</v>
      </c>
      <c r="O37" s="357" t="s">
        <v>372</v>
      </c>
      <c r="P37" s="291" t="s">
        <v>3257</v>
      </c>
      <c r="Q37" s="291" t="s">
        <v>3234</v>
      </c>
      <c r="R37" s="362" t="s">
        <v>3262</v>
      </c>
      <c r="S37" s="516">
        <f t="shared" si="32"/>
        <v>0.52361111111111114</v>
      </c>
      <c r="T37" s="362">
        <f>IF(ISERROR(VLOOKUP(F37,'Freq-Chan'!C:E,2,FALSE)),IF(F37&gt;0,"CHECK",""),151+(F37/1000))</f>
        <v>151.56399999999999</v>
      </c>
      <c r="U37" s="517">
        <f t="shared" si="33"/>
        <v>41842</v>
      </c>
      <c r="V37" s="360" t="str">
        <f t="shared" si="34"/>
        <v>12:36:00</v>
      </c>
      <c r="W37" s="360">
        <f>VLOOKUP($C37,ReleaseSites!$A:$D,3,FALSE)</f>
        <v>62.616370000000003</v>
      </c>
      <c r="X37" s="360">
        <f>VLOOKUP($C37,ReleaseSites!$A:$D,4,FALSE)</f>
        <v>-150.01661999999999</v>
      </c>
      <c r="Y37" s="291">
        <v>969</v>
      </c>
      <c r="Z37" s="291">
        <v>-2</v>
      </c>
      <c r="AA37" s="291" t="s">
        <v>71</v>
      </c>
      <c r="AB37" s="360">
        <f t="shared" si="35"/>
        <v>564</v>
      </c>
      <c r="AC37" s="360">
        <f t="shared" si="36"/>
        <v>44</v>
      </c>
      <c r="AD37" s="360">
        <v>150</v>
      </c>
      <c r="AE37" s="360" t="str">
        <f t="shared" si="37"/>
        <v>564-44</v>
      </c>
      <c r="AF37" s="360" t="s">
        <v>193</v>
      </c>
      <c r="AG37" s="360">
        <v>1</v>
      </c>
      <c r="AH37" s="360">
        <v>0</v>
      </c>
      <c r="AI37" s="360">
        <v>105</v>
      </c>
      <c r="AJ37" s="291" t="s">
        <v>1591</v>
      </c>
    </row>
    <row r="38" spans="1:36" s="535" customFormat="1" x14ac:dyDescent="0.2">
      <c r="A38" s="314">
        <v>37</v>
      </c>
      <c r="B38" s="527">
        <v>41842</v>
      </c>
      <c r="C38" s="528">
        <v>3</v>
      </c>
      <c r="D38" s="314" t="s">
        <v>71</v>
      </c>
      <c r="E38" s="314" t="s">
        <v>1591</v>
      </c>
      <c r="F38" s="375">
        <v>534</v>
      </c>
      <c r="G38" s="314">
        <v>95</v>
      </c>
      <c r="H38" s="314"/>
      <c r="I38" s="314"/>
      <c r="J38" s="314" t="s">
        <v>364</v>
      </c>
      <c r="K38" s="376"/>
      <c r="L38" s="384">
        <v>5.2083333333333336E-2</v>
      </c>
      <c r="M38" s="378" t="s">
        <v>3258</v>
      </c>
      <c r="N38" s="314" t="s">
        <v>1592</v>
      </c>
      <c r="O38" s="376" t="s">
        <v>803</v>
      </c>
      <c r="P38" s="383" t="s">
        <v>3259</v>
      </c>
      <c r="Q38" s="314" t="s">
        <v>3224</v>
      </c>
      <c r="R38" s="533" t="s">
        <v>3262</v>
      </c>
      <c r="S38" s="532">
        <f t="shared" si="32"/>
        <v>0.5727430555555556</v>
      </c>
      <c r="T38" s="533">
        <f>IF(ISERROR(VLOOKUP(F38,'Freq-Chan'!C:E,2,FALSE)),IF(F38&gt;0,"CHECK",""),151+(F38/1000))</f>
        <v>151.53399999999999</v>
      </c>
      <c r="U38" s="534">
        <f t="shared" si="33"/>
        <v>41842</v>
      </c>
      <c r="V38" s="379" t="str">
        <f t="shared" si="34"/>
        <v>13:46:00</v>
      </c>
      <c r="W38" s="379">
        <f>VLOOKUP($C38,ReleaseSites!$A:$D,3,FALSE)</f>
        <v>62.637349999999998</v>
      </c>
      <c r="X38" s="379">
        <f>VLOOKUP($C38,ReleaseSites!$A:$D,4,FALSE)</f>
        <v>-149.97753</v>
      </c>
      <c r="Y38" s="314">
        <v>991</v>
      </c>
      <c r="Z38" s="314">
        <v>-2</v>
      </c>
      <c r="AA38" s="314" t="s">
        <v>71</v>
      </c>
      <c r="AB38" s="379">
        <f t="shared" si="35"/>
        <v>534</v>
      </c>
      <c r="AC38" s="379">
        <f t="shared" si="36"/>
        <v>95</v>
      </c>
      <c r="AD38" s="379">
        <v>150</v>
      </c>
      <c r="AE38" s="379" t="str">
        <f t="shared" si="37"/>
        <v>534-95</v>
      </c>
      <c r="AF38" s="379" t="s">
        <v>193</v>
      </c>
      <c r="AG38" s="379">
        <v>1</v>
      </c>
      <c r="AH38" s="379">
        <v>0</v>
      </c>
      <c r="AI38" s="379">
        <v>105</v>
      </c>
      <c r="AJ38" s="314" t="s">
        <v>1591</v>
      </c>
    </row>
    <row r="39" spans="1:36" s="535" customFormat="1" x14ac:dyDescent="0.2">
      <c r="A39" s="314">
        <v>38</v>
      </c>
      <c r="B39" s="527">
        <v>41844</v>
      </c>
      <c r="C39" s="528">
        <v>3</v>
      </c>
      <c r="D39" s="314" t="s">
        <v>70</v>
      </c>
      <c r="E39" s="314" t="s">
        <v>1591</v>
      </c>
      <c r="F39" s="375">
        <v>596</v>
      </c>
      <c r="G39" s="314">
        <v>57</v>
      </c>
      <c r="H39" s="314"/>
      <c r="I39" s="314"/>
      <c r="J39" s="314" t="s">
        <v>364</v>
      </c>
      <c r="K39" s="376">
        <v>0.55555555555555558</v>
      </c>
      <c r="L39" s="384">
        <v>1.3888888888888888E-2</v>
      </c>
      <c r="M39" s="378" t="s">
        <v>2051</v>
      </c>
      <c r="N39" s="314" t="s">
        <v>1592</v>
      </c>
      <c r="O39" s="376" t="s">
        <v>372</v>
      </c>
      <c r="P39" s="383" t="s">
        <v>2954</v>
      </c>
      <c r="Q39" s="314" t="s">
        <v>3325</v>
      </c>
      <c r="R39" s="533" t="s">
        <v>3367</v>
      </c>
      <c r="S39" s="516">
        <f t="shared" si="32"/>
        <v>2.5462962962962865E-3</v>
      </c>
      <c r="T39" s="362">
        <f>IF(ISERROR(VLOOKUP(F39,'Freq-Chan'!C:E,2,FALSE)),IF(F39&gt;0,"CHECK",""),151+(F39/1000))</f>
        <v>151.596</v>
      </c>
      <c r="U39" s="517">
        <f t="shared" si="33"/>
        <v>41844</v>
      </c>
      <c r="V39" s="360" t="str">
        <f t="shared" si="34"/>
        <v>13:24:00</v>
      </c>
      <c r="W39" s="360">
        <f>VLOOKUP($C39,ReleaseSites!$A:$D,3,FALSE)</f>
        <v>62.637349999999998</v>
      </c>
      <c r="X39" s="360">
        <f>VLOOKUP($C39,ReleaseSites!$A:$D,4,FALSE)</f>
        <v>-149.97753</v>
      </c>
      <c r="Y39" s="291">
        <v>1113</v>
      </c>
      <c r="Z39" s="291">
        <v>-1</v>
      </c>
      <c r="AA39" s="291" t="s">
        <v>70</v>
      </c>
      <c r="AB39" s="360">
        <f t="shared" si="35"/>
        <v>596</v>
      </c>
      <c r="AC39" s="360">
        <f t="shared" si="36"/>
        <v>57</v>
      </c>
      <c r="AD39" s="360">
        <v>150</v>
      </c>
      <c r="AE39" s="360" t="str">
        <f t="shared" si="37"/>
        <v>596-57</v>
      </c>
      <c r="AF39" s="360" t="s">
        <v>193</v>
      </c>
      <c r="AG39" s="360">
        <v>1</v>
      </c>
      <c r="AH39" s="360">
        <v>0</v>
      </c>
      <c r="AI39" s="360">
        <v>105</v>
      </c>
      <c r="AJ39" s="291" t="s">
        <v>1591</v>
      </c>
    </row>
    <row r="40" spans="1:36" s="535" customFormat="1" x14ac:dyDescent="0.2">
      <c r="A40" s="314">
        <v>39</v>
      </c>
      <c r="B40" s="527">
        <v>41846</v>
      </c>
      <c r="C40" s="528">
        <v>3</v>
      </c>
      <c r="D40" s="314" t="s">
        <v>2</v>
      </c>
      <c r="E40" s="314" t="s">
        <v>1591</v>
      </c>
      <c r="F40" s="375">
        <v>917</v>
      </c>
      <c r="G40" s="314">
        <v>61</v>
      </c>
      <c r="H40" s="314"/>
      <c r="I40" s="314"/>
      <c r="J40" s="314"/>
      <c r="K40" s="376"/>
      <c r="L40" s="384">
        <v>3.3333333333333333E-2</v>
      </c>
      <c r="M40" s="378" t="s">
        <v>3421</v>
      </c>
      <c r="N40" s="379" t="s">
        <v>1592</v>
      </c>
      <c r="O40" s="376" t="s">
        <v>1585</v>
      </c>
      <c r="P40" s="380" t="s">
        <v>3422</v>
      </c>
      <c r="Q40" s="314" t="s">
        <v>3413</v>
      </c>
      <c r="R40" s="533" t="s">
        <v>3455</v>
      </c>
      <c r="S40" s="532">
        <f t="shared" ref="S40:S45" si="38">M40-K40-(L40*24)/(24*60)</f>
        <v>0.68138888888888893</v>
      </c>
      <c r="T40" s="533">
        <f>IF(ISERROR(VLOOKUP(F40,'Freq-Chan'!C:E,2,FALSE)),IF(F40&gt;0,"CHECK",""),151+(F40/1000))</f>
        <v>151.917</v>
      </c>
      <c r="U40" s="534">
        <f t="shared" ref="U40:U45" si="39">B40</f>
        <v>41846</v>
      </c>
      <c r="V40" s="379" t="str">
        <f t="shared" ref="V40:V45" si="40">IFERROR(TEXT(M40,"hh:mm:ss"),"12:00:01")</f>
        <v>16:22:00</v>
      </c>
      <c r="W40" s="379">
        <f>VLOOKUP($C40,ReleaseSites!$A:$D,3,FALSE)</f>
        <v>62.637349999999998</v>
      </c>
      <c r="X40" s="379">
        <f>VLOOKUP($C40,ReleaseSites!$A:$D,4,FALSE)</f>
        <v>-149.97753</v>
      </c>
      <c r="Y40" s="314">
        <v>973</v>
      </c>
      <c r="Z40" s="314">
        <v>-9</v>
      </c>
      <c r="AA40" s="314" t="s">
        <v>2</v>
      </c>
      <c r="AB40" s="379">
        <f t="shared" ref="AB40:AB45" si="41">IF(F40="","",F40)</f>
        <v>917</v>
      </c>
      <c r="AC40" s="379">
        <f t="shared" ref="AC40:AC45" si="42">IF(G40="","",G40)</f>
        <v>61</v>
      </c>
      <c r="AD40" s="379">
        <v>150</v>
      </c>
      <c r="AE40" s="379" t="str">
        <f t="shared" ref="AE40:AE45" si="43">AB40&amp;"-"&amp;AC40</f>
        <v>917-61</v>
      </c>
      <c r="AF40" s="379" t="s">
        <v>193</v>
      </c>
      <c r="AG40" s="379">
        <v>1</v>
      </c>
      <c r="AH40" s="379">
        <v>0</v>
      </c>
      <c r="AI40" s="379">
        <v>105</v>
      </c>
      <c r="AJ40" s="314" t="s">
        <v>1591</v>
      </c>
    </row>
    <row r="41" spans="1:36" s="535" customFormat="1" x14ac:dyDescent="0.2">
      <c r="A41" s="314">
        <v>40</v>
      </c>
      <c r="B41" s="527">
        <v>41855</v>
      </c>
      <c r="C41" s="528">
        <v>3</v>
      </c>
      <c r="D41" s="314" t="s">
        <v>71</v>
      </c>
      <c r="E41" s="314" t="s">
        <v>1591</v>
      </c>
      <c r="F41" s="375">
        <v>564</v>
      </c>
      <c r="G41" s="314">
        <v>76</v>
      </c>
      <c r="H41" s="314"/>
      <c r="I41" s="314"/>
      <c r="J41" s="314" t="s">
        <v>364</v>
      </c>
      <c r="K41" s="376"/>
      <c r="L41" s="384">
        <v>2.9861111111111113E-2</v>
      </c>
      <c r="M41" s="378" t="s">
        <v>3254</v>
      </c>
      <c r="N41" s="379" t="s">
        <v>1592</v>
      </c>
      <c r="O41" s="376" t="s">
        <v>3932</v>
      </c>
      <c r="P41" s="380"/>
      <c r="Q41" s="379" t="s">
        <v>3967</v>
      </c>
      <c r="R41" s="540" t="s">
        <v>3991</v>
      </c>
      <c r="S41" s="532">
        <f t="shared" si="38"/>
        <v>0.52033564814814814</v>
      </c>
      <c r="T41" s="533">
        <f>IF(ISERROR(VLOOKUP(F41,'Freq-Chan'!C:E,2,FALSE)),IF(F41&gt;0,"CHECK",""),151+(F41/1000))</f>
        <v>151.56399999999999</v>
      </c>
      <c r="U41" s="534">
        <f t="shared" si="39"/>
        <v>41855</v>
      </c>
      <c r="V41" s="379" t="str">
        <f t="shared" si="40"/>
        <v>12:30:00</v>
      </c>
      <c r="W41" s="379">
        <f>VLOOKUP($C41,ReleaseSites!$A:$D,3,FALSE)</f>
        <v>62.637349999999998</v>
      </c>
      <c r="X41" s="379">
        <f>VLOOKUP($C41,ReleaseSites!$A:$D,4,FALSE)</f>
        <v>-149.97753</v>
      </c>
      <c r="Y41" s="314">
        <v>1764</v>
      </c>
      <c r="Z41" s="314">
        <v>-1</v>
      </c>
      <c r="AA41" s="314" t="s">
        <v>71</v>
      </c>
      <c r="AB41" s="379">
        <f t="shared" si="41"/>
        <v>564</v>
      </c>
      <c r="AC41" s="379">
        <f t="shared" si="42"/>
        <v>76</v>
      </c>
      <c r="AD41" s="379">
        <v>150</v>
      </c>
      <c r="AE41" s="379" t="str">
        <f t="shared" si="43"/>
        <v>564-76</v>
      </c>
      <c r="AF41" s="379" t="s">
        <v>193</v>
      </c>
      <c r="AG41" s="379">
        <v>1</v>
      </c>
      <c r="AH41" s="379">
        <v>0</v>
      </c>
      <c r="AI41" s="379">
        <v>105</v>
      </c>
      <c r="AJ41" s="314" t="s">
        <v>1591</v>
      </c>
    </row>
    <row r="42" spans="1:36" x14ac:dyDescent="0.2">
      <c r="A42" s="10">
        <v>41</v>
      </c>
      <c r="B42" s="351">
        <v>41856</v>
      </c>
      <c r="C42" s="511">
        <v>3</v>
      </c>
      <c r="D42" s="10" t="s">
        <v>70</v>
      </c>
      <c r="E42" s="10" t="s">
        <v>1591</v>
      </c>
      <c r="F42" s="11">
        <v>515</v>
      </c>
      <c r="G42" s="10">
        <v>46</v>
      </c>
      <c r="H42" s="10"/>
      <c r="I42" s="10"/>
      <c r="J42" s="10" t="s">
        <v>365</v>
      </c>
      <c r="K42" s="352"/>
      <c r="L42" s="353">
        <v>3.5416666666666666E-2</v>
      </c>
      <c r="M42" s="370" t="s">
        <v>391</v>
      </c>
      <c r="N42" s="355" t="s">
        <v>1592</v>
      </c>
      <c r="O42" s="352" t="s">
        <v>3932</v>
      </c>
      <c r="Q42" s="355" t="s">
        <v>3968</v>
      </c>
      <c r="R42" s="372" t="s">
        <v>4027</v>
      </c>
      <c r="S42" s="512">
        <f>M42-K42-(L42*24)/(24*60)</f>
        <v>0.6730208333333334</v>
      </c>
      <c r="T42" s="364">
        <f>IF(ISERROR(VLOOKUP(F42,'Freq-Chan'!C:E,2,FALSE)),IF(F42&gt;0,"CHECK",""),151+(F42/1000))</f>
        <v>151.51499999999999</v>
      </c>
      <c r="U42" s="513">
        <f t="shared" si="39"/>
        <v>41856</v>
      </c>
      <c r="V42" s="355" t="str">
        <f t="shared" si="40"/>
        <v>16:10:00</v>
      </c>
      <c r="W42" s="355">
        <f>VLOOKUP($C42,ReleaseSites!$A:$D,3,FALSE)</f>
        <v>62.637349999999998</v>
      </c>
      <c r="X42" s="355">
        <f>VLOOKUP($C42,ReleaseSites!$A:$D,4,FALSE)</f>
        <v>-149.97753</v>
      </c>
      <c r="Y42" s="10">
        <v>1892</v>
      </c>
      <c r="Z42" s="10">
        <v>-1</v>
      </c>
      <c r="AA42" s="10" t="s">
        <v>70</v>
      </c>
      <c r="AB42" s="355">
        <f t="shared" si="41"/>
        <v>515</v>
      </c>
      <c r="AC42" s="355">
        <f t="shared" si="42"/>
        <v>46</v>
      </c>
      <c r="AD42" s="355">
        <v>150</v>
      </c>
      <c r="AE42" s="355" t="str">
        <f t="shared" si="43"/>
        <v>515-46</v>
      </c>
      <c r="AF42" s="355" t="s">
        <v>193</v>
      </c>
      <c r="AG42" s="355">
        <v>1</v>
      </c>
      <c r="AH42" s="355">
        <v>0</v>
      </c>
      <c r="AI42" s="355">
        <v>105</v>
      </c>
      <c r="AJ42" s="10" t="s">
        <v>1591</v>
      </c>
    </row>
    <row r="43" spans="1:36" s="345" customFormat="1" x14ac:dyDescent="0.2">
      <c r="A43" s="291">
        <v>42</v>
      </c>
      <c r="B43" s="356">
        <v>41856</v>
      </c>
      <c r="C43" s="514">
        <v>3</v>
      </c>
      <c r="D43" s="291" t="s">
        <v>71</v>
      </c>
      <c r="E43" s="291" t="s">
        <v>1591</v>
      </c>
      <c r="F43" s="291">
        <v>564</v>
      </c>
      <c r="G43" s="291">
        <v>23</v>
      </c>
      <c r="H43" s="291"/>
      <c r="I43" s="291"/>
      <c r="J43" s="291" t="s">
        <v>1032</v>
      </c>
      <c r="K43" s="357">
        <v>0.6791666666666667</v>
      </c>
      <c r="L43" s="358">
        <v>1.6666666666666666E-2</v>
      </c>
      <c r="M43" s="373" t="s">
        <v>3421</v>
      </c>
      <c r="N43" s="360" t="s">
        <v>1592</v>
      </c>
      <c r="O43" s="357" t="s">
        <v>3932</v>
      </c>
      <c r="P43" s="346"/>
      <c r="Q43" s="360" t="s">
        <v>3968</v>
      </c>
      <c r="R43" s="524" t="s">
        <v>4027</v>
      </c>
      <c r="S43" s="516">
        <f>M43-K43-(L43*24)/(24*60)</f>
        <v>2.4999999999999901E-3</v>
      </c>
      <c r="T43" s="362">
        <f>IF(ISERROR(VLOOKUP(F43,'Freq-Chan'!C:E,2,FALSE)),IF(F43&gt;0,"CHECK",""),151+(F43/1000))</f>
        <v>151.56399999999999</v>
      </c>
      <c r="U43" s="517">
        <f t="shared" si="39"/>
        <v>41856</v>
      </c>
      <c r="V43" s="360" t="str">
        <f t="shared" si="40"/>
        <v>16:22:00</v>
      </c>
      <c r="W43" s="360">
        <f>VLOOKUP($C43,ReleaseSites!$A:$D,3,FALSE)</f>
        <v>62.637349999999998</v>
      </c>
      <c r="X43" s="360">
        <f>VLOOKUP($C43,ReleaseSites!$A:$D,4,FALSE)</f>
        <v>-149.97753</v>
      </c>
      <c r="Y43" s="291">
        <v>1957</v>
      </c>
      <c r="Z43" s="291">
        <v>-9</v>
      </c>
      <c r="AA43" s="291" t="s">
        <v>71</v>
      </c>
      <c r="AB43" s="360">
        <f t="shared" si="41"/>
        <v>564</v>
      </c>
      <c r="AC43" s="360">
        <f t="shared" si="42"/>
        <v>23</v>
      </c>
      <c r="AD43" s="360">
        <v>150</v>
      </c>
      <c r="AE43" s="360" t="str">
        <f t="shared" si="43"/>
        <v>564-23</v>
      </c>
      <c r="AF43" s="360" t="s">
        <v>193</v>
      </c>
      <c r="AG43" s="360">
        <v>1</v>
      </c>
      <c r="AH43" s="360">
        <v>0</v>
      </c>
      <c r="AI43" s="360">
        <v>105</v>
      </c>
      <c r="AJ43" s="291" t="s">
        <v>1591</v>
      </c>
    </row>
    <row r="44" spans="1:36" s="535" customFormat="1" x14ac:dyDescent="0.2">
      <c r="A44" s="314">
        <v>43</v>
      </c>
      <c r="B44" s="527">
        <v>41857</v>
      </c>
      <c r="C44" s="528">
        <v>1</v>
      </c>
      <c r="D44" s="314" t="s">
        <v>72</v>
      </c>
      <c r="E44" s="314" t="s">
        <v>1591</v>
      </c>
      <c r="F44" s="314">
        <v>325</v>
      </c>
      <c r="G44" s="314">
        <v>24</v>
      </c>
      <c r="H44" s="314"/>
      <c r="I44" s="314"/>
      <c r="J44" s="314" t="s">
        <v>364</v>
      </c>
      <c r="K44" s="376"/>
      <c r="L44" s="384">
        <v>2.0833333333333332E-2</v>
      </c>
      <c r="M44" s="378" t="s">
        <v>770</v>
      </c>
      <c r="N44" s="379" t="s">
        <v>1592</v>
      </c>
      <c r="O44" s="376" t="s">
        <v>1532</v>
      </c>
      <c r="P44" s="380"/>
      <c r="Q44" s="379" t="s">
        <v>4033</v>
      </c>
      <c r="R44" s="540" t="s">
        <v>4054</v>
      </c>
      <c r="S44" s="532">
        <f t="shared" si="38"/>
        <v>0.73923611111111109</v>
      </c>
      <c r="T44" s="533">
        <f>IF(ISERROR(VLOOKUP(F44,'Freq-Chan'!C:E,2,FALSE)),IF(F44&gt;0,"CHECK",""),151+(F44/1000))</f>
        <v>151.32499999999999</v>
      </c>
      <c r="U44" s="534">
        <f t="shared" si="39"/>
        <v>41857</v>
      </c>
      <c r="V44" s="379" t="str">
        <f t="shared" si="40"/>
        <v>17:45:00</v>
      </c>
      <c r="W44" s="379">
        <f>VLOOKUP($C44,ReleaseSites!$A:$D,3,FALSE)</f>
        <v>62.616370000000003</v>
      </c>
      <c r="X44" s="379">
        <f>VLOOKUP($C44,ReleaseSites!$A:$D,4,FALSE)</f>
        <v>-150.01661999999999</v>
      </c>
      <c r="Y44" s="314">
        <v>1702</v>
      </c>
      <c r="Z44" s="314">
        <v>-2</v>
      </c>
      <c r="AA44" s="314" t="s">
        <v>72</v>
      </c>
      <c r="AB44" s="379">
        <f t="shared" si="41"/>
        <v>325</v>
      </c>
      <c r="AC44" s="379">
        <f t="shared" si="42"/>
        <v>24</v>
      </c>
      <c r="AD44" s="379">
        <v>150</v>
      </c>
      <c r="AE44" s="379" t="str">
        <f t="shared" si="43"/>
        <v>325-24</v>
      </c>
      <c r="AF44" s="379" t="s">
        <v>193</v>
      </c>
      <c r="AG44" s="379">
        <v>1</v>
      </c>
      <c r="AH44" s="379">
        <v>0</v>
      </c>
      <c r="AI44" s="379">
        <v>105</v>
      </c>
      <c r="AJ44" s="314" t="s">
        <v>1591</v>
      </c>
    </row>
    <row r="45" spans="1:36" s="345" customFormat="1" x14ac:dyDescent="0.2">
      <c r="A45" s="291">
        <v>44</v>
      </c>
      <c r="B45" s="356">
        <v>41857</v>
      </c>
      <c r="C45" s="514">
        <v>2</v>
      </c>
      <c r="D45" s="360" t="s">
        <v>8</v>
      </c>
      <c r="E45" s="291" t="s">
        <v>1591</v>
      </c>
      <c r="F45" s="291">
        <v>573</v>
      </c>
      <c r="G45" s="291">
        <v>13</v>
      </c>
      <c r="H45" s="291"/>
      <c r="I45" s="291"/>
      <c r="J45" s="291" t="s">
        <v>364</v>
      </c>
      <c r="K45" s="357">
        <v>0.82638888888888884</v>
      </c>
      <c r="L45" s="358">
        <v>1.8749999999999999E-2</v>
      </c>
      <c r="M45" s="373" t="s">
        <v>2787</v>
      </c>
      <c r="N45" s="360" t="s">
        <v>1592</v>
      </c>
      <c r="O45" s="357" t="s">
        <v>1532</v>
      </c>
      <c r="P45" s="374"/>
      <c r="Q45" s="360" t="s">
        <v>4033</v>
      </c>
      <c r="R45" s="524" t="s">
        <v>4054</v>
      </c>
      <c r="S45" s="516">
        <f t="shared" si="38"/>
        <v>8.0208333333334145E-3</v>
      </c>
      <c r="T45" s="362">
        <f>IF(ISERROR(VLOOKUP(F45,'Freq-Chan'!C:E,2,FALSE)),IF(F45&gt;0,"CHECK",""),151+(F45/1000))</f>
        <v>151.57300000000001</v>
      </c>
      <c r="U45" s="517">
        <f t="shared" si="39"/>
        <v>41857</v>
      </c>
      <c r="V45" s="360" t="str">
        <f t="shared" si="40"/>
        <v>20:02:00</v>
      </c>
      <c r="W45" s="360">
        <f>VLOOKUP($C45,ReleaseSites!$A:$D,3,FALSE)</f>
        <v>62.601680000000002</v>
      </c>
      <c r="X45" s="360">
        <f>VLOOKUP($C45,ReleaseSites!$A:$D,4,FALSE)</f>
        <v>-150.02646999999999</v>
      </c>
      <c r="Y45" s="291">
        <v>2002</v>
      </c>
      <c r="Z45" s="291">
        <v>-2</v>
      </c>
      <c r="AA45" s="291" t="s">
        <v>8</v>
      </c>
      <c r="AB45" s="360">
        <f t="shared" si="41"/>
        <v>573</v>
      </c>
      <c r="AC45" s="360">
        <f t="shared" si="42"/>
        <v>13</v>
      </c>
      <c r="AD45" s="360">
        <v>150</v>
      </c>
      <c r="AE45" s="360" t="str">
        <f t="shared" si="43"/>
        <v>573-13</v>
      </c>
      <c r="AF45" s="360" t="s">
        <v>193</v>
      </c>
      <c r="AG45" s="360">
        <v>1</v>
      </c>
      <c r="AH45" s="360">
        <v>0</v>
      </c>
      <c r="AI45" s="360">
        <v>105</v>
      </c>
      <c r="AJ45" s="291" t="s">
        <v>1591</v>
      </c>
    </row>
    <row r="46" spans="1:36" s="535" customFormat="1" x14ac:dyDescent="0.2">
      <c r="A46" s="314">
        <v>45</v>
      </c>
      <c r="B46" s="527">
        <v>41857</v>
      </c>
      <c r="C46" s="528">
        <v>3</v>
      </c>
      <c r="D46" s="379" t="s">
        <v>70</v>
      </c>
      <c r="E46" s="314" t="s">
        <v>1591</v>
      </c>
      <c r="F46" s="375">
        <v>596</v>
      </c>
      <c r="G46" s="314">
        <v>7</v>
      </c>
      <c r="H46" s="314"/>
      <c r="I46" s="314"/>
      <c r="J46" s="314" t="s">
        <v>365</v>
      </c>
      <c r="K46" s="376"/>
      <c r="L46" s="384">
        <v>1.9444444444444445E-2</v>
      </c>
      <c r="M46" s="378" t="s">
        <v>1691</v>
      </c>
      <c r="N46" s="379" t="s">
        <v>1592</v>
      </c>
      <c r="O46" s="376" t="s">
        <v>1585</v>
      </c>
      <c r="P46" s="380"/>
      <c r="Q46" s="379" t="s">
        <v>4040</v>
      </c>
      <c r="R46" s="540" t="s">
        <v>4054</v>
      </c>
      <c r="S46" s="532">
        <f t="shared" ref="S46:S55" si="44">M46-K46-(L46*24)/(24*60)</f>
        <v>0.82328703703703698</v>
      </c>
      <c r="T46" s="533">
        <f>IF(ISERROR(VLOOKUP(F46,'Freq-Chan'!C:E,2,FALSE)),IF(F46&gt;0,"CHECK",""),151+(F46/1000))</f>
        <v>151.596</v>
      </c>
      <c r="U46" s="534">
        <f t="shared" ref="U46:U55" si="45">B46</f>
        <v>41857</v>
      </c>
      <c r="V46" s="379" t="str">
        <f t="shared" ref="V46:V55" si="46">IFERROR(TEXT(M46,"hh:mm:ss"),"12:00:01")</f>
        <v>19:46:00</v>
      </c>
      <c r="W46" s="379">
        <f>VLOOKUP($C46,ReleaseSites!$A:$D,3,FALSE)</f>
        <v>62.637349999999998</v>
      </c>
      <c r="X46" s="379">
        <f>VLOOKUP($C46,ReleaseSites!$A:$D,4,FALSE)</f>
        <v>-149.97753</v>
      </c>
      <c r="Y46" s="314">
        <v>1994</v>
      </c>
      <c r="Z46" s="314">
        <v>-2</v>
      </c>
      <c r="AA46" s="314" t="s">
        <v>70</v>
      </c>
      <c r="AB46" s="379">
        <f t="shared" ref="AB46:AB55" si="47">IF(F46="","",F46)</f>
        <v>596</v>
      </c>
      <c r="AC46" s="379">
        <f t="shared" ref="AC46:AC55" si="48">IF(G46="","",G46)</f>
        <v>7</v>
      </c>
      <c r="AD46" s="379">
        <v>150</v>
      </c>
      <c r="AE46" s="379" t="str">
        <f t="shared" ref="AE46:AE55" si="49">AB46&amp;"-"&amp;AC46</f>
        <v>596-7</v>
      </c>
      <c r="AF46" s="379" t="s">
        <v>193</v>
      </c>
      <c r="AG46" s="379">
        <v>1</v>
      </c>
      <c r="AH46" s="379">
        <v>0</v>
      </c>
      <c r="AI46" s="379">
        <v>105</v>
      </c>
      <c r="AJ46" s="314" t="s">
        <v>1591</v>
      </c>
    </row>
    <row r="47" spans="1:36" s="535" customFormat="1" ht="12" customHeight="1" x14ac:dyDescent="0.2">
      <c r="A47" s="314">
        <v>46</v>
      </c>
      <c r="B47" s="527">
        <v>41858</v>
      </c>
      <c r="C47" s="528">
        <v>1</v>
      </c>
      <c r="D47" s="379" t="s">
        <v>70</v>
      </c>
      <c r="E47" s="314" t="s">
        <v>1591</v>
      </c>
      <c r="F47" s="375">
        <v>596</v>
      </c>
      <c r="G47" s="314">
        <v>38</v>
      </c>
      <c r="H47" s="314"/>
      <c r="I47" s="314"/>
      <c r="J47" s="314" t="s">
        <v>1032</v>
      </c>
      <c r="K47" s="376"/>
      <c r="L47" s="384">
        <v>5.7638888888888885E-2</v>
      </c>
      <c r="M47" s="378" t="s">
        <v>2783</v>
      </c>
      <c r="N47" s="379" t="s">
        <v>1592</v>
      </c>
      <c r="O47" s="376" t="s">
        <v>950</v>
      </c>
      <c r="P47" s="380"/>
      <c r="Q47" s="379" t="s">
        <v>4060</v>
      </c>
      <c r="R47" s="379" t="s">
        <v>4090</v>
      </c>
      <c r="S47" s="541">
        <f t="shared" si="44"/>
        <v>0.72334490740740742</v>
      </c>
      <c r="T47" s="314">
        <f>IF(ISERROR(VLOOKUP(F47,'Freq-Chan'!C:E,2,FALSE)),IF(F47&gt;0,"CHECK",""),151+(F47/1000))</f>
        <v>151.596</v>
      </c>
      <c r="U47" s="534">
        <f t="shared" si="45"/>
        <v>41858</v>
      </c>
      <c r="V47" s="379" t="str">
        <f t="shared" si="46"/>
        <v>17:23:00</v>
      </c>
      <c r="W47" s="379">
        <f>VLOOKUP($C47,ReleaseSites!$A:$D,3,FALSE)</f>
        <v>62.616370000000003</v>
      </c>
      <c r="X47" s="379">
        <f>VLOOKUP($C47,ReleaseSites!$A:$D,4,FALSE)</f>
        <v>-150.01661999999999</v>
      </c>
      <c r="Y47" s="314">
        <v>1604</v>
      </c>
      <c r="Z47" s="314">
        <v>-1</v>
      </c>
      <c r="AA47" s="314" t="s">
        <v>70</v>
      </c>
      <c r="AB47" s="379">
        <f t="shared" si="47"/>
        <v>596</v>
      </c>
      <c r="AC47" s="379">
        <f t="shared" si="48"/>
        <v>38</v>
      </c>
      <c r="AD47" s="379">
        <v>150</v>
      </c>
      <c r="AE47" s="379" t="str">
        <f t="shared" si="49"/>
        <v>596-38</v>
      </c>
      <c r="AF47" s="379" t="s">
        <v>193</v>
      </c>
      <c r="AG47" s="379">
        <v>1</v>
      </c>
      <c r="AH47" s="379">
        <v>0</v>
      </c>
      <c r="AI47" s="379">
        <v>105</v>
      </c>
      <c r="AJ47" s="314" t="s">
        <v>1591</v>
      </c>
    </row>
    <row r="48" spans="1:36" x14ac:dyDescent="0.2">
      <c r="A48" s="10">
        <v>47</v>
      </c>
      <c r="B48" s="351">
        <v>41858</v>
      </c>
      <c r="C48" s="511">
        <v>3</v>
      </c>
      <c r="D48" s="355" t="s">
        <v>72</v>
      </c>
      <c r="E48" s="10" t="s">
        <v>1591</v>
      </c>
      <c r="F48" s="11">
        <v>266</v>
      </c>
      <c r="G48" s="10">
        <v>8</v>
      </c>
      <c r="H48" s="10"/>
      <c r="I48" s="10"/>
      <c r="J48" s="10" t="s">
        <v>364</v>
      </c>
      <c r="K48" s="352"/>
      <c r="L48" s="353">
        <v>8.3333333333333329E-2</v>
      </c>
      <c r="M48" s="370" t="s">
        <v>3403</v>
      </c>
      <c r="N48" s="355" t="s">
        <v>1592</v>
      </c>
      <c r="O48" s="352" t="s">
        <v>950</v>
      </c>
      <c r="P48" s="344" t="s">
        <v>4466</v>
      </c>
      <c r="Q48" s="355" t="s">
        <v>4060</v>
      </c>
      <c r="R48" s="355" t="s">
        <v>4090</v>
      </c>
      <c r="S48" s="542">
        <f t="shared" si="44"/>
        <v>0.41805555555555557</v>
      </c>
      <c r="T48" s="10">
        <f>IF(ISERROR(VLOOKUP(F48,'Freq-Chan'!C:E,2,FALSE)),IF(F48&gt;0,"CHECK",""),151+(F48/1000))</f>
        <v>151.26599999999999</v>
      </c>
      <c r="U48" s="513">
        <f t="shared" si="45"/>
        <v>41858</v>
      </c>
      <c r="V48" s="355" t="str">
        <f t="shared" si="46"/>
        <v>10:04:00</v>
      </c>
      <c r="W48" s="355">
        <f>VLOOKUP($C48,ReleaseSites!$A:$D,3,FALSE)</f>
        <v>62.637349999999998</v>
      </c>
      <c r="X48" s="355">
        <f>VLOOKUP($C48,ReleaseSites!$A:$D,4,FALSE)</f>
        <v>-149.97753</v>
      </c>
      <c r="Y48" s="10">
        <v>1997</v>
      </c>
      <c r="Z48" s="10">
        <v>-2</v>
      </c>
      <c r="AA48" s="10" t="s">
        <v>72</v>
      </c>
      <c r="AB48" s="355">
        <f t="shared" si="47"/>
        <v>266</v>
      </c>
      <c r="AC48" s="355">
        <f t="shared" si="48"/>
        <v>8</v>
      </c>
      <c r="AD48" s="355">
        <v>150</v>
      </c>
      <c r="AE48" s="355" t="str">
        <f t="shared" si="49"/>
        <v>266-8</v>
      </c>
      <c r="AF48" s="355" t="s">
        <v>193</v>
      </c>
      <c r="AG48" s="355">
        <v>1</v>
      </c>
      <c r="AH48" s="355">
        <v>0</v>
      </c>
      <c r="AI48" s="355">
        <v>105</v>
      </c>
      <c r="AJ48" s="10" t="s">
        <v>1591</v>
      </c>
    </row>
    <row r="49" spans="1:36" s="345" customFormat="1" x14ac:dyDescent="0.2">
      <c r="A49" s="291">
        <v>48</v>
      </c>
      <c r="B49" s="356">
        <v>41858</v>
      </c>
      <c r="C49" s="514">
        <v>3</v>
      </c>
      <c r="D49" s="360" t="s">
        <v>70</v>
      </c>
      <c r="E49" s="291" t="s">
        <v>1591</v>
      </c>
      <c r="F49" s="291">
        <v>596</v>
      </c>
      <c r="G49" s="291">
        <v>9</v>
      </c>
      <c r="H49" s="291"/>
      <c r="I49" s="291"/>
      <c r="J49" s="291" t="s">
        <v>1032</v>
      </c>
      <c r="K49" s="357"/>
      <c r="L49" s="358">
        <v>5.1388888888888894E-2</v>
      </c>
      <c r="M49" s="373" t="s">
        <v>4088</v>
      </c>
      <c r="N49" s="360" t="s">
        <v>1592</v>
      </c>
      <c r="O49" s="357" t="s">
        <v>3932</v>
      </c>
      <c r="P49" s="374"/>
      <c r="Q49" s="360" t="s">
        <v>4061</v>
      </c>
      <c r="R49" s="524" t="s">
        <v>4090</v>
      </c>
      <c r="S49" s="516">
        <f t="shared" si="44"/>
        <v>0.67206018518518518</v>
      </c>
      <c r="T49" s="362">
        <f>IF(ISERROR(VLOOKUP(F49,'Freq-Chan'!C:E,2,FALSE)),IF(F49&gt;0,"CHECK",""),151+(F49/1000))</f>
        <v>151.596</v>
      </c>
      <c r="U49" s="517">
        <f t="shared" si="45"/>
        <v>41858</v>
      </c>
      <c r="V49" s="360" t="str">
        <f t="shared" si="46"/>
        <v>16:09:00</v>
      </c>
      <c r="W49" s="360">
        <f>VLOOKUP($C49,ReleaseSites!$A:$D,3,FALSE)</f>
        <v>62.637349999999998</v>
      </c>
      <c r="X49" s="360">
        <f>VLOOKUP($C49,ReleaseSites!$A:$D,4,FALSE)</f>
        <v>-149.97753</v>
      </c>
      <c r="Y49" s="291">
        <v>2104</v>
      </c>
      <c r="Z49" s="291">
        <v>-9</v>
      </c>
      <c r="AA49" s="291" t="s">
        <v>70</v>
      </c>
      <c r="AB49" s="360">
        <f t="shared" si="47"/>
        <v>596</v>
      </c>
      <c r="AC49" s="360">
        <f t="shared" si="48"/>
        <v>9</v>
      </c>
      <c r="AD49" s="360">
        <v>150</v>
      </c>
      <c r="AE49" s="360" t="str">
        <f t="shared" si="49"/>
        <v>596-9</v>
      </c>
      <c r="AF49" s="360" t="s">
        <v>193</v>
      </c>
      <c r="AG49" s="360">
        <v>1</v>
      </c>
      <c r="AH49" s="360">
        <v>0</v>
      </c>
      <c r="AI49" s="360">
        <v>105</v>
      </c>
      <c r="AJ49" s="291" t="s">
        <v>1591</v>
      </c>
    </row>
    <row r="50" spans="1:36" s="535" customFormat="1" x14ac:dyDescent="0.2">
      <c r="A50" s="314">
        <v>49</v>
      </c>
      <c r="B50" s="527">
        <v>41859</v>
      </c>
      <c r="C50" s="528">
        <v>2</v>
      </c>
      <c r="D50" s="379" t="s">
        <v>71</v>
      </c>
      <c r="E50" s="314" t="s">
        <v>1591</v>
      </c>
      <c r="F50" s="314">
        <v>564</v>
      </c>
      <c r="G50" s="314">
        <v>57</v>
      </c>
      <c r="H50" s="314"/>
      <c r="I50" s="314"/>
      <c r="J50" s="314" t="s">
        <v>364</v>
      </c>
      <c r="K50" s="376"/>
      <c r="L50" s="384">
        <v>2.9166666666666664E-2</v>
      </c>
      <c r="M50" s="378" t="s">
        <v>3736</v>
      </c>
      <c r="N50" s="379" t="s">
        <v>1592</v>
      </c>
      <c r="O50" s="376" t="s">
        <v>1532</v>
      </c>
      <c r="P50" s="380"/>
      <c r="Q50" s="379" t="s">
        <v>4099</v>
      </c>
      <c r="R50" s="540" t="s">
        <v>4115</v>
      </c>
      <c r="S50" s="532">
        <f t="shared" si="44"/>
        <v>0.61895833333333339</v>
      </c>
      <c r="T50" s="533">
        <f>IF(ISERROR(VLOOKUP(F50,'Freq-Chan'!C:E,2,FALSE)),IF(F50&gt;0,"CHECK",""),151+(F50/1000))</f>
        <v>151.56399999999999</v>
      </c>
      <c r="U50" s="534">
        <f t="shared" si="45"/>
        <v>41859</v>
      </c>
      <c r="V50" s="379" t="str">
        <f t="shared" si="46"/>
        <v>14:52:00</v>
      </c>
      <c r="W50" s="379">
        <f>VLOOKUP($C50,ReleaseSites!$A:$D,3,FALSE)</f>
        <v>62.601680000000002</v>
      </c>
      <c r="X50" s="379">
        <f>VLOOKUP($C50,ReleaseSites!$A:$D,4,FALSE)</f>
        <v>-150.02646999999999</v>
      </c>
      <c r="Y50" s="314">
        <v>2136</v>
      </c>
      <c r="Z50" s="314">
        <v>-9</v>
      </c>
      <c r="AA50" s="314" t="s">
        <v>71</v>
      </c>
      <c r="AB50" s="379">
        <f t="shared" si="47"/>
        <v>564</v>
      </c>
      <c r="AC50" s="379">
        <f t="shared" si="48"/>
        <v>57</v>
      </c>
      <c r="AD50" s="379">
        <v>150</v>
      </c>
      <c r="AE50" s="379" t="str">
        <f t="shared" si="49"/>
        <v>564-57</v>
      </c>
      <c r="AF50" s="379" t="s">
        <v>193</v>
      </c>
      <c r="AG50" s="379">
        <v>1</v>
      </c>
      <c r="AH50" s="379">
        <v>0</v>
      </c>
      <c r="AI50" s="379">
        <v>105</v>
      </c>
      <c r="AJ50" s="314" t="s">
        <v>1591</v>
      </c>
    </row>
    <row r="51" spans="1:36" s="535" customFormat="1" x14ac:dyDescent="0.2">
      <c r="A51" s="314">
        <v>50</v>
      </c>
      <c r="B51" s="527">
        <v>41859</v>
      </c>
      <c r="C51" s="528">
        <v>3</v>
      </c>
      <c r="D51" s="379" t="s">
        <v>72</v>
      </c>
      <c r="E51" s="314" t="s">
        <v>1591</v>
      </c>
      <c r="F51" s="314">
        <v>325</v>
      </c>
      <c r="G51" s="314">
        <v>26</v>
      </c>
      <c r="H51" s="314"/>
      <c r="I51" s="314"/>
      <c r="J51" s="314" t="s">
        <v>364</v>
      </c>
      <c r="K51" s="376"/>
      <c r="L51" s="384">
        <v>1.0416666666666666E-2</v>
      </c>
      <c r="M51" s="378" t="s">
        <v>2588</v>
      </c>
      <c r="N51" s="379" t="s">
        <v>1592</v>
      </c>
      <c r="O51" s="376" t="s">
        <v>950</v>
      </c>
      <c r="P51" s="380"/>
      <c r="Q51" s="379" t="s">
        <v>4113</v>
      </c>
      <c r="R51" s="540" t="s">
        <v>4115</v>
      </c>
      <c r="S51" s="532">
        <f t="shared" si="44"/>
        <v>0.55052083333333335</v>
      </c>
      <c r="T51" s="533">
        <f>IF(ISERROR(VLOOKUP(F51,'Freq-Chan'!C:E,2,FALSE)),IF(F51&gt;0,"CHECK",""),151+(F51/1000))</f>
        <v>151.32499999999999</v>
      </c>
      <c r="U51" s="534">
        <f t="shared" si="45"/>
        <v>41859</v>
      </c>
      <c r="V51" s="379" t="str">
        <f t="shared" si="46"/>
        <v>13:13:00</v>
      </c>
      <c r="W51" s="379">
        <f>VLOOKUP($C51,ReleaseSites!$A:$D,3,FALSE)</f>
        <v>62.637349999999998</v>
      </c>
      <c r="X51" s="379">
        <f>VLOOKUP($C51,ReleaseSites!$A:$D,4,FALSE)</f>
        <v>-149.97753</v>
      </c>
      <c r="Y51" s="314">
        <v>2071</v>
      </c>
      <c r="Z51" s="314">
        <v>-1</v>
      </c>
      <c r="AA51" s="314" t="s">
        <v>72</v>
      </c>
      <c r="AB51" s="379">
        <f t="shared" si="47"/>
        <v>325</v>
      </c>
      <c r="AC51" s="379">
        <f t="shared" si="48"/>
        <v>26</v>
      </c>
      <c r="AD51" s="379">
        <v>150</v>
      </c>
      <c r="AE51" s="379" t="str">
        <f t="shared" si="49"/>
        <v>325-26</v>
      </c>
      <c r="AF51" s="379" t="s">
        <v>193</v>
      </c>
      <c r="AG51" s="379">
        <v>1</v>
      </c>
      <c r="AH51" s="379">
        <v>0</v>
      </c>
      <c r="AI51" s="379">
        <v>105</v>
      </c>
      <c r="AJ51" s="314" t="s">
        <v>1591</v>
      </c>
    </row>
    <row r="52" spans="1:36" s="535" customFormat="1" ht="13.5" customHeight="1" x14ac:dyDescent="0.2">
      <c r="A52" s="314">
        <v>51</v>
      </c>
      <c r="B52" s="527">
        <v>41861</v>
      </c>
      <c r="C52" s="528">
        <v>2</v>
      </c>
      <c r="D52" s="379" t="s">
        <v>71</v>
      </c>
      <c r="E52" s="314" t="s">
        <v>1591</v>
      </c>
      <c r="F52" s="314"/>
      <c r="G52" s="314"/>
      <c r="H52" s="314"/>
      <c r="I52" s="314"/>
      <c r="J52" s="314" t="s">
        <v>364</v>
      </c>
      <c r="K52" s="376"/>
      <c r="L52" s="384"/>
      <c r="M52" s="378" t="s">
        <v>3436</v>
      </c>
      <c r="N52" s="379" t="s">
        <v>1592</v>
      </c>
      <c r="O52" s="376" t="s">
        <v>555</v>
      </c>
      <c r="P52" s="383" t="s">
        <v>4160</v>
      </c>
      <c r="Q52" s="379" t="s">
        <v>4142</v>
      </c>
      <c r="R52" s="540" t="s">
        <v>4136</v>
      </c>
      <c r="S52" s="532">
        <f t="shared" si="44"/>
        <v>0.84027777777777779</v>
      </c>
      <c r="T52" s="533" t="str">
        <f>IF(ISERROR(VLOOKUP(F52,'Freq-Chan'!C:E,2,FALSE)),IF(F52&gt;0,"CHECK",""),151+(F52/1000))</f>
        <v/>
      </c>
      <c r="U52" s="534">
        <f t="shared" si="45"/>
        <v>41861</v>
      </c>
      <c r="V52" s="379" t="str">
        <f t="shared" si="46"/>
        <v>20:10:00</v>
      </c>
      <c r="W52" s="379">
        <f>VLOOKUP($C52,ReleaseSites!$A:$D,3,FALSE)</f>
        <v>62.601680000000002</v>
      </c>
      <c r="X52" s="379">
        <f>VLOOKUP($C52,ReleaseSites!$A:$D,4,FALSE)</f>
        <v>-150.02646999999999</v>
      </c>
      <c r="Y52" s="314" t="s">
        <v>192</v>
      </c>
      <c r="Z52" s="314" t="s">
        <v>192</v>
      </c>
      <c r="AA52" s="314" t="s">
        <v>192</v>
      </c>
      <c r="AB52" s="379" t="str">
        <f t="shared" si="47"/>
        <v/>
      </c>
      <c r="AC52" s="379" t="str">
        <f t="shared" si="48"/>
        <v/>
      </c>
      <c r="AD52" s="379">
        <v>150</v>
      </c>
      <c r="AE52" s="379" t="str">
        <f t="shared" si="49"/>
        <v>-</v>
      </c>
      <c r="AF52" s="379" t="s">
        <v>193</v>
      </c>
      <c r="AG52" s="379">
        <v>1</v>
      </c>
      <c r="AH52" s="379">
        <v>0</v>
      </c>
      <c r="AI52" s="379">
        <v>105</v>
      </c>
      <c r="AJ52" s="314" t="s">
        <v>1591</v>
      </c>
    </row>
    <row r="53" spans="1:36" x14ac:dyDescent="0.2">
      <c r="A53" s="10">
        <v>52</v>
      </c>
      <c r="B53" s="351">
        <v>41865</v>
      </c>
      <c r="C53" s="511">
        <v>1</v>
      </c>
      <c r="D53" s="355" t="s">
        <v>8</v>
      </c>
      <c r="E53" s="10" t="s">
        <v>1591</v>
      </c>
      <c r="F53" s="10">
        <v>586</v>
      </c>
      <c r="G53" s="10">
        <v>38</v>
      </c>
      <c r="H53" s="10"/>
      <c r="I53" s="10"/>
      <c r="J53" s="10" t="s">
        <v>364</v>
      </c>
      <c r="K53" s="352"/>
      <c r="L53" s="353"/>
      <c r="M53" s="370" t="s">
        <v>3348</v>
      </c>
      <c r="N53" s="355" t="s">
        <v>1592</v>
      </c>
      <c r="O53" s="352" t="s">
        <v>1585</v>
      </c>
      <c r="Q53" s="355" t="s">
        <v>4251</v>
      </c>
      <c r="R53" s="372" t="s">
        <v>4253</v>
      </c>
      <c r="S53" s="512">
        <f t="shared" si="44"/>
        <v>0.36458333333333331</v>
      </c>
      <c r="T53" s="364">
        <f>IF(ISERROR(VLOOKUP(F53,'Freq-Chan'!C:E,2,FALSE)),IF(F53&gt;0,"CHECK",""),151+(F53/1000))</f>
        <v>151.58600000000001</v>
      </c>
      <c r="U53" s="513">
        <f t="shared" si="45"/>
        <v>41865</v>
      </c>
      <c r="V53" s="355" t="str">
        <f t="shared" si="46"/>
        <v>08:45:00</v>
      </c>
      <c r="W53" s="355">
        <f>VLOOKUP($C53,ReleaseSites!$A:$D,3,FALSE)</f>
        <v>62.616370000000003</v>
      </c>
      <c r="X53" s="355">
        <f>VLOOKUP($C53,ReleaseSites!$A:$D,4,FALSE)</f>
        <v>-150.01661999999999</v>
      </c>
      <c r="Y53" s="10">
        <v>1058</v>
      </c>
      <c r="Z53" s="10">
        <v>-1</v>
      </c>
      <c r="AA53" s="10" t="s">
        <v>8</v>
      </c>
      <c r="AB53" s="355">
        <f t="shared" si="47"/>
        <v>586</v>
      </c>
      <c r="AC53" s="355">
        <f t="shared" si="48"/>
        <v>38</v>
      </c>
      <c r="AD53" s="355">
        <v>150</v>
      </c>
      <c r="AE53" s="355" t="str">
        <f t="shared" si="49"/>
        <v>586-38</v>
      </c>
      <c r="AF53" s="355" t="s">
        <v>193</v>
      </c>
      <c r="AG53" s="355">
        <v>1</v>
      </c>
      <c r="AH53" s="355">
        <v>0</v>
      </c>
      <c r="AI53" s="355">
        <v>105</v>
      </c>
      <c r="AJ53" s="355" t="s">
        <v>1591</v>
      </c>
    </row>
    <row r="54" spans="1:36" s="345" customFormat="1" x14ac:dyDescent="0.2">
      <c r="A54" s="291">
        <v>53</v>
      </c>
      <c r="B54" s="356">
        <v>41865</v>
      </c>
      <c r="C54" s="514">
        <v>1</v>
      </c>
      <c r="D54" s="360" t="s">
        <v>70</v>
      </c>
      <c r="E54" s="291" t="s">
        <v>1591</v>
      </c>
      <c r="F54" s="291">
        <v>596</v>
      </c>
      <c r="G54" s="291">
        <v>28</v>
      </c>
      <c r="H54" s="291"/>
      <c r="I54" s="291"/>
      <c r="J54" s="291" t="s">
        <v>364</v>
      </c>
      <c r="K54" s="357"/>
      <c r="L54" s="358"/>
      <c r="M54" s="373" t="s">
        <v>3425</v>
      </c>
      <c r="N54" s="360" t="s">
        <v>1592</v>
      </c>
      <c r="O54" s="357" t="s">
        <v>1585</v>
      </c>
      <c r="P54" s="374"/>
      <c r="Q54" s="360" t="s">
        <v>4251</v>
      </c>
      <c r="R54" s="524" t="s">
        <v>4253</v>
      </c>
      <c r="S54" s="516">
        <f t="shared" si="44"/>
        <v>0.44305555555555554</v>
      </c>
      <c r="T54" s="362">
        <f>IF(ISERROR(VLOOKUP(F54,'Freq-Chan'!C:E,2,FALSE)),IF(F54&gt;0,"CHECK",""),151+(F54/1000))</f>
        <v>151.596</v>
      </c>
      <c r="U54" s="517">
        <f t="shared" si="45"/>
        <v>41865</v>
      </c>
      <c r="V54" s="360" t="str">
        <f t="shared" si="46"/>
        <v>10:38:00</v>
      </c>
      <c r="W54" s="360">
        <f>VLOOKUP($C54,ReleaseSites!$A:$D,3,FALSE)</f>
        <v>62.616370000000003</v>
      </c>
      <c r="X54" s="360">
        <f>VLOOKUP($C54,ReleaseSites!$A:$D,4,FALSE)</f>
        <v>-150.01661999999999</v>
      </c>
      <c r="Y54" s="291">
        <v>2423</v>
      </c>
      <c r="Z54" s="291">
        <v>-2</v>
      </c>
      <c r="AA54" s="291" t="s">
        <v>70</v>
      </c>
      <c r="AB54" s="360">
        <f t="shared" si="47"/>
        <v>596</v>
      </c>
      <c r="AC54" s="360">
        <f t="shared" si="48"/>
        <v>28</v>
      </c>
      <c r="AD54" s="360">
        <v>150</v>
      </c>
      <c r="AE54" s="360" t="str">
        <f t="shared" si="49"/>
        <v>596-28</v>
      </c>
      <c r="AF54" s="360" t="s">
        <v>193</v>
      </c>
      <c r="AG54" s="360">
        <v>1</v>
      </c>
      <c r="AH54" s="360">
        <v>0</v>
      </c>
      <c r="AI54" s="360">
        <v>105</v>
      </c>
      <c r="AJ54" s="360" t="s">
        <v>1591</v>
      </c>
    </row>
    <row r="55" spans="1:36" s="535" customFormat="1" x14ac:dyDescent="0.2">
      <c r="A55" s="314">
        <v>54</v>
      </c>
      <c r="B55" s="527">
        <v>41866</v>
      </c>
      <c r="C55" s="528">
        <v>1</v>
      </c>
      <c r="D55" s="314" t="s">
        <v>70</v>
      </c>
      <c r="E55" s="314" t="s">
        <v>1591</v>
      </c>
      <c r="F55" s="314">
        <v>596</v>
      </c>
      <c r="G55" s="314">
        <v>7</v>
      </c>
      <c r="H55" s="314"/>
      <c r="I55" s="314"/>
      <c r="J55" s="314" t="s">
        <v>365</v>
      </c>
      <c r="K55" s="376"/>
      <c r="L55" s="384">
        <v>3.125E-2</v>
      </c>
      <c r="M55" s="378" t="s">
        <v>1984</v>
      </c>
      <c r="N55" s="379" t="s">
        <v>1592</v>
      </c>
      <c r="O55" s="376" t="s">
        <v>1532</v>
      </c>
      <c r="P55" s="380"/>
      <c r="Q55" s="314" t="s">
        <v>4256</v>
      </c>
      <c r="R55" s="533" t="s">
        <v>4265</v>
      </c>
      <c r="S55" s="532">
        <f t="shared" si="44"/>
        <v>0.57378472222222221</v>
      </c>
      <c r="T55" s="533">
        <f>IF(ISERROR(VLOOKUP(F55,'Freq-Chan'!C:E,2,FALSE)),IF(F55&gt;0,"CHECK",""),151+(F55/1000))</f>
        <v>151.596</v>
      </c>
      <c r="U55" s="534">
        <f t="shared" si="45"/>
        <v>41866</v>
      </c>
      <c r="V55" s="379" t="str">
        <f t="shared" si="46"/>
        <v>13:47:00</v>
      </c>
      <c r="W55" s="379">
        <f>VLOOKUP($C55,ReleaseSites!$A:$D,3,FALSE)</f>
        <v>62.616370000000003</v>
      </c>
      <c r="X55" s="379">
        <f>VLOOKUP($C55,ReleaseSites!$A:$D,4,FALSE)</f>
        <v>-150.01661999999999</v>
      </c>
      <c r="Y55" s="314">
        <v>1994</v>
      </c>
      <c r="Z55" s="314">
        <v>-2</v>
      </c>
      <c r="AA55" s="314" t="s">
        <v>70</v>
      </c>
      <c r="AB55" s="379">
        <f t="shared" si="47"/>
        <v>596</v>
      </c>
      <c r="AC55" s="379">
        <f t="shared" si="48"/>
        <v>7</v>
      </c>
      <c r="AD55" s="379">
        <v>150</v>
      </c>
      <c r="AE55" s="379" t="str">
        <f t="shared" si="49"/>
        <v>596-7</v>
      </c>
      <c r="AF55" s="379" t="s">
        <v>193</v>
      </c>
      <c r="AG55" s="379">
        <v>1</v>
      </c>
      <c r="AH55" s="379">
        <v>0</v>
      </c>
      <c r="AI55" s="379">
        <v>105</v>
      </c>
      <c r="AJ55" s="379" t="s">
        <v>1591</v>
      </c>
    </row>
    <row r="56" spans="1:36" s="535" customFormat="1" x14ac:dyDescent="0.2">
      <c r="A56" s="314">
        <v>55</v>
      </c>
      <c r="B56" s="527">
        <v>41869</v>
      </c>
      <c r="C56" s="528">
        <v>1</v>
      </c>
      <c r="D56" s="314" t="s">
        <v>2</v>
      </c>
      <c r="E56" s="314" t="s">
        <v>1591</v>
      </c>
      <c r="F56" s="314">
        <v>917</v>
      </c>
      <c r="G56" s="314">
        <v>9</v>
      </c>
      <c r="H56" s="314"/>
      <c r="I56" s="314"/>
      <c r="J56" s="314" t="s">
        <v>1032</v>
      </c>
      <c r="K56" s="376"/>
      <c r="L56" s="384">
        <v>1.3194444444444444E-2</v>
      </c>
      <c r="M56" s="378" t="s">
        <v>1838</v>
      </c>
      <c r="N56" s="379" t="s">
        <v>1592</v>
      </c>
      <c r="O56" s="376" t="s">
        <v>1585</v>
      </c>
      <c r="P56" s="380" t="s">
        <v>4320</v>
      </c>
      <c r="Q56" s="379" t="s">
        <v>4312</v>
      </c>
      <c r="R56" s="540" t="s">
        <v>4321</v>
      </c>
      <c r="S56" s="532">
        <f t="shared" ref="S56:S60" si="50">M56-K56-(L56*24)/(24*60)</f>
        <v>0.59075231481481483</v>
      </c>
      <c r="T56" s="533">
        <f>IF(ISERROR(VLOOKUP(F56,'Freq-Chan'!C:E,2,FALSE)),IF(F56&gt;0,"CHECK",""),151+(F56/1000))</f>
        <v>151.917</v>
      </c>
      <c r="U56" s="534">
        <f t="shared" ref="U56:U60" si="51">B56</f>
        <v>41869</v>
      </c>
      <c r="V56" s="379" t="str">
        <f t="shared" ref="V56:V60" si="52">IFERROR(TEXT(M56,"hh:mm:ss"),"12:00:01")</f>
        <v>14:11:00</v>
      </c>
      <c r="W56" s="379">
        <f>VLOOKUP($C56,ReleaseSites!$A:$D,3,FALSE)</f>
        <v>62.616370000000003</v>
      </c>
      <c r="X56" s="379">
        <f>VLOOKUP($C56,ReleaseSites!$A:$D,4,FALSE)</f>
        <v>-150.01661999999999</v>
      </c>
      <c r="Y56" s="314">
        <v>1338</v>
      </c>
      <c r="Z56" s="314">
        <v>-1</v>
      </c>
      <c r="AA56" s="314" t="s">
        <v>2</v>
      </c>
      <c r="AB56" s="379">
        <f t="shared" ref="AB56:AB60" si="53">IF(F56="","",F56)</f>
        <v>917</v>
      </c>
      <c r="AC56" s="379">
        <f t="shared" ref="AC56:AC60" si="54">IF(G56="","",G56)</f>
        <v>9</v>
      </c>
      <c r="AD56" s="379">
        <v>150</v>
      </c>
      <c r="AE56" s="379" t="str">
        <f t="shared" ref="AE56:AE60" si="55">AB56&amp;"-"&amp;AC56</f>
        <v>917-9</v>
      </c>
      <c r="AF56" s="379" t="s">
        <v>193</v>
      </c>
      <c r="AG56" s="379">
        <v>1</v>
      </c>
      <c r="AH56" s="379">
        <v>0</v>
      </c>
      <c r="AI56" s="379">
        <v>105</v>
      </c>
      <c r="AJ56" s="314" t="s">
        <v>1591</v>
      </c>
    </row>
    <row r="57" spans="1:36" s="345" customFormat="1" x14ac:dyDescent="0.2">
      <c r="A57" s="291">
        <v>56</v>
      </c>
      <c r="B57" s="356">
        <v>41869</v>
      </c>
      <c r="C57" s="514">
        <v>3</v>
      </c>
      <c r="D57" s="291" t="s">
        <v>71</v>
      </c>
      <c r="E57" s="291" t="s">
        <v>1591</v>
      </c>
      <c r="F57" s="291">
        <v>564</v>
      </c>
      <c r="G57" s="291">
        <v>39</v>
      </c>
      <c r="H57" s="291"/>
      <c r="I57" s="291"/>
      <c r="J57" s="291" t="s">
        <v>365</v>
      </c>
      <c r="K57" s="357"/>
      <c r="L57" s="358">
        <v>3.9583333333333331E-2</v>
      </c>
      <c r="M57" s="373" t="s">
        <v>840</v>
      </c>
      <c r="N57" s="360" t="s">
        <v>1592</v>
      </c>
      <c r="O57" s="357" t="s">
        <v>372</v>
      </c>
      <c r="P57" s="374" t="s">
        <v>4322</v>
      </c>
      <c r="Q57" s="360" t="s">
        <v>4323</v>
      </c>
      <c r="R57" s="524" t="s">
        <v>4321</v>
      </c>
      <c r="S57" s="532">
        <f t="shared" si="50"/>
        <v>0.53197916666666667</v>
      </c>
      <c r="T57" s="533">
        <f>IF(ISERROR(VLOOKUP(F57,'Freq-Chan'!C:E,2,FALSE)),IF(F57&gt;0,"CHECK",""),151+(F57/1000))</f>
        <v>151.56399999999999</v>
      </c>
      <c r="U57" s="534">
        <f t="shared" si="51"/>
        <v>41869</v>
      </c>
      <c r="V57" s="379" t="str">
        <f t="shared" si="52"/>
        <v>12:47:00</v>
      </c>
      <c r="W57" s="379">
        <f>VLOOKUP($C57,ReleaseSites!$A:$D,3,FALSE)</f>
        <v>62.637349999999998</v>
      </c>
      <c r="X57" s="379">
        <f>VLOOKUP($C57,ReleaseSites!$A:$D,4,FALSE)</f>
        <v>-149.97753</v>
      </c>
      <c r="Y57" s="314">
        <v>2983</v>
      </c>
      <c r="Z57" s="314">
        <v>-9</v>
      </c>
      <c r="AA57" s="314" t="s">
        <v>71</v>
      </c>
      <c r="AB57" s="379">
        <f t="shared" si="53"/>
        <v>564</v>
      </c>
      <c r="AC57" s="379">
        <f t="shared" si="54"/>
        <v>39</v>
      </c>
      <c r="AD57" s="379">
        <v>150</v>
      </c>
      <c r="AE57" s="379" t="str">
        <f t="shared" si="55"/>
        <v>564-39</v>
      </c>
      <c r="AF57" s="379" t="s">
        <v>193</v>
      </c>
      <c r="AG57" s="379">
        <v>1</v>
      </c>
      <c r="AH57" s="379">
        <v>0</v>
      </c>
      <c r="AI57" s="379">
        <v>105</v>
      </c>
      <c r="AJ57" s="291" t="s">
        <v>1591</v>
      </c>
    </row>
    <row r="58" spans="1:36" s="535" customFormat="1" x14ac:dyDescent="0.2">
      <c r="A58" s="314">
        <v>57</v>
      </c>
      <c r="B58" s="527">
        <v>41870</v>
      </c>
      <c r="C58" s="528">
        <v>1</v>
      </c>
      <c r="D58" s="379" t="s">
        <v>71</v>
      </c>
      <c r="E58" s="379" t="s">
        <v>1591</v>
      </c>
      <c r="F58" s="314">
        <v>534</v>
      </c>
      <c r="G58" s="314">
        <v>92</v>
      </c>
      <c r="H58" s="314"/>
      <c r="I58" s="314"/>
      <c r="J58" s="314" t="s">
        <v>1032</v>
      </c>
      <c r="K58" s="376"/>
      <c r="L58" s="384">
        <v>2.7083333333333334E-2</v>
      </c>
      <c r="M58" s="378" t="s">
        <v>1939</v>
      </c>
      <c r="N58" s="379" t="s">
        <v>1592</v>
      </c>
      <c r="O58" s="530" t="s">
        <v>372</v>
      </c>
      <c r="P58" s="380"/>
      <c r="Q58" s="379" t="s">
        <v>4334</v>
      </c>
      <c r="R58" s="540"/>
      <c r="S58" s="532">
        <f t="shared" si="50"/>
        <v>0.6023263888888889</v>
      </c>
      <c r="T58" s="533">
        <f>IF(ISERROR(VLOOKUP(F58,'Freq-Chan'!C:E,2,FALSE)),IF(F58&gt;0,"CHECK",""),151+(F58/1000))</f>
        <v>151.53399999999999</v>
      </c>
      <c r="U58" s="534">
        <f t="shared" si="51"/>
        <v>41870</v>
      </c>
      <c r="V58" s="379" t="str">
        <f t="shared" si="52"/>
        <v>14:28:00</v>
      </c>
      <c r="W58" s="379">
        <f>VLOOKUP($C58,ReleaseSites!$A:$D,3,FALSE)</f>
        <v>62.616370000000003</v>
      </c>
      <c r="X58" s="379">
        <f>VLOOKUP($C58,ReleaseSites!$A:$D,4,FALSE)</f>
        <v>-150.01661999999999</v>
      </c>
      <c r="Y58" s="314">
        <v>2970</v>
      </c>
      <c r="Z58" s="314">
        <v>-2</v>
      </c>
      <c r="AA58" s="314" t="s">
        <v>71</v>
      </c>
      <c r="AB58" s="379">
        <f t="shared" si="53"/>
        <v>534</v>
      </c>
      <c r="AC58" s="379">
        <f t="shared" si="54"/>
        <v>92</v>
      </c>
      <c r="AD58" s="379">
        <v>150</v>
      </c>
      <c r="AE58" s="379" t="str">
        <f t="shared" si="55"/>
        <v>534-92</v>
      </c>
      <c r="AF58" s="379" t="s">
        <v>193</v>
      </c>
      <c r="AG58" s="379">
        <v>1</v>
      </c>
      <c r="AH58" s="379">
        <v>0</v>
      </c>
      <c r="AI58" s="379">
        <v>105</v>
      </c>
      <c r="AJ58" s="314" t="s">
        <v>1591</v>
      </c>
    </row>
    <row r="59" spans="1:36" s="535" customFormat="1" x14ac:dyDescent="0.2">
      <c r="A59" s="314">
        <v>58</v>
      </c>
      <c r="B59" s="527">
        <v>41875</v>
      </c>
      <c r="C59" s="528">
        <v>3</v>
      </c>
      <c r="D59" s="379" t="s">
        <v>72</v>
      </c>
      <c r="E59" s="379" t="s">
        <v>1591</v>
      </c>
      <c r="F59" s="375">
        <v>266</v>
      </c>
      <c r="G59" s="375">
        <v>45</v>
      </c>
      <c r="H59" s="314"/>
      <c r="I59" s="314"/>
      <c r="J59" s="314" t="s">
        <v>365</v>
      </c>
      <c r="K59" s="376"/>
      <c r="L59" s="384">
        <v>6.5277777777777782E-2</v>
      </c>
      <c r="M59" s="385" t="s">
        <v>1878</v>
      </c>
      <c r="N59" s="379" t="s">
        <v>1592</v>
      </c>
      <c r="O59" s="530" t="s">
        <v>3932</v>
      </c>
      <c r="P59" s="383" t="s">
        <v>4477</v>
      </c>
      <c r="Q59" s="379" t="s">
        <v>4428</v>
      </c>
      <c r="R59" s="533" t="s">
        <v>4439</v>
      </c>
      <c r="S59" s="532">
        <f t="shared" si="50"/>
        <v>0.84474537037037034</v>
      </c>
      <c r="T59" s="533">
        <f>IF(ISERROR(VLOOKUP(F59,'Freq-Chan'!C:E,2,FALSE)),IF(F59&gt;0,"CHECK",""),151+(F59/1000))</f>
        <v>151.26599999999999</v>
      </c>
      <c r="U59" s="534">
        <f t="shared" si="51"/>
        <v>41875</v>
      </c>
      <c r="V59" s="379" t="str">
        <f t="shared" si="52"/>
        <v>20:18:00</v>
      </c>
      <c r="W59" s="379">
        <f>VLOOKUP($C59,ReleaseSites!$A:$D,3,FALSE)</f>
        <v>62.637349999999998</v>
      </c>
      <c r="X59" s="379">
        <f>VLOOKUP($C59,ReleaseSites!$A:$D,4,FALSE)</f>
        <v>-149.97753</v>
      </c>
      <c r="Y59" s="314">
        <v>3398</v>
      </c>
      <c r="Z59" s="314">
        <v>-1</v>
      </c>
      <c r="AA59" s="314" t="s">
        <v>72</v>
      </c>
      <c r="AB59" s="379">
        <f t="shared" si="53"/>
        <v>266</v>
      </c>
      <c r="AC59" s="379">
        <f t="shared" si="54"/>
        <v>45</v>
      </c>
      <c r="AD59" s="379">
        <v>150</v>
      </c>
      <c r="AE59" s="379" t="str">
        <f t="shared" si="55"/>
        <v>266-45</v>
      </c>
      <c r="AF59" s="379" t="s">
        <v>193</v>
      </c>
      <c r="AG59" s="379">
        <v>1</v>
      </c>
      <c r="AH59" s="379">
        <v>0</v>
      </c>
      <c r="AI59" s="379">
        <v>105</v>
      </c>
      <c r="AJ59" s="314" t="s">
        <v>1591</v>
      </c>
    </row>
    <row r="60" spans="1:36" s="535" customFormat="1" x14ac:dyDescent="0.2">
      <c r="A60" s="314">
        <v>59</v>
      </c>
      <c r="B60" s="527">
        <v>41876</v>
      </c>
      <c r="C60" s="528">
        <v>3</v>
      </c>
      <c r="D60" s="379" t="s">
        <v>2</v>
      </c>
      <c r="E60" s="379" t="s">
        <v>1591</v>
      </c>
      <c r="F60" s="375">
        <v>784</v>
      </c>
      <c r="G60" s="375">
        <v>25</v>
      </c>
      <c r="H60" s="314"/>
      <c r="I60" s="314"/>
      <c r="J60" s="314" t="s">
        <v>364</v>
      </c>
      <c r="K60" s="376"/>
      <c r="L60" s="384"/>
      <c r="M60" s="378"/>
      <c r="N60" s="379" t="s">
        <v>1592</v>
      </c>
      <c r="O60" s="530" t="s">
        <v>373</v>
      </c>
      <c r="P60" s="380" t="s">
        <v>4452</v>
      </c>
      <c r="Q60" s="379" t="s">
        <v>4453</v>
      </c>
      <c r="R60" s="540" t="s">
        <v>4455</v>
      </c>
      <c r="S60" s="532">
        <f t="shared" si="50"/>
        <v>0</v>
      </c>
      <c r="T60" s="533">
        <f>IF(ISERROR(VLOOKUP(F60,'Freq-Chan'!C:E,2,FALSE)),IF(F60&gt;0,"CHECK",""),151+(F60/1000))</f>
        <v>151.78399999999999</v>
      </c>
      <c r="U60" s="534">
        <f t="shared" si="51"/>
        <v>41876</v>
      </c>
      <c r="V60" s="379" t="str">
        <f t="shared" si="52"/>
        <v>00:00:00</v>
      </c>
      <c r="W60" s="379">
        <f>VLOOKUP($C60,ReleaseSites!$A:$D,3,FALSE)</f>
        <v>62.637349999999998</v>
      </c>
      <c r="X60" s="379">
        <f>VLOOKUP($C60,ReleaseSites!$A:$D,4,FALSE)</f>
        <v>-149.97753</v>
      </c>
      <c r="Y60" s="314">
        <v>459</v>
      </c>
      <c r="Z60" s="314">
        <v>-2</v>
      </c>
      <c r="AA60" s="314" t="s">
        <v>2</v>
      </c>
      <c r="AB60" s="379">
        <f t="shared" si="53"/>
        <v>784</v>
      </c>
      <c r="AC60" s="379">
        <f t="shared" si="54"/>
        <v>25</v>
      </c>
      <c r="AD60" s="379">
        <v>150</v>
      </c>
      <c r="AE60" s="379" t="str">
        <f t="shared" si="55"/>
        <v>784-25</v>
      </c>
      <c r="AF60" s="379" t="s">
        <v>193</v>
      </c>
      <c r="AG60" s="379">
        <v>1</v>
      </c>
      <c r="AH60" s="379">
        <v>0</v>
      </c>
      <c r="AI60" s="379">
        <v>105</v>
      </c>
      <c r="AJ60" s="314" t="s">
        <v>1591</v>
      </c>
    </row>
    <row r="61" spans="1:36" s="535" customFormat="1" x14ac:dyDescent="0.2">
      <c r="A61" s="314">
        <v>60</v>
      </c>
      <c r="B61" s="527">
        <v>41881</v>
      </c>
      <c r="C61" s="528">
        <v>1</v>
      </c>
      <c r="D61" s="379" t="s">
        <v>72</v>
      </c>
      <c r="E61" s="379" t="s">
        <v>1591</v>
      </c>
      <c r="F61" s="375">
        <v>325</v>
      </c>
      <c r="G61" s="375">
        <v>25</v>
      </c>
      <c r="H61" s="314"/>
      <c r="I61" s="314"/>
      <c r="J61" s="314" t="s">
        <v>1032</v>
      </c>
      <c r="K61" s="376"/>
      <c r="L61" s="384">
        <v>3.472222222222222E-3</v>
      </c>
      <c r="M61" s="385" t="s">
        <v>4536</v>
      </c>
      <c r="N61" s="379" t="s">
        <v>1592</v>
      </c>
      <c r="O61" s="530" t="s">
        <v>1585</v>
      </c>
      <c r="P61" s="380"/>
      <c r="Q61" s="379" t="s">
        <v>4532</v>
      </c>
      <c r="R61" s="301" t="s">
        <v>4537</v>
      </c>
      <c r="S61" s="532">
        <f t="shared" ref="S61:S68" si="56">M61-K61-(L61*24)/(24*60)</f>
        <v>0.85619212962962965</v>
      </c>
      <c r="T61" s="533">
        <f>IF(ISERROR(VLOOKUP(F61,'Freq-Chan'!C:E,2,FALSE)),IF(F61&gt;0,"CHECK",""),151+(F61/1000))</f>
        <v>151.32499999999999</v>
      </c>
      <c r="U61" s="534">
        <f t="shared" ref="U61:U68" si="57">B61</f>
        <v>41881</v>
      </c>
      <c r="V61" s="379" t="str">
        <f t="shared" ref="V61:V68" si="58">IFERROR(TEXT(M61,"hh:mm:ss"),"12:00:01")</f>
        <v>20:33:00</v>
      </c>
      <c r="W61" s="379">
        <f>VLOOKUP($C61,ReleaseSites!$A:$D,3,FALSE)</f>
        <v>62.616370000000003</v>
      </c>
      <c r="X61" s="379">
        <f>VLOOKUP($C61,ReleaseSites!$A:$D,4,FALSE)</f>
        <v>-150.01661999999999</v>
      </c>
      <c r="Y61" s="314">
        <v>2753</v>
      </c>
      <c r="Z61" s="314">
        <v>-1</v>
      </c>
      <c r="AA61" s="314" t="s">
        <v>72</v>
      </c>
      <c r="AB61" s="379">
        <f t="shared" ref="AB61:AB68" si="59">IF(F61="","",F61)</f>
        <v>325</v>
      </c>
      <c r="AC61" s="379">
        <f t="shared" ref="AC61:AC68" si="60">IF(G61="","",G61)</f>
        <v>25</v>
      </c>
      <c r="AD61" s="379">
        <v>150</v>
      </c>
      <c r="AE61" s="379" t="str">
        <f t="shared" ref="AE61:AE68" si="61">AB61&amp;"-"&amp;AC61</f>
        <v>325-25</v>
      </c>
      <c r="AF61" s="379" t="s">
        <v>193</v>
      </c>
      <c r="AG61" s="379">
        <v>1</v>
      </c>
      <c r="AH61" s="379">
        <v>0</v>
      </c>
      <c r="AI61" s="379">
        <v>105</v>
      </c>
      <c r="AJ61" s="314" t="s">
        <v>1591</v>
      </c>
    </row>
    <row r="62" spans="1:36" x14ac:dyDescent="0.2">
      <c r="A62" s="10">
        <v>61</v>
      </c>
      <c r="B62" s="351"/>
      <c r="C62" s="511"/>
      <c r="F62" s="10"/>
      <c r="G62" s="10"/>
      <c r="H62" s="10"/>
      <c r="I62" s="10"/>
      <c r="J62" s="10"/>
      <c r="K62" s="352"/>
      <c r="L62" s="353"/>
      <c r="M62" s="354"/>
      <c r="O62" s="525"/>
      <c r="S62" s="512">
        <f t="shared" si="56"/>
        <v>0</v>
      </c>
      <c r="T62" s="364" t="str">
        <f>IF(ISERROR(VLOOKUP(F62,'Freq-Chan'!C:E,2,FALSE)),IF(F62&gt;0,"CHECK",""),151+(F62/1000))</f>
        <v/>
      </c>
      <c r="U62" s="513">
        <f t="shared" si="57"/>
        <v>0</v>
      </c>
      <c r="V62" s="355" t="str">
        <f t="shared" si="58"/>
        <v>00:00:00</v>
      </c>
      <c r="W62" s="355" t="e">
        <f>VLOOKUP($C62,ReleaseSites!$A:$D,3,FALSE)</f>
        <v>#N/A</v>
      </c>
      <c r="X62" s="355" t="e">
        <f>VLOOKUP($C62,ReleaseSites!$A:$D,4,FALSE)</f>
        <v>#N/A</v>
      </c>
      <c r="Y62" s="10" t="s">
        <v>192</v>
      </c>
      <c r="Z62" s="10" t="s">
        <v>192</v>
      </c>
      <c r="AA62" s="10" t="s">
        <v>192</v>
      </c>
      <c r="AB62" s="355" t="str">
        <f t="shared" si="59"/>
        <v/>
      </c>
      <c r="AC62" s="355" t="str">
        <f t="shared" si="60"/>
        <v/>
      </c>
      <c r="AD62" s="355">
        <v>150</v>
      </c>
      <c r="AE62" s="355" t="str">
        <f t="shared" si="61"/>
        <v>-</v>
      </c>
      <c r="AF62" s="355" t="s">
        <v>193</v>
      </c>
      <c r="AG62" s="355">
        <v>1</v>
      </c>
      <c r="AH62" s="355">
        <v>0</v>
      </c>
      <c r="AI62" s="355">
        <v>105</v>
      </c>
      <c r="AJ62" s="355" t="s">
        <v>1592</v>
      </c>
    </row>
    <row r="63" spans="1:36" x14ac:dyDescent="0.2">
      <c r="A63" s="10">
        <v>62</v>
      </c>
      <c r="B63" s="351"/>
      <c r="C63" s="511"/>
      <c r="F63" s="10"/>
      <c r="G63" s="10"/>
      <c r="H63" s="10"/>
      <c r="I63" s="10"/>
      <c r="J63" s="10"/>
      <c r="K63" s="352"/>
      <c r="L63" s="353"/>
      <c r="M63" s="354"/>
      <c r="O63" s="525"/>
      <c r="S63" s="512">
        <f t="shared" si="56"/>
        <v>0</v>
      </c>
      <c r="T63" s="364" t="str">
        <f>IF(ISERROR(VLOOKUP(F63,'Freq-Chan'!C:E,2,FALSE)),IF(F63&gt;0,"CHECK",""),151+(F63/1000))</f>
        <v/>
      </c>
      <c r="U63" s="513">
        <f t="shared" si="57"/>
        <v>0</v>
      </c>
      <c r="V63" s="355" t="str">
        <f t="shared" si="58"/>
        <v>00:00:00</v>
      </c>
      <c r="W63" s="355" t="e">
        <f>VLOOKUP($C63,ReleaseSites!$A:$D,3,FALSE)</f>
        <v>#N/A</v>
      </c>
      <c r="X63" s="355" t="e">
        <f>VLOOKUP($C63,ReleaseSites!$A:$D,4,FALSE)</f>
        <v>#N/A</v>
      </c>
      <c r="Y63" s="10" t="s">
        <v>192</v>
      </c>
      <c r="Z63" s="10" t="s">
        <v>192</v>
      </c>
      <c r="AA63" s="10" t="s">
        <v>192</v>
      </c>
      <c r="AB63" s="355" t="str">
        <f t="shared" si="59"/>
        <v/>
      </c>
      <c r="AC63" s="355" t="str">
        <f t="shared" si="60"/>
        <v/>
      </c>
      <c r="AD63" s="355">
        <v>150</v>
      </c>
      <c r="AE63" s="355" t="str">
        <f t="shared" si="61"/>
        <v>-</v>
      </c>
      <c r="AF63" s="355" t="s">
        <v>193</v>
      </c>
      <c r="AG63" s="355">
        <v>1</v>
      </c>
      <c r="AH63" s="355">
        <v>0</v>
      </c>
      <c r="AI63" s="355">
        <v>105</v>
      </c>
      <c r="AJ63" s="355" t="s">
        <v>1592</v>
      </c>
    </row>
    <row r="64" spans="1:36" x14ac:dyDescent="0.2">
      <c r="A64" s="10">
        <v>63</v>
      </c>
      <c r="B64" s="351"/>
      <c r="C64" s="511"/>
      <c r="F64" s="10"/>
      <c r="G64" s="10"/>
      <c r="H64" s="10"/>
      <c r="I64" s="10"/>
      <c r="J64" s="10"/>
      <c r="K64" s="352"/>
      <c r="L64" s="353"/>
      <c r="M64" s="354"/>
      <c r="O64" s="525"/>
      <c r="S64" s="512">
        <f t="shared" si="56"/>
        <v>0</v>
      </c>
      <c r="T64" s="364" t="str">
        <f>IF(ISERROR(VLOOKUP(F64,'Freq-Chan'!C:E,2,FALSE)),IF(F64&gt;0,"CHECK",""),151+(F64/1000))</f>
        <v/>
      </c>
      <c r="U64" s="513">
        <f t="shared" si="57"/>
        <v>0</v>
      </c>
      <c r="V64" s="355" t="str">
        <f t="shared" si="58"/>
        <v>00:00:00</v>
      </c>
      <c r="W64" s="355" t="e">
        <f>VLOOKUP($C64,ReleaseSites!$A:$D,3,FALSE)</f>
        <v>#N/A</v>
      </c>
      <c r="X64" s="355" t="e">
        <f>VLOOKUP($C64,ReleaseSites!$A:$D,4,FALSE)</f>
        <v>#N/A</v>
      </c>
      <c r="Y64" s="10" t="s">
        <v>192</v>
      </c>
      <c r="Z64" s="10" t="s">
        <v>192</v>
      </c>
      <c r="AA64" s="10" t="s">
        <v>192</v>
      </c>
      <c r="AB64" s="355" t="str">
        <f t="shared" si="59"/>
        <v/>
      </c>
      <c r="AC64" s="355" t="str">
        <f t="shared" si="60"/>
        <v/>
      </c>
      <c r="AD64" s="355">
        <v>150</v>
      </c>
      <c r="AE64" s="355" t="str">
        <f t="shared" si="61"/>
        <v>-</v>
      </c>
      <c r="AF64" s="355" t="s">
        <v>193</v>
      </c>
      <c r="AG64" s="355">
        <v>1</v>
      </c>
      <c r="AH64" s="355">
        <v>0</v>
      </c>
      <c r="AI64" s="355">
        <v>105</v>
      </c>
      <c r="AJ64" s="355" t="s">
        <v>1592</v>
      </c>
    </row>
    <row r="65" spans="1:36" x14ac:dyDescent="0.2">
      <c r="A65" s="10">
        <v>64</v>
      </c>
      <c r="B65" s="351"/>
      <c r="C65" s="511"/>
      <c r="F65" s="10"/>
      <c r="G65" s="10"/>
      <c r="H65" s="10"/>
      <c r="I65" s="10"/>
      <c r="J65" s="10"/>
      <c r="K65" s="352"/>
      <c r="L65" s="353"/>
      <c r="M65" s="354"/>
      <c r="O65" s="525"/>
      <c r="S65" s="512">
        <f t="shared" si="56"/>
        <v>0</v>
      </c>
      <c r="T65" s="364" t="str">
        <f>IF(ISERROR(VLOOKUP(F65,'Freq-Chan'!C:E,2,FALSE)),IF(F65&gt;0,"CHECK",""),151+(F65/1000))</f>
        <v/>
      </c>
      <c r="U65" s="513">
        <f t="shared" si="57"/>
        <v>0</v>
      </c>
      <c r="V65" s="355" t="str">
        <f t="shared" si="58"/>
        <v>00:00:00</v>
      </c>
      <c r="W65" s="355" t="e">
        <f>VLOOKUP($C65,ReleaseSites!$A:$D,3,FALSE)</f>
        <v>#N/A</v>
      </c>
      <c r="X65" s="355" t="e">
        <f>VLOOKUP($C65,ReleaseSites!$A:$D,4,FALSE)</f>
        <v>#N/A</v>
      </c>
      <c r="Y65" s="10" t="s">
        <v>192</v>
      </c>
      <c r="Z65" s="10" t="s">
        <v>192</v>
      </c>
      <c r="AA65" s="10" t="s">
        <v>192</v>
      </c>
      <c r="AB65" s="355" t="str">
        <f t="shared" si="59"/>
        <v/>
      </c>
      <c r="AC65" s="355" t="str">
        <f t="shared" si="60"/>
        <v/>
      </c>
      <c r="AD65" s="355">
        <v>150</v>
      </c>
      <c r="AE65" s="355" t="str">
        <f t="shared" si="61"/>
        <v>-</v>
      </c>
      <c r="AF65" s="355" t="s">
        <v>193</v>
      </c>
      <c r="AG65" s="355">
        <v>1</v>
      </c>
      <c r="AH65" s="355">
        <v>0</v>
      </c>
      <c r="AI65" s="355">
        <v>105</v>
      </c>
      <c r="AJ65" s="355" t="s">
        <v>1592</v>
      </c>
    </row>
    <row r="66" spans="1:36" x14ac:dyDescent="0.2">
      <c r="A66" s="10">
        <v>65</v>
      </c>
      <c r="B66" s="351"/>
      <c r="C66" s="511"/>
      <c r="F66" s="10"/>
      <c r="G66" s="10"/>
      <c r="H66" s="10"/>
      <c r="I66" s="10"/>
      <c r="J66" s="10"/>
      <c r="K66" s="352"/>
      <c r="L66" s="353"/>
      <c r="M66" s="354"/>
      <c r="O66" s="525"/>
      <c r="S66" s="512">
        <f t="shared" si="56"/>
        <v>0</v>
      </c>
      <c r="T66" s="364" t="str">
        <f>IF(ISERROR(VLOOKUP(F66,'Freq-Chan'!C:E,2,FALSE)),IF(F66&gt;0,"CHECK",""),151+(F66/1000))</f>
        <v/>
      </c>
      <c r="U66" s="513">
        <f t="shared" si="57"/>
        <v>0</v>
      </c>
      <c r="V66" s="355" t="str">
        <f t="shared" si="58"/>
        <v>00:00:00</v>
      </c>
      <c r="W66" s="355" t="e">
        <f>VLOOKUP($C66,ReleaseSites!$A:$D,3,FALSE)</f>
        <v>#N/A</v>
      </c>
      <c r="X66" s="355" t="e">
        <f>VLOOKUP($C66,ReleaseSites!$A:$D,4,FALSE)</f>
        <v>#N/A</v>
      </c>
      <c r="Y66" s="10" t="s">
        <v>192</v>
      </c>
      <c r="Z66" s="10" t="s">
        <v>192</v>
      </c>
      <c r="AA66" s="10" t="s">
        <v>192</v>
      </c>
      <c r="AB66" s="355" t="str">
        <f t="shared" si="59"/>
        <v/>
      </c>
      <c r="AC66" s="355" t="str">
        <f t="shared" si="60"/>
        <v/>
      </c>
      <c r="AD66" s="355">
        <v>150</v>
      </c>
      <c r="AE66" s="355" t="str">
        <f t="shared" si="61"/>
        <v>-</v>
      </c>
      <c r="AF66" s="355" t="s">
        <v>193</v>
      </c>
      <c r="AG66" s="355">
        <v>1</v>
      </c>
      <c r="AH66" s="355">
        <v>0</v>
      </c>
      <c r="AI66" s="355">
        <v>105</v>
      </c>
      <c r="AJ66" s="355" t="s">
        <v>1592</v>
      </c>
    </row>
    <row r="67" spans="1:36" x14ac:dyDescent="0.2">
      <c r="A67" s="10">
        <v>66</v>
      </c>
      <c r="B67" s="351"/>
      <c r="C67" s="511"/>
      <c r="F67" s="10"/>
      <c r="G67" s="10"/>
      <c r="H67" s="10"/>
      <c r="I67" s="10"/>
      <c r="J67" s="10"/>
      <c r="K67" s="352"/>
      <c r="L67" s="353"/>
      <c r="M67" s="354"/>
      <c r="O67" s="525"/>
      <c r="S67" s="512">
        <f t="shared" si="56"/>
        <v>0</v>
      </c>
      <c r="T67" s="364" t="str">
        <f>IF(ISERROR(VLOOKUP(F67,'Freq-Chan'!C:E,2,FALSE)),IF(F67&gt;0,"CHECK",""),151+(F67/1000))</f>
        <v/>
      </c>
      <c r="U67" s="513">
        <f t="shared" si="57"/>
        <v>0</v>
      </c>
      <c r="V67" s="355" t="str">
        <f t="shared" si="58"/>
        <v>00:00:00</v>
      </c>
      <c r="W67" s="355" t="e">
        <f>VLOOKUP($C67,ReleaseSites!$A:$D,3,FALSE)</f>
        <v>#N/A</v>
      </c>
      <c r="X67" s="355" t="e">
        <f>VLOOKUP($C67,ReleaseSites!$A:$D,4,FALSE)</f>
        <v>#N/A</v>
      </c>
      <c r="Y67" s="10" t="s">
        <v>192</v>
      </c>
      <c r="Z67" s="10" t="s">
        <v>192</v>
      </c>
      <c r="AA67" s="10" t="s">
        <v>192</v>
      </c>
      <c r="AB67" s="355" t="str">
        <f t="shared" si="59"/>
        <v/>
      </c>
      <c r="AC67" s="355" t="str">
        <f t="shared" si="60"/>
        <v/>
      </c>
      <c r="AD67" s="355">
        <v>150</v>
      </c>
      <c r="AE67" s="355" t="str">
        <f t="shared" si="61"/>
        <v>-</v>
      </c>
      <c r="AF67" s="355" t="s">
        <v>193</v>
      </c>
      <c r="AG67" s="355">
        <v>1</v>
      </c>
      <c r="AH67" s="355">
        <v>0</v>
      </c>
      <c r="AI67" s="355">
        <v>105</v>
      </c>
      <c r="AJ67" s="355" t="s">
        <v>1592</v>
      </c>
    </row>
    <row r="68" spans="1:36" x14ac:dyDescent="0.2">
      <c r="A68" s="10">
        <v>67</v>
      </c>
      <c r="B68" s="351"/>
      <c r="C68" s="511"/>
      <c r="F68" s="10"/>
      <c r="G68" s="10"/>
      <c r="H68" s="10"/>
      <c r="I68" s="10"/>
      <c r="J68" s="10"/>
      <c r="K68" s="352"/>
      <c r="L68" s="353"/>
      <c r="M68" s="354"/>
      <c r="O68" s="525"/>
      <c r="S68" s="512">
        <f t="shared" si="56"/>
        <v>0</v>
      </c>
      <c r="T68" s="364" t="str">
        <f>IF(ISERROR(VLOOKUP(F68,'Freq-Chan'!C:E,2,FALSE)),IF(F68&gt;0,"CHECK",""),151+(F68/1000))</f>
        <v/>
      </c>
      <c r="U68" s="513">
        <f t="shared" si="57"/>
        <v>0</v>
      </c>
      <c r="V68" s="355" t="str">
        <f t="shared" si="58"/>
        <v>00:00:00</v>
      </c>
      <c r="W68" s="355" t="e">
        <f>VLOOKUP($C68,ReleaseSites!$A:$D,3,FALSE)</f>
        <v>#N/A</v>
      </c>
      <c r="X68" s="355" t="e">
        <f>VLOOKUP($C68,ReleaseSites!$A:$D,4,FALSE)</f>
        <v>#N/A</v>
      </c>
      <c r="Y68" s="10" t="s">
        <v>192</v>
      </c>
      <c r="Z68" s="10" t="s">
        <v>192</v>
      </c>
      <c r="AA68" s="10" t="s">
        <v>192</v>
      </c>
      <c r="AB68" s="355" t="str">
        <f t="shared" si="59"/>
        <v/>
      </c>
      <c r="AC68" s="355" t="str">
        <f t="shared" si="60"/>
        <v/>
      </c>
      <c r="AD68" s="355">
        <v>150</v>
      </c>
      <c r="AE68" s="355" t="str">
        <f t="shared" si="61"/>
        <v>-</v>
      </c>
      <c r="AF68" s="355" t="s">
        <v>193</v>
      </c>
      <c r="AG68" s="355">
        <v>1</v>
      </c>
      <c r="AH68" s="355">
        <v>0</v>
      </c>
      <c r="AI68" s="355">
        <v>105</v>
      </c>
      <c r="AJ68" s="355" t="s">
        <v>1592</v>
      </c>
    </row>
    <row r="69" spans="1:36" x14ac:dyDescent="0.2">
      <c r="A69" s="10">
        <v>68</v>
      </c>
      <c r="B69" s="351"/>
      <c r="C69" s="511"/>
      <c r="F69" s="10"/>
      <c r="G69" s="10"/>
      <c r="H69" s="10"/>
      <c r="I69" s="10"/>
      <c r="J69" s="10"/>
      <c r="K69" s="352"/>
      <c r="L69" s="353"/>
      <c r="M69" s="354"/>
      <c r="O69" s="525"/>
      <c r="S69" s="512"/>
      <c r="T69" s="364"/>
      <c r="U69" s="513"/>
      <c r="Y69" s="10"/>
      <c r="Z69" s="10"/>
      <c r="AA69" s="10"/>
    </row>
    <row r="70" spans="1:36" x14ac:dyDescent="0.2">
      <c r="A70" s="10">
        <v>69</v>
      </c>
      <c r="B70" s="351"/>
      <c r="C70" s="511"/>
      <c r="F70" s="10"/>
      <c r="G70" s="10"/>
      <c r="H70" s="10"/>
      <c r="I70" s="10"/>
      <c r="J70" s="10"/>
      <c r="K70" s="352"/>
      <c r="L70" s="353"/>
      <c r="M70" s="354"/>
      <c r="O70" s="525"/>
      <c r="S70" s="512"/>
      <c r="T70" s="364"/>
      <c r="U70" s="513"/>
      <c r="Y70" s="10"/>
      <c r="Z70" s="10"/>
      <c r="AA70" s="10"/>
    </row>
    <row r="71" spans="1:36" x14ac:dyDescent="0.2">
      <c r="A71" s="10">
        <v>70</v>
      </c>
      <c r="B71" s="351"/>
      <c r="C71" s="511"/>
      <c r="F71" s="10"/>
      <c r="G71" s="10"/>
      <c r="H71" s="10"/>
      <c r="I71" s="10"/>
      <c r="J71" s="10"/>
      <c r="K71" s="352"/>
      <c r="L71" s="353"/>
      <c r="M71" s="354"/>
      <c r="O71" s="525"/>
      <c r="S71" s="512"/>
      <c r="T71" s="364"/>
      <c r="U71" s="513"/>
      <c r="Y71" s="10"/>
      <c r="Z71" s="10"/>
      <c r="AA71" s="10"/>
    </row>
    <row r="72" spans="1:36" x14ac:dyDescent="0.2">
      <c r="A72" s="10">
        <v>71</v>
      </c>
      <c r="B72" s="351"/>
      <c r="C72" s="511"/>
      <c r="F72" s="10"/>
      <c r="G72" s="10"/>
      <c r="H72" s="10"/>
      <c r="I72" s="10"/>
      <c r="J72" s="10"/>
      <c r="K72" s="352"/>
      <c r="L72" s="353"/>
      <c r="M72" s="354"/>
      <c r="O72" s="525"/>
      <c r="S72" s="512"/>
      <c r="T72" s="364"/>
      <c r="U72" s="513"/>
      <c r="Y72" s="10"/>
      <c r="Z72" s="10"/>
      <c r="AA72" s="10"/>
    </row>
    <row r="73" spans="1:36" x14ac:dyDescent="0.2">
      <c r="A73" s="10">
        <v>72</v>
      </c>
      <c r="B73" s="351"/>
      <c r="C73" s="511"/>
      <c r="F73" s="10"/>
      <c r="G73" s="10"/>
      <c r="H73" s="10"/>
      <c r="I73" s="10"/>
      <c r="J73" s="10"/>
      <c r="K73" s="352"/>
      <c r="L73" s="353"/>
      <c r="M73" s="354"/>
      <c r="O73" s="525"/>
      <c r="S73" s="512"/>
      <c r="T73" s="364"/>
      <c r="U73" s="513"/>
      <c r="Y73" s="10"/>
      <c r="Z73" s="10"/>
      <c r="AA73" s="10"/>
    </row>
    <row r="74" spans="1:36" x14ac:dyDescent="0.2">
      <c r="A74" s="10">
        <v>73</v>
      </c>
      <c r="B74" s="351"/>
      <c r="C74" s="511"/>
      <c r="F74" s="10"/>
      <c r="G74" s="10"/>
      <c r="H74" s="10"/>
      <c r="I74" s="10"/>
      <c r="J74" s="10"/>
      <c r="K74" s="352"/>
      <c r="L74" s="353"/>
      <c r="M74" s="354"/>
      <c r="O74" s="525"/>
      <c r="S74" s="512"/>
      <c r="T74" s="364"/>
      <c r="U74" s="513"/>
      <c r="Y74" s="10"/>
      <c r="Z74" s="10"/>
      <c r="AA74" s="10"/>
    </row>
    <row r="75" spans="1:36" x14ac:dyDescent="0.2">
      <c r="A75" s="10">
        <v>74</v>
      </c>
      <c r="B75" s="351"/>
      <c r="C75" s="511"/>
      <c r="F75" s="10"/>
      <c r="G75" s="10"/>
      <c r="H75" s="10"/>
      <c r="I75" s="10"/>
      <c r="J75" s="10"/>
      <c r="K75" s="352"/>
      <c r="L75" s="353"/>
      <c r="M75" s="354"/>
      <c r="O75" s="525"/>
      <c r="S75" s="512"/>
      <c r="T75" s="364"/>
      <c r="U75" s="513"/>
      <c r="Y75" s="10"/>
      <c r="Z75" s="10"/>
      <c r="AA75" s="10"/>
    </row>
    <row r="76" spans="1:36" x14ac:dyDescent="0.2">
      <c r="A76" s="10">
        <v>75</v>
      </c>
      <c r="B76" s="351"/>
      <c r="C76" s="511"/>
      <c r="F76" s="10"/>
      <c r="G76" s="10"/>
      <c r="H76" s="10"/>
      <c r="I76" s="10"/>
      <c r="J76" s="10"/>
      <c r="K76" s="352"/>
      <c r="L76" s="353"/>
      <c r="M76" s="354"/>
      <c r="O76" s="525"/>
      <c r="S76" s="512"/>
      <c r="T76" s="364"/>
      <c r="U76" s="513"/>
      <c r="Y76" s="10"/>
      <c r="Z76" s="10"/>
      <c r="AA76" s="10"/>
    </row>
    <row r="77" spans="1:36" x14ac:dyDescent="0.2">
      <c r="A77" s="10">
        <v>76</v>
      </c>
      <c r="B77" s="351"/>
      <c r="C77" s="511"/>
      <c r="F77" s="10"/>
      <c r="G77" s="10"/>
      <c r="H77" s="10"/>
      <c r="I77" s="10"/>
      <c r="J77" s="10"/>
      <c r="K77" s="352"/>
      <c r="L77" s="353"/>
      <c r="M77" s="354"/>
      <c r="O77" s="525"/>
      <c r="S77" s="512"/>
      <c r="T77" s="364"/>
      <c r="U77" s="513"/>
      <c r="Y77" s="10"/>
      <c r="Z77" s="10"/>
      <c r="AA77" s="10"/>
    </row>
    <row r="78" spans="1:36" x14ac:dyDescent="0.2">
      <c r="A78" s="10">
        <v>77</v>
      </c>
      <c r="B78" s="351"/>
      <c r="C78" s="511"/>
      <c r="F78" s="10"/>
      <c r="G78" s="10"/>
      <c r="H78" s="10"/>
      <c r="I78" s="10"/>
      <c r="J78" s="10"/>
      <c r="K78" s="352"/>
      <c r="L78" s="353"/>
      <c r="M78" s="370"/>
      <c r="O78" s="525"/>
      <c r="S78" s="512"/>
      <c r="T78" s="364"/>
      <c r="U78" s="513"/>
      <c r="Y78" s="10"/>
      <c r="Z78" s="10"/>
      <c r="AA78" s="10"/>
    </row>
    <row r="79" spans="1:36" x14ac:dyDescent="0.2">
      <c r="A79" s="10">
        <v>78</v>
      </c>
      <c r="B79" s="351"/>
      <c r="C79" s="511"/>
      <c r="F79" s="10"/>
      <c r="G79" s="10"/>
      <c r="H79" s="10"/>
      <c r="I79" s="10"/>
      <c r="J79" s="10"/>
      <c r="K79" s="352"/>
      <c r="L79" s="353"/>
      <c r="M79" s="354"/>
      <c r="O79" s="525"/>
      <c r="S79" s="512"/>
      <c r="T79" s="364"/>
      <c r="U79" s="513"/>
      <c r="Y79" s="10"/>
      <c r="Z79" s="10"/>
      <c r="AA79" s="10"/>
    </row>
    <row r="80" spans="1:36" x14ac:dyDescent="0.2">
      <c r="A80" s="10">
        <v>79</v>
      </c>
      <c r="B80" s="351"/>
      <c r="C80" s="511"/>
      <c r="F80" s="10"/>
      <c r="G80" s="10"/>
      <c r="H80" s="10"/>
      <c r="I80" s="10"/>
      <c r="J80" s="10"/>
      <c r="K80" s="352"/>
      <c r="L80" s="353"/>
      <c r="M80" s="354"/>
      <c r="O80" s="525"/>
      <c r="S80" s="512"/>
      <c r="T80" s="364"/>
      <c r="U80" s="513"/>
      <c r="Y80" s="10"/>
      <c r="Z80" s="10"/>
      <c r="AA80" s="10"/>
    </row>
    <row r="81" spans="1:27" x14ac:dyDescent="0.2">
      <c r="A81" s="10">
        <v>80</v>
      </c>
      <c r="B81" s="351"/>
      <c r="C81" s="511"/>
      <c r="F81" s="10"/>
      <c r="G81" s="10"/>
      <c r="H81" s="10"/>
      <c r="I81" s="10"/>
      <c r="J81" s="10"/>
      <c r="K81" s="352"/>
      <c r="L81" s="353"/>
      <c r="M81" s="354"/>
      <c r="O81" s="525"/>
      <c r="S81" s="512"/>
      <c r="T81" s="364"/>
      <c r="U81" s="513"/>
      <c r="Y81" s="10"/>
      <c r="Z81" s="10"/>
      <c r="AA81" s="10"/>
    </row>
    <row r="82" spans="1:27" x14ac:dyDescent="0.2">
      <c r="A82" s="10">
        <v>81</v>
      </c>
      <c r="B82" s="351"/>
      <c r="C82" s="511"/>
      <c r="F82" s="10"/>
      <c r="G82" s="10"/>
      <c r="H82" s="10"/>
      <c r="I82" s="10"/>
      <c r="J82" s="10"/>
      <c r="K82" s="352"/>
      <c r="L82" s="353"/>
      <c r="M82" s="370"/>
      <c r="O82" s="525"/>
      <c r="S82" s="512"/>
      <c r="T82" s="364"/>
      <c r="U82" s="513"/>
      <c r="Y82" s="10"/>
      <c r="Z82" s="10"/>
      <c r="AA82" s="10"/>
    </row>
    <row r="83" spans="1:27" x14ac:dyDescent="0.2">
      <c r="A83" s="10">
        <v>82</v>
      </c>
      <c r="B83" s="351"/>
      <c r="C83" s="511"/>
      <c r="F83" s="10"/>
      <c r="G83" s="10"/>
      <c r="H83" s="10"/>
      <c r="I83" s="10"/>
      <c r="J83" s="10"/>
      <c r="K83" s="352"/>
      <c r="L83" s="353"/>
      <c r="M83" s="370"/>
      <c r="O83" s="525"/>
      <c r="S83" s="512"/>
      <c r="T83" s="364"/>
      <c r="U83" s="513"/>
      <c r="Y83" s="10"/>
      <c r="Z83" s="10"/>
      <c r="AA83" s="10"/>
    </row>
    <row r="84" spans="1:27" x14ac:dyDescent="0.2">
      <c r="A84" s="10">
        <v>83</v>
      </c>
      <c r="B84" s="351"/>
      <c r="C84" s="511"/>
      <c r="F84" s="10"/>
      <c r="G84" s="10"/>
      <c r="H84" s="10"/>
      <c r="I84" s="10"/>
      <c r="J84" s="10"/>
      <c r="K84" s="352"/>
      <c r="L84" s="353"/>
      <c r="M84" s="354"/>
      <c r="O84" s="525"/>
      <c r="S84" s="512"/>
      <c r="T84" s="364"/>
      <c r="U84" s="513"/>
      <c r="Y84" s="10"/>
      <c r="Z84" s="10"/>
      <c r="AA84" s="10"/>
    </row>
    <row r="85" spans="1:27" x14ac:dyDescent="0.2">
      <c r="A85" s="10">
        <v>84</v>
      </c>
      <c r="B85" s="351"/>
      <c r="C85" s="511"/>
      <c r="F85" s="11"/>
      <c r="G85" s="11"/>
      <c r="H85" s="10"/>
      <c r="I85" s="10"/>
      <c r="J85" s="10"/>
      <c r="K85" s="352"/>
      <c r="L85" s="353"/>
      <c r="M85" s="354"/>
      <c r="O85" s="525"/>
      <c r="S85" s="512"/>
      <c r="T85" s="364"/>
      <c r="U85" s="513"/>
      <c r="Y85" s="10"/>
      <c r="Z85" s="10"/>
      <c r="AA85" s="10"/>
    </row>
    <row r="86" spans="1:27" x14ac:dyDescent="0.2">
      <c r="A86" s="10">
        <v>85</v>
      </c>
      <c r="B86" s="351"/>
      <c r="C86" s="511"/>
      <c r="F86" s="10"/>
      <c r="G86" s="10"/>
      <c r="H86" s="10"/>
      <c r="I86" s="10"/>
      <c r="J86" s="10"/>
      <c r="K86" s="352"/>
      <c r="L86" s="353"/>
      <c r="M86" s="354"/>
      <c r="O86" s="525"/>
      <c r="S86" s="512"/>
      <c r="T86" s="364"/>
      <c r="U86" s="513"/>
      <c r="Y86" s="10"/>
      <c r="Z86" s="10"/>
      <c r="AA86" s="10"/>
    </row>
    <row r="87" spans="1:27" x14ac:dyDescent="0.2">
      <c r="A87" s="10">
        <v>86</v>
      </c>
      <c r="B87" s="351"/>
      <c r="C87" s="511"/>
      <c r="F87" s="10"/>
      <c r="G87" s="10"/>
      <c r="H87" s="10"/>
      <c r="I87" s="10"/>
      <c r="J87" s="10"/>
      <c r="K87" s="352"/>
      <c r="L87" s="353"/>
      <c r="M87" s="354"/>
      <c r="O87" s="525"/>
      <c r="S87" s="512"/>
      <c r="T87" s="364"/>
      <c r="U87" s="513"/>
      <c r="Y87" s="10"/>
      <c r="Z87" s="10"/>
      <c r="AA87" s="10"/>
    </row>
    <row r="88" spans="1:27" x14ac:dyDescent="0.2">
      <c r="A88" s="10">
        <v>87</v>
      </c>
      <c r="B88" s="351"/>
      <c r="C88" s="511"/>
      <c r="F88" s="10"/>
      <c r="G88" s="10"/>
      <c r="H88" s="10"/>
      <c r="I88" s="10"/>
      <c r="J88" s="10"/>
      <c r="K88" s="352"/>
      <c r="L88" s="353"/>
      <c r="M88" s="354"/>
      <c r="O88" s="525"/>
      <c r="S88" s="512"/>
      <c r="T88" s="364"/>
      <c r="U88" s="513"/>
      <c r="Y88" s="10"/>
      <c r="Z88" s="10"/>
      <c r="AA88" s="10"/>
    </row>
    <row r="89" spans="1:27" x14ac:dyDescent="0.2">
      <c r="A89" s="10">
        <v>88</v>
      </c>
      <c r="B89" s="351"/>
      <c r="C89" s="511"/>
      <c r="F89" s="10"/>
      <c r="G89" s="10"/>
      <c r="H89" s="10"/>
      <c r="I89" s="10"/>
      <c r="J89" s="10"/>
      <c r="K89" s="352"/>
      <c r="L89" s="353"/>
      <c r="M89" s="354"/>
      <c r="O89" s="525"/>
      <c r="S89" s="512"/>
      <c r="T89" s="364"/>
      <c r="U89" s="513"/>
      <c r="Y89" s="10"/>
      <c r="Z89" s="10"/>
      <c r="AA89" s="10"/>
    </row>
    <row r="90" spans="1:27" x14ac:dyDescent="0.2">
      <c r="A90" s="10">
        <v>89</v>
      </c>
      <c r="B90" s="351"/>
      <c r="C90" s="511"/>
      <c r="F90" s="10"/>
      <c r="G90" s="10"/>
      <c r="H90" s="10"/>
      <c r="I90" s="10"/>
      <c r="J90" s="10"/>
      <c r="K90" s="352"/>
      <c r="L90" s="353"/>
      <c r="M90" s="354"/>
      <c r="O90" s="525"/>
      <c r="S90" s="512"/>
      <c r="T90" s="364"/>
      <c r="U90" s="513"/>
      <c r="Y90" s="10"/>
      <c r="Z90" s="10"/>
      <c r="AA90" s="10"/>
    </row>
    <row r="91" spans="1:27" x14ac:dyDescent="0.2">
      <c r="A91" s="10">
        <v>90</v>
      </c>
      <c r="B91" s="351"/>
      <c r="C91" s="511"/>
      <c r="F91" s="10"/>
      <c r="G91" s="10"/>
      <c r="H91" s="10"/>
      <c r="I91" s="10"/>
      <c r="J91" s="10"/>
      <c r="K91" s="352"/>
      <c r="L91" s="353"/>
      <c r="M91" s="354"/>
      <c r="O91" s="525"/>
      <c r="S91" s="512"/>
      <c r="T91" s="364"/>
      <c r="U91" s="513"/>
      <c r="Y91" s="10"/>
      <c r="Z91" s="10"/>
      <c r="AA91" s="10"/>
    </row>
    <row r="92" spans="1:27" x14ac:dyDescent="0.2">
      <c r="A92" s="10">
        <v>91</v>
      </c>
      <c r="B92" s="351"/>
      <c r="C92" s="511"/>
      <c r="F92" s="10"/>
      <c r="G92" s="10"/>
      <c r="H92" s="10"/>
      <c r="I92" s="10"/>
      <c r="J92" s="10"/>
      <c r="K92" s="352"/>
      <c r="L92" s="353"/>
      <c r="M92" s="354"/>
      <c r="O92" s="525"/>
      <c r="S92" s="512"/>
      <c r="T92" s="364"/>
      <c r="U92" s="513"/>
      <c r="Y92" s="10"/>
      <c r="Z92" s="10"/>
      <c r="AA92" s="10"/>
    </row>
    <row r="93" spans="1:27" x14ac:dyDescent="0.2">
      <c r="A93" s="10">
        <v>92</v>
      </c>
      <c r="B93" s="351"/>
      <c r="C93" s="511"/>
      <c r="F93" s="10"/>
      <c r="G93" s="10"/>
      <c r="H93" s="10"/>
      <c r="I93" s="10"/>
      <c r="J93" s="10"/>
      <c r="K93" s="352"/>
      <c r="L93" s="353"/>
      <c r="M93" s="354"/>
      <c r="O93" s="525"/>
      <c r="S93" s="512"/>
      <c r="T93" s="364"/>
      <c r="U93" s="513"/>
      <c r="Y93" s="10"/>
      <c r="Z93" s="10"/>
      <c r="AA93" s="10"/>
    </row>
    <row r="94" spans="1:27" x14ac:dyDescent="0.2">
      <c r="A94" s="10">
        <v>93</v>
      </c>
      <c r="B94" s="351"/>
      <c r="C94" s="511"/>
      <c r="F94" s="11"/>
      <c r="G94" s="10"/>
      <c r="H94" s="10"/>
      <c r="I94" s="10"/>
      <c r="J94" s="10"/>
      <c r="K94" s="371"/>
      <c r="L94" s="353"/>
      <c r="M94" s="354"/>
      <c r="O94" s="525"/>
      <c r="S94" s="512"/>
      <c r="T94" s="364"/>
      <c r="U94" s="513"/>
      <c r="Y94" s="10"/>
      <c r="Z94" s="10"/>
      <c r="AA94" s="10"/>
    </row>
    <row r="95" spans="1:27" x14ac:dyDescent="0.2">
      <c r="A95" s="10">
        <v>94</v>
      </c>
      <c r="B95" s="351"/>
      <c r="C95" s="511"/>
      <c r="F95" s="11"/>
      <c r="G95" s="10"/>
      <c r="H95" s="10"/>
      <c r="I95" s="10"/>
      <c r="J95" s="10"/>
      <c r="K95" s="352"/>
      <c r="L95" s="353"/>
      <c r="M95" s="354"/>
      <c r="O95" s="525"/>
      <c r="S95" s="512"/>
      <c r="T95" s="364"/>
      <c r="U95" s="513"/>
      <c r="Y95" s="10"/>
      <c r="Z95" s="10"/>
      <c r="AA95" s="10"/>
    </row>
    <row r="96" spans="1:27" x14ac:dyDescent="0.2">
      <c r="A96" s="10">
        <v>95</v>
      </c>
      <c r="B96" s="351"/>
      <c r="C96" s="511"/>
      <c r="F96" s="10"/>
      <c r="G96" s="10"/>
      <c r="H96" s="10"/>
      <c r="I96" s="10"/>
      <c r="J96" s="10"/>
      <c r="K96" s="352"/>
      <c r="L96" s="353"/>
      <c r="M96" s="354"/>
      <c r="O96" s="525"/>
      <c r="S96" s="512"/>
      <c r="T96" s="364"/>
      <c r="U96" s="513"/>
      <c r="Y96" s="10"/>
      <c r="Z96" s="10"/>
      <c r="AA96" s="10"/>
    </row>
    <row r="97" spans="1:27" x14ac:dyDescent="0.2">
      <c r="A97" s="10">
        <v>96</v>
      </c>
      <c r="B97" s="351"/>
      <c r="C97" s="511"/>
      <c r="F97" s="10"/>
      <c r="G97" s="10"/>
      <c r="H97" s="10"/>
      <c r="I97" s="10"/>
      <c r="J97" s="10"/>
      <c r="K97" s="352"/>
      <c r="L97" s="353"/>
      <c r="M97" s="370"/>
      <c r="O97" s="525"/>
      <c r="S97" s="512"/>
      <c r="T97" s="364"/>
      <c r="U97" s="513"/>
      <c r="Y97" s="10"/>
      <c r="Z97" s="10"/>
      <c r="AA97" s="10"/>
    </row>
    <row r="98" spans="1:27" x14ac:dyDescent="0.2">
      <c r="A98" s="10">
        <v>97</v>
      </c>
      <c r="B98" s="351"/>
      <c r="C98" s="511"/>
      <c r="F98" s="10"/>
      <c r="G98" s="10"/>
      <c r="H98" s="10"/>
      <c r="I98" s="10"/>
      <c r="J98" s="10"/>
      <c r="K98" s="352"/>
      <c r="L98" s="353"/>
      <c r="M98" s="354"/>
      <c r="O98" s="525"/>
      <c r="S98" s="512"/>
      <c r="T98" s="364"/>
      <c r="U98" s="513"/>
      <c r="Y98" s="10"/>
      <c r="Z98" s="10"/>
      <c r="AA98" s="10"/>
    </row>
    <row r="99" spans="1:27" x14ac:dyDescent="0.2">
      <c r="A99" s="10">
        <v>98</v>
      </c>
      <c r="B99" s="351"/>
      <c r="C99" s="511"/>
      <c r="F99" s="10"/>
      <c r="G99" s="10"/>
      <c r="H99" s="10"/>
      <c r="I99" s="10"/>
      <c r="J99" s="10"/>
      <c r="K99" s="352"/>
      <c r="L99" s="353"/>
      <c r="M99" s="354"/>
      <c r="O99" s="525"/>
      <c r="S99" s="512"/>
      <c r="T99" s="364"/>
      <c r="U99" s="513"/>
      <c r="Y99" s="10"/>
      <c r="Z99" s="10"/>
      <c r="AA99" s="10"/>
    </row>
    <row r="100" spans="1:27" x14ac:dyDescent="0.2">
      <c r="A100" s="10">
        <v>99</v>
      </c>
      <c r="B100" s="351"/>
      <c r="C100" s="511"/>
      <c r="F100" s="10"/>
      <c r="G100" s="10"/>
      <c r="H100" s="10"/>
      <c r="I100" s="10"/>
      <c r="J100" s="10"/>
      <c r="K100" s="352"/>
      <c r="L100" s="353"/>
      <c r="M100" s="354"/>
      <c r="O100" s="525"/>
      <c r="S100" s="512"/>
      <c r="T100" s="364"/>
      <c r="U100" s="513"/>
      <c r="Y100" s="10"/>
      <c r="Z100" s="10"/>
      <c r="AA100" s="10"/>
    </row>
    <row r="101" spans="1:27" x14ac:dyDescent="0.2">
      <c r="A101" s="10">
        <v>100</v>
      </c>
      <c r="B101" s="351"/>
      <c r="C101" s="511"/>
      <c r="F101" s="11"/>
      <c r="G101" s="10"/>
      <c r="H101" s="10"/>
      <c r="I101" s="10"/>
      <c r="J101" s="10"/>
      <c r="K101" s="352"/>
      <c r="L101" s="353"/>
      <c r="M101" s="354"/>
      <c r="O101" s="525"/>
      <c r="S101" s="512"/>
      <c r="T101" s="364"/>
      <c r="U101" s="513"/>
      <c r="Y101" s="10"/>
      <c r="Z101" s="10"/>
      <c r="AA101" s="10"/>
    </row>
  </sheetData>
  <protectedRanges>
    <protectedRange sqref="B4:P5 R4:R5 B2:Q3 B6:R60 B62:R203 B61:Q61" name="Range1"/>
    <protectedRange sqref="Q4:Q5" name="Range1_1"/>
    <protectedRange sqref="R2:R3" name="Range1_2"/>
    <protectedRange sqref="R61" name="Data Entry"/>
  </protectedRanges>
  <sortState ref="A2:W187">
    <sortCondition ref="A2:A187"/>
  </sortState>
  <dataValidations count="11">
    <dataValidation type="list" allowBlank="1" showInputMessage="1" showErrorMessage="1" sqref="D2:D101">
      <formula1>"CN,CNj,SO,PK,CM,CO,RT,DV,RW,LS,HW,AG"</formula1>
    </dataValidation>
    <dataValidation type="decimal" errorStyle="warning" allowBlank="1" showInputMessage="1" showErrorMessage="1" error="Odd size, please confirm." sqref="I1:I101">
      <formula1>0</formula1>
      <formula2>200</formula2>
    </dataValidation>
    <dataValidation type="decimal" allowBlank="1" showInputMessage="1" showErrorMessage="1" sqref="H1:H101">
      <formula1>0</formula1>
      <formula2>200</formula2>
    </dataValidation>
    <dataValidation type="time" allowBlank="1" showInputMessage="1" showErrorMessage="1" sqref="K2:K101">
      <formula1>0</formula1>
      <formula2>0.999305555555556</formula2>
    </dataValidation>
    <dataValidation type="time" operator="greaterThan" allowBlank="1" showInputMessage="1" showErrorMessage="1" sqref="L1:L101">
      <formula1>0</formula1>
    </dataValidation>
    <dataValidation type="whole" allowBlank="1" showInputMessage="1" showErrorMessage="1" sqref="F1:F3 F5:F101">
      <formula1>0</formula1>
      <formula2>999</formula2>
    </dataValidation>
    <dataValidation type="whole" allowBlank="1" showInputMessage="1" showErrorMessage="1" sqref="G1:G101">
      <formula1>0</formula1>
      <formula2>99</formula2>
    </dataValidation>
    <dataValidation type="date" operator="greaterThan" allowBlank="1" showInputMessage="1" showErrorMessage="1" sqref="B2:B101">
      <formula1>41395</formula1>
    </dataValidation>
    <dataValidation type="list" allowBlank="1" showInputMessage="1" showErrorMessage="1" sqref="N2:N101 E2:E101">
      <formula1>"Y,N"</formula1>
    </dataValidation>
    <dataValidation type="list" allowBlank="1" showInputMessage="1" showErrorMessage="1" sqref="J2:J101">
      <formula1>"F, M, U"</formula1>
    </dataValidation>
    <dataValidation type="list" allowBlank="1" showInputMessage="1" showErrorMessage="1" sqref="C1:C1048576">
      <formula1>"1,2,3,BS_1,BS_2,BS_3,BS_4,BS_5,BS_6,BS_7,BS_8,BS_9,BS_10"</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O1159"/>
  <sheetViews>
    <sheetView showGridLines="0" zoomScaleNormal="100" workbookViewId="0">
      <pane xSplit="2" ySplit="3" topLeftCell="C4" activePane="bottomRight" state="frozen"/>
      <selection activeCell="J36" sqref="J36"/>
      <selection pane="topRight" activeCell="J36" sqref="J36"/>
      <selection pane="bottomLeft" activeCell="J36" sqref="J36"/>
      <selection pane="bottomRight" activeCell="P39" sqref="P39"/>
    </sheetView>
  </sheetViews>
  <sheetFormatPr defaultColWidth="9.140625" defaultRowHeight="12.75" x14ac:dyDescent="0.2"/>
  <cols>
    <col min="1" max="1" width="8.5703125" style="44" customWidth="1"/>
    <col min="2" max="2" width="5.7109375" style="44" customWidth="1"/>
    <col min="3" max="3" width="3.85546875" style="44" customWidth="1"/>
    <col min="4" max="4" width="4.42578125" style="44" customWidth="1"/>
    <col min="5" max="19" width="4.140625" style="44" customWidth="1"/>
    <col min="20" max="20" width="1.7109375" style="35" customWidth="1"/>
    <col min="21" max="21" width="5" style="162" customWidth="1"/>
    <col min="22" max="24" width="3.28515625" style="193" bestFit="1" customWidth="1"/>
    <col min="25" max="25" width="4" style="193" bestFit="1" customWidth="1"/>
    <col min="26" max="26" width="3.28515625" style="193" bestFit="1" customWidth="1"/>
    <col min="27" max="27" width="3.28515625" style="164" customWidth="1"/>
    <col min="28" max="30" width="3.28515625" style="193" customWidth="1"/>
    <col min="31" max="31" width="4.28515625" style="193" customWidth="1"/>
    <col min="32" max="32" width="4.42578125" style="193" bestFit="1" customWidth="1"/>
    <col min="33" max="33" width="3.28515625" style="193" customWidth="1"/>
    <col min="34" max="34" width="6.140625" style="164" customWidth="1"/>
    <col min="35" max="35" width="5.28515625" style="193" customWidth="1"/>
    <col min="36" max="36" width="3.5703125" style="193" bestFit="1" customWidth="1"/>
    <col min="37" max="37" width="3.28515625" style="193" customWidth="1"/>
    <col min="38" max="38" width="5.85546875" style="193" customWidth="1"/>
    <col min="39" max="39" width="4.42578125" style="193" bestFit="1" customWidth="1"/>
    <col min="40" max="40" width="3.5703125" style="164" bestFit="1" customWidth="1"/>
    <col min="41" max="45" width="3.28515625" style="193" customWidth="1"/>
    <col min="46" max="46" width="3.28515625" style="164" customWidth="1"/>
    <col min="47" max="47" width="3.5703125" style="193" bestFit="1" customWidth="1"/>
    <col min="48" max="49" width="3.28515625" style="193" customWidth="1"/>
    <col min="50" max="50" width="3.5703125" style="193" bestFit="1" customWidth="1"/>
    <col min="51" max="51" width="3.28515625" style="193" customWidth="1"/>
    <col min="52" max="52" width="3.5703125" style="164" bestFit="1" customWidth="1"/>
    <col min="53" max="53" width="3.85546875" style="177" customWidth="1"/>
    <col min="54" max="54" width="3.28515625" style="177" customWidth="1"/>
    <col min="55" max="57" width="4" style="177" bestFit="1" customWidth="1"/>
    <col min="58" max="58" width="4" style="166" bestFit="1" customWidth="1"/>
    <col min="59" max="63" width="4" style="177" bestFit="1" customWidth="1"/>
    <col min="64" max="64" width="4" style="166" bestFit="1" customWidth="1"/>
    <col min="65" max="65" width="4" style="409" bestFit="1" customWidth="1"/>
    <col min="66" max="66" width="7" style="409" bestFit="1" customWidth="1"/>
    <col min="67" max="16384" width="9.140625" style="34"/>
  </cols>
  <sheetData>
    <row r="1" spans="1:66" ht="15" customHeight="1" x14ac:dyDescent="0.25">
      <c r="A1" s="81" t="s">
        <v>209</v>
      </c>
      <c r="B1" s="82"/>
      <c r="C1" s="82"/>
      <c r="D1" s="82"/>
      <c r="E1" s="82"/>
      <c r="F1" s="82"/>
      <c r="G1" s="82"/>
      <c r="H1" s="82"/>
      <c r="I1" s="82"/>
      <c r="J1" s="82"/>
      <c r="K1" s="82"/>
      <c r="L1" s="82"/>
      <c r="M1" s="82"/>
      <c r="N1" s="83" t="s">
        <v>123</v>
      </c>
      <c r="O1" s="554">
        <f>MAX(B:B)</f>
        <v>41889</v>
      </c>
      <c r="P1" s="554"/>
      <c r="Q1" s="554"/>
      <c r="R1" s="554"/>
      <c r="S1" s="554"/>
      <c r="T1" s="36"/>
      <c r="V1" s="549" t="s">
        <v>246</v>
      </c>
      <c r="W1" s="549"/>
      <c r="X1" s="549"/>
      <c r="Y1" s="549"/>
      <c r="Z1" s="549"/>
      <c r="AA1" s="550"/>
      <c r="AB1" s="548" t="s">
        <v>247</v>
      </c>
      <c r="AC1" s="549"/>
      <c r="AD1" s="549"/>
      <c r="AE1" s="549"/>
      <c r="AF1" s="549"/>
      <c r="AG1" s="549"/>
      <c r="AH1" s="550"/>
      <c r="AI1" s="548" t="s">
        <v>154</v>
      </c>
      <c r="AJ1" s="549"/>
      <c r="AK1" s="549"/>
      <c r="AL1" s="549"/>
      <c r="AM1" s="549"/>
      <c r="AN1" s="550"/>
      <c r="AO1" s="548" t="s">
        <v>248</v>
      </c>
      <c r="AP1" s="549"/>
      <c r="AQ1" s="549"/>
      <c r="AR1" s="549"/>
      <c r="AS1" s="549"/>
      <c r="AT1" s="550"/>
      <c r="AU1" s="548" t="s">
        <v>155</v>
      </c>
      <c r="AV1" s="549"/>
      <c r="AW1" s="549"/>
      <c r="AX1" s="549"/>
      <c r="AY1" s="549"/>
      <c r="AZ1" s="550"/>
      <c r="BA1" s="551" t="s">
        <v>249</v>
      </c>
      <c r="BB1" s="552"/>
      <c r="BC1" s="552"/>
      <c r="BD1" s="552"/>
      <c r="BE1" s="552"/>
      <c r="BF1" s="553"/>
      <c r="BG1" s="551" t="s">
        <v>250</v>
      </c>
      <c r="BH1" s="552"/>
      <c r="BI1" s="552"/>
      <c r="BJ1" s="552"/>
      <c r="BK1" s="552"/>
      <c r="BL1" s="553"/>
      <c r="BM1" s="408"/>
      <c r="BN1" s="408"/>
    </row>
    <row r="2" spans="1:66" s="43" customFormat="1" ht="6" customHeight="1" x14ac:dyDescent="0.2">
      <c r="A2" s="42"/>
      <c r="B2" s="42"/>
      <c r="C2" s="50"/>
      <c r="D2" s="42"/>
      <c r="E2" s="42"/>
      <c r="F2" s="42"/>
      <c r="G2" s="42"/>
      <c r="H2" s="42"/>
      <c r="I2" s="42"/>
      <c r="J2" s="42"/>
      <c r="K2" s="42"/>
      <c r="L2" s="42"/>
      <c r="M2" s="42"/>
      <c r="N2" s="42"/>
      <c r="O2" s="51"/>
      <c r="P2" s="42"/>
      <c r="Q2" s="42"/>
      <c r="R2" s="42"/>
      <c r="S2" s="42"/>
      <c r="T2" s="35"/>
      <c r="U2" s="162"/>
      <c r="V2" s="163"/>
      <c r="W2" s="163"/>
      <c r="X2" s="163"/>
      <c r="Y2" s="163"/>
      <c r="Z2" s="163"/>
      <c r="AA2" s="164"/>
      <c r="AB2" s="163"/>
      <c r="AC2" s="163"/>
      <c r="AD2" s="163"/>
      <c r="AE2" s="163"/>
      <c r="AF2" s="163"/>
      <c r="AG2" s="163"/>
      <c r="AH2" s="164"/>
      <c r="AI2" s="163"/>
      <c r="AJ2" s="163"/>
      <c r="AK2" s="163"/>
      <c r="AL2" s="163"/>
      <c r="AM2" s="163"/>
      <c r="AN2" s="164"/>
      <c r="AO2" s="163"/>
      <c r="AP2" s="163"/>
      <c r="AQ2" s="163"/>
      <c r="AR2" s="163"/>
      <c r="AS2" s="163"/>
      <c r="AT2" s="164"/>
      <c r="AU2" s="163"/>
      <c r="AV2" s="163"/>
      <c r="AW2" s="163"/>
      <c r="AX2" s="163"/>
      <c r="AY2" s="163"/>
      <c r="AZ2" s="164"/>
      <c r="BA2" s="165"/>
      <c r="BB2" s="165"/>
      <c r="BC2" s="165"/>
      <c r="BD2" s="165"/>
      <c r="BE2" s="165"/>
      <c r="BF2" s="166"/>
      <c r="BG2" s="165"/>
      <c r="BH2" s="165"/>
      <c r="BI2" s="165"/>
      <c r="BJ2" s="165"/>
      <c r="BK2" s="165"/>
      <c r="BL2" s="166"/>
      <c r="BM2" s="409"/>
      <c r="BN2" s="409"/>
    </row>
    <row r="3" spans="1:66" ht="144" x14ac:dyDescent="0.2">
      <c r="A3" s="52" t="s">
        <v>124</v>
      </c>
      <c r="B3" s="53" t="s">
        <v>3</v>
      </c>
      <c r="C3" s="54" t="s">
        <v>6</v>
      </c>
      <c r="D3" s="54" t="s">
        <v>9</v>
      </c>
      <c r="E3" s="56" t="s">
        <v>241</v>
      </c>
      <c r="F3" s="56" t="s">
        <v>204</v>
      </c>
      <c r="G3" s="57" t="s">
        <v>205</v>
      </c>
      <c r="H3" s="55" t="s">
        <v>206</v>
      </c>
      <c r="I3" s="55" t="s">
        <v>207</v>
      </c>
      <c r="J3" s="55" t="s">
        <v>208</v>
      </c>
      <c r="K3" s="55" t="s">
        <v>62</v>
      </c>
      <c r="L3" s="56" t="s">
        <v>63</v>
      </c>
      <c r="M3" s="55" t="s">
        <v>64</v>
      </c>
      <c r="N3" s="56" t="s">
        <v>65</v>
      </c>
      <c r="O3" s="55" t="s">
        <v>66</v>
      </c>
      <c r="P3" s="56" t="s">
        <v>67</v>
      </c>
      <c r="Q3" s="55" t="s">
        <v>68</v>
      </c>
      <c r="R3" s="56" t="s">
        <v>69</v>
      </c>
      <c r="S3" s="58" t="s">
        <v>125</v>
      </c>
      <c r="T3" s="37"/>
      <c r="U3" s="167" t="s">
        <v>135</v>
      </c>
      <c r="V3" s="168" t="s">
        <v>243</v>
      </c>
      <c r="W3" s="168" t="s">
        <v>244</v>
      </c>
      <c r="X3" s="168" t="s">
        <v>126</v>
      </c>
      <c r="Y3" s="168" t="s">
        <v>127</v>
      </c>
      <c r="Z3" s="168" t="s">
        <v>128</v>
      </c>
      <c r="AA3" s="169" t="s">
        <v>129</v>
      </c>
      <c r="AB3" s="168" t="s">
        <v>243</v>
      </c>
      <c r="AC3" s="168" t="s">
        <v>244</v>
      </c>
      <c r="AD3" s="168" t="s">
        <v>126</v>
      </c>
      <c r="AE3" s="168" t="s">
        <v>127</v>
      </c>
      <c r="AF3" s="168" t="s">
        <v>128</v>
      </c>
      <c r="AG3" s="168" t="s">
        <v>129</v>
      </c>
      <c r="AH3" s="169" t="s">
        <v>245</v>
      </c>
      <c r="AI3" s="168" t="s">
        <v>243</v>
      </c>
      <c r="AJ3" s="168" t="s">
        <v>244</v>
      </c>
      <c r="AK3" s="168" t="s">
        <v>126</v>
      </c>
      <c r="AL3" s="168" t="s">
        <v>127</v>
      </c>
      <c r="AM3" s="168" t="s">
        <v>128</v>
      </c>
      <c r="AN3" s="169" t="s">
        <v>129</v>
      </c>
      <c r="AO3" s="168" t="s">
        <v>243</v>
      </c>
      <c r="AP3" s="168" t="s">
        <v>244</v>
      </c>
      <c r="AQ3" s="168" t="s">
        <v>126</v>
      </c>
      <c r="AR3" s="168" t="s">
        <v>127</v>
      </c>
      <c r="AS3" s="168" t="s">
        <v>128</v>
      </c>
      <c r="AT3" s="169" t="s">
        <v>129</v>
      </c>
      <c r="AU3" s="168" t="s">
        <v>243</v>
      </c>
      <c r="AV3" s="168" t="s">
        <v>244</v>
      </c>
      <c r="AW3" s="168" t="s">
        <v>126</v>
      </c>
      <c r="AX3" s="168" t="s">
        <v>127</v>
      </c>
      <c r="AY3" s="168" t="s">
        <v>128</v>
      </c>
      <c r="AZ3" s="169" t="s">
        <v>129</v>
      </c>
      <c r="BA3" s="170" t="s">
        <v>243</v>
      </c>
      <c r="BB3" s="170" t="s">
        <v>244</v>
      </c>
      <c r="BC3" s="170" t="s">
        <v>126</v>
      </c>
      <c r="BD3" s="170" t="s">
        <v>127</v>
      </c>
      <c r="BE3" s="170" t="s">
        <v>128</v>
      </c>
      <c r="BF3" s="171" t="s">
        <v>129</v>
      </c>
      <c r="BG3" s="170" t="s">
        <v>243</v>
      </c>
      <c r="BH3" s="170" t="s">
        <v>244</v>
      </c>
      <c r="BI3" s="170" t="s">
        <v>126</v>
      </c>
      <c r="BJ3" s="170" t="s">
        <v>127</v>
      </c>
      <c r="BK3" s="170" t="s">
        <v>128</v>
      </c>
      <c r="BL3" s="171" t="s">
        <v>129</v>
      </c>
      <c r="BM3" s="410" t="s">
        <v>4596</v>
      </c>
      <c r="BN3" s="410" t="s">
        <v>4597</v>
      </c>
    </row>
    <row r="4" spans="1:66" ht="17.25" customHeight="1" x14ac:dyDescent="0.2">
      <c r="A4" s="59" t="s">
        <v>150</v>
      </c>
      <c r="B4" s="60">
        <v>41796</v>
      </c>
      <c r="C4" s="22">
        <f t="shared" ref="C4" si="0">IF(ISERROR(3/(U4/60)),"",3/(U4/60))</f>
        <v>3.050847457627119</v>
      </c>
      <c r="D4" s="23">
        <f>GETPIVOTDATA("Active time (min)",EffortRPMPivot!$A$4,"date",B4,"Site",1)/60</f>
        <v>8.3333333333333375</v>
      </c>
      <c r="E4" s="24">
        <f>F4+G4+GETPIVOTDATA("Sum of CNlgNo",SalmonPivot!$A$4,"Date",B4,"Site",1)</f>
        <v>0</v>
      </c>
      <c r="F4" s="24">
        <f>GETPIVOTDATA("Sum of CNlgrad",SalmonPivot!$A$4,"date",B4,"Site",1)</f>
        <v>0</v>
      </c>
      <c r="G4" s="24">
        <f>GETPIVOTDATA("Sum of CNlgrecap",SalmonPivot!$A$4,"date",B4,"Site",1)</f>
        <v>0</v>
      </c>
      <c r="H4" s="24">
        <f>I4+J4+GETPIVOTDATA("Sum of CNsmno",SalmonPivot!$M$4,"Date",B4,"Site",1)</f>
        <v>0</v>
      </c>
      <c r="I4" s="24">
        <f>GETPIVOTDATA("Sum of CNsmradio",SalmonPivot!$M$4,"Date",B4,"Site",1)</f>
        <v>0</v>
      </c>
      <c r="J4" s="24">
        <f>GETPIVOTDATA("Sum of CNsmrecap",SalmonPivot!$M$4,"Date",B4,"Site",1)</f>
        <v>0</v>
      </c>
      <c r="K4" s="24">
        <f>L4+GETPIVOTDATA("Sum of SOno",SalmonPivot!$Y$4,"Date",B4,"Site",1)+GETPIVOTDATA("Sum of SOrecap",SalmonPivot!$Y$4,"Date",B4,"Site",1)</f>
        <v>0</v>
      </c>
      <c r="L4" s="24">
        <f>GETPIVOTDATA("Sum of SOrad",SalmonPivot!$Y$4,"Date",B4,"Site",1)</f>
        <v>0</v>
      </c>
      <c r="M4" s="24">
        <f>N4+GETPIVOTDATA("Sum of PKno",SalmonPivot!$AK$4,"Date",B4,"Site",1)+GETPIVOTDATA("Sum of PKrecap",SalmonPivot!$AK$4,"Date",B4,"Site",1)</f>
        <v>0</v>
      </c>
      <c r="N4" s="24">
        <f>GETPIVOTDATA("Sum of PKrad",SalmonPivot!$AK$4,"Date",B4,"Site",1)</f>
        <v>0</v>
      </c>
      <c r="O4" s="24">
        <f>P4+GETPIVOTDATA("Sum of CMno",SalmonPivot!$AW$4,"Date",B4,"Site",1)+GETPIVOTDATA("Sum of CMrecap",SalmonPivot!$AW$4,"Date",B4,"Site",1)</f>
        <v>0</v>
      </c>
      <c r="P4" s="24">
        <f>GETPIVOTDATA("Sum of CMrad",SalmonPivot!$AW$4,"Date",B4,"Site",1)</f>
        <v>0</v>
      </c>
      <c r="Q4" s="25">
        <f>R4+GETPIVOTDATA("Sum of COno",SalmonPivot!$BI$4,"Date",B4,"Site",1)+GETPIVOTDATA("Sum of COrecap",SalmonPivot!$BI$4,"Date",B4,"Site",1)</f>
        <v>0</v>
      </c>
      <c r="R4" s="24">
        <f>GETPIVOTDATA("Sum of COrad",SalmonPivot!$BI$4,"Date",B4,"Site",1)</f>
        <v>0</v>
      </c>
      <c r="S4" s="24">
        <f>GETPIVOTDATA("Sum of TotalOther",OtherPivot!$J$5,"Date",B4,"Site",1)</f>
        <v>0</v>
      </c>
      <c r="T4" s="38"/>
      <c r="U4" s="172">
        <f>IF(GETPIVOTDATA("3 Revs (s)",EffortRPMPivot!$L$4,"Date",$B4,"Site",1)=0,"",GETPIVOTDATA("3 revs (s)",EffortRPMPivot!$L$4,"date",$B4,"Site",1))</f>
        <v>59</v>
      </c>
      <c r="V4" s="173">
        <f t="shared" ref="V4" si="1">IF(D4=0,"",E4/D4)</f>
        <v>0</v>
      </c>
      <c r="W4" s="173">
        <f t="shared" ref="W4" si="2">IF(D4=0,"",H4/D4)</f>
        <v>0</v>
      </c>
      <c r="X4" s="173">
        <f t="shared" ref="X4" si="3">IF(D4=0,"",K4/$D4)</f>
        <v>0</v>
      </c>
      <c r="Y4" s="173">
        <f t="shared" ref="Y4" si="4">IF(D4=0,"",M4/$D4)</f>
        <v>0</v>
      </c>
      <c r="Z4" s="173">
        <f t="shared" ref="Z4" si="5">IF(D4=0,"",O4/$D4)</f>
        <v>0</v>
      </c>
      <c r="AA4" s="174">
        <f t="shared" ref="AA4" si="6">IF(D4=0,"",Q4/$D4)</f>
        <v>0</v>
      </c>
      <c r="AB4" s="175">
        <f t="shared" ref="AB4:AB11" si="7">E4+E100+E196</f>
        <v>0</v>
      </c>
      <c r="AC4" s="175">
        <f t="shared" ref="AC4:AC11" si="8">H4+H100+H196</f>
        <v>0</v>
      </c>
      <c r="AD4" s="175">
        <f t="shared" ref="AD4:AD11" si="9">K4+K100+K196</f>
        <v>0</v>
      </c>
      <c r="AE4" s="175">
        <f t="shared" ref="AE4:AE11" si="10">M4+M100+M196</f>
        <v>0</v>
      </c>
      <c r="AF4" s="175">
        <f t="shared" ref="AF4:AF11" si="11">O4+O100+O196</f>
        <v>0</v>
      </c>
      <c r="AG4" s="175">
        <f t="shared" ref="AG4:AG11" si="12">Q4+Q100+Q196</f>
        <v>0</v>
      </c>
      <c r="AH4" s="176">
        <f>AB4+SUM(AD4:AG4)</f>
        <v>0</v>
      </c>
      <c r="AI4" s="175">
        <f>SUM(AB4:AB$4)</f>
        <v>0</v>
      </c>
      <c r="AJ4" s="175">
        <f>SUM(AC4:AC$4)</f>
        <v>0</v>
      </c>
      <c r="AK4" s="175">
        <f>SUM(AD4:AD$4)</f>
        <v>0</v>
      </c>
      <c r="AL4" s="175">
        <f>SUM(AE4:AE$4)</f>
        <v>0</v>
      </c>
      <c r="AM4" s="175">
        <f>SUM(AF4:AF$4)</f>
        <v>0</v>
      </c>
      <c r="AN4" s="176">
        <f>SUM(AG4:AG$4)</f>
        <v>0</v>
      </c>
      <c r="AO4" s="175">
        <f t="shared" ref="AO4:AO11" si="13">F4+F100+F196</f>
        <v>0</v>
      </c>
      <c r="AP4" s="175">
        <f t="shared" ref="AP4:AP11" si="14">I4+I100+I196</f>
        <v>0</v>
      </c>
      <c r="AQ4" s="175">
        <f t="shared" ref="AQ4:AQ11" si="15">$L4+$L100+L196</f>
        <v>0</v>
      </c>
      <c r="AR4" s="175">
        <f t="shared" ref="AR4:AR11" si="16">$N4+$N100+N196</f>
        <v>0</v>
      </c>
      <c r="AS4" s="175">
        <f t="shared" ref="AS4:AS11" si="17">$P4+$P100+P196</f>
        <v>0</v>
      </c>
      <c r="AT4" s="176">
        <f t="shared" ref="AT4:AT11" si="18">$R4+$R100+R196</f>
        <v>0</v>
      </c>
      <c r="AU4" s="175">
        <f>SUM(AO4:AO$4)</f>
        <v>0</v>
      </c>
      <c r="AV4" s="175">
        <f>SUM(AP4:AP$4)</f>
        <v>0</v>
      </c>
      <c r="AW4" s="175">
        <f>SUM(AQ4:AQ$4)</f>
        <v>0</v>
      </c>
      <c r="AX4" s="175">
        <f>SUM(AR4:AR$4)</f>
        <v>0</v>
      </c>
      <c r="AY4" s="175">
        <f>SUM(AS4:AS$4)</f>
        <v>0</v>
      </c>
      <c r="AZ4" s="176">
        <f>SUM(AT4:AT$4)</f>
        <v>0</v>
      </c>
      <c r="BA4" s="177">
        <f t="shared" ref="BA4:BF11" si="19">AB4/SUM(AB$4:AB$97)</f>
        <v>0</v>
      </c>
      <c r="BB4" s="177">
        <f t="shared" si="19"/>
        <v>0</v>
      </c>
      <c r="BC4" s="177">
        <f t="shared" si="19"/>
        <v>0</v>
      </c>
      <c r="BD4" s="177">
        <f t="shared" si="19"/>
        <v>0</v>
      </c>
      <c r="BE4" s="177">
        <f t="shared" si="19"/>
        <v>0</v>
      </c>
      <c r="BF4" s="272">
        <f t="shared" si="19"/>
        <v>0</v>
      </c>
      <c r="BG4" s="177">
        <f>SUM(BA$4:BA4)</f>
        <v>0</v>
      </c>
      <c r="BH4" s="177">
        <f>SUM(BB$4:BB4)</f>
        <v>0</v>
      </c>
      <c r="BI4" s="177">
        <f>SUM(BC$4:BC4)</f>
        <v>0</v>
      </c>
      <c r="BJ4" s="177">
        <f>SUM(BD$4:BD4)</f>
        <v>0</v>
      </c>
      <c r="BK4" s="177">
        <f>SUM(BE$4:BE4)</f>
        <v>0</v>
      </c>
      <c r="BL4" s="166">
        <f>SUM(BF$4:BF4)</f>
        <v>0</v>
      </c>
      <c r="BM4" s="411">
        <f>SUM(E4,K4,M4,O4,Q4)</f>
        <v>0</v>
      </c>
      <c r="BN4" s="409">
        <f>BM4/D4</f>
        <v>0</v>
      </c>
    </row>
    <row r="5" spans="1:66" x14ac:dyDescent="0.2">
      <c r="A5" s="44" t="s">
        <v>138</v>
      </c>
      <c r="B5" s="60">
        <f>1+B4</f>
        <v>41797</v>
      </c>
      <c r="C5" s="22">
        <f t="shared" ref="C5:C6" si="20">IF(ISERROR(3/(U5/60)),"",3/(U5/60))</f>
        <v>2.8421052631578947</v>
      </c>
      <c r="D5" s="23">
        <f>GETPIVOTDATA("Active time (min)",EffortRPMPivot!$A$4,"date",B5,"Site",1)/60</f>
        <v>11.350000000000003</v>
      </c>
      <c r="E5" s="24">
        <f>F5+G5+GETPIVOTDATA("Sum of CNlgNo",SalmonPivot!$A$4,"Date",B5,"Site",1)</f>
        <v>0</v>
      </c>
      <c r="F5" s="24">
        <f>GETPIVOTDATA("Sum of CNlgrad",SalmonPivot!$A$4,"date",B5,"Site",1)</f>
        <v>0</v>
      </c>
      <c r="G5" s="24">
        <f>GETPIVOTDATA("Sum of CNlgrecap",SalmonPivot!$A$4,"date",B5,"Site",1)</f>
        <v>0</v>
      </c>
      <c r="H5" s="24">
        <f>I5+J5+GETPIVOTDATA("Sum of CNsmno",SalmonPivot!$M$4,"Date",B5,"Site",1)</f>
        <v>0</v>
      </c>
      <c r="I5" s="24">
        <f>GETPIVOTDATA("Sum of CNsmradio",SalmonPivot!$M$4,"Date",B5,"Site",1)</f>
        <v>0</v>
      </c>
      <c r="J5" s="24">
        <f>GETPIVOTDATA("Sum of CNsmrecap",SalmonPivot!$M$4,"Date",B5,"Site",1)</f>
        <v>0</v>
      </c>
      <c r="K5" s="24">
        <f>L5+GETPIVOTDATA("Sum of SOno",SalmonPivot!$Y$4,"Date",B5,"Site",1)+GETPIVOTDATA("Sum of SOrecap",SalmonPivot!$Y$4,"Date",B5,"Site",1)</f>
        <v>0</v>
      </c>
      <c r="L5" s="24">
        <f>GETPIVOTDATA("Sum of SOrad",SalmonPivot!$Y$4,"Date",B5,"Site",1)</f>
        <v>0</v>
      </c>
      <c r="M5" s="24">
        <f>N5+GETPIVOTDATA("Sum of PKno",SalmonPivot!$AK$4,"Date",B5,"Site",1)+GETPIVOTDATA("Sum of PKrecap",SalmonPivot!$AK$4,"Date",B5,"Site",1)</f>
        <v>0</v>
      </c>
      <c r="N5" s="24">
        <f>GETPIVOTDATA("Sum of PKrad",SalmonPivot!$AK$4,"Date",B5,"Site",1)</f>
        <v>0</v>
      </c>
      <c r="O5" s="24">
        <f>P5+GETPIVOTDATA("Sum of CMno",SalmonPivot!$AW$4,"Date",B5,"Site",1)+GETPIVOTDATA("Sum of CMrecap",SalmonPivot!$AW$4,"Date",B5,"Site",1)</f>
        <v>0</v>
      </c>
      <c r="P5" s="24">
        <f>GETPIVOTDATA("Sum of CMrad",SalmonPivot!$AW$4,"Date",B5,"Site",1)</f>
        <v>0</v>
      </c>
      <c r="Q5" s="25">
        <f>R5+GETPIVOTDATA("Sum of COno",SalmonPivot!$BI$4,"Date",B5,"Site",1)+GETPIVOTDATA("Sum of COrecap",SalmonPivot!$BI$4,"Date",B5,"Site",1)</f>
        <v>0</v>
      </c>
      <c r="R5" s="24">
        <f>GETPIVOTDATA("Sum of COrad",SalmonPivot!$BI$4,"Date",B5,"Site",1)</f>
        <v>0</v>
      </c>
      <c r="S5" s="24">
        <f>GETPIVOTDATA("Sum of TotalOther",OtherPivot!$J$5,"Date",B5,"Site",1)</f>
        <v>2</v>
      </c>
      <c r="T5" s="38"/>
      <c r="U5" s="172">
        <f>IF(GETPIVOTDATA("3 Revs (s)",EffortRPMPivot!$L$4,"Date",$B5,"Site",1)=0,"",GETPIVOTDATA("3 revs (s)",EffortRPMPivot!$L$4,"date",$B5,"Site",1))</f>
        <v>63.333333333333336</v>
      </c>
      <c r="V5" s="173">
        <f t="shared" ref="V5:V11" si="21">IF(D5=0,"",E5/D5)</f>
        <v>0</v>
      </c>
      <c r="W5" s="173">
        <f t="shared" ref="W5:W11" si="22">IF(D5=0,"",H5/D5)</f>
        <v>0</v>
      </c>
      <c r="X5" s="173">
        <f t="shared" ref="X5:X11" si="23">IF(D5=0,"",K5/$D5)</f>
        <v>0</v>
      </c>
      <c r="Y5" s="173">
        <f t="shared" ref="Y5:Y11" si="24">IF(D5=0,"",M5/$D5)</f>
        <v>0</v>
      </c>
      <c r="Z5" s="173">
        <f t="shared" ref="Z5:Z11" si="25">IF(D5=0,"",O5/$D5)</f>
        <v>0</v>
      </c>
      <c r="AA5" s="174">
        <f t="shared" ref="AA5:AA11" si="26">IF(D5=0,"",Q5/$D5)</f>
        <v>0</v>
      </c>
      <c r="AB5" s="175">
        <f t="shared" si="7"/>
        <v>0</v>
      </c>
      <c r="AC5" s="175">
        <f t="shared" si="8"/>
        <v>0</v>
      </c>
      <c r="AD5" s="175">
        <f t="shared" si="9"/>
        <v>0</v>
      </c>
      <c r="AE5" s="175">
        <f t="shared" si="10"/>
        <v>0</v>
      </c>
      <c r="AF5" s="175">
        <f t="shared" si="11"/>
        <v>0</v>
      </c>
      <c r="AG5" s="175">
        <f t="shared" si="12"/>
        <v>0</v>
      </c>
      <c r="AH5" s="176">
        <f t="shared" ref="AH5:AH11" si="27">AB5+SUM(AD5:AG5)</f>
        <v>0</v>
      </c>
      <c r="AI5" s="175">
        <f>SUM(AB$4:AB5)</f>
        <v>0</v>
      </c>
      <c r="AJ5" s="175">
        <f>SUM(AC$4:AC5)</f>
        <v>0</v>
      </c>
      <c r="AK5" s="175">
        <f>SUM(AD$4:AD5)</f>
        <v>0</v>
      </c>
      <c r="AL5" s="175">
        <f>SUM(AE$4:AE5)</f>
        <v>0</v>
      </c>
      <c r="AM5" s="175">
        <f>SUM(AF$4:AF5)</f>
        <v>0</v>
      </c>
      <c r="AN5" s="176">
        <f>SUM(AG$4:AG5)</f>
        <v>0</v>
      </c>
      <c r="AO5" s="175">
        <f t="shared" si="13"/>
        <v>0</v>
      </c>
      <c r="AP5" s="175">
        <f t="shared" si="14"/>
        <v>0</v>
      </c>
      <c r="AQ5" s="175">
        <f t="shared" si="15"/>
        <v>0</v>
      </c>
      <c r="AR5" s="175">
        <f t="shared" si="16"/>
        <v>0</v>
      </c>
      <c r="AS5" s="175">
        <f t="shared" si="17"/>
        <v>0</v>
      </c>
      <c r="AT5" s="176">
        <f t="shared" si="18"/>
        <v>0</v>
      </c>
      <c r="AU5" s="175">
        <f>SUM(AO$4:AO5)</f>
        <v>0</v>
      </c>
      <c r="AV5" s="175">
        <f>SUM(AP$4:AP5)</f>
        <v>0</v>
      </c>
      <c r="AW5" s="175">
        <f>SUM(AQ$4:AQ5)</f>
        <v>0</v>
      </c>
      <c r="AX5" s="175">
        <f>SUM(AR$4:AR5)</f>
        <v>0</v>
      </c>
      <c r="AY5" s="175">
        <f>SUM(AS$4:AS5)</f>
        <v>0</v>
      </c>
      <c r="AZ5" s="176">
        <f>SUM(AT$4:AT5)</f>
        <v>0</v>
      </c>
      <c r="BA5" s="177">
        <f t="shared" si="19"/>
        <v>0</v>
      </c>
      <c r="BB5" s="177">
        <f t="shared" si="19"/>
        <v>0</v>
      </c>
      <c r="BC5" s="177">
        <f t="shared" si="19"/>
        <v>0</v>
      </c>
      <c r="BD5" s="177">
        <f t="shared" si="19"/>
        <v>0</v>
      </c>
      <c r="BE5" s="177">
        <f t="shared" si="19"/>
        <v>0</v>
      </c>
      <c r="BF5" s="273">
        <f t="shared" si="19"/>
        <v>0</v>
      </c>
      <c r="BG5" s="177">
        <f>SUM(BA$4:BA5)</f>
        <v>0</v>
      </c>
      <c r="BH5" s="177">
        <f>SUM(BB$4:BB5)</f>
        <v>0</v>
      </c>
      <c r="BI5" s="177">
        <f>SUM(BC$4:BC5)</f>
        <v>0</v>
      </c>
      <c r="BJ5" s="177">
        <f>SUM(BD$4:BD5)</f>
        <v>0</v>
      </c>
      <c r="BK5" s="177">
        <f>SUM(BE$4:BE5)</f>
        <v>0</v>
      </c>
      <c r="BL5" s="166">
        <f>SUM(BF$4:BF5)</f>
        <v>0</v>
      </c>
      <c r="BM5" s="411">
        <f t="shared" ref="BM5:BM68" si="28">SUM(E5,K5,M5,O5,Q5)</f>
        <v>0</v>
      </c>
      <c r="BN5" s="409">
        <f t="shared" ref="BN5:BN68" si="29">BM5/D5</f>
        <v>0</v>
      </c>
    </row>
    <row r="6" spans="1:66" x14ac:dyDescent="0.2">
      <c r="A6" s="44" t="s">
        <v>130</v>
      </c>
      <c r="B6" s="60">
        <f t="shared" ref="B6:B86" si="30">1+B5</f>
        <v>41798</v>
      </c>
      <c r="C6" s="22">
        <f t="shared" si="20"/>
        <v>2.6865671641791042</v>
      </c>
      <c r="D6" s="23">
        <f>GETPIVOTDATA("Active time (min)",EffortRPMPivot!$A$4,"date",B6,"Site",1)/60</f>
        <v>13.3</v>
      </c>
      <c r="E6" s="24">
        <f>F6+G6+GETPIVOTDATA("Sum of CNlgNo",SalmonPivot!$A$4,"Date",B6,"Site",1)</f>
        <v>0</v>
      </c>
      <c r="F6" s="24">
        <f>GETPIVOTDATA("Sum of CNlgrad",SalmonPivot!$A$4,"date",B6,"Site",1)</f>
        <v>0</v>
      </c>
      <c r="G6" s="24">
        <f>GETPIVOTDATA("Sum of CNlgrecap",SalmonPivot!$A$4,"date",B6,"Site",1)</f>
        <v>0</v>
      </c>
      <c r="H6" s="24">
        <f>I6+J6+GETPIVOTDATA("Sum of CNsmno",SalmonPivot!$M$4,"Date",B6,"Site",1)</f>
        <v>0</v>
      </c>
      <c r="I6" s="24">
        <f>GETPIVOTDATA("Sum of CNsmradio",SalmonPivot!$M$4,"Date",B6,"Site",1)</f>
        <v>0</v>
      </c>
      <c r="J6" s="24">
        <f>GETPIVOTDATA("Sum of CNsmrecap",SalmonPivot!$M$4,"Date",B6,"Site",1)</f>
        <v>0</v>
      </c>
      <c r="K6" s="24">
        <f>L6+GETPIVOTDATA("Sum of SOno",SalmonPivot!$Y$4,"Date",B6,"Site",1)+GETPIVOTDATA("Sum of SOrecap",SalmonPivot!$Y$4,"Date",B6,"Site",1)</f>
        <v>0</v>
      </c>
      <c r="L6" s="24">
        <f>GETPIVOTDATA("Sum of SOrad",SalmonPivot!$Y$4,"Date",B6,"Site",1)</f>
        <v>0</v>
      </c>
      <c r="M6" s="24">
        <f>N6+GETPIVOTDATA("Sum of PKno",SalmonPivot!$AK$4,"Date",B6,"Site",1)+GETPIVOTDATA("Sum of PKrecap",SalmonPivot!$AK$4,"Date",B6,"Site",1)</f>
        <v>0</v>
      </c>
      <c r="N6" s="24">
        <f>GETPIVOTDATA("Sum of PKrad",SalmonPivot!$AK$4,"Date",B6,"Site",1)</f>
        <v>0</v>
      </c>
      <c r="O6" s="24">
        <f>P6+GETPIVOTDATA("Sum of CMno",SalmonPivot!$AW$4,"Date",B6,"Site",1)+GETPIVOTDATA("Sum of CMrecap",SalmonPivot!$AW$4,"Date",B6,"Site",1)</f>
        <v>0</v>
      </c>
      <c r="P6" s="24">
        <f>GETPIVOTDATA("Sum of CMrad",SalmonPivot!$AW$4,"Date",B6,"Site",1)</f>
        <v>0</v>
      </c>
      <c r="Q6" s="25">
        <f>R6+GETPIVOTDATA("Sum of COno",SalmonPivot!$BI$4,"Date",B6,"Site",1)+GETPIVOTDATA("Sum of COrecap",SalmonPivot!$BI$4,"Date",B6,"Site",1)</f>
        <v>0</v>
      </c>
      <c r="R6" s="24">
        <f>GETPIVOTDATA("Sum of COrad",SalmonPivot!$BI$4,"Date",B6,"Site",1)</f>
        <v>0</v>
      </c>
      <c r="S6" s="24">
        <f>GETPIVOTDATA("Sum of TotalOther",OtherPivot!$J$5,"Date",B6,"Site",1)</f>
        <v>0</v>
      </c>
      <c r="T6" s="38"/>
      <c r="U6" s="172">
        <f>IF(GETPIVOTDATA("3 Revs (s)",EffortRPMPivot!$L$4,"Date",$B6,"Site",1)=0,"",GETPIVOTDATA("3 revs (s)",EffortRPMPivot!$L$4,"date",$B6,"Site",1))</f>
        <v>67</v>
      </c>
      <c r="V6" s="173">
        <f t="shared" si="21"/>
        <v>0</v>
      </c>
      <c r="W6" s="173">
        <f t="shared" si="22"/>
        <v>0</v>
      </c>
      <c r="X6" s="173">
        <f t="shared" si="23"/>
        <v>0</v>
      </c>
      <c r="Y6" s="173">
        <f t="shared" si="24"/>
        <v>0</v>
      </c>
      <c r="Z6" s="173">
        <f t="shared" si="25"/>
        <v>0</v>
      </c>
      <c r="AA6" s="174">
        <f t="shared" si="26"/>
        <v>0</v>
      </c>
      <c r="AB6" s="175">
        <f t="shared" si="7"/>
        <v>0</v>
      </c>
      <c r="AC6" s="175">
        <f t="shared" si="8"/>
        <v>0</v>
      </c>
      <c r="AD6" s="175">
        <f t="shared" si="9"/>
        <v>0</v>
      </c>
      <c r="AE6" s="175">
        <f t="shared" si="10"/>
        <v>0</v>
      </c>
      <c r="AF6" s="175">
        <f t="shared" si="11"/>
        <v>0</v>
      </c>
      <c r="AG6" s="175">
        <f t="shared" si="12"/>
        <v>0</v>
      </c>
      <c r="AH6" s="176">
        <f t="shared" si="27"/>
        <v>0</v>
      </c>
      <c r="AI6" s="175">
        <f>SUM(AB$4:AB6)</f>
        <v>0</v>
      </c>
      <c r="AJ6" s="175">
        <f>SUM(AC$4:AC6)</f>
        <v>0</v>
      </c>
      <c r="AK6" s="175">
        <f>SUM(AD$4:AD6)</f>
        <v>0</v>
      </c>
      <c r="AL6" s="175">
        <f>SUM(AE$4:AE6)</f>
        <v>0</v>
      </c>
      <c r="AM6" s="175">
        <f>SUM(AF$4:AF6)</f>
        <v>0</v>
      </c>
      <c r="AN6" s="176">
        <f>SUM(AG$4:AG6)</f>
        <v>0</v>
      </c>
      <c r="AO6" s="175">
        <f t="shared" si="13"/>
        <v>0</v>
      </c>
      <c r="AP6" s="175">
        <f t="shared" si="14"/>
        <v>0</v>
      </c>
      <c r="AQ6" s="175">
        <f t="shared" si="15"/>
        <v>0</v>
      </c>
      <c r="AR6" s="175">
        <f t="shared" si="16"/>
        <v>0</v>
      </c>
      <c r="AS6" s="175">
        <f t="shared" si="17"/>
        <v>0</v>
      </c>
      <c r="AT6" s="176">
        <f t="shared" si="18"/>
        <v>0</v>
      </c>
      <c r="AU6" s="175">
        <f>SUM(AO$4:AO6)</f>
        <v>0</v>
      </c>
      <c r="AV6" s="175">
        <f>SUM(AP$4:AP6)</f>
        <v>0</v>
      </c>
      <c r="AW6" s="175">
        <f>SUM(AQ$4:AQ6)</f>
        <v>0</v>
      </c>
      <c r="AX6" s="175">
        <f>SUM(AR$4:AR6)</f>
        <v>0</v>
      </c>
      <c r="AY6" s="175">
        <f>SUM(AS$4:AS6)</f>
        <v>0</v>
      </c>
      <c r="AZ6" s="176">
        <f>SUM(AT$4:AT6)</f>
        <v>0</v>
      </c>
      <c r="BA6" s="177">
        <f t="shared" si="19"/>
        <v>0</v>
      </c>
      <c r="BB6" s="177">
        <f t="shared" si="19"/>
        <v>0</v>
      </c>
      <c r="BC6" s="177">
        <f t="shared" si="19"/>
        <v>0</v>
      </c>
      <c r="BD6" s="177">
        <f t="shared" si="19"/>
        <v>0</v>
      </c>
      <c r="BE6" s="177">
        <f t="shared" si="19"/>
        <v>0</v>
      </c>
      <c r="BF6" s="273">
        <f t="shared" si="19"/>
        <v>0</v>
      </c>
      <c r="BG6" s="177">
        <f>SUM(BA$4:BA6)</f>
        <v>0</v>
      </c>
      <c r="BH6" s="177">
        <f>SUM(BB$4:BB6)</f>
        <v>0</v>
      </c>
      <c r="BI6" s="177">
        <f>SUM(BC$4:BC6)</f>
        <v>0</v>
      </c>
      <c r="BJ6" s="177">
        <f>SUM(BD$4:BD6)</f>
        <v>0</v>
      </c>
      <c r="BK6" s="177">
        <f>SUM(BE$4:BE6)</f>
        <v>0</v>
      </c>
      <c r="BL6" s="166">
        <f>SUM(BF$4:BF6)</f>
        <v>0</v>
      </c>
      <c r="BM6" s="411">
        <f t="shared" si="28"/>
        <v>0</v>
      </c>
      <c r="BN6" s="409">
        <f t="shared" si="29"/>
        <v>0</v>
      </c>
    </row>
    <row r="7" spans="1:66" x14ac:dyDescent="0.2">
      <c r="B7" s="60">
        <f t="shared" si="30"/>
        <v>41799</v>
      </c>
      <c r="C7" s="22">
        <f t="shared" ref="C7" si="31">IF(ISERROR(3/(U7/60)),"",3/(U7/60))</f>
        <v>3.050847457627119</v>
      </c>
      <c r="D7" s="23">
        <f>GETPIVOTDATA("Active time (min)",EffortRPMPivot!$A$4,"date",B7,"Site",1)/60</f>
        <v>13.083333333333336</v>
      </c>
      <c r="E7" s="24">
        <f>F7+G7+GETPIVOTDATA("Sum of CNlgNo",SalmonPivot!$A$4,"Date",B7,"Site",1)</f>
        <v>0</v>
      </c>
      <c r="F7" s="24">
        <f>GETPIVOTDATA("Sum of CNlgrad",SalmonPivot!$A$4,"date",B7,"Site",1)</f>
        <v>0</v>
      </c>
      <c r="G7" s="24">
        <f>GETPIVOTDATA("Sum of CNlgrecap",SalmonPivot!$A$4,"date",B7,"Site",1)</f>
        <v>0</v>
      </c>
      <c r="H7" s="24">
        <f>I7+J7+GETPIVOTDATA("Sum of CNsmno",SalmonPivot!$M$4,"Date",B7,"Site",1)</f>
        <v>0</v>
      </c>
      <c r="I7" s="24">
        <f>GETPIVOTDATA("Sum of CNsmradio",SalmonPivot!$M$4,"Date",B7,"Site",1)</f>
        <v>0</v>
      </c>
      <c r="J7" s="24">
        <f>GETPIVOTDATA("Sum of CNsmrecap",SalmonPivot!$M$4,"Date",B7,"Site",1)</f>
        <v>0</v>
      </c>
      <c r="K7" s="24">
        <f>L7+GETPIVOTDATA("Sum of SOno",SalmonPivot!$Y$4,"Date",B7,"Site",1)+GETPIVOTDATA("Sum of SOrecap",SalmonPivot!$Y$4,"Date",B7,"Site",1)</f>
        <v>0</v>
      </c>
      <c r="L7" s="24">
        <f>GETPIVOTDATA("Sum of SOrad",SalmonPivot!$Y$4,"Date",B7,"Site",1)</f>
        <v>0</v>
      </c>
      <c r="M7" s="24">
        <f>N7+GETPIVOTDATA("Sum of PKno",SalmonPivot!$AK$4,"Date",B7,"Site",1)+GETPIVOTDATA("Sum of PKrecap",SalmonPivot!$AK$4,"Date",B7,"Site",1)</f>
        <v>0</v>
      </c>
      <c r="N7" s="24">
        <f>GETPIVOTDATA("Sum of PKrad",SalmonPivot!$AK$4,"Date",B7,"Site",1)</f>
        <v>0</v>
      </c>
      <c r="O7" s="24">
        <f>P7+GETPIVOTDATA("Sum of CMno",SalmonPivot!$AW$4,"Date",B7,"Site",1)+GETPIVOTDATA("Sum of CMrecap",SalmonPivot!$AW$4,"Date",B7,"Site",1)</f>
        <v>0</v>
      </c>
      <c r="P7" s="24">
        <f>GETPIVOTDATA("Sum of CMrad",SalmonPivot!$AW$4,"Date",B7,"Site",1)</f>
        <v>0</v>
      </c>
      <c r="Q7" s="25">
        <f>R7+GETPIVOTDATA("Sum of COno",SalmonPivot!$BI$4,"Date",B7,"Site",1)+GETPIVOTDATA("Sum of COrecap",SalmonPivot!$BI$4,"Date",B7,"Site",1)</f>
        <v>0</v>
      </c>
      <c r="R7" s="24">
        <f>GETPIVOTDATA("Sum of COrad",SalmonPivot!$BI$4,"Date",B7,"Site",1)</f>
        <v>0</v>
      </c>
      <c r="S7" s="24">
        <f>GETPIVOTDATA("Sum of TotalOther",OtherPivot!$J$5,"Date",B7,"Site",1)</f>
        <v>0</v>
      </c>
      <c r="T7" s="38"/>
      <c r="U7" s="172">
        <f>IF(GETPIVOTDATA("3 Revs (s)",EffortRPMPivot!$L$4,"Date",$B7,"Site",1)=0,"",GETPIVOTDATA("3 revs (s)",EffortRPMPivot!$L$4,"date",$B7,"Site",1))</f>
        <v>59</v>
      </c>
      <c r="V7" s="173">
        <f t="shared" si="21"/>
        <v>0</v>
      </c>
      <c r="W7" s="173">
        <f t="shared" si="22"/>
        <v>0</v>
      </c>
      <c r="X7" s="173">
        <f t="shared" si="23"/>
        <v>0</v>
      </c>
      <c r="Y7" s="173">
        <f t="shared" si="24"/>
        <v>0</v>
      </c>
      <c r="Z7" s="173">
        <f t="shared" si="25"/>
        <v>0</v>
      </c>
      <c r="AA7" s="174">
        <f t="shared" si="26"/>
        <v>0</v>
      </c>
      <c r="AB7" s="175">
        <f t="shared" si="7"/>
        <v>0</v>
      </c>
      <c r="AC7" s="175">
        <f t="shared" si="8"/>
        <v>0</v>
      </c>
      <c r="AD7" s="175">
        <f t="shared" si="9"/>
        <v>0</v>
      </c>
      <c r="AE7" s="175">
        <f t="shared" si="10"/>
        <v>0</v>
      </c>
      <c r="AF7" s="175">
        <f t="shared" si="11"/>
        <v>0</v>
      </c>
      <c r="AG7" s="175">
        <f t="shared" si="12"/>
        <v>0</v>
      </c>
      <c r="AH7" s="176">
        <f t="shared" si="27"/>
        <v>0</v>
      </c>
      <c r="AI7" s="175">
        <f>SUM(AB$4:AB7)</f>
        <v>0</v>
      </c>
      <c r="AJ7" s="175">
        <f>SUM(AC$4:AC7)</f>
        <v>0</v>
      </c>
      <c r="AK7" s="175">
        <f>SUM(AD$4:AD7)</f>
        <v>0</v>
      </c>
      <c r="AL7" s="175">
        <f>SUM(AE$4:AE7)</f>
        <v>0</v>
      </c>
      <c r="AM7" s="175">
        <f>SUM(AF$4:AF7)</f>
        <v>0</v>
      </c>
      <c r="AN7" s="176">
        <f>SUM(AG$4:AG7)</f>
        <v>0</v>
      </c>
      <c r="AO7" s="175">
        <f t="shared" si="13"/>
        <v>0</v>
      </c>
      <c r="AP7" s="175">
        <f t="shared" si="14"/>
        <v>0</v>
      </c>
      <c r="AQ7" s="175">
        <f t="shared" si="15"/>
        <v>0</v>
      </c>
      <c r="AR7" s="175">
        <f t="shared" si="16"/>
        <v>0</v>
      </c>
      <c r="AS7" s="175">
        <f t="shared" si="17"/>
        <v>0</v>
      </c>
      <c r="AT7" s="176">
        <f t="shared" si="18"/>
        <v>0</v>
      </c>
      <c r="AU7" s="175">
        <f>SUM(AO$4:AO7)</f>
        <v>0</v>
      </c>
      <c r="AV7" s="175">
        <f>SUM(AP$4:AP7)</f>
        <v>0</v>
      </c>
      <c r="AW7" s="175">
        <f>SUM(AQ$4:AQ7)</f>
        <v>0</v>
      </c>
      <c r="AX7" s="175">
        <f>SUM(AR$4:AR7)</f>
        <v>0</v>
      </c>
      <c r="AY7" s="175">
        <f>SUM(AS$4:AS7)</f>
        <v>0</v>
      </c>
      <c r="AZ7" s="176">
        <f>SUM(AT$4:AT7)</f>
        <v>0</v>
      </c>
      <c r="BA7" s="177">
        <f t="shared" si="19"/>
        <v>0</v>
      </c>
      <c r="BB7" s="177">
        <f t="shared" si="19"/>
        <v>0</v>
      </c>
      <c r="BC7" s="177">
        <f t="shared" si="19"/>
        <v>0</v>
      </c>
      <c r="BD7" s="177">
        <f t="shared" si="19"/>
        <v>0</v>
      </c>
      <c r="BE7" s="177">
        <f t="shared" si="19"/>
        <v>0</v>
      </c>
      <c r="BF7" s="273">
        <f t="shared" si="19"/>
        <v>0</v>
      </c>
      <c r="BG7" s="177">
        <f>SUM(BA$4:BA7)</f>
        <v>0</v>
      </c>
      <c r="BH7" s="177">
        <f>SUM(BB$4:BB7)</f>
        <v>0</v>
      </c>
      <c r="BI7" s="177">
        <f>SUM(BC$4:BC7)</f>
        <v>0</v>
      </c>
      <c r="BJ7" s="177">
        <f>SUM(BD$4:BD7)</f>
        <v>0</v>
      </c>
      <c r="BK7" s="177">
        <f>SUM(BE$4:BE7)</f>
        <v>0</v>
      </c>
      <c r="BL7" s="166">
        <f>SUM(BF$4:BF7)</f>
        <v>0</v>
      </c>
      <c r="BM7" s="411">
        <f t="shared" si="28"/>
        <v>0</v>
      </c>
      <c r="BN7" s="409">
        <f t="shared" si="29"/>
        <v>0</v>
      </c>
    </row>
    <row r="8" spans="1:66" x14ac:dyDescent="0.2">
      <c r="B8" s="60">
        <f t="shared" si="30"/>
        <v>41800</v>
      </c>
      <c r="C8" s="22">
        <f t="shared" ref="C8:C11" si="32">IF(ISERROR(3/(U8/60)),"",3/(U8/60))</f>
        <v>3.2727272727272729</v>
      </c>
      <c r="D8" s="23">
        <f>GETPIVOTDATA("Active time (min)",EffortRPMPivot!$A$4,"date",B8,"Site",1)/60</f>
        <v>13.25</v>
      </c>
      <c r="E8" s="24">
        <f>F8+G8+GETPIVOTDATA("Sum of CNlgNo",SalmonPivot!$A$4,"Date",B8,"Site",1)</f>
        <v>0</v>
      </c>
      <c r="F8" s="24">
        <f>GETPIVOTDATA("Sum of CNlgrad",SalmonPivot!$A$4,"date",B8,"Site",1)</f>
        <v>0</v>
      </c>
      <c r="G8" s="24">
        <f>GETPIVOTDATA("Sum of CNlgrecap",SalmonPivot!$A$4,"date",B8,"Site",1)</f>
        <v>0</v>
      </c>
      <c r="H8" s="24">
        <f>I8+J8+GETPIVOTDATA("Sum of CNsmno",SalmonPivot!$M$4,"Date",B8,"Site",1)</f>
        <v>0</v>
      </c>
      <c r="I8" s="24">
        <f>GETPIVOTDATA("Sum of CNsmradio",SalmonPivot!$M$4,"Date",B8,"Site",1)</f>
        <v>0</v>
      </c>
      <c r="J8" s="24">
        <f>GETPIVOTDATA("Sum of CNsmrecap",SalmonPivot!$M$4,"Date",B8,"Site",1)</f>
        <v>0</v>
      </c>
      <c r="K8" s="24">
        <f>L8+GETPIVOTDATA("Sum of SOno",SalmonPivot!$Y$4,"Date",B8,"Site",1)+GETPIVOTDATA("Sum of SOrecap",SalmonPivot!$Y$4,"Date",B8,"Site",1)</f>
        <v>0</v>
      </c>
      <c r="L8" s="24">
        <f>GETPIVOTDATA("Sum of SOrad",SalmonPivot!$Y$4,"Date",B8,"Site",1)</f>
        <v>0</v>
      </c>
      <c r="M8" s="24">
        <f>N8+GETPIVOTDATA("Sum of PKno",SalmonPivot!$AK$4,"Date",B8,"Site",1)+GETPIVOTDATA("Sum of PKrecap",SalmonPivot!$AK$4,"Date",B8,"Site",1)</f>
        <v>0</v>
      </c>
      <c r="N8" s="24">
        <f>GETPIVOTDATA("Sum of PKrad",SalmonPivot!$AK$4,"Date",B8,"Site",1)</f>
        <v>0</v>
      </c>
      <c r="O8" s="24">
        <f>P8+GETPIVOTDATA("Sum of CMno",SalmonPivot!$AW$4,"Date",B8,"Site",1)+GETPIVOTDATA("Sum of CMrecap",SalmonPivot!$AW$4,"Date",B8,"Site",1)</f>
        <v>0</v>
      </c>
      <c r="P8" s="24">
        <f>GETPIVOTDATA("Sum of CMrad",SalmonPivot!$AW$4,"Date",B8,"Site",1)</f>
        <v>0</v>
      </c>
      <c r="Q8" s="25">
        <f>R8+GETPIVOTDATA("Sum of COno",SalmonPivot!$BI$4,"Date",B8,"Site",1)+GETPIVOTDATA("Sum of COrecap",SalmonPivot!$BI$4,"Date",B8,"Site",1)</f>
        <v>0</v>
      </c>
      <c r="R8" s="24">
        <f>GETPIVOTDATA("Sum of COrad",SalmonPivot!$BI$4,"Date",B8,"Site",1)</f>
        <v>0</v>
      </c>
      <c r="S8" s="24">
        <f>GETPIVOTDATA("Sum of TotalOther",OtherPivot!$J$5,"Date",B8,"Site",1)</f>
        <v>0</v>
      </c>
      <c r="T8" s="38"/>
      <c r="U8" s="172">
        <f>IF(GETPIVOTDATA("3 Revs (s)",EffortRPMPivot!$L$4,"Date",$B8,"Site",1)=0,"",GETPIVOTDATA("3 revs (s)",EffortRPMPivot!$L$4,"date",$B8,"Site",1))</f>
        <v>55</v>
      </c>
      <c r="V8" s="173">
        <f t="shared" si="21"/>
        <v>0</v>
      </c>
      <c r="W8" s="173">
        <f t="shared" si="22"/>
        <v>0</v>
      </c>
      <c r="X8" s="173">
        <f t="shared" si="23"/>
        <v>0</v>
      </c>
      <c r="Y8" s="173">
        <f t="shared" si="24"/>
        <v>0</v>
      </c>
      <c r="Z8" s="173">
        <f t="shared" si="25"/>
        <v>0</v>
      </c>
      <c r="AA8" s="174">
        <f t="shared" si="26"/>
        <v>0</v>
      </c>
      <c r="AB8" s="175">
        <f t="shared" si="7"/>
        <v>0</v>
      </c>
      <c r="AC8" s="175">
        <f t="shared" si="8"/>
        <v>0</v>
      </c>
      <c r="AD8" s="175">
        <f t="shared" si="9"/>
        <v>0</v>
      </c>
      <c r="AE8" s="175">
        <f t="shared" si="10"/>
        <v>0</v>
      </c>
      <c r="AF8" s="175">
        <f t="shared" si="11"/>
        <v>0</v>
      </c>
      <c r="AG8" s="175">
        <f t="shared" si="12"/>
        <v>0</v>
      </c>
      <c r="AH8" s="176">
        <f t="shared" si="27"/>
        <v>0</v>
      </c>
      <c r="AI8" s="175">
        <f>SUM(AB$4:AB8)</f>
        <v>0</v>
      </c>
      <c r="AJ8" s="175">
        <f>SUM(AC$4:AC8)</f>
        <v>0</v>
      </c>
      <c r="AK8" s="175">
        <f>SUM(AD$4:AD8)</f>
        <v>0</v>
      </c>
      <c r="AL8" s="175">
        <f>SUM(AE$4:AE8)</f>
        <v>0</v>
      </c>
      <c r="AM8" s="175">
        <f>SUM(AF$4:AF8)</f>
        <v>0</v>
      </c>
      <c r="AN8" s="176">
        <f>SUM(AG$4:AG8)</f>
        <v>0</v>
      </c>
      <c r="AO8" s="175">
        <f t="shared" si="13"/>
        <v>0</v>
      </c>
      <c r="AP8" s="175">
        <f t="shared" si="14"/>
        <v>0</v>
      </c>
      <c r="AQ8" s="175">
        <f t="shared" si="15"/>
        <v>0</v>
      </c>
      <c r="AR8" s="175">
        <f t="shared" si="16"/>
        <v>0</v>
      </c>
      <c r="AS8" s="175">
        <f t="shared" si="17"/>
        <v>0</v>
      </c>
      <c r="AT8" s="176">
        <f t="shared" si="18"/>
        <v>0</v>
      </c>
      <c r="AU8" s="175">
        <f>SUM(AO$4:AO8)</f>
        <v>0</v>
      </c>
      <c r="AV8" s="175">
        <f>SUM(AP$4:AP8)</f>
        <v>0</v>
      </c>
      <c r="AW8" s="175">
        <f>SUM(AQ$4:AQ8)</f>
        <v>0</v>
      </c>
      <c r="AX8" s="175">
        <f>SUM(AR$4:AR8)</f>
        <v>0</v>
      </c>
      <c r="AY8" s="175">
        <f>SUM(AS$4:AS8)</f>
        <v>0</v>
      </c>
      <c r="AZ8" s="176">
        <f>SUM(AT$4:AT8)</f>
        <v>0</v>
      </c>
      <c r="BA8" s="177">
        <f t="shared" si="19"/>
        <v>0</v>
      </c>
      <c r="BB8" s="177">
        <f t="shared" si="19"/>
        <v>0</v>
      </c>
      <c r="BC8" s="177">
        <f t="shared" si="19"/>
        <v>0</v>
      </c>
      <c r="BD8" s="177">
        <f t="shared" si="19"/>
        <v>0</v>
      </c>
      <c r="BE8" s="177">
        <f t="shared" si="19"/>
        <v>0</v>
      </c>
      <c r="BF8" s="273">
        <f t="shared" si="19"/>
        <v>0</v>
      </c>
      <c r="BG8" s="177">
        <f>SUM(BA$4:BA8)</f>
        <v>0</v>
      </c>
      <c r="BH8" s="177">
        <f>SUM(BB$4:BB8)</f>
        <v>0</v>
      </c>
      <c r="BI8" s="177">
        <f>SUM(BC$4:BC8)</f>
        <v>0</v>
      </c>
      <c r="BJ8" s="177">
        <f>SUM(BD$4:BD8)</f>
        <v>0</v>
      </c>
      <c r="BK8" s="177">
        <f>SUM(BE$4:BE8)</f>
        <v>0</v>
      </c>
      <c r="BL8" s="166">
        <f>SUM(BF$4:BF8)</f>
        <v>0</v>
      </c>
      <c r="BM8" s="411">
        <f t="shared" si="28"/>
        <v>0</v>
      </c>
      <c r="BN8" s="409">
        <f t="shared" si="29"/>
        <v>0</v>
      </c>
    </row>
    <row r="9" spans="1:66" x14ac:dyDescent="0.2">
      <c r="B9" s="60">
        <f t="shared" si="30"/>
        <v>41801</v>
      </c>
      <c r="C9" s="22">
        <f t="shared" si="32"/>
        <v>3.2727272727272729</v>
      </c>
      <c r="D9" s="23">
        <f>GETPIVOTDATA("Active time (min)",EffortRPMPivot!$A$4,"date",B9,"Site",1)/60</f>
        <v>13.666666666666664</v>
      </c>
      <c r="E9" s="24">
        <f>F9+G9+GETPIVOTDATA("Sum of CNlgNo",SalmonPivot!$A$4,"Date",B9,"Site",1)</f>
        <v>0</v>
      </c>
      <c r="F9" s="24">
        <f>GETPIVOTDATA("Sum of CNlgrad",SalmonPivot!$A$4,"date",B9,"Site",1)</f>
        <v>0</v>
      </c>
      <c r="G9" s="24">
        <f>GETPIVOTDATA("Sum of CNlgrecap",SalmonPivot!$A$4,"date",B9,"Site",1)</f>
        <v>0</v>
      </c>
      <c r="H9" s="24">
        <f>I9+J9+GETPIVOTDATA("Sum of CNsmno",SalmonPivot!$M$4,"Date",B9,"Site",1)</f>
        <v>0</v>
      </c>
      <c r="I9" s="24">
        <f>GETPIVOTDATA("Sum of CNsmradio",SalmonPivot!$M$4,"Date",B9,"Site",1)</f>
        <v>0</v>
      </c>
      <c r="J9" s="24">
        <f>GETPIVOTDATA("Sum of CNsmrecap",SalmonPivot!$M$4,"Date",B9,"Site",1)</f>
        <v>0</v>
      </c>
      <c r="K9" s="24">
        <f>L9+GETPIVOTDATA("Sum of SOno",SalmonPivot!$Y$4,"Date",B9,"Site",1)+GETPIVOTDATA("Sum of SOrecap",SalmonPivot!$Y$4,"Date",B9,"Site",1)</f>
        <v>0</v>
      </c>
      <c r="L9" s="24">
        <f>GETPIVOTDATA("Sum of SOrad",SalmonPivot!$Y$4,"Date",B9,"Site",1)</f>
        <v>0</v>
      </c>
      <c r="M9" s="24">
        <f>N9+GETPIVOTDATA("Sum of PKno",SalmonPivot!$AK$4,"Date",B9,"Site",1)+GETPIVOTDATA("Sum of PKrecap",SalmonPivot!$AK$4,"Date",B9,"Site",1)</f>
        <v>0</v>
      </c>
      <c r="N9" s="24">
        <f>GETPIVOTDATA("Sum of PKrad",SalmonPivot!$AK$4,"Date",B9,"Site",1)</f>
        <v>0</v>
      </c>
      <c r="O9" s="24">
        <f>P9+GETPIVOTDATA("Sum of CMno",SalmonPivot!$AW$4,"Date",B9,"Site",1)+GETPIVOTDATA("Sum of CMrecap",SalmonPivot!$AW$4,"Date",B9,"Site",1)</f>
        <v>0</v>
      </c>
      <c r="P9" s="24">
        <f>GETPIVOTDATA("Sum of CMrad",SalmonPivot!$AW$4,"Date",B9,"Site",1)</f>
        <v>0</v>
      </c>
      <c r="Q9" s="25">
        <f>R9+GETPIVOTDATA("Sum of COno",SalmonPivot!$BI$4,"Date",B9,"Site",1)+GETPIVOTDATA("Sum of COrecap",SalmonPivot!$BI$4,"Date",B9,"Site",1)</f>
        <v>0</v>
      </c>
      <c r="R9" s="24">
        <f>GETPIVOTDATA("Sum of COrad",SalmonPivot!$BI$4,"Date",B9,"Site",1)</f>
        <v>0</v>
      </c>
      <c r="S9" s="24">
        <f>GETPIVOTDATA("Sum of TotalOther",OtherPivot!$J$5,"Date",B9,"Site",1)</f>
        <v>0</v>
      </c>
      <c r="T9" s="38"/>
      <c r="U9" s="172">
        <f>IF(GETPIVOTDATA("3 Revs (s)",EffortRPMPivot!$L$4,"Date",$B9,"Site",1)=0,"",GETPIVOTDATA("3 revs (s)",EffortRPMPivot!$L$4,"date",$B9,"Site",1))</f>
        <v>55</v>
      </c>
      <c r="V9" s="173">
        <f t="shared" si="21"/>
        <v>0</v>
      </c>
      <c r="W9" s="173">
        <f t="shared" si="22"/>
        <v>0</v>
      </c>
      <c r="X9" s="173">
        <f t="shared" si="23"/>
        <v>0</v>
      </c>
      <c r="Y9" s="173">
        <f t="shared" si="24"/>
        <v>0</v>
      </c>
      <c r="Z9" s="173">
        <f t="shared" si="25"/>
        <v>0</v>
      </c>
      <c r="AA9" s="174">
        <f t="shared" si="26"/>
        <v>0</v>
      </c>
      <c r="AB9" s="175">
        <f t="shared" si="7"/>
        <v>2</v>
      </c>
      <c r="AC9" s="175">
        <f t="shared" si="8"/>
        <v>0</v>
      </c>
      <c r="AD9" s="175">
        <f t="shared" si="9"/>
        <v>0</v>
      </c>
      <c r="AE9" s="175">
        <f t="shared" si="10"/>
        <v>0</v>
      </c>
      <c r="AF9" s="175">
        <f t="shared" si="11"/>
        <v>0</v>
      </c>
      <c r="AG9" s="175">
        <f t="shared" si="12"/>
        <v>0</v>
      </c>
      <c r="AH9" s="176">
        <f t="shared" si="27"/>
        <v>2</v>
      </c>
      <c r="AI9" s="175">
        <f>SUM(AB$4:AB9)</f>
        <v>2</v>
      </c>
      <c r="AJ9" s="175">
        <f>SUM(AC$4:AC9)</f>
        <v>0</v>
      </c>
      <c r="AK9" s="175">
        <f>SUM(AD$4:AD9)</f>
        <v>0</v>
      </c>
      <c r="AL9" s="175">
        <f>SUM(AE$4:AE9)</f>
        <v>0</v>
      </c>
      <c r="AM9" s="175">
        <f>SUM(AF$4:AF9)</f>
        <v>0</v>
      </c>
      <c r="AN9" s="176">
        <f>SUM(AG$4:AG9)</f>
        <v>0</v>
      </c>
      <c r="AO9" s="175">
        <f t="shared" si="13"/>
        <v>2</v>
      </c>
      <c r="AP9" s="175">
        <f t="shared" si="14"/>
        <v>0</v>
      </c>
      <c r="AQ9" s="175">
        <f t="shared" si="15"/>
        <v>0</v>
      </c>
      <c r="AR9" s="175">
        <f t="shared" si="16"/>
        <v>0</v>
      </c>
      <c r="AS9" s="175">
        <f t="shared" si="17"/>
        <v>0</v>
      </c>
      <c r="AT9" s="176">
        <f t="shared" si="18"/>
        <v>0</v>
      </c>
      <c r="AU9" s="175">
        <f>SUM(AO$4:AO9)</f>
        <v>2</v>
      </c>
      <c r="AV9" s="175">
        <f>SUM(AP$4:AP9)</f>
        <v>0</v>
      </c>
      <c r="AW9" s="175">
        <f>SUM(AQ$4:AQ9)</f>
        <v>0</v>
      </c>
      <c r="AX9" s="175">
        <f>SUM(AR$4:AR9)</f>
        <v>0</v>
      </c>
      <c r="AY9" s="175">
        <f>SUM(AS$4:AS9)</f>
        <v>0</v>
      </c>
      <c r="AZ9" s="176">
        <f>SUM(AT$4:AT9)</f>
        <v>0</v>
      </c>
      <c r="BA9" s="177">
        <f t="shared" si="19"/>
        <v>2.976190476190476E-3</v>
      </c>
      <c r="BB9" s="177">
        <f t="shared" si="19"/>
        <v>0</v>
      </c>
      <c r="BC9" s="177">
        <f t="shared" si="19"/>
        <v>0</v>
      </c>
      <c r="BD9" s="177">
        <f t="shared" si="19"/>
        <v>0</v>
      </c>
      <c r="BE9" s="177">
        <f t="shared" si="19"/>
        <v>0</v>
      </c>
      <c r="BF9" s="273">
        <f t="shared" si="19"/>
        <v>0</v>
      </c>
      <c r="BG9" s="177">
        <f>SUM(BA$4:BA9)</f>
        <v>2.976190476190476E-3</v>
      </c>
      <c r="BH9" s="177">
        <f>SUM(BB$4:BB9)</f>
        <v>0</v>
      </c>
      <c r="BI9" s="177">
        <f>SUM(BC$4:BC9)</f>
        <v>0</v>
      </c>
      <c r="BJ9" s="177">
        <f>SUM(BD$4:BD9)</f>
        <v>0</v>
      </c>
      <c r="BK9" s="177">
        <f>SUM(BE$4:BE9)</f>
        <v>0</v>
      </c>
      <c r="BL9" s="166">
        <f>SUM(BF$4:BF9)</f>
        <v>0</v>
      </c>
      <c r="BM9" s="411">
        <f t="shared" si="28"/>
        <v>0</v>
      </c>
      <c r="BN9" s="409">
        <f t="shared" si="29"/>
        <v>0</v>
      </c>
    </row>
    <row r="10" spans="1:66" x14ac:dyDescent="0.2">
      <c r="B10" s="60">
        <f t="shared" si="30"/>
        <v>41802</v>
      </c>
      <c r="C10" s="22">
        <f t="shared" si="32"/>
        <v>3.1358885017421603</v>
      </c>
      <c r="D10" s="23">
        <f>GETPIVOTDATA("Active time (min)",EffortRPMPivot!$A$4,"date",B10,"Site",1)/60</f>
        <v>16.816666666666666</v>
      </c>
      <c r="E10" s="24">
        <f>F10+G10+GETPIVOTDATA("Sum of CNlgNo",SalmonPivot!$A$4,"Date",B10,"Site",1)</f>
        <v>0</v>
      </c>
      <c r="F10" s="24">
        <f>GETPIVOTDATA("Sum of CNlgrad",SalmonPivot!$A$4,"date",B10,"Site",1)</f>
        <v>0</v>
      </c>
      <c r="G10" s="24">
        <f>GETPIVOTDATA("Sum of CNlgrecap",SalmonPivot!$A$4,"date",B10,"Site",1)</f>
        <v>0</v>
      </c>
      <c r="H10" s="24">
        <f>I10+J10+GETPIVOTDATA("Sum of CNsmno",SalmonPivot!$M$4,"Date",B10,"Site",1)</f>
        <v>0</v>
      </c>
      <c r="I10" s="24">
        <f>GETPIVOTDATA("Sum of CNsmradio",SalmonPivot!$M$4,"Date",B10,"Site",1)</f>
        <v>0</v>
      </c>
      <c r="J10" s="24">
        <f>GETPIVOTDATA("Sum of CNsmrecap",SalmonPivot!$M$4,"Date",B10,"Site",1)</f>
        <v>0</v>
      </c>
      <c r="K10" s="24">
        <f>L10+GETPIVOTDATA("Sum of SOno",SalmonPivot!$Y$4,"Date",B10,"Site",1)+GETPIVOTDATA("Sum of SOrecap",SalmonPivot!$Y$4,"Date",B10,"Site",1)</f>
        <v>0</v>
      </c>
      <c r="L10" s="24">
        <f>GETPIVOTDATA("Sum of SOrad",SalmonPivot!$Y$4,"Date",B10,"Site",1)</f>
        <v>0</v>
      </c>
      <c r="M10" s="24">
        <f>N10+GETPIVOTDATA("Sum of PKno",SalmonPivot!$AK$4,"Date",B10,"Site",1)+GETPIVOTDATA("Sum of PKrecap",SalmonPivot!$AK$4,"Date",B10,"Site",1)</f>
        <v>0</v>
      </c>
      <c r="N10" s="24">
        <f>GETPIVOTDATA("Sum of PKrad",SalmonPivot!$AK$4,"Date",B10,"Site",1)</f>
        <v>0</v>
      </c>
      <c r="O10" s="24">
        <f>P10+GETPIVOTDATA("Sum of CMno",SalmonPivot!$AW$4,"Date",B10,"Site",1)+GETPIVOTDATA("Sum of CMrecap",SalmonPivot!$AW$4,"Date",B10,"Site",1)</f>
        <v>0</v>
      </c>
      <c r="P10" s="24">
        <f>GETPIVOTDATA("Sum of CMrad",SalmonPivot!$AW$4,"Date",B10,"Site",1)</f>
        <v>0</v>
      </c>
      <c r="Q10" s="25">
        <f>R10+GETPIVOTDATA("Sum of COno",SalmonPivot!$BI$4,"Date",B10,"Site",1)+GETPIVOTDATA("Sum of COrecap",SalmonPivot!$BI$4,"Date",B10,"Site",1)</f>
        <v>0</v>
      </c>
      <c r="R10" s="24">
        <f>GETPIVOTDATA("Sum of COrad",SalmonPivot!$BI$4,"Date",B10,"Site",1)</f>
        <v>0</v>
      </c>
      <c r="S10" s="24">
        <f>GETPIVOTDATA("Sum of TotalOther",OtherPivot!$J$5,"Date",B10,"Site",1)</f>
        <v>0</v>
      </c>
      <c r="T10" s="38"/>
      <c r="U10" s="172">
        <f>IF(GETPIVOTDATA("3 Revs (s)",EffortRPMPivot!$L$4,"Date",$B10,"Site",1)=0,"",GETPIVOTDATA("3 revs (s)",EffortRPMPivot!$L$4,"date",$B10,"Site",1))</f>
        <v>57.4</v>
      </c>
      <c r="V10" s="173">
        <f t="shared" si="21"/>
        <v>0</v>
      </c>
      <c r="W10" s="173">
        <f t="shared" si="22"/>
        <v>0</v>
      </c>
      <c r="X10" s="173">
        <f t="shared" si="23"/>
        <v>0</v>
      </c>
      <c r="Y10" s="173">
        <f t="shared" si="24"/>
        <v>0</v>
      </c>
      <c r="Z10" s="173">
        <f t="shared" si="25"/>
        <v>0</v>
      </c>
      <c r="AA10" s="174">
        <f t="shared" si="26"/>
        <v>0</v>
      </c>
      <c r="AB10" s="175">
        <f t="shared" si="7"/>
        <v>2</v>
      </c>
      <c r="AC10" s="175">
        <f t="shared" si="8"/>
        <v>0</v>
      </c>
      <c r="AD10" s="175">
        <f t="shared" si="9"/>
        <v>0</v>
      </c>
      <c r="AE10" s="175">
        <f t="shared" si="10"/>
        <v>0</v>
      </c>
      <c r="AF10" s="175">
        <f t="shared" si="11"/>
        <v>0</v>
      </c>
      <c r="AG10" s="175">
        <f t="shared" si="12"/>
        <v>0</v>
      </c>
      <c r="AH10" s="176">
        <f t="shared" si="27"/>
        <v>2</v>
      </c>
      <c r="AI10" s="175">
        <f>SUM(AB$4:AB10)</f>
        <v>4</v>
      </c>
      <c r="AJ10" s="175">
        <f>SUM(AC$4:AC10)</f>
        <v>0</v>
      </c>
      <c r="AK10" s="175">
        <f>SUM(AD$4:AD10)</f>
        <v>0</v>
      </c>
      <c r="AL10" s="175">
        <f>SUM(AE$4:AE10)</f>
        <v>0</v>
      </c>
      <c r="AM10" s="175">
        <f>SUM(AF$4:AF10)</f>
        <v>0</v>
      </c>
      <c r="AN10" s="176">
        <f>SUM(AG$4:AG10)</f>
        <v>0</v>
      </c>
      <c r="AO10" s="175">
        <f t="shared" si="13"/>
        <v>2</v>
      </c>
      <c r="AP10" s="175">
        <f t="shared" si="14"/>
        <v>0</v>
      </c>
      <c r="AQ10" s="175">
        <f t="shared" si="15"/>
        <v>0</v>
      </c>
      <c r="AR10" s="175">
        <f t="shared" si="16"/>
        <v>0</v>
      </c>
      <c r="AS10" s="175">
        <f t="shared" si="17"/>
        <v>0</v>
      </c>
      <c r="AT10" s="176">
        <f t="shared" si="18"/>
        <v>0</v>
      </c>
      <c r="AU10" s="175">
        <f>SUM(AO$4:AO10)</f>
        <v>4</v>
      </c>
      <c r="AV10" s="175">
        <f>SUM(AP$4:AP10)</f>
        <v>0</v>
      </c>
      <c r="AW10" s="175">
        <f>SUM(AQ$4:AQ10)</f>
        <v>0</v>
      </c>
      <c r="AX10" s="175">
        <f>SUM(AR$4:AR10)</f>
        <v>0</v>
      </c>
      <c r="AY10" s="175">
        <f>SUM(AS$4:AS10)</f>
        <v>0</v>
      </c>
      <c r="AZ10" s="176">
        <f>SUM(AT$4:AT10)</f>
        <v>0</v>
      </c>
      <c r="BA10" s="177">
        <f t="shared" si="19"/>
        <v>2.976190476190476E-3</v>
      </c>
      <c r="BB10" s="177">
        <f t="shared" si="19"/>
        <v>0</v>
      </c>
      <c r="BC10" s="177">
        <f t="shared" si="19"/>
        <v>0</v>
      </c>
      <c r="BD10" s="177">
        <f t="shared" si="19"/>
        <v>0</v>
      </c>
      <c r="BE10" s="177">
        <f t="shared" si="19"/>
        <v>0</v>
      </c>
      <c r="BF10" s="273">
        <f t="shared" si="19"/>
        <v>0</v>
      </c>
      <c r="BG10" s="177">
        <f>SUM(BA$4:BA10)</f>
        <v>5.9523809523809521E-3</v>
      </c>
      <c r="BH10" s="177">
        <f>SUM(BB$4:BB10)</f>
        <v>0</v>
      </c>
      <c r="BI10" s="177">
        <f>SUM(BC$4:BC10)</f>
        <v>0</v>
      </c>
      <c r="BJ10" s="177">
        <f>SUM(BD$4:BD10)</f>
        <v>0</v>
      </c>
      <c r="BK10" s="177">
        <f>SUM(BE$4:BE10)</f>
        <v>0</v>
      </c>
      <c r="BL10" s="166">
        <f>SUM(BF$4:BF10)</f>
        <v>0</v>
      </c>
      <c r="BM10" s="411">
        <f t="shared" si="28"/>
        <v>0</v>
      </c>
      <c r="BN10" s="409">
        <f t="shared" si="29"/>
        <v>0</v>
      </c>
    </row>
    <row r="11" spans="1:66" x14ac:dyDescent="0.2">
      <c r="B11" s="60">
        <f t="shared" si="30"/>
        <v>41803</v>
      </c>
      <c r="C11" s="22">
        <f t="shared" si="32"/>
        <v>2.4699828473413379</v>
      </c>
      <c r="D11" s="23">
        <f>GETPIVOTDATA("Active time (min)",EffortRPMPivot!$A$4,"date",B11,"Site",1)/60</f>
        <v>14.883333333333333</v>
      </c>
      <c r="E11" s="24">
        <f>F11+G11+GETPIVOTDATA("Sum of CNlgNo",SalmonPivot!$A$4,"Date",B11,"Site",1)</f>
        <v>1</v>
      </c>
      <c r="F11" s="24">
        <f>GETPIVOTDATA("Sum of CNlgrad",SalmonPivot!$A$4,"date",B11,"Site",1)</f>
        <v>1</v>
      </c>
      <c r="G11" s="24">
        <f>GETPIVOTDATA("Sum of CNlgrecap",SalmonPivot!$A$4,"date",B11,"Site",1)</f>
        <v>0</v>
      </c>
      <c r="H11" s="24">
        <f>I11+J11+GETPIVOTDATA("Sum of CNsmno",SalmonPivot!$M$4,"Date",B11,"Site",1)</f>
        <v>0</v>
      </c>
      <c r="I11" s="24">
        <f>GETPIVOTDATA("Sum of CNsmradio",SalmonPivot!$M$4,"Date",B11,"Site",1)</f>
        <v>0</v>
      </c>
      <c r="J11" s="24">
        <f>GETPIVOTDATA("Sum of CNsmrecap",SalmonPivot!$M$4,"Date",B11,"Site",1)</f>
        <v>0</v>
      </c>
      <c r="K11" s="24">
        <f>L11+GETPIVOTDATA("Sum of SOno",SalmonPivot!$Y$4,"Date",B11,"Site",1)+GETPIVOTDATA("Sum of SOrecap",SalmonPivot!$Y$4,"Date",B11,"Site",1)</f>
        <v>0</v>
      </c>
      <c r="L11" s="24">
        <f>GETPIVOTDATA("Sum of SOrad",SalmonPivot!$Y$4,"Date",B11,"Site",1)</f>
        <v>0</v>
      </c>
      <c r="M11" s="24">
        <f>N11+GETPIVOTDATA("Sum of PKno",SalmonPivot!$AK$4,"Date",B11,"Site",1)+GETPIVOTDATA("Sum of PKrecap",SalmonPivot!$AK$4,"Date",B11,"Site",1)</f>
        <v>0</v>
      </c>
      <c r="N11" s="24">
        <f>GETPIVOTDATA("Sum of PKrad",SalmonPivot!$AK$4,"Date",B11,"Site",1)</f>
        <v>0</v>
      </c>
      <c r="O11" s="24">
        <f>P11+GETPIVOTDATA("Sum of CMno",SalmonPivot!$AW$4,"Date",B11,"Site",1)+GETPIVOTDATA("Sum of CMrecap",SalmonPivot!$AW$4,"Date",B11,"Site",1)</f>
        <v>0</v>
      </c>
      <c r="P11" s="24">
        <f>GETPIVOTDATA("Sum of CMrad",SalmonPivot!$AW$4,"Date",B11,"Site",1)</f>
        <v>0</v>
      </c>
      <c r="Q11" s="25">
        <f>R11+GETPIVOTDATA("Sum of COno",SalmonPivot!$BI$4,"Date",B11,"Site",1)+GETPIVOTDATA("Sum of COrecap",SalmonPivot!$BI$4,"Date",B11,"Site",1)</f>
        <v>0</v>
      </c>
      <c r="R11" s="24">
        <f>GETPIVOTDATA("Sum of COrad",SalmonPivot!$BI$4,"Date",B11,"Site",1)</f>
        <v>0</v>
      </c>
      <c r="S11" s="24">
        <f>GETPIVOTDATA("Sum of TotalOther",OtherPivot!$J$5,"Date",B11,"Site",1)</f>
        <v>0</v>
      </c>
      <c r="T11" s="38"/>
      <c r="U11" s="172">
        <f>IF(GETPIVOTDATA("3 Revs (s)",EffortRPMPivot!$L$4,"Date",$B11,"Site",1)=0,"",GETPIVOTDATA("3 revs (s)",EffortRPMPivot!$L$4,"date",$B11,"Site",1))</f>
        <v>72.875</v>
      </c>
      <c r="V11" s="173">
        <f t="shared" si="21"/>
        <v>6.7189249720044794E-2</v>
      </c>
      <c r="W11" s="173">
        <f t="shared" si="22"/>
        <v>0</v>
      </c>
      <c r="X11" s="173">
        <f t="shared" si="23"/>
        <v>0</v>
      </c>
      <c r="Y11" s="173">
        <f t="shared" si="24"/>
        <v>0</v>
      </c>
      <c r="Z11" s="173">
        <f t="shared" si="25"/>
        <v>0</v>
      </c>
      <c r="AA11" s="174">
        <f t="shared" si="26"/>
        <v>0</v>
      </c>
      <c r="AB11" s="175">
        <f t="shared" si="7"/>
        <v>5</v>
      </c>
      <c r="AC11" s="175">
        <f t="shared" si="8"/>
        <v>1</v>
      </c>
      <c r="AD11" s="175">
        <f t="shared" si="9"/>
        <v>0</v>
      </c>
      <c r="AE11" s="175">
        <f t="shared" si="10"/>
        <v>0</v>
      </c>
      <c r="AF11" s="175">
        <f t="shared" si="11"/>
        <v>0</v>
      </c>
      <c r="AG11" s="175">
        <f t="shared" si="12"/>
        <v>0</v>
      </c>
      <c r="AH11" s="176">
        <f t="shared" si="27"/>
        <v>5</v>
      </c>
      <c r="AI11" s="175">
        <f>SUM(AB$4:AB11)</f>
        <v>9</v>
      </c>
      <c r="AJ11" s="175">
        <f>SUM(AC$4:AC11)</f>
        <v>1</v>
      </c>
      <c r="AK11" s="175">
        <f>SUM(AD$4:AD11)</f>
        <v>0</v>
      </c>
      <c r="AL11" s="175">
        <f>SUM(AE$4:AE11)</f>
        <v>0</v>
      </c>
      <c r="AM11" s="175">
        <f>SUM(AF$4:AF11)</f>
        <v>0</v>
      </c>
      <c r="AN11" s="176">
        <f>SUM(AG$4:AG11)</f>
        <v>0</v>
      </c>
      <c r="AO11" s="175">
        <f t="shared" si="13"/>
        <v>5</v>
      </c>
      <c r="AP11" s="175">
        <f t="shared" si="14"/>
        <v>1</v>
      </c>
      <c r="AQ11" s="175">
        <f t="shared" si="15"/>
        <v>0</v>
      </c>
      <c r="AR11" s="175">
        <f t="shared" si="16"/>
        <v>0</v>
      </c>
      <c r="AS11" s="175">
        <f t="shared" si="17"/>
        <v>0</v>
      </c>
      <c r="AT11" s="176">
        <f t="shared" si="18"/>
        <v>0</v>
      </c>
      <c r="AU11" s="175">
        <f>SUM(AO$4:AO11)</f>
        <v>9</v>
      </c>
      <c r="AV11" s="175">
        <f>SUM(AP$4:AP11)</f>
        <v>1</v>
      </c>
      <c r="AW11" s="175">
        <f>SUM(AQ$4:AQ11)</f>
        <v>0</v>
      </c>
      <c r="AX11" s="175">
        <f>SUM(AR$4:AR11)</f>
        <v>0</v>
      </c>
      <c r="AY11" s="175">
        <f>SUM(AS$4:AS11)</f>
        <v>0</v>
      </c>
      <c r="AZ11" s="176">
        <f>SUM(AT$4:AT11)</f>
        <v>0</v>
      </c>
      <c r="BA11" s="177">
        <f t="shared" si="19"/>
        <v>7.4404761904761901E-3</v>
      </c>
      <c r="BB11" s="177">
        <f t="shared" si="19"/>
        <v>4.8780487804878049E-3</v>
      </c>
      <c r="BC11" s="177">
        <f t="shared" si="19"/>
        <v>0</v>
      </c>
      <c r="BD11" s="177">
        <f t="shared" si="19"/>
        <v>0</v>
      </c>
      <c r="BE11" s="177">
        <f t="shared" si="19"/>
        <v>0</v>
      </c>
      <c r="BF11" s="273">
        <f t="shared" si="19"/>
        <v>0</v>
      </c>
      <c r="BG11" s="177">
        <f>SUM(BA$4:BA11)</f>
        <v>1.3392857142857142E-2</v>
      </c>
      <c r="BH11" s="177">
        <f>SUM(BB$4:BB11)</f>
        <v>4.8780487804878049E-3</v>
      </c>
      <c r="BI11" s="177">
        <f>SUM(BC$4:BC11)</f>
        <v>0</v>
      </c>
      <c r="BJ11" s="177">
        <f>SUM(BD$4:BD11)</f>
        <v>0</v>
      </c>
      <c r="BK11" s="177">
        <f>SUM(BE$4:BE11)</f>
        <v>0</v>
      </c>
      <c r="BL11" s="166">
        <f>SUM(BF$4:BF11)</f>
        <v>0</v>
      </c>
      <c r="BM11" s="411">
        <f t="shared" si="28"/>
        <v>1</v>
      </c>
      <c r="BN11" s="409">
        <f t="shared" si="29"/>
        <v>6.7189249720044794E-2</v>
      </c>
    </row>
    <row r="12" spans="1:66" x14ac:dyDescent="0.2">
      <c r="B12" s="60">
        <f t="shared" si="30"/>
        <v>41804</v>
      </c>
      <c r="C12" s="22">
        <f t="shared" ref="C12:C18" si="33">IF(ISERROR(3/(U12/60)),"",3/(U12/60))</f>
        <v>2.3420074349442377</v>
      </c>
      <c r="D12" s="23">
        <f>GETPIVOTDATA("Active time (min)",EffortRPMPivot!$A$4,"date",B12,"Site",1)/60</f>
        <v>15.116666666666669</v>
      </c>
      <c r="E12" s="24">
        <f>F12+G12+GETPIVOTDATA("Sum of CNlgNo",SalmonPivot!$A$4,"Date",B12,"Site",1)</f>
        <v>2</v>
      </c>
      <c r="F12" s="24">
        <f>GETPIVOTDATA("Sum of CNlgrad",SalmonPivot!$A$4,"date",B12,"Site",1)</f>
        <v>1</v>
      </c>
      <c r="G12" s="24">
        <f>GETPIVOTDATA("Sum of CNlgrecap",SalmonPivot!$A$4,"date",B12,"Site",1)</f>
        <v>0</v>
      </c>
      <c r="H12" s="24">
        <f>I12+J12+GETPIVOTDATA("Sum of CNsmno",SalmonPivot!$M$4,"Date",B12,"Site",1)</f>
        <v>0</v>
      </c>
      <c r="I12" s="24">
        <f>GETPIVOTDATA("Sum of CNsmradio",SalmonPivot!$M$4,"Date",B12,"Site",1)</f>
        <v>0</v>
      </c>
      <c r="J12" s="24">
        <f>GETPIVOTDATA("Sum of CNsmrecap",SalmonPivot!$M$4,"Date",B12,"Site",1)</f>
        <v>0</v>
      </c>
      <c r="K12" s="24">
        <f>L12+GETPIVOTDATA("Sum of SOno",SalmonPivot!$Y$4,"Date",B12,"Site",1)+GETPIVOTDATA("Sum of SOrecap",SalmonPivot!$Y$4,"Date",B12,"Site",1)</f>
        <v>0</v>
      </c>
      <c r="L12" s="24">
        <f>GETPIVOTDATA("Sum of SOrad",SalmonPivot!$Y$4,"Date",B12,"Site",1)</f>
        <v>0</v>
      </c>
      <c r="M12" s="24">
        <f>N12+GETPIVOTDATA("Sum of PKno",SalmonPivot!$AK$4,"Date",B12,"Site",1)+GETPIVOTDATA("Sum of PKrecap",SalmonPivot!$AK$4,"Date",B12,"Site",1)</f>
        <v>0</v>
      </c>
      <c r="N12" s="24">
        <f>GETPIVOTDATA("Sum of PKrad",SalmonPivot!$AK$4,"Date",B12,"Site",1)</f>
        <v>0</v>
      </c>
      <c r="O12" s="24">
        <f>P12+GETPIVOTDATA("Sum of CMno",SalmonPivot!$AW$4,"Date",B12,"Site",1)+GETPIVOTDATA("Sum of CMrecap",SalmonPivot!$AW$4,"Date",B12,"Site",1)</f>
        <v>0</v>
      </c>
      <c r="P12" s="24">
        <f>GETPIVOTDATA("Sum of CMrad",SalmonPivot!$AW$4,"Date",B12,"Site",1)</f>
        <v>0</v>
      </c>
      <c r="Q12" s="25">
        <f>R12+GETPIVOTDATA("Sum of COno",SalmonPivot!$BI$4,"Date",B12,"Site",1)+GETPIVOTDATA("Sum of COrecap",SalmonPivot!$BI$4,"Date",B12,"Site",1)</f>
        <v>0</v>
      </c>
      <c r="R12" s="24">
        <f>GETPIVOTDATA("Sum of COrad",SalmonPivot!$BI$4,"Date",B12,"Site",1)</f>
        <v>0</v>
      </c>
      <c r="S12" s="24">
        <f>GETPIVOTDATA("Sum of TotalOther",OtherPivot!$J$5,"Date",B12,"Site",1)</f>
        <v>2</v>
      </c>
      <c r="T12" s="38"/>
      <c r="U12" s="172">
        <f>IF(GETPIVOTDATA("3 Revs (s)",EffortRPMPivot!$L$4,"Date",$B12,"Site",1)=0,"",GETPIVOTDATA("3 revs (s)",EffortRPMPivot!$L$4,"date",$B12,"Site",1))</f>
        <v>76.857142857142861</v>
      </c>
      <c r="V12" s="173">
        <f t="shared" ref="V12:V75" si="34">IF(D12=0,"",E12/D12)</f>
        <v>0.1323042998897464</v>
      </c>
      <c r="W12" s="173">
        <f t="shared" ref="W12:W75" si="35">IF(D12=0,"",H12/D12)</f>
        <v>0</v>
      </c>
      <c r="X12" s="173">
        <f t="shared" ref="X12:X75" si="36">IF(D12=0,"",K12/$D12)</f>
        <v>0</v>
      </c>
      <c r="Y12" s="173">
        <f t="shared" ref="Y12:Y75" si="37">IF(D12=0,"",M12/$D12)</f>
        <v>0</v>
      </c>
      <c r="Z12" s="173">
        <f t="shared" ref="Z12:Z75" si="38">IF(D12=0,"",O12/$D12)</f>
        <v>0</v>
      </c>
      <c r="AA12" s="174">
        <f t="shared" ref="AA12:AA75" si="39">IF(D12=0,"",Q12/$D12)</f>
        <v>0</v>
      </c>
      <c r="AB12" s="175">
        <f t="shared" ref="AB12:AB75" si="40">E12+E108+E204</f>
        <v>11</v>
      </c>
      <c r="AC12" s="175">
        <f t="shared" ref="AC12:AC75" si="41">H12+H108+H204</f>
        <v>0</v>
      </c>
      <c r="AD12" s="175">
        <f t="shared" ref="AD12:AD75" si="42">K12+K108+K204</f>
        <v>0</v>
      </c>
      <c r="AE12" s="175">
        <f t="shared" ref="AE12:AE75" si="43">M12+M108+M204</f>
        <v>0</v>
      </c>
      <c r="AF12" s="175">
        <f t="shared" ref="AF12:AF75" si="44">O12+O108+O204</f>
        <v>0</v>
      </c>
      <c r="AG12" s="175">
        <f t="shared" ref="AG12:AG75" si="45">Q12+Q108+Q204</f>
        <v>0</v>
      </c>
      <c r="AH12" s="176">
        <f t="shared" ref="AH12:AH75" si="46">AB12+SUM(AD12:AG12)</f>
        <v>11</v>
      </c>
      <c r="AI12" s="175">
        <f>SUM(AB$4:AB12)</f>
        <v>20</v>
      </c>
      <c r="AJ12" s="175">
        <f>SUM(AC$4:AC12)</f>
        <v>1</v>
      </c>
      <c r="AK12" s="175">
        <f>SUM(AD$4:AD12)</f>
        <v>0</v>
      </c>
      <c r="AL12" s="175">
        <f>SUM(AE$4:AE12)</f>
        <v>0</v>
      </c>
      <c r="AM12" s="175">
        <f>SUM(AF$4:AF12)</f>
        <v>0</v>
      </c>
      <c r="AN12" s="176">
        <f>SUM(AG$4:AG12)</f>
        <v>0</v>
      </c>
      <c r="AO12" s="175">
        <f t="shared" ref="AO12:AO75" si="47">F12+F108+F204</f>
        <v>10</v>
      </c>
      <c r="AP12" s="175">
        <f t="shared" ref="AP12:AP75" si="48">I12+I108+I204</f>
        <v>0</v>
      </c>
      <c r="AQ12" s="175">
        <f t="shared" ref="AQ12:AQ75" si="49">$L12+$L108+L204</f>
        <v>0</v>
      </c>
      <c r="AR12" s="175">
        <f t="shared" ref="AR12:AR75" si="50">$N12+$N108+N204</f>
        <v>0</v>
      </c>
      <c r="AS12" s="175">
        <f t="shared" ref="AS12:AS75" si="51">$P12+$P108+P204</f>
        <v>0</v>
      </c>
      <c r="AT12" s="176">
        <f t="shared" ref="AT12:AT75" si="52">$R12+$R108+R204</f>
        <v>0</v>
      </c>
      <c r="AU12" s="175">
        <f>SUM(AO$4:AO12)</f>
        <v>19</v>
      </c>
      <c r="AV12" s="175">
        <f>SUM(AP$4:AP12)</f>
        <v>1</v>
      </c>
      <c r="AW12" s="175">
        <f>SUM(AQ$4:AQ12)</f>
        <v>0</v>
      </c>
      <c r="AX12" s="175">
        <f>SUM(AR$4:AR12)</f>
        <v>0</v>
      </c>
      <c r="AY12" s="175">
        <f>SUM(AS$4:AS12)</f>
        <v>0</v>
      </c>
      <c r="AZ12" s="176">
        <f>SUM(AT$4:AT12)</f>
        <v>0</v>
      </c>
      <c r="BA12" s="177">
        <f t="shared" ref="BA12:BA75" si="53">AB12/SUM(AB$4:AB$97)</f>
        <v>1.636904761904762E-2</v>
      </c>
      <c r="BB12" s="177">
        <f t="shared" ref="BB12:BB75" si="54">AC12/SUM(AC$4:AC$97)</f>
        <v>0</v>
      </c>
      <c r="BC12" s="177">
        <f t="shared" ref="BC12:BC75" si="55">AD12/SUM(AD$4:AD$97)</f>
        <v>0</v>
      </c>
      <c r="BD12" s="177">
        <f t="shared" ref="BD12:BD75" si="56">AE12/SUM(AE$4:AE$97)</f>
        <v>0</v>
      </c>
      <c r="BE12" s="177">
        <f t="shared" ref="BE12:BE75" si="57">AF12/SUM(AF$4:AF$97)</f>
        <v>0</v>
      </c>
      <c r="BF12" s="273">
        <f t="shared" ref="BF12:BF75" si="58">AG12/SUM(AG$4:AG$97)</f>
        <v>0</v>
      </c>
      <c r="BG12" s="177">
        <f>SUM(BA$4:BA12)</f>
        <v>2.976190476190476E-2</v>
      </c>
      <c r="BH12" s="177">
        <f>SUM(BB$4:BB12)</f>
        <v>4.8780487804878049E-3</v>
      </c>
      <c r="BI12" s="177">
        <f>SUM(BC$4:BC12)</f>
        <v>0</v>
      </c>
      <c r="BJ12" s="177">
        <f>SUM(BD$4:BD12)</f>
        <v>0</v>
      </c>
      <c r="BK12" s="177">
        <f>SUM(BE$4:BE12)</f>
        <v>0</v>
      </c>
      <c r="BL12" s="166">
        <f>SUM(BF$4:BF12)</f>
        <v>0</v>
      </c>
      <c r="BM12" s="411">
        <f t="shared" si="28"/>
        <v>2</v>
      </c>
      <c r="BN12" s="409">
        <f t="shared" si="29"/>
        <v>0.1323042998897464</v>
      </c>
    </row>
    <row r="13" spans="1:66" x14ac:dyDescent="0.2">
      <c r="B13" s="60">
        <f t="shared" si="30"/>
        <v>41805</v>
      </c>
      <c r="C13" s="22">
        <f t="shared" si="33"/>
        <v>3</v>
      </c>
      <c r="D13" s="23">
        <f>GETPIVOTDATA("Active time (min)",EffortRPMPivot!$A$4,"date",B13,"Site",1)/60</f>
        <v>15.866666666666669</v>
      </c>
      <c r="E13" s="24">
        <f>F13+G13+GETPIVOTDATA("Sum of CNlgNo",SalmonPivot!$A$4,"Date",B13,"Site",1)</f>
        <v>1</v>
      </c>
      <c r="F13" s="24">
        <f>GETPIVOTDATA("Sum of CNlgrad",SalmonPivot!$A$4,"date",B13,"Site",1)</f>
        <v>1</v>
      </c>
      <c r="G13" s="24">
        <f>GETPIVOTDATA("Sum of CNlgrecap",SalmonPivot!$A$4,"date",B13,"Site",1)</f>
        <v>0</v>
      </c>
      <c r="H13" s="24">
        <f>I13+J13+GETPIVOTDATA("Sum of CNsmno",SalmonPivot!$M$4,"Date",B13,"Site",1)</f>
        <v>0</v>
      </c>
      <c r="I13" s="24">
        <f>GETPIVOTDATA("Sum of CNsmradio",SalmonPivot!$M$4,"Date",B13,"Site",1)</f>
        <v>0</v>
      </c>
      <c r="J13" s="24">
        <f>GETPIVOTDATA("Sum of CNsmrecap",SalmonPivot!$M$4,"Date",B13,"Site",1)</f>
        <v>0</v>
      </c>
      <c r="K13" s="24">
        <f>L13+GETPIVOTDATA("Sum of SOno",SalmonPivot!$Y$4,"Date",B13,"Site",1)+GETPIVOTDATA("Sum of SOrecap",SalmonPivot!$Y$4,"Date",B13,"Site",1)</f>
        <v>0</v>
      </c>
      <c r="L13" s="24">
        <f>GETPIVOTDATA("Sum of SOrad",SalmonPivot!$Y$4,"Date",B13,"Site",1)</f>
        <v>0</v>
      </c>
      <c r="M13" s="24">
        <f>N13+GETPIVOTDATA("Sum of PKno",SalmonPivot!$AK$4,"Date",B13,"Site",1)+GETPIVOTDATA("Sum of PKrecap",SalmonPivot!$AK$4,"Date",B13,"Site",1)</f>
        <v>0</v>
      </c>
      <c r="N13" s="24">
        <f>GETPIVOTDATA("Sum of PKrad",SalmonPivot!$AK$4,"Date",B13,"Site",1)</f>
        <v>0</v>
      </c>
      <c r="O13" s="24">
        <f>P13+GETPIVOTDATA("Sum of CMno",SalmonPivot!$AW$4,"Date",B13,"Site",1)+GETPIVOTDATA("Sum of CMrecap",SalmonPivot!$AW$4,"Date",B13,"Site",1)</f>
        <v>0</v>
      </c>
      <c r="P13" s="24">
        <f>GETPIVOTDATA("Sum of CMrad",SalmonPivot!$AW$4,"Date",B13,"Site",1)</f>
        <v>0</v>
      </c>
      <c r="Q13" s="25">
        <f>R13+GETPIVOTDATA("Sum of COno",SalmonPivot!$BI$4,"Date",B13,"Site",1)+GETPIVOTDATA("Sum of COrecap",SalmonPivot!$BI$4,"Date",B13,"Site",1)</f>
        <v>0</v>
      </c>
      <c r="R13" s="24">
        <f>GETPIVOTDATA("Sum of COrad",SalmonPivot!$BI$4,"Date",B13,"Site",1)</f>
        <v>0</v>
      </c>
      <c r="S13" s="24">
        <f>GETPIVOTDATA("Sum of TotalOther",OtherPivot!$J$5,"Date",B13,"Site",1)</f>
        <v>1</v>
      </c>
      <c r="T13" s="38"/>
      <c r="U13" s="172">
        <f>IF(GETPIVOTDATA("3 Revs (s)",EffortRPMPivot!$L$4,"Date",$B13,"Site",1)=0,"",GETPIVOTDATA("3 revs (s)",EffortRPMPivot!$L$4,"date",$B13,"Site",1))</f>
        <v>60</v>
      </c>
      <c r="V13" s="173">
        <f t="shared" si="34"/>
        <v>6.3025210084033598E-2</v>
      </c>
      <c r="W13" s="173">
        <f t="shared" si="35"/>
        <v>0</v>
      </c>
      <c r="X13" s="173">
        <f t="shared" si="36"/>
        <v>0</v>
      </c>
      <c r="Y13" s="173">
        <f t="shared" si="37"/>
        <v>0</v>
      </c>
      <c r="Z13" s="173">
        <f t="shared" si="38"/>
        <v>0</v>
      </c>
      <c r="AA13" s="174">
        <f t="shared" si="39"/>
        <v>0</v>
      </c>
      <c r="AB13" s="175">
        <f t="shared" si="40"/>
        <v>3</v>
      </c>
      <c r="AC13" s="175">
        <f t="shared" si="41"/>
        <v>0</v>
      </c>
      <c r="AD13" s="175">
        <f t="shared" si="42"/>
        <v>0</v>
      </c>
      <c r="AE13" s="175">
        <f t="shared" si="43"/>
        <v>0</v>
      </c>
      <c r="AF13" s="175">
        <f t="shared" si="44"/>
        <v>0</v>
      </c>
      <c r="AG13" s="175">
        <f t="shared" si="45"/>
        <v>0</v>
      </c>
      <c r="AH13" s="176">
        <f t="shared" si="46"/>
        <v>3</v>
      </c>
      <c r="AI13" s="175">
        <f>SUM(AB$4:AB13)</f>
        <v>23</v>
      </c>
      <c r="AJ13" s="175">
        <f>SUM(AC$4:AC13)</f>
        <v>1</v>
      </c>
      <c r="AK13" s="175">
        <f>SUM(AD$4:AD13)</f>
        <v>0</v>
      </c>
      <c r="AL13" s="175">
        <f>SUM(AE$4:AE13)</f>
        <v>0</v>
      </c>
      <c r="AM13" s="175">
        <f>SUM(AF$4:AF13)</f>
        <v>0</v>
      </c>
      <c r="AN13" s="176">
        <f>SUM(AG$4:AG13)</f>
        <v>0</v>
      </c>
      <c r="AO13" s="175">
        <f t="shared" si="47"/>
        <v>3</v>
      </c>
      <c r="AP13" s="175">
        <f t="shared" si="48"/>
        <v>0</v>
      </c>
      <c r="AQ13" s="175">
        <f t="shared" si="49"/>
        <v>0</v>
      </c>
      <c r="AR13" s="175">
        <f t="shared" si="50"/>
        <v>0</v>
      </c>
      <c r="AS13" s="175">
        <f t="shared" si="51"/>
        <v>0</v>
      </c>
      <c r="AT13" s="176">
        <f t="shared" si="52"/>
        <v>0</v>
      </c>
      <c r="AU13" s="175">
        <f>SUM(AO$4:AO13)</f>
        <v>22</v>
      </c>
      <c r="AV13" s="175">
        <f>SUM(AP$4:AP13)</f>
        <v>1</v>
      </c>
      <c r="AW13" s="175">
        <f>SUM(AQ$4:AQ13)</f>
        <v>0</v>
      </c>
      <c r="AX13" s="175">
        <f>SUM(AR$4:AR13)</f>
        <v>0</v>
      </c>
      <c r="AY13" s="175">
        <f>SUM(AS$4:AS13)</f>
        <v>0</v>
      </c>
      <c r="AZ13" s="176">
        <f>SUM(AT$4:AT13)</f>
        <v>0</v>
      </c>
      <c r="BA13" s="177">
        <f t="shared" si="53"/>
        <v>4.464285714285714E-3</v>
      </c>
      <c r="BB13" s="177">
        <f t="shared" si="54"/>
        <v>0</v>
      </c>
      <c r="BC13" s="177">
        <f t="shared" si="55"/>
        <v>0</v>
      </c>
      <c r="BD13" s="177">
        <f t="shared" si="56"/>
        <v>0</v>
      </c>
      <c r="BE13" s="177">
        <f t="shared" si="57"/>
        <v>0</v>
      </c>
      <c r="BF13" s="273">
        <f t="shared" si="58"/>
        <v>0</v>
      </c>
      <c r="BG13" s="177">
        <f>SUM(BA$4:BA13)</f>
        <v>3.4226190476190473E-2</v>
      </c>
      <c r="BH13" s="177">
        <f>SUM(BB$4:BB13)</f>
        <v>4.8780487804878049E-3</v>
      </c>
      <c r="BI13" s="177">
        <f>SUM(BC$4:BC13)</f>
        <v>0</v>
      </c>
      <c r="BJ13" s="177">
        <f>SUM(BD$4:BD13)</f>
        <v>0</v>
      </c>
      <c r="BK13" s="177">
        <f>SUM(BE$4:BE13)</f>
        <v>0</v>
      </c>
      <c r="BL13" s="166">
        <f>SUM(BF$4:BF13)</f>
        <v>0</v>
      </c>
      <c r="BM13" s="411">
        <f t="shared" si="28"/>
        <v>1</v>
      </c>
      <c r="BN13" s="409">
        <f t="shared" si="29"/>
        <v>6.3025210084033598E-2</v>
      </c>
    </row>
    <row r="14" spans="1:66" x14ac:dyDescent="0.2">
      <c r="B14" s="60">
        <f t="shared" si="30"/>
        <v>41806</v>
      </c>
      <c r="C14" s="22">
        <f t="shared" si="33"/>
        <v>3.3245382585751977</v>
      </c>
      <c r="D14" s="23">
        <f>GETPIVOTDATA("Active time (min)",EffortRPMPivot!$A$4,"date",B14,"Site",1)/60</f>
        <v>17.333333333333332</v>
      </c>
      <c r="E14" s="24">
        <f>F14+G14+GETPIVOTDATA("Sum of CNlgNo",SalmonPivot!$A$4,"Date",B14,"Site",1)</f>
        <v>4</v>
      </c>
      <c r="F14" s="24">
        <f>GETPIVOTDATA("Sum of CNlgrad",SalmonPivot!$A$4,"date",B14,"Site",1)</f>
        <v>3</v>
      </c>
      <c r="G14" s="24">
        <f>GETPIVOTDATA("Sum of CNlgrecap",SalmonPivot!$A$4,"date",B14,"Site",1)</f>
        <v>0</v>
      </c>
      <c r="H14" s="24">
        <f>I14+J14+GETPIVOTDATA("Sum of CNsmno",SalmonPivot!$M$4,"Date",B14,"Site",1)</f>
        <v>0</v>
      </c>
      <c r="I14" s="24">
        <f>GETPIVOTDATA("Sum of CNsmradio",SalmonPivot!$M$4,"Date",B14,"Site",1)</f>
        <v>0</v>
      </c>
      <c r="J14" s="24">
        <f>GETPIVOTDATA("Sum of CNsmrecap",SalmonPivot!$M$4,"Date",B14,"Site",1)</f>
        <v>0</v>
      </c>
      <c r="K14" s="24">
        <f>L14+GETPIVOTDATA("Sum of SOno",SalmonPivot!$Y$4,"Date",B14,"Site",1)+GETPIVOTDATA("Sum of SOrecap",SalmonPivot!$Y$4,"Date",B14,"Site",1)</f>
        <v>0</v>
      </c>
      <c r="L14" s="24">
        <f>GETPIVOTDATA("Sum of SOrad",SalmonPivot!$Y$4,"Date",B14,"Site",1)</f>
        <v>0</v>
      </c>
      <c r="M14" s="24">
        <f>N14+GETPIVOTDATA("Sum of PKno",SalmonPivot!$AK$4,"Date",B14,"Site",1)+GETPIVOTDATA("Sum of PKrecap",SalmonPivot!$AK$4,"Date",B14,"Site",1)</f>
        <v>0</v>
      </c>
      <c r="N14" s="24">
        <f>GETPIVOTDATA("Sum of PKrad",SalmonPivot!$AK$4,"Date",B14,"Site",1)</f>
        <v>0</v>
      </c>
      <c r="O14" s="24">
        <f>P14+GETPIVOTDATA("Sum of CMno",SalmonPivot!$AW$4,"Date",B14,"Site",1)+GETPIVOTDATA("Sum of CMrecap",SalmonPivot!$AW$4,"Date",B14,"Site",1)</f>
        <v>0</v>
      </c>
      <c r="P14" s="24">
        <f>GETPIVOTDATA("Sum of CMrad",SalmonPivot!$AW$4,"Date",B14,"Site",1)</f>
        <v>0</v>
      </c>
      <c r="Q14" s="25">
        <f>R14+GETPIVOTDATA("Sum of COno",SalmonPivot!$BI$4,"Date",B14,"Site",1)+GETPIVOTDATA("Sum of COrecap",SalmonPivot!$BI$4,"Date",B14,"Site",1)</f>
        <v>0</v>
      </c>
      <c r="R14" s="24">
        <f>GETPIVOTDATA("Sum of COrad",SalmonPivot!$BI$4,"Date",B14,"Site",1)</f>
        <v>0</v>
      </c>
      <c r="S14" s="24">
        <f>GETPIVOTDATA("Sum of TotalOther",OtherPivot!$J$5,"Date",B14,"Site",1)</f>
        <v>0</v>
      </c>
      <c r="T14" s="38"/>
      <c r="U14" s="172">
        <f>IF(GETPIVOTDATA("3 Revs (s)",EffortRPMPivot!$L$4,"Date",$B14,"Site",1)=0,"",GETPIVOTDATA("3 revs (s)",EffortRPMPivot!$L$4,"date",$B14,"Site",1))</f>
        <v>54.142857142857146</v>
      </c>
      <c r="V14" s="173">
        <f t="shared" si="34"/>
        <v>0.23076923076923078</v>
      </c>
      <c r="W14" s="173">
        <f t="shared" si="35"/>
        <v>0</v>
      </c>
      <c r="X14" s="173">
        <f t="shared" si="36"/>
        <v>0</v>
      </c>
      <c r="Y14" s="173">
        <f t="shared" si="37"/>
        <v>0</v>
      </c>
      <c r="Z14" s="173">
        <f t="shared" si="38"/>
        <v>0</v>
      </c>
      <c r="AA14" s="174">
        <f t="shared" si="39"/>
        <v>0</v>
      </c>
      <c r="AB14" s="175">
        <f t="shared" si="40"/>
        <v>5</v>
      </c>
      <c r="AC14" s="175">
        <f t="shared" si="41"/>
        <v>0</v>
      </c>
      <c r="AD14" s="175">
        <f t="shared" si="42"/>
        <v>0</v>
      </c>
      <c r="AE14" s="175">
        <f t="shared" si="43"/>
        <v>0</v>
      </c>
      <c r="AF14" s="175">
        <f t="shared" si="44"/>
        <v>0</v>
      </c>
      <c r="AG14" s="175">
        <f t="shared" si="45"/>
        <v>0</v>
      </c>
      <c r="AH14" s="176">
        <f t="shared" si="46"/>
        <v>5</v>
      </c>
      <c r="AI14" s="175">
        <f>SUM(AB$4:AB14)</f>
        <v>28</v>
      </c>
      <c r="AJ14" s="175">
        <f>SUM(AC$4:AC14)</f>
        <v>1</v>
      </c>
      <c r="AK14" s="175">
        <f>SUM(AD$4:AD14)</f>
        <v>0</v>
      </c>
      <c r="AL14" s="175">
        <f>SUM(AE$4:AE14)</f>
        <v>0</v>
      </c>
      <c r="AM14" s="175">
        <f>SUM(AF$4:AF14)</f>
        <v>0</v>
      </c>
      <c r="AN14" s="176">
        <f>SUM(AG$4:AG14)</f>
        <v>0</v>
      </c>
      <c r="AO14" s="175">
        <f t="shared" si="47"/>
        <v>4</v>
      </c>
      <c r="AP14" s="175">
        <f t="shared" si="48"/>
        <v>0</v>
      </c>
      <c r="AQ14" s="175">
        <f t="shared" si="49"/>
        <v>0</v>
      </c>
      <c r="AR14" s="175">
        <f t="shared" si="50"/>
        <v>0</v>
      </c>
      <c r="AS14" s="175">
        <f t="shared" si="51"/>
        <v>0</v>
      </c>
      <c r="AT14" s="176">
        <f t="shared" si="52"/>
        <v>0</v>
      </c>
      <c r="AU14" s="175">
        <f>SUM(AO$4:AO14)</f>
        <v>26</v>
      </c>
      <c r="AV14" s="175">
        <f>SUM(AP$4:AP14)</f>
        <v>1</v>
      </c>
      <c r="AW14" s="175">
        <f>SUM(AQ$4:AQ14)</f>
        <v>0</v>
      </c>
      <c r="AX14" s="175">
        <f>SUM(AR$4:AR14)</f>
        <v>0</v>
      </c>
      <c r="AY14" s="175">
        <f>SUM(AS$4:AS14)</f>
        <v>0</v>
      </c>
      <c r="AZ14" s="176">
        <f>SUM(AT$4:AT14)</f>
        <v>0</v>
      </c>
      <c r="BA14" s="177">
        <f t="shared" si="53"/>
        <v>7.4404761904761901E-3</v>
      </c>
      <c r="BB14" s="177">
        <f t="shared" si="54"/>
        <v>0</v>
      </c>
      <c r="BC14" s="177">
        <f t="shared" si="55"/>
        <v>0</v>
      </c>
      <c r="BD14" s="177">
        <f t="shared" si="56"/>
        <v>0</v>
      </c>
      <c r="BE14" s="177">
        <f t="shared" si="57"/>
        <v>0</v>
      </c>
      <c r="BF14" s="273">
        <f t="shared" si="58"/>
        <v>0</v>
      </c>
      <c r="BG14" s="177">
        <f>SUM(BA$4:BA14)</f>
        <v>4.1666666666666664E-2</v>
      </c>
      <c r="BH14" s="177">
        <f>SUM(BB$4:BB14)</f>
        <v>4.8780487804878049E-3</v>
      </c>
      <c r="BI14" s="177">
        <f>SUM(BC$4:BC14)</f>
        <v>0</v>
      </c>
      <c r="BJ14" s="177">
        <f>SUM(BD$4:BD14)</f>
        <v>0</v>
      </c>
      <c r="BK14" s="177">
        <f>SUM(BE$4:BE14)</f>
        <v>0</v>
      </c>
      <c r="BL14" s="166">
        <f>SUM(BF$4:BF14)</f>
        <v>0</v>
      </c>
      <c r="BM14" s="411">
        <f t="shared" si="28"/>
        <v>4</v>
      </c>
      <c r="BN14" s="409">
        <f t="shared" si="29"/>
        <v>0.23076923076923078</v>
      </c>
    </row>
    <row r="15" spans="1:66" x14ac:dyDescent="0.2">
      <c r="B15" s="60">
        <f t="shared" si="30"/>
        <v>41807</v>
      </c>
      <c r="C15" s="22">
        <f t="shared" si="33"/>
        <v>3.8605898123324396</v>
      </c>
      <c r="D15" s="23">
        <f>GETPIVOTDATA("Active time (min)",EffortRPMPivot!$A$4,"date",B15,"Site",1)/60</f>
        <v>15.683333333333334</v>
      </c>
      <c r="E15" s="24">
        <f>F15+G15+GETPIVOTDATA("Sum of CNlgNo",SalmonPivot!$A$4,"Date",B15,"Site",1)</f>
        <v>16</v>
      </c>
      <c r="F15" s="24">
        <f>GETPIVOTDATA("Sum of CNlgrad",SalmonPivot!$A$4,"date",B15,"Site",1)</f>
        <v>16</v>
      </c>
      <c r="G15" s="24">
        <f>GETPIVOTDATA("Sum of CNlgrecap",SalmonPivot!$A$4,"date",B15,"Site",1)</f>
        <v>0</v>
      </c>
      <c r="H15" s="24">
        <f>I15+J15+GETPIVOTDATA("Sum of CNsmno",SalmonPivot!$M$4,"Date",B15,"Site",1)</f>
        <v>0</v>
      </c>
      <c r="I15" s="24">
        <f>GETPIVOTDATA("Sum of CNsmradio",SalmonPivot!$M$4,"Date",B15,"Site",1)</f>
        <v>0</v>
      </c>
      <c r="J15" s="24">
        <f>GETPIVOTDATA("Sum of CNsmrecap",SalmonPivot!$M$4,"Date",B15,"Site",1)</f>
        <v>0</v>
      </c>
      <c r="K15" s="24">
        <f>L15+GETPIVOTDATA("Sum of SOno",SalmonPivot!$Y$4,"Date",B15,"Site",1)+GETPIVOTDATA("Sum of SOrecap",SalmonPivot!$Y$4,"Date",B15,"Site",1)</f>
        <v>0</v>
      </c>
      <c r="L15" s="24">
        <f>GETPIVOTDATA("Sum of SOrad",SalmonPivot!$Y$4,"Date",B15,"Site",1)</f>
        <v>0</v>
      </c>
      <c r="M15" s="24">
        <f>N15+GETPIVOTDATA("Sum of PKno",SalmonPivot!$AK$4,"Date",B15,"Site",1)+GETPIVOTDATA("Sum of PKrecap",SalmonPivot!$AK$4,"Date",B15,"Site",1)</f>
        <v>0</v>
      </c>
      <c r="N15" s="24">
        <f>GETPIVOTDATA("Sum of PKrad",SalmonPivot!$AK$4,"Date",B15,"Site",1)</f>
        <v>0</v>
      </c>
      <c r="O15" s="24">
        <f>P15+GETPIVOTDATA("Sum of CMno",SalmonPivot!$AW$4,"Date",B15,"Site",1)+GETPIVOTDATA("Sum of CMrecap",SalmonPivot!$AW$4,"Date",B15,"Site",1)</f>
        <v>0</v>
      </c>
      <c r="P15" s="24">
        <f>GETPIVOTDATA("Sum of CMrad",SalmonPivot!$AW$4,"Date",B15,"Site",1)</f>
        <v>0</v>
      </c>
      <c r="Q15" s="25">
        <f>R15+GETPIVOTDATA("Sum of COno",SalmonPivot!$BI$4,"Date",B15,"Site",1)+GETPIVOTDATA("Sum of COrecap",SalmonPivot!$BI$4,"Date",B15,"Site",1)</f>
        <v>0</v>
      </c>
      <c r="R15" s="24">
        <f>GETPIVOTDATA("Sum of COrad",SalmonPivot!$BI$4,"Date",B15,"Site",1)</f>
        <v>0</v>
      </c>
      <c r="S15" s="24">
        <f>GETPIVOTDATA("Sum of TotalOther",OtherPivot!$J$5,"Date",B15,"Site",1)</f>
        <v>0</v>
      </c>
      <c r="T15" s="38"/>
      <c r="U15" s="172">
        <f>IF(GETPIVOTDATA("3 Revs (s)",EffortRPMPivot!$L$4,"Date",$B15,"Site",1)=0,"",GETPIVOTDATA("3 revs (s)",EffortRPMPivot!$L$4,"date",$B15,"Site",1))</f>
        <v>46.625</v>
      </c>
      <c r="V15" s="173">
        <f t="shared" si="34"/>
        <v>1.0201912858661</v>
      </c>
      <c r="W15" s="173">
        <f t="shared" si="35"/>
        <v>0</v>
      </c>
      <c r="X15" s="173">
        <f t="shared" si="36"/>
        <v>0</v>
      </c>
      <c r="Y15" s="173">
        <f t="shared" si="37"/>
        <v>0</v>
      </c>
      <c r="Z15" s="173">
        <f t="shared" si="38"/>
        <v>0</v>
      </c>
      <c r="AA15" s="174">
        <f t="shared" si="39"/>
        <v>0</v>
      </c>
      <c r="AB15" s="175">
        <f t="shared" si="40"/>
        <v>18</v>
      </c>
      <c r="AC15" s="175">
        <f t="shared" si="41"/>
        <v>0</v>
      </c>
      <c r="AD15" s="175">
        <f t="shared" si="42"/>
        <v>0</v>
      </c>
      <c r="AE15" s="175">
        <f t="shared" si="43"/>
        <v>0</v>
      </c>
      <c r="AF15" s="175">
        <f t="shared" si="44"/>
        <v>0</v>
      </c>
      <c r="AG15" s="175">
        <f t="shared" si="45"/>
        <v>0</v>
      </c>
      <c r="AH15" s="176">
        <f t="shared" si="46"/>
        <v>18</v>
      </c>
      <c r="AI15" s="175">
        <f>SUM(AB$4:AB15)</f>
        <v>46</v>
      </c>
      <c r="AJ15" s="175">
        <f>SUM(AC$4:AC15)</f>
        <v>1</v>
      </c>
      <c r="AK15" s="175">
        <f>SUM(AD$4:AD15)</f>
        <v>0</v>
      </c>
      <c r="AL15" s="175">
        <f>SUM(AE$4:AE15)</f>
        <v>0</v>
      </c>
      <c r="AM15" s="175">
        <f>SUM(AF$4:AF15)</f>
        <v>0</v>
      </c>
      <c r="AN15" s="176">
        <f>SUM(AG$4:AG15)</f>
        <v>0</v>
      </c>
      <c r="AO15" s="175">
        <f t="shared" si="47"/>
        <v>18</v>
      </c>
      <c r="AP15" s="175">
        <f t="shared" si="48"/>
        <v>0</v>
      </c>
      <c r="AQ15" s="175">
        <f t="shared" si="49"/>
        <v>0</v>
      </c>
      <c r="AR15" s="175">
        <f t="shared" si="50"/>
        <v>0</v>
      </c>
      <c r="AS15" s="175">
        <f t="shared" si="51"/>
        <v>0</v>
      </c>
      <c r="AT15" s="176">
        <f t="shared" si="52"/>
        <v>0</v>
      </c>
      <c r="AU15" s="175">
        <f>SUM(AO$4:AO15)</f>
        <v>44</v>
      </c>
      <c r="AV15" s="175">
        <f>SUM(AP$4:AP15)</f>
        <v>1</v>
      </c>
      <c r="AW15" s="175">
        <f>SUM(AQ$4:AQ15)</f>
        <v>0</v>
      </c>
      <c r="AX15" s="175">
        <f>SUM(AR$4:AR15)</f>
        <v>0</v>
      </c>
      <c r="AY15" s="175">
        <f>SUM(AS$4:AS15)</f>
        <v>0</v>
      </c>
      <c r="AZ15" s="176">
        <f>SUM(AT$4:AT15)</f>
        <v>0</v>
      </c>
      <c r="BA15" s="177">
        <f t="shared" si="53"/>
        <v>2.6785714285714284E-2</v>
      </c>
      <c r="BB15" s="177">
        <f t="shared" si="54"/>
        <v>0</v>
      </c>
      <c r="BC15" s="177">
        <f t="shared" si="55"/>
        <v>0</v>
      </c>
      <c r="BD15" s="177">
        <f t="shared" si="56"/>
        <v>0</v>
      </c>
      <c r="BE15" s="177">
        <f t="shared" si="57"/>
        <v>0</v>
      </c>
      <c r="BF15" s="273">
        <f t="shared" si="58"/>
        <v>0</v>
      </c>
      <c r="BG15" s="177">
        <f>SUM(BA$4:BA15)</f>
        <v>6.8452380952380945E-2</v>
      </c>
      <c r="BH15" s="177">
        <f>SUM(BB$4:BB15)</f>
        <v>4.8780487804878049E-3</v>
      </c>
      <c r="BI15" s="177">
        <f>SUM(BC$4:BC15)</f>
        <v>0</v>
      </c>
      <c r="BJ15" s="177">
        <f>SUM(BD$4:BD15)</f>
        <v>0</v>
      </c>
      <c r="BK15" s="177">
        <f>SUM(BE$4:BE15)</f>
        <v>0</v>
      </c>
      <c r="BL15" s="166">
        <f>SUM(BF$4:BF15)</f>
        <v>0</v>
      </c>
      <c r="BM15" s="411">
        <f t="shared" si="28"/>
        <v>16</v>
      </c>
      <c r="BN15" s="409">
        <f t="shared" si="29"/>
        <v>1.0201912858661</v>
      </c>
    </row>
    <row r="16" spans="1:66" x14ac:dyDescent="0.2">
      <c r="B16" s="60">
        <f t="shared" si="30"/>
        <v>41808</v>
      </c>
      <c r="C16" s="22">
        <f t="shared" si="33"/>
        <v>4.0540540540540544</v>
      </c>
      <c r="D16" s="23">
        <f>GETPIVOTDATA("Active time (min)",EffortRPMPivot!$A$4,"date",B16,"Site",1)/60</f>
        <v>17.433333333333334</v>
      </c>
      <c r="E16" s="24">
        <f>F16+G16+GETPIVOTDATA("Sum of CNlgNo",SalmonPivot!$A$4,"Date",B16,"Site",1)</f>
        <v>13</v>
      </c>
      <c r="F16" s="24">
        <f>GETPIVOTDATA("Sum of CNlgrad",SalmonPivot!$A$4,"date",B16,"Site",1)</f>
        <v>13</v>
      </c>
      <c r="G16" s="24">
        <f>GETPIVOTDATA("Sum of CNlgrecap",SalmonPivot!$A$4,"date",B16,"Site",1)</f>
        <v>0</v>
      </c>
      <c r="H16" s="24">
        <f>I16+J16+GETPIVOTDATA("Sum of CNsmno",SalmonPivot!$M$4,"Date",B16,"Site",1)</f>
        <v>2</v>
      </c>
      <c r="I16" s="24">
        <f>GETPIVOTDATA("Sum of CNsmradio",SalmonPivot!$M$4,"Date",B16,"Site",1)</f>
        <v>0</v>
      </c>
      <c r="J16" s="24">
        <f>GETPIVOTDATA("Sum of CNsmrecap",SalmonPivot!$M$4,"Date",B16,"Site",1)</f>
        <v>0</v>
      </c>
      <c r="K16" s="24">
        <f>L16+GETPIVOTDATA("Sum of SOno",SalmonPivot!$Y$4,"Date",B16,"Site",1)+GETPIVOTDATA("Sum of SOrecap",SalmonPivot!$Y$4,"Date",B16,"Site",1)</f>
        <v>0</v>
      </c>
      <c r="L16" s="24">
        <f>GETPIVOTDATA("Sum of SOrad",SalmonPivot!$Y$4,"Date",B16,"Site",1)</f>
        <v>0</v>
      </c>
      <c r="M16" s="24">
        <f>N16+GETPIVOTDATA("Sum of PKno",SalmonPivot!$AK$4,"Date",B16,"Site",1)+GETPIVOTDATA("Sum of PKrecap",SalmonPivot!$AK$4,"Date",B16,"Site",1)</f>
        <v>0</v>
      </c>
      <c r="N16" s="24">
        <f>GETPIVOTDATA("Sum of PKrad",SalmonPivot!$AK$4,"Date",B16,"Site",1)</f>
        <v>0</v>
      </c>
      <c r="O16" s="24">
        <f>P16+GETPIVOTDATA("Sum of CMno",SalmonPivot!$AW$4,"Date",B16,"Site",1)+GETPIVOTDATA("Sum of CMrecap",SalmonPivot!$AW$4,"Date",B16,"Site",1)</f>
        <v>0</v>
      </c>
      <c r="P16" s="24">
        <f>GETPIVOTDATA("Sum of CMrad",SalmonPivot!$AW$4,"Date",B16,"Site",1)</f>
        <v>0</v>
      </c>
      <c r="Q16" s="25">
        <f>R16+GETPIVOTDATA("Sum of COno",SalmonPivot!$BI$4,"Date",B16,"Site",1)+GETPIVOTDATA("Sum of COrecap",SalmonPivot!$BI$4,"Date",B16,"Site",1)</f>
        <v>0</v>
      </c>
      <c r="R16" s="24">
        <f>GETPIVOTDATA("Sum of COrad",SalmonPivot!$BI$4,"Date",B16,"Site",1)</f>
        <v>0</v>
      </c>
      <c r="S16" s="24">
        <f>GETPIVOTDATA("Sum of TotalOther",OtherPivot!$J$5,"Date",B16,"Site",1)</f>
        <v>0</v>
      </c>
      <c r="T16" s="38"/>
      <c r="U16" s="172">
        <f>IF(GETPIVOTDATA("3 Revs (s)",EffortRPMPivot!$L$4,"Date",$B16,"Site",1)=0,"",GETPIVOTDATA("3 revs (s)",EffortRPMPivot!$L$4,"date",$B16,"Site",1))</f>
        <v>44.4</v>
      </c>
      <c r="V16" s="173">
        <f t="shared" si="34"/>
        <v>0.74569789674952203</v>
      </c>
      <c r="W16" s="173">
        <f t="shared" si="35"/>
        <v>0.1147227533460803</v>
      </c>
      <c r="X16" s="173">
        <f t="shared" si="36"/>
        <v>0</v>
      </c>
      <c r="Y16" s="173">
        <f t="shared" si="37"/>
        <v>0</v>
      </c>
      <c r="Z16" s="173">
        <f t="shared" si="38"/>
        <v>0</v>
      </c>
      <c r="AA16" s="174">
        <f t="shared" si="39"/>
        <v>0</v>
      </c>
      <c r="AB16" s="175">
        <f t="shared" si="40"/>
        <v>18</v>
      </c>
      <c r="AC16" s="175">
        <f t="shared" si="41"/>
        <v>5</v>
      </c>
      <c r="AD16" s="175">
        <f t="shared" si="42"/>
        <v>0</v>
      </c>
      <c r="AE16" s="175">
        <f t="shared" si="43"/>
        <v>0</v>
      </c>
      <c r="AF16" s="175">
        <f t="shared" si="44"/>
        <v>0</v>
      </c>
      <c r="AG16" s="175">
        <f t="shared" si="45"/>
        <v>0</v>
      </c>
      <c r="AH16" s="176">
        <f t="shared" si="46"/>
        <v>18</v>
      </c>
      <c r="AI16" s="175">
        <f>SUM(AB$4:AB16)</f>
        <v>64</v>
      </c>
      <c r="AJ16" s="175">
        <f>SUM(AC$4:AC16)</f>
        <v>6</v>
      </c>
      <c r="AK16" s="175">
        <f>SUM(AD$4:AD16)</f>
        <v>0</v>
      </c>
      <c r="AL16" s="175">
        <f>SUM(AE$4:AE16)</f>
        <v>0</v>
      </c>
      <c r="AM16" s="175">
        <f>SUM(AF$4:AF16)</f>
        <v>0</v>
      </c>
      <c r="AN16" s="176">
        <f>SUM(AG$4:AG16)</f>
        <v>0</v>
      </c>
      <c r="AO16" s="175">
        <f t="shared" si="47"/>
        <v>18</v>
      </c>
      <c r="AP16" s="175">
        <f t="shared" si="48"/>
        <v>0</v>
      </c>
      <c r="AQ16" s="175">
        <f t="shared" si="49"/>
        <v>0</v>
      </c>
      <c r="AR16" s="175">
        <f t="shared" si="50"/>
        <v>0</v>
      </c>
      <c r="AS16" s="175">
        <f t="shared" si="51"/>
        <v>0</v>
      </c>
      <c r="AT16" s="176">
        <f t="shared" si="52"/>
        <v>0</v>
      </c>
      <c r="AU16" s="175">
        <f>SUM(AO$4:AO16)</f>
        <v>62</v>
      </c>
      <c r="AV16" s="175">
        <f>SUM(AP$4:AP16)</f>
        <v>1</v>
      </c>
      <c r="AW16" s="175">
        <f>SUM(AQ$4:AQ16)</f>
        <v>0</v>
      </c>
      <c r="AX16" s="175">
        <f>SUM(AR$4:AR16)</f>
        <v>0</v>
      </c>
      <c r="AY16" s="175">
        <f>SUM(AS$4:AS16)</f>
        <v>0</v>
      </c>
      <c r="AZ16" s="176">
        <f>SUM(AT$4:AT16)</f>
        <v>0</v>
      </c>
      <c r="BA16" s="177">
        <f t="shared" si="53"/>
        <v>2.6785714285714284E-2</v>
      </c>
      <c r="BB16" s="177">
        <f t="shared" si="54"/>
        <v>2.4390243902439025E-2</v>
      </c>
      <c r="BC16" s="177">
        <f t="shared" si="55"/>
        <v>0</v>
      </c>
      <c r="BD16" s="177">
        <f t="shared" si="56"/>
        <v>0</v>
      </c>
      <c r="BE16" s="177">
        <f t="shared" si="57"/>
        <v>0</v>
      </c>
      <c r="BF16" s="273">
        <f t="shared" si="58"/>
        <v>0</v>
      </c>
      <c r="BG16" s="177">
        <f>SUM(BA$4:BA16)</f>
        <v>9.5238095238095233E-2</v>
      </c>
      <c r="BH16" s="177">
        <f>SUM(BB$4:BB16)</f>
        <v>2.9268292682926831E-2</v>
      </c>
      <c r="BI16" s="177">
        <f>SUM(BC$4:BC16)</f>
        <v>0</v>
      </c>
      <c r="BJ16" s="177">
        <f>SUM(BD$4:BD16)</f>
        <v>0</v>
      </c>
      <c r="BK16" s="177">
        <f>SUM(BE$4:BE16)</f>
        <v>0</v>
      </c>
      <c r="BL16" s="166">
        <f>SUM(BF$4:BF16)</f>
        <v>0</v>
      </c>
      <c r="BM16" s="411">
        <f t="shared" si="28"/>
        <v>13</v>
      </c>
      <c r="BN16" s="409">
        <f t="shared" si="29"/>
        <v>0.74569789674952203</v>
      </c>
    </row>
    <row r="17" spans="2:66" x14ac:dyDescent="0.2">
      <c r="B17" s="60">
        <f t="shared" si="30"/>
        <v>41809</v>
      </c>
      <c r="C17" s="22">
        <f t="shared" si="33"/>
        <v>4.2</v>
      </c>
      <c r="D17" s="23">
        <f>GETPIVOTDATA("Active time (min)",EffortRPMPivot!$A$4,"date",B17,"Site",1)/60</f>
        <v>17.016666666666666</v>
      </c>
      <c r="E17" s="24">
        <f>F17+G17+GETPIVOTDATA("Sum of CNlgNo",SalmonPivot!$A$4,"Date",B17,"Site",1)</f>
        <v>1</v>
      </c>
      <c r="F17" s="24">
        <f>GETPIVOTDATA("Sum of CNlgrad",SalmonPivot!$A$4,"date",B17,"Site",1)</f>
        <v>1</v>
      </c>
      <c r="G17" s="24">
        <f>GETPIVOTDATA("Sum of CNlgrecap",SalmonPivot!$A$4,"date",B17,"Site",1)</f>
        <v>0</v>
      </c>
      <c r="H17" s="24">
        <f>I17+J17+GETPIVOTDATA("Sum of CNsmno",SalmonPivot!$M$4,"Date",B17,"Site",1)</f>
        <v>0</v>
      </c>
      <c r="I17" s="24">
        <f>GETPIVOTDATA("Sum of CNsmradio",SalmonPivot!$M$4,"Date",B17,"Site",1)</f>
        <v>0</v>
      </c>
      <c r="J17" s="24">
        <f>GETPIVOTDATA("Sum of CNsmrecap",SalmonPivot!$M$4,"Date",B17,"Site",1)</f>
        <v>0</v>
      </c>
      <c r="K17" s="24">
        <f>L17+GETPIVOTDATA("Sum of SOno",SalmonPivot!$Y$4,"Date",B17,"Site",1)+GETPIVOTDATA("Sum of SOrecap",SalmonPivot!$Y$4,"Date",B17,"Site",1)</f>
        <v>0</v>
      </c>
      <c r="L17" s="24">
        <f>GETPIVOTDATA("Sum of SOrad",SalmonPivot!$Y$4,"Date",B17,"Site",1)</f>
        <v>0</v>
      </c>
      <c r="M17" s="24">
        <f>N17+GETPIVOTDATA("Sum of PKno",SalmonPivot!$AK$4,"Date",B17,"Site",1)+GETPIVOTDATA("Sum of PKrecap",SalmonPivot!$AK$4,"Date",B17,"Site",1)</f>
        <v>0</v>
      </c>
      <c r="N17" s="24">
        <f>GETPIVOTDATA("Sum of PKrad",SalmonPivot!$AK$4,"Date",B17,"Site",1)</f>
        <v>0</v>
      </c>
      <c r="O17" s="24">
        <f>P17+GETPIVOTDATA("Sum of CMno",SalmonPivot!$AW$4,"Date",B17,"Site",1)+GETPIVOTDATA("Sum of CMrecap",SalmonPivot!$AW$4,"Date",B17,"Site",1)</f>
        <v>0</v>
      </c>
      <c r="P17" s="24">
        <f>GETPIVOTDATA("Sum of CMrad",SalmonPivot!$AW$4,"Date",B17,"Site",1)</f>
        <v>0</v>
      </c>
      <c r="Q17" s="25">
        <f>R17+GETPIVOTDATA("Sum of COno",SalmonPivot!$BI$4,"Date",B17,"Site",1)+GETPIVOTDATA("Sum of COrecap",SalmonPivot!$BI$4,"Date",B17,"Site",1)</f>
        <v>0</v>
      </c>
      <c r="R17" s="24">
        <f>GETPIVOTDATA("Sum of COrad",SalmonPivot!$BI$4,"Date",B17,"Site",1)</f>
        <v>0</v>
      </c>
      <c r="S17" s="24">
        <f>GETPIVOTDATA("Sum of TotalOther",OtherPivot!$J$5,"Date",B17,"Site",1)</f>
        <v>0</v>
      </c>
      <c r="T17" s="38"/>
      <c r="U17" s="172">
        <f>IF(GETPIVOTDATA("3 Revs (s)",EffortRPMPivot!$L$4,"Date",$B17,"Site",1)=0,"",GETPIVOTDATA("3 revs (s)",EffortRPMPivot!$L$4,"date",$B17,"Site",1))</f>
        <v>42.857142857142854</v>
      </c>
      <c r="V17" s="173">
        <f t="shared" si="34"/>
        <v>5.8765915768854066E-2</v>
      </c>
      <c r="W17" s="173">
        <f t="shared" si="35"/>
        <v>0</v>
      </c>
      <c r="X17" s="173">
        <f t="shared" si="36"/>
        <v>0</v>
      </c>
      <c r="Y17" s="173">
        <f t="shared" si="37"/>
        <v>0</v>
      </c>
      <c r="Z17" s="173">
        <f t="shared" si="38"/>
        <v>0</v>
      </c>
      <c r="AA17" s="174">
        <f t="shared" si="39"/>
        <v>0</v>
      </c>
      <c r="AB17" s="175">
        <f t="shared" si="40"/>
        <v>8</v>
      </c>
      <c r="AC17" s="175">
        <f t="shared" si="41"/>
        <v>7</v>
      </c>
      <c r="AD17" s="175">
        <f t="shared" si="42"/>
        <v>0</v>
      </c>
      <c r="AE17" s="175">
        <f t="shared" si="43"/>
        <v>0</v>
      </c>
      <c r="AF17" s="175">
        <f t="shared" si="44"/>
        <v>0</v>
      </c>
      <c r="AG17" s="175">
        <f t="shared" si="45"/>
        <v>0</v>
      </c>
      <c r="AH17" s="176">
        <f t="shared" si="46"/>
        <v>8</v>
      </c>
      <c r="AI17" s="175">
        <f>SUM(AB$4:AB17)</f>
        <v>72</v>
      </c>
      <c r="AJ17" s="175">
        <f>SUM(AC$4:AC17)</f>
        <v>13</v>
      </c>
      <c r="AK17" s="175">
        <f>SUM(AD$4:AD17)</f>
        <v>0</v>
      </c>
      <c r="AL17" s="175">
        <f>SUM(AE$4:AE17)</f>
        <v>0</v>
      </c>
      <c r="AM17" s="175">
        <f>SUM(AF$4:AF17)</f>
        <v>0</v>
      </c>
      <c r="AN17" s="176">
        <f>SUM(AG$4:AG17)</f>
        <v>0</v>
      </c>
      <c r="AO17" s="175">
        <f t="shared" si="47"/>
        <v>8</v>
      </c>
      <c r="AP17" s="175">
        <f t="shared" si="48"/>
        <v>0</v>
      </c>
      <c r="AQ17" s="175">
        <f t="shared" si="49"/>
        <v>0</v>
      </c>
      <c r="AR17" s="175">
        <f t="shared" si="50"/>
        <v>0</v>
      </c>
      <c r="AS17" s="175">
        <f t="shared" si="51"/>
        <v>0</v>
      </c>
      <c r="AT17" s="176">
        <f t="shared" si="52"/>
        <v>0</v>
      </c>
      <c r="AU17" s="175">
        <f>SUM(AO$4:AO17)</f>
        <v>70</v>
      </c>
      <c r="AV17" s="175">
        <f>SUM(AP$4:AP17)</f>
        <v>1</v>
      </c>
      <c r="AW17" s="175">
        <f>SUM(AQ$4:AQ17)</f>
        <v>0</v>
      </c>
      <c r="AX17" s="175">
        <f>SUM(AR$4:AR17)</f>
        <v>0</v>
      </c>
      <c r="AY17" s="175">
        <f>SUM(AS$4:AS17)</f>
        <v>0</v>
      </c>
      <c r="AZ17" s="176">
        <f>SUM(AT$4:AT17)</f>
        <v>0</v>
      </c>
      <c r="BA17" s="177">
        <f t="shared" si="53"/>
        <v>1.1904761904761904E-2</v>
      </c>
      <c r="BB17" s="177">
        <f t="shared" si="54"/>
        <v>3.4146341463414637E-2</v>
      </c>
      <c r="BC17" s="177">
        <f t="shared" si="55"/>
        <v>0</v>
      </c>
      <c r="BD17" s="177">
        <f t="shared" si="56"/>
        <v>0</v>
      </c>
      <c r="BE17" s="177">
        <f t="shared" si="57"/>
        <v>0</v>
      </c>
      <c r="BF17" s="273">
        <f t="shared" si="58"/>
        <v>0</v>
      </c>
      <c r="BG17" s="177">
        <f>SUM(BA$4:BA17)</f>
        <v>0.10714285714285714</v>
      </c>
      <c r="BH17" s="177">
        <f>SUM(BB$4:BB17)</f>
        <v>6.3414634146341464E-2</v>
      </c>
      <c r="BI17" s="177">
        <f>SUM(BC$4:BC17)</f>
        <v>0</v>
      </c>
      <c r="BJ17" s="177">
        <f>SUM(BD$4:BD17)</f>
        <v>0</v>
      </c>
      <c r="BK17" s="177">
        <f>SUM(BE$4:BE17)</f>
        <v>0</v>
      </c>
      <c r="BL17" s="166">
        <f>SUM(BF$4:BF17)</f>
        <v>0</v>
      </c>
      <c r="BM17" s="411">
        <f t="shared" si="28"/>
        <v>1</v>
      </c>
      <c r="BN17" s="409">
        <f t="shared" si="29"/>
        <v>5.8765915768854066E-2</v>
      </c>
    </row>
    <row r="18" spans="2:66" x14ac:dyDescent="0.2">
      <c r="B18" s="60">
        <f t="shared" si="30"/>
        <v>41810</v>
      </c>
      <c r="C18" s="22">
        <f t="shared" si="33"/>
        <v>4</v>
      </c>
      <c r="D18" s="23">
        <f>GETPIVOTDATA("Active time (min)",EffortRPMPivot!$A$4,"date",B18,"Site",1)/60</f>
        <v>16.266666666666662</v>
      </c>
      <c r="E18" s="24">
        <f>F18+G18+GETPIVOTDATA("Sum of CNlgNo",SalmonPivot!$A$4,"Date",B18,"Site",1)</f>
        <v>8</v>
      </c>
      <c r="F18" s="24">
        <f>GETPIVOTDATA("Sum of CNlgrad",SalmonPivot!$A$4,"date",B18,"Site",1)</f>
        <v>7</v>
      </c>
      <c r="G18" s="24">
        <f>GETPIVOTDATA("Sum of CNlgrecap",SalmonPivot!$A$4,"date",B18,"Site",1)</f>
        <v>0</v>
      </c>
      <c r="H18" s="24">
        <f>I18+J18+GETPIVOTDATA("Sum of CNsmno",SalmonPivot!$M$4,"Date",B18,"Site",1)</f>
        <v>3</v>
      </c>
      <c r="I18" s="24">
        <f>GETPIVOTDATA("Sum of CNsmradio",SalmonPivot!$M$4,"Date",B18,"Site",1)</f>
        <v>1</v>
      </c>
      <c r="J18" s="24">
        <f>GETPIVOTDATA("Sum of CNsmrecap",SalmonPivot!$M$4,"Date",B18,"Site",1)</f>
        <v>0</v>
      </c>
      <c r="K18" s="24">
        <f>L18+GETPIVOTDATA("Sum of SOno",SalmonPivot!$Y$4,"Date",B18,"Site",1)+GETPIVOTDATA("Sum of SOrecap",SalmonPivot!$Y$4,"Date",B18,"Site",1)</f>
        <v>0</v>
      </c>
      <c r="L18" s="24">
        <f>GETPIVOTDATA("Sum of SOrad",SalmonPivot!$Y$4,"Date",B18,"Site",1)</f>
        <v>0</v>
      </c>
      <c r="M18" s="24">
        <f>N18+GETPIVOTDATA("Sum of PKno",SalmonPivot!$AK$4,"Date",B18,"Site",1)+GETPIVOTDATA("Sum of PKrecap",SalmonPivot!$AK$4,"Date",B18,"Site",1)</f>
        <v>0</v>
      </c>
      <c r="N18" s="24">
        <f>GETPIVOTDATA("Sum of PKrad",SalmonPivot!$AK$4,"Date",B18,"Site",1)</f>
        <v>0</v>
      </c>
      <c r="O18" s="24">
        <f>P18+GETPIVOTDATA("Sum of CMno",SalmonPivot!$AW$4,"Date",B18,"Site",1)+GETPIVOTDATA("Sum of CMrecap",SalmonPivot!$AW$4,"Date",B18,"Site",1)</f>
        <v>0</v>
      </c>
      <c r="P18" s="24">
        <f>GETPIVOTDATA("Sum of CMrad",SalmonPivot!$AW$4,"Date",B18,"Site",1)</f>
        <v>0</v>
      </c>
      <c r="Q18" s="25">
        <f>R18+GETPIVOTDATA("Sum of COno",SalmonPivot!$BI$4,"Date",B18,"Site",1)+GETPIVOTDATA("Sum of COrecap",SalmonPivot!$BI$4,"Date",B18,"Site",1)</f>
        <v>0</v>
      </c>
      <c r="R18" s="24">
        <f>GETPIVOTDATA("Sum of COrad",SalmonPivot!$BI$4,"Date",B18,"Site",1)</f>
        <v>0</v>
      </c>
      <c r="S18" s="24">
        <f>GETPIVOTDATA("Sum of TotalOther",OtherPivot!$J$5,"Date",B18,"Site",1)</f>
        <v>0</v>
      </c>
      <c r="T18" s="38"/>
      <c r="U18" s="172">
        <f>IF(GETPIVOTDATA("3 Revs (s)",EffortRPMPivot!$L$4,"Date",$B18,"Site",1)=0,"",GETPIVOTDATA("3 revs (s)",EffortRPMPivot!$L$4,"date",$B18,"Site",1))</f>
        <v>45</v>
      </c>
      <c r="V18" s="173">
        <f t="shared" si="34"/>
        <v>0.49180327868852475</v>
      </c>
      <c r="W18" s="173">
        <f t="shared" si="35"/>
        <v>0.18442622950819676</v>
      </c>
      <c r="X18" s="173">
        <f t="shared" si="36"/>
        <v>0</v>
      </c>
      <c r="Y18" s="173">
        <f t="shared" si="37"/>
        <v>0</v>
      </c>
      <c r="Z18" s="173">
        <f t="shared" si="38"/>
        <v>0</v>
      </c>
      <c r="AA18" s="174">
        <f t="shared" si="39"/>
        <v>0</v>
      </c>
      <c r="AB18" s="175">
        <f t="shared" si="40"/>
        <v>17</v>
      </c>
      <c r="AC18" s="175">
        <f t="shared" si="41"/>
        <v>6</v>
      </c>
      <c r="AD18" s="175">
        <f t="shared" si="42"/>
        <v>0</v>
      </c>
      <c r="AE18" s="175">
        <f t="shared" si="43"/>
        <v>0</v>
      </c>
      <c r="AF18" s="175">
        <f t="shared" si="44"/>
        <v>0</v>
      </c>
      <c r="AG18" s="175">
        <f t="shared" si="45"/>
        <v>0</v>
      </c>
      <c r="AH18" s="176">
        <f t="shared" si="46"/>
        <v>17</v>
      </c>
      <c r="AI18" s="175">
        <f>SUM(AB$4:AB18)</f>
        <v>89</v>
      </c>
      <c r="AJ18" s="175">
        <f>SUM(AC$4:AC18)</f>
        <v>19</v>
      </c>
      <c r="AK18" s="175">
        <f>SUM(AD$4:AD18)</f>
        <v>0</v>
      </c>
      <c r="AL18" s="175">
        <f>SUM(AE$4:AE18)</f>
        <v>0</v>
      </c>
      <c r="AM18" s="175">
        <f>SUM(AF$4:AF18)</f>
        <v>0</v>
      </c>
      <c r="AN18" s="176">
        <f>SUM(AG$4:AG18)</f>
        <v>0</v>
      </c>
      <c r="AO18" s="175">
        <f t="shared" si="47"/>
        <v>16</v>
      </c>
      <c r="AP18" s="175">
        <f t="shared" si="48"/>
        <v>1</v>
      </c>
      <c r="AQ18" s="175">
        <f t="shared" si="49"/>
        <v>0</v>
      </c>
      <c r="AR18" s="175">
        <f t="shared" si="50"/>
        <v>0</v>
      </c>
      <c r="AS18" s="175">
        <f t="shared" si="51"/>
        <v>0</v>
      </c>
      <c r="AT18" s="176">
        <f t="shared" si="52"/>
        <v>0</v>
      </c>
      <c r="AU18" s="175">
        <f>SUM(AO$4:AO18)</f>
        <v>86</v>
      </c>
      <c r="AV18" s="175">
        <f>SUM(AP$4:AP18)</f>
        <v>2</v>
      </c>
      <c r="AW18" s="175">
        <f>SUM(AQ$4:AQ18)</f>
        <v>0</v>
      </c>
      <c r="AX18" s="175">
        <f>SUM(AR$4:AR18)</f>
        <v>0</v>
      </c>
      <c r="AY18" s="175">
        <f>SUM(AS$4:AS18)</f>
        <v>0</v>
      </c>
      <c r="AZ18" s="176">
        <f>SUM(AT$4:AT18)</f>
        <v>0</v>
      </c>
      <c r="BA18" s="177">
        <f t="shared" si="53"/>
        <v>2.5297619047619048E-2</v>
      </c>
      <c r="BB18" s="177">
        <f t="shared" si="54"/>
        <v>2.9268292682926831E-2</v>
      </c>
      <c r="BC18" s="177">
        <f t="shared" si="55"/>
        <v>0</v>
      </c>
      <c r="BD18" s="177">
        <f t="shared" si="56"/>
        <v>0</v>
      </c>
      <c r="BE18" s="177">
        <f t="shared" si="57"/>
        <v>0</v>
      </c>
      <c r="BF18" s="273">
        <f t="shared" si="58"/>
        <v>0</v>
      </c>
      <c r="BG18" s="177">
        <f>SUM(BA$4:BA18)</f>
        <v>0.13244047619047619</v>
      </c>
      <c r="BH18" s="177">
        <f>SUM(BB$4:BB18)</f>
        <v>9.2682926829268292E-2</v>
      </c>
      <c r="BI18" s="177">
        <f>SUM(BC$4:BC18)</f>
        <v>0</v>
      </c>
      <c r="BJ18" s="177">
        <f>SUM(BD$4:BD18)</f>
        <v>0</v>
      </c>
      <c r="BK18" s="177">
        <f>SUM(BE$4:BE18)</f>
        <v>0</v>
      </c>
      <c r="BL18" s="166">
        <f>SUM(BF$4:BF18)</f>
        <v>0</v>
      </c>
      <c r="BM18" s="411">
        <f t="shared" si="28"/>
        <v>8</v>
      </c>
      <c r="BN18" s="409">
        <f t="shared" si="29"/>
        <v>0.49180327868852475</v>
      </c>
    </row>
    <row r="19" spans="2:66" x14ac:dyDescent="0.2">
      <c r="B19" s="60">
        <f t="shared" si="30"/>
        <v>41811</v>
      </c>
      <c r="C19" s="22">
        <f t="shared" ref="C19:C23" si="59">IF(ISERROR(3/(U19/60)),"",3/(U19/60))</f>
        <v>3.5643564356435644</v>
      </c>
      <c r="D19" s="23">
        <f>GETPIVOTDATA("Active time (min)",EffortRPMPivot!$A$4,"date",B19,"Site",1)/60</f>
        <v>17.466666666666665</v>
      </c>
      <c r="E19" s="24">
        <f>F19+G19+GETPIVOTDATA("Sum of CNlgNo",SalmonPivot!$A$4,"Date",B19,"Site",1)</f>
        <v>9</v>
      </c>
      <c r="F19" s="24">
        <f>GETPIVOTDATA("Sum of CNlgrad",SalmonPivot!$A$4,"date",B19,"Site",1)</f>
        <v>8</v>
      </c>
      <c r="G19" s="24">
        <f>GETPIVOTDATA("Sum of CNlgrecap",SalmonPivot!$A$4,"date",B19,"Site",1)</f>
        <v>0</v>
      </c>
      <c r="H19" s="24">
        <f>I19+J19+GETPIVOTDATA("Sum of CNsmno",SalmonPivot!$M$4,"Date",B19,"Site",1)</f>
        <v>11</v>
      </c>
      <c r="I19" s="24">
        <f>GETPIVOTDATA("Sum of CNsmradio",SalmonPivot!$M$4,"Date",B19,"Site",1)</f>
        <v>2</v>
      </c>
      <c r="J19" s="24">
        <f>GETPIVOTDATA("Sum of CNsmrecap",SalmonPivot!$M$4,"Date",B19,"Site",1)</f>
        <v>0</v>
      </c>
      <c r="K19" s="24">
        <f>L19+GETPIVOTDATA("Sum of SOno",SalmonPivot!$Y$4,"Date",B19,"Site",1)+GETPIVOTDATA("Sum of SOrecap",SalmonPivot!$Y$4,"Date",B19,"Site",1)</f>
        <v>0</v>
      </c>
      <c r="L19" s="24">
        <f>GETPIVOTDATA("Sum of SOrad",SalmonPivot!$Y$4,"Date",B19,"Site",1)</f>
        <v>0</v>
      </c>
      <c r="M19" s="24">
        <f>N19+GETPIVOTDATA("Sum of PKno",SalmonPivot!$AK$4,"Date",B19,"Site",1)+GETPIVOTDATA("Sum of PKrecap",SalmonPivot!$AK$4,"Date",B19,"Site",1)</f>
        <v>0</v>
      </c>
      <c r="N19" s="24">
        <f>GETPIVOTDATA("Sum of PKrad",SalmonPivot!$AK$4,"Date",B19,"Site",1)</f>
        <v>0</v>
      </c>
      <c r="O19" s="24">
        <f>P19+GETPIVOTDATA("Sum of CMno",SalmonPivot!$AW$4,"Date",B19,"Site",1)+GETPIVOTDATA("Sum of CMrecap",SalmonPivot!$AW$4,"Date",B19,"Site",1)</f>
        <v>0</v>
      </c>
      <c r="P19" s="24">
        <f>GETPIVOTDATA("Sum of CMrad",SalmonPivot!$AW$4,"Date",B19,"Site",1)</f>
        <v>0</v>
      </c>
      <c r="Q19" s="25">
        <f>R19+GETPIVOTDATA("Sum of COno",SalmonPivot!$BI$4,"Date",B19,"Site",1)+GETPIVOTDATA("Sum of COrecap",SalmonPivot!$BI$4,"Date",B19,"Site",1)</f>
        <v>0</v>
      </c>
      <c r="R19" s="24">
        <f>GETPIVOTDATA("Sum of COrad",SalmonPivot!$BI$4,"Date",B19,"Site",1)</f>
        <v>0</v>
      </c>
      <c r="S19" s="24">
        <f>GETPIVOTDATA("Sum of TotalOther",OtherPivot!$J$5,"Date",B19,"Site",1)</f>
        <v>1</v>
      </c>
      <c r="T19" s="38"/>
      <c r="U19" s="172">
        <f>IF(GETPIVOTDATA("3 Revs (s)",EffortRPMPivot!$L$4,"Date",$B19,"Site",1)=0,"",GETPIVOTDATA("3 revs (s)",EffortRPMPivot!$L$4,"date",$B19,"Site",1))</f>
        <v>50.5</v>
      </c>
      <c r="V19" s="173">
        <f t="shared" si="34"/>
        <v>0.51526717557251911</v>
      </c>
      <c r="W19" s="173">
        <f t="shared" si="35"/>
        <v>0.62977099236641232</v>
      </c>
      <c r="X19" s="173">
        <f t="shared" si="36"/>
        <v>0</v>
      </c>
      <c r="Y19" s="173">
        <f t="shared" si="37"/>
        <v>0</v>
      </c>
      <c r="Z19" s="173">
        <f t="shared" si="38"/>
        <v>0</v>
      </c>
      <c r="AA19" s="174">
        <f t="shared" si="39"/>
        <v>0</v>
      </c>
      <c r="AB19" s="175">
        <f t="shared" si="40"/>
        <v>23</v>
      </c>
      <c r="AC19" s="175">
        <f t="shared" si="41"/>
        <v>17</v>
      </c>
      <c r="AD19" s="175">
        <f t="shared" si="42"/>
        <v>0</v>
      </c>
      <c r="AE19" s="175">
        <f t="shared" si="43"/>
        <v>0</v>
      </c>
      <c r="AF19" s="175">
        <f t="shared" si="44"/>
        <v>0</v>
      </c>
      <c r="AG19" s="175">
        <f t="shared" si="45"/>
        <v>0</v>
      </c>
      <c r="AH19" s="176">
        <f t="shared" si="46"/>
        <v>23</v>
      </c>
      <c r="AI19" s="175">
        <f>SUM(AB$4:AB19)</f>
        <v>112</v>
      </c>
      <c r="AJ19" s="175">
        <f>SUM(AC$4:AC19)</f>
        <v>36</v>
      </c>
      <c r="AK19" s="175">
        <f>SUM(AD$4:AD19)</f>
        <v>0</v>
      </c>
      <c r="AL19" s="175">
        <f>SUM(AE$4:AE19)</f>
        <v>0</v>
      </c>
      <c r="AM19" s="175">
        <f>SUM(AF$4:AF19)</f>
        <v>0</v>
      </c>
      <c r="AN19" s="176">
        <f>SUM(AG$4:AG19)</f>
        <v>0</v>
      </c>
      <c r="AO19" s="175">
        <f t="shared" si="47"/>
        <v>21</v>
      </c>
      <c r="AP19" s="175">
        <f t="shared" si="48"/>
        <v>2</v>
      </c>
      <c r="AQ19" s="175">
        <f t="shared" si="49"/>
        <v>0</v>
      </c>
      <c r="AR19" s="175">
        <f t="shared" si="50"/>
        <v>0</v>
      </c>
      <c r="AS19" s="175">
        <f t="shared" si="51"/>
        <v>0</v>
      </c>
      <c r="AT19" s="176">
        <f t="shared" si="52"/>
        <v>0</v>
      </c>
      <c r="AU19" s="175">
        <f>SUM(AO$4:AO19)</f>
        <v>107</v>
      </c>
      <c r="AV19" s="175">
        <f>SUM(AP$4:AP19)</f>
        <v>4</v>
      </c>
      <c r="AW19" s="175">
        <f>SUM(AQ$4:AQ19)</f>
        <v>0</v>
      </c>
      <c r="AX19" s="175">
        <f>SUM(AR$4:AR19)</f>
        <v>0</v>
      </c>
      <c r="AY19" s="175">
        <f>SUM(AS$4:AS19)</f>
        <v>0</v>
      </c>
      <c r="AZ19" s="176">
        <f>SUM(AT$4:AT19)</f>
        <v>0</v>
      </c>
      <c r="BA19" s="177">
        <f t="shared" si="53"/>
        <v>3.4226190476190479E-2</v>
      </c>
      <c r="BB19" s="177">
        <f t="shared" si="54"/>
        <v>8.2926829268292687E-2</v>
      </c>
      <c r="BC19" s="177">
        <f t="shared" si="55"/>
        <v>0</v>
      </c>
      <c r="BD19" s="177">
        <f t="shared" si="56"/>
        <v>0</v>
      </c>
      <c r="BE19" s="177">
        <f t="shared" si="57"/>
        <v>0</v>
      </c>
      <c r="BF19" s="273">
        <f t="shared" si="58"/>
        <v>0</v>
      </c>
      <c r="BG19" s="177">
        <f>SUM(BA$4:BA19)</f>
        <v>0.16666666666666669</v>
      </c>
      <c r="BH19" s="177">
        <f>SUM(BB$4:BB19)</f>
        <v>0.17560975609756097</v>
      </c>
      <c r="BI19" s="177">
        <f>SUM(BC$4:BC19)</f>
        <v>0</v>
      </c>
      <c r="BJ19" s="177">
        <f>SUM(BD$4:BD19)</f>
        <v>0</v>
      </c>
      <c r="BK19" s="177">
        <f>SUM(BE$4:BE19)</f>
        <v>0</v>
      </c>
      <c r="BL19" s="166">
        <f>SUM(BF$4:BF19)</f>
        <v>0</v>
      </c>
      <c r="BM19" s="411">
        <f t="shared" si="28"/>
        <v>9</v>
      </c>
      <c r="BN19" s="409">
        <f t="shared" si="29"/>
        <v>0.51526717557251911</v>
      </c>
    </row>
    <row r="20" spans="2:66" x14ac:dyDescent="0.2">
      <c r="B20" s="60">
        <f t="shared" si="30"/>
        <v>41812</v>
      </c>
      <c r="C20" s="22">
        <f t="shared" si="59"/>
        <v>3.8793103448275863</v>
      </c>
      <c r="D20" s="23">
        <f>GETPIVOTDATA("Active time (min)",EffortRPMPivot!$A$4,"date",B20,"Site",1)/60</f>
        <v>16.766666666666662</v>
      </c>
      <c r="E20" s="24">
        <f>F20+G20+GETPIVOTDATA("Sum of CNlgNo",SalmonPivot!$A$4,"Date",B20,"Site",1)</f>
        <v>3</v>
      </c>
      <c r="F20" s="24">
        <f>GETPIVOTDATA("Sum of CNlgrad",SalmonPivot!$A$4,"date",B20,"Site",1)</f>
        <v>3</v>
      </c>
      <c r="G20" s="24">
        <f>GETPIVOTDATA("Sum of CNlgrecap",SalmonPivot!$A$4,"date",B20,"Site",1)</f>
        <v>0</v>
      </c>
      <c r="H20" s="24">
        <f>I20+J20+GETPIVOTDATA("Sum of CNsmno",SalmonPivot!$M$4,"Date",B20,"Site",1)</f>
        <v>1</v>
      </c>
      <c r="I20" s="24">
        <f>GETPIVOTDATA("Sum of CNsmradio",SalmonPivot!$M$4,"Date",B20,"Site",1)</f>
        <v>0</v>
      </c>
      <c r="J20" s="24">
        <f>GETPIVOTDATA("Sum of CNsmrecap",SalmonPivot!$M$4,"Date",B20,"Site",1)</f>
        <v>0</v>
      </c>
      <c r="K20" s="24">
        <f>L20+GETPIVOTDATA("Sum of SOno",SalmonPivot!$Y$4,"Date",B20,"Site",1)+GETPIVOTDATA("Sum of SOrecap",SalmonPivot!$Y$4,"Date",B20,"Site",1)</f>
        <v>0</v>
      </c>
      <c r="L20" s="24">
        <f>GETPIVOTDATA("Sum of SOrad",SalmonPivot!$Y$4,"Date",B20,"Site",1)</f>
        <v>0</v>
      </c>
      <c r="M20" s="24">
        <f>N20+GETPIVOTDATA("Sum of PKno",SalmonPivot!$AK$4,"Date",B20,"Site",1)+GETPIVOTDATA("Sum of PKrecap",SalmonPivot!$AK$4,"Date",B20,"Site",1)</f>
        <v>0</v>
      </c>
      <c r="N20" s="24">
        <f>GETPIVOTDATA("Sum of PKrad",SalmonPivot!$AK$4,"Date",B20,"Site",1)</f>
        <v>0</v>
      </c>
      <c r="O20" s="24">
        <f>P20+GETPIVOTDATA("Sum of CMno",SalmonPivot!$AW$4,"Date",B20,"Site",1)+GETPIVOTDATA("Sum of CMrecap",SalmonPivot!$AW$4,"Date",B20,"Site",1)</f>
        <v>0</v>
      </c>
      <c r="P20" s="24">
        <f>GETPIVOTDATA("Sum of CMrad",SalmonPivot!$AW$4,"Date",B20,"Site",1)</f>
        <v>0</v>
      </c>
      <c r="Q20" s="25">
        <f>R20+GETPIVOTDATA("Sum of COno",SalmonPivot!$BI$4,"Date",B20,"Site",1)+GETPIVOTDATA("Sum of COrecap",SalmonPivot!$BI$4,"Date",B20,"Site",1)</f>
        <v>0</v>
      </c>
      <c r="R20" s="24">
        <f>GETPIVOTDATA("Sum of COrad",SalmonPivot!$BI$4,"Date",B20,"Site",1)</f>
        <v>0</v>
      </c>
      <c r="S20" s="24">
        <f>GETPIVOTDATA("Sum of TotalOther",OtherPivot!$J$5,"Date",B20,"Site",1)</f>
        <v>0</v>
      </c>
      <c r="T20" s="38"/>
      <c r="U20" s="172">
        <f>IF(GETPIVOTDATA("3 Revs (s)",EffortRPMPivot!$L$4,"Date",$B20,"Site",1)=0,"",GETPIVOTDATA("3 revs (s)",EffortRPMPivot!$L$4,"date",$B20,"Site",1))</f>
        <v>46.4</v>
      </c>
      <c r="V20" s="173">
        <f t="shared" si="34"/>
        <v>0.1789264413518887</v>
      </c>
      <c r="W20" s="173">
        <f t="shared" si="35"/>
        <v>5.9642147117296242E-2</v>
      </c>
      <c r="X20" s="173">
        <f t="shared" si="36"/>
        <v>0</v>
      </c>
      <c r="Y20" s="173">
        <f t="shared" si="37"/>
        <v>0</v>
      </c>
      <c r="Z20" s="173">
        <f t="shared" si="38"/>
        <v>0</v>
      </c>
      <c r="AA20" s="174">
        <f t="shared" si="39"/>
        <v>0</v>
      </c>
      <c r="AB20" s="175">
        <f t="shared" si="40"/>
        <v>16</v>
      </c>
      <c r="AC20" s="175">
        <f t="shared" si="41"/>
        <v>8</v>
      </c>
      <c r="AD20" s="175">
        <f t="shared" si="42"/>
        <v>0</v>
      </c>
      <c r="AE20" s="175">
        <f t="shared" si="43"/>
        <v>0</v>
      </c>
      <c r="AF20" s="175">
        <f t="shared" si="44"/>
        <v>0</v>
      </c>
      <c r="AG20" s="175">
        <f t="shared" si="45"/>
        <v>0</v>
      </c>
      <c r="AH20" s="176">
        <f t="shared" si="46"/>
        <v>16</v>
      </c>
      <c r="AI20" s="175">
        <f>SUM(AB$4:AB20)</f>
        <v>128</v>
      </c>
      <c r="AJ20" s="175">
        <f>SUM(AC$4:AC20)</f>
        <v>44</v>
      </c>
      <c r="AK20" s="175">
        <f>SUM(AD$4:AD20)</f>
        <v>0</v>
      </c>
      <c r="AL20" s="175">
        <f>SUM(AE$4:AE20)</f>
        <v>0</v>
      </c>
      <c r="AM20" s="175">
        <f>SUM(AF$4:AF20)</f>
        <v>0</v>
      </c>
      <c r="AN20" s="176">
        <f>SUM(AG$4:AG20)</f>
        <v>0</v>
      </c>
      <c r="AO20" s="175">
        <f t="shared" si="47"/>
        <v>15</v>
      </c>
      <c r="AP20" s="175">
        <f t="shared" si="48"/>
        <v>1</v>
      </c>
      <c r="AQ20" s="175">
        <f t="shared" si="49"/>
        <v>0</v>
      </c>
      <c r="AR20" s="175">
        <f t="shared" si="50"/>
        <v>0</v>
      </c>
      <c r="AS20" s="175">
        <f t="shared" si="51"/>
        <v>0</v>
      </c>
      <c r="AT20" s="176">
        <f t="shared" si="52"/>
        <v>0</v>
      </c>
      <c r="AU20" s="175">
        <f>SUM(AO$4:AO20)</f>
        <v>122</v>
      </c>
      <c r="AV20" s="175">
        <f>SUM(AP$4:AP20)</f>
        <v>5</v>
      </c>
      <c r="AW20" s="175">
        <f>SUM(AQ$4:AQ20)</f>
        <v>0</v>
      </c>
      <c r="AX20" s="175">
        <f>SUM(AR$4:AR20)</f>
        <v>0</v>
      </c>
      <c r="AY20" s="175">
        <f>SUM(AS$4:AS20)</f>
        <v>0</v>
      </c>
      <c r="AZ20" s="176">
        <f>SUM(AT$4:AT20)</f>
        <v>0</v>
      </c>
      <c r="BA20" s="177">
        <f t="shared" si="53"/>
        <v>2.3809523809523808E-2</v>
      </c>
      <c r="BB20" s="177">
        <f t="shared" si="54"/>
        <v>3.9024390243902439E-2</v>
      </c>
      <c r="BC20" s="177">
        <f t="shared" si="55"/>
        <v>0</v>
      </c>
      <c r="BD20" s="177">
        <f t="shared" si="56"/>
        <v>0</v>
      </c>
      <c r="BE20" s="177">
        <f t="shared" si="57"/>
        <v>0</v>
      </c>
      <c r="BF20" s="273">
        <f t="shared" si="58"/>
        <v>0</v>
      </c>
      <c r="BG20" s="177">
        <f>SUM(BA$4:BA20)</f>
        <v>0.19047619047619049</v>
      </c>
      <c r="BH20" s="177">
        <f>SUM(BB$4:BB20)</f>
        <v>0.21463414634146341</v>
      </c>
      <c r="BI20" s="177">
        <f>SUM(BC$4:BC20)</f>
        <v>0</v>
      </c>
      <c r="BJ20" s="177">
        <f>SUM(BD$4:BD20)</f>
        <v>0</v>
      </c>
      <c r="BK20" s="177">
        <f>SUM(BE$4:BE20)</f>
        <v>0</v>
      </c>
      <c r="BL20" s="166">
        <f>SUM(BF$4:BF20)</f>
        <v>0</v>
      </c>
      <c r="BM20" s="411">
        <f t="shared" si="28"/>
        <v>3</v>
      </c>
      <c r="BN20" s="409">
        <f t="shared" si="29"/>
        <v>0.1789264413518887</v>
      </c>
    </row>
    <row r="21" spans="2:66" x14ac:dyDescent="0.2">
      <c r="B21" s="60">
        <f t="shared" si="30"/>
        <v>41813</v>
      </c>
      <c r="C21" s="22">
        <f t="shared" si="59"/>
        <v>3.1718061674008813</v>
      </c>
      <c r="D21" s="23">
        <f>GETPIVOTDATA("Active time (min)",EffortRPMPivot!$A$4,"date",B21,"Site",1)/60</f>
        <v>17.583333333333332</v>
      </c>
      <c r="E21" s="24">
        <f>F21+G21+GETPIVOTDATA("Sum of CNlgNo",SalmonPivot!$A$4,"Date",B21,"Site",1)</f>
        <v>6</v>
      </c>
      <c r="F21" s="24">
        <f>GETPIVOTDATA("Sum of CNlgrad",SalmonPivot!$A$4,"date",B21,"Site",1)</f>
        <v>5</v>
      </c>
      <c r="G21" s="24">
        <f>GETPIVOTDATA("Sum of CNlgrecap",SalmonPivot!$A$4,"date",B21,"Site",1)</f>
        <v>0</v>
      </c>
      <c r="H21" s="24">
        <f>I21+J21+GETPIVOTDATA("Sum of CNsmno",SalmonPivot!$M$4,"Date",B21,"Site",1)</f>
        <v>2</v>
      </c>
      <c r="I21" s="24">
        <f>GETPIVOTDATA("Sum of CNsmradio",SalmonPivot!$M$4,"Date",B21,"Site",1)</f>
        <v>0</v>
      </c>
      <c r="J21" s="24">
        <f>GETPIVOTDATA("Sum of CNsmrecap",SalmonPivot!$M$4,"Date",B21,"Site",1)</f>
        <v>0</v>
      </c>
      <c r="K21" s="24">
        <f>L21+GETPIVOTDATA("Sum of SOno",SalmonPivot!$Y$4,"Date",B21,"Site",1)+GETPIVOTDATA("Sum of SOrecap",SalmonPivot!$Y$4,"Date",B21,"Site",1)</f>
        <v>0</v>
      </c>
      <c r="L21" s="24">
        <f>GETPIVOTDATA("Sum of SOrad",SalmonPivot!$Y$4,"Date",B21,"Site",1)</f>
        <v>0</v>
      </c>
      <c r="M21" s="24">
        <f>N21+GETPIVOTDATA("Sum of PKno",SalmonPivot!$AK$4,"Date",B21,"Site",1)+GETPIVOTDATA("Sum of PKrecap",SalmonPivot!$AK$4,"Date",B21,"Site",1)</f>
        <v>0</v>
      </c>
      <c r="N21" s="24">
        <f>GETPIVOTDATA("Sum of PKrad",SalmonPivot!$AK$4,"Date",B21,"Site",1)</f>
        <v>0</v>
      </c>
      <c r="O21" s="24">
        <f>P21+GETPIVOTDATA("Sum of CMno",SalmonPivot!$AW$4,"Date",B21,"Site",1)+GETPIVOTDATA("Sum of CMrecap",SalmonPivot!$AW$4,"Date",B21,"Site",1)</f>
        <v>0</v>
      </c>
      <c r="P21" s="24">
        <f>GETPIVOTDATA("Sum of CMrad",SalmonPivot!$AW$4,"Date",B21,"Site",1)</f>
        <v>0</v>
      </c>
      <c r="Q21" s="25">
        <f>R21+GETPIVOTDATA("Sum of COno",SalmonPivot!$BI$4,"Date",B21,"Site",1)+GETPIVOTDATA("Sum of COrecap",SalmonPivot!$BI$4,"Date",B21,"Site",1)</f>
        <v>0</v>
      </c>
      <c r="R21" s="24">
        <f>GETPIVOTDATA("Sum of COrad",SalmonPivot!$BI$4,"Date",B21,"Site",1)</f>
        <v>0</v>
      </c>
      <c r="S21" s="24">
        <f>GETPIVOTDATA("Sum of TotalOther",OtherPivot!$J$5,"Date",B21,"Site",1)</f>
        <v>0</v>
      </c>
      <c r="T21" s="38"/>
      <c r="U21" s="172">
        <f>IF(GETPIVOTDATA("3 Revs (s)",EffortRPMPivot!$L$4,"Date",$B21,"Site",1)=0,"",GETPIVOTDATA("3 revs (s)",EffortRPMPivot!$L$4,"date",$B21,"Site",1))</f>
        <v>56.75</v>
      </c>
      <c r="V21" s="173">
        <f t="shared" si="34"/>
        <v>0.34123222748815168</v>
      </c>
      <c r="W21" s="173">
        <f t="shared" si="35"/>
        <v>0.11374407582938389</v>
      </c>
      <c r="X21" s="173">
        <f t="shared" si="36"/>
        <v>0</v>
      </c>
      <c r="Y21" s="173">
        <f t="shared" si="37"/>
        <v>0</v>
      </c>
      <c r="Z21" s="173">
        <f t="shared" si="38"/>
        <v>0</v>
      </c>
      <c r="AA21" s="174">
        <f t="shared" si="39"/>
        <v>0</v>
      </c>
      <c r="AB21" s="175">
        <f t="shared" si="40"/>
        <v>15</v>
      </c>
      <c r="AC21" s="175">
        <f t="shared" si="41"/>
        <v>2</v>
      </c>
      <c r="AD21" s="175">
        <f t="shared" si="42"/>
        <v>0</v>
      </c>
      <c r="AE21" s="175">
        <f t="shared" si="43"/>
        <v>0</v>
      </c>
      <c r="AF21" s="175">
        <f t="shared" si="44"/>
        <v>0</v>
      </c>
      <c r="AG21" s="175">
        <f t="shared" si="45"/>
        <v>0</v>
      </c>
      <c r="AH21" s="176">
        <f t="shared" si="46"/>
        <v>15</v>
      </c>
      <c r="AI21" s="175">
        <f>SUM(AB$4:AB21)</f>
        <v>143</v>
      </c>
      <c r="AJ21" s="175">
        <f>SUM(AC$4:AC21)</f>
        <v>46</v>
      </c>
      <c r="AK21" s="175">
        <f>SUM(AD$4:AD21)</f>
        <v>0</v>
      </c>
      <c r="AL21" s="175">
        <f>SUM(AE$4:AE21)</f>
        <v>0</v>
      </c>
      <c r="AM21" s="175">
        <f>SUM(AF$4:AF21)</f>
        <v>0</v>
      </c>
      <c r="AN21" s="176">
        <f>SUM(AG$4:AG21)</f>
        <v>0</v>
      </c>
      <c r="AO21" s="175">
        <f t="shared" si="47"/>
        <v>13</v>
      </c>
      <c r="AP21" s="175">
        <f t="shared" si="48"/>
        <v>0</v>
      </c>
      <c r="AQ21" s="175">
        <f t="shared" si="49"/>
        <v>0</v>
      </c>
      <c r="AR21" s="175">
        <f t="shared" si="50"/>
        <v>0</v>
      </c>
      <c r="AS21" s="175">
        <f t="shared" si="51"/>
        <v>0</v>
      </c>
      <c r="AT21" s="176">
        <f t="shared" si="52"/>
        <v>0</v>
      </c>
      <c r="AU21" s="175">
        <f>SUM(AO$4:AO21)</f>
        <v>135</v>
      </c>
      <c r="AV21" s="175">
        <f>SUM(AP$4:AP21)</f>
        <v>5</v>
      </c>
      <c r="AW21" s="175">
        <f>SUM(AQ$4:AQ21)</f>
        <v>0</v>
      </c>
      <c r="AX21" s="175">
        <f>SUM(AR$4:AR21)</f>
        <v>0</v>
      </c>
      <c r="AY21" s="175">
        <f>SUM(AS$4:AS21)</f>
        <v>0</v>
      </c>
      <c r="AZ21" s="176">
        <f>SUM(AT$4:AT21)</f>
        <v>0</v>
      </c>
      <c r="BA21" s="177">
        <f t="shared" si="53"/>
        <v>2.2321428571428572E-2</v>
      </c>
      <c r="BB21" s="177">
        <f t="shared" si="54"/>
        <v>9.7560975609756097E-3</v>
      </c>
      <c r="BC21" s="177">
        <f t="shared" si="55"/>
        <v>0</v>
      </c>
      <c r="BD21" s="177">
        <f t="shared" si="56"/>
        <v>0</v>
      </c>
      <c r="BE21" s="177">
        <f t="shared" si="57"/>
        <v>0</v>
      </c>
      <c r="BF21" s="273">
        <f t="shared" si="58"/>
        <v>0</v>
      </c>
      <c r="BG21" s="177">
        <f>SUM(BA$4:BA21)</f>
        <v>0.21279761904761907</v>
      </c>
      <c r="BH21" s="177">
        <f>SUM(BB$4:BB21)</f>
        <v>0.22439024390243903</v>
      </c>
      <c r="BI21" s="177">
        <f>SUM(BC$4:BC21)</f>
        <v>0</v>
      </c>
      <c r="BJ21" s="177">
        <f>SUM(BD$4:BD21)</f>
        <v>0</v>
      </c>
      <c r="BK21" s="177">
        <f>SUM(BE$4:BE21)</f>
        <v>0</v>
      </c>
      <c r="BL21" s="166">
        <f>SUM(BF$4:BF21)</f>
        <v>0</v>
      </c>
      <c r="BM21" s="411">
        <f t="shared" si="28"/>
        <v>6</v>
      </c>
      <c r="BN21" s="409">
        <f t="shared" si="29"/>
        <v>0.34123222748815168</v>
      </c>
    </row>
    <row r="22" spans="2:66" x14ac:dyDescent="0.2">
      <c r="B22" s="60">
        <f t="shared" si="30"/>
        <v>41814</v>
      </c>
      <c r="C22" s="22">
        <f t="shared" si="59"/>
        <v>3.1802120141342756</v>
      </c>
      <c r="D22" s="23">
        <f>GETPIVOTDATA("Active time (min)",EffortRPMPivot!$A$4,"date",B22,"Site",1)/60</f>
        <v>17.583333333333336</v>
      </c>
      <c r="E22" s="24">
        <f>F22+G22+GETPIVOTDATA("Sum of CNlgNo",SalmonPivot!$A$4,"Date",B22,"Site",1)</f>
        <v>11</v>
      </c>
      <c r="F22" s="24">
        <f>GETPIVOTDATA("Sum of CNlgrad",SalmonPivot!$A$4,"date",B22,"Site",1)</f>
        <v>10</v>
      </c>
      <c r="G22" s="24">
        <f>GETPIVOTDATA("Sum of CNlgrecap",SalmonPivot!$A$4,"date",B22,"Site",1)</f>
        <v>0</v>
      </c>
      <c r="H22" s="24">
        <f>I22+J22+GETPIVOTDATA("Sum of CNsmno",SalmonPivot!$M$4,"Date",B22,"Site",1)</f>
        <v>0</v>
      </c>
      <c r="I22" s="24">
        <f>GETPIVOTDATA("Sum of CNsmradio",SalmonPivot!$M$4,"Date",B22,"Site",1)</f>
        <v>0</v>
      </c>
      <c r="J22" s="24">
        <f>GETPIVOTDATA("Sum of CNsmrecap",SalmonPivot!$M$4,"Date",B22,"Site",1)</f>
        <v>0</v>
      </c>
      <c r="K22" s="24">
        <f>L22+GETPIVOTDATA("Sum of SOno",SalmonPivot!$Y$4,"Date",B22,"Site",1)+GETPIVOTDATA("Sum of SOrecap",SalmonPivot!$Y$4,"Date",B22,"Site",1)</f>
        <v>0</v>
      </c>
      <c r="L22" s="24">
        <f>GETPIVOTDATA("Sum of SOrad",SalmonPivot!$Y$4,"Date",B22,"Site",1)</f>
        <v>0</v>
      </c>
      <c r="M22" s="24">
        <f>N22+GETPIVOTDATA("Sum of PKno",SalmonPivot!$AK$4,"Date",B22,"Site",1)+GETPIVOTDATA("Sum of PKrecap",SalmonPivot!$AK$4,"Date",B22,"Site",1)</f>
        <v>0</v>
      </c>
      <c r="N22" s="24">
        <f>GETPIVOTDATA("Sum of PKrad",SalmonPivot!$AK$4,"Date",B22,"Site",1)</f>
        <v>0</v>
      </c>
      <c r="O22" s="24">
        <f>P22+GETPIVOTDATA("Sum of CMno",SalmonPivot!$AW$4,"Date",B22,"Site",1)+GETPIVOTDATA("Sum of CMrecap",SalmonPivot!$AW$4,"Date",B22,"Site",1)</f>
        <v>0</v>
      </c>
      <c r="P22" s="24">
        <f>GETPIVOTDATA("Sum of CMrad",SalmonPivot!$AW$4,"Date",B22,"Site",1)</f>
        <v>0</v>
      </c>
      <c r="Q22" s="25">
        <f>R22+GETPIVOTDATA("Sum of COno",SalmonPivot!$BI$4,"Date",B22,"Site",1)+GETPIVOTDATA("Sum of COrecap",SalmonPivot!$BI$4,"Date",B22,"Site",1)</f>
        <v>0</v>
      </c>
      <c r="R22" s="24">
        <f>GETPIVOTDATA("Sum of COrad",SalmonPivot!$BI$4,"Date",B22,"Site",1)</f>
        <v>0</v>
      </c>
      <c r="S22" s="24">
        <f>GETPIVOTDATA("Sum of TotalOther",OtherPivot!$J$5,"Date",B22,"Site",1)</f>
        <v>0</v>
      </c>
      <c r="T22" s="38"/>
      <c r="U22" s="172">
        <f>IF(GETPIVOTDATA("3 Revs (s)",EffortRPMPivot!$L$4,"Date",$B22,"Site",1)=0,"",GETPIVOTDATA("3 revs (s)",EffortRPMPivot!$L$4,"date",$B22,"Site",1))</f>
        <v>56.6</v>
      </c>
      <c r="V22" s="173">
        <f t="shared" si="34"/>
        <v>0.62559241706161128</v>
      </c>
      <c r="W22" s="173">
        <f t="shared" si="35"/>
        <v>0</v>
      </c>
      <c r="X22" s="173">
        <f t="shared" si="36"/>
        <v>0</v>
      </c>
      <c r="Y22" s="173">
        <f t="shared" si="37"/>
        <v>0</v>
      </c>
      <c r="Z22" s="173">
        <f t="shared" si="38"/>
        <v>0</v>
      </c>
      <c r="AA22" s="174">
        <f t="shared" si="39"/>
        <v>0</v>
      </c>
      <c r="AB22" s="175">
        <f t="shared" si="40"/>
        <v>22</v>
      </c>
      <c r="AC22" s="175">
        <f t="shared" si="41"/>
        <v>1</v>
      </c>
      <c r="AD22" s="175">
        <f t="shared" si="42"/>
        <v>0</v>
      </c>
      <c r="AE22" s="175">
        <f t="shared" si="43"/>
        <v>0</v>
      </c>
      <c r="AF22" s="175">
        <f t="shared" si="44"/>
        <v>0</v>
      </c>
      <c r="AG22" s="175">
        <f t="shared" si="45"/>
        <v>0</v>
      </c>
      <c r="AH22" s="176">
        <f t="shared" si="46"/>
        <v>22</v>
      </c>
      <c r="AI22" s="175">
        <f>SUM(AB$4:AB22)</f>
        <v>165</v>
      </c>
      <c r="AJ22" s="175">
        <f>SUM(AC$4:AC22)</f>
        <v>47</v>
      </c>
      <c r="AK22" s="175">
        <f>SUM(AD$4:AD22)</f>
        <v>0</v>
      </c>
      <c r="AL22" s="175">
        <f>SUM(AE$4:AE22)</f>
        <v>0</v>
      </c>
      <c r="AM22" s="175">
        <f>SUM(AF$4:AF22)</f>
        <v>0</v>
      </c>
      <c r="AN22" s="176">
        <f>SUM(AG$4:AG22)</f>
        <v>0</v>
      </c>
      <c r="AO22" s="175">
        <f t="shared" si="47"/>
        <v>20</v>
      </c>
      <c r="AP22" s="175">
        <f t="shared" si="48"/>
        <v>0</v>
      </c>
      <c r="AQ22" s="175">
        <f t="shared" si="49"/>
        <v>0</v>
      </c>
      <c r="AR22" s="175">
        <f t="shared" si="50"/>
        <v>0</v>
      </c>
      <c r="AS22" s="175">
        <f t="shared" si="51"/>
        <v>0</v>
      </c>
      <c r="AT22" s="176">
        <f t="shared" si="52"/>
        <v>0</v>
      </c>
      <c r="AU22" s="175">
        <f>SUM(AO$4:AO22)</f>
        <v>155</v>
      </c>
      <c r="AV22" s="175">
        <f>SUM(AP$4:AP22)</f>
        <v>5</v>
      </c>
      <c r="AW22" s="175">
        <f>SUM(AQ$4:AQ22)</f>
        <v>0</v>
      </c>
      <c r="AX22" s="175">
        <f>SUM(AR$4:AR22)</f>
        <v>0</v>
      </c>
      <c r="AY22" s="175">
        <f>SUM(AS$4:AS22)</f>
        <v>0</v>
      </c>
      <c r="AZ22" s="176">
        <f>SUM(AT$4:AT22)</f>
        <v>0</v>
      </c>
      <c r="BA22" s="177">
        <f t="shared" si="53"/>
        <v>3.273809523809524E-2</v>
      </c>
      <c r="BB22" s="177">
        <f t="shared" si="54"/>
        <v>4.8780487804878049E-3</v>
      </c>
      <c r="BC22" s="177">
        <f t="shared" si="55"/>
        <v>0</v>
      </c>
      <c r="BD22" s="177">
        <f t="shared" si="56"/>
        <v>0</v>
      </c>
      <c r="BE22" s="177">
        <f t="shared" si="57"/>
        <v>0</v>
      </c>
      <c r="BF22" s="273">
        <f t="shared" si="58"/>
        <v>0</v>
      </c>
      <c r="BG22" s="177">
        <f>SUM(BA$4:BA22)</f>
        <v>0.2455357142857143</v>
      </c>
      <c r="BH22" s="177">
        <f>SUM(BB$4:BB22)</f>
        <v>0.22926829268292684</v>
      </c>
      <c r="BI22" s="177">
        <f>SUM(BC$4:BC22)</f>
        <v>0</v>
      </c>
      <c r="BJ22" s="177">
        <f>SUM(BD$4:BD22)</f>
        <v>0</v>
      </c>
      <c r="BK22" s="177">
        <f>SUM(BE$4:BE22)</f>
        <v>0</v>
      </c>
      <c r="BL22" s="166">
        <f>SUM(BF$4:BF22)</f>
        <v>0</v>
      </c>
      <c r="BM22" s="411">
        <f t="shared" si="28"/>
        <v>11</v>
      </c>
      <c r="BN22" s="409">
        <f t="shared" si="29"/>
        <v>0.62559241706161128</v>
      </c>
    </row>
    <row r="23" spans="2:66" x14ac:dyDescent="0.2">
      <c r="B23" s="60">
        <f t="shared" si="30"/>
        <v>41815</v>
      </c>
      <c r="C23" s="22">
        <f t="shared" si="59"/>
        <v>3.1304347826086953</v>
      </c>
      <c r="D23" s="23">
        <f>GETPIVOTDATA("Active time (min)",EffortRPMPivot!$A$4,"date",B23,"Site",1)/60</f>
        <v>17.133333333333329</v>
      </c>
      <c r="E23" s="24">
        <f>F23+G23+GETPIVOTDATA("Sum of CNlgNo",SalmonPivot!$A$4,"Date",B23,"Site",1)</f>
        <v>8</v>
      </c>
      <c r="F23" s="24">
        <f>GETPIVOTDATA("Sum of CNlgrad",SalmonPivot!$A$4,"date",B23,"Site",1)</f>
        <v>7</v>
      </c>
      <c r="G23" s="24">
        <f>GETPIVOTDATA("Sum of CNlgrecap",SalmonPivot!$A$4,"date",B23,"Site",1)</f>
        <v>0</v>
      </c>
      <c r="H23" s="24">
        <f>I23+J23+GETPIVOTDATA("Sum of CNsmno",SalmonPivot!$M$4,"Date",B23,"Site",1)</f>
        <v>0</v>
      </c>
      <c r="I23" s="24">
        <f>GETPIVOTDATA("Sum of CNsmradio",SalmonPivot!$M$4,"Date",B23,"Site",1)</f>
        <v>0</v>
      </c>
      <c r="J23" s="24">
        <f>GETPIVOTDATA("Sum of CNsmrecap",SalmonPivot!$M$4,"Date",B23,"Site",1)</f>
        <v>0</v>
      </c>
      <c r="K23" s="24">
        <f>L23+GETPIVOTDATA("Sum of SOno",SalmonPivot!$Y$4,"Date",B23,"Site",1)+GETPIVOTDATA("Sum of SOrecap",SalmonPivot!$Y$4,"Date",B23,"Site",1)</f>
        <v>0</v>
      </c>
      <c r="L23" s="24">
        <f>GETPIVOTDATA("Sum of SOrad",SalmonPivot!$Y$4,"Date",B23,"Site",1)</f>
        <v>0</v>
      </c>
      <c r="M23" s="24">
        <f>N23+GETPIVOTDATA("Sum of PKno",SalmonPivot!$AK$4,"Date",B23,"Site",1)+GETPIVOTDATA("Sum of PKrecap",SalmonPivot!$AK$4,"Date",B23,"Site",1)</f>
        <v>0</v>
      </c>
      <c r="N23" s="24">
        <f>GETPIVOTDATA("Sum of PKrad",SalmonPivot!$AK$4,"Date",B23,"Site",1)</f>
        <v>0</v>
      </c>
      <c r="O23" s="24">
        <f>P23+GETPIVOTDATA("Sum of CMno",SalmonPivot!$AW$4,"Date",B23,"Site",1)+GETPIVOTDATA("Sum of CMrecap",SalmonPivot!$AW$4,"Date",B23,"Site",1)</f>
        <v>0</v>
      </c>
      <c r="P23" s="24">
        <f>GETPIVOTDATA("Sum of CMrad",SalmonPivot!$AW$4,"Date",B23,"Site",1)</f>
        <v>0</v>
      </c>
      <c r="Q23" s="25">
        <f>R23+GETPIVOTDATA("Sum of COno",SalmonPivot!$BI$4,"Date",B23,"Site",1)+GETPIVOTDATA("Sum of COrecap",SalmonPivot!$BI$4,"Date",B23,"Site",1)</f>
        <v>0</v>
      </c>
      <c r="R23" s="24">
        <f>GETPIVOTDATA("Sum of COrad",SalmonPivot!$BI$4,"Date",B23,"Site",1)</f>
        <v>0</v>
      </c>
      <c r="S23" s="24">
        <f>GETPIVOTDATA("Sum of TotalOther",OtherPivot!$J$5,"Date",B23,"Site",1)</f>
        <v>1</v>
      </c>
      <c r="T23" s="38"/>
      <c r="U23" s="172">
        <f>IF(GETPIVOTDATA("3 Revs (s)",EffortRPMPivot!$L$4,"Date",$B23,"Site",1)=0,"",GETPIVOTDATA("3 revs (s)",EffortRPMPivot!$L$4,"date",$B23,"Site",1))</f>
        <v>57.5</v>
      </c>
      <c r="V23" s="173">
        <f t="shared" si="34"/>
        <v>0.46692607003891062</v>
      </c>
      <c r="W23" s="173">
        <f t="shared" si="35"/>
        <v>0</v>
      </c>
      <c r="X23" s="173">
        <f t="shared" si="36"/>
        <v>0</v>
      </c>
      <c r="Y23" s="173">
        <f t="shared" si="37"/>
        <v>0</v>
      </c>
      <c r="Z23" s="173">
        <f t="shared" si="38"/>
        <v>0</v>
      </c>
      <c r="AA23" s="174">
        <f t="shared" si="39"/>
        <v>0</v>
      </c>
      <c r="AB23" s="175">
        <f t="shared" si="40"/>
        <v>19</v>
      </c>
      <c r="AC23" s="175">
        <f t="shared" si="41"/>
        <v>1</v>
      </c>
      <c r="AD23" s="175">
        <f t="shared" si="42"/>
        <v>0</v>
      </c>
      <c r="AE23" s="175">
        <f t="shared" si="43"/>
        <v>0</v>
      </c>
      <c r="AF23" s="175">
        <f t="shared" si="44"/>
        <v>0</v>
      </c>
      <c r="AG23" s="175">
        <f t="shared" si="45"/>
        <v>0</v>
      </c>
      <c r="AH23" s="176">
        <f t="shared" si="46"/>
        <v>19</v>
      </c>
      <c r="AI23" s="175">
        <f>SUM(AB$4:AB23)</f>
        <v>184</v>
      </c>
      <c r="AJ23" s="175">
        <f>SUM(AC$4:AC23)</f>
        <v>48</v>
      </c>
      <c r="AK23" s="175">
        <f>SUM(AD$4:AD23)</f>
        <v>0</v>
      </c>
      <c r="AL23" s="175">
        <f>SUM(AE$4:AE23)</f>
        <v>0</v>
      </c>
      <c r="AM23" s="175">
        <f>SUM(AF$4:AF23)</f>
        <v>0</v>
      </c>
      <c r="AN23" s="176">
        <f>SUM(AG$4:AG23)</f>
        <v>0</v>
      </c>
      <c r="AO23" s="175">
        <f t="shared" si="47"/>
        <v>18</v>
      </c>
      <c r="AP23" s="175">
        <f t="shared" si="48"/>
        <v>0</v>
      </c>
      <c r="AQ23" s="175">
        <f t="shared" si="49"/>
        <v>0</v>
      </c>
      <c r="AR23" s="175">
        <f t="shared" si="50"/>
        <v>0</v>
      </c>
      <c r="AS23" s="175">
        <f t="shared" si="51"/>
        <v>0</v>
      </c>
      <c r="AT23" s="176">
        <f t="shared" si="52"/>
        <v>0</v>
      </c>
      <c r="AU23" s="175">
        <f>SUM(AO$4:AO23)</f>
        <v>173</v>
      </c>
      <c r="AV23" s="175">
        <f>SUM(AP$4:AP23)</f>
        <v>5</v>
      </c>
      <c r="AW23" s="175">
        <f>SUM(AQ$4:AQ23)</f>
        <v>0</v>
      </c>
      <c r="AX23" s="175">
        <f>SUM(AR$4:AR23)</f>
        <v>0</v>
      </c>
      <c r="AY23" s="175">
        <f>SUM(AS$4:AS23)</f>
        <v>0</v>
      </c>
      <c r="AZ23" s="176">
        <f>SUM(AT$4:AT23)</f>
        <v>0</v>
      </c>
      <c r="BA23" s="177">
        <f t="shared" si="53"/>
        <v>2.8273809523809524E-2</v>
      </c>
      <c r="BB23" s="177">
        <f t="shared" si="54"/>
        <v>4.8780487804878049E-3</v>
      </c>
      <c r="BC23" s="177">
        <f t="shared" si="55"/>
        <v>0</v>
      </c>
      <c r="BD23" s="177">
        <f t="shared" si="56"/>
        <v>0</v>
      </c>
      <c r="BE23" s="177">
        <f t="shared" si="57"/>
        <v>0</v>
      </c>
      <c r="BF23" s="273">
        <f t="shared" si="58"/>
        <v>0</v>
      </c>
      <c r="BG23" s="177">
        <f>SUM(BA$4:BA23)</f>
        <v>0.27380952380952384</v>
      </c>
      <c r="BH23" s="177">
        <f>SUM(BB$4:BB23)</f>
        <v>0.23414634146341465</v>
      </c>
      <c r="BI23" s="177">
        <f>SUM(BC$4:BC23)</f>
        <v>0</v>
      </c>
      <c r="BJ23" s="177">
        <f>SUM(BD$4:BD23)</f>
        <v>0</v>
      </c>
      <c r="BK23" s="177">
        <f>SUM(BE$4:BE23)</f>
        <v>0</v>
      </c>
      <c r="BL23" s="166">
        <f>SUM(BF$4:BF23)</f>
        <v>0</v>
      </c>
      <c r="BM23" s="411">
        <f t="shared" si="28"/>
        <v>8</v>
      </c>
      <c r="BN23" s="409">
        <f t="shared" si="29"/>
        <v>0.46692607003891062</v>
      </c>
    </row>
    <row r="24" spans="2:66" x14ac:dyDescent="0.2">
      <c r="B24" s="60">
        <f t="shared" si="30"/>
        <v>41816</v>
      </c>
      <c r="C24" s="22"/>
      <c r="D24" s="23"/>
      <c r="E24" s="24"/>
      <c r="F24" s="24"/>
      <c r="G24" s="24"/>
      <c r="H24" s="24"/>
      <c r="I24" s="24"/>
      <c r="J24" s="24"/>
      <c r="K24" s="24"/>
      <c r="L24" s="24"/>
      <c r="M24" s="24"/>
      <c r="N24" s="24"/>
      <c r="O24" s="24"/>
      <c r="P24" s="24"/>
      <c r="Q24" s="25"/>
      <c r="R24" s="24"/>
      <c r="S24" s="24"/>
      <c r="T24" s="38"/>
      <c r="U24" s="172" t="str">
        <f>IF(GETPIVOTDATA("3 Revs (s)",EffortRPMPivot!$L$4,"Date",$B24,"Site",1)=0,"",GETPIVOTDATA("3 revs (s)",EffortRPMPivot!$L$4,"date",$B24,"Site",1))</f>
        <v/>
      </c>
      <c r="V24" s="173" t="str">
        <f t="shared" si="34"/>
        <v/>
      </c>
      <c r="W24" s="173" t="str">
        <f t="shared" si="35"/>
        <v/>
      </c>
      <c r="X24" s="173" t="str">
        <f t="shared" si="36"/>
        <v/>
      </c>
      <c r="Y24" s="173" t="str">
        <f t="shared" si="37"/>
        <v/>
      </c>
      <c r="Z24" s="173" t="str">
        <f t="shared" si="38"/>
        <v/>
      </c>
      <c r="AA24" s="174" t="str">
        <f t="shared" si="39"/>
        <v/>
      </c>
      <c r="AB24" s="175">
        <f t="shared" si="40"/>
        <v>0</v>
      </c>
      <c r="AC24" s="175">
        <f t="shared" si="41"/>
        <v>0</v>
      </c>
      <c r="AD24" s="175">
        <f t="shared" si="42"/>
        <v>0</v>
      </c>
      <c r="AE24" s="175">
        <f t="shared" si="43"/>
        <v>0</v>
      </c>
      <c r="AF24" s="175">
        <f t="shared" si="44"/>
        <v>0</v>
      </c>
      <c r="AG24" s="175">
        <f t="shared" si="45"/>
        <v>0</v>
      </c>
      <c r="AH24" s="176">
        <f t="shared" si="46"/>
        <v>0</v>
      </c>
      <c r="AI24" s="175">
        <f>SUM(AB$4:AB24)</f>
        <v>184</v>
      </c>
      <c r="AJ24" s="175">
        <f>SUM(AC$4:AC24)</f>
        <v>48</v>
      </c>
      <c r="AK24" s="175">
        <f>SUM(AD$4:AD24)</f>
        <v>0</v>
      </c>
      <c r="AL24" s="175">
        <f>SUM(AE$4:AE24)</f>
        <v>0</v>
      </c>
      <c r="AM24" s="175">
        <f>SUM(AF$4:AF24)</f>
        <v>0</v>
      </c>
      <c r="AN24" s="176">
        <f>SUM(AG$4:AG24)</f>
        <v>0</v>
      </c>
      <c r="AO24" s="175">
        <f t="shared" si="47"/>
        <v>0</v>
      </c>
      <c r="AP24" s="175">
        <f t="shared" si="48"/>
        <v>0</v>
      </c>
      <c r="AQ24" s="175">
        <f t="shared" si="49"/>
        <v>0</v>
      </c>
      <c r="AR24" s="175">
        <f t="shared" si="50"/>
        <v>0</v>
      </c>
      <c r="AS24" s="175">
        <f t="shared" si="51"/>
        <v>0</v>
      </c>
      <c r="AT24" s="176">
        <f t="shared" si="52"/>
        <v>0</v>
      </c>
      <c r="AU24" s="175">
        <f>SUM(AO$4:AO24)</f>
        <v>173</v>
      </c>
      <c r="AV24" s="175">
        <f>SUM(AP$4:AP24)</f>
        <v>5</v>
      </c>
      <c r="AW24" s="175">
        <f>SUM(AQ$4:AQ24)</f>
        <v>0</v>
      </c>
      <c r="AX24" s="175">
        <f>SUM(AR$4:AR24)</f>
        <v>0</v>
      </c>
      <c r="AY24" s="175">
        <f>SUM(AS$4:AS24)</f>
        <v>0</v>
      </c>
      <c r="AZ24" s="176">
        <f>SUM(AT$4:AT24)</f>
        <v>0</v>
      </c>
      <c r="BA24" s="177">
        <f t="shared" si="53"/>
        <v>0</v>
      </c>
      <c r="BB24" s="177">
        <f t="shared" si="54"/>
        <v>0</v>
      </c>
      <c r="BC24" s="177">
        <f t="shared" si="55"/>
        <v>0</v>
      </c>
      <c r="BD24" s="177">
        <f t="shared" si="56"/>
        <v>0</v>
      </c>
      <c r="BE24" s="177">
        <f t="shared" si="57"/>
        <v>0</v>
      </c>
      <c r="BF24" s="273">
        <f t="shared" si="58"/>
        <v>0</v>
      </c>
      <c r="BG24" s="177">
        <f>SUM(BA$4:BA24)</f>
        <v>0.27380952380952384</v>
      </c>
      <c r="BH24" s="177">
        <f>SUM(BB$4:BB24)</f>
        <v>0.23414634146341465</v>
      </c>
      <c r="BI24" s="177">
        <f>SUM(BC$4:BC24)</f>
        <v>0</v>
      </c>
      <c r="BJ24" s="177">
        <f>SUM(BD$4:BD24)</f>
        <v>0</v>
      </c>
      <c r="BK24" s="177">
        <f>SUM(BE$4:BE24)</f>
        <v>0</v>
      </c>
      <c r="BL24" s="166">
        <f>SUM(BF$4:BF24)</f>
        <v>0</v>
      </c>
      <c r="BM24" s="411">
        <f t="shared" si="28"/>
        <v>0</v>
      </c>
    </row>
    <row r="25" spans="2:66" x14ac:dyDescent="0.2">
      <c r="B25" s="60">
        <f t="shared" si="30"/>
        <v>41817</v>
      </c>
      <c r="C25" s="22"/>
      <c r="D25" s="23"/>
      <c r="E25" s="24"/>
      <c r="F25" s="24"/>
      <c r="G25" s="24"/>
      <c r="H25" s="24"/>
      <c r="I25" s="24"/>
      <c r="J25" s="24"/>
      <c r="K25" s="24"/>
      <c r="L25" s="24"/>
      <c r="M25" s="24"/>
      <c r="N25" s="24"/>
      <c r="O25" s="24"/>
      <c r="P25" s="24"/>
      <c r="Q25" s="25"/>
      <c r="R25" s="24"/>
      <c r="S25" s="24"/>
      <c r="T25" s="38"/>
      <c r="U25" s="172" t="str">
        <f>IF(GETPIVOTDATA("3 Revs (s)",EffortRPMPivot!$L$4,"Date",$B25,"Site",1)=0,"",GETPIVOTDATA("3 revs (s)",EffortRPMPivot!$L$4,"date",$B25,"Site",1))</f>
        <v/>
      </c>
      <c r="V25" s="173" t="str">
        <f t="shared" si="34"/>
        <v/>
      </c>
      <c r="W25" s="173" t="str">
        <f t="shared" si="35"/>
        <v/>
      </c>
      <c r="X25" s="173" t="str">
        <f t="shared" si="36"/>
        <v/>
      </c>
      <c r="Y25" s="173" t="str">
        <f t="shared" si="37"/>
        <v/>
      </c>
      <c r="Z25" s="173" t="str">
        <f t="shared" si="38"/>
        <v/>
      </c>
      <c r="AA25" s="174" t="str">
        <f t="shared" si="39"/>
        <v/>
      </c>
      <c r="AB25" s="175">
        <f t="shared" si="40"/>
        <v>0</v>
      </c>
      <c r="AC25" s="175">
        <f t="shared" si="41"/>
        <v>0</v>
      </c>
      <c r="AD25" s="175">
        <f t="shared" si="42"/>
        <v>0</v>
      </c>
      <c r="AE25" s="175">
        <f t="shared" si="43"/>
        <v>0</v>
      </c>
      <c r="AF25" s="175">
        <f t="shared" si="44"/>
        <v>0</v>
      </c>
      <c r="AG25" s="175">
        <f t="shared" si="45"/>
        <v>0</v>
      </c>
      <c r="AH25" s="176">
        <f t="shared" si="46"/>
        <v>0</v>
      </c>
      <c r="AI25" s="175">
        <f>SUM(AB$4:AB25)</f>
        <v>184</v>
      </c>
      <c r="AJ25" s="175">
        <f>SUM(AC$4:AC25)</f>
        <v>48</v>
      </c>
      <c r="AK25" s="175">
        <f>SUM(AD$4:AD25)</f>
        <v>0</v>
      </c>
      <c r="AL25" s="175">
        <f>SUM(AE$4:AE25)</f>
        <v>0</v>
      </c>
      <c r="AM25" s="175">
        <f>SUM(AF$4:AF25)</f>
        <v>0</v>
      </c>
      <c r="AN25" s="176">
        <f>SUM(AG$4:AG25)</f>
        <v>0</v>
      </c>
      <c r="AO25" s="175">
        <f t="shared" si="47"/>
        <v>0</v>
      </c>
      <c r="AP25" s="175">
        <f t="shared" si="48"/>
        <v>0</v>
      </c>
      <c r="AQ25" s="175">
        <f t="shared" si="49"/>
        <v>0</v>
      </c>
      <c r="AR25" s="175">
        <f t="shared" si="50"/>
        <v>0</v>
      </c>
      <c r="AS25" s="175">
        <f t="shared" si="51"/>
        <v>0</v>
      </c>
      <c r="AT25" s="176">
        <f t="shared" si="52"/>
        <v>0</v>
      </c>
      <c r="AU25" s="175">
        <f>SUM(AO$4:AO25)</f>
        <v>173</v>
      </c>
      <c r="AV25" s="175">
        <f>SUM(AP$4:AP25)</f>
        <v>5</v>
      </c>
      <c r="AW25" s="175">
        <f>SUM(AQ$4:AQ25)</f>
        <v>0</v>
      </c>
      <c r="AX25" s="175">
        <f>SUM(AR$4:AR25)</f>
        <v>0</v>
      </c>
      <c r="AY25" s="175">
        <f>SUM(AS$4:AS25)</f>
        <v>0</v>
      </c>
      <c r="AZ25" s="176">
        <f>SUM(AT$4:AT25)</f>
        <v>0</v>
      </c>
      <c r="BA25" s="177">
        <f t="shared" si="53"/>
        <v>0</v>
      </c>
      <c r="BB25" s="177">
        <f t="shared" si="54"/>
        <v>0</v>
      </c>
      <c r="BC25" s="177">
        <f t="shared" si="55"/>
        <v>0</v>
      </c>
      <c r="BD25" s="177">
        <f t="shared" si="56"/>
        <v>0</v>
      </c>
      <c r="BE25" s="177">
        <f t="shared" si="57"/>
        <v>0</v>
      </c>
      <c r="BF25" s="273">
        <f t="shared" si="58"/>
        <v>0</v>
      </c>
      <c r="BG25" s="177">
        <f>SUM(BA$4:BA25)</f>
        <v>0.27380952380952384</v>
      </c>
      <c r="BH25" s="177">
        <f>SUM(BB$4:BB25)</f>
        <v>0.23414634146341465</v>
      </c>
      <c r="BI25" s="177">
        <f>SUM(BC$4:BC25)</f>
        <v>0</v>
      </c>
      <c r="BJ25" s="177">
        <f>SUM(BD$4:BD25)</f>
        <v>0</v>
      </c>
      <c r="BK25" s="177">
        <f>SUM(BE$4:BE25)</f>
        <v>0</v>
      </c>
      <c r="BL25" s="166">
        <f>SUM(BF$4:BF25)</f>
        <v>0</v>
      </c>
      <c r="BM25" s="411">
        <f t="shared" si="28"/>
        <v>0</v>
      </c>
    </row>
    <row r="26" spans="2:66" x14ac:dyDescent="0.2">
      <c r="B26" s="60">
        <f t="shared" si="30"/>
        <v>41818</v>
      </c>
      <c r="C26" s="22">
        <f t="shared" ref="C26:C34" si="60">IF(ISERROR(3/(U26/60)),"",3/(U26/60))</f>
        <v>5.0806451612903221</v>
      </c>
      <c r="D26" s="23">
        <f>GETPIVOTDATA("Active time (min)",EffortRPMPivot!$A$4,"date",B26,"Site",1)/60</f>
        <v>15.916666666666666</v>
      </c>
      <c r="E26" s="24">
        <f>F26+G26+GETPIVOTDATA("Sum of CNlgNo",SalmonPivot!$A$4,"Date",B26,"Site",1)</f>
        <v>8</v>
      </c>
      <c r="F26" s="24">
        <f>GETPIVOTDATA("Sum of CNlgrad",SalmonPivot!$A$4,"date",B26,"Site",1)</f>
        <v>7</v>
      </c>
      <c r="G26" s="24">
        <f>GETPIVOTDATA("Sum of CNlgrecap",SalmonPivot!$A$4,"date",B26,"Site",1)</f>
        <v>0</v>
      </c>
      <c r="H26" s="24">
        <f>I26+J26+GETPIVOTDATA("Sum of CNsmno",SalmonPivot!$M$4,"Date",B26,"Site",1)</f>
        <v>5</v>
      </c>
      <c r="I26" s="24">
        <f>GETPIVOTDATA("Sum of CNsmradio",SalmonPivot!$M$4,"Date",B26,"Site",1)</f>
        <v>0</v>
      </c>
      <c r="J26" s="24">
        <f>GETPIVOTDATA("Sum of CNsmrecap",SalmonPivot!$M$4,"Date",B26,"Site",1)</f>
        <v>0</v>
      </c>
      <c r="K26" s="24">
        <f>L26+GETPIVOTDATA("Sum of SOno",SalmonPivot!$Y$4,"Date",B26,"Site",1)+GETPIVOTDATA("Sum of SOrecap",SalmonPivot!$Y$4,"Date",B26,"Site",1)</f>
        <v>0</v>
      </c>
      <c r="L26" s="24">
        <f>GETPIVOTDATA("Sum of SOrad",SalmonPivot!$Y$4,"Date",B26,"Site",1)</f>
        <v>0</v>
      </c>
      <c r="M26" s="24">
        <f>N26+GETPIVOTDATA("Sum of PKno",SalmonPivot!$AK$4,"Date",B26,"Site",1)+GETPIVOTDATA("Sum of PKrecap",SalmonPivot!$AK$4,"Date",B26,"Site",1)</f>
        <v>0</v>
      </c>
      <c r="N26" s="24">
        <f>GETPIVOTDATA("Sum of PKrad",SalmonPivot!$AK$4,"Date",B26,"Site",1)</f>
        <v>0</v>
      </c>
      <c r="O26" s="24">
        <f>P26+GETPIVOTDATA("Sum of CMno",SalmonPivot!$AW$4,"Date",B26,"Site",1)+GETPIVOTDATA("Sum of CMrecap",SalmonPivot!$AW$4,"Date",B26,"Site",1)</f>
        <v>0</v>
      </c>
      <c r="P26" s="24">
        <f>GETPIVOTDATA("Sum of CMrad",SalmonPivot!$AW$4,"Date",B26,"Site",1)</f>
        <v>0</v>
      </c>
      <c r="Q26" s="25">
        <f>R26+GETPIVOTDATA("Sum of COno",SalmonPivot!$BI$4,"Date",B26,"Site",1)+GETPIVOTDATA("Sum of COrecap",SalmonPivot!$BI$4,"Date",B26,"Site",1)</f>
        <v>0</v>
      </c>
      <c r="R26" s="24">
        <f>GETPIVOTDATA("Sum of COrad",SalmonPivot!$BI$4,"Date",B26,"Site",1)</f>
        <v>0</v>
      </c>
      <c r="S26" s="24">
        <f>GETPIVOTDATA("Sum of TotalOther",OtherPivot!$J$5,"Date",B26,"Site",1)</f>
        <v>1</v>
      </c>
      <c r="T26" s="38"/>
      <c r="U26" s="172">
        <f>IF(GETPIVOTDATA("3 Revs (s)",EffortRPMPivot!$L$4,"Date",$B26,"Site",1)=0,"",GETPIVOTDATA("3 revs (s)",EffortRPMPivot!$L$4,"date",$B26,"Site",1))</f>
        <v>35.428571428571431</v>
      </c>
      <c r="V26" s="173">
        <f t="shared" si="34"/>
        <v>0.50261780104712039</v>
      </c>
      <c r="W26" s="173">
        <f t="shared" si="35"/>
        <v>0.31413612565445026</v>
      </c>
      <c r="X26" s="173">
        <f t="shared" si="36"/>
        <v>0</v>
      </c>
      <c r="Y26" s="173">
        <f t="shared" si="37"/>
        <v>0</v>
      </c>
      <c r="Z26" s="173">
        <f t="shared" si="38"/>
        <v>0</v>
      </c>
      <c r="AA26" s="174">
        <f t="shared" si="39"/>
        <v>0</v>
      </c>
      <c r="AB26" s="175">
        <f t="shared" si="40"/>
        <v>8</v>
      </c>
      <c r="AC26" s="175">
        <f t="shared" si="41"/>
        <v>5</v>
      </c>
      <c r="AD26" s="175">
        <f t="shared" si="42"/>
        <v>0</v>
      </c>
      <c r="AE26" s="175">
        <f t="shared" si="43"/>
        <v>0</v>
      </c>
      <c r="AF26" s="175">
        <f t="shared" si="44"/>
        <v>0</v>
      </c>
      <c r="AG26" s="175">
        <f t="shared" si="45"/>
        <v>0</v>
      </c>
      <c r="AH26" s="176">
        <f t="shared" si="46"/>
        <v>8</v>
      </c>
      <c r="AI26" s="175">
        <f>SUM(AB$4:AB26)</f>
        <v>192</v>
      </c>
      <c r="AJ26" s="175">
        <f>SUM(AC$4:AC26)</f>
        <v>53</v>
      </c>
      <c r="AK26" s="175">
        <f>SUM(AD$4:AD26)</f>
        <v>0</v>
      </c>
      <c r="AL26" s="175">
        <f>SUM(AE$4:AE26)</f>
        <v>0</v>
      </c>
      <c r="AM26" s="175">
        <f>SUM(AF$4:AF26)</f>
        <v>0</v>
      </c>
      <c r="AN26" s="176">
        <f>SUM(AG$4:AG26)</f>
        <v>0</v>
      </c>
      <c r="AO26" s="175">
        <f t="shared" si="47"/>
        <v>7</v>
      </c>
      <c r="AP26" s="175">
        <f t="shared" si="48"/>
        <v>0</v>
      </c>
      <c r="AQ26" s="175">
        <f t="shared" si="49"/>
        <v>0</v>
      </c>
      <c r="AR26" s="175">
        <f t="shared" si="50"/>
        <v>0</v>
      </c>
      <c r="AS26" s="175">
        <f t="shared" si="51"/>
        <v>0</v>
      </c>
      <c r="AT26" s="176">
        <f t="shared" si="52"/>
        <v>0</v>
      </c>
      <c r="AU26" s="175">
        <f>SUM(AO$4:AO26)</f>
        <v>180</v>
      </c>
      <c r="AV26" s="175">
        <f>SUM(AP$4:AP26)</f>
        <v>5</v>
      </c>
      <c r="AW26" s="175">
        <f>SUM(AQ$4:AQ26)</f>
        <v>0</v>
      </c>
      <c r="AX26" s="175">
        <f>SUM(AR$4:AR26)</f>
        <v>0</v>
      </c>
      <c r="AY26" s="175">
        <f>SUM(AS$4:AS26)</f>
        <v>0</v>
      </c>
      <c r="AZ26" s="176">
        <f>SUM(AT$4:AT26)</f>
        <v>0</v>
      </c>
      <c r="BA26" s="177">
        <f t="shared" si="53"/>
        <v>1.1904761904761904E-2</v>
      </c>
      <c r="BB26" s="177">
        <f t="shared" si="54"/>
        <v>2.4390243902439025E-2</v>
      </c>
      <c r="BC26" s="177">
        <f t="shared" si="55"/>
        <v>0</v>
      </c>
      <c r="BD26" s="177">
        <f t="shared" si="56"/>
        <v>0</v>
      </c>
      <c r="BE26" s="177">
        <f t="shared" si="57"/>
        <v>0</v>
      </c>
      <c r="BF26" s="273">
        <f t="shared" si="58"/>
        <v>0</v>
      </c>
      <c r="BG26" s="177">
        <f>SUM(BA$4:BA26)</f>
        <v>0.28571428571428575</v>
      </c>
      <c r="BH26" s="177">
        <f>SUM(BB$4:BB26)</f>
        <v>0.25853658536585367</v>
      </c>
      <c r="BI26" s="177">
        <f>SUM(BC$4:BC26)</f>
        <v>0</v>
      </c>
      <c r="BJ26" s="177">
        <f>SUM(BD$4:BD26)</f>
        <v>0</v>
      </c>
      <c r="BK26" s="177">
        <f>SUM(BE$4:BE26)</f>
        <v>0</v>
      </c>
      <c r="BL26" s="166">
        <f>SUM(BF$4:BF26)</f>
        <v>0</v>
      </c>
      <c r="BM26" s="411">
        <f t="shared" si="28"/>
        <v>8</v>
      </c>
      <c r="BN26" s="409">
        <f t="shared" si="29"/>
        <v>0.50261780104712039</v>
      </c>
    </row>
    <row r="27" spans="2:66" x14ac:dyDescent="0.2">
      <c r="B27" s="60">
        <f t="shared" si="30"/>
        <v>41819</v>
      </c>
      <c r="C27" s="22">
        <f t="shared" si="60"/>
        <v>4.1379310344827589</v>
      </c>
      <c r="D27" s="23">
        <f>GETPIVOTDATA("Active time (min)",EffortRPMPivot!$A$4,"date",B27,"Site",1)/60</f>
        <v>24</v>
      </c>
      <c r="E27" s="24">
        <f>F27+G27+GETPIVOTDATA("Sum of CNlgNo",SalmonPivot!$A$4,"Date",B27,"Site",1)</f>
        <v>25</v>
      </c>
      <c r="F27" s="24">
        <f>GETPIVOTDATA("Sum of CNlgrad",SalmonPivot!$A$4,"date",B27,"Site",1)</f>
        <v>23</v>
      </c>
      <c r="G27" s="24">
        <f>GETPIVOTDATA("Sum of CNlgrecap",SalmonPivot!$A$4,"date",B27,"Site",1)</f>
        <v>2</v>
      </c>
      <c r="H27" s="24">
        <f>I27+J27+GETPIVOTDATA("Sum of CNsmno",SalmonPivot!$M$4,"Date",B27,"Site",1)</f>
        <v>7</v>
      </c>
      <c r="I27" s="24">
        <f>GETPIVOTDATA("Sum of CNsmradio",SalmonPivot!$M$4,"Date",B27,"Site",1)</f>
        <v>2</v>
      </c>
      <c r="J27" s="24">
        <f>GETPIVOTDATA("Sum of CNsmrecap",SalmonPivot!$M$4,"Date",B27,"Site",1)</f>
        <v>0</v>
      </c>
      <c r="K27" s="24">
        <f>L27+GETPIVOTDATA("Sum of SOno",SalmonPivot!$Y$4,"Date",B27,"Site",1)+GETPIVOTDATA("Sum of SOrecap",SalmonPivot!$Y$4,"Date",B27,"Site",1)</f>
        <v>1</v>
      </c>
      <c r="L27" s="24">
        <f>GETPIVOTDATA("Sum of SOrad",SalmonPivot!$Y$4,"Date",B27,"Site",1)</f>
        <v>0</v>
      </c>
      <c r="M27" s="24">
        <f>N27+GETPIVOTDATA("Sum of PKno",SalmonPivot!$AK$4,"Date",B27,"Site",1)+GETPIVOTDATA("Sum of PKrecap",SalmonPivot!$AK$4,"Date",B27,"Site",1)</f>
        <v>0</v>
      </c>
      <c r="N27" s="24">
        <f>GETPIVOTDATA("Sum of PKrad",SalmonPivot!$AK$4,"Date",B27,"Site",1)</f>
        <v>0</v>
      </c>
      <c r="O27" s="24">
        <f>P27+GETPIVOTDATA("Sum of CMno",SalmonPivot!$AW$4,"Date",B27,"Site",1)+GETPIVOTDATA("Sum of CMrecap",SalmonPivot!$AW$4,"Date",B27,"Site",1)</f>
        <v>0</v>
      </c>
      <c r="P27" s="24">
        <f>GETPIVOTDATA("Sum of CMrad",SalmonPivot!$AW$4,"Date",B27,"Site",1)</f>
        <v>0</v>
      </c>
      <c r="Q27" s="25">
        <f>R27+GETPIVOTDATA("Sum of COno",SalmonPivot!$BI$4,"Date",B27,"Site",1)+GETPIVOTDATA("Sum of COrecap",SalmonPivot!$BI$4,"Date",B27,"Site",1)</f>
        <v>0</v>
      </c>
      <c r="R27" s="24">
        <f>GETPIVOTDATA("Sum of COrad",SalmonPivot!$BI$4,"Date",B27,"Site",1)</f>
        <v>0</v>
      </c>
      <c r="S27" s="24">
        <f>GETPIVOTDATA("Sum of TotalOther",OtherPivot!$J$5,"Date",B27,"Site",1)</f>
        <v>0</v>
      </c>
      <c r="T27" s="38"/>
      <c r="U27" s="172">
        <f>IF(GETPIVOTDATA("3 Revs (s)",EffortRPMPivot!$L$4,"Date",$B27,"Site",1)=0,"",GETPIVOTDATA("3 revs (s)",EffortRPMPivot!$L$4,"date",$B27,"Site",1))</f>
        <v>43.5</v>
      </c>
      <c r="V27" s="173">
        <f t="shared" si="34"/>
        <v>1.0416666666666667</v>
      </c>
      <c r="W27" s="173">
        <f t="shared" si="35"/>
        <v>0.29166666666666669</v>
      </c>
      <c r="X27" s="173">
        <f t="shared" si="36"/>
        <v>4.1666666666666664E-2</v>
      </c>
      <c r="Y27" s="173">
        <f t="shared" si="37"/>
        <v>0</v>
      </c>
      <c r="Z27" s="173">
        <f t="shared" si="38"/>
        <v>0</v>
      </c>
      <c r="AA27" s="174">
        <f t="shared" si="39"/>
        <v>0</v>
      </c>
      <c r="AB27" s="175">
        <f t="shared" si="40"/>
        <v>28</v>
      </c>
      <c r="AC27" s="175">
        <f t="shared" si="41"/>
        <v>8</v>
      </c>
      <c r="AD27" s="175">
        <f t="shared" si="42"/>
        <v>1</v>
      </c>
      <c r="AE27" s="175">
        <f t="shared" si="43"/>
        <v>0</v>
      </c>
      <c r="AF27" s="175">
        <f t="shared" si="44"/>
        <v>0</v>
      </c>
      <c r="AG27" s="175">
        <f t="shared" si="45"/>
        <v>0</v>
      </c>
      <c r="AH27" s="176">
        <f t="shared" si="46"/>
        <v>29</v>
      </c>
      <c r="AI27" s="175">
        <f>SUM(AB$4:AB27)</f>
        <v>220</v>
      </c>
      <c r="AJ27" s="175">
        <f>SUM(AC$4:AC27)</f>
        <v>61</v>
      </c>
      <c r="AK27" s="175">
        <f>SUM(AD$4:AD27)</f>
        <v>1</v>
      </c>
      <c r="AL27" s="175">
        <f>SUM(AE$4:AE27)</f>
        <v>0</v>
      </c>
      <c r="AM27" s="175">
        <f>SUM(AF$4:AF27)</f>
        <v>0</v>
      </c>
      <c r="AN27" s="176">
        <f>SUM(AG$4:AG27)</f>
        <v>0</v>
      </c>
      <c r="AO27" s="175">
        <f t="shared" si="47"/>
        <v>26</v>
      </c>
      <c r="AP27" s="175">
        <f t="shared" si="48"/>
        <v>2</v>
      </c>
      <c r="AQ27" s="175">
        <f t="shared" si="49"/>
        <v>0</v>
      </c>
      <c r="AR27" s="175">
        <f t="shared" si="50"/>
        <v>0</v>
      </c>
      <c r="AS27" s="175">
        <f t="shared" si="51"/>
        <v>0</v>
      </c>
      <c r="AT27" s="176">
        <f t="shared" si="52"/>
        <v>0</v>
      </c>
      <c r="AU27" s="175">
        <f>SUM(AO$4:AO27)</f>
        <v>206</v>
      </c>
      <c r="AV27" s="175">
        <f>SUM(AP$4:AP27)</f>
        <v>7</v>
      </c>
      <c r="AW27" s="175">
        <f>SUM(AQ$4:AQ27)</f>
        <v>0</v>
      </c>
      <c r="AX27" s="175">
        <f>SUM(AR$4:AR27)</f>
        <v>0</v>
      </c>
      <c r="AY27" s="175">
        <f>SUM(AS$4:AS27)</f>
        <v>0</v>
      </c>
      <c r="AZ27" s="176">
        <f>SUM(AT$4:AT27)</f>
        <v>0</v>
      </c>
      <c r="BA27" s="177">
        <f t="shared" si="53"/>
        <v>4.1666666666666664E-2</v>
      </c>
      <c r="BB27" s="177">
        <f t="shared" si="54"/>
        <v>3.9024390243902439E-2</v>
      </c>
      <c r="BC27" s="177">
        <f t="shared" si="55"/>
        <v>4.6948356807511738E-3</v>
      </c>
      <c r="BD27" s="177">
        <f t="shared" si="56"/>
        <v>0</v>
      </c>
      <c r="BE27" s="177">
        <f t="shared" si="57"/>
        <v>0</v>
      </c>
      <c r="BF27" s="273">
        <f t="shared" si="58"/>
        <v>0</v>
      </c>
      <c r="BG27" s="177">
        <f>SUM(BA$4:BA27)</f>
        <v>0.32738095238095244</v>
      </c>
      <c r="BH27" s="177">
        <f>SUM(BB$4:BB27)</f>
        <v>0.29756097560975608</v>
      </c>
      <c r="BI27" s="177">
        <f>SUM(BC$4:BC27)</f>
        <v>4.6948356807511738E-3</v>
      </c>
      <c r="BJ27" s="177">
        <f>SUM(BD$4:BD27)</f>
        <v>0</v>
      </c>
      <c r="BK27" s="177">
        <f>SUM(BE$4:BE27)</f>
        <v>0</v>
      </c>
      <c r="BL27" s="166">
        <f>SUM(BF$4:BF27)</f>
        <v>0</v>
      </c>
      <c r="BM27" s="411">
        <f t="shared" si="28"/>
        <v>26</v>
      </c>
      <c r="BN27" s="409">
        <f t="shared" si="29"/>
        <v>1.0833333333333333</v>
      </c>
    </row>
    <row r="28" spans="2:66" x14ac:dyDescent="0.2">
      <c r="B28" s="60">
        <f t="shared" si="30"/>
        <v>41820</v>
      </c>
      <c r="C28" s="22">
        <f t="shared" si="60"/>
        <v>3.4123222748815167</v>
      </c>
      <c r="D28" s="23">
        <f>GETPIVOTDATA("Active time (min)",EffortRPMPivot!$A$4,"date",B28,"Site",1)/60</f>
        <v>23.999999999999996</v>
      </c>
      <c r="E28" s="24">
        <f>F28+G28+GETPIVOTDATA("Sum of CNlgNo",SalmonPivot!$A$4,"Date",B28,"Site",1)</f>
        <v>38</v>
      </c>
      <c r="F28" s="24">
        <f>GETPIVOTDATA("Sum of CNlgrad",SalmonPivot!$A$4,"date",B28,"Site",1)</f>
        <v>35</v>
      </c>
      <c r="G28" s="24">
        <f>GETPIVOTDATA("Sum of CNlgrecap",SalmonPivot!$A$4,"date",B28,"Site",1)</f>
        <v>0</v>
      </c>
      <c r="H28" s="24">
        <f>I28+J28+GETPIVOTDATA("Sum of CNsmno",SalmonPivot!$M$4,"Date",B28,"Site",1)</f>
        <v>5</v>
      </c>
      <c r="I28" s="24">
        <f>GETPIVOTDATA("Sum of CNsmradio",SalmonPivot!$M$4,"Date",B28,"Site",1)</f>
        <v>2</v>
      </c>
      <c r="J28" s="24">
        <f>GETPIVOTDATA("Sum of CNsmrecap",SalmonPivot!$M$4,"Date",B28,"Site",1)</f>
        <v>0</v>
      </c>
      <c r="K28" s="24">
        <f>L28+GETPIVOTDATA("Sum of SOno",SalmonPivot!$Y$4,"Date",B28,"Site",1)+GETPIVOTDATA("Sum of SOrecap",SalmonPivot!$Y$4,"Date",B28,"Site",1)</f>
        <v>1</v>
      </c>
      <c r="L28" s="24">
        <f>GETPIVOTDATA("Sum of SOrad",SalmonPivot!$Y$4,"Date",B28,"Site",1)</f>
        <v>1</v>
      </c>
      <c r="M28" s="24">
        <f>N28+GETPIVOTDATA("Sum of PKno",SalmonPivot!$AK$4,"Date",B28,"Site",1)+GETPIVOTDATA("Sum of PKrecap",SalmonPivot!$AK$4,"Date",B28,"Site",1)</f>
        <v>0</v>
      </c>
      <c r="N28" s="24">
        <f>GETPIVOTDATA("Sum of PKrad",SalmonPivot!$AK$4,"Date",B28,"Site",1)</f>
        <v>0</v>
      </c>
      <c r="O28" s="24">
        <f>P28+GETPIVOTDATA("Sum of CMno",SalmonPivot!$AW$4,"Date",B28,"Site",1)+GETPIVOTDATA("Sum of CMrecap",SalmonPivot!$AW$4,"Date",B28,"Site",1)</f>
        <v>0</v>
      </c>
      <c r="P28" s="24">
        <f>GETPIVOTDATA("Sum of CMrad",SalmonPivot!$AW$4,"Date",B28,"Site",1)</f>
        <v>0</v>
      </c>
      <c r="Q28" s="25">
        <f>R28+GETPIVOTDATA("Sum of COno",SalmonPivot!$BI$4,"Date",B28,"Site",1)+GETPIVOTDATA("Sum of COrecap",SalmonPivot!$BI$4,"Date",B28,"Site",1)</f>
        <v>0</v>
      </c>
      <c r="R28" s="24">
        <f>GETPIVOTDATA("Sum of COrad",SalmonPivot!$BI$4,"Date",B28,"Site",1)</f>
        <v>0</v>
      </c>
      <c r="S28" s="24">
        <f>GETPIVOTDATA("Sum of TotalOther",OtherPivot!$J$5,"Date",B28,"Site",1)</f>
        <v>2</v>
      </c>
      <c r="T28" s="38"/>
      <c r="U28" s="172">
        <f>IF(GETPIVOTDATA("3 Revs (s)",EffortRPMPivot!$L$4,"Date",$B28,"Site",1)=0,"",GETPIVOTDATA("3 revs (s)",EffortRPMPivot!$L$4,"date",$B28,"Site",1))</f>
        <v>52.75</v>
      </c>
      <c r="V28" s="173">
        <f t="shared" si="34"/>
        <v>1.5833333333333335</v>
      </c>
      <c r="W28" s="173">
        <f t="shared" si="35"/>
        <v>0.20833333333333337</v>
      </c>
      <c r="X28" s="173">
        <f t="shared" si="36"/>
        <v>4.1666666666666671E-2</v>
      </c>
      <c r="Y28" s="173">
        <f t="shared" si="37"/>
        <v>0</v>
      </c>
      <c r="Z28" s="173">
        <f t="shared" si="38"/>
        <v>0</v>
      </c>
      <c r="AA28" s="174">
        <f t="shared" si="39"/>
        <v>0</v>
      </c>
      <c r="AB28" s="175">
        <f t="shared" si="40"/>
        <v>49</v>
      </c>
      <c r="AC28" s="175">
        <f t="shared" si="41"/>
        <v>10</v>
      </c>
      <c r="AD28" s="175">
        <f t="shared" si="42"/>
        <v>1</v>
      </c>
      <c r="AE28" s="175">
        <f t="shared" si="43"/>
        <v>0</v>
      </c>
      <c r="AF28" s="175">
        <f t="shared" si="44"/>
        <v>0</v>
      </c>
      <c r="AG28" s="175">
        <f t="shared" si="45"/>
        <v>0</v>
      </c>
      <c r="AH28" s="176">
        <f t="shared" si="46"/>
        <v>50</v>
      </c>
      <c r="AI28" s="175">
        <f>SUM(AB$4:AB28)</f>
        <v>269</v>
      </c>
      <c r="AJ28" s="175">
        <f>SUM(AC$4:AC28)</f>
        <v>71</v>
      </c>
      <c r="AK28" s="175">
        <f>SUM(AD$4:AD28)</f>
        <v>2</v>
      </c>
      <c r="AL28" s="175">
        <f>SUM(AE$4:AE28)</f>
        <v>0</v>
      </c>
      <c r="AM28" s="175">
        <f>SUM(AF$4:AF28)</f>
        <v>0</v>
      </c>
      <c r="AN28" s="176">
        <f>SUM(AG$4:AG28)</f>
        <v>0</v>
      </c>
      <c r="AO28" s="175">
        <f t="shared" si="47"/>
        <v>45</v>
      </c>
      <c r="AP28" s="175">
        <f t="shared" si="48"/>
        <v>3</v>
      </c>
      <c r="AQ28" s="175">
        <f t="shared" si="49"/>
        <v>1</v>
      </c>
      <c r="AR28" s="175">
        <f t="shared" si="50"/>
        <v>0</v>
      </c>
      <c r="AS28" s="175">
        <f t="shared" si="51"/>
        <v>0</v>
      </c>
      <c r="AT28" s="176">
        <f t="shared" si="52"/>
        <v>0</v>
      </c>
      <c r="AU28" s="175">
        <f>SUM(AO$4:AO28)</f>
        <v>251</v>
      </c>
      <c r="AV28" s="175">
        <f>SUM(AP$4:AP28)</f>
        <v>10</v>
      </c>
      <c r="AW28" s="175">
        <f>SUM(AQ$4:AQ28)</f>
        <v>1</v>
      </c>
      <c r="AX28" s="175">
        <f>SUM(AR$4:AR28)</f>
        <v>0</v>
      </c>
      <c r="AY28" s="175">
        <f>SUM(AS$4:AS28)</f>
        <v>0</v>
      </c>
      <c r="AZ28" s="176">
        <f>SUM(AT$4:AT28)</f>
        <v>0</v>
      </c>
      <c r="BA28" s="177">
        <f t="shared" si="53"/>
        <v>7.2916666666666671E-2</v>
      </c>
      <c r="BB28" s="177">
        <f t="shared" si="54"/>
        <v>4.878048780487805E-2</v>
      </c>
      <c r="BC28" s="177">
        <f t="shared" si="55"/>
        <v>4.6948356807511738E-3</v>
      </c>
      <c r="BD28" s="177">
        <f t="shared" si="56"/>
        <v>0</v>
      </c>
      <c r="BE28" s="177">
        <f t="shared" si="57"/>
        <v>0</v>
      </c>
      <c r="BF28" s="273">
        <f t="shared" si="58"/>
        <v>0</v>
      </c>
      <c r="BG28" s="177">
        <f>SUM(BA$4:BA28)</f>
        <v>0.40029761904761912</v>
      </c>
      <c r="BH28" s="177">
        <f>SUM(BB$4:BB28)</f>
        <v>0.34634146341463412</v>
      </c>
      <c r="BI28" s="177">
        <f>SUM(BC$4:BC28)</f>
        <v>9.3896713615023476E-3</v>
      </c>
      <c r="BJ28" s="177">
        <f>SUM(BD$4:BD28)</f>
        <v>0</v>
      </c>
      <c r="BK28" s="177">
        <f>SUM(BE$4:BE28)</f>
        <v>0</v>
      </c>
      <c r="BL28" s="166">
        <f>SUM(BF$4:BF28)</f>
        <v>0</v>
      </c>
      <c r="BM28" s="411">
        <f t="shared" si="28"/>
        <v>39</v>
      </c>
      <c r="BN28" s="409">
        <f t="shared" si="29"/>
        <v>1.6250000000000002</v>
      </c>
    </row>
    <row r="29" spans="2:66" x14ac:dyDescent="0.2">
      <c r="B29" s="60">
        <f t="shared" si="30"/>
        <v>41821</v>
      </c>
      <c r="C29" s="22">
        <f t="shared" si="60"/>
        <v>3.6923076923076925</v>
      </c>
      <c r="D29" s="23">
        <f>GETPIVOTDATA("Active time (min)",EffortRPMPivot!$A$4,"date",B29,"Site",1)/60</f>
        <v>23.666666666666668</v>
      </c>
      <c r="E29" s="24">
        <f>F29+G29+GETPIVOTDATA("Sum of CNlgNo",SalmonPivot!$A$4,"Date",B29,"Site",1)</f>
        <v>30</v>
      </c>
      <c r="F29" s="24">
        <f>GETPIVOTDATA("Sum of CNlgrad",SalmonPivot!$A$4,"date",B29,"Site",1)</f>
        <v>26</v>
      </c>
      <c r="G29" s="24">
        <f>GETPIVOTDATA("Sum of CNlgrecap",SalmonPivot!$A$4,"date",B29,"Site",1)</f>
        <v>2</v>
      </c>
      <c r="H29" s="24">
        <f>I29+J29+GETPIVOTDATA("Sum of CNsmno",SalmonPivot!$M$4,"Date",B29,"Site",1)</f>
        <v>2</v>
      </c>
      <c r="I29" s="24">
        <f>GETPIVOTDATA("Sum of CNsmradio",SalmonPivot!$M$4,"Date",B29,"Site",1)</f>
        <v>1</v>
      </c>
      <c r="J29" s="24">
        <f>GETPIVOTDATA("Sum of CNsmrecap",SalmonPivot!$M$4,"Date",B29,"Site",1)</f>
        <v>0</v>
      </c>
      <c r="K29" s="24">
        <f>L29+GETPIVOTDATA("Sum of SOno",SalmonPivot!$Y$4,"Date",B29,"Site",1)+GETPIVOTDATA("Sum of SOrecap",SalmonPivot!$Y$4,"Date",B29,"Site",1)</f>
        <v>0</v>
      </c>
      <c r="L29" s="24">
        <f>GETPIVOTDATA("Sum of SOrad",SalmonPivot!$Y$4,"Date",B29,"Site",1)</f>
        <v>0</v>
      </c>
      <c r="M29" s="24">
        <f>N29+GETPIVOTDATA("Sum of PKno",SalmonPivot!$AK$4,"Date",B29,"Site",1)+GETPIVOTDATA("Sum of PKrecap",SalmonPivot!$AK$4,"Date",B29,"Site",1)</f>
        <v>0</v>
      </c>
      <c r="N29" s="24">
        <f>GETPIVOTDATA("Sum of PKrad",SalmonPivot!$AK$4,"Date",B29,"Site",1)</f>
        <v>0</v>
      </c>
      <c r="O29" s="24">
        <f>P29+GETPIVOTDATA("Sum of CMno",SalmonPivot!$AW$4,"Date",B29,"Site",1)+GETPIVOTDATA("Sum of CMrecap",SalmonPivot!$AW$4,"Date",B29,"Site",1)</f>
        <v>0</v>
      </c>
      <c r="P29" s="24">
        <f>GETPIVOTDATA("Sum of CMrad",SalmonPivot!$AW$4,"Date",B29,"Site",1)</f>
        <v>0</v>
      </c>
      <c r="Q29" s="25">
        <f>R29+GETPIVOTDATA("Sum of COno",SalmonPivot!$BI$4,"Date",B29,"Site",1)+GETPIVOTDATA("Sum of COrecap",SalmonPivot!$BI$4,"Date",B29,"Site",1)</f>
        <v>0</v>
      </c>
      <c r="R29" s="24">
        <f>GETPIVOTDATA("Sum of COrad",SalmonPivot!$BI$4,"Date",B29,"Site",1)</f>
        <v>0</v>
      </c>
      <c r="S29" s="24">
        <f>GETPIVOTDATA("Sum of TotalOther",OtherPivot!$J$5,"Date",B29,"Site",1)</f>
        <v>3</v>
      </c>
      <c r="T29" s="38"/>
      <c r="U29" s="172">
        <f>IF(GETPIVOTDATA("3 Revs (s)",EffortRPMPivot!$L$4,"Date",$B29,"Site",1)=0,"",GETPIVOTDATA("3 revs (s)",EffortRPMPivot!$L$4,"date",$B29,"Site",1))</f>
        <v>48.75</v>
      </c>
      <c r="V29" s="173">
        <f t="shared" si="34"/>
        <v>1.2676056338028168</v>
      </c>
      <c r="W29" s="173">
        <f t="shared" si="35"/>
        <v>8.4507042253521125E-2</v>
      </c>
      <c r="X29" s="173">
        <f t="shared" si="36"/>
        <v>0</v>
      </c>
      <c r="Y29" s="173">
        <f t="shared" si="37"/>
        <v>0</v>
      </c>
      <c r="Z29" s="173">
        <f t="shared" si="38"/>
        <v>0</v>
      </c>
      <c r="AA29" s="174">
        <f t="shared" si="39"/>
        <v>0</v>
      </c>
      <c r="AB29" s="175">
        <f t="shared" si="40"/>
        <v>58</v>
      </c>
      <c r="AC29" s="175">
        <f t="shared" si="41"/>
        <v>12</v>
      </c>
      <c r="AD29" s="175">
        <f t="shared" si="42"/>
        <v>0</v>
      </c>
      <c r="AE29" s="175">
        <f t="shared" si="43"/>
        <v>0</v>
      </c>
      <c r="AF29" s="175">
        <f t="shared" si="44"/>
        <v>0</v>
      </c>
      <c r="AG29" s="175">
        <f t="shared" si="45"/>
        <v>0</v>
      </c>
      <c r="AH29" s="176">
        <f t="shared" si="46"/>
        <v>58</v>
      </c>
      <c r="AI29" s="175">
        <f>SUM(AB$4:AB29)</f>
        <v>327</v>
      </c>
      <c r="AJ29" s="175">
        <f>SUM(AC$4:AC29)</f>
        <v>83</v>
      </c>
      <c r="AK29" s="175">
        <f>SUM(AD$4:AD29)</f>
        <v>2</v>
      </c>
      <c r="AL29" s="175">
        <f>SUM(AE$4:AE29)</f>
        <v>0</v>
      </c>
      <c r="AM29" s="175">
        <f>SUM(AF$4:AF29)</f>
        <v>0</v>
      </c>
      <c r="AN29" s="176">
        <f>SUM(AG$4:AG29)</f>
        <v>0</v>
      </c>
      <c r="AO29" s="175">
        <f t="shared" si="47"/>
        <v>51</v>
      </c>
      <c r="AP29" s="175">
        <f t="shared" si="48"/>
        <v>3</v>
      </c>
      <c r="AQ29" s="175">
        <f t="shared" si="49"/>
        <v>0</v>
      </c>
      <c r="AR29" s="175">
        <f t="shared" si="50"/>
        <v>0</v>
      </c>
      <c r="AS29" s="175">
        <f t="shared" si="51"/>
        <v>0</v>
      </c>
      <c r="AT29" s="176">
        <f t="shared" si="52"/>
        <v>0</v>
      </c>
      <c r="AU29" s="175">
        <f>SUM(AO$4:AO29)</f>
        <v>302</v>
      </c>
      <c r="AV29" s="175">
        <f>SUM(AP$4:AP29)</f>
        <v>13</v>
      </c>
      <c r="AW29" s="175">
        <f>SUM(AQ$4:AQ29)</f>
        <v>1</v>
      </c>
      <c r="AX29" s="175">
        <f>SUM(AR$4:AR29)</f>
        <v>0</v>
      </c>
      <c r="AY29" s="175">
        <f>SUM(AS$4:AS29)</f>
        <v>0</v>
      </c>
      <c r="AZ29" s="176">
        <f>SUM(AT$4:AT29)</f>
        <v>0</v>
      </c>
      <c r="BA29" s="177">
        <f t="shared" si="53"/>
        <v>8.6309523809523808E-2</v>
      </c>
      <c r="BB29" s="177">
        <f t="shared" si="54"/>
        <v>5.8536585365853662E-2</v>
      </c>
      <c r="BC29" s="177">
        <f t="shared" si="55"/>
        <v>0</v>
      </c>
      <c r="BD29" s="177">
        <f t="shared" si="56"/>
        <v>0</v>
      </c>
      <c r="BE29" s="177">
        <f t="shared" si="57"/>
        <v>0</v>
      </c>
      <c r="BF29" s="273">
        <f t="shared" si="58"/>
        <v>0</v>
      </c>
      <c r="BG29" s="177">
        <f>SUM(BA$4:BA29)</f>
        <v>0.4866071428571429</v>
      </c>
      <c r="BH29" s="177">
        <f>SUM(BB$4:BB29)</f>
        <v>0.40487804878048778</v>
      </c>
      <c r="BI29" s="177">
        <f>SUM(BC$4:BC29)</f>
        <v>9.3896713615023476E-3</v>
      </c>
      <c r="BJ29" s="177">
        <f>SUM(BD$4:BD29)</f>
        <v>0</v>
      </c>
      <c r="BK29" s="177">
        <f>SUM(BE$4:BE29)</f>
        <v>0</v>
      </c>
      <c r="BL29" s="166">
        <f>SUM(BF$4:BF29)</f>
        <v>0</v>
      </c>
      <c r="BM29" s="411">
        <f t="shared" si="28"/>
        <v>30</v>
      </c>
      <c r="BN29" s="409">
        <f t="shared" si="29"/>
        <v>1.2676056338028168</v>
      </c>
    </row>
    <row r="30" spans="2:66" x14ac:dyDescent="0.2">
      <c r="B30" s="60">
        <f t="shared" si="30"/>
        <v>41822</v>
      </c>
      <c r="C30" s="22">
        <f t="shared" si="60"/>
        <v>4.9655172413793105</v>
      </c>
      <c r="D30" s="23">
        <f>GETPIVOTDATA("Active time (min)",EffortRPMPivot!$A$4,"date",B30,"Site",1)/60</f>
        <v>21.433333333333334</v>
      </c>
      <c r="E30" s="24">
        <f>F30+G30+GETPIVOTDATA("Sum of CNlgNo",SalmonPivot!$A$4,"Date",B30,"Site",1)</f>
        <v>4</v>
      </c>
      <c r="F30" s="24">
        <f>GETPIVOTDATA("Sum of CNlgrad",SalmonPivot!$A$4,"date",B30,"Site",1)</f>
        <v>4</v>
      </c>
      <c r="G30" s="24">
        <f>GETPIVOTDATA("Sum of CNlgrecap",SalmonPivot!$A$4,"date",B30,"Site",1)</f>
        <v>0</v>
      </c>
      <c r="H30" s="24">
        <f>I30+J30+GETPIVOTDATA("Sum of CNsmno",SalmonPivot!$M$4,"Date",B30,"Site",1)</f>
        <v>9</v>
      </c>
      <c r="I30" s="24">
        <f>GETPIVOTDATA("Sum of CNsmradio",SalmonPivot!$M$4,"Date",B30,"Site",1)</f>
        <v>2</v>
      </c>
      <c r="J30" s="24">
        <f>GETPIVOTDATA("Sum of CNsmrecap",SalmonPivot!$M$4,"Date",B30,"Site",1)</f>
        <v>0</v>
      </c>
      <c r="K30" s="24">
        <f>L30+GETPIVOTDATA("Sum of SOno",SalmonPivot!$Y$4,"Date",B30,"Site",1)+GETPIVOTDATA("Sum of SOrecap",SalmonPivot!$Y$4,"Date",B30,"Site",1)</f>
        <v>0</v>
      </c>
      <c r="L30" s="24">
        <f>GETPIVOTDATA("Sum of SOrad",SalmonPivot!$Y$4,"Date",B30,"Site",1)</f>
        <v>0</v>
      </c>
      <c r="M30" s="24">
        <f>N30+GETPIVOTDATA("Sum of PKno",SalmonPivot!$AK$4,"Date",B30,"Site",1)+GETPIVOTDATA("Sum of PKrecap",SalmonPivot!$AK$4,"Date",B30,"Site",1)</f>
        <v>0</v>
      </c>
      <c r="N30" s="24">
        <f>GETPIVOTDATA("Sum of PKrad",SalmonPivot!$AK$4,"Date",B30,"Site",1)</f>
        <v>0</v>
      </c>
      <c r="O30" s="24">
        <f>P30+GETPIVOTDATA("Sum of CMno",SalmonPivot!$AW$4,"Date",B30,"Site",1)+GETPIVOTDATA("Sum of CMrecap",SalmonPivot!$AW$4,"Date",B30,"Site",1)</f>
        <v>0</v>
      </c>
      <c r="P30" s="24">
        <f>GETPIVOTDATA("Sum of CMrad",SalmonPivot!$AW$4,"Date",B30,"Site",1)</f>
        <v>0</v>
      </c>
      <c r="Q30" s="25">
        <f>R30+GETPIVOTDATA("Sum of COno",SalmonPivot!$BI$4,"Date",B30,"Site",1)+GETPIVOTDATA("Sum of COrecap",SalmonPivot!$BI$4,"Date",B30,"Site",1)</f>
        <v>0</v>
      </c>
      <c r="R30" s="24">
        <f>GETPIVOTDATA("Sum of COrad",SalmonPivot!$BI$4,"Date",B30,"Site",1)</f>
        <v>0</v>
      </c>
      <c r="S30" s="24">
        <f>GETPIVOTDATA("Sum of TotalOther",OtherPivot!$J$5,"Date",B30,"Site",1)</f>
        <v>2</v>
      </c>
      <c r="T30" s="38"/>
      <c r="U30" s="172">
        <f>IF(GETPIVOTDATA("3 Revs (s)",EffortRPMPivot!$L$4,"Date",$B30,"Site",1)=0,"",GETPIVOTDATA("3 revs (s)",EffortRPMPivot!$L$4,"date",$B30,"Site",1))</f>
        <v>36.25</v>
      </c>
      <c r="V30" s="173">
        <f t="shared" si="34"/>
        <v>0.18662519440124417</v>
      </c>
      <c r="W30" s="173">
        <f t="shared" si="35"/>
        <v>0.41990668740279935</v>
      </c>
      <c r="X30" s="173">
        <f t="shared" si="36"/>
        <v>0</v>
      </c>
      <c r="Y30" s="173">
        <f t="shared" si="37"/>
        <v>0</v>
      </c>
      <c r="Z30" s="173">
        <f t="shared" si="38"/>
        <v>0</v>
      </c>
      <c r="AA30" s="174">
        <f t="shared" si="39"/>
        <v>0</v>
      </c>
      <c r="AB30" s="175">
        <f t="shared" si="40"/>
        <v>27</v>
      </c>
      <c r="AC30" s="175">
        <f t="shared" si="41"/>
        <v>16</v>
      </c>
      <c r="AD30" s="175">
        <f t="shared" si="42"/>
        <v>0</v>
      </c>
      <c r="AE30" s="175">
        <f t="shared" si="43"/>
        <v>0</v>
      </c>
      <c r="AF30" s="175">
        <f t="shared" si="44"/>
        <v>0</v>
      </c>
      <c r="AG30" s="175">
        <f t="shared" si="45"/>
        <v>0</v>
      </c>
      <c r="AH30" s="176">
        <f t="shared" si="46"/>
        <v>27</v>
      </c>
      <c r="AI30" s="175">
        <f>SUM(AB$4:AB30)</f>
        <v>354</v>
      </c>
      <c r="AJ30" s="175">
        <f>SUM(AC$4:AC30)</f>
        <v>99</v>
      </c>
      <c r="AK30" s="175">
        <f>SUM(AD$4:AD30)</f>
        <v>2</v>
      </c>
      <c r="AL30" s="175">
        <f>SUM(AE$4:AE30)</f>
        <v>0</v>
      </c>
      <c r="AM30" s="175">
        <f>SUM(AF$4:AF30)</f>
        <v>0</v>
      </c>
      <c r="AN30" s="176">
        <f>SUM(AG$4:AG30)</f>
        <v>0</v>
      </c>
      <c r="AO30" s="175">
        <f t="shared" si="47"/>
        <v>23</v>
      </c>
      <c r="AP30" s="175">
        <f t="shared" si="48"/>
        <v>3</v>
      </c>
      <c r="AQ30" s="175">
        <f t="shared" si="49"/>
        <v>0</v>
      </c>
      <c r="AR30" s="175">
        <f t="shared" si="50"/>
        <v>0</v>
      </c>
      <c r="AS30" s="175">
        <f t="shared" si="51"/>
        <v>0</v>
      </c>
      <c r="AT30" s="176">
        <f t="shared" si="52"/>
        <v>0</v>
      </c>
      <c r="AU30" s="175">
        <f>SUM(AO$4:AO30)</f>
        <v>325</v>
      </c>
      <c r="AV30" s="175">
        <f>SUM(AP$4:AP30)</f>
        <v>16</v>
      </c>
      <c r="AW30" s="175">
        <f>SUM(AQ$4:AQ30)</f>
        <v>1</v>
      </c>
      <c r="AX30" s="175">
        <f>SUM(AR$4:AR30)</f>
        <v>0</v>
      </c>
      <c r="AY30" s="175">
        <f>SUM(AS$4:AS30)</f>
        <v>0</v>
      </c>
      <c r="AZ30" s="176">
        <f>SUM(AT$4:AT30)</f>
        <v>0</v>
      </c>
      <c r="BA30" s="177">
        <f t="shared" si="53"/>
        <v>4.0178571428571432E-2</v>
      </c>
      <c r="BB30" s="177">
        <f t="shared" si="54"/>
        <v>7.8048780487804878E-2</v>
      </c>
      <c r="BC30" s="177">
        <f t="shared" si="55"/>
        <v>0</v>
      </c>
      <c r="BD30" s="177">
        <f t="shared" si="56"/>
        <v>0</v>
      </c>
      <c r="BE30" s="177">
        <f t="shared" si="57"/>
        <v>0</v>
      </c>
      <c r="BF30" s="273">
        <f t="shared" si="58"/>
        <v>0</v>
      </c>
      <c r="BG30" s="177">
        <f>SUM(BA$4:BA30)</f>
        <v>0.5267857142857143</v>
      </c>
      <c r="BH30" s="177">
        <f>SUM(BB$4:BB30)</f>
        <v>0.48292682926829267</v>
      </c>
      <c r="BI30" s="177">
        <f>SUM(BC$4:BC30)</f>
        <v>9.3896713615023476E-3</v>
      </c>
      <c r="BJ30" s="177">
        <f>SUM(BD$4:BD30)</f>
        <v>0</v>
      </c>
      <c r="BK30" s="177">
        <f>SUM(BE$4:BE30)</f>
        <v>0</v>
      </c>
      <c r="BL30" s="166">
        <f>SUM(BF$4:BF30)</f>
        <v>0</v>
      </c>
      <c r="BM30" s="411">
        <f t="shared" si="28"/>
        <v>4</v>
      </c>
      <c r="BN30" s="409">
        <f t="shared" si="29"/>
        <v>0.18662519440124417</v>
      </c>
    </row>
    <row r="31" spans="2:66" x14ac:dyDescent="0.2">
      <c r="B31" s="60">
        <f t="shared" si="30"/>
        <v>41823</v>
      </c>
      <c r="C31" s="22">
        <f t="shared" si="60"/>
        <v>5.202312138728324</v>
      </c>
      <c r="D31" s="23">
        <f>GETPIVOTDATA("Active time (min)",EffortRPMPivot!$A$4,"date",B31,"Site",1)/60</f>
        <v>18.016666666666666</v>
      </c>
      <c r="E31" s="24">
        <f>F31+G31+GETPIVOTDATA("Sum of CNlgNo",SalmonPivot!$A$4,"Date",B31,"Site",1)</f>
        <v>3</v>
      </c>
      <c r="F31" s="24">
        <f>GETPIVOTDATA("Sum of CNlgrad",SalmonPivot!$A$4,"date",B31,"Site",1)</f>
        <v>3</v>
      </c>
      <c r="G31" s="24">
        <f>GETPIVOTDATA("Sum of CNlgrecap",SalmonPivot!$A$4,"date",B31,"Site",1)</f>
        <v>0</v>
      </c>
      <c r="H31" s="24">
        <f>I31+J31+GETPIVOTDATA("Sum of CNsmno",SalmonPivot!$M$4,"Date",B31,"Site",1)</f>
        <v>4</v>
      </c>
      <c r="I31" s="24">
        <f>GETPIVOTDATA("Sum of CNsmradio",SalmonPivot!$M$4,"Date",B31,"Site",1)</f>
        <v>0</v>
      </c>
      <c r="J31" s="24">
        <f>GETPIVOTDATA("Sum of CNsmrecap",SalmonPivot!$M$4,"Date",B31,"Site",1)</f>
        <v>0</v>
      </c>
      <c r="K31" s="24">
        <f>L31+GETPIVOTDATA("Sum of SOno",SalmonPivot!$Y$4,"Date",B31,"Site",1)+GETPIVOTDATA("Sum of SOrecap",SalmonPivot!$Y$4,"Date",B31,"Site",1)</f>
        <v>1</v>
      </c>
      <c r="L31" s="24">
        <f>GETPIVOTDATA("Sum of SOrad",SalmonPivot!$Y$4,"Date",B31,"Site",1)</f>
        <v>1</v>
      </c>
      <c r="M31" s="24">
        <f>N31+GETPIVOTDATA("Sum of PKno",SalmonPivot!$AK$4,"Date",B31,"Site",1)+GETPIVOTDATA("Sum of PKrecap",SalmonPivot!$AK$4,"Date",B31,"Site",1)</f>
        <v>0</v>
      </c>
      <c r="N31" s="24">
        <f>GETPIVOTDATA("Sum of PKrad",SalmonPivot!$AK$4,"Date",B31,"Site",1)</f>
        <v>0</v>
      </c>
      <c r="O31" s="24">
        <f>P31+GETPIVOTDATA("Sum of CMno",SalmonPivot!$AW$4,"Date",B31,"Site",1)+GETPIVOTDATA("Sum of CMrecap",SalmonPivot!$AW$4,"Date",B31,"Site",1)</f>
        <v>0</v>
      </c>
      <c r="P31" s="24">
        <f>GETPIVOTDATA("Sum of CMrad",SalmonPivot!$AW$4,"Date",B31,"Site",1)</f>
        <v>0</v>
      </c>
      <c r="Q31" s="25">
        <f>R31+GETPIVOTDATA("Sum of COno",SalmonPivot!$BI$4,"Date",B31,"Site",1)+GETPIVOTDATA("Sum of COrecap",SalmonPivot!$BI$4,"Date",B31,"Site",1)</f>
        <v>0</v>
      </c>
      <c r="R31" s="24">
        <f>GETPIVOTDATA("Sum of COrad",SalmonPivot!$BI$4,"Date",B31,"Site",1)</f>
        <v>0</v>
      </c>
      <c r="S31" s="24">
        <f>GETPIVOTDATA("Sum of TotalOther",OtherPivot!$J$5,"Date",B31,"Site",1)</f>
        <v>1</v>
      </c>
      <c r="T31" s="38"/>
      <c r="U31" s="172">
        <f>IF(GETPIVOTDATA("3 Revs (s)",EffortRPMPivot!$L$4,"Date",$B31,"Site",1)=0,"",GETPIVOTDATA("3 revs (s)",EffortRPMPivot!$L$4,"date",$B31,"Site",1))</f>
        <v>34.6</v>
      </c>
      <c r="V31" s="173">
        <f t="shared" si="34"/>
        <v>0.16651248843663274</v>
      </c>
      <c r="W31" s="173">
        <f t="shared" si="35"/>
        <v>0.22201665124884368</v>
      </c>
      <c r="X31" s="173">
        <f t="shared" si="36"/>
        <v>5.5504162812210919E-2</v>
      </c>
      <c r="Y31" s="173">
        <f t="shared" si="37"/>
        <v>0</v>
      </c>
      <c r="Z31" s="173">
        <f t="shared" si="38"/>
        <v>0</v>
      </c>
      <c r="AA31" s="174">
        <f t="shared" si="39"/>
        <v>0</v>
      </c>
      <c r="AB31" s="175">
        <f t="shared" si="40"/>
        <v>15</v>
      </c>
      <c r="AC31" s="175">
        <f t="shared" si="41"/>
        <v>7</v>
      </c>
      <c r="AD31" s="175">
        <f t="shared" si="42"/>
        <v>1</v>
      </c>
      <c r="AE31" s="175">
        <f t="shared" si="43"/>
        <v>0</v>
      </c>
      <c r="AF31" s="175">
        <f t="shared" si="44"/>
        <v>0</v>
      </c>
      <c r="AG31" s="175">
        <f t="shared" si="45"/>
        <v>0</v>
      </c>
      <c r="AH31" s="176">
        <f t="shared" si="46"/>
        <v>16</v>
      </c>
      <c r="AI31" s="175">
        <f>SUM(AB$4:AB31)</f>
        <v>369</v>
      </c>
      <c r="AJ31" s="175">
        <f>SUM(AC$4:AC31)</f>
        <v>106</v>
      </c>
      <c r="AK31" s="175">
        <f>SUM(AD$4:AD31)</f>
        <v>3</v>
      </c>
      <c r="AL31" s="175">
        <f>SUM(AE$4:AE31)</f>
        <v>0</v>
      </c>
      <c r="AM31" s="175">
        <f>SUM(AF$4:AF31)</f>
        <v>0</v>
      </c>
      <c r="AN31" s="176">
        <f>SUM(AG$4:AG31)</f>
        <v>0</v>
      </c>
      <c r="AO31" s="175">
        <f t="shared" si="47"/>
        <v>14</v>
      </c>
      <c r="AP31" s="175">
        <f t="shared" si="48"/>
        <v>0</v>
      </c>
      <c r="AQ31" s="175">
        <f t="shared" si="49"/>
        <v>1</v>
      </c>
      <c r="AR31" s="175">
        <f t="shared" si="50"/>
        <v>0</v>
      </c>
      <c r="AS31" s="175">
        <f t="shared" si="51"/>
        <v>0</v>
      </c>
      <c r="AT31" s="176">
        <f t="shared" si="52"/>
        <v>0</v>
      </c>
      <c r="AU31" s="175">
        <f>SUM(AO$4:AO31)</f>
        <v>339</v>
      </c>
      <c r="AV31" s="175">
        <f>SUM(AP$4:AP31)</f>
        <v>16</v>
      </c>
      <c r="AW31" s="175">
        <f>SUM(AQ$4:AQ31)</f>
        <v>2</v>
      </c>
      <c r="AX31" s="175">
        <f>SUM(AR$4:AR31)</f>
        <v>0</v>
      </c>
      <c r="AY31" s="175">
        <f>SUM(AS$4:AS31)</f>
        <v>0</v>
      </c>
      <c r="AZ31" s="176">
        <f>SUM(AT$4:AT31)</f>
        <v>0</v>
      </c>
      <c r="BA31" s="177">
        <f t="shared" si="53"/>
        <v>2.2321428571428572E-2</v>
      </c>
      <c r="BB31" s="177">
        <f t="shared" si="54"/>
        <v>3.4146341463414637E-2</v>
      </c>
      <c r="BC31" s="177">
        <f t="shared" si="55"/>
        <v>4.6948356807511738E-3</v>
      </c>
      <c r="BD31" s="177">
        <f t="shared" si="56"/>
        <v>0</v>
      </c>
      <c r="BE31" s="177">
        <f t="shared" si="57"/>
        <v>0</v>
      </c>
      <c r="BF31" s="273">
        <f t="shared" si="58"/>
        <v>0</v>
      </c>
      <c r="BG31" s="177">
        <f>SUM(BA$4:BA31)</f>
        <v>0.5491071428571429</v>
      </c>
      <c r="BH31" s="177">
        <f>SUM(BB$4:BB31)</f>
        <v>0.51707317073170733</v>
      </c>
      <c r="BI31" s="177">
        <f>SUM(BC$4:BC31)</f>
        <v>1.4084507042253521E-2</v>
      </c>
      <c r="BJ31" s="177">
        <f>SUM(BD$4:BD31)</f>
        <v>0</v>
      </c>
      <c r="BK31" s="177">
        <f>SUM(BE$4:BE31)</f>
        <v>0</v>
      </c>
      <c r="BL31" s="166">
        <f>SUM(BF$4:BF31)</f>
        <v>0</v>
      </c>
      <c r="BM31" s="411">
        <f t="shared" si="28"/>
        <v>4</v>
      </c>
      <c r="BN31" s="409">
        <f t="shared" si="29"/>
        <v>0.22201665124884368</v>
      </c>
    </row>
    <row r="32" spans="2:66" x14ac:dyDescent="0.2">
      <c r="B32" s="60">
        <f t="shared" si="30"/>
        <v>41824</v>
      </c>
      <c r="C32" s="22">
        <f t="shared" si="60"/>
        <v>5.1724137931034484</v>
      </c>
      <c r="D32" s="23">
        <f>GETPIVOTDATA("Active time (min)",EffortRPMPivot!$A$4,"date",B32,"Site",1)/60</f>
        <v>22.883333333333333</v>
      </c>
      <c r="E32" s="24">
        <f>F32+G32+GETPIVOTDATA("Sum of CNlgNo",SalmonPivot!$A$4,"Date",B32,"Site",1)</f>
        <v>10</v>
      </c>
      <c r="F32" s="24">
        <f>GETPIVOTDATA("Sum of CNlgrad",SalmonPivot!$A$4,"date",B32,"Site",1)</f>
        <v>10</v>
      </c>
      <c r="G32" s="24">
        <f>GETPIVOTDATA("Sum of CNlgrecap",SalmonPivot!$A$4,"date",B32,"Site",1)</f>
        <v>0</v>
      </c>
      <c r="H32" s="24">
        <f>I32+J32+GETPIVOTDATA("Sum of CNsmno",SalmonPivot!$M$4,"Date",B32,"Site",1)</f>
        <v>3</v>
      </c>
      <c r="I32" s="24">
        <f>GETPIVOTDATA("Sum of CNsmradio",SalmonPivot!$M$4,"Date",B32,"Site",1)</f>
        <v>2</v>
      </c>
      <c r="J32" s="24">
        <f>GETPIVOTDATA("Sum of CNsmrecap",SalmonPivot!$M$4,"Date",B32,"Site",1)</f>
        <v>0</v>
      </c>
      <c r="K32" s="24">
        <f>L32+GETPIVOTDATA("Sum of SOno",SalmonPivot!$Y$4,"Date",B32,"Site",1)+GETPIVOTDATA("Sum of SOrecap",SalmonPivot!$Y$4,"Date",B32,"Site",1)</f>
        <v>0</v>
      </c>
      <c r="L32" s="24">
        <f>GETPIVOTDATA("Sum of SOrad",SalmonPivot!$Y$4,"Date",B32,"Site",1)</f>
        <v>0</v>
      </c>
      <c r="M32" s="24">
        <f>N32+GETPIVOTDATA("Sum of PKno",SalmonPivot!$AK$4,"Date",B32,"Site",1)+GETPIVOTDATA("Sum of PKrecap",SalmonPivot!$AK$4,"Date",B32,"Site",1)</f>
        <v>0</v>
      </c>
      <c r="N32" s="24">
        <f>GETPIVOTDATA("Sum of PKrad",SalmonPivot!$AK$4,"Date",B32,"Site",1)</f>
        <v>0</v>
      </c>
      <c r="O32" s="24">
        <f>P32+GETPIVOTDATA("Sum of CMno",SalmonPivot!$AW$4,"Date",B32,"Site",1)+GETPIVOTDATA("Sum of CMrecap",SalmonPivot!$AW$4,"Date",B32,"Site",1)</f>
        <v>0</v>
      </c>
      <c r="P32" s="24">
        <f>GETPIVOTDATA("Sum of CMrad",SalmonPivot!$AW$4,"Date",B32,"Site",1)</f>
        <v>0</v>
      </c>
      <c r="Q32" s="25">
        <f>R32+GETPIVOTDATA("Sum of COno",SalmonPivot!$BI$4,"Date",B32,"Site",1)+GETPIVOTDATA("Sum of COrecap",SalmonPivot!$BI$4,"Date",B32,"Site",1)</f>
        <v>0</v>
      </c>
      <c r="R32" s="24">
        <f>GETPIVOTDATA("Sum of COrad",SalmonPivot!$BI$4,"Date",B32,"Site",1)</f>
        <v>0</v>
      </c>
      <c r="S32" s="24">
        <f>GETPIVOTDATA("Sum of TotalOther",OtherPivot!$J$5,"Date",B32,"Site",1)</f>
        <v>0</v>
      </c>
      <c r="T32" s="38"/>
      <c r="U32" s="172">
        <f>IF(GETPIVOTDATA("3 Revs (s)",EffortRPMPivot!$L$4,"Date",$B32,"Site",1)=0,"",GETPIVOTDATA("3 revs (s)",EffortRPMPivot!$L$4,"date",$B32,"Site",1))</f>
        <v>34.799999999999997</v>
      </c>
      <c r="V32" s="173">
        <f t="shared" si="34"/>
        <v>0.43699927166788055</v>
      </c>
      <c r="W32" s="173">
        <f t="shared" si="35"/>
        <v>0.13109978150036417</v>
      </c>
      <c r="X32" s="173">
        <f t="shared" si="36"/>
        <v>0</v>
      </c>
      <c r="Y32" s="173">
        <f t="shared" si="37"/>
        <v>0</v>
      </c>
      <c r="Z32" s="173">
        <f t="shared" si="38"/>
        <v>0</v>
      </c>
      <c r="AA32" s="174">
        <f t="shared" si="39"/>
        <v>0</v>
      </c>
      <c r="AB32" s="175">
        <f t="shared" si="40"/>
        <v>30</v>
      </c>
      <c r="AC32" s="175">
        <f t="shared" si="41"/>
        <v>8</v>
      </c>
      <c r="AD32" s="175">
        <f t="shared" si="42"/>
        <v>0</v>
      </c>
      <c r="AE32" s="175">
        <f t="shared" si="43"/>
        <v>0</v>
      </c>
      <c r="AF32" s="175">
        <f t="shared" si="44"/>
        <v>0</v>
      </c>
      <c r="AG32" s="175">
        <f t="shared" si="45"/>
        <v>0</v>
      </c>
      <c r="AH32" s="176">
        <f t="shared" si="46"/>
        <v>30</v>
      </c>
      <c r="AI32" s="175">
        <f>SUM(AB$4:AB32)</f>
        <v>399</v>
      </c>
      <c r="AJ32" s="175">
        <f>SUM(AC$4:AC32)</f>
        <v>114</v>
      </c>
      <c r="AK32" s="175">
        <f>SUM(AD$4:AD32)</f>
        <v>3</v>
      </c>
      <c r="AL32" s="175">
        <f>SUM(AE$4:AE32)</f>
        <v>0</v>
      </c>
      <c r="AM32" s="175">
        <f>SUM(AF$4:AF32)</f>
        <v>0</v>
      </c>
      <c r="AN32" s="176">
        <f>SUM(AG$4:AG32)</f>
        <v>0</v>
      </c>
      <c r="AO32" s="175">
        <f t="shared" si="47"/>
        <v>28</v>
      </c>
      <c r="AP32" s="175">
        <f t="shared" si="48"/>
        <v>2</v>
      </c>
      <c r="AQ32" s="175">
        <f t="shared" si="49"/>
        <v>0</v>
      </c>
      <c r="AR32" s="175">
        <f t="shared" si="50"/>
        <v>0</v>
      </c>
      <c r="AS32" s="175">
        <f t="shared" si="51"/>
        <v>0</v>
      </c>
      <c r="AT32" s="176">
        <f t="shared" si="52"/>
        <v>0</v>
      </c>
      <c r="AU32" s="175">
        <f>SUM(AO$4:AO32)</f>
        <v>367</v>
      </c>
      <c r="AV32" s="175">
        <f>SUM(AP$4:AP32)</f>
        <v>18</v>
      </c>
      <c r="AW32" s="175">
        <f>SUM(AQ$4:AQ32)</f>
        <v>2</v>
      </c>
      <c r="AX32" s="175">
        <f>SUM(AR$4:AR32)</f>
        <v>0</v>
      </c>
      <c r="AY32" s="175">
        <f>SUM(AS$4:AS32)</f>
        <v>0</v>
      </c>
      <c r="AZ32" s="176">
        <f>SUM(AT$4:AT32)</f>
        <v>0</v>
      </c>
      <c r="BA32" s="177">
        <f t="shared" si="53"/>
        <v>4.4642857142857144E-2</v>
      </c>
      <c r="BB32" s="177">
        <f t="shared" si="54"/>
        <v>3.9024390243902439E-2</v>
      </c>
      <c r="BC32" s="177">
        <f t="shared" si="55"/>
        <v>0</v>
      </c>
      <c r="BD32" s="177">
        <f t="shared" si="56"/>
        <v>0</v>
      </c>
      <c r="BE32" s="177">
        <f t="shared" si="57"/>
        <v>0</v>
      </c>
      <c r="BF32" s="273">
        <f t="shared" si="58"/>
        <v>0</v>
      </c>
      <c r="BG32" s="177">
        <f>SUM(BA$4:BA32)</f>
        <v>0.59375</v>
      </c>
      <c r="BH32" s="177">
        <f>SUM(BB$4:BB32)</f>
        <v>0.55609756097560981</v>
      </c>
      <c r="BI32" s="177">
        <f>SUM(BC$4:BC32)</f>
        <v>1.4084507042253521E-2</v>
      </c>
      <c r="BJ32" s="177">
        <f>SUM(BD$4:BD32)</f>
        <v>0</v>
      </c>
      <c r="BK32" s="177">
        <f>SUM(BE$4:BE32)</f>
        <v>0</v>
      </c>
      <c r="BL32" s="166">
        <f>SUM(BF$4:BF32)</f>
        <v>0</v>
      </c>
      <c r="BM32" s="411">
        <f t="shared" si="28"/>
        <v>10</v>
      </c>
      <c r="BN32" s="409">
        <f t="shared" si="29"/>
        <v>0.43699927166788055</v>
      </c>
    </row>
    <row r="33" spans="2:66" x14ac:dyDescent="0.2">
      <c r="B33" s="60">
        <f t="shared" si="30"/>
        <v>41825</v>
      </c>
      <c r="C33" s="22">
        <f t="shared" si="60"/>
        <v>4.5283018867924527</v>
      </c>
      <c r="D33" s="23">
        <f>GETPIVOTDATA("Active time (min)",EffortRPMPivot!$A$4,"date",B33,"Site",1)/60</f>
        <v>23.983333333333338</v>
      </c>
      <c r="E33" s="24">
        <f>F33+G33+GETPIVOTDATA("Sum of CNlgNo",SalmonPivot!$A$4,"Date",B33,"Site",1)</f>
        <v>11</v>
      </c>
      <c r="F33" s="24">
        <f>GETPIVOTDATA("Sum of CNlgrad",SalmonPivot!$A$4,"date",B33,"Site",1)</f>
        <v>9</v>
      </c>
      <c r="G33" s="24">
        <f>GETPIVOTDATA("Sum of CNlgrecap",SalmonPivot!$A$4,"date",B33,"Site",1)</f>
        <v>1</v>
      </c>
      <c r="H33" s="24">
        <f>I33+J33+GETPIVOTDATA("Sum of CNsmno",SalmonPivot!$M$4,"Date",B33,"Site",1)</f>
        <v>5</v>
      </c>
      <c r="I33" s="24">
        <f>GETPIVOTDATA("Sum of CNsmradio",SalmonPivot!$M$4,"Date",B33,"Site",1)</f>
        <v>2</v>
      </c>
      <c r="J33" s="24">
        <f>GETPIVOTDATA("Sum of CNsmrecap",SalmonPivot!$M$4,"Date",B33,"Site",1)</f>
        <v>0</v>
      </c>
      <c r="K33" s="24">
        <f>L33+GETPIVOTDATA("Sum of SOno",SalmonPivot!$Y$4,"Date",B33,"Site",1)+GETPIVOTDATA("Sum of SOrecap",SalmonPivot!$Y$4,"Date",B33,"Site",1)</f>
        <v>0</v>
      </c>
      <c r="L33" s="24">
        <f>GETPIVOTDATA("Sum of SOrad",SalmonPivot!$Y$4,"Date",B33,"Site",1)</f>
        <v>0</v>
      </c>
      <c r="M33" s="24">
        <f>N33+GETPIVOTDATA("Sum of PKno",SalmonPivot!$AK$4,"Date",B33,"Site",1)+GETPIVOTDATA("Sum of PKrecap",SalmonPivot!$AK$4,"Date",B33,"Site",1)</f>
        <v>0</v>
      </c>
      <c r="N33" s="24">
        <f>GETPIVOTDATA("Sum of PKrad",SalmonPivot!$AK$4,"Date",B33,"Site",1)</f>
        <v>0</v>
      </c>
      <c r="O33" s="24">
        <f>P33+GETPIVOTDATA("Sum of CMno",SalmonPivot!$AW$4,"Date",B33,"Site",1)+GETPIVOTDATA("Sum of CMrecap",SalmonPivot!$AW$4,"Date",B33,"Site",1)</f>
        <v>1</v>
      </c>
      <c r="P33" s="24">
        <f>GETPIVOTDATA("Sum of CMrad",SalmonPivot!$AW$4,"Date",B33,"Site",1)</f>
        <v>1</v>
      </c>
      <c r="Q33" s="25">
        <f>R33+GETPIVOTDATA("Sum of COno",SalmonPivot!$BI$4,"Date",B33,"Site",1)+GETPIVOTDATA("Sum of COrecap",SalmonPivot!$BI$4,"Date",B33,"Site",1)</f>
        <v>0</v>
      </c>
      <c r="R33" s="24">
        <f>GETPIVOTDATA("Sum of COrad",SalmonPivot!$BI$4,"Date",B33,"Site",1)</f>
        <v>0</v>
      </c>
      <c r="S33" s="24">
        <f>GETPIVOTDATA("Sum of TotalOther",OtherPivot!$J$5,"Date",B33,"Site",1)</f>
        <v>4</v>
      </c>
      <c r="T33" s="38"/>
      <c r="U33" s="172">
        <f>IF(GETPIVOTDATA("3 Revs (s)",EffortRPMPivot!$L$4,"Date",$B33,"Site",1)=0,"",GETPIVOTDATA("3 revs (s)",EffortRPMPivot!$L$4,"date",$B33,"Site",1))</f>
        <v>39.75</v>
      </c>
      <c r="V33" s="173">
        <f t="shared" si="34"/>
        <v>0.45865184155663646</v>
      </c>
      <c r="W33" s="173">
        <f t="shared" si="35"/>
        <v>0.20847810979847112</v>
      </c>
      <c r="X33" s="173">
        <f t="shared" si="36"/>
        <v>0</v>
      </c>
      <c r="Y33" s="173">
        <f t="shared" si="37"/>
        <v>0</v>
      </c>
      <c r="Z33" s="173">
        <f t="shared" si="38"/>
        <v>4.1695621959694222E-2</v>
      </c>
      <c r="AA33" s="174">
        <f t="shared" si="39"/>
        <v>0</v>
      </c>
      <c r="AB33" s="175">
        <f t="shared" si="40"/>
        <v>40</v>
      </c>
      <c r="AC33" s="175">
        <f t="shared" si="41"/>
        <v>11</v>
      </c>
      <c r="AD33" s="175">
        <f t="shared" si="42"/>
        <v>0</v>
      </c>
      <c r="AE33" s="175">
        <f t="shared" si="43"/>
        <v>0</v>
      </c>
      <c r="AF33" s="175">
        <f t="shared" si="44"/>
        <v>1</v>
      </c>
      <c r="AG33" s="175">
        <f t="shared" si="45"/>
        <v>0</v>
      </c>
      <c r="AH33" s="176">
        <f t="shared" si="46"/>
        <v>41</v>
      </c>
      <c r="AI33" s="175">
        <f>SUM(AB$4:AB33)</f>
        <v>439</v>
      </c>
      <c r="AJ33" s="175">
        <f>SUM(AC$4:AC33)</f>
        <v>125</v>
      </c>
      <c r="AK33" s="175">
        <f>SUM(AD$4:AD33)</f>
        <v>3</v>
      </c>
      <c r="AL33" s="175">
        <f>SUM(AE$4:AE33)</f>
        <v>0</v>
      </c>
      <c r="AM33" s="175">
        <f>SUM(AF$4:AF33)</f>
        <v>1</v>
      </c>
      <c r="AN33" s="176">
        <f>SUM(AG$4:AG33)</f>
        <v>0</v>
      </c>
      <c r="AO33" s="175">
        <f t="shared" si="47"/>
        <v>36</v>
      </c>
      <c r="AP33" s="175">
        <f t="shared" si="48"/>
        <v>3</v>
      </c>
      <c r="AQ33" s="175">
        <f t="shared" si="49"/>
        <v>0</v>
      </c>
      <c r="AR33" s="175">
        <f t="shared" si="50"/>
        <v>0</v>
      </c>
      <c r="AS33" s="175">
        <f t="shared" si="51"/>
        <v>1</v>
      </c>
      <c r="AT33" s="176">
        <f t="shared" si="52"/>
        <v>0</v>
      </c>
      <c r="AU33" s="175">
        <f>SUM(AO$4:AO33)</f>
        <v>403</v>
      </c>
      <c r="AV33" s="175">
        <f>SUM(AP$4:AP33)</f>
        <v>21</v>
      </c>
      <c r="AW33" s="175">
        <f>SUM(AQ$4:AQ33)</f>
        <v>2</v>
      </c>
      <c r="AX33" s="175">
        <f>SUM(AR$4:AR33)</f>
        <v>0</v>
      </c>
      <c r="AY33" s="175">
        <f>SUM(AS$4:AS33)</f>
        <v>1</v>
      </c>
      <c r="AZ33" s="176">
        <f>SUM(AT$4:AT33)</f>
        <v>0</v>
      </c>
      <c r="BA33" s="177">
        <f t="shared" si="53"/>
        <v>5.9523809523809521E-2</v>
      </c>
      <c r="BB33" s="177">
        <f t="shared" si="54"/>
        <v>5.3658536585365853E-2</v>
      </c>
      <c r="BC33" s="177">
        <f t="shared" si="55"/>
        <v>0</v>
      </c>
      <c r="BD33" s="177">
        <f t="shared" si="56"/>
        <v>0</v>
      </c>
      <c r="BE33" s="177">
        <f t="shared" si="57"/>
        <v>6.8073519400953025E-4</v>
      </c>
      <c r="BF33" s="273">
        <f t="shared" si="58"/>
        <v>0</v>
      </c>
      <c r="BG33" s="177">
        <f>SUM(BA$4:BA33)</f>
        <v>0.65327380952380953</v>
      </c>
      <c r="BH33" s="177">
        <f>SUM(BB$4:BB33)</f>
        <v>0.60975609756097571</v>
      </c>
      <c r="BI33" s="177">
        <f>SUM(BC$4:BC33)</f>
        <v>1.4084507042253521E-2</v>
      </c>
      <c r="BJ33" s="177">
        <f>SUM(BD$4:BD33)</f>
        <v>0</v>
      </c>
      <c r="BK33" s="177">
        <f>SUM(BE$4:BE33)</f>
        <v>6.8073519400953025E-4</v>
      </c>
      <c r="BL33" s="166">
        <f>SUM(BF$4:BF33)</f>
        <v>0</v>
      </c>
      <c r="BM33" s="411">
        <f t="shared" si="28"/>
        <v>12</v>
      </c>
      <c r="BN33" s="409">
        <f t="shared" si="29"/>
        <v>0.50034746351633064</v>
      </c>
    </row>
    <row r="34" spans="2:66" x14ac:dyDescent="0.2">
      <c r="B34" s="60">
        <f t="shared" si="30"/>
        <v>41826</v>
      </c>
      <c r="C34" s="22">
        <f t="shared" si="60"/>
        <v>3.9779005524861879</v>
      </c>
      <c r="D34" s="23">
        <f>GETPIVOTDATA("Active time (min)",EffortRPMPivot!$A$4,"date",B34,"Site",1)/60</f>
        <v>23.916666666666664</v>
      </c>
      <c r="E34" s="24">
        <f>F34+G34+GETPIVOTDATA("Sum of CNlgNo",SalmonPivot!$A$4,"Date",B34,"Site",1)</f>
        <v>14</v>
      </c>
      <c r="F34" s="24">
        <f>GETPIVOTDATA("Sum of CNlgrad",SalmonPivot!$A$4,"date",B34,"Site",1)</f>
        <v>14</v>
      </c>
      <c r="G34" s="24">
        <f>GETPIVOTDATA("Sum of CNlgrecap",SalmonPivot!$A$4,"date",B34,"Site",1)</f>
        <v>0</v>
      </c>
      <c r="H34" s="24">
        <f>I34+J34+GETPIVOTDATA("Sum of CNsmno",SalmonPivot!$M$4,"Date",B34,"Site",1)</f>
        <v>8</v>
      </c>
      <c r="I34" s="24">
        <f>GETPIVOTDATA("Sum of CNsmradio",SalmonPivot!$M$4,"Date",B34,"Site",1)</f>
        <v>0</v>
      </c>
      <c r="J34" s="24">
        <f>GETPIVOTDATA("Sum of CNsmrecap",SalmonPivot!$M$4,"Date",B34,"Site",1)</f>
        <v>0</v>
      </c>
      <c r="K34" s="24">
        <f>L34+GETPIVOTDATA("Sum of SOno",SalmonPivot!$Y$4,"Date",B34,"Site",1)+GETPIVOTDATA("Sum of SOrecap",SalmonPivot!$Y$4,"Date",B34,"Site",1)</f>
        <v>1</v>
      </c>
      <c r="L34" s="24">
        <f>GETPIVOTDATA("Sum of SOrad",SalmonPivot!$Y$4,"Date",B34,"Site",1)</f>
        <v>1</v>
      </c>
      <c r="M34" s="24">
        <f>N34+GETPIVOTDATA("Sum of PKno",SalmonPivot!$AK$4,"Date",B34,"Site",1)+GETPIVOTDATA("Sum of PKrecap",SalmonPivot!$AK$4,"Date",B34,"Site",1)</f>
        <v>0</v>
      </c>
      <c r="N34" s="24">
        <f>GETPIVOTDATA("Sum of PKrad",SalmonPivot!$AK$4,"Date",B34,"Site",1)</f>
        <v>0</v>
      </c>
      <c r="O34" s="24">
        <f>P34+GETPIVOTDATA("Sum of CMno",SalmonPivot!$AW$4,"Date",B34,"Site",1)+GETPIVOTDATA("Sum of CMrecap",SalmonPivot!$AW$4,"Date",B34,"Site",1)</f>
        <v>0</v>
      </c>
      <c r="P34" s="24">
        <f>GETPIVOTDATA("Sum of CMrad",SalmonPivot!$AW$4,"Date",B34,"Site",1)</f>
        <v>0</v>
      </c>
      <c r="Q34" s="25">
        <f>R34+GETPIVOTDATA("Sum of COno",SalmonPivot!$BI$4,"Date",B34,"Site",1)+GETPIVOTDATA("Sum of COrecap",SalmonPivot!$BI$4,"Date",B34,"Site",1)</f>
        <v>0</v>
      </c>
      <c r="R34" s="24">
        <f>GETPIVOTDATA("Sum of COrad",SalmonPivot!$BI$4,"Date",B34,"Site",1)</f>
        <v>0</v>
      </c>
      <c r="S34" s="24">
        <f>GETPIVOTDATA("Sum of TotalOther",OtherPivot!$J$5,"Date",B34,"Site",1)</f>
        <v>3</v>
      </c>
      <c r="T34" s="38"/>
      <c r="U34" s="172">
        <f>IF(GETPIVOTDATA("3 Revs (s)",EffortRPMPivot!$L$4,"Date",$B34,"Site",1)=0,"",GETPIVOTDATA("3 revs (s)",EffortRPMPivot!$L$4,"date",$B34,"Site",1))</f>
        <v>45.25</v>
      </c>
      <c r="V34" s="173">
        <f t="shared" si="34"/>
        <v>0.58536585365853666</v>
      </c>
      <c r="W34" s="173">
        <f t="shared" si="35"/>
        <v>0.33449477351916379</v>
      </c>
      <c r="X34" s="173">
        <f t="shared" si="36"/>
        <v>4.1811846689895474E-2</v>
      </c>
      <c r="Y34" s="173">
        <f t="shared" si="37"/>
        <v>0</v>
      </c>
      <c r="Z34" s="173">
        <f t="shared" si="38"/>
        <v>0</v>
      </c>
      <c r="AA34" s="174">
        <f t="shared" si="39"/>
        <v>0</v>
      </c>
      <c r="AB34" s="175">
        <f t="shared" si="40"/>
        <v>33</v>
      </c>
      <c r="AC34" s="175">
        <f t="shared" si="41"/>
        <v>17</v>
      </c>
      <c r="AD34" s="175">
        <f t="shared" si="42"/>
        <v>2</v>
      </c>
      <c r="AE34" s="175">
        <f t="shared" si="43"/>
        <v>0</v>
      </c>
      <c r="AF34" s="175">
        <f t="shared" si="44"/>
        <v>0</v>
      </c>
      <c r="AG34" s="175">
        <f t="shared" si="45"/>
        <v>0</v>
      </c>
      <c r="AH34" s="176">
        <f t="shared" si="46"/>
        <v>35</v>
      </c>
      <c r="AI34" s="175">
        <f>SUM(AB$4:AB34)</f>
        <v>472</v>
      </c>
      <c r="AJ34" s="175">
        <f>SUM(AC$4:AC34)</f>
        <v>142</v>
      </c>
      <c r="AK34" s="175">
        <f>SUM(AD$4:AD34)</f>
        <v>5</v>
      </c>
      <c r="AL34" s="175">
        <f>SUM(AE$4:AE34)</f>
        <v>0</v>
      </c>
      <c r="AM34" s="175">
        <f>SUM(AF$4:AF34)</f>
        <v>1</v>
      </c>
      <c r="AN34" s="176">
        <f>SUM(AG$4:AG34)</f>
        <v>0</v>
      </c>
      <c r="AO34" s="175">
        <f t="shared" si="47"/>
        <v>31</v>
      </c>
      <c r="AP34" s="175">
        <f t="shared" si="48"/>
        <v>2</v>
      </c>
      <c r="AQ34" s="175">
        <f t="shared" si="49"/>
        <v>2</v>
      </c>
      <c r="AR34" s="175">
        <f t="shared" si="50"/>
        <v>0</v>
      </c>
      <c r="AS34" s="175">
        <f t="shared" si="51"/>
        <v>0</v>
      </c>
      <c r="AT34" s="176">
        <f t="shared" si="52"/>
        <v>0</v>
      </c>
      <c r="AU34" s="175">
        <f>SUM(AO$4:AO34)</f>
        <v>434</v>
      </c>
      <c r="AV34" s="175">
        <f>SUM(AP$4:AP34)</f>
        <v>23</v>
      </c>
      <c r="AW34" s="175">
        <f>SUM(AQ$4:AQ34)</f>
        <v>4</v>
      </c>
      <c r="AX34" s="175">
        <f>SUM(AR$4:AR34)</f>
        <v>0</v>
      </c>
      <c r="AY34" s="175">
        <f>SUM(AS$4:AS34)</f>
        <v>1</v>
      </c>
      <c r="AZ34" s="176">
        <f>SUM(AT$4:AT34)</f>
        <v>0</v>
      </c>
      <c r="BA34" s="177">
        <f t="shared" si="53"/>
        <v>4.9107142857142856E-2</v>
      </c>
      <c r="BB34" s="177">
        <f t="shared" si="54"/>
        <v>8.2926829268292687E-2</v>
      </c>
      <c r="BC34" s="177">
        <f t="shared" si="55"/>
        <v>9.3896713615023476E-3</v>
      </c>
      <c r="BD34" s="177">
        <f t="shared" si="56"/>
        <v>0</v>
      </c>
      <c r="BE34" s="177">
        <f t="shared" si="57"/>
        <v>0</v>
      </c>
      <c r="BF34" s="273">
        <f t="shared" si="58"/>
        <v>0</v>
      </c>
      <c r="BG34" s="177">
        <f>SUM(BA$4:BA34)</f>
        <v>0.70238095238095244</v>
      </c>
      <c r="BH34" s="177">
        <f>SUM(BB$4:BB34)</f>
        <v>0.69268292682926835</v>
      </c>
      <c r="BI34" s="177">
        <f>SUM(BC$4:BC34)</f>
        <v>2.3474178403755867E-2</v>
      </c>
      <c r="BJ34" s="177">
        <f>SUM(BD$4:BD34)</f>
        <v>0</v>
      </c>
      <c r="BK34" s="177">
        <f>SUM(BE$4:BE34)</f>
        <v>6.8073519400953025E-4</v>
      </c>
      <c r="BL34" s="166">
        <f>SUM(BF$4:BF34)</f>
        <v>0</v>
      </c>
      <c r="BM34" s="411">
        <f t="shared" si="28"/>
        <v>15</v>
      </c>
      <c r="BN34" s="409">
        <f t="shared" si="29"/>
        <v>0.62717770034843212</v>
      </c>
    </row>
    <row r="35" spans="2:66" x14ac:dyDescent="0.2">
      <c r="B35" s="60">
        <f t="shared" si="30"/>
        <v>41827</v>
      </c>
      <c r="C35" s="22">
        <f t="shared" ref="C35" si="61">IF(ISERROR(3/(U35/60)),"",3/(U35/60))</f>
        <v>4.8</v>
      </c>
      <c r="D35" s="23">
        <f>GETPIVOTDATA("Active time (min)",EffortRPMPivot!$A$4,"date",B35,"Site",1)/60</f>
        <v>23.383333333333333</v>
      </c>
      <c r="E35" s="24">
        <f>F35+G35+GETPIVOTDATA("Sum of CNlgNo",SalmonPivot!$A$4,"Date",B35,"Site",1)</f>
        <v>7</v>
      </c>
      <c r="F35" s="24">
        <f>GETPIVOTDATA("Sum of CNlgrad",SalmonPivot!$A$4,"date",B35,"Site",1)</f>
        <v>7</v>
      </c>
      <c r="G35" s="24">
        <f>GETPIVOTDATA("Sum of CNlgrecap",SalmonPivot!$A$4,"date",B35,"Site",1)</f>
        <v>0</v>
      </c>
      <c r="H35" s="24">
        <f>I35+J35+GETPIVOTDATA("Sum of CNsmno",SalmonPivot!$M$4,"Date",B35,"Site",1)</f>
        <v>0</v>
      </c>
      <c r="I35" s="24">
        <f>GETPIVOTDATA("Sum of CNsmradio",SalmonPivot!$M$4,"Date",B35,"Site",1)</f>
        <v>0</v>
      </c>
      <c r="J35" s="24">
        <f>GETPIVOTDATA("Sum of CNsmrecap",SalmonPivot!$M$4,"Date",B35,"Site",1)</f>
        <v>0</v>
      </c>
      <c r="K35" s="24">
        <f>L35+GETPIVOTDATA("Sum of SOno",SalmonPivot!$Y$4,"Date",B35,"Site",1)+GETPIVOTDATA("Sum of SOrecap",SalmonPivot!$Y$4,"Date",B35,"Site",1)</f>
        <v>0</v>
      </c>
      <c r="L35" s="24">
        <f>GETPIVOTDATA("Sum of SOrad",SalmonPivot!$Y$4,"Date",B35,"Site",1)</f>
        <v>0</v>
      </c>
      <c r="M35" s="24">
        <f>N35+GETPIVOTDATA("Sum of PKno",SalmonPivot!$AK$4,"Date",B35,"Site",1)+GETPIVOTDATA("Sum of PKrecap",SalmonPivot!$AK$4,"Date",B35,"Site",1)</f>
        <v>0</v>
      </c>
      <c r="N35" s="24">
        <f>GETPIVOTDATA("Sum of PKrad",SalmonPivot!$AK$4,"Date",B35,"Site",1)</f>
        <v>0</v>
      </c>
      <c r="O35" s="24">
        <f>P35+GETPIVOTDATA("Sum of CMno",SalmonPivot!$AW$4,"Date",B35,"Site",1)+GETPIVOTDATA("Sum of CMrecap",SalmonPivot!$AW$4,"Date",B35,"Site",1)</f>
        <v>0</v>
      </c>
      <c r="P35" s="24">
        <f>GETPIVOTDATA("Sum of CMrad",SalmonPivot!$AW$4,"Date",B35,"Site",1)</f>
        <v>0</v>
      </c>
      <c r="Q35" s="25">
        <f>R35+GETPIVOTDATA("Sum of COno",SalmonPivot!$BI$4,"Date",B35,"Site",1)+GETPIVOTDATA("Sum of COrecap",SalmonPivot!$BI$4,"Date",B35,"Site",1)</f>
        <v>0</v>
      </c>
      <c r="R35" s="24">
        <f>GETPIVOTDATA("Sum of COrad",SalmonPivot!$BI$4,"Date",B35,"Site",1)</f>
        <v>0</v>
      </c>
      <c r="S35" s="24">
        <f>GETPIVOTDATA("Sum of TotalOther",OtherPivot!$J$5,"Date",B35,"Site",1)</f>
        <v>2</v>
      </c>
      <c r="T35" s="38"/>
      <c r="U35" s="172">
        <f>IF(GETPIVOTDATA("3 Revs (s)",EffortRPMPivot!$L$4,"Date",$B35,"Site",1)=0,"",GETPIVOTDATA("3 revs (s)",EffortRPMPivot!$L$4,"date",$B35,"Site",1))</f>
        <v>37.5</v>
      </c>
      <c r="V35" s="173">
        <f t="shared" si="34"/>
        <v>0.29935851746258019</v>
      </c>
      <c r="W35" s="173">
        <f t="shared" si="35"/>
        <v>0</v>
      </c>
      <c r="X35" s="173">
        <f t="shared" si="36"/>
        <v>0</v>
      </c>
      <c r="Y35" s="173">
        <f t="shared" si="37"/>
        <v>0</v>
      </c>
      <c r="Z35" s="173">
        <f t="shared" si="38"/>
        <v>0</v>
      </c>
      <c r="AA35" s="174">
        <f t="shared" si="39"/>
        <v>0</v>
      </c>
      <c r="AB35" s="175">
        <f t="shared" si="40"/>
        <v>28</v>
      </c>
      <c r="AC35" s="175">
        <f t="shared" si="41"/>
        <v>5</v>
      </c>
      <c r="AD35" s="175">
        <f t="shared" si="42"/>
        <v>1</v>
      </c>
      <c r="AE35" s="175">
        <f t="shared" si="43"/>
        <v>0</v>
      </c>
      <c r="AF35" s="175">
        <f t="shared" si="44"/>
        <v>0</v>
      </c>
      <c r="AG35" s="175">
        <f t="shared" si="45"/>
        <v>0</v>
      </c>
      <c r="AH35" s="176">
        <f t="shared" si="46"/>
        <v>29</v>
      </c>
      <c r="AI35" s="175">
        <f>SUM(AB$4:AB35)</f>
        <v>500</v>
      </c>
      <c r="AJ35" s="175">
        <f>SUM(AC$4:AC35)</f>
        <v>147</v>
      </c>
      <c r="AK35" s="175">
        <f>SUM(AD$4:AD35)</f>
        <v>6</v>
      </c>
      <c r="AL35" s="175">
        <f>SUM(AE$4:AE35)</f>
        <v>0</v>
      </c>
      <c r="AM35" s="175">
        <f>SUM(AF$4:AF35)</f>
        <v>1</v>
      </c>
      <c r="AN35" s="176">
        <f>SUM(AG$4:AG35)</f>
        <v>0</v>
      </c>
      <c r="AO35" s="175">
        <f t="shared" si="47"/>
        <v>25</v>
      </c>
      <c r="AP35" s="175">
        <f t="shared" si="48"/>
        <v>0</v>
      </c>
      <c r="AQ35" s="175">
        <f t="shared" si="49"/>
        <v>1</v>
      </c>
      <c r="AR35" s="175">
        <f t="shared" si="50"/>
        <v>0</v>
      </c>
      <c r="AS35" s="175">
        <f t="shared" si="51"/>
        <v>0</v>
      </c>
      <c r="AT35" s="176">
        <f t="shared" si="52"/>
        <v>0</v>
      </c>
      <c r="AU35" s="175">
        <f>SUM(AO$4:AO35)</f>
        <v>459</v>
      </c>
      <c r="AV35" s="175">
        <f>SUM(AP$4:AP35)</f>
        <v>23</v>
      </c>
      <c r="AW35" s="175">
        <f>SUM(AQ$4:AQ35)</f>
        <v>5</v>
      </c>
      <c r="AX35" s="175">
        <f>SUM(AR$4:AR35)</f>
        <v>0</v>
      </c>
      <c r="AY35" s="175">
        <f>SUM(AS$4:AS35)</f>
        <v>1</v>
      </c>
      <c r="AZ35" s="176">
        <f>SUM(AT$4:AT35)</f>
        <v>0</v>
      </c>
      <c r="BA35" s="177">
        <f t="shared" si="53"/>
        <v>4.1666666666666664E-2</v>
      </c>
      <c r="BB35" s="177">
        <f t="shared" si="54"/>
        <v>2.4390243902439025E-2</v>
      </c>
      <c r="BC35" s="177">
        <f t="shared" si="55"/>
        <v>4.6948356807511738E-3</v>
      </c>
      <c r="BD35" s="177">
        <f t="shared" si="56"/>
        <v>0</v>
      </c>
      <c r="BE35" s="177">
        <f t="shared" si="57"/>
        <v>0</v>
      </c>
      <c r="BF35" s="273">
        <f t="shared" si="58"/>
        <v>0</v>
      </c>
      <c r="BG35" s="177">
        <f>SUM(BA$4:BA35)</f>
        <v>0.74404761904761907</v>
      </c>
      <c r="BH35" s="177">
        <f>SUM(BB$4:BB35)</f>
        <v>0.7170731707317074</v>
      </c>
      <c r="BI35" s="177">
        <f>SUM(BC$4:BC35)</f>
        <v>2.8169014084507039E-2</v>
      </c>
      <c r="BJ35" s="177">
        <f>SUM(BD$4:BD35)</f>
        <v>0</v>
      </c>
      <c r="BK35" s="177">
        <f>SUM(BE$4:BE35)</f>
        <v>6.8073519400953025E-4</v>
      </c>
      <c r="BL35" s="166">
        <f>SUM(BF$4:BF35)</f>
        <v>0</v>
      </c>
      <c r="BM35" s="411">
        <f t="shared" si="28"/>
        <v>7</v>
      </c>
      <c r="BN35" s="409">
        <f t="shared" si="29"/>
        <v>0.29935851746258019</v>
      </c>
    </row>
    <row r="36" spans="2:66" x14ac:dyDescent="0.2">
      <c r="B36" s="60">
        <f t="shared" si="30"/>
        <v>41828</v>
      </c>
      <c r="C36" s="22">
        <f t="shared" ref="C36" si="62">IF(ISERROR(3/(U36/60)),"",3/(U36/60))</f>
        <v>5.625</v>
      </c>
      <c r="D36" s="23">
        <f>GETPIVOTDATA("Active time (min)",EffortRPMPivot!$A$4,"date",B36,"Site",1)/60</f>
        <v>23.55</v>
      </c>
      <c r="E36" s="24">
        <f>F36+G36+GETPIVOTDATA("Sum of CNlgNo",SalmonPivot!$A$4,"Date",B36,"Site",1)</f>
        <v>2</v>
      </c>
      <c r="F36" s="24">
        <f>GETPIVOTDATA("Sum of CNlgrad",SalmonPivot!$A$4,"date",B36,"Site",1)</f>
        <v>2</v>
      </c>
      <c r="G36" s="24">
        <f>GETPIVOTDATA("Sum of CNlgrecap",SalmonPivot!$A$4,"date",B36,"Site",1)</f>
        <v>0</v>
      </c>
      <c r="H36" s="24">
        <f>I36+J36+GETPIVOTDATA("Sum of CNsmno",SalmonPivot!$M$4,"Date",B36,"Site",1)</f>
        <v>0</v>
      </c>
      <c r="I36" s="24">
        <f>GETPIVOTDATA("Sum of CNsmradio",SalmonPivot!$M$4,"Date",B36,"Site",1)</f>
        <v>0</v>
      </c>
      <c r="J36" s="24">
        <f>GETPIVOTDATA("Sum of CNsmrecap",SalmonPivot!$M$4,"Date",B36,"Site",1)</f>
        <v>0</v>
      </c>
      <c r="K36" s="24">
        <f>L36+GETPIVOTDATA("Sum of SOno",SalmonPivot!$Y$4,"Date",B36,"Site",1)+GETPIVOTDATA("Sum of SOrecap",SalmonPivot!$Y$4,"Date",B36,"Site",1)</f>
        <v>0</v>
      </c>
      <c r="L36" s="24">
        <f>GETPIVOTDATA("Sum of SOrad",SalmonPivot!$Y$4,"Date",B36,"Site",1)</f>
        <v>0</v>
      </c>
      <c r="M36" s="24">
        <f>N36+GETPIVOTDATA("Sum of PKno",SalmonPivot!$AK$4,"Date",B36,"Site",1)+GETPIVOTDATA("Sum of PKrecap",SalmonPivot!$AK$4,"Date",B36,"Site",1)</f>
        <v>0</v>
      </c>
      <c r="N36" s="24">
        <f>GETPIVOTDATA("Sum of PKrad",SalmonPivot!$AK$4,"Date",B36,"Site",1)</f>
        <v>0</v>
      </c>
      <c r="O36" s="24">
        <f>P36+GETPIVOTDATA("Sum of CMno",SalmonPivot!$AW$4,"Date",B36,"Site",1)+GETPIVOTDATA("Sum of CMrecap",SalmonPivot!$AW$4,"Date",B36,"Site",1)</f>
        <v>0</v>
      </c>
      <c r="P36" s="24">
        <f>GETPIVOTDATA("Sum of CMrad",SalmonPivot!$AW$4,"Date",B36,"Site",1)</f>
        <v>0</v>
      </c>
      <c r="Q36" s="25">
        <f>R36+GETPIVOTDATA("Sum of COno",SalmonPivot!$BI$4,"Date",B36,"Site",1)+GETPIVOTDATA("Sum of COrecap",SalmonPivot!$BI$4,"Date",B36,"Site",1)</f>
        <v>0</v>
      </c>
      <c r="R36" s="24">
        <f>GETPIVOTDATA("Sum of COrad",SalmonPivot!$BI$4,"Date",B36,"Site",1)</f>
        <v>0</v>
      </c>
      <c r="S36" s="24">
        <f>GETPIVOTDATA("Sum of TotalOther",OtherPivot!$J$5,"Date",B36,"Site",1)</f>
        <v>0</v>
      </c>
      <c r="T36" s="38"/>
      <c r="U36" s="172">
        <f>IF(GETPIVOTDATA("3 Revs (s)",EffortRPMPivot!$L$4,"Date",$B36,"Site",1)=0,"",GETPIVOTDATA("3 revs (s)",EffortRPMPivot!$L$4,"date",$B36,"Site",1))</f>
        <v>32</v>
      </c>
      <c r="V36" s="173">
        <f t="shared" si="34"/>
        <v>8.4925690021231418E-2</v>
      </c>
      <c r="W36" s="173">
        <f t="shared" si="35"/>
        <v>0</v>
      </c>
      <c r="X36" s="173">
        <f t="shared" si="36"/>
        <v>0</v>
      </c>
      <c r="Y36" s="173">
        <f t="shared" si="37"/>
        <v>0</v>
      </c>
      <c r="Z36" s="173">
        <f t="shared" si="38"/>
        <v>0</v>
      </c>
      <c r="AA36" s="174">
        <f t="shared" si="39"/>
        <v>0</v>
      </c>
      <c r="AB36" s="175">
        <f t="shared" si="40"/>
        <v>10</v>
      </c>
      <c r="AC36" s="175">
        <f t="shared" si="41"/>
        <v>0</v>
      </c>
      <c r="AD36" s="175">
        <f t="shared" si="42"/>
        <v>0</v>
      </c>
      <c r="AE36" s="175">
        <f t="shared" si="43"/>
        <v>0</v>
      </c>
      <c r="AF36" s="175">
        <f t="shared" si="44"/>
        <v>0</v>
      </c>
      <c r="AG36" s="175">
        <f t="shared" si="45"/>
        <v>0</v>
      </c>
      <c r="AH36" s="176">
        <f t="shared" si="46"/>
        <v>10</v>
      </c>
      <c r="AI36" s="175">
        <f>SUM(AB$4:AB36)</f>
        <v>510</v>
      </c>
      <c r="AJ36" s="175">
        <f>SUM(AC$4:AC36)</f>
        <v>147</v>
      </c>
      <c r="AK36" s="175">
        <f>SUM(AD$4:AD36)</f>
        <v>6</v>
      </c>
      <c r="AL36" s="175">
        <f>SUM(AE$4:AE36)</f>
        <v>0</v>
      </c>
      <c r="AM36" s="175">
        <f>SUM(AF$4:AF36)</f>
        <v>1</v>
      </c>
      <c r="AN36" s="176">
        <f>SUM(AG$4:AG36)</f>
        <v>0</v>
      </c>
      <c r="AO36" s="175">
        <f t="shared" si="47"/>
        <v>10</v>
      </c>
      <c r="AP36" s="175">
        <f t="shared" si="48"/>
        <v>0</v>
      </c>
      <c r="AQ36" s="175">
        <f t="shared" si="49"/>
        <v>0</v>
      </c>
      <c r="AR36" s="175">
        <f t="shared" si="50"/>
        <v>0</v>
      </c>
      <c r="AS36" s="175">
        <f t="shared" si="51"/>
        <v>0</v>
      </c>
      <c r="AT36" s="176">
        <f t="shared" si="52"/>
        <v>0</v>
      </c>
      <c r="AU36" s="175">
        <f>SUM(AO$4:AO36)</f>
        <v>469</v>
      </c>
      <c r="AV36" s="175">
        <f>SUM(AP$4:AP36)</f>
        <v>23</v>
      </c>
      <c r="AW36" s="175">
        <f>SUM(AQ$4:AQ36)</f>
        <v>5</v>
      </c>
      <c r="AX36" s="175">
        <f>SUM(AR$4:AR36)</f>
        <v>0</v>
      </c>
      <c r="AY36" s="175">
        <f>SUM(AS$4:AS36)</f>
        <v>1</v>
      </c>
      <c r="AZ36" s="176">
        <f>SUM(AT$4:AT36)</f>
        <v>0</v>
      </c>
      <c r="BA36" s="177">
        <f t="shared" si="53"/>
        <v>1.488095238095238E-2</v>
      </c>
      <c r="BB36" s="177">
        <f t="shared" si="54"/>
        <v>0</v>
      </c>
      <c r="BC36" s="177">
        <f t="shared" si="55"/>
        <v>0</v>
      </c>
      <c r="BD36" s="177">
        <f t="shared" si="56"/>
        <v>0</v>
      </c>
      <c r="BE36" s="177">
        <f t="shared" si="57"/>
        <v>0</v>
      </c>
      <c r="BF36" s="273">
        <f t="shared" si="58"/>
        <v>0</v>
      </c>
      <c r="BG36" s="177">
        <f>SUM(BA$4:BA36)</f>
        <v>0.7589285714285714</v>
      </c>
      <c r="BH36" s="177">
        <f>SUM(BB$4:BB36)</f>
        <v>0.7170731707317074</v>
      </c>
      <c r="BI36" s="177">
        <f>SUM(BC$4:BC36)</f>
        <v>2.8169014084507039E-2</v>
      </c>
      <c r="BJ36" s="177">
        <f>SUM(BD$4:BD36)</f>
        <v>0</v>
      </c>
      <c r="BK36" s="177">
        <f>SUM(BE$4:BE36)</f>
        <v>6.8073519400953025E-4</v>
      </c>
      <c r="BL36" s="166">
        <f>SUM(BF$4:BF36)</f>
        <v>0</v>
      </c>
      <c r="BM36" s="411">
        <f t="shared" si="28"/>
        <v>2</v>
      </c>
      <c r="BN36" s="409">
        <f t="shared" si="29"/>
        <v>8.4925690021231418E-2</v>
      </c>
    </row>
    <row r="37" spans="2:66" x14ac:dyDescent="0.2">
      <c r="B37" s="60">
        <f t="shared" si="30"/>
        <v>41829</v>
      </c>
      <c r="C37" s="22">
        <f t="shared" ref="C37" si="63">IF(ISERROR(3/(U37/60)),"",3/(U37/60))</f>
        <v>5.3731343283582085</v>
      </c>
      <c r="D37" s="23">
        <f>GETPIVOTDATA("Active time (min)",EffortRPMPivot!$A$4,"date",B37,"Site",1)/60</f>
        <v>23.866666666666667</v>
      </c>
      <c r="E37" s="24">
        <f>F37+G37+GETPIVOTDATA("Sum of CNlgNo",SalmonPivot!$A$4,"Date",B37,"Site",1)</f>
        <v>10</v>
      </c>
      <c r="F37" s="24">
        <f>GETPIVOTDATA("Sum of CNlgrad",SalmonPivot!$A$4,"date",B37,"Site",1)</f>
        <v>9</v>
      </c>
      <c r="G37" s="24">
        <f>GETPIVOTDATA("Sum of CNlgrecap",SalmonPivot!$A$4,"date",B37,"Site",1)</f>
        <v>1</v>
      </c>
      <c r="H37" s="24">
        <f>I37+J37+GETPIVOTDATA("Sum of CNsmno",SalmonPivot!$M$4,"Date",B37,"Site",1)</f>
        <v>1</v>
      </c>
      <c r="I37" s="24">
        <f>GETPIVOTDATA("Sum of CNsmradio",SalmonPivot!$M$4,"Date",B37,"Site",1)</f>
        <v>0</v>
      </c>
      <c r="J37" s="24">
        <f>GETPIVOTDATA("Sum of CNsmrecap",SalmonPivot!$M$4,"Date",B37,"Site",1)</f>
        <v>0</v>
      </c>
      <c r="K37" s="24">
        <f>L37+GETPIVOTDATA("Sum of SOno",SalmonPivot!$Y$4,"Date",B37,"Site",1)+GETPIVOTDATA("Sum of SOrecap",SalmonPivot!$Y$4,"Date",B37,"Site",1)</f>
        <v>0</v>
      </c>
      <c r="L37" s="24">
        <f>GETPIVOTDATA("Sum of SOrad",SalmonPivot!$Y$4,"Date",B37,"Site",1)</f>
        <v>0</v>
      </c>
      <c r="M37" s="24">
        <f>N37+GETPIVOTDATA("Sum of PKno",SalmonPivot!$AK$4,"Date",B37,"Site",1)+GETPIVOTDATA("Sum of PKrecap",SalmonPivot!$AK$4,"Date",B37,"Site",1)</f>
        <v>0</v>
      </c>
      <c r="N37" s="24">
        <f>GETPIVOTDATA("Sum of PKrad",SalmonPivot!$AK$4,"Date",B37,"Site",1)</f>
        <v>0</v>
      </c>
      <c r="O37" s="24">
        <f>P37+GETPIVOTDATA("Sum of CMno",SalmonPivot!$AW$4,"Date",B37,"Site",1)+GETPIVOTDATA("Sum of CMrecap",SalmonPivot!$AW$4,"Date",B37,"Site",1)</f>
        <v>0</v>
      </c>
      <c r="P37" s="24">
        <f>GETPIVOTDATA("Sum of CMrad",SalmonPivot!$AW$4,"Date",B37,"Site",1)</f>
        <v>0</v>
      </c>
      <c r="Q37" s="25">
        <f>R37+GETPIVOTDATA("Sum of COno",SalmonPivot!$BI$4,"Date",B37,"Site",1)+GETPIVOTDATA("Sum of COrecap",SalmonPivot!$BI$4,"Date",B37,"Site",1)</f>
        <v>0</v>
      </c>
      <c r="R37" s="24">
        <f>GETPIVOTDATA("Sum of COrad",SalmonPivot!$BI$4,"Date",B37,"Site",1)</f>
        <v>0</v>
      </c>
      <c r="S37" s="24">
        <f>GETPIVOTDATA("Sum of TotalOther",OtherPivot!$J$5,"Date",B37,"Site",1)</f>
        <v>1</v>
      </c>
      <c r="T37" s="38"/>
      <c r="U37" s="172">
        <f>IF(GETPIVOTDATA("3 Revs (s)",EffortRPMPivot!$L$4,"Date",$B37,"Site",1)=0,"",GETPIVOTDATA("3 revs (s)",EffortRPMPivot!$L$4,"date",$B37,"Site",1))</f>
        <v>33.5</v>
      </c>
      <c r="V37" s="173">
        <f t="shared" si="34"/>
        <v>0.41899441340782123</v>
      </c>
      <c r="W37" s="173">
        <f t="shared" si="35"/>
        <v>4.189944134078212E-2</v>
      </c>
      <c r="X37" s="173">
        <f t="shared" si="36"/>
        <v>0</v>
      </c>
      <c r="Y37" s="173">
        <f t="shared" si="37"/>
        <v>0</v>
      </c>
      <c r="Z37" s="173">
        <f t="shared" si="38"/>
        <v>0</v>
      </c>
      <c r="AA37" s="174">
        <f t="shared" si="39"/>
        <v>0</v>
      </c>
      <c r="AB37" s="175">
        <f t="shared" si="40"/>
        <v>24</v>
      </c>
      <c r="AC37" s="175">
        <f t="shared" si="41"/>
        <v>2</v>
      </c>
      <c r="AD37" s="175">
        <f t="shared" si="42"/>
        <v>0</v>
      </c>
      <c r="AE37" s="175">
        <f t="shared" si="43"/>
        <v>0</v>
      </c>
      <c r="AF37" s="175">
        <f t="shared" si="44"/>
        <v>0</v>
      </c>
      <c r="AG37" s="175">
        <f t="shared" si="45"/>
        <v>0</v>
      </c>
      <c r="AH37" s="176">
        <f t="shared" si="46"/>
        <v>24</v>
      </c>
      <c r="AI37" s="175">
        <f>SUM(AB$4:AB37)</f>
        <v>534</v>
      </c>
      <c r="AJ37" s="175">
        <f>SUM(AC$4:AC37)</f>
        <v>149</v>
      </c>
      <c r="AK37" s="175">
        <f>SUM(AD$4:AD37)</f>
        <v>6</v>
      </c>
      <c r="AL37" s="175">
        <f>SUM(AE$4:AE37)</f>
        <v>0</v>
      </c>
      <c r="AM37" s="175">
        <f>SUM(AF$4:AF37)</f>
        <v>1</v>
      </c>
      <c r="AN37" s="176">
        <f>SUM(AG$4:AG37)</f>
        <v>0</v>
      </c>
      <c r="AO37" s="175">
        <f t="shared" si="47"/>
        <v>19</v>
      </c>
      <c r="AP37" s="175">
        <f t="shared" si="48"/>
        <v>0</v>
      </c>
      <c r="AQ37" s="175">
        <f t="shared" si="49"/>
        <v>0</v>
      </c>
      <c r="AR37" s="175">
        <f t="shared" si="50"/>
        <v>0</v>
      </c>
      <c r="AS37" s="175">
        <f t="shared" si="51"/>
        <v>0</v>
      </c>
      <c r="AT37" s="176">
        <f t="shared" si="52"/>
        <v>0</v>
      </c>
      <c r="AU37" s="175">
        <f>SUM(AO$4:AO37)</f>
        <v>488</v>
      </c>
      <c r="AV37" s="175">
        <f>SUM(AP$4:AP37)</f>
        <v>23</v>
      </c>
      <c r="AW37" s="175">
        <f>SUM(AQ$4:AQ37)</f>
        <v>5</v>
      </c>
      <c r="AX37" s="175">
        <f>SUM(AR$4:AR37)</f>
        <v>0</v>
      </c>
      <c r="AY37" s="175">
        <f>SUM(AS$4:AS37)</f>
        <v>1</v>
      </c>
      <c r="AZ37" s="176">
        <f>SUM(AT$4:AT37)</f>
        <v>0</v>
      </c>
      <c r="BA37" s="177">
        <f t="shared" si="53"/>
        <v>3.5714285714285712E-2</v>
      </c>
      <c r="BB37" s="177">
        <f t="shared" si="54"/>
        <v>9.7560975609756097E-3</v>
      </c>
      <c r="BC37" s="177">
        <f t="shared" si="55"/>
        <v>0</v>
      </c>
      <c r="BD37" s="177">
        <f t="shared" si="56"/>
        <v>0</v>
      </c>
      <c r="BE37" s="177">
        <f t="shared" si="57"/>
        <v>0</v>
      </c>
      <c r="BF37" s="273">
        <f t="shared" si="58"/>
        <v>0</v>
      </c>
      <c r="BG37" s="177">
        <f>SUM(BA$4:BA37)</f>
        <v>0.7946428571428571</v>
      </c>
      <c r="BH37" s="177">
        <f>SUM(BB$4:BB37)</f>
        <v>0.72682926829268302</v>
      </c>
      <c r="BI37" s="177">
        <f>SUM(BC$4:BC37)</f>
        <v>2.8169014084507039E-2</v>
      </c>
      <c r="BJ37" s="177">
        <f>SUM(BD$4:BD37)</f>
        <v>0</v>
      </c>
      <c r="BK37" s="177">
        <f>SUM(BE$4:BE37)</f>
        <v>6.8073519400953025E-4</v>
      </c>
      <c r="BL37" s="166">
        <f>SUM(BF$4:BF37)</f>
        <v>0</v>
      </c>
      <c r="BM37" s="411">
        <f t="shared" si="28"/>
        <v>10</v>
      </c>
      <c r="BN37" s="409">
        <f t="shared" si="29"/>
        <v>0.41899441340782123</v>
      </c>
    </row>
    <row r="38" spans="2:66" x14ac:dyDescent="0.2">
      <c r="B38" s="60">
        <f t="shared" si="30"/>
        <v>41830</v>
      </c>
      <c r="C38" s="22">
        <f t="shared" ref="C38" si="64">IF(ISERROR(3/(U38/60)),"",3/(U38/60))</f>
        <v>5.2554744525547452</v>
      </c>
      <c r="D38" s="23">
        <f>GETPIVOTDATA("Active time (min)",EffortRPMPivot!$A$4,"date",B38,"Site",1)/60</f>
        <v>24</v>
      </c>
      <c r="E38" s="24">
        <f>F38+G38+GETPIVOTDATA("Sum of CNlgNo",SalmonPivot!$A$4,"Date",B38,"Site",1)</f>
        <v>4</v>
      </c>
      <c r="F38" s="24">
        <f>GETPIVOTDATA("Sum of CNlgrad",SalmonPivot!$A$4,"date",B38,"Site",1)</f>
        <v>4</v>
      </c>
      <c r="G38" s="24">
        <f>GETPIVOTDATA("Sum of CNlgrecap",SalmonPivot!$A$4,"date",B38,"Site",1)</f>
        <v>0</v>
      </c>
      <c r="H38" s="24">
        <f>I38+J38+GETPIVOTDATA("Sum of CNsmno",SalmonPivot!$M$4,"Date",B38,"Site",1)</f>
        <v>1</v>
      </c>
      <c r="I38" s="24">
        <f>GETPIVOTDATA("Sum of CNsmradio",SalmonPivot!$M$4,"Date",B38,"Site",1)</f>
        <v>0</v>
      </c>
      <c r="J38" s="24">
        <f>GETPIVOTDATA("Sum of CNsmrecap",SalmonPivot!$M$4,"Date",B38,"Site",1)</f>
        <v>0</v>
      </c>
      <c r="K38" s="24">
        <f>L38+GETPIVOTDATA("Sum of SOno",SalmonPivot!$Y$4,"Date",B38,"Site",1)+GETPIVOTDATA("Sum of SOrecap",SalmonPivot!$Y$4,"Date",B38,"Site",1)</f>
        <v>0</v>
      </c>
      <c r="L38" s="24">
        <f>GETPIVOTDATA("Sum of SOrad",SalmonPivot!$Y$4,"Date",B38,"Site",1)</f>
        <v>0</v>
      </c>
      <c r="M38" s="24">
        <f>N38+GETPIVOTDATA("Sum of PKno",SalmonPivot!$AK$4,"Date",B38,"Site",1)+GETPIVOTDATA("Sum of PKrecap",SalmonPivot!$AK$4,"Date",B38,"Site",1)</f>
        <v>0</v>
      </c>
      <c r="N38" s="24">
        <f>GETPIVOTDATA("Sum of PKrad",SalmonPivot!$AK$4,"Date",B38,"Site",1)</f>
        <v>0</v>
      </c>
      <c r="O38" s="24">
        <f>P38+GETPIVOTDATA("Sum of CMno",SalmonPivot!$AW$4,"Date",B38,"Site",1)+GETPIVOTDATA("Sum of CMrecap",SalmonPivot!$AW$4,"Date",B38,"Site",1)</f>
        <v>0</v>
      </c>
      <c r="P38" s="24">
        <f>GETPIVOTDATA("Sum of CMrad",SalmonPivot!$AW$4,"Date",B38,"Site",1)</f>
        <v>0</v>
      </c>
      <c r="Q38" s="25">
        <f>R38+GETPIVOTDATA("Sum of COno",SalmonPivot!$BI$4,"Date",B38,"Site",1)+GETPIVOTDATA("Sum of COrecap",SalmonPivot!$BI$4,"Date",B38,"Site",1)</f>
        <v>0</v>
      </c>
      <c r="R38" s="24">
        <f>GETPIVOTDATA("Sum of COrad",SalmonPivot!$BI$4,"Date",B38,"Site",1)</f>
        <v>0</v>
      </c>
      <c r="S38" s="24">
        <f>GETPIVOTDATA("Sum of TotalOther",OtherPivot!$J$5,"Date",B38,"Site",1)</f>
        <v>1</v>
      </c>
      <c r="T38" s="38"/>
      <c r="U38" s="172">
        <f>IF(GETPIVOTDATA("3 Revs (s)",EffortRPMPivot!$L$4,"Date",$B38,"Site",1)=0,"",GETPIVOTDATA("3 revs (s)",EffortRPMPivot!$L$4,"date",$B38,"Site",1))</f>
        <v>34.25</v>
      </c>
      <c r="V38" s="173">
        <f t="shared" si="34"/>
        <v>0.16666666666666666</v>
      </c>
      <c r="W38" s="173">
        <f t="shared" si="35"/>
        <v>4.1666666666666664E-2</v>
      </c>
      <c r="X38" s="173">
        <f t="shared" si="36"/>
        <v>0</v>
      </c>
      <c r="Y38" s="173">
        <f t="shared" si="37"/>
        <v>0</v>
      </c>
      <c r="Z38" s="173">
        <f t="shared" si="38"/>
        <v>0</v>
      </c>
      <c r="AA38" s="174">
        <f t="shared" si="39"/>
        <v>0</v>
      </c>
      <c r="AB38" s="175">
        <f t="shared" si="40"/>
        <v>18</v>
      </c>
      <c r="AC38" s="175">
        <f t="shared" si="41"/>
        <v>4</v>
      </c>
      <c r="AD38" s="175">
        <f t="shared" si="42"/>
        <v>1</v>
      </c>
      <c r="AE38" s="175">
        <f t="shared" si="43"/>
        <v>0</v>
      </c>
      <c r="AF38" s="175">
        <f t="shared" si="44"/>
        <v>0</v>
      </c>
      <c r="AG38" s="175">
        <f t="shared" si="45"/>
        <v>0</v>
      </c>
      <c r="AH38" s="176">
        <f t="shared" si="46"/>
        <v>19</v>
      </c>
      <c r="AI38" s="175">
        <f>SUM(AB$4:AB38)</f>
        <v>552</v>
      </c>
      <c r="AJ38" s="175">
        <f>SUM(AC$4:AC38)</f>
        <v>153</v>
      </c>
      <c r="AK38" s="175">
        <f>SUM(AD$4:AD38)</f>
        <v>7</v>
      </c>
      <c r="AL38" s="175">
        <f>SUM(AE$4:AE38)</f>
        <v>0</v>
      </c>
      <c r="AM38" s="175">
        <f>SUM(AF$4:AF38)</f>
        <v>1</v>
      </c>
      <c r="AN38" s="176">
        <f>SUM(AG$4:AG38)</f>
        <v>0</v>
      </c>
      <c r="AO38" s="175">
        <f t="shared" si="47"/>
        <v>14</v>
      </c>
      <c r="AP38" s="175">
        <f t="shared" si="48"/>
        <v>0</v>
      </c>
      <c r="AQ38" s="175">
        <f t="shared" si="49"/>
        <v>1</v>
      </c>
      <c r="AR38" s="175">
        <f t="shared" si="50"/>
        <v>0</v>
      </c>
      <c r="AS38" s="175">
        <f t="shared" si="51"/>
        <v>0</v>
      </c>
      <c r="AT38" s="176">
        <f t="shared" si="52"/>
        <v>0</v>
      </c>
      <c r="AU38" s="175">
        <f>SUM(AO$4:AO38)</f>
        <v>502</v>
      </c>
      <c r="AV38" s="175">
        <f>SUM(AP$4:AP38)</f>
        <v>23</v>
      </c>
      <c r="AW38" s="175">
        <f>SUM(AQ$4:AQ38)</f>
        <v>6</v>
      </c>
      <c r="AX38" s="175">
        <f>SUM(AR$4:AR38)</f>
        <v>0</v>
      </c>
      <c r="AY38" s="175">
        <f>SUM(AS$4:AS38)</f>
        <v>1</v>
      </c>
      <c r="AZ38" s="176">
        <f>SUM(AT$4:AT38)</f>
        <v>0</v>
      </c>
      <c r="BA38" s="177">
        <f t="shared" si="53"/>
        <v>2.6785714285714284E-2</v>
      </c>
      <c r="BB38" s="177">
        <f t="shared" si="54"/>
        <v>1.9512195121951219E-2</v>
      </c>
      <c r="BC38" s="177">
        <f t="shared" si="55"/>
        <v>4.6948356807511738E-3</v>
      </c>
      <c r="BD38" s="177">
        <f t="shared" si="56"/>
        <v>0</v>
      </c>
      <c r="BE38" s="177">
        <f t="shared" si="57"/>
        <v>0</v>
      </c>
      <c r="BF38" s="273">
        <f t="shared" si="58"/>
        <v>0</v>
      </c>
      <c r="BG38" s="177">
        <f>SUM(BA$4:BA38)</f>
        <v>0.8214285714285714</v>
      </c>
      <c r="BH38" s="177">
        <f>SUM(BB$4:BB38)</f>
        <v>0.74634146341463425</v>
      </c>
      <c r="BI38" s="177">
        <f>SUM(BC$4:BC38)</f>
        <v>3.2863849765258211E-2</v>
      </c>
      <c r="BJ38" s="177">
        <f>SUM(BD$4:BD38)</f>
        <v>0</v>
      </c>
      <c r="BK38" s="177">
        <f>SUM(BE$4:BE38)</f>
        <v>6.8073519400953025E-4</v>
      </c>
      <c r="BL38" s="166">
        <f>SUM(BF$4:BF38)</f>
        <v>0</v>
      </c>
      <c r="BM38" s="411">
        <f t="shared" si="28"/>
        <v>4</v>
      </c>
      <c r="BN38" s="409">
        <f t="shared" si="29"/>
        <v>0.16666666666666666</v>
      </c>
    </row>
    <row r="39" spans="2:66" x14ac:dyDescent="0.2">
      <c r="B39" s="60">
        <f t="shared" si="30"/>
        <v>41831</v>
      </c>
      <c r="C39" s="22">
        <f t="shared" ref="C39:C40" si="65">IF(ISERROR(3/(U39/60)),"",3/(U39/60))</f>
        <v>5.2173913043478262</v>
      </c>
      <c r="D39" s="23">
        <f>GETPIVOTDATA("Active time (min)",EffortRPMPivot!$A$4,"date",B39,"Site",1)/60</f>
        <v>23.899999999999995</v>
      </c>
      <c r="E39" s="24">
        <f>F39+G39+GETPIVOTDATA("Sum of CNlgNo",SalmonPivot!$A$4,"Date",B39,"Site",1)</f>
        <v>0</v>
      </c>
      <c r="F39" s="24">
        <f>GETPIVOTDATA("Sum of CNlgrad",SalmonPivot!$A$4,"date",B39,"Site",1)</f>
        <v>0</v>
      </c>
      <c r="G39" s="24">
        <f>GETPIVOTDATA("Sum of CNlgrecap",SalmonPivot!$A$4,"date",B39,"Site",1)</f>
        <v>0</v>
      </c>
      <c r="H39" s="24">
        <f>I39+J39+GETPIVOTDATA("Sum of CNsmno",SalmonPivot!$M$4,"Date",B39,"Site",1)</f>
        <v>1</v>
      </c>
      <c r="I39" s="24">
        <f>GETPIVOTDATA("Sum of CNsmradio",SalmonPivot!$M$4,"Date",B39,"Site",1)</f>
        <v>1</v>
      </c>
      <c r="J39" s="24">
        <f>GETPIVOTDATA("Sum of CNsmrecap",SalmonPivot!$M$4,"Date",B39,"Site",1)</f>
        <v>0</v>
      </c>
      <c r="K39" s="24">
        <f>L39+GETPIVOTDATA("Sum of SOno",SalmonPivot!$Y$4,"Date",B39,"Site",1)+GETPIVOTDATA("Sum of SOrecap",SalmonPivot!$Y$4,"Date",B39,"Site",1)</f>
        <v>0</v>
      </c>
      <c r="L39" s="24">
        <f>GETPIVOTDATA("Sum of SOrad",SalmonPivot!$Y$4,"Date",B39,"Site",1)</f>
        <v>0</v>
      </c>
      <c r="M39" s="24">
        <f>N39+GETPIVOTDATA("Sum of PKno",SalmonPivot!$AK$4,"Date",B39,"Site",1)+GETPIVOTDATA("Sum of PKrecap",SalmonPivot!$AK$4,"Date",B39,"Site",1)</f>
        <v>0</v>
      </c>
      <c r="N39" s="24">
        <f>GETPIVOTDATA("Sum of PKrad",SalmonPivot!$AK$4,"Date",B39,"Site",1)</f>
        <v>0</v>
      </c>
      <c r="O39" s="24">
        <f>P39+GETPIVOTDATA("Sum of CMno",SalmonPivot!$AW$4,"Date",B39,"Site",1)+GETPIVOTDATA("Sum of CMrecap",SalmonPivot!$AW$4,"Date",B39,"Site",1)</f>
        <v>0</v>
      </c>
      <c r="P39" s="24">
        <f>GETPIVOTDATA("Sum of CMrad",SalmonPivot!$AW$4,"Date",B39,"Site",1)</f>
        <v>0</v>
      </c>
      <c r="Q39" s="25">
        <f>R39+GETPIVOTDATA("Sum of COno",SalmonPivot!$BI$4,"Date",B39,"Site",1)+GETPIVOTDATA("Sum of COrecap",SalmonPivot!$BI$4,"Date",B39,"Site",1)</f>
        <v>0</v>
      </c>
      <c r="R39" s="24">
        <f>GETPIVOTDATA("Sum of COrad",SalmonPivot!$BI$4,"Date",B39,"Site",1)</f>
        <v>0</v>
      </c>
      <c r="S39" s="24">
        <f>GETPIVOTDATA("Sum of TotalOther",OtherPivot!$J$5,"Date",B39,"Site",1)</f>
        <v>0</v>
      </c>
      <c r="T39" s="38"/>
      <c r="U39" s="172">
        <f>IF(GETPIVOTDATA("3 Revs (s)",EffortRPMPivot!$L$4,"Date",$B39,"Site",1)=0,"",GETPIVOTDATA("3 revs (s)",EffortRPMPivot!$L$4,"date",$B39,"Site",1))</f>
        <v>34.5</v>
      </c>
      <c r="V39" s="173">
        <f t="shared" si="34"/>
        <v>0</v>
      </c>
      <c r="W39" s="173">
        <f t="shared" si="35"/>
        <v>4.184100418410043E-2</v>
      </c>
      <c r="X39" s="173">
        <f t="shared" si="36"/>
        <v>0</v>
      </c>
      <c r="Y39" s="173">
        <f t="shared" si="37"/>
        <v>0</v>
      </c>
      <c r="Z39" s="173">
        <f t="shared" si="38"/>
        <v>0</v>
      </c>
      <c r="AA39" s="174">
        <f t="shared" si="39"/>
        <v>0</v>
      </c>
      <c r="AB39" s="175">
        <f t="shared" si="40"/>
        <v>15</v>
      </c>
      <c r="AC39" s="175">
        <f t="shared" si="41"/>
        <v>2</v>
      </c>
      <c r="AD39" s="175">
        <f t="shared" si="42"/>
        <v>1</v>
      </c>
      <c r="AE39" s="175">
        <f t="shared" si="43"/>
        <v>0</v>
      </c>
      <c r="AF39" s="175">
        <f t="shared" si="44"/>
        <v>0</v>
      </c>
      <c r="AG39" s="175">
        <f t="shared" si="45"/>
        <v>0</v>
      </c>
      <c r="AH39" s="176">
        <f t="shared" si="46"/>
        <v>16</v>
      </c>
      <c r="AI39" s="175">
        <f>SUM(AB$4:AB39)</f>
        <v>567</v>
      </c>
      <c r="AJ39" s="175">
        <f>SUM(AC$4:AC39)</f>
        <v>155</v>
      </c>
      <c r="AK39" s="175">
        <f>SUM(AD$4:AD39)</f>
        <v>8</v>
      </c>
      <c r="AL39" s="175">
        <f>SUM(AE$4:AE39)</f>
        <v>0</v>
      </c>
      <c r="AM39" s="175">
        <f>SUM(AF$4:AF39)</f>
        <v>1</v>
      </c>
      <c r="AN39" s="176">
        <f>SUM(AG$4:AG39)</f>
        <v>0</v>
      </c>
      <c r="AO39" s="175">
        <f t="shared" si="47"/>
        <v>13</v>
      </c>
      <c r="AP39" s="175">
        <f t="shared" si="48"/>
        <v>1</v>
      </c>
      <c r="AQ39" s="175">
        <f t="shared" si="49"/>
        <v>1</v>
      </c>
      <c r="AR39" s="175">
        <f t="shared" si="50"/>
        <v>0</v>
      </c>
      <c r="AS39" s="175">
        <f t="shared" si="51"/>
        <v>0</v>
      </c>
      <c r="AT39" s="176">
        <f t="shared" si="52"/>
        <v>0</v>
      </c>
      <c r="AU39" s="175">
        <f>SUM(AO$4:AO39)</f>
        <v>515</v>
      </c>
      <c r="AV39" s="175">
        <f>SUM(AP$4:AP39)</f>
        <v>24</v>
      </c>
      <c r="AW39" s="175">
        <f>SUM(AQ$4:AQ39)</f>
        <v>7</v>
      </c>
      <c r="AX39" s="175">
        <f>SUM(AR$4:AR39)</f>
        <v>0</v>
      </c>
      <c r="AY39" s="175">
        <f>SUM(AS$4:AS39)</f>
        <v>1</v>
      </c>
      <c r="AZ39" s="176">
        <f>SUM(AT$4:AT39)</f>
        <v>0</v>
      </c>
      <c r="BA39" s="177">
        <f t="shared" si="53"/>
        <v>2.2321428571428572E-2</v>
      </c>
      <c r="BB39" s="177">
        <f t="shared" si="54"/>
        <v>9.7560975609756097E-3</v>
      </c>
      <c r="BC39" s="177">
        <f t="shared" si="55"/>
        <v>4.6948356807511738E-3</v>
      </c>
      <c r="BD39" s="177">
        <f t="shared" si="56"/>
        <v>0</v>
      </c>
      <c r="BE39" s="177">
        <f t="shared" si="57"/>
        <v>0</v>
      </c>
      <c r="BF39" s="273">
        <f t="shared" si="58"/>
        <v>0</v>
      </c>
      <c r="BG39" s="177">
        <f>SUM(BA$4:BA39)</f>
        <v>0.84375</v>
      </c>
      <c r="BH39" s="177">
        <f>SUM(BB$4:BB39)</f>
        <v>0.75609756097560987</v>
      </c>
      <c r="BI39" s="177">
        <f>SUM(BC$4:BC39)</f>
        <v>3.7558685446009384E-2</v>
      </c>
      <c r="BJ39" s="177">
        <f>SUM(BD$4:BD39)</f>
        <v>0</v>
      </c>
      <c r="BK39" s="177">
        <f>SUM(BE$4:BE39)</f>
        <v>6.8073519400953025E-4</v>
      </c>
      <c r="BL39" s="166">
        <f>SUM(BF$4:BF39)</f>
        <v>0</v>
      </c>
      <c r="BM39" s="411">
        <f t="shared" si="28"/>
        <v>0</v>
      </c>
      <c r="BN39" s="409">
        <f t="shared" si="29"/>
        <v>0</v>
      </c>
    </row>
    <row r="40" spans="2:66" x14ac:dyDescent="0.2">
      <c r="B40" s="60">
        <f t="shared" si="30"/>
        <v>41832</v>
      </c>
      <c r="C40" s="22">
        <f t="shared" si="65"/>
        <v>5</v>
      </c>
      <c r="D40" s="23">
        <f>GETPIVOTDATA("Active time (min)",EffortRPMPivot!$A$4,"date",B40,"Site",1)/60</f>
        <v>24</v>
      </c>
      <c r="E40" s="24">
        <f>F40+G40+GETPIVOTDATA("Sum of CNlgNo",SalmonPivot!$A$4,"Date",B40,"Site",1)</f>
        <v>1</v>
      </c>
      <c r="F40" s="24">
        <f>GETPIVOTDATA("Sum of CNlgrad",SalmonPivot!$A$4,"date",B40,"Site",1)</f>
        <v>1</v>
      </c>
      <c r="G40" s="24">
        <f>GETPIVOTDATA("Sum of CNlgrecap",SalmonPivot!$A$4,"date",B40,"Site",1)</f>
        <v>0</v>
      </c>
      <c r="H40" s="24">
        <f>I40+J40+GETPIVOTDATA("Sum of CNsmno",SalmonPivot!$M$4,"Date",B40,"Site",1)</f>
        <v>1</v>
      </c>
      <c r="I40" s="24">
        <f>GETPIVOTDATA("Sum of CNsmradio",SalmonPivot!$M$4,"Date",B40,"Site",1)</f>
        <v>0</v>
      </c>
      <c r="J40" s="24">
        <f>GETPIVOTDATA("Sum of CNsmrecap",SalmonPivot!$M$4,"Date",B40,"Site",1)</f>
        <v>0</v>
      </c>
      <c r="K40" s="24">
        <f>L40+GETPIVOTDATA("Sum of SOno",SalmonPivot!$Y$4,"Date",B40,"Site",1)+GETPIVOTDATA("Sum of SOrecap",SalmonPivot!$Y$4,"Date",B40,"Site",1)</f>
        <v>1</v>
      </c>
      <c r="L40" s="24">
        <f>GETPIVOTDATA("Sum of SOrad",SalmonPivot!$Y$4,"Date",B40,"Site",1)</f>
        <v>1</v>
      </c>
      <c r="M40" s="24">
        <f>N40+GETPIVOTDATA("Sum of PKno",SalmonPivot!$AK$4,"Date",B40,"Site",1)+GETPIVOTDATA("Sum of PKrecap",SalmonPivot!$AK$4,"Date",B40,"Site",1)</f>
        <v>0</v>
      </c>
      <c r="N40" s="24">
        <f>GETPIVOTDATA("Sum of PKrad",SalmonPivot!$AK$4,"Date",B40,"Site",1)</f>
        <v>0</v>
      </c>
      <c r="O40" s="24">
        <f>P40+GETPIVOTDATA("Sum of CMno",SalmonPivot!$AW$4,"Date",B40,"Site",1)+GETPIVOTDATA("Sum of CMrecap",SalmonPivot!$AW$4,"Date",B40,"Site",1)</f>
        <v>0</v>
      </c>
      <c r="P40" s="24">
        <f>GETPIVOTDATA("Sum of CMrad",SalmonPivot!$AW$4,"Date",B40,"Site",1)</f>
        <v>0</v>
      </c>
      <c r="Q40" s="25">
        <f>R40+GETPIVOTDATA("Sum of COno",SalmonPivot!$BI$4,"Date",B40,"Site",1)+GETPIVOTDATA("Sum of COrecap",SalmonPivot!$BI$4,"Date",B40,"Site",1)</f>
        <v>0</v>
      </c>
      <c r="R40" s="24">
        <f>GETPIVOTDATA("Sum of COrad",SalmonPivot!$BI$4,"Date",B40,"Site",1)</f>
        <v>0</v>
      </c>
      <c r="S40" s="24">
        <f>GETPIVOTDATA("Sum of TotalOther",OtherPivot!$J$5,"Date",B40,"Site",1)</f>
        <v>0</v>
      </c>
      <c r="T40" s="38"/>
      <c r="U40" s="172">
        <f>IF(GETPIVOTDATA("3 Revs (s)",EffortRPMPivot!$L$4,"Date",$B40,"Site",1)=0,"",GETPIVOTDATA("3 revs (s)",EffortRPMPivot!$L$4,"date",$B40,"Site",1))</f>
        <v>36</v>
      </c>
      <c r="V40" s="173">
        <f t="shared" si="34"/>
        <v>4.1666666666666664E-2</v>
      </c>
      <c r="W40" s="173">
        <f t="shared" si="35"/>
        <v>4.1666666666666664E-2</v>
      </c>
      <c r="X40" s="173">
        <f t="shared" si="36"/>
        <v>4.1666666666666664E-2</v>
      </c>
      <c r="Y40" s="173">
        <f t="shared" si="37"/>
        <v>0</v>
      </c>
      <c r="Z40" s="173">
        <f t="shared" si="38"/>
        <v>0</v>
      </c>
      <c r="AA40" s="174">
        <f t="shared" si="39"/>
        <v>0</v>
      </c>
      <c r="AB40" s="175">
        <f t="shared" si="40"/>
        <v>7</v>
      </c>
      <c r="AC40" s="175">
        <f t="shared" si="41"/>
        <v>5</v>
      </c>
      <c r="AD40" s="175">
        <f t="shared" si="42"/>
        <v>1</v>
      </c>
      <c r="AE40" s="175">
        <f t="shared" si="43"/>
        <v>0</v>
      </c>
      <c r="AF40" s="175">
        <f t="shared" si="44"/>
        <v>1</v>
      </c>
      <c r="AG40" s="175">
        <f t="shared" si="45"/>
        <v>0</v>
      </c>
      <c r="AH40" s="176">
        <f t="shared" si="46"/>
        <v>9</v>
      </c>
      <c r="AI40" s="175">
        <f>SUM(AB$4:AB40)</f>
        <v>574</v>
      </c>
      <c r="AJ40" s="175">
        <f>SUM(AC$4:AC40)</f>
        <v>160</v>
      </c>
      <c r="AK40" s="175">
        <f>SUM(AD$4:AD40)</f>
        <v>9</v>
      </c>
      <c r="AL40" s="175">
        <f>SUM(AE$4:AE40)</f>
        <v>0</v>
      </c>
      <c r="AM40" s="175">
        <f>SUM(AF$4:AF40)</f>
        <v>2</v>
      </c>
      <c r="AN40" s="176">
        <f>SUM(AG$4:AG40)</f>
        <v>0</v>
      </c>
      <c r="AO40" s="175">
        <f t="shared" si="47"/>
        <v>7</v>
      </c>
      <c r="AP40" s="175">
        <f t="shared" si="48"/>
        <v>0</v>
      </c>
      <c r="AQ40" s="175">
        <f t="shared" si="49"/>
        <v>1</v>
      </c>
      <c r="AR40" s="175">
        <f t="shared" si="50"/>
        <v>0</v>
      </c>
      <c r="AS40" s="175">
        <f t="shared" si="51"/>
        <v>1</v>
      </c>
      <c r="AT40" s="176">
        <f t="shared" si="52"/>
        <v>0</v>
      </c>
      <c r="AU40" s="175">
        <f>SUM(AO$4:AO40)</f>
        <v>522</v>
      </c>
      <c r="AV40" s="175">
        <f>SUM(AP$4:AP40)</f>
        <v>24</v>
      </c>
      <c r="AW40" s="175">
        <f>SUM(AQ$4:AQ40)</f>
        <v>8</v>
      </c>
      <c r="AX40" s="175">
        <f>SUM(AR$4:AR40)</f>
        <v>0</v>
      </c>
      <c r="AY40" s="175">
        <f>SUM(AS$4:AS40)</f>
        <v>2</v>
      </c>
      <c r="AZ40" s="176">
        <f>SUM(AT$4:AT40)</f>
        <v>0</v>
      </c>
      <c r="BA40" s="177">
        <f t="shared" si="53"/>
        <v>1.0416666666666666E-2</v>
      </c>
      <c r="BB40" s="177">
        <f t="shared" si="54"/>
        <v>2.4390243902439025E-2</v>
      </c>
      <c r="BC40" s="177">
        <f t="shared" si="55"/>
        <v>4.6948356807511738E-3</v>
      </c>
      <c r="BD40" s="177">
        <f t="shared" si="56"/>
        <v>0</v>
      </c>
      <c r="BE40" s="177">
        <f t="shared" si="57"/>
        <v>6.8073519400953025E-4</v>
      </c>
      <c r="BF40" s="273">
        <f t="shared" si="58"/>
        <v>0</v>
      </c>
      <c r="BG40" s="177">
        <f>SUM(BA$4:BA40)</f>
        <v>0.85416666666666663</v>
      </c>
      <c r="BH40" s="177">
        <f>SUM(BB$4:BB40)</f>
        <v>0.78048780487804892</v>
      </c>
      <c r="BI40" s="177">
        <f>SUM(BC$4:BC40)</f>
        <v>4.2253521126760556E-2</v>
      </c>
      <c r="BJ40" s="177">
        <f>SUM(BD$4:BD40)</f>
        <v>0</v>
      </c>
      <c r="BK40" s="177">
        <f>SUM(BE$4:BE40)</f>
        <v>1.3614703880190605E-3</v>
      </c>
      <c r="BL40" s="166">
        <f>SUM(BF$4:BF40)</f>
        <v>0</v>
      </c>
      <c r="BM40" s="411">
        <f t="shared" si="28"/>
        <v>2</v>
      </c>
      <c r="BN40" s="409">
        <f t="shared" si="29"/>
        <v>8.3333333333333329E-2</v>
      </c>
    </row>
    <row r="41" spans="2:66" x14ac:dyDescent="0.2">
      <c r="B41" s="60">
        <f t="shared" si="30"/>
        <v>41833</v>
      </c>
      <c r="C41" s="22">
        <f t="shared" ref="C41:C43" si="66">IF(ISERROR(3/(U41/60)),"",3/(U41/60))</f>
        <v>5.1798561151079134</v>
      </c>
      <c r="D41" s="23">
        <f>GETPIVOTDATA("Active time (min)",EffortRPMPivot!$A$4,"date",B41,"Site",1)/60</f>
        <v>19.266666666666666</v>
      </c>
      <c r="E41" s="24">
        <f>F41+G41+GETPIVOTDATA("Sum of CNlgNo",SalmonPivot!$A$4,"Date",B41,"Site",1)</f>
        <v>1</v>
      </c>
      <c r="F41" s="24">
        <f>GETPIVOTDATA("Sum of CNlgrad",SalmonPivot!$A$4,"date",B41,"Site",1)</f>
        <v>1</v>
      </c>
      <c r="G41" s="24">
        <f>GETPIVOTDATA("Sum of CNlgrecap",SalmonPivot!$A$4,"date",B41,"Site",1)</f>
        <v>0</v>
      </c>
      <c r="H41" s="24">
        <f>I41+J41+GETPIVOTDATA("Sum of CNsmno",SalmonPivot!$M$4,"Date",B41,"Site",1)</f>
        <v>1</v>
      </c>
      <c r="I41" s="24">
        <f>GETPIVOTDATA("Sum of CNsmradio",SalmonPivot!$M$4,"Date",B41,"Site",1)</f>
        <v>0</v>
      </c>
      <c r="J41" s="24">
        <f>GETPIVOTDATA("Sum of CNsmrecap",SalmonPivot!$M$4,"Date",B41,"Site",1)</f>
        <v>0</v>
      </c>
      <c r="K41" s="24">
        <f>L41+GETPIVOTDATA("Sum of SOno",SalmonPivot!$Y$4,"Date",B41,"Site",1)+GETPIVOTDATA("Sum of SOrecap",SalmonPivot!$Y$4,"Date",B41,"Site",1)</f>
        <v>0</v>
      </c>
      <c r="L41" s="24">
        <f>GETPIVOTDATA("Sum of SOrad",SalmonPivot!$Y$4,"Date",B41,"Site",1)</f>
        <v>0</v>
      </c>
      <c r="M41" s="24">
        <f>N41+GETPIVOTDATA("Sum of PKno",SalmonPivot!$AK$4,"Date",B41,"Site",1)+GETPIVOTDATA("Sum of PKrecap",SalmonPivot!$AK$4,"Date",B41,"Site",1)</f>
        <v>0</v>
      </c>
      <c r="N41" s="24">
        <f>GETPIVOTDATA("Sum of PKrad",SalmonPivot!$AK$4,"Date",B41,"Site",1)</f>
        <v>0</v>
      </c>
      <c r="O41" s="24">
        <f>P41+GETPIVOTDATA("Sum of CMno",SalmonPivot!$AW$4,"Date",B41,"Site",1)+GETPIVOTDATA("Sum of CMrecap",SalmonPivot!$AW$4,"Date",B41,"Site",1)</f>
        <v>0</v>
      </c>
      <c r="P41" s="24">
        <f>GETPIVOTDATA("Sum of CMrad",SalmonPivot!$AW$4,"Date",B41,"Site",1)</f>
        <v>0</v>
      </c>
      <c r="Q41" s="25">
        <f>R41+GETPIVOTDATA("Sum of COno",SalmonPivot!$BI$4,"Date",B41,"Site",1)+GETPIVOTDATA("Sum of COrecap",SalmonPivot!$BI$4,"Date",B41,"Site",1)</f>
        <v>0</v>
      </c>
      <c r="R41" s="24">
        <f>GETPIVOTDATA("Sum of COrad",SalmonPivot!$BI$4,"Date",B41,"Site",1)</f>
        <v>0</v>
      </c>
      <c r="S41" s="24">
        <f>GETPIVOTDATA("Sum of TotalOther",OtherPivot!$J$5,"Date",B41,"Site",1)</f>
        <v>0</v>
      </c>
      <c r="T41" s="38"/>
      <c r="U41" s="172">
        <f>IF(GETPIVOTDATA("3 Revs (s)",EffortRPMPivot!$L$4,"Date",$B41,"Site",1)=0,"",GETPIVOTDATA("3 revs (s)",EffortRPMPivot!$L$4,"date",$B41,"Site",1))</f>
        <v>34.75</v>
      </c>
      <c r="V41" s="173">
        <f t="shared" si="34"/>
        <v>5.1903114186851215E-2</v>
      </c>
      <c r="W41" s="173">
        <f t="shared" si="35"/>
        <v>5.1903114186851215E-2</v>
      </c>
      <c r="X41" s="173">
        <f t="shared" si="36"/>
        <v>0</v>
      </c>
      <c r="Y41" s="173">
        <f t="shared" si="37"/>
        <v>0</v>
      </c>
      <c r="Z41" s="173">
        <f t="shared" si="38"/>
        <v>0</v>
      </c>
      <c r="AA41" s="174">
        <f t="shared" si="39"/>
        <v>0</v>
      </c>
      <c r="AB41" s="175">
        <f t="shared" si="40"/>
        <v>12</v>
      </c>
      <c r="AC41" s="175">
        <f t="shared" si="41"/>
        <v>3</v>
      </c>
      <c r="AD41" s="175">
        <f t="shared" si="42"/>
        <v>0</v>
      </c>
      <c r="AE41" s="175">
        <f t="shared" si="43"/>
        <v>0</v>
      </c>
      <c r="AF41" s="175">
        <f t="shared" si="44"/>
        <v>0</v>
      </c>
      <c r="AG41" s="175">
        <f t="shared" si="45"/>
        <v>0</v>
      </c>
      <c r="AH41" s="176">
        <f t="shared" si="46"/>
        <v>12</v>
      </c>
      <c r="AI41" s="175">
        <f>SUM(AB$4:AB41)</f>
        <v>586</v>
      </c>
      <c r="AJ41" s="175">
        <f>SUM(AC$4:AC41)</f>
        <v>163</v>
      </c>
      <c r="AK41" s="175">
        <f>SUM(AD$4:AD41)</f>
        <v>9</v>
      </c>
      <c r="AL41" s="175">
        <f>SUM(AE$4:AE41)</f>
        <v>0</v>
      </c>
      <c r="AM41" s="175">
        <f>SUM(AF$4:AF41)</f>
        <v>2</v>
      </c>
      <c r="AN41" s="176">
        <f>SUM(AG$4:AG41)</f>
        <v>0</v>
      </c>
      <c r="AO41" s="175">
        <f t="shared" si="47"/>
        <v>11</v>
      </c>
      <c r="AP41" s="175">
        <f t="shared" si="48"/>
        <v>0</v>
      </c>
      <c r="AQ41" s="175">
        <f t="shared" si="49"/>
        <v>0</v>
      </c>
      <c r="AR41" s="175">
        <f t="shared" si="50"/>
        <v>0</v>
      </c>
      <c r="AS41" s="175">
        <f t="shared" si="51"/>
        <v>0</v>
      </c>
      <c r="AT41" s="176">
        <f t="shared" si="52"/>
        <v>0</v>
      </c>
      <c r="AU41" s="175">
        <f>SUM(AO$4:AO41)</f>
        <v>533</v>
      </c>
      <c r="AV41" s="175">
        <f>SUM(AP$4:AP41)</f>
        <v>24</v>
      </c>
      <c r="AW41" s="175">
        <f>SUM(AQ$4:AQ41)</f>
        <v>8</v>
      </c>
      <c r="AX41" s="175">
        <f>SUM(AR$4:AR41)</f>
        <v>0</v>
      </c>
      <c r="AY41" s="175">
        <f>SUM(AS$4:AS41)</f>
        <v>2</v>
      </c>
      <c r="AZ41" s="176">
        <f>SUM(AT$4:AT41)</f>
        <v>0</v>
      </c>
      <c r="BA41" s="177">
        <f t="shared" si="53"/>
        <v>1.7857142857142856E-2</v>
      </c>
      <c r="BB41" s="177">
        <f t="shared" si="54"/>
        <v>1.4634146341463415E-2</v>
      </c>
      <c r="BC41" s="177">
        <f t="shared" si="55"/>
        <v>0</v>
      </c>
      <c r="BD41" s="177">
        <f t="shared" si="56"/>
        <v>0</v>
      </c>
      <c r="BE41" s="177">
        <f t="shared" si="57"/>
        <v>0</v>
      </c>
      <c r="BF41" s="273">
        <f t="shared" si="58"/>
        <v>0</v>
      </c>
      <c r="BG41" s="177">
        <f>SUM(BA$4:BA41)</f>
        <v>0.87202380952380953</v>
      </c>
      <c r="BH41" s="177">
        <f>SUM(BB$4:BB41)</f>
        <v>0.79512195121951235</v>
      </c>
      <c r="BI41" s="177">
        <f>SUM(BC$4:BC41)</f>
        <v>4.2253521126760556E-2</v>
      </c>
      <c r="BJ41" s="177">
        <f>SUM(BD$4:BD41)</f>
        <v>0</v>
      </c>
      <c r="BK41" s="177">
        <f>SUM(BE$4:BE41)</f>
        <v>1.3614703880190605E-3</v>
      </c>
      <c r="BL41" s="166">
        <f>SUM(BF$4:BF41)</f>
        <v>0</v>
      </c>
      <c r="BM41" s="411">
        <f t="shared" si="28"/>
        <v>1</v>
      </c>
      <c r="BN41" s="409">
        <f t="shared" si="29"/>
        <v>5.1903114186851215E-2</v>
      </c>
    </row>
    <row r="42" spans="2:66" x14ac:dyDescent="0.2">
      <c r="B42" s="60">
        <f t="shared" si="30"/>
        <v>41834</v>
      </c>
      <c r="C42" s="22">
        <f t="shared" si="66"/>
        <v>5.4961832061068705</v>
      </c>
      <c r="D42" s="23">
        <f>GETPIVOTDATA("Active time (min)",EffortRPMPivot!$A$4,"date",B42,"Site",1)/60</f>
        <v>24</v>
      </c>
      <c r="E42" s="24">
        <f>F42+G42+GETPIVOTDATA("Sum of CNlgNo",SalmonPivot!$A$4,"Date",B42,"Site",1)</f>
        <v>2</v>
      </c>
      <c r="F42" s="24">
        <f>GETPIVOTDATA("Sum of CNlgrad",SalmonPivot!$A$4,"date",B42,"Site",1)</f>
        <v>1</v>
      </c>
      <c r="G42" s="24">
        <f>GETPIVOTDATA("Sum of CNlgrecap",SalmonPivot!$A$4,"date",B42,"Site",1)</f>
        <v>0</v>
      </c>
      <c r="H42" s="24">
        <f>I42+J42+GETPIVOTDATA("Sum of CNsmno",SalmonPivot!$M$4,"Date",B42,"Site",1)</f>
        <v>2</v>
      </c>
      <c r="I42" s="24">
        <f>GETPIVOTDATA("Sum of CNsmradio",SalmonPivot!$M$4,"Date",B42,"Site",1)</f>
        <v>0</v>
      </c>
      <c r="J42" s="24">
        <f>GETPIVOTDATA("Sum of CNsmrecap",SalmonPivot!$M$4,"Date",B42,"Site",1)</f>
        <v>0</v>
      </c>
      <c r="K42" s="24">
        <f>L42+GETPIVOTDATA("Sum of SOno",SalmonPivot!$Y$4,"Date",B42,"Site",1)+GETPIVOTDATA("Sum of SOrecap",SalmonPivot!$Y$4,"Date",B42,"Site",1)</f>
        <v>0</v>
      </c>
      <c r="L42" s="24">
        <f>GETPIVOTDATA("Sum of SOrad",SalmonPivot!$Y$4,"Date",B42,"Site",1)</f>
        <v>0</v>
      </c>
      <c r="M42" s="24">
        <f>N42+GETPIVOTDATA("Sum of PKno",SalmonPivot!$AK$4,"Date",B42,"Site",1)+GETPIVOTDATA("Sum of PKrecap",SalmonPivot!$AK$4,"Date",B42,"Site",1)</f>
        <v>0</v>
      </c>
      <c r="N42" s="24">
        <f>GETPIVOTDATA("Sum of PKrad",SalmonPivot!$AK$4,"Date",B42,"Site",1)</f>
        <v>0</v>
      </c>
      <c r="O42" s="24">
        <f>P42+GETPIVOTDATA("Sum of CMno",SalmonPivot!$AW$4,"Date",B42,"Site",1)+GETPIVOTDATA("Sum of CMrecap",SalmonPivot!$AW$4,"Date",B42,"Site",1)</f>
        <v>0</v>
      </c>
      <c r="P42" s="24">
        <f>GETPIVOTDATA("Sum of CMrad",SalmonPivot!$AW$4,"Date",B42,"Site",1)</f>
        <v>0</v>
      </c>
      <c r="Q42" s="25">
        <f>R42+GETPIVOTDATA("Sum of COno",SalmonPivot!$BI$4,"Date",B42,"Site",1)+GETPIVOTDATA("Sum of COrecap",SalmonPivot!$BI$4,"Date",B42,"Site",1)</f>
        <v>0</v>
      </c>
      <c r="R42" s="24">
        <f>GETPIVOTDATA("Sum of COrad",SalmonPivot!$BI$4,"Date",B42,"Site",1)</f>
        <v>0</v>
      </c>
      <c r="S42" s="24">
        <f>GETPIVOTDATA("Sum of TotalOther",OtherPivot!$J$5,"Date",B42,"Site",1)</f>
        <v>1</v>
      </c>
      <c r="T42" s="38"/>
      <c r="U42" s="172">
        <f>IF(GETPIVOTDATA("3 Revs (s)",EffortRPMPivot!$L$4,"Date",$B42,"Site",1)=0,"",GETPIVOTDATA("3 revs (s)",EffortRPMPivot!$L$4,"date",$B42,"Site",1))</f>
        <v>32.75</v>
      </c>
      <c r="V42" s="173">
        <f t="shared" si="34"/>
        <v>8.3333333333333329E-2</v>
      </c>
      <c r="W42" s="173">
        <f t="shared" si="35"/>
        <v>8.3333333333333329E-2</v>
      </c>
      <c r="X42" s="173">
        <f t="shared" si="36"/>
        <v>0</v>
      </c>
      <c r="Y42" s="173">
        <f t="shared" si="37"/>
        <v>0</v>
      </c>
      <c r="Z42" s="173">
        <f t="shared" si="38"/>
        <v>0</v>
      </c>
      <c r="AA42" s="174">
        <f t="shared" si="39"/>
        <v>0</v>
      </c>
      <c r="AB42" s="175">
        <f t="shared" si="40"/>
        <v>9</v>
      </c>
      <c r="AC42" s="175">
        <f t="shared" si="41"/>
        <v>2</v>
      </c>
      <c r="AD42" s="175">
        <f t="shared" si="42"/>
        <v>1</v>
      </c>
      <c r="AE42" s="175">
        <f t="shared" si="43"/>
        <v>0</v>
      </c>
      <c r="AF42" s="175">
        <f t="shared" si="44"/>
        <v>1</v>
      </c>
      <c r="AG42" s="175">
        <f t="shared" si="45"/>
        <v>0</v>
      </c>
      <c r="AH42" s="176">
        <f t="shared" si="46"/>
        <v>11</v>
      </c>
      <c r="AI42" s="175">
        <f>SUM(AB$4:AB42)</f>
        <v>595</v>
      </c>
      <c r="AJ42" s="175">
        <f>SUM(AC$4:AC42)</f>
        <v>165</v>
      </c>
      <c r="AK42" s="175">
        <f>SUM(AD$4:AD42)</f>
        <v>10</v>
      </c>
      <c r="AL42" s="175">
        <f>SUM(AE$4:AE42)</f>
        <v>0</v>
      </c>
      <c r="AM42" s="175">
        <f>SUM(AF$4:AF42)</f>
        <v>3</v>
      </c>
      <c r="AN42" s="176">
        <f>SUM(AG$4:AG42)</f>
        <v>0</v>
      </c>
      <c r="AO42" s="175">
        <f t="shared" si="47"/>
        <v>5</v>
      </c>
      <c r="AP42" s="175">
        <f t="shared" si="48"/>
        <v>0</v>
      </c>
      <c r="AQ42" s="175">
        <f t="shared" si="49"/>
        <v>1</v>
      </c>
      <c r="AR42" s="175">
        <f t="shared" si="50"/>
        <v>0</v>
      </c>
      <c r="AS42" s="175">
        <f t="shared" si="51"/>
        <v>1</v>
      </c>
      <c r="AT42" s="176">
        <f t="shared" si="52"/>
        <v>0</v>
      </c>
      <c r="AU42" s="175">
        <f>SUM(AO$4:AO42)</f>
        <v>538</v>
      </c>
      <c r="AV42" s="175">
        <f>SUM(AP$4:AP42)</f>
        <v>24</v>
      </c>
      <c r="AW42" s="175">
        <f>SUM(AQ$4:AQ42)</f>
        <v>9</v>
      </c>
      <c r="AX42" s="175">
        <f>SUM(AR$4:AR42)</f>
        <v>0</v>
      </c>
      <c r="AY42" s="175">
        <f>SUM(AS$4:AS42)</f>
        <v>3</v>
      </c>
      <c r="AZ42" s="176">
        <f>SUM(AT$4:AT42)</f>
        <v>0</v>
      </c>
      <c r="BA42" s="177">
        <f t="shared" si="53"/>
        <v>1.3392857142857142E-2</v>
      </c>
      <c r="BB42" s="177">
        <f t="shared" si="54"/>
        <v>9.7560975609756097E-3</v>
      </c>
      <c r="BC42" s="177">
        <f t="shared" si="55"/>
        <v>4.6948356807511738E-3</v>
      </c>
      <c r="BD42" s="177">
        <f t="shared" si="56"/>
        <v>0</v>
      </c>
      <c r="BE42" s="177">
        <f t="shared" si="57"/>
        <v>6.8073519400953025E-4</v>
      </c>
      <c r="BF42" s="273">
        <f t="shared" si="58"/>
        <v>0</v>
      </c>
      <c r="BG42" s="177">
        <f>SUM(BA$4:BA42)</f>
        <v>0.88541666666666663</v>
      </c>
      <c r="BH42" s="177">
        <f>SUM(BB$4:BB42)</f>
        <v>0.80487804878048796</v>
      </c>
      <c r="BI42" s="177">
        <f>SUM(BC$4:BC42)</f>
        <v>4.6948356807511728E-2</v>
      </c>
      <c r="BJ42" s="177">
        <f>SUM(BD$4:BD42)</f>
        <v>0</v>
      </c>
      <c r="BK42" s="177">
        <f>SUM(BE$4:BE42)</f>
        <v>2.0422055820285907E-3</v>
      </c>
      <c r="BL42" s="166">
        <f>SUM(BF$4:BF42)</f>
        <v>0</v>
      </c>
      <c r="BM42" s="411">
        <f t="shared" si="28"/>
        <v>2</v>
      </c>
      <c r="BN42" s="409">
        <f t="shared" si="29"/>
        <v>8.3333333333333329E-2</v>
      </c>
    </row>
    <row r="43" spans="2:66" x14ac:dyDescent="0.2">
      <c r="B43" s="60">
        <f t="shared" si="30"/>
        <v>41835</v>
      </c>
      <c r="C43" s="22">
        <f t="shared" si="66"/>
        <v>4.8322147651006713</v>
      </c>
      <c r="D43" s="23">
        <f>GETPIVOTDATA("Active time (min)",EffortRPMPivot!$A$4,"date",B43,"Site",1)/60</f>
        <v>19.899999999999999</v>
      </c>
      <c r="E43" s="24">
        <f>F43+G43+GETPIVOTDATA("Sum of CNlgNo",SalmonPivot!$A$4,"Date",B43,"Site",1)</f>
        <v>2</v>
      </c>
      <c r="F43" s="24">
        <f>GETPIVOTDATA("Sum of CNlgrad",SalmonPivot!$A$4,"date",B43,"Site",1)</f>
        <v>2</v>
      </c>
      <c r="G43" s="24">
        <f>GETPIVOTDATA("Sum of CNlgrecap",SalmonPivot!$A$4,"date",B43,"Site",1)</f>
        <v>0</v>
      </c>
      <c r="H43" s="24">
        <f>I43+J43+GETPIVOTDATA("Sum of CNsmno",SalmonPivot!$M$4,"Date",B43,"Site",1)</f>
        <v>0</v>
      </c>
      <c r="I43" s="24">
        <f>GETPIVOTDATA("Sum of CNsmradio",SalmonPivot!$M$4,"Date",B43,"Site",1)</f>
        <v>0</v>
      </c>
      <c r="J43" s="24">
        <f>GETPIVOTDATA("Sum of CNsmrecap",SalmonPivot!$M$4,"Date",B43,"Site",1)</f>
        <v>0</v>
      </c>
      <c r="K43" s="24">
        <f>L43+GETPIVOTDATA("Sum of SOno",SalmonPivot!$Y$4,"Date",B43,"Site",1)+GETPIVOTDATA("Sum of SOrecap",SalmonPivot!$Y$4,"Date",B43,"Site",1)</f>
        <v>1</v>
      </c>
      <c r="L43" s="24">
        <f>GETPIVOTDATA("Sum of SOrad",SalmonPivot!$Y$4,"Date",B43,"Site",1)</f>
        <v>0</v>
      </c>
      <c r="M43" s="24">
        <f>N43+GETPIVOTDATA("Sum of PKno",SalmonPivot!$AK$4,"Date",B43,"Site",1)+GETPIVOTDATA("Sum of PKrecap",SalmonPivot!$AK$4,"Date",B43,"Site",1)</f>
        <v>0</v>
      </c>
      <c r="N43" s="24">
        <f>GETPIVOTDATA("Sum of PKrad",SalmonPivot!$AK$4,"Date",B43,"Site",1)</f>
        <v>0</v>
      </c>
      <c r="O43" s="24">
        <f>P43+GETPIVOTDATA("Sum of CMno",SalmonPivot!$AW$4,"Date",B43,"Site",1)+GETPIVOTDATA("Sum of CMrecap",SalmonPivot!$AW$4,"Date",B43,"Site",1)</f>
        <v>0</v>
      </c>
      <c r="P43" s="24">
        <f>GETPIVOTDATA("Sum of CMrad",SalmonPivot!$AW$4,"Date",B43,"Site",1)</f>
        <v>0</v>
      </c>
      <c r="Q43" s="25">
        <f>R43+GETPIVOTDATA("Sum of COno",SalmonPivot!$BI$4,"Date",B43,"Site",1)+GETPIVOTDATA("Sum of COrecap",SalmonPivot!$BI$4,"Date",B43,"Site",1)</f>
        <v>0</v>
      </c>
      <c r="R43" s="24">
        <f>GETPIVOTDATA("Sum of COrad",SalmonPivot!$BI$4,"Date",B43,"Site",1)</f>
        <v>0</v>
      </c>
      <c r="S43" s="24">
        <f>GETPIVOTDATA("Sum of TotalOther",OtherPivot!$J$5,"Date",B43,"Site",1)</f>
        <v>0</v>
      </c>
      <c r="T43" s="38"/>
      <c r="U43" s="172">
        <f>IF(GETPIVOTDATA("3 Revs (s)",EffortRPMPivot!$L$4,"Date",$B43,"Site",1)=0,"",GETPIVOTDATA("3 revs (s)",EffortRPMPivot!$L$4,"date",$B43,"Site",1))</f>
        <v>37.25</v>
      </c>
      <c r="V43" s="173">
        <f t="shared" si="34"/>
        <v>0.10050251256281408</v>
      </c>
      <c r="W43" s="173">
        <f t="shared" si="35"/>
        <v>0</v>
      </c>
      <c r="X43" s="173">
        <f t="shared" si="36"/>
        <v>5.0251256281407038E-2</v>
      </c>
      <c r="Y43" s="173">
        <f t="shared" si="37"/>
        <v>0</v>
      </c>
      <c r="Z43" s="173">
        <f t="shared" si="38"/>
        <v>0</v>
      </c>
      <c r="AA43" s="174">
        <f t="shared" si="39"/>
        <v>0</v>
      </c>
      <c r="AB43" s="175">
        <f t="shared" si="40"/>
        <v>11</v>
      </c>
      <c r="AC43" s="175">
        <f t="shared" si="41"/>
        <v>3</v>
      </c>
      <c r="AD43" s="175">
        <f t="shared" si="42"/>
        <v>7</v>
      </c>
      <c r="AE43" s="175">
        <f t="shared" si="43"/>
        <v>0</v>
      </c>
      <c r="AF43" s="175">
        <f t="shared" si="44"/>
        <v>1</v>
      </c>
      <c r="AG43" s="175">
        <f t="shared" si="45"/>
        <v>0</v>
      </c>
      <c r="AH43" s="176">
        <f t="shared" si="46"/>
        <v>19</v>
      </c>
      <c r="AI43" s="175">
        <f>SUM(AB$4:AB43)</f>
        <v>606</v>
      </c>
      <c r="AJ43" s="175">
        <f>SUM(AC$4:AC43)</f>
        <v>168</v>
      </c>
      <c r="AK43" s="175">
        <f>SUM(AD$4:AD43)</f>
        <v>17</v>
      </c>
      <c r="AL43" s="175">
        <f>SUM(AE$4:AE43)</f>
        <v>0</v>
      </c>
      <c r="AM43" s="175">
        <f>SUM(AF$4:AF43)</f>
        <v>4</v>
      </c>
      <c r="AN43" s="176">
        <f>SUM(AG$4:AG43)</f>
        <v>0</v>
      </c>
      <c r="AO43" s="175">
        <f t="shared" si="47"/>
        <v>9</v>
      </c>
      <c r="AP43" s="175">
        <f t="shared" si="48"/>
        <v>1</v>
      </c>
      <c r="AQ43" s="175">
        <f t="shared" si="49"/>
        <v>6</v>
      </c>
      <c r="AR43" s="175">
        <f t="shared" si="50"/>
        <v>0</v>
      </c>
      <c r="AS43" s="175">
        <f t="shared" si="51"/>
        <v>1</v>
      </c>
      <c r="AT43" s="176">
        <f t="shared" si="52"/>
        <v>0</v>
      </c>
      <c r="AU43" s="175">
        <f>SUM(AO$4:AO43)</f>
        <v>547</v>
      </c>
      <c r="AV43" s="175">
        <f>SUM(AP$4:AP43)</f>
        <v>25</v>
      </c>
      <c r="AW43" s="175">
        <f>SUM(AQ$4:AQ43)</f>
        <v>15</v>
      </c>
      <c r="AX43" s="175">
        <f>SUM(AR$4:AR43)</f>
        <v>0</v>
      </c>
      <c r="AY43" s="175">
        <f>SUM(AS$4:AS43)</f>
        <v>4</v>
      </c>
      <c r="AZ43" s="176">
        <f>SUM(AT$4:AT43)</f>
        <v>0</v>
      </c>
      <c r="BA43" s="177">
        <f t="shared" si="53"/>
        <v>1.636904761904762E-2</v>
      </c>
      <c r="BB43" s="177">
        <f t="shared" si="54"/>
        <v>1.4634146341463415E-2</v>
      </c>
      <c r="BC43" s="177">
        <f t="shared" si="55"/>
        <v>3.2863849765258218E-2</v>
      </c>
      <c r="BD43" s="177">
        <f t="shared" si="56"/>
        <v>0</v>
      </c>
      <c r="BE43" s="177">
        <f t="shared" si="57"/>
        <v>6.8073519400953025E-4</v>
      </c>
      <c r="BF43" s="273">
        <f t="shared" si="58"/>
        <v>0</v>
      </c>
      <c r="BG43" s="177">
        <f>SUM(BA$4:BA43)</f>
        <v>0.9017857142857143</v>
      </c>
      <c r="BH43" s="177">
        <f>SUM(BB$4:BB43)</f>
        <v>0.81951219512195139</v>
      </c>
      <c r="BI43" s="177">
        <f>SUM(BC$4:BC43)</f>
        <v>7.9812206572769939E-2</v>
      </c>
      <c r="BJ43" s="177">
        <f>SUM(BD$4:BD43)</f>
        <v>0</v>
      </c>
      <c r="BK43" s="177">
        <f>SUM(BE$4:BE43)</f>
        <v>2.722940776038121E-3</v>
      </c>
      <c r="BL43" s="166">
        <f>SUM(BF$4:BF43)</f>
        <v>0</v>
      </c>
      <c r="BM43" s="411">
        <f t="shared" si="28"/>
        <v>3</v>
      </c>
      <c r="BN43" s="409">
        <f t="shared" si="29"/>
        <v>0.15075376884422112</v>
      </c>
    </row>
    <row r="44" spans="2:66" x14ac:dyDescent="0.2">
      <c r="B44" s="60">
        <f t="shared" si="30"/>
        <v>41836</v>
      </c>
      <c r="C44" s="22">
        <f t="shared" ref="C44:C47" si="67">IF(ISERROR(3/(U44/60)),"",3/(U44/60))</f>
        <v>4.3373493975903612</v>
      </c>
      <c r="D44" s="23">
        <f>GETPIVOTDATA("Active time (min)",EffortRPMPivot!$A$4,"date",B44,"Site",1)/60</f>
        <v>24</v>
      </c>
      <c r="E44" s="24">
        <f>F44+G44+GETPIVOTDATA("Sum of CNlgNo",SalmonPivot!$A$4,"Date",B44,"Site",1)</f>
        <v>2</v>
      </c>
      <c r="F44" s="24">
        <f>GETPIVOTDATA("Sum of CNlgrad",SalmonPivot!$A$4,"date",B44,"Site",1)</f>
        <v>2</v>
      </c>
      <c r="G44" s="24">
        <f>GETPIVOTDATA("Sum of CNlgrecap",SalmonPivot!$A$4,"date",B44,"Site",1)</f>
        <v>0</v>
      </c>
      <c r="H44" s="24">
        <f>I44+J44+GETPIVOTDATA("Sum of CNsmno",SalmonPivot!$M$4,"Date",B44,"Site",1)</f>
        <v>1</v>
      </c>
      <c r="I44" s="24">
        <f>GETPIVOTDATA("Sum of CNsmradio",SalmonPivot!$M$4,"Date",B44,"Site",1)</f>
        <v>1</v>
      </c>
      <c r="J44" s="24">
        <f>GETPIVOTDATA("Sum of CNsmrecap",SalmonPivot!$M$4,"Date",B44,"Site",1)</f>
        <v>0</v>
      </c>
      <c r="K44" s="24">
        <f>L44+GETPIVOTDATA("Sum of SOno",SalmonPivot!$Y$4,"Date",B44,"Site",1)+GETPIVOTDATA("Sum of SOrecap",SalmonPivot!$Y$4,"Date",B44,"Site",1)</f>
        <v>0</v>
      </c>
      <c r="L44" s="24">
        <f>GETPIVOTDATA("Sum of SOrad",SalmonPivot!$Y$4,"Date",B44,"Site",1)</f>
        <v>0</v>
      </c>
      <c r="M44" s="24">
        <f>N44+GETPIVOTDATA("Sum of PKno",SalmonPivot!$AK$4,"Date",B44,"Site",1)+GETPIVOTDATA("Sum of PKrecap",SalmonPivot!$AK$4,"Date",B44,"Site",1)</f>
        <v>0</v>
      </c>
      <c r="N44" s="24">
        <f>GETPIVOTDATA("Sum of PKrad",SalmonPivot!$AK$4,"Date",B44,"Site",1)</f>
        <v>0</v>
      </c>
      <c r="O44" s="24">
        <f>P44+GETPIVOTDATA("Sum of CMno",SalmonPivot!$AW$4,"Date",B44,"Site",1)+GETPIVOTDATA("Sum of CMrecap",SalmonPivot!$AW$4,"Date",B44,"Site",1)</f>
        <v>0</v>
      </c>
      <c r="P44" s="24">
        <f>GETPIVOTDATA("Sum of CMrad",SalmonPivot!$AW$4,"Date",B44,"Site",1)</f>
        <v>0</v>
      </c>
      <c r="Q44" s="25">
        <f>R44+GETPIVOTDATA("Sum of COno",SalmonPivot!$BI$4,"Date",B44,"Site",1)+GETPIVOTDATA("Sum of COrecap",SalmonPivot!$BI$4,"Date",B44,"Site",1)</f>
        <v>0</v>
      </c>
      <c r="R44" s="24">
        <f>GETPIVOTDATA("Sum of COrad",SalmonPivot!$BI$4,"Date",B44,"Site",1)</f>
        <v>0</v>
      </c>
      <c r="S44" s="24">
        <f>GETPIVOTDATA("Sum of TotalOther",OtherPivot!$J$5,"Date",B44,"Site",1)</f>
        <v>1</v>
      </c>
      <c r="T44" s="38"/>
      <c r="U44" s="172">
        <f>IF(GETPIVOTDATA("3 Revs (s)",EffortRPMPivot!$L$4,"Date",$B44,"Site",1)=0,"",GETPIVOTDATA("3 revs (s)",EffortRPMPivot!$L$4,"date",$B44,"Site",1))</f>
        <v>41.5</v>
      </c>
      <c r="V44" s="173">
        <f t="shared" si="34"/>
        <v>8.3333333333333329E-2</v>
      </c>
      <c r="W44" s="173">
        <f t="shared" si="35"/>
        <v>4.1666666666666664E-2</v>
      </c>
      <c r="X44" s="173">
        <f t="shared" si="36"/>
        <v>0</v>
      </c>
      <c r="Y44" s="173">
        <f t="shared" si="37"/>
        <v>0</v>
      </c>
      <c r="Z44" s="173">
        <f t="shared" si="38"/>
        <v>0</v>
      </c>
      <c r="AA44" s="174">
        <f t="shared" si="39"/>
        <v>0</v>
      </c>
      <c r="AB44" s="175">
        <f t="shared" si="40"/>
        <v>7</v>
      </c>
      <c r="AC44" s="175">
        <f t="shared" si="41"/>
        <v>3</v>
      </c>
      <c r="AD44" s="175">
        <f t="shared" si="42"/>
        <v>2</v>
      </c>
      <c r="AE44" s="175">
        <f t="shared" si="43"/>
        <v>0</v>
      </c>
      <c r="AF44" s="175">
        <f t="shared" si="44"/>
        <v>1</v>
      </c>
      <c r="AG44" s="175">
        <f t="shared" si="45"/>
        <v>0</v>
      </c>
      <c r="AH44" s="176">
        <f t="shared" si="46"/>
        <v>10</v>
      </c>
      <c r="AI44" s="175">
        <f>SUM(AB$4:AB44)</f>
        <v>613</v>
      </c>
      <c r="AJ44" s="175">
        <f>SUM(AC$4:AC44)</f>
        <v>171</v>
      </c>
      <c r="AK44" s="175">
        <f>SUM(AD$4:AD44)</f>
        <v>19</v>
      </c>
      <c r="AL44" s="175">
        <f>SUM(AE$4:AE44)</f>
        <v>0</v>
      </c>
      <c r="AM44" s="175">
        <f>SUM(AF$4:AF44)</f>
        <v>5</v>
      </c>
      <c r="AN44" s="176">
        <f>SUM(AG$4:AG44)</f>
        <v>0</v>
      </c>
      <c r="AO44" s="175">
        <f t="shared" si="47"/>
        <v>5</v>
      </c>
      <c r="AP44" s="175">
        <f t="shared" si="48"/>
        <v>1</v>
      </c>
      <c r="AQ44" s="175">
        <f t="shared" si="49"/>
        <v>1</v>
      </c>
      <c r="AR44" s="175">
        <f t="shared" si="50"/>
        <v>0</v>
      </c>
      <c r="AS44" s="175">
        <f t="shared" si="51"/>
        <v>1</v>
      </c>
      <c r="AT44" s="176">
        <f t="shared" si="52"/>
        <v>0</v>
      </c>
      <c r="AU44" s="175">
        <f>SUM(AO$4:AO44)</f>
        <v>552</v>
      </c>
      <c r="AV44" s="175">
        <f>SUM(AP$4:AP44)</f>
        <v>26</v>
      </c>
      <c r="AW44" s="175">
        <f>SUM(AQ$4:AQ44)</f>
        <v>16</v>
      </c>
      <c r="AX44" s="175">
        <f>SUM(AR$4:AR44)</f>
        <v>0</v>
      </c>
      <c r="AY44" s="175">
        <f>SUM(AS$4:AS44)</f>
        <v>5</v>
      </c>
      <c r="AZ44" s="176">
        <f>SUM(AT$4:AT44)</f>
        <v>0</v>
      </c>
      <c r="BA44" s="177">
        <f t="shared" si="53"/>
        <v>1.0416666666666666E-2</v>
      </c>
      <c r="BB44" s="177">
        <f t="shared" si="54"/>
        <v>1.4634146341463415E-2</v>
      </c>
      <c r="BC44" s="177">
        <f t="shared" si="55"/>
        <v>9.3896713615023476E-3</v>
      </c>
      <c r="BD44" s="177">
        <f t="shared" si="56"/>
        <v>0</v>
      </c>
      <c r="BE44" s="177">
        <f t="shared" si="57"/>
        <v>6.8073519400953025E-4</v>
      </c>
      <c r="BF44" s="273">
        <f t="shared" si="58"/>
        <v>0</v>
      </c>
      <c r="BG44" s="177">
        <f>SUM(BA$4:BA44)</f>
        <v>0.91220238095238093</v>
      </c>
      <c r="BH44" s="177">
        <f>SUM(BB$4:BB44)</f>
        <v>0.83414634146341482</v>
      </c>
      <c r="BI44" s="177">
        <f>SUM(BC$4:BC44)</f>
        <v>8.9201877934272283E-2</v>
      </c>
      <c r="BJ44" s="177">
        <f>SUM(BD$4:BD44)</f>
        <v>0</v>
      </c>
      <c r="BK44" s="177">
        <f>SUM(BE$4:BE44)</f>
        <v>3.4036759700476512E-3</v>
      </c>
      <c r="BL44" s="166">
        <f>SUM(BF$4:BF44)</f>
        <v>0</v>
      </c>
      <c r="BM44" s="411">
        <f t="shared" si="28"/>
        <v>2</v>
      </c>
      <c r="BN44" s="409">
        <f t="shared" si="29"/>
        <v>8.3333333333333329E-2</v>
      </c>
    </row>
    <row r="45" spans="2:66" x14ac:dyDescent="0.2">
      <c r="B45" s="60">
        <f t="shared" si="30"/>
        <v>41837</v>
      </c>
      <c r="C45" s="22">
        <f t="shared" si="67"/>
        <v>4.3113772455089823</v>
      </c>
      <c r="D45" s="23">
        <f>GETPIVOTDATA("Active time (min)",EffortRPMPivot!$A$4,"date",B45,"Site",1)/60</f>
        <v>23.866666666666667</v>
      </c>
      <c r="E45" s="24">
        <f>F45+G45+GETPIVOTDATA("Sum of CNlgNo",SalmonPivot!$A$4,"Date",B45,"Site",1)</f>
        <v>3</v>
      </c>
      <c r="F45" s="24">
        <f>GETPIVOTDATA("Sum of CNlgrad",SalmonPivot!$A$4,"date",B45,"Site",1)</f>
        <v>2</v>
      </c>
      <c r="G45" s="24">
        <f>GETPIVOTDATA("Sum of CNlgrecap",SalmonPivot!$A$4,"date",B45,"Site",1)</f>
        <v>1</v>
      </c>
      <c r="H45" s="24">
        <f>I45+J45+GETPIVOTDATA("Sum of CNsmno",SalmonPivot!$M$4,"Date",B45,"Site",1)</f>
        <v>1</v>
      </c>
      <c r="I45" s="24">
        <f>GETPIVOTDATA("Sum of CNsmradio",SalmonPivot!$M$4,"Date",B45,"Site",1)</f>
        <v>0</v>
      </c>
      <c r="J45" s="24">
        <f>GETPIVOTDATA("Sum of CNsmrecap",SalmonPivot!$M$4,"Date",B45,"Site",1)</f>
        <v>0</v>
      </c>
      <c r="K45" s="24">
        <f>L45+GETPIVOTDATA("Sum of SOno",SalmonPivot!$Y$4,"Date",B45,"Site",1)+GETPIVOTDATA("Sum of SOrecap",SalmonPivot!$Y$4,"Date",B45,"Site",1)</f>
        <v>2</v>
      </c>
      <c r="L45" s="24">
        <f>GETPIVOTDATA("Sum of SOrad",SalmonPivot!$Y$4,"Date",B45,"Site",1)</f>
        <v>2</v>
      </c>
      <c r="M45" s="24">
        <f>N45+GETPIVOTDATA("Sum of PKno",SalmonPivot!$AK$4,"Date",B45,"Site",1)+GETPIVOTDATA("Sum of PKrecap",SalmonPivot!$AK$4,"Date",B45,"Site",1)</f>
        <v>0</v>
      </c>
      <c r="N45" s="24">
        <f>GETPIVOTDATA("Sum of PKrad",SalmonPivot!$AK$4,"Date",B45,"Site",1)</f>
        <v>0</v>
      </c>
      <c r="O45" s="24">
        <f>P45+GETPIVOTDATA("Sum of CMno",SalmonPivot!$AW$4,"Date",B45,"Site",1)+GETPIVOTDATA("Sum of CMrecap",SalmonPivot!$AW$4,"Date",B45,"Site",1)</f>
        <v>0</v>
      </c>
      <c r="P45" s="24">
        <f>GETPIVOTDATA("Sum of CMrad",SalmonPivot!$AW$4,"Date",B45,"Site",1)</f>
        <v>0</v>
      </c>
      <c r="Q45" s="25">
        <f>R45+GETPIVOTDATA("Sum of COno",SalmonPivot!$BI$4,"Date",B45,"Site",1)+GETPIVOTDATA("Sum of COrecap",SalmonPivot!$BI$4,"Date",B45,"Site",1)</f>
        <v>0</v>
      </c>
      <c r="R45" s="24">
        <f>GETPIVOTDATA("Sum of COrad",SalmonPivot!$BI$4,"Date",B45,"Site",1)</f>
        <v>0</v>
      </c>
      <c r="S45" s="24">
        <f>GETPIVOTDATA("Sum of TotalOther",OtherPivot!$J$5,"Date",B45,"Site",1)</f>
        <v>1</v>
      </c>
      <c r="T45" s="38"/>
      <c r="U45" s="172">
        <f>IF(GETPIVOTDATA("3 Revs (s)",EffortRPMPivot!$L$4,"Date",$B45,"Site",1)=0,"",GETPIVOTDATA("3 revs (s)",EffortRPMPivot!$L$4,"date",$B45,"Site",1))</f>
        <v>41.75</v>
      </c>
      <c r="V45" s="173">
        <f t="shared" si="34"/>
        <v>0.12569832402234637</v>
      </c>
      <c r="W45" s="173">
        <f t="shared" si="35"/>
        <v>4.189944134078212E-2</v>
      </c>
      <c r="X45" s="173">
        <f t="shared" si="36"/>
        <v>8.3798882681564241E-2</v>
      </c>
      <c r="Y45" s="173">
        <f t="shared" si="37"/>
        <v>0</v>
      </c>
      <c r="Z45" s="173">
        <f t="shared" si="38"/>
        <v>0</v>
      </c>
      <c r="AA45" s="174">
        <f t="shared" si="39"/>
        <v>0</v>
      </c>
      <c r="AB45" s="175">
        <f t="shared" si="40"/>
        <v>7</v>
      </c>
      <c r="AC45" s="175">
        <f t="shared" si="41"/>
        <v>8</v>
      </c>
      <c r="AD45" s="175">
        <f t="shared" si="42"/>
        <v>3</v>
      </c>
      <c r="AE45" s="175">
        <f t="shared" si="43"/>
        <v>1</v>
      </c>
      <c r="AF45" s="175">
        <f t="shared" si="44"/>
        <v>3</v>
      </c>
      <c r="AG45" s="175">
        <f t="shared" si="45"/>
        <v>0</v>
      </c>
      <c r="AH45" s="176">
        <f t="shared" si="46"/>
        <v>14</v>
      </c>
      <c r="AI45" s="175">
        <f>SUM(AB$4:AB45)</f>
        <v>620</v>
      </c>
      <c r="AJ45" s="175">
        <f>SUM(AC$4:AC45)</f>
        <v>179</v>
      </c>
      <c r="AK45" s="175">
        <f>SUM(AD$4:AD45)</f>
        <v>22</v>
      </c>
      <c r="AL45" s="175">
        <f>SUM(AE$4:AE45)</f>
        <v>1</v>
      </c>
      <c r="AM45" s="175">
        <f>SUM(AF$4:AF45)</f>
        <v>8</v>
      </c>
      <c r="AN45" s="176">
        <f>SUM(AG$4:AG45)</f>
        <v>0</v>
      </c>
      <c r="AO45" s="175">
        <f t="shared" si="47"/>
        <v>6</v>
      </c>
      <c r="AP45" s="175">
        <f t="shared" si="48"/>
        <v>0</v>
      </c>
      <c r="AQ45" s="175">
        <f t="shared" si="49"/>
        <v>3</v>
      </c>
      <c r="AR45" s="175">
        <f t="shared" si="50"/>
        <v>1</v>
      </c>
      <c r="AS45" s="175">
        <f t="shared" si="51"/>
        <v>2</v>
      </c>
      <c r="AT45" s="176">
        <f t="shared" si="52"/>
        <v>0</v>
      </c>
      <c r="AU45" s="175">
        <f>SUM(AO$4:AO45)</f>
        <v>558</v>
      </c>
      <c r="AV45" s="175">
        <f>SUM(AP$4:AP45)</f>
        <v>26</v>
      </c>
      <c r="AW45" s="175">
        <f>SUM(AQ$4:AQ45)</f>
        <v>19</v>
      </c>
      <c r="AX45" s="175">
        <f>SUM(AR$4:AR45)</f>
        <v>1</v>
      </c>
      <c r="AY45" s="175">
        <f>SUM(AS$4:AS45)</f>
        <v>7</v>
      </c>
      <c r="AZ45" s="176">
        <f>SUM(AT$4:AT45)</f>
        <v>0</v>
      </c>
      <c r="BA45" s="177">
        <f t="shared" si="53"/>
        <v>1.0416666666666666E-2</v>
      </c>
      <c r="BB45" s="177">
        <f t="shared" si="54"/>
        <v>3.9024390243902439E-2</v>
      </c>
      <c r="BC45" s="177">
        <f t="shared" si="55"/>
        <v>1.4084507042253521E-2</v>
      </c>
      <c r="BD45" s="177">
        <f t="shared" si="56"/>
        <v>1.3383297644539615E-4</v>
      </c>
      <c r="BE45" s="177">
        <f t="shared" si="57"/>
        <v>2.0422055820285907E-3</v>
      </c>
      <c r="BF45" s="273">
        <f t="shared" si="58"/>
        <v>0</v>
      </c>
      <c r="BG45" s="177">
        <f>SUM(BA$4:BA45)</f>
        <v>0.92261904761904756</v>
      </c>
      <c r="BH45" s="177">
        <f>SUM(BB$4:BB45)</f>
        <v>0.87317073170731729</v>
      </c>
      <c r="BI45" s="177">
        <f>SUM(BC$4:BC45)</f>
        <v>0.1032863849765258</v>
      </c>
      <c r="BJ45" s="177">
        <f>SUM(BD$4:BD45)</f>
        <v>1.3383297644539615E-4</v>
      </c>
      <c r="BK45" s="177">
        <f>SUM(BE$4:BE45)</f>
        <v>5.445881552076242E-3</v>
      </c>
      <c r="BL45" s="166">
        <f>SUM(BF$4:BF45)</f>
        <v>0</v>
      </c>
      <c r="BM45" s="411">
        <f t="shared" si="28"/>
        <v>5</v>
      </c>
      <c r="BN45" s="409">
        <f t="shared" si="29"/>
        <v>0.20949720670391062</v>
      </c>
    </row>
    <row r="46" spans="2:66" x14ac:dyDescent="0.2">
      <c r="B46" s="60">
        <f t="shared" si="30"/>
        <v>41838</v>
      </c>
      <c r="C46" s="22">
        <f t="shared" si="67"/>
        <v>4</v>
      </c>
      <c r="D46" s="23">
        <f>GETPIVOTDATA("Active time (min)",EffortRPMPivot!$A$4,"date",B46,"Site",1)/60</f>
        <v>23.383333333333333</v>
      </c>
      <c r="E46" s="24">
        <f>F46+G46+GETPIVOTDATA("Sum of CNlgNo",SalmonPivot!$A$4,"Date",B46,"Site",1)</f>
        <v>1</v>
      </c>
      <c r="F46" s="24">
        <f>GETPIVOTDATA("Sum of CNlgrad",SalmonPivot!$A$4,"date",B46,"Site",1)</f>
        <v>1</v>
      </c>
      <c r="G46" s="24">
        <f>GETPIVOTDATA("Sum of CNlgrecap",SalmonPivot!$A$4,"date",B46,"Site",1)</f>
        <v>0</v>
      </c>
      <c r="H46" s="24">
        <f>I46+J46+GETPIVOTDATA("Sum of CNsmno",SalmonPivot!$M$4,"Date",B46,"Site",1)</f>
        <v>0</v>
      </c>
      <c r="I46" s="24">
        <f>GETPIVOTDATA("Sum of CNsmradio",SalmonPivot!$M$4,"Date",B46,"Site",1)</f>
        <v>0</v>
      </c>
      <c r="J46" s="24">
        <f>GETPIVOTDATA("Sum of CNsmrecap",SalmonPivot!$M$4,"Date",B46,"Site",1)</f>
        <v>0</v>
      </c>
      <c r="K46" s="24">
        <f>L46+GETPIVOTDATA("Sum of SOno",SalmonPivot!$Y$4,"Date",B46,"Site",1)+GETPIVOTDATA("Sum of SOrecap",SalmonPivot!$Y$4,"Date",B46,"Site",1)</f>
        <v>0</v>
      </c>
      <c r="L46" s="24">
        <f>GETPIVOTDATA("Sum of SOrad",SalmonPivot!$Y$4,"Date",B46,"Site",1)</f>
        <v>0</v>
      </c>
      <c r="M46" s="24">
        <f>N46+GETPIVOTDATA("Sum of PKno",SalmonPivot!$AK$4,"Date",B46,"Site",1)+GETPIVOTDATA("Sum of PKrecap",SalmonPivot!$AK$4,"Date",B46,"Site",1)</f>
        <v>0</v>
      </c>
      <c r="N46" s="24">
        <f>GETPIVOTDATA("Sum of PKrad",SalmonPivot!$AK$4,"Date",B46,"Site",1)</f>
        <v>0</v>
      </c>
      <c r="O46" s="24">
        <f>P46+GETPIVOTDATA("Sum of CMno",SalmonPivot!$AW$4,"Date",B46,"Site",1)+GETPIVOTDATA("Sum of CMrecap",SalmonPivot!$AW$4,"Date",B46,"Site",1)</f>
        <v>0</v>
      </c>
      <c r="P46" s="24">
        <f>GETPIVOTDATA("Sum of CMrad",SalmonPivot!$AW$4,"Date",B46,"Site",1)</f>
        <v>0</v>
      </c>
      <c r="Q46" s="25">
        <f>R46+GETPIVOTDATA("Sum of COno",SalmonPivot!$BI$4,"Date",B46,"Site",1)+GETPIVOTDATA("Sum of COrecap",SalmonPivot!$BI$4,"Date",B46,"Site",1)</f>
        <v>0</v>
      </c>
      <c r="R46" s="24">
        <f>GETPIVOTDATA("Sum of COrad",SalmonPivot!$BI$4,"Date",B46,"Site",1)</f>
        <v>0</v>
      </c>
      <c r="S46" s="24">
        <f>GETPIVOTDATA("Sum of TotalOther",OtherPivot!$J$5,"Date",B46,"Site",1)</f>
        <v>0</v>
      </c>
      <c r="T46" s="38"/>
      <c r="U46" s="172">
        <f>IF(GETPIVOTDATA("3 Revs (s)",EffortRPMPivot!$L$4,"Date",$B46,"Site",1)=0,"",GETPIVOTDATA("3 revs (s)",EffortRPMPivot!$L$4,"date",$B46,"Site",1))</f>
        <v>45</v>
      </c>
      <c r="V46" s="173">
        <f t="shared" si="34"/>
        <v>4.2765502494654314E-2</v>
      </c>
      <c r="W46" s="173">
        <f t="shared" si="35"/>
        <v>0</v>
      </c>
      <c r="X46" s="173">
        <f t="shared" si="36"/>
        <v>0</v>
      </c>
      <c r="Y46" s="173">
        <f t="shared" si="37"/>
        <v>0</v>
      </c>
      <c r="Z46" s="173">
        <f t="shared" si="38"/>
        <v>0</v>
      </c>
      <c r="AA46" s="174">
        <f t="shared" si="39"/>
        <v>0</v>
      </c>
      <c r="AB46" s="175">
        <f t="shared" si="40"/>
        <v>9</v>
      </c>
      <c r="AC46" s="175">
        <f t="shared" si="41"/>
        <v>5</v>
      </c>
      <c r="AD46" s="175">
        <f t="shared" si="42"/>
        <v>4</v>
      </c>
      <c r="AE46" s="175">
        <f t="shared" si="43"/>
        <v>2</v>
      </c>
      <c r="AF46" s="175">
        <f t="shared" si="44"/>
        <v>0</v>
      </c>
      <c r="AG46" s="175">
        <f t="shared" si="45"/>
        <v>0</v>
      </c>
      <c r="AH46" s="176">
        <f t="shared" si="46"/>
        <v>15</v>
      </c>
      <c r="AI46" s="175">
        <f>SUM(AB$4:AB46)</f>
        <v>629</v>
      </c>
      <c r="AJ46" s="175">
        <f>SUM(AC$4:AC46)</f>
        <v>184</v>
      </c>
      <c r="AK46" s="175">
        <f>SUM(AD$4:AD46)</f>
        <v>26</v>
      </c>
      <c r="AL46" s="175">
        <f>SUM(AE$4:AE46)</f>
        <v>3</v>
      </c>
      <c r="AM46" s="175">
        <f>SUM(AF$4:AF46)</f>
        <v>8</v>
      </c>
      <c r="AN46" s="176">
        <f>SUM(AG$4:AG46)</f>
        <v>0</v>
      </c>
      <c r="AO46" s="175">
        <f t="shared" si="47"/>
        <v>8</v>
      </c>
      <c r="AP46" s="175">
        <f t="shared" si="48"/>
        <v>1</v>
      </c>
      <c r="AQ46" s="175">
        <f t="shared" si="49"/>
        <v>4</v>
      </c>
      <c r="AR46" s="175">
        <f t="shared" si="50"/>
        <v>1</v>
      </c>
      <c r="AS46" s="175">
        <f t="shared" si="51"/>
        <v>0</v>
      </c>
      <c r="AT46" s="176">
        <f t="shared" si="52"/>
        <v>0</v>
      </c>
      <c r="AU46" s="175">
        <f>SUM(AO$4:AO46)</f>
        <v>566</v>
      </c>
      <c r="AV46" s="175">
        <f>SUM(AP$4:AP46)</f>
        <v>27</v>
      </c>
      <c r="AW46" s="175">
        <f>SUM(AQ$4:AQ46)</f>
        <v>23</v>
      </c>
      <c r="AX46" s="175">
        <f>SUM(AR$4:AR46)</f>
        <v>2</v>
      </c>
      <c r="AY46" s="175">
        <f>SUM(AS$4:AS46)</f>
        <v>7</v>
      </c>
      <c r="AZ46" s="176">
        <f>SUM(AT$4:AT46)</f>
        <v>0</v>
      </c>
      <c r="BA46" s="177">
        <f t="shared" si="53"/>
        <v>1.3392857142857142E-2</v>
      </c>
      <c r="BB46" s="177">
        <f t="shared" si="54"/>
        <v>2.4390243902439025E-2</v>
      </c>
      <c r="BC46" s="177">
        <f t="shared" si="55"/>
        <v>1.8779342723004695E-2</v>
      </c>
      <c r="BD46" s="177">
        <f t="shared" si="56"/>
        <v>2.6766595289079231E-4</v>
      </c>
      <c r="BE46" s="177">
        <f t="shared" si="57"/>
        <v>0</v>
      </c>
      <c r="BF46" s="273">
        <f t="shared" si="58"/>
        <v>0</v>
      </c>
      <c r="BG46" s="177">
        <f>SUM(BA$4:BA46)</f>
        <v>0.93601190476190466</v>
      </c>
      <c r="BH46" s="177">
        <f>SUM(BB$4:BB46)</f>
        <v>0.89756097560975634</v>
      </c>
      <c r="BI46" s="177">
        <f>SUM(BC$4:BC46)</f>
        <v>0.1220657276995305</v>
      </c>
      <c r="BJ46" s="177">
        <f>SUM(BD$4:BD46)</f>
        <v>4.0149892933618843E-4</v>
      </c>
      <c r="BK46" s="177">
        <f>SUM(BE$4:BE46)</f>
        <v>5.445881552076242E-3</v>
      </c>
      <c r="BL46" s="166">
        <f>SUM(BF$4:BF46)</f>
        <v>0</v>
      </c>
      <c r="BM46" s="411">
        <f t="shared" si="28"/>
        <v>1</v>
      </c>
      <c r="BN46" s="409">
        <f t="shared" si="29"/>
        <v>4.2765502494654314E-2</v>
      </c>
    </row>
    <row r="47" spans="2:66" x14ac:dyDescent="0.2">
      <c r="B47" s="60">
        <f t="shared" si="30"/>
        <v>41839</v>
      </c>
      <c r="C47" s="22">
        <f t="shared" si="67"/>
        <v>4.615384615384615</v>
      </c>
      <c r="D47" s="23">
        <f>GETPIVOTDATA("Active time (min)",EffortRPMPivot!$A$4,"date",B47,"Site",1)/60</f>
        <v>11.483333333333331</v>
      </c>
      <c r="E47" s="24">
        <f>F47+G47+GETPIVOTDATA("Sum of CNlgNo",SalmonPivot!$A$4,"Date",B47,"Site",1)</f>
        <v>1</v>
      </c>
      <c r="F47" s="24">
        <f>GETPIVOTDATA("Sum of CNlgrad",SalmonPivot!$A$4,"date",B47,"Site",1)</f>
        <v>1</v>
      </c>
      <c r="G47" s="24">
        <f>GETPIVOTDATA("Sum of CNlgrecap",SalmonPivot!$A$4,"date",B47,"Site",1)</f>
        <v>0</v>
      </c>
      <c r="H47" s="24">
        <f>I47+J47+GETPIVOTDATA("Sum of CNsmno",SalmonPivot!$M$4,"Date",B47,"Site",1)</f>
        <v>0</v>
      </c>
      <c r="I47" s="24">
        <f>GETPIVOTDATA("Sum of CNsmradio",SalmonPivot!$M$4,"Date",B47,"Site",1)</f>
        <v>0</v>
      </c>
      <c r="J47" s="24">
        <f>GETPIVOTDATA("Sum of CNsmrecap",SalmonPivot!$M$4,"Date",B47,"Site",1)</f>
        <v>0</v>
      </c>
      <c r="K47" s="24">
        <f>L47+GETPIVOTDATA("Sum of SOno",SalmonPivot!$Y$4,"Date",B47,"Site",1)+GETPIVOTDATA("Sum of SOrecap",SalmonPivot!$Y$4,"Date",B47,"Site",1)</f>
        <v>1</v>
      </c>
      <c r="L47" s="24">
        <f>GETPIVOTDATA("Sum of SOrad",SalmonPivot!$Y$4,"Date",B47,"Site",1)</f>
        <v>1</v>
      </c>
      <c r="M47" s="24">
        <f>N47+GETPIVOTDATA("Sum of PKno",SalmonPivot!$AK$4,"Date",B47,"Site",1)+GETPIVOTDATA("Sum of PKrecap",SalmonPivot!$AK$4,"Date",B47,"Site",1)</f>
        <v>0</v>
      </c>
      <c r="N47" s="24">
        <f>GETPIVOTDATA("Sum of PKrad",SalmonPivot!$AK$4,"Date",B47,"Site",1)</f>
        <v>0</v>
      </c>
      <c r="O47" s="24">
        <f>P47+GETPIVOTDATA("Sum of CMno",SalmonPivot!$AW$4,"Date",B47,"Site",1)+GETPIVOTDATA("Sum of CMrecap",SalmonPivot!$AW$4,"Date",B47,"Site",1)</f>
        <v>1</v>
      </c>
      <c r="P47" s="24">
        <f>GETPIVOTDATA("Sum of CMrad",SalmonPivot!$AW$4,"Date",B47,"Site",1)</f>
        <v>1</v>
      </c>
      <c r="Q47" s="25">
        <f>R47+GETPIVOTDATA("Sum of COno",SalmonPivot!$BI$4,"Date",B47,"Site",1)+GETPIVOTDATA("Sum of COrecap",SalmonPivot!$BI$4,"Date",B47,"Site",1)</f>
        <v>0</v>
      </c>
      <c r="R47" s="24">
        <f>GETPIVOTDATA("Sum of COrad",SalmonPivot!$BI$4,"Date",B47,"Site",1)</f>
        <v>0</v>
      </c>
      <c r="S47" s="24">
        <f>GETPIVOTDATA("Sum of TotalOther",OtherPivot!$J$5,"Date",B47,"Site",1)</f>
        <v>0</v>
      </c>
      <c r="T47" s="38"/>
      <c r="U47" s="172">
        <f>IF(GETPIVOTDATA("3 Revs (s)",EffortRPMPivot!$L$4,"Date",$B47,"Site",1)=0,"",GETPIVOTDATA("3 revs (s)",EffortRPMPivot!$L$4,"date",$B47,"Site",1))</f>
        <v>39</v>
      </c>
      <c r="V47" s="173">
        <f t="shared" si="34"/>
        <v>8.7082728592162581E-2</v>
      </c>
      <c r="W47" s="173">
        <f t="shared" si="35"/>
        <v>0</v>
      </c>
      <c r="X47" s="173">
        <f t="shared" si="36"/>
        <v>8.7082728592162581E-2</v>
      </c>
      <c r="Y47" s="173">
        <f t="shared" si="37"/>
        <v>0</v>
      </c>
      <c r="Z47" s="173">
        <f t="shared" si="38"/>
        <v>8.7082728592162581E-2</v>
      </c>
      <c r="AA47" s="174">
        <f t="shared" si="39"/>
        <v>0</v>
      </c>
      <c r="AB47" s="175">
        <f t="shared" si="40"/>
        <v>6</v>
      </c>
      <c r="AC47" s="175">
        <f t="shared" si="41"/>
        <v>2</v>
      </c>
      <c r="AD47" s="175">
        <f t="shared" si="42"/>
        <v>4</v>
      </c>
      <c r="AE47" s="175">
        <f t="shared" si="43"/>
        <v>1</v>
      </c>
      <c r="AF47" s="175">
        <f t="shared" si="44"/>
        <v>4</v>
      </c>
      <c r="AG47" s="175">
        <f t="shared" si="45"/>
        <v>0</v>
      </c>
      <c r="AH47" s="176">
        <f t="shared" si="46"/>
        <v>15</v>
      </c>
      <c r="AI47" s="175">
        <f>SUM(AB$4:AB47)</f>
        <v>635</v>
      </c>
      <c r="AJ47" s="175">
        <f>SUM(AC$4:AC47)</f>
        <v>186</v>
      </c>
      <c r="AK47" s="175">
        <f>SUM(AD$4:AD47)</f>
        <v>30</v>
      </c>
      <c r="AL47" s="175">
        <f>SUM(AE$4:AE47)</f>
        <v>4</v>
      </c>
      <c r="AM47" s="175">
        <f>SUM(AF$4:AF47)</f>
        <v>12</v>
      </c>
      <c r="AN47" s="176">
        <f>SUM(AG$4:AG47)</f>
        <v>0</v>
      </c>
      <c r="AO47" s="175">
        <f t="shared" si="47"/>
        <v>4</v>
      </c>
      <c r="AP47" s="175">
        <f t="shared" si="48"/>
        <v>1</v>
      </c>
      <c r="AQ47" s="175">
        <f t="shared" si="49"/>
        <v>4</v>
      </c>
      <c r="AR47" s="175">
        <f t="shared" si="50"/>
        <v>1</v>
      </c>
      <c r="AS47" s="175">
        <f t="shared" si="51"/>
        <v>1</v>
      </c>
      <c r="AT47" s="176">
        <f t="shared" si="52"/>
        <v>0</v>
      </c>
      <c r="AU47" s="175">
        <f>SUM(AO$4:AO47)</f>
        <v>570</v>
      </c>
      <c r="AV47" s="175">
        <f>SUM(AP$4:AP47)</f>
        <v>28</v>
      </c>
      <c r="AW47" s="175">
        <f>SUM(AQ$4:AQ47)</f>
        <v>27</v>
      </c>
      <c r="AX47" s="175">
        <f>SUM(AR$4:AR47)</f>
        <v>3</v>
      </c>
      <c r="AY47" s="175">
        <f>SUM(AS$4:AS47)</f>
        <v>8</v>
      </c>
      <c r="AZ47" s="176">
        <f>SUM(AT$4:AT47)</f>
        <v>0</v>
      </c>
      <c r="BA47" s="177">
        <f t="shared" si="53"/>
        <v>8.9285714285714281E-3</v>
      </c>
      <c r="BB47" s="177">
        <f t="shared" si="54"/>
        <v>9.7560975609756097E-3</v>
      </c>
      <c r="BC47" s="177">
        <f t="shared" si="55"/>
        <v>1.8779342723004695E-2</v>
      </c>
      <c r="BD47" s="177">
        <f t="shared" si="56"/>
        <v>1.3383297644539615E-4</v>
      </c>
      <c r="BE47" s="177">
        <f t="shared" si="57"/>
        <v>2.722940776038121E-3</v>
      </c>
      <c r="BF47" s="273">
        <f t="shared" si="58"/>
        <v>0</v>
      </c>
      <c r="BG47" s="177">
        <f>SUM(BA$4:BA47)</f>
        <v>0.94494047619047605</v>
      </c>
      <c r="BH47" s="177">
        <f>SUM(BB$4:BB47)</f>
        <v>0.90731707317073196</v>
      </c>
      <c r="BI47" s="177">
        <f>SUM(BC$4:BC47)</f>
        <v>0.14084507042253519</v>
      </c>
      <c r="BJ47" s="177">
        <f>SUM(BD$4:BD47)</f>
        <v>5.3533190578158461E-4</v>
      </c>
      <c r="BK47" s="177">
        <f>SUM(BE$4:BE47)</f>
        <v>8.168822328114363E-3</v>
      </c>
      <c r="BL47" s="166">
        <f>SUM(BF$4:BF47)</f>
        <v>0</v>
      </c>
      <c r="BM47" s="411">
        <f t="shared" si="28"/>
        <v>3</v>
      </c>
      <c r="BN47" s="409">
        <f t="shared" si="29"/>
        <v>0.26124818577648773</v>
      </c>
    </row>
    <row r="48" spans="2:66" x14ac:dyDescent="0.2">
      <c r="B48" s="60">
        <f t="shared" si="30"/>
        <v>41840</v>
      </c>
      <c r="C48" s="22">
        <f t="shared" ref="C48" si="68">IF(ISERROR(3/(U48/60)),"",3/(U48/60))</f>
        <v>4.3373493975903612</v>
      </c>
      <c r="D48" s="23">
        <f>GETPIVOTDATA("Active time (min)",EffortRPMPivot!$A$4,"date",B48,"Site",1)/60</f>
        <v>10.58333333333333</v>
      </c>
      <c r="E48" s="24">
        <f>F48+G48+GETPIVOTDATA("Sum of CNlgNo",SalmonPivot!$A$4,"Date",B48,"Site",1)</f>
        <v>1</v>
      </c>
      <c r="F48" s="24">
        <f>GETPIVOTDATA("Sum of CNlgrad",SalmonPivot!$A$4,"date",B48,"Site",1)</f>
        <v>1</v>
      </c>
      <c r="G48" s="24">
        <f>GETPIVOTDATA("Sum of CNlgrecap",SalmonPivot!$A$4,"date",B48,"Site",1)</f>
        <v>0</v>
      </c>
      <c r="H48" s="24">
        <f>I48+J48+GETPIVOTDATA("Sum of CNsmno",SalmonPivot!$M$4,"Date",B48,"Site",1)</f>
        <v>0</v>
      </c>
      <c r="I48" s="24">
        <f>GETPIVOTDATA("Sum of CNsmradio",SalmonPivot!$M$4,"Date",B48,"Site",1)</f>
        <v>0</v>
      </c>
      <c r="J48" s="24">
        <f>GETPIVOTDATA("Sum of CNsmrecap",SalmonPivot!$M$4,"Date",B48,"Site",1)</f>
        <v>0</v>
      </c>
      <c r="K48" s="24">
        <f>L48+GETPIVOTDATA("Sum of SOno",SalmonPivot!$Y$4,"Date",B48,"Site",1)+GETPIVOTDATA("Sum of SOrecap",SalmonPivot!$Y$4,"Date",B48,"Site",1)</f>
        <v>0</v>
      </c>
      <c r="L48" s="24">
        <f>GETPIVOTDATA("Sum of SOrad",SalmonPivot!$Y$4,"Date",B48,"Site",1)</f>
        <v>0</v>
      </c>
      <c r="M48" s="24">
        <f>N48+GETPIVOTDATA("Sum of PKno",SalmonPivot!$AK$4,"Date",B48,"Site",1)+GETPIVOTDATA("Sum of PKrecap",SalmonPivot!$AK$4,"Date",B48,"Site",1)</f>
        <v>1</v>
      </c>
      <c r="N48" s="24">
        <f>GETPIVOTDATA("Sum of PKrad",SalmonPivot!$AK$4,"Date",B48,"Site",1)</f>
        <v>0</v>
      </c>
      <c r="O48" s="24">
        <f>P48+GETPIVOTDATA("Sum of CMno",SalmonPivot!$AW$4,"Date",B48,"Site",1)+GETPIVOTDATA("Sum of CMrecap",SalmonPivot!$AW$4,"Date",B48,"Site",1)</f>
        <v>1</v>
      </c>
      <c r="P48" s="24">
        <f>GETPIVOTDATA("Sum of CMrad",SalmonPivot!$AW$4,"Date",B48,"Site",1)</f>
        <v>0</v>
      </c>
      <c r="Q48" s="25">
        <f>R48+GETPIVOTDATA("Sum of COno",SalmonPivot!$BI$4,"Date",B48,"Site",1)+GETPIVOTDATA("Sum of COrecap",SalmonPivot!$BI$4,"Date",B48,"Site",1)</f>
        <v>0</v>
      </c>
      <c r="R48" s="24">
        <f>GETPIVOTDATA("Sum of COrad",SalmonPivot!$BI$4,"Date",B48,"Site",1)</f>
        <v>0</v>
      </c>
      <c r="S48" s="24">
        <f>GETPIVOTDATA("Sum of TotalOther",OtherPivot!$J$5,"Date",B48,"Site",1)</f>
        <v>0</v>
      </c>
      <c r="T48" s="38"/>
      <c r="U48" s="172">
        <f>IF(GETPIVOTDATA("3 Revs (s)",EffortRPMPivot!$L$4,"Date",$B48,"Site",1)=0,"",GETPIVOTDATA("3 revs (s)",EffortRPMPivot!$L$4,"date",$B48,"Site",1))</f>
        <v>41.5</v>
      </c>
      <c r="V48" s="173">
        <f t="shared" si="34"/>
        <v>9.4488188976377979E-2</v>
      </c>
      <c r="W48" s="173">
        <f t="shared" si="35"/>
        <v>0</v>
      </c>
      <c r="X48" s="173">
        <f t="shared" si="36"/>
        <v>0</v>
      </c>
      <c r="Y48" s="173">
        <f t="shared" si="37"/>
        <v>9.4488188976377979E-2</v>
      </c>
      <c r="Z48" s="173">
        <f t="shared" si="38"/>
        <v>9.4488188976377979E-2</v>
      </c>
      <c r="AA48" s="174">
        <f t="shared" si="39"/>
        <v>0</v>
      </c>
      <c r="AB48" s="175">
        <f t="shared" si="40"/>
        <v>6</v>
      </c>
      <c r="AC48" s="175">
        <f t="shared" si="41"/>
        <v>1</v>
      </c>
      <c r="AD48" s="175">
        <f t="shared" si="42"/>
        <v>3</v>
      </c>
      <c r="AE48" s="175">
        <f t="shared" si="43"/>
        <v>10</v>
      </c>
      <c r="AF48" s="175">
        <f t="shared" si="44"/>
        <v>3</v>
      </c>
      <c r="AG48" s="175">
        <f t="shared" si="45"/>
        <v>0</v>
      </c>
      <c r="AH48" s="176">
        <f t="shared" si="46"/>
        <v>22</v>
      </c>
      <c r="AI48" s="175">
        <f>SUM(AB$4:AB48)</f>
        <v>641</v>
      </c>
      <c r="AJ48" s="175">
        <f>SUM(AC$4:AC48)</f>
        <v>187</v>
      </c>
      <c r="AK48" s="175">
        <f>SUM(AD$4:AD48)</f>
        <v>33</v>
      </c>
      <c r="AL48" s="175">
        <f>SUM(AE$4:AE48)</f>
        <v>14</v>
      </c>
      <c r="AM48" s="175">
        <f>SUM(AF$4:AF48)</f>
        <v>15</v>
      </c>
      <c r="AN48" s="176">
        <f>SUM(AG$4:AG48)</f>
        <v>0</v>
      </c>
      <c r="AO48" s="175">
        <f t="shared" si="47"/>
        <v>6</v>
      </c>
      <c r="AP48" s="175">
        <f t="shared" si="48"/>
        <v>0</v>
      </c>
      <c r="AQ48" s="175">
        <f t="shared" si="49"/>
        <v>2</v>
      </c>
      <c r="AR48" s="175">
        <f t="shared" si="50"/>
        <v>1</v>
      </c>
      <c r="AS48" s="175">
        <f t="shared" si="51"/>
        <v>2</v>
      </c>
      <c r="AT48" s="176">
        <f t="shared" si="52"/>
        <v>0</v>
      </c>
      <c r="AU48" s="175">
        <f>SUM(AO$4:AO48)</f>
        <v>576</v>
      </c>
      <c r="AV48" s="175">
        <f>SUM(AP$4:AP48)</f>
        <v>28</v>
      </c>
      <c r="AW48" s="175">
        <f>SUM(AQ$4:AQ48)</f>
        <v>29</v>
      </c>
      <c r="AX48" s="175">
        <f>SUM(AR$4:AR48)</f>
        <v>4</v>
      </c>
      <c r="AY48" s="175">
        <f>SUM(AS$4:AS48)</f>
        <v>10</v>
      </c>
      <c r="AZ48" s="176">
        <f>SUM(AT$4:AT48)</f>
        <v>0</v>
      </c>
      <c r="BA48" s="177">
        <f t="shared" si="53"/>
        <v>8.9285714285714281E-3</v>
      </c>
      <c r="BB48" s="177">
        <f t="shared" si="54"/>
        <v>4.8780487804878049E-3</v>
      </c>
      <c r="BC48" s="177">
        <f t="shared" si="55"/>
        <v>1.4084507042253521E-2</v>
      </c>
      <c r="BD48" s="177">
        <f t="shared" si="56"/>
        <v>1.3383297644539614E-3</v>
      </c>
      <c r="BE48" s="177">
        <f t="shared" si="57"/>
        <v>2.0422055820285907E-3</v>
      </c>
      <c r="BF48" s="273">
        <f t="shared" si="58"/>
        <v>0</v>
      </c>
      <c r="BG48" s="177">
        <f>SUM(BA$4:BA48)</f>
        <v>0.95386904761904745</v>
      </c>
      <c r="BH48" s="177">
        <f>SUM(BB$4:BB48)</f>
        <v>0.91219512195121977</v>
      </c>
      <c r="BI48" s="177">
        <f>SUM(BC$4:BC48)</f>
        <v>0.15492957746478872</v>
      </c>
      <c r="BJ48" s="177">
        <f>SUM(BD$4:BD48)</f>
        <v>1.8736616702355459E-3</v>
      </c>
      <c r="BK48" s="177">
        <f>SUM(BE$4:BE48)</f>
        <v>1.0211027910142953E-2</v>
      </c>
      <c r="BL48" s="166">
        <f>SUM(BF$4:BF48)</f>
        <v>0</v>
      </c>
      <c r="BM48" s="411">
        <f t="shared" si="28"/>
        <v>3</v>
      </c>
      <c r="BN48" s="409">
        <f t="shared" si="29"/>
        <v>0.28346456692913391</v>
      </c>
    </row>
    <row r="49" spans="2:66" x14ac:dyDescent="0.2">
      <c r="B49" s="60">
        <f t="shared" si="30"/>
        <v>41841</v>
      </c>
      <c r="C49" s="22">
        <f t="shared" ref="C49:C52" si="69">IF(ISERROR(3/(U49/60)),"",3/(U49/60))</f>
        <v>4.3902439024390247</v>
      </c>
      <c r="D49" s="23">
        <f>GETPIVOTDATA("Active time (min)",EffortRPMPivot!$A$4,"date",B49,"Site",1)/60</f>
        <v>11.833333333333334</v>
      </c>
      <c r="E49" s="24">
        <f>F49+G49+GETPIVOTDATA("Sum of CNlgNo",SalmonPivot!$A$4,"Date",B49,"Site",1)</f>
        <v>0</v>
      </c>
      <c r="F49" s="24">
        <f>GETPIVOTDATA("Sum of CNlgrad",SalmonPivot!$A$4,"date",B49,"Site",1)</f>
        <v>0</v>
      </c>
      <c r="G49" s="24">
        <f>GETPIVOTDATA("Sum of CNlgrecap",SalmonPivot!$A$4,"date",B49,"Site",1)</f>
        <v>0</v>
      </c>
      <c r="H49" s="24">
        <f>I49+J49+GETPIVOTDATA("Sum of CNsmno",SalmonPivot!$M$4,"Date",B49,"Site",1)</f>
        <v>2</v>
      </c>
      <c r="I49" s="24">
        <f>GETPIVOTDATA("Sum of CNsmradio",SalmonPivot!$M$4,"Date",B49,"Site",1)</f>
        <v>1</v>
      </c>
      <c r="J49" s="24">
        <f>GETPIVOTDATA("Sum of CNsmrecap",SalmonPivot!$M$4,"Date",B49,"Site",1)</f>
        <v>0</v>
      </c>
      <c r="K49" s="24">
        <f>L49+GETPIVOTDATA("Sum of SOno",SalmonPivot!$Y$4,"Date",B49,"Site",1)+GETPIVOTDATA("Sum of SOrecap",SalmonPivot!$Y$4,"Date",B49,"Site",1)</f>
        <v>0</v>
      </c>
      <c r="L49" s="24">
        <f>GETPIVOTDATA("Sum of SOrad",SalmonPivot!$Y$4,"Date",B49,"Site",1)</f>
        <v>0</v>
      </c>
      <c r="M49" s="24">
        <f>N49+GETPIVOTDATA("Sum of PKno",SalmonPivot!$AK$4,"Date",B49,"Site",1)+GETPIVOTDATA("Sum of PKrecap",SalmonPivot!$AK$4,"Date",B49,"Site",1)</f>
        <v>3</v>
      </c>
      <c r="N49" s="24">
        <f>GETPIVOTDATA("Sum of PKrad",SalmonPivot!$AK$4,"Date",B49,"Site",1)</f>
        <v>1</v>
      </c>
      <c r="O49" s="24">
        <f>P49+GETPIVOTDATA("Sum of CMno",SalmonPivot!$AW$4,"Date",B49,"Site",1)+GETPIVOTDATA("Sum of CMrecap",SalmonPivot!$AW$4,"Date",B49,"Site",1)</f>
        <v>0</v>
      </c>
      <c r="P49" s="24">
        <f>GETPIVOTDATA("Sum of CMrad",SalmonPivot!$AW$4,"Date",B49,"Site",1)</f>
        <v>0</v>
      </c>
      <c r="Q49" s="25">
        <f>R49+GETPIVOTDATA("Sum of COno",SalmonPivot!$BI$4,"Date",B49,"Site",1)+GETPIVOTDATA("Sum of COrecap",SalmonPivot!$BI$4,"Date",B49,"Site",1)</f>
        <v>0</v>
      </c>
      <c r="R49" s="24">
        <f>GETPIVOTDATA("Sum of COrad",SalmonPivot!$BI$4,"Date",B49,"Site",1)</f>
        <v>0</v>
      </c>
      <c r="S49" s="24">
        <f>GETPIVOTDATA("Sum of TotalOther",OtherPivot!$J$5,"Date",B49,"Site",1)</f>
        <v>0</v>
      </c>
      <c r="T49" s="38"/>
      <c r="U49" s="172">
        <f>IF(GETPIVOTDATA("3 Revs (s)",EffortRPMPivot!$L$4,"Date",$B49,"Site",1)=0,"",GETPIVOTDATA("3 revs (s)",EffortRPMPivot!$L$4,"date",$B49,"Site",1))</f>
        <v>41</v>
      </c>
      <c r="V49" s="173">
        <f t="shared" si="34"/>
        <v>0</v>
      </c>
      <c r="W49" s="173">
        <f t="shared" si="35"/>
        <v>0.16901408450704225</v>
      </c>
      <c r="X49" s="173">
        <f t="shared" si="36"/>
        <v>0</v>
      </c>
      <c r="Y49" s="173">
        <f t="shared" si="37"/>
        <v>0.25352112676056338</v>
      </c>
      <c r="Z49" s="173">
        <f t="shared" si="38"/>
        <v>0</v>
      </c>
      <c r="AA49" s="174">
        <f t="shared" si="39"/>
        <v>0</v>
      </c>
      <c r="AB49" s="175">
        <f t="shared" si="40"/>
        <v>4</v>
      </c>
      <c r="AC49" s="175">
        <f t="shared" si="41"/>
        <v>4</v>
      </c>
      <c r="AD49" s="175">
        <f t="shared" si="42"/>
        <v>0</v>
      </c>
      <c r="AE49" s="175">
        <f t="shared" si="43"/>
        <v>6</v>
      </c>
      <c r="AF49" s="175">
        <f t="shared" si="44"/>
        <v>1</v>
      </c>
      <c r="AG49" s="175">
        <f t="shared" si="45"/>
        <v>0</v>
      </c>
      <c r="AH49" s="176">
        <f t="shared" si="46"/>
        <v>11</v>
      </c>
      <c r="AI49" s="175">
        <f>SUM(AB$4:AB49)</f>
        <v>645</v>
      </c>
      <c r="AJ49" s="175">
        <f>SUM(AC$4:AC49)</f>
        <v>191</v>
      </c>
      <c r="AK49" s="175">
        <f>SUM(AD$4:AD49)</f>
        <v>33</v>
      </c>
      <c r="AL49" s="175">
        <f>SUM(AE$4:AE49)</f>
        <v>20</v>
      </c>
      <c r="AM49" s="175">
        <f>SUM(AF$4:AF49)</f>
        <v>16</v>
      </c>
      <c r="AN49" s="176">
        <f>SUM(AG$4:AG49)</f>
        <v>0</v>
      </c>
      <c r="AO49" s="175">
        <f t="shared" si="47"/>
        <v>4</v>
      </c>
      <c r="AP49" s="175">
        <f t="shared" si="48"/>
        <v>1</v>
      </c>
      <c r="AQ49" s="175">
        <f t="shared" si="49"/>
        <v>0</v>
      </c>
      <c r="AR49" s="175">
        <f t="shared" si="50"/>
        <v>2</v>
      </c>
      <c r="AS49" s="175">
        <f t="shared" si="51"/>
        <v>1</v>
      </c>
      <c r="AT49" s="176">
        <f t="shared" si="52"/>
        <v>0</v>
      </c>
      <c r="AU49" s="175">
        <f>SUM(AO$4:AO49)</f>
        <v>580</v>
      </c>
      <c r="AV49" s="175">
        <f>SUM(AP$4:AP49)</f>
        <v>29</v>
      </c>
      <c r="AW49" s="175">
        <f>SUM(AQ$4:AQ49)</f>
        <v>29</v>
      </c>
      <c r="AX49" s="175">
        <f>SUM(AR$4:AR49)</f>
        <v>6</v>
      </c>
      <c r="AY49" s="175">
        <f>SUM(AS$4:AS49)</f>
        <v>11</v>
      </c>
      <c r="AZ49" s="176">
        <f>SUM(AT$4:AT49)</f>
        <v>0</v>
      </c>
      <c r="BA49" s="177">
        <f t="shared" si="53"/>
        <v>5.9523809523809521E-3</v>
      </c>
      <c r="BB49" s="177">
        <f t="shared" si="54"/>
        <v>1.9512195121951219E-2</v>
      </c>
      <c r="BC49" s="177">
        <f t="shared" si="55"/>
        <v>0</v>
      </c>
      <c r="BD49" s="177">
        <f t="shared" si="56"/>
        <v>8.0299785867237686E-4</v>
      </c>
      <c r="BE49" s="177">
        <f t="shared" si="57"/>
        <v>6.8073519400953025E-4</v>
      </c>
      <c r="BF49" s="273">
        <f t="shared" si="58"/>
        <v>0</v>
      </c>
      <c r="BG49" s="177">
        <f>SUM(BA$4:BA49)</f>
        <v>0.95982142857142838</v>
      </c>
      <c r="BH49" s="177">
        <f>SUM(BB$4:BB49)</f>
        <v>0.931707317073171</v>
      </c>
      <c r="BI49" s="177">
        <f>SUM(BC$4:BC49)</f>
        <v>0.15492957746478872</v>
      </c>
      <c r="BJ49" s="177">
        <f>SUM(BD$4:BD49)</f>
        <v>2.6766595289079227E-3</v>
      </c>
      <c r="BK49" s="177">
        <f>SUM(BE$4:BE49)</f>
        <v>1.0891763104152484E-2</v>
      </c>
      <c r="BL49" s="166">
        <f>SUM(BF$4:BF49)</f>
        <v>0</v>
      </c>
      <c r="BM49" s="411">
        <f t="shared" si="28"/>
        <v>3</v>
      </c>
      <c r="BN49" s="409">
        <f t="shared" si="29"/>
        <v>0.25352112676056338</v>
      </c>
    </row>
    <row r="50" spans="2:66" x14ac:dyDescent="0.2">
      <c r="B50" s="60">
        <f t="shared" si="30"/>
        <v>41842</v>
      </c>
      <c r="C50" s="22">
        <f t="shared" si="69"/>
        <v>4.1860465116279073</v>
      </c>
      <c r="D50" s="23">
        <f>GETPIVOTDATA("Active time (min)",EffortRPMPivot!$A$4,"date",B50,"Site",1)/60</f>
        <v>11.816666666666668</v>
      </c>
      <c r="E50" s="24">
        <f>F50+G50+GETPIVOTDATA("Sum of CNlgNo",SalmonPivot!$A$4,"Date",B50,"Site",1)</f>
        <v>0</v>
      </c>
      <c r="F50" s="24">
        <f>GETPIVOTDATA("Sum of CNlgrad",SalmonPivot!$A$4,"date",B50,"Site",1)</f>
        <v>0</v>
      </c>
      <c r="G50" s="24">
        <f>GETPIVOTDATA("Sum of CNlgrecap",SalmonPivot!$A$4,"date",B50,"Site",1)</f>
        <v>0</v>
      </c>
      <c r="H50" s="24">
        <f>I50+J50+GETPIVOTDATA("Sum of CNsmno",SalmonPivot!$M$4,"Date",B50,"Site",1)</f>
        <v>1</v>
      </c>
      <c r="I50" s="24">
        <f>GETPIVOTDATA("Sum of CNsmradio",SalmonPivot!$M$4,"Date",B50,"Site",1)</f>
        <v>0</v>
      </c>
      <c r="J50" s="24">
        <f>GETPIVOTDATA("Sum of CNsmrecap",SalmonPivot!$M$4,"Date",B50,"Site",1)</f>
        <v>0</v>
      </c>
      <c r="K50" s="24">
        <f>L50+GETPIVOTDATA("Sum of SOno",SalmonPivot!$Y$4,"Date",B50,"Site",1)+GETPIVOTDATA("Sum of SOrecap",SalmonPivot!$Y$4,"Date",B50,"Site",1)</f>
        <v>0</v>
      </c>
      <c r="L50" s="24">
        <f>GETPIVOTDATA("Sum of SOrad",SalmonPivot!$Y$4,"Date",B50,"Site",1)</f>
        <v>0</v>
      </c>
      <c r="M50" s="24">
        <f>N50+GETPIVOTDATA("Sum of PKno",SalmonPivot!$AK$4,"Date",B50,"Site",1)+GETPIVOTDATA("Sum of PKrecap",SalmonPivot!$AK$4,"Date",B50,"Site",1)</f>
        <v>11</v>
      </c>
      <c r="N50" s="24">
        <f>GETPIVOTDATA("Sum of PKrad",SalmonPivot!$AK$4,"Date",B50,"Site",1)</f>
        <v>1</v>
      </c>
      <c r="O50" s="24">
        <f>P50+GETPIVOTDATA("Sum of CMno",SalmonPivot!$AW$4,"Date",B50,"Site",1)+GETPIVOTDATA("Sum of CMrecap",SalmonPivot!$AW$4,"Date",B50,"Site",1)</f>
        <v>3</v>
      </c>
      <c r="P50" s="24">
        <f>GETPIVOTDATA("Sum of CMrad",SalmonPivot!$AW$4,"Date",B50,"Site",1)</f>
        <v>0</v>
      </c>
      <c r="Q50" s="25">
        <f>R50+GETPIVOTDATA("Sum of COno",SalmonPivot!$BI$4,"Date",B50,"Site",1)+GETPIVOTDATA("Sum of COrecap",SalmonPivot!$BI$4,"Date",B50,"Site",1)</f>
        <v>1</v>
      </c>
      <c r="R50" s="24">
        <f>GETPIVOTDATA("Sum of COrad",SalmonPivot!$BI$4,"Date",B50,"Site",1)</f>
        <v>1</v>
      </c>
      <c r="S50" s="24">
        <f>GETPIVOTDATA("Sum of TotalOther",OtherPivot!$J$5,"Date",B50,"Site",1)</f>
        <v>1</v>
      </c>
      <c r="T50" s="38"/>
      <c r="U50" s="172">
        <f>IF(GETPIVOTDATA("3 Revs (s)",EffortRPMPivot!$L$4,"Date",$B50,"Site",1)=0,"",GETPIVOTDATA("3 revs (s)",EffortRPMPivot!$L$4,"date",$B50,"Site",1))</f>
        <v>43</v>
      </c>
      <c r="V50" s="173">
        <f t="shared" si="34"/>
        <v>0</v>
      </c>
      <c r="W50" s="173">
        <f t="shared" si="35"/>
        <v>8.4626234132581094E-2</v>
      </c>
      <c r="X50" s="173">
        <f t="shared" si="36"/>
        <v>0</v>
      </c>
      <c r="Y50" s="173">
        <f t="shared" si="37"/>
        <v>0.93088857545839199</v>
      </c>
      <c r="Z50" s="173">
        <f t="shared" si="38"/>
        <v>0.25387870239774329</v>
      </c>
      <c r="AA50" s="174">
        <f t="shared" si="39"/>
        <v>8.4626234132581094E-2</v>
      </c>
      <c r="AB50" s="175">
        <f t="shared" si="40"/>
        <v>1</v>
      </c>
      <c r="AC50" s="175">
        <f t="shared" si="41"/>
        <v>1</v>
      </c>
      <c r="AD50" s="175">
        <f t="shared" si="42"/>
        <v>8</v>
      </c>
      <c r="AE50" s="175">
        <f t="shared" si="43"/>
        <v>25</v>
      </c>
      <c r="AF50" s="175">
        <f t="shared" si="44"/>
        <v>8</v>
      </c>
      <c r="AG50" s="175">
        <f t="shared" si="45"/>
        <v>1</v>
      </c>
      <c r="AH50" s="176">
        <f t="shared" si="46"/>
        <v>43</v>
      </c>
      <c r="AI50" s="175">
        <f>SUM(AB$4:AB50)</f>
        <v>646</v>
      </c>
      <c r="AJ50" s="175">
        <f>SUM(AC$4:AC50)</f>
        <v>192</v>
      </c>
      <c r="AK50" s="175">
        <f>SUM(AD$4:AD50)</f>
        <v>41</v>
      </c>
      <c r="AL50" s="175">
        <f>SUM(AE$4:AE50)</f>
        <v>45</v>
      </c>
      <c r="AM50" s="175">
        <f>SUM(AF$4:AF50)</f>
        <v>24</v>
      </c>
      <c r="AN50" s="176">
        <f>SUM(AG$4:AG50)</f>
        <v>1</v>
      </c>
      <c r="AO50" s="175">
        <f t="shared" si="47"/>
        <v>0</v>
      </c>
      <c r="AP50" s="175">
        <f t="shared" si="48"/>
        <v>0</v>
      </c>
      <c r="AQ50" s="175">
        <f t="shared" si="49"/>
        <v>8</v>
      </c>
      <c r="AR50" s="175">
        <f t="shared" si="50"/>
        <v>3</v>
      </c>
      <c r="AS50" s="175">
        <f t="shared" si="51"/>
        <v>2</v>
      </c>
      <c r="AT50" s="176">
        <f t="shared" si="52"/>
        <v>1</v>
      </c>
      <c r="AU50" s="175">
        <f>SUM(AO$4:AO50)</f>
        <v>580</v>
      </c>
      <c r="AV50" s="175">
        <f>SUM(AP$4:AP50)</f>
        <v>29</v>
      </c>
      <c r="AW50" s="175">
        <f>SUM(AQ$4:AQ50)</f>
        <v>37</v>
      </c>
      <c r="AX50" s="175">
        <f>SUM(AR$4:AR50)</f>
        <v>9</v>
      </c>
      <c r="AY50" s="175">
        <f>SUM(AS$4:AS50)</f>
        <v>13</v>
      </c>
      <c r="AZ50" s="176">
        <f>SUM(AT$4:AT50)</f>
        <v>1</v>
      </c>
      <c r="BA50" s="177">
        <f t="shared" si="53"/>
        <v>1.488095238095238E-3</v>
      </c>
      <c r="BB50" s="177">
        <f t="shared" si="54"/>
        <v>4.8780487804878049E-3</v>
      </c>
      <c r="BC50" s="177">
        <f t="shared" si="55"/>
        <v>3.7558685446009391E-2</v>
      </c>
      <c r="BD50" s="177">
        <f t="shared" si="56"/>
        <v>3.3458244111349037E-3</v>
      </c>
      <c r="BE50" s="177">
        <f t="shared" si="57"/>
        <v>5.445881552076242E-3</v>
      </c>
      <c r="BF50" s="273">
        <f t="shared" si="58"/>
        <v>2.9940119760479044E-3</v>
      </c>
      <c r="BG50" s="177">
        <f>SUM(BA$4:BA50)</f>
        <v>0.96130952380952361</v>
      </c>
      <c r="BH50" s="177">
        <f>SUM(BB$4:BB50)</f>
        <v>0.93658536585365881</v>
      </c>
      <c r="BI50" s="177">
        <f>SUM(BC$4:BC50)</f>
        <v>0.19248826291079812</v>
      </c>
      <c r="BJ50" s="177">
        <f>SUM(BD$4:BD50)</f>
        <v>6.0224839400428269E-3</v>
      </c>
      <c r="BK50" s="177">
        <f>SUM(BE$4:BE50)</f>
        <v>1.6337644656228726E-2</v>
      </c>
      <c r="BL50" s="166">
        <f>SUM(BF$4:BF50)</f>
        <v>2.9940119760479044E-3</v>
      </c>
      <c r="BM50" s="411">
        <f t="shared" si="28"/>
        <v>15</v>
      </c>
      <c r="BN50" s="409">
        <f t="shared" si="29"/>
        <v>1.2693935119887163</v>
      </c>
    </row>
    <row r="51" spans="2:66" x14ac:dyDescent="0.2">
      <c r="B51" s="60">
        <f t="shared" si="30"/>
        <v>41843</v>
      </c>
      <c r="C51" s="22">
        <f t="shared" si="69"/>
        <v>3.6241610738255035</v>
      </c>
      <c r="D51" s="23">
        <f>GETPIVOTDATA("Active time (min)",EffortRPMPivot!$A$4,"date",B51,"Site",1)/60</f>
        <v>12.166666666666666</v>
      </c>
      <c r="E51" s="24">
        <f>F51+G51+GETPIVOTDATA("Sum of CNlgNo",SalmonPivot!$A$4,"Date",B51,"Site",1)</f>
        <v>2</v>
      </c>
      <c r="F51" s="24">
        <f>GETPIVOTDATA("Sum of CNlgrad",SalmonPivot!$A$4,"date",B51,"Site",1)</f>
        <v>2</v>
      </c>
      <c r="G51" s="24">
        <f>GETPIVOTDATA("Sum of CNlgrecap",SalmonPivot!$A$4,"date",B51,"Site",1)</f>
        <v>0</v>
      </c>
      <c r="H51" s="24">
        <f>I51+J51+GETPIVOTDATA("Sum of CNsmno",SalmonPivot!$M$4,"Date",B51,"Site",1)</f>
        <v>0</v>
      </c>
      <c r="I51" s="24">
        <f>GETPIVOTDATA("Sum of CNsmradio",SalmonPivot!$M$4,"Date",B51,"Site",1)</f>
        <v>0</v>
      </c>
      <c r="J51" s="24">
        <f>GETPIVOTDATA("Sum of CNsmrecap",SalmonPivot!$M$4,"Date",B51,"Site",1)</f>
        <v>0</v>
      </c>
      <c r="K51" s="24">
        <f>L51+GETPIVOTDATA("Sum of SOno",SalmonPivot!$Y$4,"Date",B51,"Site",1)+GETPIVOTDATA("Sum of SOrecap",SalmonPivot!$Y$4,"Date",B51,"Site",1)</f>
        <v>3</v>
      </c>
      <c r="L51" s="24">
        <f>GETPIVOTDATA("Sum of SOrad",SalmonPivot!$Y$4,"Date",B51,"Site",1)</f>
        <v>3</v>
      </c>
      <c r="M51" s="24">
        <f>N51+GETPIVOTDATA("Sum of PKno",SalmonPivot!$AK$4,"Date",B51,"Site",1)+GETPIVOTDATA("Sum of PKrecap",SalmonPivot!$AK$4,"Date",B51,"Site",1)</f>
        <v>16</v>
      </c>
      <c r="N51" s="24">
        <f>GETPIVOTDATA("Sum of PKrad",SalmonPivot!$AK$4,"Date",B51,"Site",1)</f>
        <v>2</v>
      </c>
      <c r="O51" s="24">
        <f>P51+GETPIVOTDATA("Sum of CMno",SalmonPivot!$AW$4,"Date",B51,"Site",1)+GETPIVOTDATA("Sum of CMrecap",SalmonPivot!$AW$4,"Date",B51,"Site",1)</f>
        <v>2</v>
      </c>
      <c r="P51" s="24">
        <f>GETPIVOTDATA("Sum of CMrad",SalmonPivot!$AW$4,"Date",B51,"Site",1)</f>
        <v>2</v>
      </c>
      <c r="Q51" s="25">
        <f>R51+GETPIVOTDATA("Sum of COno",SalmonPivot!$BI$4,"Date",B51,"Site",1)+GETPIVOTDATA("Sum of COrecap",SalmonPivot!$BI$4,"Date",B51,"Site",1)</f>
        <v>0</v>
      </c>
      <c r="R51" s="24">
        <f>GETPIVOTDATA("Sum of COrad",SalmonPivot!$BI$4,"Date",B51,"Site",1)</f>
        <v>0</v>
      </c>
      <c r="S51" s="24">
        <f>GETPIVOTDATA("Sum of TotalOther",OtherPivot!$J$5,"Date",B51,"Site",1)</f>
        <v>0</v>
      </c>
      <c r="T51" s="38"/>
      <c r="U51" s="172">
        <f>IF(GETPIVOTDATA("3 Revs (s)",EffortRPMPivot!$L$4,"Date",$B51,"Site",1)=0,"",GETPIVOTDATA("3 revs (s)",EffortRPMPivot!$L$4,"date",$B51,"Site",1))</f>
        <v>49.666666666666664</v>
      </c>
      <c r="V51" s="173">
        <f t="shared" si="34"/>
        <v>0.16438356164383564</v>
      </c>
      <c r="W51" s="173">
        <f t="shared" si="35"/>
        <v>0</v>
      </c>
      <c r="X51" s="173">
        <f t="shared" si="36"/>
        <v>0.24657534246575344</v>
      </c>
      <c r="Y51" s="173">
        <f t="shared" si="37"/>
        <v>1.3150684931506851</v>
      </c>
      <c r="Z51" s="173">
        <f t="shared" si="38"/>
        <v>0.16438356164383564</v>
      </c>
      <c r="AA51" s="174">
        <f t="shared" si="39"/>
        <v>0</v>
      </c>
      <c r="AB51" s="175">
        <f t="shared" si="40"/>
        <v>3</v>
      </c>
      <c r="AC51" s="175">
        <f t="shared" si="41"/>
        <v>0</v>
      </c>
      <c r="AD51" s="175">
        <f t="shared" si="42"/>
        <v>11</v>
      </c>
      <c r="AE51" s="175">
        <f t="shared" si="43"/>
        <v>44</v>
      </c>
      <c r="AF51" s="175">
        <f t="shared" si="44"/>
        <v>8</v>
      </c>
      <c r="AG51" s="175">
        <f t="shared" si="45"/>
        <v>0</v>
      </c>
      <c r="AH51" s="176">
        <f t="shared" si="46"/>
        <v>66</v>
      </c>
      <c r="AI51" s="175">
        <f>SUM(AB$4:AB51)</f>
        <v>649</v>
      </c>
      <c r="AJ51" s="175">
        <f>SUM(AC$4:AC51)</f>
        <v>192</v>
      </c>
      <c r="AK51" s="175">
        <f>SUM(AD$4:AD51)</f>
        <v>52</v>
      </c>
      <c r="AL51" s="175">
        <f>SUM(AE$4:AE51)</f>
        <v>89</v>
      </c>
      <c r="AM51" s="175">
        <f>SUM(AF$4:AF51)</f>
        <v>32</v>
      </c>
      <c r="AN51" s="176">
        <f>SUM(AG$4:AG51)</f>
        <v>1</v>
      </c>
      <c r="AO51" s="175">
        <f t="shared" si="47"/>
        <v>3</v>
      </c>
      <c r="AP51" s="175">
        <f t="shared" si="48"/>
        <v>0</v>
      </c>
      <c r="AQ51" s="175">
        <f t="shared" si="49"/>
        <v>11</v>
      </c>
      <c r="AR51" s="175">
        <f t="shared" si="50"/>
        <v>5</v>
      </c>
      <c r="AS51" s="175">
        <f t="shared" si="51"/>
        <v>5</v>
      </c>
      <c r="AT51" s="176">
        <f t="shared" si="52"/>
        <v>0</v>
      </c>
      <c r="AU51" s="175">
        <f>SUM(AO$4:AO51)</f>
        <v>583</v>
      </c>
      <c r="AV51" s="175">
        <f>SUM(AP$4:AP51)</f>
        <v>29</v>
      </c>
      <c r="AW51" s="175">
        <f>SUM(AQ$4:AQ51)</f>
        <v>48</v>
      </c>
      <c r="AX51" s="175">
        <f>SUM(AR$4:AR51)</f>
        <v>14</v>
      </c>
      <c r="AY51" s="175">
        <f>SUM(AS$4:AS51)</f>
        <v>18</v>
      </c>
      <c r="AZ51" s="176">
        <f>SUM(AT$4:AT51)</f>
        <v>1</v>
      </c>
      <c r="BA51" s="177">
        <f t="shared" si="53"/>
        <v>4.464285714285714E-3</v>
      </c>
      <c r="BB51" s="177">
        <f t="shared" si="54"/>
        <v>0</v>
      </c>
      <c r="BC51" s="177">
        <f t="shared" si="55"/>
        <v>5.1643192488262914E-2</v>
      </c>
      <c r="BD51" s="177">
        <f t="shared" si="56"/>
        <v>5.8886509635974306E-3</v>
      </c>
      <c r="BE51" s="177">
        <f t="shared" si="57"/>
        <v>5.445881552076242E-3</v>
      </c>
      <c r="BF51" s="273">
        <f t="shared" si="58"/>
        <v>0</v>
      </c>
      <c r="BG51" s="177">
        <f>SUM(BA$4:BA51)</f>
        <v>0.96577380952380931</v>
      </c>
      <c r="BH51" s="177">
        <f>SUM(BB$4:BB51)</f>
        <v>0.93658536585365881</v>
      </c>
      <c r="BI51" s="177">
        <f>SUM(BC$4:BC51)</f>
        <v>0.24413145539906103</v>
      </c>
      <c r="BJ51" s="177">
        <f>SUM(BD$4:BD51)</f>
        <v>1.1911134903640257E-2</v>
      </c>
      <c r="BK51" s="177">
        <f>SUM(BE$4:BE51)</f>
        <v>2.1783526208304968E-2</v>
      </c>
      <c r="BL51" s="166">
        <f>SUM(BF$4:BF51)</f>
        <v>2.9940119760479044E-3</v>
      </c>
      <c r="BM51" s="411">
        <f t="shared" si="28"/>
        <v>23</v>
      </c>
      <c r="BN51" s="409">
        <f t="shared" si="29"/>
        <v>1.8904109589041096</v>
      </c>
    </row>
    <row r="52" spans="2:66" x14ac:dyDescent="0.2">
      <c r="B52" s="60">
        <f t="shared" si="30"/>
        <v>41844</v>
      </c>
      <c r="C52" s="22">
        <f t="shared" si="69"/>
        <v>3.4951456310679614</v>
      </c>
      <c r="D52" s="23">
        <f>GETPIVOTDATA("Active time (min)",EffortRPMPivot!$A$4,"date",B52,"Site",1)/60</f>
        <v>11.283333333333333</v>
      </c>
      <c r="E52" s="24">
        <f>F52+G52+GETPIVOTDATA("Sum of CNlgNo",SalmonPivot!$A$4,"Date",B52,"Site",1)</f>
        <v>1</v>
      </c>
      <c r="F52" s="24">
        <f>GETPIVOTDATA("Sum of CNlgrad",SalmonPivot!$A$4,"date",B52,"Site",1)</f>
        <v>1</v>
      </c>
      <c r="G52" s="24">
        <f>GETPIVOTDATA("Sum of CNlgrecap",SalmonPivot!$A$4,"date",B52,"Site",1)</f>
        <v>0</v>
      </c>
      <c r="H52" s="24">
        <f>I52+J52+GETPIVOTDATA("Sum of CNsmno",SalmonPivot!$M$4,"Date",B52,"Site",1)</f>
        <v>0</v>
      </c>
      <c r="I52" s="24">
        <f>GETPIVOTDATA("Sum of CNsmradio",SalmonPivot!$M$4,"Date",B52,"Site",1)</f>
        <v>0</v>
      </c>
      <c r="J52" s="24">
        <f>GETPIVOTDATA("Sum of CNsmrecap",SalmonPivot!$M$4,"Date",B52,"Site",1)</f>
        <v>0</v>
      </c>
      <c r="K52" s="24">
        <f>L52+GETPIVOTDATA("Sum of SOno",SalmonPivot!$Y$4,"Date",B52,"Site",1)+GETPIVOTDATA("Sum of SOrecap",SalmonPivot!$Y$4,"Date",B52,"Site",1)</f>
        <v>2</v>
      </c>
      <c r="L52" s="24">
        <f>GETPIVOTDATA("Sum of SOrad",SalmonPivot!$Y$4,"Date",B52,"Site",1)</f>
        <v>2</v>
      </c>
      <c r="M52" s="24">
        <f>N52+GETPIVOTDATA("Sum of PKno",SalmonPivot!$AK$4,"Date",B52,"Site",1)+GETPIVOTDATA("Sum of PKrecap",SalmonPivot!$AK$4,"Date",B52,"Site",1)</f>
        <v>68</v>
      </c>
      <c r="N52" s="24">
        <f>GETPIVOTDATA("Sum of PKrad",SalmonPivot!$AK$4,"Date",B52,"Site",1)</f>
        <v>3</v>
      </c>
      <c r="O52" s="24">
        <f>P52+GETPIVOTDATA("Sum of CMno",SalmonPivot!$AW$4,"Date",B52,"Site",1)+GETPIVOTDATA("Sum of CMrecap",SalmonPivot!$AW$4,"Date",B52,"Site",1)</f>
        <v>3</v>
      </c>
      <c r="P52" s="24">
        <f>GETPIVOTDATA("Sum of CMrad",SalmonPivot!$AW$4,"Date",B52,"Site",1)</f>
        <v>1</v>
      </c>
      <c r="Q52" s="25">
        <f>R52+GETPIVOTDATA("Sum of COno",SalmonPivot!$BI$4,"Date",B52,"Site",1)+GETPIVOTDATA("Sum of COrecap",SalmonPivot!$BI$4,"Date",B52,"Site",1)</f>
        <v>0</v>
      </c>
      <c r="R52" s="24">
        <f>GETPIVOTDATA("Sum of COrad",SalmonPivot!$BI$4,"Date",B52,"Site",1)</f>
        <v>0</v>
      </c>
      <c r="S52" s="24">
        <f>GETPIVOTDATA("Sum of TotalOther",OtherPivot!$J$5,"Date",B52,"Site",1)</f>
        <v>0</v>
      </c>
      <c r="T52" s="38"/>
      <c r="U52" s="172">
        <f>IF(GETPIVOTDATA("3 Revs (s)",EffortRPMPivot!$L$4,"Date",$B52,"Site",1)=0,"",GETPIVOTDATA("3 revs (s)",EffortRPMPivot!$L$4,"date",$B52,"Site",1))</f>
        <v>51.5</v>
      </c>
      <c r="V52" s="173">
        <f t="shared" si="34"/>
        <v>8.8626292466765136E-2</v>
      </c>
      <c r="W52" s="173">
        <f t="shared" si="35"/>
        <v>0</v>
      </c>
      <c r="X52" s="173">
        <f t="shared" si="36"/>
        <v>0.17725258493353027</v>
      </c>
      <c r="Y52" s="173">
        <f t="shared" si="37"/>
        <v>6.0265878877400292</v>
      </c>
      <c r="Z52" s="173">
        <f t="shared" si="38"/>
        <v>0.26587887740029542</v>
      </c>
      <c r="AA52" s="174">
        <f t="shared" si="39"/>
        <v>0</v>
      </c>
      <c r="AB52" s="175">
        <f t="shared" si="40"/>
        <v>1</v>
      </c>
      <c r="AC52" s="175">
        <f t="shared" si="41"/>
        <v>2</v>
      </c>
      <c r="AD52" s="175">
        <f t="shared" si="42"/>
        <v>5</v>
      </c>
      <c r="AE52" s="175">
        <f t="shared" si="43"/>
        <v>154</v>
      </c>
      <c r="AF52" s="175">
        <f t="shared" si="44"/>
        <v>15</v>
      </c>
      <c r="AG52" s="175">
        <f t="shared" si="45"/>
        <v>0</v>
      </c>
      <c r="AH52" s="176">
        <f t="shared" si="46"/>
        <v>175</v>
      </c>
      <c r="AI52" s="175">
        <f>SUM(AB$4:AB52)</f>
        <v>650</v>
      </c>
      <c r="AJ52" s="175">
        <f>SUM(AC$4:AC52)</f>
        <v>194</v>
      </c>
      <c r="AK52" s="175">
        <f>SUM(AD$4:AD52)</f>
        <v>57</v>
      </c>
      <c r="AL52" s="175">
        <f>SUM(AE$4:AE52)</f>
        <v>243</v>
      </c>
      <c r="AM52" s="175">
        <f>SUM(AF$4:AF52)</f>
        <v>47</v>
      </c>
      <c r="AN52" s="176">
        <f>SUM(AG$4:AG52)</f>
        <v>1</v>
      </c>
      <c r="AO52" s="175">
        <f t="shared" si="47"/>
        <v>1</v>
      </c>
      <c r="AP52" s="175">
        <f t="shared" si="48"/>
        <v>2</v>
      </c>
      <c r="AQ52" s="175">
        <f t="shared" si="49"/>
        <v>5</v>
      </c>
      <c r="AR52" s="175">
        <f t="shared" si="50"/>
        <v>5</v>
      </c>
      <c r="AS52" s="175">
        <f t="shared" si="51"/>
        <v>6</v>
      </c>
      <c r="AT52" s="176">
        <f t="shared" si="52"/>
        <v>0</v>
      </c>
      <c r="AU52" s="175">
        <f>SUM(AO$4:AO52)</f>
        <v>584</v>
      </c>
      <c r="AV52" s="175">
        <f>SUM(AP$4:AP52)</f>
        <v>31</v>
      </c>
      <c r="AW52" s="175">
        <f>SUM(AQ$4:AQ52)</f>
        <v>53</v>
      </c>
      <c r="AX52" s="175">
        <f>SUM(AR$4:AR52)</f>
        <v>19</v>
      </c>
      <c r="AY52" s="175">
        <f>SUM(AS$4:AS52)</f>
        <v>24</v>
      </c>
      <c r="AZ52" s="176">
        <f>SUM(AT$4:AT52)</f>
        <v>1</v>
      </c>
      <c r="BA52" s="177">
        <f t="shared" si="53"/>
        <v>1.488095238095238E-3</v>
      </c>
      <c r="BB52" s="177">
        <f t="shared" si="54"/>
        <v>9.7560975609756097E-3</v>
      </c>
      <c r="BC52" s="177">
        <f t="shared" si="55"/>
        <v>2.3474178403755867E-2</v>
      </c>
      <c r="BD52" s="177">
        <f t="shared" si="56"/>
        <v>2.0610278372591006E-2</v>
      </c>
      <c r="BE52" s="177">
        <f t="shared" si="57"/>
        <v>1.0211027910142955E-2</v>
      </c>
      <c r="BF52" s="273">
        <f t="shared" si="58"/>
        <v>0</v>
      </c>
      <c r="BG52" s="177">
        <f>SUM(BA$4:BA52)</f>
        <v>0.96726190476190455</v>
      </c>
      <c r="BH52" s="177">
        <f>SUM(BB$4:BB52)</f>
        <v>0.94634146341463443</v>
      </c>
      <c r="BI52" s="177">
        <f>SUM(BC$4:BC52)</f>
        <v>0.26760563380281688</v>
      </c>
      <c r="BJ52" s="177">
        <f>SUM(BD$4:BD52)</f>
        <v>3.2521413276231259E-2</v>
      </c>
      <c r="BK52" s="177">
        <f>SUM(BE$4:BE52)</f>
        <v>3.1994554118447927E-2</v>
      </c>
      <c r="BL52" s="166">
        <f>SUM(BF$4:BF52)</f>
        <v>2.9940119760479044E-3</v>
      </c>
      <c r="BM52" s="411">
        <f t="shared" si="28"/>
        <v>74</v>
      </c>
      <c r="BN52" s="409">
        <f t="shared" si="29"/>
        <v>6.5583456425406208</v>
      </c>
    </row>
    <row r="53" spans="2:66" x14ac:dyDescent="0.2">
      <c r="B53" s="60">
        <f t="shared" si="30"/>
        <v>41845</v>
      </c>
      <c r="C53" s="22">
        <f t="shared" ref="C53" si="70">IF(ISERROR(3/(U53/60)),"",3/(U53/60))</f>
        <v>3.6363636363636367</v>
      </c>
      <c r="D53" s="23">
        <f>GETPIVOTDATA("Active time (min)",EffortRPMPivot!$A$4,"date",B53,"Site",1)/60</f>
        <v>12.633333333333329</v>
      </c>
      <c r="E53" s="24">
        <f>F53+G53+GETPIVOTDATA("Sum of CNlgNo",SalmonPivot!$A$4,"Date",B53,"Site",1)</f>
        <v>1</v>
      </c>
      <c r="F53" s="24">
        <f>GETPIVOTDATA("Sum of CNlgrad",SalmonPivot!$A$4,"date",B53,"Site",1)</f>
        <v>1</v>
      </c>
      <c r="G53" s="24">
        <f>GETPIVOTDATA("Sum of CNlgrecap",SalmonPivot!$A$4,"date",B53,"Site",1)</f>
        <v>0</v>
      </c>
      <c r="H53" s="24">
        <f>I53+J53+GETPIVOTDATA("Sum of CNsmno",SalmonPivot!$M$4,"Date",B53,"Site",1)</f>
        <v>0</v>
      </c>
      <c r="I53" s="24">
        <f>GETPIVOTDATA("Sum of CNsmradio",SalmonPivot!$M$4,"Date",B53,"Site",1)</f>
        <v>0</v>
      </c>
      <c r="J53" s="24">
        <f>GETPIVOTDATA("Sum of CNsmrecap",SalmonPivot!$M$4,"Date",B53,"Site",1)</f>
        <v>0</v>
      </c>
      <c r="K53" s="24">
        <f>L53+GETPIVOTDATA("Sum of SOno",SalmonPivot!$Y$4,"Date",B53,"Site",1)+GETPIVOTDATA("Sum of SOrecap",SalmonPivot!$Y$4,"Date",B53,"Site",1)</f>
        <v>1</v>
      </c>
      <c r="L53" s="24">
        <f>GETPIVOTDATA("Sum of SOrad",SalmonPivot!$Y$4,"Date",B53,"Site",1)</f>
        <v>1</v>
      </c>
      <c r="M53" s="24">
        <f>N53+GETPIVOTDATA("Sum of PKno",SalmonPivot!$AK$4,"Date",B53,"Site",1)+GETPIVOTDATA("Sum of PKrecap",SalmonPivot!$AK$4,"Date",B53,"Site",1)</f>
        <v>135</v>
      </c>
      <c r="N53" s="24">
        <f>GETPIVOTDATA("Sum of PKrad",SalmonPivot!$AK$4,"Date",B53,"Site",1)</f>
        <v>2</v>
      </c>
      <c r="O53" s="24">
        <f>P53+GETPIVOTDATA("Sum of CMno",SalmonPivot!$AW$4,"Date",B53,"Site",1)+GETPIVOTDATA("Sum of CMrecap",SalmonPivot!$AW$4,"Date",B53,"Site",1)</f>
        <v>1</v>
      </c>
      <c r="P53" s="24">
        <f>GETPIVOTDATA("Sum of CMrad",SalmonPivot!$AW$4,"Date",B53,"Site",1)</f>
        <v>0</v>
      </c>
      <c r="Q53" s="25">
        <f>R53+GETPIVOTDATA("Sum of COno",SalmonPivot!$BI$4,"Date",B53,"Site",1)+GETPIVOTDATA("Sum of COrecap",SalmonPivot!$BI$4,"Date",B53,"Site",1)</f>
        <v>0</v>
      </c>
      <c r="R53" s="24">
        <f>GETPIVOTDATA("Sum of COrad",SalmonPivot!$BI$4,"Date",B53,"Site",1)</f>
        <v>0</v>
      </c>
      <c r="S53" s="24">
        <f>GETPIVOTDATA("Sum of TotalOther",OtherPivot!$J$5,"Date",B53,"Site",1)</f>
        <v>0</v>
      </c>
      <c r="T53" s="38"/>
      <c r="U53" s="172">
        <f>IF(GETPIVOTDATA("3 Revs (s)",EffortRPMPivot!$L$4,"Date",$B53,"Site",1)=0,"",GETPIVOTDATA("3 revs (s)",EffortRPMPivot!$L$4,"date",$B53,"Site",1))</f>
        <v>49.5</v>
      </c>
      <c r="V53" s="173">
        <f t="shared" si="34"/>
        <v>7.9155672823219017E-2</v>
      </c>
      <c r="W53" s="173">
        <f t="shared" si="35"/>
        <v>0</v>
      </c>
      <c r="X53" s="173">
        <f t="shared" si="36"/>
        <v>7.9155672823219017E-2</v>
      </c>
      <c r="Y53" s="173">
        <f t="shared" si="37"/>
        <v>10.686015831134569</v>
      </c>
      <c r="Z53" s="173">
        <f t="shared" si="38"/>
        <v>7.9155672823219017E-2</v>
      </c>
      <c r="AA53" s="174">
        <f t="shared" si="39"/>
        <v>0</v>
      </c>
      <c r="AB53" s="175">
        <f t="shared" si="40"/>
        <v>2</v>
      </c>
      <c r="AC53" s="175">
        <f t="shared" si="41"/>
        <v>0</v>
      </c>
      <c r="AD53" s="175">
        <f t="shared" si="42"/>
        <v>2</v>
      </c>
      <c r="AE53" s="175">
        <f t="shared" si="43"/>
        <v>382</v>
      </c>
      <c r="AF53" s="175">
        <f t="shared" si="44"/>
        <v>9</v>
      </c>
      <c r="AG53" s="175">
        <f t="shared" si="45"/>
        <v>0</v>
      </c>
      <c r="AH53" s="176">
        <f t="shared" si="46"/>
        <v>395</v>
      </c>
      <c r="AI53" s="175">
        <f>SUM(AB$4:AB53)</f>
        <v>652</v>
      </c>
      <c r="AJ53" s="175">
        <f>SUM(AC$4:AC53)</f>
        <v>194</v>
      </c>
      <c r="AK53" s="175">
        <f>SUM(AD$4:AD53)</f>
        <v>59</v>
      </c>
      <c r="AL53" s="175">
        <f>SUM(AE$4:AE53)</f>
        <v>625</v>
      </c>
      <c r="AM53" s="175">
        <f>SUM(AF$4:AF53)</f>
        <v>56</v>
      </c>
      <c r="AN53" s="176">
        <f>SUM(AG$4:AG53)</f>
        <v>1</v>
      </c>
      <c r="AO53" s="175">
        <f t="shared" si="47"/>
        <v>2</v>
      </c>
      <c r="AP53" s="175">
        <f t="shared" si="48"/>
        <v>0</v>
      </c>
      <c r="AQ53" s="175">
        <f t="shared" si="49"/>
        <v>2</v>
      </c>
      <c r="AR53" s="175">
        <f t="shared" si="50"/>
        <v>5</v>
      </c>
      <c r="AS53" s="175">
        <f t="shared" si="51"/>
        <v>7</v>
      </c>
      <c r="AT53" s="176">
        <f t="shared" si="52"/>
        <v>0</v>
      </c>
      <c r="AU53" s="175">
        <f>SUM(AO$4:AO53)</f>
        <v>586</v>
      </c>
      <c r="AV53" s="175">
        <f>SUM(AP$4:AP53)</f>
        <v>31</v>
      </c>
      <c r="AW53" s="175">
        <f>SUM(AQ$4:AQ53)</f>
        <v>55</v>
      </c>
      <c r="AX53" s="175">
        <f>SUM(AR$4:AR53)</f>
        <v>24</v>
      </c>
      <c r="AY53" s="175">
        <f>SUM(AS$4:AS53)</f>
        <v>31</v>
      </c>
      <c r="AZ53" s="176">
        <f>SUM(AT$4:AT53)</f>
        <v>1</v>
      </c>
      <c r="BA53" s="177">
        <f t="shared" si="53"/>
        <v>2.976190476190476E-3</v>
      </c>
      <c r="BB53" s="177">
        <f t="shared" si="54"/>
        <v>0</v>
      </c>
      <c r="BC53" s="177">
        <f t="shared" si="55"/>
        <v>9.3896713615023476E-3</v>
      </c>
      <c r="BD53" s="177">
        <f t="shared" si="56"/>
        <v>5.1124197002141325E-2</v>
      </c>
      <c r="BE53" s="177">
        <f t="shared" si="57"/>
        <v>6.1266167460857727E-3</v>
      </c>
      <c r="BF53" s="273">
        <f t="shared" si="58"/>
        <v>0</v>
      </c>
      <c r="BG53" s="177">
        <f>SUM(BA$4:BA53)</f>
        <v>0.97023809523809501</v>
      </c>
      <c r="BH53" s="177">
        <f>SUM(BB$4:BB53)</f>
        <v>0.94634146341463443</v>
      </c>
      <c r="BI53" s="177">
        <f>SUM(BC$4:BC53)</f>
        <v>0.27699530516431925</v>
      </c>
      <c r="BJ53" s="177">
        <f>SUM(BD$4:BD53)</f>
        <v>8.3645610278372584E-2</v>
      </c>
      <c r="BK53" s="177">
        <f>SUM(BE$4:BE53)</f>
        <v>3.8121170864533697E-2</v>
      </c>
      <c r="BL53" s="166">
        <f>SUM(BF$4:BF53)</f>
        <v>2.9940119760479044E-3</v>
      </c>
      <c r="BM53" s="411">
        <f t="shared" si="28"/>
        <v>138</v>
      </c>
      <c r="BN53" s="409">
        <f t="shared" si="29"/>
        <v>10.923482849604225</v>
      </c>
    </row>
    <row r="54" spans="2:66" x14ac:dyDescent="0.2">
      <c r="B54" s="60">
        <f t="shared" si="30"/>
        <v>41846</v>
      </c>
      <c r="C54" s="22">
        <f t="shared" ref="C54:C57" si="71">IF(ISERROR(3/(U54/60)),"",3/(U54/60))</f>
        <v>4.354838709677419</v>
      </c>
      <c r="D54" s="23">
        <f>GETPIVOTDATA("Active time (min)",EffortRPMPivot!$A$4,"date",B54,"Site",1)/60</f>
        <v>12.066666666666668</v>
      </c>
      <c r="E54" s="24">
        <f>F54+G54+GETPIVOTDATA("Sum of CNlgNo",SalmonPivot!$A$4,"Date",B54,"Site",1)</f>
        <v>0</v>
      </c>
      <c r="F54" s="24">
        <f>GETPIVOTDATA("Sum of CNlgrad",SalmonPivot!$A$4,"date",B54,"Site",1)</f>
        <v>0</v>
      </c>
      <c r="G54" s="24">
        <f>GETPIVOTDATA("Sum of CNlgrecap",SalmonPivot!$A$4,"date",B54,"Site",1)</f>
        <v>0</v>
      </c>
      <c r="H54" s="24">
        <f>I54+J54+GETPIVOTDATA("Sum of CNsmno",SalmonPivot!$M$4,"Date",B54,"Site",1)</f>
        <v>0</v>
      </c>
      <c r="I54" s="24">
        <f>GETPIVOTDATA("Sum of CNsmradio",SalmonPivot!$M$4,"Date",B54,"Site",1)</f>
        <v>0</v>
      </c>
      <c r="J54" s="24">
        <f>GETPIVOTDATA("Sum of CNsmrecap",SalmonPivot!$M$4,"Date",B54,"Site",1)</f>
        <v>0</v>
      </c>
      <c r="K54" s="24">
        <f>L54+GETPIVOTDATA("Sum of SOno",SalmonPivot!$Y$4,"Date",B54,"Site",1)+GETPIVOTDATA("Sum of SOrecap",SalmonPivot!$Y$4,"Date",B54,"Site",1)</f>
        <v>0</v>
      </c>
      <c r="L54" s="24">
        <f>GETPIVOTDATA("Sum of SOrad",SalmonPivot!$Y$4,"Date",B54,"Site",1)</f>
        <v>0</v>
      </c>
      <c r="M54" s="24">
        <f>N54+GETPIVOTDATA("Sum of PKno",SalmonPivot!$AK$4,"Date",B54,"Site",1)+GETPIVOTDATA("Sum of PKrecap",SalmonPivot!$AK$4,"Date",B54,"Site",1)</f>
        <v>45</v>
      </c>
      <c r="N54" s="24">
        <f>GETPIVOTDATA("Sum of PKrad",SalmonPivot!$AK$4,"Date",B54,"Site",1)</f>
        <v>5</v>
      </c>
      <c r="O54" s="24">
        <f>P54+GETPIVOTDATA("Sum of CMno",SalmonPivot!$AW$4,"Date",B54,"Site",1)+GETPIVOTDATA("Sum of CMrecap",SalmonPivot!$AW$4,"Date",B54,"Site",1)</f>
        <v>3</v>
      </c>
      <c r="P54" s="24">
        <f>GETPIVOTDATA("Sum of CMrad",SalmonPivot!$AW$4,"Date",B54,"Site",1)</f>
        <v>3</v>
      </c>
      <c r="Q54" s="25">
        <f>R54+GETPIVOTDATA("Sum of COno",SalmonPivot!$BI$4,"Date",B54,"Site",1)+GETPIVOTDATA("Sum of COrecap",SalmonPivot!$BI$4,"Date",B54,"Site",1)</f>
        <v>0</v>
      </c>
      <c r="R54" s="24">
        <f>GETPIVOTDATA("Sum of COrad",SalmonPivot!$BI$4,"Date",B54,"Site",1)</f>
        <v>0</v>
      </c>
      <c r="S54" s="24">
        <f>GETPIVOTDATA("Sum of TotalOther",OtherPivot!$J$5,"Date",B54,"Site",1)</f>
        <v>0</v>
      </c>
      <c r="T54" s="38"/>
      <c r="U54" s="172">
        <f>IF(GETPIVOTDATA("3 Revs (s)",EffortRPMPivot!$L$4,"Date",$B54,"Site",1)=0,"",GETPIVOTDATA("3 revs (s)",EffortRPMPivot!$L$4,"date",$B54,"Site",1))</f>
        <v>41.333333333333336</v>
      </c>
      <c r="V54" s="173">
        <f t="shared" si="34"/>
        <v>0</v>
      </c>
      <c r="W54" s="173">
        <f t="shared" si="35"/>
        <v>0</v>
      </c>
      <c r="X54" s="173">
        <f t="shared" si="36"/>
        <v>0</v>
      </c>
      <c r="Y54" s="173">
        <f t="shared" si="37"/>
        <v>3.7292817679558006</v>
      </c>
      <c r="Z54" s="173">
        <f t="shared" si="38"/>
        <v>0.24861878453038672</v>
      </c>
      <c r="AA54" s="174">
        <f t="shared" si="39"/>
        <v>0</v>
      </c>
      <c r="AB54" s="175">
        <f t="shared" si="40"/>
        <v>1</v>
      </c>
      <c r="AC54" s="175">
        <f t="shared" si="41"/>
        <v>0</v>
      </c>
      <c r="AD54" s="175">
        <f t="shared" si="42"/>
        <v>4</v>
      </c>
      <c r="AE54" s="175">
        <f t="shared" si="43"/>
        <v>291</v>
      </c>
      <c r="AF54" s="175">
        <f t="shared" si="44"/>
        <v>7</v>
      </c>
      <c r="AG54" s="175">
        <f t="shared" si="45"/>
        <v>0</v>
      </c>
      <c r="AH54" s="176">
        <f t="shared" si="46"/>
        <v>303</v>
      </c>
      <c r="AI54" s="175">
        <f>SUM(AB$4:AB54)</f>
        <v>653</v>
      </c>
      <c r="AJ54" s="175">
        <f>SUM(AC$4:AC54)</f>
        <v>194</v>
      </c>
      <c r="AK54" s="175">
        <f>SUM(AD$4:AD54)</f>
        <v>63</v>
      </c>
      <c r="AL54" s="175">
        <f>SUM(AE$4:AE54)</f>
        <v>916</v>
      </c>
      <c r="AM54" s="175">
        <f>SUM(AF$4:AF54)</f>
        <v>63</v>
      </c>
      <c r="AN54" s="176">
        <f>SUM(AG$4:AG54)</f>
        <v>1</v>
      </c>
      <c r="AO54" s="175">
        <f t="shared" si="47"/>
        <v>0</v>
      </c>
      <c r="AP54" s="175">
        <f t="shared" si="48"/>
        <v>0</v>
      </c>
      <c r="AQ54" s="175">
        <f t="shared" si="49"/>
        <v>4</v>
      </c>
      <c r="AR54" s="175">
        <f t="shared" si="50"/>
        <v>15</v>
      </c>
      <c r="AS54" s="175">
        <f t="shared" si="51"/>
        <v>6</v>
      </c>
      <c r="AT54" s="176">
        <f t="shared" si="52"/>
        <v>0</v>
      </c>
      <c r="AU54" s="175">
        <f>SUM(AO$4:AO54)</f>
        <v>586</v>
      </c>
      <c r="AV54" s="175">
        <f>SUM(AP$4:AP54)</f>
        <v>31</v>
      </c>
      <c r="AW54" s="175">
        <f>SUM(AQ$4:AQ54)</f>
        <v>59</v>
      </c>
      <c r="AX54" s="175">
        <f>SUM(AR$4:AR54)</f>
        <v>39</v>
      </c>
      <c r="AY54" s="175">
        <f>SUM(AS$4:AS54)</f>
        <v>37</v>
      </c>
      <c r="AZ54" s="176">
        <f>SUM(AT$4:AT54)</f>
        <v>1</v>
      </c>
      <c r="BA54" s="177">
        <f t="shared" si="53"/>
        <v>1.488095238095238E-3</v>
      </c>
      <c r="BB54" s="177">
        <f t="shared" si="54"/>
        <v>0</v>
      </c>
      <c r="BC54" s="177">
        <f t="shared" si="55"/>
        <v>1.8779342723004695E-2</v>
      </c>
      <c r="BD54" s="177">
        <f t="shared" si="56"/>
        <v>3.8945396145610281E-2</v>
      </c>
      <c r="BE54" s="177">
        <f t="shared" si="57"/>
        <v>4.7651463580667122E-3</v>
      </c>
      <c r="BF54" s="273">
        <f t="shared" si="58"/>
        <v>0</v>
      </c>
      <c r="BG54" s="177">
        <f>SUM(BA$4:BA54)</f>
        <v>0.97172619047619024</v>
      </c>
      <c r="BH54" s="177">
        <f>SUM(BB$4:BB54)</f>
        <v>0.94634146341463443</v>
      </c>
      <c r="BI54" s="177">
        <f>SUM(BC$4:BC54)</f>
        <v>0.29577464788732394</v>
      </c>
      <c r="BJ54" s="177">
        <f>SUM(BD$4:BD54)</f>
        <v>0.12259100642398287</v>
      </c>
      <c r="BK54" s="177">
        <f>SUM(BE$4:BE54)</f>
        <v>4.2886317222600411E-2</v>
      </c>
      <c r="BL54" s="166">
        <f>SUM(BF$4:BF54)</f>
        <v>2.9940119760479044E-3</v>
      </c>
      <c r="BM54" s="411">
        <f t="shared" si="28"/>
        <v>48</v>
      </c>
      <c r="BN54" s="409">
        <f t="shared" si="29"/>
        <v>3.9779005524861875</v>
      </c>
    </row>
    <row r="55" spans="2:66" x14ac:dyDescent="0.2">
      <c r="B55" s="60">
        <f t="shared" si="30"/>
        <v>41847</v>
      </c>
      <c r="C55" s="22">
        <f t="shared" si="71"/>
        <v>3.8571428571428572</v>
      </c>
      <c r="D55" s="23">
        <f>GETPIVOTDATA("Active time (min)",EffortRPMPivot!$A$4,"date",B55,"Site",1)/60</f>
        <v>12.283333333333333</v>
      </c>
      <c r="E55" s="24">
        <f>F55+G55+GETPIVOTDATA("Sum of CNlgNo",SalmonPivot!$A$4,"Date",B55,"Site",1)</f>
        <v>0</v>
      </c>
      <c r="F55" s="24">
        <f>GETPIVOTDATA("Sum of CNlgrad",SalmonPivot!$A$4,"date",B55,"Site",1)</f>
        <v>0</v>
      </c>
      <c r="G55" s="24">
        <f>GETPIVOTDATA("Sum of CNlgrecap",SalmonPivot!$A$4,"date",B55,"Site",1)</f>
        <v>0</v>
      </c>
      <c r="H55" s="24">
        <f>I55+J55+GETPIVOTDATA("Sum of CNsmno",SalmonPivot!$M$4,"Date",B55,"Site",1)</f>
        <v>1</v>
      </c>
      <c r="I55" s="24">
        <f>GETPIVOTDATA("Sum of CNsmradio",SalmonPivot!$M$4,"Date",B55,"Site",1)</f>
        <v>1</v>
      </c>
      <c r="J55" s="24">
        <f>GETPIVOTDATA("Sum of CNsmrecap",SalmonPivot!$M$4,"Date",B55,"Site",1)</f>
        <v>0</v>
      </c>
      <c r="K55" s="24">
        <f>L55+GETPIVOTDATA("Sum of SOno",SalmonPivot!$Y$4,"Date",B55,"Site",1)+GETPIVOTDATA("Sum of SOrecap",SalmonPivot!$Y$4,"Date",B55,"Site",1)</f>
        <v>0</v>
      </c>
      <c r="L55" s="24">
        <f>GETPIVOTDATA("Sum of SOrad",SalmonPivot!$Y$4,"Date",B55,"Site",1)</f>
        <v>0</v>
      </c>
      <c r="M55" s="24">
        <f>N55+GETPIVOTDATA("Sum of PKno",SalmonPivot!$AK$4,"Date",B55,"Site",1)+GETPIVOTDATA("Sum of PKrecap",SalmonPivot!$AK$4,"Date",B55,"Site",1)</f>
        <v>101</v>
      </c>
      <c r="N55" s="24">
        <f>GETPIVOTDATA("Sum of PKrad",SalmonPivot!$AK$4,"Date",B55,"Site",1)</f>
        <v>3</v>
      </c>
      <c r="O55" s="24">
        <f>P55+GETPIVOTDATA("Sum of CMno",SalmonPivot!$AW$4,"Date",B55,"Site",1)+GETPIVOTDATA("Sum of CMrecap",SalmonPivot!$AW$4,"Date",B55,"Site",1)</f>
        <v>3</v>
      </c>
      <c r="P55" s="24">
        <f>GETPIVOTDATA("Sum of CMrad",SalmonPivot!$AW$4,"Date",B55,"Site",1)</f>
        <v>1</v>
      </c>
      <c r="Q55" s="25">
        <f>R55+GETPIVOTDATA("Sum of COno",SalmonPivot!$BI$4,"Date",B55,"Site",1)+GETPIVOTDATA("Sum of COrecap",SalmonPivot!$BI$4,"Date",B55,"Site",1)</f>
        <v>0</v>
      </c>
      <c r="R55" s="24">
        <f>GETPIVOTDATA("Sum of COrad",SalmonPivot!$BI$4,"Date",B55,"Site",1)</f>
        <v>0</v>
      </c>
      <c r="S55" s="24">
        <f>GETPIVOTDATA("Sum of TotalOther",OtherPivot!$J$5,"Date",B55,"Site",1)</f>
        <v>0</v>
      </c>
      <c r="T55" s="38"/>
      <c r="U55" s="172">
        <f>IF(GETPIVOTDATA("3 Revs (s)",EffortRPMPivot!$L$4,"Date",$B55,"Site",1)=0,"",GETPIVOTDATA("3 revs (s)",EffortRPMPivot!$L$4,"date",$B55,"Site",1))</f>
        <v>46.666666666666664</v>
      </c>
      <c r="V55" s="173">
        <f t="shared" si="34"/>
        <v>0</v>
      </c>
      <c r="W55" s="173">
        <f t="shared" si="35"/>
        <v>8.1411126187245594E-2</v>
      </c>
      <c r="X55" s="173">
        <f t="shared" si="36"/>
        <v>0</v>
      </c>
      <c r="Y55" s="173">
        <f t="shared" si="37"/>
        <v>8.222523744911804</v>
      </c>
      <c r="Z55" s="173">
        <f t="shared" si="38"/>
        <v>0.24423337856173677</v>
      </c>
      <c r="AA55" s="174">
        <f t="shared" si="39"/>
        <v>0</v>
      </c>
      <c r="AB55" s="175">
        <f t="shared" si="40"/>
        <v>0</v>
      </c>
      <c r="AC55" s="175">
        <f t="shared" si="41"/>
        <v>1</v>
      </c>
      <c r="AD55" s="175">
        <f t="shared" si="42"/>
        <v>9</v>
      </c>
      <c r="AE55" s="175">
        <f t="shared" si="43"/>
        <v>249</v>
      </c>
      <c r="AF55" s="175">
        <f t="shared" si="44"/>
        <v>9</v>
      </c>
      <c r="AG55" s="175">
        <f t="shared" si="45"/>
        <v>1</v>
      </c>
      <c r="AH55" s="176">
        <f t="shared" si="46"/>
        <v>268</v>
      </c>
      <c r="AI55" s="175">
        <f>SUM(AB$4:AB55)</f>
        <v>653</v>
      </c>
      <c r="AJ55" s="175">
        <f>SUM(AC$4:AC55)</f>
        <v>195</v>
      </c>
      <c r="AK55" s="175">
        <f>SUM(AD$4:AD55)</f>
        <v>72</v>
      </c>
      <c r="AL55" s="175">
        <f>SUM(AE$4:AE55)</f>
        <v>1165</v>
      </c>
      <c r="AM55" s="175">
        <f>SUM(AF$4:AF55)</f>
        <v>72</v>
      </c>
      <c r="AN55" s="176">
        <f>SUM(AG$4:AG55)</f>
        <v>2</v>
      </c>
      <c r="AO55" s="175">
        <f t="shared" si="47"/>
        <v>0</v>
      </c>
      <c r="AP55" s="175">
        <f t="shared" si="48"/>
        <v>1</v>
      </c>
      <c r="AQ55" s="175">
        <f t="shared" si="49"/>
        <v>9</v>
      </c>
      <c r="AR55" s="175">
        <f t="shared" si="50"/>
        <v>10</v>
      </c>
      <c r="AS55" s="175">
        <f t="shared" si="51"/>
        <v>3</v>
      </c>
      <c r="AT55" s="176">
        <f t="shared" si="52"/>
        <v>1</v>
      </c>
      <c r="AU55" s="175">
        <f>SUM(AO$4:AO55)</f>
        <v>586</v>
      </c>
      <c r="AV55" s="175">
        <f>SUM(AP$4:AP55)</f>
        <v>32</v>
      </c>
      <c r="AW55" s="175">
        <f>SUM(AQ$4:AQ55)</f>
        <v>68</v>
      </c>
      <c r="AX55" s="175">
        <f>SUM(AR$4:AR55)</f>
        <v>49</v>
      </c>
      <c r="AY55" s="175">
        <f>SUM(AS$4:AS55)</f>
        <v>40</v>
      </c>
      <c r="AZ55" s="176">
        <f>SUM(AT$4:AT55)</f>
        <v>2</v>
      </c>
      <c r="BA55" s="177">
        <f t="shared" si="53"/>
        <v>0</v>
      </c>
      <c r="BB55" s="177">
        <f t="shared" si="54"/>
        <v>4.8780487804878049E-3</v>
      </c>
      <c r="BC55" s="177">
        <f t="shared" si="55"/>
        <v>4.2253521126760563E-2</v>
      </c>
      <c r="BD55" s="177">
        <f t="shared" si="56"/>
        <v>3.3324411134903642E-2</v>
      </c>
      <c r="BE55" s="177">
        <f t="shared" si="57"/>
        <v>6.1266167460857727E-3</v>
      </c>
      <c r="BF55" s="273">
        <f t="shared" si="58"/>
        <v>2.9940119760479044E-3</v>
      </c>
      <c r="BG55" s="177">
        <f>SUM(BA$4:BA55)</f>
        <v>0.97172619047619024</v>
      </c>
      <c r="BH55" s="177">
        <f>SUM(BB$4:BB55)</f>
        <v>0.95121951219512224</v>
      </c>
      <c r="BI55" s="177">
        <f>SUM(BC$4:BC55)</f>
        <v>0.3380281690140845</v>
      </c>
      <c r="BJ55" s="177">
        <f>SUM(BD$4:BD55)</f>
        <v>0.15591541755888649</v>
      </c>
      <c r="BK55" s="177">
        <f>SUM(BE$4:BE55)</f>
        <v>4.9012933968686181E-2</v>
      </c>
      <c r="BL55" s="166">
        <f>SUM(BF$4:BF55)</f>
        <v>5.9880239520958087E-3</v>
      </c>
      <c r="BM55" s="411">
        <f t="shared" si="28"/>
        <v>104</v>
      </c>
      <c r="BN55" s="409">
        <f t="shared" si="29"/>
        <v>8.4667571234735419</v>
      </c>
    </row>
    <row r="56" spans="2:66" x14ac:dyDescent="0.2">
      <c r="B56" s="60">
        <f t="shared" si="30"/>
        <v>41848</v>
      </c>
      <c r="C56" s="22">
        <f t="shared" si="71"/>
        <v>3.4285714285714284</v>
      </c>
      <c r="D56" s="23">
        <f>GETPIVOTDATA("Active time (min)",EffortRPMPivot!$A$4,"date",B56,"Site",1)/60</f>
        <v>12.35</v>
      </c>
      <c r="E56" s="24">
        <f>F56+G56+GETPIVOTDATA("Sum of CNlgNo",SalmonPivot!$A$4,"Date",B56,"Site",1)</f>
        <v>1</v>
      </c>
      <c r="F56" s="24">
        <f>GETPIVOTDATA("Sum of CNlgrad",SalmonPivot!$A$4,"date",B56,"Site",1)</f>
        <v>1</v>
      </c>
      <c r="G56" s="24">
        <f>GETPIVOTDATA("Sum of CNlgrecap",SalmonPivot!$A$4,"date",B56,"Site",1)</f>
        <v>0</v>
      </c>
      <c r="H56" s="24">
        <f>I56+J56+GETPIVOTDATA("Sum of CNsmno",SalmonPivot!$M$4,"Date",B56,"Site",1)</f>
        <v>0</v>
      </c>
      <c r="I56" s="24">
        <f>GETPIVOTDATA("Sum of CNsmradio",SalmonPivot!$M$4,"Date",B56,"Site",1)</f>
        <v>0</v>
      </c>
      <c r="J56" s="24">
        <f>GETPIVOTDATA("Sum of CNsmrecap",SalmonPivot!$M$4,"Date",B56,"Site",1)</f>
        <v>0</v>
      </c>
      <c r="K56" s="24">
        <f>L56+GETPIVOTDATA("Sum of SOno",SalmonPivot!$Y$4,"Date",B56,"Site",1)+GETPIVOTDATA("Sum of SOrecap",SalmonPivot!$Y$4,"Date",B56,"Site",1)</f>
        <v>3</v>
      </c>
      <c r="L56" s="24">
        <f>GETPIVOTDATA("Sum of SOrad",SalmonPivot!$Y$4,"Date",B56,"Site",1)</f>
        <v>3</v>
      </c>
      <c r="M56" s="24">
        <f>N56+GETPIVOTDATA("Sum of PKno",SalmonPivot!$AK$4,"Date",B56,"Site",1)+GETPIVOTDATA("Sum of PKrecap",SalmonPivot!$AK$4,"Date",B56,"Site",1)</f>
        <v>227</v>
      </c>
      <c r="N56" s="24">
        <f>GETPIVOTDATA("Sum of PKrad",SalmonPivot!$AK$4,"Date",B56,"Site",1)</f>
        <v>3</v>
      </c>
      <c r="O56" s="24">
        <f>P56+GETPIVOTDATA("Sum of CMno",SalmonPivot!$AW$4,"Date",B56,"Site",1)+GETPIVOTDATA("Sum of CMrecap",SalmonPivot!$AW$4,"Date",B56,"Site",1)</f>
        <v>4</v>
      </c>
      <c r="P56" s="24">
        <f>GETPIVOTDATA("Sum of CMrad",SalmonPivot!$AW$4,"Date",B56,"Site",1)</f>
        <v>2</v>
      </c>
      <c r="Q56" s="25">
        <f>R56+GETPIVOTDATA("Sum of COno",SalmonPivot!$BI$4,"Date",B56,"Site",1)+GETPIVOTDATA("Sum of COrecap",SalmonPivot!$BI$4,"Date",B56,"Site",1)</f>
        <v>0</v>
      </c>
      <c r="R56" s="24">
        <f>GETPIVOTDATA("Sum of COrad",SalmonPivot!$BI$4,"Date",B56,"Site",1)</f>
        <v>0</v>
      </c>
      <c r="S56" s="24">
        <f>GETPIVOTDATA("Sum of TotalOther",OtherPivot!$J$5,"Date",B56,"Site",1)</f>
        <v>0</v>
      </c>
      <c r="T56" s="38"/>
      <c r="U56" s="172">
        <f>IF(GETPIVOTDATA("3 Revs (s)",EffortRPMPivot!$L$4,"Date",$B56,"Site",1)=0,"",GETPIVOTDATA("3 revs (s)",EffortRPMPivot!$L$4,"date",$B56,"Site",1))</f>
        <v>52.5</v>
      </c>
      <c r="V56" s="173">
        <f t="shared" si="34"/>
        <v>8.0971659919028341E-2</v>
      </c>
      <c r="W56" s="173">
        <f t="shared" si="35"/>
        <v>0</v>
      </c>
      <c r="X56" s="173">
        <f t="shared" si="36"/>
        <v>0.24291497975708504</v>
      </c>
      <c r="Y56" s="173">
        <f t="shared" si="37"/>
        <v>18.380566801619434</v>
      </c>
      <c r="Z56" s="173">
        <f t="shared" si="38"/>
        <v>0.32388663967611336</v>
      </c>
      <c r="AA56" s="174">
        <f t="shared" si="39"/>
        <v>0</v>
      </c>
      <c r="AB56" s="175">
        <f t="shared" si="40"/>
        <v>1</v>
      </c>
      <c r="AC56" s="175">
        <f t="shared" si="41"/>
        <v>1</v>
      </c>
      <c r="AD56" s="175">
        <f t="shared" si="42"/>
        <v>13</v>
      </c>
      <c r="AE56" s="175">
        <f t="shared" si="43"/>
        <v>489</v>
      </c>
      <c r="AF56" s="175">
        <f t="shared" si="44"/>
        <v>8</v>
      </c>
      <c r="AG56" s="175">
        <f t="shared" si="45"/>
        <v>0</v>
      </c>
      <c r="AH56" s="176">
        <f t="shared" si="46"/>
        <v>511</v>
      </c>
      <c r="AI56" s="175">
        <f>SUM(AB$4:AB56)</f>
        <v>654</v>
      </c>
      <c r="AJ56" s="175">
        <f>SUM(AC$4:AC56)</f>
        <v>196</v>
      </c>
      <c r="AK56" s="175">
        <f>SUM(AD$4:AD56)</f>
        <v>85</v>
      </c>
      <c r="AL56" s="175">
        <f>SUM(AE$4:AE56)</f>
        <v>1654</v>
      </c>
      <c r="AM56" s="175">
        <f>SUM(AF$4:AF56)</f>
        <v>80</v>
      </c>
      <c r="AN56" s="176">
        <f>SUM(AG$4:AG56)</f>
        <v>2</v>
      </c>
      <c r="AO56" s="175">
        <f t="shared" si="47"/>
        <v>1</v>
      </c>
      <c r="AP56" s="175">
        <f t="shared" si="48"/>
        <v>1</v>
      </c>
      <c r="AQ56" s="175">
        <f t="shared" si="49"/>
        <v>13</v>
      </c>
      <c r="AR56" s="175">
        <f t="shared" si="50"/>
        <v>8</v>
      </c>
      <c r="AS56" s="175">
        <f t="shared" si="51"/>
        <v>3</v>
      </c>
      <c r="AT56" s="176">
        <f t="shared" si="52"/>
        <v>0</v>
      </c>
      <c r="AU56" s="175">
        <f>SUM(AO$4:AO56)</f>
        <v>587</v>
      </c>
      <c r="AV56" s="175">
        <f>SUM(AP$4:AP56)</f>
        <v>33</v>
      </c>
      <c r="AW56" s="175">
        <f>SUM(AQ$4:AQ56)</f>
        <v>81</v>
      </c>
      <c r="AX56" s="175">
        <f>SUM(AR$4:AR56)</f>
        <v>57</v>
      </c>
      <c r="AY56" s="175">
        <f>SUM(AS$4:AS56)</f>
        <v>43</v>
      </c>
      <c r="AZ56" s="176">
        <f>SUM(AT$4:AT56)</f>
        <v>2</v>
      </c>
      <c r="BA56" s="177">
        <f t="shared" si="53"/>
        <v>1.488095238095238E-3</v>
      </c>
      <c r="BB56" s="177">
        <f t="shared" si="54"/>
        <v>4.8780487804878049E-3</v>
      </c>
      <c r="BC56" s="177">
        <f t="shared" si="55"/>
        <v>6.1032863849765258E-2</v>
      </c>
      <c r="BD56" s="177">
        <f t="shared" si="56"/>
        <v>6.544432548179871E-2</v>
      </c>
      <c r="BE56" s="177">
        <f t="shared" si="57"/>
        <v>5.445881552076242E-3</v>
      </c>
      <c r="BF56" s="273">
        <f t="shared" si="58"/>
        <v>0</v>
      </c>
      <c r="BG56" s="177">
        <f>SUM(BA$4:BA56)</f>
        <v>0.97321428571428548</v>
      </c>
      <c r="BH56" s="177">
        <f>SUM(BB$4:BB56)</f>
        <v>0.95609756097561005</v>
      </c>
      <c r="BI56" s="177">
        <f>SUM(BC$4:BC56)</f>
        <v>0.39906103286384975</v>
      </c>
      <c r="BJ56" s="177">
        <f>SUM(BD$4:BD56)</f>
        <v>0.2213597430406852</v>
      </c>
      <c r="BK56" s="177">
        <f>SUM(BE$4:BE56)</f>
        <v>5.4458815520762427E-2</v>
      </c>
      <c r="BL56" s="166">
        <f>SUM(BF$4:BF56)</f>
        <v>5.9880239520958087E-3</v>
      </c>
      <c r="BM56" s="411">
        <f t="shared" si="28"/>
        <v>235</v>
      </c>
      <c r="BN56" s="409">
        <f t="shared" si="29"/>
        <v>19.02834008097166</v>
      </c>
    </row>
    <row r="57" spans="2:66" x14ac:dyDescent="0.2">
      <c r="B57" s="60">
        <f t="shared" si="30"/>
        <v>41849</v>
      </c>
      <c r="C57" s="22">
        <f t="shared" si="71"/>
        <v>3.3027522935779818</v>
      </c>
      <c r="D57" s="23">
        <f>GETPIVOTDATA("Active time (min)",EffortRPMPivot!$A$4,"date",B57,"Site",1)/60</f>
        <v>12.033333333333335</v>
      </c>
      <c r="E57" s="24">
        <f>F57+G57+GETPIVOTDATA("Sum of CNlgNo",SalmonPivot!$A$4,"Date",B57,"Site",1)</f>
        <v>0</v>
      </c>
      <c r="F57" s="24">
        <f>GETPIVOTDATA("Sum of CNlgrad",SalmonPivot!$A$4,"date",B57,"Site",1)</f>
        <v>0</v>
      </c>
      <c r="G57" s="24">
        <f>GETPIVOTDATA("Sum of CNlgrecap",SalmonPivot!$A$4,"date",B57,"Site",1)</f>
        <v>0</v>
      </c>
      <c r="H57" s="24">
        <f>I57+J57+GETPIVOTDATA("Sum of CNsmno",SalmonPivot!$M$4,"Date",B57,"Site",1)</f>
        <v>0</v>
      </c>
      <c r="I57" s="24">
        <f>GETPIVOTDATA("Sum of CNsmradio",SalmonPivot!$M$4,"Date",B57,"Site",1)</f>
        <v>0</v>
      </c>
      <c r="J57" s="24">
        <f>GETPIVOTDATA("Sum of CNsmrecap",SalmonPivot!$M$4,"Date",B57,"Site",1)</f>
        <v>0</v>
      </c>
      <c r="K57" s="24">
        <f>L57+GETPIVOTDATA("Sum of SOno",SalmonPivot!$Y$4,"Date",B57,"Site",1)+GETPIVOTDATA("Sum of SOrecap",SalmonPivot!$Y$4,"Date",B57,"Site",1)</f>
        <v>2</v>
      </c>
      <c r="L57" s="24">
        <f>GETPIVOTDATA("Sum of SOrad",SalmonPivot!$Y$4,"Date",B57,"Site",1)</f>
        <v>2</v>
      </c>
      <c r="M57" s="24">
        <f>N57+GETPIVOTDATA("Sum of PKno",SalmonPivot!$AK$4,"Date",B57,"Site",1)+GETPIVOTDATA("Sum of PKrecap",SalmonPivot!$AK$4,"Date",B57,"Site",1)</f>
        <v>349</v>
      </c>
      <c r="N57" s="24">
        <f>GETPIVOTDATA("Sum of PKrad",SalmonPivot!$AK$4,"Date",B57,"Site",1)</f>
        <v>1</v>
      </c>
      <c r="O57" s="24">
        <f>P57+GETPIVOTDATA("Sum of CMno",SalmonPivot!$AW$4,"Date",B57,"Site",1)+GETPIVOTDATA("Sum of CMrecap",SalmonPivot!$AW$4,"Date",B57,"Site",1)</f>
        <v>10</v>
      </c>
      <c r="P57" s="24">
        <f>GETPIVOTDATA("Sum of CMrad",SalmonPivot!$AW$4,"Date",B57,"Site",1)</f>
        <v>0</v>
      </c>
      <c r="Q57" s="25">
        <f>R57+GETPIVOTDATA("Sum of COno",SalmonPivot!$BI$4,"Date",B57,"Site",1)+GETPIVOTDATA("Sum of COrecap",SalmonPivot!$BI$4,"Date",B57,"Site",1)</f>
        <v>1</v>
      </c>
      <c r="R57" s="24">
        <f>GETPIVOTDATA("Sum of COrad",SalmonPivot!$BI$4,"Date",B57,"Site",1)</f>
        <v>1</v>
      </c>
      <c r="S57" s="24">
        <f>GETPIVOTDATA("Sum of TotalOther",OtherPivot!$J$5,"Date",B57,"Site",1)</f>
        <v>0</v>
      </c>
      <c r="T57" s="38"/>
      <c r="U57" s="172">
        <f>IF(GETPIVOTDATA("3 Revs (s)",EffortRPMPivot!$L$4,"Date",$B57,"Site",1)=0,"",GETPIVOTDATA("3 revs (s)",EffortRPMPivot!$L$4,"date",$B57,"Site",1))</f>
        <v>54.5</v>
      </c>
      <c r="V57" s="173">
        <f t="shared" si="34"/>
        <v>0</v>
      </c>
      <c r="W57" s="173">
        <f t="shared" si="35"/>
        <v>0</v>
      </c>
      <c r="X57" s="173">
        <f t="shared" si="36"/>
        <v>0.16620498614958445</v>
      </c>
      <c r="Y57" s="173">
        <f t="shared" si="37"/>
        <v>29.00277008310249</v>
      </c>
      <c r="Z57" s="173">
        <f t="shared" si="38"/>
        <v>0.83102493074792227</v>
      </c>
      <c r="AA57" s="174">
        <f t="shared" si="39"/>
        <v>8.3102493074792227E-2</v>
      </c>
      <c r="AB57" s="175">
        <f t="shared" si="40"/>
        <v>0</v>
      </c>
      <c r="AC57" s="175">
        <f t="shared" si="41"/>
        <v>0</v>
      </c>
      <c r="AD57" s="175">
        <f t="shared" si="42"/>
        <v>8</v>
      </c>
      <c r="AE57" s="175">
        <f t="shared" si="43"/>
        <v>979</v>
      </c>
      <c r="AF57" s="175">
        <f t="shared" si="44"/>
        <v>24</v>
      </c>
      <c r="AG57" s="175">
        <f t="shared" si="45"/>
        <v>4</v>
      </c>
      <c r="AH57" s="176">
        <f t="shared" si="46"/>
        <v>1015</v>
      </c>
      <c r="AI57" s="175">
        <f>SUM(AB$4:AB57)</f>
        <v>654</v>
      </c>
      <c r="AJ57" s="175">
        <f>SUM(AC$4:AC57)</f>
        <v>196</v>
      </c>
      <c r="AK57" s="175">
        <f>SUM(AD$4:AD57)</f>
        <v>93</v>
      </c>
      <c r="AL57" s="175">
        <f>SUM(AE$4:AE57)</f>
        <v>2633</v>
      </c>
      <c r="AM57" s="175">
        <f>SUM(AF$4:AF57)</f>
        <v>104</v>
      </c>
      <c r="AN57" s="176">
        <f>SUM(AG$4:AG57)</f>
        <v>6</v>
      </c>
      <c r="AO57" s="175">
        <f t="shared" si="47"/>
        <v>0</v>
      </c>
      <c r="AP57" s="175">
        <f t="shared" si="48"/>
        <v>0</v>
      </c>
      <c r="AQ57" s="175">
        <f t="shared" si="49"/>
        <v>8</v>
      </c>
      <c r="AR57" s="175">
        <f t="shared" si="50"/>
        <v>5</v>
      </c>
      <c r="AS57" s="175">
        <f t="shared" si="51"/>
        <v>3</v>
      </c>
      <c r="AT57" s="176">
        <f t="shared" si="52"/>
        <v>4</v>
      </c>
      <c r="AU57" s="175">
        <f>SUM(AO$4:AO57)</f>
        <v>587</v>
      </c>
      <c r="AV57" s="175">
        <f>SUM(AP$4:AP57)</f>
        <v>33</v>
      </c>
      <c r="AW57" s="175">
        <f>SUM(AQ$4:AQ57)</f>
        <v>89</v>
      </c>
      <c r="AX57" s="175">
        <f>SUM(AR$4:AR57)</f>
        <v>62</v>
      </c>
      <c r="AY57" s="175">
        <f>SUM(AS$4:AS57)</f>
        <v>46</v>
      </c>
      <c r="AZ57" s="176">
        <f>SUM(AT$4:AT57)</f>
        <v>6</v>
      </c>
      <c r="BA57" s="177">
        <f t="shared" si="53"/>
        <v>0</v>
      </c>
      <c r="BB57" s="177">
        <f t="shared" si="54"/>
        <v>0</v>
      </c>
      <c r="BC57" s="177">
        <f t="shared" si="55"/>
        <v>3.7558685446009391E-2</v>
      </c>
      <c r="BD57" s="177">
        <f t="shared" si="56"/>
        <v>0.13102248394004282</v>
      </c>
      <c r="BE57" s="177">
        <f t="shared" si="57"/>
        <v>1.6337644656228726E-2</v>
      </c>
      <c r="BF57" s="273">
        <f t="shared" si="58"/>
        <v>1.1976047904191617E-2</v>
      </c>
      <c r="BG57" s="177">
        <f>SUM(BA$4:BA57)</f>
        <v>0.97321428571428548</v>
      </c>
      <c r="BH57" s="177">
        <f>SUM(BB$4:BB57)</f>
        <v>0.95609756097561005</v>
      </c>
      <c r="BI57" s="177">
        <f>SUM(BC$4:BC57)</f>
        <v>0.43661971830985913</v>
      </c>
      <c r="BJ57" s="177">
        <f>SUM(BD$4:BD57)</f>
        <v>0.35238222698072802</v>
      </c>
      <c r="BK57" s="177">
        <f>SUM(BE$4:BE57)</f>
        <v>7.0796460176991149E-2</v>
      </c>
      <c r="BL57" s="166">
        <f>SUM(BF$4:BF57)</f>
        <v>1.7964071856287428E-2</v>
      </c>
      <c r="BM57" s="411">
        <f t="shared" si="28"/>
        <v>362</v>
      </c>
      <c r="BN57" s="409">
        <f t="shared" si="29"/>
        <v>30.083102493074787</v>
      </c>
    </row>
    <row r="58" spans="2:66" x14ac:dyDescent="0.2">
      <c r="B58" s="60">
        <f t="shared" si="30"/>
        <v>41850</v>
      </c>
      <c r="C58" s="22">
        <f t="shared" ref="C58" si="72">IF(ISERROR(3/(U58/60)),"",3/(U58/60))</f>
        <v>3.3962264150943398</v>
      </c>
      <c r="D58" s="23">
        <f>GETPIVOTDATA("Active time (min)",EffortRPMPivot!$A$4,"date",B58,"Site",1)/60</f>
        <v>11</v>
      </c>
      <c r="E58" s="24">
        <f>F58+G58+GETPIVOTDATA("Sum of CNlgNo",SalmonPivot!$A$4,"Date",B58,"Site",1)</f>
        <v>0</v>
      </c>
      <c r="F58" s="24">
        <f>GETPIVOTDATA("Sum of CNlgrad",SalmonPivot!$A$4,"date",B58,"Site",1)</f>
        <v>0</v>
      </c>
      <c r="G58" s="24">
        <f>GETPIVOTDATA("Sum of CNlgrecap",SalmonPivot!$A$4,"date",B58,"Site",1)</f>
        <v>0</v>
      </c>
      <c r="H58" s="24">
        <f>I58+J58+GETPIVOTDATA("Sum of CNsmno",SalmonPivot!$M$4,"Date",B58,"Site",1)</f>
        <v>0</v>
      </c>
      <c r="I58" s="24">
        <f>GETPIVOTDATA("Sum of CNsmradio",SalmonPivot!$M$4,"Date",B58,"Site",1)</f>
        <v>0</v>
      </c>
      <c r="J58" s="24">
        <f>GETPIVOTDATA("Sum of CNsmrecap",SalmonPivot!$M$4,"Date",B58,"Site",1)</f>
        <v>0</v>
      </c>
      <c r="K58" s="24">
        <f>L58+GETPIVOTDATA("Sum of SOno",SalmonPivot!$Y$4,"Date",B58,"Site",1)+GETPIVOTDATA("Sum of SOrecap",SalmonPivot!$Y$4,"Date",B58,"Site",1)</f>
        <v>1</v>
      </c>
      <c r="L58" s="24">
        <f>GETPIVOTDATA("Sum of SOrad",SalmonPivot!$Y$4,"Date",B58,"Site",1)</f>
        <v>1</v>
      </c>
      <c r="M58" s="24">
        <f>N58+GETPIVOTDATA("Sum of PKno",SalmonPivot!$AK$4,"Date",B58,"Site",1)+GETPIVOTDATA("Sum of PKrecap",SalmonPivot!$AK$4,"Date",B58,"Site",1)</f>
        <v>120</v>
      </c>
      <c r="N58" s="24">
        <f>GETPIVOTDATA("Sum of PKrad",SalmonPivot!$AK$4,"Date",B58,"Site",1)</f>
        <v>3</v>
      </c>
      <c r="O58" s="24">
        <f>P58+GETPIVOTDATA("Sum of CMno",SalmonPivot!$AW$4,"Date",B58,"Site",1)+GETPIVOTDATA("Sum of CMrecap",SalmonPivot!$AW$4,"Date",B58,"Site",1)</f>
        <v>4</v>
      </c>
      <c r="P58" s="24">
        <f>GETPIVOTDATA("Sum of CMrad",SalmonPivot!$AW$4,"Date",B58,"Site",1)</f>
        <v>3</v>
      </c>
      <c r="Q58" s="25">
        <f>R58+GETPIVOTDATA("Sum of COno",SalmonPivot!$BI$4,"Date",B58,"Site",1)+GETPIVOTDATA("Sum of COrecap",SalmonPivot!$BI$4,"Date",B58,"Site",1)</f>
        <v>0</v>
      </c>
      <c r="R58" s="24">
        <f>GETPIVOTDATA("Sum of COrad",SalmonPivot!$BI$4,"Date",B58,"Site",1)</f>
        <v>0</v>
      </c>
      <c r="S58" s="24">
        <f>GETPIVOTDATA("Sum of TotalOther",OtherPivot!$J$5,"Date",B58,"Site",1)</f>
        <v>0</v>
      </c>
      <c r="T58" s="38"/>
      <c r="U58" s="172">
        <f>IF(GETPIVOTDATA("3 Revs (s)",EffortRPMPivot!$L$4,"Date",$B58,"Site",1)=0,"",GETPIVOTDATA("3 revs (s)",EffortRPMPivot!$L$4,"date",$B58,"Site",1))</f>
        <v>53</v>
      </c>
      <c r="V58" s="173">
        <f t="shared" si="34"/>
        <v>0</v>
      </c>
      <c r="W58" s="173">
        <f t="shared" si="35"/>
        <v>0</v>
      </c>
      <c r="X58" s="173">
        <f t="shared" si="36"/>
        <v>9.0909090909090912E-2</v>
      </c>
      <c r="Y58" s="173">
        <f t="shared" si="37"/>
        <v>10.909090909090908</v>
      </c>
      <c r="Z58" s="173">
        <f t="shared" si="38"/>
        <v>0.36363636363636365</v>
      </c>
      <c r="AA58" s="174">
        <f t="shared" si="39"/>
        <v>0</v>
      </c>
      <c r="AB58" s="175">
        <f t="shared" si="40"/>
        <v>0</v>
      </c>
      <c r="AC58" s="175">
        <f t="shared" si="41"/>
        <v>0</v>
      </c>
      <c r="AD58" s="175">
        <f t="shared" si="42"/>
        <v>5</v>
      </c>
      <c r="AE58" s="175">
        <f t="shared" si="43"/>
        <v>492</v>
      </c>
      <c r="AF58" s="175">
        <f t="shared" si="44"/>
        <v>11</v>
      </c>
      <c r="AG58" s="175">
        <f t="shared" si="45"/>
        <v>2</v>
      </c>
      <c r="AH58" s="176">
        <f t="shared" si="46"/>
        <v>510</v>
      </c>
      <c r="AI58" s="175">
        <f>SUM(AB$4:AB58)</f>
        <v>654</v>
      </c>
      <c r="AJ58" s="175">
        <f>SUM(AC$4:AC58)</f>
        <v>196</v>
      </c>
      <c r="AK58" s="175">
        <f>SUM(AD$4:AD58)</f>
        <v>98</v>
      </c>
      <c r="AL58" s="175">
        <f>SUM(AE$4:AE58)</f>
        <v>3125</v>
      </c>
      <c r="AM58" s="175">
        <f>SUM(AF$4:AF58)</f>
        <v>115</v>
      </c>
      <c r="AN58" s="176">
        <f>SUM(AG$4:AG58)</f>
        <v>8</v>
      </c>
      <c r="AO58" s="175">
        <f t="shared" si="47"/>
        <v>0</v>
      </c>
      <c r="AP58" s="175">
        <f t="shared" si="48"/>
        <v>0</v>
      </c>
      <c r="AQ58" s="175">
        <f t="shared" si="49"/>
        <v>5</v>
      </c>
      <c r="AR58" s="175">
        <f t="shared" si="50"/>
        <v>11</v>
      </c>
      <c r="AS58" s="175">
        <f t="shared" si="51"/>
        <v>4</v>
      </c>
      <c r="AT58" s="176">
        <f t="shared" si="52"/>
        <v>2</v>
      </c>
      <c r="AU58" s="175">
        <f>SUM(AO$4:AO58)</f>
        <v>587</v>
      </c>
      <c r="AV58" s="175">
        <f>SUM(AP$4:AP58)</f>
        <v>33</v>
      </c>
      <c r="AW58" s="175">
        <f>SUM(AQ$4:AQ58)</f>
        <v>94</v>
      </c>
      <c r="AX58" s="175">
        <f>SUM(AR$4:AR58)</f>
        <v>73</v>
      </c>
      <c r="AY58" s="175">
        <f>SUM(AS$4:AS58)</f>
        <v>50</v>
      </c>
      <c r="AZ58" s="176">
        <f>SUM(AT$4:AT58)</f>
        <v>8</v>
      </c>
      <c r="BA58" s="177">
        <f t="shared" si="53"/>
        <v>0</v>
      </c>
      <c r="BB58" s="177">
        <f t="shared" si="54"/>
        <v>0</v>
      </c>
      <c r="BC58" s="177">
        <f t="shared" si="55"/>
        <v>2.3474178403755867E-2</v>
      </c>
      <c r="BD58" s="177">
        <f t="shared" si="56"/>
        <v>6.5845824411134901E-2</v>
      </c>
      <c r="BE58" s="177">
        <f t="shared" si="57"/>
        <v>7.4880871341048332E-3</v>
      </c>
      <c r="BF58" s="273">
        <f t="shared" si="58"/>
        <v>5.9880239520958087E-3</v>
      </c>
      <c r="BG58" s="177">
        <f>SUM(BA$4:BA58)</f>
        <v>0.97321428571428548</v>
      </c>
      <c r="BH58" s="177">
        <f>SUM(BB$4:BB58)</f>
        <v>0.95609756097561005</v>
      </c>
      <c r="BI58" s="177">
        <f>SUM(BC$4:BC58)</f>
        <v>0.460093896713615</v>
      </c>
      <c r="BJ58" s="177">
        <f>SUM(BD$4:BD58)</f>
        <v>0.41822805139186292</v>
      </c>
      <c r="BK58" s="177">
        <f>SUM(BE$4:BE58)</f>
        <v>7.8284547311095978E-2</v>
      </c>
      <c r="BL58" s="166">
        <f>SUM(BF$4:BF58)</f>
        <v>2.3952095808383235E-2</v>
      </c>
      <c r="BM58" s="411">
        <f t="shared" si="28"/>
        <v>125</v>
      </c>
      <c r="BN58" s="409">
        <f t="shared" si="29"/>
        <v>11.363636363636363</v>
      </c>
    </row>
    <row r="59" spans="2:66" x14ac:dyDescent="0.2">
      <c r="B59" s="60">
        <f t="shared" si="30"/>
        <v>41851</v>
      </c>
      <c r="C59" s="22">
        <f t="shared" ref="C59" si="73">IF(ISERROR(3/(U59/60)),"",3/(U59/60))</f>
        <v>3.4838709677419359</v>
      </c>
      <c r="D59" s="23">
        <f>GETPIVOTDATA("Active time (min)",EffortRPMPivot!$A$4,"date",B59,"Site",1)/60</f>
        <v>12.016666666666667</v>
      </c>
      <c r="E59" s="24">
        <f>F59+G59+GETPIVOTDATA("Sum of CNlgNo",SalmonPivot!$A$4,"Date",B59,"Site",1)</f>
        <v>1</v>
      </c>
      <c r="F59" s="24">
        <f>GETPIVOTDATA("Sum of CNlgrad",SalmonPivot!$A$4,"date",B59,"Site",1)</f>
        <v>1</v>
      </c>
      <c r="G59" s="24">
        <f>GETPIVOTDATA("Sum of CNlgrecap",SalmonPivot!$A$4,"date",B59,"Site",1)</f>
        <v>0</v>
      </c>
      <c r="H59" s="24">
        <f>I59+J59+GETPIVOTDATA("Sum of CNsmno",SalmonPivot!$M$4,"Date",B59,"Site",1)</f>
        <v>0</v>
      </c>
      <c r="I59" s="24">
        <f>GETPIVOTDATA("Sum of CNsmradio",SalmonPivot!$M$4,"Date",B59,"Site",1)</f>
        <v>0</v>
      </c>
      <c r="J59" s="24">
        <f>GETPIVOTDATA("Sum of CNsmrecap",SalmonPivot!$M$4,"Date",B59,"Site",1)</f>
        <v>0</v>
      </c>
      <c r="K59" s="24">
        <f>L59+GETPIVOTDATA("Sum of SOno",SalmonPivot!$Y$4,"Date",B59,"Site",1)+GETPIVOTDATA("Sum of SOrecap",SalmonPivot!$Y$4,"Date",B59,"Site",1)</f>
        <v>0</v>
      </c>
      <c r="L59" s="24">
        <f>GETPIVOTDATA("Sum of SOrad",SalmonPivot!$Y$4,"Date",B59,"Site",1)</f>
        <v>0</v>
      </c>
      <c r="M59" s="24">
        <f>N59+GETPIVOTDATA("Sum of PKno",SalmonPivot!$AK$4,"Date",B59,"Site",1)+GETPIVOTDATA("Sum of PKrecap",SalmonPivot!$AK$4,"Date",B59,"Site",1)</f>
        <v>247</v>
      </c>
      <c r="N59" s="24">
        <f>GETPIVOTDATA("Sum of PKrad",SalmonPivot!$AK$4,"Date",B59,"Site",1)</f>
        <v>3</v>
      </c>
      <c r="O59" s="24">
        <f>P59+GETPIVOTDATA("Sum of CMno",SalmonPivot!$AW$4,"Date",B59,"Site",1)+GETPIVOTDATA("Sum of CMrecap",SalmonPivot!$AW$4,"Date",B59,"Site",1)</f>
        <v>11</v>
      </c>
      <c r="P59" s="24">
        <f>GETPIVOTDATA("Sum of CMrad",SalmonPivot!$AW$4,"Date",B59,"Site",1)</f>
        <v>2</v>
      </c>
      <c r="Q59" s="25">
        <f>R59+GETPIVOTDATA("Sum of COno",SalmonPivot!$BI$4,"Date",B59,"Site",1)+GETPIVOTDATA("Sum of COrecap",SalmonPivot!$BI$4,"Date",B59,"Site",1)</f>
        <v>2</v>
      </c>
      <c r="R59" s="24">
        <f>GETPIVOTDATA("Sum of COrad",SalmonPivot!$BI$4,"Date",B59,"Site",1)</f>
        <v>2</v>
      </c>
      <c r="S59" s="24">
        <f>GETPIVOTDATA("Sum of TotalOther",OtherPivot!$J$5,"Date",B59,"Site",1)</f>
        <v>0</v>
      </c>
      <c r="T59" s="38"/>
      <c r="U59" s="172">
        <f>IF(GETPIVOTDATA("3 Revs (s)",EffortRPMPivot!$L$4,"Date",$B59,"Site",1)=0,"",GETPIVOTDATA("3 revs (s)",EffortRPMPivot!$L$4,"date",$B59,"Site",1))</f>
        <v>51.666666666666664</v>
      </c>
      <c r="V59" s="173">
        <f t="shared" si="34"/>
        <v>8.3217753120665733E-2</v>
      </c>
      <c r="W59" s="173">
        <f t="shared" si="35"/>
        <v>0</v>
      </c>
      <c r="X59" s="173">
        <f t="shared" si="36"/>
        <v>0</v>
      </c>
      <c r="Y59" s="173">
        <f t="shared" si="37"/>
        <v>20.554785020804438</v>
      </c>
      <c r="Z59" s="173">
        <f t="shared" si="38"/>
        <v>0.91539528432732309</v>
      </c>
      <c r="AA59" s="174">
        <f t="shared" si="39"/>
        <v>0.16643550624133147</v>
      </c>
      <c r="AB59" s="175">
        <f t="shared" si="40"/>
        <v>3</v>
      </c>
      <c r="AC59" s="175">
        <f t="shared" si="41"/>
        <v>0</v>
      </c>
      <c r="AD59" s="175">
        <f t="shared" si="42"/>
        <v>7</v>
      </c>
      <c r="AE59" s="175">
        <f t="shared" si="43"/>
        <v>649</v>
      </c>
      <c r="AF59" s="175">
        <f t="shared" si="44"/>
        <v>28</v>
      </c>
      <c r="AG59" s="175">
        <f t="shared" si="45"/>
        <v>2</v>
      </c>
      <c r="AH59" s="176">
        <f t="shared" si="46"/>
        <v>689</v>
      </c>
      <c r="AI59" s="175">
        <f>SUM(AB$4:AB59)</f>
        <v>657</v>
      </c>
      <c r="AJ59" s="175">
        <f>SUM(AC$4:AC59)</f>
        <v>196</v>
      </c>
      <c r="AK59" s="175">
        <f>SUM(AD$4:AD59)</f>
        <v>105</v>
      </c>
      <c r="AL59" s="175">
        <f>SUM(AE$4:AE59)</f>
        <v>3774</v>
      </c>
      <c r="AM59" s="175">
        <f>SUM(AF$4:AF59)</f>
        <v>143</v>
      </c>
      <c r="AN59" s="176">
        <f>SUM(AG$4:AG59)</f>
        <v>10</v>
      </c>
      <c r="AO59" s="175">
        <f t="shared" si="47"/>
        <v>3</v>
      </c>
      <c r="AP59" s="175">
        <f t="shared" si="48"/>
        <v>0</v>
      </c>
      <c r="AQ59" s="175">
        <f t="shared" si="49"/>
        <v>6</v>
      </c>
      <c r="AR59" s="175">
        <f t="shared" si="50"/>
        <v>6</v>
      </c>
      <c r="AS59" s="175">
        <f t="shared" si="51"/>
        <v>3</v>
      </c>
      <c r="AT59" s="176">
        <f t="shared" si="52"/>
        <v>2</v>
      </c>
      <c r="AU59" s="175">
        <f>SUM(AO$4:AO59)</f>
        <v>590</v>
      </c>
      <c r="AV59" s="175">
        <f>SUM(AP$4:AP59)</f>
        <v>33</v>
      </c>
      <c r="AW59" s="175">
        <f>SUM(AQ$4:AQ59)</f>
        <v>100</v>
      </c>
      <c r="AX59" s="175">
        <f>SUM(AR$4:AR59)</f>
        <v>79</v>
      </c>
      <c r="AY59" s="175">
        <f>SUM(AS$4:AS59)</f>
        <v>53</v>
      </c>
      <c r="AZ59" s="176">
        <f>SUM(AT$4:AT59)</f>
        <v>10</v>
      </c>
      <c r="BA59" s="177">
        <f t="shared" si="53"/>
        <v>4.464285714285714E-3</v>
      </c>
      <c r="BB59" s="177">
        <f t="shared" si="54"/>
        <v>0</v>
      </c>
      <c r="BC59" s="177">
        <f t="shared" si="55"/>
        <v>3.2863849765258218E-2</v>
      </c>
      <c r="BD59" s="177">
        <f t="shared" si="56"/>
        <v>8.6857601713062102E-2</v>
      </c>
      <c r="BE59" s="177">
        <f t="shared" si="57"/>
        <v>1.9060585432266849E-2</v>
      </c>
      <c r="BF59" s="273">
        <f t="shared" si="58"/>
        <v>5.9880239520958087E-3</v>
      </c>
      <c r="BG59" s="177">
        <f>SUM(BA$4:BA59)</f>
        <v>0.97767857142857117</v>
      </c>
      <c r="BH59" s="177">
        <f>SUM(BB$4:BB59)</f>
        <v>0.95609756097561005</v>
      </c>
      <c r="BI59" s="177">
        <f>SUM(BC$4:BC59)</f>
        <v>0.49295774647887325</v>
      </c>
      <c r="BJ59" s="177">
        <f>SUM(BD$4:BD59)</f>
        <v>0.50508565310492504</v>
      </c>
      <c r="BK59" s="177">
        <f>SUM(BE$4:BE59)</f>
        <v>9.7345132743362831E-2</v>
      </c>
      <c r="BL59" s="166">
        <f>SUM(BF$4:BF59)</f>
        <v>2.9940119760479042E-2</v>
      </c>
      <c r="BM59" s="411">
        <f t="shared" si="28"/>
        <v>261</v>
      </c>
      <c r="BN59" s="409">
        <f t="shared" si="29"/>
        <v>21.719833564493758</v>
      </c>
    </row>
    <row r="60" spans="2:66" x14ac:dyDescent="0.2">
      <c r="B60" s="60">
        <f t="shared" si="30"/>
        <v>41852</v>
      </c>
      <c r="C60" s="22">
        <f t="shared" ref="C60:C63" si="74">IF(ISERROR(3/(U60/60)),"",3/(U60/60))</f>
        <v>3.333333333333333</v>
      </c>
      <c r="D60" s="23">
        <f>GETPIVOTDATA("Active time (min)",EffortRPMPivot!$A$4,"date",B60,"Site",1)/60</f>
        <v>11.833333333333336</v>
      </c>
      <c r="E60" s="24">
        <f>F60+G60+GETPIVOTDATA("Sum of CNlgNo",SalmonPivot!$A$4,"Date",B60,"Site",1)</f>
        <v>0</v>
      </c>
      <c r="F60" s="24">
        <f>GETPIVOTDATA("Sum of CNlgrad",SalmonPivot!$A$4,"date",B60,"Site",1)</f>
        <v>0</v>
      </c>
      <c r="G60" s="24">
        <f>GETPIVOTDATA("Sum of CNlgrecap",SalmonPivot!$A$4,"date",B60,"Site",1)</f>
        <v>0</v>
      </c>
      <c r="H60" s="24">
        <f>I60+J60+GETPIVOTDATA("Sum of CNsmno",SalmonPivot!$M$4,"Date",B60,"Site",1)</f>
        <v>0</v>
      </c>
      <c r="I60" s="24">
        <f>GETPIVOTDATA("Sum of CNsmradio",SalmonPivot!$M$4,"Date",B60,"Site",1)</f>
        <v>0</v>
      </c>
      <c r="J60" s="24">
        <f>GETPIVOTDATA("Sum of CNsmrecap",SalmonPivot!$M$4,"Date",B60,"Site",1)</f>
        <v>0</v>
      </c>
      <c r="K60" s="24">
        <f>L60+GETPIVOTDATA("Sum of SOno",SalmonPivot!$Y$4,"Date",B60,"Site",1)+GETPIVOTDATA("Sum of SOrecap",SalmonPivot!$Y$4,"Date",B60,"Site",1)</f>
        <v>2</v>
      </c>
      <c r="L60" s="24">
        <f>GETPIVOTDATA("Sum of SOrad",SalmonPivot!$Y$4,"Date",B60,"Site",1)</f>
        <v>2</v>
      </c>
      <c r="M60" s="24">
        <f>N60+GETPIVOTDATA("Sum of PKno",SalmonPivot!$AK$4,"Date",B60,"Site",1)+GETPIVOTDATA("Sum of PKrecap",SalmonPivot!$AK$4,"Date",B60,"Site",1)</f>
        <v>217</v>
      </c>
      <c r="N60" s="24">
        <f>GETPIVOTDATA("Sum of PKrad",SalmonPivot!$AK$4,"Date",B60,"Site",1)</f>
        <v>5</v>
      </c>
      <c r="O60" s="24">
        <f>P60+GETPIVOTDATA("Sum of CMno",SalmonPivot!$AW$4,"Date",B60,"Site",1)+GETPIVOTDATA("Sum of CMrecap",SalmonPivot!$AW$4,"Date",B60,"Site",1)</f>
        <v>22</v>
      </c>
      <c r="P60" s="24">
        <f>GETPIVOTDATA("Sum of CMrad",SalmonPivot!$AW$4,"Date",B60,"Site",1)</f>
        <v>1</v>
      </c>
      <c r="Q60" s="25">
        <f>R60+GETPIVOTDATA("Sum of COno",SalmonPivot!$BI$4,"Date",B60,"Site",1)+GETPIVOTDATA("Sum of COrecap",SalmonPivot!$BI$4,"Date",B60,"Site",1)</f>
        <v>0</v>
      </c>
      <c r="R60" s="24">
        <f>GETPIVOTDATA("Sum of COrad",SalmonPivot!$BI$4,"Date",B60,"Site",1)</f>
        <v>0</v>
      </c>
      <c r="S60" s="24">
        <f>GETPIVOTDATA("Sum of TotalOther",OtherPivot!$J$5,"Date",B60,"Site",1)</f>
        <v>1</v>
      </c>
      <c r="T60" s="38"/>
      <c r="U60" s="172">
        <f>IF(GETPIVOTDATA("3 Revs (s)",EffortRPMPivot!$L$4,"Date",$B60,"Site",1)=0,"",GETPIVOTDATA("3 revs (s)",EffortRPMPivot!$L$4,"date",$B60,"Site",1))</f>
        <v>54</v>
      </c>
      <c r="V60" s="173">
        <f t="shared" si="34"/>
        <v>0</v>
      </c>
      <c r="W60" s="173">
        <f t="shared" si="35"/>
        <v>0</v>
      </c>
      <c r="X60" s="173">
        <f t="shared" si="36"/>
        <v>0.16901408450704222</v>
      </c>
      <c r="Y60" s="173">
        <f t="shared" si="37"/>
        <v>18.338028169014081</v>
      </c>
      <c r="Z60" s="173">
        <f t="shared" si="38"/>
        <v>1.8591549295774643</v>
      </c>
      <c r="AA60" s="174">
        <f t="shared" si="39"/>
        <v>0</v>
      </c>
      <c r="AB60" s="175">
        <f t="shared" si="40"/>
        <v>1</v>
      </c>
      <c r="AC60" s="175">
        <f t="shared" si="41"/>
        <v>0</v>
      </c>
      <c r="AD60" s="175">
        <f t="shared" si="42"/>
        <v>7</v>
      </c>
      <c r="AE60" s="175">
        <f t="shared" si="43"/>
        <v>503</v>
      </c>
      <c r="AF60" s="175">
        <f t="shared" si="44"/>
        <v>60</v>
      </c>
      <c r="AG60" s="175">
        <f t="shared" si="45"/>
        <v>3</v>
      </c>
      <c r="AH60" s="176">
        <f t="shared" si="46"/>
        <v>574</v>
      </c>
      <c r="AI60" s="175">
        <f>SUM(AB$4:AB60)</f>
        <v>658</v>
      </c>
      <c r="AJ60" s="175">
        <f>SUM(AC$4:AC60)</f>
        <v>196</v>
      </c>
      <c r="AK60" s="175">
        <f>SUM(AD$4:AD60)</f>
        <v>112</v>
      </c>
      <c r="AL60" s="175">
        <f>SUM(AE$4:AE60)</f>
        <v>4277</v>
      </c>
      <c r="AM60" s="175">
        <f>SUM(AF$4:AF60)</f>
        <v>203</v>
      </c>
      <c r="AN60" s="176">
        <f>SUM(AG$4:AG60)</f>
        <v>13</v>
      </c>
      <c r="AO60" s="175">
        <f t="shared" si="47"/>
        <v>0</v>
      </c>
      <c r="AP60" s="175">
        <f t="shared" si="48"/>
        <v>0</v>
      </c>
      <c r="AQ60" s="175">
        <f t="shared" si="49"/>
        <v>6</v>
      </c>
      <c r="AR60" s="175">
        <f t="shared" si="50"/>
        <v>12</v>
      </c>
      <c r="AS60" s="175">
        <f t="shared" si="51"/>
        <v>6</v>
      </c>
      <c r="AT60" s="176">
        <f t="shared" si="52"/>
        <v>2</v>
      </c>
      <c r="AU60" s="175">
        <f>SUM(AO$4:AO60)</f>
        <v>590</v>
      </c>
      <c r="AV60" s="175">
        <f>SUM(AP$4:AP60)</f>
        <v>33</v>
      </c>
      <c r="AW60" s="175">
        <f>SUM(AQ$4:AQ60)</f>
        <v>106</v>
      </c>
      <c r="AX60" s="175">
        <f>SUM(AR$4:AR60)</f>
        <v>91</v>
      </c>
      <c r="AY60" s="175">
        <f>SUM(AS$4:AS60)</f>
        <v>59</v>
      </c>
      <c r="AZ60" s="176">
        <f>SUM(AT$4:AT60)</f>
        <v>12</v>
      </c>
      <c r="BA60" s="177">
        <f t="shared" si="53"/>
        <v>1.488095238095238E-3</v>
      </c>
      <c r="BB60" s="177">
        <f t="shared" si="54"/>
        <v>0</v>
      </c>
      <c r="BC60" s="177">
        <f t="shared" si="55"/>
        <v>3.2863849765258218E-2</v>
      </c>
      <c r="BD60" s="177">
        <f t="shared" si="56"/>
        <v>6.7317987152034256E-2</v>
      </c>
      <c r="BE60" s="177">
        <f t="shared" si="57"/>
        <v>4.084411164057182E-2</v>
      </c>
      <c r="BF60" s="273">
        <f t="shared" si="58"/>
        <v>8.9820359281437123E-3</v>
      </c>
      <c r="BG60" s="177">
        <f>SUM(BA$4:BA60)</f>
        <v>0.97916666666666641</v>
      </c>
      <c r="BH60" s="177">
        <f>SUM(BB$4:BB60)</f>
        <v>0.95609756097561005</v>
      </c>
      <c r="BI60" s="177">
        <f>SUM(BC$4:BC60)</f>
        <v>0.5258215962441315</v>
      </c>
      <c r="BJ60" s="177">
        <f>SUM(BD$4:BD60)</f>
        <v>0.57240364025695933</v>
      </c>
      <c r="BK60" s="177">
        <f>SUM(BE$4:BE60)</f>
        <v>0.13818924438393465</v>
      </c>
      <c r="BL60" s="166">
        <f>SUM(BF$4:BF60)</f>
        <v>3.8922155688622756E-2</v>
      </c>
      <c r="BM60" s="411">
        <f t="shared" si="28"/>
        <v>241</v>
      </c>
      <c r="BN60" s="409">
        <f t="shared" si="29"/>
        <v>20.366197183098588</v>
      </c>
    </row>
    <row r="61" spans="2:66" x14ac:dyDescent="0.2">
      <c r="B61" s="60">
        <f t="shared" si="30"/>
        <v>41853</v>
      </c>
      <c r="C61" s="22">
        <f t="shared" si="74"/>
        <v>3.4615384615384612</v>
      </c>
      <c r="D61" s="23">
        <f>GETPIVOTDATA("Active time (min)",EffortRPMPivot!$A$4,"date",B61,"Site",1)/60</f>
        <v>12.000000000000002</v>
      </c>
      <c r="E61" s="24">
        <f>F61+G61+GETPIVOTDATA("Sum of CNlgNo",SalmonPivot!$A$4,"Date",B61,"Site",1)</f>
        <v>0</v>
      </c>
      <c r="F61" s="24">
        <f>GETPIVOTDATA("Sum of CNlgrad",SalmonPivot!$A$4,"date",B61,"Site",1)</f>
        <v>0</v>
      </c>
      <c r="G61" s="24">
        <f>GETPIVOTDATA("Sum of CNlgrecap",SalmonPivot!$A$4,"date",B61,"Site",1)</f>
        <v>0</v>
      </c>
      <c r="H61" s="24">
        <f>I61+J61+GETPIVOTDATA("Sum of CNsmno",SalmonPivot!$M$4,"Date",B61,"Site",1)</f>
        <v>0</v>
      </c>
      <c r="I61" s="24">
        <f>GETPIVOTDATA("Sum of CNsmradio",SalmonPivot!$M$4,"Date",B61,"Site",1)</f>
        <v>0</v>
      </c>
      <c r="J61" s="24">
        <f>GETPIVOTDATA("Sum of CNsmrecap",SalmonPivot!$M$4,"Date",B61,"Site",1)</f>
        <v>0</v>
      </c>
      <c r="K61" s="24">
        <f>L61+GETPIVOTDATA("Sum of SOno",SalmonPivot!$Y$4,"Date",B61,"Site",1)+GETPIVOTDATA("Sum of SOrecap",SalmonPivot!$Y$4,"Date",B61,"Site",1)</f>
        <v>0</v>
      </c>
      <c r="L61" s="24">
        <f>GETPIVOTDATA("Sum of SOrad",SalmonPivot!$Y$4,"Date",B61,"Site",1)</f>
        <v>0</v>
      </c>
      <c r="M61" s="24">
        <f>N61+GETPIVOTDATA("Sum of PKno",SalmonPivot!$AK$4,"Date",B61,"Site",1)+GETPIVOTDATA("Sum of PKrecap",SalmonPivot!$AK$4,"Date",B61,"Site",1)</f>
        <v>239</v>
      </c>
      <c r="N61" s="24">
        <f>GETPIVOTDATA("Sum of PKrad",SalmonPivot!$AK$4,"Date",B61,"Site",1)</f>
        <v>4</v>
      </c>
      <c r="O61" s="24">
        <f>P61+GETPIVOTDATA("Sum of CMno",SalmonPivot!$AW$4,"Date",B61,"Site",1)+GETPIVOTDATA("Sum of CMrecap",SalmonPivot!$AW$4,"Date",B61,"Site",1)</f>
        <v>25</v>
      </c>
      <c r="P61" s="24">
        <f>GETPIVOTDATA("Sum of CMrad",SalmonPivot!$AW$4,"Date",B61,"Site",1)</f>
        <v>3</v>
      </c>
      <c r="Q61" s="25">
        <f>R61+GETPIVOTDATA("Sum of COno",SalmonPivot!$BI$4,"Date",B61,"Site",1)+GETPIVOTDATA("Sum of COrecap",SalmonPivot!$BI$4,"Date",B61,"Site",1)</f>
        <v>0</v>
      </c>
      <c r="R61" s="24">
        <f>GETPIVOTDATA("Sum of COrad",SalmonPivot!$BI$4,"Date",B61,"Site",1)</f>
        <v>0</v>
      </c>
      <c r="S61" s="24">
        <f>GETPIVOTDATA("Sum of TotalOther",OtherPivot!$J$5,"Date",B61,"Site",1)</f>
        <v>0</v>
      </c>
      <c r="T61" s="38"/>
      <c r="U61" s="172">
        <f>IF(GETPIVOTDATA("3 Revs (s)",EffortRPMPivot!$L$4,"Date",$B61,"Site",1)=0,"",GETPIVOTDATA("3 revs (s)",EffortRPMPivot!$L$4,"date",$B61,"Site",1))</f>
        <v>52</v>
      </c>
      <c r="V61" s="173">
        <f t="shared" si="34"/>
        <v>0</v>
      </c>
      <c r="W61" s="173">
        <f t="shared" si="35"/>
        <v>0</v>
      </c>
      <c r="X61" s="173">
        <f t="shared" si="36"/>
        <v>0</v>
      </c>
      <c r="Y61" s="173">
        <f t="shared" si="37"/>
        <v>19.916666666666664</v>
      </c>
      <c r="Z61" s="173">
        <f t="shared" si="38"/>
        <v>2.083333333333333</v>
      </c>
      <c r="AA61" s="174">
        <f t="shared" si="39"/>
        <v>0</v>
      </c>
      <c r="AB61" s="175">
        <f t="shared" si="40"/>
        <v>0</v>
      </c>
      <c r="AC61" s="175">
        <f t="shared" si="41"/>
        <v>0</v>
      </c>
      <c r="AD61" s="175">
        <f t="shared" si="42"/>
        <v>1</v>
      </c>
      <c r="AE61" s="175">
        <f t="shared" si="43"/>
        <v>450</v>
      </c>
      <c r="AF61" s="175">
        <f t="shared" si="44"/>
        <v>46</v>
      </c>
      <c r="AG61" s="175">
        <f t="shared" si="45"/>
        <v>3</v>
      </c>
      <c r="AH61" s="176">
        <f t="shared" si="46"/>
        <v>500</v>
      </c>
      <c r="AI61" s="175">
        <f>SUM(AB$4:AB61)</f>
        <v>658</v>
      </c>
      <c r="AJ61" s="175">
        <f>SUM(AC$4:AC61)</f>
        <v>196</v>
      </c>
      <c r="AK61" s="175">
        <f>SUM(AD$4:AD61)</f>
        <v>113</v>
      </c>
      <c r="AL61" s="175">
        <f>SUM(AE$4:AE61)</f>
        <v>4727</v>
      </c>
      <c r="AM61" s="175">
        <f>SUM(AF$4:AF61)</f>
        <v>249</v>
      </c>
      <c r="AN61" s="176">
        <f>SUM(AG$4:AG61)</f>
        <v>16</v>
      </c>
      <c r="AO61" s="175">
        <f t="shared" si="47"/>
        <v>0</v>
      </c>
      <c r="AP61" s="175">
        <f t="shared" si="48"/>
        <v>0</v>
      </c>
      <c r="AQ61" s="175">
        <f t="shared" si="49"/>
        <v>1</v>
      </c>
      <c r="AR61" s="175">
        <f t="shared" si="50"/>
        <v>12</v>
      </c>
      <c r="AS61" s="175">
        <f t="shared" si="51"/>
        <v>6</v>
      </c>
      <c r="AT61" s="176">
        <f t="shared" si="52"/>
        <v>3</v>
      </c>
      <c r="AU61" s="175">
        <f>SUM(AO$4:AO61)</f>
        <v>590</v>
      </c>
      <c r="AV61" s="175">
        <f>SUM(AP$4:AP61)</f>
        <v>33</v>
      </c>
      <c r="AW61" s="175">
        <f>SUM(AQ$4:AQ61)</f>
        <v>107</v>
      </c>
      <c r="AX61" s="175">
        <f>SUM(AR$4:AR61)</f>
        <v>103</v>
      </c>
      <c r="AY61" s="175">
        <f>SUM(AS$4:AS61)</f>
        <v>65</v>
      </c>
      <c r="AZ61" s="176">
        <f>SUM(AT$4:AT61)</f>
        <v>15</v>
      </c>
      <c r="BA61" s="177">
        <f t="shared" si="53"/>
        <v>0</v>
      </c>
      <c r="BB61" s="177">
        <f t="shared" si="54"/>
        <v>0</v>
      </c>
      <c r="BC61" s="177">
        <f t="shared" si="55"/>
        <v>4.6948356807511738E-3</v>
      </c>
      <c r="BD61" s="177">
        <f t="shared" si="56"/>
        <v>6.0224839400428262E-2</v>
      </c>
      <c r="BE61" s="177">
        <f t="shared" si="57"/>
        <v>3.1313818924438394E-2</v>
      </c>
      <c r="BF61" s="273">
        <f t="shared" si="58"/>
        <v>8.9820359281437123E-3</v>
      </c>
      <c r="BG61" s="177">
        <f>SUM(BA$4:BA61)</f>
        <v>0.97916666666666641</v>
      </c>
      <c r="BH61" s="177">
        <f>SUM(BB$4:BB61)</f>
        <v>0.95609756097561005</v>
      </c>
      <c r="BI61" s="177">
        <f>SUM(BC$4:BC61)</f>
        <v>0.53051643192488263</v>
      </c>
      <c r="BJ61" s="177">
        <f>SUM(BD$4:BD61)</f>
        <v>0.63262847965738755</v>
      </c>
      <c r="BK61" s="177">
        <f>SUM(BE$4:BE61)</f>
        <v>0.16950306330837306</v>
      </c>
      <c r="BL61" s="166">
        <f>SUM(BF$4:BF61)</f>
        <v>4.790419161676647E-2</v>
      </c>
      <c r="BM61" s="411">
        <f t="shared" si="28"/>
        <v>264</v>
      </c>
      <c r="BN61" s="409">
        <f t="shared" si="29"/>
        <v>21.999999999999996</v>
      </c>
    </row>
    <row r="62" spans="2:66" x14ac:dyDescent="0.2">
      <c r="B62" s="60">
        <f t="shared" si="30"/>
        <v>41854</v>
      </c>
      <c r="C62" s="22">
        <f t="shared" si="74"/>
        <v>3.6734693877551021</v>
      </c>
      <c r="D62" s="23">
        <f>GETPIVOTDATA("Active time (min)",EffortRPMPivot!$A$4,"date",B62,"Site",1)/60</f>
        <v>13.066666666666666</v>
      </c>
      <c r="E62" s="24">
        <f>F62+G62+GETPIVOTDATA("Sum of CNlgNo",SalmonPivot!$A$4,"Date",B62,"Site",1)</f>
        <v>0</v>
      </c>
      <c r="F62" s="24">
        <f>GETPIVOTDATA("Sum of CNlgrad",SalmonPivot!$A$4,"date",B62,"Site",1)</f>
        <v>0</v>
      </c>
      <c r="G62" s="24">
        <f>GETPIVOTDATA("Sum of CNlgrecap",SalmonPivot!$A$4,"date",B62,"Site",1)</f>
        <v>0</v>
      </c>
      <c r="H62" s="24">
        <f>I62+J62+GETPIVOTDATA("Sum of CNsmno",SalmonPivot!$M$4,"Date",B62,"Site",1)</f>
        <v>0</v>
      </c>
      <c r="I62" s="24">
        <f>GETPIVOTDATA("Sum of CNsmradio",SalmonPivot!$M$4,"Date",B62,"Site",1)</f>
        <v>0</v>
      </c>
      <c r="J62" s="24">
        <f>GETPIVOTDATA("Sum of CNsmrecap",SalmonPivot!$M$4,"Date",B62,"Site",1)</f>
        <v>0</v>
      </c>
      <c r="K62" s="24">
        <f>L62+GETPIVOTDATA("Sum of SOno",SalmonPivot!$Y$4,"Date",B62,"Site",1)+GETPIVOTDATA("Sum of SOrecap",SalmonPivot!$Y$4,"Date",B62,"Site",1)</f>
        <v>1</v>
      </c>
      <c r="L62" s="24">
        <f>GETPIVOTDATA("Sum of SOrad",SalmonPivot!$Y$4,"Date",B62,"Site",1)</f>
        <v>1</v>
      </c>
      <c r="M62" s="24">
        <f>N62+GETPIVOTDATA("Sum of PKno",SalmonPivot!$AK$4,"Date",B62,"Site",1)+GETPIVOTDATA("Sum of PKrecap",SalmonPivot!$AK$4,"Date",B62,"Site",1)</f>
        <v>224</v>
      </c>
      <c r="N62" s="24">
        <f>GETPIVOTDATA("Sum of PKrad",SalmonPivot!$AK$4,"Date",B62,"Site",1)</f>
        <v>5</v>
      </c>
      <c r="O62" s="24">
        <f>P62+GETPIVOTDATA("Sum of CMno",SalmonPivot!$AW$4,"Date",B62,"Site",1)+GETPIVOTDATA("Sum of CMrecap",SalmonPivot!$AW$4,"Date",B62,"Site",1)</f>
        <v>13</v>
      </c>
      <c r="P62" s="24">
        <f>GETPIVOTDATA("Sum of CMrad",SalmonPivot!$AW$4,"Date",B62,"Site",1)</f>
        <v>5</v>
      </c>
      <c r="Q62" s="25">
        <f>R62+GETPIVOTDATA("Sum of COno",SalmonPivot!$BI$4,"Date",B62,"Site",1)+GETPIVOTDATA("Sum of COrecap",SalmonPivot!$BI$4,"Date",B62,"Site",1)</f>
        <v>1</v>
      </c>
      <c r="R62" s="24">
        <f>GETPIVOTDATA("Sum of COrad",SalmonPivot!$BI$4,"Date",B62,"Site",1)</f>
        <v>1</v>
      </c>
      <c r="S62" s="24">
        <f>GETPIVOTDATA("Sum of TotalOther",OtherPivot!$J$5,"Date",B62,"Site",1)</f>
        <v>0</v>
      </c>
      <c r="T62" s="38"/>
      <c r="U62" s="172">
        <f>IF(GETPIVOTDATA("3 Revs (s)",EffortRPMPivot!$L$4,"Date",$B62,"Site",1)=0,"",GETPIVOTDATA("3 revs (s)",EffortRPMPivot!$L$4,"date",$B62,"Site",1))</f>
        <v>49</v>
      </c>
      <c r="V62" s="173">
        <f t="shared" si="34"/>
        <v>0</v>
      </c>
      <c r="W62" s="173">
        <f t="shared" si="35"/>
        <v>0</v>
      </c>
      <c r="X62" s="173">
        <f t="shared" si="36"/>
        <v>7.6530612244897961E-2</v>
      </c>
      <c r="Y62" s="173">
        <f t="shared" si="37"/>
        <v>17.142857142857142</v>
      </c>
      <c r="Z62" s="173">
        <f t="shared" si="38"/>
        <v>0.99489795918367352</v>
      </c>
      <c r="AA62" s="174">
        <f t="shared" si="39"/>
        <v>7.6530612244897961E-2</v>
      </c>
      <c r="AB62" s="175">
        <f t="shared" si="40"/>
        <v>0</v>
      </c>
      <c r="AC62" s="175">
        <f t="shared" si="41"/>
        <v>0</v>
      </c>
      <c r="AD62" s="175">
        <f t="shared" si="42"/>
        <v>2</v>
      </c>
      <c r="AE62" s="175">
        <f t="shared" si="43"/>
        <v>429</v>
      </c>
      <c r="AF62" s="175">
        <f t="shared" si="44"/>
        <v>23</v>
      </c>
      <c r="AG62" s="175">
        <f t="shared" si="45"/>
        <v>1</v>
      </c>
      <c r="AH62" s="176">
        <f t="shared" si="46"/>
        <v>455</v>
      </c>
      <c r="AI62" s="175">
        <f>SUM(AB$4:AB62)</f>
        <v>658</v>
      </c>
      <c r="AJ62" s="175">
        <f>SUM(AC$4:AC62)</f>
        <v>196</v>
      </c>
      <c r="AK62" s="175">
        <f>SUM(AD$4:AD62)</f>
        <v>115</v>
      </c>
      <c r="AL62" s="175">
        <f>SUM(AE$4:AE62)</f>
        <v>5156</v>
      </c>
      <c r="AM62" s="175">
        <f>SUM(AF$4:AF62)</f>
        <v>272</v>
      </c>
      <c r="AN62" s="176">
        <f>SUM(AG$4:AG62)</f>
        <v>17</v>
      </c>
      <c r="AO62" s="175">
        <f t="shared" si="47"/>
        <v>0</v>
      </c>
      <c r="AP62" s="175">
        <f t="shared" si="48"/>
        <v>0</v>
      </c>
      <c r="AQ62" s="175">
        <f t="shared" si="49"/>
        <v>2</v>
      </c>
      <c r="AR62" s="175">
        <f t="shared" si="50"/>
        <v>12</v>
      </c>
      <c r="AS62" s="175">
        <f t="shared" si="51"/>
        <v>12</v>
      </c>
      <c r="AT62" s="176">
        <f t="shared" si="52"/>
        <v>1</v>
      </c>
      <c r="AU62" s="175">
        <f>SUM(AO$4:AO62)</f>
        <v>590</v>
      </c>
      <c r="AV62" s="175">
        <f>SUM(AP$4:AP62)</f>
        <v>33</v>
      </c>
      <c r="AW62" s="175">
        <f>SUM(AQ$4:AQ62)</f>
        <v>109</v>
      </c>
      <c r="AX62" s="175">
        <f>SUM(AR$4:AR62)</f>
        <v>115</v>
      </c>
      <c r="AY62" s="175">
        <f>SUM(AS$4:AS62)</f>
        <v>77</v>
      </c>
      <c r="AZ62" s="176">
        <f>SUM(AT$4:AT62)</f>
        <v>16</v>
      </c>
      <c r="BA62" s="177">
        <f t="shared" si="53"/>
        <v>0</v>
      </c>
      <c r="BB62" s="177">
        <f t="shared" si="54"/>
        <v>0</v>
      </c>
      <c r="BC62" s="177">
        <f t="shared" si="55"/>
        <v>9.3896713615023476E-3</v>
      </c>
      <c r="BD62" s="177">
        <f t="shared" si="56"/>
        <v>5.741434689507495E-2</v>
      </c>
      <c r="BE62" s="177">
        <f t="shared" si="57"/>
        <v>1.5656909462219197E-2</v>
      </c>
      <c r="BF62" s="273">
        <f t="shared" si="58"/>
        <v>2.9940119760479044E-3</v>
      </c>
      <c r="BG62" s="177">
        <f>SUM(BA$4:BA62)</f>
        <v>0.97916666666666641</v>
      </c>
      <c r="BH62" s="177">
        <f>SUM(BB$4:BB62)</f>
        <v>0.95609756097561005</v>
      </c>
      <c r="BI62" s="177">
        <f>SUM(BC$4:BC62)</f>
        <v>0.539906103286385</v>
      </c>
      <c r="BJ62" s="177">
        <f>SUM(BD$4:BD62)</f>
        <v>0.69004282655246252</v>
      </c>
      <c r="BK62" s="177">
        <f>SUM(BE$4:BE62)</f>
        <v>0.18515997277059226</v>
      </c>
      <c r="BL62" s="166">
        <f>SUM(BF$4:BF62)</f>
        <v>5.0898203592814377E-2</v>
      </c>
      <c r="BM62" s="411">
        <f t="shared" si="28"/>
        <v>239</v>
      </c>
      <c r="BN62" s="409">
        <f t="shared" si="29"/>
        <v>18.290816326530614</v>
      </c>
    </row>
    <row r="63" spans="2:66" x14ac:dyDescent="0.2">
      <c r="B63" s="60">
        <f t="shared" si="30"/>
        <v>41855</v>
      </c>
      <c r="C63" s="22">
        <f t="shared" si="74"/>
        <v>3.3540372670807455</v>
      </c>
      <c r="D63" s="23">
        <f>GETPIVOTDATA("Active time (min)",EffortRPMPivot!$A$4,"date",B63,"Site",1)/60</f>
        <v>12.000000000000002</v>
      </c>
      <c r="E63" s="24">
        <f>F63+G63+GETPIVOTDATA("Sum of CNlgNo",SalmonPivot!$A$4,"Date",B63,"Site",1)</f>
        <v>0</v>
      </c>
      <c r="F63" s="24">
        <f>GETPIVOTDATA("Sum of CNlgrad",SalmonPivot!$A$4,"date",B63,"Site",1)</f>
        <v>0</v>
      </c>
      <c r="G63" s="24">
        <f>GETPIVOTDATA("Sum of CNlgrecap",SalmonPivot!$A$4,"date",B63,"Site",1)</f>
        <v>0</v>
      </c>
      <c r="H63" s="24">
        <f>I63+J63+GETPIVOTDATA("Sum of CNsmno",SalmonPivot!$M$4,"Date",B63,"Site",1)</f>
        <v>1</v>
      </c>
      <c r="I63" s="24">
        <f>GETPIVOTDATA("Sum of CNsmradio",SalmonPivot!$M$4,"Date",B63,"Site",1)</f>
        <v>0</v>
      </c>
      <c r="J63" s="24">
        <f>GETPIVOTDATA("Sum of CNsmrecap",SalmonPivot!$M$4,"Date",B63,"Site",1)</f>
        <v>0</v>
      </c>
      <c r="K63" s="24">
        <f>L63+GETPIVOTDATA("Sum of SOno",SalmonPivot!$Y$4,"Date",B63,"Site",1)+GETPIVOTDATA("Sum of SOrecap",SalmonPivot!$Y$4,"Date",B63,"Site",1)</f>
        <v>1</v>
      </c>
      <c r="L63" s="24">
        <f>GETPIVOTDATA("Sum of SOrad",SalmonPivot!$Y$4,"Date",B63,"Site",1)</f>
        <v>0</v>
      </c>
      <c r="M63" s="24">
        <f>N63+GETPIVOTDATA("Sum of PKno",SalmonPivot!$AK$4,"Date",B63,"Site",1)+GETPIVOTDATA("Sum of PKrecap",SalmonPivot!$AK$4,"Date",B63,"Site",1)</f>
        <v>221</v>
      </c>
      <c r="N63" s="24">
        <f>GETPIVOTDATA("Sum of PKrad",SalmonPivot!$AK$4,"Date",B63,"Site",1)</f>
        <v>2</v>
      </c>
      <c r="O63" s="24">
        <f>P63+GETPIVOTDATA("Sum of CMno",SalmonPivot!$AW$4,"Date",B63,"Site",1)+GETPIVOTDATA("Sum of CMrecap",SalmonPivot!$AW$4,"Date",B63,"Site",1)</f>
        <v>18</v>
      </c>
      <c r="P63" s="24">
        <f>GETPIVOTDATA("Sum of CMrad",SalmonPivot!$AW$4,"Date",B63,"Site",1)</f>
        <v>5</v>
      </c>
      <c r="Q63" s="25">
        <f>R63+GETPIVOTDATA("Sum of COno",SalmonPivot!$BI$4,"Date",B63,"Site",1)+GETPIVOTDATA("Sum of COrecap",SalmonPivot!$BI$4,"Date",B63,"Site",1)</f>
        <v>2</v>
      </c>
      <c r="R63" s="24">
        <f>GETPIVOTDATA("Sum of COrad",SalmonPivot!$BI$4,"Date",B63,"Site",1)</f>
        <v>2</v>
      </c>
      <c r="S63" s="24">
        <f>GETPIVOTDATA("Sum of TotalOther",OtherPivot!$J$5,"Date",B63,"Site",1)</f>
        <v>0</v>
      </c>
      <c r="T63" s="38"/>
      <c r="U63" s="172">
        <f>IF(GETPIVOTDATA("3 Revs (s)",EffortRPMPivot!$L$4,"Date",$B63,"Site",1)=0,"",GETPIVOTDATA("3 revs (s)",EffortRPMPivot!$L$4,"date",$B63,"Site",1))</f>
        <v>53.666666666666664</v>
      </c>
      <c r="V63" s="173">
        <f t="shared" si="34"/>
        <v>0</v>
      </c>
      <c r="W63" s="173">
        <f t="shared" si="35"/>
        <v>8.3333333333333315E-2</v>
      </c>
      <c r="X63" s="173">
        <f t="shared" si="36"/>
        <v>8.3333333333333315E-2</v>
      </c>
      <c r="Y63" s="173">
        <f t="shared" si="37"/>
        <v>18.416666666666664</v>
      </c>
      <c r="Z63" s="173">
        <f t="shared" si="38"/>
        <v>1.4999999999999998</v>
      </c>
      <c r="AA63" s="174">
        <f t="shared" si="39"/>
        <v>0.16666666666666663</v>
      </c>
      <c r="AB63" s="175">
        <f t="shared" si="40"/>
        <v>0</v>
      </c>
      <c r="AC63" s="175">
        <f t="shared" si="41"/>
        <v>2</v>
      </c>
      <c r="AD63" s="175">
        <f t="shared" si="42"/>
        <v>4</v>
      </c>
      <c r="AE63" s="175">
        <f t="shared" si="43"/>
        <v>415</v>
      </c>
      <c r="AF63" s="175">
        <f t="shared" si="44"/>
        <v>46</v>
      </c>
      <c r="AG63" s="175">
        <f t="shared" si="45"/>
        <v>4</v>
      </c>
      <c r="AH63" s="176">
        <f t="shared" si="46"/>
        <v>469</v>
      </c>
      <c r="AI63" s="175">
        <f>SUM(AB$4:AB63)</f>
        <v>658</v>
      </c>
      <c r="AJ63" s="175">
        <f>SUM(AC$4:AC63)</f>
        <v>198</v>
      </c>
      <c r="AK63" s="175">
        <f>SUM(AD$4:AD63)</f>
        <v>119</v>
      </c>
      <c r="AL63" s="175">
        <f>SUM(AE$4:AE63)</f>
        <v>5571</v>
      </c>
      <c r="AM63" s="175">
        <f>SUM(AF$4:AF63)</f>
        <v>318</v>
      </c>
      <c r="AN63" s="176">
        <f>SUM(AG$4:AG63)</f>
        <v>21</v>
      </c>
      <c r="AO63" s="175">
        <f t="shared" si="47"/>
        <v>0</v>
      </c>
      <c r="AP63" s="175">
        <f t="shared" si="48"/>
        <v>0</v>
      </c>
      <c r="AQ63" s="175">
        <f t="shared" si="49"/>
        <v>3</v>
      </c>
      <c r="AR63" s="175">
        <f t="shared" si="50"/>
        <v>8</v>
      </c>
      <c r="AS63" s="175">
        <f t="shared" si="51"/>
        <v>12</v>
      </c>
      <c r="AT63" s="176">
        <f t="shared" si="52"/>
        <v>4</v>
      </c>
      <c r="AU63" s="175">
        <f>SUM(AO$4:AO63)</f>
        <v>590</v>
      </c>
      <c r="AV63" s="175">
        <f>SUM(AP$4:AP63)</f>
        <v>33</v>
      </c>
      <c r="AW63" s="175">
        <f>SUM(AQ$4:AQ63)</f>
        <v>112</v>
      </c>
      <c r="AX63" s="175">
        <f>SUM(AR$4:AR63)</f>
        <v>123</v>
      </c>
      <c r="AY63" s="175">
        <f>SUM(AS$4:AS63)</f>
        <v>89</v>
      </c>
      <c r="AZ63" s="176">
        <f>SUM(AT$4:AT63)</f>
        <v>20</v>
      </c>
      <c r="BA63" s="177">
        <f t="shared" si="53"/>
        <v>0</v>
      </c>
      <c r="BB63" s="177">
        <f t="shared" si="54"/>
        <v>9.7560975609756097E-3</v>
      </c>
      <c r="BC63" s="177">
        <f t="shared" si="55"/>
        <v>1.8779342723004695E-2</v>
      </c>
      <c r="BD63" s="177">
        <f t="shared" si="56"/>
        <v>5.5540685224839403E-2</v>
      </c>
      <c r="BE63" s="177">
        <f t="shared" si="57"/>
        <v>3.1313818924438394E-2</v>
      </c>
      <c r="BF63" s="273">
        <f t="shared" si="58"/>
        <v>1.1976047904191617E-2</v>
      </c>
      <c r="BG63" s="177">
        <f>SUM(BA$4:BA63)</f>
        <v>0.97916666666666641</v>
      </c>
      <c r="BH63" s="177">
        <f>SUM(BB$4:BB63)</f>
        <v>0.96585365853658567</v>
      </c>
      <c r="BI63" s="177">
        <f>SUM(BC$4:BC63)</f>
        <v>0.55868544600938974</v>
      </c>
      <c r="BJ63" s="177">
        <f>SUM(BD$4:BD63)</f>
        <v>0.74558351177730198</v>
      </c>
      <c r="BK63" s="177">
        <f>SUM(BE$4:BE63)</f>
        <v>0.21647379169503067</v>
      </c>
      <c r="BL63" s="166">
        <f>SUM(BF$4:BF63)</f>
        <v>6.2874251497005998E-2</v>
      </c>
      <c r="BM63" s="411">
        <f t="shared" si="28"/>
        <v>242</v>
      </c>
      <c r="BN63" s="409">
        <f t="shared" si="29"/>
        <v>20.166666666666664</v>
      </c>
    </row>
    <row r="64" spans="2:66" x14ac:dyDescent="0.2">
      <c r="B64" s="60">
        <f t="shared" si="30"/>
        <v>41856</v>
      </c>
      <c r="C64" s="22">
        <f t="shared" ref="C64:C66" si="75">IF(ISERROR(3/(U64/60)),"",3/(U64/60))</f>
        <v>3.6986301369863015</v>
      </c>
      <c r="D64" s="23">
        <f>GETPIVOTDATA("Active time (min)",EffortRPMPivot!$A$4,"date",B64,"Site",1)/60</f>
        <v>12</v>
      </c>
      <c r="E64" s="24">
        <f>F64+G64+GETPIVOTDATA("Sum of CNlgNo",SalmonPivot!$A$4,"Date",B64,"Site",1)</f>
        <v>0</v>
      </c>
      <c r="F64" s="24">
        <f>GETPIVOTDATA("Sum of CNlgrad",SalmonPivot!$A$4,"date",B64,"Site",1)</f>
        <v>0</v>
      </c>
      <c r="G64" s="24">
        <f>GETPIVOTDATA("Sum of CNlgrecap",SalmonPivot!$A$4,"date",B64,"Site",1)</f>
        <v>0</v>
      </c>
      <c r="H64" s="24">
        <f>I64+J64+GETPIVOTDATA("Sum of CNsmno",SalmonPivot!$M$4,"Date",B64,"Site",1)</f>
        <v>0</v>
      </c>
      <c r="I64" s="24">
        <f>GETPIVOTDATA("Sum of CNsmradio",SalmonPivot!$M$4,"Date",B64,"Site",1)</f>
        <v>0</v>
      </c>
      <c r="J64" s="24">
        <f>GETPIVOTDATA("Sum of CNsmrecap",SalmonPivot!$M$4,"Date",B64,"Site",1)</f>
        <v>0</v>
      </c>
      <c r="K64" s="24">
        <f>L64+GETPIVOTDATA("Sum of SOno",SalmonPivot!$Y$4,"Date",B64,"Site",1)+GETPIVOTDATA("Sum of SOrecap",SalmonPivot!$Y$4,"Date",B64,"Site",1)</f>
        <v>3</v>
      </c>
      <c r="L64" s="24">
        <f>GETPIVOTDATA("Sum of SOrad",SalmonPivot!$Y$4,"Date",B64,"Site",1)</f>
        <v>3</v>
      </c>
      <c r="M64" s="24">
        <f>N64+GETPIVOTDATA("Sum of PKno",SalmonPivot!$AK$4,"Date",B64,"Site",1)+GETPIVOTDATA("Sum of PKrecap",SalmonPivot!$AK$4,"Date",B64,"Site",1)</f>
        <v>162</v>
      </c>
      <c r="N64" s="24">
        <f>GETPIVOTDATA("Sum of PKrad",SalmonPivot!$AK$4,"Date",B64,"Site",1)</f>
        <v>4</v>
      </c>
      <c r="O64" s="24">
        <f>P64+GETPIVOTDATA("Sum of CMno",SalmonPivot!$AW$4,"Date",B64,"Site",1)+GETPIVOTDATA("Sum of CMrecap",SalmonPivot!$AW$4,"Date",B64,"Site",1)</f>
        <v>9</v>
      </c>
      <c r="P64" s="24">
        <f>GETPIVOTDATA("Sum of CMrad",SalmonPivot!$AW$4,"Date",B64,"Site",1)</f>
        <v>2</v>
      </c>
      <c r="Q64" s="25">
        <f>R64+GETPIVOTDATA("Sum of COno",SalmonPivot!$BI$4,"Date",B64,"Site",1)+GETPIVOTDATA("Sum of COrecap",SalmonPivot!$BI$4,"Date",B64,"Site",1)</f>
        <v>1</v>
      </c>
      <c r="R64" s="24">
        <f>GETPIVOTDATA("Sum of COrad",SalmonPivot!$BI$4,"Date",B64,"Site",1)</f>
        <v>1</v>
      </c>
      <c r="S64" s="24">
        <f>GETPIVOTDATA("Sum of TotalOther",OtherPivot!$J$5,"Date",B64,"Site",1)</f>
        <v>0</v>
      </c>
      <c r="T64" s="38"/>
      <c r="U64" s="172">
        <f>IF(GETPIVOTDATA("3 Revs (s)",EffortRPMPivot!$L$4,"Date",$B64,"Site",1)=0,"",GETPIVOTDATA("3 revs (s)",EffortRPMPivot!$L$4,"date",$B64,"Site",1))</f>
        <v>48.666666666666664</v>
      </c>
      <c r="V64" s="173">
        <f t="shared" si="34"/>
        <v>0</v>
      </c>
      <c r="W64" s="173">
        <f t="shared" si="35"/>
        <v>0</v>
      </c>
      <c r="X64" s="173">
        <f t="shared" si="36"/>
        <v>0.25</v>
      </c>
      <c r="Y64" s="173">
        <f t="shared" si="37"/>
        <v>13.5</v>
      </c>
      <c r="Z64" s="173">
        <f t="shared" si="38"/>
        <v>0.75</v>
      </c>
      <c r="AA64" s="174">
        <f t="shared" si="39"/>
        <v>8.3333333333333329E-2</v>
      </c>
      <c r="AB64" s="175">
        <f t="shared" si="40"/>
        <v>3</v>
      </c>
      <c r="AC64" s="175">
        <f t="shared" si="41"/>
        <v>0</v>
      </c>
      <c r="AD64" s="175">
        <f t="shared" si="42"/>
        <v>8</v>
      </c>
      <c r="AE64" s="175">
        <f t="shared" si="43"/>
        <v>340</v>
      </c>
      <c r="AF64" s="175">
        <f t="shared" si="44"/>
        <v>29</v>
      </c>
      <c r="AG64" s="175">
        <f t="shared" si="45"/>
        <v>4</v>
      </c>
      <c r="AH64" s="176">
        <f t="shared" si="46"/>
        <v>384</v>
      </c>
      <c r="AI64" s="175">
        <f>SUM(AB$4:AB64)</f>
        <v>661</v>
      </c>
      <c r="AJ64" s="175">
        <f>SUM(AC$4:AC64)</f>
        <v>198</v>
      </c>
      <c r="AK64" s="175">
        <f>SUM(AD$4:AD64)</f>
        <v>127</v>
      </c>
      <c r="AL64" s="175">
        <f>SUM(AE$4:AE64)</f>
        <v>5911</v>
      </c>
      <c r="AM64" s="175">
        <f>SUM(AF$4:AF64)</f>
        <v>347</v>
      </c>
      <c r="AN64" s="176">
        <f>SUM(AG$4:AG64)</f>
        <v>25</v>
      </c>
      <c r="AO64" s="175">
        <f t="shared" si="47"/>
        <v>0</v>
      </c>
      <c r="AP64" s="175">
        <f t="shared" si="48"/>
        <v>0</v>
      </c>
      <c r="AQ64" s="175">
        <f t="shared" si="49"/>
        <v>8</v>
      </c>
      <c r="AR64" s="175">
        <f t="shared" si="50"/>
        <v>10</v>
      </c>
      <c r="AS64" s="175">
        <f t="shared" si="51"/>
        <v>12</v>
      </c>
      <c r="AT64" s="176">
        <f t="shared" si="52"/>
        <v>3</v>
      </c>
      <c r="AU64" s="175">
        <f>SUM(AO$4:AO64)</f>
        <v>590</v>
      </c>
      <c r="AV64" s="175">
        <f>SUM(AP$4:AP64)</f>
        <v>33</v>
      </c>
      <c r="AW64" s="175">
        <f>SUM(AQ$4:AQ64)</f>
        <v>120</v>
      </c>
      <c r="AX64" s="175">
        <f>SUM(AR$4:AR64)</f>
        <v>133</v>
      </c>
      <c r="AY64" s="175">
        <f>SUM(AS$4:AS64)</f>
        <v>101</v>
      </c>
      <c r="AZ64" s="176">
        <f>SUM(AT$4:AT64)</f>
        <v>23</v>
      </c>
      <c r="BA64" s="177">
        <f t="shared" si="53"/>
        <v>4.464285714285714E-3</v>
      </c>
      <c r="BB64" s="177">
        <f t="shared" si="54"/>
        <v>0</v>
      </c>
      <c r="BC64" s="177">
        <f t="shared" si="55"/>
        <v>3.7558685446009391E-2</v>
      </c>
      <c r="BD64" s="177">
        <f t="shared" si="56"/>
        <v>4.5503211991434686E-2</v>
      </c>
      <c r="BE64" s="177">
        <f t="shared" si="57"/>
        <v>1.9741320626276378E-2</v>
      </c>
      <c r="BF64" s="273">
        <f t="shared" si="58"/>
        <v>1.1976047904191617E-2</v>
      </c>
      <c r="BG64" s="177">
        <f>SUM(BA$4:BA64)</f>
        <v>0.98363095238095211</v>
      </c>
      <c r="BH64" s="177">
        <f>SUM(BB$4:BB64)</f>
        <v>0.96585365853658567</v>
      </c>
      <c r="BI64" s="177">
        <f>SUM(BC$4:BC64)</f>
        <v>0.59624413145539912</v>
      </c>
      <c r="BJ64" s="177">
        <f>SUM(BD$4:BD64)</f>
        <v>0.79108672376873668</v>
      </c>
      <c r="BK64" s="177">
        <f>SUM(BE$4:BE64)</f>
        <v>0.23621511232130704</v>
      </c>
      <c r="BL64" s="166">
        <f>SUM(BF$4:BF64)</f>
        <v>7.4850299401197612E-2</v>
      </c>
      <c r="BM64" s="411">
        <f t="shared" si="28"/>
        <v>175</v>
      </c>
      <c r="BN64" s="409">
        <f t="shared" si="29"/>
        <v>14.583333333333334</v>
      </c>
    </row>
    <row r="65" spans="2:66" x14ac:dyDescent="0.2">
      <c r="B65" s="60">
        <f t="shared" si="30"/>
        <v>41857</v>
      </c>
      <c r="C65" s="22">
        <f t="shared" si="75"/>
        <v>3.8848920863309351</v>
      </c>
      <c r="D65" s="23">
        <f>GETPIVOTDATA("Active time (min)",EffortRPMPivot!$A$4,"date",B65,"Site",1)/60</f>
        <v>12.000000000000002</v>
      </c>
      <c r="E65" s="24">
        <f>F65+G65+GETPIVOTDATA("Sum of CNlgNo",SalmonPivot!$A$4,"Date",B65,"Site",1)</f>
        <v>0</v>
      </c>
      <c r="F65" s="24">
        <f>GETPIVOTDATA("Sum of CNlgrad",SalmonPivot!$A$4,"date",B65,"Site",1)</f>
        <v>0</v>
      </c>
      <c r="G65" s="24">
        <f>GETPIVOTDATA("Sum of CNlgrecap",SalmonPivot!$A$4,"date",B65,"Site",1)</f>
        <v>0</v>
      </c>
      <c r="H65" s="24">
        <f>I65+J65+GETPIVOTDATA("Sum of CNsmno",SalmonPivot!$M$4,"Date",B65,"Site",1)</f>
        <v>0</v>
      </c>
      <c r="I65" s="24">
        <f>GETPIVOTDATA("Sum of CNsmradio",SalmonPivot!$M$4,"Date",B65,"Site",1)</f>
        <v>0</v>
      </c>
      <c r="J65" s="24">
        <f>GETPIVOTDATA("Sum of CNsmrecap",SalmonPivot!$M$4,"Date",B65,"Site",1)</f>
        <v>0</v>
      </c>
      <c r="K65" s="24">
        <f>L65+GETPIVOTDATA("Sum of SOno",SalmonPivot!$Y$4,"Date",B65,"Site",1)+GETPIVOTDATA("Sum of SOrecap",SalmonPivot!$Y$4,"Date",B65,"Site",1)</f>
        <v>1</v>
      </c>
      <c r="L65" s="24">
        <f>GETPIVOTDATA("Sum of SOrad",SalmonPivot!$Y$4,"Date",B65,"Site",1)</f>
        <v>1</v>
      </c>
      <c r="M65" s="24">
        <f>N65+GETPIVOTDATA("Sum of PKno",SalmonPivot!$AK$4,"Date",B65,"Site",1)+GETPIVOTDATA("Sum of PKrecap",SalmonPivot!$AK$4,"Date",B65,"Site",1)</f>
        <v>86</v>
      </c>
      <c r="N65" s="24">
        <f>GETPIVOTDATA("Sum of PKrad",SalmonPivot!$AK$4,"Date",B65,"Site",1)</f>
        <v>3</v>
      </c>
      <c r="O65" s="24">
        <f>P65+GETPIVOTDATA("Sum of CMno",SalmonPivot!$AW$4,"Date",B65,"Site",1)+GETPIVOTDATA("Sum of CMrecap",SalmonPivot!$AW$4,"Date",B65,"Site",1)</f>
        <v>6</v>
      </c>
      <c r="P65" s="24">
        <f>GETPIVOTDATA("Sum of CMrad",SalmonPivot!$AW$4,"Date",B65,"Site",1)</f>
        <v>4</v>
      </c>
      <c r="Q65" s="25">
        <f>R65+GETPIVOTDATA("Sum of COno",SalmonPivot!$BI$4,"Date",B65,"Site",1)+GETPIVOTDATA("Sum of COrecap",SalmonPivot!$BI$4,"Date",B65,"Site",1)</f>
        <v>1</v>
      </c>
      <c r="R65" s="24">
        <f>GETPIVOTDATA("Sum of COrad",SalmonPivot!$BI$4,"Date",B65,"Site",1)</f>
        <v>0</v>
      </c>
      <c r="S65" s="24">
        <f>GETPIVOTDATA("Sum of TotalOther",OtherPivot!$J$5,"Date",B65,"Site",1)</f>
        <v>1</v>
      </c>
      <c r="T65" s="38"/>
      <c r="U65" s="172">
        <f>IF(GETPIVOTDATA("3 Revs (s)",EffortRPMPivot!$L$4,"Date",$B65,"Site",1)=0,"",GETPIVOTDATA("3 revs (s)",EffortRPMPivot!$L$4,"date",$B65,"Site",1))</f>
        <v>46.333333333333336</v>
      </c>
      <c r="V65" s="173">
        <f t="shared" si="34"/>
        <v>0</v>
      </c>
      <c r="W65" s="173">
        <f t="shared" si="35"/>
        <v>0</v>
      </c>
      <c r="X65" s="173">
        <f t="shared" si="36"/>
        <v>8.3333333333333315E-2</v>
      </c>
      <c r="Y65" s="173">
        <f t="shared" si="37"/>
        <v>7.1666666666666652</v>
      </c>
      <c r="Z65" s="173">
        <f t="shared" si="38"/>
        <v>0.49999999999999994</v>
      </c>
      <c r="AA65" s="174">
        <f t="shared" si="39"/>
        <v>8.3333333333333315E-2</v>
      </c>
      <c r="AB65" s="175">
        <f t="shared" si="40"/>
        <v>1</v>
      </c>
      <c r="AC65" s="175">
        <f t="shared" si="41"/>
        <v>1</v>
      </c>
      <c r="AD65" s="175">
        <f t="shared" si="42"/>
        <v>5</v>
      </c>
      <c r="AE65" s="175">
        <f t="shared" si="43"/>
        <v>258</v>
      </c>
      <c r="AF65" s="175">
        <f t="shared" si="44"/>
        <v>18</v>
      </c>
      <c r="AG65" s="175">
        <f t="shared" si="45"/>
        <v>5</v>
      </c>
      <c r="AH65" s="176">
        <f t="shared" si="46"/>
        <v>287</v>
      </c>
      <c r="AI65" s="175">
        <f>SUM(AB$4:AB65)</f>
        <v>662</v>
      </c>
      <c r="AJ65" s="175">
        <f>SUM(AC$4:AC65)</f>
        <v>199</v>
      </c>
      <c r="AK65" s="175">
        <f>SUM(AD$4:AD65)</f>
        <v>132</v>
      </c>
      <c r="AL65" s="175">
        <f>SUM(AE$4:AE65)</f>
        <v>6169</v>
      </c>
      <c r="AM65" s="175">
        <f>SUM(AF$4:AF65)</f>
        <v>365</v>
      </c>
      <c r="AN65" s="176">
        <f>SUM(AG$4:AG65)</f>
        <v>30</v>
      </c>
      <c r="AO65" s="175">
        <f t="shared" si="47"/>
        <v>0</v>
      </c>
      <c r="AP65" s="175">
        <f t="shared" si="48"/>
        <v>0</v>
      </c>
      <c r="AQ65" s="175">
        <f t="shared" si="49"/>
        <v>5</v>
      </c>
      <c r="AR65" s="175">
        <f t="shared" si="50"/>
        <v>8</v>
      </c>
      <c r="AS65" s="175">
        <f t="shared" si="51"/>
        <v>12</v>
      </c>
      <c r="AT65" s="176">
        <f t="shared" si="52"/>
        <v>4</v>
      </c>
      <c r="AU65" s="175">
        <f>SUM(AO$4:AO65)</f>
        <v>590</v>
      </c>
      <c r="AV65" s="175">
        <f>SUM(AP$4:AP65)</f>
        <v>33</v>
      </c>
      <c r="AW65" s="175">
        <f>SUM(AQ$4:AQ65)</f>
        <v>125</v>
      </c>
      <c r="AX65" s="175">
        <f>SUM(AR$4:AR65)</f>
        <v>141</v>
      </c>
      <c r="AY65" s="175">
        <f>SUM(AS$4:AS65)</f>
        <v>113</v>
      </c>
      <c r="AZ65" s="176">
        <f>SUM(AT$4:AT65)</f>
        <v>27</v>
      </c>
      <c r="BA65" s="177">
        <f t="shared" si="53"/>
        <v>1.488095238095238E-3</v>
      </c>
      <c r="BB65" s="177">
        <f t="shared" si="54"/>
        <v>4.8780487804878049E-3</v>
      </c>
      <c r="BC65" s="177">
        <f t="shared" si="55"/>
        <v>2.3474178403755867E-2</v>
      </c>
      <c r="BD65" s="177">
        <f t="shared" si="56"/>
        <v>3.4528907922912203E-2</v>
      </c>
      <c r="BE65" s="177">
        <f t="shared" si="57"/>
        <v>1.2253233492171545E-2</v>
      </c>
      <c r="BF65" s="273">
        <f t="shared" si="58"/>
        <v>1.4970059880239521E-2</v>
      </c>
      <c r="BG65" s="177">
        <f>SUM(BA$4:BA65)</f>
        <v>0.98511904761904734</v>
      </c>
      <c r="BH65" s="177">
        <f>SUM(BB$4:BB65)</f>
        <v>0.97073170731707348</v>
      </c>
      <c r="BI65" s="177">
        <f>SUM(BC$4:BC65)</f>
        <v>0.61971830985915499</v>
      </c>
      <c r="BJ65" s="177">
        <f>SUM(BD$4:BD65)</f>
        <v>0.82561563169164887</v>
      </c>
      <c r="BK65" s="177">
        <f>SUM(BE$4:BE65)</f>
        <v>0.2484683458134786</v>
      </c>
      <c r="BL65" s="166">
        <f>SUM(BF$4:BF65)</f>
        <v>8.982035928143714E-2</v>
      </c>
      <c r="BM65" s="411">
        <f t="shared" si="28"/>
        <v>94</v>
      </c>
      <c r="BN65" s="409">
        <f t="shared" si="29"/>
        <v>7.8333333333333321</v>
      </c>
    </row>
    <row r="66" spans="2:66" x14ac:dyDescent="0.2">
      <c r="B66" s="60">
        <f t="shared" si="30"/>
        <v>41858</v>
      </c>
      <c r="C66" s="22">
        <f t="shared" si="75"/>
        <v>3.5643564356435644</v>
      </c>
      <c r="D66" s="23">
        <f>GETPIVOTDATA("Active time (min)",EffortRPMPivot!$A$4,"date",B66,"Site",1)/60</f>
        <v>12.000000000000002</v>
      </c>
      <c r="E66" s="24">
        <f>F66+G66+GETPIVOTDATA("Sum of CNlgNo",SalmonPivot!$A$4,"Date",B66,"Site",1)</f>
        <v>2</v>
      </c>
      <c r="F66" s="24">
        <f>GETPIVOTDATA("Sum of CNlgrad",SalmonPivot!$A$4,"date",B66,"Site",1)</f>
        <v>0</v>
      </c>
      <c r="G66" s="24">
        <f>GETPIVOTDATA("Sum of CNlgrecap",SalmonPivot!$A$4,"date",B66,"Site",1)</f>
        <v>0</v>
      </c>
      <c r="H66" s="24">
        <f>I66+J66+GETPIVOTDATA("Sum of CNsmno",SalmonPivot!$M$4,"Date",B66,"Site",1)</f>
        <v>0</v>
      </c>
      <c r="I66" s="24">
        <f>GETPIVOTDATA("Sum of CNsmradio",SalmonPivot!$M$4,"Date",B66,"Site",1)</f>
        <v>0</v>
      </c>
      <c r="J66" s="24">
        <f>GETPIVOTDATA("Sum of CNsmrecap",SalmonPivot!$M$4,"Date",B66,"Site",1)</f>
        <v>0</v>
      </c>
      <c r="K66" s="24">
        <f>L66+GETPIVOTDATA("Sum of SOno",SalmonPivot!$Y$4,"Date",B66,"Site",1)+GETPIVOTDATA("Sum of SOrecap",SalmonPivot!$Y$4,"Date",B66,"Site",1)</f>
        <v>3</v>
      </c>
      <c r="L66" s="24">
        <f>GETPIVOTDATA("Sum of SOrad",SalmonPivot!$Y$4,"Date",B66,"Site",1)</f>
        <v>3</v>
      </c>
      <c r="M66" s="24">
        <f>N66+GETPIVOTDATA("Sum of PKno",SalmonPivot!$AK$4,"Date",B66,"Site",1)+GETPIVOTDATA("Sum of PKrecap",SalmonPivot!$AK$4,"Date",B66,"Site",1)</f>
        <v>163</v>
      </c>
      <c r="N66" s="24">
        <f>GETPIVOTDATA("Sum of PKrad",SalmonPivot!$AK$4,"Date",B66,"Site",1)</f>
        <v>3</v>
      </c>
      <c r="O66" s="24">
        <f>P66+GETPIVOTDATA("Sum of CMno",SalmonPivot!$AW$4,"Date",B66,"Site",1)+GETPIVOTDATA("Sum of CMrecap",SalmonPivot!$AW$4,"Date",B66,"Site",1)</f>
        <v>18</v>
      </c>
      <c r="P66" s="24">
        <f>GETPIVOTDATA("Sum of CMrad",SalmonPivot!$AW$4,"Date",B66,"Site",1)</f>
        <v>2</v>
      </c>
      <c r="Q66" s="25">
        <f>R66+GETPIVOTDATA("Sum of COno",SalmonPivot!$BI$4,"Date",B66,"Site",1)+GETPIVOTDATA("Sum of COrecap",SalmonPivot!$BI$4,"Date",B66,"Site",1)</f>
        <v>5</v>
      </c>
      <c r="R66" s="24">
        <f>GETPIVOTDATA("Sum of COrad",SalmonPivot!$BI$4,"Date",B66,"Site",1)</f>
        <v>5</v>
      </c>
      <c r="S66" s="24">
        <f>GETPIVOTDATA("Sum of TotalOther",OtherPivot!$J$5,"Date",B66,"Site",1)</f>
        <v>0</v>
      </c>
      <c r="T66" s="38"/>
      <c r="U66" s="172">
        <f>IF(GETPIVOTDATA("3 Revs (s)",EffortRPMPivot!$L$4,"Date",$B66,"Site",1)=0,"",GETPIVOTDATA("3 revs (s)",EffortRPMPivot!$L$4,"date",$B66,"Site",1))</f>
        <v>50.5</v>
      </c>
      <c r="V66" s="173">
        <f t="shared" si="34"/>
        <v>0.16666666666666663</v>
      </c>
      <c r="W66" s="173">
        <f t="shared" si="35"/>
        <v>0</v>
      </c>
      <c r="X66" s="173">
        <f t="shared" si="36"/>
        <v>0.24999999999999997</v>
      </c>
      <c r="Y66" s="173">
        <f t="shared" si="37"/>
        <v>13.583333333333332</v>
      </c>
      <c r="Z66" s="173">
        <f t="shared" si="38"/>
        <v>1.4999999999999998</v>
      </c>
      <c r="AA66" s="174">
        <f t="shared" si="39"/>
        <v>0.41666666666666663</v>
      </c>
      <c r="AB66" s="175">
        <f t="shared" si="40"/>
        <v>3</v>
      </c>
      <c r="AC66" s="175">
        <f t="shared" si="41"/>
        <v>0</v>
      </c>
      <c r="AD66" s="175">
        <f t="shared" si="42"/>
        <v>12</v>
      </c>
      <c r="AE66" s="175">
        <f t="shared" si="43"/>
        <v>346</v>
      </c>
      <c r="AF66" s="175">
        <f t="shared" si="44"/>
        <v>57</v>
      </c>
      <c r="AG66" s="175">
        <f t="shared" si="45"/>
        <v>11</v>
      </c>
      <c r="AH66" s="176">
        <f t="shared" si="46"/>
        <v>429</v>
      </c>
      <c r="AI66" s="175">
        <f>SUM(AB$4:AB66)</f>
        <v>665</v>
      </c>
      <c r="AJ66" s="175">
        <f>SUM(AC$4:AC66)</f>
        <v>199</v>
      </c>
      <c r="AK66" s="175">
        <f>SUM(AD$4:AD66)</f>
        <v>144</v>
      </c>
      <c r="AL66" s="175">
        <f>SUM(AE$4:AE66)</f>
        <v>6515</v>
      </c>
      <c r="AM66" s="175">
        <f>SUM(AF$4:AF66)</f>
        <v>422</v>
      </c>
      <c r="AN66" s="176">
        <f>SUM(AG$4:AG66)</f>
        <v>41</v>
      </c>
      <c r="AO66" s="175">
        <f t="shared" si="47"/>
        <v>0</v>
      </c>
      <c r="AP66" s="175">
        <f t="shared" si="48"/>
        <v>0</v>
      </c>
      <c r="AQ66" s="175">
        <f t="shared" si="49"/>
        <v>12</v>
      </c>
      <c r="AR66" s="175">
        <f t="shared" si="50"/>
        <v>8</v>
      </c>
      <c r="AS66" s="175">
        <f t="shared" si="51"/>
        <v>12</v>
      </c>
      <c r="AT66" s="176">
        <f t="shared" si="52"/>
        <v>10</v>
      </c>
      <c r="AU66" s="175">
        <f>SUM(AO$4:AO66)</f>
        <v>590</v>
      </c>
      <c r="AV66" s="175">
        <f>SUM(AP$4:AP66)</f>
        <v>33</v>
      </c>
      <c r="AW66" s="175">
        <f>SUM(AQ$4:AQ66)</f>
        <v>137</v>
      </c>
      <c r="AX66" s="175">
        <f>SUM(AR$4:AR66)</f>
        <v>149</v>
      </c>
      <c r="AY66" s="175">
        <f>SUM(AS$4:AS66)</f>
        <v>125</v>
      </c>
      <c r="AZ66" s="176">
        <f>SUM(AT$4:AT66)</f>
        <v>37</v>
      </c>
      <c r="BA66" s="177">
        <f t="shared" si="53"/>
        <v>4.464285714285714E-3</v>
      </c>
      <c r="BB66" s="177">
        <f t="shared" si="54"/>
        <v>0</v>
      </c>
      <c r="BC66" s="177">
        <f t="shared" si="55"/>
        <v>5.6338028169014086E-2</v>
      </c>
      <c r="BD66" s="177">
        <f t="shared" si="56"/>
        <v>4.6306209850107069E-2</v>
      </c>
      <c r="BE66" s="177">
        <f t="shared" si="57"/>
        <v>3.880190605854323E-2</v>
      </c>
      <c r="BF66" s="273">
        <f t="shared" si="58"/>
        <v>3.2934131736526949E-2</v>
      </c>
      <c r="BG66" s="177">
        <f>SUM(BA$4:BA66)</f>
        <v>0.98958333333333304</v>
      </c>
      <c r="BH66" s="177">
        <f>SUM(BB$4:BB66)</f>
        <v>0.97073170731707348</v>
      </c>
      <c r="BI66" s="177">
        <f>SUM(BC$4:BC66)</f>
        <v>0.67605633802816911</v>
      </c>
      <c r="BJ66" s="177">
        <f>SUM(BD$4:BD66)</f>
        <v>0.87192184154175589</v>
      </c>
      <c r="BK66" s="177">
        <f>SUM(BE$4:BE66)</f>
        <v>0.28727025187202182</v>
      </c>
      <c r="BL66" s="166">
        <f>SUM(BF$4:BF66)</f>
        <v>0.1227544910179641</v>
      </c>
      <c r="BM66" s="411">
        <f t="shared" si="28"/>
        <v>191</v>
      </c>
      <c r="BN66" s="409">
        <f t="shared" si="29"/>
        <v>15.916666666666664</v>
      </c>
    </row>
    <row r="67" spans="2:66" x14ac:dyDescent="0.2">
      <c r="B67" s="60">
        <f t="shared" si="30"/>
        <v>41859</v>
      </c>
      <c r="C67" s="22">
        <f t="shared" ref="C67:C68" si="76">IF(ISERROR(3/(U67/60)),"",3/(U67/60))</f>
        <v>3.3962264150943398</v>
      </c>
      <c r="D67" s="23">
        <f>GETPIVOTDATA("Active time (min)",EffortRPMPivot!$A$4,"date",B67,"Site",1)/60</f>
        <v>11.999999999999998</v>
      </c>
      <c r="E67" s="24">
        <f>F67+G67+GETPIVOTDATA("Sum of CNlgNo",SalmonPivot!$A$4,"Date",B67,"Site",1)</f>
        <v>0</v>
      </c>
      <c r="F67" s="24">
        <f>GETPIVOTDATA("Sum of CNlgrad",SalmonPivot!$A$4,"date",B67,"Site",1)</f>
        <v>0</v>
      </c>
      <c r="G67" s="24">
        <f>GETPIVOTDATA("Sum of CNlgrecap",SalmonPivot!$A$4,"date",B67,"Site",1)</f>
        <v>0</v>
      </c>
      <c r="H67" s="24">
        <f>I67+J67+GETPIVOTDATA("Sum of CNsmno",SalmonPivot!$M$4,"Date",B67,"Site",1)</f>
        <v>1</v>
      </c>
      <c r="I67" s="24">
        <f>GETPIVOTDATA("Sum of CNsmradio",SalmonPivot!$M$4,"Date",B67,"Site",1)</f>
        <v>0</v>
      </c>
      <c r="J67" s="24">
        <f>GETPIVOTDATA("Sum of CNsmrecap",SalmonPivot!$M$4,"Date",B67,"Site",1)</f>
        <v>0</v>
      </c>
      <c r="K67" s="24">
        <f>L67+GETPIVOTDATA("Sum of SOno",SalmonPivot!$Y$4,"Date",B67,"Site",1)+GETPIVOTDATA("Sum of SOrecap",SalmonPivot!$Y$4,"Date",B67,"Site",1)</f>
        <v>4</v>
      </c>
      <c r="L67" s="24">
        <f>GETPIVOTDATA("Sum of SOrad",SalmonPivot!$Y$4,"Date",B67,"Site",1)</f>
        <v>4</v>
      </c>
      <c r="M67" s="24">
        <f>N67+GETPIVOTDATA("Sum of PKno",SalmonPivot!$AK$4,"Date",B67,"Site",1)+GETPIVOTDATA("Sum of PKrecap",SalmonPivot!$AK$4,"Date",B67,"Site",1)</f>
        <v>78</v>
      </c>
      <c r="N67" s="24">
        <f>GETPIVOTDATA("Sum of PKrad",SalmonPivot!$AK$4,"Date",B67,"Site",1)</f>
        <v>4</v>
      </c>
      <c r="O67" s="24">
        <f>P67+GETPIVOTDATA("Sum of CMno",SalmonPivot!$AW$4,"Date",B67,"Site",1)+GETPIVOTDATA("Sum of CMrecap",SalmonPivot!$AW$4,"Date",B67,"Site",1)</f>
        <v>9</v>
      </c>
      <c r="P67" s="24">
        <f>GETPIVOTDATA("Sum of CMrad",SalmonPivot!$AW$4,"Date",B67,"Site",1)</f>
        <v>1</v>
      </c>
      <c r="Q67" s="25">
        <f>R67+GETPIVOTDATA("Sum of COno",SalmonPivot!$BI$4,"Date",B67,"Site",1)+GETPIVOTDATA("Sum of COrecap",SalmonPivot!$BI$4,"Date",B67,"Site",1)</f>
        <v>2</v>
      </c>
      <c r="R67" s="24">
        <f>GETPIVOTDATA("Sum of COrad",SalmonPivot!$BI$4,"Date",B67,"Site",1)</f>
        <v>1</v>
      </c>
      <c r="S67" s="24">
        <f>GETPIVOTDATA("Sum of TotalOther",OtherPivot!$J$5,"Date",B67,"Site",1)</f>
        <v>0</v>
      </c>
      <c r="T67" s="38"/>
      <c r="U67" s="172">
        <f>IF(GETPIVOTDATA("3 Revs (s)",EffortRPMPivot!$L$4,"Date",$B67,"Site",1)=0,"",GETPIVOTDATA("3 revs (s)",EffortRPMPivot!$L$4,"date",$B67,"Site",1))</f>
        <v>53</v>
      </c>
      <c r="V67" s="173">
        <f t="shared" si="34"/>
        <v>0</v>
      </c>
      <c r="W67" s="173">
        <f t="shared" si="35"/>
        <v>8.3333333333333343E-2</v>
      </c>
      <c r="X67" s="173">
        <f t="shared" si="36"/>
        <v>0.33333333333333337</v>
      </c>
      <c r="Y67" s="173">
        <f t="shared" si="37"/>
        <v>6.5000000000000009</v>
      </c>
      <c r="Z67" s="173">
        <f t="shared" si="38"/>
        <v>0.75000000000000011</v>
      </c>
      <c r="AA67" s="174">
        <f t="shared" si="39"/>
        <v>0.16666666666666669</v>
      </c>
      <c r="AB67" s="175">
        <f t="shared" si="40"/>
        <v>1</v>
      </c>
      <c r="AC67" s="175">
        <f t="shared" si="41"/>
        <v>1</v>
      </c>
      <c r="AD67" s="175">
        <f t="shared" si="42"/>
        <v>5</v>
      </c>
      <c r="AE67" s="175">
        <f t="shared" si="43"/>
        <v>237</v>
      </c>
      <c r="AF67" s="175">
        <f t="shared" si="44"/>
        <v>41</v>
      </c>
      <c r="AG67" s="175">
        <f t="shared" si="45"/>
        <v>4</v>
      </c>
      <c r="AH67" s="176">
        <f t="shared" si="46"/>
        <v>288</v>
      </c>
      <c r="AI67" s="175">
        <f>SUM(AB$4:AB67)</f>
        <v>666</v>
      </c>
      <c r="AJ67" s="175">
        <f>SUM(AC$4:AC67)</f>
        <v>200</v>
      </c>
      <c r="AK67" s="175">
        <f>SUM(AD$4:AD67)</f>
        <v>149</v>
      </c>
      <c r="AL67" s="175">
        <f>SUM(AE$4:AE67)</f>
        <v>6752</v>
      </c>
      <c r="AM67" s="175">
        <f>SUM(AF$4:AF67)</f>
        <v>463</v>
      </c>
      <c r="AN67" s="176">
        <f>SUM(AG$4:AG67)</f>
        <v>45</v>
      </c>
      <c r="AO67" s="175">
        <f t="shared" si="47"/>
        <v>0</v>
      </c>
      <c r="AP67" s="175">
        <f t="shared" si="48"/>
        <v>0</v>
      </c>
      <c r="AQ67" s="175">
        <f t="shared" si="49"/>
        <v>5</v>
      </c>
      <c r="AR67" s="175">
        <f t="shared" si="50"/>
        <v>9</v>
      </c>
      <c r="AS67" s="175">
        <f t="shared" si="51"/>
        <v>12</v>
      </c>
      <c r="AT67" s="176">
        <f t="shared" si="52"/>
        <v>2</v>
      </c>
      <c r="AU67" s="175">
        <f>SUM(AO$4:AO67)</f>
        <v>590</v>
      </c>
      <c r="AV67" s="175">
        <f>SUM(AP$4:AP67)</f>
        <v>33</v>
      </c>
      <c r="AW67" s="175">
        <f>SUM(AQ$4:AQ67)</f>
        <v>142</v>
      </c>
      <c r="AX67" s="175">
        <f>SUM(AR$4:AR67)</f>
        <v>158</v>
      </c>
      <c r="AY67" s="175">
        <f>SUM(AS$4:AS67)</f>
        <v>137</v>
      </c>
      <c r="AZ67" s="176">
        <f>SUM(AT$4:AT67)</f>
        <v>39</v>
      </c>
      <c r="BA67" s="177">
        <f t="shared" si="53"/>
        <v>1.488095238095238E-3</v>
      </c>
      <c r="BB67" s="177">
        <f t="shared" si="54"/>
        <v>4.8780487804878049E-3</v>
      </c>
      <c r="BC67" s="177">
        <f t="shared" si="55"/>
        <v>2.3474178403755867E-2</v>
      </c>
      <c r="BD67" s="177">
        <f t="shared" si="56"/>
        <v>3.1718415417558883E-2</v>
      </c>
      <c r="BE67" s="177">
        <f t="shared" si="57"/>
        <v>2.7910142954390742E-2</v>
      </c>
      <c r="BF67" s="273">
        <f t="shared" si="58"/>
        <v>1.1976047904191617E-2</v>
      </c>
      <c r="BG67" s="177">
        <f>SUM(BA$4:BA67)</f>
        <v>0.99107142857142827</v>
      </c>
      <c r="BH67" s="177">
        <f>SUM(BB$4:BB67)</f>
        <v>0.97560975609756129</v>
      </c>
      <c r="BI67" s="177">
        <f>SUM(BC$4:BC67)</f>
        <v>0.69953051643192499</v>
      </c>
      <c r="BJ67" s="177">
        <f>SUM(BD$4:BD67)</f>
        <v>0.90364025695931482</v>
      </c>
      <c r="BK67" s="177">
        <f>SUM(BE$4:BE67)</f>
        <v>0.31518039482641258</v>
      </c>
      <c r="BL67" s="166">
        <f>SUM(BF$4:BF67)</f>
        <v>0.13473053892215572</v>
      </c>
      <c r="BM67" s="411">
        <f t="shared" si="28"/>
        <v>93</v>
      </c>
      <c r="BN67" s="409">
        <f t="shared" si="29"/>
        <v>7.7500000000000009</v>
      </c>
    </row>
    <row r="68" spans="2:66" x14ac:dyDescent="0.2">
      <c r="B68" s="60">
        <f t="shared" si="30"/>
        <v>41860</v>
      </c>
      <c r="C68" s="22">
        <f t="shared" si="76"/>
        <v>3.1858407079646018</v>
      </c>
      <c r="D68" s="23">
        <f>GETPIVOTDATA("Active time (min)",EffortRPMPivot!$A$4,"date",B68,"Site",1)/60</f>
        <v>12.183333333333334</v>
      </c>
      <c r="E68" s="24">
        <f>F68+G68+GETPIVOTDATA("Sum of CNlgNo",SalmonPivot!$A$4,"Date",B68,"Site",1)</f>
        <v>0</v>
      </c>
      <c r="F68" s="24">
        <f>GETPIVOTDATA("Sum of CNlgrad",SalmonPivot!$A$4,"date",B68,"Site",1)</f>
        <v>0</v>
      </c>
      <c r="G68" s="24">
        <f>GETPIVOTDATA("Sum of CNlgrecap",SalmonPivot!$A$4,"date",B68,"Site",1)</f>
        <v>0</v>
      </c>
      <c r="H68" s="24">
        <f>I68+J68+GETPIVOTDATA("Sum of CNsmno",SalmonPivot!$M$4,"Date",B68,"Site",1)</f>
        <v>0</v>
      </c>
      <c r="I68" s="24">
        <f>GETPIVOTDATA("Sum of CNsmradio",SalmonPivot!$M$4,"Date",B68,"Site",1)</f>
        <v>0</v>
      </c>
      <c r="J68" s="24">
        <f>GETPIVOTDATA("Sum of CNsmrecap",SalmonPivot!$M$4,"Date",B68,"Site",1)</f>
        <v>0</v>
      </c>
      <c r="K68" s="24">
        <f>L68+GETPIVOTDATA("Sum of SOno",SalmonPivot!$Y$4,"Date",B68,"Site",1)+GETPIVOTDATA("Sum of SOrecap",SalmonPivot!$Y$4,"Date",B68,"Site",1)</f>
        <v>1</v>
      </c>
      <c r="L68" s="24">
        <f>GETPIVOTDATA("Sum of SOrad",SalmonPivot!$Y$4,"Date",B68,"Site",1)</f>
        <v>0</v>
      </c>
      <c r="M68" s="24">
        <f>N68+GETPIVOTDATA("Sum of PKno",SalmonPivot!$AK$4,"Date",B68,"Site",1)+GETPIVOTDATA("Sum of PKrecap",SalmonPivot!$AK$4,"Date",B68,"Site",1)</f>
        <v>53</v>
      </c>
      <c r="N68" s="24">
        <f>GETPIVOTDATA("Sum of PKrad",SalmonPivot!$AK$4,"Date",B68,"Site",1)</f>
        <v>4</v>
      </c>
      <c r="O68" s="24">
        <f>P68+GETPIVOTDATA("Sum of CMno",SalmonPivot!$AW$4,"Date",B68,"Site",1)+GETPIVOTDATA("Sum of CMrecap",SalmonPivot!$AW$4,"Date",B68,"Site",1)</f>
        <v>12</v>
      </c>
      <c r="P68" s="24">
        <f>GETPIVOTDATA("Sum of CMrad",SalmonPivot!$AW$4,"Date",B68,"Site",1)</f>
        <v>2</v>
      </c>
      <c r="Q68" s="25">
        <f>R68+GETPIVOTDATA("Sum of COno",SalmonPivot!$BI$4,"Date",B68,"Site",1)+GETPIVOTDATA("Sum of COrecap",SalmonPivot!$BI$4,"Date",B68,"Site",1)</f>
        <v>1</v>
      </c>
      <c r="R68" s="24">
        <f>GETPIVOTDATA("Sum of COrad",SalmonPivot!$BI$4,"Date",B68,"Site",1)</f>
        <v>1</v>
      </c>
      <c r="S68" s="24">
        <f>GETPIVOTDATA("Sum of TotalOther",OtherPivot!$J$5,"Date",B68,"Site",1)</f>
        <v>0</v>
      </c>
      <c r="T68" s="38"/>
      <c r="U68" s="172">
        <f>IF(GETPIVOTDATA("3 Revs (s)",EffortRPMPivot!$L$4,"Date",$B68,"Site",1)=0,"",GETPIVOTDATA("3 revs (s)",EffortRPMPivot!$L$4,"date",$B68,"Site",1))</f>
        <v>56.5</v>
      </c>
      <c r="V68" s="173">
        <f t="shared" si="34"/>
        <v>0</v>
      </c>
      <c r="W68" s="173">
        <f t="shared" si="35"/>
        <v>0</v>
      </c>
      <c r="X68" s="173">
        <f t="shared" si="36"/>
        <v>8.2079343365253077E-2</v>
      </c>
      <c r="Y68" s="173">
        <f t="shared" si="37"/>
        <v>4.3502051983584131</v>
      </c>
      <c r="Z68" s="173">
        <f t="shared" si="38"/>
        <v>0.98495212038303692</v>
      </c>
      <c r="AA68" s="174">
        <f t="shared" si="39"/>
        <v>8.2079343365253077E-2</v>
      </c>
      <c r="AB68" s="175">
        <f t="shared" si="40"/>
        <v>1</v>
      </c>
      <c r="AC68" s="175">
        <f t="shared" si="41"/>
        <v>0</v>
      </c>
      <c r="AD68" s="175">
        <f t="shared" si="42"/>
        <v>1</v>
      </c>
      <c r="AE68" s="175">
        <f t="shared" si="43"/>
        <v>160</v>
      </c>
      <c r="AF68" s="175">
        <f t="shared" si="44"/>
        <v>46</v>
      </c>
      <c r="AG68" s="175">
        <f t="shared" si="45"/>
        <v>6</v>
      </c>
      <c r="AH68" s="176">
        <f t="shared" si="46"/>
        <v>214</v>
      </c>
      <c r="AI68" s="175">
        <f>SUM(AB$4:AB68)</f>
        <v>667</v>
      </c>
      <c r="AJ68" s="175">
        <f>SUM(AC$4:AC68)</f>
        <v>200</v>
      </c>
      <c r="AK68" s="175">
        <f>SUM(AD$4:AD68)</f>
        <v>150</v>
      </c>
      <c r="AL68" s="175">
        <f>SUM(AE$4:AE68)</f>
        <v>6912</v>
      </c>
      <c r="AM68" s="175">
        <f>SUM(AF$4:AF68)</f>
        <v>509</v>
      </c>
      <c r="AN68" s="176">
        <f>SUM(AG$4:AG68)</f>
        <v>51</v>
      </c>
      <c r="AO68" s="175">
        <f t="shared" si="47"/>
        <v>0</v>
      </c>
      <c r="AP68" s="175">
        <f t="shared" si="48"/>
        <v>0</v>
      </c>
      <c r="AQ68" s="175">
        <f t="shared" si="49"/>
        <v>0</v>
      </c>
      <c r="AR68" s="175">
        <f t="shared" si="50"/>
        <v>8</v>
      </c>
      <c r="AS68" s="175">
        <f t="shared" si="51"/>
        <v>5</v>
      </c>
      <c r="AT68" s="176">
        <f t="shared" si="52"/>
        <v>4</v>
      </c>
      <c r="AU68" s="175">
        <f>SUM(AO$4:AO68)</f>
        <v>590</v>
      </c>
      <c r="AV68" s="175">
        <f>SUM(AP$4:AP68)</f>
        <v>33</v>
      </c>
      <c r="AW68" s="175">
        <f>SUM(AQ$4:AQ68)</f>
        <v>142</v>
      </c>
      <c r="AX68" s="175">
        <f>SUM(AR$4:AR68)</f>
        <v>166</v>
      </c>
      <c r="AY68" s="175">
        <f>SUM(AS$4:AS68)</f>
        <v>142</v>
      </c>
      <c r="AZ68" s="176">
        <f>SUM(AT$4:AT68)</f>
        <v>43</v>
      </c>
      <c r="BA68" s="177">
        <f t="shared" si="53"/>
        <v>1.488095238095238E-3</v>
      </c>
      <c r="BB68" s="177">
        <f t="shared" si="54"/>
        <v>0</v>
      </c>
      <c r="BC68" s="177">
        <f t="shared" si="55"/>
        <v>4.6948356807511738E-3</v>
      </c>
      <c r="BD68" s="177">
        <f t="shared" si="56"/>
        <v>2.1413276231263382E-2</v>
      </c>
      <c r="BE68" s="177">
        <f t="shared" si="57"/>
        <v>3.1313818924438394E-2</v>
      </c>
      <c r="BF68" s="273">
        <f t="shared" si="58"/>
        <v>1.7964071856287425E-2</v>
      </c>
      <c r="BG68" s="177">
        <f>SUM(BA$4:BA68)</f>
        <v>0.9925595238095235</v>
      </c>
      <c r="BH68" s="177">
        <f>SUM(BB$4:BB68)</f>
        <v>0.97560975609756129</v>
      </c>
      <c r="BI68" s="177">
        <f>SUM(BC$4:BC68)</f>
        <v>0.70422535211267612</v>
      </c>
      <c r="BJ68" s="177">
        <f>SUM(BD$4:BD68)</f>
        <v>0.92505353319057826</v>
      </c>
      <c r="BK68" s="177">
        <f>SUM(BE$4:BE68)</f>
        <v>0.34649421375085099</v>
      </c>
      <c r="BL68" s="166">
        <f>SUM(BF$4:BF68)</f>
        <v>0.15269461077844315</v>
      </c>
      <c r="BM68" s="411">
        <f t="shared" si="28"/>
        <v>67</v>
      </c>
      <c r="BN68" s="409">
        <f t="shared" si="29"/>
        <v>5.4993160054719565</v>
      </c>
    </row>
    <row r="69" spans="2:66" x14ac:dyDescent="0.2">
      <c r="B69" s="60">
        <f t="shared" si="30"/>
        <v>41861</v>
      </c>
      <c r="C69" s="22">
        <f t="shared" ref="C69:C70" si="77">IF(ISERROR(3/(U69/60)),"",3/(U69/60))</f>
        <v>3.243243243243243</v>
      </c>
      <c r="D69" s="23">
        <f>GETPIVOTDATA("Active time (min)",EffortRPMPivot!$A$4,"date",B69,"Site",1)/60</f>
        <v>12.333333333333336</v>
      </c>
      <c r="E69" s="24">
        <f>F69+G69+GETPIVOTDATA("Sum of CNlgNo",SalmonPivot!$A$4,"Date",B69,"Site",1)</f>
        <v>1</v>
      </c>
      <c r="F69" s="24">
        <f>GETPIVOTDATA("Sum of CNlgrad",SalmonPivot!$A$4,"date",B69,"Site",1)</f>
        <v>0</v>
      </c>
      <c r="G69" s="24">
        <f>GETPIVOTDATA("Sum of CNlgrecap",SalmonPivot!$A$4,"date",B69,"Site",1)</f>
        <v>0</v>
      </c>
      <c r="H69" s="24">
        <f>I69+J69+GETPIVOTDATA("Sum of CNsmno",SalmonPivot!$M$4,"Date",B69,"Site",1)</f>
        <v>0</v>
      </c>
      <c r="I69" s="24">
        <f>GETPIVOTDATA("Sum of CNsmradio",SalmonPivot!$M$4,"Date",B69,"Site",1)</f>
        <v>0</v>
      </c>
      <c r="J69" s="24">
        <f>GETPIVOTDATA("Sum of CNsmrecap",SalmonPivot!$M$4,"Date",B69,"Site",1)</f>
        <v>0</v>
      </c>
      <c r="K69" s="24">
        <f>L69+GETPIVOTDATA("Sum of SOno",SalmonPivot!$Y$4,"Date",B69,"Site",1)+GETPIVOTDATA("Sum of SOrecap",SalmonPivot!$Y$4,"Date",B69,"Site",1)</f>
        <v>0</v>
      </c>
      <c r="L69" s="24">
        <f>GETPIVOTDATA("Sum of SOrad",SalmonPivot!$Y$4,"Date",B69,"Site",1)</f>
        <v>0</v>
      </c>
      <c r="M69" s="24">
        <f>N69+GETPIVOTDATA("Sum of PKno",SalmonPivot!$AK$4,"Date",B69,"Site",1)+GETPIVOTDATA("Sum of PKrecap",SalmonPivot!$AK$4,"Date",B69,"Site",1)</f>
        <v>69</v>
      </c>
      <c r="N69" s="24">
        <f>GETPIVOTDATA("Sum of PKrad",SalmonPivot!$AK$4,"Date",B69,"Site",1)</f>
        <v>0</v>
      </c>
      <c r="O69" s="24">
        <f>P69+GETPIVOTDATA("Sum of CMno",SalmonPivot!$AW$4,"Date",B69,"Site",1)+GETPIVOTDATA("Sum of CMrecap",SalmonPivot!$AW$4,"Date",B69,"Site",1)</f>
        <v>37</v>
      </c>
      <c r="P69" s="24">
        <f>GETPIVOTDATA("Sum of CMrad",SalmonPivot!$AW$4,"Date",B69,"Site",1)</f>
        <v>2</v>
      </c>
      <c r="Q69" s="25">
        <f>R69+GETPIVOTDATA("Sum of COno",SalmonPivot!$BI$4,"Date",B69,"Site",1)+GETPIVOTDATA("Sum of COrecap",SalmonPivot!$BI$4,"Date",B69,"Site",1)</f>
        <v>3</v>
      </c>
      <c r="R69" s="24">
        <f>GETPIVOTDATA("Sum of COrad",SalmonPivot!$BI$4,"Date",B69,"Site",1)</f>
        <v>2</v>
      </c>
      <c r="S69" s="24">
        <f>GETPIVOTDATA("Sum of TotalOther",OtherPivot!$J$5,"Date",B69,"Site",1)</f>
        <v>0</v>
      </c>
      <c r="T69" s="38"/>
      <c r="U69" s="172">
        <f>IF(GETPIVOTDATA("3 Revs (s)",EffortRPMPivot!$L$4,"Date",$B69,"Site",1)=0,"",GETPIVOTDATA("3 revs (s)",EffortRPMPivot!$L$4,"date",$B69,"Site",1))</f>
        <v>55.5</v>
      </c>
      <c r="V69" s="173">
        <f t="shared" si="34"/>
        <v>8.1081081081081072E-2</v>
      </c>
      <c r="W69" s="173">
        <f t="shared" si="35"/>
        <v>0</v>
      </c>
      <c r="X69" s="173">
        <f t="shared" si="36"/>
        <v>0</v>
      </c>
      <c r="Y69" s="173">
        <f t="shared" si="37"/>
        <v>5.5945945945945939</v>
      </c>
      <c r="Z69" s="173">
        <f t="shared" si="38"/>
        <v>2.9999999999999996</v>
      </c>
      <c r="AA69" s="174">
        <f t="shared" si="39"/>
        <v>0.2432432432432432</v>
      </c>
      <c r="AB69" s="175">
        <f t="shared" si="40"/>
        <v>1</v>
      </c>
      <c r="AC69" s="175">
        <f t="shared" si="41"/>
        <v>0</v>
      </c>
      <c r="AD69" s="175">
        <f t="shared" si="42"/>
        <v>6</v>
      </c>
      <c r="AE69" s="175">
        <f t="shared" si="43"/>
        <v>157</v>
      </c>
      <c r="AF69" s="175">
        <f t="shared" si="44"/>
        <v>88</v>
      </c>
      <c r="AG69" s="175">
        <f t="shared" si="45"/>
        <v>14</v>
      </c>
      <c r="AH69" s="176">
        <f t="shared" si="46"/>
        <v>266</v>
      </c>
      <c r="AI69" s="175">
        <f>SUM(AB$4:AB69)</f>
        <v>668</v>
      </c>
      <c r="AJ69" s="175">
        <f>SUM(AC$4:AC69)</f>
        <v>200</v>
      </c>
      <c r="AK69" s="175">
        <f>SUM(AD$4:AD69)</f>
        <v>156</v>
      </c>
      <c r="AL69" s="175">
        <f>SUM(AE$4:AE69)</f>
        <v>7069</v>
      </c>
      <c r="AM69" s="175">
        <f>SUM(AF$4:AF69)</f>
        <v>597</v>
      </c>
      <c r="AN69" s="176">
        <f>SUM(AG$4:AG69)</f>
        <v>65</v>
      </c>
      <c r="AO69" s="175">
        <f t="shared" si="47"/>
        <v>0</v>
      </c>
      <c r="AP69" s="175">
        <f t="shared" si="48"/>
        <v>0</v>
      </c>
      <c r="AQ69" s="175">
        <f t="shared" si="49"/>
        <v>6</v>
      </c>
      <c r="AR69" s="175">
        <f t="shared" si="50"/>
        <v>5</v>
      </c>
      <c r="AS69" s="175">
        <f t="shared" si="51"/>
        <v>5</v>
      </c>
      <c r="AT69" s="176">
        <f t="shared" si="52"/>
        <v>13</v>
      </c>
      <c r="AU69" s="175">
        <f>SUM(AO$4:AO69)</f>
        <v>590</v>
      </c>
      <c r="AV69" s="175">
        <f>SUM(AP$4:AP69)</f>
        <v>33</v>
      </c>
      <c r="AW69" s="175">
        <f>SUM(AQ$4:AQ69)</f>
        <v>148</v>
      </c>
      <c r="AX69" s="175">
        <f>SUM(AR$4:AR69)</f>
        <v>171</v>
      </c>
      <c r="AY69" s="175">
        <f>SUM(AS$4:AS69)</f>
        <v>147</v>
      </c>
      <c r="AZ69" s="176">
        <f>SUM(AT$4:AT69)</f>
        <v>56</v>
      </c>
      <c r="BA69" s="177">
        <f t="shared" si="53"/>
        <v>1.488095238095238E-3</v>
      </c>
      <c r="BB69" s="177">
        <f t="shared" si="54"/>
        <v>0</v>
      </c>
      <c r="BC69" s="177">
        <f t="shared" si="55"/>
        <v>2.8169014084507043E-2</v>
      </c>
      <c r="BD69" s="177">
        <f t="shared" si="56"/>
        <v>2.1011777301927194E-2</v>
      </c>
      <c r="BE69" s="177">
        <f t="shared" si="57"/>
        <v>5.9904697072838665E-2</v>
      </c>
      <c r="BF69" s="273">
        <f t="shared" si="58"/>
        <v>4.1916167664670656E-2</v>
      </c>
      <c r="BG69" s="177">
        <f>SUM(BA$4:BA69)</f>
        <v>0.99404761904761874</v>
      </c>
      <c r="BH69" s="177">
        <f>SUM(BB$4:BB69)</f>
        <v>0.97560975609756129</v>
      </c>
      <c r="BI69" s="177">
        <f>SUM(BC$4:BC69)</f>
        <v>0.73239436619718312</v>
      </c>
      <c r="BJ69" s="177">
        <f>SUM(BD$4:BD69)</f>
        <v>0.94606531049250542</v>
      </c>
      <c r="BK69" s="177">
        <f>SUM(BE$4:BE69)</f>
        <v>0.40639891082368967</v>
      </c>
      <c r="BL69" s="166">
        <f>SUM(BF$4:BF69)</f>
        <v>0.19461077844311381</v>
      </c>
      <c r="BM69" s="411">
        <f t="shared" ref="BM69:BM70" si="78">SUM(E69,K69,M69,O69,Q69)</f>
        <v>110</v>
      </c>
      <c r="BN69" s="409">
        <f t="shared" ref="BN69:BN70" si="79">BM69/D69</f>
        <v>8.9189189189189175</v>
      </c>
    </row>
    <row r="70" spans="2:66" x14ac:dyDescent="0.2">
      <c r="B70" s="60">
        <f t="shared" si="30"/>
        <v>41862</v>
      </c>
      <c r="C70" s="22">
        <f t="shared" si="77"/>
        <v>2.9268292682926833</v>
      </c>
      <c r="D70" s="23">
        <f>GETPIVOTDATA("Active time (min)",EffortRPMPivot!$A$4,"date",B70,"Site",1)/60</f>
        <v>12.066666666666663</v>
      </c>
      <c r="E70" s="24">
        <f>F70+G70+GETPIVOTDATA("Sum of CNlgNo",SalmonPivot!$A$4,"Date",B70,"Site",1)</f>
        <v>0</v>
      </c>
      <c r="F70" s="24">
        <f>GETPIVOTDATA("Sum of CNlgrad",SalmonPivot!$A$4,"date",B70,"Site",1)</f>
        <v>0</v>
      </c>
      <c r="G70" s="24">
        <f>GETPIVOTDATA("Sum of CNlgrecap",SalmonPivot!$A$4,"date",B70,"Site",1)</f>
        <v>0</v>
      </c>
      <c r="H70" s="24">
        <f>I70+J70+GETPIVOTDATA("Sum of CNsmno",SalmonPivot!$M$4,"Date",B70,"Site",1)</f>
        <v>0</v>
      </c>
      <c r="I70" s="24">
        <f>GETPIVOTDATA("Sum of CNsmradio",SalmonPivot!$M$4,"Date",B70,"Site",1)</f>
        <v>0</v>
      </c>
      <c r="J70" s="24">
        <f>GETPIVOTDATA("Sum of CNsmrecap",SalmonPivot!$M$4,"Date",B70,"Site",1)</f>
        <v>0</v>
      </c>
      <c r="K70" s="24">
        <f>L70+GETPIVOTDATA("Sum of SOno",SalmonPivot!$Y$4,"Date",B70,"Site",1)+GETPIVOTDATA("Sum of SOrecap",SalmonPivot!$Y$4,"Date",B70,"Site",1)</f>
        <v>3</v>
      </c>
      <c r="L70" s="24">
        <f>GETPIVOTDATA("Sum of SOrad",SalmonPivot!$Y$4,"Date",B70,"Site",1)</f>
        <v>3</v>
      </c>
      <c r="M70" s="24">
        <f>N70+GETPIVOTDATA("Sum of PKno",SalmonPivot!$AK$4,"Date",B70,"Site",1)+GETPIVOTDATA("Sum of PKrecap",SalmonPivot!$AK$4,"Date",B70,"Site",1)</f>
        <v>25</v>
      </c>
      <c r="N70" s="24">
        <f>GETPIVOTDATA("Sum of PKrad",SalmonPivot!$AK$4,"Date",B70,"Site",1)</f>
        <v>1</v>
      </c>
      <c r="O70" s="24">
        <f>P70+GETPIVOTDATA("Sum of CMno",SalmonPivot!$AW$4,"Date",B70,"Site",1)+GETPIVOTDATA("Sum of CMrecap",SalmonPivot!$AW$4,"Date",B70,"Site",1)</f>
        <v>40</v>
      </c>
      <c r="P70" s="24">
        <f>GETPIVOTDATA("Sum of CMrad",SalmonPivot!$AW$4,"Date",B70,"Site",1)</f>
        <v>1</v>
      </c>
      <c r="Q70" s="25">
        <f>R70+GETPIVOTDATA("Sum of COno",SalmonPivot!$BI$4,"Date",B70,"Site",1)+GETPIVOTDATA("Sum of COrecap",SalmonPivot!$BI$4,"Date",B70,"Site",1)</f>
        <v>2</v>
      </c>
      <c r="R70" s="24">
        <f>GETPIVOTDATA("Sum of COrad",SalmonPivot!$BI$4,"Date",B70,"Site",1)</f>
        <v>0</v>
      </c>
      <c r="S70" s="24">
        <f>GETPIVOTDATA("Sum of TotalOther",OtherPivot!$J$5,"Date",B70,"Site",1)</f>
        <v>0</v>
      </c>
      <c r="T70" s="38"/>
      <c r="U70" s="172">
        <f>IF(GETPIVOTDATA("3 Revs (s)",EffortRPMPivot!$L$4,"Date",$B70,"Site",1)=0,"",GETPIVOTDATA("3 revs (s)",EffortRPMPivot!$L$4,"date",$B70,"Site",1))</f>
        <v>61.5</v>
      </c>
      <c r="V70" s="173">
        <f t="shared" si="34"/>
        <v>0</v>
      </c>
      <c r="W70" s="173">
        <f t="shared" si="35"/>
        <v>0</v>
      </c>
      <c r="X70" s="173">
        <f t="shared" si="36"/>
        <v>0.24861878453038683</v>
      </c>
      <c r="Y70" s="173">
        <f t="shared" si="37"/>
        <v>2.0718232044198901</v>
      </c>
      <c r="Z70" s="173">
        <f t="shared" si="38"/>
        <v>3.3149171270718241</v>
      </c>
      <c r="AA70" s="174">
        <f t="shared" si="39"/>
        <v>0.16574585635359121</v>
      </c>
      <c r="AB70" s="175">
        <f t="shared" si="40"/>
        <v>0</v>
      </c>
      <c r="AC70" s="175">
        <f t="shared" si="41"/>
        <v>0</v>
      </c>
      <c r="AD70" s="175">
        <f t="shared" si="42"/>
        <v>9</v>
      </c>
      <c r="AE70" s="175">
        <f t="shared" si="43"/>
        <v>90</v>
      </c>
      <c r="AF70" s="175">
        <f t="shared" si="44"/>
        <v>89</v>
      </c>
      <c r="AG70" s="175">
        <f t="shared" si="45"/>
        <v>13</v>
      </c>
      <c r="AH70" s="176">
        <f t="shared" si="46"/>
        <v>201</v>
      </c>
      <c r="AI70" s="175">
        <f>SUM(AB$4:AB70)</f>
        <v>668</v>
      </c>
      <c r="AJ70" s="175">
        <f>SUM(AC$4:AC70)</f>
        <v>200</v>
      </c>
      <c r="AK70" s="175">
        <f>SUM(AD$4:AD70)</f>
        <v>165</v>
      </c>
      <c r="AL70" s="175">
        <f>SUM(AE$4:AE70)</f>
        <v>7159</v>
      </c>
      <c r="AM70" s="175">
        <f>SUM(AF$4:AF70)</f>
        <v>686</v>
      </c>
      <c r="AN70" s="176">
        <f>SUM(AG$4:AG70)</f>
        <v>78</v>
      </c>
      <c r="AO70" s="175">
        <f t="shared" si="47"/>
        <v>0</v>
      </c>
      <c r="AP70" s="175">
        <f t="shared" si="48"/>
        <v>0</v>
      </c>
      <c r="AQ70" s="175">
        <f t="shared" si="49"/>
        <v>9</v>
      </c>
      <c r="AR70" s="175">
        <f t="shared" si="50"/>
        <v>5</v>
      </c>
      <c r="AS70" s="175">
        <f t="shared" si="51"/>
        <v>5</v>
      </c>
      <c r="AT70" s="176">
        <f t="shared" si="52"/>
        <v>7</v>
      </c>
      <c r="AU70" s="175">
        <f>SUM(AO$4:AO70)</f>
        <v>590</v>
      </c>
      <c r="AV70" s="175">
        <f>SUM(AP$4:AP70)</f>
        <v>33</v>
      </c>
      <c r="AW70" s="175">
        <f>SUM(AQ$4:AQ70)</f>
        <v>157</v>
      </c>
      <c r="AX70" s="175">
        <f>SUM(AR$4:AR70)</f>
        <v>176</v>
      </c>
      <c r="AY70" s="175">
        <f>SUM(AS$4:AS70)</f>
        <v>152</v>
      </c>
      <c r="AZ70" s="176">
        <f>SUM(AT$4:AT70)</f>
        <v>63</v>
      </c>
      <c r="BA70" s="177">
        <f t="shared" si="53"/>
        <v>0</v>
      </c>
      <c r="BB70" s="177">
        <f t="shared" si="54"/>
        <v>0</v>
      </c>
      <c r="BC70" s="177">
        <f t="shared" si="55"/>
        <v>4.2253521126760563E-2</v>
      </c>
      <c r="BD70" s="177">
        <f t="shared" si="56"/>
        <v>1.2044967880085654E-2</v>
      </c>
      <c r="BE70" s="177">
        <f t="shared" si="57"/>
        <v>6.0585432266848198E-2</v>
      </c>
      <c r="BF70" s="273">
        <f t="shared" si="58"/>
        <v>3.8922155688622756E-2</v>
      </c>
      <c r="BG70" s="177">
        <f>SUM(BA$4:BA70)</f>
        <v>0.99404761904761874</v>
      </c>
      <c r="BH70" s="177">
        <f>SUM(BB$4:BB70)</f>
        <v>0.97560975609756129</v>
      </c>
      <c r="BI70" s="177">
        <f>SUM(BC$4:BC70)</f>
        <v>0.77464788732394374</v>
      </c>
      <c r="BJ70" s="177">
        <f>SUM(BD$4:BD70)</f>
        <v>0.95811027837259111</v>
      </c>
      <c r="BK70" s="177">
        <f>SUM(BE$4:BE70)</f>
        <v>0.46698434309053788</v>
      </c>
      <c r="BL70" s="166">
        <f>SUM(BF$4:BF70)</f>
        <v>0.23353293413173656</v>
      </c>
      <c r="BM70" s="411">
        <f t="shared" si="78"/>
        <v>70</v>
      </c>
      <c r="BN70" s="409">
        <f t="shared" si="79"/>
        <v>5.8011049723756924</v>
      </c>
    </row>
    <row r="71" spans="2:66" x14ac:dyDescent="0.2">
      <c r="B71" s="60">
        <f t="shared" si="30"/>
        <v>41863</v>
      </c>
      <c r="C71" s="22">
        <f t="shared" ref="C71:C72" si="80">IF(ISERROR(3/(U71/60)),"",3/(U71/60))</f>
        <v>3.333333333333333</v>
      </c>
      <c r="D71" s="23">
        <f>GETPIVOTDATA("Active time (min)",EffortRPMPivot!$A$4,"date",B71,"Site",1)/60</f>
        <v>12.033333333333333</v>
      </c>
      <c r="E71" s="24">
        <f>F71+G71+GETPIVOTDATA("Sum of CNlgNo",SalmonPivot!$A$4,"Date",B71,"Site",1)</f>
        <v>0</v>
      </c>
      <c r="F71" s="24">
        <f>GETPIVOTDATA("Sum of CNlgrad",SalmonPivot!$A$4,"date",B71,"Site",1)</f>
        <v>0</v>
      </c>
      <c r="G71" s="24">
        <f>GETPIVOTDATA("Sum of CNlgrecap",SalmonPivot!$A$4,"date",B71,"Site",1)</f>
        <v>0</v>
      </c>
      <c r="H71" s="24">
        <f>I71+J71+GETPIVOTDATA("Sum of CNsmno",SalmonPivot!$M$4,"Date",B71,"Site",1)</f>
        <v>0</v>
      </c>
      <c r="I71" s="24">
        <f>GETPIVOTDATA("Sum of CNsmradio",SalmonPivot!$M$4,"Date",B71,"Site",1)</f>
        <v>0</v>
      </c>
      <c r="J71" s="24">
        <f>GETPIVOTDATA("Sum of CNsmrecap",SalmonPivot!$M$4,"Date",B71,"Site",1)</f>
        <v>0</v>
      </c>
      <c r="K71" s="24">
        <f>L71+GETPIVOTDATA("Sum of SOno",SalmonPivot!$Y$4,"Date",B71,"Site",1)+GETPIVOTDATA("Sum of SOrecap",SalmonPivot!$Y$4,"Date",B71,"Site",1)</f>
        <v>1</v>
      </c>
      <c r="L71" s="24">
        <f>GETPIVOTDATA("Sum of SOrad",SalmonPivot!$Y$4,"Date",B71,"Site",1)</f>
        <v>1</v>
      </c>
      <c r="M71" s="24">
        <f>N71+GETPIVOTDATA("Sum of PKno",SalmonPivot!$AK$4,"Date",B71,"Site",1)+GETPIVOTDATA("Sum of PKrecap",SalmonPivot!$AK$4,"Date",B71,"Site",1)</f>
        <v>16</v>
      </c>
      <c r="N71" s="24">
        <f>GETPIVOTDATA("Sum of PKrad",SalmonPivot!$AK$4,"Date",B71,"Site",1)</f>
        <v>3</v>
      </c>
      <c r="O71" s="24">
        <f>P71+GETPIVOTDATA("Sum of CMno",SalmonPivot!$AW$4,"Date",B71,"Site",1)+GETPIVOTDATA("Sum of CMrecap",SalmonPivot!$AW$4,"Date",B71,"Site",1)</f>
        <v>20</v>
      </c>
      <c r="P71" s="24">
        <f>GETPIVOTDATA("Sum of CMrad",SalmonPivot!$AW$4,"Date",B71,"Site",1)</f>
        <v>1</v>
      </c>
      <c r="Q71" s="25">
        <f>R71+GETPIVOTDATA("Sum of COno",SalmonPivot!$BI$4,"Date",B71,"Site",1)+GETPIVOTDATA("Sum of COrecap",SalmonPivot!$BI$4,"Date",B71,"Site",1)</f>
        <v>2</v>
      </c>
      <c r="R71" s="24">
        <f>GETPIVOTDATA("Sum of COrad",SalmonPivot!$BI$4,"Date",B71,"Site",1)</f>
        <v>2</v>
      </c>
      <c r="S71" s="24">
        <f>GETPIVOTDATA("Sum of TotalOther",OtherPivot!$J$5,"Date",B71,"Site",1)</f>
        <v>0</v>
      </c>
      <c r="T71" s="38"/>
      <c r="U71" s="172">
        <f>IF(GETPIVOTDATA("3 Revs (s)",EffortRPMPivot!$L$4,"Date",$B71,"Site",1)=0,"",GETPIVOTDATA("3 revs (s)",EffortRPMPivot!$L$4,"date",$B71,"Site",1))</f>
        <v>54</v>
      </c>
      <c r="V71" s="173">
        <f t="shared" si="34"/>
        <v>0</v>
      </c>
      <c r="W71" s="173">
        <f t="shared" si="35"/>
        <v>0</v>
      </c>
      <c r="X71" s="173">
        <f t="shared" si="36"/>
        <v>8.3102493074792241E-2</v>
      </c>
      <c r="Y71" s="173">
        <f t="shared" si="37"/>
        <v>1.3296398891966759</v>
      </c>
      <c r="Z71" s="173">
        <f t="shared" si="38"/>
        <v>1.662049861495845</v>
      </c>
      <c r="AA71" s="174">
        <f t="shared" si="39"/>
        <v>0.16620498614958448</v>
      </c>
      <c r="AB71" s="175">
        <f t="shared" si="40"/>
        <v>0</v>
      </c>
      <c r="AC71" s="175">
        <f t="shared" si="41"/>
        <v>0</v>
      </c>
      <c r="AD71" s="175">
        <f t="shared" si="42"/>
        <v>10</v>
      </c>
      <c r="AE71" s="175">
        <f t="shared" si="43"/>
        <v>48</v>
      </c>
      <c r="AF71" s="175">
        <f t="shared" si="44"/>
        <v>64</v>
      </c>
      <c r="AG71" s="175">
        <f t="shared" si="45"/>
        <v>6</v>
      </c>
      <c r="AH71" s="176">
        <f t="shared" si="46"/>
        <v>128</v>
      </c>
      <c r="AI71" s="175">
        <f>SUM(AB$4:AB71)</f>
        <v>668</v>
      </c>
      <c r="AJ71" s="175">
        <f>SUM(AC$4:AC71)</f>
        <v>200</v>
      </c>
      <c r="AK71" s="175">
        <f>SUM(AD$4:AD71)</f>
        <v>175</v>
      </c>
      <c r="AL71" s="175">
        <f>SUM(AE$4:AE71)</f>
        <v>7207</v>
      </c>
      <c r="AM71" s="175">
        <f>SUM(AF$4:AF71)</f>
        <v>750</v>
      </c>
      <c r="AN71" s="176">
        <f>SUM(AG$4:AG71)</f>
        <v>84</v>
      </c>
      <c r="AO71" s="175">
        <f t="shared" si="47"/>
        <v>0</v>
      </c>
      <c r="AP71" s="175">
        <f t="shared" si="48"/>
        <v>0</v>
      </c>
      <c r="AQ71" s="175">
        <f t="shared" si="49"/>
        <v>9</v>
      </c>
      <c r="AR71" s="175">
        <f t="shared" si="50"/>
        <v>5</v>
      </c>
      <c r="AS71" s="175">
        <f t="shared" si="51"/>
        <v>5</v>
      </c>
      <c r="AT71" s="176">
        <f t="shared" si="52"/>
        <v>6</v>
      </c>
      <c r="AU71" s="175">
        <f>SUM(AO$4:AO71)</f>
        <v>590</v>
      </c>
      <c r="AV71" s="175">
        <f>SUM(AP$4:AP71)</f>
        <v>33</v>
      </c>
      <c r="AW71" s="175">
        <f>SUM(AQ$4:AQ71)</f>
        <v>166</v>
      </c>
      <c r="AX71" s="175">
        <f>SUM(AR$4:AR71)</f>
        <v>181</v>
      </c>
      <c r="AY71" s="175">
        <f>SUM(AS$4:AS71)</f>
        <v>157</v>
      </c>
      <c r="AZ71" s="176">
        <f>SUM(AT$4:AT71)</f>
        <v>69</v>
      </c>
      <c r="BA71" s="177">
        <f t="shared" si="53"/>
        <v>0</v>
      </c>
      <c r="BB71" s="177">
        <f t="shared" si="54"/>
        <v>0</v>
      </c>
      <c r="BC71" s="177">
        <f t="shared" si="55"/>
        <v>4.6948356807511735E-2</v>
      </c>
      <c r="BD71" s="177">
        <f t="shared" si="56"/>
        <v>6.4239828693790149E-3</v>
      </c>
      <c r="BE71" s="177">
        <f t="shared" si="57"/>
        <v>4.3567052416609936E-2</v>
      </c>
      <c r="BF71" s="273">
        <f t="shared" si="58"/>
        <v>1.7964071856287425E-2</v>
      </c>
      <c r="BG71" s="177">
        <f>SUM(BA$4:BA71)</f>
        <v>0.99404761904761874</v>
      </c>
      <c r="BH71" s="177">
        <f>SUM(BB$4:BB71)</f>
        <v>0.97560975609756129</v>
      </c>
      <c r="BI71" s="177">
        <f>SUM(BC$4:BC71)</f>
        <v>0.82159624413145549</v>
      </c>
      <c r="BJ71" s="177">
        <f>SUM(BD$4:BD71)</f>
        <v>0.96453426124197017</v>
      </c>
      <c r="BK71" s="177">
        <f>SUM(BE$4:BE71)</f>
        <v>0.51055139550714779</v>
      </c>
      <c r="BL71" s="166">
        <f>SUM(BF$4:BF71)</f>
        <v>0.25149700598802399</v>
      </c>
      <c r="BM71" s="412"/>
      <c r="BN71" s="412"/>
    </row>
    <row r="72" spans="2:66" x14ac:dyDescent="0.2">
      <c r="B72" s="60">
        <f t="shared" si="30"/>
        <v>41864</v>
      </c>
      <c r="C72" s="22">
        <f t="shared" si="80"/>
        <v>3.4177215189873418</v>
      </c>
      <c r="D72" s="23">
        <f>GETPIVOTDATA("Active time (min)",EffortRPMPivot!$A$4,"date",B72,"Site",1)/60</f>
        <v>12.100000000000001</v>
      </c>
      <c r="E72" s="24">
        <f>F72+G72+GETPIVOTDATA("Sum of CNlgNo",SalmonPivot!$A$4,"Date",B72,"Site",1)</f>
        <v>0</v>
      </c>
      <c r="F72" s="24">
        <f>GETPIVOTDATA("Sum of CNlgrad",SalmonPivot!$A$4,"date",B72,"Site",1)</f>
        <v>0</v>
      </c>
      <c r="G72" s="24">
        <f>GETPIVOTDATA("Sum of CNlgrecap",SalmonPivot!$A$4,"date",B72,"Site",1)</f>
        <v>0</v>
      </c>
      <c r="H72" s="24">
        <f>I72+J72+GETPIVOTDATA("Sum of CNsmno",SalmonPivot!$M$4,"Date",B72,"Site",1)</f>
        <v>0</v>
      </c>
      <c r="I72" s="24">
        <f>GETPIVOTDATA("Sum of CNsmradio",SalmonPivot!$M$4,"Date",B72,"Site",1)</f>
        <v>0</v>
      </c>
      <c r="J72" s="24">
        <f>GETPIVOTDATA("Sum of CNsmrecap",SalmonPivot!$M$4,"Date",B72,"Site",1)</f>
        <v>0</v>
      </c>
      <c r="K72" s="24">
        <f>L72+GETPIVOTDATA("Sum of SOno",SalmonPivot!$Y$4,"Date",B72,"Site",1)+GETPIVOTDATA("Sum of SOrecap",SalmonPivot!$Y$4,"Date",B72,"Site",1)</f>
        <v>2</v>
      </c>
      <c r="L72" s="24">
        <f>GETPIVOTDATA("Sum of SOrad",SalmonPivot!$Y$4,"Date",B72,"Site",1)</f>
        <v>2</v>
      </c>
      <c r="M72" s="24">
        <f>N72+GETPIVOTDATA("Sum of PKno",SalmonPivot!$AK$4,"Date",B72,"Site",1)+GETPIVOTDATA("Sum of PKrecap",SalmonPivot!$AK$4,"Date",B72,"Site",1)</f>
        <v>27</v>
      </c>
      <c r="N72" s="24">
        <f>GETPIVOTDATA("Sum of PKrad",SalmonPivot!$AK$4,"Date",B72,"Site",1)</f>
        <v>2</v>
      </c>
      <c r="O72" s="24">
        <f>P72+GETPIVOTDATA("Sum of CMno",SalmonPivot!$AW$4,"Date",B72,"Site",1)+GETPIVOTDATA("Sum of CMrecap",SalmonPivot!$AW$4,"Date",B72,"Site",1)</f>
        <v>30</v>
      </c>
      <c r="P72" s="24">
        <f>GETPIVOTDATA("Sum of CMrad",SalmonPivot!$AW$4,"Date",B72,"Site",1)</f>
        <v>1</v>
      </c>
      <c r="Q72" s="25">
        <f>R72+GETPIVOTDATA("Sum of COno",SalmonPivot!$BI$4,"Date",B72,"Site",1)+GETPIVOTDATA("Sum of COrecap",SalmonPivot!$BI$4,"Date",B72,"Site",1)</f>
        <v>5</v>
      </c>
      <c r="R72" s="24">
        <f>GETPIVOTDATA("Sum of COrad",SalmonPivot!$BI$4,"Date",B72,"Site",1)</f>
        <v>5</v>
      </c>
      <c r="S72" s="24">
        <f>GETPIVOTDATA("Sum of TotalOther",OtherPivot!$J$5,"Date",B72,"Site",1)</f>
        <v>0</v>
      </c>
      <c r="T72" s="38"/>
      <c r="U72" s="172">
        <f>IF(GETPIVOTDATA("3 Revs (s)",EffortRPMPivot!$L$4,"Date",$B72,"Site",1)=0,"",GETPIVOTDATA("3 revs (s)",EffortRPMPivot!$L$4,"date",$B72,"Site",1))</f>
        <v>52.666666666666664</v>
      </c>
      <c r="V72" s="173">
        <f t="shared" si="34"/>
        <v>0</v>
      </c>
      <c r="W72" s="173">
        <f t="shared" si="35"/>
        <v>0</v>
      </c>
      <c r="X72" s="173">
        <f t="shared" si="36"/>
        <v>0.16528925619834708</v>
      </c>
      <c r="Y72" s="173">
        <f t="shared" si="37"/>
        <v>2.2314049586776856</v>
      </c>
      <c r="Z72" s="173">
        <f t="shared" si="38"/>
        <v>2.4793388429752063</v>
      </c>
      <c r="AA72" s="174">
        <f t="shared" si="39"/>
        <v>0.41322314049586772</v>
      </c>
      <c r="AB72" s="175">
        <f t="shared" si="40"/>
        <v>1</v>
      </c>
      <c r="AC72" s="175">
        <f t="shared" si="41"/>
        <v>0</v>
      </c>
      <c r="AD72" s="175">
        <f t="shared" si="42"/>
        <v>4</v>
      </c>
      <c r="AE72" s="175">
        <f t="shared" si="43"/>
        <v>59</v>
      </c>
      <c r="AF72" s="175">
        <f t="shared" si="44"/>
        <v>64</v>
      </c>
      <c r="AG72" s="175">
        <f t="shared" si="45"/>
        <v>9</v>
      </c>
      <c r="AH72" s="176">
        <f t="shared" si="46"/>
        <v>137</v>
      </c>
      <c r="AI72" s="175">
        <f>SUM(AB$4:AB72)</f>
        <v>669</v>
      </c>
      <c r="AJ72" s="175">
        <f>SUM(AC$4:AC72)</f>
        <v>200</v>
      </c>
      <c r="AK72" s="175">
        <f>SUM(AD$4:AD72)</f>
        <v>179</v>
      </c>
      <c r="AL72" s="175">
        <f>SUM(AE$4:AE72)</f>
        <v>7266</v>
      </c>
      <c r="AM72" s="175">
        <f>SUM(AF$4:AF72)</f>
        <v>814</v>
      </c>
      <c r="AN72" s="176">
        <f>SUM(AG$4:AG72)</f>
        <v>93</v>
      </c>
      <c r="AO72" s="175">
        <f t="shared" si="47"/>
        <v>0</v>
      </c>
      <c r="AP72" s="175">
        <f t="shared" si="48"/>
        <v>0</v>
      </c>
      <c r="AQ72" s="175">
        <f t="shared" si="49"/>
        <v>2</v>
      </c>
      <c r="AR72" s="175">
        <f t="shared" si="50"/>
        <v>5</v>
      </c>
      <c r="AS72" s="175">
        <f t="shared" si="51"/>
        <v>5</v>
      </c>
      <c r="AT72" s="176">
        <f t="shared" si="52"/>
        <v>8</v>
      </c>
      <c r="AU72" s="175">
        <f>SUM(AO$4:AO72)</f>
        <v>590</v>
      </c>
      <c r="AV72" s="175">
        <f>SUM(AP$4:AP72)</f>
        <v>33</v>
      </c>
      <c r="AW72" s="175">
        <f>SUM(AQ$4:AQ72)</f>
        <v>168</v>
      </c>
      <c r="AX72" s="175">
        <f>SUM(AR$4:AR72)</f>
        <v>186</v>
      </c>
      <c r="AY72" s="175">
        <f>SUM(AS$4:AS72)</f>
        <v>162</v>
      </c>
      <c r="AZ72" s="176">
        <f>SUM(AT$4:AT72)</f>
        <v>77</v>
      </c>
      <c r="BA72" s="177">
        <f t="shared" si="53"/>
        <v>1.488095238095238E-3</v>
      </c>
      <c r="BB72" s="177">
        <f t="shared" si="54"/>
        <v>0</v>
      </c>
      <c r="BC72" s="177">
        <f t="shared" si="55"/>
        <v>1.8779342723004695E-2</v>
      </c>
      <c r="BD72" s="177">
        <f t="shared" si="56"/>
        <v>7.8961456102783732E-3</v>
      </c>
      <c r="BE72" s="177">
        <f t="shared" si="57"/>
        <v>4.3567052416609936E-2</v>
      </c>
      <c r="BF72" s="273">
        <f t="shared" si="58"/>
        <v>2.6946107784431138E-2</v>
      </c>
      <c r="BG72" s="177">
        <f>SUM(BA$4:BA72)</f>
        <v>0.99553571428571397</v>
      </c>
      <c r="BH72" s="177">
        <f>SUM(BB$4:BB72)</f>
        <v>0.97560975609756129</v>
      </c>
      <c r="BI72" s="177">
        <f>SUM(BC$4:BC72)</f>
        <v>0.84037558685446023</v>
      </c>
      <c r="BJ72" s="177">
        <f>SUM(BD$4:BD72)</f>
        <v>0.97243040685224857</v>
      </c>
      <c r="BK72" s="177">
        <f>SUM(BE$4:BE72)</f>
        <v>0.55411844792375775</v>
      </c>
      <c r="BL72" s="166">
        <f>SUM(BF$4:BF72)</f>
        <v>0.27844311377245512</v>
      </c>
      <c r="BM72" s="412"/>
      <c r="BN72" s="412"/>
    </row>
    <row r="73" spans="2:66" x14ac:dyDescent="0.2">
      <c r="B73" s="60">
        <f t="shared" si="30"/>
        <v>41865</v>
      </c>
      <c r="C73" s="22">
        <f t="shared" ref="C73" si="81">IF(ISERROR(3/(U73/60)),"",3/(U73/60))</f>
        <v>3.2727272727272729</v>
      </c>
      <c r="D73" s="23">
        <f>GETPIVOTDATA("Active time (min)",EffortRPMPivot!$A$4,"date",B73,"Site",1)/60</f>
        <v>11.983333333333333</v>
      </c>
      <c r="E73" s="24">
        <f>F73+G73+GETPIVOTDATA("Sum of CNlgNo",SalmonPivot!$A$4,"Date",B73,"Site",1)</f>
        <v>0</v>
      </c>
      <c r="F73" s="24">
        <f>GETPIVOTDATA("Sum of CNlgrad",SalmonPivot!$A$4,"date",B73,"Site",1)</f>
        <v>0</v>
      </c>
      <c r="G73" s="24">
        <f>GETPIVOTDATA("Sum of CNlgrecap",SalmonPivot!$A$4,"date",B73,"Site",1)</f>
        <v>0</v>
      </c>
      <c r="H73" s="24">
        <f>I73+J73+GETPIVOTDATA("Sum of CNsmno",SalmonPivot!$M$4,"Date",B73,"Site",1)</f>
        <v>1</v>
      </c>
      <c r="I73" s="24">
        <f>GETPIVOTDATA("Sum of CNsmradio",SalmonPivot!$M$4,"Date",B73,"Site",1)</f>
        <v>0</v>
      </c>
      <c r="J73" s="24">
        <f>GETPIVOTDATA("Sum of CNsmrecap",SalmonPivot!$M$4,"Date",B73,"Site",1)</f>
        <v>0</v>
      </c>
      <c r="K73" s="24">
        <f>L73+GETPIVOTDATA("Sum of SOno",SalmonPivot!$Y$4,"Date",B73,"Site",1)+GETPIVOTDATA("Sum of SOrecap",SalmonPivot!$Y$4,"Date",B73,"Site",1)</f>
        <v>3</v>
      </c>
      <c r="L73" s="24">
        <f>GETPIVOTDATA("Sum of SOrad",SalmonPivot!$Y$4,"Date",B73,"Site",1)</f>
        <v>2</v>
      </c>
      <c r="M73" s="24">
        <f>N73+GETPIVOTDATA("Sum of PKno",SalmonPivot!$AK$4,"Date",B73,"Site",1)+GETPIVOTDATA("Sum of PKrecap",SalmonPivot!$AK$4,"Date",B73,"Site",1)</f>
        <v>32</v>
      </c>
      <c r="N73" s="24">
        <f>GETPIVOTDATA("Sum of PKrad",SalmonPivot!$AK$4,"Date",B73,"Site",1)</f>
        <v>1</v>
      </c>
      <c r="O73" s="24">
        <f>P73+GETPIVOTDATA("Sum of CMno",SalmonPivot!$AW$4,"Date",B73,"Site",1)+GETPIVOTDATA("Sum of CMrecap",SalmonPivot!$AW$4,"Date",B73,"Site",1)</f>
        <v>24</v>
      </c>
      <c r="P73" s="24">
        <f>GETPIVOTDATA("Sum of CMrad",SalmonPivot!$AW$4,"Date",B73,"Site",1)</f>
        <v>1</v>
      </c>
      <c r="Q73" s="25">
        <f>R73+GETPIVOTDATA("Sum of COno",SalmonPivot!$BI$4,"Date",B73,"Site",1)+GETPIVOTDATA("Sum of COrecap",SalmonPivot!$BI$4,"Date",B73,"Site",1)</f>
        <v>9</v>
      </c>
      <c r="R73" s="24">
        <f>GETPIVOTDATA("Sum of COrad",SalmonPivot!$BI$4,"Date",B73,"Site",1)</f>
        <v>6</v>
      </c>
      <c r="S73" s="24">
        <f>GETPIVOTDATA("Sum of TotalOther",OtherPivot!$J$5,"Date",B73,"Site",1)</f>
        <v>0</v>
      </c>
      <c r="T73" s="38"/>
      <c r="U73" s="172">
        <f>IF(GETPIVOTDATA("3 Revs (s)",EffortRPMPivot!$L$4,"Date",$B73,"Site",1)=0,"",GETPIVOTDATA("3 revs (s)",EffortRPMPivot!$L$4,"date",$B73,"Site",1))</f>
        <v>55</v>
      </c>
      <c r="V73" s="173">
        <f t="shared" si="34"/>
        <v>0</v>
      </c>
      <c r="W73" s="173">
        <f t="shared" si="35"/>
        <v>8.3449235048678724E-2</v>
      </c>
      <c r="X73" s="173">
        <f t="shared" si="36"/>
        <v>0.25034770514603616</v>
      </c>
      <c r="Y73" s="173">
        <f t="shared" si="37"/>
        <v>2.6703755215577192</v>
      </c>
      <c r="Z73" s="173">
        <f t="shared" si="38"/>
        <v>2.0027816411682893</v>
      </c>
      <c r="AA73" s="174">
        <f t="shared" si="39"/>
        <v>0.75104311543810853</v>
      </c>
      <c r="AB73" s="175">
        <f t="shared" si="40"/>
        <v>0</v>
      </c>
      <c r="AC73" s="175">
        <f t="shared" si="41"/>
        <v>1</v>
      </c>
      <c r="AD73" s="175">
        <f t="shared" si="42"/>
        <v>3</v>
      </c>
      <c r="AE73" s="175">
        <f t="shared" si="43"/>
        <v>56</v>
      </c>
      <c r="AF73" s="175">
        <f t="shared" si="44"/>
        <v>44</v>
      </c>
      <c r="AG73" s="175">
        <f t="shared" si="45"/>
        <v>15</v>
      </c>
      <c r="AH73" s="176">
        <f t="shared" si="46"/>
        <v>118</v>
      </c>
      <c r="AI73" s="175">
        <f>SUM(AB$4:AB73)</f>
        <v>669</v>
      </c>
      <c r="AJ73" s="175">
        <f>SUM(AC$4:AC73)</f>
        <v>201</v>
      </c>
      <c r="AK73" s="175">
        <f>SUM(AD$4:AD73)</f>
        <v>182</v>
      </c>
      <c r="AL73" s="175">
        <f>SUM(AE$4:AE73)</f>
        <v>7322</v>
      </c>
      <c r="AM73" s="175">
        <f>SUM(AF$4:AF73)</f>
        <v>858</v>
      </c>
      <c r="AN73" s="176">
        <f>SUM(AG$4:AG73)</f>
        <v>108</v>
      </c>
      <c r="AO73" s="175">
        <f t="shared" si="47"/>
        <v>0</v>
      </c>
      <c r="AP73" s="175">
        <f t="shared" si="48"/>
        <v>0</v>
      </c>
      <c r="AQ73" s="175">
        <f t="shared" si="49"/>
        <v>2</v>
      </c>
      <c r="AR73" s="175">
        <f t="shared" si="50"/>
        <v>2</v>
      </c>
      <c r="AS73" s="175">
        <f t="shared" si="51"/>
        <v>6</v>
      </c>
      <c r="AT73" s="176">
        <f t="shared" si="52"/>
        <v>11</v>
      </c>
      <c r="AU73" s="175">
        <f>SUM(AO$4:AO73)</f>
        <v>590</v>
      </c>
      <c r="AV73" s="175">
        <f>SUM(AP$4:AP73)</f>
        <v>33</v>
      </c>
      <c r="AW73" s="175">
        <f>SUM(AQ$4:AQ73)</f>
        <v>170</v>
      </c>
      <c r="AX73" s="175">
        <f>SUM(AR$4:AR73)</f>
        <v>188</v>
      </c>
      <c r="AY73" s="175">
        <f>SUM(AS$4:AS73)</f>
        <v>168</v>
      </c>
      <c r="AZ73" s="176">
        <f>SUM(AT$4:AT73)</f>
        <v>88</v>
      </c>
      <c r="BA73" s="177">
        <f t="shared" si="53"/>
        <v>0</v>
      </c>
      <c r="BB73" s="177">
        <f t="shared" si="54"/>
        <v>4.8780487804878049E-3</v>
      </c>
      <c r="BC73" s="177">
        <f t="shared" si="55"/>
        <v>1.4084507042253521E-2</v>
      </c>
      <c r="BD73" s="177">
        <f t="shared" si="56"/>
        <v>7.4946466809421844E-3</v>
      </c>
      <c r="BE73" s="177">
        <f t="shared" si="57"/>
        <v>2.9952348536419333E-2</v>
      </c>
      <c r="BF73" s="273">
        <f t="shared" si="58"/>
        <v>4.4910179640718563E-2</v>
      </c>
      <c r="BG73" s="177">
        <f>SUM(BA$4:BA73)</f>
        <v>0.99553571428571397</v>
      </c>
      <c r="BH73" s="177">
        <f>SUM(BB$4:BB73)</f>
        <v>0.9804878048780491</v>
      </c>
      <c r="BI73" s="177">
        <f>SUM(BC$4:BC73)</f>
        <v>0.85446009389671373</v>
      </c>
      <c r="BJ73" s="177">
        <f>SUM(BD$4:BD73)</f>
        <v>0.9799250535331907</v>
      </c>
      <c r="BK73" s="177">
        <f>SUM(BE$4:BE73)</f>
        <v>0.58407079646017712</v>
      </c>
      <c r="BL73" s="166">
        <f>SUM(BF$4:BF73)</f>
        <v>0.3233532934131737</v>
      </c>
    </row>
    <row r="74" spans="2:66" x14ac:dyDescent="0.2">
      <c r="B74" s="60">
        <f t="shared" si="30"/>
        <v>41866</v>
      </c>
      <c r="C74" s="22">
        <f t="shared" ref="C74:C75" si="82">IF(ISERROR(3/(U74/60)),"",3/(U74/60))</f>
        <v>3.0769230769230771</v>
      </c>
      <c r="D74" s="23">
        <f>GETPIVOTDATA("Active time (min)",EffortRPMPivot!$A$4,"date",B74,"Site",1)/60</f>
        <v>12.016666666666667</v>
      </c>
      <c r="E74" s="24">
        <f>F74+G74+GETPIVOTDATA("Sum of CNlgNo",SalmonPivot!$A$4,"Date",B74,"Site",1)</f>
        <v>0</v>
      </c>
      <c r="F74" s="24">
        <f>GETPIVOTDATA("Sum of CNlgrad",SalmonPivot!$A$4,"date",B74,"Site",1)</f>
        <v>0</v>
      </c>
      <c r="G74" s="24">
        <f>GETPIVOTDATA("Sum of CNlgrecap",SalmonPivot!$A$4,"date",B74,"Site",1)</f>
        <v>0</v>
      </c>
      <c r="H74" s="24">
        <f>I74+J74+GETPIVOTDATA("Sum of CNsmno",SalmonPivot!$M$4,"Date",B74,"Site",1)</f>
        <v>0</v>
      </c>
      <c r="I74" s="24">
        <f>GETPIVOTDATA("Sum of CNsmradio",SalmonPivot!$M$4,"Date",B74,"Site",1)</f>
        <v>0</v>
      </c>
      <c r="J74" s="24">
        <f>GETPIVOTDATA("Sum of CNsmrecap",SalmonPivot!$M$4,"Date",B74,"Site",1)</f>
        <v>0</v>
      </c>
      <c r="K74" s="24">
        <f>L74+GETPIVOTDATA("Sum of SOno",SalmonPivot!$Y$4,"Date",B74,"Site",1)+GETPIVOTDATA("Sum of SOrecap",SalmonPivot!$Y$4,"Date",B74,"Site",1)</f>
        <v>4</v>
      </c>
      <c r="L74" s="24">
        <f>GETPIVOTDATA("Sum of SOrad",SalmonPivot!$Y$4,"Date",B74,"Site",1)</f>
        <v>4</v>
      </c>
      <c r="M74" s="24">
        <f>N74+GETPIVOTDATA("Sum of PKno",SalmonPivot!$AK$4,"Date",B74,"Site",1)+GETPIVOTDATA("Sum of PKrecap",SalmonPivot!$AK$4,"Date",B74,"Site",1)</f>
        <v>18</v>
      </c>
      <c r="N74" s="24">
        <f>GETPIVOTDATA("Sum of PKrad",SalmonPivot!$AK$4,"Date",B74,"Site",1)</f>
        <v>1</v>
      </c>
      <c r="O74" s="24">
        <f>P74+GETPIVOTDATA("Sum of CMno",SalmonPivot!$AW$4,"Date",B74,"Site",1)+GETPIVOTDATA("Sum of CMrecap",SalmonPivot!$AW$4,"Date",B74,"Site",1)</f>
        <v>31</v>
      </c>
      <c r="P74" s="24">
        <f>GETPIVOTDATA("Sum of CMrad",SalmonPivot!$AW$4,"Date",B74,"Site",1)</f>
        <v>3</v>
      </c>
      <c r="Q74" s="25">
        <f>R74+GETPIVOTDATA("Sum of COno",SalmonPivot!$BI$4,"Date",B74,"Site",1)+GETPIVOTDATA("Sum of COrecap",SalmonPivot!$BI$4,"Date",B74,"Site",1)</f>
        <v>2</v>
      </c>
      <c r="R74" s="24">
        <f>GETPIVOTDATA("Sum of COrad",SalmonPivot!$BI$4,"Date",B74,"Site",1)</f>
        <v>2</v>
      </c>
      <c r="S74" s="24">
        <f>GETPIVOTDATA("Sum of TotalOther",OtherPivot!$J$5,"Date",B74,"Site",1)</f>
        <v>1</v>
      </c>
      <c r="T74" s="38"/>
      <c r="U74" s="172">
        <f>IF(GETPIVOTDATA("3 Revs (s)",EffortRPMPivot!$L$4,"Date",$B74,"Site",1)=0,"",GETPIVOTDATA("3 revs (s)",EffortRPMPivot!$L$4,"date",$B74,"Site",1))</f>
        <v>58.5</v>
      </c>
      <c r="V74" s="173">
        <f t="shared" si="34"/>
        <v>0</v>
      </c>
      <c r="W74" s="173">
        <f t="shared" si="35"/>
        <v>0</v>
      </c>
      <c r="X74" s="173">
        <f t="shared" si="36"/>
        <v>0.33287101248266293</v>
      </c>
      <c r="Y74" s="173">
        <f t="shared" si="37"/>
        <v>1.4979195561719834</v>
      </c>
      <c r="Z74" s="173">
        <f t="shared" si="38"/>
        <v>2.5797503467406377</v>
      </c>
      <c r="AA74" s="174">
        <f t="shared" si="39"/>
        <v>0.16643550624133147</v>
      </c>
      <c r="AB74" s="175">
        <f t="shared" si="40"/>
        <v>1</v>
      </c>
      <c r="AC74" s="175">
        <f t="shared" si="41"/>
        <v>0</v>
      </c>
      <c r="AD74" s="175">
        <f t="shared" si="42"/>
        <v>4</v>
      </c>
      <c r="AE74" s="175">
        <f t="shared" si="43"/>
        <v>28</v>
      </c>
      <c r="AF74" s="175">
        <f t="shared" si="44"/>
        <v>50</v>
      </c>
      <c r="AG74" s="175">
        <f t="shared" si="45"/>
        <v>11</v>
      </c>
      <c r="AH74" s="176">
        <f t="shared" si="46"/>
        <v>94</v>
      </c>
      <c r="AI74" s="175">
        <f>SUM(AB$4:AB74)</f>
        <v>670</v>
      </c>
      <c r="AJ74" s="175">
        <f>SUM(AC$4:AC74)</f>
        <v>201</v>
      </c>
      <c r="AK74" s="175">
        <f>SUM(AD$4:AD74)</f>
        <v>186</v>
      </c>
      <c r="AL74" s="175">
        <f>SUM(AE$4:AE74)</f>
        <v>7350</v>
      </c>
      <c r="AM74" s="175">
        <f>SUM(AF$4:AF74)</f>
        <v>908</v>
      </c>
      <c r="AN74" s="176">
        <f>SUM(AG$4:AG74)</f>
        <v>119</v>
      </c>
      <c r="AO74" s="175">
        <f t="shared" si="47"/>
        <v>0</v>
      </c>
      <c r="AP74" s="175">
        <f t="shared" si="48"/>
        <v>0</v>
      </c>
      <c r="AQ74" s="175">
        <f t="shared" si="49"/>
        <v>4</v>
      </c>
      <c r="AR74" s="175">
        <f t="shared" si="50"/>
        <v>2</v>
      </c>
      <c r="AS74" s="175">
        <f t="shared" si="51"/>
        <v>5</v>
      </c>
      <c r="AT74" s="176">
        <f t="shared" si="52"/>
        <v>8</v>
      </c>
      <c r="AU74" s="175">
        <f>SUM(AO$4:AO74)</f>
        <v>590</v>
      </c>
      <c r="AV74" s="175">
        <f>SUM(AP$4:AP74)</f>
        <v>33</v>
      </c>
      <c r="AW74" s="175">
        <f>SUM(AQ$4:AQ74)</f>
        <v>174</v>
      </c>
      <c r="AX74" s="175">
        <f>SUM(AR$4:AR74)</f>
        <v>190</v>
      </c>
      <c r="AY74" s="175">
        <f>SUM(AS$4:AS74)</f>
        <v>173</v>
      </c>
      <c r="AZ74" s="176">
        <f>SUM(AT$4:AT74)</f>
        <v>96</v>
      </c>
      <c r="BA74" s="177">
        <f t="shared" si="53"/>
        <v>1.488095238095238E-3</v>
      </c>
      <c r="BB74" s="177">
        <f t="shared" si="54"/>
        <v>0</v>
      </c>
      <c r="BC74" s="177">
        <f t="shared" si="55"/>
        <v>1.8779342723004695E-2</v>
      </c>
      <c r="BD74" s="177">
        <f t="shared" si="56"/>
        <v>3.7473233404710922E-3</v>
      </c>
      <c r="BE74" s="177">
        <f t="shared" si="57"/>
        <v>3.4036759700476517E-2</v>
      </c>
      <c r="BF74" s="273">
        <f t="shared" si="58"/>
        <v>3.2934131736526949E-2</v>
      </c>
      <c r="BG74" s="177">
        <f>SUM(BA$4:BA74)</f>
        <v>0.9970238095238092</v>
      </c>
      <c r="BH74" s="177">
        <f>SUM(BB$4:BB74)</f>
        <v>0.9804878048780491</v>
      </c>
      <c r="BI74" s="177">
        <f>SUM(BC$4:BC74)</f>
        <v>0.87323943661971848</v>
      </c>
      <c r="BJ74" s="177">
        <f>SUM(BD$4:BD74)</f>
        <v>0.98367237687366182</v>
      </c>
      <c r="BK74" s="177">
        <f>SUM(BE$4:BE74)</f>
        <v>0.6181075561606536</v>
      </c>
      <c r="BL74" s="166">
        <f>SUM(BF$4:BF74)</f>
        <v>0.35628742514970063</v>
      </c>
      <c r="BM74" s="412"/>
      <c r="BN74" s="412"/>
    </row>
    <row r="75" spans="2:66" x14ac:dyDescent="0.2">
      <c r="B75" s="60">
        <f t="shared" si="30"/>
        <v>41867</v>
      </c>
      <c r="C75" s="22">
        <f t="shared" si="82"/>
        <v>3.2727272727272729</v>
      </c>
      <c r="D75" s="23">
        <f>GETPIVOTDATA("Active time (min)",EffortRPMPivot!$A$4,"date",B75,"Site",1)/60</f>
        <v>12.066666666666666</v>
      </c>
      <c r="E75" s="24">
        <f>F75+G75+GETPIVOTDATA("Sum of CNlgNo",SalmonPivot!$A$4,"Date",B75,"Site",1)</f>
        <v>0</v>
      </c>
      <c r="F75" s="24">
        <f>GETPIVOTDATA("Sum of CNlgrad",SalmonPivot!$A$4,"date",B75,"Site",1)</f>
        <v>0</v>
      </c>
      <c r="G75" s="24">
        <f>GETPIVOTDATA("Sum of CNlgrecap",SalmonPivot!$A$4,"date",B75,"Site",1)</f>
        <v>0</v>
      </c>
      <c r="H75" s="24">
        <f>I75+J75+GETPIVOTDATA("Sum of CNsmno",SalmonPivot!$M$4,"Date",B75,"Site",1)</f>
        <v>0</v>
      </c>
      <c r="I75" s="24">
        <f>GETPIVOTDATA("Sum of CNsmradio",SalmonPivot!$M$4,"Date",B75,"Site",1)</f>
        <v>0</v>
      </c>
      <c r="J75" s="24">
        <f>GETPIVOTDATA("Sum of CNsmrecap",SalmonPivot!$M$4,"Date",B75,"Site",1)</f>
        <v>0</v>
      </c>
      <c r="K75" s="24">
        <f>L75+GETPIVOTDATA("Sum of SOno",SalmonPivot!$Y$4,"Date",B75,"Site",1)+GETPIVOTDATA("Sum of SOrecap",SalmonPivot!$Y$4,"Date",B75,"Site",1)</f>
        <v>2</v>
      </c>
      <c r="L75" s="24">
        <f>GETPIVOTDATA("Sum of SOrad",SalmonPivot!$Y$4,"Date",B75,"Site",1)</f>
        <v>2</v>
      </c>
      <c r="M75" s="24">
        <f>N75+GETPIVOTDATA("Sum of PKno",SalmonPivot!$AK$4,"Date",B75,"Site",1)+GETPIVOTDATA("Sum of PKrecap",SalmonPivot!$AK$4,"Date",B75,"Site",1)</f>
        <v>13</v>
      </c>
      <c r="N75" s="24">
        <f>GETPIVOTDATA("Sum of PKrad",SalmonPivot!$AK$4,"Date",B75,"Site",1)</f>
        <v>1</v>
      </c>
      <c r="O75" s="24">
        <f>P75+GETPIVOTDATA("Sum of CMno",SalmonPivot!$AW$4,"Date",B75,"Site",1)+GETPIVOTDATA("Sum of CMrecap",SalmonPivot!$AW$4,"Date",B75,"Site",1)</f>
        <v>16</v>
      </c>
      <c r="P75" s="24">
        <f>GETPIVOTDATA("Sum of CMrad",SalmonPivot!$AW$4,"Date",B75,"Site",1)</f>
        <v>1</v>
      </c>
      <c r="Q75" s="25">
        <f>R75+GETPIVOTDATA("Sum of COno",SalmonPivot!$BI$4,"Date",B75,"Site",1)+GETPIVOTDATA("Sum of COrecap",SalmonPivot!$BI$4,"Date",B75,"Site",1)</f>
        <v>1</v>
      </c>
      <c r="R75" s="24">
        <f>GETPIVOTDATA("Sum of COrad",SalmonPivot!$BI$4,"Date",B75,"Site",1)</f>
        <v>1</v>
      </c>
      <c r="S75" s="24">
        <f>GETPIVOTDATA("Sum of TotalOther",OtherPivot!$J$5,"Date",B75,"Site",1)</f>
        <v>0</v>
      </c>
      <c r="T75" s="38"/>
      <c r="U75" s="172">
        <f>IF(GETPIVOTDATA("3 Revs (s)",EffortRPMPivot!$L$4,"Date",$B75,"Site",1)=0,"",GETPIVOTDATA("3 revs (s)",EffortRPMPivot!$L$4,"date",$B75,"Site",1))</f>
        <v>55</v>
      </c>
      <c r="V75" s="173">
        <f t="shared" si="34"/>
        <v>0</v>
      </c>
      <c r="W75" s="173">
        <f t="shared" si="35"/>
        <v>0</v>
      </c>
      <c r="X75" s="173">
        <f t="shared" si="36"/>
        <v>0.16574585635359115</v>
      </c>
      <c r="Y75" s="173">
        <f t="shared" si="37"/>
        <v>1.0773480662983426</v>
      </c>
      <c r="Z75" s="173">
        <f t="shared" si="38"/>
        <v>1.3259668508287292</v>
      </c>
      <c r="AA75" s="174">
        <f t="shared" si="39"/>
        <v>8.2872928176795577E-2</v>
      </c>
      <c r="AB75" s="175">
        <f t="shared" si="40"/>
        <v>0</v>
      </c>
      <c r="AC75" s="175">
        <f t="shared" si="41"/>
        <v>1</v>
      </c>
      <c r="AD75" s="175">
        <f t="shared" si="42"/>
        <v>4</v>
      </c>
      <c r="AE75" s="175">
        <f t="shared" si="43"/>
        <v>31</v>
      </c>
      <c r="AF75" s="175">
        <f t="shared" si="44"/>
        <v>33</v>
      </c>
      <c r="AG75" s="175">
        <f t="shared" si="45"/>
        <v>7</v>
      </c>
      <c r="AH75" s="176">
        <f t="shared" si="46"/>
        <v>75</v>
      </c>
      <c r="AI75" s="175">
        <f>SUM(AB$4:AB75)</f>
        <v>670</v>
      </c>
      <c r="AJ75" s="175">
        <f>SUM(AC$4:AC75)</f>
        <v>202</v>
      </c>
      <c r="AK75" s="175">
        <f>SUM(AD$4:AD75)</f>
        <v>190</v>
      </c>
      <c r="AL75" s="175">
        <f>SUM(AE$4:AE75)</f>
        <v>7381</v>
      </c>
      <c r="AM75" s="175">
        <f>SUM(AF$4:AF75)</f>
        <v>941</v>
      </c>
      <c r="AN75" s="176">
        <f>SUM(AG$4:AG75)</f>
        <v>126</v>
      </c>
      <c r="AO75" s="175">
        <f t="shared" si="47"/>
        <v>0</v>
      </c>
      <c r="AP75" s="175">
        <f t="shared" si="48"/>
        <v>0</v>
      </c>
      <c r="AQ75" s="175">
        <f t="shared" si="49"/>
        <v>4</v>
      </c>
      <c r="AR75" s="175">
        <f t="shared" si="50"/>
        <v>2</v>
      </c>
      <c r="AS75" s="175">
        <f t="shared" si="51"/>
        <v>3</v>
      </c>
      <c r="AT75" s="176">
        <f t="shared" si="52"/>
        <v>7</v>
      </c>
      <c r="AU75" s="175">
        <f>SUM(AO$4:AO75)</f>
        <v>590</v>
      </c>
      <c r="AV75" s="175">
        <f>SUM(AP$4:AP75)</f>
        <v>33</v>
      </c>
      <c r="AW75" s="175">
        <f>SUM(AQ$4:AQ75)</f>
        <v>178</v>
      </c>
      <c r="AX75" s="175">
        <f>SUM(AR$4:AR75)</f>
        <v>192</v>
      </c>
      <c r="AY75" s="175">
        <f>SUM(AS$4:AS75)</f>
        <v>176</v>
      </c>
      <c r="AZ75" s="176">
        <f>SUM(AT$4:AT75)</f>
        <v>103</v>
      </c>
      <c r="BA75" s="177">
        <f t="shared" si="53"/>
        <v>0</v>
      </c>
      <c r="BB75" s="177">
        <f t="shared" si="54"/>
        <v>4.8780487804878049E-3</v>
      </c>
      <c r="BC75" s="177">
        <f t="shared" si="55"/>
        <v>1.8779342723004695E-2</v>
      </c>
      <c r="BD75" s="177">
        <f t="shared" si="56"/>
        <v>4.1488222698072806E-3</v>
      </c>
      <c r="BE75" s="177">
        <f t="shared" si="57"/>
        <v>2.24642614023145E-2</v>
      </c>
      <c r="BF75" s="273">
        <f t="shared" si="58"/>
        <v>2.0958083832335328E-2</v>
      </c>
      <c r="BG75" s="177">
        <f>SUM(BA$4:BA75)</f>
        <v>0.9970238095238092</v>
      </c>
      <c r="BH75" s="177">
        <f>SUM(BB$4:BB75)</f>
        <v>0.98536585365853691</v>
      </c>
      <c r="BI75" s="177">
        <f>SUM(BC$4:BC75)</f>
        <v>0.89201877934272322</v>
      </c>
      <c r="BJ75" s="177">
        <f>SUM(BD$4:BD75)</f>
        <v>0.98782119914346911</v>
      </c>
      <c r="BK75" s="177">
        <f>SUM(BE$4:BE75)</f>
        <v>0.6405718175629681</v>
      </c>
      <c r="BL75" s="166">
        <f>SUM(BF$4:BF75)</f>
        <v>0.37724550898203596</v>
      </c>
      <c r="BM75" s="412"/>
      <c r="BN75" s="412"/>
    </row>
    <row r="76" spans="2:66" x14ac:dyDescent="0.2">
      <c r="B76" s="60">
        <f t="shared" si="30"/>
        <v>41868</v>
      </c>
      <c r="C76" s="22">
        <f t="shared" ref="C76:C79" si="83">IF(ISERROR(3/(U76/60)),"",3/(U76/60))</f>
        <v>3.7894736842105265</v>
      </c>
      <c r="D76" s="23">
        <f>GETPIVOTDATA("Active time (min)",EffortRPMPivot!$A$4,"date",B76,"Site",1)/60</f>
        <v>12.016666666666667</v>
      </c>
      <c r="E76" s="24">
        <f>F76+G76+GETPIVOTDATA("Sum of CNlgNo",SalmonPivot!$A$4,"Date",B76,"Site",1)</f>
        <v>0</v>
      </c>
      <c r="F76" s="24">
        <f>GETPIVOTDATA("Sum of CNlgrad",SalmonPivot!$A$4,"date",B76,"Site",1)</f>
        <v>0</v>
      </c>
      <c r="G76" s="24">
        <f>GETPIVOTDATA("Sum of CNlgrecap",SalmonPivot!$A$4,"date",B76,"Site",1)</f>
        <v>0</v>
      </c>
      <c r="H76" s="24">
        <f>I76+J76+GETPIVOTDATA("Sum of CNsmno",SalmonPivot!$M$4,"Date",B76,"Site",1)</f>
        <v>0</v>
      </c>
      <c r="I76" s="24">
        <f>GETPIVOTDATA("Sum of CNsmradio",SalmonPivot!$M$4,"Date",B76,"Site",1)</f>
        <v>0</v>
      </c>
      <c r="J76" s="24">
        <f>GETPIVOTDATA("Sum of CNsmrecap",SalmonPivot!$M$4,"Date",B76,"Site",1)</f>
        <v>0</v>
      </c>
      <c r="K76" s="24">
        <f>L76+GETPIVOTDATA("Sum of SOno",SalmonPivot!$Y$4,"Date",B76,"Site",1)+GETPIVOTDATA("Sum of SOrecap",SalmonPivot!$Y$4,"Date",B76,"Site",1)</f>
        <v>1</v>
      </c>
      <c r="L76" s="24">
        <f>GETPIVOTDATA("Sum of SOrad",SalmonPivot!$Y$4,"Date",B76,"Site",1)</f>
        <v>1</v>
      </c>
      <c r="M76" s="24">
        <f>N76+GETPIVOTDATA("Sum of PKno",SalmonPivot!$AK$4,"Date",B76,"Site",1)+GETPIVOTDATA("Sum of PKrecap",SalmonPivot!$AK$4,"Date",B76,"Site",1)</f>
        <v>4</v>
      </c>
      <c r="N76" s="24">
        <f>GETPIVOTDATA("Sum of PKrad",SalmonPivot!$AK$4,"Date",B76,"Site",1)</f>
        <v>1</v>
      </c>
      <c r="O76" s="24">
        <f>P76+GETPIVOTDATA("Sum of CMno",SalmonPivot!$AW$4,"Date",B76,"Site",1)+GETPIVOTDATA("Sum of CMrecap",SalmonPivot!$AW$4,"Date",B76,"Site",1)</f>
        <v>9</v>
      </c>
      <c r="P76" s="24">
        <f>GETPIVOTDATA("Sum of CMrad",SalmonPivot!$AW$4,"Date",B76,"Site",1)</f>
        <v>2</v>
      </c>
      <c r="Q76" s="25">
        <f>R76+GETPIVOTDATA("Sum of COno",SalmonPivot!$BI$4,"Date",B76,"Site",1)+GETPIVOTDATA("Sum of COrecap",SalmonPivot!$BI$4,"Date",B76,"Site",1)</f>
        <v>5</v>
      </c>
      <c r="R76" s="24">
        <f>GETPIVOTDATA("Sum of COrad",SalmonPivot!$BI$4,"Date",B76,"Site",1)</f>
        <v>4</v>
      </c>
      <c r="S76" s="24">
        <f>GETPIVOTDATA("Sum of TotalOther",OtherPivot!$J$5,"Date",B76,"Site",1)</f>
        <v>0</v>
      </c>
      <c r="T76" s="38"/>
      <c r="U76" s="172">
        <f>IF(GETPIVOTDATA("3 Revs (s)",EffortRPMPivot!$L$4,"Date",$B76,"Site",1)=0,"",GETPIVOTDATA("3 revs (s)",EffortRPMPivot!$L$4,"date",$B76,"Site",1))</f>
        <v>47.5</v>
      </c>
      <c r="V76" s="173">
        <f t="shared" ref="V76:V97" si="84">IF(D76=0,"",E76/D76)</f>
        <v>0</v>
      </c>
      <c r="W76" s="173">
        <f t="shared" ref="W76:W97" si="85">IF(D76=0,"",H76/D76)</f>
        <v>0</v>
      </c>
      <c r="X76" s="173">
        <f t="shared" ref="X76:X97" si="86">IF(D76=0,"",K76/$D76)</f>
        <v>8.3217753120665733E-2</v>
      </c>
      <c r="Y76" s="173">
        <f t="shared" ref="Y76:Y97" si="87">IF(D76=0,"",M76/$D76)</f>
        <v>0.33287101248266293</v>
      </c>
      <c r="Z76" s="173">
        <f t="shared" ref="Z76:Z97" si="88">IF(D76=0,"",O76/$D76)</f>
        <v>0.74895977808599168</v>
      </c>
      <c r="AA76" s="174">
        <f t="shared" ref="AA76:AA97" si="89">IF(D76=0,"",Q76/$D76)</f>
        <v>0.41608876560332869</v>
      </c>
      <c r="AB76" s="175">
        <f t="shared" ref="AB76:AB97" si="90">E76+E172+E268</f>
        <v>0</v>
      </c>
      <c r="AC76" s="175">
        <f t="shared" ref="AC76:AC97" si="91">H76+H172+H268</f>
        <v>0</v>
      </c>
      <c r="AD76" s="175">
        <f t="shared" ref="AD76:AD97" si="92">K76+K172+K268</f>
        <v>2</v>
      </c>
      <c r="AE76" s="175">
        <f t="shared" ref="AE76:AE97" si="93">M76+M172+M268</f>
        <v>11</v>
      </c>
      <c r="AF76" s="175">
        <f t="shared" ref="AF76:AF97" si="94">O76+O172+O268</f>
        <v>22</v>
      </c>
      <c r="AG76" s="175">
        <f t="shared" ref="AG76:AG97" si="95">Q76+Q172+Q268</f>
        <v>10</v>
      </c>
      <c r="AH76" s="176">
        <f t="shared" ref="AH76:AH97" si="96">AB76+SUM(AD76:AG76)</f>
        <v>45</v>
      </c>
      <c r="AI76" s="175">
        <f>SUM(AB$4:AB76)</f>
        <v>670</v>
      </c>
      <c r="AJ76" s="175">
        <f>SUM(AC$4:AC76)</f>
        <v>202</v>
      </c>
      <c r="AK76" s="175">
        <f>SUM(AD$4:AD76)</f>
        <v>192</v>
      </c>
      <c r="AL76" s="175">
        <f>SUM(AE$4:AE76)</f>
        <v>7392</v>
      </c>
      <c r="AM76" s="175">
        <f>SUM(AF$4:AF76)</f>
        <v>963</v>
      </c>
      <c r="AN76" s="176">
        <f>SUM(AG$4:AG76)</f>
        <v>136</v>
      </c>
      <c r="AO76" s="175">
        <f t="shared" ref="AO76:AO97" si="97">F76+F172+F268</f>
        <v>0</v>
      </c>
      <c r="AP76" s="175">
        <f t="shared" ref="AP76:AP97" si="98">I76+I172+I268</f>
        <v>0</v>
      </c>
      <c r="AQ76" s="175">
        <f t="shared" ref="AQ76:AQ97" si="99">$L76+$L172+L268</f>
        <v>2</v>
      </c>
      <c r="AR76" s="175">
        <f t="shared" ref="AR76:AR97" si="100">$N76+$N172+N268</f>
        <v>2</v>
      </c>
      <c r="AS76" s="175">
        <f t="shared" ref="AS76:AS97" si="101">$P76+$P172+P268</f>
        <v>4</v>
      </c>
      <c r="AT76" s="176">
        <f t="shared" ref="AT76:AT97" si="102">$R76+$R172+R268</f>
        <v>8</v>
      </c>
      <c r="AU76" s="175">
        <f>SUM(AO$4:AO76)</f>
        <v>590</v>
      </c>
      <c r="AV76" s="175">
        <f>SUM(AP$4:AP76)</f>
        <v>33</v>
      </c>
      <c r="AW76" s="175">
        <f>SUM(AQ$4:AQ76)</f>
        <v>180</v>
      </c>
      <c r="AX76" s="175">
        <f>SUM(AR$4:AR76)</f>
        <v>194</v>
      </c>
      <c r="AY76" s="175">
        <f>SUM(AS$4:AS76)</f>
        <v>180</v>
      </c>
      <c r="AZ76" s="176">
        <f>SUM(AT$4:AT76)</f>
        <v>111</v>
      </c>
      <c r="BA76" s="177">
        <f t="shared" ref="BA76:BA97" si="103">AB76/SUM(AB$4:AB$97)</f>
        <v>0</v>
      </c>
      <c r="BB76" s="177">
        <f t="shared" ref="BB76:BB97" si="104">AC76/SUM(AC$4:AC$97)</f>
        <v>0</v>
      </c>
      <c r="BC76" s="177">
        <f t="shared" ref="BC76:BC97" si="105">AD76/SUM(AD$4:AD$97)</f>
        <v>9.3896713615023476E-3</v>
      </c>
      <c r="BD76" s="177">
        <f t="shared" ref="BD76:BD97" si="106">AE76/SUM(AE$4:AE$97)</f>
        <v>1.4721627408993577E-3</v>
      </c>
      <c r="BE76" s="177">
        <f t="shared" ref="BE76:BE97" si="107">AF76/SUM(AF$4:AF$97)</f>
        <v>1.4976174268209666E-2</v>
      </c>
      <c r="BF76" s="273">
        <f t="shared" ref="BF76:BF97" si="108">AG76/SUM(AG$4:AG$97)</f>
        <v>2.9940119760479042E-2</v>
      </c>
      <c r="BG76" s="177">
        <f>SUM(BA$4:BA76)</f>
        <v>0.9970238095238092</v>
      </c>
      <c r="BH76" s="177">
        <f>SUM(BB$4:BB76)</f>
        <v>0.98536585365853691</v>
      </c>
      <c r="BI76" s="177">
        <f>SUM(BC$4:BC76)</f>
        <v>0.90140845070422559</v>
      </c>
      <c r="BJ76" s="177">
        <f>SUM(BD$4:BD76)</f>
        <v>0.98929336188436845</v>
      </c>
      <c r="BK76" s="177">
        <f>SUM(BE$4:BE76)</f>
        <v>0.65554799183117773</v>
      </c>
      <c r="BL76" s="166">
        <f>SUM(BF$4:BF76)</f>
        <v>0.40718562874251502</v>
      </c>
      <c r="BM76" s="412"/>
      <c r="BN76" s="412"/>
    </row>
    <row r="77" spans="2:66" x14ac:dyDescent="0.2">
      <c r="B77" s="60">
        <f t="shared" si="30"/>
        <v>41869</v>
      </c>
      <c r="C77" s="22">
        <f t="shared" si="83"/>
        <v>3.9560439560439562</v>
      </c>
      <c r="D77" s="23">
        <f>GETPIVOTDATA("Active time (min)",EffortRPMPivot!$A$4,"date",B77,"Site",1)/60</f>
        <v>12.116666666666667</v>
      </c>
      <c r="E77" s="24">
        <f>F77+G77+GETPIVOTDATA("Sum of CNlgNo",SalmonPivot!$A$4,"Date",B77,"Site",1)</f>
        <v>1</v>
      </c>
      <c r="F77" s="24">
        <f>GETPIVOTDATA("Sum of CNlgrad",SalmonPivot!$A$4,"date",B77,"Site",1)</f>
        <v>0</v>
      </c>
      <c r="G77" s="24">
        <f>GETPIVOTDATA("Sum of CNlgrecap",SalmonPivot!$A$4,"date",B77,"Site",1)</f>
        <v>1</v>
      </c>
      <c r="H77" s="24">
        <f>I77+J77+GETPIVOTDATA("Sum of CNsmno",SalmonPivot!$M$4,"Date",B77,"Site",1)</f>
        <v>1</v>
      </c>
      <c r="I77" s="24">
        <f>GETPIVOTDATA("Sum of CNsmradio",SalmonPivot!$M$4,"Date",B77,"Site",1)</f>
        <v>0</v>
      </c>
      <c r="J77" s="24">
        <f>GETPIVOTDATA("Sum of CNsmrecap",SalmonPivot!$M$4,"Date",B77,"Site",1)</f>
        <v>0</v>
      </c>
      <c r="K77" s="24">
        <f>L77+GETPIVOTDATA("Sum of SOno",SalmonPivot!$Y$4,"Date",B77,"Site",1)+GETPIVOTDATA("Sum of SOrecap",SalmonPivot!$Y$4,"Date",B77,"Site",1)</f>
        <v>1</v>
      </c>
      <c r="L77" s="24">
        <f>GETPIVOTDATA("Sum of SOrad",SalmonPivot!$Y$4,"Date",B77,"Site",1)</f>
        <v>1</v>
      </c>
      <c r="M77" s="24">
        <f>N77+GETPIVOTDATA("Sum of PKno",SalmonPivot!$AK$4,"Date",B77,"Site",1)+GETPIVOTDATA("Sum of PKrecap",SalmonPivot!$AK$4,"Date",B77,"Site",1)</f>
        <v>9</v>
      </c>
      <c r="N77" s="24">
        <f>GETPIVOTDATA("Sum of PKrad",SalmonPivot!$AK$4,"Date",B77,"Site",1)</f>
        <v>0</v>
      </c>
      <c r="O77" s="24">
        <f>P77+GETPIVOTDATA("Sum of CMno",SalmonPivot!$AW$4,"Date",B77,"Site",1)+GETPIVOTDATA("Sum of CMrecap",SalmonPivot!$AW$4,"Date",B77,"Site",1)</f>
        <v>11</v>
      </c>
      <c r="P77" s="24">
        <f>GETPIVOTDATA("Sum of CMrad",SalmonPivot!$AW$4,"Date",B77,"Site",1)</f>
        <v>1</v>
      </c>
      <c r="Q77" s="25">
        <f>R77+GETPIVOTDATA("Sum of COno",SalmonPivot!$BI$4,"Date",B77,"Site",1)+GETPIVOTDATA("Sum of COrecap",SalmonPivot!$BI$4,"Date",B77,"Site",1)</f>
        <v>8</v>
      </c>
      <c r="R77" s="24">
        <f>GETPIVOTDATA("Sum of COrad",SalmonPivot!$BI$4,"Date",B77,"Site",1)</f>
        <v>6</v>
      </c>
      <c r="S77" s="24">
        <f>GETPIVOTDATA("Sum of TotalOther",OtherPivot!$J$5,"Date",B77,"Site",1)</f>
        <v>0</v>
      </c>
      <c r="T77" s="38"/>
      <c r="U77" s="172">
        <f>IF(GETPIVOTDATA("3 Revs (s)",EffortRPMPivot!$L$4,"Date",$B77,"Site",1)=0,"",GETPIVOTDATA("3 revs (s)",EffortRPMPivot!$L$4,"date",$B77,"Site",1))</f>
        <v>45.5</v>
      </c>
      <c r="V77" s="173">
        <f t="shared" si="84"/>
        <v>8.2530949105914714E-2</v>
      </c>
      <c r="W77" s="173">
        <f t="shared" si="85"/>
        <v>8.2530949105914714E-2</v>
      </c>
      <c r="X77" s="173">
        <f t="shared" si="86"/>
        <v>8.2530949105914714E-2</v>
      </c>
      <c r="Y77" s="173">
        <f t="shared" si="87"/>
        <v>0.74277854195323245</v>
      </c>
      <c r="Z77" s="173">
        <f t="shared" si="88"/>
        <v>0.90784044016506182</v>
      </c>
      <c r="AA77" s="174">
        <f t="shared" si="89"/>
        <v>0.66024759284731771</v>
      </c>
      <c r="AB77" s="175">
        <f t="shared" si="90"/>
        <v>1</v>
      </c>
      <c r="AC77" s="175">
        <f t="shared" si="91"/>
        <v>1</v>
      </c>
      <c r="AD77" s="175">
        <f t="shared" si="92"/>
        <v>1</v>
      </c>
      <c r="AE77" s="175">
        <f t="shared" si="93"/>
        <v>22</v>
      </c>
      <c r="AF77" s="175">
        <f t="shared" si="94"/>
        <v>23</v>
      </c>
      <c r="AG77" s="175">
        <f t="shared" si="95"/>
        <v>13</v>
      </c>
      <c r="AH77" s="176">
        <f t="shared" si="96"/>
        <v>60</v>
      </c>
      <c r="AI77" s="175">
        <f>SUM(AB$4:AB77)</f>
        <v>671</v>
      </c>
      <c r="AJ77" s="175">
        <f>SUM(AC$4:AC77)</f>
        <v>203</v>
      </c>
      <c r="AK77" s="175">
        <f>SUM(AD$4:AD77)</f>
        <v>193</v>
      </c>
      <c r="AL77" s="175">
        <f>SUM(AE$4:AE77)</f>
        <v>7414</v>
      </c>
      <c r="AM77" s="175">
        <f>SUM(AF$4:AF77)</f>
        <v>986</v>
      </c>
      <c r="AN77" s="176">
        <f>SUM(AG$4:AG77)</f>
        <v>149</v>
      </c>
      <c r="AO77" s="175">
        <f t="shared" si="97"/>
        <v>0</v>
      </c>
      <c r="AP77" s="175">
        <f t="shared" si="98"/>
        <v>0</v>
      </c>
      <c r="AQ77" s="175">
        <f t="shared" si="99"/>
        <v>1</v>
      </c>
      <c r="AR77" s="175">
        <f t="shared" si="100"/>
        <v>5</v>
      </c>
      <c r="AS77" s="175">
        <f t="shared" si="101"/>
        <v>4</v>
      </c>
      <c r="AT77" s="176">
        <f t="shared" si="102"/>
        <v>10</v>
      </c>
      <c r="AU77" s="175">
        <f>SUM(AO$4:AO77)</f>
        <v>590</v>
      </c>
      <c r="AV77" s="175">
        <f>SUM(AP$4:AP77)</f>
        <v>33</v>
      </c>
      <c r="AW77" s="175">
        <f>SUM(AQ$4:AQ77)</f>
        <v>181</v>
      </c>
      <c r="AX77" s="175">
        <f>SUM(AR$4:AR77)</f>
        <v>199</v>
      </c>
      <c r="AY77" s="175">
        <f>SUM(AS$4:AS77)</f>
        <v>184</v>
      </c>
      <c r="AZ77" s="176">
        <f>SUM(AT$4:AT77)</f>
        <v>121</v>
      </c>
      <c r="BA77" s="177">
        <f t="shared" si="103"/>
        <v>1.488095238095238E-3</v>
      </c>
      <c r="BB77" s="177">
        <f t="shared" si="104"/>
        <v>4.8780487804878049E-3</v>
      </c>
      <c r="BC77" s="177">
        <f t="shared" si="105"/>
        <v>4.6948356807511738E-3</v>
      </c>
      <c r="BD77" s="177">
        <f t="shared" si="106"/>
        <v>2.9443254817987153E-3</v>
      </c>
      <c r="BE77" s="177">
        <f t="shared" si="107"/>
        <v>1.5656909462219197E-2</v>
      </c>
      <c r="BF77" s="273">
        <f t="shared" si="108"/>
        <v>3.8922155688622756E-2</v>
      </c>
      <c r="BG77" s="177">
        <f>SUM(BA$4:BA77)</f>
        <v>0.99851190476190443</v>
      </c>
      <c r="BH77" s="177">
        <f>SUM(BB$4:BB77)</f>
        <v>0.99024390243902471</v>
      </c>
      <c r="BI77" s="177">
        <f>SUM(BC$4:BC77)</f>
        <v>0.90610328638497672</v>
      </c>
      <c r="BJ77" s="177">
        <f>SUM(BD$4:BD77)</f>
        <v>0.99223768736616713</v>
      </c>
      <c r="BK77" s="177">
        <f>SUM(BE$4:BE77)</f>
        <v>0.67120490129339694</v>
      </c>
      <c r="BL77" s="166">
        <f>SUM(BF$4:BF77)</f>
        <v>0.44610778443113774</v>
      </c>
      <c r="BM77" s="412"/>
      <c r="BN77" s="412"/>
    </row>
    <row r="78" spans="2:66" x14ac:dyDescent="0.2">
      <c r="B78" s="60">
        <f t="shared" si="30"/>
        <v>41870</v>
      </c>
      <c r="C78" s="22">
        <f t="shared" si="83"/>
        <v>3.7696335078534036</v>
      </c>
      <c r="D78" s="23">
        <f>GETPIVOTDATA("Active time (min)",EffortRPMPivot!$A$4,"date",B78,"Site",1)/60</f>
        <v>11.833333333333334</v>
      </c>
      <c r="E78" s="24">
        <f>F78+G78+GETPIVOTDATA("Sum of CNlgNo",SalmonPivot!$A$4,"Date",B78,"Site",1)</f>
        <v>0</v>
      </c>
      <c r="F78" s="24">
        <f>GETPIVOTDATA("Sum of CNlgrad",SalmonPivot!$A$4,"date",B78,"Site",1)</f>
        <v>0</v>
      </c>
      <c r="G78" s="24">
        <f>GETPIVOTDATA("Sum of CNlgrecap",SalmonPivot!$A$4,"date",B78,"Site",1)</f>
        <v>0</v>
      </c>
      <c r="H78" s="24">
        <f>I78+J78+GETPIVOTDATA("Sum of CNsmno",SalmonPivot!$M$4,"Date",B78,"Site",1)</f>
        <v>1</v>
      </c>
      <c r="I78" s="24">
        <f>GETPIVOTDATA("Sum of CNsmradio",SalmonPivot!$M$4,"Date",B78,"Site",1)</f>
        <v>0</v>
      </c>
      <c r="J78" s="24">
        <f>GETPIVOTDATA("Sum of CNsmrecap",SalmonPivot!$M$4,"Date",B78,"Site",1)</f>
        <v>0</v>
      </c>
      <c r="K78" s="24">
        <f>L78+GETPIVOTDATA("Sum of SOno",SalmonPivot!$Y$4,"Date",B78,"Site",1)+GETPIVOTDATA("Sum of SOrecap",SalmonPivot!$Y$4,"Date",B78,"Site",1)</f>
        <v>1</v>
      </c>
      <c r="L78" s="24">
        <f>GETPIVOTDATA("Sum of SOrad",SalmonPivot!$Y$4,"Date",B78,"Site",1)</f>
        <v>1</v>
      </c>
      <c r="M78" s="24">
        <f>N78+GETPIVOTDATA("Sum of PKno",SalmonPivot!$AK$4,"Date",B78,"Site",1)+GETPIVOTDATA("Sum of PKrecap",SalmonPivot!$AK$4,"Date",B78,"Site",1)</f>
        <v>11</v>
      </c>
      <c r="N78" s="24">
        <f>GETPIVOTDATA("Sum of PKrad",SalmonPivot!$AK$4,"Date",B78,"Site",1)</f>
        <v>0</v>
      </c>
      <c r="O78" s="24">
        <f>P78+GETPIVOTDATA("Sum of CMno",SalmonPivot!$AW$4,"Date",B78,"Site",1)+GETPIVOTDATA("Sum of CMrecap",SalmonPivot!$AW$4,"Date",B78,"Site",1)</f>
        <v>31</v>
      </c>
      <c r="P78" s="24">
        <f>GETPIVOTDATA("Sum of CMrad",SalmonPivot!$AW$4,"Date",B78,"Site",1)</f>
        <v>2</v>
      </c>
      <c r="Q78" s="25">
        <f>R78+GETPIVOTDATA("Sum of COno",SalmonPivot!$BI$4,"Date",B78,"Site",1)+GETPIVOTDATA("Sum of COrecap",SalmonPivot!$BI$4,"Date",B78,"Site",1)</f>
        <v>7</v>
      </c>
      <c r="R78" s="24">
        <f>GETPIVOTDATA("Sum of COrad",SalmonPivot!$BI$4,"Date",B78,"Site",1)</f>
        <v>5</v>
      </c>
      <c r="S78" s="24">
        <f>GETPIVOTDATA("Sum of TotalOther",OtherPivot!$J$5,"Date",B78,"Site",1)</f>
        <v>1</v>
      </c>
      <c r="T78" s="38"/>
      <c r="U78" s="172">
        <f>IF(GETPIVOTDATA("3 Revs (s)",EffortRPMPivot!$L$4,"Date",$B78,"Site",1)=0,"",GETPIVOTDATA("3 revs (s)",EffortRPMPivot!$L$4,"date",$B78,"Site",1))</f>
        <v>47.75</v>
      </c>
      <c r="V78" s="173">
        <f t="shared" si="84"/>
        <v>0</v>
      </c>
      <c r="W78" s="173">
        <f t="shared" si="85"/>
        <v>8.4507042253521125E-2</v>
      </c>
      <c r="X78" s="173">
        <f t="shared" si="86"/>
        <v>8.4507042253521125E-2</v>
      </c>
      <c r="Y78" s="173">
        <f t="shared" si="87"/>
        <v>0.92957746478873238</v>
      </c>
      <c r="Z78" s="173">
        <f t="shared" si="88"/>
        <v>2.619718309859155</v>
      </c>
      <c r="AA78" s="174">
        <f t="shared" si="89"/>
        <v>0.59154929577464788</v>
      </c>
      <c r="AB78" s="175">
        <f t="shared" si="90"/>
        <v>0</v>
      </c>
      <c r="AC78" s="175">
        <f t="shared" si="91"/>
        <v>2</v>
      </c>
      <c r="AD78" s="175">
        <f t="shared" si="92"/>
        <v>2</v>
      </c>
      <c r="AE78" s="175">
        <f t="shared" si="93"/>
        <v>19</v>
      </c>
      <c r="AF78" s="175">
        <f t="shared" si="94"/>
        <v>61</v>
      </c>
      <c r="AG78" s="175">
        <f t="shared" si="95"/>
        <v>15</v>
      </c>
      <c r="AH78" s="176">
        <f t="shared" si="96"/>
        <v>97</v>
      </c>
      <c r="AI78" s="175">
        <f>SUM(AB$4:AB78)</f>
        <v>671</v>
      </c>
      <c r="AJ78" s="175">
        <f>SUM(AC$4:AC78)</f>
        <v>205</v>
      </c>
      <c r="AK78" s="175">
        <f>SUM(AD$4:AD78)</f>
        <v>195</v>
      </c>
      <c r="AL78" s="175">
        <f>SUM(AE$4:AE78)</f>
        <v>7433</v>
      </c>
      <c r="AM78" s="175">
        <f>SUM(AF$4:AF78)</f>
        <v>1047</v>
      </c>
      <c r="AN78" s="176">
        <f>SUM(AG$4:AG78)</f>
        <v>164</v>
      </c>
      <c r="AO78" s="175">
        <f t="shared" si="97"/>
        <v>0</v>
      </c>
      <c r="AP78" s="175">
        <f t="shared" si="98"/>
        <v>0</v>
      </c>
      <c r="AQ78" s="175">
        <f t="shared" si="99"/>
        <v>2</v>
      </c>
      <c r="AR78" s="175">
        <f t="shared" si="100"/>
        <v>0</v>
      </c>
      <c r="AS78" s="175">
        <f t="shared" si="101"/>
        <v>3</v>
      </c>
      <c r="AT78" s="176">
        <f t="shared" si="102"/>
        <v>10</v>
      </c>
      <c r="AU78" s="175">
        <f>SUM(AO$4:AO78)</f>
        <v>590</v>
      </c>
      <c r="AV78" s="175">
        <f>SUM(AP$4:AP78)</f>
        <v>33</v>
      </c>
      <c r="AW78" s="175">
        <f>SUM(AQ$4:AQ78)</f>
        <v>183</v>
      </c>
      <c r="AX78" s="175">
        <f>SUM(AR$4:AR78)</f>
        <v>199</v>
      </c>
      <c r="AY78" s="175">
        <f>SUM(AS$4:AS78)</f>
        <v>187</v>
      </c>
      <c r="AZ78" s="176">
        <f>SUM(AT$4:AT78)</f>
        <v>131</v>
      </c>
      <c r="BA78" s="177">
        <f t="shared" si="103"/>
        <v>0</v>
      </c>
      <c r="BB78" s="177">
        <f t="shared" si="104"/>
        <v>9.7560975609756097E-3</v>
      </c>
      <c r="BC78" s="177">
        <f t="shared" si="105"/>
        <v>9.3896713615023476E-3</v>
      </c>
      <c r="BD78" s="177">
        <f t="shared" si="106"/>
        <v>2.5428265524625269E-3</v>
      </c>
      <c r="BE78" s="177">
        <f t="shared" si="107"/>
        <v>4.1524846834581346E-2</v>
      </c>
      <c r="BF78" s="273">
        <f t="shared" si="108"/>
        <v>4.4910179640718563E-2</v>
      </c>
      <c r="BG78" s="177">
        <f>SUM(BA$4:BA78)</f>
        <v>0.99851190476190443</v>
      </c>
      <c r="BH78" s="177">
        <f>SUM(BB$4:BB78)</f>
        <v>1.0000000000000002</v>
      </c>
      <c r="BI78" s="177">
        <f>SUM(BC$4:BC78)</f>
        <v>0.9154929577464791</v>
      </c>
      <c r="BJ78" s="177">
        <f>SUM(BD$4:BD78)</f>
        <v>0.99478051391862965</v>
      </c>
      <c r="BK78" s="177">
        <f>SUM(BE$4:BE78)</f>
        <v>0.71272974812797829</v>
      </c>
      <c r="BL78" s="166">
        <f>SUM(BF$4:BF78)</f>
        <v>0.49101796407185633</v>
      </c>
      <c r="BM78" s="412"/>
      <c r="BN78" s="412"/>
    </row>
    <row r="79" spans="2:66" x14ac:dyDescent="0.2">
      <c r="B79" s="60">
        <f t="shared" si="30"/>
        <v>41871</v>
      </c>
      <c r="C79" s="22">
        <f t="shared" si="83"/>
        <v>3.4951456310679614</v>
      </c>
      <c r="D79" s="23">
        <f>GETPIVOTDATA("Active time (min)",EffortRPMPivot!$A$4,"date",B79,"Site",1)/60</f>
        <v>12.15</v>
      </c>
      <c r="E79" s="24">
        <f>F79+G79+GETPIVOTDATA("Sum of CNlgNo",SalmonPivot!$A$4,"Date",B79,"Site",1)</f>
        <v>0</v>
      </c>
      <c r="F79" s="24">
        <f>GETPIVOTDATA("Sum of CNlgrad",SalmonPivot!$A$4,"date",B79,"Site",1)</f>
        <v>0</v>
      </c>
      <c r="G79" s="24">
        <f>GETPIVOTDATA("Sum of CNlgrecap",SalmonPivot!$A$4,"date",B79,"Site",1)</f>
        <v>0</v>
      </c>
      <c r="H79" s="24">
        <f>I79+J79+GETPIVOTDATA("Sum of CNsmno",SalmonPivot!$M$4,"Date",B79,"Site",1)</f>
        <v>0</v>
      </c>
      <c r="I79" s="24">
        <f>GETPIVOTDATA("Sum of CNsmradio",SalmonPivot!$M$4,"Date",B79,"Site",1)</f>
        <v>0</v>
      </c>
      <c r="J79" s="24">
        <f>GETPIVOTDATA("Sum of CNsmrecap",SalmonPivot!$M$4,"Date",B79,"Site",1)</f>
        <v>0</v>
      </c>
      <c r="K79" s="24">
        <f>L79+GETPIVOTDATA("Sum of SOno",SalmonPivot!$Y$4,"Date",B79,"Site",1)+GETPIVOTDATA("Sum of SOrecap",SalmonPivot!$Y$4,"Date",B79,"Site",1)</f>
        <v>2</v>
      </c>
      <c r="L79" s="24">
        <f>GETPIVOTDATA("Sum of SOrad",SalmonPivot!$Y$4,"Date",B79,"Site",1)</f>
        <v>2</v>
      </c>
      <c r="M79" s="24">
        <f>N79+GETPIVOTDATA("Sum of PKno",SalmonPivot!$AK$4,"Date",B79,"Site",1)+GETPIVOTDATA("Sum of PKrecap",SalmonPivot!$AK$4,"Date",B79,"Site",1)</f>
        <v>5</v>
      </c>
      <c r="N79" s="24">
        <f>GETPIVOTDATA("Sum of PKrad",SalmonPivot!$AK$4,"Date",B79,"Site",1)</f>
        <v>0</v>
      </c>
      <c r="O79" s="24">
        <f>P79+GETPIVOTDATA("Sum of CMno",SalmonPivot!$AW$4,"Date",B79,"Site",1)+GETPIVOTDATA("Sum of CMrecap",SalmonPivot!$AW$4,"Date",B79,"Site",1)</f>
        <v>28</v>
      </c>
      <c r="P79" s="24">
        <f>GETPIVOTDATA("Sum of CMrad",SalmonPivot!$AW$4,"Date",B79,"Site",1)</f>
        <v>2</v>
      </c>
      <c r="Q79" s="25">
        <f>R79+GETPIVOTDATA("Sum of COno",SalmonPivot!$BI$4,"Date",B79,"Site",1)+GETPIVOTDATA("Sum of COrecap",SalmonPivot!$BI$4,"Date",B79,"Site",1)</f>
        <v>10</v>
      </c>
      <c r="R79" s="24">
        <f>GETPIVOTDATA("Sum of COrad",SalmonPivot!$BI$4,"Date",B79,"Site",1)</f>
        <v>4</v>
      </c>
      <c r="S79" s="24">
        <f>GETPIVOTDATA("Sum of TotalOther",OtherPivot!$J$5,"Date",B79,"Site",1)</f>
        <v>0</v>
      </c>
      <c r="T79" s="38"/>
      <c r="U79" s="172">
        <f>IF(GETPIVOTDATA("3 Revs (s)",EffortRPMPivot!$L$4,"Date",$B79,"Site",1)=0,"",GETPIVOTDATA("3 revs (s)",EffortRPMPivot!$L$4,"date",$B79,"Site",1))</f>
        <v>51.5</v>
      </c>
      <c r="V79" s="173">
        <f t="shared" si="84"/>
        <v>0</v>
      </c>
      <c r="W79" s="173">
        <f t="shared" si="85"/>
        <v>0</v>
      </c>
      <c r="X79" s="173">
        <f t="shared" si="86"/>
        <v>0.16460905349794239</v>
      </c>
      <c r="Y79" s="173">
        <f t="shared" si="87"/>
        <v>0.41152263374485598</v>
      </c>
      <c r="Z79" s="173">
        <f t="shared" si="88"/>
        <v>2.3045267489711931</v>
      </c>
      <c r="AA79" s="174">
        <f t="shared" si="89"/>
        <v>0.82304526748971196</v>
      </c>
      <c r="AB79" s="175">
        <f t="shared" si="90"/>
        <v>0</v>
      </c>
      <c r="AC79" s="175">
        <f t="shared" si="91"/>
        <v>0</v>
      </c>
      <c r="AD79" s="175">
        <f t="shared" si="92"/>
        <v>4</v>
      </c>
      <c r="AE79" s="175">
        <f t="shared" si="93"/>
        <v>10</v>
      </c>
      <c r="AF79" s="175">
        <f t="shared" si="94"/>
        <v>74</v>
      </c>
      <c r="AG79" s="175">
        <f t="shared" si="95"/>
        <v>24</v>
      </c>
      <c r="AH79" s="176">
        <f t="shared" si="96"/>
        <v>112</v>
      </c>
      <c r="AI79" s="175">
        <f>SUM(AB$4:AB79)</f>
        <v>671</v>
      </c>
      <c r="AJ79" s="175">
        <f>SUM(AC$4:AC79)</f>
        <v>205</v>
      </c>
      <c r="AK79" s="175">
        <f>SUM(AD$4:AD79)</f>
        <v>199</v>
      </c>
      <c r="AL79" s="175">
        <f>SUM(AE$4:AE79)</f>
        <v>7443</v>
      </c>
      <c r="AM79" s="175">
        <f>SUM(AF$4:AF79)</f>
        <v>1121</v>
      </c>
      <c r="AN79" s="176">
        <f>SUM(AG$4:AG79)</f>
        <v>188</v>
      </c>
      <c r="AO79" s="175">
        <f t="shared" si="97"/>
        <v>0</v>
      </c>
      <c r="AP79" s="175">
        <f t="shared" si="98"/>
        <v>0</v>
      </c>
      <c r="AQ79" s="175">
        <f t="shared" si="99"/>
        <v>4</v>
      </c>
      <c r="AR79" s="175">
        <f t="shared" si="100"/>
        <v>0</v>
      </c>
      <c r="AS79" s="175">
        <f t="shared" si="101"/>
        <v>3</v>
      </c>
      <c r="AT79" s="176">
        <f t="shared" si="102"/>
        <v>10</v>
      </c>
      <c r="AU79" s="175">
        <f>SUM(AO$4:AO79)</f>
        <v>590</v>
      </c>
      <c r="AV79" s="175">
        <f>SUM(AP$4:AP79)</f>
        <v>33</v>
      </c>
      <c r="AW79" s="175">
        <f>SUM(AQ$4:AQ79)</f>
        <v>187</v>
      </c>
      <c r="AX79" s="175">
        <f>SUM(AR$4:AR79)</f>
        <v>199</v>
      </c>
      <c r="AY79" s="175">
        <f>SUM(AS$4:AS79)</f>
        <v>190</v>
      </c>
      <c r="AZ79" s="176">
        <f>SUM(AT$4:AT79)</f>
        <v>141</v>
      </c>
      <c r="BA79" s="177">
        <f t="shared" si="103"/>
        <v>0</v>
      </c>
      <c r="BB79" s="177">
        <f t="shared" si="104"/>
        <v>0</v>
      </c>
      <c r="BC79" s="177">
        <f t="shared" si="105"/>
        <v>1.8779342723004695E-2</v>
      </c>
      <c r="BD79" s="177">
        <f t="shared" si="106"/>
        <v>1.3383297644539614E-3</v>
      </c>
      <c r="BE79" s="177">
        <f t="shared" si="107"/>
        <v>5.0374404356705239E-2</v>
      </c>
      <c r="BF79" s="273">
        <f t="shared" si="108"/>
        <v>7.1856287425149698E-2</v>
      </c>
      <c r="BG79" s="177">
        <f>SUM(BA$4:BA79)</f>
        <v>0.99851190476190443</v>
      </c>
      <c r="BH79" s="177">
        <f>SUM(BB$4:BB79)</f>
        <v>1.0000000000000002</v>
      </c>
      <c r="BI79" s="177">
        <f>SUM(BC$4:BC79)</f>
        <v>0.93427230046948384</v>
      </c>
      <c r="BJ79" s="177">
        <f>SUM(BD$4:BD79)</f>
        <v>0.99611884368308357</v>
      </c>
      <c r="BK79" s="177">
        <f>SUM(BE$4:BE79)</f>
        <v>0.76310415248468355</v>
      </c>
      <c r="BL79" s="166">
        <f>SUM(BF$4:BF79)</f>
        <v>0.56287425149700598</v>
      </c>
      <c r="BM79" s="412"/>
      <c r="BN79" s="412"/>
    </row>
    <row r="80" spans="2:66" x14ac:dyDescent="0.2">
      <c r="B80" s="60">
        <f t="shared" si="30"/>
        <v>41872</v>
      </c>
      <c r="C80" s="22">
        <f t="shared" ref="C80" si="109">IF(ISERROR(3/(U80/60)),"",3/(U80/60))</f>
        <v>3.2727272727272729</v>
      </c>
      <c r="D80" s="23">
        <f>GETPIVOTDATA("Active time (min)",EffortRPMPivot!$A$4,"date",B80,"Site",1)/60</f>
        <v>11.999999999999998</v>
      </c>
      <c r="E80" s="24">
        <f>F80+G80+GETPIVOTDATA("Sum of CNlgNo",SalmonPivot!$A$4,"Date",B80,"Site",1)</f>
        <v>0</v>
      </c>
      <c r="F80" s="24">
        <f>GETPIVOTDATA("Sum of CNlgrad",SalmonPivot!$A$4,"date",B80,"Site",1)</f>
        <v>0</v>
      </c>
      <c r="G80" s="24">
        <f>GETPIVOTDATA("Sum of CNlgrecap",SalmonPivot!$A$4,"date",B80,"Site",1)</f>
        <v>0</v>
      </c>
      <c r="H80" s="24">
        <f>I80+J80+GETPIVOTDATA("Sum of CNsmno",SalmonPivot!$M$4,"Date",B80,"Site",1)</f>
        <v>0</v>
      </c>
      <c r="I80" s="24">
        <f>GETPIVOTDATA("Sum of CNsmradio",SalmonPivot!$M$4,"Date",B80,"Site",1)</f>
        <v>0</v>
      </c>
      <c r="J80" s="24">
        <f>GETPIVOTDATA("Sum of CNsmrecap",SalmonPivot!$M$4,"Date",B80,"Site",1)</f>
        <v>0</v>
      </c>
      <c r="K80" s="24">
        <f>L80+GETPIVOTDATA("Sum of SOno",SalmonPivot!$Y$4,"Date",B80,"Site",1)+GETPIVOTDATA("Sum of SOrecap",SalmonPivot!$Y$4,"Date",B80,"Site",1)</f>
        <v>0</v>
      </c>
      <c r="L80" s="24">
        <f>GETPIVOTDATA("Sum of SOrad",SalmonPivot!$Y$4,"Date",B80,"Site",1)</f>
        <v>0</v>
      </c>
      <c r="M80" s="24">
        <f>N80+GETPIVOTDATA("Sum of PKno",SalmonPivot!$AK$4,"Date",B80,"Site",1)+GETPIVOTDATA("Sum of PKrecap",SalmonPivot!$AK$4,"Date",B80,"Site",1)</f>
        <v>5</v>
      </c>
      <c r="N80" s="24">
        <f>GETPIVOTDATA("Sum of PKrad",SalmonPivot!$AK$4,"Date",B80,"Site",1)</f>
        <v>0</v>
      </c>
      <c r="O80" s="24">
        <f>P80+GETPIVOTDATA("Sum of CMno",SalmonPivot!$AW$4,"Date",B80,"Site",1)+GETPIVOTDATA("Sum of CMrecap",SalmonPivot!$AW$4,"Date",B80,"Site",1)</f>
        <v>37</v>
      </c>
      <c r="P80" s="24">
        <f>GETPIVOTDATA("Sum of CMrad",SalmonPivot!$AW$4,"Date",B80,"Site",1)</f>
        <v>0</v>
      </c>
      <c r="Q80" s="25">
        <f>R80+GETPIVOTDATA("Sum of COno",SalmonPivot!$BI$4,"Date",B80,"Site",1)+GETPIVOTDATA("Sum of COrecap",SalmonPivot!$BI$4,"Date",B80,"Site",1)</f>
        <v>7</v>
      </c>
      <c r="R80" s="24">
        <f>GETPIVOTDATA("Sum of COrad",SalmonPivot!$BI$4,"Date",B80,"Site",1)</f>
        <v>5</v>
      </c>
      <c r="S80" s="24">
        <f>GETPIVOTDATA("Sum of TotalOther",OtherPivot!$J$5,"Date",B80,"Site",1)</f>
        <v>0</v>
      </c>
      <c r="T80" s="38"/>
      <c r="U80" s="172">
        <f>IF(GETPIVOTDATA("3 Revs (s)",EffortRPMPivot!$L$4,"Date",$B80,"Site",1)=0,"",GETPIVOTDATA("3 revs (s)",EffortRPMPivot!$L$4,"date",$B80,"Site",1))</f>
        <v>55</v>
      </c>
      <c r="V80" s="173">
        <f t="shared" si="84"/>
        <v>0</v>
      </c>
      <c r="W80" s="173">
        <f t="shared" si="85"/>
        <v>0</v>
      </c>
      <c r="X80" s="173">
        <f t="shared" si="86"/>
        <v>0</v>
      </c>
      <c r="Y80" s="173">
        <f t="shared" si="87"/>
        <v>0.41666666666666674</v>
      </c>
      <c r="Z80" s="173">
        <f t="shared" si="88"/>
        <v>3.0833333333333339</v>
      </c>
      <c r="AA80" s="174">
        <f t="shared" si="89"/>
        <v>0.58333333333333337</v>
      </c>
      <c r="AB80" s="175">
        <f t="shared" si="90"/>
        <v>0</v>
      </c>
      <c r="AC80" s="175">
        <f t="shared" si="91"/>
        <v>0</v>
      </c>
      <c r="AD80" s="175">
        <f t="shared" si="92"/>
        <v>2</v>
      </c>
      <c r="AE80" s="175">
        <f t="shared" si="93"/>
        <v>8</v>
      </c>
      <c r="AF80" s="175">
        <f t="shared" si="94"/>
        <v>81</v>
      </c>
      <c r="AG80" s="175">
        <f t="shared" si="95"/>
        <v>20</v>
      </c>
      <c r="AH80" s="176">
        <f t="shared" si="96"/>
        <v>111</v>
      </c>
      <c r="AI80" s="175">
        <f>SUM(AB$4:AB80)</f>
        <v>671</v>
      </c>
      <c r="AJ80" s="175">
        <f>SUM(AC$4:AC80)</f>
        <v>205</v>
      </c>
      <c r="AK80" s="175">
        <f>SUM(AD$4:AD80)</f>
        <v>201</v>
      </c>
      <c r="AL80" s="175">
        <f>SUM(AE$4:AE80)</f>
        <v>7451</v>
      </c>
      <c r="AM80" s="175">
        <f>SUM(AF$4:AF80)</f>
        <v>1202</v>
      </c>
      <c r="AN80" s="176">
        <f>SUM(AG$4:AG80)</f>
        <v>208</v>
      </c>
      <c r="AO80" s="175">
        <f t="shared" si="97"/>
        <v>0</v>
      </c>
      <c r="AP80" s="175">
        <f t="shared" si="98"/>
        <v>0</v>
      </c>
      <c r="AQ80" s="175">
        <f t="shared" si="99"/>
        <v>2</v>
      </c>
      <c r="AR80" s="175">
        <f t="shared" si="100"/>
        <v>0</v>
      </c>
      <c r="AS80" s="175">
        <f t="shared" si="101"/>
        <v>2</v>
      </c>
      <c r="AT80" s="176">
        <f t="shared" si="102"/>
        <v>9</v>
      </c>
      <c r="AU80" s="175">
        <f>SUM(AO$4:AO80)</f>
        <v>590</v>
      </c>
      <c r="AV80" s="175">
        <f>SUM(AP$4:AP80)</f>
        <v>33</v>
      </c>
      <c r="AW80" s="175">
        <f>SUM(AQ$4:AQ80)</f>
        <v>189</v>
      </c>
      <c r="AX80" s="175">
        <f>SUM(AR$4:AR80)</f>
        <v>199</v>
      </c>
      <c r="AY80" s="175">
        <f>SUM(AS$4:AS80)</f>
        <v>192</v>
      </c>
      <c r="AZ80" s="176">
        <f>SUM(AT$4:AT80)</f>
        <v>150</v>
      </c>
      <c r="BA80" s="177">
        <f t="shared" si="103"/>
        <v>0</v>
      </c>
      <c r="BB80" s="177">
        <f t="shared" si="104"/>
        <v>0</v>
      </c>
      <c r="BC80" s="177">
        <f t="shared" si="105"/>
        <v>9.3896713615023476E-3</v>
      </c>
      <c r="BD80" s="177">
        <f t="shared" si="106"/>
        <v>1.0706638115631692E-3</v>
      </c>
      <c r="BE80" s="177">
        <f t="shared" si="107"/>
        <v>5.5139550714771952E-2</v>
      </c>
      <c r="BF80" s="273">
        <f t="shared" si="108"/>
        <v>5.9880239520958084E-2</v>
      </c>
      <c r="BG80" s="177">
        <f>SUM(BA$4:BA80)</f>
        <v>0.99851190476190443</v>
      </c>
      <c r="BH80" s="177">
        <f>SUM(BB$4:BB80)</f>
        <v>1.0000000000000002</v>
      </c>
      <c r="BI80" s="177">
        <f>SUM(BC$4:BC80)</f>
        <v>0.94366197183098621</v>
      </c>
      <c r="BJ80" s="177">
        <f>SUM(BD$4:BD80)</f>
        <v>0.99718950749464674</v>
      </c>
      <c r="BK80" s="177">
        <f>SUM(BE$4:BE80)</f>
        <v>0.8182437031994555</v>
      </c>
      <c r="BL80" s="166">
        <f>SUM(BF$4:BF80)</f>
        <v>0.6227544910179641</v>
      </c>
      <c r="BM80" s="412"/>
      <c r="BN80" s="412"/>
    </row>
    <row r="81" spans="2:66" x14ac:dyDescent="0.2">
      <c r="B81" s="60">
        <f t="shared" si="30"/>
        <v>41873</v>
      </c>
      <c r="C81" s="22">
        <f t="shared" ref="C81" si="110">IF(ISERROR(3/(U81/60)),"",3/(U81/60))</f>
        <v>3.116883116883117</v>
      </c>
      <c r="D81" s="23">
        <f>GETPIVOTDATA("Active time (min)",EffortRPMPivot!$A$4,"date",B81,"Site",1)/60</f>
        <v>12.183333333333332</v>
      </c>
      <c r="E81" s="24">
        <f>F81+G81+GETPIVOTDATA("Sum of CNlgNo",SalmonPivot!$A$4,"Date",B81,"Site",1)</f>
        <v>0</v>
      </c>
      <c r="F81" s="24">
        <f>GETPIVOTDATA("Sum of CNlgrad",SalmonPivot!$A$4,"date",B81,"Site",1)</f>
        <v>0</v>
      </c>
      <c r="G81" s="24">
        <f>GETPIVOTDATA("Sum of CNlgrecap",SalmonPivot!$A$4,"date",B81,"Site",1)</f>
        <v>0</v>
      </c>
      <c r="H81" s="24">
        <f>I81+J81+GETPIVOTDATA("Sum of CNsmno",SalmonPivot!$M$4,"Date",B81,"Site",1)</f>
        <v>0</v>
      </c>
      <c r="I81" s="24">
        <f>GETPIVOTDATA("Sum of CNsmradio",SalmonPivot!$M$4,"Date",B81,"Site",1)</f>
        <v>0</v>
      </c>
      <c r="J81" s="24">
        <f>GETPIVOTDATA("Sum of CNsmrecap",SalmonPivot!$M$4,"Date",B81,"Site",1)</f>
        <v>0</v>
      </c>
      <c r="K81" s="24">
        <f>L81+GETPIVOTDATA("Sum of SOno",SalmonPivot!$Y$4,"Date",B81,"Site",1)+GETPIVOTDATA("Sum of SOrecap",SalmonPivot!$Y$4,"Date",B81,"Site",1)</f>
        <v>1</v>
      </c>
      <c r="L81" s="24">
        <f>GETPIVOTDATA("Sum of SOrad",SalmonPivot!$Y$4,"Date",B81,"Site",1)</f>
        <v>1</v>
      </c>
      <c r="M81" s="24">
        <f>N81+GETPIVOTDATA("Sum of PKno",SalmonPivot!$AK$4,"Date",B81,"Site",1)+GETPIVOTDATA("Sum of PKrecap",SalmonPivot!$AK$4,"Date",B81,"Site",1)</f>
        <v>6</v>
      </c>
      <c r="N81" s="24">
        <f>GETPIVOTDATA("Sum of PKrad",SalmonPivot!$AK$4,"Date",B81,"Site",1)</f>
        <v>0</v>
      </c>
      <c r="O81" s="24">
        <f>P81+GETPIVOTDATA("Sum of CMno",SalmonPivot!$AW$4,"Date",B81,"Site",1)+GETPIVOTDATA("Sum of CMrecap",SalmonPivot!$AW$4,"Date",B81,"Site",1)</f>
        <v>22</v>
      </c>
      <c r="P81" s="24">
        <f>GETPIVOTDATA("Sum of CMrad",SalmonPivot!$AW$4,"Date",B81,"Site",1)</f>
        <v>1</v>
      </c>
      <c r="Q81" s="25">
        <f>R81+GETPIVOTDATA("Sum of COno",SalmonPivot!$BI$4,"Date",B81,"Site",1)+GETPIVOTDATA("Sum of COrecap",SalmonPivot!$BI$4,"Date",B81,"Site",1)</f>
        <v>13</v>
      </c>
      <c r="R81" s="24">
        <f>GETPIVOTDATA("Sum of COrad",SalmonPivot!$BI$4,"Date",B81,"Site",1)</f>
        <v>4</v>
      </c>
      <c r="S81" s="24">
        <f>GETPIVOTDATA("Sum of TotalOther",OtherPivot!$J$5,"Date",B81,"Site",1)</f>
        <v>1</v>
      </c>
      <c r="T81" s="38"/>
      <c r="U81" s="172">
        <f>IF(GETPIVOTDATA("3 Revs (s)",EffortRPMPivot!$L$4,"Date",$B81,"Site",1)=0,"",GETPIVOTDATA("3 revs (s)",EffortRPMPivot!$L$4,"date",$B81,"Site",1))</f>
        <v>57.75</v>
      </c>
      <c r="V81" s="173">
        <f t="shared" si="84"/>
        <v>0</v>
      </c>
      <c r="W81" s="173">
        <f t="shared" si="85"/>
        <v>0</v>
      </c>
      <c r="X81" s="173">
        <f t="shared" si="86"/>
        <v>8.2079343365253091E-2</v>
      </c>
      <c r="Y81" s="173">
        <f t="shared" si="87"/>
        <v>0.49247606019151852</v>
      </c>
      <c r="Z81" s="173">
        <f t="shared" si="88"/>
        <v>1.805745554035568</v>
      </c>
      <c r="AA81" s="174">
        <f t="shared" si="89"/>
        <v>1.0670314637482901</v>
      </c>
      <c r="AB81" s="175">
        <f t="shared" si="90"/>
        <v>0</v>
      </c>
      <c r="AC81" s="175">
        <f t="shared" si="91"/>
        <v>0</v>
      </c>
      <c r="AD81" s="175">
        <f t="shared" si="92"/>
        <v>4</v>
      </c>
      <c r="AE81" s="175">
        <f t="shared" si="93"/>
        <v>12</v>
      </c>
      <c r="AF81" s="175">
        <f t="shared" si="94"/>
        <v>54</v>
      </c>
      <c r="AG81" s="175">
        <f t="shared" si="95"/>
        <v>30</v>
      </c>
      <c r="AH81" s="176">
        <f t="shared" si="96"/>
        <v>100</v>
      </c>
      <c r="AI81" s="175">
        <f>SUM(AB$4:AB81)</f>
        <v>671</v>
      </c>
      <c r="AJ81" s="175">
        <f>SUM(AC$4:AC81)</f>
        <v>205</v>
      </c>
      <c r="AK81" s="175">
        <f>SUM(AD$4:AD81)</f>
        <v>205</v>
      </c>
      <c r="AL81" s="175">
        <f>SUM(AE$4:AE81)</f>
        <v>7463</v>
      </c>
      <c r="AM81" s="175">
        <f>SUM(AF$4:AF81)</f>
        <v>1256</v>
      </c>
      <c r="AN81" s="176">
        <f>SUM(AG$4:AG81)</f>
        <v>238</v>
      </c>
      <c r="AO81" s="175">
        <f t="shared" si="97"/>
        <v>0</v>
      </c>
      <c r="AP81" s="175">
        <f t="shared" si="98"/>
        <v>0</v>
      </c>
      <c r="AQ81" s="175">
        <f t="shared" si="99"/>
        <v>4</v>
      </c>
      <c r="AR81" s="175">
        <f t="shared" si="100"/>
        <v>0</v>
      </c>
      <c r="AS81" s="175">
        <f t="shared" si="101"/>
        <v>2</v>
      </c>
      <c r="AT81" s="176">
        <f t="shared" si="102"/>
        <v>9</v>
      </c>
      <c r="AU81" s="175">
        <f>SUM(AO$4:AO81)</f>
        <v>590</v>
      </c>
      <c r="AV81" s="175">
        <f>SUM(AP$4:AP81)</f>
        <v>33</v>
      </c>
      <c r="AW81" s="175">
        <f>SUM(AQ$4:AQ81)</f>
        <v>193</v>
      </c>
      <c r="AX81" s="175">
        <f>SUM(AR$4:AR81)</f>
        <v>199</v>
      </c>
      <c r="AY81" s="175">
        <f>SUM(AS$4:AS81)</f>
        <v>194</v>
      </c>
      <c r="AZ81" s="176">
        <f>SUM(AT$4:AT81)</f>
        <v>159</v>
      </c>
      <c r="BA81" s="177">
        <f t="shared" si="103"/>
        <v>0</v>
      </c>
      <c r="BB81" s="177">
        <f t="shared" si="104"/>
        <v>0</v>
      </c>
      <c r="BC81" s="177">
        <f t="shared" si="105"/>
        <v>1.8779342723004695E-2</v>
      </c>
      <c r="BD81" s="177">
        <f t="shared" si="106"/>
        <v>1.6059957173447537E-3</v>
      </c>
      <c r="BE81" s="177">
        <f t="shared" si="107"/>
        <v>3.6759700476514633E-2</v>
      </c>
      <c r="BF81" s="273">
        <f t="shared" si="108"/>
        <v>8.9820359281437126E-2</v>
      </c>
      <c r="BG81" s="177">
        <f>SUM(BA$4:BA81)</f>
        <v>0.99851190476190443</v>
      </c>
      <c r="BH81" s="177">
        <f>SUM(BB$4:BB81)</f>
        <v>1.0000000000000002</v>
      </c>
      <c r="BI81" s="177">
        <f>SUM(BC$4:BC81)</f>
        <v>0.96244131455399096</v>
      </c>
      <c r="BJ81" s="177">
        <f>SUM(BD$4:BD81)</f>
        <v>0.99879550321199151</v>
      </c>
      <c r="BK81" s="177">
        <f>SUM(BE$4:BE81)</f>
        <v>0.85500340367597016</v>
      </c>
      <c r="BL81" s="166">
        <f>SUM(BF$4:BF81)</f>
        <v>0.71257485029940126</v>
      </c>
      <c r="BM81" s="412"/>
      <c r="BN81" s="412"/>
    </row>
    <row r="82" spans="2:66" x14ac:dyDescent="0.2">
      <c r="B82" s="60">
        <f t="shared" si="30"/>
        <v>41874</v>
      </c>
      <c r="C82" s="22">
        <f t="shared" ref="C82" si="111">IF(ISERROR(3/(U82/60)),"",3/(U82/60))</f>
        <v>2.8877005347593578</v>
      </c>
      <c r="D82" s="23">
        <f>GETPIVOTDATA("Active time (min)",EffortRPMPivot!$A$4,"date",B82,"Site",1)/60</f>
        <v>12.15</v>
      </c>
      <c r="E82" s="24">
        <f>F82+G82+GETPIVOTDATA("Sum of CNlgNo",SalmonPivot!$A$4,"Date",B82,"Site",1)</f>
        <v>0</v>
      </c>
      <c r="F82" s="24">
        <f>GETPIVOTDATA("Sum of CNlgrad",SalmonPivot!$A$4,"date",B82,"Site",1)</f>
        <v>0</v>
      </c>
      <c r="G82" s="24">
        <f>GETPIVOTDATA("Sum of CNlgrecap",SalmonPivot!$A$4,"date",B82,"Site",1)</f>
        <v>0</v>
      </c>
      <c r="H82" s="24">
        <f>I82+J82+GETPIVOTDATA("Sum of CNsmno",SalmonPivot!$M$4,"Date",B82,"Site",1)</f>
        <v>0</v>
      </c>
      <c r="I82" s="24">
        <f>GETPIVOTDATA("Sum of CNsmradio",SalmonPivot!$M$4,"Date",B82,"Site",1)</f>
        <v>0</v>
      </c>
      <c r="J82" s="24">
        <f>GETPIVOTDATA("Sum of CNsmrecap",SalmonPivot!$M$4,"Date",B82,"Site",1)</f>
        <v>0</v>
      </c>
      <c r="K82" s="24">
        <f>L82+GETPIVOTDATA("Sum of SOno",SalmonPivot!$Y$4,"Date",B82,"Site",1)+GETPIVOTDATA("Sum of SOrecap",SalmonPivot!$Y$4,"Date",B82,"Site",1)</f>
        <v>0</v>
      </c>
      <c r="L82" s="24">
        <f>GETPIVOTDATA("Sum of SOrad",SalmonPivot!$Y$4,"Date",B82,"Site",1)</f>
        <v>0</v>
      </c>
      <c r="M82" s="24">
        <f>N82+GETPIVOTDATA("Sum of PKno",SalmonPivot!$AK$4,"Date",B82,"Site",1)+GETPIVOTDATA("Sum of PKrecap",SalmonPivot!$AK$4,"Date",B82,"Site",1)</f>
        <v>1</v>
      </c>
      <c r="N82" s="24">
        <f>GETPIVOTDATA("Sum of PKrad",SalmonPivot!$AK$4,"Date",B82,"Site",1)</f>
        <v>0</v>
      </c>
      <c r="O82" s="24">
        <f>P82+GETPIVOTDATA("Sum of CMno",SalmonPivot!$AW$4,"Date",B82,"Site",1)+GETPIVOTDATA("Sum of CMrecap",SalmonPivot!$AW$4,"Date",B82,"Site",1)</f>
        <v>22</v>
      </c>
      <c r="P82" s="24">
        <f>GETPIVOTDATA("Sum of CMrad",SalmonPivot!$AW$4,"Date",B82,"Site",1)</f>
        <v>1</v>
      </c>
      <c r="Q82" s="25">
        <f>R82+GETPIVOTDATA("Sum of COno",SalmonPivot!$BI$4,"Date",B82,"Site",1)+GETPIVOTDATA("Sum of COrecap",SalmonPivot!$BI$4,"Date",B82,"Site",1)</f>
        <v>2</v>
      </c>
      <c r="R82" s="24">
        <f>GETPIVOTDATA("Sum of COrad",SalmonPivot!$BI$4,"Date",B82,"Site",1)</f>
        <v>2</v>
      </c>
      <c r="S82" s="24">
        <f>GETPIVOTDATA("Sum of TotalOther",OtherPivot!$J$5,"Date",B82,"Site",1)</f>
        <v>0</v>
      </c>
      <c r="T82" s="38"/>
      <c r="U82" s="172">
        <f>IF(GETPIVOTDATA("3 Revs (s)",EffortRPMPivot!$L$4,"Date",$B82,"Site",1)=0,"",GETPIVOTDATA("3 revs (s)",EffortRPMPivot!$L$4,"date",$B82,"Site",1))</f>
        <v>62.333333333333336</v>
      </c>
      <c r="V82" s="173">
        <f t="shared" si="84"/>
        <v>0</v>
      </c>
      <c r="W82" s="173">
        <f t="shared" si="85"/>
        <v>0</v>
      </c>
      <c r="X82" s="173">
        <f t="shared" si="86"/>
        <v>0</v>
      </c>
      <c r="Y82" s="173">
        <f t="shared" si="87"/>
        <v>8.2304526748971193E-2</v>
      </c>
      <c r="Z82" s="173">
        <f t="shared" si="88"/>
        <v>1.8106995884773662</v>
      </c>
      <c r="AA82" s="174">
        <f t="shared" si="89"/>
        <v>0.16460905349794239</v>
      </c>
      <c r="AB82" s="175">
        <f t="shared" si="90"/>
        <v>0</v>
      </c>
      <c r="AC82" s="175">
        <f t="shared" si="91"/>
        <v>0</v>
      </c>
      <c r="AD82" s="175">
        <f t="shared" si="92"/>
        <v>1</v>
      </c>
      <c r="AE82" s="175">
        <f t="shared" si="93"/>
        <v>5</v>
      </c>
      <c r="AF82" s="175">
        <f t="shared" si="94"/>
        <v>41</v>
      </c>
      <c r="AG82" s="175">
        <f t="shared" si="95"/>
        <v>19</v>
      </c>
      <c r="AH82" s="176">
        <f t="shared" si="96"/>
        <v>66</v>
      </c>
      <c r="AI82" s="175">
        <f>SUM(AB$4:AB82)</f>
        <v>671</v>
      </c>
      <c r="AJ82" s="175">
        <f>SUM(AC$4:AC82)</f>
        <v>205</v>
      </c>
      <c r="AK82" s="175">
        <f>SUM(AD$4:AD82)</f>
        <v>206</v>
      </c>
      <c r="AL82" s="175">
        <f>SUM(AE$4:AE82)</f>
        <v>7468</v>
      </c>
      <c r="AM82" s="175">
        <f>SUM(AF$4:AF82)</f>
        <v>1297</v>
      </c>
      <c r="AN82" s="176">
        <f>SUM(AG$4:AG82)</f>
        <v>257</v>
      </c>
      <c r="AO82" s="175">
        <f t="shared" si="97"/>
        <v>0</v>
      </c>
      <c r="AP82" s="175">
        <f t="shared" si="98"/>
        <v>0</v>
      </c>
      <c r="AQ82" s="175">
        <f t="shared" si="99"/>
        <v>1</v>
      </c>
      <c r="AR82" s="175">
        <f t="shared" si="100"/>
        <v>0</v>
      </c>
      <c r="AS82" s="175">
        <f t="shared" si="101"/>
        <v>2</v>
      </c>
      <c r="AT82" s="176">
        <f t="shared" si="102"/>
        <v>9</v>
      </c>
      <c r="AU82" s="175">
        <f>SUM(AO$4:AO82)</f>
        <v>590</v>
      </c>
      <c r="AV82" s="175">
        <f>SUM(AP$4:AP82)</f>
        <v>33</v>
      </c>
      <c r="AW82" s="175">
        <f>SUM(AQ$4:AQ82)</f>
        <v>194</v>
      </c>
      <c r="AX82" s="175">
        <f>SUM(AR$4:AR82)</f>
        <v>199</v>
      </c>
      <c r="AY82" s="175">
        <f>SUM(AS$4:AS82)</f>
        <v>196</v>
      </c>
      <c r="AZ82" s="176">
        <f>SUM(AT$4:AT82)</f>
        <v>168</v>
      </c>
      <c r="BA82" s="177">
        <f t="shared" si="103"/>
        <v>0</v>
      </c>
      <c r="BB82" s="177">
        <f t="shared" si="104"/>
        <v>0</v>
      </c>
      <c r="BC82" s="177">
        <f t="shared" si="105"/>
        <v>4.6948356807511738E-3</v>
      </c>
      <c r="BD82" s="177">
        <f t="shared" si="106"/>
        <v>6.6916488222698068E-4</v>
      </c>
      <c r="BE82" s="177">
        <f t="shared" si="107"/>
        <v>2.7910142954390742E-2</v>
      </c>
      <c r="BF82" s="273">
        <f t="shared" si="108"/>
        <v>5.6886227544910177E-2</v>
      </c>
      <c r="BG82" s="177">
        <f>SUM(BA$4:BA82)</f>
        <v>0.99851190476190443</v>
      </c>
      <c r="BH82" s="177">
        <f>SUM(BB$4:BB82)</f>
        <v>1.0000000000000002</v>
      </c>
      <c r="BI82" s="177">
        <f>SUM(BC$4:BC82)</f>
        <v>0.96713615023474209</v>
      </c>
      <c r="BJ82" s="177">
        <f>SUM(BD$4:BD82)</f>
        <v>0.99946466809421852</v>
      </c>
      <c r="BK82" s="177">
        <f>SUM(BE$4:BE82)</f>
        <v>0.88291354663036092</v>
      </c>
      <c r="BL82" s="166">
        <f>SUM(BF$4:BF82)</f>
        <v>0.76946107784431139</v>
      </c>
      <c r="BM82" s="412"/>
      <c r="BN82" s="412"/>
    </row>
    <row r="83" spans="2:66" x14ac:dyDescent="0.2">
      <c r="B83" s="60">
        <f>1+B82</f>
        <v>41875</v>
      </c>
      <c r="C83" s="22">
        <f t="shared" ref="C83:C84" si="112">IF(ISERROR(3/(U83/60)),"",3/(U83/60))</f>
        <v>2.8877005347593578</v>
      </c>
      <c r="D83" s="23">
        <f>GETPIVOTDATA("Active time (min)",EffortRPMPivot!$A$4,"date",B83,"Site",1)/60</f>
        <v>12.249999999999996</v>
      </c>
      <c r="E83" s="24">
        <f>F83+G83+GETPIVOTDATA("Sum of CNlgNo",SalmonPivot!$A$4,"Date",B83,"Site",1)</f>
        <v>0</v>
      </c>
      <c r="F83" s="24">
        <f>GETPIVOTDATA("Sum of CNlgrad",SalmonPivot!$A$4,"date",B83,"Site",1)</f>
        <v>0</v>
      </c>
      <c r="G83" s="24">
        <f>GETPIVOTDATA("Sum of CNlgrecap",SalmonPivot!$A$4,"date",B83,"Site",1)</f>
        <v>0</v>
      </c>
      <c r="H83" s="24">
        <f>I83+J83+GETPIVOTDATA("Sum of CNsmno",SalmonPivot!$M$4,"Date",B83,"Site",1)</f>
        <v>0</v>
      </c>
      <c r="I83" s="24">
        <f>GETPIVOTDATA("Sum of CNsmradio",SalmonPivot!$M$4,"Date",B83,"Site",1)</f>
        <v>0</v>
      </c>
      <c r="J83" s="24">
        <f>GETPIVOTDATA("Sum of CNsmrecap",SalmonPivot!$M$4,"Date",B83,"Site",1)</f>
        <v>0</v>
      </c>
      <c r="K83" s="24">
        <f>L83+GETPIVOTDATA("Sum of SOno",SalmonPivot!$Y$4,"Date",B83,"Site",1)+GETPIVOTDATA("Sum of SOrecap",SalmonPivot!$Y$4,"Date",B83,"Site",1)</f>
        <v>0</v>
      </c>
      <c r="L83" s="24">
        <f>GETPIVOTDATA("Sum of SOrad",SalmonPivot!$Y$4,"Date",B83,"Site",1)</f>
        <v>0</v>
      </c>
      <c r="M83" s="24">
        <f>N83+GETPIVOTDATA("Sum of PKno",SalmonPivot!$AK$4,"Date",B83,"Site",1)+GETPIVOTDATA("Sum of PKrecap",SalmonPivot!$AK$4,"Date",B83,"Site",1)</f>
        <v>1</v>
      </c>
      <c r="N83" s="24">
        <f>GETPIVOTDATA("Sum of PKrad",SalmonPivot!$AK$4,"Date",B83,"Site",1)</f>
        <v>0</v>
      </c>
      <c r="O83" s="24">
        <f>P83+GETPIVOTDATA("Sum of CMno",SalmonPivot!$AW$4,"Date",B83,"Site",1)+GETPIVOTDATA("Sum of CMrecap",SalmonPivot!$AW$4,"Date",B83,"Site",1)</f>
        <v>13</v>
      </c>
      <c r="P83" s="24">
        <f>GETPIVOTDATA("Sum of CMrad",SalmonPivot!$AW$4,"Date",B83,"Site",1)</f>
        <v>0</v>
      </c>
      <c r="Q83" s="25">
        <f>R83+GETPIVOTDATA("Sum of COno",SalmonPivot!$BI$4,"Date",B83,"Site",1)+GETPIVOTDATA("Sum of COrecap",SalmonPivot!$BI$4,"Date",B83,"Site",1)</f>
        <v>2</v>
      </c>
      <c r="R83" s="24">
        <f>GETPIVOTDATA("Sum of COrad",SalmonPivot!$BI$4,"Date",B83,"Site",1)</f>
        <v>2</v>
      </c>
      <c r="S83" s="24">
        <f>GETPIVOTDATA("Sum of TotalOther",OtherPivot!$J$5,"Date",B83,"Site",1)</f>
        <v>1</v>
      </c>
      <c r="T83" s="38"/>
      <c r="U83" s="172">
        <f>IF(GETPIVOTDATA("3 Revs (s)",EffortRPMPivot!$L$4,"Date",$B83,"Site",1)=0,"",GETPIVOTDATA("3 revs (s)",EffortRPMPivot!$L$4,"date",$B83,"Site",1))</f>
        <v>62.333333333333336</v>
      </c>
      <c r="V83" s="173">
        <f t="shared" si="84"/>
        <v>0</v>
      </c>
      <c r="W83" s="173">
        <f t="shared" si="85"/>
        <v>0</v>
      </c>
      <c r="X83" s="173">
        <f t="shared" si="86"/>
        <v>0</v>
      </c>
      <c r="Y83" s="173">
        <f t="shared" si="87"/>
        <v>8.1632653061224511E-2</v>
      </c>
      <c r="Z83" s="173">
        <f t="shared" si="88"/>
        <v>1.0612244897959187</v>
      </c>
      <c r="AA83" s="174">
        <f t="shared" si="89"/>
        <v>0.16326530612244902</v>
      </c>
      <c r="AB83" s="175">
        <f t="shared" si="90"/>
        <v>1</v>
      </c>
      <c r="AC83" s="175">
        <f t="shared" si="91"/>
        <v>0</v>
      </c>
      <c r="AD83" s="175">
        <f t="shared" si="92"/>
        <v>2</v>
      </c>
      <c r="AE83" s="175">
        <f t="shared" si="93"/>
        <v>1</v>
      </c>
      <c r="AF83" s="175">
        <f t="shared" si="94"/>
        <v>51</v>
      </c>
      <c r="AG83" s="175">
        <f t="shared" si="95"/>
        <v>19</v>
      </c>
      <c r="AH83" s="176">
        <f t="shared" si="96"/>
        <v>74</v>
      </c>
      <c r="AI83" s="175">
        <f>SUM(AB$4:AB83)</f>
        <v>672</v>
      </c>
      <c r="AJ83" s="175">
        <f>SUM(AC$4:AC83)</f>
        <v>205</v>
      </c>
      <c r="AK83" s="175">
        <f>SUM(AD$4:AD83)</f>
        <v>208</v>
      </c>
      <c r="AL83" s="175">
        <f>SUM(AE$4:AE83)</f>
        <v>7469</v>
      </c>
      <c r="AM83" s="175">
        <f>SUM(AF$4:AF83)</f>
        <v>1348</v>
      </c>
      <c r="AN83" s="176">
        <f>SUM(AG$4:AG83)</f>
        <v>276</v>
      </c>
      <c r="AO83" s="175">
        <f t="shared" si="97"/>
        <v>0</v>
      </c>
      <c r="AP83" s="175">
        <f t="shared" si="98"/>
        <v>0</v>
      </c>
      <c r="AQ83" s="175">
        <f t="shared" si="99"/>
        <v>2</v>
      </c>
      <c r="AR83" s="175">
        <f t="shared" si="100"/>
        <v>0</v>
      </c>
      <c r="AS83" s="175">
        <f t="shared" si="101"/>
        <v>2</v>
      </c>
      <c r="AT83" s="176">
        <f t="shared" si="102"/>
        <v>8</v>
      </c>
      <c r="AU83" s="175">
        <f>SUM(AO$4:AO83)</f>
        <v>590</v>
      </c>
      <c r="AV83" s="175">
        <f>SUM(AP$4:AP83)</f>
        <v>33</v>
      </c>
      <c r="AW83" s="175">
        <f>SUM(AQ$4:AQ83)</f>
        <v>196</v>
      </c>
      <c r="AX83" s="175">
        <f>SUM(AR$4:AR83)</f>
        <v>199</v>
      </c>
      <c r="AY83" s="175">
        <f>SUM(AS$4:AS83)</f>
        <v>198</v>
      </c>
      <c r="AZ83" s="176">
        <f>SUM(AT$4:AT83)</f>
        <v>176</v>
      </c>
      <c r="BA83" s="177">
        <f t="shared" si="103"/>
        <v>1.488095238095238E-3</v>
      </c>
      <c r="BB83" s="177">
        <f t="shared" si="104"/>
        <v>0</v>
      </c>
      <c r="BC83" s="177">
        <f t="shared" si="105"/>
        <v>9.3896713615023476E-3</v>
      </c>
      <c r="BD83" s="177">
        <f t="shared" si="106"/>
        <v>1.3383297644539615E-4</v>
      </c>
      <c r="BE83" s="177">
        <f t="shared" si="107"/>
        <v>3.4717494894486042E-2</v>
      </c>
      <c r="BF83" s="273">
        <f t="shared" si="108"/>
        <v>5.6886227544910177E-2</v>
      </c>
      <c r="BG83" s="177">
        <f>SUM(BA$4:BA83)</f>
        <v>0.99999999999999967</v>
      </c>
      <c r="BH83" s="177">
        <f>SUM(BB$4:BB83)</f>
        <v>1.0000000000000002</v>
      </c>
      <c r="BI83" s="177">
        <f>SUM(BC$4:BC83)</f>
        <v>0.97652582159624446</v>
      </c>
      <c r="BJ83" s="177">
        <f>SUM(BD$4:BD83)</f>
        <v>0.99959850107066395</v>
      </c>
      <c r="BK83" s="177">
        <f>SUM(BE$4:BE83)</f>
        <v>0.91763104152484698</v>
      </c>
      <c r="BL83" s="166">
        <f>SUM(BF$4:BF83)</f>
        <v>0.82634730538922152</v>
      </c>
      <c r="BM83" s="412"/>
      <c r="BN83" s="412"/>
    </row>
    <row r="84" spans="2:66" x14ac:dyDescent="0.2">
      <c r="B84" s="60">
        <f t="shared" si="30"/>
        <v>41876</v>
      </c>
      <c r="C84" s="22">
        <f t="shared" si="112"/>
        <v>2.88</v>
      </c>
      <c r="D84" s="23">
        <f>GETPIVOTDATA("Active time (min)",EffortRPMPivot!$A$4,"date",B84,"Site",1)/60</f>
        <v>12.066666666666665</v>
      </c>
      <c r="E84" s="24">
        <f>F84+G84+GETPIVOTDATA("Sum of CNlgNo",SalmonPivot!$A$4,"Date",B84,"Site",1)</f>
        <v>0</v>
      </c>
      <c r="F84" s="24">
        <f>GETPIVOTDATA("Sum of CNlgrad",SalmonPivot!$A$4,"date",B84,"Site",1)</f>
        <v>0</v>
      </c>
      <c r="G84" s="24">
        <f>GETPIVOTDATA("Sum of CNlgrecap",SalmonPivot!$A$4,"date",B84,"Site",1)</f>
        <v>0</v>
      </c>
      <c r="H84" s="24">
        <f>I84+J84+GETPIVOTDATA("Sum of CNsmno",SalmonPivot!$M$4,"Date",B84,"Site",1)</f>
        <v>0</v>
      </c>
      <c r="I84" s="24">
        <f>GETPIVOTDATA("Sum of CNsmradio",SalmonPivot!$M$4,"Date",B84,"Site",1)</f>
        <v>0</v>
      </c>
      <c r="J84" s="24">
        <f>GETPIVOTDATA("Sum of CNsmrecap",SalmonPivot!$M$4,"Date",B84,"Site",1)</f>
        <v>0</v>
      </c>
      <c r="K84" s="24">
        <f>L84+GETPIVOTDATA("Sum of SOno",SalmonPivot!$Y$4,"Date",B84,"Site",1)+GETPIVOTDATA("Sum of SOrecap",SalmonPivot!$Y$4,"Date",B84,"Site",1)</f>
        <v>0</v>
      </c>
      <c r="L84" s="24">
        <f>GETPIVOTDATA("Sum of SOrad",SalmonPivot!$Y$4,"Date",B84,"Site",1)</f>
        <v>0</v>
      </c>
      <c r="M84" s="24">
        <f>N84+GETPIVOTDATA("Sum of PKno",SalmonPivot!$AK$4,"Date",B84,"Site",1)+GETPIVOTDATA("Sum of PKrecap",SalmonPivot!$AK$4,"Date",B84,"Site",1)</f>
        <v>0</v>
      </c>
      <c r="N84" s="24">
        <f>GETPIVOTDATA("Sum of PKrad",SalmonPivot!$AK$4,"Date",B84,"Site",1)</f>
        <v>0</v>
      </c>
      <c r="O84" s="24">
        <f>P84+GETPIVOTDATA("Sum of CMno",SalmonPivot!$AW$4,"Date",B84,"Site",1)+GETPIVOTDATA("Sum of CMrecap",SalmonPivot!$AW$4,"Date",B84,"Site",1)</f>
        <v>10</v>
      </c>
      <c r="P84" s="24">
        <f>GETPIVOTDATA("Sum of CMrad",SalmonPivot!$AW$4,"Date",B84,"Site",1)</f>
        <v>0</v>
      </c>
      <c r="Q84" s="25">
        <f>R84+GETPIVOTDATA("Sum of COno",SalmonPivot!$BI$4,"Date",B84,"Site",1)+GETPIVOTDATA("Sum of COrecap",SalmonPivot!$BI$4,"Date",B84,"Site",1)</f>
        <v>6</v>
      </c>
      <c r="R84" s="24">
        <f>GETPIVOTDATA("Sum of COrad",SalmonPivot!$BI$4,"Date",B84,"Site",1)</f>
        <v>0</v>
      </c>
      <c r="S84" s="24">
        <f>GETPIVOTDATA("Sum of TotalOther",OtherPivot!$J$5,"Date",B84,"Site",1)</f>
        <v>0</v>
      </c>
      <c r="T84" s="38"/>
      <c r="U84" s="172">
        <f>IF(GETPIVOTDATA("3 Revs (s)",EffortRPMPivot!$L$4,"Date",$B84,"Site",1)=0,"",GETPIVOTDATA("3 revs (s)",EffortRPMPivot!$L$4,"date",$B84,"Site",1))</f>
        <v>62.5</v>
      </c>
      <c r="V84" s="173">
        <f t="shared" si="84"/>
        <v>0</v>
      </c>
      <c r="W84" s="173">
        <f t="shared" si="85"/>
        <v>0</v>
      </c>
      <c r="X84" s="173">
        <f t="shared" si="86"/>
        <v>0</v>
      </c>
      <c r="Y84" s="173">
        <f t="shared" si="87"/>
        <v>0</v>
      </c>
      <c r="Z84" s="173">
        <f t="shared" si="88"/>
        <v>0.82872928176795591</v>
      </c>
      <c r="AA84" s="174">
        <f t="shared" si="89"/>
        <v>0.49723756906077354</v>
      </c>
      <c r="AB84" s="175">
        <f t="shared" si="90"/>
        <v>0</v>
      </c>
      <c r="AC84" s="175">
        <f t="shared" si="91"/>
        <v>0</v>
      </c>
      <c r="AD84" s="175">
        <f t="shared" si="92"/>
        <v>2</v>
      </c>
      <c r="AE84" s="175">
        <f t="shared" si="93"/>
        <v>0</v>
      </c>
      <c r="AF84" s="175">
        <f t="shared" si="94"/>
        <v>48</v>
      </c>
      <c r="AG84" s="175">
        <f t="shared" si="95"/>
        <v>20</v>
      </c>
      <c r="AH84" s="176">
        <f t="shared" si="96"/>
        <v>70</v>
      </c>
      <c r="AI84" s="175">
        <f>SUM(AB$4:AB84)</f>
        <v>672</v>
      </c>
      <c r="AJ84" s="175">
        <f>SUM(AC$4:AC84)</f>
        <v>205</v>
      </c>
      <c r="AK84" s="175">
        <f>SUM(AD$4:AD84)</f>
        <v>210</v>
      </c>
      <c r="AL84" s="175">
        <f>SUM(AE$4:AE84)</f>
        <v>7469</v>
      </c>
      <c r="AM84" s="175">
        <f>SUM(AF$4:AF84)</f>
        <v>1396</v>
      </c>
      <c r="AN84" s="176">
        <f>SUM(AG$4:AG84)</f>
        <v>296</v>
      </c>
      <c r="AO84" s="175">
        <f t="shared" si="97"/>
        <v>0</v>
      </c>
      <c r="AP84" s="175">
        <f t="shared" si="98"/>
        <v>0</v>
      </c>
      <c r="AQ84" s="175">
        <f t="shared" si="99"/>
        <v>1</v>
      </c>
      <c r="AR84" s="175">
        <f t="shared" si="100"/>
        <v>0</v>
      </c>
      <c r="AS84" s="175">
        <f t="shared" si="101"/>
        <v>0</v>
      </c>
      <c r="AT84" s="176">
        <f t="shared" si="102"/>
        <v>7</v>
      </c>
      <c r="AU84" s="175">
        <f>SUM(AO$4:AO84)</f>
        <v>590</v>
      </c>
      <c r="AV84" s="175">
        <f>SUM(AP$4:AP84)</f>
        <v>33</v>
      </c>
      <c r="AW84" s="175">
        <f>SUM(AQ$4:AQ84)</f>
        <v>197</v>
      </c>
      <c r="AX84" s="175">
        <f>SUM(AR$4:AR84)</f>
        <v>199</v>
      </c>
      <c r="AY84" s="175">
        <f>SUM(AS$4:AS84)</f>
        <v>198</v>
      </c>
      <c r="AZ84" s="176">
        <f>SUM(AT$4:AT84)</f>
        <v>183</v>
      </c>
      <c r="BA84" s="177">
        <f t="shared" si="103"/>
        <v>0</v>
      </c>
      <c r="BB84" s="177">
        <f t="shared" si="104"/>
        <v>0</v>
      </c>
      <c r="BC84" s="177">
        <f t="shared" si="105"/>
        <v>9.3896713615023476E-3</v>
      </c>
      <c r="BD84" s="177">
        <f t="shared" si="106"/>
        <v>0</v>
      </c>
      <c r="BE84" s="177">
        <f t="shared" si="107"/>
        <v>3.2675289312457452E-2</v>
      </c>
      <c r="BF84" s="273">
        <f t="shared" si="108"/>
        <v>5.9880239520958084E-2</v>
      </c>
      <c r="BG84" s="177">
        <f>SUM(BA$4:BA84)</f>
        <v>0.99999999999999967</v>
      </c>
      <c r="BH84" s="177">
        <f>SUM(BB$4:BB84)</f>
        <v>1.0000000000000002</v>
      </c>
      <c r="BI84" s="177">
        <f>SUM(BC$4:BC84)</f>
        <v>0.98591549295774683</v>
      </c>
      <c r="BJ84" s="177">
        <f>SUM(BD$4:BD84)</f>
        <v>0.99959850107066395</v>
      </c>
      <c r="BK84" s="177">
        <f>SUM(BE$4:BE84)</f>
        <v>0.95030633083730442</v>
      </c>
      <c r="BL84" s="166">
        <f>SUM(BF$4:BF84)</f>
        <v>0.88622754491017963</v>
      </c>
      <c r="BM84" s="412"/>
      <c r="BN84" s="412"/>
    </row>
    <row r="85" spans="2:66" x14ac:dyDescent="0.2">
      <c r="B85" s="60">
        <f t="shared" si="30"/>
        <v>41877</v>
      </c>
      <c r="C85" s="22">
        <f t="shared" ref="C85:C86" si="113">IF(ISERROR(3/(U85/60)),"",3/(U85/60))</f>
        <v>3.0769230769230771</v>
      </c>
      <c r="D85" s="23">
        <f>GETPIVOTDATA("Active time (min)",EffortRPMPivot!$A$4,"date",B85,"Site",1)/60</f>
        <v>12.000000000000002</v>
      </c>
      <c r="E85" s="24">
        <f>F85+G85+GETPIVOTDATA("Sum of CNlgNo",SalmonPivot!$A$4,"Date",B85,"Site",1)</f>
        <v>0</v>
      </c>
      <c r="F85" s="24">
        <f>GETPIVOTDATA("Sum of CNlgrad",SalmonPivot!$A$4,"date",B85,"Site",1)</f>
        <v>0</v>
      </c>
      <c r="G85" s="24">
        <f>GETPIVOTDATA("Sum of CNlgrecap",SalmonPivot!$A$4,"date",B85,"Site",1)</f>
        <v>0</v>
      </c>
      <c r="H85" s="24">
        <f>I85+J85+GETPIVOTDATA("Sum of CNsmno",SalmonPivot!$M$4,"Date",B85,"Site",1)</f>
        <v>0</v>
      </c>
      <c r="I85" s="24">
        <f>GETPIVOTDATA("Sum of CNsmradio",SalmonPivot!$M$4,"Date",B85,"Site",1)</f>
        <v>0</v>
      </c>
      <c r="J85" s="24">
        <f>GETPIVOTDATA("Sum of CNsmrecap",SalmonPivot!$M$4,"Date",B85,"Site",1)</f>
        <v>0</v>
      </c>
      <c r="K85" s="24">
        <f>L85+GETPIVOTDATA("Sum of SOno",SalmonPivot!$Y$4,"Date",B85,"Site",1)+GETPIVOTDATA("Sum of SOrecap",SalmonPivot!$Y$4,"Date",B85,"Site",1)</f>
        <v>0</v>
      </c>
      <c r="L85" s="24">
        <f>GETPIVOTDATA("Sum of SOrad",SalmonPivot!$Y$4,"Date",B85,"Site",1)</f>
        <v>0</v>
      </c>
      <c r="M85" s="24">
        <f>N85+GETPIVOTDATA("Sum of PKno",SalmonPivot!$AK$4,"Date",B85,"Site",1)+GETPIVOTDATA("Sum of PKrecap",SalmonPivot!$AK$4,"Date",B85,"Site",1)</f>
        <v>0</v>
      </c>
      <c r="N85" s="24">
        <f>GETPIVOTDATA("Sum of PKrad",SalmonPivot!$AK$4,"Date",B85,"Site",1)</f>
        <v>0</v>
      </c>
      <c r="O85" s="24">
        <f>P85+GETPIVOTDATA("Sum of CMno",SalmonPivot!$AW$4,"Date",B85,"Site",1)+GETPIVOTDATA("Sum of CMrecap",SalmonPivot!$AW$4,"Date",B85,"Site",1)</f>
        <v>4</v>
      </c>
      <c r="P85" s="24">
        <f>GETPIVOTDATA("Sum of CMrad",SalmonPivot!$AW$4,"Date",B85,"Site",1)</f>
        <v>0</v>
      </c>
      <c r="Q85" s="25">
        <f>R85+GETPIVOTDATA("Sum of COno",SalmonPivot!$BI$4,"Date",B85,"Site",1)+GETPIVOTDATA("Sum of COrecap",SalmonPivot!$BI$4,"Date",B85,"Site",1)</f>
        <v>2</v>
      </c>
      <c r="R85" s="24">
        <f>GETPIVOTDATA("Sum of COrad",SalmonPivot!$BI$4,"Date",B85,"Site",1)</f>
        <v>2</v>
      </c>
      <c r="S85" s="24">
        <f>GETPIVOTDATA("Sum of TotalOther",OtherPivot!$J$5,"Date",B85,"Site",1)</f>
        <v>0</v>
      </c>
      <c r="T85" s="38"/>
      <c r="U85" s="172">
        <f>IF(GETPIVOTDATA("3 Revs (s)",EffortRPMPivot!$L$4,"Date",$B85,"Site",1)=0,"",GETPIVOTDATA("3 revs (s)",EffortRPMPivot!$L$4,"date",$B85,"Site",1))</f>
        <v>58.5</v>
      </c>
      <c r="V85" s="173">
        <f t="shared" si="84"/>
        <v>0</v>
      </c>
      <c r="W85" s="173">
        <f t="shared" si="85"/>
        <v>0</v>
      </c>
      <c r="X85" s="173">
        <f t="shared" si="86"/>
        <v>0</v>
      </c>
      <c r="Y85" s="173">
        <f t="shared" si="87"/>
        <v>0</v>
      </c>
      <c r="Z85" s="173">
        <f t="shared" si="88"/>
        <v>0.33333333333333326</v>
      </c>
      <c r="AA85" s="174">
        <f t="shared" si="89"/>
        <v>0.16666666666666663</v>
      </c>
      <c r="AB85" s="175">
        <f t="shared" si="90"/>
        <v>0</v>
      </c>
      <c r="AC85" s="175">
        <f t="shared" si="91"/>
        <v>0</v>
      </c>
      <c r="AD85" s="175">
        <f t="shared" si="92"/>
        <v>0</v>
      </c>
      <c r="AE85" s="175">
        <f t="shared" si="93"/>
        <v>1</v>
      </c>
      <c r="AF85" s="175">
        <f t="shared" si="94"/>
        <v>23</v>
      </c>
      <c r="AG85" s="175">
        <f t="shared" si="95"/>
        <v>12</v>
      </c>
      <c r="AH85" s="176">
        <f t="shared" si="96"/>
        <v>36</v>
      </c>
      <c r="AI85" s="175">
        <f>SUM(AB$4:AB85)</f>
        <v>672</v>
      </c>
      <c r="AJ85" s="175">
        <f>SUM(AC$4:AC85)</f>
        <v>205</v>
      </c>
      <c r="AK85" s="175">
        <f>SUM(AD$4:AD85)</f>
        <v>210</v>
      </c>
      <c r="AL85" s="175">
        <f>SUM(AE$4:AE85)</f>
        <v>7470</v>
      </c>
      <c r="AM85" s="175">
        <f>SUM(AF$4:AF85)</f>
        <v>1419</v>
      </c>
      <c r="AN85" s="176">
        <f>SUM(AG$4:AG85)</f>
        <v>308</v>
      </c>
      <c r="AO85" s="175">
        <f t="shared" si="97"/>
        <v>0</v>
      </c>
      <c r="AP85" s="175">
        <f t="shared" si="98"/>
        <v>0</v>
      </c>
      <c r="AQ85" s="175">
        <f t="shared" si="99"/>
        <v>0</v>
      </c>
      <c r="AR85" s="175">
        <f t="shared" si="100"/>
        <v>0</v>
      </c>
      <c r="AS85" s="175">
        <f t="shared" si="101"/>
        <v>2</v>
      </c>
      <c r="AT85" s="176">
        <f t="shared" si="102"/>
        <v>9</v>
      </c>
      <c r="AU85" s="175">
        <f>SUM(AO$4:AO85)</f>
        <v>590</v>
      </c>
      <c r="AV85" s="175">
        <f>SUM(AP$4:AP85)</f>
        <v>33</v>
      </c>
      <c r="AW85" s="175">
        <f>SUM(AQ$4:AQ85)</f>
        <v>197</v>
      </c>
      <c r="AX85" s="175">
        <f>SUM(AR$4:AR85)</f>
        <v>199</v>
      </c>
      <c r="AY85" s="175">
        <f>SUM(AS$4:AS85)</f>
        <v>200</v>
      </c>
      <c r="AZ85" s="176">
        <f>SUM(AT$4:AT85)</f>
        <v>192</v>
      </c>
      <c r="BA85" s="177">
        <f t="shared" si="103"/>
        <v>0</v>
      </c>
      <c r="BB85" s="177">
        <f t="shared" si="104"/>
        <v>0</v>
      </c>
      <c r="BC85" s="177">
        <f t="shared" si="105"/>
        <v>0</v>
      </c>
      <c r="BD85" s="177">
        <f t="shared" si="106"/>
        <v>1.3383297644539615E-4</v>
      </c>
      <c r="BE85" s="177">
        <f t="shared" si="107"/>
        <v>1.5656909462219197E-2</v>
      </c>
      <c r="BF85" s="273">
        <f t="shared" si="108"/>
        <v>3.5928143712574849E-2</v>
      </c>
      <c r="BG85" s="177">
        <f>SUM(BA$4:BA85)</f>
        <v>0.99999999999999967</v>
      </c>
      <c r="BH85" s="177">
        <f>SUM(BB$4:BB85)</f>
        <v>1.0000000000000002</v>
      </c>
      <c r="BI85" s="177">
        <f>SUM(BC$4:BC85)</f>
        <v>0.98591549295774683</v>
      </c>
      <c r="BJ85" s="177">
        <f>SUM(BD$4:BD85)</f>
        <v>0.99973233404710937</v>
      </c>
      <c r="BK85" s="177">
        <f>SUM(BE$4:BE85)</f>
        <v>0.96596324029952363</v>
      </c>
      <c r="BL85" s="166">
        <f>SUM(BF$4:BF85)</f>
        <v>0.92215568862275443</v>
      </c>
      <c r="BM85" s="412"/>
      <c r="BN85" s="412"/>
    </row>
    <row r="86" spans="2:66" x14ac:dyDescent="0.2">
      <c r="B86" s="60">
        <f t="shared" si="30"/>
        <v>41878</v>
      </c>
      <c r="C86" s="22">
        <f t="shared" si="113"/>
        <v>3.3962264150943398</v>
      </c>
      <c r="D86" s="23">
        <f>GETPIVOTDATA("Active time (min)",EffortRPMPivot!$A$4,"date",B86,"Site",1)/60</f>
        <v>12.066666666666666</v>
      </c>
      <c r="E86" s="24">
        <f>F86+G86+GETPIVOTDATA("Sum of CNlgNo",SalmonPivot!$A$4,"Date",B86,"Site",1)</f>
        <v>0</v>
      </c>
      <c r="F86" s="24">
        <f>GETPIVOTDATA("Sum of CNlgrad",SalmonPivot!$A$4,"date",B86,"Site",1)</f>
        <v>0</v>
      </c>
      <c r="G86" s="24">
        <f>GETPIVOTDATA("Sum of CNlgrecap",SalmonPivot!$A$4,"date",B86,"Site",1)</f>
        <v>0</v>
      </c>
      <c r="H86" s="24">
        <f>I86+J86+GETPIVOTDATA("Sum of CNsmno",SalmonPivot!$M$4,"Date",B86,"Site",1)</f>
        <v>0</v>
      </c>
      <c r="I86" s="24">
        <f>GETPIVOTDATA("Sum of CNsmradio",SalmonPivot!$M$4,"Date",B86,"Site",1)</f>
        <v>0</v>
      </c>
      <c r="J86" s="24">
        <f>GETPIVOTDATA("Sum of CNsmrecap",SalmonPivot!$M$4,"Date",B86,"Site",1)</f>
        <v>0</v>
      </c>
      <c r="K86" s="24">
        <f>L86+GETPIVOTDATA("Sum of SOno",SalmonPivot!$Y$4,"Date",B86,"Site",1)+GETPIVOTDATA("Sum of SOrecap",SalmonPivot!$Y$4,"Date",B86,"Site",1)</f>
        <v>0</v>
      </c>
      <c r="L86" s="24">
        <f>GETPIVOTDATA("Sum of SOrad",SalmonPivot!$Y$4,"Date",B86,"Site",1)</f>
        <v>0</v>
      </c>
      <c r="M86" s="24">
        <f>N86+GETPIVOTDATA("Sum of PKno",SalmonPivot!$AK$4,"Date",B86,"Site",1)+GETPIVOTDATA("Sum of PKrecap",SalmonPivot!$AK$4,"Date",B86,"Site",1)</f>
        <v>0</v>
      </c>
      <c r="N86" s="24">
        <f>GETPIVOTDATA("Sum of PKrad",SalmonPivot!$AK$4,"Date",B86,"Site",1)</f>
        <v>0</v>
      </c>
      <c r="O86" s="24">
        <f>P86+GETPIVOTDATA("Sum of CMno",SalmonPivot!$AW$4,"Date",B86,"Site",1)+GETPIVOTDATA("Sum of CMrecap",SalmonPivot!$AW$4,"Date",B86,"Site",1)</f>
        <v>3</v>
      </c>
      <c r="P86" s="24">
        <f>GETPIVOTDATA("Sum of CMrad",SalmonPivot!$AW$4,"Date",B86,"Site",1)</f>
        <v>0</v>
      </c>
      <c r="Q86" s="25">
        <f>R86+GETPIVOTDATA("Sum of COno",SalmonPivot!$BI$4,"Date",B86,"Site",1)+GETPIVOTDATA("Sum of COrecap",SalmonPivot!$BI$4,"Date",B86,"Site",1)</f>
        <v>1</v>
      </c>
      <c r="R86" s="24">
        <f>GETPIVOTDATA("Sum of COrad",SalmonPivot!$BI$4,"Date",B86,"Site",1)</f>
        <v>1</v>
      </c>
      <c r="S86" s="24">
        <f>GETPIVOTDATA("Sum of TotalOther",OtherPivot!$J$5,"Date",B86,"Site",1)</f>
        <v>0</v>
      </c>
      <c r="T86" s="38"/>
      <c r="U86" s="172">
        <f>IF(GETPIVOTDATA("3 Revs (s)",EffortRPMPivot!$L$4,"Date",$B86,"Site",1)=0,"",GETPIVOTDATA("3 revs (s)",EffortRPMPivot!$L$4,"date",$B86,"Site",1))</f>
        <v>53</v>
      </c>
      <c r="V86" s="173">
        <f t="shared" si="84"/>
        <v>0</v>
      </c>
      <c r="W86" s="173">
        <f t="shared" si="85"/>
        <v>0</v>
      </c>
      <c r="X86" s="173">
        <f t="shared" si="86"/>
        <v>0</v>
      </c>
      <c r="Y86" s="173">
        <f t="shared" si="87"/>
        <v>0</v>
      </c>
      <c r="Z86" s="173">
        <f t="shared" si="88"/>
        <v>0.24861878453038674</v>
      </c>
      <c r="AA86" s="174">
        <f t="shared" si="89"/>
        <v>8.2872928176795577E-2</v>
      </c>
      <c r="AB86" s="175">
        <f t="shared" si="90"/>
        <v>0</v>
      </c>
      <c r="AC86" s="175">
        <f t="shared" si="91"/>
        <v>0</v>
      </c>
      <c r="AD86" s="175">
        <f t="shared" si="92"/>
        <v>0</v>
      </c>
      <c r="AE86" s="175">
        <f t="shared" si="93"/>
        <v>0</v>
      </c>
      <c r="AF86" s="175">
        <f t="shared" si="94"/>
        <v>7</v>
      </c>
      <c r="AG86" s="175">
        <f t="shared" si="95"/>
        <v>4</v>
      </c>
      <c r="AH86" s="176">
        <f t="shared" si="96"/>
        <v>11</v>
      </c>
      <c r="AI86" s="175">
        <f>SUM(AB$4:AB86)</f>
        <v>672</v>
      </c>
      <c r="AJ86" s="175">
        <f>SUM(AC$4:AC86)</f>
        <v>205</v>
      </c>
      <c r="AK86" s="175">
        <f>SUM(AD$4:AD86)</f>
        <v>210</v>
      </c>
      <c r="AL86" s="175">
        <f>SUM(AE$4:AE86)</f>
        <v>7470</v>
      </c>
      <c r="AM86" s="175">
        <f>SUM(AF$4:AF86)</f>
        <v>1426</v>
      </c>
      <c r="AN86" s="176">
        <f>SUM(AG$4:AG86)</f>
        <v>312</v>
      </c>
      <c r="AO86" s="175">
        <f t="shared" si="97"/>
        <v>0</v>
      </c>
      <c r="AP86" s="175">
        <f t="shared" si="98"/>
        <v>0</v>
      </c>
      <c r="AQ86" s="175">
        <f t="shared" si="99"/>
        <v>0</v>
      </c>
      <c r="AR86" s="175">
        <f t="shared" si="100"/>
        <v>0</v>
      </c>
      <c r="AS86" s="175">
        <f t="shared" si="101"/>
        <v>0</v>
      </c>
      <c r="AT86" s="176">
        <f t="shared" si="102"/>
        <v>4</v>
      </c>
      <c r="AU86" s="175">
        <f>SUM(AO$4:AO86)</f>
        <v>590</v>
      </c>
      <c r="AV86" s="175">
        <f>SUM(AP$4:AP86)</f>
        <v>33</v>
      </c>
      <c r="AW86" s="175">
        <f>SUM(AQ$4:AQ86)</f>
        <v>197</v>
      </c>
      <c r="AX86" s="175">
        <f>SUM(AR$4:AR86)</f>
        <v>199</v>
      </c>
      <c r="AY86" s="175">
        <f>SUM(AS$4:AS86)</f>
        <v>200</v>
      </c>
      <c r="AZ86" s="176">
        <f>SUM(AT$4:AT86)</f>
        <v>196</v>
      </c>
      <c r="BA86" s="177">
        <f t="shared" si="103"/>
        <v>0</v>
      </c>
      <c r="BB86" s="177">
        <f t="shared" si="104"/>
        <v>0</v>
      </c>
      <c r="BC86" s="177">
        <f t="shared" si="105"/>
        <v>0</v>
      </c>
      <c r="BD86" s="177">
        <f t="shared" si="106"/>
        <v>0</v>
      </c>
      <c r="BE86" s="177">
        <f t="shared" si="107"/>
        <v>4.7651463580667122E-3</v>
      </c>
      <c r="BF86" s="273">
        <f t="shared" si="108"/>
        <v>1.1976047904191617E-2</v>
      </c>
      <c r="BG86" s="177">
        <f>SUM(BA$4:BA86)</f>
        <v>0.99999999999999967</v>
      </c>
      <c r="BH86" s="177">
        <f>SUM(BB$4:BB86)</f>
        <v>1.0000000000000002</v>
      </c>
      <c r="BI86" s="177">
        <f>SUM(BC$4:BC86)</f>
        <v>0.98591549295774683</v>
      </c>
      <c r="BJ86" s="177">
        <f>SUM(BD$4:BD86)</f>
        <v>0.99973233404710937</v>
      </c>
      <c r="BK86" s="177">
        <f>SUM(BE$4:BE86)</f>
        <v>0.97072838665759031</v>
      </c>
      <c r="BL86" s="166">
        <f>SUM(BF$4:BF86)</f>
        <v>0.93413173652694603</v>
      </c>
      <c r="BM86" s="412"/>
      <c r="BN86" s="412"/>
    </row>
    <row r="87" spans="2:66" x14ac:dyDescent="0.2">
      <c r="B87" s="60">
        <f>1+B86</f>
        <v>41879</v>
      </c>
      <c r="C87" s="22">
        <f t="shared" ref="C87:C88" si="114">IF(ISERROR(3/(U87/60)),"",3/(U87/60))</f>
        <v>3.5526315789473686</v>
      </c>
      <c r="D87" s="23">
        <f>GETPIVOTDATA("Active time (min)",EffortRPMPivot!$A$4,"date",B87,"Site",1)/60</f>
        <v>12.1</v>
      </c>
      <c r="E87" s="24">
        <f>F87+G87+GETPIVOTDATA("Sum of CNlgNo",SalmonPivot!$A$4,"Date",B87,"Site",1)</f>
        <v>0</v>
      </c>
      <c r="F87" s="24">
        <f>GETPIVOTDATA("Sum of CNlgrad",SalmonPivot!$A$4,"date",B87,"Site",1)</f>
        <v>0</v>
      </c>
      <c r="G87" s="24">
        <f>GETPIVOTDATA("Sum of CNlgrecap",SalmonPivot!$A$4,"date",B87,"Site",1)</f>
        <v>0</v>
      </c>
      <c r="H87" s="24">
        <f>I87+J87+GETPIVOTDATA("Sum of CNsmno",SalmonPivot!$M$4,"Date",B87,"Site",1)</f>
        <v>0</v>
      </c>
      <c r="I87" s="24">
        <f>GETPIVOTDATA("Sum of CNsmradio",SalmonPivot!$M$4,"Date",B87,"Site",1)</f>
        <v>0</v>
      </c>
      <c r="J87" s="24">
        <f>GETPIVOTDATA("Sum of CNsmrecap",SalmonPivot!$M$4,"Date",B87,"Site",1)</f>
        <v>0</v>
      </c>
      <c r="K87" s="24">
        <f>L87+GETPIVOTDATA("Sum of SOno",SalmonPivot!$Y$4,"Date",B87,"Site",1)+GETPIVOTDATA("Sum of SOrecap",SalmonPivot!$Y$4,"Date",B87,"Site",1)</f>
        <v>0</v>
      </c>
      <c r="L87" s="24">
        <f>GETPIVOTDATA("Sum of SOrad",SalmonPivot!$Y$4,"Date",B87,"Site",1)</f>
        <v>0</v>
      </c>
      <c r="M87" s="24">
        <f>N87+GETPIVOTDATA("Sum of PKno",SalmonPivot!$AK$4,"Date",B87,"Site",1)+GETPIVOTDATA("Sum of PKrecap",SalmonPivot!$AK$4,"Date",B87,"Site",1)</f>
        <v>0</v>
      </c>
      <c r="N87" s="24">
        <f>GETPIVOTDATA("Sum of PKrad",SalmonPivot!$AK$4,"Date",B87,"Site",1)</f>
        <v>0</v>
      </c>
      <c r="O87" s="24">
        <f>P87+GETPIVOTDATA("Sum of CMno",SalmonPivot!$AW$4,"Date",B87,"Site",1)+GETPIVOTDATA("Sum of CMrecap",SalmonPivot!$AW$4,"Date",B87,"Site",1)</f>
        <v>1</v>
      </c>
      <c r="P87" s="24">
        <f>GETPIVOTDATA("Sum of CMrad",SalmonPivot!$AW$4,"Date",B87,"Site",1)</f>
        <v>0</v>
      </c>
      <c r="Q87" s="25">
        <f>R87+GETPIVOTDATA("Sum of COno",SalmonPivot!$BI$4,"Date",B87,"Site",1)+GETPIVOTDATA("Sum of COrecap",SalmonPivot!$BI$4,"Date",B87,"Site",1)</f>
        <v>0</v>
      </c>
      <c r="R87" s="24">
        <f>GETPIVOTDATA("Sum of COrad",SalmonPivot!$BI$4,"Date",B87,"Site",1)</f>
        <v>0</v>
      </c>
      <c r="S87" s="24">
        <f>GETPIVOTDATA("Sum of TotalOther",OtherPivot!$J$5,"Date",B87,"Site",1)</f>
        <v>0</v>
      </c>
      <c r="T87" s="38"/>
      <c r="U87" s="172">
        <f>IF(GETPIVOTDATA("3 Revs (s)",EffortRPMPivot!$L$4,"Date",$B87,"Site",1)=0,"",GETPIVOTDATA("3 revs (s)",EffortRPMPivot!$L$4,"date",$B87,"Site",1))</f>
        <v>50.666666666666664</v>
      </c>
      <c r="V87" s="173">
        <f t="shared" si="84"/>
        <v>0</v>
      </c>
      <c r="W87" s="173">
        <f t="shared" si="85"/>
        <v>0</v>
      </c>
      <c r="X87" s="173">
        <f t="shared" si="86"/>
        <v>0</v>
      </c>
      <c r="Y87" s="173">
        <f t="shared" si="87"/>
        <v>0</v>
      </c>
      <c r="Z87" s="173">
        <f t="shared" si="88"/>
        <v>8.2644628099173556E-2</v>
      </c>
      <c r="AA87" s="174">
        <f t="shared" si="89"/>
        <v>0</v>
      </c>
      <c r="AB87" s="175">
        <f t="shared" si="90"/>
        <v>0</v>
      </c>
      <c r="AC87" s="175">
        <f t="shared" si="91"/>
        <v>0</v>
      </c>
      <c r="AD87" s="175">
        <f t="shared" si="92"/>
        <v>0</v>
      </c>
      <c r="AE87" s="175">
        <f t="shared" si="93"/>
        <v>0</v>
      </c>
      <c r="AF87" s="175">
        <f t="shared" si="94"/>
        <v>3</v>
      </c>
      <c r="AG87" s="175">
        <f t="shared" si="95"/>
        <v>4</v>
      </c>
      <c r="AH87" s="176">
        <f t="shared" si="96"/>
        <v>7</v>
      </c>
      <c r="AI87" s="175">
        <f>SUM(AB$4:AB87)</f>
        <v>672</v>
      </c>
      <c r="AJ87" s="175">
        <f>SUM(AC$4:AC87)</f>
        <v>205</v>
      </c>
      <c r="AK87" s="175">
        <f>SUM(AD$4:AD87)</f>
        <v>210</v>
      </c>
      <c r="AL87" s="175">
        <f>SUM(AE$4:AE87)</f>
        <v>7470</v>
      </c>
      <c r="AM87" s="175">
        <f>SUM(AF$4:AF87)</f>
        <v>1429</v>
      </c>
      <c r="AN87" s="176">
        <f>SUM(AG$4:AG87)</f>
        <v>316</v>
      </c>
      <c r="AO87" s="175">
        <f t="shared" si="97"/>
        <v>0</v>
      </c>
      <c r="AP87" s="175">
        <f t="shared" si="98"/>
        <v>0</v>
      </c>
      <c r="AQ87" s="175">
        <f t="shared" si="99"/>
        <v>0</v>
      </c>
      <c r="AR87" s="175">
        <f t="shared" si="100"/>
        <v>0</v>
      </c>
      <c r="AS87" s="175">
        <f t="shared" si="101"/>
        <v>0</v>
      </c>
      <c r="AT87" s="176">
        <f t="shared" si="102"/>
        <v>2</v>
      </c>
      <c r="AU87" s="175">
        <f>SUM(AO$4:AO87)</f>
        <v>590</v>
      </c>
      <c r="AV87" s="175">
        <f>SUM(AP$4:AP87)</f>
        <v>33</v>
      </c>
      <c r="AW87" s="175">
        <f>SUM(AQ$4:AQ87)</f>
        <v>197</v>
      </c>
      <c r="AX87" s="175">
        <f>SUM(AR$4:AR87)</f>
        <v>199</v>
      </c>
      <c r="AY87" s="175">
        <f>SUM(AS$4:AS87)</f>
        <v>200</v>
      </c>
      <c r="AZ87" s="176">
        <f>SUM(AT$4:AT87)</f>
        <v>198</v>
      </c>
      <c r="BA87" s="177">
        <f t="shared" si="103"/>
        <v>0</v>
      </c>
      <c r="BB87" s="177">
        <f t="shared" si="104"/>
        <v>0</v>
      </c>
      <c r="BC87" s="177">
        <f t="shared" si="105"/>
        <v>0</v>
      </c>
      <c r="BD87" s="177">
        <f t="shared" si="106"/>
        <v>0</v>
      </c>
      <c r="BE87" s="177">
        <f t="shared" si="107"/>
        <v>2.0422055820285907E-3</v>
      </c>
      <c r="BF87" s="273">
        <f t="shared" si="108"/>
        <v>1.1976047904191617E-2</v>
      </c>
      <c r="BG87" s="177">
        <f>SUM(BA$4:BA87)</f>
        <v>0.99999999999999967</v>
      </c>
      <c r="BH87" s="177">
        <f>SUM(BB$4:BB87)</f>
        <v>1.0000000000000002</v>
      </c>
      <c r="BI87" s="177">
        <f>SUM(BC$4:BC87)</f>
        <v>0.98591549295774683</v>
      </c>
      <c r="BJ87" s="177">
        <f>SUM(BD$4:BD87)</f>
        <v>0.99973233404710937</v>
      </c>
      <c r="BK87" s="177">
        <f>SUM(BE$4:BE87)</f>
        <v>0.97277059223961893</v>
      </c>
      <c r="BL87" s="166">
        <f>SUM(BF$4:BF87)</f>
        <v>0.94610778443113763</v>
      </c>
      <c r="BM87" s="412"/>
      <c r="BN87" s="412"/>
    </row>
    <row r="88" spans="2:66" x14ac:dyDescent="0.2">
      <c r="B88" s="60">
        <f>1+B87</f>
        <v>41880</v>
      </c>
      <c r="C88" s="22">
        <f t="shared" si="114"/>
        <v>3.2142857142857144</v>
      </c>
      <c r="D88" s="23">
        <f>GETPIVOTDATA("Active time (min)",EffortRPMPivot!$A$4,"date",B88,"Site",1)/60</f>
        <v>10.5</v>
      </c>
      <c r="E88" s="24">
        <f>F88+G88+GETPIVOTDATA("Sum of CNlgNo",SalmonPivot!$A$4,"Date",B88,"Site",1)</f>
        <v>0</v>
      </c>
      <c r="F88" s="24">
        <f>GETPIVOTDATA("Sum of CNlgrad",SalmonPivot!$A$4,"date",B88,"Site",1)</f>
        <v>0</v>
      </c>
      <c r="G88" s="24">
        <f>GETPIVOTDATA("Sum of CNlgrecap",SalmonPivot!$A$4,"date",B88,"Site",1)</f>
        <v>0</v>
      </c>
      <c r="H88" s="24">
        <f>I88+J88+GETPIVOTDATA("Sum of CNsmno",SalmonPivot!$M$4,"Date",B88,"Site",1)</f>
        <v>0</v>
      </c>
      <c r="I88" s="24">
        <f>GETPIVOTDATA("Sum of CNsmradio",SalmonPivot!$M$4,"Date",B88,"Site",1)</f>
        <v>0</v>
      </c>
      <c r="J88" s="24">
        <f>GETPIVOTDATA("Sum of CNsmrecap",SalmonPivot!$M$4,"Date",B88,"Site",1)</f>
        <v>0</v>
      </c>
      <c r="K88" s="24">
        <f>L88+GETPIVOTDATA("Sum of SOno",SalmonPivot!$Y$4,"Date",B88,"Site",1)+GETPIVOTDATA("Sum of SOrecap",SalmonPivot!$Y$4,"Date",B88,"Site",1)</f>
        <v>0</v>
      </c>
      <c r="L88" s="24">
        <f>GETPIVOTDATA("Sum of SOrad",SalmonPivot!$Y$4,"Date",B88,"Site",1)</f>
        <v>0</v>
      </c>
      <c r="M88" s="24">
        <f>N88+GETPIVOTDATA("Sum of PKno",SalmonPivot!$AK$4,"Date",B88,"Site",1)+GETPIVOTDATA("Sum of PKrecap",SalmonPivot!$AK$4,"Date",B88,"Site",1)</f>
        <v>1</v>
      </c>
      <c r="N88" s="24">
        <f>GETPIVOTDATA("Sum of PKrad",SalmonPivot!$AK$4,"Date",B88,"Site",1)</f>
        <v>1</v>
      </c>
      <c r="O88" s="24">
        <f>P88+GETPIVOTDATA("Sum of CMno",SalmonPivot!$AW$4,"Date",B88,"Site",1)+GETPIVOTDATA("Sum of CMrecap",SalmonPivot!$AW$4,"Date",B88,"Site",1)</f>
        <v>3</v>
      </c>
      <c r="P88" s="24">
        <f>GETPIVOTDATA("Sum of CMrad",SalmonPivot!$AW$4,"Date",B88,"Site",1)</f>
        <v>0</v>
      </c>
      <c r="Q88" s="25">
        <f>R88+GETPIVOTDATA("Sum of COno",SalmonPivot!$BI$4,"Date",B88,"Site",1)+GETPIVOTDATA("Sum of COrecap",SalmonPivot!$BI$4,"Date",B88,"Site",1)</f>
        <v>1</v>
      </c>
      <c r="R88" s="24">
        <f>GETPIVOTDATA("Sum of COrad",SalmonPivot!$BI$4,"Date",B88,"Site",1)</f>
        <v>1</v>
      </c>
      <c r="S88" s="24">
        <f>GETPIVOTDATA("Sum of TotalOther",OtherPivot!$J$5,"Date",B88,"Site",1)</f>
        <v>0</v>
      </c>
      <c r="T88" s="38"/>
      <c r="U88" s="172">
        <f>IF(GETPIVOTDATA("3 Revs (s)",EffortRPMPivot!$L$4,"Date",$B88,"Site",1)=0,"",GETPIVOTDATA("3 revs (s)",EffortRPMPivot!$L$4,"date",$B88,"Site",1))</f>
        <v>56</v>
      </c>
      <c r="V88" s="173">
        <f t="shared" si="84"/>
        <v>0</v>
      </c>
      <c r="W88" s="173">
        <f t="shared" si="85"/>
        <v>0</v>
      </c>
      <c r="X88" s="173">
        <f t="shared" si="86"/>
        <v>0</v>
      </c>
      <c r="Y88" s="173">
        <f t="shared" si="87"/>
        <v>9.5238095238095233E-2</v>
      </c>
      <c r="Z88" s="173">
        <f t="shared" si="88"/>
        <v>0.2857142857142857</v>
      </c>
      <c r="AA88" s="174">
        <f t="shared" si="89"/>
        <v>9.5238095238095233E-2</v>
      </c>
      <c r="AB88" s="175">
        <f t="shared" si="90"/>
        <v>0</v>
      </c>
      <c r="AC88" s="175">
        <f t="shared" si="91"/>
        <v>0</v>
      </c>
      <c r="AD88" s="175">
        <f t="shared" si="92"/>
        <v>0</v>
      </c>
      <c r="AE88" s="175">
        <f t="shared" si="93"/>
        <v>1</v>
      </c>
      <c r="AF88" s="175">
        <f t="shared" si="94"/>
        <v>10</v>
      </c>
      <c r="AG88" s="175">
        <f t="shared" si="95"/>
        <v>4</v>
      </c>
      <c r="AH88" s="176">
        <f t="shared" si="96"/>
        <v>15</v>
      </c>
      <c r="AI88" s="175">
        <f>SUM(AB$4:AB88)</f>
        <v>672</v>
      </c>
      <c r="AJ88" s="175">
        <f>SUM(AC$4:AC88)</f>
        <v>205</v>
      </c>
      <c r="AK88" s="175">
        <f>SUM(AD$4:AD88)</f>
        <v>210</v>
      </c>
      <c r="AL88" s="175">
        <f>SUM(AE$4:AE88)</f>
        <v>7471</v>
      </c>
      <c r="AM88" s="175">
        <f>SUM(AF$4:AF88)</f>
        <v>1439</v>
      </c>
      <c r="AN88" s="176">
        <f>SUM(AG$4:AG88)</f>
        <v>320</v>
      </c>
      <c r="AO88" s="175">
        <f t="shared" si="97"/>
        <v>0</v>
      </c>
      <c r="AP88" s="175">
        <f t="shared" si="98"/>
        <v>0</v>
      </c>
      <c r="AQ88" s="175">
        <f t="shared" si="99"/>
        <v>0</v>
      </c>
      <c r="AR88" s="175">
        <f t="shared" si="100"/>
        <v>1</v>
      </c>
      <c r="AS88" s="175">
        <f t="shared" si="101"/>
        <v>0</v>
      </c>
      <c r="AT88" s="176">
        <f t="shared" si="102"/>
        <v>4</v>
      </c>
      <c r="AU88" s="175">
        <f>SUM(AO$4:AO88)</f>
        <v>590</v>
      </c>
      <c r="AV88" s="175">
        <f>SUM(AP$4:AP88)</f>
        <v>33</v>
      </c>
      <c r="AW88" s="175">
        <f>SUM(AQ$4:AQ88)</f>
        <v>197</v>
      </c>
      <c r="AX88" s="175">
        <f>SUM(AR$4:AR88)</f>
        <v>200</v>
      </c>
      <c r="AY88" s="175">
        <f>SUM(AS$4:AS88)</f>
        <v>200</v>
      </c>
      <c r="AZ88" s="176">
        <f>SUM(AT$4:AT88)</f>
        <v>202</v>
      </c>
      <c r="BA88" s="177">
        <f t="shared" si="103"/>
        <v>0</v>
      </c>
      <c r="BB88" s="177">
        <f t="shared" si="104"/>
        <v>0</v>
      </c>
      <c r="BC88" s="177">
        <f t="shared" si="105"/>
        <v>0</v>
      </c>
      <c r="BD88" s="177">
        <f t="shared" si="106"/>
        <v>1.3383297644539615E-4</v>
      </c>
      <c r="BE88" s="177">
        <f t="shared" si="107"/>
        <v>6.8073519400953025E-3</v>
      </c>
      <c r="BF88" s="273">
        <f t="shared" si="108"/>
        <v>1.1976047904191617E-2</v>
      </c>
      <c r="BG88" s="177">
        <f>SUM(BA$4:BA88)</f>
        <v>0.99999999999999967</v>
      </c>
      <c r="BH88" s="177">
        <f>SUM(BB$4:BB88)</f>
        <v>1.0000000000000002</v>
      </c>
      <c r="BI88" s="177">
        <f>SUM(BC$4:BC88)</f>
        <v>0.98591549295774683</v>
      </c>
      <c r="BJ88" s="177">
        <f>SUM(BD$4:BD88)</f>
        <v>0.9998661670235548</v>
      </c>
      <c r="BK88" s="177">
        <f>SUM(BE$4:BE88)</f>
        <v>0.97957794417971422</v>
      </c>
      <c r="BL88" s="166">
        <f>SUM(BF$4:BF88)</f>
        <v>0.95808383233532923</v>
      </c>
      <c r="BM88" s="412"/>
      <c r="BN88" s="412"/>
    </row>
    <row r="89" spans="2:66" x14ac:dyDescent="0.2">
      <c r="B89" s="60">
        <f>1+B88</f>
        <v>41881</v>
      </c>
      <c r="C89" s="22">
        <f t="shared" ref="C89" si="115">IF(ISERROR(3/(U89/60)),"",3/(U89/60))</f>
        <v>3.333333333333333</v>
      </c>
      <c r="D89" s="23">
        <f>GETPIVOTDATA("Active time (min)",EffortRPMPivot!$A$4,"date",B89,"Site",1)/60</f>
        <v>9.9333333333333336</v>
      </c>
      <c r="E89" s="24">
        <f>F89+G89+GETPIVOTDATA("Sum of CNlgNo",SalmonPivot!$A$4,"Date",B89,"Site",1)</f>
        <v>0</v>
      </c>
      <c r="F89" s="24">
        <f>GETPIVOTDATA("Sum of CNlgrad",SalmonPivot!$A$4,"date",B89,"Site",1)</f>
        <v>0</v>
      </c>
      <c r="G89" s="24">
        <f>GETPIVOTDATA("Sum of CNlgrecap",SalmonPivot!$A$4,"date",B89,"Site",1)</f>
        <v>0</v>
      </c>
      <c r="H89" s="24">
        <f>I89+J89+GETPIVOTDATA("Sum of CNsmno",SalmonPivot!$M$4,"Date",B89,"Site",1)</f>
        <v>0</v>
      </c>
      <c r="I89" s="24">
        <f>GETPIVOTDATA("Sum of CNsmradio",SalmonPivot!$M$4,"Date",B89,"Site",1)</f>
        <v>0</v>
      </c>
      <c r="J89" s="24">
        <f>GETPIVOTDATA("Sum of CNsmrecap",SalmonPivot!$M$4,"Date",B89,"Site",1)</f>
        <v>0</v>
      </c>
      <c r="K89" s="24">
        <f>L89+GETPIVOTDATA("Sum of SOno",SalmonPivot!$Y$4,"Date",B89,"Site",1)+GETPIVOTDATA("Sum of SOrecap",SalmonPivot!$Y$4,"Date",B89,"Site",1)</f>
        <v>1</v>
      </c>
      <c r="L89" s="24">
        <f>GETPIVOTDATA("Sum of SOrad",SalmonPivot!$Y$4,"Date",B89,"Site",1)</f>
        <v>1</v>
      </c>
      <c r="M89" s="24">
        <f>N89+GETPIVOTDATA("Sum of PKno",SalmonPivot!$AK$4,"Date",B89,"Site",1)+GETPIVOTDATA("Sum of PKrecap",SalmonPivot!$AK$4,"Date",B89,"Site",1)</f>
        <v>1</v>
      </c>
      <c r="N89" s="24">
        <f>GETPIVOTDATA("Sum of PKrad",SalmonPivot!$AK$4,"Date",B89,"Site",1)</f>
        <v>0</v>
      </c>
      <c r="O89" s="24">
        <f>P89+GETPIVOTDATA("Sum of CMno",SalmonPivot!$AW$4,"Date",B89,"Site",1)+GETPIVOTDATA("Sum of CMrecap",SalmonPivot!$AW$4,"Date",B89,"Site",1)</f>
        <v>4</v>
      </c>
      <c r="P89" s="24">
        <f>GETPIVOTDATA("Sum of CMrad",SalmonPivot!$AW$4,"Date",B89,"Site",1)</f>
        <v>0</v>
      </c>
      <c r="Q89" s="25">
        <f>R89+GETPIVOTDATA("Sum of COno",SalmonPivot!$BI$4,"Date",B89,"Site",1)+GETPIVOTDATA("Sum of COrecap",SalmonPivot!$BI$4,"Date",B89,"Site",1)</f>
        <v>3</v>
      </c>
      <c r="R89" s="24">
        <f>GETPIVOTDATA("Sum of COrad",SalmonPivot!$BI$4,"Date",B89,"Site",1)</f>
        <v>2</v>
      </c>
      <c r="S89" s="24">
        <f>GETPIVOTDATA("Sum of TotalOther",OtherPivot!$J$5,"Date",B89,"Site",1)</f>
        <v>0</v>
      </c>
      <c r="T89" s="38"/>
      <c r="U89" s="172">
        <f>IF(GETPIVOTDATA("3 Revs (s)",EffortRPMPivot!$L$4,"Date",$B89,"Site",1)=0,"",GETPIVOTDATA("3 revs (s)",EffortRPMPivot!$L$4,"date",$B89,"Site",1))</f>
        <v>54</v>
      </c>
      <c r="V89" s="173">
        <f t="shared" si="84"/>
        <v>0</v>
      </c>
      <c r="W89" s="173">
        <f t="shared" si="85"/>
        <v>0</v>
      </c>
      <c r="X89" s="173">
        <f t="shared" si="86"/>
        <v>0.10067114093959731</v>
      </c>
      <c r="Y89" s="173">
        <f t="shared" si="87"/>
        <v>0.10067114093959731</v>
      </c>
      <c r="Z89" s="173">
        <f t="shared" si="88"/>
        <v>0.40268456375838924</v>
      </c>
      <c r="AA89" s="174">
        <f t="shared" si="89"/>
        <v>0.30201342281879195</v>
      </c>
      <c r="AB89" s="175">
        <f t="shared" si="90"/>
        <v>0</v>
      </c>
      <c r="AC89" s="175">
        <f t="shared" si="91"/>
        <v>0</v>
      </c>
      <c r="AD89" s="175">
        <f t="shared" si="92"/>
        <v>1</v>
      </c>
      <c r="AE89" s="175">
        <f t="shared" si="93"/>
        <v>1</v>
      </c>
      <c r="AF89" s="175">
        <f t="shared" si="94"/>
        <v>8</v>
      </c>
      <c r="AG89" s="175">
        <f t="shared" si="95"/>
        <v>5</v>
      </c>
      <c r="AH89" s="176">
        <f t="shared" si="96"/>
        <v>15</v>
      </c>
      <c r="AI89" s="175">
        <f>SUM(AB$4:AB89)</f>
        <v>672</v>
      </c>
      <c r="AJ89" s="175">
        <f>SUM(AC$4:AC89)</f>
        <v>205</v>
      </c>
      <c r="AK89" s="175">
        <f>SUM(AD$4:AD89)</f>
        <v>211</v>
      </c>
      <c r="AL89" s="175">
        <f>SUM(AE$4:AE89)</f>
        <v>7472</v>
      </c>
      <c r="AM89" s="175">
        <f>SUM(AF$4:AF89)</f>
        <v>1447</v>
      </c>
      <c r="AN89" s="176">
        <f>SUM(AG$4:AG89)</f>
        <v>325</v>
      </c>
      <c r="AO89" s="175">
        <f t="shared" si="97"/>
        <v>0</v>
      </c>
      <c r="AP89" s="175">
        <f t="shared" si="98"/>
        <v>0</v>
      </c>
      <c r="AQ89" s="175">
        <f t="shared" si="99"/>
        <v>1</v>
      </c>
      <c r="AR89" s="175">
        <f t="shared" si="100"/>
        <v>0</v>
      </c>
      <c r="AS89" s="175">
        <f t="shared" si="101"/>
        <v>0</v>
      </c>
      <c r="AT89" s="176">
        <f t="shared" si="102"/>
        <v>4</v>
      </c>
      <c r="AU89" s="175">
        <f>SUM(AO$4:AO89)</f>
        <v>590</v>
      </c>
      <c r="AV89" s="175">
        <f>SUM(AP$4:AP89)</f>
        <v>33</v>
      </c>
      <c r="AW89" s="175">
        <f>SUM(AQ$4:AQ89)</f>
        <v>198</v>
      </c>
      <c r="AX89" s="175">
        <f>SUM(AR$4:AR89)</f>
        <v>200</v>
      </c>
      <c r="AY89" s="175">
        <f>SUM(AS$4:AS89)</f>
        <v>200</v>
      </c>
      <c r="AZ89" s="176">
        <f>SUM(AT$4:AT89)</f>
        <v>206</v>
      </c>
      <c r="BA89" s="177">
        <f t="shared" si="103"/>
        <v>0</v>
      </c>
      <c r="BB89" s="177">
        <f t="shared" si="104"/>
        <v>0</v>
      </c>
      <c r="BC89" s="177">
        <f t="shared" si="105"/>
        <v>4.6948356807511738E-3</v>
      </c>
      <c r="BD89" s="177">
        <f t="shared" si="106"/>
        <v>1.3383297644539615E-4</v>
      </c>
      <c r="BE89" s="177">
        <f t="shared" si="107"/>
        <v>5.445881552076242E-3</v>
      </c>
      <c r="BF89" s="273">
        <f t="shared" si="108"/>
        <v>1.4970059880239521E-2</v>
      </c>
      <c r="BG89" s="177">
        <f>SUM(BA$4:BA89)</f>
        <v>0.99999999999999967</v>
      </c>
      <c r="BH89" s="177">
        <f>SUM(BB$4:BB89)</f>
        <v>1.0000000000000002</v>
      </c>
      <c r="BI89" s="177">
        <f>SUM(BC$4:BC89)</f>
        <v>0.99061032863849796</v>
      </c>
      <c r="BJ89" s="177">
        <f>SUM(BD$4:BD89)</f>
        <v>1.0000000000000002</v>
      </c>
      <c r="BK89" s="177">
        <f>SUM(BE$4:BE89)</f>
        <v>0.98502382573179048</v>
      </c>
      <c r="BL89" s="166">
        <f>SUM(BF$4:BF89)</f>
        <v>0.97305389221556871</v>
      </c>
      <c r="BM89" s="412"/>
      <c r="BN89" s="412"/>
    </row>
    <row r="90" spans="2:66" x14ac:dyDescent="0.2">
      <c r="B90" s="60">
        <f t="shared" ref="B90:B97" si="116">1+B89</f>
        <v>41882</v>
      </c>
      <c r="C90" s="22">
        <f t="shared" ref="C90:C93" si="117">IF(ISERROR(3/(U90/60)),"",3/(U90/60))</f>
        <v>3.195266272189349</v>
      </c>
      <c r="D90" s="23">
        <f>GETPIVOTDATA("Active time (min)",EffortRPMPivot!$A$4,"date",B90,"Site",1)/60</f>
        <v>9.3666666666666671</v>
      </c>
      <c r="E90" s="24">
        <f>F90+G90+GETPIVOTDATA("Sum of CNlgNo",SalmonPivot!$A$4,"Date",B90,"Site",1)</f>
        <v>0</v>
      </c>
      <c r="F90" s="24">
        <f>GETPIVOTDATA("Sum of CNlgrad",SalmonPivot!$A$4,"date",B90,"Site",1)</f>
        <v>0</v>
      </c>
      <c r="G90" s="24">
        <f>GETPIVOTDATA("Sum of CNlgrecap",SalmonPivot!$A$4,"date",B90,"Site",1)</f>
        <v>0</v>
      </c>
      <c r="H90" s="24">
        <f>I90+J90+GETPIVOTDATA("Sum of CNsmno",SalmonPivot!$M$4,"Date",B90,"Site",1)</f>
        <v>0</v>
      </c>
      <c r="I90" s="24">
        <f>GETPIVOTDATA("Sum of CNsmradio",SalmonPivot!$M$4,"Date",B90,"Site",1)</f>
        <v>0</v>
      </c>
      <c r="J90" s="24">
        <f>GETPIVOTDATA("Sum of CNsmrecap",SalmonPivot!$M$4,"Date",B90,"Site",1)</f>
        <v>0</v>
      </c>
      <c r="K90" s="24">
        <f>L90+GETPIVOTDATA("Sum of SOno",SalmonPivot!$Y$4,"Date",B90,"Site",1)+GETPIVOTDATA("Sum of SOrecap",SalmonPivot!$Y$4,"Date",B90,"Site",1)</f>
        <v>0</v>
      </c>
      <c r="L90" s="24">
        <f>GETPIVOTDATA("Sum of SOrad",SalmonPivot!$Y$4,"Date",B90,"Site",1)</f>
        <v>0</v>
      </c>
      <c r="M90" s="24">
        <f>N90+GETPIVOTDATA("Sum of PKno",SalmonPivot!$AK$4,"Date",B90,"Site",1)+GETPIVOTDATA("Sum of PKrecap",SalmonPivot!$AK$4,"Date",B90,"Site",1)</f>
        <v>0</v>
      </c>
      <c r="N90" s="24">
        <f>GETPIVOTDATA("Sum of PKrad",SalmonPivot!$AK$4,"Date",B90,"Site",1)</f>
        <v>0</v>
      </c>
      <c r="O90" s="24">
        <f>P90+GETPIVOTDATA("Sum of CMno",SalmonPivot!$AW$4,"Date",B90,"Site",1)+GETPIVOTDATA("Sum of CMrecap",SalmonPivot!$AW$4,"Date",B90,"Site",1)</f>
        <v>5</v>
      </c>
      <c r="P90" s="24">
        <f>GETPIVOTDATA("Sum of CMrad",SalmonPivot!$AW$4,"Date",B90,"Site",1)</f>
        <v>0</v>
      </c>
      <c r="Q90" s="25">
        <f>R90+GETPIVOTDATA("Sum of COno",SalmonPivot!$BI$4,"Date",B90,"Site",1)+GETPIVOTDATA("Sum of COrecap",SalmonPivot!$BI$4,"Date",B90,"Site",1)</f>
        <v>1</v>
      </c>
      <c r="R90" s="24">
        <f>GETPIVOTDATA("Sum of COrad",SalmonPivot!$BI$4,"Date",B90,"Site",1)</f>
        <v>0</v>
      </c>
      <c r="S90" s="24">
        <f>GETPIVOTDATA("Sum of TotalOther",OtherPivot!$J$5,"Date",B90,"Site",1)</f>
        <v>1</v>
      </c>
      <c r="T90" s="38"/>
      <c r="U90" s="172">
        <f>IF(GETPIVOTDATA("3 Revs (s)",EffortRPMPivot!$L$4,"Date",$B90,"Site",1)=0,"",GETPIVOTDATA("3 revs (s)",EffortRPMPivot!$L$4,"date",$B90,"Site",1))</f>
        <v>56.333333333333336</v>
      </c>
      <c r="V90" s="173">
        <f t="shared" si="84"/>
        <v>0</v>
      </c>
      <c r="W90" s="173">
        <f t="shared" si="85"/>
        <v>0</v>
      </c>
      <c r="X90" s="173">
        <f t="shared" si="86"/>
        <v>0</v>
      </c>
      <c r="Y90" s="173">
        <f t="shared" si="87"/>
        <v>0</v>
      </c>
      <c r="Z90" s="173">
        <f t="shared" si="88"/>
        <v>0.53380782918149461</v>
      </c>
      <c r="AA90" s="174">
        <f t="shared" si="89"/>
        <v>0.10676156583629892</v>
      </c>
      <c r="AB90" s="175">
        <f t="shared" si="90"/>
        <v>0</v>
      </c>
      <c r="AC90" s="175">
        <f t="shared" si="91"/>
        <v>0</v>
      </c>
      <c r="AD90" s="175">
        <f t="shared" si="92"/>
        <v>0</v>
      </c>
      <c r="AE90" s="175">
        <f t="shared" si="93"/>
        <v>0</v>
      </c>
      <c r="AF90" s="175">
        <f t="shared" si="94"/>
        <v>13</v>
      </c>
      <c r="AG90" s="175">
        <f t="shared" si="95"/>
        <v>4</v>
      </c>
      <c r="AH90" s="176">
        <f t="shared" si="96"/>
        <v>17</v>
      </c>
      <c r="AI90" s="175">
        <f>SUM(AB$4:AB90)</f>
        <v>672</v>
      </c>
      <c r="AJ90" s="175">
        <f>SUM(AC$4:AC90)</f>
        <v>205</v>
      </c>
      <c r="AK90" s="175">
        <f>SUM(AD$4:AD90)</f>
        <v>211</v>
      </c>
      <c r="AL90" s="175">
        <f>SUM(AE$4:AE90)</f>
        <v>7472</v>
      </c>
      <c r="AM90" s="175">
        <f>SUM(AF$4:AF90)</f>
        <v>1460</v>
      </c>
      <c r="AN90" s="176">
        <f>SUM(AG$4:AG90)</f>
        <v>329</v>
      </c>
      <c r="AO90" s="175">
        <f t="shared" si="97"/>
        <v>0</v>
      </c>
      <c r="AP90" s="175">
        <f t="shared" si="98"/>
        <v>0</v>
      </c>
      <c r="AQ90" s="175">
        <f t="shared" si="99"/>
        <v>0</v>
      </c>
      <c r="AR90" s="175">
        <f t="shared" si="100"/>
        <v>0</v>
      </c>
      <c r="AS90" s="175">
        <f t="shared" si="101"/>
        <v>0</v>
      </c>
      <c r="AT90" s="176">
        <f t="shared" si="102"/>
        <v>2</v>
      </c>
      <c r="AU90" s="175">
        <f>SUM(AO$4:AO90)</f>
        <v>590</v>
      </c>
      <c r="AV90" s="175">
        <f>SUM(AP$4:AP90)</f>
        <v>33</v>
      </c>
      <c r="AW90" s="175">
        <f>SUM(AQ$4:AQ90)</f>
        <v>198</v>
      </c>
      <c r="AX90" s="175">
        <f>SUM(AR$4:AR90)</f>
        <v>200</v>
      </c>
      <c r="AY90" s="175">
        <f>SUM(AS$4:AS90)</f>
        <v>200</v>
      </c>
      <c r="AZ90" s="176">
        <f>SUM(AT$4:AT90)</f>
        <v>208</v>
      </c>
      <c r="BA90" s="177">
        <f t="shared" si="103"/>
        <v>0</v>
      </c>
      <c r="BB90" s="177">
        <f t="shared" si="104"/>
        <v>0</v>
      </c>
      <c r="BC90" s="177">
        <f t="shared" si="105"/>
        <v>0</v>
      </c>
      <c r="BD90" s="177">
        <f t="shared" si="106"/>
        <v>0</v>
      </c>
      <c r="BE90" s="177">
        <f t="shared" si="107"/>
        <v>8.8495575221238937E-3</v>
      </c>
      <c r="BF90" s="273">
        <f t="shared" si="108"/>
        <v>1.1976047904191617E-2</v>
      </c>
      <c r="BG90" s="177">
        <f>SUM(BA$4:BA90)</f>
        <v>0.99999999999999967</v>
      </c>
      <c r="BH90" s="177">
        <f>SUM(BB$4:BB90)</f>
        <v>1.0000000000000002</v>
      </c>
      <c r="BI90" s="177">
        <f>SUM(BC$4:BC90)</f>
        <v>0.99061032863849796</v>
      </c>
      <c r="BJ90" s="177">
        <f>SUM(BD$4:BD90)</f>
        <v>1.0000000000000002</v>
      </c>
      <c r="BK90" s="177">
        <f>SUM(BE$4:BE90)</f>
        <v>0.99387338325391439</v>
      </c>
      <c r="BL90" s="166">
        <f>SUM(BF$4:BF90)</f>
        <v>0.98502994011976031</v>
      </c>
      <c r="BM90" s="412"/>
      <c r="BN90" s="412"/>
    </row>
    <row r="91" spans="2:66" x14ac:dyDescent="0.2">
      <c r="B91" s="60">
        <f t="shared" si="116"/>
        <v>41883</v>
      </c>
      <c r="C91" s="22">
        <f t="shared" si="117"/>
        <v>3.1764705882352944</v>
      </c>
      <c r="D91" s="23">
        <f>GETPIVOTDATA("Active time (min)",EffortRPMPivot!$A$4,"date",B91,"Site",1)/60</f>
        <v>9.7166666666666668</v>
      </c>
      <c r="E91" s="24">
        <f>F91+G91+GETPIVOTDATA("Sum of CNlgNo",SalmonPivot!$A$4,"Date",B91,"Site",1)</f>
        <v>0</v>
      </c>
      <c r="F91" s="24">
        <f>GETPIVOTDATA("Sum of CNlgrad",SalmonPivot!$A$4,"date",B91,"Site",1)</f>
        <v>0</v>
      </c>
      <c r="G91" s="24">
        <f>GETPIVOTDATA("Sum of CNlgrecap",SalmonPivot!$A$4,"date",B91,"Site",1)</f>
        <v>0</v>
      </c>
      <c r="H91" s="24">
        <f>I91+J91+GETPIVOTDATA("Sum of CNsmno",SalmonPivot!$M$4,"Date",B91,"Site",1)</f>
        <v>0</v>
      </c>
      <c r="I91" s="24">
        <f>GETPIVOTDATA("Sum of CNsmradio",SalmonPivot!$M$4,"Date",B91,"Site",1)</f>
        <v>0</v>
      </c>
      <c r="J91" s="24">
        <f>GETPIVOTDATA("Sum of CNsmrecap",SalmonPivot!$M$4,"Date",B91,"Site",1)</f>
        <v>0</v>
      </c>
      <c r="K91" s="24">
        <f>L91+GETPIVOTDATA("Sum of SOno",SalmonPivot!$Y$4,"Date",B91,"Site",1)+GETPIVOTDATA("Sum of SOrecap",SalmonPivot!$Y$4,"Date",B91,"Site",1)</f>
        <v>0</v>
      </c>
      <c r="L91" s="24">
        <f>GETPIVOTDATA("Sum of SOrad",SalmonPivot!$Y$4,"Date",B91,"Site",1)</f>
        <v>0</v>
      </c>
      <c r="M91" s="24">
        <f>N91+GETPIVOTDATA("Sum of PKno",SalmonPivot!$AK$4,"Date",B91,"Site",1)+GETPIVOTDATA("Sum of PKrecap",SalmonPivot!$AK$4,"Date",B91,"Site",1)</f>
        <v>0</v>
      </c>
      <c r="N91" s="24">
        <f>GETPIVOTDATA("Sum of PKrad",SalmonPivot!$AK$4,"Date",B91,"Site",1)</f>
        <v>0</v>
      </c>
      <c r="O91" s="24">
        <f>P91+GETPIVOTDATA("Sum of CMno",SalmonPivot!$AW$4,"Date",B91,"Site",1)+GETPIVOTDATA("Sum of CMrecap",SalmonPivot!$AW$4,"Date",B91,"Site",1)</f>
        <v>1</v>
      </c>
      <c r="P91" s="24">
        <f>GETPIVOTDATA("Sum of CMrad",SalmonPivot!$AW$4,"Date",B91,"Site",1)</f>
        <v>0</v>
      </c>
      <c r="Q91" s="25">
        <f>R91+GETPIVOTDATA("Sum of COno",SalmonPivot!$BI$4,"Date",B91,"Site",1)+GETPIVOTDATA("Sum of COrecap",SalmonPivot!$BI$4,"Date",B91,"Site",1)</f>
        <v>1</v>
      </c>
      <c r="R91" s="24">
        <f>GETPIVOTDATA("Sum of COrad",SalmonPivot!$BI$4,"Date",B91,"Site",1)</f>
        <v>1</v>
      </c>
      <c r="S91" s="24">
        <f>GETPIVOTDATA("Sum of TotalOther",OtherPivot!$J$5,"Date",B91,"Site",1)</f>
        <v>0</v>
      </c>
      <c r="T91" s="38"/>
      <c r="U91" s="172">
        <f>IF(GETPIVOTDATA("3 Revs (s)",EffortRPMPivot!$L$4,"Date",$B91,"Site",1)=0,"",GETPIVOTDATA("3 revs (s)",EffortRPMPivot!$L$4,"date",$B91,"Site",1))</f>
        <v>56.666666666666664</v>
      </c>
      <c r="V91" s="173">
        <f t="shared" si="84"/>
        <v>0</v>
      </c>
      <c r="W91" s="173">
        <f t="shared" si="85"/>
        <v>0</v>
      </c>
      <c r="X91" s="173">
        <f t="shared" si="86"/>
        <v>0</v>
      </c>
      <c r="Y91" s="173">
        <f t="shared" si="87"/>
        <v>0</v>
      </c>
      <c r="Z91" s="173">
        <f t="shared" si="88"/>
        <v>0.10291595197255575</v>
      </c>
      <c r="AA91" s="174">
        <f t="shared" si="89"/>
        <v>0.10291595197255575</v>
      </c>
      <c r="AB91" s="175">
        <f t="shared" si="90"/>
        <v>0</v>
      </c>
      <c r="AC91" s="175">
        <f t="shared" si="91"/>
        <v>0</v>
      </c>
      <c r="AD91" s="175">
        <f t="shared" si="92"/>
        <v>1</v>
      </c>
      <c r="AE91" s="175">
        <f t="shared" si="93"/>
        <v>0</v>
      </c>
      <c r="AF91" s="175">
        <f t="shared" si="94"/>
        <v>4</v>
      </c>
      <c r="AG91" s="175">
        <f t="shared" si="95"/>
        <v>3</v>
      </c>
      <c r="AH91" s="176">
        <f t="shared" si="96"/>
        <v>8</v>
      </c>
      <c r="AI91" s="175">
        <f>SUM(AB$4:AB91)</f>
        <v>672</v>
      </c>
      <c r="AJ91" s="175">
        <f>SUM(AC$4:AC91)</f>
        <v>205</v>
      </c>
      <c r="AK91" s="175">
        <f>SUM(AD$4:AD91)</f>
        <v>212</v>
      </c>
      <c r="AL91" s="175">
        <f>SUM(AE$4:AE91)</f>
        <v>7472</v>
      </c>
      <c r="AM91" s="175">
        <f>SUM(AF$4:AF91)</f>
        <v>1464</v>
      </c>
      <c r="AN91" s="176">
        <f>SUM(AG$4:AG91)</f>
        <v>332</v>
      </c>
      <c r="AO91" s="175">
        <f t="shared" si="97"/>
        <v>0</v>
      </c>
      <c r="AP91" s="175">
        <f t="shared" si="98"/>
        <v>0</v>
      </c>
      <c r="AQ91" s="175">
        <f t="shared" si="99"/>
        <v>1</v>
      </c>
      <c r="AR91" s="175">
        <f t="shared" si="100"/>
        <v>0</v>
      </c>
      <c r="AS91" s="175">
        <f t="shared" si="101"/>
        <v>0</v>
      </c>
      <c r="AT91" s="176">
        <f t="shared" si="102"/>
        <v>2</v>
      </c>
      <c r="AU91" s="175">
        <f>SUM(AO$4:AO91)</f>
        <v>590</v>
      </c>
      <c r="AV91" s="175">
        <f>SUM(AP$4:AP91)</f>
        <v>33</v>
      </c>
      <c r="AW91" s="175">
        <f>SUM(AQ$4:AQ91)</f>
        <v>199</v>
      </c>
      <c r="AX91" s="175">
        <f>SUM(AR$4:AR91)</f>
        <v>200</v>
      </c>
      <c r="AY91" s="175">
        <f>SUM(AS$4:AS91)</f>
        <v>200</v>
      </c>
      <c r="AZ91" s="176">
        <f>SUM(AT$4:AT91)</f>
        <v>210</v>
      </c>
      <c r="BA91" s="177">
        <f t="shared" si="103"/>
        <v>0</v>
      </c>
      <c r="BB91" s="177">
        <f t="shared" si="104"/>
        <v>0</v>
      </c>
      <c r="BC91" s="177">
        <f t="shared" si="105"/>
        <v>4.6948356807511738E-3</v>
      </c>
      <c r="BD91" s="177">
        <f t="shared" si="106"/>
        <v>0</v>
      </c>
      <c r="BE91" s="177">
        <f t="shared" si="107"/>
        <v>2.722940776038121E-3</v>
      </c>
      <c r="BF91" s="273">
        <f t="shared" si="108"/>
        <v>8.9820359281437123E-3</v>
      </c>
      <c r="BG91" s="177">
        <f>SUM(BA$4:BA91)</f>
        <v>0.99999999999999967</v>
      </c>
      <c r="BH91" s="177">
        <f>SUM(BB$4:BB91)</f>
        <v>1.0000000000000002</v>
      </c>
      <c r="BI91" s="177">
        <f>SUM(BC$4:BC91)</f>
        <v>0.99530516431924909</v>
      </c>
      <c r="BJ91" s="177">
        <f>SUM(BD$4:BD91)</f>
        <v>1.0000000000000002</v>
      </c>
      <c r="BK91" s="177">
        <f>SUM(BE$4:BE91)</f>
        <v>0.99659632402995246</v>
      </c>
      <c r="BL91" s="166">
        <f>SUM(BF$4:BF91)</f>
        <v>0.99401197604790403</v>
      </c>
      <c r="BM91" s="412"/>
      <c r="BN91" s="412"/>
    </row>
    <row r="92" spans="2:66" x14ac:dyDescent="0.2">
      <c r="B92" s="60">
        <f t="shared" si="116"/>
        <v>41884</v>
      </c>
      <c r="C92" s="22">
        <f t="shared" si="117"/>
        <v>3.2142857142857144</v>
      </c>
      <c r="D92" s="23">
        <f>GETPIVOTDATA("Active time (min)",EffortRPMPivot!$A$4,"date",B92,"Site",1)/60</f>
        <v>10.1</v>
      </c>
      <c r="E92" s="24">
        <f>F92+G92+GETPIVOTDATA("Sum of CNlgNo",SalmonPivot!$A$4,"Date",B92,"Site",1)</f>
        <v>0</v>
      </c>
      <c r="F92" s="24">
        <f>GETPIVOTDATA("Sum of CNlgrad",SalmonPivot!$A$4,"date",B92,"Site",1)</f>
        <v>0</v>
      </c>
      <c r="G92" s="24">
        <f>GETPIVOTDATA("Sum of CNlgrecap",SalmonPivot!$A$4,"date",B92,"Site",1)</f>
        <v>0</v>
      </c>
      <c r="H92" s="24">
        <f>I92+J92+GETPIVOTDATA("Sum of CNsmno",SalmonPivot!$M$4,"Date",B92,"Site",1)</f>
        <v>0</v>
      </c>
      <c r="I92" s="24">
        <f>GETPIVOTDATA("Sum of CNsmradio",SalmonPivot!$M$4,"Date",B92,"Site",1)</f>
        <v>0</v>
      </c>
      <c r="J92" s="24">
        <f>GETPIVOTDATA("Sum of CNsmrecap",SalmonPivot!$M$4,"Date",B92,"Site",1)</f>
        <v>0</v>
      </c>
      <c r="K92" s="24">
        <f>L92+GETPIVOTDATA("Sum of SOno",SalmonPivot!$Y$4,"Date",B92,"Site",1)+GETPIVOTDATA("Sum of SOrecap",SalmonPivot!$Y$4,"Date",B92,"Site",1)</f>
        <v>0</v>
      </c>
      <c r="L92" s="24">
        <f>GETPIVOTDATA("Sum of SOrad",SalmonPivot!$Y$4,"Date",B92,"Site",1)</f>
        <v>0</v>
      </c>
      <c r="M92" s="24">
        <f>N92+GETPIVOTDATA("Sum of PKno",SalmonPivot!$AK$4,"Date",B92,"Site",1)+GETPIVOTDATA("Sum of PKrecap",SalmonPivot!$AK$4,"Date",B92,"Site",1)</f>
        <v>0</v>
      </c>
      <c r="N92" s="24">
        <f>GETPIVOTDATA("Sum of PKrad",SalmonPivot!$AK$4,"Date",B92,"Site",1)</f>
        <v>0</v>
      </c>
      <c r="O92" s="24">
        <f>P92+GETPIVOTDATA("Sum of CMno",SalmonPivot!$AW$4,"Date",B92,"Site",1)+GETPIVOTDATA("Sum of CMrecap",SalmonPivot!$AW$4,"Date",B92,"Site",1)</f>
        <v>0</v>
      </c>
      <c r="P92" s="24">
        <f>GETPIVOTDATA("Sum of CMrad",SalmonPivot!$AW$4,"Date",B92,"Site",1)</f>
        <v>0</v>
      </c>
      <c r="Q92" s="25">
        <f>R92+GETPIVOTDATA("Sum of COno",SalmonPivot!$BI$4,"Date",B92,"Site",1)+GETPIVOTDATA("Sum of COrecap",SalmonPivot!$BI$4,"Date",B92,"Site",1)</f>
        <v>0</v>
      </c>
      <c r="R92" s="24">
        <f>GETPIVOTDATA("Sum of COrad",SalmonPivot!$BI$4,"Date",B92,"Site",1)</f>
        <v>0</v>
      </c>
      <c r="S92" s="24">
        <f>GETPIVOTDATA("Sum of TotalOther",OtherPivot!$J$5,"Date",B92,"Site",1)</f>
        <v>0</v>
      </c>
      <c r="T92" s="38"/>
      <c r="U92" s="172">
        <f>IF(GETPIVOTDATA("3 Revs (s)",EffortRPMPivot!$L$4,"Date",$B92,"Site",1)=0,"",GETPIVOTDATA("3 revs (s)",EffortRPMPivot!$L$4,"date",$B92,"Site",1))</f>
        <v>56</v>
      </c>
      <c r="V92" s="173">
        <f t="shared" si="84"/>
        <v>0</v>
      </c>
      <c r="W92" s="173">
        <f t="shared" si="85"/>
        <v>0</v>
      </c>
      <c r="X92" s="173">
        <f t="shared" si="86"/>
        <v>0</v>
      </c>
      <c r="Y92" s="173">
        <f t="shared" si="87"/>
        <v>0</v>
      </c>
      <c r="Z92" s="173">
        <f t="shared" si="88"/>
        <v>0</v>
      </c>
      <c r="AA92" s="174">
        <f t="shared" si="89"/>
        <v>0</v>
      </c>
      <c r="AB92" s="175">
        <f t="shared" si="90"/>
        <v>0</v>
      </c>
      <c r="AC92" s="175">
        <f t="shared" si="91"/>
        <v>0</v>
      </c>
      <c r="AD92" s="175">
        <f t="shared" si="92"/>
        <v>0</v>
      </c>
      <c r="AE92" s="175">
        <f t="shared" si="93"/>
        <v>0</v>
      </c>
      <c r="AF92" s="175">
        <f t="shared" si="94"/>
        <v>4</v>
      </c>
      <c r="AG92" s="175">
        <f t="shared" si="95"/>
        <v>0</v>
      </c>
      <c r="AH92" s="176">
        <f t="shared" si="96"/>
        <v>4</v>
      </c>
      <c r="AI92" s="175">
        <f>SUM(AB$4:AB92)</f>
        <v>672</v>
      </c>
      <c r="AJ92" s="175">
        <f>SUM(AC$4:AC92)</f>
        <v>205</v>
      </c>
      <c r="AK92" s="175">
        <f>SUM(AD$4:AD92)</f>
        <v>212</v>
      </c>
      <c r="AL92" s="175">
        <f>SUM(AE$4:AE92)</f>
        <v>7472</v>
      </c>
      <c r="AM92" s="175">
        <f>SUM(AF$4:AF92)</f>
        <v>1468</v>
      </c>
      <c r="AN92" s="176">
        <f>SUM(AG$4:AG92)</f>
        <v>332</v>
      </c>
      <c r="AO92" s="175">
        <f t="shared" si="97"/>
        <v>0</v>
      </c>
      <c r="AP92" s="175">
        <f t="shared" si="98"/>
        <v>0</v>
      </c>
      <c r="AQ92" s="175">
        <f t="shared" si="99"/>
        <v>0</v>
      </c>
      <c r="AR92" s="175">
        <f t="shared" si="100"/>
        <v>0</v>
      </c>
      <c r="AS92" s="175">
        <f t="shared" si="101"/>
        <v>0</v>
      </c>
      <c r="AT92" s="176">
        <f t="shared" si="102"/>
        <v>0</v>
      </c>
      <c r="AU92" s="175">
        <f>SUM(AO$4:AO92)</f>
        <v>590</v>
      </c>
      <c r="AV92" s="175">
        <f>SUM(AP$4:AP92)</f>
        <v>33</v>
      </c>
      <c r="AW92" s="175">
        <f>SUM(AQ$4:AQ92)</f>
        <v>199</v>
      </c>
      <c r="AX92" s="175">
        <f>SUM(AR$4:AR92)</f>
        <v>200</v>
      </c>
      <c r="AY92" s="175">
        <f>SUM(AS$4:AS92)</f>
        <v>200</v>
      </c>
      <c r="AZ92" s="176">
        <f>SUM(AT$4:AT92)</f>
        <v>210</v>
      </c>
      <c r="BA92" s="177">
        <f t="shared" si="103"/>
        <v>0</v>
      </c>
      <c r="BB92" s="177">
        <f t="shared" si="104"/>
        <v>0</v>
      </c>
      <c r="BC92" s="177">
        <f t="shared" si="105"/>
        <v>0</v>
      </c>
      <c r="BD92" s="177">
        <f t="shared" si="106"/>
        <v>0</v>
      </c>
      <c r="BE92" s="177">
        <f t="shared" si="107"/>
        <v>2.722940776038121E-3</v>
      </c>
      <c r="BF92" s="273">
        <f t="shared" si="108"/>
        <v>0</v>
      </c>
      <c r="BG92" s="177">
        <f>SUM(BA$4:BA92)</f>
        <v>0.99999999999999967</v>
      </c>
      <c r="BH92" s="177">
        <f>SUM(BB$4:BB92)</f>
        <v>1.0000000000000002</v>
      </c>
      <c r="BI92" s="177">
        <f>SUM(BC$4:BC92)</f>
        <v>0.99530516431924909</v>
      </c>
      <c r="BJ92" s="177">
        <f>SUM(BD$4:BD92)</f>
        <v>1.0000000000000002</v>
      </c>
      <c r="BK92" s="177">
        <f>SUM(BE$4:BE92)</f>
        <v>0.99931926480599054</v>
      </c>
      <c r="BL92" s="166">
        <f>SUM(BF$4:BF92)</f>
        <v>0.99401197604790403</v>
      </c>
      <c r="BM92" s="412"/>
      <c r="BN92" s="412"/>
    </row>
    <row r="93" spans="2:66" x14ac:dyDescent="0.2">
      <c r="B93" s="60">
        <f t="shared" si="116"/>
        <v>41885</v>
      </c>
      <c r="C93" s="22">
        <f t="shared" si="117"/>
        <v>4.0909090909090908</v>
      </c>
      <c r="D93" s="23">
        <f>GETPIVOTDATA("Active time (min)",EffortRPMPivot!$A$4,"date",B93,"Site",1)/60</f>
        <v>10.183333333333334</v>
      </c>
      <c r="E93" s="24">
        <f>F93+G93+GETPIVOTDATA("Sum of CNlgNo",SalmonPivot!$A$4,"Date",B93,"Site",1)</f>
        <v>0</v>
      </c>
      <c r="F93" s="24">
        <f>GETPIVOTDATA("Sum of CNlgrad",SalmonPivot!$A$4,"date",B93,"Site",1)</f>
        <v>0</v>
      </c>
      <c r="G93" s="24">
        <f>GETPIVOTDATA("Sum of CNlgrecap",SalmonPivot!$A$4,"date",B93,"Site",1)</f>
        <v>0</v>
      </c>
      <c r="H93" s="24">
        <f>I93+J93+GETPIVOTDATA("Sum of CNsmno",SalmonPivot!$M$4,"Date",B93,"Site",1)</f>
        <v>0</v>
      </c>
      <c r="I93" s="24">
        <f>GETPIVOTDATA("Sum of CNsmradio",SalmonPivot!$M$4,"Date",B93,"Site",1)</f>
        <v>0</v>
      </c>
      <c r="J93" s="24">
        <f>GETPIVOTDATA("Sum of CNsmrecap",SalmonPivot!$M$4,"Date",B93,"Site",1)</f>
        <v>0</v>
      </c>
      <c r="K93" s="24">
        <f>L93+GETPIVOTDATA("Sum of SOno",SalmonPivot!$Y$4,"Date",B93,"Site",1)+GETPIVOTDATA("Sum of SOrecap",SalmonPivot!$Y$4,"Date",B93,"Site",1)</f>
        <v>0</v>
      </c>
      <c r="L93" s="24">
        <f>GETPIVOTDATA("Sum of SOrad",SalmonPivot!$Y$4,"Date",B93,"Site",1)</f>
        <v>0</v>
      </c>
      <c r="M93" s="24">
        <f>N93+GETPIVOTDATA("Sum of PKno",SalmonPivot!$AK$4,"Date",B93,"Site",1)+GETPIVOTDATA("Sum of PKrecap",SalmonPivot!$AK$4,"Date",B93,"Site",1)</f>
        <v>0</v>
      </c>
      <c r="N93" s="24">
        <f>GETPIVOTDATA("Sum of PKrad",SalmonPivot!$AK$4,"Date",B93,"Site",1)</f>
        <v>0</v>
      </c>
      <c r="O93" s="24">
        <f>P93+GETPIVOTDATA("Sum of CMno",SalmonPivot!$AW$4,"Date",B93,"Site",1)+GETPIVOTDATA("Sum of CMrecap",SalmonPivot!$AW$4,"Date",B93,"Site",1)</f>
        <v>0</v>
      </c>
      <c r="P93" s="24">
        <f>GETPIVOTDATA("Sum of CMrad",SalmonPivot!$AW$4,"Date",B93,"Site",1)</f>
        <v>0</v>
      </c>
      <c r="Q93" s="25">
        <f>R93+GETPIVOTDATA("Sum of COno",SalmonPivot!$BI$4,"Date",B93,"Site",1)+GETPIVOTDATA("Sum of COrecap",SalmonPivot!$BI$4,"Date",B93,"Site",1)</f>
        <v>1</v>
      </c>
      <c r="R93" s="24">
        <f>GETPIVOTDATA("Sum of COrad",SalmonPivot!$BI$4,"Date",B93,"Site",1)</f>
        <v>1</v>
      </c>
      <c r="S93" s="24">
        <f>GETPIVOTDATA("Sum of TotalOther",OtherPivot!$J$5,"Date",B93,"Site",1)</f>
        <v>0</v>
      </c>
      <c r="T93" s="38"/>
      <c r="U93" s="172">
        <f>IF(GETPIVOTDATA("3 Revs (s)",EffortRPMPivot!$L$4,"Date",$B93,"Site",1)=0,"",GETPIVOTDATA("3 revs (s)",EffortRPMPivot!$L$4,"date",$B93,"Site",1))</f>
        <v>44</v>
      </c>
      <c r="V93" s="173">
        <f t="shared" si="84"/>
        <v>0</v>
      </c>
      <c r="W93" s="173">
        <f t="shared" si="85"/>
        <v>0</v>
      </c>
      <c r="X93" s="173">
        <f t="shared" si="86"/>
        <v>0</v>
      </c>
      <c r="Y93" s="173">
        <f t="shared" si="87"/>
        <v>0</v>
      </c>
      <c r="Z93" s="173">
        <f t="shared" si="88"/>
        <v>0</v>
      </c>
      <c r="AA93" s="174">
        <f t="shared" si="89"/>
        <v>9.8199672667757767E-2</v>
      </c>
      <c r="AB93" s="175">
        <f t="shared" si="90"/>
        <v>0</v>
      </c>
      <c r="AC93" s="175">
        <f t="shared" si="91"/>
        <v>0</v>
      </c>
      <c r="AD93" s="175">
        <f t="shared" si="92"/>
        <v>1</v>
      </c>
      <c r="AE93" s="175">
        <f t="shared" si="93"/>
        <v>0</v>
      </c>
      <c r="AF93" s="175">
        <f t="shared" si="94"/>
        <v>0</v>
      </c>
      <c r="AG93" s="175">
        <f t="shared" si="95"/>
        <v>2</v>
      </c>
      <c r="AH93" s="176">
        <f t="shared" si="96"/>
        <v>3</v>
      </c>
      <c r="AI93" s="175">
        <f>SUM(AB$4:AB93)</f>
        <v>672</v>
      </c>
      <c r="AJ93" s="175">
        <f>SUM(AC$4:AC93)</f>
        <v>205</v>
      </c>
      <c r="AK93" s="175">
        <f>SUM(AD$4:AD93)</f>
        <v>213</v>
      </c>
      <c r="AL93" s="175">
        <f>SUM(AE$4:AE93)</f>
        <v>7472</v>
      </c>
      <c r="AM93" s="175">
        <f>SUM(AF$4:AF93)</f>
        <v>1468</v>
      </c>
      <c r="AN93" s="176">
        <f>SUM(AG$4:AG93)</f>
        <v>334</v>
      </c>
      <c r="AO93" s="175">
        <f t="shared" si="97"/>
        <v>0</v>
      </c>
      <c r="AP93" s="175">
        <f t="shared" si="98"/>
        <v>0</v>
      </c>
      <c r="AQ93" s="175">
        <f t="shared" si="99"/>
        <v>1</v>
      </c>
      <c r="AR93" s="175">
        <f t="shared" si="100"/>
        <v>0</v>
      </c>
      <c r="AS93" s="175">
        <f t="shared" si="101"/>
        <v>0</v>
      </c>
      <c r="AT93" s="176">
        <f t="shared" si="102"/>
        <v>2</v>
      </c>
      <c r="AU93" s="175">
        <f>SUM(AO$4:AO93)</f>
        <v>590</v>
      </c>
      <c r="AV93" s="175">
        <f>SUM(AP$4:AP93)</f>
        <v>33</v>
      </c>
      <c r="AW93" s="175">
        <f>SUM(AQ$4:AQ93)</f>
        <v>200</v>
      </c>
      <c r="AX93" s="175">
        <f>SUM(AR$4:AR93)</f>
        <v>200</v>
      </c>
      <c r="AY93" s="175">
        <f>SUM(AS$4:AS93)</f>
        <v>200</v>
      </c>
      <c r="AZ93" s="176">
        <f>SUM(AT$4:AT93)</f>
        <v>212</v>
      </c>
      <c r="BA93" s="177">
        <f t="shared" si="103"/>
        <v>0</v>
      </c>
      <c r="BB93" s="177">
        <f t="shared" si="104"/>
        <v>0</v>
      </c>
      <c r="BC93" s="177">
        <f t="shared" si="105"/>
        <v>4.6948356807511738E-3</v>
      </c>
      <c r="BD93" s="177">
        <f t="shared" si="106"/>
        <v>0</v>
      </c>
      <c r="BE93" s="177">
        <f t="shared" si="107"/>
        <v>0</v>
      </c>
      <c r="BF93" s="273">
        <f t="shared" si="108"/>
        <v>5.9880239520958087E-3</v>
      </c>
      <c r="BG93" s="177">
        <f>SUM(BA$4:BA93)</f>
        <v>0.99999999999999967</v>
      </c>
      <c r="BH93" s="177">
        <f>SUM(BB$4:BB93)</f>
        <v>1.0000000000000002</v>
      </c>
      <c r="BI93" s="177">
        <f>SUM(BC$4:BC93)</f>
        <v>1.0000000000000002</v>
      </c>
      <c r="BJ93" s="177">
        <f>SUM(BD$4:BD93)</f>
        <v>1.0000000000000002</v>
      </c>
      <c r="BK93" s="177">
        <f>SUM(BE$4:BE93)</f>
        <v>0.99931926480599054</v>
      </c>
      <c r="BL93" s="166">
        <f>SUM(BF$4:BF93)</f>
        <v>0.99999999999999989</v>
      </c>
      <c r="BM93" s="412"/>
      <c r="BN93" s="412"/>
    </row>
    <row r="94" spans="2:66" x14ac:dyDescent="0.2">
      <c r="B94" s="60">
        <f t="shared" si="116"/>
        <v>41886</v>
      </c>
      <c r="C94" s="22">
        <f t="shared" ref="C94:C95" si="118">IF(ISERROR(3/(U94/60)),"",3/(U94/60))</f>
        <v>3.243243243243243</v>
      </c>
      <c r="D94" s="23">
        <f>GETPIVOTDATA("Active time (min)",EffortRPMPivot!$A$4,"date",B94,"Site",1)/60</f>
        <v>9.15</v>
      </c>
      <c r="E94" s="24">
        <f>F94+G94+GETPIVOTDATA("Sum of CNlgNo",SalmonPivot!$A$4,"Date",B94,"Site",1)</f>
        <v>0</v>
      </c>
      <c r="F94" s="24">
        <f>GETPIVOTDATA("Sum of CNlgrad",SalmonPivot!$A$4,"date",B94,"Site",1)</f>
        <v>0</v>
      </c>
      <c r="G94" s="24">
        <f>GETPIVOTDATA("Sum of CNlgrecap",SalmonPivot!$A$4,"date",B94,"Site",1)</f>
        <v>0</v>
      </c>
      <c r="H94" s="24">
        <f>I94+J94+GETPIVOTDATA("Sum of CNsmno",SalmonPivot!$M$4,"Date",B94,"Site",1)</f>
        <v>0</v>
      </c>
      <c r="I94" s="24">
        <f>GETPIVOTDATA("Sum of CNsmradio",SalmonPivot!$M$4,"Date",B94,"Site",1)</f>
        <v>0</v>
      </c>
      <c r="J94" s="24">
        <f>GETPIVOTDATA("Sum of CNsmrecap",SalmonPivot!$M$4,"Date",B94,"Site",1)</f>
        <v>0</v>
      </c>
      <c r="K94" s="24">
        <f>L94+GETPIVOTDATA("Sum of SOno",SalmonPivot!$Y$4,"Date",B94,"Site",1)+GETPIVOTDATA("Sum of SOrecap",SalmonPivot!$Y$4,"Date",B94,"Site",1)</f>
        <v>0</v>
      </c>
      <c r="L94" s="24">
        <f>GETPIVOTDATA("Sum of SOrad",SalmonPivot!$Y$4,"Date",B94,"Site",1)</f>
        <v>0</v>
      </c>
      <c r="M94" s="24">
        <f>N94+GETPIVOTDATA("Sum of PKno",SalmonPivot!$AK$4,"Date",B94,"Site",1)+GETPIVOTDATA("Sum of PKrecap",SalmonPivot!$AK$4,"Date",B94,"Site",1)</f>
        <v>0</v>
      </c>
      <c r="N94" s="24">
        <f>GETPIVOTDATA("Sum of PKrad",SalmonPivot!$AK$4,"Date",B94,"Site",1)</f>
        <v>0</v>
      </c>
      <c r="O94" s="24">
        <f>P94+GETPIVOTDATA("Sum of CMno",SalmonPivot!$AW$4,"Date",B94,"Site",1)+GETPIVOTDATA("Sum of CMrecap",SalmonPivot!$AW$4,"Date",B94,"Site",1)</f>
        <v>0</v>
      </c>
      <c r="P94" s="24">
        <f>GETPIVOTDATA("Sum of CMrad",SalmonPivot!$AW$4,"Date",B94,"Site",1)</f>
        <v>0</v>
      </c>
      <c r="Q94" s="25">
        <f>R94+GETPIVOTDATA("Sum of COno",SalmonPivot!$BI$4,"Date",B94,"Site",1)+GETPIVOTDATA("Sum of COrecap",SalmonPivot!$BI$4,"Date",B94,"Site",1)</f>
        <v>0</v>
      </c>
      <c r="R94" s="24">
        <f>GETPIVOTDATA("Sum of COrad",SalmonPivot!$BI$4,"Date",B94,"Site",1)</f>
        <v>0</v>
      </c>
      <c r="S94" s="24">
        <f>GETPIVOTDATA("Sum of TotalOther",OtherPivot!$J$5,"Date",B94,"Site",1)</f>
        <v>0</v>
      </c>
      <c r="T94" s="38"/>
      <c r="U94" s="172">
        <f>IF(GETPIVOTDATA("3 Revs (s)",EffortRPMPivot!$L$4,"Date",$B94,"Site",1)=0,"",GETPIVOTDATA("3 revs (s)",EffortRPMPivot!$L$4,"date",$B94,"Site",1))</f>
        <v>55.5</v>
      </c>
      <c r="V94" s="173">
        <f t="shared" si="84"/>
        <v>0</v>
      </c>
      <c r="W94" s="173">
        <f t="shared" si="85"/>
        <v>0</v>
      </c>
      <c r="X94" s="173">
        <f t="shared" si="86"/>
        <v>0</v>
      </c>
      <c r="Y94" s="173">
        <f t="shared" si="87"/>
        <v>0</v>
      </c>
      <c r="Z94" s="173">
        <f t="shared" si="88"/>
        <v>0</v>
      </c>
      <c r="AA94" s="174">
        <f t="shared" si="89"/>
        <v>0</v>
      </c>
      <c r="AB94" s="175">
        <f t="shared" si="90"/>
        <v>0</v>
      </c>
      <c r="AC94" s="175">
        <f t="shared" si="91"/>
        <v>0</v>
      </c>
      <c r="AD94" s="175">
        <f t="shared" si="92"/>
        <v>0</v>
      </c>
      <c r="AE94" s="175">
        <f t="shared" si="93"/>
        <v>0</v>
      </c>
      <c r="AF94" s="175">
        <f t="shared" si="94"/>
        <v>0</v>
      </c>
      <c r="AG94" s="175">
        <f t="shared" si="95"/>
        <v>0</v>
      </c>
      <c r="AH94" s="176">
        <f t="shared" si="96"/>
        <v>0</v>
      </c>
      <c r="AI94" s="175">
        <f>SUM(AB$4:AB94)</f>
        <v>672</v>
      </c>
      <c r="AJ94" s="175">
        <f>SUM(AC$4:AC94)</f>
        <v>205</v>
      </c>
      <c r="AK94" s="175">
        <f>SUM(AD$4:AD94)</f>
        <v>213</v>
      </c>
      <c r="AL94" s="175">
        <f>SUM(AE$4:AE94)</f>
        <v>7472</v>
      </c>
      <c r="AM94" s="175">
        <f>SUM(AF$4:AF94)</f>
        <v>1468</v>
      </c>
      <c r="AN94" s="176">
        <f>SUM(AG$4:AG94)</f>
        <v>334</v>
      </c>
      <c r="AO94" s="175">
        <f t="shared" si="97"/>
        <v>0</v>
      </c>
      <c r="AP94" s="175">
        <f t="shared" si="98"/>
        <v>0</v>
      </c>
      <c r="AQ94" s="175">
        <f t="shared" si="99"/>
        <v>0</v>
      </c>
      <c r="AR94" s="175">
        <f t="shared" si="100"/>
        <v>0</v>
      </c>
      <c r="AS94" s="175">
        <f t="shared" si="101"/>
        <v>0</v>
      </c>
      <c r="AT94" s="176">
        <f t="shared" si="102"/>
        <v>0</v>
      </c>
      <c r="AU94" s="175">
        <f>SUM(AO$4:AO94)</f>
        <v>590</v>
      </c>
      <c r="AV94" s="175">
        <f>SUM(AP$4:AP94)</f>
        <v>33</v>
      </c>
      <c r="AW94" s="175">
        <f>SUM(AQ$4:AQ94)</f>
        <v>200</v>
      </c>
      <c r="AX94" s="175">
        <f>SUM(AR$4:AR94)</f>
        <v>200</v>
      </c>
      <c r="AY94" s="175">
        <f>SUM(AS$4:AS94)</f>
        <v>200</v>
      </c>
      <c r="AZ94" s="176">
        <f>SUM(AT$4:AT94)</f>
        <v>212</v>
      </c>
      <c r="BA94" s="177">
        <f t="shared" si="103"/>
        <v>0</v>
      </c>
      <c r="BB94" s="177">
        <f t="shared" si="104"/>
        <v>0</v>
      </c>
      <c r="BC94" s="177">
        <f t="shared" si="105"/>
        <v>0</v>
      </c>
      <c r="BD94" s="177">
        <f t="shared" si="106"/>
        <v>0</v>
      </c>
      <c r="BE94" s="177">
        <f t="shared" si="107"/>
        <v>0</v>
      </c>
      <c r="BF94" s="273">
        <f t="shared" si="108"/>
        <v>0</v>
      </c>
      <c r="BG94" s="177">
        <f>SUM(BA$4:BA94)</f>
        <v>0.99999999999999967</v>
      </c>
      <c r="BH94" s="177">
        <f>SUM(BB$4:BB94)</f>
        <v>1.0000000000000002</v>
      </c>
      <c r="BI94" s="177">
        <f>SUM(BC$4:BC94)</f>
        <v>1.0000000000000002</v>
      </c>
      <c r="BJ94" s="177">
        <f>SUM(BD$4:BD94)</f>
        <v>1.0000000000000002</v>
      </c>
      <c r="BK94" s="177">
        <f>SUM(BE$4:BE94)</f>
        <v>0.99931926480599054</v>
      </c>
      <c r="BL94" s="166">
        <f>SUM(BF$4:BF94)</f>
        <v>0.99999999999999989</v>
      </c>
      <c r="BM94" s="412"/>
      <c r="BN94" s="412"/>
    </row>
    <row r="95" spans="2:66" x14ac:dyDescent="0.2">
      <c r="B95" s="60">
        <f t="shared" si="116"/>
        <v>41887</v>
      </c>
      <c r="C95" s="22">
        <f t="shared" si="118"/>
        <v>2.8571428571428572</v>
      </c>
      <c r="D95" s="23">
        <f>GETPIVOTDATA("Active time (min)",EffortRPMPivot!$A$4,"date",B95,"Site",1)/60</f>
        <v>9.9000000000000039</v>
      </c>
      <c r="E95" s="24">
        <f>F95+G95+GETPIVOTDATA("Sum of CNlgNo",SalmonPivot!$A$4,"Date",B95,"Site",1)</f>
        <v>0</v>
      </c>
      <c r="F95" s="24">
        <f>GETPIVOTDATA("Sum of CNlgrad",SalmonPivot!$A$4,"date",B95,"Site",1)</f>
        <v>0</v>
      </c>
      <c r="G95" s="24">
        <f>GETPIVOTDATA("Sum of CNlgrecap",SalmonPivot!$A$4,"date",B95,"Site",1)</f>
        <v>0</v>
      </c>
      <c r="H95" s="24">
        <f>I95+J95+GETPIVOTDATA("Sum of CNsmno",SalmonPivot!$M$4,"Date",B95,"Site",1)</f>
        <v>0</v>
      </c>
      <c r="I95" s="24">
        <f>GETPIVOTDATA("Sum of CNsmradio",SalmonPivot!$M$4,"Date",B95,"Site",1)</f>
        <v>0</v>
      </c>
      <c r="J95" s="24">
        <f>GETPIVOTDATA("Sum of CNsmrecap",SalmonPivot!$M$4,"Date",B95,"Site",1)</f>
        <v>0</v>
      </c>
      <c r="K95" s="24">
        <f>L95+GETPIVOTDATA("Sum of SOno",SalmonPivot!$Y$4,"Date",B95,"Site",1)+GETPIVOTDATA("Sum of SOrecap",SalmonPivot!$Y$4,"Date",B95,"Site",1)</f>
        <v>0</v>
      </c>
      <c r="L95" s="24">
        <f>GETPIVOTDATA("Sum of SOrad",SalmonPivot!$Y$4,"Date",B95,"Site",1)</f>
        <v>0</v>
      </c>
      <c r="M95" s="24">
        <f>N95+GETPIVOTDATA("Sum of PKno",SalmonPivot!$AK$4,"Date",B95,"Site",1)+GETPIVOTDATA("Sum of PKrecap",SalmonPivot!$AK$4,"Date",B95,"Site",1)</f>
        <v>0</v>
      </c>
      <c r="N95" s="24">
        <f>GETPIVOTDATA("Sum of PKrad",SalmonPivot!$AK$4,"Date",B95,"Site",1)</f>
        <v>0</v>
      </c>
      <c r="O95" s="24">
        <f>P95+GETPIVOTDATA("Sum of CMno",SalmonPivot!$AW$4,"Date",B95,"Site",1)+GETPIVOTDATA("Sum of CMrecap",SalmonPivot!$AW$4,"Date",B95,"Site",1)</f>
        <v>0</v>
      </c>
      <c r="P95" s="24">
        <f>GETPIVOTDATA("Sum of CMrad",SalmonPivot!$AW$4,"Date",B95,"Site",1)</f>
        <v>0</v>
      </c>
      <c r="Q95" s="25">
        <f>R95+GETPIVOTDATA("Sum of COno",SalmonPivot!$BI$4,"Date",B95,"Site",1)+GETPIVOTDATA("Sum of COrecap",SalmonPivot!$BI$4,"Date",B95,"Site",1)</f>
        <v>0</v>
      </c>
      <c r="R95" s="24">
        <f>GETPIVOTDATA("Sum of COrad",SalmonPivot!$BI$4,"Date",B95,"Site",1)</f>
        <v>0</v>
      </c>
      <c r="S95" s="24">
        <f>GETPIVOTDATA("Sum of TotalOther",OtherPivot!$J$5,"Date",B95,"Site",1)</f>
        <v>0</v>
      </c>
      <c r="T95" s="38"/>
      <c r="U95" s="172">
        <f>IF(GETPIVOTDATA("3 Revs (s)",EffortRPMPivot!$L$4,"Date",$B95,"Site",1)=0,"",GETPIVOTDATA("3 revs (s)",EffortRPMPivot!$L$4,"date",$B95,"Site",1))</f>
        <v>63</v>
      </c>
      <c r="V95" s="173">
        <f t="shared" si="84"/>
        <v>0</v>
      </c>
      <c r="W95" s="173">
        <f t="shared" si="85"/>
        <v>0</v>
      </c>
      <c r="X95" s="173">
        <f t="shared" si="86"/>
        <v>0</v>
      </c>
      <c r="Y95" s="173">
        <f t="shared" si="87"/>
        <v>0</v>
      </c>
      <c r="Z95" s="173">
        <f t="shared" si="88"/>
        <v>0</v>
      </c>
      <c r="AA95" s="174">
        <f t="shared" si="89"/>
        <v>0</v>
      </c>
      <c r="AB95" s="175">
        <f t="shared" si="90"/>
        <v>0</v>
      </c>
      <c r="AC95" s="175">
        <f t="shared" si="91"/>
        <v>0</v>
      </c>
      <c r="AD95" s="175">
        <f t="shared" si="92"/>
        <v>0</v>
      </c>
      <c r="AE95" s="175">
        <f t="shared" si="93"/>
        <v>0</v>
      </c>
      <c r="AF95" s="175">
        <f t="shared" si="94"/>
        <v>1</v>
      </c>
      <c r="AG95" s="175">
        <f t="shared" si="95"/>
        <v>0</v>
      </c>
      <c r="AH95" s="176">
        <f t="shared" si="96"/>
        <v>1</v>
      </c>
      <c r="AI95" s="175">
        <f>SUM(AB$4:AB95)</f>
        <v>672</v>
      </c>
      <c r="AJ95" s="175">
        <f>SUM(AC$4:AC95)</f>
        <v>205</v>
      </c>
      <c r="AK95" s="175">
        <f>SUM(AD$4:AD95)</f>
        <v>213</v>
      </c>
      <c r="AL95" s="175">
        <f>SUM(AE$4:AE95)</f>
        <v>7472</v>
      </c>
      <c r="AM95" s="175">
        <f>SUM(AF$4:AF95)</f>
        <v>1469</v>
      </c>
      <c r="AN95" s="176">
        <f>SUM(AG$4:AG95)</f>
        <v>334</v>
      </c>
      <c r="AO95" s="175">
        <f t="shared" si="97"/>
        <v>0</v>
      </c>
      <c r="AP95" s="175">
        <f t="shared" si="98"/>
        <v>0</v>
      </c>
      <c r="AQ95" s="175">
        <f t="shared" si="99"/>
        <v>0</v>
      </c>
      <c r="AR95" s="175">
        <f t="shared" si="100"/>
        <v>0</v>
      </c>
      <c r="AS95" s="175">
        <f t="shared" si="101"/>
        <v>0</v>
      </c>
      <c r="AT95" s="176">
        <f t="shared" si="102"/>
        <v>0</v>
      </c>
      <c r="AU95" s="175">
        <f>SUM(AO$4:AO95)</f>
        <v>590</v>
      </c>
      <c r="AV95" s="175">
        <f>SUM(AP$4:AP95)</f>
        <v>33</v>
      </c>
      <c r="AW95" s="175">
        <f>SUM(AQ$4:AQ95)</f>
        <v>200</v>
      </c>
      <c r="AX95" s="175">
        <f>SUM(AR$4:AR95)</f>
        <v>200</v>
      </c>
      <c r="AY95" s="175">
        <f>SUM(AS$4:AS95)</f>
        <v>200</v>
      </c>
      <c r="AZ95" s="176">
        <f>SUM(AT$4:AT95)</f>
        <v>212</v>
      </c>
      <c r="BA95" s="177">
        <f t="shared" si="103"/>
        <v>0</v>
      </c>
      <c r="BB95" s="177">
        <f t="shared" si="104"/>
        <v>0</v>
      </c>
      <c r="BC95" s="177">
        <f t="shared" si="105"/>
        <v>0</v>
      </c>
      <c r="BD95" s="177">
        <f t="shared" si="106"/>
        <v>0</v>
      </c>
      <c r="BE95" s="177">
        <f t="shared" si="107"/>
        <v>6.8073519400953025E-4</v>
      </c>
      <c r="BF95" s="273">
        <f t="shared" si="108"/>
        <v>0</v>
      </c>
      <c r="BG95" s="177">
        <f>SUM(BA$4:BA95)</f>
        <v>0.99999999999999967</v>
      </c>
      <c r="BH95" s="177">
        <f>SUM(BB$4:BB95)</f>
        <v>1.0000000000000002</v>
      </c>
      <c r="BI95" s="177">
        <f>SUM(BC$4:BC95)</f>
        <v>1.0000000000000002</v>
      </c>
      <c r="BJ95" s="177">
        <f>SUM(BD$4:BD95)</f>
        <v>1.0000000000000002</v>
      </c>
      <c r="BK95" s="177">
        <f>SUM(BE$4:BE95)</f>
        <v>1</v>
      </c>
      <c r="BL95" s="166">
        <f>SUM(BF$4:BF95)</f>
        <v>0.99999999999999989</v>
      </c>
      <c r="BM95" s="412"/>
      <c r="BN95" s="412"/>
    </row>
    <row r="96" spans="2:66" x14ac:dyDescent="0.2">
      <c r="B96" s="60">
        <f t="shared" si="116"/>
        <v>41888</v>
      </c>
      <c r="C96" s="22">
        <f t="shared" ref="C96:C97" si="119">IF(ISERROR(3/(U96/60)),"",3/(U96/60))</f>
        <v>3.0769230769230771</v>
      </c>
      <c r="D96" s="23">
        <f>GETPIVOTDATA("Active time (min)",EffortRPMPivot!$A$4,"date",B96,"Site",1)/60</f>
        <v>9.7000000000000011</v>
      </c>
      <c r="E96" s="24">
        <f>F96+G96+GETPIVOTDATA("Sum of CNlgNo",SalmonPivot!$A$4,"Date",B96,"Site",1)</f>
        <v>0</v>
      </c>
      <c r="F96" s="24">
        <f>GETPIVOTDATA("Sum of CNlgrad",SalmonPivot!$A$4,"date",B96,"Site",1)</f>
        <v>0</v>
      </c>
      <c r="G96" s="24">
        <f>GETPIVOTDATA("Sum of CNlgrecap",SalmonPivot!$A$4,"date",B96,"Site",1)</f>
        <v>0</v>
      </c>
      <c r="H96" s="24">
        <f>I96+J96+GETPIVOTDATA("Sum of CNsmno",SalmonPivot!$M$4,"Date",B96,"Site",1)</f>
        <v>0</v>
      </c>
      <c r="I96" s="24">
        <f>GETPIVOTDATA("Sum of CNsmradio",SalmonPivot!$M$4,"Date",B96,"Site",1)</f>
        <v>0</v>
      </c>
      <c r="J96" s="24">
        <f>GETPIVOTDATA("Sum of CNsmrecap",SalmonPivot!$M$4,"Date",B96,"Site",1)</f>
        <v>0</v>
      </c>
      <c r="K96" s="24">
        <f>L96+GETPIVOTDATA("Sum of SOno",SalmonPivot!$Y$4,"Date",B96,"Site",1)+GETPIVOTDATA("Sum of SOrecap",SalmonPivot!$Y$4,"Date",B96,"Site",1)</f>
        <v>0</v>
      </c>
      <c r="L96" s="24">
        <f>GETPIVOTDATA("Sum of SOrad",SalmonPivot!$Y$4,"Date",B96,"Site",1)</f>
        <v>0</v>
      </c>
      <c r="M96" s="24">
        <f>N96+GETPIVOTDATA("Sum of PKno",SalmonPivot!$AK$4,"Date",B96,"Site",1)+GETPIVOTDATA("Sum of PKrecap",SalmonPivot!$AK$4,"Date",B96,"Site",1)</f>
        <v>0</v>
      </c>
      <c r="N96" s="24">
        <f>GETPIVOTDATA("Sum of PKrad",SalmonPivot!$AK$4,"Date",B96,"Site",1)</f>
        <v>0</v>
      </c>
      <c r="O96" s="24">
        <f>P96+GETPIVOTDATA("Sum of CMno",SalmonPivot!$AW$4,"Date",B96,"Site",1)+GETPIVOTDATA("Sum of CMrecap",SalmonPivot!$AW$4,"Date",B96,"Site",1)</f>
        <v>0</v>
      </c>
      <c r="P96" s="24">
        <f>GETPIVOTDATA("Sum of CMrad",SalmonPivot!$AW$4,"Date",B96,"Site",1)</f>
        <v>0</v>
      </c>
      <c r="Q96" s="25">
        <f>R96+GETPIVOTDATA("Sum of COno",SalmonPivot!$BI$4,"Date",B96,"Site",1)+GETPIVOTDATA("Sum of COrecap",SalmonPivot!$BI$4,"Date",B96,"Site",1)</f>
        <v>0</v>
      </c>
      <c r="R96" s="24">
        <f>GETPIVOTDATA("Sum of COrad",SalmonPivot!$BI$4,"Date",B96,"Site",1)</f>
        <v>0</v>
      </c>
      <c r="S96" s="24">
        <f>GETPIVOTDATA("Sum of TotalOther",OtherPivot!$J$5,"Date",B96,"Site",1)</f>
        <v>0</v>
      </c>
      <c r="T96" s="38"/>
      <c r="U96" s="172">
        <f>IF(GETPIVOTDATA("3 Revs (s)",EffortRPMPivot!$L$4,"Date",$B96,"Site",1)=0,"",GETPIVOTDATA("3 revs (s)",EffortRPMPivot!$L$4,"date",$B96,"Site",1))</f>
        <v>58.5</v>
      </c>
      <c r="V96" s="173">
        <f t="shared" si="84"/>
        <v>0</v>
      </c>
      <c r="W96" s="173">
        <f t="shared" si="85"/>
        <v>0</v>
      </c>
      <c r="X96" s="173">
        <f t="shared" si="86"/>
        <v>0</v>
      </c>
      <c r="Y96" s="173">
        <f t="shared" si="87"/>
        <v>0</v>
      </c>
      <c r="Z96" s="173">
        <f t="shared" si="88"/>
        <v>0</v>
      </c>
      <c r="AA96" s="174">
        <f t="shared" si="89"/>
        <v>0</v>
      </c>
      <c r="AB96" s="175">
        <f t="shared" si="90"/>
        <v>0</v>
      </c>
      <c r="AC96" s="175">
        <f t="shared" si="91"/>
        <v>0</v>
      </c>
      <c r="AD96" s="175">
        <f t="shared" si="92"/>
        <v>0</v>
      </c>
      <c r="AE96" s="175">
        <f t="shared" si="93"/>
        <v>0</v>
      </c>
      <c r="AF96" s="175">
        <f t="shared" si="94"/>
        <v>0</v>
      </c>
      <c r="AG96" s="175">
        <f t="shared" si="95"/>
        <v>0</v>
      </c>
      <c r="AH96" s="176">
        <f t="shared" si="96"/>
        <v>0</v>
      </c>
      <c r="AI96" s="175">
        <f>SUM(AB$4:AB96)</f>
        <v>672</v>
      </c>
      <c r="AJ96" s="175">
        <f>SUM(AC$4:AC96)</f>
        <v>205</v>
      </c>
      <c r="AK96" s="175">
        <f>SUM(AD$4:AD96)</f>
        <v>213</v>
      </c>
      <c r="AL96" s="175">
        <f>SUM(AE$4:AE96)</f>
        <v>7472</v>
      </c>
      <c r="AM96" s="175">
        <f>SUM(AF$4:AF96)</f>
        <v>1469</v>
      </c>
      <c r="AN96" s="176">
        <f>SUM(AG$4:AG96)</f>
        <v>334</v>
      </c>
      <c r="AO96" s="175">
        <f t="shared" si="97"/>
        <v>0</v>
      </c>
      <c r="AP96" s="175">
        <f t="shared" si="98"/>
        <v>0</v>
      </c>
      <c r="AQ96" s="175">
        <f t="shared" si="99"/>
        <v>0</v>
      </c>
      <c r="AR96" s="175">
        <f t="shared" si="100"/>
        <v>0</v>
      </c>
      <c r="AS96" s="175">
        <f t="shared" si="101"/>
        <v>0</v>
      </c>
      <c r="AT96" s="176">
        <f t="shared" si="102"/>
        <v>0</v>
      </c>
      <c r="AU96" s="175">
        <f>SUM(AO$4:AO96)</f>
        <v>590</v>
      </c>
      <c r="AV96" s="175">
        <f>SUM(AP$4:AP96)</f>
        <v>33</v>
      </c>
      <c r="AW96" s="175">
        <f>SUM(AQ$4:AQ96)</f>
        <v>200</v>
      </c>
      <c r="AX96" s="175">
        <f>SUM(AR$4:AR96)</f>
        <v>200</v>
      </c>
      <c r="AY96" s="175">
        <f>SUM(AS$4:AS96)</f>
        <v>200</v>
      </c>
      <c r="AZ96" s="176">
        <f>SUM(AT$4:AT96)</f>
        <v>212</v>
      </c>
      <c r="BA96" s="177">
        <f t="shared" si="103"/>
        <v>0</v>
      </c>
      <c r="BB96" s="177">
        <f t="shared" si="104"/>
        <v>0</v>
      </c>
      <c r="BC96" s="177">
        <f t="shared" si="105"/>
        <v>0</v>
      </c>
      <c r="BD96" s="177">
        <f t="shared" si="106"/>
        <v>0</v>
      </c>
      <c r="BE96" s="177">
        <f t="shared" si="107"/>
        <v>0</v>
      </c>
      <c r="BF96" s="273">
        <f t="shared" si="108"/>
        <v>0</v>
      </c>
      <c r="BG96" s="177">
        <f>SUM(BA$4:BA96)</f>
        <v>0.99999999999999967</v>
      </c>
      <c r="BH96" s="177">
        <f>SUM(BB$4:BB96)</f>
        <v>1.0000000000000002</v>
      </c>
      <c r="BI96" s="177">
        <f>SUM(BC$4:BC96)</f>
        <v>1.0000000000000002</v>
      </c>
      <c r="BJ96" s="177">
        <f>SUM(BD$4:BD96)</f>
        <v>1.0000000000000002</v>
      </c>
      <c r="BK96" s="177">
        <f>SUM(BE$4:BE96)</f>
        <v>1</v>
      </c>
      <c r="BL96" s="166">
        <f>SUM(BF$4:BF96)</f>
        <v>0.99999999999999989</v>
      </c>
      <c r="BM96" s="412"/>
      <c r="BN96" s="412"/>
    </row>
    <row r="97" spans="1:66" x14ac:dyDescent="0.2">
      <c r="B97" s="60">
        <f t="shared" si="116"/>
        <v>41889</v>
      </c>
      <c r="C97" s="22">
        <f t="shared" si="119"/>
        <v>3</v>
      </c>
      <c r="D97" s="23">
        <f>GETPIVOTDATA("Active time (min)",EffortRPMPivot!$A$4,"date",B97,"Site",1)/60</f>
        <v>9.3333333333333339</v>
      </c>
      <c r="E97" s="24">
        <f>F97+G97+GETPIVOTDATA("Sum of CNlgNo",SalmonPivot!$A$4,"Date",B97,"Site",1)</f>
        <v>0</v>
      </c>
      <c r="F97" s="24">
        <f>GETPIVOTDATA("Sum of CNlgrad",SalmonPivot!$A$4,"date",B97,"Site",1)</f>
        <v>0</v>
      </c>
      <c r="G97" s="24">
        <f>GETPIVOTDATA("Sum of CNlgrecap",SalmonPivot!$A$4,"date",B97,"Site",1)</f>
        <v>0</v>
      </c>
      <c r="H97" s="24">
        <f>I97+J97+GETPIVOTDATA("Sum of CNsmno",SalmonPivot!$M$4,"Date",B97,"Site",1)</f>
        <v>0</v>
      </c>
      <c r="I97" s="24">
        <f>GETPIVOTDATA("Sum of CNsmradio",SalmonPivot!$M$4,"Date",B97,"Site",1)</f>
        <v>0</v>
      </c>
      <c r="J97" s="24">
        <f>GETPIVOTDATA("Sum of CNsmrecap",SalmonPivot!$M$4,"Date",B97,"Site",1)</f>
        <v>0</v>
      </c>
      <c r="K97" s="24">
        <f>L97+GETPIVOTDATA("Sum of SOno",SalmonPivot!$Y$4,"Date",B97,"Site",1)+GETPIVOTDATA("Sum of SOrecap",SalmonPivot!$Y$4,"Date",B97,"Site",1)</f>
        <v>0</v>
      </c>
      <c r="L97" s="24">
        <f>GETPIVOTDATA("Sum of SOrad",SalmonPivot!$Y$4,"Date",B97,"Site",1)</f>
        <v>0</v>
      </c>
      <c r="M97" s="24">
        <f>N97+GETPIVOTDATA("Sum of PKno",SalmonPivot!$AK$4,"Date",B97,"Site",1)+GETPIVOTDATA("Sum of PKrecap",SalmonPivot!$AK$4,"Date",B97,"Site",1)</f>
        <v>0</v>
      </c>
      <c r="N97" s="24">
        <f>GETPIVOTDATA("Sum of PKrad",SalmonPivot!$AK$4,"Date",B97,"Site",1)</f>
        <v>0</v>
      </c>
      <c r="O97" s="24">
        <f>P97+GETPIVOTDATA("Sum of CMno",SalmonPivot!$AW$4,"Date",B97,"Site",1)+GETPIVOTDATA("Sum of CMrecap",SalmonPivot!$AW$4,"Date",B97,"Site",1)</f>
        <v>0</v>
      </c>
      <c r="P97" s="24">
        <f>GETPIVOTDATA("Sum of CMrad",SalmonPivot!$AW$4,"Date",B97,"Site",1)</f>
        <v>0</v>
      </c>
      <c r="Q97" s="25">
        <f>R97+GETPIVOTDATA("Sum of COno",SalmonPivot!$BI$4,"Date",B97,"Site",1)+GETPIVOTDATA("Sum of COrecap",SalmonPivot!$BI$4,"Date",B97,"Site",1)</f>
        <v>0</v>
      </c>
      <c r="R97" s="24">
        <f>GETPIVOTDATA("Sum of COrad",SalmonPivot!$BI$4,"Date",B97,"Site",1)</f>
        <v>0</v>
      </c>
      <c r="S97" s="24">
        <f>GETPIVOTDATA("Sum of TotalOther",OtherPivot!$J$5,"Date",B97,"Site",1)</f>
        <v>0</v>
      </c>
      <c r="T97" s="38"/>
      <c r="U97" s="172">
        <f>IF(GETPIVOTDATA("3 Revs (s)",EffortRPMPivot!$L$4,"Date",$B97,"Site",1)=0,"",GETPIVOTDATA("3 revs (s)",EffortRPMPivot!$L$4,"date",$B97,"Site",1))</f>
        <v>60</v>
      </c>
      <c r="V97" s="173">
        <f t="shared" si="84"/>
        <v>0</v>
      </c>
      <c r="W97" s="173">
        <f t="shared" si="85"/>
        <v>0</v>
      </c>
      <c r="X97" s="173">
        <f t="shared" si="86"/>
        <v>0</v>
      </c>
      <c r="Y97" s="173">
        <f t="shared" si="87"/>
        <v>0</v>
      </c>
      <c r="Z97" s="173">
        <f t="shared" si="88"/>
        <v>0</v>
      </c>
      <c r="AA97" s="174">
        <f t="shared" si="89"/>
        <v>0</v>
      </c>
      <c r="AB97" s="175">
        <f t="shared" si="90"/>
        <v>0</v>
      </c>
      <c r="AC97" s="175">
        <f t="shared" si="91"/>
        <v>0</v>
      </c>
      <c r="AD97" s="175">
        <f t="shared" si="92"/>
        <v>0</v>
      </c>
      <c r="AE97" s="175">
        <f t="shared" si="93"/>
        <v>0</v>
      </c>
      <c r="AF97" s="175">
        <f t="shared" si="94"/>
        <v>0</v>
      </c>
      <c r="AG97" s="175">
        <f t="shared" si="95"/>
        <v>0</v>
      </c>
      <c r="AH97" s="176">
        <f t="shared" si="96"/>
        <v>0</v>
      </c>
      <c r="AI97" s="175">
        <f>SUM(AB$4:AB97)</f>
        <v>672</v>
      </c>
      <c r="AJ97" s="175">
        <f>SUM(AC$4:AC97)</f>
        <v>205</v>
      </c>
      <c r="AK97" s="175">
        <f>SUM(AD$4:AD97)</f>
        <v>213</v>
      </c>
      <c r="AL97" s="175">
        <f>SUM(AE$4:AE97)</f>
        <v>7472</v>
      </c>
      <c r="AM97" s="175">
        <f>SUM(AF$4:AF97)</f>
        <v>1469</v>
      </c>
      <c r="AN97" s="176">
        <f>SUM(AG$4:AG97)</f>
        <v>334</v>
      </c>
      <c r="AO97" s="175">
        <f t="shared" si="97"/>
        <v>0</v>
      </c>
      <c r="AP97" s="175">
        <f t="shared" si="98"/>
        <v>0</v>
      </c>
      <c r="AQ97" s="175">
        <f t="shared" si="99"/>
        <v>0</v>
      </c>
      <c r="AR97" s="175">
        <f t="shared" si="100"/>
        <v>0</v>
      </c>
      <c r="AS97" s="175">
        <f t="shared" si="101"/>
        <v>0</v>
      </c>
      <c r="AT97" s="176">
        <f t="shared" si="102"/>
        <v>0</v>
      </c>
      <c r="AU97" s="175">
        <f>SUM(AO$4:AO97)</f>
        <v>590</v>
      </c>
      <c r="AV97" s="175">
        <f>SUM(AP$4:AP97)</f>
        <v>33</v>
      </c>
      <c r="AW97" s="175">
        <f>SUM(AQ$4:AQ97)</f>
        <v>200</v>
      </c>
      <c r="AX97" s="175">
        <f>SUM(AR$4:AR97)</f>
        <v>200</v>
      </c>
      <c r="AY97" s="175">
        <f>SUM(AS$4:AS97)</f>
        <v>200</v>
      </c>
      <c r="AZ97" s="176">
        <f>SUM(AT$4:AT97)</f>
        <v>212</v>
      </c>
      <c r="BA97" s="177">
        <f t="shared" si="103"/>
        <v>0</v>
      </c>
      <c r="BB97" s="177">
        <f t="shared" si="104"/>
        <v>0</v>
      </c>
      <c r="BC97" s="177">
        <f t="shared" si="105"/>
        <v>0</v>
      </c>
      <c r="BD97" s="177">
        <f t="shared" si="106"/>
        <v>0</v>
      </c>
      <c r="BE97" s="177">
        <f t="shared" si="107"/>
        <v>0</v>
      </c>
      <c r="BF97" s="273">
        <f t="shared" si="108"/>
        <v>0</v>
      </c>
      <c r="BG97" s="177">
        <f>SUM(BA$4:BA97)</f>
        <v>0.99999999999999967</v>
      </c>
      <c r="BH97" s="177">
        <f>SUM(BB$4:BB97)</f>
        <v>1.0000000000000002</v>
      </c>
      <c r="BI97" s="177">
        <f>SUM(BC$4:BC97)</f>
        <v>1.0000000000000002</v>
      </c>
      <c r="BJ97" s="177">
        <f>SUM(BD$4:BD97)</f>
        <v>1.0000000000000002</v>
      </c>
      <c r="BK97" s="177">
        <f>SUM(BE$4:BE97)</f>
        <v>1</v>
      </c>
      <c r="BL97" s="166">
        <f>SUM(BF$4:BF97)</f>
        <v>0.99999999999999989</v>
      </c>
      <c r="BM97" s="412"/>
      <c r="BN97" s="412"/>
    </row>
    <row r="98" spans="1:66" s="49" customFormat="1" x14ac:dyDescent="0.2">
      <c r="A98" s="63" t="s">
        <v>152</v>
      </c>
      <c r="B98" s="60"/>
      <c r="C98" s="64"/>
      <c r="D98" s="65">
        <f t="shared" ref="D98:S98" si="120">SUM(D4:D97)</f>
        <v>1370.9166666666665</v>
      </c>
      <c r="E98" s="65">
        <f t="shared" si="120"/>
        <v>273</v>
      </c>
      <c r="F98" s="65">
        <f t="shared" si="120"/>
        <v>247</v>
      </c>
      <c r="G98" s="65">
        <f t="shared" si="120"/>
        <v>8</v>
      </c>
      <c r="H98" s="65">
        <f t="shared" si="120"/>
        <v>85</v>
      </c>
      <c r="I98" s="65">
        <f t="shared" si="120"/>
        <v>18</v>
      </c>
      <c r="J98" s="65">
        <f t="shared" si="120"/>
        <v>0</v>
      </c>
      <c r="K98" s="65">
        <f t="shared" si="120"/>
        <v>59</v>
      </c>
      <c r="L98" s="65">
        <f t="shared" si="120"/>
        <v>54</v>
      </c>
      <c r="M98" s="65">
        <f t="shared" si="120"/>
        <v>3010</v>
      </c>
      <c r="N98" s="65">
        <f t="shared" si="120"/>
        <v>72</v>
      </c>
      <c r="O98" s="65">
        <f t="shared" si="120"/>
        <v>581</v>
      </c>
      <c r="P98" s="65">
        <f t="shared" si="120"/>
        <v>60</v>
      </c>
      <c r="Q98" s="65">
        <f t="shared" si="120"/>
        <v>111</v>
      </c>
      <c r="R98" s="65">
        <f t="shared" si="120"/>
        <v>73</v>
      </c>
      <c r="S98" s="65">
        <f t="shared" si="120"/>
        <v>38</v>
      </c>
      <c r="T98" s="65"/>
      <c r="U98" s="178"/>
      <c r="V98" s="179">
        <f>E98/D98</f>
        <v>0.19913683058780624</v>
      </c>
      <c r="W98" s="179">
        <f>H98/D98</f>
        <v>6.2002309889976299E-2</v>
      </c>
      <c r="X98" s="179">
        <f>K98/$D98</f>
        <v>4.3036897453042372E-2</v>
      </c>
      <c r="Y98" s="179">
        <f>M98/$D98</f>
        <v>2.195611209045043</v>
      </c>
      <c r="Z98" s="179">
        <f>O98/$D98</f>
        <v>0.42380402407148504</v>
      </c>
      <c r="AA98" s="180">
        <f>Q98/$D98</f>
        <v>8.0967722326910227E-2</v>
      </c>
      <c r="AB98" s="181"/>
      <c r="AC98" s="181"/>
      <c r="AD98" s="181"/>
      <c r="AE98" s="181"/>
      <c r="AF98" s="181"/>
      <c r="AG98" s="181"/>
      <c r="AH98" s="182"/>
      <c r="AI98" s="181"/>
      <c r="AJ98" s="181"/>
      <c r="AK98" s="181"/>
      <c r="AL98" s="181"/>
      <c r="AM98" s="181"/>
      <c r="AN98" s="182"/>
      <c r="AO98" s="181"/>
      <c r="AP98" s="181"/>
      <c r="AQ98" s="181"/>
      <c r="AR98" s="181"/>
      <c r="AS98" s="181"/>
      <c r="AT98" s="182"/>
      <c r="AU98" s="181"/>
      <c r="AV98" s="181"/>
      <c r="AW98" s="181"/>
      <c r="AX98" s="181"/>
      <c r="AY98" s="181"/>
      <c r="AZ98" s="182"/>
      <c r="BA98" s="185"/>
      <c r="BB98" s="185"/>
      <c r="BC98" s="185"/>
      <c r="BD98" s="185"/>
      <c r="BE98" s="185"/>
      <c r="BF98" s="186"/>
      <c r="BG98" s="185"/>
      <c r="BH98" s="185"/>
      <c r="BI98" s="185"/>
      <c r="BJ98" s="185"/>
      <c r="BK98" s="185"/>
      <c r="BL98" s="186"/>
      <c r="BM98" s="412"/>
      <c r="BN98" s="412"/>
    </row>
    <row r="99" spans="1:66" s="49" customFormat="1" x14ac:dyDescent="0.2">
      <c r="A99" s="61"/>
      <c r="B99" s="60"/>
      <c r="C99" s="62"/>
      <c r="D99" s="62"/>
      <c r="E99" s="62"/>
      <c r="F99" s="62"/>
      <c r="G99" s="62"/>
      <c r="H99" s="62"/>
      <c r="I99" s="62"/>
      <c r="J99" s="62"/>
      <c r="K99" s="62"/>
      <c r="L99" s="62"/>
      <c r="M99" s="62"/>
      <c r="N99" s="62"/>
      <c r="O99" s="62"/>
      <c r="P99" s="62"/>
      <c r="Q99" s="62"/>
      <c r="R99" s="62"/>
      <c r="S99" s="62"/>
      <c r="T99" s="39"/>
      <c r="U99" s="178"/>
      <c r="V99" s="179"/>
      <c r="W99" s="179"/>
      <c r="X99" s="179"/>
      <c r="Y99" s="179"/>
      <c r="Z99" s="179"/>
      <c r="AA99" s="180"/>
      <c r="AB99" s="181"/>
      <c r="AC99" s="181"/>
      <c r="AD99" s="181"/>
      <c r="AE99" s="181"/>
      <c r="AF99" s="181"/>
      <c r="AG99" s="181"/>
      <c r="AH99" s="182"/>
      <c r="AI99" s="181"/>
      <c r="AJ99" s="181"/>
      <c r="AK99" s="181"/>
      <c r="AL99" s="181"/>
      <c r="AM99" s="181"/>
      <c r="AN99" s="182"/>
      <c r="AO99" s="181"/>
      <c r="AP99" s="181"/>
      <c r="AQ99" s="181"/>
      <c r="AR99" s="181"/>
      <c r="AS99" s="181"/>
      <c r="AT99" s="182"/>
      <c r="AU99" s="181"/>
      <c r="AV99" s="181"/>
      <c r="AW99" s="181"/>
      <c r="AX99" s="181"/>
      <c r="AY99" s="181"/>
      <c r="AZ99" s="182"/>
      <c r="BA99" s="185"/>
      <c r="BB99" s="185"/>
      <c r="BC99" s="185"/>
      <c r="BD99" s="185"/>
      <c r="BE99" s="185"/>
      <c r="BF99" s="186"/>
      <c r="BG99" s="185"/>
      <c r="BH99" s="185"/>
      <c r="BI99" s="185"/>
      <c r="BJ99" s="185"/>
      <c r="BK99" s="185"/>
      <c r="BL99" s="186"/>
      <c r="BM99" s="412"/>
      <c r="BN99" s="412"/>
    </row>
    <row r="100" spans="1:66" s="49" customFormat="1" x14ac:dyDescent="0.2">
      <c r="B100" s="60">
        <v>41796</v>
      </c>
      <c r="C100" s="22"/>
      <c r="D100" s="23"/>
      <c r="E100" s="24"/>
      <c r="F100" s="24"/>
      <c r="G100" s="24"/>
      <c r="H100" s="24"/>
      <c r="I100" s="24"/>
      <c r="J100" s="24"/>
      <c r="K100" s="24"/>
      <c r="L100" s="24"/>
      <c r="M100" s="24"/>
      <c r="N100" s="24"/>
      <c r="O100" s="24"/>
      <c r="P100" s="24"/>
      <c r="Q100" s="25"/>
      <c r="R100" s="24"/>
      <c r="S100" s="24"/>
      <c r="T100" s="38"/>
      <c r="U100" s="178"/>
      <c r="V100" s="179" t="str">
        <f t="shared" ref="V100" si="121">IF(D100=0,"",E100/D100)</f>
        <v/>
      </c>
      <c r="W100" s="179" t="str">
        <f t="shared" ref="W100" si="122">IF(D100=0,"",H100/D100)</f>
        <v/>
      </c>
      <c r="X100" s="179" t="str">
        <f t="shared" ref="X100" si="123">IF(D100=0,"",K100/$D100)</f>
        <v/>
      </c>
      <c r="Y100" s="179" t="str">
        <f t="shared" ref="Y100" si="124">IF(D100=0,"",M100/$D100)</f>
        <v/>
      </c>
      <c r="Z100" s="179" t="str">
        <f t="shared" ref="Z100" si="125">IF(D100=0,"",O100/$D100)</f>
        <v/>
      </c>
      <c r="AA100" s="180" t="str">
        <f t="shared" ref="AA100" si="126">IF(D100=0,"",Q100/$D100)</f>
        <v/>
      </c>
      <c r="AB100" s="181"/>
      <c r="AC100" s="181"/>
      <c r="AD100" s="181"/>
      <c r="AE100" s="181"/>
      <c r="AF100" s="181"/>
      <c r="AG100" s="181"/>
      <c r="AH100" s="182"/>
      <c r="AI100" s="181"/>
      <c r="AJ100" s="181"/>
      <c r="AK100" s="181"/>
      <c r="AL100" s="181"/>
      <c r="AM100" s="181"/>
      <c r="AN100" s="182"/>
      <c r="AO100" s="181"/>
      <c r="AP100" s="181"/>
      <c r="AQ100" s="181"/>
      <c r="AR100" s="181"/>
      <c r="AS100" s="181"/>
      <c r="AT100" s="182"/>
      <c r="AU100" s="181"/>
      <c r="AV100" s="181"/>
      <c r="AW100" s="181"/>
      <c r="AX100" s="181"/>
      <c r="AY100" s="181"/>
      <c r="AZ100" s="182"/>
      <c r="BA100" s="183"/>
      <c r="BB100" s="183"/>
      <c r="BC100" s="183"/>
      <c r="BD100" s="183"/>
      <c r="BE100" s="183"/>
      <c r="BF100" s="324"/>
      <c r="BG100" s="183"/>
      <c r="BH100" s="183"/>
      <c r="BI100" s="183"/>
      <c r="BJ100" s="183"/>
      <c r="BK100" s="183"/>
      <c r="BL100" s="184"/>
      <c r="BM100" s="412"/>
      <c r="BN100" s="412"/>
    </row>
    <row r="101" spans="1:66" s="49" customFormat="1" x14ac:dyDescent="0.2">
      <c r="B101" s="60">
        <f>1+B100</f>
        <v>41797</v>
      </c>
      <c r="C101" s="22"/>
      <c r="D101" s="23"/>
      <c r="E101" s="24"/>
      <c r="F101" s="24"/>
      <c r="G101" s="24"/>
      <c r="H101" s="24"/>
      <c r="I101" s="24"/>
      <c r="J101" s="24"/>
      <c r="K101" s="24"/>
      <c r="L101" s="24"/>
      <c r="M101" s="24"/>
      <c r="N101" s="24"/>
      <c r="O101" s="24"/>
      <c r="P101" s="24"/>
      <c r="Q101" s="25"/>
      <c r="R101" s="24"/>
      <c r="S101" s="24"/>
      <c r="T101" s="38"/>
      <c r="U101" s="178"/>
      <c r="V101" s="179"/>
      <c r="W101" s="179"/>
      <c r="X101" s="179"/>
      <c r="Y101" s="179"/>
      <c r="Z101" s="179"/>
      <c r="AA101" s="180"/>
      <c r="AB101" s="181"/>
      <c r="AC101" s="181"/>
      <c r="AD101" s="181"/>
      <c r="AE101" s="181"/>
      <c r="AF101" s="181"/>
      <c r="AG101" s="181"/>
      <c r="AH101" s="182"/>
      <c r="AI101" s="181"/>
      <c r="AJ101" s="181"/>
      <c r="AK101" s="181"/>
      <c r="AL101" s="181"/>
      <c r="AM101" s="181"/>
      <c r="AN101" s="182"/>
      <c r="AO101" s="181"/>
      <c r="AP101" s="181"/>
      <c r="AQ101" s="181"/>
      <c r="AR101" s="181"/>
      <c r="AS101" s="181"/>
      <c r="AT101" s="182"/>
      <c r="AU101" s="181"/>
      <c r="AV101" s="181"/>
      <c r="AW101" s="181"/>
      <c r="AX101" s="181"/>
      <c r="AY101" s="181"/>
      <c r="AZ101" s="182"/>
      <c r="BA101" s="185"/>
      <c r="BB101" s="185"/>
      <c r="BC101" s="185"/>
      <c r="BD101" s="185"/>
      <c r="BE101" s="185"/>
      <c r="BF101" s="186"/>
      <c r="BG101" s="185"/>
      <c r="BH101" s="185"/>
      <c r="BI101" s="185"/>
      <c r="BJ101" s="185"/>
      <c r="BK101" s="185"/>
      <c r="BL101" s="186"/>
      <c r="BM101" s="412"/>
      <c r="BN101" s="412"/>
    </row>
    <row r="102" spans="1:66" s="49" customFormat="1" x14ac:dyDescent="0.2">
      <c r="B102" s="60">
        <f t="shared" ref="B102:B152" si="127">1+B101</f>
        <v>41798</v>
      </c>
      <c r="C102" s="22"/>
      <c r="D102" s="23"/>
      <c r="E102" s="24"/>
      <c r="F102" s="24"/>
      <c r="G102" s="24"/>
      <c r="H102" s="24"/>
      <c r="I102" s="24"/>
      <c r="J102" s="24"/>
      <c r="K102" s="24"/>
      <c r="L102" s="24"/>
      <c r="M102" s="24"/>
      <c r="N102" s="24"/>
      <c r="O102" s="24"/>
      <c r="P102" s="24"/>
      <c r="Q102" s="25"/>
      <c r="R102" s="24"/>
      <c r="S102" s="24"/>
      <c r="T102" s="38"/>
      <c r="U102" s="178"/>
      <c r="V102" s="179"/>
      <c r="W102" s="179"/>
      <c r="X102" s="179"/>
      <c r="Y102" s="179"/>
      <c r="Z102" s="179"/>
      <c r="AA102" s="180"/>
      <c r="AB102" s="181"/>
      <c r="AC102" s="181"/>
      <c r="AD102" s="181"/>
      <c r="AE102" s="181"/>
      <c r="AF102" s="181"/>
      <c r="AG102" s="181"/>
      <c r="AH102" s="182"/>
      <c r="AI102" s="181"/>
      <c r="AJ102" s="181"/>
      <c r="AK102" s="181"/>
      <c r="AL102" s="181"/>
      <c r="AM102" s="181"/>
      <c r="AN102" s="182"/>
      <c r="AO102" s="181"/>
      <c r="AP102" s="181"/>
      <c r="AQ102" s="181"/>
      <c r="AR102" s="181"/>
      <c r="AS102" s="181"/>
      <c r="AT102" s="182"/>
      <c r="AU102" s="181"/>
      <c r="AV102" s="181"/>
      <c r="AW102" s="181"/>
      <c r="AX102" s="181"/>
      <c r="AY102" s="181"/>
      <c r="AZ102" s="182"/>
      <c r="BA102" s="185"/>
      <c r="BB102" s="185"/>
      <c r="BC102" s="185"/>
      <c r="BD102" s="185"/>
      <c r="BE102" s="185"/>
      <c r="BF102" s="186"/>
      <c r="BG102" s="185"/>
      <c r="BH102" s="185"/>
      <c r="BI102" s="185"/>
      <c r="BJ102" s="185"/>
      <c r="BK102" s="185"/>
      <c r="BL102" s="186"/>
      <c r="BM102" s="412"/>
      <c r="BN102" s="412"/>
    </row>
    <row r="103" spans="1:66" s="49" customFormat="1" x14ac:dyDescent="0.2">
      <c r="A103" s="61"/>
      <c r="B103" s="60">
        <f t="shared" si="127"/>
        <v>41799</v>
      </c>
      <c r="C103" s="22"/>
      <c r="D103" s="23"/>
      <c r="E103" s="24"/>
      <c r="F103" s="24"/>
      <c r="G103" s="24"/>
      <c r="H103" s="24"/>
      <c r="I103" s="24"/>
      <c r="J103" s="24"/>
      <c r="K103" s="24"/>
      <c r="L103" s="24"/>
      <c r="M103" s="24"/>
      <c r="N103" s="24"/>
      <c r="O103" s="24"/>
      <c r="P103" s="24"/>
      <c r="Q103" s="25"/>
      <c r="R103" s="24"/>
      <c r="S103" s="24"/>
      <c r="T103" s="38"/>
      <c r="U103" s="178"/>
      <c r="V103" s="179"/>
      <c r="W103" s="179"/>
      <c r="X103" s="179"/>
      <c r="Y103" s="179"/>
      <c r="Z103" s="179"/>
      <c r="AA103" s="180"/>
      <c r="AB103" s="181"/>
      <c r="AC103" s="181"/>
      <c r="AD103" s="181"/>
      <c r="AE103" s="181"/>
      <c r="AF103" s="181"/>
      <c r="AG103" s="181"/>
      <c r="AH103" s="182"/>
      <c r="AI103" s="181"/>
      <c r="AJ103" s="181"/>
      <c r="AK103" s="181"/>
      <c r="AL103" s="181"/>
      <c r="AM103" s="181"/>
      <c r="AN103" s="182"/>
      <c r="AO103" s="181"/>
      <c r="AP103" s="181"/>
      <c r="AQ103" s="181"/>
      <c r="AR103" s="181"/>
      <c r="AS103" s="181"/>
      <c r="AT103" s="182"/>
      <c r="AU103" s="181"/>
      <c r="AV103" s="181"/>
      <c r="AW103" s="181"/>
      <c r="AX103" s="181"/>
      <c r="AY103" s="181"/>
      <c r="AZ103" s="182"/>
      <c r="BA103" s="185"/>
      <c r="BB103" s="185"/>
      <c r="BC103" s="185"/>
      <c r="BD103" s="185"/>
      <c r="BE103" s="185"/>
      <c r="BF103" s="186"/>
      <c r="BG103" s="185"/>
      <c r="BH103" s="185"/>
      <c r="BI103" s="185"/>
      <c r="BJ103" s="185"/>
      <c r="BK103" s="185"/>
      <c r="BL103" s="186"/>
      <c r="BM103" s="412"/>
      <c r="BN103" s="412"/>
    </row>
    <row r="104" spans="1:66" s="49" customFormat="1" x14ac:dyDescent="0.2">
      <c r="A104" s="61"/>
      <c r="B104" s="60">
        <f t="shared" si="127"/>
        <v>41800</v>
      </c>
      <c r="C104" s="22"/>
      <c r="D104" s="23"/>
      <c r="E104" s="24"/>
      <c r="F104" s="24"/>
      <c r="G104" s="24"/>
      <c r="H104" s="24"/>
      <c r="I104" s="24"/>
      <c r="J104" s="24"/>
      <c r="K104" s="24"/>
      <c r="L104" s="24"/>
      <c r="M104" s="24"/>
      <c r="N104" s="24"/>
      <c r="O104" s="24"/>
      <c r="P104" s="24"/>
      <c r="Q104" s="25"/>
      <c r="R104" s="24"/>
      <c r="S104" s="24"/>
      <c r="T104" s="38"/>
      <c r="U104" s="178"/>
      <c r="V104" s="179"/>
      <c r="W104" s="179"/>
      <c r="X104" s="179"/>
      <c r="Y104" s="179"/>
      <c r="Z104" s="179"/>
      <c r="AA104" s="180"/>
      <c r="AB104" s="181"/>
      <c r="AC104" s="181"/>
      <c r="AD104" s="181"/>
      <c r="AE104" s="181"/>
      <c r="AF104" s="181"/>
      <c r="AG104" s="181"/>
      <c r="AH104" s="182"/>
      <c r="AI104" s="181"/>
      <c r="AJ104" s="181"/>
      <c r="AK104" s="181"/>
      <c r="AL104" s="181"/>
      <c r="AM104" s="181"/>
      <c r="AN104" s="182"/>
      <c r="AO104" s="181"/>
      <c r="AP104" s="181"/>
      <c r="AQ104" s="181"/>
      <c r="AR104" s="181"/>
      <c r="AS104" s="181"/>
      <c r="AT104" s="182"/>
      <c r="AU104" s="181"/>
      <c r="AV104" s="181"/>
      <c r="AW104" s="181"/>
      <c r="AX104" s="181"/>
      <c r="AY104" s="181"/>
      <c r="AZ104" s="182"/>
      <c r="BA104" s="185"/>
      <c r="BB104" s="185"/>
      <c r="BC104" s="185"/>
      <c r="BD104" s="185"/>
      <c r="BE104" s="185"/>
      <c r="BF104" s="186"/>
      <c r="BG104" s="185"/>
      <c r="BH104" s="185"/>
      <c r="BI104" s="185"/>
      <c r="BJ104" s="185"/>
      <c r="BK104" s="185"/>
      <c r="BL104" s="186"/>
      <c r="BM104" s="412"/>
      <c r="BN104" s="412"/>
    </row>
    <row r="105" spans="1:66" s="49" customFormat="1" x14ac:dyDescent="0.2">
      <c r="A105" s="61"/>
      <c r="B105" s="60">
        <f t="shared" si="127"/>
        <v>41801</v>
      </c>
      <c r="C105" s="22"/>
      <c r="D105" s="23"/>
      <c r="E105" s="24"/>
      <c r="F105" s="24"/>
      <c r="G105" s="24"/>
      <c r="H105" s="24"/>
      <c r="I105" s="24"/>
      <c r="J105" s="24"/>
      <c r="K105" s="24"/>
      <c r="L105" s="24"/>
      <c r="M105" s="24"/>
      <c r="N105" s="24"/>
      <c r="O105" s="24"/>
      <c r="P105" s="24"/>
      <c r="Q105" s="25"/>
      <c r="R105" s="24"/>
      <c r="S105" s="24"/>
      <c r="T105" s="38"/>
      <c r="U105" s="178"/>
      <c r="V105" s="179"/>
      <c r="W105" s="179"/>
      <c r="X105" s="179"/>
      <c r="Y105" s="179"/>
      <c r="Z105" s="179"/>
      <c r="AA105" s="180"/>
      <c r="AB105" s="181"/>
      <c r="AC105" s="181"/>
      <c r="AD105" s="181"/>
      <c r="AE105" s="181"/>
      <c r="AF105" s="181"/>
      <c r="AG105" s="181"/>
      <c r="AH105" s="182"/>
      <c r="AI105" s="181"/>
      <c r="AJ105" s="181"/>
      <c r="AK105" s="181"/>
      <c r="AL105" s="181"/>
      <c r="AM105" s="181"/>
      <c r="AN105" s="182"/>
      <c r="AO105" s="181"/>
      <c r="AP105" s="181"/>
      <c r="AQ105" s="181"/>
      <c r="AR105" s="181"/>
      <c r="AS105" s="181"/>
      <c r="AT105" s="182"/>
      <c r="AU105" s="181"/>
      <c r="AV105" s="181"/>
      <c r="AW105" s="181"/>
      <c r="AX105" s="181"/>
      <c r="AY105" s="181"/>
      <c r="AZ105" s="182"/>
      <c r="BA105" s="185"/>
      <c r="BB105" s="185"/>
      <c r="BC105" s="185"/>
      <c r="BD105" s="185"/>
      <c r="BE105" s="185"/>
      <c r="BF105" s="186"/>
      <c r="BG105" s="185"/>
      <c r="BH105" s="185"/>
      <c r="BI105" s="185"/>
      <c r="BJ105" s="185"/>
      <c r="BK105" s="185"/>
      <c r="BL105" s="186"/>
      <c r="BM105" s="412"/>
      <c r="BN105" s="412"/>
    </row>
    <row r="106" spans="1:66" s="49" customFormat="1" x14ac:dyDescent="0.2">
      <c r="A106" s="61" t="s">
        <v>153</v>
      </c>
      <c r="B106" s="60">
        <f t="shared" si="127"/>
        <v>41802</v>
      </c>
      <c r="C106" s="22">
        <f t="shared" ref="C106:C111" si="128">IF(ISERROR(3/(U106/60)),"",3/(U106/60))</f>
        <v>5</v>
      </c>
      <c r="D106" s="23">
        <f>GETPIVOTDATA("Active time (min)",EffortRPMPivot!$A$4,"date",B106,"Site",2)/60</f>
        <v>12.366666666666667</v>
      </c>
      <c r="E106" s="24">
        <f>F106+G106+GETPIVOTDATA("Sum of CNlgNo",SalmonPivot!$A$4,"Date",B106,"Site",2)</f>
        <v>2</v>
      </c>
      <c r="F106" s="24">
        <f>GETPIVOTDATA("Sum of CNlgrad",SalmonPivot!$A$4,"date",B106,"Site",2)</f>
        <v>2</v>
      </c>
      <c r="G106" s="24">
        <f>GETPIVOTDATA("Sum of CNlgrecap",SalmonPivot!$A$4,"date",B106,"Site",2)</f>
        <v>0</v>
      </c>
      <c r="H106" s="24">
        <f>I106+J106+GETPIVOTDATA("Sum of CNsmno",SalmonPivot!$M$4,"Date",B106,"Site",2)</f>
        <v>0</v>
      </c>
      <c r="I106" s="24">
        <f>GETPIVOTDATA("Sum of CNsmradio",SalmonPivot!$M$4,"Date",B106,"Site",2)</f>
        <v>0</v>
      </c>
      <c r="J106" s="24">
        <f>GETPIVOTDATA("Sum of CNsmrecap",SalmonPivot!$M$4,"Date",B106,"Site",2)</f>
        <v>0</v>
      </c>
      <c r="K106" s="24">
        <f>L106+GETPIVOTDATA("Sum of SOno",SalmonPivot!$Y$4,"Date",B106,"Site",2)+GETPIVOTDATA("Sum of SOrecap",SalmonPivot!$Y$4,"Date",B106,"Site",2)</f>
        <v>0</v>
      </c>
      <c r="L106" s="24">
        <f>GETPIVOTDATA("Sum of SOrad",SalmonPivot!$Y$4,"Date",B106,"Site",2)</f>
        <v>0</v>
      </c>
      <c r="M106" s="24">
        <f>N106+GETPIVOTDATA("Sum of PKno",SalmonPivot!$AK$4,"Date",B106,"Site",2)+GETPIVOTDATA("Sum of PKrecap",SalmonPivot!$AK$4,"Date",B106,"Site",2)</f>
        <v>0</v>
      </c>
      <c r="N106" s="24">
        <f>GETPIVOTDATA("Sum of PKrad",SalmonPivot!$AK$4,"Date",B106,"Site",2)</f>
        <v>0</v>
      </c>
      <c r="O106" s="24">
        <f>P106+GETPIVOTDATA("Sum of CMno",SalmonPivot!$AW$4,"Date",B106,"Site",2)+GETPIVOTDATA("Sum of CMrecap",SalmonPivot!$AW$4,"Date",B106,"Site",2)</f>
        <v>0</v>
      </c>
      <c r="P106" s="24">
        <f>GETPIVOTDATA("Sum of CMrad",SalmonPivot!$AW$4,"Date",B106,"Site",2)</f>
        <v>0</v>
      </c>
      <c r="Q106" s="25">
        <f>R106+GETPIVOTDATA("Sum of COno",SalmonPivot!$BI$4,"Date",B106,"Site",2)+GETPIVOTDATA("Sum of COrecap",SalmonPivot!$BI$4,"Date",B106,"Site",2)</f>
        <v>0</v>
      </c>
      <c r="R106" s="24">
        <f>GETPIVOTDATA("Sum of COrad",SalmonPivot!$BI$4,"Date",B106,"Site",2)</f>
        <v>0</v>
      </c>
      <c r="S106" s="24">
        <f>GETPIVOTDATA("Sum of TotalOther",OtherPivot!$J$5,"Date",B106,"Site",2)</f>
        <v>0</v>
      </c>
      <c r="T106" s="38"/>
      <c r="U106" s="172">
        <f>IF(GETPIVOTDATA("3 Revs (s)",EffortRPMPivot!$L$4,"Date",$B106,"Site",2)=0,"",GETPIVOTDATA("3 revs (s)",EffortRPMPivot!$L$4,"date",$B106,"Site",2))</f>
        <v>36</v>
      </c>
      <c r="V106" s="173">
        <f t="shared" ref="V106" si="129">IF(D106=0,"",E106/D106)</f>
        <v>0.16172506738544473</v>
      </c>
      <c r="W106" s="173">
        <f t="shared" ref="W106" si="130">IF(D106=0,"",H106/D106)</f>
        <v>0</v>
      </c>
      <c r="X106" s="173">
        <f t="shared" ref="X106" si="131">IF(D106=0,"",K106/$D106)</f>
        <v>0</v>
      </c>
      <c r="Y106" s="173">
        <f t="shared" ref="Y106" si="132">IF(D106=0,"",M106/$D106)</f>
        <v>0</v>
      </c>
      <c r="Z106" s="173">
        <f t="shared" ref="Z106" si="133">IF(D106=0,"",O106/$D106)</f>
        <v>0</v>
      </c>
      <c r="AA106" s="174">
        <f t="shared" ref="AA106" si="134">IF(D106=0,"",Q106/$D106)</f>
        <v>0</v>
      </c>
      <c r="AB106" s="181"/>
      <c r="AC106" s="181"/>
      <c r="AD106" s="181"/>
      <c r="AE106" s="181"/>
      <c r="AF106" s="181"/>
      <c r="AG106" s="181"/>
      <c r="AH106" s="182"/>
      <c r="AI106" s="181"/>
      <c r="AJ106" s="181"/>
      <c r="AK106" s="181"/>
      <c r="AL106" s="181"/>
      <c r="AM106" s="181"/>
      <c r="AN106" s="182"/>
      <c r="AO106" s="181"/>
      <c r="AP106" s="181"/>
      <c r="AQ106" s="181"/>
      <c r="AR106" s="181"/>
      <c r="AS106" s="181"/>
      <c r="AT106" s="182"/>
      <c r="AU106" s="181"/>
      <c r="AV106" s="181"/>
      <c r="AW106" s="181"/>
      <c r="AX106" s="181"/>
      <c r="AY106" s="181"/>
      <c r="AZ106" s="182"/>
      <c r="BA106" s="185"/>
      <c r="BB106" s="185"/>
      <c r="BC106" s="185"/>
      <c r="BD106" s="185"/>
      <c r="BE106" s="185"/>
      <c r="BF106" s="186"/>
      <c r="BG106" s="185"/>
      <c r="BH106" s="185"/>
      <c r="BI106" s="185"/>
      <c r="BJ106" s="185"/>
      <c r="BK106" s="185"/>
      <c r="BL106" s="186"/>
      <c r="BM106" s="412"/>
      <c r="BN106" s="412"/>
    </row>
    <row r="107" spans="1:66" s="49" customFormat="1" x14ac:dyDescent="0.2">
      <c r="A107" s="61" t="s">
        <v>138</v>
      </c>
      <c r="B107" s="60">
        <f t="shared" si="127"/>
        <v>41803</v>
      </c>
      <c r="C107" s="22">
        <f t="shared" si="128"/>
        <v>4.6905537459283391</v>
      </c>
      <c r="D107" s="23">
        <f>GETPIVOTDATA("Active time (min)",EffortRPMPivot!$A$4,"date",B107,"Site",2)/60</f>
        <v>14.883333333333331</v>
      </c>
      <c r="E107" s="24">
        <f>F107+G107+GETPIVOTDATA("Sum of CNlgNo",SalmonPivot!$A$4,"Date",B107,"Site",2)</f>
        <v>3</v>
      </c>
      <c r="F107" s="24">
        <f>GETPIVOTDATA("Sum of CNlgrad",SalmonPivot!$A$4,"date",B107,"Site",2)</f>
        <v>3</v>
      </c>
      <c r="G107" s="24">
        <f>GETPIVOTDATA("Sum of CNlgrecap",SalmonPivot!$A$4,"date",B107,"Site",2)</f>
        <v>0</v>
      </c>
      <c r="H107" s="24">
        <f>I107+J107+GETPIVOTDATA("Sum of CNsmno",SalmonPivot!$M$4,"Date",B107,"Site",2)</f>
        <v>1</v>
      </c>
      <c r="I107" s="24">
        <f>GETPIVOTDATA("Sum of CNsmradio",SalmonPivot!$M$4,"Date",B107,"Site",2)</f>
        <v>1</v>
      </c>
      <c r="J107" s="24">
        <f>GETPIVOTDATA("Sum of CNsmrecap",SalmonPivot!$M$4,"Date",B107,"Site",2)</f>
        <v>0</v>
      </c>
      <c r="K107" s="24">
        <f>L107+GETPIVOTDATA("Sum of SOno",SalmonPivot!$Y$4,"Date",B107,"Site",2)+GETPIVOTDATA("Sum of SOrecap",SalmonPivot!$Y$4,"Date",B107,"Site",2)</f>
        <v>0</v>
      </c>
      <c r="L107" s="24">
        <f>GETPIVOTDATA("Sum of SOrad",SalmonPivot!$Y$4,"Date",B107,"Site",2)</f>
        <v>0</v>
      </c>
      <c r="M107" s="24">
        <f>N107+GETPIVOTDATA("Sum of PKno",SalmonPivot!$AK$4,"Date",B107,"Site",2)+GETPIVOTDATA("Sum of PKrecap",SalmonPivot!$AK$4,"Date",B107,"Site",2)</f>
        <v>0</v>
      </c>
      <c r="N107" s="24">
        <f>GETPIVOTDATA("Sum of PKrad",SalmonPivot!$AK$4,"Date",B107,"Site",2)</f>
        <v>0</v>
      </c>
      <c r="O107" s="24">
        <f>P107+GETPIVOTDATA("Sum of CMno",SalmonPivot!$AW$4,"Date",B107,"Site",2)+GETPIVOTDATA("Sum of CMrecap",SalmonPivot!$AW$4,"Date",B107,"Site",2)</f>
        <v>0</v>
      </c>
      <c r="P107" s="24">
        <f>GETPIVOTDATA("Sum of CMrad",SalmonPivot!$AW$4,"Date",B107,"Site",2)</f>
        <v>0</v>
      </c>
      <c r="Q107" s="25">
        <f>R107+GETPIVOTDATA("Sum of COno",SalmonPivot!$BI$4,"Date",B107,"Site",2)+GETPIVOTDATA("Sum of COrecap",SalmonPivot!$BI$4,"Date",B107,"Site",2)</f>
        <v>0</v>
      </c>
      <c r="R107" s="24">
        <f>GETPIVOTDATA("Sum of COrad",SalmonPivot!$BI$4,"Date",B107,"Site",2)</f>
        <v>0</v>
      </c>
      <c r="S107" s="24">
        <f>GETPIVOTDATA("Sum of TotalOther",OtherPivot!$J$5,"Date",B107,"Site",2)</f>
        <v>0</v>
      </c>
      <c r="T107" s="38"/>
      <c r="U107" s="172">
        <f>IF(GETPIVOTDATA("3 Revs (s)",EffortRPMPivot!$L$4,"Date",$B107,"Site",2)=0,"",GETPIVOTDATA("3 revs (s)",EffortRPMPivot!$L$4,"date",$B107,"Site",2))</f>
        <v>38.375</v>
      </c>
      <c r="V107" s="173">
        <f t="shared" ref="V107:V111" si="135">IF(D107=0,"",E107/D107)</f>
        <v>0.2015677491601344</v>
      </c>
      <c r="W107" s="173">
        <f t="shared" ref="W107:W111" si="136">IF(D107=0,"",H107/D107)</f>
        <v>6.7189249720044808E-2</v>
      </c>
      <c r="X107" s="173">
        <f t="shared" ref="X107:X111" si="137">IF(D107=0,"",K107/$D107)</f>
        <v>0</v>
      </c>
      <c r="Y107" s="173">
        <f t="shared" ref="Y107:Y111" si="138">IF(D107=0,"",M107/$D107)</f>
        <v>0</v>
      </c>
      <c r="Z107" s="173">
        <f t="shared" ref="Z107:Z111" si="139">IF(D107=0,"",O107/$D107)</f>
        <v>0</v>
      </c>
      <c r="AA107" s="174">
        <f t="shared" ref="AA107:AA111" si="140">IF(D107=0,"",Q107/$D107)</f>
        <v>0</v>
      </c>
      <c r="AB107" s="181"/>
      <c r="AC107" s="181"/>
      <c r="AD107" s="181"/>
      <c r="AE107" s="181"/>
      <c r="AF107" s="181"/>
      <c r="AG107" s="181"/>
      <c r="AH107" s="182"/>
      <c r="AI107" s="181"/>
      <c r="AJ107" s="181"/>
      <c r="AK107" s="181"/>
      <c r="AL107" s="181"/>
      <c r="AM107" s="181"/>
      <c r="AN107" s="182"/>
      <c r="AO107" s="181"/>
      <c r="AP107" s="181"/>
      <c r="AQ107" s="181"/>
      <c r="AR107" s="181"/>
      <c r="AS107" s="181"/>
      <c r="AT107" s="182"/>
      <c r="AU107" s="181"/>
      <c r="AV107" s="181"/>
      <c r="AW107" s="181"/>
      <c r="AX107" s="181"/>
      <c r="AY107" s="181"/>
      <c r="AZ107" s="182"/>
      <c r="BA107" s="185"/>
      <c r="BB107" s="185"/>
      <c r="BC107" s="185"/>
      <c r="BD107" s="185"/>
      <c r="BE107" s="185"/>
      <c r="BF107" s="186"/>
      <c r="BG107" s="185"/>
      <c r="BH107" s="185"/>
      <c r="BI107" s="185"/>
      <c r="BJ107" s="185"/>
      <c r="BK107" s="185"/>
      <c r="BL107" s="186"/>
      <c r="BM107" s="412"/>
      <c r="BN107" s="412"/>
    </row>
    <row r="108" spans="1:66" s="49" customFormat="1" x14ac:dyDescent="0.2">
      <c r="A108" s="61" t="s">
        <v>131</v>
      </c>
      <c r="B108" s="60">
        <f t="shared" si="127"/>
        <v>41804</v>
      </c>
      <c r="C108" s="22">
        <f t="shared" si="128"/>
        <v>4.2352941176470589</v>
      </c>
      <c r="D108" s="23">
        <f>GETPIVOTDATA("Active time (min)",EffortRPMPivot!$A$4,"date",B108,"Site",2)/60</f>
        <v>15.600000000000001</v>
      </c>
      <c r="E108" s="24">
        <f>F108+G108+GETPIVOTDATA("Sum of CNlgNo",SalmonPivot!$A$4,"Date",B108,"Site",2)</f>
        <v>6</v>
      </c>
      <c r="F108" s="24">
        <f>GETPIVOTDATA("Sum of CNlgrad",SalmonPivot!$A$4,"date",B108,"Site",2)</f>
        <v>6</v>
      </c>
      <c r="G108" s="24">
        <f>GETPIVOTDATA("Sum of CNlgrecap",SalmonPivot!$A$4,"date",B108,"Site",2)</f>
        <v>0</v>
      </c>
      <c r="H108" s="24">
        <f>I108+J108+GETPIVOTDATA("Sum of CNsmno",SalmonPivot!$M$4,"Date",B108,"Site",2)</f>
        <v>0</v>
      </c>
      <c r="I108" s="24">
        <f>GETPIVOTDATA("Sum of CNsmradio",SalmonPivot!$M$4,"Date",B108,"Site",2)</f>
        <v>0</v>
      </c>
      <c r="J108" s="24">
        <f>GETPIVOTDATA("Sum of CNsmrecap",SalmonPivot!$M$4,"Date",B108,"Site",2)</f>
        <v>0</v>
      </c>
      <c r="K108" s="24">
        <f>L108+GETPIVOTDATA("Sum of SOno",SalmonPivot!$Y$4,"Date",B108,"Site",2)+GETPIVOTDATA("Sum of SOrecap",SalmonPivot!$Y$4,"Date",B108,"Site",2)</f>
        <v>0</v>
      </c>
      <c r="L108" s="24">
        <f>GETPIVOTDATA("Sum of SOrad",SalmonPivot!$Y$4,"Date",B108,"Site",2)</f>
        <v>0</v>
      </c>
      <c r="M108" s="24">
        <f>N108+GETPIVOTDATA("Sum of PKno",SalmonPivot!$AK$4,"Date",B108,"Site",2)+GETPIVOTDATA("Sum of PKrecap",SalmonPivot!$AK$4,"Date",B108,"Site",2)</f>
        <v>0</v>
      </c>
      <c r="N108" s="24">
        <f>GETPIVOTDATA("Sum of PKrad",SalmonPivot!$AK$4,"Date",B108,"Site",2)</f>
        <v>0</v>
      </c>
      <c r="O108" s="24">
        <f>P108+GETPIVOTDATA("Sum of CMno",SalmonPivot!$AW$4,"Date",B108,"Site",2)+GETPIVOTDATA("Sum of CMrecap",SalmonPivot!$AW$4,"Date",B108,"Site",2)</f>
        <v>0</v>
      </c>
      <c r="P108" s="24">
        <f>GETPIVOTDATA("Sum of CMrad",SalmonPivot!$AW$4,"Date",B108,"Site",2)</f>
        <v>0</v>
      </c>
      <c r="Q108" s="25">
        <f>R108+GETPIVOTDATA("Sum of COno",SalmonPivot!$BI$4,"Date",B108,"Site",2)+GETPIVOTDATA("Sum of COrecap",SalmonPivot!$BI$4,"Date",B108,"Site",2)</f>
        <v>0</v>
      </c>
      <c r="R108" s="24">
        <f>GETPIVOTDATA("Sum of COrad",SalmonPivot!$BI$4,"Date",B108,"Site",2)</f>
        <v>0</v>
      </c>
      <c r="S108" s="24">
        <f>GETPIVOTDATA("Sum of TotalOther",OtherPivot!$J$5,"Date",B108,"Site",2)</f>
        <v>0</v>
      </c>
      <c r="T108" s="38"/>
      <c r="U108" s="172">
        <f>IF(GETPIVOTDATA("3 Revs (s)",EffortRPMPivot!$L$4,"Date",$B108,"Site",2)=0,"",GETPIVOTDATA("3 revs (s)",EffortRPMPivot!$L$4,"date",$B108,"Site",2))</f>
        <v>42.5</v>
      </c>
      <c r="V108" s="173">
        <f t="shared" si="135"/>
        <v>0.38461538461538458</v>
      </c>
      <c r="W108" s="173">
        <f t="shared" si="136"/>
        <v>0</v>
      </c>
      <c r="X108" s="173">
        <f t="shared" si="137"/>
        <v>0</v>
      </c>
      <c r="Y108" s="173">
        <f t="shared" si="138"/>
        <v>0</v>
      </c>
      <c r="Z108" s="173">
        <f t="shared" si="139"/>
        <v>0</v>
      </c>
      <c r="AA108" s="174">
        <f t="shared" si="140"/>
        <v>0</v>
      </c>
      <c r="AB108" s="181"/>
      <c r="AC108" s="181"/>
      <c r="AD108" s="181"/>
      <c r="AE108" s="181"/>
      <c r="AF108" s="181"/>
      <c r="AG108" s="181"/>
      <c r="AH108" s="182"/>
      <c r="AI108" s="181"/>
      <c r="AJ108" s="181"/>
      <c r="AK108" s="181"/>
      <c r="AL108" s="181"/>
      <c r="AM108" s="181"/>
      <c r="AN108" s="182"/>
      <c r="AO108" s="181"/>
      <c r="AP108" s="181"/>
      <c r="AQ108" s="181"/>
      <c r="AR108" s="181"/>
      <c r="AS108" s="181"/>
      <c r="AT108" s="182"/>
      <c r="AU108" s="181"/>
      <c r="AV108" s="181"/>
      <c r="AW108" s="181"/>
      <c r="AX108" s="181"/>
      <c r="AY108" s="181"/>
      <c r="AZ108" s="182"/>
      <c r="BA108" s="185"/>
      <c r="BB108" s="185"/>
      <c r="BC108" s="185"/>
      <c r="BD108" s="185"/>
      <c r="BE108" s="185"/>
      <c r="BF108" s="186"/>
      <c r="BG108" s="185"/>
      <c r="BH108" s="185"/>
      <c r="BI108" s="185"/>
      <c r="BJ108" s="185"/>
      <c r="BK108" s="185"/>
      <c r="BL108" s="186"/>
      <c r="BM108" s="412"/>
      <c r="BN108" s="412"/>
    </row>
    <row r="109" spans="1:66" s="49" customFormat="1" x14ac:dyDescent="0.2">
      <c r="A109" s="61"/>
      <c r="B109" s="60">
        <f t="shared" si="127"/>
        <v>41805</v>
      </c>
      <c r="C109" s="22">
        <f t="shared" si="128"/>
        <v>4.7682119205298017</v>
      </c>
      <c r="D109" s="23">
        <f>GETPIVOTDATA("Active time (min)",EffortRPMPivot!$A$4,"date",B109,"Site",2)/60</f>
        <v>15.850000000000003</v>
      </c>
      <c r="E109" s="24">
        <f>F109+G109+GETPIVOTDATA("Sum of CNlgNo",SalmonPivot!$A$4,"Date",B109,"Site",2)</f>
        <v>2</v>
      </c>
      <c r="F109" s="24">
        <f>GETPIVOTDATA("Sum of CNlgrad",SalmonPivot!$A$4,"date",B109,"Site",2)</f>
        <v>2</v>
      </c>
      <c r="G109" s="24">
        <f>GETPIVOTDATA("Sum of CNlgrecap",SalmonPivot!$A$4,"date",B109,"Site",2)</f>
        <v>0</v>
      </c>
      <c r="H109" s="24">
        <f>I109+J109+GETPIVOTDATA("Sum of CNsmno",SalmonPivot!$M$4,"Date",B109,"Site",2)</f>
        <v>0</v>
      </c>
      <c r="I109" s="24">
        <f>GETPIVOTDATA("Sum of CNsmradio",SalmonPivot!$M$4,"Date",B109,"Site",2)</f>
        <v>0</v>
      </c>
      <c r="J109" s="24">
        <f>GETPIVOTDATA("Sum of CNsmrecap",SalmonPivot!$M$4,"Date",B109,"Site",2)</f>
        <v>0</v>
      </c>
      <c r="K109" s="24">
        <f>L109+GETPIVOTDATA("Sum of SOno",SalmonPivot!$Y$4,"Date",B109,"Site",2)+GETPIVOTDATA("Sum of SOrecap",SalmonPivot!$Y$4,"Date",B109,"Site",2)</f>
        <v>0</v>
      </c>
      <c r="L109" s="24">
        <f>GETPIVOTDATA("Sum of SOrad",SalmonPivot!$Y$4,"Date",B109,"Site",2)</f>
        <v>0</v>
      </c>
      <c r="M109" s="24">
        <f>N109+GETPIVOTDATA("Sum of PKno",SalmonPivot!$AK$4,"Date",B109,"Site",2)+GETPIVOTDATA("Sum of PKrecap",SalmonPivot!$AK$4,"Date",B109,"Site",2)</f>
        <v>0</v>
      </c>
      <c r="N109" s="24">
        <f>GETPIVOTDATA("Sum of PKrad",SalmonPivot!$AK$4,"Date",B109,"Site",2)</f>
        <v>0</v>
      </c>
      <c r="O109" s="24">
        <f>P109+GETPIVOTDATA("Sum of CMno",SalmonPivot!$AW$4,"Date",B109,"Site",2)+GETPIVOTDATA("Sum of CMrecap",SalmonPivot!$AW$4,"Date",B109,"Site",2)</f>
        <v>0</v>
      </c>
      <c r="P109" s="24">
        <f>GETPIVOTDATA("Sum of CMrad",SalmonPivot!$AW$4,"Date",B109,"Site",2)</f>
        <v>0</v>
      </c>
      <c r="Q109" s="25">
        <f>R109+GETPIVOTDATA("Sum of COno",SalmonPivot!$BI$4,"Date",B109,"Site",2)+GETPIVOTDATA("Sum of COrecap",SalmonPivot!$BI$4,"Date",B109,"Site",2)</f>
        <v>0</v>
      </c>
      <c r="R109" s="24">
        <f>GETPIVOTDATA("Sum of COrad",SalmonPivot!$BI$4,"Date",B109,"Site",2)</f>
        <v>0</v>
      </c>
      <c r="S109" s="24">
        <f>GETPIVOTDATA("Sum of TotalOther",OtherPivot!$J$5,"Date",B109,"Site",2)</f>
        <v>0</v>
      </c>
      <c r="T109" s="38"/>
      <c r="U109" s="172">
        <f>IF(GETPIVOTDATA("3 Revs (s)",EffortRPMPivot!$L$4,"Date",$B109,"Site",2)=0,"",GETPIVOTDATA("3 revs (s)",EffortRPMPivot!$L$4,"date",$B109,"Site",2))</f>
        <v>37.75</v>
      </c>
      <c r="V109" s="173">
        <f t="shared" si="135"/>
        <v>0.12618296529968451</v>
      </c>
      <c r="W109" s="173">
        <f t="shared" si="136"/>
        <v>0</v>
      </c>
      <c r="X109" s="173">
        <f t="shared" si="137"/>
        <v>0</v>
      </c>
      <c r="Y109" s="173">
        <f t="shared" si="138"/>
        <v>0</v>
      </c>
      <c r="Z109" s="173">
        <f t="shared" si="139"/>
        <v>0</v>
      </c>
      <c r="AA109" s="174">
        <f t="shared" si="140"/>
        <v>0</v>
      </c>
      <c r="AB109" s="181"/>
      <c r="AC109" s="181"/>
      <c r="AD109" s="181"/>
      <c r="AE109" s="181"/>
      <c r="AF109" s="181"/>
      <c r="AG109" s="181"/>
      <c r="AH109" s="182"/>
      <c r="AI109" s="181"/>
      <c r="AJ109" s="181"/>
      <c r="AK109" s="181"/>
      <c r="AL109" s="181"/>
      <c r="AM109" s="181"/>
      <c r="AN109" s="182"/>
      <c r="AO109" s="181"/>
      <c r="AP109" s="181"/>
      <c r="AQ109" s="181"/>
      <c r="AR109" s="181"/>
      <c r="AS109" s="181"/>
      <c r="AT109" s="182"/>
      <c r="AU109" s="181"/>
      <c r="AV109" s="181"/>
      <c r="AW109" s="181"/>
      <c r="AX109" s="181"/>
      <c r="AY109" s="181"/>
      <c r="AZ109" s="182"/>
      <c r="BA109" s="185"/>
      <c r="BB109" s="185"/>
      <c r="BC109" s="185"/>
      <c r="BD109" s="185"/>
      <c r="BE109" s="185"/>
      <c r="BF109" s="186"/>
      <c r="BG109" s="185"/>
      <c r="BH109" s="185"/>
      <c r="BI109" s="185"/>
      <c r="BJ109" s="185"/>
      <c r="BK109" s="185"/>
      <c r="BL109" s="186"/>
      <c r="BM109" s="412"/>
      <c r="BN109" s="412"/>
    </row>
    <row r="110" spans="1:66" s="49" customFormat="1" x14ac:dyDescent="0.2">
      <c r="A110" s="61"/>
      <c r="B110" s="60">
        <f t="shared" si="127"/>
        <v>41806</v>
      </c>
      <c r="C110" s="22">
        <f t="shared" si="128"/>
        <v>5.3389830508474576</v>
      </c>
      <c r="D110" s="23">
        <f>GETPIVOTDATA("Active time (min)",EffortRPMPivot!$A$4,"date",B110,"Site",2)/60</f>
        <v>16.716666666666665</v>
      </c>
      <c r="E110" s="24">
        <f>F110+G110+GETPIVOTDATA("Sum of CNlgNo",SalmonPivot!$A$4,"Date",B110,"Site",2)</f>
        <v>1</v>
      </c>
      <c r="F110" s="24">
        <f>GETPIVOTDATA("Sum of CNlgrad",SalmonPivot!$A$4,"date",B110,"Site",2)</f>
        <v>1</v>
      </c>
      <c r="G110" s="24">
        <f>GETPIVOTDATA("Sum of CNlgrecap",SalmonPivot!$A$4,"date",B110,"Site",2)</f>
        <v>0</v>
      </c>
      <c r="H110" s="24">
        <f>I110+J110+GETPIVOTDATA("Sum of CNsmno",SalmonPivot!$M$4,"Date",B110,"Site",2)</f>
        <v>0</v>
      </c>
      <c r="I110" s="24">
        <f>GETPIVOTDATA("Sum of CNsmradio",SalmonPivot!$M$4,"Date",B110,"Site",2)</f>
        <v>0</v>
      </c>
      <c r="J110" s="24">
        <f>GETPIVOTDATA("Sum of CNsmrecap",SalmonPivot!$M$4,"Date",B110,"Site",2)</f>
        <v>0</v>
      </c>
      <c r="K110" s="24">
        <f>L110+GETPIVOTDATA("Sum of SOno",SalmonPivot!$Y$4,"Date",B110,"Site",2)+GETPIVOTDATA("Sum of SOrecap",SalmonPivot!$Y$4,"Date",B110,"Site",2)</f>
        <v>0</v>
      </c>
      <c r="L110" s="24">
        <f>GETPIVOTDATA("Sum of SOrad",SalmonPivot!$Y$4,"Date",B110,"Site",2)</f>
        <v>0</v>
      </c>
      <c r="M110" s="24">
        <f>N110+GETPIVOTDATA("Sum of PKno",SalmonPivot!$AK$4,"Date",B110,"Site",2)+GETPIVOTDATA("Sum of PKrecap",SalmonPivot!$AK$4,"Date",B110,"Site",2)</f>
        <v>0</v>
      </c>
      <c r="N110" s="24">
        <f>GETPIVOTDATA("Sum of PKrad",SalmonPivot!$AK$4,"Date",B110,"Site",2)</f>
        <v>0</v>
      </c>
      <c r="O110" s="24">
        <f>P110+GETPIVOTDATA("Sum of CMno",SalmonPivot!$AW$4,"Date",B110,"Site",2)+GETPIVOTDATA("Sum of CMrecap",SalmonPivot!$AW$4,"Date",B110,"Site",2)</f>
        <v>0</v>
      </c>
      <c r="P110" s="24">
        <f>GETPIVOTDATA("Sum of CMrad",SalmonPivot!$AW$4,"Date",B110,"Site",2)</f>
        <v>0</v>
      </c>
      <c r="Q110" s="25">
        <f>R110+GETPIVOTDATA("Sum of COno",SalmonPivot!$BI$4,"Date",B110,"Site",2)+GETPIVOTDATA("Sum of COrecap",SalmonPivot!$BI$4,"Date",B110,"Site",2)</f>
        <v>0</v>
      </c>
      <c r="R110" s="24">
        <f>GETPIVOTDATA("Sum of COrad",SalmonPivot!$BI$4,"Date",B110,"Site",2)</f>
        <v>0</v>
      </c>
      <c r="S110" s="24">
        <f>GETPIVOTDATA("Sum of TotalOther",OtherPivot!$J$5,"Date",B110,"Site",2)</f>
        <v>0</v>
      </c>
      <c r="T110" s="38"/>
      <c r="U110" s="172">
        <f>IF(GETPIVOTDATA("3 Revs (s)",EffortRPMPivot!$L$4,"Date",$B110,"Site",2)=0,"",GETPIVOTDATA("3 revs (s)",EffortRPMPivot!$L$4,"date",$B110,"Site",2))</f>
        <v>33.714285714285715</v>
      </c>
      <c r="V110" s="173">
        <f t="shared" si="135"/>
        <v>5.9820538384845467E-2</v>
      </c>
      <c r="W110" s="173">
        <f t="shared" si="136"/>
        <v>0</v>
      </c>
      <c r="X110" s="173">
        <f t="shared" si="137"/>
        <v>0</v>
      </c>
      <c r="Y110" s="173">
        <f t="shared" si="138"/>
        <v>0</v>
      </c>
      <c r="Z110" s="173">
        <f t="shared" si="139"/>
        <v>0</v>
      </c>
      <c r="AA110" s="174">
        <f t="shared" si="140"/>
        <v>0</v>
      </c>
      <c r="AB110" s="181"/>
      <c r="AC110" s="181"/>
      <c r="AD110" s="181"/>
      <c r="AE110" s="181"/>
      <c r="AF110" s="181"/>
      <c r="AG110" s="181"/>
      <c r="AH110" s="182"/>
      <c r="AI110" s="181"/>
      <c r="AJ110" s="181"/>
      <c r="AK110" s="181"/>
      <c r="AL110" s="181"/>
      <c r="AM110" s="181"/>
      <c r="AN110" s="182"/>
      <c r="AO110" s="181"/>
      <c r="AP110" s="181"/>
      <c r="AQ110" s="181"/>
      <c r="AR110" s="181"/>
      <c r="AS110" s="181"/>
      <c r="AT110" s="182"/>
      <c r="AU110" s="181"/>
      <c r="AV110" s="181"/>
      <c r="AW110" s="181"/>
      <c r="AX110" s="181"/>
      <c r="AY110" s="181"/>
      <c r="AZ110" s="182"/>
      <c r="BA110" s="185"/>
      <c r="BB110" s="185"/>
      <c r="BC110" s="185"/>
      <c r="BD110" s="185"/>
      <c r="BE110" s="185"/>
      <c r="BF110" s="186"/>
      <c r="BG110" s="185"/>
      <c r="BH110" s="185"/>
      <c r="BI110" s="185"/>
      <c r="BJ110" s="185"/>
      <c r="BK110" s="185"/>
      <c r="BL110" s="186"/>
      <c r="BM110" s="412"/>
      <c r="BN110" s="412"/>
    </row>
    <row r="111" spans="1:66" s="49" customFormat="1" x14ac:dyDescent="0.2">
      <c r="A111" s="61"/>
      <c r="B111" s="60">
        <f t="shared" si="127"/>
        <v>41807</v>
      </c>
      <c r="C111" s="22">
        <f t="shared" si="128"/>
        <v>5.0991501416430598</v>
      </c>
      <c r="D111" s="23">
        <f>GETPIVOTDATA("Active time (min)",EffortRPMPivot!$A$4,"date",B111,"Site",2)/60</f>
        <v>15.25</v>
      </c>
      <c r="E111" s="24">
        <f>F111+G111+GETPIVOTDATA("Sum of CNlgNo",SalmonPivot!$A$4,"Date",B111,"Site",2)</f>
        <v>1</v>
      </c>
      <c r="F111" s="24">
        <f>GETPIVOTDATA("Sum of CNlgrad",SalmonPivot!$A$4,"date",B111,"Site",2)</f>
        <v>1</v>
      </c>
      <c r="G111" s="24">
        <f>GETPIVOTDATA("Sum of CNlgrecap",SalmonPivot!$A$4,"date",B111,"Site",2)</f>
        <v>0</v>
      </c>
      <c r="H111" s="24">
        <f>I111+J111+GETPIVOTDATA("Sum of CNsmno",SalmonPivot!$M$4,"Date",B111,"Site",2)</f>
        <v>0</v>
      </c>
      <c r="I111" s="24">
        <f>GETPIVOTDATA("Sum of CNsmradio",SalmonPivot!$M$4,"Date",B111,"Site",2)</f>
        <v>0</v>
      </c>
      <c r="J111" s="24">
        <f>GETPIVOTDATA("Sum of CNsmrecap",SalmonPivot!$M$4,"Date",B111,"Site",2)</f>
        <v>0</v>
      </c>
      <c r="K111" s="24">
        <f>L111+GETPIVOTDATA("Sum of SOno",SalmonPivot!$Y$4,"Date",B111,"Site",2)+GETPIVOTDATA("Sum of SOrecap",SalmonPivot!$Y$4,"Date",B111,"Site",2)</f>
        <v>0</v>
      </c>
      <c r="L111" s="24">
        <f>GETPIVOTDATA("Sum of SOrad",SalmonPivot!$Y$4,"Date",B111,"Site",2)</f>
        <v>0</v>
      </c>
      <c r="M111" s="24">
        <f>N111+GETPIVOTDATA("Sum of PKno",SalmonPivot!$AK$4,"Date",B111,"Site",2)+GETPIVOTDATA("Sum of PKrecap",SalmonPivot!$AK$4,"Date",B111,"Site",2)</f>
        <v>0</v>
      </c>
      <c r="N111" s="24">
        <f>GETPIVOTDATA("Sum of PKrad",SalmonPivot!$AK$4,"Date",B111,"Site",2)</f>
        <v>0</v>
      </c>
      <c r="O111" s="24">
        <f>P111+GETPIVOTDATA("Sum of CMno",SalmonPivot!$AW$4,"Date",B111,"Site",2)+GETPIVOTDATA("Sum of CMrecap",SalmonPivot!$AW$4,"Date",B111,"Site",2)</f>
        <v>0</v>
      </c>
      <c r="P111" s="24">
        <f>GETPIVOTDATA("Sum of CMrad",SalmonPivot!$AW$4,"Date",B111,"Site",2)</f>
        <v>0</v>
      </c>
      <c r="Q111" s="25">
        <f>R111+GETPIVOTDATA("Sum of COno",SalmonPivot!$BI$4,"Date",B111,"Site",2)+GETPIVOTDATA("Sum of COrecap",SalmonPivot!$BI$4,"Date",B111,"Site",2)</f>
        <v>0</v>
      </c>
      <c r="R111" s="24">
        <f>GETPIVOTDATA("Sum of COrad",SalmonPivot!$BI$4,"Date",B111,"Site",2)</f>
        <v>0</v>
      </c>
      <c r="S111" s="24">
        <f>GETPIVOTDATA("Sum of TotalOther",OtherPivot!$J$5,"Date",B111,"Site",2)</f>
        <v>0</v>
      </c>
      <c r="T111" s="38"/>
      <c r="U111" s="172">
        <f>IF(GETPIVOTDATA("3 Revs (s)",EffortRPMPivot!$L$4,"Date",$B111,"Site",2)=0,"",GETPIVOTDATA("3 revs (s)",EffortRPMPivot!$L$4,"date",$B111,"Site",2))</f>
        <v>35.299999999999997</v>
      </c>
      <c r="V111" s="173">
        <f t="shared" si="135"/>
        <v>6.5573770491803282E-2</v>
      </c>
      <c r="W111" s="173">
        <f t="shared" si="136"/>
        <v>0</v>
      </c>
      <c r="X111" s="173">
        <f t="shared" si="137"/>
        <v>0</v>
      </c>
      <c r="Y111" s="173">
        <f t="shared" si="138"/>
        <v>0</v>
      </c>
      <c r="Z111" s="173">
        <f t="shared" si="139"/>
        <v>0</v>
      </c>
      <c r="AA111" s="174">
        <f t="shared" si="140"/>
        <v>0</v>
      </c>
      <c r="AB111" s="181"/>
      <c r="AC111" s="181"/>
      <c r="AD111" s="181"/>
      <c r="AE111" s="181"/>
      <c r="AF111" s="181"/>
      <c r="AG111" s="181"/>
      <c r="AH111" s="182"/>
      <c r="AI111" s="181"/>
      <c r="AJ111" s="181"/>
      <c r="AK111" s="181"/>
      <c r="AL111" s="181"/>
      <c r="AM111" s="181"/>
      <c r="AN111" s="182"/>
      <c r="AO111" s="181"/>
      <c r="AP111" s="181"/>
      <c r="AQ111" s="181"/>
      <c r="AR111" s="181"/>
      <c r="AS111" s="181"/>
      <c r="AT111" s="182"/>
      <c r="AU111" s="181"/>
      <c r="AV111" s="181"/>
      <c r="AW111" s="181"/>
      <c r="AX111" s="181"/>
      <c r="AY111" s="181"/>
      <c r="AZ111" s="182"/>
      <c r="BA111" s="185"/>
      <c r="BB111" s="185"/>
      <c r="BC111" s="185"/>
      <c r="BD111" s="185"/>
      <c r="BE111" s="185"/>
      <c r="BF111" s="186"/>
      <c r="BG111" s="185"/>
      <c r="BH111" s="185"/>
      <c r="BI111" s="185"/>
      <c r="BJ111" s="185"/>
      <c r="BK111" s="185"/>
      <c r="BL111" s="186"/>
      <c r="BM111" s="412"/>
      <c r="BN111" s="412"/>
    </row>
    <row r="112" spans="1:66" s="49" customFormat="1" x14ac:dyDescent="0.2">
      <c r="A112" s="61"/>
      <c r="B112" s="60">
        <f t="shared" si="127"/>
        <v>41808</v>
      </c>
      <c r="C112" s="22">
        <f t="shared" ref="C112:C113" si="141">IF(ISERROR(3/(U112/60)),"",3/(U112/60))</f>
        <v>5.3571428571428568</v>
      </c>
      <c r="D112" s="23">
        <f>GETPIVOTDATA("Active time (min)",EffortRPMPivot!$A$4,"date",B112,"Site",2)/60</f>
        <v>16.066666666666666</v>
      </c>
      <c r="E112" s="24">
        <f>F112+G112+GETPIVOTDATA("Sum of CNlgNo",SalmonPivot!$A$4,"Date",B112,"Site",2)</f>
        <v>3</v>
      </c>
      <c r="F112" s="24">
        <f>GETPIVOTDATA("Sum of CNlgrad",SalmonPivot!$A$4,"date",B112,"Site",2)</f>
        <v>3</v>
      </c>
      <c r="G112" s="24">
        <f>GETPIVOTDATA("Sum of CNlgrecap",SalmonPivot!$A$4,"date",B112,"Site",2)</f>
        <v>0</v>
      </c>
      <c r="H112" s="24">
        <f>I112+J112+GETPIVOTDATA("Sum of CNsmno",SalmonPivot!$M$4,"Date",B112,"Site",2)</f>
        <v>1</v>
      </c>
      <c r="I112" s="24">
        <f>GETPIVOTDATA("Sum of CNsmradio",SalmonPivot!$M$4,"Date",B112,"Site",2)</f>
        <v>0</v>
      </c>
      <c r="J112" s="24">
        <f>GETPIVOTDATA("Sum of CNsmrecap",SalmonPivot!$M$4,"Date",B112,"Site",2)</f>
        <v>0</v>
      </c>
      <c r="K112" s="24">
        <f>L112+GETPIVOTDATA("Sum of SOno",SalmonPivot!$Y$4,"Date",B112,"Site",2)+GETPIVOTDATA("Sum of SOrecap",SalmonPivot!$Y$4,"Date",B112,"Site",2)</f>
        <v>0</v>
      </c>
      <c r="L112" s="24">
        <f>GETPIVOTDATA("Sum of SOrad",SalmonPivot!$Y$4,"Date",B112,"Site",2)</f>
        <v>0</v>
      </c>
      <c r="M112" s="24">
        <f>N112+GETPIVOTDATA("Sum of PKno",SalmonPivot!$AK$4,"Date",B112,"Site",2)+GETPIVOTDATA("Sum of PKrecap",SalmonPivot!$AK$4,"Date",B112,"Site",2)</f>
        <v>0</v>
      </c>
      <c r="N112" s="24">
        <f>GETPIVOTDATA("Sum of PKrad",SalmonPivot!$AK$4,"Date",B112,"Site",2)</f>
        <v>0</v>
      </c>
      <c r="O112" s="24">
        <f>P112+GETPIVOTDATA("Sum of CMno",SalmonPivot!$AW$4,"Date",B112,"Site",2)+GETPIVOTDATA("Sum of CMrecap",SalmonPivot!$AW$4,"Date",B112,"Site",2)</f>
        <v>0</v>
      </c>
      <c r="P112" s="24">
        <f>GETPIVOTDATA("Sum of CMrad",SalmonPivot!$AW$4,"Date",B112,"Site",2)</f>
        <v>0</v>
      </c>
      <c r="Q112" s="25">
        <f>R112+GETPIVOTDATA("Sum of COno",SalmonPivot!$BI$4,"Date",B112,"Site",2)+GETPIVOTDATA("Sum of COrecap",SalmonPivot!$BI$4,"Date",B112,"Site",2)</f>
        <v>0</v>
      </c>
      <c r="R112" s="24">
        <f>GETPIVOTDATA("Sum of COrad",SalmonPivot!$BI$4,"Date",B112,"Site",2)</f>
        <v>0</v>
      </c>
      <c r="S112" s="24">
        <f>GETPIVOTDATA("Sum of TotalOther",OtherPivot!$J$5,"Date",B112,"Site",2)</f>
        <v>0</v>
      </c>
      <c r="T112" s="38"/>
      <c r="U112" s="172">
        <f>IF(GETPIVOTDATA("3 Revs (s)",EffortRPMPivot!$L$4,"Date",$B112,"Site",2)=0,"",GETPIVOTDATA("3 revs (s)",EffortRPMPivot!$L$4,"date",$B112,"Site",2))</f>
        <v>33.6</v>
      </c>
      <c r="V112" s="173">
        <f t="shared" ref="V112:V113" si="142">IF(D112=0,"",E112/D112)</f>
        <v>0.18672199170124482</v>
      </c>
      <c r="W112" s="173">
        <f t="shared" ref="W112:W113" si="143">IF(D112=0,"",H112/D112)</f>
        <v>6.2240663900414939E-2</v>
      </c>
      <c r="X112" s="173">
        <f t="shared" ref="X112:X113" si="144">IF(D112=0,"",K112/$D112)</f>
        <v>0</v>
      </c>
      <c r="Y112" s="173">
        <f t="shared" ref="Y112:Y113" si="145">IF(D112=0,"",M112/$D112)</f>
        <v>0</v>
      </c>
      <c r="Z112" s="173">
        <f t="shared" ref="Z112:Z113" si="146">IF(D112=0,"",O112/$D112)</f>
        <v>0</v>
      </c>
      <c r="AA112" s="174">
        <f t="shared" ref="AA112:AA113" si="147">IF(D112=0,"",Q112/$D112)</f>
        <v>0</v>
      </c>
      <c r="AB112" s="181"/>
      <c r="AC112" s="181"/>
      <c r="AD112" s="181"/>
      <c r="AE112" s="181"/>
      <c r="AF112" s="181"/>
      <c r="AG112" s="181"/>
      <c r="AH112" s="182"/>
      <c r="AI112" s="181"/>
      <c r="AJ112" s="181"/>
      <c r="AK112" s="181"/>
      <c r="AL112" s="181"/>
      <c r="AM112" s="181"/>
      <c r="AN112" s="182"/>
      <c r="AO112" s="181"/>
      <c r="AP112" s="181"/>
      <c r="AQ112" s="181"/>
      <c r="AR112" s="181"/>
      <c r="AS112" s="181"/>
      <c r="AT112" s="182"/>
      <c r="AU112" s="181"/>
      <c r="AV112" s="181"/>
      <c r="AW112" s="181"/>
      <c r="AX112" s="181"/>
      <c r="AY112" s="181"/>
      <c r="AZ112" s="182"/>
      <c r="BA112" s="185"/>
      <c r="BB112" s="185"/>
      <c r="BC112" s="185"/>
      <c r="BD112" s="185"/>
      <c r="BE112" s="185"/>
      <c r="BF112" s="186"/>
      <c r="BG112" s="185"/>
      <c r="BH112" s="185"/>
      <c r="BI112" s="185"/>
      <c r="BJ112" s="185"/>
      <c r="BK112" s="185"/>
      <c r="BL112" s="186"/>
      <c r="BM112" s="412"/>
      <c r="BN112" s="412"/>
    </row>
    <row r="113" spans="1:66" s="49" customFormat="1" x14ac:dyDescent="0.2">
      <c r="A113" s="61"/>
      <c r="B113" s="60">
        <f t="shared" si="127"/>
        <v>41809</v>
      </c>
      <c r="C113" s="22">
        <f t="shared" si="141"/>
        <v>5.1136363636363633</v>
      </c>
      <c r="D113" s="23">
        <f>GETPIVOTDATA("Active time (min)",EffortRPMPivot!$A$4,"date",B113,"Site",2)/60</f>
        <v>16.483333333333334</v>
      </c>
      <c r="E113" s="24">
        <f>F113+G113+GETPIVOTDATA("Sum of CNlgNo",SalmonPivot!$A$4,"Date",B113,"Site",2)</f>
        <v>0</v>
      </c>
      <c r="F113" s="24">
        <f>GETPIVOTDATA("Sum of CNlgrad",SalmonPivot!$A$4,"date",B113,"Site",2)</f>
        <v>0</v>
      </c>
      <c r="G113" s="24">
        <f>GETPIVOTDATA("Sum of CNlgrecap",SalmonPivot!$A$4,"date",B113,"Site",2)</f>
        <v>0</v>
      </c>
      <c r="H113" s="24">
        <f>I113+J113+GETPIVOTDATA("Sum of CNsmno",SalmonPivot!$M$4,"Date",B113,"Site",2)</f>
        <v>0</v>
      </c>
      <c r="I113" s="24">
        <f>GETPIVOTDATA("Sum of CNsmradio",SalmonPivot!$M$4,"Date",B113,"Site",2)</f>
        <v>0</v>
      </c>
      <c r="J113" s="24">
        <f>GETPIVOTDATA("Sum of CNsmrecap",SalmonPivot!$M$4,"Date",B113,"Site",2)</f>
        <v>0</v>
      </c>
      <c r="K113" s="24">
        <f>L113+GETPIVOTDATA("Sum of SOno",SalmonPivot!$Y$4,"Date",B113,"Site",2)+GETPIVOTDATA("Sum of SOrecap",SalmonPivot!$Y$4,"Date",B113,"Site",2)</f>
        <v>0</v>
      </c>
      <c r="L113" s="24">
        <f>GETPIVOTDATA("Sum of SOrad",SalmonPivot!$Y$4,"Date",B113,"Site",2)</f>
        <v>0</v>
      </c>
      <c r="M113" s="24">
        <f>N113+GETPIVOTDATA("Sum of PKno",SalmonPivot!$AK$4,"Date",B113,"Site",2)+GETPIVOTDATA("Sum of PKrecap",SalmonPivot!$AK$4,"Date",B113,"Site",2)</f>
        <v>0</v>
      </c>
      <c r="N113" s="24">
        <f>GETPIVOTDATA("Sum of PKrad",SalmonPivot!$AK$4,"Date",B113,"Site",2)</f>
        <v>0</v>
      </c>
      <c r="O113" s="24">
        <f>P113+GETPIVOTDATA("Sum of CMno",SalmonPivot!$AW$4,"Date",B113,"Site",2)+GETPIVOTDATA("Sum of CMrecap",SalmonPivot!$AW$4,"Date",B113,"Site",2)</f>
        <v>0</v>
      </c>
      <c r="P113" s="24">
        <f>GETPIVOTDATA("Sum of CMrad",SalmonPivot!$AW$4,"Date",B113,"Site",2)</f>
        <v>0</v>
      </c>
      <c r="Q113" s="25">
        <f>R113+GETPIVOTDATA("Sum of COno",SalmonPivot!$BI$4,"Date",B113,"Site",2)+GETPIVOTDATA("Sum of COrecap",SalmonPivot!$BI$4,"Date",B113,"Site",2)</f>
        <v>0</v>
      </c>
      <c r="R113" s="24">
        <f>GETPIVOTDATA("Sum of COrad",SalmonPivot!$BI$4,"Date",B113,"Site",2)</f>
        <v>0</v>
      </c>
      <c r="S113" s="24">
        <f>GETPIVOTDATA("Sum of TotalOther",OtherPivot!$J$5,"Date",B113,"Site",2)</f>
        <v>1</v>
      </c>
      <c r="T113" s="38"/>
      <c r="U113" s="172">
        <f>IF(GETPIVOTDATA("3 Revs (s)",EffortRPMPivot!$L$4,"Date",$B113,"Site",2)=0,"",GETPIVOTDATA("3 revs (s)",EffortRPMPivot!$L$4,"date",$B113,"Site",2))</f>
        <v>35.200000000000003</v>
      </c>
      <c r="V113" s="173">
        <f t="shared" si="142"/>
        <v>0</v>
      </c>
      <c r="W113" s="173">
        <f t="shared" si="143"/>
        <v>0</v>
      </c>
      <c r="X113" s="173">
        <f t="shared" si="144"/>
        <v>0</v>
      </c>
      <c r="Y113" s="173">
        <f t="shared" si="145"/>
        <v>0</v>
      </c>
      <c r="Z113" s="173">
        <f t="shared" si="146"/>
        <v>0</v>
      </c>
      <c r="AA113" s="174">
        <f t="shared" si="147"/>
        <v>0</v>
      </c>
      <c r="AB113" s="181"/>
      <c r="AC113" s="181"/>
      <c r="AD113" s="181"/>
      <c r="AE113" s="181"/>
      <c r="AF113" s="181"/>
      <c r="AG113" s="181"/>
      <c r="AH113" s="182"/>
      <c r="AI113" s="181"/>
      <c r="AJ113" s="181"/>
      <c r="AK113" s="181"/>
      <c r="AL113" s="181"/>
      <c r="AM113" s="181"/>
      <c r="AN113" s="182"/>
      <c r="AO113" s="181"/>
      <c r="AP113" s="181"/>
      <c r="AQ113" s="181"/>
      <c r="AR113" s="181"/>
      <c r="AS113" s="181"/>
      <c r="AT113" s="182"/>
      <c r="AU113" s="181"/>
      <c r="AV113" s="181"/>
      <c r="AW113" s="181"/>
      <c r="AX113" s="181"/>
      <c r="AY113" s="181"/>
      <c r="AZ113" s="182"/>
      <c r="BA113" s="185"/>
      <c r="BB113" s="185"/>
      <c r="BC113" s="185"/>
      <c r="BD113" s="185"/>
      <c r="BE113" s="185"/>
      <c r="BF113" s="186"/>
      <c r="BG113" s="185"/>
      <c r="BH113" s="185"/>
      <c r="BI113" s="185"/>
      <c r="BJ113" s="185"/>
      <c r="BK113" s="185"/>
      <c r="BL113" s="186"/>
      <c r="BM113" s="412"/>
      <c r="BN113" s="412"/>
    </row>
    <row r="114" spans="1:66" s="49" customFormat="1" x14ac:dyDescent="0.2">
      <c r="A114" s="61"/>
      <c r="B114" s="60">
        <f t="shared" si="127"/>
        <v>41810</v>
      </c>
      <c r="C114" s="22">
        <f t="shared" ref="C114:C117" si="148">IF(ISERROR(3/(U114/60)),"",3/(U114/60))</f>
        <v>5.6603773584905657</v>
      </c>
      <c r="D114" s="23">
        <f>GETPIVOTDATA("Active time (min)",EffortRPMPivot!$A$4,"date",B114,"Site",2)/60</f>
        <v>16.149999999999999</v>
      </c>
      <c r="E114" s="24">
        <f>F114+G114+GETPIVOTDATA("Sum of CNlgNo",SalmonPivot!$A$4,"Date",B114,"Site",2)</f>
        <v>2</v>
      </c>
      <c r="F114" s="24">
        <f>GETPIVOTDATA("Sum of CNlgrad",SalmonPivot!$A$4,"date",B114,"Site",2)</f>
        <v>2</v>
      </c>
      <c r="G114" s="24">
        <f>GETPIVOTDATA("Sum of CNlgrecap",SalmonPivot!$A$4,"date",B114,"Site",2)</f>
        <v>0</v>
      </c>
      <c r="H114" s="24">
        <f>I114+J114+GETPIVOTDATA("Sum of CNsmno",SalmonPivot!$M$4,"Date",B114,"Site",2)</f>
        <v>0</v>
      </c>
      <c r="I114" s="24">
        <f>GETPIVOTDATA("Sum of CNsmradio",SalmonPivot!$M$4,"Date",B114,"Site",2)</f>
        <v>0</v>
      </c>
      <c r="J114" s="24">
        <f>GETPIVOTDATA("Sum of CNsmrecap",SalmonPivot!$M$4,"Date",B114,"Site",2)</f>
        <v>0</v>
      </c>
      <c r="K114" s="24">
        <f>L114+GETPIVOTDATA("Sum of SOno",SalmonPivot!$Y$4,"Date",B114,"Site",2)+GETPIVOTDATA("Sum of SOrecap",SalmonPivot!$Y$4,"Date",B114,"Site",2)</f>
        <v>0</v>
      </c>
      <c r="L114" s="24">
        <f>GETPIVOTDATA("Sum of SOrad",SalmonPivot!$Y$4,"Date",B114,"Site",2)</f>
        <v>0</v>
      </c>
      <c r="M114" s="24">
        <f>N114+GETPIVOTDATA("Sum of PKno",SalmonPivot!$AK$4,"Date",B114,"Site",2)+GETPIVOTDATA("Sum of PKrecap",SalmonPivot!$AK$4,"Date",B114,"Site",2)</f>
        <v>0</v>
      </c>
      <c r="N114" s="24">
        <f>GETPIVOTDATA("Sum of PKrad",SalmonPivot!$AK$4,"Date",B114,"Site",2)</f>
        <v>0</v>
      </c>
      <c r="O114" s="24">
        <f>P114+GETPIVOTDATA("Sum of CMno",SalmonPivot!$AW$4,"Date",B114,"Site",2)+GETPIVOTDATA("Sum of CMrecap",SalmonPivot!$AW$4,"Date",B114,"Site",2)</f>
        <v>0</v>
      </c>
      <c r="P114" s="24">
        <f>GETPIVOTDATA("Sum of CMrad",SalmonPivot!$AW$4,"Date",B114,"Site",2)</f>
        <v>0</v>
      </c>
      <c r="Q114" s="25">
        <f>R114+GETPIVOTDATA("Sum of COno",SalmonPivot!$BI$4,"Date",B114,"Site",2)+GETPIVOTDATA("Sum of COrecap",SalmonPivot!$BI$4,"Date",B114,"Site",2)</f>
        <v>0</v>
      </c>
      <c r="R114" s="24">
        <f>GETPIVOTDATA("Sum of COrad",SalmonPivot!$BI$4,"Date",B114,"Site",2)</f>
        <v>0</v>
      </c>
      <c r="S114" s="24">
        <f>GETPIVOTDATA("Sum of TotalOther",OtherPivot!$J$5,"Date",B114,"Site",2)</f>
        <v>0</v>
      </c>
      <c r="T114" s="38"/>
      <c r="U114" s="172">
        <f>IF(GETPIVOTDATA("3 Revs (s)",EffortRPMPivot!$L$4,"Date",$B114,"Site",2)=0,"",GETPIVOTDATA("3 revs (s)",EffortRPMPivot!$L$4,"date",$B114,"Site",2))</f>
        <v>31.8</v>
      </c>
      <c r="V114" s="173">
        <f t="shared" ref="V114:V117" si="149">IF(D114=0,"",E114/D114)</f>
        <v>0.12383900928792571</v>
      </c>
      <c r="W114" s="173">
        <f t="shared" ref="W114:W117" si="150">IF(D114=0,"",H114/D114)</f>
        <v>0</v>
      </c>
      <c r="X114" s="173">
        <f t="shared" ref="X114:X117" si="151">IF(D114=0,"",K114/$D114)</f>
        <v>0</v>
      </c>
      <c r="Y114" s="173">
        <f t="shared" ref="Y114:Y117" si="152">IF(D114=0,"",M114/$D114)</f>
        <v>0</v>
      </c>
      <c r="Z114" s="173">
        <f t="shared" ref="Z114:Z117" si="153">IF(D114=0,"",O114/$D114)</f>
        <v>0</v>
      </c>
      <c r="AA114" s="174">
        <f t="shared" ref="AA114:AA117" si="154">IF(D114=0,"",Q114/$D114)</f>
        <v>0</v>
      </c>
      <c r="AB114" s="181"/>
      <c r="AC114" s="181"/>
      <c r="AD114" s="181"/>
      <c r="AE114" s="181"/>
      <c r="AF114" s="181"/>
      <c r="AG114" s="181"/>
      <c r="AH114" s="182"/>
      <c r="AI114" s="181"/>
      <c r="AJ114" s="181"/>
      <c r="AK114" s="181"/>
      <c r="AL114" s="181"/>
      <c r="AM114" s="181"/>
      <c r="AN114" s="182"/>
      <c r="AO114" s="181"/>
      <c r="AP114" s="181"/>
      <c r="AQ114" s="181"/>
      <c r="AR114" s="181"/>
      <c r="AS114" s="181"/>
      <c r="AT114" s="182"/>
      <c r="AU114" s="181"/>
      <c r="AV114" s="181"/>
      <c r="AW114" s="181"/>
      <c r="AX114" s="181"/>
      <c r="AY114" s="181"/>
      <c r="AZ114" s="182"/>
      <c r="BA114" s="185"/>
      <c r="BB114" s="185"/>
      <c r="BC114" s="185"/>
      <c r="BD114" s="185"/>
      <c r="BE114" s="185"/>
      <c r="BF114" s="186"/>
      <c r="BG114" s="185"/>
      <c r="BH114" s="185"/>
      <c r="BI114" s="185"/>
      <c r="BJ114" s="185"/>
      <c r="BK114" s="185"/>
      <c r="BL114" s="186"/>
      <c r="BM114" s="412"/>
      <c r="BN114" s="412"/>
    </row>
    <row r="115" spans="1:66" s="49" customFormat="1" x14ac:dyDescent="0.2">
      <c r="A115" s="61"/>
      <c r="B115" s="60">
        <f t="shared" si="127"/>
        <v>41811</v>
      </c>
      <c r="C115" s="22">
        <f t="shared" si="148"/>
        <v>5.1923076923076925</v>
      </c>
      <c r="D115" s="23">
        <f>GETPIVOTDATA("Active time (min)",EffortRPMPivot!$A$4,"date",B115,"Site",2)/60</f>
        <v>16.533333333333335</v>
      </c>
      <c r="E115" s="24">
        <f>F115+G115+GETPIVOTDATA("Sum of CNlgNo",SalmonPivot!$A$4,"Date",B115,"Site",2)</f>
        <v>0</v>
      </c>
      <c r="F115" s="24">
        <f>GETPIVOTDATA("Sum of CNlgrad",SalmonPivot!$A$4,"date",B115,"Site",2)</f>
        <v>0</v>
      </c>
      <c r="G115" s="24">
        <f>GETPIVOTDATA("Sum of CNlgrecap",SalmonPivot!$A$4,"date",B115,"Site",2)</f>
        <v>0</v>
      </c>
      <c r="H115" s="24">
        <f>I115+J115+GETPIVOTDATA("Sum of CNsmno",SalmonPivot!$M$4,"Date",B115,"Site",2)</f>
        <v>0</v>
      </c>
      <c r="I115" s="24">
        <f>GETPIVOTDATA("Sum of CNsmradio",SalmonPivot!$M$4,"Date",B115,"Site",2)</f>
        <v>0</v>
      </c>
      <c r="J115" s="24">
        <f>GETPIVOTDATA("Sum of CNsmrecap",SalmonPivot!$M$4,"Date",B115,"Site",2)</f>
        <v>0</v>
      </c>
      <c r="K115" s="24">
        <f>L115+GETPIVOTDATA("Sum of SOno",SalmonPivot!$Y$4,"Date",B115,"Site",2)+GETPIVOTDATA("Sum of SOrecap",SalmonPivot!$Y$4,"Date",B115,"Site",2)</f>
        <v>0</v>
      </c>
      <c r="L115" s="24">
        <f>GETPIVOTDATA("Sum of SOrad",SalmonPivot!$Y$4,"Date",B115,"Site",2)</f>
        <v>0</v>
      </c>
      <c r="M115" s="24">
        <f>N115+GETPIVOTDATA("Sum of PKno",SalmonPivot!$AK$4,"Date",B115,"Site",2)+GETPIVOTDATA("Sum of PKrecap",SalmonPivot!$AK$4,"Date",B115,"Site",2)</f>
        <v>0</v>
      </c>
      <c r="N115" s="24">
        <f>GETPIVOTDATA("Sum of PKrad",SalmonPivot!$AK$4,"Date",B115,"Site",2)</f>
        <v>0</v>
      </c>
      <c r="O115" s="24">
        <f>P115+GETPIVOTDATA("Sum of CMno",SalmonPivot!$AW$4,"Date",B115,"Site",2)+GETPIVOTDATA("Sum of CMrecap",SalmonPivot!$AW$4,"Date",B115,"Site",2)</f>
        <v>0</v>
      </c>
      <c r="P115" s="24">
        <f>GETPIVOTDATA("Sum of CMrad",SalmonPivot!$AW$4,"Date",B115,"Site",2)</f>
        <v>0</v>
      </c>
      <c r="Q115" s="25">
        <f>R115+GETPIVOTDATA("Sum of COno",SalmonPivot!$BI$4,"Date",B115,"Site",2)+GETPIVOTDATA("Sum of COrecap",SalmonPivot!$BI$4,"Date",B115,"Site",2)</f>
        <v>0</v>
      </c>
      <c r="R115" s="24">
        <f>GETPIVOTDATA("Sum of COrad",SalmonPivot!$BI$4,"Date",B115,"Site",2)</f>
        <v>0</v>
      </c>
      <c r="S115" s="24">
        <f>GETPIVOTDATA("Sum of TotalOther",OtherPivot!$J$5,"Date",B115,"Site",2)</f>
        <v>0</v>
      </c>
      <c r="T115" s="38"/>
      <c r="U115" s="172">
        <f>IF(GETPIVOTDATA("3 Revs (s)",EffortRPMPivot!$L$4,"Date",$B115,"Site",2)=0,"",GETPIVOTDATA("3 revs (s)",EffortRPMPivot!$L$4,"date",$B115,"Site",2))</f>
        <v>34.666666666666664</v>
      </c>
      <c r="V115" s="173">
        <f t="shared" si="149"/>
        <v>0</v>
      </c>
      <c r="W115" s="173">
        <f t="shared" si="150"/>
        <v>0</v>
      </c>
      <c r="X115" s="173">
        <f t="shared" si="151"/>
        <v>0</v>
      </c>
      <c r="Y115" s="173">
        <f t="shared" si="152"/>
        <v>0</v>
      </c>
      <c r="Z115" s="173">
        <f t="shared" si="153"/>
        <v>0</v>
      </c>
      <c r="AA115" s="174">
        <f t="shared" si="154"/>
        <v>0</v>
      </c>
      <c r="AB115" s="181"/>
      <c r="AC115" s="181"/>
      <c r="AD115" s="181"/>
      <c r="AE115" s="181"/>
      <c r="AF115" s="181"/>
      <c r="AG115" s="181"/>
      <c r="AH115" s="182"/>
      <c r="AI115" s="181"/>
      <c r="AJ115" s="181"/>
      <c r="AK115" s="181"/>
      <c r="AL115" s="181"/>
      <c r="AM115" s="181"/>
      <c r="AN115" s="182"/>
      <c r="AO115" s="181"/>
      <c r="AP115" s="181"/>
      <c r="AQ115" s="181"/>
      <c r="AR115" s="181"/>
      <c r="AS115" s="181"/>
      <c r="AT115" s="182"/>
      <c r="AU115" s="181"/>
      <c r="AV115" s="181"/>
      <c r="AW115" s="181"/>
      <c r="AX115" s="181"/>
      <c r="AY115" s="181"/>
      <c r="AZ115" s="182"/>
      <c r="BA115" s="185"/>
      <c r="BB115" s="185"/>
      <c r="BC115" s="185"/>
      <c r="BD115" s="185"/>
      <c r="BE115" s="185"/>
      <c r="BF115" s="186"/>
      <c r="BG115" s="185"/>
      <c r="BH115" s="185"/>
      <c r="BI115" s="185"/>
      <c r="BJ115" s="185"/>
      <c r="BK115" s="185"/>
      <c r="BL115" s="186"/>
      <c r="BM115" s="412"/>
      <c r="BN115" s="412"/>
    </row>
    <row r="116" spans="1:66" s="49" customFormat="1" x14ac:dyDescent="0.2">
      <c r="A116" s="61"/>
      <c r="B116" s="60">
        <f t="shared" si="127"/>
        <v>41812</v>
      </c>
      <c r="C116" s="22">
        <f t="shared" si="148"/>
        <v>5.76</v>
      </c>
      <c r="D116" s="23">
        <f>GETPIVOTDATA("Active time (min)",EffortRPMPivot!$A$4,"date",B116,"Site",2)/60</f>
        <v>16.016666666666666</v>
      </c>
      <c r="E116" s="24">
        <f>F116+G116+GETPIVOTDATA("Sum of CNlgNo",SalmonPivot!$A$4,"Date",B116,"Site",2)</f>
        <v>1</v>
      </c>
      <c r="F116" s="24">
        <f>GETPIVOTDATA("Sum of CNlgrad",SalmonPivot!$A$4,"date",B116,"Site",2)</f>
        <v>1</v>
      </c>
      <c r="G116" s="24">
        <f>GETPIVOTDATA("Sum of CNlgrecap",SalmonPivot!$A$4,"date",B116,"Site",2)</f>
        <v>0</v>
      </c>
      <c r="H116" s="24">
        <f>I116+J116+GETPIVOTDATA("Sum of CNsmno",SalmonPivot!$M$4,"Date",B116,"Site",2)</f>
        <v>0</v>
      </c>
      <c r="I116" s="24">
        <f>GETPIVOTDATA("Sum of CNsmradio",SalmonPivot!$M$4,"Date",B116,"Site",2)</f>
        <v>0</v>
      </c>
      <c r="J116" s="24">
        <f>GETPIVOTDATA("Sum of CNsmrecap",SalmonPivot!$M$4,"Date",B116,"Site",2)</f>
        <v>0</v>
      </c>
      <c r="K116" s="24">
        <f>L116+GETPIVOTDATA("Sum of SOno",SalmonPivot!$Y$4,"Date",B116,"Site",2)+GETPIVOTDATA("Sum of SOrecap",SalmonPivot!$Y$4,"Date",B116,"Site",2)</f>
        <v>0</v>
      </c>
      <c r="L116" s="24">
        <f>GETPIVOTDATA("Sum of SOrad",SalmonPivot!$Y$4,"Date",B116,"Site",2)</f>
        <v>0</v>
      </c>
      <c r="M116" s="24">
        <f>N116+GETPIVOTDATA("Sum of PKno",SalmonPivot!$AK$4,"Date",B116,"Site",2)+GETPIVOTDATA("Sum of PKrecap",SalmonPivot!$AK$4,"Date",B116,"Site",2)</f>
        <v>0</v>
      </c>
      <c r="N116" s="24">
        <f>GETPIVOTDATA("Sum of PKrad",SalmonPivot!$AK$4,"Date",B116,"Site",2)</f>
        <v>0</v>
      </c>
      <c r="O116" s="24">
        <f>P116+GETPIVOTDATA("Sum of CMno",SalmonPivot!$AW$4,"Date",B116,"Site",2)+GETPIVOTDATA("Sum of CMrecap",SalmonPivot!$AW$4,"Date",B116,"Site",2)</f>
        <v>0</v>
      </c>
      <c r="P116" s="24">
        <f>GETPIVOTDATA("Sum of CMrad",SalmonPivot!$AW$4,"Date",B116,"Site",2)</f>
        <v>0</v>
      </c>
      <c r="Q116" s="25">
        <f>R116+GETPIVOTDATA("Sum of COno",SalmonPivot!$BI$4,"Date",B116,"Site",2)+GETPIVOTDATA("Sum of COrecap",SalmonPivot!$BI$4,"Date",B116,"Site",2)</f>
        <v>0</v>
      </c>
      <c r="R116" s="24">
        <f>GETPIVOTDATA("Sum of COrad",SalmonPivot!$BI$4,"Date",B116,"Site",2)</f>
        <v>0</v>
      </c>
      <c r="S116" s="24">
        <f>GETPIVOTDATA("Sum of TotalOther",OtherPivot!$J$5,"Date",B116,"Site",2)</f>
        <v>0</v>
      </c>
      <c r="T116" s="38"/>
      <c r="U116" s="172">
        <f>IF(GETPIVOTDATA("3 Revs (s)",EffortRPMPivot!$L$4,"Date",$B116,"Site",2)=0,"",GETPIVOTDATA("3 revs (s)",EffortRPMPivot!$L$4,"date",$B116,"Site",2))</f>
        <v>31.25</v>
      </c>
      <c r="V116" s="173">
        <f t="shared" si="149"/>
        <v>6.2434963579604583E-2</v>
      </c>
      <c r="W116" s="173">
        <f t="shared" si="150"/>
        <v>0</v>
      </c>
      <c r="X116" s="173">
        <f t="shared" si="151"/>
        <v>0</v>
      </c>
      <c r="Y116" s="173">
        <f t="shared" si="152"/>
        <v>0</v>
      </c>
      <c r="Z116" s="173">
        <f t="shared" si="153"/>
        <v>0</v>
      </c>
      <c r="AA116" s="174">
        <f t="shared" si="154"/>
        <v>0</v>
      </c>
      <c r="AB116" s="181"/>
      <c r="AC116" s="181"/>
      <c r="AD116" s="181"/>
      <c r="AE116" s="181"/>
      <c r="AF116" s="181"/>
      <c r="AG116" s="181"/>
      <c r="AH116" s="182"/>
      <c r="AI116" s="181"/>
      <c r="AJ116" s="181"/>
      <c r="AK116" s="181"/>
      <c r="AL116" s="181"/>
      <c r="AM116" s="181"/>
      <c r="AN116" s="182"/>
      <c r="AO116" s="181"/>
      <c r="AP116" s="181"/>
      <c r="AQ116" s="181"/>
      <c r="AR116" s="181"/>
      <c r="AS116" s="181"/>
      <c r="AT116" s="182"/>
      <c r="AU116" s="181"/>
      <c r="AV116" s="181"/>
      <c r="AW116" s="181"/>
      <c r="AX116" s="181"/>
      <c r="AY116" s="181"/>
      <c r="AZ116" s="182"/>
      <c r="BA116" s="185"/>
      <c r="BB116" s="185"/>
      <c r="BC116" s="185"/>
      <c r="BD116" s="185"/>
      <c r="BE116" s="185"/>
      <c r="BF116" s="186"/>
      <c r="BG116" s="185"/>
      <c r="BH116" s="185"/>
      <c r="BI116" s="185"/>
      <c r="BJ116" s="185"/>
      <c r="BK116" s="185"/>
      <c r="BL116" s="186"/>
      <c r="BM116" s="412"/>
      <c r="BN116" s="412"/>
    </row>
    <row r="117" spans="1:66" s="49" customFormat="1" x14ac:dyDescent="0.2">
      <c r="A117" s="61"/>
      <c r="B117" s="60">
        <f t="shared" si="127"/>
        <v>41813</v>
      </c>
      <c r="C117" s="22">
        <f t="shared" si="148"/>
        <v>5.333333333333333</v>
      </c>
      <c r="D117" s="23">
        <f>GETPIVOTDATA("Active time (min)",EffortRPMPivot!$A$4,"date",B117,"Site",2)/60</f>
        <v>17.2</v>
      </c>
      <c r="E117" s="24">
        <f>F117+G117+GETPIVOTDATA("Sum of CNlgNo",SalmonPivot!$A$4,"Date",B117,"Site",2)</f>
        <v>6</v>
      </c>
      <c r="F117" s="24">
        <f>GETPIVOTDATA("Sum of CNlgrad",SalmonPivot!$A$4,"date",B117,"Site",2)</f>
        <v>5</v>
      </c>
      <c r="G117" s="24">
        <f>GETPIVOTDATA("Sum of CNlgrecap",SalmonPivot!$A$4,"date",B117,"Site",2)</f>
        <v>0</v>
      </c>
      <c r="H117" s="24">
        <f>I117+J117+GETPIVOTDATA("Sum of CNsmno",SalmonPivot!$M$4,"Date",B117,"Site",2)</f>
        <v>0</v>
      </c>
      <c r="I117" s="24">
        <f>GETPIVOTDATA("Sum of CNsmradio",SalmonPivot!$M$4,"Date",B117,"Site",2)</f>
        <v>0</v>
      </c>
      <c r="J117" s="24">
        <f>GETPIVOTDATA("Sum of CNsmrecap",SalmonPivot!$M$4,"Date",B117,"Site",2)</f>
        <v>0</v>
      </c>
      <c r="K117" s="24">
        <f>L117+GETPIVOTDATA("Sum of SOno",SalmonPivot!$Y$4,"Date",B117,"Site",2)+GETPIVOTDATA("Sum of SOrecap",SalmonPivot!$Y$4,"Date",B117,"Site",2)</f>
        <v>0</v>
      </c>
      <c r="L117" s="24">
        <f>GETPIVOTDATA("Sum of SOrad",SalmonPivot!$Y$4,"Date",B117,"Site",2)</f>
        <v>0</v>
      </c>
      <c r="M117" s="24">
        <f>N117+GETPIVOTDATA("Sum of PKno",SalmonPivot!$AK$4,"Date",B117,"Site",2)+GETPIVOTDATA("Sum of PKrecap",SalmonPivot!$AK$4,"Date",B117,"Site",2)</f>
        <v>0</v>
      </c>
      <c r="N117" s="24">
        <f>GETPIVOTDATA("Sum of PKrad",SalmonPivot!$AK$4,"Date",B117,"Site",2)</f>
        <v>0</v>
      </c>
      <c r="O117" s="24">
        <f>P117+GETPIVOTDATA("Sum of CMno",SalmonPivot!$AW$4,"Date",B117,"Site",2)+GETPIVOTDATA("Sum of CMrecap",SalmonPivot!$AW$4,"Date",B117,"Site",2)</f>
        <v>0</v>
      </c>
      <c r="P117" s="24">
        <f>GETPIVOTDATA("Sum of CMrad",SalmonPivot!$AW$4,"Date",B117,"Site",2)</f>
        <v>0</v>
      </c>
      <c r="Q117" s="25">
        <f>R117+GETPIVOTDATA("Sum of COno",SalmonPivot!$BI$4,"Date",B117,"Site",2)+GETPIVOTDATA("Sum of COrecap",SalmonPivot!$BI$4,"Date",B117,"Site",2)</f>
        <v>0</v>
      </c>
      <c r="R117" s="24">
        <f>GETPIVOTDATA("Sum of COrad",SalmonPivot!$BI$4,"Date",B117,"Site",2)</f>
        <v>0</v>
      </c>
      <c r="S117" s="24">
        <f>GETPIVOTDATA("Sum of TotalOther",OtherPivot!$J$5,"Date",B117,"Site",2)</f>
        <v>0</v>
      </c>
      <c r="T117" s="38"/>
      <c r="U117" s="172">
        <f>IF(GETPIVOTDATA("3 Revs (s)",EffortRPMPivot!$L$4,"Date",$B117,"Site",2)=0,"",GETPIVOTDATA("3 revs (s)",EffortRPMPivot!$L$4,"date",$B117,"Site",2))</f>
        <v>33.75</v>
      </c>
      <c r="V117" s="173">
        <f t="shared" si="149"/>
        <v>0.34883720930232559</v>
      </c>
      <c r="W117" s="173">
        <f t="shared" si="150"/>
        <v>0</v>
      </c>
      <c r="X117" s="173">
        <f t="shared" si="151"/>
        <v>0</v>
      </c>
      <c r="Y117" s="173">
        <f t="shared" si="152"/>
        <v>0</v>
      </c>
      <c r="Z117" s="173">
        <f t="shared" si="153"/>
        <v>0</v>
      </c>
      <c r="AA117" s="174">
        <f t="shared" si="154"/>
        <v>0</v>
      </c>
      <c r="AB117" s="181"/>
      <c r="AC117" s="181"/>
      <c r="AD117" s="181"/>
      <c r="AE117" s="181"/>
      <c r="AF117" s="181"/>
      <c r="AG117" s="181"/>
      <c r="AH117" s="182"/>
      <c r="AI117" s="181"/>
      <c r="AJ117" s="181"/>
      <c r="AK117" s="181"/>
      <c r="AL117" s="181"/>
      <c r="AM117" s="181"/>
      <c r="AN117" s="182"/>
      <c r="AO117" s="181"/>
      <c r="AP117" s="181"/>
      <c r="AQ117" s="181"/>
      <c r="AR117" s="181"/>
      <c r="AS117" s="181"/>
      <c r="AT117" s="182"/>
      <c r="AU117" s="181"/>
      <c r="AV117" s="181"/>
      <c r="AW117" s="181"/>
      <c r="AX117" s="181"/>
      <c r="AY117" s="181"/>
      <c r="AZ117" s="182"/>
      <c r="BA117" s="185"/>
      <c r="BB117" s="185"/>
      <c r="BC117" s="185"/>
      <c r="BD117" s="185"/>
      <c r="BE117" s="185"/>
      <c r="BF117" s="186"/>
      <c r="BG117" s="185"/>
      <c r="BH117" s="185"/>
      <c r="BI117" s="185"/>
      <c r="BJ117" s="185"/>
      <c r="BK117" s="185"/>
      <c r="BL117" s="186"/>
      <c r="BM117" s="412"/>
      <c r="BN117" s="412"/>
    </row>
    <row r="118" spans="1:66" s="49" customFormat="1" x14ac:dyDescent="0.2">
      <c r="A118" s="61"/>
      <c r="B118" s="60">
        <f t="shared" si="127"/>
        <v>41814</v>
      </c>
      <c r="C118" s="22">
        <f t="shared" ref="C118:C119" si="155">IF(ISERROR(3/(U118/60)),"",3/(U118/60))</f>
        <v>5.3731343283582085</v>
      </c>
      <c r="D118" s="23">
        <f>GETPIVOTDATA("Active time (min)",EffortRPMPivot!$A$4,"date",B118,"Site",2)/60</f>
        <v>17.233333333333334</v>
      </c>
      <c r="E118" s="24">
        <f>F118+G118+GETPIVOTDATA("Sum of CNlgNo",SalmonPivot!$A$4,"Date",B118,"Site",2)</f>
        <v>4</v>
      </c>
      <c r="F118" s="24">
        <f>GETPIVOTDATA("Sum of CNlgrad",SalmonPivot!$A$4,"date",B118,"Site",2)</f>
        <v>4</v>
      </c>
      <c r="G118" s="24">
        <f>GETPIVOTDATA("Sum of CNlgrecap",SalmonPivot!$A$4,"date",B118,"Site",2)</f>
        <v>0</v>
      </c>
      <c r="H118" s="24">
        <f>I118+J118+GETPIVOTDATA("Sum of CNsmno",SalmonPivot!$M$4,"Date",B118,"Site",2)</f>
        <v>0</v>
      </c>
      <c r="I118" s="24">
        <f>GETPIVOTDATA("Sum of CNsmradio",SalmonPivot!$M$4,"Date",B118,"Site",2)</f>
        <v>0</v>
      </c>
      <c r="J118" s="24">
        <f>GETPIVOTDATA("Sum of CNsmrecap",SalmonPivot!$M$4,"Date",B118,"Site",2)</f>
        <v>0</v>
      </c>
      <c r="K118" s="24">
        <f>L118+GETPIVOTDATA("Sum of SOno",SalmonPivot!$Y$4,"Date",B118,"Site",2)+GETPIVOTDATA("Sum of SOrecap",SalmonPivot!$Y$4,"Date",B118,"Site",2)</f>
        <v>0</v>
      </c>
      <c r="L118" s="24">
        <f>GETPIVOTDATA("Sum of SOrad",SalmonPivot!$Y$4,"Date",B118,"Site",2)</f>
        <v>0</v>
      </c>
      <c r="M118" s="24">
        <f>N118+GETPIVOTDATA("Sum of PKno",SalmonPivot!$AK$4,"Date",B118,"Site",2)+GETPIVOTDATA("Sum of PKrecap",SalmonPivot!$AK$4,"Date",B118,"Site",2)</f>
        <v>0</v>
      </c>
      <c r="N118" s="24">
        <f>GETPIVOTDATA("Sum of PKrad",SalmonPivot!$AK$4,"Date",B118,"Site",2)</f>
        <v>0</v>
      </c>
      <c r="O118" s="24">
        <f>P118+GETPIVOTDATA("Sum of CMno",SalmonPivot!$AW$4,"Date",B118,"Site",2)+GETPIVOTDATA("Sum of CMrecap",SalmonPivot!$AW$4,"Date",B118,"Site",2)</f>
        <v>0</v>
      </c>
      <c r="P118" s="24">
        <f>GETPIVOTDATA("Sum of CMrad",SalmonPivot!$AW$4,"Date",B118,"Site",2)</f>
        <v>0</v>
      </c>
      <c r="Q118" s="25">
        <f>R118+GETPIVOTDATA("Sum of COno",SalmonPivot!$BI$4,"Date",B118,"Site",2)+GETPIVOTDATA("Sum of COrecap",SalmonPivot!$BI$4,"Date",B118,"Site",2)</f>
        <v>0</v>
      </c>
      <c r="R118" s="24">
        <f>GETPIVOTDATA("Sum of COrad",SalmonPivot!$BI$4,"Date",B118,"Site",2)</f>
        <v>0</v>
      </c>
      <c r="S118" s="24">
        <f>GETPIVOTDATA("Sum of TotalOther",OtherPivot!$J$5,"Date",B118,"Site",2)</f>
        <v>0</v>
      </c>
      <c r="T118" s="38"/>
      <c r="U118" s="172">
        <f>IF(GETPIVOTDATA("3 Revs (s)",EffortRPMPivot!$L$4,"Date",$B118,"Site",2)=0,"",GETPIVOTDATA("3 revs (s)",EffortRPMPivot!$L$4,"date",$B118,"Site",2))</f>
        <v>33.5</v>
      </c>
      <c r="V118" s="173">
        <f t="shared" ref="V118:V119" si="156">IF(D118=0,"",E118/D118)</f>
        <v>0.23210831721470018</v>
      </c>
      <c r="W118" s="173">
        <f t="shared" ref="W118:W120" si="157">IF(D118=0,"",H118/D118)</f>
        <v>0</v>
      </c>
      <c r="X118" s="173">
        <f t="shared" ref="X118:X120" si="158">IF(D118=0,"",K118/$D118)</f>
        <v>0</v>
      </c>
      <c r="Y118" s="173">
        <f t="shared" ref="Y118:Y120" si="159">IF(D118=0,"",M118/$D118)</f>
        <v>0</v>
      </c>
      <c r="Z118" s="173">
        <f t="shared" ref="Z118:Z120" si="160">IF(D118=0,"",O118/$D118)</f>
        <v>0</v>
      </c>
      <c r="AA118" s="174">
        <f t="shared" ref="AA118:AA120" si="161">IF(D118=0,"",Q118/$D118)</f>
        <v>0</v>
      </c>
      <c r="AB118" s="181"/>
      <c r="AC118" s="181"/>
      <c r="AD118" s="181"/>
      <c r="AE118" s="181"/>
      <c r="AF118" s="181"/>
      <c r="AG118" s="181"/>
      <c r="AH118" s="182"/>
      <c r="AI118" s="181"/>
      <c r="AJ118" s="181"/>
      <c r="AK118" s="181"/>
      <c r="AL118" s="181"/>
      <c r="AM118" s="181"/>
      <c r="AN118" s="182"/>
      <c r="AO118" s="181"/>
      <c r="AP118" s="181"/>
      <c r="AQ118" s="181"/>
      <c r="AR118" s="181"/>
      <c r="AS118" s="181"/>
      <c r="AT118" s="182"/>
      <c r="AU118" s="181"/>
      <c r="AV118" s="181"/>
      <c r="AW118" s="181"/>
      <c r="AX118" s="181"/>
      <c r="AY118" s="181"/>
      <c r="AZ118" s="182"/>
      <c r="BA118" s="185"/>
      <c r="BB118" s="185"/>
      <c r="BC118" s="185"/>
      <c r="BD118" s="185"/>
      <c r="BE118" s="185"/>
      <c r="BF118" s="186"/>
      <c r="BG118" s="185"/>
      <c r="BH118" s="185"/>
      <c r="BI118" s="185"/>
      <c r="BJ118" s="185"/>
      <c r="BK118" s="185"/>
      <c r="BL118" s="186"/>
      <c r="BM118" s="412"/>
      <c r="BN118" s="412"/>
    </row>
    <row r="119" spans="1:66" s="49" customFormat="1" x14ac:dyDescent="0.2">
      <c r="A119" s="61"/>
      <c r="B119" s="60">
        <f t="shared" si="127"/>
        <v>41815</v>
      </c>
      <c r="C119" s="22">
        <f t="shared" si="155"/>
        <v>5.2173913043478262</v>
      </c>
      <c r="D119" s="23">
        <f>GETPIVOTDATA("Active time (min)",EffortRPMPivot!$A$4,"date",B119,"Site",2)/60</f>
        <v>16.416666666666668</v>
      </c>
      <c r="E119" s="24">
        <f>F119+G119+GETPIVOTDATA("Sum of CNlgNo",SalmonPivot!$A$4,"Date",B119,"Site",2)</f>
        <v>3</v>
      </c>
      <c r="F119" s="24">
        <f>GETPIVOTDATA("Sum of CNlgrad",SalmonPivot!$A$4,"date",B119,"Site",2)</f>
        <v>3</v>
      </c>
      <c r="G119" s="24">
        <f>GETPIVOTDATA("Sum of CNlgrecap",SalmonPivot!$A$4,"date",B119,"Site",2)</f>
        <v>0</v>
      </c>
      <c r="H119" s="24">
        <f>I119+J119+GETPIVOTDATA("Sum of CNsmno",SalmonPivot!$M$4,"Date",B119,"Site",2)</f>
        <v>0</v>
      </c>
      <c r="I119" s="24">
        <f>GETPIVOTDATA("Sum of CNsmradio",SalmonPivot!$M$4,"Date",B119,"Site",2)</f>
        <v>0</v>
      </c>
      <c r="J119" s="24">
        <f>GETPIVOTDATA("Sum of CNsmrecap",SalmonPivot!$M$4,"Date",B119,"Site",2)</f>
        <v>0</v>
      </c>
      <c r="K119" s="24">
        <f>L119+GETPIVOTDATA("Sum of SOno",SalmonPivot!$Y$4,"Date",B119,"Site",2)+GETPIVOTDATA("Sum of SOrecap",SalmonPivot!$Y$4,"Date",B119,"Site",2)</f>
        <v>0</v>
      </c>
      <c r="L119" s="24">
        <f>GETPIVOTDATA("Sum of SOrad",SalmonPivot!$Y$4,"Date",B119,"Site",2)</f>
        <v>0</v>
      </c>
      <c r="M119" s="24">
        <f>N119+GETPIVOTDATA("Sum of PKno",SalmonPivot!$AK$4,"Date",B119,"Site",2)+GETPIVOTDATA("Sum of PKrecap",SalmonPivot!$AK$4,"Date",B119,"Site",2)</f>
        <v>0</v>
      </c>
      <c r="N119" s="24">
        <f>GETPIVOTDATA("Sum of PKrad",SalmonPivot!$AK$4,"Date",B119,"Site",2)</f>
        <v>0</v>
      </c>
      <c r="O119" s="24">
        <f>P119+GETPIVOTDATA("Sum of CMno",SalmonPivot!$AW$4,"Date",B119,"Site",2)+GETPIVOTDATA("Sum of CMrecap",SalmonPivot!$AW$4,"Date",B119,"Site",2)</f>
        <v>0</v>
      </c>
      <c r="P119" s="24">
        <f>GETPIVOTDATA("Sum of CMrad",SalmonPivot!$AW$4,"Date",B119,"Site",2)</f>
        <v>0</v>
      </c>
      <c r="Q119" s="25">
        <f>R119+GETPIVOTDATA("Sum of COno",SalmonPivot!$BI$4,"Date",B119,"Site",2)+GETPIVOTDATA("Sum of COrecap",SalmonPivot!$BI$4,"Date",B119,"Site",2)</f>
        <v>0</v>
      </c>
      <c r="R119" s="24">
        <f>GETPIVOTDATA("Sum of COrad",SalmonPivot!$BI$4,"Date",B119,"Site",2)</f>
        <v>0</v>
      </c>
      <c r="S119" s="24">
        <f>GETPIVOTDATA("Sum of TotalOther",OtherPivot!$J$5,"Date",B119,"Site",2)</f>
        <v>0</v>
      </c>
      <c r="T119" s="38"/>
      <c r="U119" s="172">
        <f>IF(GETPIVOTDATA("3 Revs (s)",EffortRPMPivot!$L$4,"Date",$B119,"Site",2)=0,"",GETPIVOTDATA("3 revs (s)",EffortRPMPivot!$L$4,"date",$B119,"Site",2))</f>
        <v>34.5</v>
      </c>
      <c r="V119" s="173">
        <f t="shared" si="156"/>
        <v>0.18274111675126903</v>
      </c>
      <c r="W119" s="173">
        <f t="shared" si="157"/>
        <v>0</v>
      </c>
      <c r="X119" s="173">
        <f t="shared" si="158"/>
        <v>0</v>
      </c>
      <c r="Y119" s="173">
        <f t="shared" si="159"/>
        <v>0</v>
      </c>
      <c r="Z119" s="173">
        <f t="shared" si="160"/>
        <v>0</v>
      </c>
      <c r="AA119" s="174">
        <f t="shared" si="161"/>
        <v>0</v>
      </c>
      <c r="AB119" s="181"/>
      <c r="AC119" s="181"/>
      <c r="AD119" s="181"/>
      <c r="AE119" s="181"/>
      <c r="AF119" s="181"/>
      <c r="AG119" s="181"/>
      <c r="AH119" s="182"/>
      <c r="AI119" s="181"/>
      <c r="AJ119" s="181"/>
      <c r="AK119" s="181"/>
      <c r="AL119" s="181"/>
      <c r="AM119" s="181"/>
      <c r="AN119" s="182"/>
      <c r="AO119" s="181"/>
      <c r="AP119" s="181"/>
      <c r="AQ119" s="181"/>
      <c r="AR119" s="181"/>
      <c r="AS119" s="181"/>
      <c r="AT119" s="182"/>
      <c r="AU119" s="181"/>
      <c r="AV119" s="181"/>
      <c r="AW119" s="181"/>
      <c r="AX119" s="181"/>
      <c r="AY119" s="181"/>
      <c r="AZ119" s="182"/>
      <c r="BA119" s="185"/>
      <c r="BB119" s="185"/>
      <c r="BC119" s="185"/>
      <c r="BD119" s="185"/>
      <c r="BE119" s="185"/>
      <c r="BF119" s="186"/>
      <c r="BG119" s="185"/>
      <c r="BH119" s="185"/>
      <c r="BI119" s="185"/>
      <c r="BJ119" s="185"/>
      <c r="BK119" s="185"/>
      <c r="BL119" s="186"/>
      <c r="BM119" s="412"/>
      <c r="BN119" s="412"/>
    </row>
    <row r="120" spans="1:66" s="49" customFormat="1" x14ac:dyDescent="0.2">
      <c r="A120" s="61"/>
      <c r="B120" s="60">
        <f t="shared" si="127"/>
        <v>41816</v>
      </c>
      <c r="C120" s="22"/>
      <c r="D120" s="23"/>
      <c r="E120" s="24"/>
      <c r="F120" s="24"/>
      <c r="G120" s="24"/>
      <c r="H120" s="24"/>
      <c r="I120" s="24"/>
      <c r="J120" s="24"/>
      <c r="K120" s="24"/>
      <c r="L120" s="24"/>
      <c r="M120" s="24"/>
      <c r="N120" s="24"/>
      <c r="O120" s="24"/>
      <c r="P120" s="24"/>
      <c r="Q120" s="25"/>
      <c r="R120" s="24"/>
      <c r="S120" s="24"/>
      <c r="T120" s="38"/>
      <c r="U120" s="172"/>
      <c r="V120" s="173"/>
      <c r="W120" s="173" t="str">
        <f t="shared" si="157"/>
        <v/>
      </c>
      <c r="X120" s="173" t="str">
        <f t="shared" si="158"/>
        <v/>
      </c>
      <c r="Y120" s="173" t="str">
        <f t="shared" si="159"/>
        <v/>
      </c>
      <c r="Z120" s="173" t="str">
        <f t="shared" si="160"/>
        <v/>
      </c>
      <c r="AA120" s="174" t="str">
        <f t="shared" si="161"/>
        <v/>
      </c>
      <c r="AB120" s="181"/>
      <c r="AC120" s="181"/>
      <c r="AD120" s="181"/>
      <c r="AE120" s="181"/>
      <c r="AF120" s="181"/>
      <c r="AG120" s="181"/>
      <c r="AH120" s="182"/>
      <c r="AI120" s="181"/>
      <c r="AJ120" s="181"/>
      <c r="AK120" s="181"/>
      <c r="AL120" s="181"/>
      <c r="AM120" s="181"/>
      <c r="AN120" s="182"/>
      <c r="AO120" s="181"/>
      <c r="AP120" s="181"/>
      <c r="AQ120" s="181"/>
      <c r="AR120" s="181"/>
      <c r="AS120" s="181"/>
      <c r="AT120" s="182"/>
      <c r="AU120" s="181"/>
      <c r="AV120" s="181"/>
      <c r="AW120" s="181"/>
      <c r="AX120" s="181"/>
      <c r="AY120" s="181"/>
      <c r="AZ120" s="182"/>
      <c r="BA120" s="185"/>
      <c r="BB120" s="185"/>
      <c r="BC120" s="185"/>
      <c r="BD120" s="185"/>
      <c r="BE120" s="185"/>
      <c r="BF120" s="186"/>
      <c r="BG120" s="185"/>
      <c r="BH120" s="185"/>
      <c r="BI120" s="185"/>
      <c r="BJ120" s="185"/>
      <c r="BK120" s="185"/>
      <c r="BL120" s="186"/>
      <c r="BM120" s="412"/>
      <c r="BN120" s="412"/>
    </row>
    <row r="121" spans="1:66" s="49" customFormat="1" x14ac:dyDescent="0.2">
      <c r="A121" s="61"/>
      <c r="B121" s="60">
        <f t="shared" si="127"/>
        <v>41817</v>
      </c>
      <c r="C121" s="22"/>
      <c r="D121" s="23"/>
      <c r="E121" s="24"/>
      <c r="F121" s="24"/>
      <c r="G121" s="24"/>
      <c r="H121" s="24"/>
      <c r="I121" s="24"/>
      <c r="J121" s="24"/>
      <c r="K121" s="24"/>
      <c r="L121" s="24"/>
      <c r="M121" s="24"/>
      <c r="N121" s="24"/>
      <c r="O121" s="24"/>
      <c r="P121" s="24"/>
      <c r="Q121" s="25"/>
      <c r="R121" s="24"/>
      <c r="S121" s="24"/>
      <c r="T121" s="38"/>
      <c r="U121" s="172"/>
      <c r="V121" s="173"/>
      <c r="W121" s="173" t="str">
        <f t="shared" ref="W121:W130" si="162">IF(D121=0,"",H121/D121)</f>
        <v/>
      </c>
      <c r="X121" s="173" t="str">
        <f t="shared" ref="X121:X130" si="163">IF(D121=0,"",K121/$D121)</f>
        <v/>
      </c>
      <c r="Y121" s="173" t="str">
        <f t="shared" ref="Y121:Y130" si="164">IF(D121=0,"",M121/$D121)</f>
        <v/>
      </c>
      <c r="Z121" s="173" t="str">
        <f t="shared" ref="Z121:Z130" si="165">IF(D121=0,"",O121/$D121)</f>
        <v/>
      </c>
      <c r="AA121" s="174" t="str">
        <f t="shared" ref="AA121:AA130" si="166">IF(D121=0,"",Q121/$D121)</f>
        <v/>
      </c>
      <c r="AB121" s="181"/>
      <c r="AC121" s="181"/>
      <c r="AD121" s="181"/>
      <c r="AE121" s="181"/>
      <c r="AF121" s="181"/>
      <c r="AG121" s="181"/>
      <c r="AH121" s="182"/>
      <c r="AI121" s="181"/>
      <c r="AJ121" s="181"/>
      <c r="AK121" s="181"/>
      <c r="AL121" s="181"/>
      <c r="AM121" s="181"/>
      <c r="AN121" s="182"/>
      <c r="AO121" s="181"/>
      <c r="AP121" s="181"/>
      <c r="AQ121" s="181"/>
      <c r="AR121" s="181"/>
      <c r="AS121" s="181"/>
      <c r="AT121" s="182"/>
      <c r="AU121" s="181"/>
      <c r="AV121" s="181"/>
      <c r="AW121" s="181"/>
      <c r="AX121" s="181"/>
      <c r="AY121" s="181"/>
      <c r="AZ121" s="182"/>
      <c r="BA121" s="185"/>
      <c r="BB121" s="185"/>
      <c r="BC121" s="185"/>
      <c r="BD121" s="185"/>
      <c r="BE121" s="185"/>
      <c r="BF121" s="186"/>
      <c r="BG121" s="185"/>
      <c r="BH121" s="185"/>
      <c r="BI121" s="185"/>
      <c r="BJ121" s="185"/>
      <c r="BK121" s="185"/>
      <c r="BL121" s="186"/>
      <c r="BM121" s="412"/>
      <c r="BN121" s="412"/>
    </row>
    <row r="122" spans="1:66" s="49" customFormat="1" x14ac:dyDescent="0.2">
      <c r="A122" s="61"/>
      <c r="B122" s="60">
        <f t="shared" si="127"/>
        <v>41818</v>
      </c>
      <c r="C122" s="22">
        <f t="shared" ref="C122:C130" si="167">IF(ISERROR(3/(U122/60)),"",3/(U122/60))</f>
        <v>6.0674157303370784</v>
      </c>
      <c r="D122" s="23">
        <f>GETPIVOTDATA("Active time (min)",EffortRPMPivot!$A$4,"date",B122,"Site",2)/60</f>
        <v>8.8000000000000007</v>
      </c>
      <c r="E122" s="24">
        <f>F122+G122+GETPIVOTDATA("Sum of CNlgNo",SalmonPivot!$A$4,"Date",B122,"Site",2)</f>
        <v>0</v>
      </c>
      <c r="F122" s="24">
        <f>GETPIVOTDATA("Sum of CNlgrad",SalmonPivot!$A$4,"date",B122,"Site",2)</f>
        <v>0</v>
      </c>
      <c r="G122" s="24">
        <f>GETPIVOTDATA("Sum of CNlgrecap",SalmonPivot!$A$4,"date",B122,"Site",2)</f>
        <v>0</v>
      </c>
      <c r="H122" s="24">
        <f>I122+J122+GETPIVOTDATA("Sum of CNsmno",SalmonPivot!$M$4,"Date",B122,"Site",2)</f>
        <v>0</v>
      </c>
      <c r="I122" s="24">
        <f>GETPIVOTDATA("Sum of CNsmradio",SalmonPivot!$M$4,"Date",B122,"Site",2)</f>
        <v>0</v>
      </c>
      <c r="J122" s="24">
        <f>GETPIVOTDATA("Sum of CNsmrecap",SalmonPivot!$M$4,"Date",B122,"Site",2)</f>
        <v>0</v>
      </c>
      <c r="K122" s="24">
        <f>L122+GETPIVOTDATA("Sum of SOno",SalmonPivot!$Y$4,"Date",B122,"Site",2)+GETPIVOTDATA("Sum of SOrecap",SalmonPivot!$Y$4,"Date",B122,"Site",2)</f>
        <v>0</v>
      </c>
      <c r="L122" s="24">
        <f>GETPIVOTDATA("Sum of SOrad",SalmonPivot!$Y$4,"Date",B122,"Site",2)</f>
        <v>0</v>
      </c>
      <c r="M122" s="24">
        <f>N122+GETPIVOTDATA("Sum of PKno",SalmonPivot!$AK$4,"Date",B122,"Site",2)+GETPIVOTDATA("Sum of PKrecap",SalmonPivot!$AK$4,"Date",B122,"Site",2)</f>
        <v>0</v>
      </c>
      <c r="N122" s="24">
        <f>GETPIVOTDATA("Sum of PKrad",SalmonPivot!$AK$4,"Date",B122,"Site",2)</f>
        <v>0</v>
      </c>
      <c r="O122" s="24">
        <f>P122+GETPIVOTDATA("Sum of CMno",SalmonPivot!$AW$4,"Date",B122,"Site",2)+GETPIVOTDATA("Sum of CMrecap",SalmonPivot!$AW$4,"Date",B122,"Site",2)</f>
        <v>0</v>
      </c>
      <c r="P122" s="24">
        <f>GETPIVOTDATA("Sum of CMrad",SalmonPivot!$AW$4,"Date",B122,"Site",2)</f>
        <v>0</v>
      </c>
      <c r="Q122" s="25">
        <f>R122+GETPIVOTDATA("Sum of COno",SalmonPivot!$BI$4,"Date",B122,"Site",2)+GETPIVOTDATA("Sum of COrecap",SalmonPivot!$BI$4,"Date",B122,"Site",2)</f>
        <v>0</v>
      </c>
      <c r="R122" s="24">
        <f>GETPIVOTDATA("Sum of COrad",SalmonPivot!$BI$4,"Date",B122,"Site",2)</f>
        <v>0</v>
      </c>
      <c r="S122" s="24">
        <f>GETPIVOTDATA("Sum of TotalOther",OtherPivot!$J$5,"Date",B122,"Site",2)</f>
        <v>1</v>
      </c>
      <c r="T122" s="38"/>
      <c r="U122" s="172">
        <f>IF(GETPIVOTDATA("3 Revs (s)",EffortRPMPivot!$L$4,"Date",$B122,"Site",2)=0,"",GETPIVOTDATA("3 revs (s)",EffortRPMPivot!$L$4,"date",$B122,"Site",2))</f>
        <v>29.666666666666668</v>
      </c>
      <c r="V122" s="173">
        <f t="shared" ref="V122:V130" si="168">IF(D122=0,"",E122/D122)</f>
        <v>0</v>
      </c>
      <c r="W122" s="173">
        <f t="shared" si="162"/>
        <v>0</v>
      </c>
      <c r="X122" s="173">
        <f t="shared" si="163"/>
        <v>0</v>
      </c>
      <c r="Y122" s="173">
        <f t="shared" si="164"/>
        <v>0</v>
      </c>
      <c r="Z122" s="173">
        <f t="shared" si="165"/>
        <v>0</v>
      </c>
      <c r="AA122" s="174">
        <f t="shared" si="166"/>
        <v>0</v>
      </c>
      <c r="AB122" s="181"/>
      <c r="AC122" s="181"/>
      <c r="AD122" s="181"/>
      <c r="AE122" s="181"/>
      <c r="AF122" s="181"/>
      <c r="AG122" s="181"/>
      <c r="AH122" s="182"/>
      <c r="AI122" s="181"/>
      <c r="AJ122" s="181"/>
      <c r="AK122" s="181"/>
      <c r="AL122" s="181"/>
      <c r="AM122" s="181"/>
      <c r="AN122" s="182"/>
      <c r="AO122" s="181"/>
      <c r="AP122" s="181"/>
      <c r="AQ122" s="181"/>
      <c r="AR122" s="181"/>
      <c r="AS122" s="181"/>
      <c r="AT122" s="182"/>
      <c r="AU122" s="181"/>
      <c r="AV122" s="181"/>
      <c r="AW122" s="181"/>
      <c r="AX122" s="181"/>
      <c r="AY122" s="181"/>
      <c r="AZ122" s="182"/>
      <c r="BA122" s="185"/>
      <c r="BB122" s="185"/>
      <c r="BC122" s="185"/>
      <c r="BD122" s="185"/>
      <c r="BE122" s="185"/>
      <c r="BF122" s="186"/>
      <c r="BG122" s="185"/>
      <c r="BH122" s="185"/>
      <c r="BI122" s="185"/>
      <c r="BJ122" s="185"/>
      <c r="BK122" s="185"/>
      <c r="BL122" s="186"/>
      <c r="BM122" s="412"/>
      <c r="BN122" s="412"/>
    </row>
    <row r="123" spans="1:66" s="49" customFormat="1" x14ac:dyDescent="0.2">
      <c r="A123" s="61"/>
      <c r="B123" s="60">
        <f t="shared" si="127"/>
        <v>41819</v>
      </c>
      <c r="C123" s="22">
        <f t="shared" si="167"/>
        <v>6.2608695652173907</v>
      </c>
      <c r="D123" s="23">
        <f>GETPIVOTDATA("Active time (min)",EffortRPMPivot!$A$4,"date",B123,"Site",2)/60</f>
        <v>17.600000000000001</v>
      </c>
      <c r="E123" s="24">
        <f>F123+G123+GETPIVOTDATA("Sum of CNlgNo",SalmonPivot!$A$4,"Date",B123,"Site",2)</f>
        <v>0</v>
      </c>
      <c r="F123" s="24">
        <f>GETPIVOTDATA("Sum of CNlgrad",SalmonPivot!$A$4,"date",B123,"Site",2)</f>
        <v>0</v>
      </c>
      <c r="G123" s="24">
        <f>GETPIVOTDATA("Sum of CNlgrecap",SalmonPivot!$A$4,"date",B123,"Site",2)</f>
        <v>0</v>
      </c>
      <c r="H123" s="24">
        <f>I123+J123+GETPIVOTDATA("Sum of CNsmno",SalmonPivot!$M$4,"Date",B123,"Site",2)</f>
        <v>0</v>
      </c>
      <c r="I123" s="24">
        <f>GETPIVOTDATA("Sum of CNsmradio",SalmonPivot!$M$4,"Date",B123,"Site",2)</f>
        <v>0</v>
      </c>
      <c r="J123" s="24">
        <f>GETPIVOTDATA("Sum of CNsmrecap",SalmonPivot!$M$4,"Date",B123,"Site",2)</f>
        <v>0</v>
      </c>
      <c r="K123" s="24">
        <f>L123+GETPIVOTDATA("Sum of SOno",SalmonPivot!$Y$4,"Date",B123,"Site",2)+GETPIVOTDATA("Sum of SOrecap",SalmonPivot!$Y$4,"Date",B123,"Site",2)</f>
        <v>0</v>
      </c>
      <c r="L123" s="24">
        <f>GETPIVOTDATA("Sum of SOrad",SalmonPivot!$Y$4,"Date",B123,"Site",2)</f>
        <v>0</v>
      </c>
      <c r="M123" s="24">
        <f>N123+GETPIVOTDATA("Sum of PKno",SalmonPivot!$AK$4,"Date",B123,"Site",2)+GETPIVOTDATA("Sum of PKrecap",SalmonPivot!$AK$4,"Date",B123,"Site",2)</f>
        <v>0</v>
      </c>
      <c r="N123" s="24">
        <f>GETPIVOTDATA("Sum of PKrad",SalmonPivot!$AK$4,"Date",B123,"Site",2)</f>
        <v>0</v>
      </c>
      <c r="O123" s="24">
        <f>P123+GETPIVOTDATA("Sum of CMno",SalmonPivot!$AW$4,"Date",B123,"Site",2)+GETPIVOTDATA("Sum of CMrecap",SalmonPivot!$AW$4,"Date",B123,"Site",2)</f>
        <v>0</v>
      </c>
      <c r="P123" s="24">
        <f>GETPIVOTDATA("Sum of CMrad",SalmonPivot!$AW$4,"Date",B123,"Site",2)</f>
        <v>0</v>
      </c>
      <c r="Q123" s="25">
        <f>R123+GETPIVOTDATA("Sum of COno",SalmonPivot!$BI$4,"Date",B123,"Site",2)+GETPIVOTDATA("Sum of COrecap",SalmonPivot!$BI$4,"Date",B123,"Site",2)</f>
        <v>0</v>
      </c>
      <c r="R123" s="24">
        <f>GETPIVOTDATA("Sum of COrad",SalmonPivot!$BI$4,"Date",B123,"Site",2)</f>
        <v>0</v>
      </c>
      <c r="S123" s="24">
        <f>GETPIVOTDATA("Sum of TotalOther",OtherPivot!$J$5,"Date",B123,"Site",2)</f>
        <v>0</v>
      </c>
      <c r="T123" s="38"/>
      <c r="U123" s="172">
        <f>IF(GETPIVOTDATA("3 Revs (s)",EffortRPMPivot!$L$4,"Date",$B123,"Site",2)=0,"",GETPIVOTDATA("3 revs (s)",EffortRPMPivot!$L$4,"date",$B123,"Site",2))</f>
        <v>28.75</v>
      </c>
      <c r="V123" s="173">
        <f t="shared" si="168"/>
        <v>0</v>
      </c>
      <c r="W123" s="173">
        <f t="shared" si="162"/>
        <v>0</v>
      </c>
      <c r="X123" s="173">
        <f t="shared" si="163"/>
        <v>0</v>
      </c>
      <c r="Y123" s="173">
        <f t="shared" si="164"/>
        <v>0</v>
      </c>
      <c r="Z123" s="173">
        <f t="shared" si="165"/>
        <v>0</v>
      </c>
      <c r="AA123" s="174">
        <f t="shared" si="166"/>
        <v>0</v>
      </c>
      <c r="AB123" s="181"/>
      <c r="AC123" s="181"/>
      <c r="AD123" s="181"/>
      <c r="AE123" s="181"/>
      <c r="AF123" s="181"/>
      <c r="AG123" s="181"/>
      <c r="AH123" s="182"/>
      <c r="AI123" s="181"/>
      <c r="AJ123" s="181"/>
      <c r="AK123" s="181"/>
      <c r="AL123" s="181"/>
      <c r="AM123" s="181"/>
      <c r="AN123" s="182"/>
      <c r="AO123" s="181"/>
      <c r="AP123" s="181"/>
      <c r="AQ123" s="181"/>
      <c r="AR123" s="181"/>
      <c r="AS123" s="181"/>
      <c r="AT123" s="182"/>
      <c r="AU123" s="181"/>
      <c r="AV123" s="181"/>
      <c r="AW123" s="181"/>
      <c r="AX123" s="181"/>
      <c r="AY123" s="181"/>
      <c r="AZ123" s="182"/>
      <c r="BA123" s="185"/>
      <c r="BB123" s="185"/>
      <c r="BC123" s="185"/>
      <c r="BD123" s="185"/>
      <c r="BE123" s="185"/>
      <c r="BF123" s="186"/>
      <c r="BG123" s="185"/>
      <c r="BH123" s="185"/>
      <c r="BI123" s="185"/>
      <c r="BJ123" s="185"/>
      <c r="BK123" s="185"/>
      <c r="BL123" s="186"/>
      <c r="BM123" s="412"/>
      <c r="BN123" s="412"/>
    </row>
    <row r="124" spans="1:66" s="49" customFormat="1" x14ac:dyDescent="0.2">
      <c r="A124" s="61"/>
      <c r="B124" s="60">
        <f t="shared" si="127"/>
        <v>41820</v>
      </c>
      <c r="C124" s="22">
        <f t="shared" si="167"/>
        <v>5.625</v>
      </c>
      <c r="D124" s="23">
        <f>GETPIVOTDATA("Active time (min)",EffortRPMPivot!$A$4,"date",B124,"Site",2)/60</f>
        <v>24.000000000000004</v>
      </c>
      <c r="E124" s="24">
        <f>F124+G124+GETPIVOTDATA("Sum of CNlgNo",SalmonPivot!$A$4,"Date",B124,"Site",2)</f>
        <v>0</v>
      </c>
      <c r="F124" s="24">
        <f>GETPIVOTDATA("Sum of CNlgrad",SalmonPivot!$A$4,"date",B124,"Site",2)</f>
        <v>0</v>
      </c>
      <c r="G124" s="24">
        <f>GETPIVOTDATA("Sum of CNlgrecap",SalmonPivot!$A$4,"date",B124,"Site",2)</f>
        <v>0</v>
      </c>
      <c r="H124" s="24">
        <f>I124+J124+GETPIVOTDATA("Sum of CNsmno",SalmonPivot!$M$4,"Date",B124,"Site",2)</f>
        <v>0</v>
      </c>
      <c r="I124" s="24">
        <f>GETPIVOTDATA("Sum of CNsmradio",SalmonPivot!$M$4,"Date",B124,"Site",2)</f>
        <v>0</v>
      </c>
      <c r="J124" s="24">
        <f>GETPIVOTDATA("Sum of CNsmrecap",SalmonPivot!$M$4,"Date",B124,"Site",2)</f>
        <v>0</v>
      </c>
      <c r="K124" s="24">
        <f>L124+GETPIVOTDATA("Sum of SOno",SalmonPivot!$Y$4,"Date",B124,"Site",2)+GETPIVOTDATA("Sum of SOrecap",SalmonPivot!$Y$4,"Date",B124,"Site",2)</f>
        <v>0</v>
      </c>
      <c r="L124" s="24">
        <f>GETPIVOTDATA("Sum of SOrad",SalmonPivot!$Y$4,"Date",B124,"Site",2)</f>
        <v>0</v>
      </c>
      <c r="M124" s="24">
        <f>N124+GETPIVOTDATA("Sum of PKno",SalmonPivot!$AK$4,"Date",B124,"Site",2)+GETPIVOTDATA("Sum of PKrecap",SalmonPivot!$AK$4,"Date",B124,"Site",2)</f>
        <v>0</v>
      </c>
      <c r="N124" s="24">
        <f>GETPIVOTDATA("Sum of PKrad",SalmonPivot!$AK$4,"Date",B124,"Site",2)</f>
        <v>0</v>
      </c>
      <c r="O124" s="24">
        <f>P124+GETPIVOTDATA("Sum of CMno",SalmonPivot!$AW$4,"Date",B124,"Site",2)+GETPIVOTDATA("Sum of CMrecap",SalmonPivot!$AW$4,"Date",B124,"Site",2)</f>
        <v>0</v>
      </c>
      <c r="P124" s="24">
        <f>GETPIVOTDATA("Sum of CMrad",SalmonPivot!$AW$4,"Date",B124,"Site",2)</f>
        <v>0</v>
      </c>
      <c r="Q124" s="25">
        <f>R124+GETPIVOTDATA("Sum of COno",SalmonPivot!$BI$4,"Date",B124,"Site",2)+GETPIVOTDATA("Sum of COrecap",SalmonPivot!$BI$4,"Date",B124,"Site",2)</f>
        <v>0</v>
      </c>
      <c r="R124" s="24">
        <f>GETPIVOTDATA("Sum of COrad",SalmonPivot!$BI$4,"Date",B124,"Site",2)</f>
        <v>0</v>
      </c>
      <c r="S124" s="24">
        <f>GETPIVOTDATA("Sum of TotalOther",OtherPivot!$J$5,"Date",B124,"Site",2)</f>
        <v>0</v>
      </c>
      <c r="T124" s="38"/>
      <c r="U124" s="172">
        <f>IF(GETPIVOTDATA("3 Revs (s)",EffortRPMPivot!$L$4,"Date",$B124,"Site",2)=0,"",GETPIVOTDATA("3 revs (s)",EffortRPMPivot!$L$4,"date",$B124,"Site",2))</f>
        <v>32</v>
      </c>
      <c r="V124" s="173">
        <f t="shared" si="168"/>
        <v>0</v>
      </c>
      <c r="W124" s="173">
        <f t="shared" si="162"/>
        <v>0</v>
      </c>
      <c r="X124" s="173">
        <f t="shared" si="163"/>
        <v>0</v>
      </c>
      <c r="Y124" s="173">
        <f t="shared" si="164"/>
        <v>0</v>
      </c>
      <c r="Z124" s="173">
        <f t="shared" si="165"/>
        <v>0</v>
      </c>
      <c r="AA124" s="174">
        <f t="shared" si="166"/>
        <v>0</v>
      </c>
      <c r="AB124" s="181"/>
      <c r="AC124" s="181"/>
      <c r="AD124" s="181"/>
      <c r="AE124" s="181"/>
      <c r="AF124" s="181"/>
      <c r="AG124" s="181"/>
      <c r="AH124" s="182"/>
      <c r="AI124" s="181"/>
      <c r="AJ124" s="181"/>
      <c r="AK124" s="181"/>
      <c r="AL124" s="181"/>
      <c r="AM124" s="181"/>
      <c r="AN124" s="182"/>
      <c r="AO124" s="181"/>
      <c r="AP124" s="181"/>
      <c r="AQ124" s="181"/>
      <c r="AR124" s="181"/>
      <c r="AS124" s="181"/>
      <c r="AT124" s="182"/>
      <c r="AU124" s="181"/>
      <c r="AV124" s="181"/>
      <c r="AW124" s="181"/>
      <c r="AX124" s="181"/>
      <c r="AY124" s="181"/>
      <c r="AZ124" s="182"/>
      <c r="BA124" s="185"/>
      <c r="BB124" s="185"/>
      <c r="BC124" s="185"/>
      <c r="BD124" s="185"/>
      <c r="BE124" s="185"/>
      <c r="BF124" s="186"/>
      <c r="BG124" s="185"/>
      <c r="BH124" s="185"/>
      <c r="BI124" s="185"/>
      <c r="BJ124" s="185"/>
      <c r="BK124" s="185"/>
      <c r="BL124" s="186"/>
      <c r="BM124" s="412"/>
      <c r="BN124" s="412"/>
    </row>
    <row r="125" spans="1:66" s="49" customFormat="1" x14ac:dyDescent="0.2">
      <c r="A125" s="61"/>
      <c r="B125" s="60">
        <f t="shared" si="127"/>
        <v>41821</v>
      </c>
      <c r="C125" s="22">
        <f t="shared" si="167"/>
        <v>5.8064516129032251</v>
      </c>
      <c r="D125" s="23">
        <f>GETPIVOTDATA("Active time (min)",EffortRPMPivot!$A$4,"date",B125,"Site",2)/60</f>
        <v>23.833333333333332</v>
      </c>
      <c r="E125" s="24">
        <f>F125+G125+GETPIVOTDATA("Sum of CNlgNo",SalmonPivot!$A$4,"Date",B125,"Site",2)</f>
        <v>1</v>
      </c>
      <c r="F125" s="24">
        <f>GETPIVOTDATA("Sum of CNlgrad",SalmonPivot!$A$4,"date",B125,"Site",2)</f>
        <v>1</v>
      </c>
      <c r="G125" s="24">
        <f>GETPIVOTDATA("Sum of CNlgrecap",SalmonPivot!$A$4,"date",B125,"Site",2)</f>
        <v>0</v>
      </c>
      <c r="H125" s="24">
        <f>I125+J125+GETPIVOTDATA("Sum of CNsmno",SalmonPivot!$M$4,"Date",B125,"Site",2)</f>
        <v>1</v>
      </c>
      <c r="I125" s="24">
        <f>GETPIVOTDATA("Sum of CNsmradio",SalmonPivot!$M$4,"Date",B125,"Site",2)</f>
        <v>0</v>
      </c>
      <c r="J125" s="24">
        <f>GETPIVOTDATA("Sum of CNsmrecap",SalmonPivot!$M$4,"Date",B125,"Site",2)</f>
        <v>0</v>
      </c>
      <c r="K125" s="24">
        <f>L125+GETPIVOTDATA("Sum of SOno",SalmonPivot!$Y$4,"Date",B125,"Site",2)+GETPIVOTDATA("Sum of SOrecap",SalmonPivot!$Y$4,"Date",B125,"Site",2)</f>
        <v>0</v>
      </c>
      <c r="L125" s="24">
        <f>GETPIVOTDATA("Sum of SOrad",SalmonPivot!$Y$4,"Date",B125,"Site",2)</f>
        <v>0</v>
      </c>
      <c r="M125" s="24">
        <f>N125+GETPIVOTDATA("Sum of PKno",SalmonPivot!$AK$4,"Date",B125,"Site",2)+GETPIVOTDATA("Sum of PKrecap",SalmonPivot!$AK$4,"Date",B125,"Site",2)</f>
        <v>0</v>
      </c>
      <c r="N125" s="24">
        <f>GETPIVOTDATA("Sum of PKrad",SalmonPivot!$AK$4,"Date",B125,"Site",2)</f>
        <v>0</v>
      </c>
      <c r="O125" s="24">
        <f>P125+GETPIVOTDATA("Sum of CMno",SalmonPivot!$AW$4,"Date",B125,"Site",2)+GETPIVOTDATA("Sum of CMrecap",SalmonPivot!$AW$4,"Date",B125,"Site",2)</f>
        <v>0</v>
      </c>
      <c r="P125" s="24">
        <f>GETPIVOTDATA("Sum of CMrad",SalmonPivot!$AW$4,"Date",B125,"Site",2)</f>
        <v>0</v>
      </c>
      <c r="Q125" s="25">
        <f>R125+GETPIVOTDATA("Sum of COno",SalmonPivot!$BI$4,"Date",B125,"Site",2)+GETPIVOTDATA("Sum of COrecap",SalmonPivot!$BI$4,"Date",B125,"Site",2)</f>
        <v>0</v>
      </c>
      <c r="R125" s="24">
        <f>GETPIVOTDATA("Sum of COrad",SalmonPivot!$BI$4,"Date",B125,"Site",2)</f>
        <v>0</v>
      </c>
      <c r="S125" s="24">
        <f>GETPIVOTDATA("Sum of TotalOther",OtherPivot!$J$5,"Date",B125,"Site",2)</f>
        <v>0</v>
      </c>
      <c r="T125" s="38"/>
      <c r="U125" s="172">
        <f>IF(GETPIVOTDATA("3 Revs (s)",EffortRPMPivot!$L$4,"Date",$B125,"Site",2)=0,"",GETPIVOTDATA("3 revs (s)",EffortRPMPivot!$L$4,"date",$B125,"Site",2))</f>
        <v>31</v>
      </c>
      <c r="V125" s="173">
        <f t="shared" si="168"/>
        <v>4.195804195804196E-2</v>
      </c>
      <c r="W125" s="173">
        <f t="shared" si="162"/>
        <v>4.195804195804196E-2</v>
      </c>
      <c r="X125" s="173">
        <f t="shared" si="163"/>
        <v>0</v>
      </c>
      <c r="Y125" s="173">
        <f t="shared" si="164"/>
        <v>0</v>
      </c>
      <c r="Z125" s="173">
        <f t="shared" si="165"/>
        <v>0</v>
      </c>
      <c r="AA125" s="174">
        <f t="shared" si="166"/>
        <v>0</v>
      </c>
      <c r="AB125" s="181"/>
      <c r="AC125" s="181"/>
      <c r="AD125" s="181"/>
      <c r="AE125" s="181"/>
      <c r="AF125" s="181"/>
      <c r="AG125" s="181"/>
      <c r="AH125" s="182"/>
      <c r="AI125" s="181"/>
      <c r="AJ125" s="181"/>
      <c r="AK125" s="181"/>
      <c r="AL125" s="181"/>
      <c r="AM125" s="181"/>
      <c r="AN125" s="182"/>
      <c r="AO125" s="181"/>
      <c r="AP125" s="181"/>
      <c r="AQ125" s="181"/>
      <c r="AR125" s="181"/>
      <c r="AS125" s="181"/>
      <c r="AT125" s="182"/>
      <c r="AU125" s="181"/>
      <c r="AV125" s="181"/>
      <c r="AW125" s="181"/>
      <c r="AX125" s="181"/>
      <c r="AY125" s="181"/>
      <c r="AZ125" s="182"/>
      <c r="BA125" s="185"/>
      <c r="BB125" s="185"/>
      <c r="BC125" s="185"/>
      <c r="BD125" s="185"/>
      <c r="BE125" s="185"/>
      <c r="BF125" s="186"/>
      <c r="BG125" s="185"/>
      <c r="BH125" s="185"/>
      <c r="BI125" s="185"/>
      <c r="BJ125" s="185"/>
      <c r="BK125" s="185"/>
      <c r="BL125" s="186"/>
      <c r="BM125" s="412"/>
      <c r="BN125" s="412"/>
    </row>
    <row r="126" spans="1:66" s="49" customFormat="1" x14ac:dyDescent="0.2">
      <c r="A126" s="61"/>
      <c r="B126" s="60">
        <f t="shared" si="127"/>
        <v>41822</v>
      </c>
      <c r="C126" s="22">
        <f t="shared" si="167"/>
        <v>5.76</v>
      </c>
      <c r="D126" s="23">
        <f>GETPIVOTDATA("Active time (min)",EffortRPMPivot!$A$4,"date",B126,"Site",2)/60</f>
        <v>23.216666666666665</v>
      </c>
      <c r="E126" s="24">
        <f>F126+G126+GETPIVOTDATA("Sum of CNlgNo",SalmonPivot!$A$4,"Date",B126,"Site",2)</f>
        <v>3</v>
      </c>
      <c r="F126" s="24">
        <f>GETPIVOTDATA("Sum of CNlgrad",SalmonPivot!$A$4,"date",B126,"Site",2)</f>
        <v>3</v>
      </c>
      <c r="G126" s="24">
        <f>GETPIVOTDATA("Sum of CNlgrecap",SalmonPivot!$A$4,"date",B126,"Site",2)</f>
        <v>0</v>
      </c>
      <c r="H126" s="24">
        <f>I126+J126+GETPIVOTDATA("Sum of CNsmno",SalmonPivot!$M$4,"Date",B126,"Site",2)</f>
        <v>2</v>
      </c>
      <c r="I126" s="24">
        <f>GETPIVOTDATA("Sum of CNsmradio",SalmonPivot!$M$4,"Date",B126,"Site",2)</f>
        <v>0</v>
      </c>
      <c r="J126" s="24">
        <f>GETPIVOTDATA("Sum of CNsmrecap",SalmonPivot!$M$4,"Date",B126,"Site",2)</f>
        <v>0</v>
      </c>
      <c r="K126" s="24">
        <f>L126+GETPIVOTDATA("Sum of SOno",SalmonPivot!$Y$4,"Date",B126,"Site",2)+GETPIVOTDATA("Sum of SOrecap",SalmonPivot!$Y$4,"Date",B126,"Site",2)</f>
        <v>0</v>
      </c>
      <c r="L126" s="24">
        <f>GETPIVOTDATA("Sum of SOrad",SalmonPivot!$Y$4,"Date",B126,"Site",2)</f>
        <v>0</v>
      </c>
      <c r="M126" s="24">
        <f>N126+GETPIVOTDATA("Sum of PKno",SalmonPivot!$AK$4,"Date",B126,"Site",2)+GETPIVOTDATA("Sum of PKrecap",SalmonPivot!$AK$4,"Date",B126,"Site",2)</f>
        <v>0</v>
      </c>
      <c r="N126" s="24">
        <f>GETPIVOTDATA("Sum of PKrad",SalmonPivot!$AK$4,"Date",B126,"Site",2)</f>
        <v>0</v>
      </c>
      <c r="O126" s="24">
        <f>P126+GETPIVOTDATA("Sum of CMno",SalmonPivot!$AW$4,"Date",B126,"Site",2)+GETPIVOTDATA("Sum of CMrecap",SalmonPivot!$AW$4,"Date",B126,"Site",2)</f>
        <v>0</v>
      </c>
      <c r="P126" s="24">
        <f>GETPIVOTDATA("Sum of CMrad",SalmonPivot!$AW$4,"Date",B126,"Site",2)</f>
        <v>0</v>
      </c>
      <c r="Q126" s="25">
        <f>R126+GETPIVOTDATA("Sum of COno",SalmonPivot!$BI$4,"Date",B126,"Site",2)+GETPIVOTDATA("Sum of COrecap",SalmonPivot!$BI$4,"Date",B126,"Site",2)</f>
        <v>0</v>
      </c>
      <c r="R126" s="24">
        <f>GETPIVOTDATA("Sum of COrad",SalmonPivot!$BI$4,"Date",B126,"Site",2)</f>
        <v>0</v>
      </c>
      <c r="S126" s="24">
        <f>GETPIVOTDATA("Sum of TotalOther",OtherPivot!$J$5,"Date",B126,"Site",2)</f>
        <v>2</v>
      </c>
      <c r="T126" s="38"/>
      <c r="U126" s="172">
        <f>IF(GETPIVOTDATA("3 Revs (s)",EffortRPMPivot!$L$4,"Date",$B126,"Site",2)=0,"",GETPIVOTDATA("3 revs (s)",EffortRPMPivot!$L$4,"date",$B126,"Site",2))</f>
        <v>31.25</v>
      </c>
      <c r="V126" s="173">
        <f t="shared" si="168"/>
        <v>0.12921751615218952</v>
      </c>
      <c r="W126" s="173">
        <f t="shared" si="162"/>
        <v>8.6145010768126348E-2</v>
      </c>
      <c r="X126" s="173">
        <f t="shared" si="163"/>
        <v>0</v>
      </c>
      <c r="Y126" s="173">
        <f t="shared" si="164"/>
        <v>0</v>
      </c>
      <c r="Z126" s="173">
        <f t="shared" si="165"/>
        <v>0</v>
      </c>
      <c r="AA126" s="174">
        <f t="shared" si="166"/>
        <v>0</v>
      </c>
      <c r="AB126" s="181"/>
      <c r="AC126" s="181"/>
      <c r="AD126" s="181"/>
      <c r="AE126" s="181"/>
      <c r="AF126" s="181"/>
      <c r="AG126" s="181"/>
      <c r="AH126" s="182"/>
      <c r="AI126" s="181"/>
      <c r="AJ126" s="181"/>
      <c r="AK126" s="181"/>
      <c r="AL126" s="181"/>
      <c r="AM126" s="181"/>
      <c r="AN126" s="182"/>
      <c r="AO126" s="181"/>
      <c r="AP126" s="181"/>
      <c r="AQ126" s="181"/>
      <c r="AR126" s="181"/>
      <c r="AS126" s="181"/>
      <c r="AT126" s="182"/>
      <c r="AU126" s="181"/>
      <c r="AV126" s="181"/>
      <c r="AW126" s="181"/>
      <c r="AX126" s="181"/>
      <c r="AY126" s="181"/>
      <c r="AZ126" s="182"/>
      <c r="BA126" s="185"/>
      <c r="BB126" s="185"/>
      <c r="BC126" s="185"/>
      <c r="BD126" s="185"/>
      <c r="BE126" s="185"/>
      <c r="BF126" s="186"/>
      <c r="BG126" s="185"/>
      <c r="BH126" s="185"/>
      <c r="BI126" s="185"/>
      <c r="BJ126" s="185"/>
      <c r="BK126" s="185"/>
      <c r="BL126" s="186"/>
      <c r="BM126" s="412"/>
      <c r="BN126" s="412"/>
    </row>
    <row r="127" spans="1:66" s="49" customFormat="1" x14ac:dyDescent="0.2">
      <c r="A127" s="61"/>
      <c r="B127" s="60">
        <f t="shared" si="127"/>
        <v>41823</v>
      </c>
      <c r="C127" s="22">
        <f t="shared" si="167"/>
        <v>6.1538461538461542</v>
      </c>
      <c r="D127" s="23">
        <f>GETPIVOTDATA("Active time (min)",EffortRPMPivot!$A$4,"date",B127,"Site",2)/60</f>
        <v>17.75</v>
      </c>
      <c r="E127" s="24">
        <f>F127+G127+GETPIVOTDATA("Sum of CNlgNo",SalmonPivot!$A$4,"Date",B127,"Site",2)</f>
        <v>2</v>
      </c>
      <c r="F127" s="24">
        <f>GETPIVOTDATA("Sum of CNlgrad",SalmonPivot!$A$4,"date",B127,"Site",2)</f>
        <v>2</v>
      </c>
      <c r="G127" s="24">
        <f>GETPIVOTDATA("Sum of CNlgrecap",SalmonPivot!$A$4,"date",B127,"Site",2)</f>
        <v>0</v>
      </c>
      <c r="H127" s="24">
        <f>I127+J127+GETPIVOTDATA("Sum of CNsmno",SalmonPivot!$M$4,"Date",B127,"Site",2)</f>
        <v>2</v>
      </c>
      <c r="I127" s="24">
        <f>GETPIVOTDATA("Sum of CNsmradio",SalmonPivot!$M$4,"Date",B127,"Site",2)</f>
        <v>0</v>
      </c>
      <c r="J127" s="24">
        <f>GETPIVOTDATA("Sum of CNsmrecap",SalmonPivot!$M$4,"Date",B127,"Site",2)</f>
        <v>0</v>
      </c>
      <c r="K127" s="24">
        <f>L127+GETPIVOTDATA("Sum of SOno",SalmonPivot!$Y$4,"Date",B127,"Site",2)+GETPIVOTDATA("Sum of SOrecap",SalmonPivot!$Y$4,"Date",B127,"Site",2)</f>
        <v>0</v>
      </c>
      <c r="L127" s="24">
        <f>GETPIVOTDATA("Sum of SOrad",SalmonPivot!$Y$4,"Date",B127,"Site",2)</f>
        <v>0</v>
      </c>
      <c r="M127" s="24">
        <f>N127+GETPIVOTDATA("Sum of PKno",SalmonPivot!$AK$4,"Date",B127,"Site",2)+GETPIVOTDATA("Sum of PKrecap",SalmonPivot!$AK$4,"Date",B127,"Site",2)</f>
        <v>0</v>
      </c>
      <c r="N127" s="24">
        <f>GETPIVOTDATA("Sum of PKrad",SalmonPivot!$AK$4,"Date",B127,"Site",2)</f>
        <v>0</v>
      </c>
      <c r="O127" s="24">
        <f>P127+GETPIVOTDATA("Sum of CMno",SalmonPivot!$AW$4,"Date",B127,"Site",2)+GETPIVOTDATA("Sum of CMrecap",SalmonPivot!$AW$4,"Date",B127,"Site",2)</f>
        <v>0</v>
      </c>
      <c r="P127" s="24">
        <f>GETPIVOTDATA("Sum of CMrad",SalmonPivot!$AW$4,"Date",B127,"Site",2)</f>
        <v>0</v>
      </c>
      <c r="Q127" s="25">
        <f>R127+GETPIVOTDATA("Sum of COno",SalmonPivot!$BI$4,"Date",B127,"Site",2)+GETPIVOTDATA("Sum of COrecap",SalmonPivot!$BI$4,"Date",B127,"Site",2)</f>
        <v>0</v>
      </c>
      <c r="R127" s="24">
        <f>GETPIVOTDATA("Sum of COrad",SalmonPivot!$BI$4,"Date",B127,"Site",2)</f>
        <v>0</v>
      </c>
      <c r="S127" s="24">
        <f>GETPIVOTDATA("Sum of TotalOther",OtherPivot!$J$5,"Date",B127,"Site",2)</f>
        <v>1</v>
      </c>
      <c r="T127" s="38"/>
      <c r="U127" s="172">
        <f>IF(GETPIVOTDATA("3 Revs (s)",EffortRPMPivot!$L$4,"Date",$B127,"Site",2)=0,"",GETPIVOTDATA("3 revs (s)",EffortRPMPivot!$L$4,"date",$B127,"Site",2))</f>
        <v>29.25</v>
      </c>
      <c r="V127" s="173">
        <f t="shared" si="168"/>
        <v>0.11267605633802817</v>
      </c>
      <c r="W127" s="173">
        <f t="shared" si="162"/>
        <v>0.11267605633802817</v>
      </c>
      <c r="X127" s="173">
        <f t="shared" si="163"/>
        <v>0</v>
      </c>
      <c r="Y127" s="173">
        <f t="shared" si="164"/>
        <v>0</v>
      </c>
      <c r="Z127" s="173">
        <f t="shared" si="165"/>
        <v>0</v>
      </c>
      <c r="AA127" s="174">
        <f t="shared" si="166"/>
        <v>0</v>
      </c>
      <c r="AB127" s="181"/>
      <c r="AC127" s="181"/>
      <c r="AD127" s="181"/>
      <c r="AE127" s="181"/>
      <c r="AF127" s="181"/>
      <c r="AG127" s="181"/>
      <c r="AH127" s="182"/>
      <c r="AI127" s="181"/>
      <c r="AJ127" s="181"/>
      <c r="AK127" s="181"/>
      <c r="AL127" s="181"/>
      <c r="AM127" s="181"/>
      <c r="AN127" s="182"/>
      <c r="AO127" s="181"/>
      <c r="AP127" s="181"/>
      <c r="AQ127" s="181"/>
      <c r="AR127" s="181"/>
      <c r="AS127" s="181"/>
      <c r="AT127" s="182"/>
      <c r="AU127" s="181"/>
      <c r="AV127" s="181"/>
      <c r="AW127" s="181"/>
      <c r="AX127" s="181"/>
      <c r="AY127" s="181"/>
      <c r="AZ127" s="182"/>
      <c r="BA127" s="185"/>
      <c r="BB127" s="185"/>
      <c r="BC127" s="185"/>
      <c r="BD127" s="185"/>
      <c r="BE127" s="185"/>
      <c r="BF127" s="186"/>
      <c r="BG127" s="185"/>
      <c r="BH127" s="185"/>
      <c r="BI127" s="185"/>
      <c r="BJ127" s="185"/>
      <c r="BK127" s="185"/>
      <c r="BL127" s="186"/>
      <c r="BM127" s="412"/>
      <c r="BN127" s="412"/>
    </row>
    <row r="128" spans="1:66" s="49" customFormat="1" x14ac:dyDescent="0.2">
      <c r="A128" s="61"/>
      <c r="B128" s="60">
        <f t="shared" si="127"/>
        <v>41824</v>
      </c>
      <c r="C128" s="22">
        <f t="shared" si="167"/>
        <v>5</v>
      </c>
      <c r="D128" s="23">
        <f>GETPIVOTDATA("Active time (min)",EffortRPMPivot!$A$4,"date",B128,"Site",2)/60</f>
        <v>9.7833333333333332</v>
      </c>
      <c r="E128" s="24">
        <f>F128+G128+GETPIVOTDATA("Sum of CNlgNo",SalmonPivot!$A$4,"Date",B128,"Site",2)</f>
        <v>1</v>
      </c>
      <c r="F128" s="24">
        <f>GETPIVOTDATA("Sum of CNlgrad",SalmonPivot!$A$4,"date",B128,"Site",2)</f>
        <v>1</v>
      </c>
      <c r="G128" s="24">
        <f>GETPIVOTDATA("Sum of CNlgrecap",SalmonPivot!$A$4,"date",B128,"Site",2)</f>
        <v>0</v>
      </c>
      <c r="H128" s="24">
        <f>I128+J128+GETPIVOTDATA("Sum of CNsmno",SalmonPivot!$M$4,"Date",B128,"Site",2)</f>
        <v>0</v>
      </c>
      <c r="I128" s="24">
        <f>GETPIVOTDATA("Sum of CNsmradio",SalmonPivot!$M$4,"Date",B128,"Site",2)</f>
        <v>0</v>
      </c>
      <c r="J128" s="24">
        <f>GETPIVOTDATA("Sum of CNsmrecap",SalmonPivot!$M$4,"Date",B128,"Site",2)</f>
        <v>0</v>
      </c>
      <c r="K128" s="24">
        <f>L128+GETPIVOTDATA("Sum of SOno",SalmonPivot!$Y$4,"Date",B128,"Site",2)+GETPIVOTDATA("Sum of SOrecap",SalmonPivot!$Y$4,"Date",B128,"Site",2)</f>
        <v>0</v>
      </c>
      <c r="L128" s="24">
        <f>GETPIVOTDATA("Sum of SOrad",SalmonPivot!$Y$4,"Date",B128,"Site",2)</f>
        <v>0</v>
      </c>
      <c r="M128" s="24">
        <f>N128+GETPIVOTDATA("Sum of PKno",SalmonPivot!$AK$4,"Date",B128,"Site",2)+GETPIVOTDATA("Sum of PKrecap",SalmonPivot!$AK$4,"Date",B128,"Site",2)</f>
        <v>0</v>
      </c>
      <c r="N128" s="24">
        <f>GETPIVOTDATA("Sum of PKrad",SalmonPivot!$AK$4,"Date",B128,"Site",2)</f>
        <v>0</v>
      </c>
      <c r="O128" s="24">
        <f>P128+GETPIVOTDATA("Sum of CMno",SalmonPivot!$AW$4,"Date",B128,"Site",2)+GETPIVOTDATA("Sum of CMrecap",SalmonPivot!$AW$4,"Date",B128,"Site",2)</f>
        <v>0</v>
      </c>
      <c r="P128" s="24">
        <f>GETPIVOTDATA("Sum of CMrad",SalmonPivot!$AW$4,"Date",B128,"Site",2)</f>
        <v>0</v>
      </c>
      <c r="Q128" s="25">
        <f>R128+GETPIVOTDATA("Sum of COno",SalmonPivot!$BI$4,"Date",B128,"Site",2)+GETPIVOTDATA("Sum of COrecap",SalmonPivot!$BI$4,"Date",B128,"Site",2)</f>
        <v>0</v>
      </c>
      <c r="R128" s="24">
        <f>GETPIVOTDATA("Sum of COrad",SalmonPivot!$BI$4,"Date",B128,"Site",2)</f>
        <v>0</v>
      </c>
      <c r="S128" s="24">
        <f>GETPIVOTDATA("Sum of TotalOther",OtherPivot!$J$5,"Date",B128,"Site",2)</f>
        <v>1</v>
      </c>
      <c r="T128" s="38"/>
      <c r="U128" s="172">
        <f>IF(GETPIVOTDATA("3 Revs (s)",EffortRPMPivot!$L$4,"Date",$B128,"Site",2)=0,"",GETPIVOTDATA("3 revs (s)",EffortRPMPivot!$L$4,"date",$B128,"Site",2))</f>
        <v>36</v>
      </c>
      <c r="V128" s="173">
        <f t="shared" si="168"/>
        <v>0.10221465076660988</v>
      </c>
      <c r="W128" s="173">
        <f t="shared" si="162"/>
        <v>0</v>
      </c>
      <c r="X128" s="173">
        <f t="shared" si="163"/>
        <v>0</v>
      </c>
      <c r="Y128" s="173">
        <f t="shared" si="164"/>
        <v>0</v>
      </c>
      <c r="Z128" s="173">
        <f t="shared" si="165"/>
        <v>0</v>
      </c>
      <c r="AA128" s="174">
        <f t="shared" si="166"/>
        <v>0</v>
      </c>
      <c r="AB128" s="181"/>
      <c r="AC128" s="181"/>
      <c r="AD128" s="181"/>
      <c r="AE128" s="181"/>
      <c r="AF128" s="181"/>
      <c r="AG128" s="181"/>
      <c r="AH128" s="182"/>
      <c r="AI128" s="181"/>
      <c r="AJ128" s="181"/>
      <c r="AK128" s="181"/>
      <c r="AL128" s="181"/>
      <c r="AM128" s="181"/>
      <c r="AN128" s="182"/>
      <c r="AO128" s="181"/>
      <c r="AP128" s="181"/>
      <c r="AQ128" s="181"/>
      <c r="AR128" s="181"/>
      <c r="AS128" s="181"/>
      <c r="AT128" s="182"/>
      <c r="AU128" s="181"/>
      <c r="AV128" s="181"/>
      <c r="AW128" s="181"/>
      <c r="AX128" s="181"/>
      <c r="AY128" s="181"/>
      <c r="AZ128" s="182"/>
      <c r="BA128" s="185"/>
      <c r="BB128" s="185"/>
      <c r="BC128" s="185"/>
      <c r="BD128" s="185"/>
      <c r="BE128" s="185"/>
      <c r="BF128" s="186"/>
      <c r="BG128" s="185"/>
      <c r="BH128" s="185"/>
      <c r="BI128" s="185"/>
      <c r="BJ128" s="185"/>
      <c r="BK128" s="185"/>
      <c r="BL128" s="186"/>
      <c r="BM128" s="412"/>
      <c r="BN128" s="412"/>
    </row>
    <row r="129" spans="1:66" s="49" customFormat="1" x14ac:dyDescent="0.2">
      <c r="A129" s="61"/>
      <c r="B129" s="60">
        <f t="shared" si="127"/>
        <v>41825</v>
      </c>
      <c r="C129" s="22">
        <f t="shared" si="167"/>
        <v>5.1428571428571423</v>
      </c>
      <c r="D129" s="23">
        <f>GETPIVOTDATA("Active time (min)",EffortRPMPivot!$A$4,"date",B129,"Site",2)/60</f>
        <v>24</v>
      </c>
      <c r="E129" s="24">
        <f>F129+G129+GETPIVOTDATA("Sum of CNlgNo",SalmonPivot!$A$4,"Date",B129,"Site",2)</f>
        <v>11</v>
      </c>
      <c r="F129" s="24">
        <f>GETPIVOTDATA("Sum of CNlgrad",SalmonPivot!$A$4,"date",B129,"Site",2)</f>
        <v>11</v>
      </c>
      <c r="G129" s="24">
        <f>GETPIVOTDATA("Sum of CNlgrecap",SalmonPivot!$A$4,"date",B129,"Site",2)</f>
        <v>0</v>
      </c>
      <c r="H129" s="24">
        <f>I129+J129+GETPIVOTDATA("Sum of CNsmno",SalmonPivot!$M$4,"Date",B129,"Site",2)</f>
        <v>3</v>
      </c>
      <c r="I129" s="24">
        <f>GETPIVOTDATA("Sum of CNsmradio",SalmonPivot!$M$4,"Date",B129,"Site",2)</f>
        <v>1</v>
      </c>
      <c r="J129" s="24">
        <f>GETPIVOTDATA("Sum of CNsmrecap",SalmonPivot!$M$4,"Date",B129,"Site",2)</f>
        <v>0</v>
      </c>
      <c r="K129" s="24">
        <f>L129+GETPIVOTDATA("Sum of SOno",SalmonPivot!$Y$4,"Date",B129,"Site",2)+GETPIVOTDATA("Sum of SOrecap",SalmonPivot!$Y$4,"Date",B129,"Site",2)</f>
        <v>0</v>
      </c>
      <c r="L129" s="24">
        <f>GETPIVOTDATA("Sum of SOrad",SalmonPivot!$Y$4,"Date",B129,"Site",2)</f>
        <v>0</v>
      </c>
      <c r="M129" s="24">
        <f>N129+GETPIVOTDATA("Sum of PKno",SalmonPivot!$AK$4,"Date",B129,"Site",2)+GETPIVOTDATA("Sum of PKrecap",SalmonPivot!$AK$4,"Date",B129,"Site",2)</f>
        <v>0</v>
      </c>
      <c r="N129" s="24">
        <f>GETPIVOTDATA("Sum of PKrad",SalmonPivot!$AK$4,"Date",B129,"Site",2)</f>
        <v>0</v>
      </c>
      <c r="O129" s="24">
        <f>P129+GETPIVOTDATA("Sum of CMno",SalmonPivot!$AW$4,"Date",B129,"Site",2)+GETPIVOTDATA("Sum of CMrecap",SalmonPivot!$AW$4,"Date",B129,"Site",2)</f>
        <v>0</v>
      </c>
      <c r="P129" s="24">
        <f>GETPIVOTDATA("Sum of CMrad",SalmonPivot!$AW$4,"Date",B129,"Site",2)</f>
        <v>0</v>
      </c>
      <c r="Q129" s="25">
        <f>R129+GETPIVOTDATA("Sum of COno",SalmonPivot!$BI$4,"Date",B129,"Site",2)+GETPIVOTDATA("Sum of COrecap",SalmonPivot!$BI$4,"Date",B129,"Site",2)</f>
        <v>0</v>
      </c>
      <c r="R129" s="24">
        <f>GETPIVOTDATA("Sum of COrad",SalmonPivot!$BI$4,"Date",B129,"Site",2)</f>
        <v>0</v>
      </c>
      <c r="S129" s="24">
        <f>GETPIVOTDATA("Sum of TotalOther",OtherPivot!$J$5,"Date",B129,"Site",2)</f>
        <v>2</v>
      </c>
      <c r="T129" s="38"/>
      <c r="U129" s="172">
        <f>IF(GETPIVOTDATA("3 Revs (s)",EffortRPMPivot!$L$4,"Date",$B129,"Site",2)=0,"",GETPIVOTDATA("3 revs (s)",EffortRPMPivot!$L$4,"date",$B129,"Site",2))</f>
        <v>35</v>
      </c>
      <c r="V129" s="173">
        <f t="shared" si="168"/>
        <v>0.45833333333333331</v>
      </c>
      <c r="W129" s="173">
        <f t="shared" si="162"/>
        <v>0.125</v>
      </c>
      <c r="X129" s="173">
        <f t="shared" si="163"/>
        <v>0</v>
      </c>
      <c r="Y129" s="173">
        <f t="shared" si="164"/>
        <v>0</v>
      </c>
      <c r="Z129" s="173">
        <f t="shared" si="165"/>
        <v>0</v>
      </c>
      <c r="AA129" s="174">
        <f t="shared" si="166"/>
        <v>0</v>
      </c>
      <c r="AB129" s="181"/>
      <c r="AC129" s="181"/>
      <c r="AD129" s="181"/>
      <c r="AE129" s="181"/>
      <c r="AF129" s="181"/>
      <c r="AG129" s="181"/>
      <c r="AH129" s="182"/>
      <c r="AI129" s="181"/>
      <c r="AJ129" s="181"/>
      <c r="AK129" s="181"/>
      <c r="AL129" s="181"/>
      <c r="AM129" s="181"/>
      <c r="AN129" s="182"/>
      <c r="AO129" s="181"/>
      <c r="AP129" s="181"/>
      <c r="AQ129" s="181"/>
      <c r="AR129" s="181"/>
      <c r="AS129" s="181"/>
      <c r="AT129" s="182"/>
      <c r="AU129" s="181"/>
      <c r="AV129" s="181"/>
      <c r="AW129" s="181"/>
      <c r="AX129" s="181"/>
      <c r="AY129" s="181"/>
      <c r="AZ129" s="182"/>
      <c r="BA129" s="185"/>
      <c r="BB129" s="185"/>
      <c r="BC129" s="185"/>
      <c r="BD129" s="185"/>
      <c r="BE129" s="185"/>
      <c r="BF129" s="186"/>
      <c r="BG129" s="185"/>
      <c r="BH129" s="185"/>
      <c r="BI129" s="185"/>
      <c r="BJ129" s="185"/>
      <c r="BK129" s="185"/>
      <c r="BL129" s="186"/>
      <c r="BM129" s="412"/>
      <c r="BN129" s="412"/>
    </row>
    <row r="130" spans="1:66" s="49" customFormat="1" x14ac:dyDescent="0.2">
      <c r="A130" s="61"/>
      <c r="B130" s="60">
        <f t="shared" si="127"/>
        <v>41826</v>
      </c>
      <c r="C130" s="22">
        <f t="shared" si="167"/>
        <v>5.1428571428571423</v>
      </c>
      <c r="D130" s="23">
        <f>GETPIVOTDATA("Active time (min)",EffortRPMPivot!$A$4,"date",B130,"Site",2)/60</f>
        <v>24.000000000000004</v>
      </c>
      <c r="E130" s="24">
        <f>F130+G130+GETPIVOTDATA("Sum of CNlgNo",SalmonPivot!$A$4,"Date",B130,"Site",2)</f>
        <v>5</v>
      </c>
      <c r="F130" s="24">
        <f>GETPIVOTDATA("Sum of CNlgrad",SalmonPivot!$A$4,"date",B130,"Site",2)</f>
        <v>5</v>
      </c>
      <c r="G130" s="24">
        <f>GETPIVOTDATA("Sum of CNlgrecap",SalmonPivot!$A$4,"date",B130,"Site",2)</f>
        <v>0</v>
      </c>
      <c r="H130" s="24">
        <f>I130+J130+GETPIVOTDATA("Sum of CNsmno",SalmonPivot!$M$4,"Date",B130,"Site",2)</f>
        <v>0</v>
      </c>
      <c r="I130" s="24">
        <f>GETPIVOTDATA("Sum of CNsmradio",SalmonPivot!$M$4,"Date",B130,"Site",2)</f>
        <v>0</v>
      </c>
      <c r="J130" s="24">
        <f>GETPIVOTDATA("Sum of CNsmrecap",SalmonPivot!$M$4,"Date",B130,"Site",2)</f>
        <v>0</v>
      </c>
      <c r="K130" s="24">
        <f>L130+GETPIVOTDATA("Sum of SOno",SalmonPivot!$Y$4,"Date",B130,"Site",2)+GETPIVOTDATA("Sum of SOrecap",SalmonPivot!$Y$4,"Date",B130,"Site",2)</f>
        <v>1</v>
      </c>
      <c r="L130" s="24">
        <f>GETPIVOTDATA("Sum of SOrad",SalmonPivot!$Y$4,"Date",B130,"Site",2)</f>
        <v>1</v>
      </c>
      <c r="M130" s="24">
        <f>N130+GETPIVOTDATA("Sum of PKno",SalmonPivot!$AK$4,"Date",B130,"Site",2)+GETPIVOTDATA("Sum of PKrecap",SalmonPivot!$AK$4,"Date",B130,"Site",2)</f>
        <v>0</v>
      </c>
      <c r="N130" s="24">
        <f>GETPIVOTDATA("Sum of PKrad",SalmonPivot!$AK$4,"Date",B130,"Site",2)</f>
        <v>0</v>
      </c>
      <c r="O130" s="24">
        <f>P130+GETPIVOTDATA("Sum of CMno",SalmonPivot!$AW$4,"Date",B130,"Site",2)+GETPIVOTDATA("Sum of CMrecap",SalmonPivot!$AW$4,"Date",B130,"Site",2)</f>
        <v>0</v>
      </c>
      <c r="P130" s="24">
        <f>GETPIVOTDATA("Sum of CMrad",SalmonPivot!$AW$4,"Date",B130,"Site",2)</f>
        <v>0</v>
      </c>
      <c r="Q130" s="25">
        <f>R130+GETPIVOTDATA("Sum of COno",SalmonPivot!$BI$4,"Date",B130,"Site",2)+GETPIVOTDATA("Sum of COrecap",SalmonPivot!$BI$4,"Date",B130,"Site",2)</f>
        <v>0</v>
      </c>
      <c r="R130" s="24">
        <f>GETPIVOTDATA("Sum of COrad",SalmonPivot!$BI$4,"Date",B130,"Site",2)</f>
        <v>0</v>
      </c>
      <c r="S130" s="24">
        <f>GETPIVOTDATA("Sum of TotalOther",OtherPivot!$J$5,"Date",B130,"Site",2)</f>
        <v>0</v>
      </c>
      <c r="T130" s="38"/>
      <c r="U130" s="172">
        <f>IF(GETPIVOTDATA("3 Revs (s)",EffortRPMPivot!$L$4,"Date",$B130,"Site",2)=0,"",GETPIVOTDATA("3 revs (s)",EffortRPMPivot!$L$4,"date",$B130,"Site",2))</f>
        <v>35</v>
      </c>
      <c r="V130" s="173">
        <f t="shared" si="168"/>
        <v>0.20833333333333331</v>
      </c>
      <c r="W130" s="173">
        <f t="shared" si="162"/>
        <v>0</v>
      </c>
      <c r="X130" s="173">
        <f t="shared" si="163"/>
        <v>4.1666666666666657E-2</v>
      </c>
      <c r="Y130" s="173">
        <f t="shared" si="164"/>
        <v>0</v>
      </c>
      <c r="Z130" s="173">
        <f t="shared" si="165"/>
        <v>0</v>
      </c>
      <c r="AA130" s="174">
        <f t="shared" si="166"/>
        <v>0</v>
      </c>
      <c r="AB130" s="181"/>
      <c r="AC130" s="181"/>
      <c r="AD130" s="181"/>
      <c r="AE130" s="181"/>
      <c r="AF130" s="181"/>
      <c r="AG130" s="181"/>
      <c r="AH130" s="182"/>
      <c r="AI130" s="181"/>
      <c r="AJ130" s="181"/>
      <c r="AK130" s="181"/>
      <c r="AL130" s="181"/>
      <c r="AM130" s="181"/>
      <c r="AN130" s="182"/>
      <c r="AO130" s="181"/>
      <c r="AP130" s="181"/>
      <c r="AQ130" s="181"/>
      <c r="AR130" s="181"/>
      <c r="AS130" s="181"/>
      <c r="AT130" s="182"/>
      <c r="AU130" s="181"/>
      <c r="AV130" s="181"/>
      <c r="AW130" s="181"/>
      <c r="AX130" s="181"/>
      <c r="AY130" s="181"/>
      <c r="AZ130" s="182"/>
      <c r="BA130" s="185"/>
      <c r="BB130" s="185"/>
      <c r="BC130" s="185"/>
      <c r="BD130" s="185"/>
      <c r="BE130" s="185"/>
      <c r="BF130" s="186"/>
      <c r="BG130" s="185"/>
      <c r="BH130" s="185"/>
      <c r="BI130" s="185"/>
      <c r="BJ130" s="185"/>
      <c r="BK130" s="185"/>
      <c r="BL130" s="186"/>
      <c r="BM130" s="412"/>
      <c r="BN130" s="412"/>
    </row>
    <row r="131" spans="1:66" s="49" customFormat="1" x14ac:dyDescent="0.2">
      <c r="A131" s="61"/>
      <c r="B131" s="60">
        <f t="shared" si="127"/>
        <v>41827</v>
      </c>
      <c r="C131" s="22">
        <f t="shared" ref="C131" si="169">IF(ISERROR(3/(U131/60)),"",3/(U131/60))</f>
        <v>5.6692913385826769</v>
      </c>
      <c r="D131" s="23">
        <f>GETPIVOTDATA("Active time (min)",EffortRPMPivot!$A$4,"date",B131,"Site",2)/60</f>
        <v>24</v>
      </c>
      <c r="E131" s="24">
        <f>F131+G131+GETPIVOTDATA("Sum of CNlgNo",SalmonPivot!$A$4,"Date",B131,"Site",2)</f>
        <v>5</v>
      </c>
      <c r="F131" s="24">
        <f>GETPIVOTDATA("Sum of CNlgrad",SalmonPivot!$A$4,"date",B131,"Site",2)</f>
        <v>5</v>
      </c>
      <c r="G131" s="24">
        <f>GETPIVOTDATA("Sum of CNlgrecap",SalmonPivot!$A$4,"date",B131,"Site",2)</f>
        <v>0</v>
      </c>
      <c r="H131" s="24">
        <f>I131+J131+GETPIVOTDATA("Sum of CNsmno",SalmonPivot!$M$4,"Date",B131,"Site",2)</f>
        <v>0</v>
      </c>
      <c r="I131" s="24">
        <f>GETPIVOTDATA("Sum of CNsmradio",SalmonPivot!$M$4,"Date",B131,"Site",2)</f>
        <v>0</v>
      </c>
      <c r="J131" s="24">
        <f>GETPIVOTDATA("Sum of CNsmrecap",SalmonPivot!$M$4,"Date",B131,"Site",2)</f>
        <v>0</v>
      </c>
      <c r="K131" s="24">
        <f>L131+GETPIVOTDATA("Sum of SOno",SalmonPivot!$Y$4,"Date",B131,"Site",2)+GETPIVOTDATA("Sum of SOrecap",SalmonPivot!$Y$4,"Date",B131,"Site",2)</f>
        <v>1</v>
      </c>
      <c r="L131" s="24">
        <f>GETPIVOTDATA("Sum of SOrad",SalmonPivot!$Y$4,"Date",B131,"Site",2)</f>
        <v>1</v>
      </c>
      <c r="M131" s="24">
        <f>N131+GETPIVOTDATA("Sum of PKno",SalmonPivot!$AK$4,"Date",B131,"Site",2)+GETPIVOTDATA("Sum of PKrecap",SalmonPivot!$AK$4,"Date",B131,"Site",2)</f>
        <v>0</v>
      </c>
      <c r="N131" s="24">
        <f>GETPIVOTDATA("Sum of PKrad",SalmonPivot!$AK$4,"Date",B131,"Site",2)</f>
        <v>0</v>
      </c>
      <c r="O131" s="24">
        <f>P131+GETPIVOTDATA("Sum of CMno",SalmonPivot!$AW$4,"Date",B131,"Site",2)+GETPIVOTDATA("Sum of CMrecap",SalmonPivot!$AW$4,"Date",B131,"Site",2)</f>
        <v>0</v>
      </c>
      <c r="P131" s="24">
        <f>GETPIVOTDATA("Sum of CMrad",SalmonPivot!$AW$4,"Date",B131,"Site",2)</f>
        <v>0</v>
      </c>
      <c r="Q131" s="25">
        <f>R131+GETPIVOTDATA("Sum of COno",SalmonPivot!$BI$4,"Date",B131,"Site",2)+GETPIVOTDATA("Sum of COrecap",SalmonPivot!$BI$4,"Date",B131,"Site",2)</f>
        <v>0</v>
      </c>
      <c r="R131" s="24">
        <f>GETPIVOTDATA("Sum of COrad",SalmonPivot!$BI$4,"Date",B131,"Site",2)</f>
        <v>0</v>
      </c>
      <c r="S131" s="24">
        <f>GETPIVOTDATA("Sum of TotalOther",OtherPivot!$J$5,"Date",B131,"Site",2)</f>
        <v>1</v>
      </c>
      <c r="T131" s="38"/>
      <c r="U131" s="172">
        <f>IF(GETPIVOTDATA("3 Revs (s)",EffortRPMPivot!$L$4,"Date",$B131,"Site",2)=0,"",GETPIVOTDATA("3 revs (s)",EffortRPMPivot!$L$4,"date",$B131,"Site",2))</f>
        <v>31.75</v>
      </c>
      <c r="V131" s="173">
        <f t="shared" ref="V131" si="170">IF(D131=0,"",E131/D131)</f>
        <v>0.20833333333333334</v>
      </c>
      <c r="W131" s="173">
        <f t="shared" ref="W131" si="171">IF(D131=0,"",H131/D131)</f>
        <v>0</v>
      </c>
      <c r="X131" s="173">
        <f t="shared" ref="X131" si="172">IF(D131=0,"",K131/$D131)</f>
        <v>4.1666666666666664E-2</v>
      </c>
      <c r="Y131" s="173">
        <f t="shared" ref="Y131" si="173">IF(D131=0,"",M131/$D131)</f>
        <v>0</v>
      </c>
      <c r="Z131" s="173">
        <f t="shared" ref="Z131" si="174">IF(D131=0,"",O131/$D131)</f>
        <v>0</v>
      </c>
      <c r="AA131" s="174">
        <f t="shared" ref="AA131" si="175">IF(D131=0,"",Q131/$D131)</f>
        <v>0</v>
      </c>
      <c r="AB131" s="181"/>
      <c r="AC131" s="181"/>
      <c r="AD131" s="181"/>
      <c r="AE131" s="181"/>
      <c r="AF131" s="181"/>
      <c r="AG131" s="181"/>
      <c r="AH131" s="182"/>
      <c r="AI131" s="181"/>
      <c r="AJ131" s="181"/>
      <c r="AK131" s="181"/>
      <c r="AL131" s="181"/>
      <c r="AM131" s="181"/>
      <c r="AN131" s="182"/>
      <c r="AO131" s="181"/>
      <c r="AP131" s="181"/>
      <c r="AQ131" s="181"/>
      <c r="AR131" s="181"/>
      <c r="AS131" s="181"/>
      <c r="AT131" s="182"/>
      <c r="AU131" s="181"/>
      <c r="AV131" s="181"/>
      <c r="AW131" s="181"/>
      <c r="AX131" s="181"/>
      <c r="AY131" s="181"/>
      <c r="AZ131" s="182"/>
      <c r="BA131" s="185"/>
      <c r="BB131" s="185"/>
      <c r="BC131" s="185"/>
      <c r="BD131" s="185"/>
      <c r="BE131" s="185"/>
      <c r="BF131" s="186"/>
      <c r="BG131" s="185"/>
      <c r="BH131" s="185"/>
      <c r="BI131" s="185"/>
      <c r="BJ131" s="185"/>
      <c r="BK131" s="185"/>
      <c r="BL131" s="186"/>
      <c r="BM131" s="412"/>
      <c r="BN131" s="412"/>
    </row>
    <row r="132" spans="1:66" s="49" customFormat="1" x14ac:dyDescent="0.2">
      <c r="A132" s="61"/>
      <c r="B132" s="60">
        <f t="shared" si="127"/>
        <v>41828</v>
      </c>
      <c r="C132" s="22">
        <f t="shared" ref="C132" si="176">IF(ISERROR(3/(U132/60)),"",3/(U132/60))</f>
        <v>5.7142857142857144</v>
      </c>
      <c r="D132" s="23">
        <f>GETPIVOTDATA("Active time (min)",EffortRPMPivot!$A$4,"date",B132,"Site",2)/60</f>
        <v>23.916666666666668</v>
      </c>
      <c r="E132" s="24">
        <f>F132+G132+GETPIVOTDATA("Sum of CNlgNo",SalmonPivot!$A$4,"Date",B132,"Site",2)</f>
        <v>3</v>
      </c>
      <c r="F132" s="24">
        <f>GETPIVOTDATA("Sum of CNlgrad",SalmonPivot!$A$4,"date",B132,"Site",2)</f>
        <v>3</v>
      </c>
      <c r="G132" s="24">
        <f>GETPIVOTDATA("Sum of CNlgrecap",SalmonPivot!$A$4,"date",B132,"Site",2)</f>
        <v>0</v>
      </c>
      <c r="H132" s="24">
        <f>I132+J132+GETPIVOTDATA("Sum of CNsmno",SalmonPivot!$M$4,"Date",B132,"Site",2)</f>
        <v>0</v>
      </c>
      <c r="I132" s="24">
        <f>GETPIVOTDATA("Sum of CNsmradio",SalmonPivot!$M$4,"Date",B132,"Site",2)</f>
        <v>0</v>
      </c>
      <c r="J132" s="24">
        <f>GETPIVOTDATA("Sum of CNsmrecap",SalmonPivot!$M$4,"Date",B132,"Site",2)</f>
        <v>0</v>
      </c>
      <c r="K132" s="24">
        <f>L132+GETPIVOTDATA("Sum of SOno",SalmonPivot!$Y$4,"Date",B132,"Site",2)+GETPIVOTDATA("Sum of SOrecap",SalmonPivot!$Y$4,"Date",B132,"Site",2)</f>
        <v>0</v>
      </c>
      <c r="L132" s="24">
        <f>GETPIVOTDATA("Sum of SOrad",SalmonPivot!$Y$4,"Date",B132,"Site",2)</f>
        <v>0</v>
      </c>
      <c r="M132" s="24">
        <f>N132+GETPIVOTDATA("Sum of PKno",SalmonPivot!$AK$4,"Date",B132,"Site",2)+GETPIVOTDATA("Sum of PKrecap",SalmonPivot!$AK$4,"Date",B132,"Site",2)</f>
        <v>0</v>
      </c>
      <c r="N132" s="24">
        <f>GETPIVOTDATA("Sum of PKrad",SalmonPivot!$AK$4,"Date",B132,"Site",2)</f>
        <v>0</v>
      </c>
      <c r="O132" s="24">
        <f>P132+GETPIVOTDATA("Sum of CMno",SalmonPivot!$AW$4,"Date",B132,"Site",2)+GETPIVOTDATA("Sum of CMrecap",SalmonPivot!$AW$4,"Date",B132,"Site",2)</f>
        <v>0</v>
      </c>
      <c r="P132" s="24">
        <f>GETPIVOTDATA("Sum of CMrad",SalmonPivot!$AW$4,"Date",B132,"Site",2)</f>
        <v>0</v>
      </c>
      <c r="Q132" s="25">
        <f>R132+GETPIVOTDATA("Sum of COno",SalmonPivot!$BI$4,"Date",B132,"Site",2)+GETPIVOTDATA("Sum of COrecap",SalmonPivot!$BI$4,"Date",B132,"Site",2)</f>
        <v>0</v>
      </c>
      <c r="R132" s="24">
        <f>GETPIVOTDATA("Sum of COrad",SalmonPivot!$BI$4,"Date",B132,"Site",2)</f>
        <v>0</v>
      </c>
      <c r="S132" s="24">
        <f>GETPIVOTDATA("Sum of TotalOther",OtherPivot!$J$5,"Date",B132,"Site",2)</f>
        <v>1</v>
      </c>
      <c r="T132" s="38"/>
      <c r="U132" s="172">
        <f>IF(GETPIVOTDATA("3 Revs (s)",EffortRPMPivot!$L$4,"Date",$B132,"Site",2)=0,"",GETPIVOTDATA("3 revs (s)",EffortRPMPivot!$L$4,"date",$B132,"Site",2))</f>
        <v>31.5</v>
      </c>
      <c r="V132" s="173">
        <f t="shared" ref="V132" si="177">IF(D132=0,"",E132/D132)</f>
        <v>0.12543554006968641</v>
      </c>
      <c r="W132" s="173">
        <f t="shared" ref="W132" si="178">IF(D132=0,"",H132/D132)</f>
        <v>0</v>
      </c>
      <c r="X132" s="173">
        <f t="shared" ref="X132" si="179">IF(D132=0,"",K132/$D132)</f>
        <v>0</v>
      </c>
      <c r="Y132" s="173">
        <f t="shared" ref="Y132" si="180">IF(D132=0,"",M132/$D132)</f>
        <v>0</v>
      </c>
      <c r="Z132" s="173">
        <f t="shared" ref="Z132" si="181">IF(D132=0,"",O132/$D132)</f>
        <v>0</v>
      </c>
      <c r="AA132" s="174">
        <f t="shared" ref="AA132" si="182">IF(D132=0,"",Q132/$D132)</f>
        <v>0</v>
      </c>
      <c r="AB132" s="181"/>
      <c r="AC132" s="181"/>
      <c r="AD132" s="181"/>
      <c r="AE132" s="181"/>
      <c r="AF132" s="181"/>
      <c r="AG132" s="181"/>
      <c r="AH132" s="182"/>
      <c r="AI132" s="181"/>
      <c r="AJ132" s="181"/>
      <c r="AK132" s="181"/>
      <c r="AL132" s="181"/>
      <c r="AM132" s="181"/>
      <c r="AN132" s="182"/>
      <c r="AO132" s="181"/>
      <c r="AP132" s="181"/>
      <c r="AQ132" s="181"/>
      <c r="AR132" s="181"/>
      <c r="AS132" s="181"/>
      <c r="AT132" s="182"/>
      <c r="AU132" s="181"/>
      <c r="AV132" s="181"/>
      <c r="AW132" s="181"/>
      <c r="AX132" s="181"/>
      <c r="AY132" s="181"/>
      <c r="AZ132" s="182"/>
      <c r="BA132" s="185"/>
      <c r="BB132" s="185"/>
      <c r="BC132" s="185"/>
      <c r="BD132" s="185"/>
      <c r="BE132" s="185"/>
      <c r="BF132" s="186"/>
      <c r="BG132" s="185"/>
      <c r="BH132" s="185"/>
      <c r="BI132" s="185"/>
      <c r="BJ132" s="185"/>
      <c r="BK132" s="185"/>
      <c r="BL132" s="186"/>
      <c r="BM132" s="412"/>
      <c r="BN132" s="412"/>
    </row>
    <row r="133" spans="1:66" s="49" customFormat="1" x14ac:dyDescent="0.2">
      <c r="A133" s="61"/>
      <c r="B133" s="60">
        <f t="shared" si="127"/>
        <v>41829</v>
      </c>
      <c r="C133" s="22">
        <f t="shared" ref="C133:C137" si="183">IF(ISERROR(3/(U133/60)),"",3/(U133/60))</f>
        <v>5.4545454545454541</v>
      </c>
      <c r="D133" s="23">
        <f>GETPIVOTDATA("Active time (min)",EffortRPMPivot!$A$4,"date",B133,"Site",2)/60</f>
        <v>24</v>
      </c>
      <c r="E133" s="24">
        <f>F133+G133+GETPIVOTDATA("Sum of CNlgNo",SalmonPivot!$A$4,"Date",B133,"Site",2)</f>
        <v>2</v>
      </c>
      <c r="F133" s="24">
        <f>GETPIVOTDATA("Sum of CNlgrad",SalmonPivot!$A$4,"date",B133,"Site",2)</f>
        <v>2</v>
      </c>
      <c r="G133" s="24">
        <f>GETPIVOTDATA("Sum of CNlgrecap",SalmonPivot!$A$4,"date",B133,"Site",2)</f>
        <v>0</v>
      </c>
      <c r="H133" s="24">
        <f>I133+J133+GETPIVOTDATA("Sum of CNsmno",SalmonPivot!$M$4,"Date",B133,"Site",2)</f>
        <v>1</v>
      </c>
      <c r="I133" s="24">
        <f>GETPIVOTDATA("Sum of CNsmradio",SalmonPivot!$M$4,"Date",B133,"Site",2)</f>
        <v>0</v>
      </c>
      <c r="J133" s="24">
        <f>GETPIVOTDATA("Sum of CNsmrecap",SalmonPivot!$M$4,"Date",B133,"Site",2)</f>
        <v>0</v>
      </c>
      <c r="K133" s="24">
        <f>L133+GETPIVOTDATA("Sum of SOno",SalmonPivot!$Y$4,"Date",B133,"Site",2)+GETPIVOTDATA("Sum of SOrecap",SalmonPivot!$Y$4,"Date",B133,"Site",2)</f>
        <v>0</v>
      </c>
      <c r="L133" s="24">
        <f>GETPIVOTDATA("Sum of SOrad",SalmonPivot!$Y$4,"Date",B133,"Site",2)</f>
        <v>0</v>
      </c>
      <c r="M133" s="24">
        <f>N133+GETPIVOTDATA("Sum of PKno",SalmonPivot!$AK$4,"Date",B133,"Site",2)+GETPIVOTDATA("Sum of PKrecap",SalmonPivot!$AK$4,"Date",B133,"Site",2)</f>
        <v>0</v>
      </c>
      <c r="N133" s="24">
        <f>GETPIVOTDATA("Sum of PKrad",SalmonPivot!$AK$4,"Date",B133,"Site",2)</f>
        <v>0</v>
      </c>
      <c r="O133" s="24">
        <f>P133+GETPIVOTDATA("Sum of CMno",SalmonPivot!$AW$4,"Date",B133,"Site",2)+GETPIVOTDATA("Sum of CMrecap",SalmonPivot!$AW$4,"Date",B133,"Site",2)</f>
        <v>0</v>
      </c>
      <c r="P133" s="24">
        <f>GETPIVOTDATA("Sum of CMrad",SalmonPivot!$AW$4,"Date",B133,"Site",2)</f>
        <v>0</v>
      </c>
      <c r="Q133" s="25">
        <f>R133+GETPIVOTDATA("Sum of COno",SalmonPivot!$BI$4,"Date",B133,"Site",2)+GETPIVOTDATA("Sum of COrecap",SalmonPivot!$BI$4,"Date",B133,"Site",2)</f>
        <v>0</v>
      </c>
      <c r="R133" s="24">
        <f>GETPIVOTDATA("Sum of COrad",SalmonPivot!$BI$4,"Date",B133,"Site",2)</f>
        <v>0</v>
      </c>
      <c r="S133" s="24">
        <f>GETPIVOTDATA("Sum of TotalOther",OtherPivot!$J$5,"Date",B133,"Site",2)</f>
        <v>0</v>
      </c>
      <c r="T133" s="38"/>
      <c r="U133" s="172">
        <f>IF(GETPIVOTDATA("3 Revs (s)",EffortRPMPivot!$L$4,"Date",$B133,"Site",2)=0,"",GETPIVOTDATA("3 revs (s)",EffortRPMPivot!$L$4,"date",$B133,"Site",2))</f>
        <v>33</v>
      </c>
      <c r="V133" s="173">
        <f t="shared" ref="V133:V137" si="184">IF(D133=0,"",E133/D133)</f>
        <v>8.3333333333333329E-2</v>
      </c>
      <c r="W133" s="173">
        <f t="shared" ref="W133:W137" si="185">IF(D133=0,"",H133/D133)</f>
        <v>4.1666666666666664E-2</v>
      </c>
      <c r="X133" s="173">
        <f t="shared" ref="X133:X137" si="186">IF(D133=0,"",K133/$D133)</f>
        <v>0</v>
      </c>
      <c r="Y133" s="173">
        <f t="shared" ref="Y133:Y137" si="187">IF(D133=0,"",M133/$D133)</f>
        <v>0</v>
      </c>
      <c r="Z133" s="173">
        <f t="shared" ref="Z133:Z137" si="188">IF(D133=0,"",O133/$D133)</f>
        <v>0</v>
      </c>
      <c r="AA133" s="174">
        <f t="shared" ref="AA133:AA137" si="189">IF(D133=0,"",Q133/$D133)</f>
        <v>0</v>
      </c>
      <c r="AB133" s="181"/>
      <c r="AC133" s="181"/>
      <c r="AD133" s="181"/>
      <c r="AE133" s="181"/>
      <c r="AF133" s="181"/>
      <c r="AG133" s="181"/>
      <c r="AH133" s="182"/>
      <c r="AI133" s="181"/>
      <c r="AJ133" s="181"/>
      <c r="AK133" s="181"/>
      <c r="AL133" s="181"/>
      <c r="AM133" s="181"/>
      <c r="AN133" s="182"/>
      <c r="AO133" s="181"/>
      <c r="AP133" s="181"/>
      <c r="AQ133" s="181"/>
      <c r="AR133" s="181"/>
      <c r="AS133" s="181"/>
      <c r="AT133" s="182"/>
      <c r="AU133" s="181"/>
      <c r="AV133" s="181"/>
      <c r="AW133" s="181"/>
      <c r="AX133" s="181"/>
      <c r="AY133" s="181"/>
      <c r="AZ133" s="182"/>
      <c r="BA133" s="185"/>
      <c r="BB133" s="185"/>
      <c r="BC133" s="185"/>
      <c r="BD133" s="185"/>
      <c r="BE133" s="185"/>
      <c r="BF133" s="186"/>
      <c r="BG133" s="185"/>
      <c r="BH133" s="185"/>
      <c r="BI133" s="185"/>
      <c r="BJ133" s="185"/>
      <c r="BK133" s="185"/>
      <c r="BL133" s="186"/>
      <c r="BM133" s="412"/>
      <c r="BN133" s="412"/>
    </row>
    <row r="134" spans="1:66" s="49" customFormat="1" x14ac:dyDescent="0.2">
      <c r="A134" s="61"/>
      <c r="B134" s="60">
        <f t="shared" si="127"/>
        <v>41830</v>
      </c>
      <c r="C134" s="22">
        <f t="shared" si="183"/>
        <v>5.5813953488372094</v>
      </c>
      <c r="D134" s="23">
        <f>GETPIVOTDATA("Active time (min)",EffortRPMPivot!$A$4,"date",B134,"Site",2)/60</f>
        <v>24</v>
      </c>
      <c r="E134" s="24">
        <f>F134+G134+GETPIVOTDATA("Sum of CNlgNo",SalmonPivot!$A$4,"Date",B134,"Site",2)</f>
        <v>2</v>
      </c>
      <c r="F134" s="24">
        <f>GETPIVOTDATA("Sum of CNlgrad",SalmonPivot!$A$4,"date",B134,"Site",2)</f>
        <v>2</v>
      </c>
      <c r="G134" s="24">
        <f>GETPIVOTDATA("Sum of CNlgrecap",SalmonPivot!$A$4,"date",B134,"Site",2)</f>
        <v>0</v>
      </c>
      <c r="H134" s="24">
        <f>I134+J134+GETPIVOTDATA("Sum of CNsmno",SalmonPivot!$M$4,"Date",B134,"Site",2)</f>
        <v>1</v>
      </c>
      <c r="I134" s="24">
        <f>GETPIVOTDATA("Sum of CNsmradio",SalmonPivot!$M$4,"Date",B134,"Site",2)</f>
        <v>0</v>
      </c>
      <c r="J134" s="24">
        <f>GETPIVOTDATA("Sum of CNsmrecap",SalmonPivot!$M$4,"Date",B134,"Site",2)</f>
        <v>0</v>
      </c>
      <c r="K134" s="24">
        <f>L134+GETPIVOTDATA("Sum of SOno",SalmonPivot!$Y$4,"Date",B134,"Site",2)+GETPIVOTDATA("Sum of SOrecap",SalmonPivot!$Y$4,"Date",B134,"Site",2)</f>
        <v>1</v>
      </c>
      <c r="L134" s="24">
        <f>GETPIVOTDATA("Sum of SOrad",SalmonPivot!$Y$4,"Date",B134,"Site",2)</f>
        <v>1</v>
      </c>
      <c r="M134" s="24">
        <f>N134+GETPIVOTDATA("Sum of PKno",SalmonPivot!$AK$4,"Date",B134,"Site",2)+GETPIVOTDATA("Sum of PKrecap",SalmonPivot!$AK$4,"Date",B134,"Site",2)</f>
        <v>0</v>
      </c>
      <c r="N134" s="24">
        <f>GETPIVOTDATA("Sum of PKrad",SalmonPivot!$AK$4,"Date",B134,"Site",2)</f>
        <v>0</v>
      </c>
      <c r="O134" s="24">
        <f>P134+GETPIVOTDATA("Sum of CMno",SalmonPivot!$AW$4,"Date",B134,"Site",2)+GETPIVOTDATA("Sum of CMrecap",SalmonPivot!$AW$4,"Date",B134,"Site",2)</f>
        <v>0</v>
      </c>
      <c r="P134" s="24">
        <f>GETPIVOTDATA("Sum of CMrad",SalmonPivot!$AW$4,"Date",B134,"Site",2)</f>
        <v>0</v>
      </c>
      <c r="Q134" s="25">
        <f>R134+GETPIVOTDATA("Sum of COno",SalmonPivot!$BI$4,"Date",B134,"Site",2)+GETPIVOTDATA("Sum of COrecap",SalmonPivot!$BI$4,"Date",B134,"Site",2)</f>
        <v>0</v>
      </c>
      <c r="R134" s="24">
        <f>GETPIVOTDATA("Sum of COrad",SalmonPivot!$BI$4,"Date",B134,"Site",2)</f>
        <v>0</v>
      </c>
      <c r="S134" s="24">
        <f>GETPIVOTDATA("Sum of TotalOther",OtherPivot!$J$5,"Date",B134,"Site",2)</f>
        <v>0</v>
      </c>
      <c r="T134" s="38"/>
      <c r="U134" s="172">
        <f>IF(GETPIVOTDATA("3 Revs (s)",EffortRPMPivot!$L$4,"Date",$B134,"Site",2)=0,"",GETPIVOTDATA("3 revs (s)",EffortRPMPivot!$L$4,"date",$B134,"Site",2))</f>
        <v>32.25</v>
      </c>
      <c r="V134" s="173">
        <f t="shared" si="184"/>
        <v>8.3333333333333329E-2</v>
      </c>
      <c r="W134" s="173">
        <f t="shared" si="185"/>
        <v>4.1666666666666664E-2</v>
      </c>
      <c r="X134" s="173">
        <f t="shared" si="186"/>
        <v>4.1666666666666664E-2</v>
      </c>
      <c r="Y134" s="173">
        <f t="shared" si="187"/>
        <v>0</v>
      </c>
      <c r="Z134" s="173">
        <f t="shared" si="188"/>
        <v>0</v>
      </c>
      <c r="AA134" s="174">
        <f t="shared" si="189"/>
        <v>0</v>
      </c>
      <c r="AB134" s="181"/>
      <c r="AC134" s="181"/>
      <c r="AD134" s="181"/>
      <c r="AE134" s="181"/>
      <c r="AF134" s="181"/>
      <c r="AG134" s="181"/>
      <c r="AH134" s="182"/>
      <c r="AI134" s="181"/>
      <c r="AJ134" s="181"/>
      <c r="AK134" s="181"/>
      <c r="AL134" s="181"/>
      <c r="AM134" s="181"/>
      <c r="AN134" s="182"/>
      <c r="AO134" s="181"/>
      <c r="AP134" s="181"/>
      <c r="AQ134" s="181"/>
      <c r="AR134" s="181"/>
      <c r="AS134" s="181"/>
      <c r="AT134" s="182"/>
      <c r="AU134" s="181"/>
      <c r="AV134" s="181"/>
      <c r="AW134" s="181"/>
      <c r="AX134" s="181"/>
      <c r="AY134" s="181"/>
      <c r="AZ134" s="182"/>
      <c r="BA134" s="185"/>
      <c r="BB134" s="185"/>
      <c r="BC134" s="185"/>
      <c r="BD134" s="185"/>
      <c r="BE134" s="185"/>
      <c r="BF134" s="186"/>
      <c r="BG134" s="185"/>
      <c r="BH134" s="185"/>
      <c r="BI134" s="185"/>
      <c r="BJ134" s="185"/>
      <c r="BK134" s="185"/>
      <c r="BL134" s="186"/>
      <c r="BM134" s="412"/>
      <c r="BN134" s="412"/>
    </row>
    <row r="135" spans="1:66" s="49" customFormat="1" x14ac:dyDescent="0.2">
      <c r="A135" s="61"/>
      <c r="B135" s="60">
        <f t="shared" si="127"/>
        <v>41831</v>
      </c>
      <c r="C135" s="22">
        <f t="shared" si="183"/>
        <v>5.625</v>
      </c>
      <c r="D135" s="23">
        <f>GETPIVOTDATA("Active time (min)",EffortRPMPivot!$A$4,"date",B135,"Site",2)/60</f>
        <v>24</v>
      </c>
      <c r="E135" s="24">
        <f>F135+G135+GETPIVOTDATA("Sum of CNlgNo",SalmonPivot!$A$4,"Date",B135,"Site",2)</f>
        <v>3</v>
      </c>
      <c r="F135" s="24">
        <f>GETPIVOTDATA("Sum of CNlgrad",SalmonPivot!$A$4,"date",B135,"Site",2)</f>
        <v>3</v>
      </c>
      <c r="G135" s="24">
        <f>GETPIVOTDATA("Sum of CNlgrecap",SalmonPivot!$A$4,"date",B135,"Site",2)</f>
        <v>0</v>
      </c>
      <c r="H135" s="24">
        <f>I135+J135+GETPIVOTDATA("Sum of CNsmno",SalmonPivot!$M$4,"Date",B135,"Site",2)</f>
        <v>0</v>
      </c>
      <c r="I135" s="24">
        <f>GETPIVOTDATA("Sum of CNsmradio",SalmonPivot!$M$4,"Date",B135,"Site",2)</f>
        <v>0</v>
      </c>
      <c r="J135" s="24">
        <f>GETPIVOTDATA("Sum of CNsmrecap",SalmonPivot!$M$4,"Date",B135,"Site",2)</f>
        <v>0</v>
      </c>
      <c r="K135" s="24">
        <f>L135+GETPIVOTDATA("Sum of SOno",SalmonPivot!$Y$4,"Date",B135,"Site",2)+GETPIVOTDATA("Sum of SOrecap",SalmonPivot!$Y$4,"Date",B135,"Site",2)</f>
        <v>1</v>
      </c>
      <c r="L135" s="24">
        <f>GETPIVOTDATA("Sum of SOrad",SalmonPivot!$Y$4,"Date",B135,"Site",2)</f>
        <v>1</v>
      </c>
      <c r="M135" s="24">
        <f>N135+GETPIVOTDATA("Sum of PKno",SalmonPivot!$AK$4,"Date",B135,"Site",2)+GETPIVOTDATA("Sum of PKrecap",SalmonPivot!$AK$4,"Date",B135,"Site",2)</f>
        <v>0</v>
      </c>
      <c r="N135" s="24">
        <f>GETPIVOTDATA("Sum of PKrad",SalmonPivot!$AK$4,"Date",B135,"Site",2)</f>
        <v>0</v>
      </c>
      <c r="O135" s="24">
        <f>P135+GETPIVOTDATA("Sum of CMno",SalmonPivot!$AW$4,"Date",B135,"Site",2)+GETPIVOTDATA("Sum of CMrecap",SalmonPivot!$AW$4,"Date",B135,"Site",2)</f>
        <v>0</v>
      </c>
      <c r="P135" s="24">
        <f>GETPIVOTDATA("Sum of CMrad",SalmonPivot!$AW$4,"Date",B135,"Site",2)</f>
        <v>0</v>
      </c>
      <c r="Q135" s="25">
        <f>R135+GETPIVOTDATA("Sum of COno",SalmonPivot!$BI$4,"Date",B135,"Site",2)+GETPIVOTDATA("Sum of COrecap",SalmonPivot!$BI$4,"Date",B135,"Site",2)</f>
        <v>0</v>
      </c>
      <c r="R135" s="24">
        <f>GETPIVOTDATA("Sum of COrad",SalmonPivot!$BI$4,"Date",B135,"Site",2)</f>
        <v>0</v>
      </c>
      <c r="S135" s="24">
        <f>GETPIVOTDATA("Sum of TotalOther",OtherPivot!$J$5,"Date",B135,"Site",2)</f>
        <v>0</v>
      </c>
      <c r="T135" s="38"/>
      <c r="U135" s="172">
        <f>IF(GETPIVOTDATA("3 Revs (s)",EffortRPMPivot!$L$4,"Date",$B135,"Site",2)=0,"",GETPIVOTDATA("3 revs (s)",EffortRPMPivot!$L$4,"date",$B135,"Site",2))</f>
        <v>32</v>
      </c>
      <c r="V135" s="173">
        <f t="shared" si="184"/>
        <v>0.125</v>
      </c>
      <c r="W135" s="173">
        <f t="shared" si="185"/>
        <v>0</v>
      </c>
      <c r="X135" s="173">
        <f t="shared" si="186"/>
        <v>4.1666666666666664E-2</v>
      </c>
      <c r="Y135" s="173">
        <f t="shared" si="187"/>
        <v>0</v>
      </c>
      <c r="Z135" s="173">
        <f t="shared" si="188"/>
        <v>0</v>
      </c>
      <c r="AA135" s="174">
        <f t="shared" si="189"/>
        <v>0</v>
      </c>
      <c r="AB135" s="181"/>
      <c r="AC135" s="181"/>
      <c r="AD135" s="181"/>
      <c r="AE135" s="181"/>
      <c r="AF135" s="181"/>
      <c r="AG135" s="181"/>
      <c r="AH135" s="182"/>
      <c r="AI135" s="181"/>
      <c r="AJ135" s="181"/>
      <c r="AK135" s="181"/>
      <c r="AL135" s="181"/>
      <c r="AM135" s="181"/>
      <c r="AN135" s="182"/>
      <c r="AO135" s="181"/>
      <c r="AP135" s="181"/>
      <c r="AQ135" s="181"/>
      <c r="AR135" s="181"/>
      <c r="AS135" s="181"/>
      <c r="AT135" s="182"/>
      <c r="AU135" s="181"/>
      <c r="AV135" s="181"/>
      <c r="AW135" s="181"/>
      <c r="AX135" s="181"/>
      <c r="AY135" s="181"/>
      <c r="AZ135" s="182"/>
      <c r="BA135" s="185"/>
      <c r="BB135" s="185"/>
      <c r="BC135" s="185"/>
      <c r="BD135" s="185"/>
      <c r="BE135" s="185"/>
      <c r="BF135" s="186"/>
      <c r="BG135" s="185"/>
      <c r="BH135" s="185"/>
      <c r="BI135" s="185"/>
      <c r="BJ135" s="185"/>
      <c r="BK135" s="185"/>
      <c r="BL135" s="186"/>
      <c r="BM135" s="412"/>
      <c r="BN135" s="412"/>
    </row>
    <row r="136" spans="1:66" s="49" customFormat="1" x14ac:dyDescent="0.2">
      <c r="A136" s="61"/>
      <c r="B136" s="60">
        <f t="shared" si="127"/>
        <v>41832</v>
      </c>
      <c r="C136" s="22">
        <f t="shared" si="183"/>
        <v>5.4135338345864659</v>
      </c>
      <c r="D136" s="23">
        <f>GETPIVOTDATA("Active time (min)",EffortRPMPivot!$A$4,"date",B136,"Site",2)/60</f>
        <v>24</v>
      </c>
      <c r="E136" s="24">
        <f>F136+G136+GETPIVOTDATA("Sum of CNlgNo",SalmonPivot!$A$4,"Date",B136,"Site",2)</f>
        <v>0</v>
      </c>
      <c r="F136" s="24">
        <f>GETPIVOTDATA("Sum of CNlgrad",SalmonPivot!$A$4,"date",B136,"Site",2)</f>
        <v>0</v>
      </c>
      <c r="G136" s="24">
        <f>GETPIVOTDATA("Sum of CNlgrecap",SalmonPivot!$A$4,"date",B136,"Site",2)</f>
        <v>0</v>
      </c>
      <c r="H136" s="24">
        <f>I136+J136+GETPIVOTDATA("Sum of CNsmno",SalmonPivot!$M$4,"Date",B136,"Site",2)</f>
        <v>2</v>
      </c>
      <c r="I136" s="24">
        <f>GETPIVOTDATA("Sum of CNsmradio",SalmonPivot!$M$4,"Date",B136,"Site",2)</f>
        <v>0</v>
      </c>
      <c r="J136" s="24">
        <f>GETPIVOTDATA("Sum of CNsmrecap",SalmonPivot!$M$4,"Date",B136,"Site",2)</f>
        <v>0</v>
      </c>
      <c r="K136" s="24">
        <f>L136+GETPIVOTDATA("Sum of SOno",SalmonPivot!$Y$4,"Date",B136,"Site",2)+GETPIVOTDATA("Sum of SOrecap",SalmonPivot!$Y$4,"Date",B136,"Site",2)</f>
        <v>0</v>
      </c>
      <c r="L136" s="24">
        <f>GETPIVOTDATA("Sum of SOrad",SalmonPivot!$Y$4,"Date",B136,"Site",2)</f>
        <v>0</v>
      </c>
      <c r="M136" s="24">
        <f>N136+GETPIVOTDATA("Sum of PKno",SalmonPivot!$AK$4,"Date",B136,"Site",2)+GETPIVOTDATA("Sum of PKrecap",SalmonPivot!$AK$4,"Date",B136,"Site",2)</f>
        <v>0</v>
      </c>
      <c r="N136" s="24">
        <f>GETPIVOTDATA("Sum of PKrad",SalmonPivot!$AK$4,"Date",B136,"Site",2)</f>
        <v>0</v>
      </c>
      <c r="O136" s="24">
        <f>P136+GETPIVOTDATA("Sum of CMno",SalmonPivot!$AW$4,"Date",B136,"Site",2)+GETPIVOTDATA("Sum of CMrecap",SalmonPivot!$AW$4,"Date",B136,"Site",2)</f>
        <v>0</v>
      </c>
      <c r="P136" s="24">
        <f>GETPIVOTDATA("Sum of CMrad",SalmonPivot!$AW$4,"Date",B136,"Site",2)</f>
        <v>0</v>
      </c>
      <c r="Q136" s="25">
        <f>R136+GETPIVOTDATA("Sum of COno",SalmonPivot!$BI$4,"Date",B136,"Site",2)+GETPIVOTDATA("Sum of COrecap",SalmonPivot!$BI$4,"Date",B136,"Site",2)</f>
        <v>0</v>
      </c>
      <c r="R136" s="24">
        <f>GETPIVOTDATA("Sum of COrad",SalmonPivot!$BI$4,"Date",B136,"Site",2)</f>
        <v>0</v>
      </c>
      <c r="S136" s="24">
        <f>GETPIVOTDATA("Sum of TotalOther",OtherPivot!$J$5,"Date",B136,"Site",2)</f>
        <v>0</v>
      </c>
      <c r="T136" s="38"/>
      <c r="U136" s="172">
        <f>IF(GETPIVOTDATA("3 Revs (s)",EffortRPMPivot!$L$4,"Date",$B136,"Site",2)=0,"",GETPIVOTDATA("3 revs (s)",EffortRPMPivot!$L$4,"date",$B136,"Site",2))</f>
        <v>33.25</v>
      </c>
      <c r="V136" s="173">
        <f t="shared" si="184"/>
        <v>0</v>
      </c>
      <c r="W136" s="173">
        <f t="shared" si="185"/>
        <v>8.3333333333333329E-2</v>
      </c>
      <c r="X136" s="173">
        <f t="shared" si="186"/>
        <v>0</v>
      </c>
      <c r="Y136" s="173">
        <f t="shared" si="187"/>
        <v>0</v>
      </c>
      <c r="Z136" s="173">
        <f t="shared" si="188"/>
        <v>0</v>
      </c>
      <c r="AA136" s="174">
        <f t="shared" si="189"/>
        <v>0</v>
      </c>
      <c r="AB136" s="181"/>
      <c r="AC136" s="181"/>
      <c r="AD136" s="181"/>
      <c r="AE136" s="181"/>
      <c r="AF136" s="181"/>
      <c r="AG136" s="181"/>
      <c r="AH136" s="182"/>
      <c r="AI136" s="181"/>
      <c r="AJ136" s="181"/>
      <c r="AK136" s="181"/>
      <c r="AL136" s="181"/>
      <c r="AM136" s="181"/>
      <c r="AN136" s="182"/>
      <c r="AO136" s="181"/>
      <c r="AP136" s="181"/>
      <c r="AQ136" s="181"/>
      <c r="AR136" s="181"/>
      <c r="AS136" s="181"/>
      <c r="AT136" s="182"/>
      <c r="AU136" s="181"/>
      <c r="AV136" s="181"/>
      <c r="AW136" s="181"/>
      <c r="AX136" s="181"/>
      <c r="AY136" s="181"/>
      <c r="AZ136" s="182"/>
      <c r="BA136" s="185"/>
      <c r="BB136" s="185"/>
      <c r="BC136" s="185"/>
      <c r="BD136" s="185"/>
      <c r="BE136" s="185"/>
      <c r="BF136" s="186"/>
      <c r="BG136" s="185"/>
      <c r="BH136" s="185"/>
      <c r="BI136" s="185"/>
      <c r="BJ136" s="185"/>
      <c r="BK136" s="185"/>
      <c r="BL136" s="186"/>
      <c r="BM136" s="412"/>
      <c r="BN136" s="412"/>
    </row>
    <row r="137" spans="1:66" s="49" customFormat="1" x14ac:dyDescent="0.2">
      <c r="A137" s="61"/>
      <c r="B137" s="60">
        <f t="shared" si="127"/>
        <v>41833</v>
      </c>
      <c r="C137" s="22">
        <f t="shared" si="183"/>
        <v>5.5813953488372094</v>
      </c>
      <c r="D137" s="23">
        <f>GETPIVOTDATA("Active time (min)",EffortRPMPivot!$A$4,"date",B137,"Site",2)/60</f>
        <v>24</v>
      </c>
      <c r="E137" s="24">
        <f>F137+G137+GETPIVOTDATA("Sum of CNlgNo",SalmonPivot!$A$4,"Date",B137,"Site",2)</f>
        <v>3</v>
      </c>
      <c r="F137" s="24">
        <f>GETPIVOTDATA("Sum of CNlgrad",SalmonPivot!$A$4,"date",B137,"Site",2)</f>
        <v>2</v>
      </c>
      <c r="G137" s="24">
        <f>GETPIVOTDATA("Sum of CNlgrecap",SalmonPivot!$A$4,"date",B137,"Site",2)</f>
        <v>1</v>
      </c>
      <c r="H137" s="24">
        <f>I137+J137+GETPIVOTDATA("Sum of CNsmno",SalmonPivot!$M$4,"Date",B137,"Site",2)</f>
        <v>1</v>
      </c>
      <c r="I137" s="24">
        <f>GETPIVOTDATA("Sum of CNsmradio",SalmonPivot!$M$4,"Date",B137,"Site",2)</f>
        <v>0</v>
      </c>
      <c r="J137" s="24">
        <f>GETPIVOTDATA("Sum of CNsmrecap",SalmonPivot!$M$4,"Date",B137,"Site",2)</f>
        <v>0</v>
      </c>
      <c r="K137" s="24">
        <f>L137+GETPIVOTDATA("Sum of SOno",SalmonPivot!$Y$4,"Date",B137,"Site",2)+GETPIVOTDATA("Sum of SOrecap",SalmonPivot!$Y$4,"Date",B137,"Site",2)</f>
        <v>0</v>
      </c>
      <c r="L137" s="24">
        <f>GETPIVOTDATA("Sum of SOrad",SalmonPivot!$Y$4,"Date",B137,"Site",2)</f>
        <v>0</v>
      </c>
      <c r="M137" s="24">
        <f>N137+GETPIVOTDATA("Sum of PKno",SalmonPivot!$AK$4,"Date",B137,"Site",2)+GETPIVOTDATA("Sum of PKrecap",SalmonPivot!$AK$4,"Date",B137,"Site",2)</f>
        <v>0</v>
      </c>
      <c r="N137" s="24">
        <f>GETPIVOTDATA("Sum of PKrad",SalmonPivot!$AK$4,"Date",B137,"Site",2)</f>
        <v>0</v>
      </c>
      <c r="O137" s="24">
        <f>P137+GETPIVOTDATA("Sum of CMno",SalmonPivot!$AW$4,"Date",B137,"Site",2)+GETPIVOTDATA("Sum of CMrecap",SalmonPivot!$AW$4,"Date",B137,"Site",2)</f>
        <v>0</v>
      </c>
      <c r="P137" s="24">
        <f>GETPIVOTDATA("Sum of CMrad",SalmonPivot!$AW$4,"Date",B137,"Site",2)</f>
        <v>0</v>
      </c>
      <c r="Q137" s="25">
        <f>R137+GETPIVOTDATA("Sum of COno",SalmonPivot!$BI$4,"Date",B137,"Site",2)+GETPIVOTDATA("Sum of COrecap",SalmonPivot!$BI$4,"Date",B137,"Site",2)</f>
        <v>0</v>
      </c>
      <c r="R137" s="24">
        <f>GETPIVOTDATA("Sum of COrad",SalmonPivot!$BI$4,"Date",B137,"Site",2)</f>
        <v>0</v>
      </c>
      <c r="S137" s="24">
        <f>GETPIVOTDATA("Sum of TotalOther",OtherPivot!$J$5,"Date",B137,"Site",2)</f>
        <v>0</v>
      </c>
      <c r="T137" s="38"/>
      <c r="U137" s="172">
        <f>IF(GETPIVOTDATA("3 Revs (s)",EffortRPMPivot!$L$4,"Date",$B137,"Site",2)=0,"",GETPIVOTDATA("3 revs (s)",EffortRPMPivot!$L$4,"date",$B137,"Site",2))</f>
        <v>32.25</v>
      </c>
      <c r="V137" s="173">
        <f t="shared" si="184"/>
        <v>0.125</v>
      </c>
      <c r="W137" s="173">
        <f t="shared" si="185"/>
        <v>4.1666666666666664E-2</v>
      </c>
      <c r="X137" s="173">
        <f t="shared" si="186"/>
        <v>0</v>
      </c>
      <c r="Y137" s="173">
        <f t="shared" si="187"/>
        <v>0</v>
      </c>
      <c r="Z137" s="173">
        <f t="shared" si="188"/>
        <v>0</v>
      </c>
      <c r="AA137" s="174">
        <f t="shared" si="189"/>
        <v>0</v>
      </c>
      <c r="AB137" s="181"/>
      <c r="AC137" s="181"/>
      <c r="AD137" s="181"/>
      <c r="AE137" s="181"/>
      <c r="AF137" s="181"/>
      <c r="AG137" s="181"/>
      <c r="AH137" s="182"/>
      <c r="AI137" s="181"/>
      <c r="AJ137" s="181"/>
      <c r="AK137" s="181"/>
      <c r="AL137" s="181"/>
      <c r="AM137" s="181"/>
      <c r="AN137" s="182"/>
      <c r="AO137" s="181"/>
      <c r="AP137" s="181"/>
      <c r="AQ137" s="181"/>
      <c r="AR137" s="181"/>
      <c r="AS137" s="181"/>
      <c r="AT137" s="182"/>
      <c r="AU137" s="181"/>
      <c r="AV137" s="181"/>
      <c r="AW137" s="181"/>
      <c r="AX137" s="181"/>
      <c r="AY137" s="181"/>
      <c r="AZ137" s="182"/>
      <c r="BA137" s="185"/>
      <c r="BB137" s="185"/>
      <c r="BC137" s="185"/>
      <c r="BD137" s="185"/>
      <c r="BE137" s="185"/>
      <c r="BF137" s="186"/>
      <c r="BG137" s="185"/>
      <c r="BH137" s="185"/>
      <c r="BI137" s="185"/>
      <c r="BJ137" s="185"/>
      <c r="BK137" s="185"/>
      <c r="BL137" s="186"/>
      <c r="BM137" s="412"/>
      <c r="BN137" s="412"/>
    </row>
    <row r="138" spans="1:66" s="49" customFormat="1" x14ac:dyDescent="0.2">
      <c r="A138" s="61"/>
      <c r="B138" s="60">
        <f t="shared" si="127"/>
        <v>41834</v>
      </c>
      <c r="C138" s="22">
        <f t="shared" ref="C138:C140" si="190">IF(ISERROR(3/(U138/60)),"",3/(U138/60))</f>
        <v>5.625</v>
      </c>
      <c r="D138" s="23">
        <f>GETPIVOTDATA("Active time (min)",EffortRPMPivot!$A$4,"date",B138,"Site",2)/60</f>
        <v>24</v>
      </c>
      <c r="E138" s="24">
        <f>F138+G138+GETPIVOTDATA("Sum of CNlgNo",SalmonPivot!$A$4,"Date",B138,"Site",2)</f>
        <v>2</v>
      </c>
      <c r="F138" s="24">
        <f>GETPIVOTDATA("Sum of CNlgrad",SalmonPivot!$A$4,"date",B138,"Site",2)</f>
        <v>2</v>
      </c>
      <c r="G138" s="24">
        <f>GETPIVOTDATA("Sum of CNlgrecap",SalmonPivot!$A$4,"date",B138,"Site",2)</f>
        <v>0</v>
      </c>
      <c r="H138" s="24">
        <f>I138+J138+GETPIVOTDATA("Sum of CNsmno",SalmonPivot!$M$4,"Date",B138,"Site",2)</f>
        <v>0</v>
      </c>
      <c r="I138" s="24">
        <f>GETPIVOTDATA("Sum of CNsmradio",SalmonPivot!$M$4,"Date",B138,"Site",2)</f>
        <v>0</v>
      </c>
      <c r="J138" s="24">
        <f>GETPIVOTDATA("Sum of CNsmrecap",SalmonPivot!$M$4,"Date",B138,"Site",2)</f>
        <v>0</v>
      </c>
      <c r="K138" s="24">
        <f>L138+GETPIVOTDATA("Sum of SOno",SalmonPivot!$Y$4,"Date",B138,"Site",2)+GETPIVOTDATA("Sum of SOrecap",SalmonPivot!$Y$4,"Date",B138,"Site",2)</f>
        <v>1</v>
      </c>
      <c r="L138" s="24">
        <f>GETPIVOTDATA("Sum of SOrad",SalmonPivot!$Y$4,"Date",B138,"Site",2)</f>
        <v>1</v>
      </c>
      <c r="M138" s="24">
        <f>N138+GETPIVOTDATA("Sum of PKno",SalmonPivot!$AK$4,"Date",B138,"Site",2)+GETPIVOTDATA("Sum of PKrecap",SalmonPivot!$AK$4,"Date",B138,"Site",2)</f>
        <v>0</v>
      </c>
      <c r="N138" s="24">
        <f>GETPIVOTDATA("Sum of PKrad",SalmonPivot!$AK$4,"Date",B138,"Site",2)</f>
        <v>0</v>
      </c>
      <c r="O138" s="24">
        <f>P138+GETPIVOTDATA("Sum of CMno",SalmonPivot!$AW$4,"Date",B138,"Site",2)+GETPIVOTDATA("Sum of CMrecap",SalmonPivot!$AW$4,"Date",B138,"Site",2)</f>
        <v>0</v>
      </c>
      <c r="P138" s="24">
        <f>GETPIVOTDATA("Sum of CMrad",SalmonPivot!$AW$4,"Date",B138,"Site",2)</f>
        <v>0</v>
      </c>
      <c r="Q138" s="25">
        <f>R138+GETPIVOTDATA("Sum of COno",SalmonPivot!$BI$4,"Date",B138,"Site",2)+GETPIVOTDATA("Sum of COrecap",SalmonPivot!$BI$4,"Date",B138,"Site",2)</f>
        <v>0</v>
      </c>
      <c r="R138" s="24">
        <f>GETPIVOTDATA("Sum of COrad",SalmonPivot!$BI$4,"Date",B138,"Site",2)</f>
        <v>0</v>
      </c>
      <c r="S138" s="24">
        <f>GETPIVOTDATA("Sum of TotalOther",OtherPivot!$J$5,"Date",B138,"Site",2)</f>
        <v>0</v>
      </c>
      <c r="T138" s="38"/>
      <c r="U138" s="172">
        <f>IF(GETPIVOTDATA("3 Revs (s)",EffortRPMPivot!$L$4,"Date",$B138,"Site",2)=0,"",GETPIVOTDATA("3 revs (s)",EffortRPMPivot!$L$4,"date",$B138,"Site",2))</f>
        <v>32</v>
      </c>
      <c r="V138" s="173">
        <f t="shared" ref="V138:V140" si="191">IF(D138=0,"",E138/D138)</f>
        <v>8.3333333333333329E-2</v>
      </c>
      <c r="W138" s="173">
        <f t="shared" ref="W138:W140" si="192">IF(D138=0,"",H138/D138)</f>
        <v>0</v>
      </c>
      <c r="X138" s="173">
        <f t="shared" ref="X138:X140" si="193">IF(D138=0,"",K138/$D138)</f>
        <v>4.1666666666666664E-2</v>
      </c>
      <c r="Y138" s="173">
        <f t="shared" ref="Y138:Y140" si="194">IF(D138=0,"",M138/$D138)</f>
        <v>0</v>
      </c>
      <c r="Z138" s="173">
        <f t="shared" ref="Z138:Z140" si="195">IF(D138=0,"",O138/$D138)</f>
        <v>0</v>
      </c>
      <c r="AA138" s="174">
        <f t="shared" ref="AA138:AA140" si="196">IF(D138=0,"",Q138/$D138)</f>
        <v>0</v>
      </c>
      <c r="AB138" s="181"/>
      <c r="AC138" s="181"/>
      <c r="AD138" s="181"/>
      <c r="AE138" s="181"/>
      <c r="AF138" s="181"/>
      <c r="AG138" s="181"/>
      <c r="AH138" s="182"/>
      <c r="AI138" s="181"/>
      <c r="AJ138" s="181"/>
      <c r="AK138" s="181"/>
      <c r="AL138" s="181"/>
      <c r="AM138" s="181"/>
      <c r="AN138" s="182"/>
      <c r="AO138" s="181"/>
      <c r="AP138" s="181"/>
      <c r="AQ138" s="181"/>
      <c r="AR138" s="181"/>
      <c r="AS138" s="181"/>
      <c r="AT138" s="182"/>
      <c r="AU138" s="181"/>
      <c r="AV138" s="181"/>
      <c r="AW138" s="181"/>
      <c r="AX138" s="181"/>
      <c r="AY138" s="181"/>
      <c r="AZ138" s="182"/>
      <c r="BA138" s="185"/>
      <c r="BB138" s="185"/>
      <c r="BC138" s="185"/>
      <c r="BD138" s="185"/>
      <c r="BE138" s="185"/>
      <c r="BF138" s="186"/>
      <c r="BG138" s="185"/>
      <c r="BH138" s="185"/>
      <c r="BI138" s="185"/>
      <c r="BJ138" s="185"/>
      <c r="BK138" s="185"/>
      <c r="BL138" s="186"/>
      <c r="BM138" s="412"/>
      <c r="BN138" s="412"/>
    </row>
    <row r="139" spans="1:66" s="49" customFormat="1" x14ac:dyDescent="0.2">
      <c r="A139" s="61"/>
      <c r="B139" s="60">
        <f t="shared" si="127"/>
        <v>41835</v>
      </c>
      <c r="C139" s="22">
        <f t="shared" si="190"/>
        <v>5.2173913043478262</v>
      </c>
      <c r="D139" s="23">
        <f>GETPIVOTDATA("Active time (min)",EffortRPMPivot!$A$4,"date",B139,"Site",2)/60</f>
        <v>24</v>
      </c>
      <c r="E139" s="24">
        <f>F139+G139+GETPIVOTDATA("Sum of CNlgNo",SalmonPivot!$A$4,"Date",B139,"Site",2)</f>
        <v>1</v>
      </c>
      <c r="F139" s="24">
        <f>GETPIVOTDATA("Sum of CNlgrad",SalmonPivot!$A$4,"date",B139,"Site",2)</f>
        <v>0</v>
      </c>
      <c r="G139" s="24">
        <f>GETPIVOTDATA("Sum of CNlgrecap",SalmonPivot!$A$4,"date",B139,"Site",2)</f>
        <v>0</v>
      </c>
      <c r="H139" s="24">
        <f>I139+J139+GETPIVOTDATA("Sum of CNsmno",SalmonPivot!$M$4,"Date",B139,"Site",2)</f>
        <v>0</v>
      </c>
      <c r="I139" s="24">
        <f>GETPIVOTDATA("Sum of CNsmradio",SalmonPivot!$M$4,"Date",B139,"Site",2)</f>
        <v>0</v>
      </c>
      <c r="J139" s="24">
        <f>GETPIVOTDATA("Sum of CNsmrecap",SalmonPivot!$M$4,"Date",B139,"Site",2)</f>
        <v>0</v>
      </c>
      <c r="K139" s="24">
        <f>L139+GETPIVOTDATA("Sum of SOno",SalmonPivot!$Y$4,"Date",B139,"Site",2)+GETPIVOTDATA("Sum of SOrecap",SalmonPivot!$Y$4,"Date",B139,"Site",2)</f>
        <v>5</v>
      </c>
      <c r="L139" s="24">
        <f>GETPIVOTDATA("Sum of SOrad",SalmonPivot!$Y$4,"Date",B139,"Site",2)</f>
        <v>5</v>
      </c>
      <c r="M139" s="24">
        <f>N139+GETPIVOTDATA("Sum of PKno",SalmonPivot!$AK$4,"Date",B139,"Site",2)+GETPIVOTDATA("Sum of PKrecap",SalmonPivot!$AK$4,"Date",B139,"Site",2)</f>
        <v>0</v>
      </c>
      <c r="N139" s="24">
        <f>GETPIVOTDATA("Sum of PKrad",SalmonPivot!$AK$4,"Date",B139,"Site",2)</f>
        <v>0</v>
      </c>
      <c r="O139" s="24">
        <f>P139+GETPIVOTDATA("Sum of CMno",SalmonPivot!$AW$4,"Date",B139,"Site",2)+GETPIVOTDATA("Sum of CMrecap",SalmonPivot!$AW$4,"Date",B139,"Site",2)</f>
        <v>0</v>
      </c>
      <c r="P139" s="24">
        <f>GETPIVOTDATA("Sum of CMrad",SalmonPivot!$AW$4,"Date",B139,"Site",2)</f>
        <v>0</v>
      </c>
      <c r="Q139" s="25">
        <f>R139+GETPIVOTDATA("Sum of COno",SalmonPivot!$BI$4,"Date",B139,"Site",2)+GETPIVOTDATA("Sum of COrecap",SalmonPivot!$BI$4,"Date",B139,"Site",2)</f>
        <v>0</v>
      </c>
      <c r="R139" s="24">
        <f>GETPIVOTDATA("Sum of COrad",SalmonPivot!$BI$4,"Date",B139,"Site",2)</f>
        <v>0</v>
      </c>
      <c r="S139" s="24">
        <f>GETPIVOTDATA("Sum of TotalOther",OtherPivot!$J$5,"Date",B139,"Site",2)</f>
        <v>0</v>
      </c>
      <c r="T139" s="38"/>
      <c r="U139" s="172">
        <f>IF(GETPIVOTDATA("3 Revs (s)",EffortRPMPivot!$L$4,"Date",$B139,"Site",2)=0,"",GETPIVOTDATA("3 revs (s)",EffortRPMPivot!$L$4,"date",$B139,"Site",2))</f>
        <v>34.5</v>
      </c>
      <c r="V139" s="173">
        <f t="shared" si="191"/>
        <v>4.1666666666666664E-2</v>
      </c>
      <c r="W139" s="173">
        <f t="shared" si="192"/>
        <v>0</v>
      </c>
      <c r="X139" s="173">
        <f t="shared" si="193"/>
        <v>0.20833333333333334</v>
      </c>
      <c r="Y139" s="173">
        <f t="shared" si="194"/>
        <v>0</v>
      </c>
      <c r="Z139" s="173">
        <f t="shared" si="195"/>
        <v>0</v>
      </c>
      <c r="AA139" s="174">
        <f t="shared" si="196"/>
        <v>0</v>
      </c>
      <c r="AB139" s="181"/>
      <c r="AC139" s="181"/>
      <c r="AD139" s="181"/>
      <c r="AE139" s="181"/>
      <c r="AF139" s="181"/>
      <c r="AG139" s="181"/>
      <c r="AH139" s="182"/>
      <c r="AI139" s="181"/>
      <c r="AJ139" s="181"/>
      <c r="AK139" s="181"/>
      <c r="AL139" s="181"/>
      <c r="AM139" s="181"/>
      <c r="AN139" s="182"/>
      <c r="AO139" s="181"/>
      <c r="AP139" s="181"/>
      <c r="AQ139" s="181"/>
      <c r="AR139" s="181"/>
      <c r="AS139" s="181"/>
      <c r="AT139" s="182"/>
      <c r="AU139" s="181"/>
      <c r="AV139" s="181"/>
      <c r="AW139" s="181"/>
      <c r="AX139" s="181"/>
      <c r="AY139" s="181"/>
      <c r="AZ139" s="182"/>
      <c r="BA139" s="185"/>
      <c r="BB139" s="185"/>
      <c r="BC139" s="185"/>
      <c r="BD139" s="185"/>
      <c r="BE139" s="185"/>
      <c r="BF139" s="186"/>
      <c r="BG139" s="185"/>
      <c r="BH139" s="185"/>
      <c r="BI139" s="185"/>
      <c r="BJ139" s="185"/>
      <c r="BK139" s="185"/>
      <c r="BL139" s="186"/>
      <c r="BM139" s="412"/>
      <c r="BN139" s="412"/>
    </row>
    <row r="140" spans="1:66" s="49" customFormat="1" x14ac:dyDescent="0.2">
      <c r="A140" s="61"/>
      <c r="B140" s="60">
        <f t="shared" si="127"/>
        <v>41836</v>
      </c>
      <c r="C140" s="22">
        <f t="shared" si="190"/>
        <v>5.333333333333333</v>
      </c>
      <c r="D140" s="23">
        <f>GETPIVOTDATA("Active time (min)",EffortRPMPivot!$A$4,"date",B140,"Site",2)/60</f>
        <v>23.700000000000003</v>
      </c>
      <c r="E140" s="24">
        <f>F140+G140+GETPIVOTDATA("Sum of CNlgNo",SalmonPivot!$A$4,"Date",B140,"Site",2)</f>
        <v>0</v>
      </c>
      <c r="F140" s="24">
        <f>GETPIVOTDATA("Sum of CNlgrad",SalmonPivot!$A$4,"date",B140,"Site",2)</f>
        <v>0</v>
      </c>
      <c r="G140" s="24">
        <f>GETPIVOTDATA("Sum of CNlgrecap",SalmonPivot!$A$4,"date",B140,"Site",2)</f>
        <v>0</v>
      </c>
      <c r="H140" s="24">
        <f>I140+J140+GETPIVOTDATA("Sum of CNsmno",SalmonPivot!$M$4,"Date",B140,"Site",2)</f>
        <v>1</v>
      </c>
      <c r="I140" s="24">
        <f>GETPIVOTDATA("Sum of CNsmradio",SalmonPivot!$M$4,"Date",B140,"Site",2)</f>
        <v>0</v>
      </c>
      <c r="J140" s="24">
        <f>GETPIVOTDATA("Sum of CNsmrecap",SalmonPivot!$M$4,"Date",B140,"Site",2)</f>
        <v>0</v>
      </c>
      <c r="K140" s="24">
        <f>L140+GETPIVOTDATA("Sum of SOno",SalmonPivot!$Y$4,"Date",B140,"Site",2)+GETPIVOTDATA("Sum of SOrecap",SalmonPivot!$Y$4,"Date",B140,"Site",2)</f>
        <v>1</v>
      </c>
      <c r="L140" s="24">
        <f>GETPIVOTDATA("Sum of SOrad",SalmonPivot!$Y$4,"Date",B140,"Site",2)</f>
        <v>1</v>
      </c>
      <c r="M140" s="24">
        <f>N140+GETPIVOTDATA("Sum of PKno",SalmonPivot!$AK$4,"Date",B140,"Site",2)+GETPIVOTDATA("Sum of PKrecap",SalmonPivot!$AK$4,"Date",B140,"Site",2)</f>
        <v>0</v>
      </c>
      <c r="N140" s="24">
        <f>GETPIVOTDATA("Sum of PKrad",SalmonPivot!$AK$4,"Date",B140,"Site",2)</f>
        <v>0</v>
      </c>
      <c r="O140" s="24">
        <f>P140+GETPIVOTDATA("Sum of CMno",SalmonPivot!$AW$4,"Date",B140,"Site",2)+GETPIVOTDATA("Sum of CMrecap",SalmonPivot!$AW$4,"Date",B140,"Site",2)</f>
        <v>1</v>
      </c>
      <c r="P140" s="24">
        <f>GETPIVOTDATA("Sum of CMrad",SalmonPivot!$AW$4,"Date",B140,"Site",2)</f>
        <v>1</v>
      </c>
      <c r="Q140" s="25">
        <f>R140+GETPIVOTDATA("Sum of COno",SalmonPivot!$BI$4,"Date",B140,"Site",2)+GETPIVOTDATA("Sum of COrecap",SalmonPivot!$BI$4,"Date",B140,"Site",2)</f>
        <v>0</v>
      </c>
      <c r="R140" s="24">
        <f>GETPIVOTDATA("Sum of COrad",SalmonPivot!$BI$4,"Date",B140,"Site",2)</f>
        <v>0</v>
      </c>
      <c r="S140" s="24">
        <f>GETPIVOTDATA("Sum of TotalOther",OtherPivot!$J$5,"Date",B140,"Site",2)</f>
        <v>1</v>
      </c>
      <c r="T140" s="38"/>
      <c r="U140" s="172">
        <f>IF(GETPIVOTDATA("3 Revs (s)",EffortRPMPivot!$L$4,"Date",$B140,"Site",2)=0,"",GETPIVOTDATA("3 revs (s)",EffortRPMPivot!$L$4,"date",$B140,"Site",2))</f>
        <v>33.75</v>
      </c>
      <c r="V140" s="173">
        <f t="shared" si="191"/>
        <v>0</v>
      </c>
      <c r="W140" s="173">
        <f t="shared" si="192"/>
        <v>4.2194092827004218E-2</v>
      </c>
      <c r="X140" s="173">
        <f t="shared" si="193"/>
        <v>4.2194092827004218E-2</v>
      </c>
      <c r="Y140" s="173">
        <f t="shared" si="194"/>
        <v>0</v>
      </c>
      <c r="Z140" s="173">
        <f t="shared" si="195"/>
        <v>4.2194092827004218E-2</v>
      </c>
      <c r="AA140" s="174">
        <f t="shared" si="196"/>
        <v>0</v>
      </c>
      <c r="AB140" s="181"/>
      <c r="AC140" s="181"/>
      <c r="AD140" s="181"/>
      <c r="AE140" s="181"/>
      <c r="AF140" s="181"/>
      <c r="AG140" s="181"/>
      <c r="AH140" s="182"/>
      <c r="AI140" s="181"/>
      <c r="AJ140" s="181"/>
      <c r="AK140" s="181"/>
      <c r="AL140" s="181"/>
      <c r="AM140" s="181"/>
      <c r="AN140" s="182"/>
      <c r="AO140" s="181"/>
      <c r="AP140" s="181"/>
      <c r="AQ140" s="181"/>
      <c r="AR140" s="181"/>
      <c r="AS140" s="181"/>
      <c r="AT140" s="182"/>
      <c r="AU140" s="181"/>
      <c r="AV140" s="181"/>
      <c r="AW140" s="181"/>
      <c r="AX140" s="181"/>
      <c r="AY140" s="181"/>
      <c r="AZ140" s="182"/>
      <c r="BA140" s="185"/>
      <c r="BB140" s="185"/>
      <c r="BC140" s="185"/>
      <c r="BD140" s="185"/>
      <c r="BE140" s="185"/>
      <c r="BF140" s="186"/>
      <c r="BG140" s="185"/>
      <c r="BH140" s="185"/>
      <c r="BI140" s="185"/>
      <c r="BJ140" s="185"/>
      <c r="BK140" s="185"/>
      <c r="BL140" s="186"/>
      <c r="BM140" s="409"/>
      <c r="BN140" s="409"/>
    </row>
    <row r="141" spans="1:66" s="49" customFormat="1" x14ac:dyDescent="0.2">
      <c r="A141" s="61"/>
      <c r="B141" s="60">
        <f t="shared" si="127"/>
        <v>41837</v>
      </c>
      <c r="C141" s="22">
        <f t="shared" ref="C141:C144" si="197">IF(ISERROR(3/(U141/60)),"",3/(U141/60))</f>
        <v>5.4961832061068705</v>
      </c>
      <c r="D141" s="23">
        <f>GETPIVOTDATA("Active time (min)",EffortRPMPivot!$A$4,"date",B141,"Site",2)/60</f>
        <v>24</v>
      </c>
      <c r="E141" s="24">
        <f>F141+G141+GETPIVOTDATA("Sum of CNlgNo",SalmonPivot!$A$4,"Date",B141,"Site",2)</f>
        <v>0</v>
      </c>
      <c r="F141" s="24">
        <f>GETPIVOTDATA("Sum of CNlgrad",SalmonPivot!$A$4,"date",B141,"Site",2)</f>
        <v>0</v>
      </c>
      <c r="G141" s="24">
        <f>GETPIVOTDATA("Sum of CNlgrecap",SalmonPivot!$A$4,"date",B141,"Site",2)</f>
        <v>0</v>
      </c>
      <c r="H141" s="24">
        <f>I141+J141+GETPIVOTDATA("Sum of CNsmno",SalmonPivot!$M$4,"Date",B141,"Site",2)</f>
        <v>2</v>
      </c>
      <c r="I141" s="24">
        <f>GETPIVOTDATA("Sum of CNsmradio",SalmonPivot!$M$4,"Date",B141,"Site",2)</f>
        <v>0</v>
      </c>
      <c r="J141" s="24">
        <f>GETPIVOTDATA("Sum of CNsmrecap",SalmonPivot!$M$4,"Date",B141,"Site",2)</f>
        <v>0</v>
      </c>
      <c r="K141" s="24">
        <f>L141+GETPIVOTDATA("Sum of SOno",SalmonPivot!$Y$4,"Date",B141,"Site",2)+GETPIVOTDATA("Sum of SOrecap",SalmonPivot!$Y$4,"Date",B141,"Site",2)</f>
        <v>1</v>
      </c>
      <c r="L141" s="24">
        <f>GETPIVOTDATA("Sum of SOrad",SalmonPivot!$Y$4,"Date",B141,"Site",2)</f>
        <v>1</v>
      </c>
      <c r="M141" s="24">
        <f>N141+GETPIVOTDATA("Sum of PKno",SalmonPivot!$AK$4,"Date",B141,"Site",2)+GETPIVOTDATA("Sum of PKrecap",SalmonPivot!$AK$4,"Date",B141,"Site",2)</f>
        <v>0</v>
      </c>
      <c r="N141" s="24">
        <f>GETPIVOTDATA("Sum of PKrad",SalmonPivot!$AK$4,"Date",B141,"Site",2)</f>
        <v>0</v>
      </c>
      <c r="O141" s="24">
        <f>P141+GETPIVOTDATA("Sum of CMno",SalmonPivot!$AW$4,"Date",B141,"Site",2)+GETPIVOTDATA("Sum of CMrecap",SalmonPivot!$AW$4,"Date",B141,"Site",2)</f>
        <v>1</v>
      </c>
      <c r="P141" s="24">
        <f>GETPIVOTDATA("Sum of CMrad",SalmonPivot!$AW$4,"Date",B141,"Site",2)</f>
        <v>1</v>
      </c>
      <c r="Q141" s="25">
        <f>R141+GETPIVOTDATA("Sum of COno",SalmonPivot!$BI$4,"Date",B141,"Site",2)+GETPIVOTDATA("Sum of COrecap",SalmonPivot!$BI$4,"Date",B141,"Site",2)</f>
        <v>0</v>
      </c>
      <c r="R141" s="24">
        <f>GETPIVOTDATA("Sum of COrad",SalmonPivot!$BI$4,"Date",B141,"Site",2)</f>
        <v>0</v>
      </c>
      <c r="S141" s="24">
        <f>GETPIVOTDATA("Sum of TotalOther",OtherPivot!$J$5,"Date",B141,"Site",2)</f>
        <v>1</v>
      </c>
      <c r="T141" s="38"/>
      <c r="U141" s="172">
        <f>IF(GETPIVOTDATA("3 Revs (s)",EffortRPMPivot!$L$4,"Date",$B141,"Site",2)=0,"",GETPIVOTDATA("3 revs (s)",EffortRPMPivot!$L$4,"date",$B141,"Site",2))</f>
        <v>32.75</v>
      </c>
      <c r="V141" s="173">
        <f t="shared" ref="V141:V144" si="198">IF(D141=0,"",E141/D141)</f>
        <v>0</v>
      </c>
      <c r="W141" s="173">
        <f t="shared" ref="W141:W144" si="199">IF(D141=0,"",H141/D141)</f>
        <v>8.3333333333333329E-2</v>
      </c>
      <c r="X141" s="173">
        <f t="shared" ref="X141:X144" si="200">IF(D141=0,"",K141/$D141)</f>
        <v>4.1666666666666664E-2</v>
      </c>
      <c r="Y141" s="173">
        <f t="shared" ref="Y141:Y144" si="201">IF(D141=0,"",M141/$D141)</f>
        <v>0</v>
      </c>
      <c r="Z141" s="173">
        <f t="shared" ref="Z141:Z144" si="202">IF(D141=0,"",O141/$D141)</f>
        <v>4.1666666666666664E-2</v>
      </c>
      <c r="AA141" s="174">
        <f t="shared" ref="AA141:AA144" si="203">IF(D141=0,"",Q141/$D141)</f>
        <v>0</v>
      </c>
      <c r="AB141" s="181"/>
      <c r="AC141" s="181"/>
      <c r="AD141" s="181"/>
      <c r="AE141" s="181"/>
      <c r="AF141" s="181"/>
      <c r="AG141" s="181"/>
      <c r="AH141" s="182"/>
      <c r="AI141" s="181"/>
      <c r="AJ141" s="181"/>
      <c r="AK141" s="181"/>
      <c r="AL141" s="181"/>
      <c r="AM141" s="181"/>
      <c r="AN141" s="182"/>
      <c r="AO141" s="181"/>
      <c r="AP141" s="181"/>
      <c r="AQ141" s="181"/>
      <c r="AR141" s="181"/>
      <c r="AS141" s="181"/>
      <c r="AT141" s="182"/>
      <c r="AU141" s="181"/>
      <c r="AV141" s="181"/>
      <c r="AW141" s="181"/>
      <c r="AX141" s="181"/>
      <c r="AY141" s="181"/>
      <c r="AZ141" s="182"/>
      <c r="BA141" s="185"/>
      <c r="BB141" s="185"/>
      <c r="BC141" s="185"/>
      <c r="BD141" s="185"/>
      <c r="BE141" s="185"/>
      <c r="BF141" s="186"/>
      <c r="BG141" s="185"/>
      <c r="BH141" s="185"/>
      <c r="BI141" s="185"/>
      <c r="BJ141" s="185"/>
      <c r="BK141" s="185"/>
      <c r="BL141" s="186"/>
      <c r="BM141" s="409"/>
      <c r="BN141" s="409"/>
    </row>
    <row r="142" spans="1:66" s="49" customFormat="1" x14ac:dyDescent="0.2">
      <c r="A142" s="61"/>
      <c r="B142" s="60">
        <f t="shared" si="127"/>
        <v>41838</v>
      </c>
      <c r="C142" s="22">
        <f t="shared" si="197"/>
        <v>5.1063829787234036</v>
      </c>
      <c r="D142" s="23">
        <f>GETPIVOTDATA("Active time (min)",EffortRPMPivot!$A$4,"date",B142,"Site",2)/60</f>
        <v>23.033333333333335</v>
      </c>
      <c r="E142" s="24">
        <f>F142+G142+GETPIVOTDATA("Sum of CNlgNo",SalmonPivot!$A$4,"Date",B142,"Site",2)</f>
        <v>0</v>
      </c>
      <c r="F142" s="24">
        <f>GETPIVOTDATA("Sum of CNlgrad",SalmonPivot!$A$4,"date",B142,"Site",2)</f>
        <v>0</v>
      </c>
      <c r="G142" s="24">
        <f>GETPIVOTDATA("Sum of CNlgrecap",SalmonPivot!$A$4,"date",B142,"Site",2)</f>
        <v>0</v>
      </c>
      <c r="H142" s="24">
        <f>I142+J142+GETPIVOTDATA("Sum of CNsmno",SalmonPivot!$M$4,"Date",B142,"Site",2)</f>
        <v>0</v>
      </c>
      <c r="I142" s="24">
        <f>GETPIVOTDATA("Sum of CNsmradio",SalmonPivot!$M$4,"Date",B142,"Site",2)</f>
        <v>0</v>
      </c>
      <c r="J142" s="24">
        <f>GETPIVOTDATA("Sum of CNsmrecap",SalmonPivot!$M$4,"Date",B142,"Site",2)</f>
        <v>0</v>
      </c>
      <c r="K142" s="24">
        <f>L142+GETPIVOTDATA("Sum of SOno",SalmonPivot!$Y$4,"Date",B142,"Site",2)+GETPIVOTDATA("Sum of SOrecap",SalmonPivot!$Y$4,"Date",B142,"Site",2)</f>
        <v>3</v>
      </c>
      <c r="L142" s="24">
        <f>GETPIVOTDATA("Sum of SOrad",SalmonPivot!$Y$4,"Date",B142,"Site",2)</f>
        <v>3</v>
      </c>
      <c r="M142" s="24">
        <f>N142+GETPIVOTDATA("Sum of PKno",SalmonPivot!$AK$4,"Date",B142,"Site",2)+GETPIVOTDATA("Sum of PKrecap",SalmonPivot!$AK$4,"Date",B142,"Site",2)</f>
        <v>0</v>
      </c>
      <c r="N142" s="24">
        <f>GETPIVOTDATA("Sum of PKrad",SalmonPivot!$AK$4,"Date",B142,"Site",2)</f>
        <v>0</v>
      </c>
      <c r="O142" s="24">
        <f>P142+GETPIVOTDATA("Sum of CMno",SalmonPivot!$AW$4,"Date",B142,"Site",2)+GETPIVOTDATA("Sum of CMrecap",SalmonPivot!$AW$4,"Date",B142,"Site",2)</f>
        <v>0</v>
      </c>
      <c r="P142" s="24">
        <f>GETPIVOTDATA("Sum of CMrad",SalmonPivot!$AW$4,"Date",B142,"Site",2)</f>
        <v>0</v>
      </c>
      <c r="Q142" s="25">
        <f>R142+GETPIVOTDATA("Sum of COno",SalmonPivot!$BI$4,"Date",B142,"Site",2)+GETPIVOTDATA("Sum of COrecap",SalmonPivot!$BI$4,"Date",B142,"Site",2)</f>
        <v>0</v>
      </c>
      <c r="R142" s="24">
        <f>GETPIVOTDATA("Sum of COrad",SalmonPivot!$BI$4,"Date",B142,"Site",2)</f>
        <v>0</v>
      </c>
      <c r="S142" s="24">
        <f>GETPIVOTDATA("Sum of TotalOther",OtherPivot!$J$5,"Date",B142,"Site",2)</f>
        <v>1</v>
      </c>
      <c r="T142" s="38"/>
      <c r="U142" s="172">
        <f>IF(GETPIVOTDATA("3 Revs (s)",EffortRPMPivot!$L$4,"Date",$B142,"Site",2)=0,"",GETPIVOTDATA("3 revs (s)",EffortRPMPivot!$L$4,"date",$B142,"Site",2))</f>
        <v>35.25</v>
      </c>
      <c r="V142" s="173">
        <f t="shared" si="198"/>
        <v>0</v>
      </c>
      <c r="W142" s="173">
        <f t="shared" si="199"/>
        <v>0</v>
      </c>
      <c r="X142" s="173">
        <f t="shared" si="200"/>
        <v>0.13024602026049203</v>
      </c>
      <c r="Y142" s="173">
        <f t="shared" si="201"/>
        <v>0</v>
      </c>
      <c r="Z142" s="173">
        <f t="shared" si="202"/>
        <v>0</v>
      </c>
      <c r="AA142" s="174">
        <f t="shared" si="203"/>
        <v>0</v>
      </c>
      <c r="AB142" s="181"/>
      <c r="AC142" s="181"/>
      <c r="AD142" s="181"/>
      <c r="AE142" s="181"/>
      <c r="AF142" s="181"/>
      <c r="AG142" s="181"/>
      <c r="AH142" s="182"/>
      <c r="AI142" s="181"/>
      <c r="AJ142" s="181"/>
      <c r="AK142" s="181"/>
      <c r="AL142" s="181"/>
      <c r="AM142" s="181"/>
      <c r="AN142" s="182"/>
      <c r="AO142" s="181"/>
      <c r="AP142" s="181"/>
      <c r="AQ142" s="181"/>
      <c r="AR142" s="181"/>
      <c r="AS142" s="181"/>
      <c r="AT142" s="182"/>
      <c r="AU142" s="181"/>
      <c r="AV142" s="181"/>
      <c r="AW142" s="181"/>
      <c r="AX142" s="181"/>
      <c r="AY142" s="181"/>
      <c r="AZ142" s="182"/>
      <c r="BA142" s="185"/>
      <c r="BB142" s="185"/>
      <c r="BC142" s="185"/>
      <c r="BD142" s="185"/>
      <c r="BE142" s="185"/>
      <c r="BF142" s="186"/>
      <c r="BG142" s="185"/>
      <c r="BH142" s="185"/>
      <c r="BI142" s="185"/>
      <c r="BJ142" s="185"/>
      <c r="BK142" s="185"/>
      <c r="BL142" s="186"/>
      <c r="BM142" s="409"/>
      <c r="BN142" s="409"/>
    </row>
    <row r="143" spans="1:66" s="49" customFormat="1" x14ac:dyDescent="0.2">
      <c r="A143" s="61"/>
      <c r="B143" s="60">
        <f t="shared" si="127"/>
        <v>41839</v>
      </c>
      <c r="C143" s="22">
        <f t="shared" si="197"/>
        <v>4.8648648648648649</v>
      </c>
      <c r="D143" s="23">
        <f>GETPIVOTDATA("Active time (min)",EffortRPMPivot!$A$4,"date",B143,"Site",2)/60</f>
        <v>10.133333333333333</v>
      </c>
      <c r="E143" s="24">
        <f>F143+G143+GETPIVOTDATA("Sum of CNlgNo",SalmonPivot!$A$4,"Date",B143,"Site",2)</f>
        <v>0</v>
      </c>
      <c r="F143" s="24">
        <f>GETPIVOTDATA("Sum of CNlgrad",SalmonPivot!$A$4,"date",B143,"Site",2)</f>
        <v>0</v>
      </c>
      <c r="G143" s="24">
        <f>GETPIVOTDATA("Sum of CNlgrecap",SalmonPivot!$A$4,"date",B143,"Site",2)</f>
        <v>0</v>
      </c>
      <c r="H143" s="24">
        <f>I143+J143+GETPIVOTDATA("Sum of CNsmno",SalmonPivot!$M$4,"Date",B143,"Site",2)</f>
        <v>0</v>
      </c>
      <c r="I143" s="24">
        <f>GETPIVOTDATA("Sum of CNsmradio",SalmonPivot!$M$4,"Date",B143,"Site",2)</f>
        <v>0</v>
      </c>
      <c r="J143" s="24">
        <f>GETPIVOTDATA("Sum of CNsmrecap",SalmonPivot!$M$4,"Date",B143,"Site",2)</f>
        <v>0</v>
      </c>
      <c r="K143" s="24">
        <f>L143+GETPIVOTDATA("Sum of SOno",SalmonPivot!$Y$4,"Date",B143,"Site",2)+GETPIVOTDATA("Sum of SOrecap",SalmonPivot!$Y$4,"Date",B143,"Site",2)</f>
        <v>0</v>
      </c>
      <c r="L143" s="24">
        <f>GETPIVOTDATA("Sum of SOrad",SalmonPivot!$Y$4,"Date",B143,"Site",2)</f>
        <v>0</v>
      </c>
      <c r="M143" s="24">
        <f>N143+GETPIVOTDATA("Sum of PKno",SalmonPivot!$AK$4,"Date",B143,"Site",2)+GETPIVOTDATA("Sum of PKrecap",SalmonPivot!$AK$4,"Date",B143,"Site",2)</f>
        <v>0</v>
      </c>
      <c r="N143" s="24">
        <f>GETPIVOTDATA("Sum of PKrad",SalmonPivot!$AK$4,"Date",B143,"Site",2)</f>
        <v>0</v>
      </c>
      <c r="O143" s="24">
        <f>P143+GETPIVOTDATA("Sum of CMno",SalmonPivot!$AW$4,"Date",B143,"Site",2)+GETPIVOTDATA("Sum of CMrecap",SalmonPivot!$AW$4,"Date",B143,"Site",2)</f>
        <v>1</v>
      </c>
      <c r="P143" s="24">
        <f>GETPIVOTDATA("Sum of CMrad",SalmonPivot!$AW$4,"Date",B143,"Site",2)</f>
        <v>0</v>
      </c>
      <c r="Q143" s="25">
        <f>R143+GETPIVOTDATA("Sum of COno",SalmonPivot!$BI$4,"Date",B143,"Site",2)+GETPIVOTDATA("Sum of COrecap",SalmonPivot!$BI$4,"Date",B143,"Site",2)</f>
        <v>0</v>
      </c>
      <c r="R143" s="24">
        <f>GETPIVOTDATA("Sum of COrad",SalmonPivot!$BI$4,"Date",B143,"Site",2)</f>
        <v>0</v>
      </c>
      <c r="S143" s="24">
        <f>GETPIVOTDATA("Sum of TotalOther",OtherPivot!$J$5,"Date",B143,"Site",2)</f>
        <v>0</v>
      </c>
      <c r="T143" s="38"/>
      <c r="U143" s="172">
        <f>IF(GETPIVOTDATA("3 Revs (s)",EffortRPMPivot!$L$4,"Date",$B143,"Site",2)=0,"",GETPIVOTDATA("3 revs (s)",EffortRPMPivot!$L$4,"date",$B143,"Site",2))</f>
        <v>37</v>
      </c>
      <c r="V143" s="173">
        <f t="shared" si="198"/>
        <v>0</v>
      </c>
      <c r="W143" s="173">
        <f t="shared" si="199"/>
        <v>0</v>
      </c>
      <c r="X143" s="173">
        <f t="shared" si="200"/>
        <v>0</v>
      </c>
      <c r="Y143" s="173">
        <f t="shared" si="201"/>
        <v>0</v>
      </c>
      <c r="Z143" s="173">
        <f t="shared" si="202"/>
        <v>9.8684210526315791E-2</v>
      </c>
      <c r="AA143" s="174">
        <f t="shared" si="203"/>
        <v>0</v>
      </c>
      <c r="AB143" s="181"/>
      <c r="AC143" s="181"/>
      <c r="AD143" s="181"/>
      <c r="AE143" s="181"/>
      <c r="AF143" s="181"/>
      <c r="AG143" s="181"/>
      <c r="AH143" s="182"/>
      <c r="AI143" s="181"/>
      <c r="AJ143" s="181"/>
      <c r="AK143" s="181"/>
      <c r="AL143" s="181"/>
      <c r="AM143" s="181"/>
      <c r="AN143" s="182"/>
      <c r="AO143" s="181"/>
      <c r="AP143" s="181"/>
      <c r="AQ143" s="181"/>
      <c r="AR143" s="181"/>
      <c r="AS143" s="181"/>
      <c r="AT143" s="182"/>
      <c r="AU143" s="181"/>
      <c r="AV143" s="181"/>
      <c r="AW143" s="181"/>
      <c r="AX143" s="181"/>
      <c r="AY143" s="181"/>
      <c r="AZ143" s="182"/>
      <c r="BA143" s="185"/>
      <c r="BB143" s="185"/>
      <c r="BC143" s="185"/>
      <c r="BD143" s="185"/>
      <c r="BE143" s="185"/>
      <c r="BF143" s="186"/>
      <c r="BG143" s="185"/>
      <c r="BH143" s="185"/>
      <c r="BI143" s="185"/>
      <c r="BJ143" s="185"/>
      <c r="BK143" s="185"/>
      <c r="BL143" s="186"/>
      <c r="BM143" s="409"/>
      <c r="BN143" s="409"/>
    </row>
    <row r="144" spans="1:66" s="49" customFormat="1" x14ac:dyDescent="0.2">
      <c r="A144" s="61"/>
      <c r="B144" s="60">
        <f t="shared" si="127"/>
        <v>41840</v>
      </c>
      <c r="C144" s="22">
        <f t="shared" si="197"/>
        <v>5.7142857142857144</v>
      </c>
      <c r="D144" s="23">
        <f>GETPIVOTDATA("Active time (min)",EffortRPMPivot!$A$4,"date",B144,"Site",2)/60</f>
        <v>11.783333333333333</v>
      </c>
      <c r="E144" s="24">
        <f>F144+G144+GETPIVOTDATA("Sum of CNlgNo",SalmonPivot!$A$4,"Date",B144,"Site",2)</f>
        <v>0</v>
      </c>
      <c r="F144" s="24">
        <f>GETPIVOTDATA("Sum of CNlgrad",SalmonPivot!$A$4,"date",B144,"Site",2)</f>
        <v>0</v>
      </c>
      <c r="G144" s="24">
        <f>GETPIVOTDATA("Sum of CNlgrecap",SalmonPivot!$A$4,"date",B144,"Site",2)</f>
        <v>0</v>
      </c>
      <c r="H144" s="24">
        <f>I144+J144+GETPIVOTDATA("Sum of CNsmno",SalmonPivot!$M$4,"Date",B144,"Site",2)</f>
        <v>0</v>
      </c>
      <c r="I144" s="24">
        <f>GETPIVOTDATA("Sum of CNsmradio",SalmonPivot!$M$4,"Date",B144,"Site",2)</f>
        <v>0</v>
      </c>
      <c r="J144" s="24">
        <f>GETPIVOTDATA("Sum of CNsmrecap",SalmonPivot!$M$4,"Date",B144,"Site",2)</f>
        <v>0</v>
      </c>
      <c r="K144" s="24">
        <f>L144+GETPIVOTDATA("Sum of SOno",SalmonPivot!$Y$4,"Date",B144,"Site",2)+GETPIVOTDATA("Sum of SOrecap",SalmonPivot!$Y$4,"Date",B144,"Site",2)</f>
        <v>2</v>
      </c>
      <c r="L144" s="24">
        <f>GETPIVOTDATA("Sum of SOrad",SalmonPivot!$Y$4,"Date",B144,"Site",2)</f>
        <v>2</v>
      </c>
      <c r="M144" s="24">
        <f>N144+GETPIVOTDATA("Sum of PKno",SalmonPivot!$AK$4,"Date",B144,"Site",2)+GETPIVOTDATA("Sum of PKrecap",SalmonPivot!$AK$4,"Date",B144,"Site",2)</f>
        <v>0</v>
      </c>
      <c r="N144" s="24">
        <f>GETPIVOTDATA("Sum of PKrad",SalmonPivot!$AK$4,"Date",B144,"Site",2)</f>
        <v>0</v>
      </c>
      <c r="O144" s="24">
        <f>P144+GETPIVOTDATA("Sum of CMno",SalmonPivot!$AW$4,"Date",B144,"Site",2)+GETPIVOTDATA("Sum of CMrecap",SalmonPivot!$AW$4,"Date",B144,"Site",2)</f>
        <v>1</v>
      </c>
      <c r="P144" s="24">
        <f>GETPIVOTDATA("Sum of CMrad",SalmonPivot!$AW$4,"Date",B144,"Site",2)</f>
        <v>1</v>
      </c>
      <c r="Q144" s="25">
        <f>R144+GETPIVOTDATA("Sum of COno",SalmonPivot!$BI$4,"Date",B144,"Site",2)+GETPIVOTDATA("Sum of COrecap",SalmonPivot!$BI$4,"Date",B144,"Site",2)</f>
        <v>0</v>
      </c>
      <c r="R144" s="24">
        <f>GETPIVOTDATA("Sum of COrad",SalmonPivot!$BI$4,"Date",B144,"Site",2)</f>
        <v>0</v>
      </c>
      <c r="S144" s="24">
        <f>GETPIVOTDATA("Sum of TotalOther",OtherPivot!$J$5,"Date",B144,"Site",2)</f>
        <v>0</v>
      </c>
      <c r="T144" s="38"/>
      <c r="U144" s="172">
        <f>IF(GETPIVOTDATA("3 Revs (s)",EffortRPMPivot!$L$4,"Date",$B144,"Site",2)=0,"",GETPIVOTDATA("3 revs (s)",EffortRPMPivot!$L$4,"date",$B144,"Site",2))</f>
        <v>31.5</v>
      </c>
      <c r="V144" s="173">
        <f t="shared" si="198"/>
        <v>0</v>
      </c>
      <c r="W144" s="173">
        <f t="shared" si="199"/>
        <v>0</v>
      </c>
      <c r="X144" s="173">
        <f t="shared" si="200"/>
        <v>0.16973125884016974</v>
      </c>
      <c r="Y144" s="173">
        <f t="shared" si="201"/>
        <v>0</v>
      </c>
      <c r="Z144" s="173">
        <f t="shared" si="202"/>
        <v>8.4865629420084868E-2</v>
      </c>
      <c r="AA144" s="174">
        <f t="shared" si="203"/>
        <v>0</v>
      </c>
      <c r="AB144" s="181"/>
      <c r="AC144" s="181"/>
      <c r="AD144" s="181"/>
      <c r="AE144" s="181"/>
      <c r="AF144" s="181"/>
      <c r="AG144" s="181"/>
      <c r="AH144" s="182"/>
      <c r="AI144" s="181"/>
      <c r="AJ144" s="181"/>
      <c r="AK144" s="181"/>
      <c r="AL144" s="181"/>
      <c r="AM144" s="181"/>
      <c r="AN144" s="182"/>
      <c r="AO144" s="181"/>
      <c r="AP144" s="181"/>
      <c r="AQ144" s="181"/>
      <c r="AR144" s="181"/>
      <c r="AS144" s="181"/>
      <c r="AT144" s="182"/>
      <c r="AU144" s="181"/>
      <c r="AV144" s="181"/>
      <c r="AW144" s="181"/>
      <c r="AX144" s="181"/>
      <c r="AY144" s="181"/>
      <c r="AZ144" s="182"/>
      <c r="BA144" s="185"/>
      <c r="BB144" s="185"/>
      <c r="BC144" s="185"/>
      <c r="BD144" s="185"/>
      <c r="BE144" s="185"/>
      <c r="BF144" s="186"/>
      <c r="BG144" s="185"/>
      <c r="BH144" s="185"/>
      <c r="BI144" s="185"/>
      <c r="BJ144" s="185"/>
      <c r="BK144" s="185"/>
      <c r="BL144" s="186"/>
      <c r="BM144" s="409"/>
      <c r="BN144" s="409"/>
    </row>
    <row r="145" spans="1:66" s="49" customFormat="1" x14ac:dyDescent="0.2">
      <c r="A145" s="61"/>
      <c r="B145" s="60">
        <f t="shared" si="127"/>
        <v>41841</v>
      </c>
      <c r="C145" s="22">
        <f t="shared" ref="C145:C147" si="204">IF(ISERROR(3/(U145/60)),"",3/(U145/60))</f>
        <v>6</v>
      </c>
      <c r="D145" s="23">
        <f>GETPIVOTDATA("Active time (min)",EffortRPMPivot!$A$4,"date",B145,"Site",2)/60</f>
        <v>11.766666666666671</v>
      </c>
      <c r="E145" s="24">
        <f>F145+G145+GETPIVOTDATA("Sum of CNlgNo",SalmonPivot!$A$4,"Date",B145,"Site",2)</f>
        <v>0</v>
      </c>
      <c r="F145" s="24">
        <f>GETPIVOTDATA("Sum of CNlgrad",SalmonPivot!$A$4,"date",B145,"Site",2)</f>
        <v>0</v>
      </c>
      <c r="G145" s="24">
        <f>GETPIVOTDATA("Sum of CNlgrecap",SalmonPivot!$A$4,"date",B145,"Site",2)</f>
        <v>0</v>
      </c>
      <c r="H145" s="24">
        <f>I145+J145+GETPIVOTDATA("Sum of CNsmno",SalmonPivot!$M$4,"Date",B145,"Site",2)</f>
        <v>0</v>
      </c>
      <c r="I145" s="24">
        <f>GETPIVOTDATA("Sum of CNsmradio",SalmonPivot!$M$4,"Date",B145,"Site",2)</f>
        <v>0</v>
      </c>
      <c r="J145" s="24">
        <f>GETPIVOTDATA("Sum of CNsmrecap",SalmonPivot!$M$4,"Date",B145,"Site",2)</f>
        <v>0</v>
      </c>
      <c r="K145" s="24">
        <f>L145+GETPIVOTDATA("Sum of SOno",SalmonPivot!$Y$4,"Date",B145,"Site",2)+GETPIVOTDATA("Sum of SOrecap",SalmonPivot!$Y$4,"Date",B145,"Site",2)</f>
        <v>0</v>
      </c>
      <c r="L145" s="24">
        <f>GETPIVOTDATA("Sum of SOrad",SalmonPivot!$Y$4,"Date",B145,"Site",2)</f>
        <v>0</v>
      </c>
      <c r="M145" s="24">
        <f>N145+GETPIVOTDATA("Sum of PKno",SalmonPivot!$AK$4,"Date",B145,"Site",2)+GETPIVOTDATA("Sum of PKrecap",SalmonPivot!$AK$4,"Date",B145,"Site",2)</f>
        <v>0</v>
      </c>
      <c r="N145" s="24">
        <f>GETPIVOTDATA("Sum of PKrad",SalmonPivot!$AK$4,"Date",B145,"Site",2)</f>
        <v>0</v>
      </c>
      <c r="O145" s="24">
        <f>P145+GETPIVOTDATA("Sum of CMno",SalmonPivot!$AW$4,"Date",B145,"Site",2)+GETPIVOTDATA("Sum of CMrecap",SalmonPivot!$AW$4,"Date",B145,"Site",2)</f>
        <v>1</v>
      </c>
      <c r="P145" s="24">
        <f>GETPIVOTDATA("Sum of CMrad",SalmonPivot!$AW$4,"Date",B145,"Site",2)</f>
        <v>1</v>
      </c>
      <c r="Q145" s="25">
        <f>R145+GETPIVOTDATA("Sum of COno",SalmonPivot!$BI$4,"Date",B145,"Site",2)+GETPIVOTDATA("Sum of COrecap",SalmonPivot!$BI$4,"Date",B145,"Site",2)</f>
        <v>0</v>
      </c>
      <c r="R145" s="24">
        <f>GETPIVOTDATA("Sum of COrad",SalmonPivot!$BI$4,"Date",B145,"Site",2)</f>
        <v>0</v>
      </c>
      <c r="S145" s="24">
        <f>GETPIVOTDATA("Sum of TotalOther",OtherPivot!$J$5,"Date",B145,"Site",2)</f>
        <v>0</v>
      </c>
      <c r="T145" s="38"/>
      <c r="U145" s="172">
        <f>IF(GETPIVOTDATA("3 Revs (s)",EffortRPMPivot!$L$4,"Date",$B145,"Site",2)=0,"",GETPIVOTDATA("3 revs (s)",EffortRPMPivot!$L$4,"date",$B145,"Site",2))</f>
        <v>30</v>
      </c>
      <c r="V145" s="173">
        <f t="shared" ref="V145:V147" si="205">IF(D145=0,"",E145/D145)</f>
        <v>0</v>
      </c>
      <c r="W145" s="173">
        <f t="shared" ref="W145:W147" si="206">IF(D145=0,"",H145/D145)</f>
        <v>0</v>
      </c>
      <c r="X145" s="173">
        <f t="shared" ref="X145:X147" si="207">IF(D145=0,"",K145/$D145)</f>
        <v>0</v>
      </c>
      <c r="Y145" s="173">
        <f t="shared" ref="Y145:Y147" si="208">IF(D145=0,"",M145/$D145)</f>
        <v>0</v>
      </c>
      <c r="Z145" s="173">
        <f t="shared" ref="Z145:Z147" si="209">IF(D145=0,"",O145/$D145)</f>
        <v>8.4985835694050965E-2</v>
      </c>
      <c r="AA145" s="174">
        <f t="shared" ref="AA145:AA147" si="210">IF(D145=0,"",Q145/$D145)</f>
        <v>0</v>
      </c>
      <c r="AB145" s="181"/>
      <c r="AC145" s="181"/>
      <c r="AD145" s="181"/>
      <c r="AE145" s="181"/>
      <c r="AF145" s="181"/>
      <c r="AG145" s="181"/>
      <c r="AH145" s="182"/>
      <c r="AI145" s="181"/>
      <c r="AJ145" s="181"/>
      <c r="AK145" s="181"/>
      <c r="AL145" s="181"/>
      <c r="AM145" s="181"/>
      <c r="AN145" s="182"/>
      <c r="AO145" s="181"/>
      <c r="AP145" s="181"/>
      <c r="AQ145" s="181"/>
      <c r="AR145" s="181"/>
      <c r="AS145" s="181"/>
      <c r="AT145" s="182"/>
      <c r="AU145" s="181"/>
      <c r="AV145" s="181"/>
      <c r="AW145" s="181"/>
      <c r="AX145" s="181"/>
      <c r="AY145" s="181"/>
      <c r="AZ145" s="182"/>
      <c r="BA145" s="185"/>
      <c r="BB145" s="185"/>
      <c r="BC145" s="185"/>
      <c r="BD145" s="185"/>
      <c r="BE145" s="185"/>
      <c r="BF145" s="186"/>
      <c r="BG145" s="185"/>
      <c r="BH145" s="185"/>
      <c r="BI145" s="185"/>
      <c r="BJ145" s="185"/>
      <c r="BK145" s="185"/>
      <c r="BL145" s="186"/>
      <c r="BM145" s="409"/>
      <c r="BN145" s="409"/>
    </row>
    <row r="146" spans="1:66" s="49" customFormat="1" x14ac:dyDescent="0.2">
      <c r="A146" s="61"/>
      <c r="B146" s="60">
        <f t="shared" si="127"/>
        <v>41842</v>
      </c>
      <c r="C146" s="22">
        <f t="shared" si="204"/>
        <v>5.2941176470588234</v>
      </c>
      <c r="D146" s="23">
        <f>GETPIVOTDATA("Active time (min)",EffortRPMPivot!$A$4,"date",B146,"Site",2)/60</f>
        <v>11.699999999999998</v>
      </c>
      <c r="E146" s="24">
        <f>F146+G146+GETPIVOTDATA("Sum of CNlgNo",SalmonPivot!$A$4,"Date",B146,"Site",2)</f>
        <v>0</v>
      </c>
      <c r="F146" s="24">
        <f>GETPIVOTDATA("Sum of CNlgrad",SalmonPivot!$A$4,"date",B146,"Site",2)</f>
        <v>0</v>
      </c>
      <c r="G146" s="24">
        <f>GETPIVOTDATA("Sum of CNlgrecap",SalmonPivot!$A$4,"date",B146,"Site",2)</f>
        <v>0</v>
      </c>
      <c r="H146" s="24">
        <f>I146+J146+GETPIVOTDATA("Sum of CNsmno",SalmonPivot!$M$4,"Date",B146,"Site",2)</f>
        <v>0</v>
      </c>
      <c r="I146" s="24">
        <f>GETPIVOTDATA("Sum of CNsmradio",SalmonPivot!$M$4,"Date",B146,"Site",2)</f>
        <v>0</v>
      </c>
      <c r="J146" s="24">
        <f>GETPIVOTDATA("Sum of CNsmrecap",SalmonPivot!$M$4,"Date",B146,"Site",2)</f>
        <v>0</v>
      </c>
      <c r="K146" s="24">
        <f>L146+GETPIVOTDATA("Sum of SOno",SalmonPivot!$Y$4,"Date",B146,"Site",2)+GETPIVOTDATA("Sum of SOrecap",SalmonPivot!$Y$4,"Date",B146,"Site",2)</f>
        <v>8</v>
      </c>
      <c r="L146" s="24">
        <f>GETPIVOTDATA("Sum of SOrad",SalmonPivot!$Y$4,"Date",B146,"Site",2)</f>
        <v>8</v>
      </c>
      <c r="M146" s="24">
        <f>N146+GETPIVOTDATA("Sum of PKno",SalmonPivot!$AK$4,"Date",B146,"Site",2)+GETPIVOTDATA("Sum of PKrecap",SalmonPivot!$AK$4,"Date",B146,"Site",2)</f>
        <v>4</v>
      </c>
      <c r="N146" s="24">
        <f>GETPIVOTDATA("Sum of PKrad",SalmonPivot!$AK$4,"Date",B146,"Site",2)</f>
        <v>0</v>
      </c>
      <c r="O146" s="24">
        <f>P146+GETPIVOTDATA("Sum of CMno",SalmonPivot!$AW$4,"Date",B146,"Site",2)+GETPIVOTDATA("Sum of CMrecap",SalmonPivot!$AW$4,"Date",B146,"Site",2)</f>
        <v>2</v>
      </c>
      <c r="P146" s="24">
        <f>GETPIVOTDATA("Sum of CMrad",SalmonPivot!$AW$4,"Date",B146,"Site",2)</f>
        <v>2</v>
      </c>
      <c r="Q146" s="25">
        <f>R146+GETPIVOTDATA("Sum of COno",SalmonPivot!$BI$4,"Date",B146,"Site",2)+GETPIVOTDATA("Sum of COrecap",SalmonPivot!$BI$4,"Date",B146,"Site",2)</f>
        <v>0</v>
      </c>
      <c r="R146" s="24">
        <f>GETPIVOTDATA("Sum of COrad",SalmonPivot!$BI$4,"Date",B146,"Site",2)</f>
        <v>0</v>
      </c>
      <c r="S146" s="24">
        <f>GETPIVOTDATA("Sum of TotalOther",OtherPivot!$J$5,"Date",B146,"Site",2)</f>
        <v>0</v>
      </c>
      <c r="T146" s="38"/>
      <c r="U146" s="172">
        <f>IF(GETPIVOTDATA("3 Revs (s)",EffortRPMPivot!$L$4,"Date",$B146,"Site",2)=0,"",GETPIVOTDATA("3 revs (s)",EffortRPMPivot!$L$4,"date",$B146,"Site",2))</f>
        <v>34</v>
      </c>
      <c r="V146" s="173">
        <f t="shared" si="205"/>
        <v>0</v>
      </c>
      <c r="W146" s="173">
        <f t="shared" si="206"/>
        <v>0</v>
      </c>
      <c r="X146" s="173">
        <f t="shared" si="207"/>
        <v>0.68376068376068388</v>
      </c>
      <c r="Y146" s="173">
        <f t="shared" si="208"/>
        <v>0.34188034188034194</v>
      </c>
      <c r="Z146" s="173">
        <f t="shared" si="209"/>
        <v>0.17094017094017097</v>
      </c>
      <c r="AA146" s="174">
        <f t="shared" si="210"/>
        <v>0</v>
      </c>
      <c r="AB146" s="181"/>
      <c r="AC146" s="181"/>
      <c r="AD146" s="181"/>
      <c r="AE146" s="181"/>
      <c r="AF146" s="181"/>
      <c r="AG146" s="181"/>
      <c r="AH146" s="182"/>
      <c r="AI146" s="181"/>
      <c r="AJ146" s="181"/>
      <c r="AK146" s="181"/>
      <c r="AL146" s="181"/>
      <c r="AM146" s="181"/>
      <c r="AN146" s="182"/>
      <c r="AO146" s="181"/>
      <c r="AP146" s="181"/>
      <c r="AQ146" s="181"/>
      <c r="AR146" s="181"/>
      <c r="AS146" s="181"/>
      <c r="AT146" s="182"/>
      <c r="AU146" s="181"/>
      <c r="AV146" s="181"/>
      <c r="AW146" s="181"/>
      <c r="AX146" s="181"/>
      <c r="AY146" s="181"/>
      <c r="AZ146" s="182"/>
      <c r="BA146" s="185"/>
      <c r="BB146" s="185"/>
      <c r="BC146" s="185"/>
      <c r="BD146" s="185"/>
      <c r="BE146" s="185"/>
      <c r="BF146" s="186"/>
      <c r="BG146" s="185"/>
      <c r="BH146" s="185"/>
      <c r="BI146" s="185"/>
      <c r="BJ146" s="185"/>
      <c r="BK146" s="185"/>
      <c r="BL146" s="186"/>
      <c r="BM146" s="409"/>
      <c r="BN146" s="409"/>
    </row>
    <row r="147" spans="1:66" s="49" customFormat="1" x14ac:dyDescent="0.2">
      <c r="A147" s="61"/>
      <c r="B147" s="60">
        <f t="shared" si="127"/>
        <v>41843</v>
      </c>
      <c r="C147" s="22">
        <f t="shared" si="204"/>
        <v>5.3465346534653468</v>
      </c>
      <c r="D147" s="23">
        <f>GETPIVOTDATA("Active time (min)",EffortRPMPivot!$A$4,"date",B147,"Site",2)/60</f>
        <v>11.966666666666669</v>
      </c>
      <c r="E147" s="24">
        <f>F147+G147+GETPIVOTDATA("Sum of CNlgNo",SalmonPivot!$A$4,"Date",B147,"Site",2)</f>
        <v>0</v>
      </c>
      <c r="F147" s="24">
        <f>GETPIVOTDATA("Sum of CNlgrad",SalmonPivot!$A$4,"date",B147,"Site",2)</f>
        <v>0</v>
      </c>
      <c r="G147" s="24">
        <f>GETPIVOTDATA("Sum of CNlgrecap",SalmonPivot!$A$4,"date",B147,"Site",2)</f>
        <v>0</v>
      </c>
      <c r="H147" s="24">
        <f>I147+J147+GETPIVOTDATA("Sum of CNsmno",SalmonPivot!$M$4,"Date",B147,"Site",2)</f>
        <v>0</v>
      </c>
      <c r="I147" s="24">
        <f>GETPIVOTDATA("Sum of CNsmradio",SalmonPivot!$M$4,"Date",B147,"Site",2)</f>
        <v>0</v>
      </c>
      <c r="J147" s="24">
        <f>GETPIVOTDATA("Sum of CNsmrecap",SalmonPivot!$M$4,"Date",B147,"Site",2)</f>
        <v>0</v>
      </c>
      <c r="K147" s="24">
        <f>L147+GETPIVOTDATA("Sum of SOno",SalmonPivot!$Y$4,"Date",B147,"Site",2)+GETPIVOTDATA("Sum of SOrecap",SalmonPivot!$Y$4,"Date",B147,"Site",2)</f>
        <v>2</v>
      </c>
      <c r="L147" s="24">
        <f>GETPIVOTDATA("Sum of SOrad",SalmonPivot!$Y$4,"Date",B147,"Site",2)</f>
        <v>2</v>
      </c>
      <c r="M147" s="24">
        <f>N147+GETPIVOTDATA("Sum of PKno",SalmonPivot!$AK$4,"Date",B147,"Site",2)+GETPIVOTDATA("Sum of PKrecap",SalmonPivot!$AK$4,"Date",B147,"Site",2)</f>
        <v>3</v>
      </c>
      <c r="N147" s="24">
        <f>GETPIVOTDATA("Sum of PKrad",SalmonPivot!$AK$4,"Date",B147,"Site",2)</f>
        <v>1</v>
      </c>
      <c r="O147" s="24">
        <f>P147+GETPIVOTDATA("Sum of CMno",SalmonPivot!$AW$4,"Date",B147,"Site",2)+GETPIVOTDATA("Sum of CMrecap",SalmonPivot!$AW$4,"Date",B147,"Site",2)</f>
        <v>1</v>
      </c>
      <c r="P147" s="24">
        <f>GETPIVOTDATA("Sum of CMrad",SalmonPivot!$AW$4,"Date",B147,"Site",2)</f>
        <v>1</v>
      </c>
      <c r="Q147" s="25">
        <f>R147+GETPIVOTDATA("Sum of COno",SalmonPivot!$BI$4,"Date",B147,"Site",2)+GETPIVOTDATA("Sum of COrecap",SalmonPivot!$BI$4,"Date",B147,"Site",2)</f>
        <v>0</v>
      </c>
      <c r="R147" s="24">
        <f>GETPIVOTDATA("Sum of COrad",SalmonPivot!$BI$4,"Date",B147,"Site",2)</f>
        <v>0</v>
      </c>
      <c r="S147" s="24">
        <f>GETPIVOTDATA("Sum of TotalOther",OtherPivot!$J$5,"Date",B147,"Site",2)</f>
        <v>0</v>
      </c>
      <c r="T147" s="38"/>
      <c r="U147" s="172">
        <f>IF(GETPIVOTDATA("3 Revs (s)",EffortRPMPivot!$L$4,"Date",$B147,"Site",2)=0,"",GETPIVOTDATA("3 revs (s)",EffortRPMPivot!$L$4,"date",$B147,"Site",2))</f>
        <v>33.666666666666664</v>
      </c>
      <c r="V147" s="173">
        <f t="shared" si="205"/>
        <v>0</v>
      </c>
      <c r="W147" s="173">
        <f t="shared" si="206"/>
        <v>0</v>
      </c>
      <c r="X147" s="173">
        <f t="shared" si="207"/>
        <v>0.16713091922005568</v>
      </c>
      <c r="Y147" s="173">
        <f t="shared" si="208"/>
        <v>0.2506963788300835</v>
      </c>
      <c r="Z147" s="173">
        <f t="shared" si="209"/>
        <v>8.3565459610027842E-2</v>
      </c>
      <c r="AA147" s="174">
        <f t="shared" si="210"/>
        <v>0</v>
      </c>
      <c r="AB147" s="181"/>
      <c r="AC147" s="181"/>
      <c r="AD147" s="181"/>
      <c r="AE147" s="181"/>
      <c r="AF147" s="181"/>
      <c r="AG147" s="181"/>
      <c r="AH147" s="182"/>
      <c r="AI147" s="181"/>
      <c r="AJ147" s="181"/>
      <c r="AK147" s="181"/>
      <c r="AL147" s="181"/>
      <c r="AM147" s="181"/>
      <c r="AN147" s="182"/>
      <c r="AO147" s="181"/>
      <c r="AP147" s="181"/>
      <c r="AQ147" s="181"/>
      <c r="AR147" s="181"/>
      <c r="AS147" s="181"/>
      <c r="AT147" s="182"/>
      <c r="AU147" s="181"/>
      <c r="AV147" s="181"/>
      <c r="AW147" s="181"/>
      <c r="AX147" s="181"/>
      <c r="AY147" s="181"/>
      <c r="AZ147" s="182"/>
      <c r="BA147" s="185"/>
      <c r="BB147" s="185"/>
      <c r="BC147" s="185"/>
      <c r="BD147" s="185"/>
      <c r="BE147" s="185"/>
      <c r="BF147" s="186"/>
      <c r="BG147" s="185"/>
      <c r="BH147" s="185"/>
      <c r="BI147" s="185"/>
      <c r="BJ147" s="185"/>
      <c r="BK147" s="185"/>
      <c r="BL147" s="186"/>
      <c r="BM147" s="409"/>
      <c r="BN147" s="409"/>
    </row>
    <row r="148" spans="1:66" s="49" customFormat="1" x14ac:dyDescent="0.2">
      <c r="A148" s="61"/>
      <c r="B148" s="60">
        <f t="shared" si="127"/>
        <v>41844</v>
      </c>
      <c r="C148" s="22">
        <f t="shared" ref="C148:C152" si="211">IF(ISERROR(3/(U148/60)),"",3/(U148/60))</f>
        <v>4.9315068493150687</v>
      </c>
      <c r="D148" s="23">
        <f>GETPIVOTDATA("Active time (min)",EffortRPMPivot!$A$4,"date",B148,"Site",2)/60</f>
        <v>12.05</v>
      </c>
      <c r="E148" s="24">
        <f>F148+G148+GETPIVOTDATA("Sum of CNlgNo",SalmonPivot!$A$4,"Date",B148,"Site",2)</f>
        <v>0</v>
      </c>
      <c r="F148" s="24">
        <f>GETPIVOTDATA("Sum of CNlgrad",SalmonPivot!$A$4,"date",B148,"Site",2)</f>
        <v>0</v>
      </c>
      <c r="G148" s="24">
        <f>GETPIVOTDATA("Sum of CNlgrecap",SalmonPivot!$A$4,"date",B148,"Site",2)</f>
        <v>0</v>
      </c>
      <c r="H148" s="24">
        <f>I148+J148+GETPIVOTDATA("Sum of CNsmno",SalmonPivot!$M$4,"Date",B148,"Site",2)</f>
        <v>0</v>
      </c>
      <c r="I148" s="24">
        <f>GETPIVOTDATA("Sum of CNsmradio",SalmonPivot!$M$4,"Date",B148,"Site",2)</f>
        <v>0</v>
      </c>
      <c r="J148" s="24">
        <f>GETPIVOTDATA("Sum of CNsmrecap",SalmonPivot!$M$4,"Date",B148,"Site",2)</f>
        <v>0</v>
      </c>
      <c r="K148" s="24">
        <f>L148+GETPIVOTDATA("Sum of SOno",SalmonPivot!$Y$4,"Date",B148,"Site",2)+GETPIVOTDATA("Sum of SOrecap",SalmonPivot!$Y$4,"Date",B148,"Site",2)</f>
        <v>1</v>
      </c>
      <c r="L148" s="24">
        <f>GETPIVOTDATA("Sum of SOrad",SalmonPivot!$Y$4,"Date",B148,"Site",2)</f>
        <v>1</v>
      </c>
      <c r="M148" s="24">
        <f>N148+GETPIVOTDATA("Sum of PKno",SalmonPivot!$AK$4,"Date",B148,"Site",2)+GETPIVOTDATA("Sum of PKrecap",SalmonPivot!$AK$4,"Date",B148,"Site",2)</f>
        <v>0</v>
      </c>
      <c r="N148" s="24">
        <f>GETPIVOTDATA("Sum of PKrad",SalmonPivot!$AK$4,"Date",B148,"Site",2)</f>
        <v>0</v>
      </c>
      <c r="O148" s="24">
        <f>P148+GETPIVOTDATA("Sum of CMno",SalmonPivot!$AW$4,"Date",B148,"Site",2)+GETPIVOTDATA("Sum of CMrecap",SalmonPivot!$AW$4,"Date",B148,"Site",2)</f>
        <v>3</v>
      </c>
      <c r="P148" s="24">
        <f>GETPIVOTDATA("Sum of CMrad",SalmonPivot!$AW$4,"Date",B148,"Site",2)</f>
        <v>1</v>
      </c>
      <c r="Q148" s="25">
        <f>R148+GETPIVOTDATA("Sum of COno",SalmonPivot!$BI$4,"Date",B148,"Site",2)+GETPIVOTDATA("Sum of COrecap",SalmonPivot!$BI$4,"Date",B148,"Site",2)</f>
        <v>0</v>
      </c>
      <c r="R148" s="24">
        <f>GETPIVOTDATA("Sum of COrad",SalmonPivot!$BI$4,"Date",B148,"Site",2)</f>
        <v>0</v>
      </c>
      <c r="S148" s="24">
        <f>GETPIVOTDATA("Sum of TotalOther",OtherPivot!$J$5,"Date",B148,"Site",2)</f>
        <v>0</v>
      </c>
      <c r="T148" s="38"/>
      <c r="U148" s="172">
        <f>IF(GETPIVOTDATA("3 Revs (s)",EffortRPMPivot!$L$4,"Date",$B148,"Site",2)=0,"",GETPIVOTDATA("3 revs (s)",EffortRPMPivot!$L$4,"date",$B148,"Site",2))</f>
        <v>36.5</v>
      </c>
      <c r="V148" s="173">
        <f t="shared" ref="V148:V152" si="212">IF(D148=0,"",E148/D148)</f>
        <v>0</v>
      </c>
      <c r="W148" s="173">
        <f t="shared" ref="W148:W152" si="213">IF(D148=0,"",H148/D148)</f>
        <v>0</v>
      </c>
      <c r="X148" s="173">
        <f t="shared" ref="X148:X152" si="214">IF(D148=0,"",K148/$D148)</f>
        <v>8.2987551867219914E-2</v>
      </c>
      <c r="Y148" s="173">
        <f t="shared" ref="Y148:Y152" si="215">IF(D148=0,"",M148/$D148)</f>
        <v>0</v>
      </c>
      <c r="Z148" s="173">
        <f t="shared" ref="Z148:Z152" si="216">IF(D148=0,"",O148/$D148)</f>
        <v>0.24896265560165973</v>
      </c>
      <c r="AA148" s="174">
        <f t="shared" ref="AA148:AA152" si="217">IF(D148=0,"",Q148/$D148)</f>
        <v>0</v>
      </c>
      <c r="AB148" s="181"/>
      <c r="AC148" s="181"/>
      <c r="AD148" s="181"/>
      <c r="AE148" s="181"/>
      <c r="AF148" s="181"/>
      <c r="AG148" s="181"/>
      <c r="AH148" s="182"/>
      <c r="AI148" s="181"/>
      <c r="AJ148" s="181"/>
      <c r="AK148" s="181"/>
      <c r="AL148" s="181"/>
      <c r="AM148" s="181"/>
      <c r="AN148" s="182"/>
      <c r="AO148" s="181"/>
      <c r="AP148" s="181"/>
      <c r="AQ148" s="181"/>
      <c r="AR148" s="181"/>
      <c r="AS148" s="181"/>
      <c r="AT148" s="182"/>
      <c r="AU148" s="181"/>
      <c r="AV148" s="181"/>
      <c r="AW148" s="181"/>
      <c r="AX148" s="181"/>
      <c r="AY148" s="181"/>
      <c r="AZ148" s="182"/>
      <c r="BA148" s="185"/>
      <c r="BB148" s="185"/>
      <c r="BC148" s="185"/>
      <c r="BD148" s="185"/>
      <c r="BE148" s="185"/>
      <c r="BF148" s="186"/>
      <c r="BG148" s="185"/>
      <c r="BH148" s="185"/>
      <c r="BI148" s="185"/>
      <c r="BJ148" s="185"/>
      <c r="BK148" s="185"/>
      <c r="BL148" s="186"/>
      <c r="BM148" s="409"/>
      <c r="BN148" s="409"/>
    </row>
    <row r="149" spans="1:66" s="49" customFormat="1" x14ac:dyDescent="0.2">
      <c r="A149" s="61"/>
      <c r="B149" s="60">
        <f t="shared" si="127"/>
        <v>41845</v>
      </c>
      <c r="C149" s="22">
        <f t="shared" si="211"/>
        <v>5.2941176470588234</v>
      </c>
      <c r="D149" s="23">
        <f>GETPIVOTDATA("Active time (min)",EffortRPMPivot!$A$4,"date",B149,"Site",2)/60</f>
        <v>12.016666666666667</v>
      </c>
      <c r="E149" s="24">
        <f>F149+G149+GETPIVOTDATA("Sum of CNlgNo",SalmonPivot!$A$4,"Date",B149,"Site",2)</f>
        <v>0</v>
      </c>
      <c r="F149" s="24">
        <f>GETPIVOTDATA("Sum of CNlgrad",SalmonPivot!$A$4,"date",B149,"Site",2)</f>
        <v>0</v>
      </c>
      <c r="G149" s="24">
        <f>GETPIVOTDATA("Sum of CNlgrecap",SalmonPivot!$A$4,"date",B149,"Site",2)</f>
        <v>0</v>
      </c>
      <c r="H149" s="24">
        <f>I149+J149+GETPIVOTDATA("Sum of CNsmno",SalmonPivot!$M$4,"Date",B149,"Site",2)</f>
        <v>0</v>
      </c>
      <c r="I149" s="24">
        <f>GETPIVOTDATA("Sum of CNsmradio",SalmonPivot!$M$4,"Date",B149,"Site",2)</f>
        <v>0</v>
      </c>
      <c r="J149" s="24">
        <f>GETPIVOTDATA("Sum of CNsmrecap",SalmonPivot!$M$4,"Date",B149,"Site",2)</f>
        <v>0</v>
      </c>
      <c r="K149" s="24">
        <f>L149+GETPIVOTDATA("Sum of SOno",SalmonPivot!$Y$4,"Date",B149,"Site",2)+GETPIVOTDATA("Sum of SOrecap",SalmonPivot!$Y$4,"Date",B149,"Site",2)</f>
        <v>1</v>
      </c>
      <c r="L149" s="24">
        <f>GETPIVOTDATA("Sum of SOrad",SalmonPivot!$Y$4,"Date",B149,"Site",2)</f>
        <v>1</v>
      </c>
      <c r="M149" s="24">
        <f>N149+GETPIVOTDATA("Sum of PKno",SalmonPivot!$AK$4,"Date",B149,"Site",2)+GETPIVOTDATA("Sum of PKrecap",SalmonPivot!$AK$4,"Date",B149,"Site",2)</f>
        <v>2</v>
      </c>
      <c r="N149" s="24">
        <f>GETPIVOTDATA("Sum of PKrad",SalmonPivot!$AK$4,"Date",B149,"Site",2)</f>
        <v>0</v>
      </c>
      <c r="O149" s="24">
        <f>P149+GETPIVOTDATA("Sum of CMno",SalmonPivot!$AW$4,"Date",B149,"Site",2)+GETPIVOTDATA("Sum of CMrecap",SalmonPivot!$AW$4,"Date",B149,"Site",2)</f>
        <v>5</v>
      </c>
      <c r="P149" s="24">
        <f>GETPIVOTDATA("Sum of CMrad",SalmonPivot!$AW$4,"Date",B149,"Site",2)</f>
        <v>5</v>
      </c>
      <c r="Q149" s="25">
        <f>R149+GETPIVOTDATA("Sum of COno",SalmonPivot!$BI$4,"Date",B149,"Site",2)+GETPIVOTDATA("Sum of COrecap",SalmonPivot!$BI$4,"Date",B149,"Site",2)</f>
        <v>0</v>
      </c>
      <c r="R149" s="24">
        <f>GETPIVOTDATA("Sum of COrad",SalmonPivot!$BI$4,"Date",B149,"Site",2)</f>
        <v>0</v>
      </c>
      <c r="S149" s="24">
        <f>GETPIVOTDATA("Sum of TotalOther",OtherPivot!$J$5,"Date",B149,"Site",2)</f>
        <v>0</v>
      </c>
      <c r="T149" s="38"/>
      <c r="U149" s="172">
        <f>IF(GETPIVOTDATA("3 Revs (s)",EffortRPMPivot!$L$4,"Date",$B149,"Site",2)=0,"",GETPIVOTDATA("3 revs (s)",EffortRPMPivot!$L$4,"date",$B149,"Site",2))</f>
        <v>34</v>
      </c>
      <c r="V149" s="173">
        <f t="shared" si="212"/>
        <v>0</v>
      </c>
      <c r="W149" s="173">
        <f t="shared" si="213"/>
        <v>0</v>
      </c>
      <c r="X149" s="173">
        <f t="shared" si="214"/>
        <v>8.3217753120665733E-2</v>
      </c>
      <c r="Y149" s="173">
        <f t="shared" si="215"/>
        <v>0.16643550624133147</v>
      </c>
      <c r="Z149" s="173">
        <f t="shared" si="216"/>
        <v>0.41608876560332869</v>
      </c>
      <c r="AA149" s="174">
        <f t="shared" si="217"/>
        <v>0</v>
      </c>
      <c r="AB149" s="181"/>
      <c r="AC149" s="181"/>
      <c r="AD149" s="181"/>
      <c r="AE149" s="181"/>
      <c r="AF149" s="181"/>
      <c r="AG149" s="181"/>
      <c r="AH149" s="182"/>
      <c r="AI149" s="181"/>
      <c r="AJ149" s="181"/>
      <c r="AK149" s="181"/>
      <c r="AL149" s="181"/>
      <c r="AM149" s="181"/>
      <c r="AN149" s="182"/>
      <c r="AO149" s="181"/>
      <c r="AP149" s="181"/>
      <c r="AQ149" s="181"/>
      <c r="AR149" s="181"/>
      <c r="AS149" s="181"/>
      <c r="AT149" s="182"/>
      <c r="AU149" s="181"/>
      <c r="AV149" s="181"/>
      <c r="AW149" s="181"/>
      <c r="AX149" s="181"/>
      <c r="AY149" s="181"/>
      <c r="AZ149" s="182"/>
      <c r="BA149" s="185"/>
      <c r="BB149" s="185"/>
      <c r="BC149" s="185"/>
      <c r="BD149" s="185"/>
      <c r="BE149" s="185"/>
      <c r="BF149" s="186"/>
      <c r="BG149" s="185"/>
      <c r="BH149" s="185"/>
      <c r="BI149" s="185"/>
      <c r="BJ149" s="185"/>
      <c r="BK149" s="185"/>
      <c r="BL149" s="186"/>
      <c r="BM149" s="409"/>
      <c r="BN149" s="409"/>
    </row>
    <row r="150" spans="1:66" s="49" customFormat="1" x14ac:dyDescent="0.2">
      <c r="A150" s="61"/>
      <c r="B150" s="60">
        <f t="shared" si="127"/>
        <v>41846</v>
      </c>
      <c r="C150" s="22">
        <f t="shared" si="211"/>
        <v>5.3465346534653468</v>
      </c>
      <c r="D150" s="23">
        <f>GETPIVOTDATA("Active time (min)",EffortRPMPivot!$A$4,"date",B150,"Site",2)/60</f>
        <v>11.983333333333336</v>
      </c>
      <c r="E150" s="24">
        <f>F150+G150+GETPIVOTDATA("Sum of CNlgNo",SalmonPivot!$A$4,"Date",B150,"Site",2)</f>
        <v>0</v>
      </c>
      <c r="F150" s="24">
        <f>GETPIVOTDATA("Sum of CNlgrad",SalmonPivot!$A$4,"date",B150,"Site",2)</f>
        <v>0</v>
      </c>
      <c r="G150" s="24">
        <f>GETPIVOTDATA("Sum of CNlgrecap",SalmonPivot!$A$4,"date",B150,"Site",2)</f>
        <v>0</v>
      </c>
      <c r="H150" s="24">
        <f>I150+J150+GETPIVOTDATA("Sum of CNsmno",SalmonPivot!$M$4,"Date",B150,"Site",2)</f>
        <v>0</v>
      </c>
      <c r="I150" s="24">
        <f>GETPIVOTDATA("Sum of CNsmradio",SalmonPivot!$M$4,"Date",B150,"Site",2)</f>
        <v>0</v>
      </c>
      <c r="J150" s="24">
        <f>GETPIVOTDATA("Sum of CNsmrecap",SalmonPivot!$M$4,"Date",B150,"Site",2)</f>
        <v>0</v>
      </c>
      <c r="K150" s="24">
        <f>L150+GETPIVOTDATA("Sum of SOno",SalmonPivot!$Y$4,"Date",B150,"Site",2)+GETPIVOTDATA("Sum of SOrecap",SalmonPivot!$Y$4,"Date",B150,"Site",2)</f>
        <v>2</v>
      </c>
      <c r="L150" s="24">
        <f>GETPIVOTDATA("Sum of SOrad",SalmonPivot!$Y$4,"Date",B150,"Site",2)</f>
        <v>2</v>
      </c>
      <c r="M150" s="24">
        <f>N150+GETPIVOTDATA("Sum of PKno",SalmonPivot!$AK$4,"Date",B150,"Site",2)+GETPIVOTDATA("Sum of PKrecap",SalmonPivot!$AK$4,"Date",B150,"Site",2)</f>
        <v>4</v>
      </c>
      <c r="N150" s="24">
        <f>GETPIVOTDATA("Sum of PKrad",SalmonPivot!$AK$4,"Date",B150,"Site",2)</f>
        <v>2</v>
      </c>
      <c r="O150" s="24">
        <f>P150+GETPIVOTDATA("Sum of CMno",SalmonPivot!$AW$4,"Date",B150,"Site",2)+GETPIVOTDATA("Sum of CMrecap",SalmonPivot!$AW$4,"Date",B150,"Site",2)</f>
        <v>2</v>
      </c>
      <c r="P150" s="24">
        <f>GETPIVOTDATA("Sum of CMrad",SalmonPivot!$AW$4,"Date",B150,"Site",2)</f>
        <v>1</v>
      </c>
      <c r="Q150" s="25">
        <f>R150+GETPIVOTDATA("Sum of COno",SalmonPivot!$BI$4,"Date",B150,"Site",2)+GETPIVOTDATA("Sum of COrecap",SalmonPivot!$BI$4,"Date",B150,"Site",2)</f>
        <v>0</v>
      </c>
      <c r="R150" s="24">
        <f>GETPIVOTDATA("Sum of COrad",SalmonPivot!$BI$4,"Date",B150,"Site",2)</f>
        <v>0</v>
      </c>
      <c r="S150" s="24">
        <f>GETPIVOTDATA("Sum of TotalOther",OtherPivot!$J$5,"Date",B150,"Site",2)</f>
        <v>2</v>
      </c>
      <c r="T150" s="38"/>
      <c r="U150" s="172">
        <f>IF(GETPIVOTDATA("3 Revs (s)",EffortRPMPivot!$L$4,"Date",$B150,"Site",2)=0,"",GETPIVOTDATA("3 revs (s)",EffortRPMPivot!$L$4,"date",$B150,"Site",2))</f>
        <v>33.666666666666664</v>
      </c>
      <c r="V150" s="173">
        <f t="shared" si="212"/>
        <v>0</v>
      </c>
      <c r="W150" s="173">
        <f t="shared" si="213"/>
        <v>0</v>
      </c>
      <c r="X150" s="173">
        <f t="shared" si="214"/>
        <v>0.16689847009735739</v>
      </c>
      <c r="Y150" s="173">
        <f t="shared" si="215"/>
        <v>0.33379694019471479</v>
      </c>
      <c r="Z150" s="173">
        <f t="shared" si="216"/>
        <v>0.16689847009735739</v>
      </c>
      <c r="AA150" s="174">
        <f t="shared" si="217"/>
        <v>0</v>
      </c>
      <c r="AB150" s="181"/>
      <c r="AC150" s="181"/>
      <c r="AD150" s="181"/>
      <c r="AE150" s="181"/>
      <c r="AF150" s="181"/>
      <c r="AG150" s="181"/>
      <c r="AH150" s="182"/>
      <c r="AI150" s="181"/>
      <c r="AJ150" s="181"/>
      <c r="AK150" s="181"/>
      <c r="AL150" s="181"/>
      <c r="AM150" s="181"/>
      <c r="AN150" s="182"/>
      <c r="AO150" s="181"/>
      <c r="AP150" s="181"/>
      <c r="AQ150" s="181"/>
      <c r="AR150" s="181"/>
      <c r="AS150" s="181"/>
      <c r="AT150" s="182"/>
      <c r="AU150" s="181"/>
      <c r="AV150" s="181"/>
      <c r="AW150" s="181"/>
      <c r="AX150" s="181"/>
      <c r="AY150" s="181"/>
      <c r="AZ150" s="182"/>
      <c r="BA150" s="185"/>
      <c r="BB150" s="185"/>
      <c r="BC150" s="185"/>
      <c r="BD150" s="185"/>
      <c r="BE150" s="185"/>
      <c r="BF150" s="186"/>
      <c r="BG150" s="185"/>
      <c r="BH150" s="185"/>
      <c r="BI150" s="185"/>
      <c r="BJ150" s="185"/>
      <c r="BK150" s="185"/>
      <c r="BL150" s="186"/>
      <c r="BM150" s="409"/>
      <c r="BN150" s="409"/>
    </row>
    <row r="151" spans="1:66" s="49" customFormat="1" x14ac:dyDescent="0.2">
      <c r="A151" s="61"/>
      <c r="B151" s="60">
        <f t="shared" si="127"/>
        <v>41847</v>
      </c>
      <c r="C151" s="22">
        <f t="shared" si="211"/>
        <v>5.7446808510638299</v>
      </c>
      <c r="D151" s="23">
        <f>GETPIVOTDATA("Active time (min)",EffortRPMPivot!$A$4,"date",B151,"Site",2)/60</f>
        <v>12.016666666666669</v>
      </c>
      <c r="E151" s="24">
        <f>F151+G151+GETPIVOTDATA("Sum of CNlgNo",SalmonPivot!$A$4,"Date",B151,"Site",2)</f>
        <v>0</v>
      </c>
      <c r="F151" s="24">
        <f>GETPIVOTDATA("Sum of CNlgrad",SalmonPivot!$A$4,"date",B151,"Site",2)</f>
        <v>0</v>
      </c>
      <c r="G151" s="24">
        <f>GETPIVOTDATA("Sum of CNlgrecap",SalmonPivot!$A$4,"date",B151,"Site",2)</f>
        <v>0</v>
      </c>
      <c r="H151" s="24">
        <f>I151+J151+GETPIVOTDATA("Sum of CNsmno",SalmonPivot!$M$4,"Date",B151,"Site",2)</f>
        <v>0</v>
      </c>
      <c r="I151" s="24">
        <f>GETPIVOTDATA("Sum of CNsmradio",SalmonPivot!$M$4,"Date",B151,"Site",2)</f>
        <v>0</v>
      </c>
      <c r="J151" s="24">
        <f>GETPIVOTDATA("Sum of CNsmrecap",SalmonPivot!$M$4,"Date",B151,"Site",2)</f>
        <v>0</v>
      </c>
      <c r="K151" s="24">
        <f>L151+GETPIVOTDATA("Sum of SOno",SalmonPivot!$Y$4,"Date",B151,"Site",2)+GETPIVOTDATA("Sum of SOrecap",SalmonPivot!$Y$4,"Date",B151,"Site",2)</f>
        <v>6</v>
      </c>
      <c r="L151" s="24">
        <f>GETPIVOTDATA("Sum of SOrad",SalmonPivot!$Y$4,"Date",B151,"Site",2)</f>
        <v>6</v>
      </c>
      <c r="M151" s="24">
        <f>N151+GETPIVOTDATA("Sum of PKno",SalmonPivot!$AK$4,"Date",B151,"Site",2)+GETPIVOTDATA("Sum of PKrecap",SalmonPivot!$AK$4,"Date",B151,"Site",2)</f>
        <v>2</v>
      </c>
      <c r="N151" s="24">
        <f>GETPIVOTDATA("Sum of PKrad",SalmonPivot!$AK$4,"Date",B151,"Site",2)</f>
        <v>2</v>
      </c>
      <c r="O151" s="24">
        <f>P151+GETPIVOTDATA("Sum of CMno",SalmonPivot!$AW$4,"Date",B151,"Site",2)+GETPIVOTDATA("Sum of CMrecap",SalmonPivot!$AW$4,"Date",B151,"Site",2)</f>
        <v>3</v>
      </c>
      <c r="P151" s="24">
        <f>GETPIVOTDATA("Sum of CMrad",SalmonPivot!$AW$4,"Date",B151,"Site",2)</f>
        <v>2</v>
      </c>
      <c r="Q151" s="25">
        <f>R151+GETPIVOTDATA("Sum of COno",SalmonPivot!$BI$4,"Date",B151,"Site",2)+GETPIVOTDATA("Sum of COrecap",SalmonPivot!$BI$4,"Date",B151,"Site",2)</f>
        <v>1</v>
      </c>
      <c r="R151" s="24">
        <f>GETPIVOTDATA("Sum of COrad",SalmonPivot!$BI$4,"Date",B151,"Site",2)</f>
        <v>1</v>
      </c>
      <c r="S151" s="24">
        <f>GETPIVOTDATA("Sum of TotalOther",OtherPivot!$J$5,"Date",B151,"Site",2)</f>
        <v>0</v>
      </c>
      <c r="T151" s="38"/>
      <c r="U151" s="172">
        <f>IF(GETPIVOTDATA("3 Revs (s)",EffortRPMPivot!$L$4,"Date",$B151,"Site",2)=0,"",GETPIVOTDATA("3 revs (s)",EffortRPMPivot!$L$4,"date",$B151,"Site",2))</f>
        <v>31.333333333333332</v>
      </c>
      <c r="V151" s="173">
        <f t="shared" si="212"/>
        <v>0</v>
      </c>
      <c r="W151" s="173">
        <f t="shared" si="213"/>
        <v>0</v>
      </c>
      <c r="X151" s="173">
        <f t="shared" si="214"/>
        <v>0.49930651872399434</v>
      </c>
      <c r="Y151" s="173">
        <f t="shared" si="215"/>
        <v>0.16643550624133144</v>
      </c>
      <c r="Z151" s="173">
        <f t="shared" si="216"/>
        <v>0.24965325936199717</v>
      </c>
      <c r="AA151" s="174">
        <f t="shared" si="217"/>
        <v>8.3217753120665719E-2</v>
      </c>
      <c r="AB151" s="181"/>
      <c r="AC151" s="181"/>
      <c r="AD151" s="181"/>
      <c r="AE151" s="181"/>
      <c r="AF151" s="181"/>
      <c r="AG151" s="181"/>
      <c r="AH151" s="182"/>
      <c r="AI151" s="181"/>
      <c r="AJ151" s="181"/>
      <c r="AK151" s="181"/>
      <c r="AL151" s="181"/>
      <c r="AM151" s="181"/>
      <c r="AN151" s="182"/>
      <c r="AO151" s="181"/>
      <c r="AP151" s="181"/>
      <c r="AQ151" s="181"/>
      <c r="AR151" s="181"/>
      <c r="AS151" s="181"/>
      <c r="AT151" s="182"/>
      <c r="AU151" s="181"/>
      <c r="AV151" s="181"/>
      <c r="AW151" s="181"/>
      <c r="AX151" s="181"/>
      <c r="AY151" s="181"/>
      <c r="AZ151" s="182"/>
      <c r="BA151" s="185"/>
      <c r="BB151" s="185"/>
      <c r="BC151" s="185"/>
      <c r="BD151" s="185"/>
      <c r="BE151" s="185"/>
      <c r="BF151" s="186"/>
      <c r="BG151" s="185"/>
      <c r="BH151" s="185"/>
      <c r="BI151" s="185"/>
      <c r="BJ151" s="185"/>
      <c r="BK151" s="185"/>
      <c r="BL151" s="186"/>
      <c r="BM151" s="409"/>
      <c r="BN151" s="409"/>
    </row>
    <row r="152" spans="1:66" s="49" customFormat="1" x14ac:dyDescent="0.2">
      <c r="A152" s="61"/>
      <c r="B152" s="60">
        <f t="shared" si="127"/>
        <v>41848</v>
      </c>
      <c r="C152" s="22">
        <f t="shared" si="211"/>
        <v>5.4545454545454541</v>
      </c>
      <c r="D152" s="23">
        <f>GETPIVOTDATA("Active time (min)",EffortRPMPivot!$A$4,"date",B152,"Site",2)/60</f>
        <v>12.016666666666667</v>
      </c>
      <c r="E152" s="24">
        <f>F152+G152+GETPIVOTDATA("Sum of CNlgNo",SalmonPivot!$A$4,"Date",B152,"Site",2)</f>
        <v>0</v>
      </c>
      <c r="F152" s="24">
        <f>GETPIVOTDATA("Sum of CNlgrad",SalmonPivot!$A$4,"date",B152,"Site",2)</f>
        <v>0</v>
      </c>
      <c r="G152" s="24">
        <f>GETPIVOTDATA("Sum of CNlgrecap",SalmonPivot!$A$4,"date",B152,"Site",2)</f>
        <v>0</v>
      </c>
      <c r="H152" s="24">
        <f>I152+J152+GETPIVOTDATA("Sum of CNsmno",SalmonPivot!$M$4,"Date",B152,"Site",2)</f>
        <v>0</v>
      </c>
      <c r="I152" s="24">
        <f>GETPIVOTDATA("Sum of CNsmradio",SalmonPivot!$M$4,"Date",B152,"Site",2)</f>
        <v>0</v>
      </c>
      <c r="J152" s="24">
        <f>GETPIVOTDATA("Sum of CNsmrecap",SalmonPivot!$M$4,"Date",B152,"Site",2)</f>
        <v>0</v>
      </c>
      <c r="K152" s="24">
        <f>L152+GETPIVOTDATA("Sum of SOno",SalmonPivot!$Y$4,"Date",B152,"Site",2)+GETPIVOTDATA("Sum of SOrecap",SalmonPivot!$Y$4,"Date",B152,"Site",2)</f>
        <v>5</v>
      </c>
      <c r="L152" s="24">
        <f>GETPIVOTDATA("Sum of SOrad",SalmonPivot!$Y$4,"Date",B152,"Site",2)</f>
        <v>5</v>
      </c>
      <c r="M152" s="24">
        <f>N152+GETPIVOTDATA("Sum of PKno",SalmonPivot!$AK$4,"Date",B152,"Site",2)+GETPIVOTDATA("Sum of PKrecap",SalmonPivot!$AK$4,"Date",B152,"Site",2)</f>
        <v>4</v>
      </c>
      <c r="N152" s="24">
        <f>GETPIVOTDATA("Sum of PKrad",SalmonPivot!$AK$4,"Date",B152,"Site",2)</f>
        <v>2</v>
      </c>
      <c r="O152" s="24">
        <f>P152+GETPIVOTDATA("Sum of CMno",SalmonPivot!$AW$4,"Date",B152,"Site",2)+GETPIVOTDATA("Sum of CMrecap",SalmonPivot!$AW$4,"Date",B152,"Site",2)</f>
        <v>4</v>
      </c>
      <c r="P152" s="24">
        <f>GETPIVOTDATA("Sum of CMrad",SalmonPivot!$AW$4,"Date",B152,"Site",2)</f>
        <v>1</v>
      </c>
      <c r="Q152" s="25">
        <f>R152+GETPIVOTDATA("Sum of COno",SalmonPivot!$BI$4,"Date",B152,"Site",2)+GETPIVOTDATA("Sum of COrecap",SalmonPivot!$BI$4,"Date",B152,"Site",2)</f>
        <v>0</v>
      </c>
      <c r="R152" s="24">
        <f>GETPIVOTDATA("Sum of COrad",SalmonPivot!$BI$4,"Date",B152,"Site",2)</f>
        <v>0</v>
      </c>
      <c r="S152" s="24">
        <f>GETPIVOTDATA("Sum of TotalOther",OtherPivot!$J$5,"Date",B152,"Site",2)</f>
        <v>0</v>
      </c>
      <c r="T152" s="38"/>
      <c r="U152" s="172">
        <f>IF(GETPIVOTDATA("3 Revs (s)",EffortRPMPivot!$L$4,"Date",$B152,"Site",2)=0,"",GETPIVOTDATA("3 revs (s)",EffortRPMPivot!$L$4,"date",$B152,"Site",2))</f>
        <v>33</v>
      </c>
      <c r="V152" s="173">
        <f t="shared" si="212"/>
        <v>0</v>
      </c>
      <c r="W152" s="173">
        <f t="shared" si="213"/>
        <v>0</v>
      </c>
      <c r="X152" s="173">
        <f t="shared" si="214"/>
        <v>0.41608876560332869</v>
      </c>
      <c r="Y152" s="173">
        <f t="shared" si="215"/>
        <v>0.33287101248266293</v>
      </c>
      <c r="Z152" s="173">
        <f t="shared" si="216"/>
        <v>0.33287101248266293</v>
      </c>
      <c r="AA152" s="174">
        <f t="shared" si="217"/>
        <v>0</v>
      </c>
      <c r="AB152" s="181"/>
      <c r="AC152" s="181"/>
      <c r="AD152" s="181"/>
      <c r="AE152" s="181"/>
      <c r="AF152" s="181"/>
      <c r="AG152" s="181"/>
      <c r="AH152" s="182"/>
      <c r="AI152" s="181"/>
      <c r="AJ152" s="181"/>
      <c r="AK152" s="181"/>
      <c r="AL152" s="181"/>
      <c r="AM152" s="181"/>
      <c r="AN152" s="182"/>
      <c r="AO152" s="181"/>
      <c r="AP152" s="181"/>
      <c r="AQ152" s="181"/>
      <c r="AR152" s="181"/>
      <c r="AS152" s="181"/>
      <c r="AT152" s="182"/>
      <c r="AU152" s="181"/>
      <c r="AV152" s="181"/>
      <c r="AW152" s="181"/>
      <c r="AX152" s="181"/>
      <c r="AY152" s="181"/>
      <c r="AZ152" s="182"/>
      <c r="BA152" s="185"/>
      <c r="BB152" s="185"/>
      <c r="BC152" s="185"/>
      <c r="BD152" s="185"/>
      <c r="BE152" s="185"/>
      <c r="BF152" s="186"/>
      <c r="BG152" s="185"/>
      <c r="BH152" s="185"/>
      <c r="BI152" s="185"/>
      <c r="BJ152" s="185"/>
      <c r="BK152" s="185"/>
      <c r="BL152" s="186"/>
      <c r="BM152" s="409"/>
      <c r="BN152" s="409"/>
    </row>
    <row r="153" spans="1:66" s="49" customFormat="1" x14ac:dyDescent="0.2">
      <c r="A153" s="61"/>
      <c r="B153" s="60">
        <f>1+B152</f>
        <v>41849</v>
      </c>
      <c r="C153" s="22">
        <f t="shared" ref="C153" si="218">IF(ISERROR(3/(U153/60)),"",3/(U153/60))</f>
        <v>4.9315068493150687</v>
      </c>
      <c r="D153" s="23">
        <f>GETPIVOTDATA("Active time (min)",EffortRPMPivot!$A$4,"date",B153,"Site",2)/60</f>
        <v>11.883333333333333</v>
      </c>
      <c r="E153" s="24">
        <f>F153+G153+GETPIVOTDATA("Sum of CNlgNo",SalmonPivot!$A$4,"Date",B153,"Site",2)</f>
        <v>0</v>
      </c>
      <c r="F153" s="24">
        <f>GETPIVOTDATA("Sum of CNlgrad",SalmonPivot!$A$4,"date",B153,"Site",2)</f>
        <v>0</v>
      </c>
      <c r="G153" s="24">
        <f>GETPIVOTDATA("Sum of CNlgrecap",SalmonPivot!$A$4,"date",B153,"Site",2)</f>
        <v>0</v>
      </c>
      <c r="H153" s="24">
        <f>I153+J153+GETPIVOTDATA("Sum of CNsmno",SalmonPivot!$M$4,"Date",B153,"Site",2)</f>
        <v>0</v>
      </c>
      <c r="I153" s="24">
        <f>GETPIVOTDATA("Sum of CNsmradio",SalmonPivot!$M$4,"Date",B153,"Site",2)</f>
        <v>0</v>
      </c>
      <c r="J153" s="24">
        <f>GETPIVOTDATA("Sum of CNsmrecap",SalmonPivot!$M$4,"Date",B153,"Site",2)</f>
        <v>0</v>
      </c>
      <c r="K153" s="24">
        <f>L153+GETPIVOTDATA("Sum of SOno",SalmonPivot!$Y$4,"Date",B153,"Site",2)+GETPIVOTDATA("Sum of SOrecap",SalmonPivot!$Y$4,"Date",B153,"Site",2)</f>
        <v>4</v>
      </c>
      <c r="L153" s="24">
        <f>GETPIVOTDATA("Sum of SOrad",SalmonPivot!$Y$4,"Date",B153,"Site",2)</f>
        <v>4</v>
      </c>
      <c r="M153" s="24">
        <f>N153+GETPIVOTDATA("Sum of PKno",SalmonPivot!$AK$4,"Date",B153,"Site",2)+GETPIVOTDATA("Sum of PKrecap",SalmonPivot!$AK$4,"Date",B153,"Site",2)</f>
        <v>5</v>
      </c>
      <c r="N153" s="24">
        <f>GETPIVOTDATA("Sum of PKrad",SalmonPivot!$AK$4,"Date",B153,"Site",2)</f>
        <v>1</v>
      </c>
      <c r="O153" s="24">
        <f>P153+GETPIVOTDATA("Sum of CMno",SalmonPivot!$AW$4,"Date",B153,"Site",2)+GETPIVOTDATA("Sum of CMrecap",SalmonPivot!$AW$4,"Date",B153,"Site",2)</f>
        <v>4</v>
      </c>
      <c r="P153" s="24">
        <f>GETPIVOTDATA("Sum of CMrad",SalmonPivot!$AW$4,"Date",B153,"Site",2)</f>
        <v>1</v>
      </c>
      <c r="Q153" s="25">
        <f>R153+GETPIVOTDATA("Sum of COno",SalmonPivot!$BI$4,"Date",B153,"Site",2)+GETPIVOTDATA("Sum of COrecap",SalmonPivot!$BI$4,"Date",B153,"Site",2)</f>
        <v>0</v>
      </c>
      <c r="R153" s="24">
        <f>GETPIVOTDATA("Sum of COrad",SalmonPivot!$BI$4,"Date",B153,"Site",2)</f>
        <v>0</v>
      </c>
      <c r="S153" s="24">
        <f>GETPIVOTDATA("Sum of TotalOther",OtherPivot!$J$5,"Date",B153,"Site",2)</f>
        <v>1</v>
      </c>
      <c r="T153" s="38"/>
      <c r="U153" s="172">
        <f>IF(GETPIVOTDATA("3 Revs (s)",EffortRPMPivot!$L$4,"Date",$B153,"Site",2)=0,"",GETPIVOTDATA("3 revs (s)",EffortRPMPivot!$L$4,"date",$B153,"Site",2))</f>
        <v>36.5</v>
      </c>
      <c r="V153" s="173">
        <f t="shared" ref="V153" si="219">IF(D153=0,"",E153/D153)</f>
        <v>0</v>
      </c>
      <c r="W153" s="173">
        <f t="shared" ref="W153" si="220">IF(D153=0,"",H153/D153)</f>
        <v>0</v>
      </c>
      <c r="X153" s="173">
        <f t="shared" ref="X153" si="221">IF(D153=0,"",K153/$D153)</f>
        <v>0.33660589060308554</v>
      </c>
      <c r="Y153" s="173">
        <f t="shared" ref="Y153" si="222">IF(D153=0,"",M153/$D153)</f>
        <v>0.42075736325385699</v>
      </c>
      <c r="Z153" s="173">
        <f t="shared" ref="Z153" si="223">IF(D153=0,"",O153/$D153)</f>
        <v>0.33660589060308554</v>
      </c>
      <c r="AA153" s="174">
        <f t="shared" ref="AA153" si="224">IF(D153=0,"",Q153/$D153)</f>
        <v>0</v>
      </c>
      <c r="AB153" s="181"/>
      <c r="AC153" s="181"/>
      <c r="AD153" s="181"/>
      <c r="AE153" s="181"/>
      <c r="AF153" s="181"/>
      <c r="AG153" s="181"/>
      <c r="AH153" s="182"/>
      <c r="AI153" s="181"/>
      <c r="AJ153" s="181"/>
      <c r="AK153" s="181"/>
      <c r="AL153" s="181"/>
      <c r="AM153" s="181"/>
      <c r="AN153" s="182"/>
      <c r="AO153" s="181"/>
      <c r="AP153" s="181"/>
      <c r="AQ153" s="181"/>
      <c r="AR153" s="181"/>
      <c r="AS153" s="181"/>
      <c r="AT153" s="182"/>
      <c r="AU153" s="181"/>
      <c r="AV153" s="181"/>
      <c r="AW153" s="181"/>
      <c r="AX153" s="181"/>
      <c r="AY153" s="181"/>
      <c r="AZ153" s="182"/>
      <c r="BA153" s="185"/>
      <c r="BB153" s="185"/>
      <c r="BC153" s="185"/>
      <c r="BD153" s="185"/>
      <c r="BE153" s="185"/>
      <c r="BF153" s="186"/>
      <c r="BG153" s="185"/>
      <c r="BH153" s="185"/>
      <c r="BI153" s="185"/>
      <c r="BJ153" s="185"/>
      <c r="BK153" s="185"/>
      <c r="BL153" s="186"/>
      <c r="BM153" s="409"/>
      <c r="BN153" s="409"/>
    </row>
    <row r="154" spans="1:66" s="49" customFormat="1" x14ac:dyDescent="0.2">
      <c r="A154" s="61"/>
      <c r="B154" s="60">
        <f t="shared" ref="B154:B181" si="225">1+B153</f>
        <v>41850</v>
      </c>
      <c r="C154" s="22">
        <f t="shared" ref="C154:C155" si="226">IF(ISERROR(3/(U154/60)),"",3/(U154/60))</f>
        <v>4.5</v>
      </c>
      <c r="D154" s="23">
        <f>GETPIVOTDATA("Active time (min)",EffortRPMPivot!$A$4,"date",B154,"Site",2)/60</f>
        <v>11.9</v>
      </c>
      <c r="E154" s="24">
        <f>F154+G154+GETPIVOTDATA("Sum of CNlgNo",SalmonPivot!$A$4,"Date",B154,"Site",2)</f>
        <v>0</v>
      </c>
      <c r="F154" s="24">
        <f>GETPIVOTDATA("Sum of CNlgrad",SalmonPivot!$A$4,"date",B154,"Site",2)</f>
        <v>0</v>
      </c>
      <c r="G154" s="24">
        <f>GETPIVOTDATA("Sum of CNlgrecap",SalmonPivot!$A$4,"date",B154,"Site",2)</f>
        <v>0</v>
      </c>
      <c r="H154" s="24">
        <f>I154+J154+GETPIVOTDATA("Sum of CNsmno",SalmonPivot!$M$4,"Date",B154,"Site",2)</f>
        <v>0</v>
      </c>
      <c r="I154" s="24">
        <f>GETPIVOTDATA("Sum of CNsmradio",SalmonPivot!$M$4,"Date",B154,"Site",2)</f>
        <v>0</v>
      </c>
      <c r="J154" s="24">
        <f>GETPIVOTDATA("Sum of CNsmrecap",SalmonPivot!$M$4,"Date",B154,"Site",2)</f>
        <v>0</v>
      </c>
      <c r="K154" s="24">
        <f>L154+GETPIVOTDATA("Sum of SOno",SalmonPivot!$Y$4,"Date",B154,"Site",2)+GETPIVOTDATA("Sum of SOrecap",SalmonPivot!$Y$4,"Date",B154,"Site",2)</f>
        <v>3</v>
      </c>
      <c r="L154" s="24">
        <f>GETPIVOTDATA("Sum of SOrad",SalmonPivot!$Y$4,"Date",B154,"Site",2)</f>
        <v>3</v>
      </c>
      <c r="M154" s="24">
        <f>N154+GETPIVOTDATA("Sum of PKno",SalmonPivot!$AK$4,"Date",B154,"Site",2)+GETPIVOTDATA("Sum of PKrecap",SalmonPivot!$AK$4,"Date",B154,"Site",2)</f>
        <v>2</v>
      </c>
      <c r="N154" s="24">
        <f>GETPIVOTDATA("Sum of PKrad",SalmonPivot!$AK$4,"Date",B154,"Site",2)</f>
        <v>2</v>
      </c>
      <c r="O154" s="24">
        <f>P154+GETPIVOTDATA("Sum of CMno",SalmonPivot!$AW$4,"Date",B154,"Site",2)+GETPIVOTDATA("Sum of CMrecap",SalmonPivot!$AW$4,"Date",B154,"Site",2)</f>
        <v>2</v>
      </c>
      <c r="P154" s="24">
        <f>GETPIVOTDATA("Sum of CMrad",SalmonPivot!$AW$4,"Date",B154,"Site",2)</f>
        <v>0</v>
      </c>
      <c r="Q154" s="25">
        <f>R154+GETPIVOTDATA("Sum of COno",SalmonPivot!$BI$4,"Date",B154,"Site",2)+GETPIVOTDATA("Sum of COrecap",SalmonPivot!$BI$4,"Date",B154,"Site",2)</f>
        <v>0</v>
      </c>
      <c r="R154" s="24">
        <f>GETPIVOTDATA("Sum of COrad",SalmonPivot!$BI$4,"Date",B154,"Site",2)</f>
        <v>0</v>
      </c>
      <c r="S154" s="24">
        <f>GETPIVOTDATA("Sum of TotalOther",OtherPivot!$J$5,"Date",B154,"Site",2)</f>
        <v>0</v>
      </c>
      <c r="T154" s="38"/>
      <c r="U154" s="172">
        <f>IF(GETPIVOTDATA("3 Revs (s)",EffortRPMPivot!$L$4,"Date",$B154,"Site",2)=0,"",GETPIVOTDATA("3 revs (s)",EffortRPMPivot!$L$4,"date",$B154,"Site",2))</f>
        <v>40</v>
      </c>
      <c r="V154" s="173">
        <f t="shared" ref="V154:V155" si="227">IF(D154=0,"",E154/D154)</f>
        <v>0</v>
      </c>
      <c r="W154" s="173">
        <f t="shared" ref="W154:W155" si="228">IF(D154=0,"",H154/D154)</f>
        <v>0</v>
      </c>
      <c r="X154" s="173">
        <f t="shared" ref="X154:X155" si="229">IF(D154=0,"",K154/$D154)</f>
        <v>0.25210084033613445</v>
      </c>
      <c r="Y154" s="173">
        <f t="shared" ref="Y154:Y155" si="230">IF(D154=0,"",M154/$D154)</f>
        <v>0.16806722689075629</v>
      </c>
      <c r="Z154" s="173">
        <f t="shared" ref="Z154:Z155" si="231">IF(D154=0,"",O154/$D154)</f>
        <v>0.16806722689075629</v>
      </c>
      <c r="AA154" s="174">
        <f t="shared" ref="AA154:AA155" si="232">IF(D154=0,"",Q154/$D154)</f>
        <v>0</v>
      </c>
      <c r="AB154" s="181"/>
      <c r="AC154" s="181"/>
      <c r="AD154" s="181"/>
      <c r="AE154" s="181"/>
      <c r="AF154" s="181"/>
      <c r="AG154" s="181"/>
      <c r="AH154" s="182"/>
      <c r="AI154" s="181"/>
      <c r="AJ154" s="181"/>
      <c r="AK154" s="181"/>
      <c r="AL154" s="181"/>
      <c r="AM154" s="181"/>
      <c r="AN154" s="182"/>
      <c r="AO154" s="181"/>
      <c r="AP154" s="181"/>
      <c r="AQ154" s="181"/>
      <c r="AR154" s="181"/>
      <c r="AS154" s="181"/>
      <c r="AT154" s="182"/>
      <c r="AU154" s="181"/>
      <c r="AV154" s="181"/>
      <c r="AW154" s="181"/>
      <c r="AX154" s="181"/>
      <c r="AY154" s="181"/>
      <c r="AZ154" s="182"/>
      <c r="BA154" s="185"/>
      <c r="BB154" s="185"/>
      <c r="BC154" s="185"/>
      <c r="BD154" s="185"/>
      <c r="BE154" s="185"/>
      <c r="BF154" s="186"/>
      <c r="BG154" s="185"/>
      <c r="BH154" s="185"/>
      <c r="BI154" s="185"/>
      <c r="BJ154" s="185"/>
      <c r="BK154" s="185"/>
      <c r="BL154" s="186"/>
      <c r="BM154" s="409"/>
      <c r="BN154" s="409"/>
    </row>
    <row r="155" spans="1:66" s="49" customFormat="1" x14ac:dyDescent="0.2">
      <c r="A155" s="61"/>
      <c r="B155" s="60">
        <f t="shared" si="225"/>
        <v>41851</v>
      </c>
      <c r="C155" s="22">
        <f t="shared" si="226"/>
        <v>5</v>
      </c>
      <c r="D155" s="23">
        <f>GETPIVOTDATA("Active time (min)",EffortRPMPivot!$A$4,"date",B155,"Site",2)/60</f>
        <v>12.016666666666664</v>
      </c>
      <c r="E155" s="24">
        <f>F155+G155+GETPIVOTDATA("Sum of CNlgNo",SalmonPivot!$A$4,"Date",B155,"Site",2)</f>
        <v>0</v>
      </c>
      <c r="F155" s="24">
        <f>GETPIVOTDATA("Sum of CNlgrad",SalmonPivot!$A$4,"date",B155,"Site",2)</f>
        <v>0</v>
      </c>
      <c r="G155" s="24">
        <f>GETPIVOTDATA("Sum of CNlgrecap",SalmonPivot!$A$4,"date",B155,"Site",2)</f>
        <v>0</v>
      </c>
      <c r="H155" s="24">
        <f>I155+J155+GETPIVOTDATA("Sum of CNsmno",SalmonPivot!$M$4,"Date",B155,"Site",2)</f>
        <v>0</v>
      </c>
      <c r="I155" s="24">
        <f>GETPIVOTDATA("Sum of CNsmradio",SalmonPivot!$M$4,"Date",B155,"Site",2)</f>
        <v>0</v>
      </c>
      <c r="J155" s="24">
        <f>GETPIVOTDATA("Sum of CNsmrecap",SalmonPivot!$M$4,"Date",B155,"Site",2)</f>
        <v>0</v>
      </c>
      <c r="K155" s="24">
        <f>L155+GETPIVOTDATA("Sum of SOno",SalmonPivot!$Y$4,"Date",B155,"Site",2)+GETPIVOTDATA("Sum of SOrecap",SalmonPivot!$Y$4,"Date",B155,"Site",2)</f>
        <v>4</v>
      </c>
      <c r="L155" s="24">
        <f>GETPIVOTDATA("Sum of SOrad",SalmonPivot!$Y$4,"Date",B155,"Site",2)</f>
        <v>4</v>
      </c>
      <c r="M155" s="24">
        <f>N155+GETPIVOTDATA("Sum of PKno",SalmonPivot!$AK$4,"Date",B155,"Site",2)+GETPIVOTDATA("Sum of PKrecap",SalmonPivot!$AK$4,"Date",B155,"Site",2)</f>
        <v>4</v>
      </c>
      <c r="N155" s="24">
        <f>GETPIVOTDATA("Sum of PKrad",SalmonPivot!$AK$4,"Date",B155,"Site",2)</f>
        <v>0</v>
      </c>
      <c r="O155" s="24">
        <f>P155+GETPIVOTDATA("Sum of CMno",SalmonPivot!$AW$4,"Date",B155,"Site",2)+GETPIVOTDATA("Sum of CMrecap",SalmonPivot!$AW$4,"Date",B155,"Site",2)</f>
        <v>4</v>
      </c>
      <c r="P155" s="24">
        <f>GETPIVOTDATA("Sum of CMrad",SalmonPivot!$AW$4,"Date",B155,"Site",2)</f>
        <v>0</v>
      </c>
      <c r="Q155" s="25">
        <f>R155+GETPIVOTDATA("Sum of COno",SalmonPivot!$BI$4,"Date",B155,"Site",2)+GETPIVOTDATA("Sum of COrecap",SalmonPivot!$BI$4,"Date",B155,"Site",2)</f>
        <v>0</v>
      </c>
      <c r="R155" s="24">
        <f>GETPIVOTDATA("Sum of COrad",SalmonPivot!$BI$4,"Date",B155,"Site",2)</f>
        <v>0</v>
      </c>
      <c r="S155" s="24">
        <f>GETPIVOTDATA("Sum of TotalOther",OtherPivot!$J$5,"Date",B155,"Site",2)</f>
        <v>0</v>
      </c>
      <c r="T155" s="38"/>
      <c r="U155" s="172">
        <f>IF(GETPIVOTDATA("3 Revs (s)",EffortRPMPivot!$L$4,"Date",$B155,"Site",2)=0,"",GETPIVOTDATA("3 revs (s)",EffortRPMPivot!$L$4,"date",$B155,"Site",2))</f>
        <v>36</v>
      </c>
      <c r="V155" s="173">
        <f t="shared" si="227"/>
        <v>0</v>
      </c>
      <c r="W155" s="173">
        <f t="shared" si="228"/>
        <v>0</v>
      </c>
      <c r="X155" s="173">
        <f t="shared" si="229"/>
        <v>0.33287101248266304</v>
      </c>
      <c r="Y155" s="173">
        <f t="shared" si="230"/>
        <v>0.33287101248266304</v>
      </c>
      <c r="Z155" s="173">
        <f t="shared" si="231"/>
        <v>0.33287101248266304</v>
      </c>
      <c r="AA155" s="174">
        <f t="shared" si="232"/>
        <v>0</v>
      </c>
      <c r="AB155" s="181"/>
      <c r="AC155" s="181"/>
      <c r="AD155" s="181"/>
      <c r="AE155" s="181"/>
      <c r="AF155" s="181"/>
      <c r="AG155" s="181"/>
      <c r="AH155" s="182"/>
      <c r="AI155" s="181"/>
      <c r="AJ155" s="181"/>
      <c r="AK155" s="181"/>
      <c r="AL155" s="181"/>
      <c r="AM155" s="181"/>
      <c r="AN155" s="182"/>
      <c r="AO155" s="181"/>
      <c r="AP155" s="181"/>
      <c r="AQ155" s="181"/>
      <c r="AR155" s="181"/>
      <c r="AS155" s="181"/>
      <c r="AT155" s="182"/>
      <c r="AU155" s="181"/>
      <c r="AV155" s="181"/>
      <c r="AW155" s="181"/>
      <c r="AX155" s="181"/>
      <c r="AY155" s="181"/>
      <c r="AZ155" s="182"/>
      <c r="BA155" s="185"/>
      <c r="BB155" s="185"/>
      <c r="BC155" s="185"/>
      <c r="BD155" s="185"/>
      <c r="BE155" s="185"/>
      <c r="BF155" s="186"/>
      <c r="BG155" s="185"/>
      <c r="BH155" s="185"/>
      <c r="BI155" s="185"/>
      <c r="BJ155" s="185"/>
      <c r="BK155" s="185"/>
      <c r="BL155" s="186"/>
      <c r="BM155" s="409"/>
      <c r="BN155" s="409"/>
    </row>
    <row r="156" spans="1:66" s="49" customFormat="1" x14ac:dyDescent="0.2">
      <c r="A156" s="61"/>
      <c r="B156" s="60">
        <f t="shared" si="225"/>
        <v>41852</v>
      </c>
      <c r="C156" s="22">
        <f t="shared" ref="C156" si="233">IF(ISERROR(3/(U156/60)),"",3/(U156/60))</f>
        <v>5.070422535211268</v>
      </c>
      <c r="D156" s="23">
        <f>GETPIVOTDATA("Active time (min)",EffortRPMPivot!$A$4,"date",B156,"Site",2)/60</f>
        <v>12.1</v>
      </c>
      <c r="E156" s="24">
        <f>F156+G156+GETPIVOTDATA("Sum of CNlgNo",SalmonPivot!$A$4,"Date",B156,"Site",2)</f>
        <v>0</v>
      </c>
      <c r="F156" s="24">
        <f>GETPIVOTDATA("Sum of CNlgrad",SalmonPivot!$A$4,"date",B156,"Site",2)</f>
        <v>0</v>
      </c>
      <c r="G156" s="24">
        <f>GETPIVOTDATA("Sum of CNlgrecap",SalmonPivot!$A$4,"date",B156,"Site",2)</f>
        <v>0</v>
      </c>
      <c r="H156" s="24">
        <f>I156+J156+GETPIVOTDATA("Sum of CNsmno",SalmonPivot!$M$4,"Date",B156,"Site",2)</f>
        <v>0</v>
      </c>
      <c r="I156" s="24">
        <f>GETPIVOTDATA("Sum of CNsmradio",SalmonPivot!$M$4,"Date",B156,"Site",2)</f>
        <v>0</v>
      </c>
      <c r="J156" s="24">
        <f>GETPIVOTDATA("Sum of CNsmrecap",SalmonPivot!$M$4,"Date",B156,"Site",2)</f>
        <v>0</v>
      </c>
      <c r="K156" s="24">
        <f>L156+GETPIVOTDATA("Sum of SOno",SalmonPivot!$Y$4,"Date",B156,"Site",2)+GETPIVOTDATA("Sum of SOrecap",SalmonPivot!$Y$4,"Date",B156,"Site",2)</f>
        <v>1</v>
      </c>
      <c r="L156" s="24">
        <f>GETPIVOTDATA("Sum of SOrad",SalmonPivot!$Y$4,"Date",B156,"Site",2)</f>
        <v>1</v>
      </c>
      <c r="M156" s="24">
        <f>N156+GETPIVOTDATA("Sum of PKno",SalmonPivot!$AK$4,"Date",B156,"Site",2)+GETPIVOTDATA("Sum of PKrecap",SalmonPivot!$AK$4,"Date",B156,"Site",2)</f>
        <v>5</v>
      </c>
      <c r="N156" s="24">
        <f>GETPIVOTDATA("Sum of PKrad",SalmonPivot!$AK$4,"Date",B156,"Site",2)</f>
        <v>1</v>
      </c>
      <c r="O156" s="24">
        <f>P156+GETPIVOTDATA("Sum of CMno",SalmonPivot!$AW$4,"Date",B156,"Site",2)+GETPIVOTDATA("Sum of CMrecap",SalmonPivot!$AW$4,"Date",B156,"Site",2)</f>
        <v>10</v>
      </c>
      <c r="P156" s="24">
        <f>GETPIVOTDATA("Sum of CMrad",SalmonPivot!$AW$4,"Date",B156,"Site",2)</f>
        <v>1</v>
      </c>
      <c r="Q156" s="25">
        <f>R156+GETPIVOTDATA("Sum of COno",SalmonPivot!$BI$4,"Date",B156,"Site",2)+GETPIVOTDATA("Sum of COrecap",SalmonPivot!$BI$4,"Date",B156,"Site",2)</f>
        <v>0</v>
      </c>
      <c r="R156" s="24">
        <f>GETPIVOTDATA("Sum of COrad",SalmonPivot!$BI$4,"Date",B156,"Site",2)</f>
        <v>0</v>
      </c>
      <c r="S156" s="24">
        <f>GETPIVOTDATA("Sum of TotalOther",OtherPivot!$J$5,"Date",B156,"Site",2)</f>
        <v>0</v>
      </c>
      <c r="T156" s="38"/>
      <c r="U156" s="172">
        <f>IF(GETPIVOTDATA("3 Revs (s)",EffortRPMPivot!$L$4,"Date",$B156,"Site",2)=0,"",GETPIVOTDATA("3 revs (s)",EffortRPMPivot!$L$4,"date",$B156,"Site",2))</f>
        <v>35.5</v>
      </c>
      <c r="V156" s="173">
        <f t="shared" ref="V156" si="234">IF(D156=0,"",E156/D156)</f>
        <v>0</v>
      </c>
      <c r="W156" s="173">
        <f t="shared" ref="W156" si="235">IF(D156=0,"",H156/D156)</f>
        <v>0</v>
      </c>
      <c r="X156" s="173">
        <f t="shared" ref="X156" si="236">IF(D156=0,"",K156/$D156)</f>
        <v>8.2644628099173556E-2</v>
      </c>
      <c r="Y156" s="173">
        <f t="shared" ref="Y156" si="237">IF(D156=0,"",M156/$D156)</f>
        <v>0.41322314049586778</v>
      </c>
      <c r="Z156" s="173">
        <f t="shared" ref="Z156" si="238">IF(D156=0,"",O156/$D156)</f>
        <v>0.82644628099173556</v>
      </c>
      <c r="AA156" s="174">
        <f t="shared" ref="AA156" si="239">IF(D156=0,"",Q156/$D156)</f>
        <v>0</v>
      </c>
      <c r="AB156" s="181"/>
      <c r="AC156" s="181"/>
      <c r="AD156" s="181"/>
      <c r="AE156" s="181"/>
      <c r="AF156" s="181"/>
      <c r="AG156" s="181"/>
      <c r="AH156" s="182"/>
      <c r="AI156" s="181"/>
      <c r="AJ156" s="181"/>
      <c r="AK156" s="181"/>
      <c r="AL156" s="181"/>
      <c r="AM156" s="181"/>
      <c r="AN156" s="182"/>
      <c r="AO156" s="181"/>
      <c r="AP156" s="181"/>
      <c r="AQ156" s="181"/>
      <c r="AR156" s="181"/>
      <c r="AS156" s="181"/>
      <c r="AT156" s="182"/>
      <c r="AU156" s="181"/>
      <c r="AV156" s="181"/>
      <c r="AW156" s="181"/>
      <c r="AX156" s="181"/>
      <c r="AY156" s="181"/>
      <c r="AZ156" s="182"/>
      <c r="BA156" s="185"/>
      <c r="BB156" s="185"/>
      <c r="BC156" s="185"/>
      <c r="BD156" s="185"/>
      <c r="BE156" s="185"/>
      <c r="BF156" s="186"/>
      <c r="BG156" s="185"/>
      <c r="BH156" s="185"/>
      <c r="BI156" s="185"/>
      <c r="BJ156" s="185"/>
      <c r="BK156" s="185"/>
      <c r="BL156" s="186"/>
      <c r="BM156" s="409"/>
      <c r="BN156" s="409"/>
    </row>
    <row r="157" spans="1:66" s="49" customFormat="1" x14ac:dyDescent="0.2">
      <c r="A157" s="61"/>
      <c r="B157" s="60">
        <f t="shared" si="225"/>
        <v>41853</v>
      </c>
      <c r="C157" s="22">
        <f t="shared" ref="C157" si="240">IF(ISERROR(3/(U157/60)),"",3/(U157/60))</f>
        <v>5.070422535211268</v>
      </c>
      <c r="D157" s="23">
        <f>GETPIVOTDATA("Active time (min)",EffortRPMPivot!$A$4,"date",B157,"Site",2)/60</f>
        <v>12</v>
      </c>
      <c r="E157" s="24">
        <f>F157+G157+GETPIVOTDATA("Sum of CNlgNo",SalmonPivot!$A$4,"Date",B157,"Site",2)</f>
        <v>0</v>
      </c>
      <c r="F157" s="24">
        <f>GETPIVOTDATA("Sum of CNlgrad",SalmonPivot!$A$4,"date",B157,"Site",2)</f>
        <v>0</v>
      </c>
      <c r="G157" s="24">
        <f>GETPIVOTDATA("Sum of CNlgrecap",SalmonPivot!$A$4,"date",B157,"Site",2)</f>
        <v>0</v>
      </c>
      <c r="H157" s="24">
        <f>I157+J157+GETPIVOTDATA("Sum of CNsmno",SalmonPivot!$M$4,"Date",B157,"Site",2)</f>
        <v>0</v>
      </c>
      <c r="I157" s="24">
        <f>GETPIVOTDATA("Sum of CNsmradio",SalmonPivot!$M$4,"Date",B157,"Site",2)</f>
        <v>0</v>
      </c>
      <c r="J157" s="24">
        <f>GETPIVOTDATA("Sum of CNsmrecap",SalmonPivot!$M$4,"Date",B157,"Site",2)</f>
        <v>0</v>
      </c>
      <c r="K157" s="24">
        <f>L157+GETPIVOTDATA("Sum of SOno",SalmonPivot!$Y$4,"Date",B157,"Site",2)+GETPIVOTDATA("Sum of SOrecap",SalmonPivot!$Y$4,"Date",B157,"Site",2)</f>
        <v>1</v>
      </c>
      <c r="L157" s="24">
        <f>GETPIVOTDATA("Sum of SOrad",SalmonPivot!$Y$4,"Date",B157,"Site",2)</f>
        <v>1</v>
      </c>
      <c r="M157" s="24">
        <f>N157+GETPIVOTDATA("Sum of PKno",SalmonPivot!$AK$4,"Date",B157,"Site",2)+GETPIVOTDATA("Sum of PKrecap",SalmonPivot!$AK$4,"Date",B157,"Site",2)</f>
        <v>2</v>
      </c>
      <c r="N157" s="24">
        <f>GETPIVOTDATA("Sum of PKrad",SalmonPivot!$AK$4,"Date",B157,"Site",2)</f>
        <v>2</v>
      </c>
      <c r="O157" s="24">
        <f>P157+GETPIVOTDATA("Sum of CMno",SalmonPivot!$AW$4,"Date",B157,"Site",2)+GETPIVOTDATA("Sum of CMrecap",SalmonPivot!$AW$4,"Date",B157,"Site",2)</f>
        <v>3</v>
      </c>
      <c r="P157" s="24">
        <f>GETPIVOTDATA("Sum of CMrad",SalmonPivot!$AW$4,"Date",B157,"Site",2)</f>
        <v>0</v>
      </c>
      <c r="Q157" s="25">
        <f>R157+GETPIVOTDATA("Sum of COno",SalmonPivot!$BI$4,"Date",B157,"Site",2)+GETPIVOTDATA("Sum of COrecap",SalmonPivot!$BI$4,"Date",B157,"Site",2)</f>
        <v>1</v>
      </c>
      <c r="R157" s="24">
        <f>GETPIVOTDATA("Sum of COrad",SalmonPivot!$BI$4,"Date",B157,"Site",2)</f>
        <v>1</v>
      </c>
      <c r="S157" s="24">
        <f>GETPIVOTDATA("Sum of TotalOther",OtherPivot!$J$5,"Date",B157,"Site",2)</f>
        <v>0</v>
      </c>
      <c r="T157" s="38"/>
      <c r="U157" s="172">
        <f>IF(GETPIVOTDATA("3 Revs (s)",EffortRPMPivot!$L$4,"Date",$B157,"Site",2)=0,"",GETPIVOTDATA("3 revs (s)",EffortRPMPivot!$L$4,"date",$B157,"Site",2))</f>
        <v>35.5</v>
      </c>
      <c r="V157" s="173">
        <f t="shared" ref="V157" si="241">IF(D157=0,"",E157/D157)</f>
        <v>0</v>
      </c>
      <c r="W157" s="173">
        <f t="shared" ref="W157" si="242">IF(D157=0,"",H157/D157)</f>
        <v>0</v>
      </c>
      <c r="X157" s="173">
        <f t="shared" ref="X157" si="243">IF(D157=0,"",K157/$D157)</f>
        <v>8.3333333333333329E-2</v>
      </c>
      <c r="Y157" s="173">
        <f t="shared" ref="Y157" si="244">IF(D157=0,"",M157/$D157)</f>
        <v>0.16666666666666666</v>
      </c>
      <c r="Z157" s="173">
        <f t="shared" ref="Z157" si="245">IF(D157=0,"",O157/$D157)</f>
        <v>0.25</v>
      </c>
      <c r="AA157" s="174">
        <f t="shared" ref="AA157" si="246">IF(D157=0,"",Q157/$D157)</f>
        <v>8.3333333333333329E-2</v>
      </c>
      <c r="AB157" s="181"/>
      <c r="AC157" s="181"/>
      <c r="AD157" s="181"/>
      <c r="AE157" s="181"/>
      <c r="AF157" s="181"/>
      <c r="AG157" s="181"/>
      <c r="AH157" s="182"/>
      <c r="AI157" s="181"/>
      <c r="AJ157" s="181"/>
      <c r="AK157" s="181"/>
      <c r="AL157" s="181"/>
      <c r="AM157" s="181"/>
      <c r="AN157" s="182"/>
      <c r="AO157" s="181"/>
      <c r="AP157" s="181"/>
      <c r="AQ157" s="181"/>
      <c r="AR157" s="181"/>
      <c r="AS157" s="181"/>
      <c r="AT157" s="182"/>
      <c r="AU157" s="181"/>
      <c r="AV157" s="181"/>
      <c r="AW157" s="181"/>
      <c r="AX157" s="181"/>
      <c r="AY157" s="181"/>
      <c r="AZ157" s="182"/>
      <c r="BA157" s="185"/>
      <c r="BB157" s="185"/>
      <c r="BC157" s="185"/>
      <c r="BD157" s="185"/>
      <c r="BE157" s="185"/>
      <c r="BF157" s="186"/>
      <c r="BG157" s="185"/>
      <c r="BH157" s="185"/>
      <c r="BI157" s="185"/>
      <c r="BJ157" s="185"/>
      <c r="BK157" s="185"/>
      <c r="BL157" s="186"/>
      <c r="BM157" s="409"/>
      <c r="BN157" s="409"/>
    </row>
    <row r="158" spans="1:66" s="49" customFormat="1" x14ac:dyDescent="0.2">
      <c r="A158" s="61"/>
      <c r="B158" s="60">
        <f t="shared" si="225"/>
        <v>41854</v>
      </c>
      <c r="C158" s="22">
        <f t="shared" ref="C158:C159" si="247">IF(ISERROR(3/(U158/60)),"",3/(U158/60))</f>
        <v>5.2173913043478262</v>
      </c>
      <c r="D158" s="23">
        <f>GETPIVOTDATA("Active time (min)",EffortRPMPivot!$A$4,"date",B158,"Site",2)/60</f>
        <v>11.999999999999996</v>
      </c>
      <c r="E158" s="24">
        <f>F158+G158+GETPIVOTDATA("Sum of CNlgNo",SalmonPivot!$A$4,"Date",B158,"Site",2)</f>
        <v>0</v>
      </c>
      <c r="F158" s="24">
        <f>GETPIVOTDATA("Sum of CNlgrad",SalmonPivot!$A$4,"date",B158,"Site",2)</f>
        <v>0</v>
      </c>
      <c r="G158" s="24">
        <f>GETPIVOTDATA("Sum of CNlgrecap",SalmonPivot!$A$4,"date",B158,"Site",2)</f>
        <v>0</v>
      </c>
      <c r="H158" s="24">
        <f>I158+J158+GETPIVOTDATA("Sum of CNsmno",SalmonPivot!$M$4,"Date",B158,"Site",2)</f>
        <v>0</v>
      </c>
      <c r="I158" s="24">
        <f>GETPIVOTDATA("Sum of CNsmradio",SalmonPivot!$M$4,"Date",B158,"Site",2)</f>
        <v>0</v>
      </c>
      <c r="J158" s="24">
        <f>GETPIVOTDATA("Sum of CNsmrecap",SalmonPivot!$M$4,"Date",B158,"Site",2)</f>
        <v>0</v>
      </c>
      <c r="K158" s="24">
        <f>L158+GETPIVOTDATA("Sum of SOno",SalmonPivot!$Y$4,"Date",B158,"Site",2)+GETPIVOTDATA("Sum of SOrecap",SalmonPivot!$Y$4,"Date",B158,"Site",2)</f>
        <v>1</v>
      </c>
      <c r="L158" s="24">
        <f>GETPIVOTDATA("Sum of SOrad",SalmonPivot!$Y$4,"Date",B158,"Site",2)</f>
        <v>1</v>
      </c>
      <c r="M158" s="24">
        <f>N158+GETPIVOTDATA("Sum of PKno",SalmonPivot!$AK$4,"Date",B158,"Site",2)+GETPIVOTDATA("Sum of PKrecap",SalmonPivot!$AK$4,"Date",B158,"Site",2)</f>
        <v>1</v>
      </c>
      <c r="N158" s="24">
        <f>GETPIVOTDATA("Sum of PKrad",SalmonPivot!$AK$4,"Date",B158,"Site",2)</f>
        <v>1</v>
      </c>
      <c r="O158" s="24">
        <f>P158+GETPIVOTDATA("Sum of CMno",SalmonPivot!$AW$4,"Date",B158,"Site",2)+GETPIVOTDATA("Sum of CMrecap",SalmonPivot!$AW$4,"Date",B158,"Site",2)</f>
        <v>2</v>
      </c>
      <c r="P158" s="24">
        <f>GETPIVOTDATA("Sum of CMrad",SalmonPivot!$AW$4,"Date",B158,"Site",2)</f>
        <v>1</v>
      </c>
      <c r="Q158" s="25">
        <f>R158+GETPIVOTDATA("Sum of COno",SalmonPivot!$BI$4,"Date",B158,"Site",2)+GETPIVOTDATA("Sum of COrecap",SalmonPivot!$BI$4,"Date",B158,"Site",2)</f>
        <v>0</v>
      </c>
      <c r="R158" s="24">
        <f>GETPIVOTDATA("Sum of COrad",SalmonPivot!$BI$4,"Date",B158,"Site",2)</f>
        <v>0</v>
      </c>
      <c r="S158" s="24">
        <f>GETPIVOTDATA("Sum of TotalOther",OtherPivot!$J$5,"Date",B158,"Site",2)</f>
        <v>0</v>
      </c>
      <c r="T158" s="38"/>
      <c r="U158" s="172">
        <f>IF(GETPIVOTDATA("3 Revs (s)",EffortRPMPivot!$L$4,"Date",$B158,"Site",2)=0,"",GETPIVOTDATA("3 revs (s)",EffortRPMPivot!$L$4,"date",$B158,"Site",2))</f>
        <v>34.5</v>
      </c>
      <c r="V158" s="173">
        <f t="shared" ref="V158:V159" si="248">IF(D158=0,"",E158/D158)</f>
        <v>0</v>
      </c>
      <c r="W158" s="173">
        <f t="shared" ref="W158:W159" si="249">IF(D158=0,"",H158/D158)</f>
        <v>0</v>
      </c>
      <c r="X158" s="173">
        <f t="shared" ref="X158:X159" si="250">IF(D158=0,"",K158/$D158)</f>
        <v>8.3333333333333356E-2</v>
      </c>
      <c r="Y158" s="173">
        <f t="shared" ref="Y158:Y159" si="251">IF(D158=0,"",M158/$D158)</f>
        <v>8.3333333333333356E-2</v>
      </c>
      <c r="Z158" s="173">
        <f t="shared" ref="Z158:Z159" si="252">IF(D158=0,"",O158/$D158)</f>
        <v>0.16666666666666671</v>
      </c>
      <c r="AA158" s="174">
        <f t="shared" ref="AA158:AA159" si="253">IF(D158=0,"",Q158/$D158)</f>
        <v>0</v>
      </c>
      <c r="AB158" s="181"/>
      <c r="AC158" s="181"/>
      <c r="AD158" s="181"/>
      <c r="AE158" s="181"/>
      <c r="AF158" s="181"/>
      <c r="AG158" s="181"/>
      <c r="AH158" s="182"/>
      <c r="AI158" s="181"/>
      <c r="AJ158" s="181"/>
      <c r="AK158" s="181"/>
      <c r="AL158" s="181"/>
      <c r="AM158" s="181"/>
      <c r="AN158" s="182"/>
      <c r="AO158" s="181"/>
      <c r="AP158" s="181"/>
      <c r="AQ158" s="181"/>
      <c r="AR158" s="181"/>
      <c r="AS158" s="181"/>
      <c r="AT158" s="182"/>
      <c r="AU158" s="181"/>
      <c r="AV158" s="181"/>
      <c r="AW158" s="181"/>
      <c r="AX158" s="181"/>
      <c r="AY158" s="181"/>
      <c r="AZ158" s="182"/>
      <c r="BA158" s="185"/>
      <c r="BB158" s="185"/>
      <c r="BC158" s="185"/>
      <c r="BD158" s="185"/>
      <c r="BE158" s="185"/>
      <c r="BF158" s="186"/>
      <c r="BG158" s="185"/>
      <c r="BH158" s="185"/>
      <c r="BI158" s="185"/>
      <c r="BJ158" s="185"/>
      <c r="BK158" s="185"/>
      <c r="BL158" s="186"/>
      <c r="BM158" s="409"/>
      <c r="BN158" s="409"/>
    </row>
    <row r="159" spans="1:66" s="49" customFormat="1" x14ac:dyDescent="0.2">
      <c r="A159" s="61"/>
      <c r="B159" s="60">
        <f t="shared" si="225"/>
        <v>41855</v>
      </c>
      <c r="C159" s="22">
        <f t="shared" si="247"/>
        <v>5.1428571428571423</v>
      </c>
      <c r="D159" s="23">
        <f>GETPIVOTDATA("Active time (min)",EffortRPMPivot!$A$4,"date",B159,"Site",2)/60</f>
        <v>11.999999999999998</v>
      </c>
      <c r="E159" s="24">
        <f>F159+G159+GETPIVOTDATA("Sum of CNlgNo",SalmonPivot!$A$4,"Date",B159,"Site",2)</f>
        <v>0</v>
      </c>
      <c r="F159" s="24">
        <f>GETPIVOTDATA("Sum of CNlgrad",SalmonPivot!$A$4,"date",B159,"Site",2)</f>
        <v>0</v>
      </c>
      <c r="G159" s="24">
        <f>GETPIVOTDATA("Sum of CNlgrecap",SalmonPivot!$A$4,"date",B159,"Site",2)</f>
        <v>0</v>
      </c>
      <c r="H159" s="24">
        <f>I159+J159+GETPIVOTDATA("Sum of CNsmno",SalmonPivot!$M$4,"Date",B159,"Site",2)</f>
        <v>0</v>
      </c>
      <c r="I159" s="24">
        <f>GETPIVOTDATA("Sum of CNsmradio",SalmonPivot!$M$4,"Date",B159,"Site",2)</f>
        <v>0</v>
      </c>
      <c r="J159" s="24">
        <f>GETPIVOTDATA("Sum of CNsmrecap",SalmonPivot!$M$4,"Date",B159,"Site",2)</f>
        <v>0</v>
      </c>
      <c r="K159" s="24">
        <f>L159+GETPIVOTDATA("Sum of SOno",SalmonPivot!$Y$4,"Date",B159,"Site",2)+GETPIVOTDATA("Sum of SOrecap",SalmonPivot!$Y$4,"Date",B159,"Site",2)</f>
        <v>2</v>
      </c>
      <c r="L159" s="24">
        <f>GETPIVOTDATA("Sum of SOrad",SalmonPivot!$Y$4,"Date",B159,"Site",2)</f>
        <v>2</v>
      </c>
      <c r="M159" s="24">
        <f>N159+GETPIVOTDATA("Sum of PKno",SalmonPivot!$AK$4,"Date",B159,"Site",2)+GETPIVOTDATA("Sum of PKrecap",SalmonPivot!$AK$4,"Date",B159,"Site",2)</f>
        <v>7</v>
      </c>
      <c r="N159" s="24">
        <f>GETPIVOTDATA("Sum of PKrad",SalmonPivot!$AK$4,"Date",B159,"Site",2)</f>
        <v>2</v>
      </c>
      <c r="O159" s="24">
        <f>P159+GETPIVOTDATA("Sum of CMno",SalmonPivot!$AW$4,"Date",B159,"Site",2)+GETPIVOTDATA("Sum of CMrecap",SalmonPivot!$AW$4,"Date",B159,"Site",2)</f>
        <v>8</v>
      </c>
      <c r="P159" s="24">
        <f>GETPIVOTDATA("Sum of CMrad",SalmonPivot!$AW$4,"Date",B159,"Site",2)</f>
        <v>1</v>
      </c>
      <c r="Q159" s="25">
        <f>R159+GETPIVOTDATA("Sum of COno",SalmonPivot!$BI$4,"Date",B159,"Site",2)+GETPIVOTDATA("Sum of COrecap",SalmonPivot!$BI$4,"Date",B159,"Site",2)</f>
        <v>0</v>
      </c>
      <c r="R159" s="24">
        <f>GETPIVOTDATA("Sum of COrad",SalmonPivot!$BI$4,"Date",B159,"Site",2)</f>
        <v>0</v>
      </c>
      <c r="S159" s="24">
        <f>GETPIVOTDATA("Sum of TotalOther",OtherPivot!$J$5,"Date",B159,"Site",2)</f>
        <v>0</v>
      </c>
      <c r="T159" s="38"/>
      <c r="U159" s="172">
        <f>IF(GETPIVOTDATA("3 Revs (s)",EffortRPMPivot!$L$4,"Date",$B159,"Site",2)=0,"",GETPIVOTDATA("3 revs (s)",EffortRPMPivot!$L$4,"date",$B159,"Site",2))</f>
        <v>35</v>
      </c>
      <c r="V159" s="173">
        <f t="shared" si="248"/>
        <v>0</v>
      </c>
      <c r="W159" s="173">
        <f t="shared" si="249"/>
        <v>0</v>
      </c>
      <c r="X159" s="173">
        <f t="shared" si="250"/>
        <v>0.16666666666666669</v>
      </c>
      <c r="Y159" s="173">
        <f t="shared" si="251"/>
        <v>0.58333333333333337</v>
      </c>
      <c r="Z159" s="173">
        <f t="shared" si="252"/>
        <v>0.66666666666666674</v>
      </c>
      <c r="AA159" s="174">
        <f t="shared" si="253"/>
        <v>0</v>
      </c>
      <c r="AB159" s="181"/>
      <c r="AC159" s="181"/>
      <c r="AD159" s="181"/>
      <c r="AE159" s="181"/>
      <c r="AF159" s="181"/>
      <c r="AG159" s="181"/>
      <c r="AH159" s="182"/>
      <c r="AI159" s="181"/>
      <c r="AJ159" s="181"/>
      <c r="AK159" s="181"/>
      <c r="AL159" s="181"/>
      <c r="AM159" s="181"/>
      <c r="AN159" s="182"/>
      <c r="AO159" s="181"/>
      <c r="AP159" s="181"/>
      <c r="AQ159" s="181"/>
      <c r="AR159" s="181"/>
      <c r="AS159" s="181"/>
      <c r="AT159" s="182"/>
      <c r="AU159" s="181"/>
      <c r="AV159" s="181"/>
      <c r="AW159" s="181"/>
      <c r="AX159" s="181"/>
      <c r="AY159" s="181"/>
      <c r="AZ159" s="182"/>
      <c r="BA159" s="185"/>
      <c r="BB159" s="185"/>
      <c r="BC159" s="185"/>
      <c r="BD159" s="185"/>
      <c r="BE159" s="185"/>
      <c r="BF159" s="186"/>
      <c r="BG159" s="185"/>
      <c r="BH159" s="185"/>
      <c r="BI159" s="185"/>
      <c r="BJ159" s="185"/>
      <c r="BK159" s="185"/>
      <c r="BL159" s="186"/>
      <c r="BM159" s="409"/>
      <c r="BN159" s="409"/>
    </row>
    <row r="160" spans="1:66" s="49" customFormat="1" x14ac:dyDescent="0.2">
      <c r="A160" s="61"/>
      <c r="B160" s="60">
        <f t="shared" si="225"/>
        <v>41856</v>
      </c>
      <c r="C160" s="22">
        <f t="shared" ref="C160" si="254">IF(ISERROR(3/(U160/60)),"",3/(U160/60))</f>
        <v>5.0943396226415096</v>
      </c>
      <c r="D160" s="23">
        <f>GETPIVOTDATA("Active time (min)",EffortRPMPivot!$A$4,"date",B160,"Site",2)/60</f>
        <v>12</v>
      </c>
      <c r="E160" s="24">
        <f>F160+G160+GETPIVOTDATA("Sum of CNlgNo",SalmonPivot!$A$4,"Date",B160,"Site",2)</f>
        <v>0</v>
      </c>
      <c r="F160" s="24">
        <f>GETPIVOTDATA("Sum of CNlgrad",SalmonPivot!$A$4,"date",B160,"Site",2)</f>
        <v>0</v>
      </c>
      <c r="G160" s="24">
        <f>GETPIVOTDATA("Sum of CNlgrecap",SalmonPivot!$A$4,"date",B160,"Site",2)</f>
        <v>0</v>
      </c>
      <c r="H160" s="24">
        <f>I160+J160+GETPIVOTDATA("Sum of CNsmno",SalmonPivot!$M$4,"Date",B160,"Site",2)</f>
        <v>0</v>
      </c>
      <c r="I160" s="24">
        <f>GETPIVOTDATA("Sum of CNsmradio",SalmonPivot!$M$4,"Date",B160,"Site",2)</f>
        <v>0</v>
      </c>
      <c r="J160" s="24">
        <f>GETPIVOTDATA("Sum of CNsmrecap",SalmonPivot!$M$4,"Date",B160,"Site",2)</f>
        <v>0</v>
      </c>
      <c r="K160" s="24">
        <f>L160+GETPIVOTDATA("Sum of SOno",SalmonPivot!$Y$4,"Date",B160,"Site",2)+GETPIVOTDATA("Sum of SOrecap",SalmonPivot!$Y$4,"Date",B160,"Site",2)</f>
        <v>2</v>
      </c>
      <c r="L160" s="24">
        <f>GETPIVOTDATA("Sum of SOrad",SalmonPivot!$Y$4,"Date",B160,"Site",2)</f>
        <v>2</v>
      </c>
      <c r="M160" s="24">
        <f>N160+GETPIVOTDATA("Sum of PKno",SalmonPivot!$AK$4,"Date",B160,"Site",2)+GETPIVOTDATA("Sum of PKrecap",SalmonPivot!$AK$4,"Date",B160,"Site",2)</f>
        <v>1</v>
      </c>
      <c r="N160" s="24">
        <f>GETPIVOTDATA("Sum of PKrad",SalmonPivot!$AK$4,"Date",B160,"Site",2)</f>
        <v>1</v>
      </c>
      <c r="O160" s="24">
        <f>P160+GETPIVOTDATA("Sum of CMno",SalmonPivot!$AW$4,"Date",B160,"Site",2)+GETPIVOTDATA("Sum of CMrecap",SalmonPivot!$AW$4,"Date",B160,"Site",2)</f>
        <v>7</v>
      </c>
      <c r="P160" s="24">
        <f>GETPIVOTDATA("Sum of CMrad",SalmonPivot!$AW$4,"Date",B160,"Site",2)</f>
        <v>4</v>
      </c>
      <c r="Q160" s="25">
        <f>R160+GETPIVOTDATA("Sum of COno",SalmonPivot!$BI$4,"Date",B160,"Site",2)+GETPIVOTDATA("Sum of COrecap",SalmonPivot!$BI$4,"Date",B160,"Site",2)</f>
        <v>0</v>
      </c>
      <c r="R160" s="24">
        <f>GETPIVOTDATA("Sum of COrad",SalmonPivot!$BI$4,"Date",B160,"Site",2)</f>
        <v>0</v>
      </c>
      <c r="S160" s="24">
        <f>GETPIVOTDATA("Sum of TotalOther",OtherPivot!$J$5,"Date",B160,"Site",2)</f>
        <v>0</v>
      </c>
      <c r="T160" s="38"/>
      <c r="U160" s="172">
        <f>IF(GETPIVOTDATA("3 Revs (s)",EffortRPMPivot!$L$4,"Date",$B160,"Site",2)=0,"",GETPIVOTDATA("3 revs (s)",EffortRPMPivot!$L$4,"date",$B160,"Site",2))</f>
        <v>35.333333333333336</v>
      </c>
      <c r="V160" s="173">
        <f t="shared" ref="V160" si="255">IF(D160=0,"",E160/D160)</f>
        <v>0</v>
      </c>
      <c r="W160" s="173">
        <f t="shared" ref="W160" si="256">IF(D160=0,"",H160/D160)</f>
        <v>0</v>
      </c>
      <c r="X160" s="173">
        <f t="shared" ref="X160" si="257">IF(D160=0,"",K160/$D160)</f>
        <v>0.16666666666666666</v>
      </c>
      <c r="Y160" s="173">
        <f t="shared" ref="Y160" si="258">IF(D160=0,"",M160/$D160)</f>
        <v>8.3333333333333329E-2</v>
      </c>
      <c r="Z160" s="173">
        <f t="shared" ref="Z160" si="259">IF(D160=0,"",O160/$D160)</f>
        <v>0.58333333333333337</v>
      </c>
      <c r="AA160" s="174">
        <f t="shared" ref="AA160" si="260">IF(D160=0,"",Q160/$D160)</f>
        <v>0</v>
      </c>
      <c r="AB160" s="181"/>
      <c r="AC160" s="181"/>
      <c r="AD160" s="181"/>
      <c r="AE160" s="181"/>
      <c r="AF160" s="181"/>
      <c r="AG160" s="181"/>
      <c r="AH160" s="182"/>
      <c r="AI160" s="181"/>
      <c r="AJ160" s="181"/>
      <c r="AK160" s="181"/>
      <c r="AL160" s="181"/>
      <c r="AM160" s="181"/>
      <c r="AN160" s="182"/>
      <c r="AO160" s="181"/>
      <c r="AP160" s="181"/>
      <c r="AQ160" s="181"/>
      <c r="AR160" s="181"/>
      <c r="AS160" s="181"/>
      <c r="AT160" s="182"/>
      <c r="AU160" s="181"/>
      <c r="AV160" s="181"/>
      <c r="AW160" s="181"/>
      <c r="AX160" s="181"/>
      <c r="AY160" s="181"/>
      <c r="AZ160" s="182"/>
      <c r="BA160" s="185"/>
      <c r="BB160" s="185"/>
      <c r="BC160" s="185"/>
      <c r="BD160" s="185"/>
      <c r="BE160" s="185"/>
      <c r="BF160" s="186"/>
      <c r="BG160" s="185"/>
      <c r="BH160" s="185"/>
      <c r="BI160" s="185"/>
      <c r="BJ160" s="185"/>
      <c r="BK160" s="185"/>
      <c r="BL160" s="186"/>
      <c r="BM160" s="409"/>
      <c r="BN160" s="409"/>
    </row>
    <row r="161" spans="1:66" s="49" customFormat="1" x14ac:dyDescent="0.2">
      <c r="A161" s="61"/>
      <c r="B161" s="60">
        <f t="shared" si="225"/>
        <v>41857</v>
      </c>
      <c r="C161" s="22">
        <f t="shared" ref="C161:C162" si="261">IF(ISERROR(3/(U161/60)),"",3/(U161/60))</f>
        <v>5.2941176470588234</v>
      </c>
      <c r="D161" s="23">
        <f>GETPIVOTDATA("Active time (min)",EffortRPMPivot!$A$4,"date",B161,"Site",2)/60</f>
        <v>12.000000000000002</v>
      </c>
      <c r="E161" s="24">
        <f>F161+G161+GETPIVOTDATA("Sum of CNlgNo",SalmonPivot!$A$4,"Date",B161,"Site",2)</f>
        <v>0</v>
      </c>
      <c r="F161" s="24">
        <f>GETPIVOTDATA("Sum of CNlgrad",SalmonPivot!$A$4,"date",B161,"Site",2)</f>
        <v>0</v>
      </c>
      <c r="G161" s="24">
        <f>GETPIVOTDATA("Sum of CNlgrecap",SalmonPivot!$A$4,"date",B161,"Site",2)</f>
        <v>0</v>
      </c>
      <c r="H161" s="24">
        <f>I161+J161+GETPIVOTDATA("Sum of CNsmno",SalmonPivot!$M$4,"Date",B161,"Site",2)</f>
        <v>0</v>
      </c>
      <c r="I161" s="24">
        <f>GETPIVOTDATA("Sum of CNsmradio",SalmonPivot!$M$4,"Date",B161,"Site",2)</f>
        <v>0</v>
      </c>
      <c r="J161" s="24">
        <f>GETPIVOTDATA("Sum of CNsmrecap",SalmonPivot!$M$4,"Date",B161,"Site",2)</f>
        <v>0</v>
      </c>
      <c r="K161" s="24">
        <f>L161+GETPIVOTDATA("Sum of SOno",SalmonPivot!$Y$4,"Date",B161,"Site",2)+GETPIVOTDATA("Sum of SOrecap",SalmonPivot!$Y$4,"Date",B161,"Site",2)</f>
        <v>4</v>
      </c>
      <c r="L161" s="24">
        <f>GETPIVOTDATA("Sum of SOrad",SalmonPivot!$Y$4,"Date",B161,"Site",2)</f>
        <v>4</v>
      </c>
      <c r="M161" s="24">
        <f>N161+GETPIVOTDATA("Sum of PKno",SalmonPivot!$AK$4,"Date",B161,"Site",2)+GETPIVOTDATA("Sum of PKrecap",SalmonPivot!$AK$4,"Date",B161,"Site",2)</f>
        <v>2</v>
      </c>
      <c r="N161" s="24">
        <f>GETPIVOTDATA("Sum of PKrad",SalmonPivot!$AK$4,"Date",B161,"Site",2)</f>
        <v>1</v>
      </c>
      <c r="O161" s="24">
        <f>P161+GETPIVOTDATA("Sum of CMno",SalmonPivot!$AW$4,"Date",B161,"Site",2)+GETPIVOTDATA("Sum of CMrecap",SalmonPivot!$AW$4,"Date",B161,"Site",2)</f>
        <v>3</v>
      </c>
      <c r="P161" s="24">
        <f>GETPIVOTDATA("Sum of CMrad",SalmonPivot!$AW$4,"Date",B161,"Site",2)</f>
        <v>2</v>
      </c>
      <c r="Q161" s="25">
        <f>R161+GETPIVOTDATA("Sum of COno",SalmonPivot!$BI$4,"Date",B161,"Site",2)+GETPIVOTDATA("Sum of COrecap",SalmonPivot!$BI$4,"Date",B161,"Site",2)</f>
        <v>1</v>
      </c>
      <c r="R161" s="24">
        <f>GETPIVOTDATA("Sum of COrad",SalmonPivot!$BI$4,"Date",B161,"Site",2)</f>
        <v>1</v>
      </c>
      <c r="S161" s="24">
        <f>GETPIVOTDATA("Sum of TotalOther",OtherPivot!$J$5,"Date",B161,"Site",2)</f>
        <v>0</v>
      </c>
      <c r="T161" s="38"/>
      <c r="U161" s="172">
        <f>IF(GETPIVOTDATA("3 Revs (s)",EffortRPMPivot!$L$4,"Date",$B161,"Site",2)=0,"",GETPIVOTDATA("3 revs (s)",EffortRPMPivot!$L$4,"date",$B161,"Site",2))</f>
        <v>34</v>
      </c>
      <c r="V161" s="173">
        <f t="shared" ref="V161:V162" si="262">IF(D161=0,"",E161/D161)</f>
        <v>0</v>
      </c>
      <c r="W161" s="173">
        <f t="shared" ref="W161:W162" si="263">IF(D161=0,"",H161/D161)</f>
        <v>0</v>
      </c>
      <c r="X161" s="173">
        <f t="shared" ref="X161:X162" si="264">IF(D161=0,"",K161/$D161)</f>
        <v>0.33333333333333326</v>
      </c>
      <c r="Y161" s="173">
        <f t="shared" ref="Y161:Y162" si="265">IF(D161=0,"",M161/$D161)</f>
        <v>0.16666666666666663</v>
      </c>
      <c r="Z161" s="173">
        <f t="shared" ref="Z161:Z162" si="266">IF(D161=0,"",O161/$D161)</f>
        <v>0.24999999999999997</v>
      </c>
      <c r="AA161" s="174">
        <f t="shared" ref="AA161:AA162" si="267">IF(D161=0,"",Q161/$D161)</f>
        <v>8.3333333333333315E-2</v>
      </c>
      <c r="AB161" s="181"/>
      <c r="AC161" s="181"/>
      <c r="AD161" s="181"/>
      <c r="AE161" s="181"/>
      <c r="AF161" s="181"/>
      <c r="AG161" s="181"/>
      <c r="AH161" s="182"/>
      <c r="AI161" s="181"/>
      <c r="AJ161" s="181"/>
      <c r="AK161" s="181"/>
      <c r="AL161" s="181"/>
      <c r="AM161" s="181"/>
      <c r="AN161" s="182"/>
      <c r="AO161" s="181"/>
      <c r="AP161" s="181"/>
      <c r="AQ161" s="181"/>
      <c r="AR161" s="181"/>
      <c r="AS161" s="181"/>
      <c r="AT161" s="182"/>
      <c r="AU161" s="181"/>
      <c r="AV161" s="181"/>
      <c r="AW161" s="181"/>
      <c r="AX161" s="181"/>
      <c r="AY161" s="181"/>
      <c r="AZ161" s="182"/>
      <c r="BA161" s="185"/>
      <c r="BB161" s="185"/>
      <c r="BC161" s="185"/>
      <c r="BD161" s="185"/>
      <c r="BE161" s="185"/>
      <c r="BF161" s="186"/>
      <c r="BG161" s="185"/>
      <c r="BH161" s="185"/>
      <c r="BI161" s="185"/>
      <c r="BJ161" s="185"/>
      <c r="BK161" s="185"/>
      <c r="BL161" s="186"/>
      <c r="BM161" s="409"/>
      <c r="BN161" s="409"/>
    </row>
    <row r="162" spans="1:66" s="49" customFormat="1" x14ac:dyDescent="0.2">
      <c r="A162" s="61"/>
      <c r="B162" s="60">
        <f t="shared" si="225"/>
        <v>41858</v>
      </c>
      <c r="C162" s="22">
        <f t="shared" si="261"/>
        <v>5.1428571428571423</v>
      </c>
      <c r="D162" s="23">
        <f>GETPIVOTDATA("Active time (min)",EffortRPMPivot!$A$4,"date",B162,"Site",2)/60</f>
        <v>12.000000000000002</v>
      </c>
      <c r="E162" s="24">
        <f>F162+G162+GETPIVOTDATA("Sum of CNlgNo",SalmonPivot!$A$4,"Date",B162,"Site",2)</f>
        <v>0</v>
      </c>
      <c r="F162" s="24">
        <f>GETPIVOTDATA("Sum of CNlgrad",SalmonPivot!$A$4,"date",B162,"Site",2)</f>
        <v>0</v>
      </c>
      <c r="G162" s="24">
        <f>GETPIVOTDATA("Sum of CNlgrecap",SalmonPivot!$A$4,"date",B162,"Site",2)</f>
        <v>0</v>
      </c>
      <c r="H162" s="24">
        <f>I162+J162+GETPIVOTDATA("Sum of CNsmno",SalmonPivot!$M$4,"Date",B162,"Site",2)</f>
        <v>0</v>
      </c>
      <c r="I162" s="24">
        <f>GETPIVOTDATA("Sum of CNsmradio",SalmonPivot!$M$4,"Date",B162,"Site",2)</f>
        <v>0</v>
      </c>
      <c r="J162" s="24">
        <f>GETPIVOTDATA("Sum of CNsmrecap",SalmonPivot!$M$4,"Date",B162,"Site",2)</f>
        <v>0</v>
      </c>
      <c r="K162" s="24">
        <f>L162+GETPIVOTDATA("Sum of SOno",SalmonPivot!$Y$4,"Date",B162,"Site",2)+GETPIVOTDATA("Sum of SOrecap",SalmonPivot!$Y$4,"Date",B162,"Site",2)</f>
        <v>8</v>
      </c>
      <c r="L162" s="24">
        <f>GETPIVOTDATA("Sum of SOrad",SalmonPivot!$Y$4,"Date",B162,"Site",2)</f>
        <v>8</v>
      </c>
      <c r="M162" s="24">
        <f>N162+GETPIVOTDATA("Sum of PKno",SalmonPivot!$AK$4,"Date",B162,"Site",2)+GETPIVOTDATA("Sum of PKrecap",SalmonPivot!$AK$4,"Date",B162,"Site",2)</f>
        <v>3</v>
      </c>
      <c r="N162" s="24">
        <f>GETPIVOTDATA("Sum of PKrad",SalmonPivot!$AK$4,"Date",B162,"Site",2)</f>
        <v>1</v>
      </c>
      <c r="O162" s="24">
        <f>P162+GETPIVOTDATA("Sum of CMno",SalmonPivot!$AW$4,"Date",B162,"Site",2)+GETPIVOTDATA("Sum of CMrecap",SalmonPivot!$AW$4,"Date",B162,"Site",2)</f>
        <v>19</v>
      </c>
      <c r="P162" s="24">
        <f>GETPIVOTDATA("Sum of CMrad",SalmonPivot!$AW$4,"Date",B162,"Site",2)</f>
        <v>4</v>
      </c>
      <c r="Q162" s="25">
        <f>R162+GETPIVOTDATA("Sum of COno",SalmonPivot!$BI$4,"Date",B162,"Site",2)+GETPIVOTDATA("Sum of COrecap",SalmonPivot!$BI$4,"Date",B162,"Site",2)</f>
        <v>0</v>
      </c>
      <c r="R162" s="24">
        <f>GETPIVOTDATA("Sum of COrad",SalmonPivot!$BI$4,"Date",B162,"Site",2)</f>
        <v>0</v>
      </c>
      <c r="S162" s="24">
        <f>GETPIVOTDATA("Sum of TotalOther",OtherPivot!$J$5,"Date",B162,"Site",2)</f>
        <v>0</v>
      </c>
      <c r="T162" s="38"/>
      <c r="U162" s="172">
        <f>IF(GETPIVOTDATA("3 Revs (s)",EffortRPMPivot!$L$4,"Date",$B162,"Site",2)=0,"",GETPIVOTDATA("3 revs (s)",EffortRPMPivot!$L$4,"date",$B162,"Site",2))</f>
        <v>35</v>
      </c>
      <c r="V162" s="173">
        <f t="shared" si="262"/>
        <v>0</v>
      </c>
      <c r="W162" s="173">
        <f t="shared" si="263"/>
        <v>0</v>
      </c>
      <c r="X162" s="173">
        <f t="shared" si="264"/>
        <v>0.66666666666666652</v>
      </c>
      <c r="Y162" s="173">
        <f t="shared" si="265"/>
        <v>0.24999999999999997</v>
      </c>
      <c r="Z162" s="173">
        <f t="shared" si="266"/>
        <v>1.583333333333333</v>
      </c>
      <c r="AA162" s="174">
        <f t="shared" si="267"/>
        <v>0</v>
      </c>
      <c r="AB162" s="181"/>
      <c r="AC162" s="181"/>
      <c r="AD162" s="181"/>
      <c r="AE162" s="181"/>
      <c r="AF162" s="181"/>
      <c r="AG162" s="181"/>
      <c r="AH162" s="182"/>
      <c r="AI162" s="181"/>
      <c r="AJ162" s="181"/>
      <c r="AK162" s="181"/>
      <c r="AL162" s="181"/>
      <c r="AM162" s="181"/>
      <c r="AN162" s="182"/>
      <c r="AO162" s="181"/>
      <c r="AP162" s="181"/>
      <c r="AQ162" s="181"/>
      <c r="AR162" s="181"/>
      <c r="AS162" s="181"/>
      <c r="AT162" s="182"/>
      <c r="AU162" s="181"/>
      <c r="AV162" s="181"/>
      <c r="AW162" s="181"/>
      <c r="AX162" s="181"/>
      <c r="AY162" s="181"/>
      <c r="AZ162" s="182"/>
      <c r="BA162" s="185"/>
      <c r="BB162" s="185"/>
      <c r="BC162" s="185"/>
      <c r="BD162" s="185"/>
      <c r="BE162" s="185"/>
      <c r="BF162" s="186"/>
      <c r="BG162" s="185"/>
      <c r="BH162" s="185"/>
      <c r="BI162" s="185"/>
      <c r="BJ162" s="185"/>
      <c r="BK162" s="185"/>
      <c r="BL162" s="186"/>
      <c r="BM162" s="409"/>
      <c r="BN162" s="409"/>
    </row>
    <row r="163" spans="1:66" s="49" customFormat="1" x14ac:dyDescent="0.2">
      <c r="A163" s="61"/>
      <c r="B163" s="60">
        <f t="shared" si="225"/>
        <v>41859</v>
      </c>
      <c r="C163" s="22">
        <f t="shared" ref="C163:C165" si="268">IF(ISERROR(3/(U163/60)),"",3/(U163/60))</f>
        <v>4.9315068493150687</v>
      </c>
      <c r="D163" s="23">
        <f>GETPIVOTDATA("Active time (min)",EffortRPMPivot!$A$4,"date",B163,"Site",2)/60</f>
        <v>12.000000000000002</v>
      </c>
      <c r="E163" s="24">
        <f>F163+G163+GETPIVOTDATA("Sum of CNlgNo",SalmonPivot!$A$4,"Date",B163,"Site",2)</f>
        <v>0</v>
      </c>
      <c r="F163" s="24">
        <f>GETPIVOTDATA("Sum of CNlgrad",SalmonPivot!$A$4,"date",B163,"Site",2)</f>
        <v>0</v>
      </c>
      <c r="G163" s="24">
        <f>GETPIVOTDATA("Sum of CNlgrecap",SalmonPivot!$A$4,"date",B163,"Site",2)</f>
        <v>0</v>
      </c>
      <c r="H163" s="24">
        <f>I163+J163+GETPIVOTDATA("Sum of CNsmno",SalmonPivot!$M$4,"Date",B163,"Site",2)</f>
        <v>0</v>
      </c>
      <c r="I163" s="24">
        <f>GETPIVOTDATA("Sum of CNsmradio",SalmonPivot!$M$4,"Date",B163,"Site",2)</f>
        <v>0</v>
      </c>
      <c r="J163" s="24">
        <f>GETPIVOTDATA("Sum of CNsmrecap",SalmonPivot!$M$4,"Date",B163,"Site",2)</f>
        <v>0</v>
      </c>
      <c r="K163" s="24">
        <f>L163+GETPIVOTDATA("Sum of SOno",SalmonPivot!$Y$4,"Date",B163,"Site",2)+GETPIVOTDATA("Sum of SOrecap",SalmonPivot!$Y$4,"Date",B163,"Site",2)</f>
        <v>0</v>
      </c>
      <c r="L163" s="24">
        <f>GETPIVOTDATA("Sum of SOrad",SalmonPivot!$Y$4,"Date",B163,"Site",2)</f>
        <v>0</v>
      </c>
      <c r="M163" s="24">
        <f>N163+GETPIVOTDATA("Sum of PKno",SalmonPivot!$AK$4,"Date",B163,"Site",2)+GETPIVOTDATA("Sum of PKrecap",SalmonPivot!$AK$4,"Date",B163,"Site",2)</f>
        <v>2</v>
      </c>
      <c r="N163" s="24">
        <f>GETPIVOTDATA("Sum of PKrad",SalmonPivot!$AK$4,"Date",B163,"Site",2)</f>
        <v>1</v>
      </c>
      <c r="O163" s="24">
        <f>P163+GETPIVOTDATA("Sum of CMno",SalmonPivot!$AW$4,"Date",B163,"Site",2)+GETPIVOTDATA("Sum of CMrecap",SalmonPivot!$AW$4,"Date",B163,"Site",2)</f>
        <v>14</v>
      </c>
      <c r="P163" s="24">
        <f>GETPIVOTDATA("Sum of CMrad",SalmonPivot!$AW$4,"Date",B163,"Site",2)</f>
        <v>5</v>
      </c>
      <c r="Q163" s="25">
        <f>R163+GETPIVOTDATA("Sum of COno",SalmonPivot!$BI$4,"Date",B163,"Site",2)+GETPIVOTDATA("Sum of COrecap",SalmonPivot!$BI$4,"Date",B163,"Site",2)</f>
        <v>0</v>
      </c>
      <c r="R163" s="24">
        <f>GETPIVOTDATA("Sum of COrad",SalmonPivot!$BI$4,"Date",B163,"Site",2)</f>
        <v>0</v>
      </c>
      <c r="S163" s="24">
        <f>GETPIVOTDATA("Sum of TotalOther",OtherPivot!$J$5,"Date",B163,"Site",2)</f>
        <v>0</v>
      </c>
      <c r="T163" s="38"/>
      <c r="U163" s="172">
        <f>IF(GETPIVOTDATA("3 Revs (s)",EffortRPMPivot!$L$4,"Date",$B163,"Site",2)=0,"",GETPIVOTDATA("3 revs (s)",EffortRPMPivot!$L$4,"date",$B163,"Site",2))</f>
        <v>36.5</v>
      </c>
      <c r="V163" s="173">
        <f t="shared" ref="V163:V165" si="269">IF(D163=0,"",E163/D163)</f>
        <v>0</v>
      </c>
      <c r="W163" s="173">
        <f t="shared" ref="W163:W165" si="270">IF(D163=0,"",H163/D163)</f>
        <v>0</v>
      </c>
      <c r="X163" s="173">
        <f t="shared" ref="X163:X165" si="271">IF(D163=0,"",K163/$D163)</f>
        <v>0</v>
      </c>
      <c r="Y163" s="173">
        <f t="shared" ref="Y163:Y165" si="272">IF(D163=0,"",M163/$D163)</f>
        <v>0.16666666666666663</v>
      </c>
      <c r="Z163" s="173">
        <f t="shared" ref="Z163:Z165" si="273">IF(D163=0,"",O163/$D163)</f>
        <v>1.1666666666666665</v>
      </c>
      <c r="AA163" s="174">
        <f t="shared" ref="AA163:AA165" si="274">IF(D163=0,"",Q163/$D163)</f>
        <v>0</v>
      </c>
      <c r="AB163" s="181"/>
      <c r="AC163" s="181"/>
      <c r="AD163" s="181"/>
      <c r="AE163" s="181"/>
      <c r="AF163" s="181"/>
      <c r="AG163" s="181"/>
      <c r="AH163" s="182"/>
      <c r="AI163" s="181"/>
      <c r="AJ163" s="181"/>
      <c r="AK163" s="181"/>
      <c r="AL163" s="181"/>
      <c r="AM163" s="181"/>
      <c r="AN163" s="182"/>
      <c r="AO163" s="181"/>
      <c r="AP163" s="181"/>
      <c r="AQ163" s="181"/>
      <c r="AR163" s="181"/>
      <c r="AS163" s="181"/>
      <c r="AT163" s="182"/>
      <c r="AU163" s="181"/>
      <c r="AV163" s="181"/>
      <c r="AW163" s="181"/>
      <c r="AX163" s="181"/>
      <c r="AY163" s="181"/>
      <c r="AZ163" s="182"/>
      <c r="BA163" s="185"/>
      <c r="BB163" s="185"/>
      <c r="BC163" s="185"/>
      <c r="BD163" s="185"/>
      <c r="BE163" s="185"/>
      <c r="BF163" s="186"/>
      <c r="BG163" s="185"/>
      <c r="BH163" s="185"/>
      <c r="BI163" s="185"/>
      <c r="BJ163" s="185"/>
      <c r="BK163" s="185"/>
      <c r="BL163" s="186"/>
      <c r="BM163" s="409"/>
      <c r="BN163" s="409"/>
    </row>
    <row r="164" spans="1:66" s="49" customFormat="1" x14ac:dyDescent="0.2">
      <c r="A164" s="61"/>
      <c r="B164" s="60">
        <f t="shared" si="225"/>
        <v>41860</v>
      </c>
      <c r="C164" s="22">
        <f t="shared" si="268"/>
        <v>4.0449438202247192</v>
      </c>
      <c r="D164" s="23">
        <f>GETPIVOTDATA("Active time (min)",EffortRPMPivot!$A$4,"date",B164,"Site",2)/60</f>
        <v>12.000000000000002</v>
      </c>
      <c r="E164" s="24">
        <f>F164+G164+GETPIVOTDATA("Sum of CNlgNo",SalmonPivot!$A$4,"Date",B164,"Site",2)</f>
        <v>0</v>
      </c>
      <c r="F164" s="24">
        <f>GETPIVOTDATA("Sum of CNlgrad",SalmonPivot!$A$4,"date",B164,"Site",2)</f>
        <v>0</v>
      </c>
      <c r="G164" s="24">
        <f>GETPIVOTDATA("Sum of CNlgrecap",SalmonPivot!$A$4,"date",B164,"Site",2)</f>
        <v>0</v>
      </c>
      <c r="H164" s="24">
        <f>I164+J164+GETPIVOTDATA("Sum of CNsmno",SalmonPivot!$M$4,"Date",B164,"Site",2)</f>
        <v>0</v>
      </c>
      <c r="I164" s="24">
        <f>GETPIVOTDATA("Sum of CNsmradio",SalmonPivot!$M$4,"Date",B164,"Site",2)</f>
        <v>0</v>
      </c>
      <c r="J164" s="24">
        <f>GETPIVOTDATA("Sum of CNsmrecap",SalmonPivot!$M$4,"Date",B164,"Site",2)</f>
        <v>0</v>
      </c>
      <c r="K164" s="24">
        <f>L164+GETPIVOTDATA("Sum of SOno",SalmonPivot!$Y$4,"Date",B164,"Site",2)+GETPIVOTDATA("Sum of SOrecap",SalmonPivot!$Y$4,"Date",B164,"Site",2)</f>
        <v>0</v>
      </c>
      <c r="L164" s="24">
        <f>GETPIVOTDATA("Sum of SOrad",SalmonPivot!$Y$4,"Date",B164,"Site",2)</f>
        <v>0</v>
      </c>
      <c r="M164" s="24">
        <f>N164+GETPIVOTDATA("Sum of PKno",SalmonPivot!$AK$4,"Date",B164,"Site",2)+GETPIVOTDATA("Sum of PKrecap",SalmonPivot!$AK$4,"Date",B164,"Site",2)</f>
        <v>0</v>
      </c>
      <c r="N164" s="24">
        <f>GETPIVOTDATA("Sum of PKrad",SalmonPivot!$AK$4,"Date",B164,"Site",2)</f>
        <v>0</v>
      </c>
      <c r="O164" s="24">
        <f>P164+GETPIVOTDATA("Sum of CMno",SalmonPivot!$AW$4,"Date",B164,"Site",2)+GETPIVOTDATA("Sum of CMrecap",SalmonPivot!$AW$4,"Date",B164,"Site",2)</f>
        <v>8</v>
      </c>
      <c r="P164" s="24">
        <f>GETPIVOTDATA("Sum of CMrad",SalmonPivot!$AW$4,"Date",B164,"Site",2)</f>
        <v>1</v>
      </c>
      <c r="Q164" s="25">
        <f>R164+GETPIVOTDATA("Sum of COno",SalmonPivot!$BI$4,"Date",B164,"Site",2)+GETPIVOTDATA("Sum of COrecap",SalmonPivot!$BI$4,"Date",B164,"Site",2)</f>
        <v>0</v>
      </c>
      <c r="R164" s="24">
        <f>GETPIVOTDATA("Sum of COrad",SalmonPivot!$BI$4,"Date",B164,"Site",2)</f>
        <v>0</v>
      </c>
      <c r="S164" s="24">
        <f>GETPIVOTDATA("Sum of TotalOther",OtherPivot!$J$5,"Date",B164,"Site",2)</f>
        <v>1</v>
      </c>
      <c r="T164" s="38"/>
      <c r="U164" s="172">
        <f>IF(GETPIVOTDATA("3 Revs (s)",EffortRPMPivot!$L$4,"Date",$B164,"Site",2)=0,"",GETPIVOTDATA("3 revs (s)",EffortRPMPivot!$L$4,"date",$B164,"Site",2))</f>
        <v>44.5</v>
      </c>
      <c r="V164" s="173">
        <f t="shared" si="269"/>
        <v>0</v>
      </c>
      <c r="W164" s="173">
        <f t="shared" si="270"/>
        <v>0</v>
      </c>
      <c r="X164" s="173">
        <f t="shared" si="271"/>
        <v>0</v>
      </c>
      <c r="Y164" s="173">
        <f t="shared" si="272"/>
        <v>0</v>
      </c>
      <c r="Z164" s="173">
        <f t="shared" si="273"/>
        <v>0.66666666666666652</v>
      </c>
      <c r="AA164" s="174">
        <f t="shared" si="274"/>
        <v>0</v>
      </c>
      <c r="AB164" s="181"/>
      <c r="AC164" s="181"/>
      <c r="AD164" s="181"/>
      <c r="AE164" s="181"/>
      <c r="AF164" s="181"/>
      <c r="AG164" s="181"/>
      <c r="AH164" s="182"/>
      <c r="AI164" s="181"/>
      <c r="AJ164" s="181"/>
      <c r="AK164" s="181"/>
      <c r="AL164" s="181"/>
      <c r="AM164" s="181"/>
      <c r="AN164" s="182"/>
      <c r="AO164" s="181"/>
      <c r="AP164" s="181"/>
      <c r="AQ164" s="181"/>
      <c r="AR164" s="181"/>
      <c r="AS164" s="181"/>
      <c r="AT164" s="182"/>
      <c r="AU164" s="181"/>
      <c r="AV164" s="181"/>
      <c r="AW164" s="181"/>
      <c r="AX164" s="181"/>
      <c r="AY164" s="181"/>
      <c r="AZ164" s="182"/>
      <c r="BA164" s="185"/>
      <c r="BB164" s="185"/>
      <c r="BC164" s="185"/>
      <c r="BD164" s="185"/>
      <c r="BE164" s="185"/>
      <c r="BF164" s="186"/>
      <c r="BG164" s="185"/>
      <c r="BH164" s="185"/>
      <c r="BI164" s="185"/>
      <c r="BJ164" s="185"/>
      <c r="BK164" s="185"/>
      <c r="BL164" s="186"/>
      <c r="BM164" s="409"/>
      <c r="BN164" s="409"/>
    </row>
    <row r="165" spans="1:66" s="49" customFormat="1" x14ac:dyDescent="0.2">
      <c r="A165" s="61"/>
      <c r="B165" s="60">
        <f t="shared" si="225"/>
        <v>41861</v>
      </c>
      <c r="C165" s="22">
        <f t="shared" si="268"/>
        <v>4.9315068493150687</v>
      </c>
      <c r="D165" s="23">
        <f>GETPIVOTDATA("Active time (min)",EffortRPMPivot!$A$4,"date",B165,"Site",2)/60</f>
        <v>12.033333333333333</v>
      </c>
      <c r="E165" s="24">
        <f>F165+G165+GETPIVOTDATA("Sum of CNlgNo",SalmonPivot!$A$4,"Date",B165,"Site",2)</f>
        <v>0</v>
      </c>
      <c r="F165" s="24">
        <f>GETPIVOTDATA("Sum of CNlgrad",SalmonPivot!$A$4,"date",B165,"Site",2)</f>
        <v>0</v>
      </c>
      <c r="G165" s="24">
        <f>GETPIVOTDATA("Sum of CNlgrecap",SalmonPivot!$A$4,"date",B165,"Site",2)</f>
        <v>0</v>
      </c>
      <c r="H165" s="24">
        <f>I165+J165+GETPIVOTDATA("Sum of CNsmno",SalmonPivot!$M$4,"Date",B165,"Site",2)</f>
        <v>0</v>
      </c>
      <c r="I165" s="24">
        <f>GETPIVOTDATA("Sum of CNsmradio",SalmonPivot!$M$4,"Date",B165,"Site",2)</f>
        <v>0</v>
      </c>
      <c r="J165" s="24">
        <f>GETPIVOTDATA("Sum of CNsmrecap",SalmonPivot!$M$4,"Date",B165,"Site",2)</f>
        <v>0</v>
      </c>
      <c r="K165" s="24">
        <f>L165+GETPIVOTDATA("Sum of SOno",SalmonPivot!$Y$4,"Date",B165,"Site",2)+GETPIVOTDATA("Sum of SOrecap",SalmonPivot!$Y$4,"Date",B165,"Site",2)</f>
        <v>3</v>
      </c>
      <c r="L165" s="24">
        <f>GETPIVOTDATA("Sum of SOrad",SalmonPivot!$Y$4,"Date",B165,"Site",2)</f>
        <v>3</v>
      </c>
      <c r="M165" s="24">
        <f>N165+GETPIVOTDATA("Sum of PKno",SalmonPivot!$AK$4,"Date",B165,"Site",2)+GETPIVOTDATA("Sum of PKrecap",SalmonPivot!$AK$4,"Date",B165,"Site",2)</f>
        <v>4</v>
      </c>
      <c r="N165" s="24">
        <f>GETPIVOTDATA("Sum of PKrad",SalmonPivot!$AK$4,"Date",B165,"Site",2)</f>
        <v>3</v>
      </c>
      <c r="O165" s="24">
        <f>P165+GETPIVOTDATA("Sum of CMno",SalmonPivot!$AW$4,"Date",B165,"Site",2)+GETPIVOTDATA("Sum of CMrecap",SalmonPivot!$AW$4,"Date",B165,"Site",2)</f>
        <v>6</v>
      </c>
      <c r="P165" s="24">
        <f>GETPIVOTDATA("Sum of CMrad",SalmonPivot!$AW$4,"Date",B165,"Site",2)</f>
        <v>1</v>
      </c>
      <c r="Q165" s="25">
        <f>R165+GETPIVOTDATA("Sum of COno",SalmonPivot!$BI$4,"Date",B165,"Site",2)+GETPIVOTDATA("Sum of COrecap",SalmonPivot!$BI$4,"Date",B165,"Site",2)</f>
        <v>0</v>
      </c>
      <c r="R165" s="24">
        <f>GETPIVOTDATA("Sum of COrad",SalmonPivot!$BI$4,"Date",B165,"Site",2)</f>
        <v>0</v>
      </c>
      <c r="S165" s="24">
        <f>GETPIVOTDATA("Sum of TotalOther",OtherPivot!$J$5,"Date",B165,"Site",2)</f>
        <v>0</v>
      </c>
      <c r="T165" s="38"/>
      <c r="U165" s="172">
        <f>IF(GETPIVOTDATA("3 Revs (s)",EffortRPMPivot!$L$4,"Date",$B165,"Site",2)=0,"",GETPIVOTDATA("3 revs (s)",EffortRPMPivot!$L$4,"date",$B165,"Site",2))</f>
        <v>36.5</v>
      </c>
      <c r="V165" s="173">
        <f t="shared" si="269"/>
        <v>0</v>
      </c>
      <c r="W165" s="173">
        <f t="shared" si="270"/>
        <v>0</v>
      </c>
      <c r="X165" s="173">
        <f t="shared" si="271"/>
        <v>0.24930747922437674</v>
      </c>
      <c r="Y165" s="173">
        <f t="shared" si="272"/>
        <v>0.33240997229916897</v>
      </c>
      <c r="Z165" s="173">
        <f t="shared" si="273"/>
        <v>0.49861495844875348</v>
      </c>
      <c r="AA165" s="174">
        <f t="shared" si="274"/>
        <v>0</v>
      </c>
      <c r="AB165" s="181"/>
      <c r="AC165" s="181"/>
      <c r="AD165" s="181"/>
      <c r="AE165" s="181"/>
      <c r="AF165" s="181"/>
      <c r="AG165" s="181"/>
      <c r="AH165" s="182"/>
      <c r="AI165" s="181"/>
      <c r="AJ165" s="181"/>
      <c r="AK165" s="181"/>
      <c r="AL165" s="181"/>
      <c r="AM165" s="181"/>
      <c r="AN165" s="182"/>
      <c r="AO165" s="181"/>
      <c r="AP165" s="181"/>
      <c r="AQ165" s="181"/>
      <c r="AR165" s="181"/>
      <c r="AS165" s="181"/>
      <c r="AT165" s="182"/>
      <c r="AU165" s="181"/>
      <c r="AV165" s="181"/>
      <c r="AW165" s="181"/>
      <c r="AX165" s="181"/>
      <c r="AY165" s="181"/>
      <c r="AZ165" s="182"/>
      <c r="BA165" s="185"/>
      <c r="BB165" s="185"/>
      <c r="BC165" s="185"/>
      <c r="BD165" s="185"/>
      <c r="BE165" s="185"/>
      <c r="BF165" s="186"/>
      <c r="BG165" s="185"/>
      <c r="BH165" s="185"/>
      <c r="BI165" s="185"/>
      <c r="BJ165" s="185"/>
      <c r="BK165" s="185"/>
      <c r="BL165" s="186"/>
      <c r="BM165" s="409"/>
      <c r="BN165" s="409"/>
    </row>
    <row r="166" spans="1:66" s="49" customFormat="1" x14ac:dyDescent="0.2">
      <c r="A166" s="61"/>
      <c r="B166" s="60">
        <f t="shared" si="225"/>
        <v>41862</v>
      </c>
      <c r="C166" s="22">
        <f t="shared" ref="C166:C167" si="275">IF(ISERROR(3/(U166/60)),"",3/(U166/60))</f>
        <v>4.8648648648648649</v>
      </c>
      <c r="D166" s="23">
        <f>GETPIVOTDATA("Active time (min)",EffortRPMPivot!$A$4,"date",B166,"Site",2)/60</f>
        <v>12</v>
      </c>
      <c r="E166" s="24">
        <f>F166+G166+GETPIVOTDATA("Sum of CNlgNo",SalmonPivot!$A$4,"Date",B166,"Site",2)</f>
        <v>0</v>
      </c>
      <c r="F166" s="24">
        <f>GETPIVOTDATA("Sum of CNlgrad",SalmonPivot!$A$4,"date",B166,"Site",2)</f>
        <v>0</v>
      </c>
      <c r="G166" s="24">
        <f>GETPIVOTDATA("Sum of CNlgrecap",SalmonPivot!$A$4,"date",B166,"Site",2)</f>
        <v>0</v>
      </c>
      <c r="H166" s="24">
        <f>I166+J166+GETPIVOTDATA("Sum of CNsmno",SalmonPivot!$M$4,"Date",B166,"Site",2)</f>
        <v>0</v>
      </c>
      <c r="I166" s="24">
        <f>GETPIVOTDATA("Sum of CNsmradio",SalmonPivot!$M$4,"Date",B166,"Site",2)</f>
        <v>0</v>
      </c>
      <c r="J166" s="24">
        <f>GETPIVOTDATA("Sum of CNsmrecap",SalmonPivot!$M$4,"Date",B166,"Site",2)</f>
        <v>0</v>
      </c>
      <c r="K166" s="24">
        <f>L166+GETPIVOTDATA("Sum of SOno",SalmonPivot!$Y$4,"Date",B166,"Site",2)+GETPIVOTDATA("Sum of SOrecap",SalmonPivot!$Y$4,"Date",B166,"Site",2)</f>
        <v>0</v>
      </c>
      <c r="L166" s="24">
        <f>GETPIVOTDATA("Sum of SOrad",SalmonPivot!$Y$4,"Date",B166,"Site",2)</f>
        <v>0</v>
      </c>
      <c r="M166" s="24">
        <f>N166+GETPIVOTDATA("Sum of PKno",SalmonPivot!$AK$4,"Date",B166,"Site",2)+GETPIVOTDATA("Sum of PKrecap",SalmonPivot!$AK$4,"Date",B166,"Site",2)</f>
        <v>2</v>
      </c>
      <c r="N166" s="24">
        <f>GETPIVOTDATA("Sum of PKrad",SalmonPivot!$AK$4,"Date",B166,"Site",2)</f>
        <v>2</v>
      </c>
      <c r="O166" s="24">
        <f>P166+GETPIVOTDATA("Sum of CMno",SalmonPivot!$AW$4,"Date",B166,"Site",2)+GETPIVOTDATA("Sum of CMrecap",SalmonPivot!$AW$4,"Date",B166,"Site",2)</f>
        <v>13</v>
      </c>
      <c r="P166" s="24">
        <f>GETPIVOTDATA("Sum of CMrad",SalmonPivot!$AW$4,"Date",B166,"Site",2)</f>
        <v>2</v>
      </c>
      <c r="Q166" s="25">
        <f>R166+GETPIVOTDATA("Sum of COno",SalmonPivot!$BI$4,"Date",B166,"Site",2)+GETPIVOTDATA("Sum of COrecap",SalmonPivot!$BI$4,"Date",B166,"Site",2)</f>
        <v>0</v>
      </c>
      <c r="R166" s="24">
        <f>GETPIVOTDATA("Sum of COrad",SalmonPivot!$BI$4,"Date",B166,"Site",2)</f>
        <v>0</v>
      </c>
      <c r="S166" s="24">
        <f>GETPIVOTDATA("Sum of TotalOther",OtherPivot!$J$5,"Date",B166,"Site",2)</f>
        <v>0</v>
      </c>
      <c r="T166" s="38"/>
      <c r="U166" s="172">
        <f>IF(GETPIVOTDATA("3 Revs (s)",EffortRPMPivot!$L$4,"Date",$B166,"Site",2)=0,"",GETPIVOTDATA("3 revs (s)",EffortRPMPivot!$L$4,"date",$B166,"Site",2))</f>
        <v>37</v>
      </c>
      <c r="V166" s="173">
        <f t="shared" ref="V166:V167" si="276">IF(D166=0,"",E166/D166)</f>
        <v>0</v>
      </c>
      <c r="W166" s="173">
        <f t="shared" ref="W166:W167" si="277">IF(D166=0,"",H166/D166)</f>
        <v>0</v>
      </c>
      <c r="X166" s="173">
        <f t="shared" ref="X166:X167" si="278">IF(D166=0,"",K166/$D166)</f>
        <v>0</v>
      </c>
      <c r="Y166" s="173">
        <f t="shared" ref="Y166:Y167" si="279">IF(D166=0,"",M166/$D166)</f>
        <v>0.16666666666666666</v>
      </c>
      <c r="Z166" s="173">
        <f t="shared" ref="Z166:Z167" si="280">IF(D166=0,"",O166/$D166)</f>
        <v>1.0833333333333333</v>
      </c>
      <c r="AA166" s="174">
        <f t="shared" ref="AA166:AA167" si="281">IF(D166=0,"",Q166/$D166)</f>
        <v>0</v>
      </c>
      <c r="AB166" s="181"/>
      <c r="AC166" s="181"/>
      <c r="AD166" s="181"/>
      <c r="AE166" s="181"/>
      <c r="AF166" s="181"/>
      <c r="AG166" s="181"/>
      <c r="AH166" s="182"/>
      <c r="AI166" s="181"/>
      <c r="AJ166" s="181"/>
      <c r="AK166" s="181"/>
      <c r="AL166" s="181"/>
      <c r="AM166" s="181"/>
      <c r="AN166" s="182"/>
      <c r="AO166" s="181"/>
      <c r="AP166" s="181"/>
      <c r="AQ166" s="181"/>
      <c r="AR166" s="181"/>
      <c r="AS166" s="181"/>
      <c r="AT166" s="182"/>
      <c r="AU166" s="181"/>
      <c r="AV166" s="181"/>
      <c r="AW166" s="181"/>
      <c r="AX166" s="181"/>
      <c r="AY166" s="181"/>
      <c r="AZ166" s="182"/>
      <c r="BA166" s="185"/>
      <c r="BB166" s="185"/>
      <c r="BC166" s="185"/>
      <c r="BD166" s="185"/>
      <c r="BE166" s="185"/>
      <c r="BF166" s="186"/>
      <c r="BG166" s="185"/>
      <c r="BH166" s="185"/>
      <c r="BI166" s="185"/>
      <c r="BJ166" s="185"/>
      <c r="BK166" s="185"/>
      <c r="BL166" s="186"/>
      <c r="BM166" s="409"/>
      <c r="BN166" s="409"/>
    </row>
    <row r="167" spans="1:66" s="49" customFormat="1" x14ac:dyDescent="0.2">
      <c r="A167" s="61"/>
      <c r="B167" s="60">
        <f t="shared" si="225"/>
        <v>41863</v>
      </c>
      <c r="C167" s="22">
        <f t="shared" si="275"/>
        <v>4.9541284403669721</v>
      </c>
      <c r="D167" s="23">
        <f>GETPIVOTDATA("Active time (min)",EffortRPMPivot!$A$4,"date",B167,"Site",2)/60</f>
        <v>12</v>
      </c>
      <c r="E167" s="24">
        <f>F167+G167+GETPIVOTDATA("Sum of CNlgNo",SalmonPivot!$A$4,"Date",B167,"Site",2)</f>
        <v>0</v>
      </c>
      <c r="F167" s="24">
        <f>GETPIVOTDATA("Sum of CNlgrad",SalmonPivot!$A$4,"date",B167,"Site",2)</f>
        <v>0</v>
      </c>
      <c r="G167" s="24">
        <f>GETPIVOTDATA("Sum of CNlgrecap",SalmonPivot!$A$4,"date",B167,"Site",2)</f>
        <v>0</v>
      </c>
      <c r="H167" s="24">
        <f>I167+J167+GETPIVOTDATA("Sum of CNsmno",SalmonPivot!$M$4,"Date",B167,"Site",2)</f>
        <v>0</v>
      </c>
      <c r="I167" s="24">
        <f>GETPIVOTDATA("Sum of CNsmradio",SalmonPivot!$M$4,"Date",B167,"Site",2)</f>
        <v>0</v>
      </c>
      <c r="J167" s="24">
        <f>GETPIVOTDATA("Sum of CNsmrecap",SalmonPivot!$M$4,"Date",B167,"Site",2)</f>
        <v>0</v>
      </c>
      <c r="K167" s="24">
        <f>L167+GETPIVOTDATA("Sum of SOno",SalmonPivot!$Y$4,"Date",B167,"Site",2)+GETPIVOTDATA("Sum of SOrecap",SalmonPivot!$Y$4,"Date",B167,"Site",2)</f>
        <v>6</v>
      </c>
      <c r="L167" s="24">
        <f>GETPIVOTDATA("Sum of SOrad",SalmonPivot!$Y$4,"Date",B167,"Site",2)</f>
        <v>5</v>
      </c>
      <c r="M167" s="24">
        <f>N167+GETPIVOTDATA("Sum of PKno",SalmonPivot!$AK$4,"Date",B167,"Site",2)+GETPIVOTDATA("Sum of PKrecap",SalmonPivot!$AK$4,"Date",B167,"Site",2)</f>
        <v>0</v>
      </c>
      <c r="N167" s="24">
        <f>GETPIVOTDATA("Sum of PKrad",SalmonPivot!$AK$4,"Date",B167,"Site",2)</f>
        <v>0</v>
      </c>
      <c r="O167" s="24">
        <f>P167+GETPIVOTDATA("Sum of CMno",SalmonPivot!$AW$4,"Date",B167,"Site",2)+GETPIVOTDATA("Sum of CMrecap",SalmonPivot!$AW$4,"Date",B167,"Site",2)</f>
        <v>26</v>
      </c>
      <c r="P167" s="24">
        <f>GETPIVOTDATA("Sum of CMrad",SalmonPivot!$AW$4,"Date",B167,"Site",2)</f>
        <v>2</v>
      </c>
      <c r="Q167" s="25">
        <f>R167+GETPIVOTDATA("Sum of COno",SalmonPivot!$BI$4,"Date",B167,"Site",2)+GETPIVOTDATA("Sum of COrecap",SalmonPivot!$BI$4,"Date",B167,"Site",2)</f>
        <v>0</v>
      </c>
      <c r="R167" s="24">
        <f>GETPIVOTDATA("Sum of COrad",SalmonPivot!$BI$4,"Date",B167,"Site",2)</f>
        <v>0</v>
      </c>
      <c r="S167" s="24">
        <f>GETPIVOTDATA("Sum of TotalOther",OtherPivot!$J$5,"Date",B167,"Site",2)</f>
        <v>0</v>
      </c>
      <c r="T167" s="38"/>
      <c r="U167" s="172">
        <f>IF(GETPIVOTDATA("3 Revs (s)",EffortRPMPivot!$L$4,"Date",$B167,"Site",2)=0,"",GETPIVOTDATA("3 revs (s)",EffortRPMPivot!$L$4,"date",$B167,"Site",2))</f>
        <v>36.333333333333336</v>
      </c>
      <c r="V167" s="173">
        <f t="shared" si="276"/>
        <v>0</v>
      </c>
      <c r="W167" s="173">
        <f t="shared" si="277"/>
        <v>0</v>
      </c>
      <c r="X167" s="173">
        <f t="shared" si="278"/>
        <v>0.5</v>
      </c>
      <c r="Y167" s="173">
        <f t="shared" si="279"/>
        <v>0</v>
      </c>
      <c r="Z167" s="173">
        <f t="shared" si="280"/>
        <v>2.1666666666666665</v>
      </c>
      <c r="AA167" s="174">
        <f t="shared" si="281"/>
        <v>0</v>
      </c>
      <c r="AB167" s="181"/>
      <c r="AC167" s="181"/>
      <c r="AD167" s="181"/>
      <c r="AE167" s="181"/>
      <c r="AF167" s="181"/>
      <c r="AG167" s="181"/>
      <c r="AH167" s="182"/>
      <c r="AI167" s="181"/>
      <c r="AJ167" s="181"/>
      <c r="AK167" s="181"/>
      <c r="AL167" s="181"/>
      <c r="AM167" s="181"/>
      <c r="AN167" s="182"/>
      <c r="AO167" s="181"/>
      <c r="AP167" s="181"/>
      <c r="AQ167" s="181"/>
      <c r="AR167" s="181"/>
      <c r="AS167" s="181"/>
      <c r="AT167" s="182"/>
      <c r="AU167" s="181"/>
      <c r="AV167" s="181"/>
      <c r="AW167" s="181"/>
      <c r="AX167" s="181"/>
      <c r="AY167" s="181"/>
      <c r="AZ167" s="182"/>
      <c r="BA167" s="185"/>
      <c r="BB167" s="185"/>
      <c r="BC167" s="185"/>
      <c r="BD167" s="185"/>
      <c r="BE167" s="185"/>
      <c r="BF167" s="186"/>
      <c r="BG167" s="185"/>
      <c r="BH167" s="185"/>
      <c r="BI167" s="185"/>
      <c r="BJ167" s="185"/>
      <c r="BK167" s="185"/>
      <c r="BL167" s="186"/>
      <c r="BM167" s="409"/>
      <c r="BN167" s="409"/>
    </row>
    <row r="168" spans="1:66" s="49" customFormat="1" x14ac:dyDescent="0.2">
      <c r="A168" s="61"/>
      <c r="B168" s="60">
        <f t="shared" si="225"/>
        <v>41864</v>
      </c>
      <c r="C168" s="22">
        <f t="shared" ref="C168:C170" si="282">IF(ISERROR(3/(U168/60)),"",3/(U168/60))</f>
        <v>5.0943396226415096</v>
      </c>
      <c r="D168" s="23">
        <f>GETPIVOTDATA("Active time (min)",EffortRPMPivot!$A$4,"date",B168,"Site",2)/60</f>
        <v>12.000000000000002</v>
      </c>
      <c r="E168" s="24">
        <f>F168+G168+GETPIVOTDATA("Sum of CNlgNo",SalmonPivot!$A$4,"Date",B168,"Site",2)</f>
        <v>0</v>
      </c>
      <c r="F168" s="24">
        <f>GETPIVOTDATA("Sum of CNlgrad",SalmonPivot!$A$4,"date",B168,"Site",2)</f>
        <v>0</v>
      </c>
      <c r="G168" s="24">
        <f>GETPIVOTDATA("Sum of CNlgrecap",SalmonPivot!$A$4,"date",B168,"Site",2)</f>
        <v>0</v>
      </c>
      <c r="H168" s="24">
        <f>I168+J168+GETPIVOTDATA("Sum of CNsmno",SalmonPivot!$M$4,"Date",B168,"Site",2)</f>
        <v>0</v>
      </c>
      <c r="I168" s="24">
        <f>GETPIVOTDATA("Sum of CNsmradio",SalmonPivot!$M$4,"Date",B168,"Site",2)</f>
        <v>0</v>
      </c>
      <c r="J168" s="24">
        <f>GETPIVOTDATA("Sum of CNsmrecap",SalmonPivot!$M$4,"Date",B168,"Site",2)</f>
        <v>0</v>
      </c>
      <c r="K168" s="24">
        <f>L168+GETPIVOTDATA("Sum of SOno",SalmonPivot!$Y$4,"Date",B168,"Site",2)+GETPIVOTDATA("Sum of SOrecap",SalmonPivot!$Y$4,"Date",B168,"Site",2)</f>
        <v>1</v>
      </c>
      <c r="L168" s="24">
        <f>GETPIVOTDATA("Sum of SOrad",SalmonPivot!$Y$4,"Date",B168,"Site",2)</f>
        <v>0</v>
      </c>
      <c r="M168" s="24">
        <f>N168+GETPIVOTDATA("Sum of PKno",SalmonPivot!$AK$4,"Date",B168,"Site",2)+GETPIVOTDATA("Sum of PKrecap",SalmonPivot!$AK$4,"Date",B168,"Site",2)</f>
        <v>3</v>
      </c>
      <c r="N168" s="24">
        <f>GETPIVOTDATA("Sum of PKrad",SalmonPivot!$AK$4,"Date",B168,"Site",2)</f>
        <v>2</v>
      </c>
      <c r="O168" s="24">
        <f>P168+GETPIVOTDATA("Sum of CMno",SalmonPivot!$AW$4,"Date",B168,"Site",2)+GETPIVOTDATA("Sum of CMrecap",SalmonPivot!$AW$4,"Date",B168,"Site",2)</f>
        <v>22</v>
      </c>
      <c r="P168" s="24">
        <f>GETPIVOTDATA("Sum of CMrad",SalmonPivot!$AW$4,"Date",B168,"Site",2)</f>
        <v>3</v>
      </c>
      <c r="Q168" s="25">
        <f>R168+GETPIVOTDATA("Sum of COno",SalmonPivot!$BI$4,"Date",B168,"Site",2)+GETPIVOTDATA("Sum of COrecap",SalmonPivot!$BI$4,"Date",B168,"Site",2)</f>
        <v>0</v>
      </c>
      <c r="R168" s="24">
        <f>GETPIVOTDATA("Sum of COrad",SalmonPivot!$BI$4,"Date",B168,"Site",2)</f>
        <v>0</v>
      </c>
      <c r="S168" s="24">
        <f>GETPIVOTDATA("Sum of TotalOther",OtherPivot!$J$5,"Date",B168,"Site",2)</f>
        <v>0</v>
      </c>
      <c r="T168" s="38"/>
      <c r="U168" s="172">
        <f>IF(GETPIVOTDATA("3 Revs (s)",EffortRPMPivot!$L$4,"Date",$B168,"Site",2)=0,"",GETPIVOTDATA("3 revs (s)",EffortRPMPivot!$L$4,"date",$B168,"Site",2))</f>
        <v>35.333333333333336</v>
      </c>
      <c r="V168" s="173">
        <f t="shared" ref="V168:V170" si="283">IF(D168=0,"",E168/D168)</f>
        <v>0</v>
      </c>
      <c r="W168" s="173">
        <f t="shared" ref="W168:W170" si="284">IF(D168=0,"",H168/D168)</f>
        <v>0</v>
      </c>
      <c r="X168" s="173">
        <f t="shared" ref="X168:X170" si="285">IF(D168=0,"",K168/$D168)</f>
        <v>8.3333333333333315E-2</v>
      </c>
      <c r="Y168" s="173">
        <f t="shared" ref="Y168:Y170" si="286">IF(D168=0,"",M168/$D168)</f>
        <v>0.24999999999999997</v>
      </c>
      <c r="Z168" s="173">
        <f t="shared" ref="Z168:Z170" si="287">IF(D168=0,"",O168/$D168)</f>
        <v>1.833333333333333</v>
      </c>
      <c r="AA168" s="174">
        <f t="shared" ref="AA168:AA170" si="288">IF(D168=0,"",Q168/$D168)</f>
        <v>0</v>
      </c>
      <c r="AB168" s="181"/>
      <c r="AC168" s="181"/>
      <c r="AD168" s="181"/>
      <c r="AE168" s="181"/>
      <c r="AF168" s="181"/>
      <c r="AG168" s="181"/>
      <c r="AH168" s="182"/>
      <c r="AI168" s="181"/>
      <c r="AJ168" s="181"/>
      <c r="AK168" s="181"/>
      <c r="AL168" s="181"/>
      <c r="AM168" s="181"/>
      <c r="AN168" s="182"/>
      <c r="AO168" s="181"/>
      <c r="AP168" s="181"/>
      <c r="AQ168" s="181"/>
      <c r="AR168" s="181"/>
      <c r="AS168" s="181"/>
      <c r="AT168" s="182"/>
      <c r="AU168" s="181"/>
      <c r="AV168" s="181"/>
      <c r="AW168" s="181"/>
      <c r="AX168" s="181"/>
      <c r="AY168" s="181"/>
      <c r="AZ168" s="182"/>
      <c r="BA168" s="185"/>
      <c r="BB168" s="185"/>
      <c r="BC168" s="185"/>
      <c r="BD168" s="185"/>
      <c r="BE168" s="185"/>
      <c r="BF168" s="186"/>
      <c r="BG168" s="185"/>
      <c r="BH168" s="185"/>
      <c r="BI168" s="185"/>
      <c r="BJ168" s="185"/>
      <c r="BK168" s="185"/>
      <c r="BL168" s="186"/>
      <c r="BM168" s="409"/>
      <c r="BN168" s="409"/>
    </row>
    <row r="169" spans="1:66" s="49" customFormat="1" x14ac:dyDescent="0.2">
      <c r="A169" s="61"/>
      <c r="B169" s="60">
        <f t="shared" si="225"/>
        <v>41865</v>
      </c>
      <c r="C169" s="22">
        <f t="shared" si="282"/>
        <v>4.8</v>
      </c>
      <c r="D169" s="23">
        <f>GETPIVOTDATA("Active time (min)",EffortRPMPivot!$A$4,"date",B169,"Site",2)/60</f>
        <v>11.833333333333334</v>
      </c>
      <c r="E169" s="24">
        <f>F169+G169+GETPIVOTDATA("Sum of CNlgNo",SalmonPivot!$A$4,"Date",B169,"Site",2)</f>
        <v>0</v>
      </c>
      <c r="F169" s="24">
        <f>GETPIVOTDATA("Sum of CNlgrad",SalmonPivot!$A$4,"date",B169,"Site",2)</f>
        <v>0</v>
      </c>
      <c r="G169" s="24">
        <f>GETPIVOTDATA("Sum of CNlgrecap",SalmonPivot!$A$4,"date",B169,"Site",2)</f>
        <v>0</v>
      </c>
      <c r="H169" s="24">
        <f>I169+J169+GETPIVOTDATA("Sum of CNsmno",SalmonPivot!$M$4,"Date",B169,"Site",2)</f>
        <v>0</v>
      </c>
      <c r="I169" s="24">
        <f>GETPIVOTDATA("Sum of CNsmradio",SalmonPivot!$M$4,"Date",B169,"Site",2)</f>
        <v>0</v>
      </c>
      <c r="J169" s="24">
        <f>GETPIVOTDATA("Sum of CNsmrecap",SalmonPivot!$M$4,"Date",B169,"Site",2)</f>
        <v>0</v>
      </c>
      <c r="K169" s="24">
        <f>L169+GETPIVOTDATA("Sum of SOno",SalmonPivot!$Y$4,"Date",B169,"Site",2)+GETPIVOTDATA("Sum of SOrecap",SalmonPivot!$Y$4,"Date",B169,"Site",2)</f>
        <v>0</v>
      </c>
      <c r="L169" s="24">
        <f>GETPIVOTDATA("Sum of SOrad",SalmonPivot!$Y$4,"Date",B169,"Site",2)</f>
        <v>0</v>
      </c>
      <c r="M169" s="24">
        <f>N169+GETPIVOTDATA("Sum of PKno",SalmonPivot!$AK$4,"Date",B169,"Site",2)+GETPIVOTDATA("Sum of PKrecap",SalmonPivot!$AK$4,"Date",B169,"Site",2)</f>
        <v>1</v>
      </c>
      <c r="N169" s="24">
        <f>GETPIVOTDATA("Sum of PKrad",SalmonPivot!$AK$4,"Date",B169,"Site",2)</f>
        <v>0</v>
      </c>
      <c r="O169" s="24">
        <f>P169+GETPIVOTDATA("Sum of CMno",SalmonPivot!$AW$4,"Date",B169,"Site",2)+GETPIVOTDATA("Sum of CMrecap",SalmonPivot!$AW$4,"Date",B169,"Site",2)</f>
        <v>11</v>
      </c>
      <c r="P169" s="24">
        <f>GETPIVOTDATA("Sum of CMrad",SalmonPivot!$AW$4,"Date",B169,"Site",2)</f>
        <v>2</v>
      </c>
      <c r="Q169" s="25">
        <f>R169+GETPIVOTDATA("Sum of COno",SalmonPivot!$BI$4,"Date",B169,"Site",2)+GETPIVOTDATA("Sum of COrecap",SalmonPivot!$BI$4,"Date",B169,"Site",2)</f>
        <v>1</v>
      </c>
      <c r="R169" s="24">
        <f>GETPIVOTDATA("Sum of COrad",SalmonPivot!$BI$4,"Date",B169,"Site",2)</f>
        <v>1</v>
      </c>
      <c r="S169" s="24">
        <f>GETPIVOTDATA("Sum of TotalOther",OtherPivot!$J$5,"Date",B169,"Site",2)</f>
        <v>0</v>
      </c>
      <c r="T169" s="38"/>
      <c r="U169" s="172">
        <f>IF(GETPIVOTDATA("3 Revs (s)",EffortRPMPivot!$L$4,"Date",$B169,"Site",2)=0,"",GETPIVOTDATA("3 revs (s)",EffortRPMPivot!$L$4,"date",$B169,"Site",2))</f>
        <v>37.5</v>
      </c>
      <c r="V169" s="173">
        <f t="shared" si="283"/>
        <v>0</v>
      </c>
      <c r="W169" s="173">
        <f t="shared" si="284"/>
        <v>0</v>
      </c>
      <c r="X169" s="173">
        <f t="shared" si="285"/>
        <v>0</v>
      </c>
      <c r="Y169" s="173">
        <f t="shared" si="286"/>
        <v>8.4507042253521125E-2</v>
      </c>
      <c r="Z169" s="173">
        <f t="shared" si="287"/>
        <v>0.92957746478873238</v>
      </c>
      <c r="AA169" s="174">
        <f t="shared" si="288"/>
        <v>8.4507042253521125E-2</v>
      </c>
      <c r="AB169" s="181"/>
      <c r="AC169" s="181"/>
      <c r="AD169" s="181"/>
      <c r="AE169" s="181"/>
      <c r="AF169" s="181"/>
      <c r="AG169" s="181"/>
      <c r="AH169" s="182"/>
      <c r="AI169" s="181"/>
      <c r="AJ169" s="181"/>
      <c r="AK169" s="181"/>
      <c r="AL169" s="181"/>
      <c r="AM169" s="181"/>
      <c r="AN169" s="182"/>
      <c r="AO169" s="181"/>
      <c r="AP169" s="181"/>
      <c r="AQ169" s="181"/>
      <c r="AR169" s="181"/>
      <c r="AS169" s="181"/>
      <c r="AT169" s="182"/>
      <c r="AU169" s="181"/>
      <c r="AV169" s="181"/>
      <c r="AW169" s="181"/>
      <c r="AX169" s="181"/>
      <c r="AY169" s="181"/>
      <c r="AZ169" s="182"/>
      <c r="BA169" s="185"/>
      <c r="BB169" s="185"/>
      <c r="BC169" s="185"/>
      <c r="BD169" s="185"/>
      <c r="BE169" s="185"/>
      <c r="BF169" s="186"/>
      <c r="BG169" s="185"/>
      <c r="BH169" s="185"/>
      <c r="BI169" s="185"/>
      <c r="BJ169" s="185"/>
      <c r="BK169" s="185"/>
      <c r="BL169" s="186"/>
      <c r="BM169" s="409"/>
      <c r="BN169" s="409"/>
    </row>
    <row r="170" spans="1:66" s="49" customFormat="1" x14ac:dyDescent="0.2">
      <c r="A170" s="61"/>
      <c r="B170" s="60">
        <f>1+B169</f>
        <v>41866</v>
      </c>
      <c r="C170" s="22">
        <f t="shared" si="282"/>
        <v>5.070422535211268</v>
      </c>
      <c r="D170" s="23">
        <f>GETPIVOTDATA("Active time (min)",EffortRPMPivot!$A$4,"date",B170,"Site",2)/60</f>
        <v>11.999999999999996</v>
      </c>
      <c r="E170" s="24">
        <f>F170+G170+GETPIVOTDATA("Sum of CNlgNo",SalmonPivot!$A$4,"Date",B170,"Site",2)</f>
        <v>1</v>
      </c>
      <c r="F170" s="24">
        <f>GETPIVOTDATA("Sum of CNlgrad",SalmonPivot!$A$4,"date",B170,"Site",2)</f>
        <v>0</v>
      </c>
      <c r="G170" s="24">
        <f>GETPIVOTDATA("Sum of CNlgrecap",SalmonPivot!$A$4,"date",B170,"Site",2)</f>
        <v>0</v>
      </c>
      <c r="H170" s="24">
        <f>I170+J170+GETPIVOTDATA("Sum of CNsmno",SalmonPivot!$M$4,"Date",B170,"Site",2)</f>
        <v>0</v>
      </c>
      <c r="I170" s="24">
        <f>GETPIVOTDATA("Sum of CNsmradio",SalmonPivot!$M$4,"Date",B170,"Site",2)</f>
        <v>0</v>
      </c>
      <c r="J170" s="24">
        <f>GETPIVOTDATA("Sum of CNsmrecap",SalmonPivot!$M$4,"Date",B170,"Site",2)</f>
        <v>0</v>
      </c>
      <c r="K170" s="24">
        <f>L170+GETPIVOTDATA("Sum of SOno",SalmonPivot!$Y$4,"Date",B170,"Site",2)+GETPIVOTDATA("Sum of SOrecap",SalmonPivot!$Y$4,"Date",B170,"Site",2)</f>
        <v>0</v>
      </c>
      <c r="L170" s="24">
        <f>GETPIVOTDATA("Sum of SOrad",SalmonPivot!$Y$4,"Date",B170,"Site",2)</f>
        <v>0</v>
      </c>
      <c r="M170" s="24">
        <f>N170+GETPIVOTDATA("Sum of PKno",SalmonPivot!$AK$4,"Date",B170,"Site",2)+GETPIVOTDATA("Sum of PKrecap",SalmonPivot!$AK$4,"Date",B170,"Site",2)</f>
        <v>3</v>
      </c>
      <c r="N170" s="24">
        <f>GETPIVOTDATA("Sum of PKrad",SalmonPivot!$AK$4,"Date",B170,"Site",2)</f>
        <v>0</v>
      </c>
      <c r="O170" s="24">
        <f>P170+GETPIVOTDATA("Sum of CMno",SalmonPivot!$AW$4,"Date",B170,"Site",2)+GETPIVOTDATA("Sum of CMrecap",SalmonPivot!$AW$4,"Date",B170,"Site",2)</f>
        <v>12</v>
      </c>
      <c r="P170" s="24">
        <f>GETPIVOTDATA("Sum of CMrad",SalmonPivot!$AW$4,"Date",B170,"Site",2)</f>
        <v>0</v>
      </c>
      <c r="Q170" s="25">
        <f>R170+GETPIVOTDATA("Sum of COno",SalmonPivot!$BI$4,"Date",B170,"Site",2)+GETPIVOTDATA("Sum of COrecap",SalmonPivot!$BI$4,"Date",B170,"Site",2)</f>
        <v>4</v>
      </c>
      <c r="R170" s="24">
        <f>GETPIVOTDATA("Sum of COrad",SalmonPivot!$BI$4,"Date",B170,"Site",2)</f>
        <v>2</v>
      </c>
      <c r="S170" s="24">
        <f>GETPIVOTDATA("Sum of TotalOther",OtherPivot!$J$5,"Date",B170,"Site",2)</f>
        <v>0</v>
      </c>
      <c r="T170" s="38"/>
      <c r="U170" s="172">
        <f>IF(GETPIVOTDATA("3 Revs (s)",EffortRPMPivot!$L$4,"Date",$B170,"Site",2)=0,"",GETPIVOTDATA("3 revs (s)",EffortRPMPivot!$L$4,"date",$B170,"Site",2))</f>
        <v>35.5</v>
      </c>
      <c r="V170" s="173">
        <f t="shared" si="283"/>
        <v>8.3333333333333356E-2</v>
      </c>
      <c r="W170" s="173">
        <f t="shared" si="284"/>
        <v>0</v>
      </c>
      <c r="X170" s="173">
        <f t="shared" si="285"/>
        <v>0</v>
      </c>
      <c r="Y170" s="173">
        <f t="shared" si="286"/>
        <v>0.25000000000000006</v>
      </c>
      <c r="Z170" s="173">
        <f t="shared" si="287"/>
        <v>1.0000000000000002</v>
      </c>
      <c r="AA170" s="174">
        <f t="shared" si="288"/>
        <v>0.33333333333333343</v>
      </c>
      <c r="AB170" s="181"/>
      <c r="AC170" s="181"/>
      <c r="AD170" s="181"/>
      <c r="AE170" s="181"/>
      <c r="AF170" s="181"/>
      <c r="AG170" s="181"/>
      <c r="AH170" s="182"/>
      <c r="AI170" s="181"/>
      <c r="AJ170" s="181"/>
      <c r="AK170" s="181"/>
      <c r="AL170" s="181"/>
      <c r="AM170" s="181"/>
      <c r="AN170" s="182"/>
      <c r="AO170" s="181"/>
      <c r="AP170" s="181"/>
      <c r="AQ170" s="181"/>
      <c r="AR170" s="181"/>
      <c r="AS170" s="181"/>
      <c r="AT170" s="182"/>
      <c r="AU170" s="181"/>
      <c r="AV170" s="181"/>
      <c r="AW170" s="181"/>
      <c r="AX170" s="181"/>
      <c r="AY170" s="181"/>
      <c r="AZ170" s="182"/>
      <c r="BA170" s="185"/>
      <c r="BB170" s="185"/>
      <c r="BC170" s="185"/>
      <c r="BD170" s="185"/>
      <c r="BE170" s="185"/>
      <c r="BF170" s="186"/>
      <c r="BG170" s="185"/>
      <c r="BH170" s="185"/>
      <c r="BI170" s="185"/>
      <c r="BJ170" s="185"/>
      <c r="BK170" s="185"/>
      <c r="BL170" s="186"/>
      <c r="BM170" s="409"/>
      <c r="BN170" s="409"/>
    </row>
    <row r="171" spans="1:66" s="49" customFormat="1" x14ac:dyDescent="0.2">
      <c r="A171" s="61"/>
      <c r="B171" s="60">
        <f t="shared" si="225"/>
        <v>41867</v>
      </c>
      <c r="C171" s="22">
        <f t="shared" ref="C171" si="289">IF(ISERROR(3/(U171/60)),"",3/(U171/60))</f>
        <v>5.2941176470588234</v>
      </c>
      <c r="D171" s="23">
        <f>GETPIVOTDATA("Active time (min)",EffortRPMPivot!$A$4,"date",B171,"Site",2)/60</f>
        <v>12.000000000000002</v>
      </c>
      <c r="E171" s="24">
        <f>F171+G171+GETPIVOTDATA("Sum of CNlgNo",SalmonPivot!$A$4,"Date",B171,"Site",2)</f>
        <v>0</v>
      </c>
      <c r="F171" s="24">
        <f>GETPIVOTDATA("Sum of CNlgrad",SalmonPivot!$A$4,"date",B171,"Site",2)</f>
        <v>0</v>
      </c>
      <c r="G171" s="24">
        <f>GETPIVOTDATA("Sum of CNlgrecap",SalmonPivot!$A$4,"date",B171,"Site",2)</f>
        <v>0</v>
      </c>
      <c r="H171" s="24">
        <f>I171+J171+GETPIVOTDATA("Sum of CNsmno",SalmonPivot!$M$4,"Date",B171,"Site",2)</f>
        <v>0</v>
      </c>
      <c r="I171" s="24">
        <f>GETPIVOTDATA("Sum of CNsmradio",SalmonPivot!$M$4,"Date",B171,"Site",2)</f>
        <v>0</v>
      </c>
      <c r="J171" s="24">
        <f>GETPIVOTDATA("Sum of CNsmrecap",SalmonPivot!$M$4,"Date",B171,"Site",2)</f>
        <v>0</v>
      </c>
      <c r="K171" s="24">
        <f>L171+GETPIVOTDATA("Sum of SOno",SalmonPivot!$Y$4,"Date",B171,"Site",2)+GETPIVOTDATA("Sum of SOrecap",SalmonPivot!$Y$4,"Date",B171,"Site",2)</f>
        <v>1</v>
      </c>
      <c r="L171" s="24">
        <f>GETPIVOTDATA("Sum of SOrad",SalmonPivot!$Y$4,"Date",B171,"Site",2)</f>
        <v>1</v>
      </c>
      <c r="M171" s="24">
        <f>N171+GETPIVOTDATA("Sum of PKno",SalmonPivot!$AK$4,"Date",B171,"Site",2)+GETPIVOTDATA("Sum of PKrecap",SalmonPivot!$AK$4,"Date",B171,"Site",2)</f>
        <v>1</v>
      </c>
      <c r="N171" s="24">
        <f>GETPIVOTDATA("Sum of PKrad",SalmonPivot!$AK$4,"Date",B171,"Site",2)</f>
        <v>0</v>
      </c>
      <c r="O171" s="24">
        <f>P171+GETPIVOTDATA("Sum of CMno",SalmonPivot!$AW$4,"Date",B171,"Site",2)+GETPIVOTDATA("Sum of CMrecap",SalmonPivot!$AW$4,"Date",B171,"Site",2)</f>
        <v>8</v>
      </c>
      <c r="P171" s="24">
        <f>GETPIVOTDATA("Sum of CMrad",SalmonPivot!$AW$4,"Date",B171,"Site",2)</f>
        <v>1</v>
      </c>
      <c r="Q171" s="25">
        <f>R171+GETPIVOTDATA("Sum of COno",SalmonPivot!$BI$4,"Date",B171,"Site",2)+GETPIVOTDATA("Sum of COrecap",SalmonPivot!$BI$4,"Date",B171,"Site",2)</f>
        <v>0</v>
      </c>
      <c r="R171" s="24">
        <f>GETPIVOTDATA("Sum of COrad",SalmonPivot!$BI$4,"Date",B171,"Site",2)</f>
        <v>0</v>
      </c>
      <c r="S171" s="24">
        <f>GETPIVOTDATA("Sum of TotalOther",OtherPivot!$J$5,"Date",B171,"Site",2)</f>
        <v>0</v>
      </c>
      <c r="T171" s="38"/>
      <c r="U171" s="172">
        <f>IF(GETPIVOTDATA("3 Revs (s)",EffortRPMPivot!$L$4,"Date",$B171,"Site",2)=0,"",GETPIVOTDATA("3 revs (s)",EffortRPMPivot!$L$4,"date",$B171,"Site",2))</f>
        <v>34</v>
      </c>
      <c r="V171" s="173">
        <f t="shared" ref="V171" si="290">IF(D171=0,"",E171/D171)</f>
        <v>0</v>
      </c>
      <c r="W171" s="173">
        <f t="shared" ref="W171" si="291">IF(D171=0,"",H171/D171)</f>
        <v>0</v>
      </c>
      <c r="X171" s="173">
        <f t="shared" ref="X171" si="292">IF(D171=0,"",K171/$D171)</f>
        <v>8.3333333333333315E-2</v>
      </c>
      <c r="Y171" s="173">
        <f t="shared" ref="Y171" si="293">IF(D171=0,"",M171/$D171)</f>
        <v>8.3333333333333315E-2</v>
      </c>
      <c r="Z171" s="173">
        <f t="shared" ref="Z171" si="294">IF(D171=0,"",O171/$D171)</f>
        <v>0.66666666666666652</v>
      </c>
      <c r="AA171" s="174">
        <f t="shared" ref="AA171" si="295">IF(D171=0,"",Q171/$D171)</f>
        <v>0</v>
      </c>
      <c r="AB171" s="181"/>
      <c r="AC171" s="181"/>
      <c r="AD171" s="181"/>
      <c r="AE171" s="181"/>
      <c r="AF171" s="181"/>
      <c r="AG171" s="181"/>
      <c r="AH171" s="182"/>
      <c r="AI171" s="181"/>
      <c r="AJ171" s="181"/>
      <c r="AK171" s="181"/>
      <c r="AL171" s="181"/>
      <c r="AM171" s="181"/>
      <c r="AN171" s="182"/>
      <c r="AO171" s="181"/>
      <c r="AP171" s="181"/>
      <c r="AQ171" s="181"/>
      <c r="AR171" s="181"/>
      <c r="AS171" s="181"/>
      <c r="AT171" s="182"/>
      <c r="AU171" s="181"/>
      <c r="AV171" s="181"/>
      <c r="AW171" s="181"/>
      <c r="AX171" s="181"/>
      <c r="AY171" s="181"/>
      <c r="AZ171" s="182"/>
      <c r="BA171" s="185"/>
      <c r="BB171" s="185"/>
      <c r="BC171" s="185"/>
      <c r="BD171" s="185"/>
      <c r="BE171" s="185"/>
      <c r="BF171" s="186"/>
      <c r="BG171" s="185"/>
      <c r="BH171" s="185"/>
      <c r="BI171" s="185"/>
      <c r="BJ171" s="185"/>
      <c r="BK171" s="185"/>
      <c r="BL171" s="186"/>
      <c r="BM171" s="409"/>
      <c r="BN171" s="409"/>
    </row>
    <row r="172" spans="1:66" s="49" customFormat="1" x14ac:dyDescent="0.2">
      <c r="A172" s="61"/>
      <c r="B172" s="60">
        <f t="shared" si="225"/>
        <v>41868</v>
      </c>
      <c r="C172" s="22">
        <f t="shared" ref="C172:C175" si="296">IF(ISERROR(3/(U172/60)),"",3/(U172/60))</f>
        <v>5.3731343283582085</v>
      </c>
      <c r="D172" s="23">
        <f>GETPIVOTDATA("Active time (min)",EffortRPMPivot!$A$4,"date",B172,"Site",2)/60</f>
        <v>12.016666666666667</v>
      </c>
      <c r="E172" s="24">
        <f>F172+G172+GETPIVOTDATA("Sum of CNlgNo",SalmonPivot!$A$4,"Date",B172,"Site",2)</f>
        <v>0</v>
      </c>
      <c r="F172" s="24">
        <f>GETPIVOTDATA("Sum of CNlgrad",SalmonPivot!$A$4,"date",B172,"Site",2)</f>
        <v>0</v>
      </c>
      <c r="G172" s="24">
        <f>GETPIVOTDATA("Sum of CNlgrecap",SalmonPivot!$A$4,"date",B172,"Site",2)</f>
        <v>0</v>
      </c>
      <c r="H172" s="24">
        <f>I172+J172+GETPIVOTDATA("Sum of CNsmno",SalmonPivot!$M$4,"Date",B172,"Site",2)</f>
        <v>0</v>
      </c>
      <c r="I172" s="24">
        <f>GETPIVOTDATA("Sum of CNsmradio",SalmonPivot!$M$4,"Date",B172,"Site",2)</f>
        <v>0</v>
      </c>
      <c r="J172" s="24">
        <f>GETPIVOTDATA("Sum of CNsmrecap",SalmonPivot!$M$4,"Date",B172,"Site",2)</f>
        <v>0</v>
      </c>
      <c r="K172" s="24">
        <f>L172+GETPIVOTDATA("Sum of SOno",SalmonPivot!$Y$4,"Date",B172,"Site",2)+GETPIVOTDATA("Sum of SOrecap",SalmonPivot!$Y$4,"Date",B172,"Site",2)</f>
        <v>0</v>
      </c>
      <c r="L172" s="24">
        <f>GETPIVOTDATA("Sum of SOrad",SalmonPivot!$Y$4,"Date",B172,"Site",2)</f>
        <v>0</v>
      </c>
      <c r="M172" s="24">
        <f>N172+GETPIVOTDATA("Sum of PKno",SalmonPivot!$AK$4,"Date",B172,"Site",2)+GETPIVOTDATA("Sum of PKrecap",SalmonPivot!$AK$4,"Date",B172,"Site",2)</f>
        <v>1</v>
      </c>
      <c r="N172" s="24">
        <f>GETPIVOTDATA("Sum of PKrad",SalmonPivot!$AK$4,"Date",B172,"Site",2)</f>
        <v>0</v>
      </c>
      <c r="O172" s="24">
        <f>P172+GETPIVOTDATA("Sum of CMno",SalmonPivot!$AW$4,"Date",B172,"Site",2)+GETPIVOTDATA("Sum of CMrecap",SalmonPivot!$AW$4,"Date",B172,"Site",2)</f>
        <v>8</v>
      </c>
      <c r="P172" s="24">
        <f>GETPIVOTDATA("Sum of CMrad",SalmonPivot!$AW$4,"Date",B172,"Site",2)</f>
        <v>1</v>
      </c>
      <c r="Q172" s="25">
        <f>R172+GETPIVOTDATA("Sum of COno",SalmonPivot!$BI$4,"Date",B172,"Site",2)+GETPIVOTDATA("Sum of COrecap",SalmonPivot!$BI$4,"Date",B172,"Site",2)</f>
        <v>1</v>
      </c>
      <c r="R172" s="24">
        <f>GETPIVOTDATA("Sum of COrad",SalmonPivot!$BI$4,"Date",B172,"Site",2)</f>
        <v>0</v>
      </c>
      <c r="S172" s="24">
        <f>GETPIVOTDATA("Sum of TotalOther",OtherPivot!$J$5,"Date",B172,"Site",2)</f>
        <v>0</v>
      </c>
      <c r="T172" s="38"/>
      <c r="U172" s="172">
        <f>IF(GETPIVOTDATA("3 Revs (s)",EffortRPMPivot!$L$4,"Date",$B172,"Site",2)=0,"",GETPIVOTDATA("3 revs (s)",EffortRPMPivot!$L$4,"date",$B172,"Site",2))</f>
        <v>33.5</v>
      </c>
      <c r="V172" s="173">
        <f t="shared" ref="V172:V175" si="297">IF(D172=0,"",E172/D172)</f>
        <v>0</v>
      </c>
      <c r="W172" s="173">
        <f t="shared" ref="W172:W175" si="298">IF(D172=0,"",H172/D172)</f>
        <v>0</v>
      </c>
      <c r="X172" s="173">
        <f t="shared" ref="X172:X175" si="299">IF(D172=0,"",K172/$D172)</f>
        <v>0</v>
      </c>
      <c r="Y172" s="173">
        <f t="shared" ref="Y172:Y175" si="300">IF(D172=0,"",M172/$D172)</f>
        <v>8.3217753120665733E-2</v>
      </c>
      <c r="Z172" s="173">
        <f t="shared" ref="Z172:Z175" si="301">IF(D172=0,"",O172/$D172)</f>
        <v>0.66574202496532586</v>
      </c>
      <c r="AA172" s="174">
        <f t="shared" ref="AA172:AA175" si="302">IF(D172=0,"",Q172/$D172)</f>
        <v>8.3217753120665733E-2</v>
      </c>
      <c r="AB172" s="181"/>
      <c r="AC172" s="181"/>
      <c r="AD172" s="181"/>
      <c r="AE172" s="181"/>
      <c r="AF172" s="181"/>
      <c r="AG172" s="181"/>
      <c r="AH172" s="182"/>
      <c r="AI172" s="181"/>
      <c r="AJ172" s="181"/>
      <c r="AK172" s="181"/>
      <c r="AL172" s="181"/>
      <c r="AM172" s="181"/>
      <c r="AN172" s="182"/>
      <c r="AO172" s="181"/>
      <c r="AP172" s="181"/>
      <c r="AQ172" s="181"/>
      <c r="AR172" s="181"/>
      <c r="AS172" s="181"/>
      <c r="AT172" s="182"/>
      <c r="AU172" s="181"/>
      <c r="AV172" s="181"/>
      <c r="AW172" s="181"/>
      <c r="AX172" s="181"/>
      <c r="AY172" s="181"/>
      <c r="AZ172" s="182"/>
      <c r="BA172" s="185"/>
      <c r="BB172" s="185"/>
      <c r="BC172" s="185"/>
      <c r="BD172" s="185"/>
      <c r="BE172" s="185"/>
      <c r="BF172" s="186"/>
      <c r="BG172" s="185"/>
      <c r="BH172" s="185"/>
      <c r="BI172" s="185"/>
      <c r="BJ172" s="185"/>
      <c r="BK172" s="185"/>
      <c r="BL172" s="186"/>
      <c r="BM172" s="409"/>
      <c r="BN172" s="409"/>
    </row>
    <row r="173" spans="1:66" s="49" customFormat="1" x14ac:dyDescent="0.2">
      <c r="A173" s="61"/>
      <c r="B173" s="60">
        <f t="shared" si="225"/>
        <v>41869</v>
      </c>
      <c r="C173" s="22">
        <f t="shared" si="296"/>
        <v>5.625</v>
      </c>
      <c r="D173" s="23">
        <f>GETPIVOTDATA("Active time (min)",EffortRPMPivot!$A$4,"date",B173,"Site",2)/60</f>
        <v>11.999999999999996</v>
      </c>
      <c r="E173" s="24">
        <f>F173+G173+GETPIVOTDATA("Sum of CNlgNo",SalmonPivot!$A$4,"Date",B173,"Site",2)</f>
        <v>0</v>
      </c>
      <c r="F173" s="24">
        <f>GETPIVOTDATA("Sum of CNlgrad",SalmonPivot!$A$4,"date",B173,"Site",2)</f>
        <v>0</v>
      </c>
      <c r="G173" s="24">
        <f>GETPIVOTDATA("Sum of CNlgrecap",SalmonPivot!$A$4,"date",B173,"Site",2)</f>
        <v>0</v>
      </c>
      <c r="H173" s="24">
        <f>I173+J173+GETPIVOTDATA("Sum of CNsmno",SalmonPivot!$M$4,"Date",B173,"Site",2)</f>
        <v>0</v>
      </c>
      <c r="I173" s="24">
        <f>GETPIVOTDATA("Sum of CNsmradio",SalmonPivot!$M$4,"Date",B173,"Site",2)</f>
        <v>0</v>
      </c>
      <c r="J173" s="24">
        <f>GETPIVOTDATA("Sum of CNsmrecap",SalmonPivot!$M$4,"Date",B173,"Site",2)</f>
        <v>0</v>
      </c>
      <c r="K173" s="24">
        <f>L173+GETPIVOTDATA("Sum of SOno",SalmonPivot!$Y$4,"Date",B173,"Site",2)+GETPIVOTDATA("Sum of SOrecap",SalmonPivot!$Y$4,"Date",B173,"Site",2)</f>
        <v>0</v>
      </c>
      <c r="L173" s="24">
        <f>GETPIVOTDATA("Sum of SOrad",SalmonPivot!$Y$4,"Date",B173,"Site",2)</f>
        <v>0</v>
      </c>
      <c r="M173" s="24">
        <f>N173+GETPIVOTDATA("Sum of PKno",SalmonPivot!$AK$4,"Date",B173,"Site",2)+GETPIVOTDATA("Sum of PKrecap",SalmonPivot!$AK$4,"Date",B173,"Site",2)</f>
        <v>1</v>
      </c>
      <c r="N173" s="24">
        <f>GETPIVOTDATA("Sum of PKrad",SalmonPivot!$AK$4,"Date",B173,"Site",2)</f>
        <v>0</v>
      </c>
      <c r="O173" s="24">
        <f>P173+GETPIVOTDATA("Sum of CMno",SalmonPivot!$AW$4,"Date",B173,"Site",2)+GETPIVOTDATA("Sum of CMrecap",SalmonPivot!$AW$4,"Date",B173,"Site",2)</f>
        <v>5</v>
      </c>
      <c r="P173" s="24">
        <f>GETPIVOTDATA("Sum of CMrad",SalmonPivot!$AW$4,"Date",B173,"Site",2)</f>
        <v>1</v>
      </c>
      <c r="Q173" s="25">
        <f>R173+GETPIVOTDATA("Sum of COno",SalmonPivot!$BI$4,"Date",B173,"Site",2)+GETPIVOTDATA("Sum of COrecap",SalmonPivot!$BI$4,"Date",B173,"Site",2)</f>
        <v>2</v>
      </c>
      <c r="R173" s="24">
        <f>GETPIVOTDATA("Sum of COrad",SalmonPivot!$BI$4,"Date",B173,"Site",2)</f>
        <v>2</v>
      </c>
      <c r="S173" s="24">
        <f>GETPIVOTDATA("Sum of TotalOther",OtherPivot!$J$5,"Date",B173,"Site",2)</f>
        <v>0</v>
      </c>
      <c r="T173" s="38"/>
      <c r="U173" s="172">
        <f>IF(GETPIVOTDATA("3 Revs (s)",EffortRPMPivot!$L$4,"Date",$B173,"Site",2)=0,"",GETPIVOTDATA("3 revs (s)",EffortRPMPivot!$L$4,"date",$B173,"Site",2))</f>
        <v>32</v>
      </c>
      <c r="V173" s="173">
        <f t="shared" si="297"/>
        <v>0</v>
      </c>
      <c r="W173" s="173">
        <f t="shared" si="298"/>
        <v>0</v>
      </c>
      <c r="X173" s="173">
        <f t="shared" si="299"/>
        <v>0</v>
      </c>
      <c r="Y173" s="173">
        <f t="shared" si="300"/>
        <v>8.3333333333333356E-2</v>
      </c>
      <c r="Z173" s="173">
        <f t="shared" si="301"/>
        <v>0.4166666666666668</v>
      </c>
      <c r="AA173" s="174">
        <f t="shared" si="302"/>
        <v>0.16666666666666671</v>
      </c>
      <c r="AB173" s="181"/>
      <c r="AC173" s="181"/>
      <c r="AD173" s="181"/>
      <c r="AE173" s="181"/>
      <c r="AF173" s="181"/>
      <c r="AG173" s="181"/>
      <c r="AH173" s="182"/>
      <c r="AI173" s="181"/>
      <c r="AJ173" s="181"/>
      <c r="AK173" s="181"/>
      <c r="AL173" s="181"/>
      <c r="AM173" s="181"/>
      <c r="AN173" s="182"/>
      <c r="AO173" s="181"/>
      <c r="AP173" s="181"/>
      <c r="AQ173" s="181"/>
      <c r="AR173" s="181"/>
      <c r="AS173" s="181"/>
      <c r="AT173" s="182"/>
      <c r="AU173" s="181"/>
      <c r="AV173" s="181"/>
      <c r="AW173" s="181"/>
      <c r="AX173" s="181"/>
      <c r="AY173" s="181"/>
      <c r="AZ173" s="182"/>
      <c r="BA173" s="185"/>
      <c r="BB173" s="185"/>
      <c r="BC173" s="185"/>
      <c r="BD173" s="185"/>
      <c r="BE173" s="185"/>
      <c r="BF173" s="186"/>
      <c r="BG173" s="185"/>
      <c r="BH173" s="185"/>
      <c r="BI173" s="185"/>
      <c r="BJ173" s="185"/>
      <c r="BK173" s="185"/>
      <c r="BL173" s="186"/>
      <c r="BM173" s="409"/>
      <c r="BN173" s="409"/>
    </row>
    <row r="174" spans="1:66" s="49" customFormat="1" x14ac:dyDescent="0.2">
      <c r="A174" s="61"/>
      <c r="B174" s="60">
        <f t="shared" si="225"/>
        <v>41870</v>
      </c>
      <c r="C174" s="22">
        <f t="shared" si="296"/>
        <v>5.5384615384615392</v>
      </c>
      <c r="D174" s="23">
        <f>GETPIVOTDATA("Active time (min)",EffortRPMPivot!$A$4,"date",B174,"Site",2)/60</f>
        <v>12</v>
      </c>
      <c r="E174" s="24">
        <f>F174+G174+GETPIVOTDATA("Sum of CNlgNo",SalmonPivot!$A$4,"Date",B174,"Site",2)</f>
        <v>0</v>
      </c>
      <c r="F174" s="24">
        <f>GETPIVOTDATA("Sum of CNlgrad",SalmonPivot!$A$4,"date",B174,"Site",2)</f>
        <v>0</v>
      </c>
      <c r="G174" s="24">
        <f>GETPIVOTDATA("Sum of CNlgrecap",SalmonPivot!$A$4,"date",B174,"Site",2)</f>
        <v>0</v>
      </c>
      <c r="H174" s="24">
        <f>I174+J174+GETPIVOTDATA("Sum of CNsmno",SalmonPivot!$M$4,"Date",B174,"Site",2)</f>
        <v>0</v>
      </c>
      <c r="I174" s="24">
        <f>GETPIVOTDATA("Sum of CNsmradio",SalmonPivot!$M$4,"Date",B174,"Site",2)</f>
        <v>0</v>
      </c>
      <c r="J174" s="24">
        <f>GETPIVOTDATA("Sum of CNsmrecap",SalmonPivot!$M$4,"Date",B174,"Site",2)</f>
        <v>0</v>
      </c>
      <c r="K174" s="24">
        <f>L174+GETPIVOTDATA("Sum of SOno",SalmonPivot!$Y$4,"Date",B174,"Site",2)+GETPIVOTDATA("Sum of SOrecap",SalmonPivot!$Y$4,"Date",B174,"Site",2)</f>
        <v>1</v>
      </c>
      <c r="L174" s="24">
        <f>GETPIVOTDATA("Sum of SOrad",SalmonPivot!$Y$4,"Date",B174,"Site",2)</f>
        <v>1</v>
      </c>
      <c r="M174" s="24">
        <f>N174+GETPIVOTDATA("Sum of PKno",SalmonPivot!$AK$4,"Date",B174,"Site",2)+GETPIVOTDATA("Sum of PKrecap",SalmonPivot!$AK$4,"Date",B174,"Site",2)</f>
        <v>0</v>
      </c>
      <c r="N174" s="24">
        <f>GETPIVOTDATA("Sum of PKrad",SalmonPivot!$AK$4,"Date",B174,"Site",2)</f>
        <v>0</v>
      </c>
      <c r="O174" s="24">
        <f>P174+GETPIVOTDATA("Sum of CMno",SalmonPivot!$AW$4,"Date",B174,"Site",2)+GETPIVOTDATA("Sum of CMrecap",SalmonPivot!$AW$4,"Date",B174,"Site",2)</f>
        <v>16</v>
      </c>
      <c r="P174" s="24">
        <f>GETPIVOTDATA("Sum of CMrad",SalmonPivot!$AW$4,"Date",B174,"Site",2)</f>
        <v>0</v>
      </c>
      <c r="Q174" s="25">
        <f>R174+GETPIVOTDATA("Sum of COno",SalmonPivot!$BI$4,"Date",B174,"Site",2)+GETPIVOTDATA("Sum of COrecap",SalmonPivot!$BI$4,"Date",B174,"Site",2)</f>
        <v>0</v>
      </c>
      <c r="R174" s="24">
        <f>GETPIVOTDATA("Sum of COrad",SalmonPivot!$BI$4,"Date",B174,"Site",2)</f>
        <v>0</v>
      </c>
      <c r="S174" s="24">
        <f>GETPIVOTDATA("Sum of TotalOther",OtherPivot!$J$5,"Date",B174,"Site",2)</f>
        <v>0</v>
      </c>
      <c r="T174" s="38"/>
      <c r="U174" s="172">
        <f>IF(GETPIVOTDATA("3 Revs (s)",EffortRPMPivot!$L$4,"Date",$B174,"Site",2)=0,"",GETPIVOTDATA("3 revs (s)",EffortRPMPivot!$L$4,"date",$B174,"Site",2))</f>
        <v>32.5</v>
      </c>
      <c r="V174" s="173">
        <f t="shared" si="297"/>
        <v>0</v>
      </c>
      <c r="W174" s="173">
        <f t="shared" si="298"/>
        <v>0</v>
      </c>
      <c r="X174" s="173">
        <f t="shared" si="299"/>
        <v>8.3333333333333329E-2</v>
      </c>
      <c r="Y174" s="173">
        <f t="shared" si="300"/>
        <v>0</v>
      </c>
      <c r="Z174" s="173">
        <f t="shared" si="301"/>
        <v>1.3333333333333333</v>
      </c>
      <c r="AA174" s="174">
        <f t="shared" si="302"/>
        <v>0</v>
      </c>
      <c r="AB174" s="181"/>
      <c r="AC174" s="181"/>
      <c r="AD174" s="181"/>
      <c r="AE174" s="181"/>
      <c r="AF174" s="181"/>
      <c r="AG174" s="181"/>
      <c r="AH174" s="182"/>
      <c r="AI174" s="181"/>
      <c r="AJ174" s="181"/>
      <c r="AK174" s="181"/>
      <c r="AL174" s="181"/>
      <c r="AM174" s="181"/>
      <c r="AN174" s="182"/>
      <c r="AO174" s="181"/>
      <c r="AP174" s="181"/>
      <c r="AQ174" s="181"/>
      <c r="AR174" s="181"/>
      <c r="AS174" s="181"/>
      <c r="AT174" s="182"/>
      <c r="AU174" s="181"/>
      <c r="AV174" s="181"/>
      <c r="AW174" s="181"/>
      <c r="AX174" s="181"/>
      <c r="AY174" s="181"/>
      <c r="AZ174" s="182"/>
      <c r="BA174" s="185"/>
      <c r="BB174" s="185"/>
      <c r="BC174" s="185"/>
      <c r="BD174" s="185"/>
      <c r="BE174" s="185"/>
      <c r="BF174" s="186"/>
      <c r="BG174" s="185"/>
      <c r="BH174" s="185"/>
      <c r="BI174" s="185"/>
      <c r="BJ174" s="185"/>
      <c r="BK174" s="185"/>
      <c r="BL174" s="186"/>
      <c r="BM174" s="409"/>
      <c r="BN174" s="409"/>
    </row>
    <row r="175" spans="1:66" s="49" customFormat="1" x14ac:dyDescent="0.2">
      <c r="A175" s="61"/>
      <c r="B175" s="60">
        <f t="shared" si="225"/>
        <v>41871</v>
      </c>
      <c r="C175" s="22">
        <f t="shared" si="296"/>
        <v>5.1428571428571423</v>
      </c>
      <c r="D175" s="23">
        <f>GETPIVOTDATA("Active time (min)",EffortRPMPivot!$A$4,"date",B175,"Site",2)/60</f>
        <v>12.083333333333334</v>
      </c>
      <c r="E175" s="24">
        <f>F175+G175+GETPIVOTDATA("Sum of CNlgNo",SalmonPivot!$A$4,"Date",B175,"Site",2)</f>
        <v>0</v>
      </c>
      <c r="F175" s="24">
        <f>GETPIVOTDATA("Sum of CNlgrad",SalmonPivot!$A$4,"date",B175,"Site",2)</f>
        <v>0</v>
      </c>
      <c r="G175" s="24">
        <f>GETPIVOTDATA("Sum of CNlgrecap",SalmonPivot!$A$4,"date",B175,"Site",2)</f>
        <v>0</v>
      </c>
      <c r="H175" s="24">
        <f>I175+J175+GETPIVOTDATA("Sum of CNsmno",SalmonPivot!$M$4,"Date",B175,"Site",2)</f>
        <v>0</v>
      </c>
      <c r="I175" s="24">
        <f>GETPIVOTDATA("Sum of CNsmradio",SalmonPivot!$M$4,"Date",B175,"Site",2)</f>
        <v>0</v>
      </c>
      <c r="J175" s="24">
        <f>GETPIVOTDATA("Sum of CNsmrecap",SalmonPivot!$M$4,"Date",B175,"Site",2)</f>
        <v>0</v>
      </c>
      <c r="K175" s="24">
        <f>L175+GETPIVOTDATA("Sum of SOno",SalmonPivot!$Y$4,"Date",B175,"Site",2)+GETPIVOTDATA("Sum of SOrecap",SalmonPivot!$Y$4,"Date",B175,"Site",2)</f>
        <v>2</v>
      </c>
      <c r="L175" s="24">
        <f>GETPIVOTDATA("Sum of SOrad",SalmonPivot!$Y$4,"Date",B175,"Site",2)</f>
        <v>2</v>
      </c>
      <c r="M175" s="24">
        <f>N175+GETPIVOTDATA("Sum of PKno",SalmonPivot!$AK$4,"Date",B175,"Site",2)+GETPIVOTDATA("Sum of PKrecap",SalmonPivot!$AK$4,"Date",B175,"Site",2)</f>
        <v>2</v>
      </c>
      <c r="N175" s="24">
        <f>GETPIVOTDATA("Sum of PKrad",SalmonPivot!$AK$4,"Date",B175,"Site",2)</f>
        <v>0</v>
      </c>
      <c r="O175" s="24">
        <f>P175+GETPIVOTDATA("Sum of CMno",SalmonPivot!$AW$4,"Date",B175,"Site",2)+GETPIVOTDATA("Sum of CMrecap",SalmonPivot!$AW$4,"Date",B175,"Site",2)</f>
        <v>39</v>
      </c>
      <c r="P175" s="24">
        <f>GETPIVOTDATA("Sum of CMrad",SalmonPivot!$AW$4,"Date",B175,"Site",2)</f>
        <v>0</v>
      </c>
      <c r="Q175" s="25">
        <f>R175+GETPIVOTDATA("Sum of COno",SalmonPivot!$BI$4,"Date",B175,"Site",2)+GETPIVOTDATA("Sum of COrecap",SalmonPivot!$BI$4,"Date",B175,"Site",2)</f>
        <v>2</v>
      </c>
      <c r="R175" s="24">
        <f>GETPIVOTDATA("Sum of COrad",SalmonPivot!$BI$4,"Date",B175,"Site",2)</f>
        <v>0</v>
      </c>
      <c r="S175" s="24">
        <f>GETPIVOTDATA("Sum of TotalOther",OtherPivot!$J$5,"Date",B175,"Site",2)</f>
        <v>0</v>
      </c>
      <c r="T175" s="38"/>
      <c r="U175" s="172">
        <f>IF(GETPIVOTDATA("3 Revs (s)",EffortRPMPivot!$L$4,"Date",$B175,"Site",2)=0,"",GETPIVOTDATA("3 revs (s)",EffortRPMPivot!$L$4,"date",$B175,"Site",2))</f>
        <v>35</v>
      </c>
      <c r="V175" s="173">
        <f t="shared" si="297"/>
        <v>0</v>
      </c>
      <c r="W175" s="173">
        <f t="shared" si="298"/>
        <v>0</v>
      </c>
      <c r="X175" s="173">
        <f t="shared" si="299"/>
        <v>0.16551724137931034</v>
      </c>
      <c r="Y175" s="173">
        <f t="shared" si="300"/>
        <v>0.16551724137931034</v>
      </c>
      <c r="Z175" s="173">
        <f t="shared" si="301"/>
        <v>3.2275862068965515</v>
      </c>
      <c r="AA175" s="174">
        <f t="shared" si="302"/>
        <v>0.16551724137931034</v>
      </c>
      <c r="AB175" s="181"/>
      <c r="AC175" s="181"/>
      <c r="AD175" s="181"/>
      <c r="AE175" s="181"/>
      <c r="AF175" s="181"/>
      <c r="AG175" s="181"/>
      <c r="AH175" s="182"/>
      <c r="AI175" s="181"/>
      <c r="AJ175" s="181"/>
      <c r="AK175" s="181"/>
      <c r="AL175" s="181"/>
      <c r="AM175" s="181"/>
      <c r="AN175" s="182"/>
      <c r="AO175" s="181"/>
      <c r="AP175" s="181"/>
      <c r="AQ175" s="181"/>
      <c r="AR175" s="181"/>
      <c r="AS175" s="181"/>
      <c r="AT175" s="182"/>
      <c r="AU175" s="181"/>
      <c r="AV175" s="181"/>
      <c r="AW175" s="181"/>
      <c r="AX175" s="181"/>
      <c r="AY175" s="181"/>
      <c r="AZ175" s="182"/>
      <c r="BA175" s="185"/>
      <c r="BB175" s="185"/>
      <c r="BC175" s="185"/>
      <c r="BD175" s="185"/>
      <c r="BE175" s="185"/>
      <c r="BF175" s="186"/>
      <c r="BG175" s="185"/>
      <c r="BH175" s="185"/>
      <c r="BI175" s="185"/>
      <c r="BJ175" s="185"/>
      <c r="BK175" s="185"/>
      <c r="BL175" s="186"/>
      <c r="BM175" s="409"/>
      <c r="BN175" s="409"/>
    </row>
    <row r="176" spans="1:66" s="49" customFormat="1" x14ac:dyDescent="0.2">
      <c r="A176" s="61"/>
      <c r="B176" s="60">
        <f t="shared" si="225"/>
        <v>41872</v>
      </c>
      <c r="C176" s="22">
        <f t="shared" ref="C176:C177" si="303">IF(ISERROR(3/(U176/60)),"",3/(U176/60))</f>
        <v>5.070422535211268</v>
      </c>
      <c r="D176" s="23">
        <f>GETPIVOTDATA("Active time (min)",EffortRPMPivot!$A$4,"date",B176,"Site",2)/60</f>
        <v>12</v>
      </c>
      <c r="E176" s="24">
        <f>F176+G176+GETPIVOTDATA("Sum of CNlgNo",SalmonPivot!$A$4,"Date",B176,"Site",2)</f>
        <v>0</v>
      </c>
      <c r="F176" s="24">
        <f>GETPIVOTDATA("Sum of CNlgrad",SalmonPivot!$A$4,"date",B176,"Site",2)</f>
        <v>0</v>
      </c>
      <c r="G176" s="24">
        <f>GETPIVOTDATA("Sum of CNlgrecap",SalmonPivot!$A$4,"date",B176,"Site",2)</f>
        <v>0</v>
      </c>
      <c r="H176" s="24">
        <f>I176+J176+GETPIVOTDATA("Sum of CNsmno",SalmonPivot!$M$4,"Date",B176,"Site",2)</f>
        <v>0</v>
      </c>
      <c r="I176" s="24">
        <f>GETPIVOTDATA("Sum of CNsmradio",SalmonPivot!$M$4,"Date",B176,"Site",2)</f>
        <v>0</v>
      </c>
      <c r="J176" s="24">
        <f>GETPIVOTDATA("Sum of CNsmrecap",SalmonPivot!$M$4,"Date",B176,"Site",2)</f>
        <v>0</v>
      </c>
      <c r="K176" s="24">
        <f>L176+GETPIVOTDATA("Sum of SOno",SalmonPivot!$Y$4,"Date",B176,"Site",2)+GETPIVOTDATA("Sum of SOrecap",SalmonPivot!$Y$4,"Date",B176,"Site",2)</f>
        <v>1</v>
      </c>
      <c r="L176" s="24">
        <f>GETPIVOTDATA("Sum of SOrad",SalmonPivot!$Y$4,"Date",B176,"Site",2)</f>
        <v>1</v>
      </c>
      <c r="M176" s="24">
        <f>N176+GETPIVOTDATA("Sum of PKno",SalmonPivot!$AK$4,"Date",B176,"Site",2)+GETPIVOTDATA("Sum of PKrecap",SalmonPivot!$AK$4,"Date",B176,"Site",2)</f>
        <v>0</v>
      </c>
      <c r="N176" s="24">
        <f>GETPIVOTDATA("Sum of PKrad",SalmonPivot!$AK$4,"Date",B176,"Site",2)</f>
        <v>0</v>
      </c>
      <c r="O176" s="24">
        <f>P176+GETPIVOTDATA("Sum of CMno",SalmonPivot!$AW$4,"Date",B176,"Site",2)+GETPIVOTDATA("Sum of CMrecap",SalmonPivot!$AW$4,"Date",B176,"Site",2)</f>
        <v>22</v>
      </c>
      <c r="P176" s="24">
        <f>GETPIVOTDATA("Sum of CMrad",SalmonPivot!$AW$4,"Date",B176,"Site",2)</f>
        <v>1</v>
      </c>
      <c r="Q176" s="25">
        <f>R176+GETPIVOTDATA("Sum of COno",SalmonPivot!$BI$4,"Date",B176,"Site",2)+GETPIVOTDATA("Sum of COrecap",SalmonPivot!$BI$4,"Date",B176,"Site",2)</f>
        <v>0</v>
      </c>
      <c r="R176" s="24">
        <f>GETPIVOTDATA("Sum of COrad",SalmonPivot!$BI$4,"Date",B176,"Site",2)</f>
        <v>0</v>
      </c>
      <c r="S176" s="24">
        <f>GETPIVOTDATA("Sum of TotalOther",OtherPivot!$J$5,"Date",B176,"Site",2)</f>
        <v>0</v>
      </c>
      <c r="T176" s="38"/>
      <c r="U176" s="172">
        <f>IF(GETPIVOTDATA("3 Revs (s)",EffortRPMPivot!$L$4,"Date",$B176,"Site",2)=0,"",GETPIVOTDATA("3 revs (s)",EffortRPMPivot!$L$4,"date",$B176,"Site",2))</f>
        <v>35.5</v>
      </c>
      <c r="V176" s="173">
        <f t="shared" ref="V176:V177" si="304">IF(D176=0,"",E176/D176)</f>
        <v>0</v>
      </c>
      <c r="W176" s="173">
        <f t="shared" ref="W176:W177" si="305">IF(D176=0,"",H176/D176)</f>
        <v>0</v>
      </c>
      <c r="X176" s="173">
        <f t="shared" ref="X176:X177" si="306">IF(D176=0,"",K176/$D176)</f>
        <v>8.3333333333333329E-2</v>
      </c>
      <c r="Y176" s="173">
        <f t="shared" ref="Y176:Y177" si="307">IF(D176=0,"",M176/$D176)</f>
        <v>0</v>
      </c>
      <c r="Z176" s="173">
        <f t="shared" ref="Z176:Z177" si="308">IF(D176=0,"",O176/$D176)</f>
        <v>1.8333333333333333</v>
      </c>
      <c r="AA176" s="174">
        <f t="shared" ref="AA176:AA177" si="309">IF(D176=0,"",Q176/$D176)</f>
        <v>0</v>
      </c>
      <c r="AB176" s="181"/>
      <c r="AC176" s="181"/>
      <c r="AD176" s="181"/>
      <c r="AE176" s="181"/>
      <c r="AF176" s="181"/>
      <c r="AG176" s="181"/>
      <c r="AH176" s="182"/>
      <c r="AI176" s="181"/>
      <c r="AJ176" s="181"/>
      <c r="AK176" s="181"/>
      <c r="AL176" s="181"/>
      <c r="AM176" s="181"/>
      <c r="AN176" s="182"/>
      <c r="AO176" s="181"/>
      <c r="AP176" s="181"/>
      <c r="AQ176" s="181"/>
      <c r="AR176" s="181"/>
      <c r="AS176" s="181"/>
      <c r="AT176" s="182"/>
      <c r="AU176" s="181"/>
      <c r="AV176" s="181"/>
      <c r="AW176" s="181"/>
      <c r="AX176" s="181"/>
      <c r="AY176" s="181"/>
      <c r="AZ176" s="182"/>
      <c r="BA176" s="185"/>
      <c r="BB176" s="185"/>
      <c r="BC176" s="185"/>
      <c r="BD176" s="185"/>
      <c r="BE176" s="185"/>
      <c r="BF176" s="186"/>
      <c r="BG176" s="185"/>
      <c r="BH176" s="185"/>
      <c r="BI176" s="185"/>
      <c r="BJ176" s="185"/>
      <c r="BK176" s="185"/>
      <c r="BL176" s="186"/>
      <c r="BM176" s="409"/>
      <c r="BN176" s="409"/>
    </row>
    <row r="177" spans="1:66" s="49" customFormat="1" x14ac:dyDescent="0.2">
      <c r="A177" s="61"/>
      <c r="B177" s="60">
        <f t="shared" si="225"/>
        <v>41873</v>
      </c>
      <c r="C177" s="22">
        <f t="shared" si="303"/>
        <v>4.8648648648648649</v>
      </c>
      <c r="D177" s="23">
        <f>GETPIVOTDATA("Active time (min)",EffortRPMPivot!$A$4,"date",B177,"Site",2)/60</f>
        <v>11.999999999999996</v>
      </c>
      <c r="E177" s="24">
        <f>F177+G177+GETPIVOTDATA("Sum of CNlgNo",SalmonPivot!$A$4,"Date",B177,"Site",2)</f>
        <v>0</v>
      </c>
      <c r="F177" s="24">
        <f>GETPIVOTDATA("Sum of CNlgrad",SalmonPivot!$A$4,"date",B177,"Site",2)</f>
        <v>0</v>
      </c>
      <c r="G177" s="24">
        <f>GETPIVOTDATA("Sum of CNlgrecap",SalmonPivot!$A$4,"date",B177,"Site",2)</f>
        <v>0</v>
      </c>
      <c r="H177" s="24">
        <f>I177+J177+GETPIVOTDATA("Sum of CNsmno",SalmonPivot!$M$4,"Date",B177,"Site",2)</f>
        <v>0</v>
      </c>
      <c r="I177" s="24">
        <f>GETPIVOTDATA("Sum of CNsmradio",SalmonPivot!$M$4,"Date",B177,"Site",2)</f>
        <v>0</v>
      </c>
      <c r="J177" s="24">
        <f>GETPIVOTDATA("Sum of CNsmrecap",SalmonPivot!$M$4,"Date",B177,"Site",2)</f>
        <v>0</v>
      </c>
      <c r="K177" s="24">
        <f>L177+GETPIVOTDATA("Sum of SOno",SalmonPivot!$Y$4,"Date",B177,"Site",2)+GETPIVOTDATA("Sum of SOrecap",SalmonPivot!$Y$4,"Date",B177,"Site",2)</f>
        <v>1</v>
      </c>
      <c r="L177" s="24">
        <f>GETPIVOTDATA("Sum of SOrad",SalmonPivot!$Y$4,"Date",B177,"Site",2)</f>
        <v>1</v>
      </c>
      <c r="M177" s="24">
        <f>N177+GETPIVOTDATA("Sum of PKno",SalmonPivot!$AK$4,"Date",B177,"Site",2)+GETPIVOTDATA("Sum of PKrecap",SalmonPivot!$AK$4,"Date",B177,"Site",2)</f>
        <v>1</v>
      </c>
      <c r="N177" s="24">
        <f>GETPIVOTDATA("Sum of PKrad",SalmonPivot!$AK$4,"Date",B177,"Site",2)</f>
        <v>0</v>
      </c>
      <c r="O177" s="24">
        <f>P177+GETPIVOTDATA("Sum of CMno",SalmonPivot!$AW$4,"Date",B177,"Site",2)+GETPIVOTDATA("Sum of CMrecap",SalmonPivot!$AW$4,"Date",B177,"Site",2)</f>
        <v>13</v>
      </c>
      <c r="P177" s="24">
        <f>GETPIVOTDATA("Sum of CMrad",SalmonPivot!$AW$4,"Date",B177,"Site",2)</f>
        <v>0</v>
      </c>
      <c r="Q177" s="25">
        <f>R177+GETPIVOTDATA("Sum of COno",SalmonPivot!$BI$4,"Date",B177,"Site",2)+GETPIVOTDATA("Sum of COrecap",SalmonPivot!$BI$4,"Date",B177,"Site",2)</f>
        <v>3</v>
      </c>
      <c r="R177" s="24">
        <f>GETPIVOTDATA("Sum of COrad",SalmonPivot!$BI$4,"Date",B177,"Site",2)</f>
        <v>0</v>
      </c>
      <c r="S177" s="24">
        <f>GETPIVOTDATA("Sum of TotalOther",OtherPivot!$J$5,"Date",B177,"Site",2)</f>
        <v>0</v>
      </c>
      <c r="T177" s="38"/>
      <c r="U177" s="172">
        <f>IF(GETPIVOTDATA("3 Revs (s)",EffortRPMPivot!$L$4,"Date",$B177,"Site",2)=0,"",GETPIVOTDATA("3 revs (s)",EffortRPMPivot!$L$4,"date",$B177,"Site",2))</f>
        <v>37</v>
      </c>
      <c r="V177" s="173">
        <f t="shared" si="304"/>
        <v>0</v>
      </c>
      <c r="W177" s="173">
        <f t="shared" si="305"/>
        <v>0</v>
      </c>
      <c r="X177" s="173">
        <f t="shared" si="306"/>
        <v>8.3333333333333356E-2</v>
      </c>
      <c r="Y177" s="173">
        <f t="shared" si="307"/>
        <v>8.3333333333333356E-2</v>
      </c>
      <c r="Z177" s="173">
        <f t="shared" si="308"/>
        <v>1.0833333333333337</v>
      </c>
      <c r="AA177" s="174">
        <f t="shared" si="309"/>
        <v>0.25000000000000006</v>
      </c>
      <c r="AB177" s="181"/>
      <c r="AC177" s="181"/>
      <c r="AD177" s="181"/>
      <c r="AE177" s="181"/>
      <c r="AF177" s="181"/>
      <c r="AG177" s="181"/>
      <c r="AH177" s="182"/>
      <c r="AI177" s="181"/>
      <c r="AJ177" s="181"/>
      <c r="AK177" s="181"/>
      <c r="AL177" s="181"/>
      <c r="AM177" s="181"/>
      <c r="AN177" s="182"/>
      <c r="AO177" s="181"/>
      <c r="AP177" s="181"/>
      <c r="AQ177" s="181"/>
      <c r="AR177" s="181"/>
      <c r="AS177" s="181"/>
      <c r="AT177" s="182"/>
      <c r="AU177" s="181"/>
      <c r="AV177" s="181"/>
      <c r="AW177" s="181"/>
      <c r="AX177" s="181"/>
      <c r="AY177" s="181"/>
      <c r="AZ177" s="182"/>
      <c r="BA177" s="185"/>
      <c r="BB177" s="185"/>
      <c r="BC177" s="185"/>
      <c r="BD177" s="185"/>
      <c r="BE177" s="185"/>
      <c r="BF177" s="186"/>
      <c r="BG177" s="185"/>
      <c r="BH177" s="185"/>
      <c r="BI177" s="185"/>
      <c r="BJ177" s="185"/>
      <c r="BK177" s="185"/>
      <c r="BL177" s="186"/>
      <c r="BM177" s="409"/>
      <c r="BN177" s="409"/>
    </row>
    <row r="178" spans="1:66" s="49" customFormat="1" x14ac:dyDescent="0.2">
      <c r="A178" s="61"/>
      <c r="B178" s="60">
        <f t="shared" si="225"/>
        <v>41874</v>
      </c>
      <c r="C178" s="22">
        <f t="shared" ref="C178" si="310">IF(ISERROR(3/(U178/60)),"",3/(U178/60))</f>
        <v>4.9090909090909092</v>
      </c>
      <c r="D178" s="23">
        <f>GETPIVOTDATA("Active time (min)",EffortRPMPivot!$A$4,"date",B178,"Site",2)/60</f>
        <v>12.1</v>
      </c>
      <c r="E178" s="24">
        <f>F178+G178+GETPIVOTDATA("Sum of CNlgNo",SalmonPivot!$A$4,"Date",B178,"Site",2)</f>
        <v>0</v>
      </c>
      <c r="F178" s="24">
        <f>GETPIVOTDATA("Sum of CNlgrad",SalmonPivot!$A$4,"date",B178,"Site",2)</f>
        <v>0</v>
      </c>
      <c r="G178" s="24">
        <f>GETPIVOTDATA("Sum of CNlgrecap",SalmonPivot!$A$4,"date",B178,"Site",2)</f>
        <v>0</v>
      </c>
      <c r="H178" s="24">
        <f>I178+J178+GETPIVOTDATA("Sum of CNsmno",SalmonPivot!$M$4,"Date",B178,"Site",2)</f>
        <v>0</v>
      </c>
      <c r="I178" s="24">
        <f>GETPIVOTDATA("Sum of CNsmradio",SalmonPivot!$M$4,"Date",B178,"Site",2)</f>
        <v>0</v>
      </c>
      <c r="J178" s="24">
        <f>GETPIVOTDATA("Sum of CNsmrecap",SalmonPivot!$M$4,"Date",B178,"Site",2)</f>
        <v>0</v>
      </c>
      <c r="K178" s="24">
        <f>L178+GETPIVOTDATA("Sum of SOno",SalmonPivot!$Y$4,"Date",B178,"Site",2)+GETPIVOTDATA("Sum of SOrecap",SalmonPivot!$Y$4,"Date",B178,"Site",2)</f>
        <v>0</v>
      </c>
      <c r="L178" s="24">
        <f>GETPIVOTDATA("Sum of SOrad",SalmonPivot!$Y$4,"Date",B178,"Site",2)</f>
        <v>0</v>
      </c>
      <c r="M178" s="24">
        <f>N178+GETPIVOTDATA("Sum of PKno",SalmonPivot!$AK$4,"Date",B178,"Site",2)+GETPIVOTDATA("Sum of PKrecap",SalmonPivot!$AK$4,"Date",B178,"Site",2)</f>
        <v>0</v>
      </c>
      <c r="N178" s="24">
        <f>GETPIVOTDATA("Sum of PKrad",SalmonPivot!$AK$4,"Date",B178,"Site",2)</f>
        <v>0</v>
      </c>
      <c r="O178" s="24">
        <f>P178+GETPIVOTDATA("Sum of CMno",SalmonPivot!$AW$4,"Date",B178,"Site",2)+GETPIVOTDATA("Sum of CMrecap",SalmonPivot!$AW$4,"Date",B178,"Site",2)</f>
        <v>6</v>
      </c>
      <c r="P178" s="24">
        <f>GETPIVOTDATA("Sum of CMrad",SalmonPivot!$AW$4,"Date",B178,"Site",2)</f>
        <v>0</v>
      </c>
      <c r="Q178" s="25">
        <f>R178+GETPIVOTDATA("Sum of COno",SalmonPivot!$BI$4,"Date",B178,"Site",2)+GETPIVOTDATA("Sum of COrecap",SalmonPivot!$BI$4,"Date",B178,"Site",2)</f>
        <v>0</v>
      </c>
      <c r="R178" s="24">
        <f>GETPIVOTDATA("Sum of COrad",SalmonPivot!$BI$4,"Date",B178,"Site",2)</f>
        <v>0</v>
      </c>
      <c r="S178" s="24">
        <f>GETPIVOTDATA("Sum of TotalOther",OtherPivot!$J$5,"Date",B178,"Site",2)</f>
        <v>0</v>
      </c>
      <c r="T178" s="38"/>
      <c r="U178" s="172">
        <f>IF(GETPIVOTDATA("3 Revs (s)",EffortRPMPivot!$L$4,"Date",$B178,"Site",2)=0,"",GETPIVOTDATA("3 revs (s)",EffortRPMPivot!$L$4,"date",$B178,"Site",2))</f>
        <v>36.666666666666664</v>
      </c>
      <c r="V178" s="173">
        <f t="shared" ref="V178" si="311">IF(D178=0,"",E178/D178)</f>
        <v>0</v>
      </c>
      <c r="W178" s="173">
        <f t="shared" ref="W178" si="312">IF(D178=0,"",H178/D178)</f>
        <v>0</v>
      </c>
      <c r="X178" s="173">
        <f t="shared" ref="X178" si="313">IF(D178=0,"",K178/$D178)</f>
        <v>0</v>
      </c>
      <c r="Y178" s="173">
        <f t="shared" ref="Y178" si="314">IF(D178=0,"",M178/$D178)</f>
        <v>0</v>
      </c>
      <c r="Z178" s="173">
        <f t="shared" ref="Z178" si="315">IF(D178=0,"",O178/$D178)</f>
        <v>0.49586776859504134</v>
      </c>
      <c r="AA178" s="174">
        <f t="shared" ref="AA178" si="316">IF(D178=0,"",Q178/$D178)</f>
        <v>0</v>
      </c>
      <c r="AB178" s="181"/>
      <c r="AC178" s="181"/>
      <c r="AD178" s="181"/>
      <c r="AE178" s="181"/>
      <c r="AF178" s="181"/>
      <c r="AG178" s="181"/>
      <c r="AH178" s="182"/>
      <c r="AI178" s="181"/>
      <c r="AJ178" s="181"/>
      <c r="AK178" s="181"/>
      <c r="AL178" s="181"/>
      <c r="AM178" s="181"/>
      <c r="AN178" s="182"/>
      <c r="AO178" s="181"/>
      <c r="AP178" s="181"/>
      <c r="AQ178" s="181"/>
      <c r="AR178" s="181"/>
      <c r="AS178" s="181"/>
      <c r="AT178" s="182"/>
      <c r="AU178" s="181"/>
      <c r="AV178" s="181"/>
      <c r="AW178" s="181"/>
      <c r="AX178" s="181"/>
      <c r="AY178" s="181"/>
      <c r="AZ178" s="182"/>
      <c r="BA178" s="185"/>
      <c r="BB178" s="185"/>
      <c r="BC178" s="185"/>
      <c r="BD178" s="185"/>
      <c r="BE178" s="185"/>
      <c r="BF178" s="186"/>
      <c r="BG178" s="185"/>
      <c r="BH178" s="185"/>
      <c r="BI178" s="185"/>
      <c r="BJ178" s="185"/>
      <c r="BK178" s="185"/>
      <c r="BL178" s="186"/>
      <c r="BM178" s="409"/>
      <c r="BN178" s="409"/>
    </row>
    <row r="179" spans="1:66" s="49" customFormat="1" x14ac:dyDescent="0.2">
      <c r="A179" s="61"/>
      <c r="B179" s="60">
        <f t="shared" si="225"/>
        <v>41875</v>
      </c>
      <c r="C179" s="22">
        <f t="shared" ref="C179:C181" si="317">IF(ISERROR(3/(U179/60)),"",3/(U179/60))</f>
        <v>4.8214285714285712</v>
      </c>
      <c r="D179" s="23">
        <f>GETPIVOTDATA("Active time (min)",EffortRPMPivot!$A$4,"date",B179,"Site",2)/60</f>
        <v>12.1</v>
      </c>
      <c r="E179" s="24">
        <f>F179+G179+GETPIVOTDATA("Sum of CNlgNo",SalmonPivot!$A$4,"Date",B179,"Site",2)</f>
        <v>0</v>
      </c>
      <c r="F179" s="24">
        <f>GETPIVOTDATA("Sum of CNlgrad",SalmonPivot!$A$4,"date",B179,"Site",2)</f>
        <v>0</v>
      </c>
      <c r="G179" s="24">
        <f>GETPIVOTDATA("Sum of CNlgrecap",SalmonPivot!$A$4,"date",B179,"Site",2)</f>
        <v>0</v>
      </c>
      <c r="H179" s="24">
        <f>I179+J179+GETPIVOTDATA("Sum of CNsmno",SalmonPivot!$M$4,"Date",B179,"Site",2)</f>
        <v>0</v>
      </c>
      <c r="I179" s="24">
        <f>GETPIVOTDATA("Sum of CNsmradio",SalmonPivot!$M$4,"Date",B179,"Site",2)</f>
        <v>0</v>
      </c>
      <c r="J179" s="24">
        <f>GETPIVOTDATA("Sum of CNsmrecap",SalmonPivot!$M$4,"Date",B179,"Site",2)</f>
        <v>0</v>
      </c>
      <c r="K179" s="24">
        <f>L179+GETPIVOTDATA("Sum of SOno",SalmonPivot!$Y$4,"Date",B179,"Site",2)+GETPIVOTDATA("Sum of SOrecap",SalmonPivot!$Y$4,"Date",B179,"Site",2)</f>
        <v>1</v>
      </c>
      <c r="L179" s="24">
        <f>GETPIVOTDATA("Sum of SOrad",SalmonPivot!$Y$4,"Date",B179,"Site",2)</f>
        <v>1</v>
      </c>
      <c r="M179" s="24">
        <f>N179+GETPIVOTDATA("Sum of PKno",SalmonPivot!$AK$4,"Date",B179,"Site",2)+GETPIVOTDATA("Sum of PKrecap",SalmonPivot!$AK$4,"Date",B179,"Site",2)</f>
        <v>0</v>
      </c>
      <c r="N179" s="24">
        <f>GETPIVOTDATA("Sum of PKrad",SalmonPivot!$AK$4,"Date",B179,"Site",2)</f>
        <v>0</v>
      </c>
      <c r="O179" s="24">
        <f>P179+GETPIVOTDATA("Sum of CMno",SalmonPivot!$AW$4,"Date",B179,"Site",2)+GETPIVOTDATA("Sum of CMrecap",SalmonPivot!$AW$4,"Date",B179,"Site",2)</f>
        <v>28</v>
      </c>
      <c r="P179" s="24">
        <f>GETPIVOTDATA("Sum of CMrad",SalmonPivot!$AW$4,"Date",B179,"Site",2)</f>
        <v>1</v>
      </c>
      <c r="Q179" s="25">
        <f>R179+GETPIVOTDATA("Sum of COno",SalmonPivot!$BI$4,"Date",B179,"Site",2)+GETPIVOTDATA("Sum of COrecap",SalmonPivot!$BI$4,"Date",B179,"Site",2)</f>
        <v>2</v>
      </c>
      <c r="R179" s="24">
        <f>GETPIVOTDATA("Sum of COrad",SalmonPivot!$BI$4,"Date",B179,"Site",2)</f>
        <v>2</v>
      </c>
      <c r="S179" s="24">
        <f>GETPIVOTDATA("Sum of TotalOther",OtherPivot!$J$5,"Date",B179,"Site",2)</f>
        <v>0</v>
      </c>
      <c r="T179" s="38"/>
      <c r="U179" s="172">
        <f>IF(GETPIVOTDATA("3 Revs (s)",EffortRPMPivot!$L$4,"Date",$B179,"Site",2)=0,"",GETPIVOTDATA("3 revs (s)",EffortRPMPivot!$L$4,"date",$B179,"Site",2))</f>
        <v>37.333333333333336</v>
      </c>
      <c r="V179" s="173">
        <f t="shared" ref="V179:V181" si="318">IF(D179=0,"",E179/D179)</f>
        <v>0</v>
      </c>
      <c r="W179" s="173">
        <f t="shared" ref="W179:W181" si="319">IF(D179=0,"",H179/D179)</f>
        <v>0</v>
      </c>
      <c r="X179" s="173">
        <f t="shared" ref="X179:X181" si="320">IF(D179=0,"",K179/$D179)</f>
        <v>8.2644628099173556E-2</v>
      </c>
      <c r="Y179" s="173">
        <f t="shared" ref="Y179:Y181" si="321">IF(D179=0,"",M179/$D179)</f>
        <v>0</v>
      </c>
      <c r="Z179" s="173">
        <f t="shared" ref="Z179:Z181" si="322">IF(D179=0,"",O179/$D179)</f>
        <v>2.3140495867768598</v>
      </c>
      <c r="AA179" s="174">
        <f t="shared" ref="AA179:AA181" si="323">IF(D179=0,"",Q179/$D179)</f>
        <v>0.16528925619834711</v>
      </c>
      <c r="AB179" s="181"/>
      <c r="AC179" s="181"/>
      <c r="AD179" s="181"/>
      <c r="AE179" s="181"/>
      <c r="AF179" s="181"/>
      <c r="AG179" s="181"/>
      <c r="AH179" s="182"/>
      <c r="AI179" s="181"/>
      <c r="AJ179" s="181"/>
      <c r="AK179" s="181"/>
      <c r="AL179" s="181"/>
      <c r="AM179" s="181"/>
      <c r="AN179" s="182"/>
      <c r="AO179" s="181"/>
      <c r="AP179" s="181"/>
      <c r="AQ179" s="181"/>
      <c r="AR179" s="181"/>
      <c r="AS179" s="181"/>
      <c r="AT179" s="182"/>
      <c r="AU179" s="181"/>
      <c r="AV179" s="181"/>
      <c r="AW179" s="181"/>
      <c r="AX179" s="181"/>
      <c r="AY179" s="181"/>
      <c r="AZ179" s="182"/>
      <c r="BA179" s="185"/>
      <c r="BB179" s="185"/>
      <c r="BC179" s="185"/>
      <c r="BD179" s="185"/>
      <c r="BE179" s="185"/>
      <c r="BF179" s="186"/>
      <c r="BG179" s="185"/>
      <c r="BH179" s="185"/>
      <c r="BI179" s="185"/>
      <c r="BJ179" s="185"/>
      <c r="BK179" s="185"/>
      <c r="BL179" s="186"/>
      <c r="BM179" s="409"/>
      <c r="BN179" s="409"/>
    </row>
    <row r="180" spans="1:66" s="49" customFormat="1" x14ac:dyDescent="0.2">
      <c r="A180" s="61"/>
      <c r="B180" s="60">
        <f t="shared" si="225"/>
        <v>41876</v>
      </c>
      <c r="C180" s="22">
        <f t="shared" si="317"/>
        <v>4.4444444444444438</v>
      </c>
      <c r="D180" s="23">
        <f>GETPIVOTDATA("Active time (min)",EffortRPMPivot!$A$4,"date",B180,"Site",2)/60</f>
        <v>12.066666666666666</v>
      </c>
      <c r="E180" s="24">
        <f>F180+G180+GETPIVOTDATA("Sum of CNlgNo",SalmonPivot!$A$4,"Date",B180,"Site",2)</f>
        <v>0</v>
      </c>
      <c r="F180" s="24">
        <f>GETPIVOTDATA("Sum of CNlgrad",SalmonPivot!$A$4,"date",B180,"Site",2)</f>
        <v>0</v>
      </c>
      <c r="G180" s="24">
        <f>GETPIVOTDATA("Sum of CNlgrecap",SalmonPivot!$A$4,"date",B180,"Site",2)</f>
        <v>0</v>
      </c>
      <c r="H180" s="24">
        <f>I180+J180+GETPIVOTDATA("Sum of CNsmno",SalmonPivot!$M$4,"Date",B180,"Site",2)</f>
        <v>0</v>
      </c>
      <c r="I180" s="24">
        <f>GETPIVOTDATA("Sum of CNsmradio",SalmonPivot!$M$4,"Date",B180,"Site",2)</f>
        <v>0</v>
      </c>
      <c r="J180" s="24">
        <f>GETPIVOTDATA("Sum of CNsmrecap",SalmonPivot!$M$4,"Date",B180,"Site",2)</f>
        <v>0</v>
      </c>
      <c r="K180" s="24">
        <f>L180+GETPIVOTDATA("Sum of SOno",SalmonPivot!$Y$4,"Date",B180,"Site",2)+GETPIVOTDATA("Sum of SOrecap",SalmonPivot!$Y$4,"Date",B180,"Site",2)</f>
        <v>1</v>
      </c>
      <c r="L180" s="24">
        <f>GETPIVOTDATA("Sum of SOrad",SalmonPivot!$Y$4,"Date",B180,"Site",2)</f>
        <v>0</v>
      </c>
      <c r="M180" s="24">
        <f>N180+GETPIVOTDATA("Sum of PKno",SalmonPivot!$AK$4,"Date",B180,"Site",2)+GETPIVOTDATA("Sum of PKrecap",SalmonPivot!$AK$4,"Date",B180,"Site",2)</f>
        <v>0</v>
      </c>
      <c r="N180" s="24">
        <f>GETPIVOTDATA("Sum of PKrad",SalmonPivot!$AK$4,"Date",B180,"Site",2)</f>
        <v>0</v>
      </c>
      <c r="O180" s="24">
        <f>P180+GETPIVOTDATA("Sum of CMno",SalmonPivot!$AW$4,"Date",B180,"Site",2)+GETPIVOTDATA("Sum of CMrecap",SalmonPivot!$AW$4,"Date",B180,"Site",2)</f>
        <v>33</v>
      </c>
      <c r="P180" s="24">
        <f>GETPIVOTDATA("Sum of CMrad",SalmonPivot!$AW$4,"Date",B180,"Site",2)</f>
        <v>0</v>
      </c>
      <c r="Q180" s="25">
        <f>R180+GETPIVOTDATA("Sum of COno",SalmonPivot!$BI$4,"Date",B180,"Site",2)+GETPIVOTDATA("Sum of COrecap",SalmonPivot!$BI$4,"Date",B180,"Site",2)</f>
        <v>5</v>
      </c>
      <c r="R180" s="24">
        <f>GETPIVOTDATA("Sum of COrad",SalmonPivot!$BI$4,"Date",B180,"Site",2)</f>
        <v>3</v>
      </c>
      <c r="S180" s="24">
        <f>GETPIVOTDATA("Sum of TotalOther",OtherPivot!$J$5,"Date",B180,"Site",2)</f>
        <v>0</v>
      </c>
      <c r="T180" s="38"/>
      <c r="U180" s="172">
        <f>IF(GETPIVOTDATA("3 Revs (s)",EffortRPMPivot!$L$4,"Date",$B180,"Site",2)=0,"",GETPIVOTDATA("3 revs (s)",EffortRPMPivot!$L$4,"date",$B180,"Site",2))</f>
        <v>40.5</v>
      </c>
      <c r="V180" s="173">
        <f t="shared" si="318"/>
        <v>0</v>
      </c>
      <c r="W180" s="173">
        <f t="shared" si="319"/>
        <v>0</v>
      </c>
      <c r="X180" s="173">
        <f t="shared" si="320"/>
        <v>8.2872928176795577E-2</v>
      </c>
      <c r="Y180" s="173">
        <f t="shared" si="321"/>
        <v>0</v>
      </c>
      <c r="Z180" s="173">
        <f t="shared" si="322"/>
        <v>2.7348066298342544</v>
      </c>
      <c r="AA180" s="174">
        <f t="shared" si="323"/>
        <v>0.4143646408839779</v>
      </c>
      <c r="AB180" s="181"/>
      <c r="AC180" s="181"/>
      <c r="AD180" s="181"/>
      <c r="AE180" s="181"/>
      <c r="AF180" s="181"/>
      <c r="AG180" s="181"/>
      <c r="AH180" s="182"/>
      <c r="AI180" s="181"/>
      <c r="AJ180" s="181"/>
      <c r="AK180" s="181"/>
      <c r="AL180" s="181"/>
      <c r="AM180" s="181"/>
      <c r="AN180" s="182"/>
      <c r="AO180" s="181"/>
      <c r="AP180" s="181"/>
      <c r="AQ180" s="181"/>
      <c r="AR180" s="181"/>
      <c r="AS180" s="181"/>
      <c r="AT180" s="182"/>
      <c r="AU180" s="181"/>
      <c r="AV180" s="181"/>
      <c r="AW180" s="181"/>
      <c r="AX180" s="181"/>
      <c r="AY180" s="181"/>
      <c r="AZ180" s="182"/>
      <c r="BA180" s="185"/>
      <c r="BB180" s="185"/>
      <c r="BC180" s="185"/>
      <c r="BD180" s="185"/>
      <c r="BE180" s="185"/>
      <c r="BF180" s="186"/>
      <c r="BG180" s="185"/>
      <c r="BH180" s="185"/>
      <c r="BI180" s="185"/>
      <c r="BJ180" s="185"/>
      <c r="BK180" s="185"/>
      <c r="BL180" s="186"/>
      <c r="BM180" s="409"/>
      <c r="BN180" s="409"/>
    </row>
    <row r="181" spans="1:66" s="49" customFormat="1" x14ac:dyDescent="0.2">
      <c r="A181" s="61"/>
      <c r="B181" s="60">
        <f t="shared" si="225"/>
        <v>41877</v>
      </c>
      <c r="C181" s="22">
        <f t="shared" si="317"/>
        <v>4.8648648648648649</v>
      </c>
      <c r="D181" s="23">
        <f>GETPIVOTDATA("Active time (min)",EffortRPMPivot!$A$4,"date",B181,"Site",2)/60</f>
        <v>12</v>
      </c>
      <c r="E181" s="24">
        <f>F181+G181+GETPIVOTDATA("Sum of CNlgNo",SalmonPivot!$A$4,"Date",B181,"Site",2)</f>
        <v>0</v>
      </c>
      <c r="F181" s="24">
        <f>GETPIVOTDATA("Sum of CNlgrad",SalmonPivot!$A$4,"date",B181,"Site",2)</f>
        <v>0</v>
      </c>
      <c r="G181" s="24">
        <f>GETPIVOTDATA("Sum of CNlgrecap",SalmonPivot!$A$4,"date",B181,"Site",2)</f>
        <v>0</v>
      </c>
      <c r="H181" s="24">
        <f>I181+J181+GETPIVOTDATA("Sum of CNsmno",SalmonPivot!$M$4,"Date",B181,"Site",2)</f>
        <v>0</v>
      </c>
      <c r="I181" s="24">
        <f>GETPIVOTDATA("Sum of CNsmradio",SalmonPivot!$M$4,"Date",B181,"Site",2)</f>
        <v>0</v>
      </c>
      <c r="J181" s="24">
        <f>GETPIVOTDATA("Sum of CNsmrecap",SalmonPivot!$M$4,"Date",B181,"Site",2)</f>
        <v>0</v>
      </c>
      <c r="K181" s="24">
        <f>L181+GETPIVOTDATA("Sum of SOno",SalmonPivot!$Y$4,"Date",B181,"Site",2)+GETPIVOTDATA("Sum of SOrecap",SalmonPivot!$Y$4,"Date",B181,"Site",2)</f>
        <v>0</v>
      </c>
      <c r="L181" s="24">
        <f>GETPIVOTDATA("Sum of SOrad",SalmonPivot!$Y$4,"Date",B181,"Site",2)</f>
        <v>0</v>
      </c>
      <c r="M181" s="24">
        <f>N181+GETPIVOTDATA("Sum of PKno",SalmonPivot!$AK$4,"Date",B181,"Site",2)+GETPIVOTDATA("Sum of PKrecap",SalmonPivot!$AK$4,"Date",B181,"Site",2)</f>
        <v>1</v>
      </c>
      <c r="N181" s="24">
        <f>GETPIVOTDATA("Sum of PKrad",SalmonPivot!$AK$4,"Date",B181,"Site",2)</f>
        <v>0</v>
      </c>
      <c r="O181" s="24">
        <f>P181+GETPIVOTDATA("Sum of CMno",SalmonPivot!$AW$4,"Date",B181,"Site",2)+GETPIVOTDATA("Sum of CMrecap",SalmonPivot!$AW$4,"Date",B181,"Site",2)</f>
        <v>15</v>
      </c>
      <c r="P181" s="24">
        <f>GETPIVOTDATA("Sum of CMrad",SalmonPivot!$AW$4,"Date",B181,"Site",2)</f>
        <v>1</v>
      </c>
      <c r="Q181" s="25">
        <f>R181+GETPIVOTDATA("Sum of COno",SalmonPivot!$BI$4,"Date",B181,"Site",2)+GETPIVOTDATA("Sum of COrecap",SalmonPivot!$BI$4,"Date",B181,"Site",2)</f>
        <v>0</v>
      </c>
      <c r="R181" s="24">
        <f>GETPIVOTDATA("Sum of COrad",SalmonPivot!$BI$4,"Date",B181,"Site",2)</f>
        <v>0</v>
      </c>
      <c r="S181" s="24">
        <f>GETPIVOTDATA("Sum of TotalOther",OtherPivot!$J$5,"Date",B181,"Site",2)</f>
        <v>0</v>
      </c>
      <c r="T181" s="38"/>
      <c r="U181" s="172">
        <f>IF(GETPIVOTDATA("3 Revs (s)",EffortRPMPivot!$L$4,"Date",$B181,"Site",2)=0,"",GETPIVOTDATA("3 revs (s)",EffortRPMPivot!$L$4,"date",$B181,"Site",2))</f>
        <v>37</v>
      </c>
      <c r="V181" s="173">
        <f t="shared" si="318"/>
        <v>0</v>
      </c>
      <c r="W181" s="173">
        <f t="shared" si="319"/>
        <v>0</v>
      </c>
      <c r="X181" s="173">
        <f t="shared" si="320"/>
        <v>0</v>
      </c>
      <c r="Y181" s="173">
        <f t="shared" si="321"/>
        <v>8.3333333333333329E-2</v>
      </c>
      <c r="Z181" s="173">
        <f t="shared" si="322"/>
        <v>1.25</v>
      </c>
      <c r="AA181" s="174">
        <f t="shared" si="323"/>
        <v>0</v>
      </c>
      <c r="AB181" s="181"/>
      <c r="AC181" s="181"/>
      <c r="AD181" s="181"/>
      <c r="AE181" s="181"/>
      <c r="AF181" s="181"/>
      <c r="AG181" s="181"/>
      <c r="AH181" s="182"/>
      <c r="AI181" s="181"/>
      <c r="AJ181" s="181"/>
      <c r="AK181" s="181"/>
      <c r="AL181" s="181"/>
      <c r="AM181" s="181"/>
      <c r="AN181" s="182"/>
      <c r="AO181" s="181"/>
      <c r="AP181" s="181"/>
      <c r="AQ181" s="181"/>
      <c r="AR181" s="181"/>
      <c r="AS181" s="181"/>
      <c r="AT181" s="182"/>
      <c r="AU181" s="181"/>
      <c r="AV181" s="181"/>
      <c r="AW181" s="181"/>
      <c r="AX181" s="181"/>
      <c r="AY181" s="181"/>
      <c r="AZ181" s="182"/>
      <c r="BA181" s="185"/>
      <c r="BB181" s="185"/>
      <c r="BC181" s="185"/>
      <c r="BD181" s="185"/>
      <c r="BE181" s="185"/>
      <c r="BF181" s="186"/>
      <c r="BG181" s="185"/>
      <c r="BH181" s="185"/>
      <c r="BI181" s="185"/>
      <c r="BJ181" s="185"/>
      <c r="BK181" s="185"/>
      <c r="BL181" s="186"/>
      <c r="BM181" s="409"/>
      <c r="BN181" s="409"/>
    </row>
    <row r="182" spans="1:66" s="49" customFormat="1" x14ac:dyDescent="0.2">
      <c r="A182" s="61"/>
      <c r="B182" s="60">
        <f>1+B181</f>
        <v>41878</v>
      </c>
      <c r="C182" s="22">
        <f t="shared" ref="C182" si="324">IF(ISERROR(3/(U182/60)),"",3/(U182/60))</f>
        <v>5.0943396226415096</v>
      </c>
      <c r="D182" s="23">
        <f>GETPIVOTDATA("Active time (min)",EffortRPMPivot!$A$4,"date",B182,"Site",2)/60</f>
        <v>12.033333333333333</v>
      </c>
      <c r="E182" s="24">
        <f>F182+G182+GETPIVOTDATA("Sum of CNlgNo",SalmonPivot!$A$4,"Date",B182,"Site",2)</f>
        <v>0</v>
      </c>
      <c r="F182" s="24">
        <f>GETPIVOTDATA("Sum of CNlgrad",SalmonPivot!$A$4,"date",B182,"Site",2)</f>
        <v>0</v>
      </c>
      <c r="G182" s="24">
        <f>GETPIVOTDATA("Sum of CNlgrecap",SalmonPivot!$A$4,"date",B182,"Site",2)</f>
        <v>0</v>
      </c>
      <c r="H182" s="24">
        <f>I182+J182+GETPIVOTDATA("Sum of CNsmno",SalmonPivot!$M$4,"Date",B182,"Site",2)</f>
        <v>0</v>
      </c>
      <c r="I182" s="24">
        <f>GETPIVOTDATA("Sum of CNsmradio",SalmonPivot!$M$4,"Date",B182,"Site",2)</f>
        <v>0</v>
      </c>
      <c r="J182" s="24">
        <f>GETPIVOTDATA("Sum of CNsmrecap",SalmonPivot!$M$4,"Date",B182,"Site",2)</f>
        <v>0</v>
      </c>
      <c r="K182" s="24">
        <f>L182+GETPIVOTDATA("Sum of SOno",SalmonPivot!$Y$4,"Date",B182,"Site",2)+GETPIVOTDATA("Sum of SOrecap",SalmonPivot!$Y$4,"Date",B182,"Site",2)</f>
        <v>0</v>
      </c>
      <c r="L182" s="24">
        <f>GETPIVOTDATA("Sum of SOrad",SalmonPivot!$Y$4,"Date",B182,"Site",2)</f>
        <v>0</v>
      </c>
      <c r="M182" s="24">
        <f>N182+GETPIVOTDATA("Sum of PKno",SalmonPivot!$AK$4,"Date",B182,"Site",2)+GETPIVOTDATA("Sum of PKrecap",SalmonPivot!$AK$4,"Date",B182,"Site",2)</f>
        <v>0</v>
      </c>
      <c r="N182" s="24">
        <f>GETPIVOTDATA("Sum of PKrad",SalmonPivot!$AK$4,"Date",B182,"Site",2)</f>
        <v>0</v>
      </c>
      <c r="O182" s="24">
        <f>P182+GETPIVOTDATA("Sum of CMno",SalmonPivot!$AW$4,"Date",B182,"Site",2)+GETPIVOTDATA("Sum of CMrecap",SalmonPivot!$AW$4,"Date",B182,"Site",2)</f>
        <v>4</v>
      </c>
      <c r="P182" s="24">
        <f>GETPIVOTDATA("Sum of CMrad",SalmonPivot!$AW$4,"Date",B182,"Site",2)</f>
        <v>0</v>
      </c>
      <c r="Q182" s="25">
        <f>R182+GETPIVOTDATA("Sum of COno",SalmonPivot!$BI$4,"Date",B182,"Site",2)+GETPIVOTDATA("Sum of COrecap",SalmonPivot!$BI$4,"Date",B182,"Site",2)</f>
        <v>0</v>
      </c>
      <c r="R182" s="24">
        <f>GETPIVOTDATA("Sum of COrad",SalmonPivot!$BI$4,"Date",B182,"Site",2)</f>
        <v>0</v>
      </c>
      <c r="S182" s="24">
        <f>GETPIVOTDATA("Sum of TotalOther",OtherPivot!$J$5,"Date",B182,"Site",2)</f>
        <v>0</v>
      </c>
      <c r="T182" s="38"/>
      <c r="U182" s="172">
        <f>IF(GETPIVOTDATA("3 Revs (s)",EffortRPMPivot!$L$4,"Date",$B182,"Site",2)=0,"",GETPIVOTDATA("3 revs (s)",EffortRPMPivot!$L$4,"date",$B182,"Site",2))</f>
        <v>35.333333333333336</v>
      </c>
      <c r="V182" s="173">
        <f t="shared" ref="V182" si="325">IF(D182=0,"",E182/D182)</f>
        <v>0</v>
      </c>
      <c r="W182" s="173">
        <f t="shared" ref="W182" si="326">IF(D182=0,"",H182/D182)</f>
        <v>0</v>
      </c>
      <c r="X182" s="173">
        <f t="shared" ref="X182" si="327">IF(D182=0,"",K182/$D182)</f>
        <v>0</v>
      </c>
      <c r="Y182" s="173">
        <f t="shared" ref="Y182" si="328">IF(D182=0,"",M182/$D182)</f>
        <v>0</v>
      </c>
      <c r="Z182" s="173">
        <f t="shared" ref="Z182" si="329">IF(D182=0,"",O182/$D182)</f>
        <v>0.33240997229916897</v>
      </c>
      <c r="AA182" s="174">
        <f t="shared" ref="AA182" si="330">IF(D182=0,"",Q182/$D182)</f>
        <v>0</v>
      </c>
      <c r="AB182" s="181"/>
      <c r="AC182" s="181"/>
      <c r="AD182" s="181"/>
      <c r="AE182" s="181"/>
      <c r="AF182" s="181"/>
      <c r="AG182" s="181"/>
      <c r="AH182" s="182"/>
      <c r="AI182" s="181"/>
      <c r="AJ182" s="181"/>
      <c r="AK182" s="181"/>
      <c r="AL182" s="181"/>
      <c r="AM182" s="181"/>
      <c r="AN182" s="182"/>
      <c r="AO182" s="181"/>
      <c r="AP182" s="181"/>
      <c r="AQ182" s="181"/>
      <c r="AR182" s="181"/>
      <c r="AS182" s="181"/>
      <c r="AT182" s="182"/>
      <c r="AU182" s="181"/>
      <c r="AV182" s="181"/>
      <c r="AW182" s="181"/>
      <c r="AX182" s="181"/>
      <c r="AY182" s="181"/>
      <c r="AZ182" s="182"/>
      <c r="BA182" s="185"/>
      <c r="BB182" s="185"/>
      <c r="BC182" s="185"/>
      <c r="BD182" s="185"/>
      <c r="BE182" s="185"/>
      <c r="BF182" s="186"/>
      <c r="BG182" s="185"/>
      <c r="BH182" s="185"/>
      <c r="BI182" s="185"/>
      <c r="BJ182" s="185"/>
      <c r="BK182" s="185"/>
      <c r="BL182" s="186"/>
      <c r="BM182" s="409"/>
      <c r="BN182" s="409"/>
    </row>
    <row r="183" spans="1:66" s="49" customFormat="1" x14ac:dyDescent="0.2">
      <c r="A183" s="61"/>
      <c r="B183" s="60">
        <f>1+B182</f>
        <v>41879</v>
      </c>
      <c r="C183" s="22">
        <f t="shared" ref="C183" si="331">IF(ISERROR(3/(U183/60)),"",3/(U183/60))</f>
        <v>5.4545454545454541</v>
      </c>
      <c r="D183" s="23">
        <f>GETPIVOTDATA("Active time (min)",EffortRPMPivot!$A$4,"date",B183,"Site",2)/60</f>
        <v>12</v>
      </c>
      <c r="E183" s="24">
        <f>F183+G183+GETPIVOTDATA("Sum of CNlgNo",SalmonPivot!$A$4,"Date",B183,"Site",2)</f>
        <v>0</v>
      </c>
      <c r="F183" s="24">
        <f>GETPIVOTDATA("Sum of CNlgrad",SalmonPivot!$A$4,"date",B183,"Site",2)</f>
        <v>0</v>
      </c>
      <c r="G183" s="24">
        <f>GETPIVOTDATA("Sum of CNlgrecap",SalmonPivot!$A$4,"date",B183,"Site",2)</f>
        <v>0</v>
      </c>
      <c r="H183" s="24">
        <f>I183+J183+GETPIVOTDATA("Sum of CNsmno",SalmonPivot!$M$4,"Date",B183,"Site",2)</f>
        <v>0</v>
      </c>
      <c r="I183" s="24">
        <f>GETPIVOTDATA("Sum of CNsmradio",SalmonPivot!$M$4,"Date",B183,"Site",2)</f>
        <v>0</v>
      </c>
      <c r="J183" s="24">
        <f>GETPIVOTDATA("Sum of CNsmrecap",SalmonPivot!$M$4,"Date",B183,"Site",2)</f>
        <v>0</v>
      </c>
      <c r="K183" s="24">
        <f>L183+GETPIVOTDATA("Sum of SOno",SalmonPivot!$Y$4,"Date",B183,"Site",2)+GETPIVOTDATA("Sum of SOrecap",SalmonPivot!$Y$4,"Date",B183,"Site",2)</f>
        <v>0</v>
      </c>
      <c r="L183" s="24">
        <f>GETPIVOTDATA("Sum of SOrad",SalmonPivot!$Y$4,"Date",B183,"Site",2)</f>
        <v>0</v>
      </c>
      <c r="M183" s="24">
        <f>N183+GETPIVOTDATA("Sum of PKno",SalmonPivot!$AK$4,"Date",B183,"Site",2)+GETPIVOTDATA("Sum of PKrecap",SalmonPivot!$AK$4,"Date",B183,"Site",2)</f>
        <v>0</v>
      </c>
      <c r="N183" s="24">
        <f>GETPIVOTDATA("Sum of PKrad",SalmonPivot!$AK$4,"Date",B183,"Site",2)</f>
        <v>0</v>
      </c>
      <c r="O183" s="24">
        <f>P183+GETPIVOTDATA("Sum of CMno",SalmonPivot!$AW$4,"Date",B183,"Site",2)+GETPIVOTDATA("Sum of CMrecap",SalmonPivot!$AW$4,"Date",B183,"Site",2)</f>
        <v>2</v>
      </c>
      <c r="P183" s="24">
        <f>GETPIVOTDATA("Sum of CMrad",SalmonPivot!$AW$4,"Date",B183,"Site",2)</f>
        <v>0</v>
      </c>
      <c r="Q183" s="25">
        <f>R183+GETPIVOTDATA("Sum of COno",SalmonPivot!$BI$4,"Date",B183,"Site",2)+GETPIVOTDATA("Sum of COrecap",SalmonPivot!$BI$4,"Date",B183,"Site",2)</f>
        <v>0</v>
      </c>
      <c r="R183" s="24">
        <f>GETPIVOTDATA("Sum of COrad",SalmonPivot!$BI$4,"Date",B183,"Site",2)</f>
        <v>0</v>
      </c>
      <c r="S183" s="24">
        <f>GETPIVOTDATA("Sum of TotalOther",OtherPivot!$J$5,"Date",B183,"Site",2)</f>
        <v>0</v>
      </c>
      <c r="T183" s="38"/>
      <c r="U183" s="172">
        <f>IF(GETPIVOTDATA("3 Revs (s)",EffortRPMPivot!$L$4,"Date",$B183,"Site",2)=0,"",GETPIVOTDATA("3 revs (s)",EffortRPMPivot!$L$4,"date",$B183,"Site",2))</f>
        <v>33</v>
      </c>
      <c r="V183" s="173">
        <f t="shared" ref="V183" si="332">IF(D183=0,"",E183/D183)</f>
        <v>0</v>
      </c>
      <c r="W183" s="173">
        <f t="shared" ref="W183" si="333">IF(D183=0,"",H183/D183)</f>
        <v>0</v>
      </c>
      <c r="X183" s="173">
        <f t="shared" ref="X183" si="334">IF(D183=0,"",K183/$D183)</f>
        <v>0</v>
      </c>
      <c r="Y183" s="173">
        <f t="shared" ref="Y183" si="335">IF(D183=0,"",M183/$D183)</f>
        <v>0</v>
      </c>
      <c r="Z183" s="173">
        <f t="shared" ref="Z183" si="336">IF(D183=0,"",O183/$D183)</f>
        <v>0.16666666666666666</v>
      </c>
      <c r="AA183" s="174">
        <f t="shared" ref="AA183" si="337">IF(D183=0,"",Q183/$D183)</f>
        <v>0</v>
      </c>
      <c r="AB183" s="181"/>
      <c r="AC183" s="181"/>
      <c r="AD183" s="181"/>
      <c r="AE183" s="181"/>
      <c r="AF183" s="181"/>
      <c r="AG183" s="181"/>
      <c r="AH183" s="182"/>
      <c r="AI183" s="181"/>
      <c r="AJ183" s="181"/>
      <c r="AK183" s="181"/>
      <c r="AL183" s="181"/>
      <c r="AM183" s="181"/>
      <c r="AN183" s="182"/>
      <c r="AO183" s="181"/>
      <c r="AP183" s="181"/>
      <c r="AQ183" s="181"/>
      <c r="AR183" s="181"/>
      <c r="AS183" s="181"/>
      <c r="AT183" s="182"/>
      <c r="AU183" s="181"/>
      <c r="AV183" s="181"/>
      <c r="AW183" s="181"/>
      <c r="AX183" s="181"/>
      <c r="AY183" s="181"/>
      <c r="AZ183" s="182"/>
      <c r="BA183" s="185"/>
      <c r="BB183" s="185"/>
      <c r="BC183" s="185"/>
      <c r="BD183" s="185"/>
      <c r="BE183" s="185"/>
      <c r="BF183" s="186"/>
      <c r="BG183" s="185"/>
      <c r="BH183" s="185"/>
      <c r="BI183" s="185"/>
      <c r="BJ183" s="185"/>
      <c r="BK183" s="185"/>
      <c r="BL183" s="186"/>
      <c r="BM183" s="409"/>
      <c r="BN183" s="409"/>
    </row>
    <row r="184" spans="1:66" s="49" customFormat="1" x14ac:dyDescent="0.2">
      <c r="A184" s="61"/>
      <c r="B184" s="60">
        <f t="shared" ref="B184:B193" si="338">1+B183</f>
        <v>41880</v>
      </c>
      <c r="C184" s="22">
        <f t="shared" ref="C184" si="339">IF(ISERROR(3/(U184/60)),"",3/(U184/60))</f>
        <v>5.5384615384615392</v>
      </c>
      <c r="D184" s="23">
        <f>GETPIVOTDATA("Active time (min)",EffortRPMPivot!$A$4,"date",B184,"Site",2)/60</f>
        <v>10.55</v>
      </c>
      <c r="E184" s="24">
        <f>F184+G184+GETPIVOTDATA("Sum of CNlgNo",SalmonPivot!$A$4,"Date",B184,"Site",2)</f>
        <v>0</v>
      </c>
      <c r="F184" s="24">
        <f>GETPIVOTDATA("Sum of CNlgrad",SalmonPivot!$A$4,"date",B184,"Site",2)</f>
        <v>0</v>
      </c>
      <c r="G184" s="24">
        <f>GETPIVOTDATA("Sum of CNlgrecap",SalmonPivot!$A$4,"date",B184,"Site",2)</f>
        <v>0</v>
      </c>
      <c r="H184" s="24">
        <f>I184+J184+GETPIVOTDATA("Sum of CNsmno",SalmonPivot!$M$4,"Date",B184,"Site",2)</f>
        <v>0</v>
      </c>
      <c r="I184" s="24">
        <f>GETPIVOTDATA("Sum of CNsmradio",SalmonPivot!$M$4,"Date",B184,"Site",2)</f>
        <v>0</v>
      </c>
      <c r="J184" s="24">
        <f>GETPIVOTDATA("Sum of CNsmrecap",SalmonPivot!$M$4,"Date",B184,"Site",2)</f>
        <v>0</v>
      </c>
      <c r="K184" s="24">
        <f>L184+GETPIVOTDATA("Sum of SOno",SalmonPivot!$Y$4,"Date",B184,"Site",2)+GETPIVOTDATA("Sum of SOrecap",SalmonPivot!$Y$4,"Date",B184,"Site",2)</f>
        <v>0</v>
      </c>
      <c r="L184" s="24">
        <f>GETPIVOTDATA("Sum of SOrad",SalmonPivot!$Y$4,"Date",B184,"Site",2)</f>
        <v>0</v>
      </c>
      <c r="M184" s="24">
        <f>N184+GETPIVOTDATA("Sum of PKno",SalmonPivot!$AK$4,"Date",B184,"Site",2)+GETPIVOTDATA("Sum of PKrecap",SalmonPivot!$AK$4,"Date",B184,"Site",2)</f>
        <v>0</v>
      </c>
      <c r="N184" s="24">
        <f>GETPIVOTDATA("Sum of PKrad",SalmonPivot!$AK$4,"Date",B184,"Site",2)</f>
        <v>0</v>
      </c>
      <c r="O184" s="24">
        <f>P184+GETPIVOTDATA("Sum of CMno",SalmonPivot!$AW$4,"Date",B184,"Site",2)+GETPIVOTDATA("Sum of CMrecap",SalmonPivot!$AW$4,"Date",B184,"Site",2)</f>
        <v>4</v>
      </c>
      <c r="P184" s="24">
        <f>GETPIVOTDATA("Sum of CMrad",SalmonPivot!$AW$4,"Date",B184,"Site",2)</f>
        <v>0</v>
      </c>
      <c r="Q184" s="25">
        <f>R184+GETPIVOTDATA("Sum of COno",SalmonPivot!$BI$4,"Date",B184,"Site",2)+GETPIVOTDATA("Sum of COrecap",SalmonPivot!$BI$4,"Date",B184,"Site",2)</f>
        <v>0</v>
      </c>
      <c r="R184" s="24">
        <f>GETPIVOTDATA("Sum of COrad",SalmonPivot!$BI$4,"Date",B184,"Site",2)</f>
        <v>0</v>
      </c>
      <c r="S184" s="24">
        <f>GETPIVOTDATA("Sum of TotalOther",OtherPivot!$J$5,"Date",B184,"Site",2)</f>
        <v>0</v>
      </c>
      <c r="T184" s="38"/>
      <c r="U184" s="172">
        <f>IF(GETPIVOTDATA("3 Revs (s)",EffortRPMPivot!$L$4,"Date",$B184,"Site",2)=0,"",GETPIVOTDATA("3 revs (s)",EffortRPMPivot!$L$4,"date",$B184,"Site",2))</f>
        <v>32.5</v>
      </c>
      <c r="V184" s="173">
        <f t="shared" ref="V184" si="340">IF(D184=0,"",E184/D184)</f>
        <v>0</v>
      </c>
      <c r="W184" s="173">
        <f t="shared" ref="W184" si="341">IF(D184=0,"",H184/D184)</f>
        <v>0</v>
      </c>
      <c r="X184" s="173">
        <f t="shared" ref="X184" si="342">IF(D184=0,"",K184/$D184)</f>
        <v>0</v>
      </c>
      <c r="Y184" s="173">
        <f t="shared" ref="Y184" si="343">IF(D184=0,"",M184/$D184)</f>
        <v>0</v>
      </c>
      <c r="Z184" s="173">
        <f t="shared" ref="Z184" si="344">IF(D184=0,"",O184/$D184)</f>
        <v>0.37914691943127959</v>
      </c>
      <c r="AA184" s="174">
        <f t="shared" ref="AA184" si="345">IF(D184=0,"",Q184/$D184)</f>
        <v>0</v>
      </c>
      <c r="AB184" s="181"/>
      <c r="AC184" s="181"/>
      <c r="AD184" s="181"/>
      <c r="AE184" s="181"/>
      <c r="AF184" s="181"/>
      <c r="AG184" s="181"/>
      <c r="AH184" s="182"/>
      <c r="AI184" s="181"/>
      <c r="AJ184" s="181"/>
      <c r="AK184" s="181"/>
      <c r="AL184" s="181"/>
      <c r="AM184" s="181"/>
      <c r="AN184" s="182"/>
      <c r="AO184" s="181"/>
      <c r="AP184" s="181"/>
      <c r="AQ184" s="181"/>
      <c r="AR184" s="181"/>
      <c r="AS184" s="181"/>
      <c r="AT184" s="182"/>
      <c r="AU184" s="181"/>
      <c r="AV184" s="181"/>
      <c r="AW184" s="181"/>
      <c r="AX184" s="181"/>
      <c r="AY184" s="181"/>
      <c r="AZ184" s="182"/>
      <c r="BA184" s="185"/>
      <c r="BB184" s="185"/>
      <c r="BC184" s="185"/>
      <c r="BD184" s="185"/>
      <c r="BE184" s="185"/>
      <c r="BF184" s="186"/>
      <c r="BG184" s="185"/>
      <c r="BH184" s="185"/>
      <c r="BI184" s="185"/>
      <c r="BJ184" s="185"/>
      <c r="BK184" s="185"/>
      <c r="BL184" s="186"/>
      <c r="BM184" s="409"/>
      <c r="BN184" s="409"/>
    </row>
    <row r="185" spans="1:66" s="49" customFormat="1" x14ac:dyDescent="0.2">
      <c r="A185" s="61"/>
      <c r="B185" s="60">
        <f t="shared" si="338"/>
        <v>41881</v>
      </c>
      <c r="C185" s="22">
        <f t="shared" ref="C185:C186" si="346">IF(ISERROR(3/(U185/60)),"",3/(U185/60))</f>
        <v>5.2941176470588234</v>
      </c>
      <c r="D185" s="23">
        <f>GETPIVOTDATA("Active time (min)",EffortRPMPivot!$A$4,"date",B185,"Site",2)/60</f>
        <v>9.8333333333333339</v>
      </c>
      <c r="E185" s="24">
        <f>F185+G185+GETPIVOTDATA("Sum of CNlgNo",SalmonPivot!$A$4,"Date",B185,"Site",2)</f>
        <v>0</v>
      </c>
      <c r="F185" s="24">
        <f>GETPIVOTDATA("Sum of CNlgrad",SalmonPivot!$A$4,"date",B185,"Site",2)</f>
        <v>0</v>
      </c>
      <c r="G185" s="24">
        <f>GETPIVOTDATA("Sum of CNlgrecap",SalmonPivot!$A$4,"date",B185,"Site",2)</f>
        <v>0</v>
      </c>
      <c r="H185" s="24">
        <f>I185+J185+GETPIVOTDATA("Sum of CNsmno",SalmonPivot!$M$4,"Date",B185,"Site",2)</f>
        <v>0</v>
      </c>
      <c r="I185" s="24">
        <f>GETPIVOTDATA("Sum of CNsmradio",SalmonPivot!$M$4,"Date",B185,"Site",2)</f>
        <v>0</v>
      </c>
      <c r="J185" s="24">
        <f>GETPIVOTDATA("Sum of CNsmrecap",SalmonPivot!$M$4,"Date",B185,"Site",2)</f>
        <v>0</v>
      </c>
      <c r="K185" s="24">
        <f>L185+GETPIVOTDATA("Sum of SOno",SalmonPivot!$Y$4,"Date",B185,"Site",2)+GETPIVOTDATA("Sum of SOrecap",SalmonPivot!$Y$4,"Date",B185,"Site",2)</f>
        <v>0</v>
      </c>
      <c r="L185" s="24">
        <f>GETPIVOTDATA("Sum of SOrad",SalmonPivot!$Y$4,"Date",B185,"Site",2)</f>
        <v>0</v>
      </c>
      <c r="M185" s="24">
        <f>N185+GETPIVOTDATA("Sum of PKno",SalmonPivot!$AK$4,"Date",B185,"Site",2)+GETPIVOTDATA("Sum of PKrecap",SalmonPivot!$AK$4,"Date",B185,"Site",2)</f>
        <v>0</v>
      </c>
      <c r="N185" s="24">
        <f>GETPIVOTDATA("Sum of PKrad",SalmonPivot!$AK$4,"Date",B185,"Site",2)</f>
        <v>0</v>
      </c>
      <c r="O185" s="24">
        <f>P185+GETPIVOTDATA("Sum of CMno",SalmonPivot!$AW$4,"Date",B185,"Site",2)+GETPIVOTDATA("Sum of CMrecap",SalmonPivot!$AW$4,"Date",B185,"Site",2)</f>
        <v>2</v>
      </c>
      <c r="P185" s="24">
        <f>GETPIVOTDATA("Sum of CMrad",SalmonPivot!$AW$4,"Date",B185,"Site",2)</f>
        <v>0</v>
      </c>
      <c r="Q185" s="25">
        <f>R185+GETPIVOTDATA("Sum of COno",SalmonPivot!$BI$4,"Date",B185,"Site",2)+GETPIVOTDATA("Sum of COrecap",SalmonPivot!$BI$4,"Date",B185,"Site",2)</f>
        <v>1</v>
      </c>
      <c r="R185" s="24">
        <f>GETPIVOTDATA("Sum of COrad",SalmonPivot!$BI$4,"Date",B185,"Site",2)</f>
        <v>1</v>
      </c>
      <c r="S185" s="24">
        <f>GETPIVOTDATA("Sum of TotalOther",OtherPivot!$J$5,"Date",B185,"Site",2)</f>
        <v>0</v>
      </c>
      <c r="T185" s="38"/>
      <c r="U185" s="172">
        <f>IF(GETPIVOTDATA("3 Revs (s)",EffortRPMPivot!$L$4,"Date",$B185,"Site",2)=0,"",GETPIVOTDATA("3 revs (s)",EffortRPMPivot!$L$4,"date",$B185,"Site",2))</f>
        <v>34</v>
      </c>
      <c r="V185" s="173">
        <f t="shared" ref="V185:V186" si="347">IF(D185=0,"",E185/D185)</f>
        <v>0</v>
      </c>
      <c r="W185" s="173">
        <f t="shared" ref="W185:W186" si="348">IF(D185=0,"",H185/D185)</f>
        <v>0</v>
      </c>
      <c r="X185" s="173">
        <f t="shared" ref="X185:X186" si="349">IF(D185=0,"",K185/$D185)</f>
        <v>0</v>
      </c>
      <c r="Y185" s="173">
        <f t="shared" ref="Y185:Y186" si="350">IF(D185=0,"",M185/$D185)</f>
        <v>0</v>
      </c>
      <c r="Z185" s="173">
        <f t="shared" ref="Z185:Z186" si="351">IF(D185=0,"",O185/$D185)</f>
        <v>0.20338983050847456</v>
      </c>
      <c r="AA185" s="174">
        <f t="shared" ref="AA185:AA186" si="352">IF(D185=0,"",Q185/$D185)</f>
        <v>0.10169491525423728</v>
      </c>
      <c r="AB185" s="181"/>
      <c r="AC185" s="181"/>
      <c r="AD185" s="181"/>
      <c r="AE185" s="181"/>
      <c r="AF185" s="181"/>
      <c r="AG185" s="181"/>
      <c r="AH185" s="182"/>
      <c r="AI185" s="181"/>
      <c r="AJ185" s="181"/>
      <c r="AK185" s="181"/>
      <c r="AL185" s="181"/>
      <c r="AM185" s="181"/>
      <c r="AN185" s="182"/>
      <c r="AO185" s="181"/>
      <c r="AP185" s="181"/>
      <c r="AQ185" s="181"/>
      <c r="AR185" s="181"/>
      <c r="AS185" s="181"/>
      <c r="AT185" s="182"/>
      <c r="AU185" s="181"/>
      <c r="AV185" s="181"/>
      <c r="AW185" s="181"/>
      <c r="AX185" s="181"/>
      <c r="AY185" s="181"/>
      <c r="AZ185" s="182"/>
      <c r="BA185" s="185"/>
      <c r="BB185" s="185"/>
      <c r="BC185" s="185"/>
      <c r="BD185" s="185"/>
      <c r="BE185" s="185"/>
      <c r="BF185" s="186"/>
      <c r="BG185" s="185"/>
      <c r="BH185" s="185"/>
      <c r="BI185" s="185"/>
      <c r="BJ185" s="185"/>
      <c r="BK185" s="185"/>
      <c r="BL185" s="186"/>
      <c r="BM185" s="409"/>
      <c r="BN185" s="409"/>
    </row>
    <row r="186" spans="1:66" s="49" customFormat="1" x14ac:dyDescent="0.2">
      <c r="A186" s="61"/>
      <c r="B186" s="60">
        <f t="shared" si="338"/>
        <v>41882</v>
      </c>
      <c r="C186" s="22">
        <f t="shared" si="346"/>
        <v>5.2427184466019412</v>
      </c>
      <c r="D186" s="23">
        <f>GETPIVOTDATA("Active time (min)",EffortRPMPivot!$A$4,"date",B186,"Site",2)/60</f>
        <v>9.2666666666666622</v>
      </c>
      <c r="E186" s="24">
        <f>F186+G186+GETPIVOTDATA("Sum of CNlgNo",SalmonPivot!$A$4,"Date",B186,"Site",2)</f>
        <v>0</v>
      </c>
      <c r="F186" s="24">
        <f>GETPIVOTDATA("Sum of CNlgrad",SalmonPivot!$A$4,"date",B186,"Site",2)</f>
        <v>0</v>
      </c>
      <c r="G186" s="24">
        <f>GETPIVOTDATA("Sum of CNlgrecap",SalmonPivot!$A$4,"date",B186,"Site",2)</f>
        <v>0</v>
      </c>
      <c r="H186" s="24">
        <f>I186+J186+GETPIVOTDATA("Sum of CNsmno",SalmonPivot!$M$4,"Date",B186,"Site",2)</f>
        <v>0</v>
      </c>
      <c r="I186" s="24">
        <f>GETPIVOTDATA("Sum of CNsmradio",SalmonPivot!$M$4,"Date",B186,"Site",2)</f>
        <v>0</v>
      </c>
      <c r="J186" s="24">
        <f>GETPIVOTDATA("Sum of CNsmrecap",SalmonPivot!$M$4,"Date",B186,"Site",2)</f>
        <v>0</v>
      </c>
      <c r="K186" s="24">
        <f>L186+GETPIVOTDATA("Sum of SOno",SalmonPivot!$Y$4,"Date",B186,"Site",2)+GETPIVOTDATA("Sum of SOrecap",SalmonPivot!$Y$4,"Date",B186,"Site",2)</f>
        <v>0</v>
      </c>
      <c r="L186" s="24">
        <f>GETPIVOTDATA("Sum of SOrad",SalmonPivot!$Y$4,"Date",B186,"Site",2)</f>
        <v>0</v>
      </c>
      <c r="M186" s="24">
        <f>N186+GETPIVOTDATA("Sum of PKno",SalmonPivot!$AK$4,"Date",B186,"Site",2)+GETPIVOTDATA("Sum of PKrecap",SalmonPivot!$AK$4,"Date",B186,"Site",2)</f>
        <v>0</v>
      </c>
      <c r="N186" s="24">
        <f>GETPIVOTDATA("Sum of PKrad",SalmonPivot!$AK$4,"Date",B186,"Site",2)</f>
        <v>0</v>
      </c>
      <c r="O186" s="24">
        <f>P186+GETPIVOTDATA("Sum of CMno",SalmonPivot!$AW$4,"Date",B186,"Site",2)+GETPIVOTDATA("Sum of CMrecap",SalmonPivot!$AW$4,"Date",B186,"Site",2)</f>
        <v>7</v>
      </c>
      <c r="P186" s="24">
        <f>GETPIVOTDATA("Sum of CMrad",SalmonPivot!$AW$4,"Date",B186,"Site",2)</f>
        <v>0</v>
      </c>
      <c r="Q186" s="25">
        <f>R186+GETPIVOTDATA("Sum of COno",SalmonPivot!$BI$4,"Date",B186,"Site",2)+GETPIVOTDATA("Sum of COrecap",SalmonPivot!$BI$4,"Date",B186,"Site",2)</f>
        <v>1</v>
      </c>
      <c r="R186" s="24">
        <f>GETPIVOTDATA("Sum of COrad",SalmonPivot!$BI$4,"Date",B186,"Site",2)</f>
        <v>0</v>
      </c>
      <c r="S186" s="24">
        <f>GETPIVOTDATA("Sum of TotalOther",OtherPivot!$J$5,"Date",B186,"Site",2)</f>
        <v>0</v>
      </c>
      <c r="T186" s="38"/>
      <c r="U186" s="172">
        <f>IF(GETPIVOTDATA("3 Revs (s)",EffortRPMPivot!$L$4,"Date",$B186,"Site",2)=0,"",GETPIVOTDATA("3 revs (s)",EffortRPMPivot!$L$4,"date",$B186,"Site",2))</f>
        <v>34.333333333333336</v>
      </c>
      <c r="V186" s="173">
        <f t="shared" si="347"/>
        <v>0</v>
      </c>
      <c r="W186" s="173">
        <f t="shared" si="348"/>
        <v>0</v>
      </c>
      <c r="X186" s="173">
        <f t="shared" si="349"/>
        <v>0</v>
      </c>
      <c r="Y186" s="173">
        <f t="shared" si="350"/>
        <v>0</v>
      </c>
      <c r="Z186" s="173">
        <f t="shared" si="351"/>
        <v>0.75539568345323782</v>
      </c>
      <c r="AA186" s="174">
        <f t="shared" si="352"/>
        <v>0.10791366906474825</v>
      </c>
      <c r="AB186" s="181"/>
      <c r="AC186" s="181"/>
      <c r="AD186" s="181"/>
      <c r="AE186" s="181"/>
      <c r="AF186" s="181"/>
      <c r="AG186" s="181"/>
      <c r="AH186" s="182"/>
      <c r="AI186" s="181"/>
      <c r="AJ186" s="181"/>
      <c r="AK186" s="181"/>
      <c r="AL186" s="181"/>
      <c r="AM186" s="181"/>
      <c r="AN186" s="182"/>
      <c r="AO186" s="181"/>
      <c r="AP186" s="181"/>
      <c r="AQ186" s="181"/>
      <c r="AR186" s="181"/>
      <c r="AS186" s="181"/>
      <c r="AT186" s="182"/>
      <c r="AU186" s="181"/>
      <c r="AV186" s="181"/>
      <c r="AW186" s="181"/>
      <c r="AX186" s="181"/>
      <c r="AY186" s="181"/>
      <c r="AZ186" s="182"/>
      <c r="BA186" s="185"/>
      <c r="BB186" s="185"/>
      <c r="BC186" s="185"/>
      <c r="BD186" s="185"/>
      <c r="BE186" s="185"/>
      <c r="BF186" s="186"/>
      <c r="BG186" s="185"/>
      <c r="BH186" s="185"/>
      <c r="BI186" s="185"/>
      <c r="BJ186" s="185"/>
      <c r="BK186" s="185"/>
      <c r="BL186" s="186"/>
      <c r="BM186" s="409"/>
      <c r="BN186" s="409"/>
    </row>
    <row r="187" spans="1:66" s="49" customFormat="1" x14ac:dyDescent="0.2">
      <c r="A187" s="61"/>
      <c r="B187" s="60">
        <f t="shared" si="338"/>
        <v>41883</v>
      </c>
      <c r="C187" s="22">
        <f t="shared" ref="C187:C188" si="353">IF(ISERROR(3/(U187/60)),"",3/(U187/60))</f>
        <v>4.9090909090909092</v>
      </c>
      <c r="D187" s="23">
        <f>GETPIVOTDATA("Active time (min)",EffortRPMPivot!$A$4,"date",B187,"Site",2)/60</f>
        <v>9.0333333333333332</v>
      </c>
      <c r="E187" s="24">
        <f>F187+G187+GETPIVOTDATA("Sum of CNlgNo",SalmonPivot!$A$4,"Date",B187,"Site",2)</f>
        <v>0</v>
      </c>
      <c r="F187" s="24">
        <f>GETPIVOTDATA("Sum of CNlgrad",SalmonPivot!$A$4,"date",B187,"Site",2)</f>
        <v>0</v>
      </c>
      <c r="G187" s="24">
        <f>GETPIVOTDATA("Sum of CNlgrecap",SalmonPivot!$A$4,"date",B187,"Site",2)</f>
        <v>0</v>
      </c>
      <c r="H187" s="24">
        <f>I187+J187+GETPIVOTDATA("Sum of CNsmno",SalmonPivot!$M$4,"Date",B187,"Site",2)</f>
        <v>0</v>
      </c>
      <c r="I187" s="24">
        <f>GETPIVOTDATA("Sum of CNsmradio",SalmonPivot!$M$4,"Date",B187,"Site",2)</f>
        <v>0</v>
      </c>
      <c r="J187" s="24">
        <f>GETPIVOTDATA("Sum of CNsmrecap",SalmonPivot!$M$4,"Date",B187,"Site",2)</f>
        <v>0</v>
      </c>
      <c r="K187" s="24">
        <f>L187+GETPIVOTDATA("Sum of SOno",SalmonPivot!$Y$4,"Date",B187,"Site",2)+GETPIVOTDATA("Sum of SOrecap",SalmonPivot!$Y$4,"Date",B187,"Site",2)</f>
        <v>1</v>
      </c>
      <c r="L187" s="24">
        <f>GETPIVOTDATA("Sum of SOrad",SalmonPivot!$Y$4,"Date",B187,"Site",2)</f>
        <v>1</v>
      </c>
      <c r="M187" s="24">
        <f>N187+GETPIVOTDATA("Sum of PKno",SalmonPivot!$AK$4,"Date",B187,"Site",2)+GETPIVOTDATA("Sum of PKrecap",SalmonPivot!$AK$4,"Date",B187,"Site",2)</f>
        <v>0</v>
      </c>
      <c r="N187" s="24">
        <f>GETPIVOTDATA("Sum of PKrad",SalmonPivot!$AK$4,"Date",B187,"Site",2)</f>
        <v>0</v>
      </c>
      <c r="O187" s="24">
        <f>P187+GETPIVOTDATA("Sum of CMno",SalmonPivot!$AW$4,"Date",B187,"Site",2)+GETPIVOTDATA("Sum of CMrecap",SalmonPivot!$AW$4,"Date",B187,"Site",2)</f>
        <v>3</v>
      </c>
      <c r="P187" s="24">
        <f>GETPIVOTDATA("Sum of CMrad",SalmonPivot!$AW$4,"Date",B187,"Site",2)</f>
        <v>0</v>
      </c>
      <c r="Q187" s="25">
        <f>R187+GETPIVOTDATA("Sum of COno",SalmonPivot!$BI$4,"Date",B187,"Site",2)+GETPIVOTDATA("Sum of COrecap",SalmonPivot!$BI$4,"Date",B187,"Site",2)</f>
        <v>0</v>
      </c>
      <c r="R187" s="24">
        <f>GETPIVOTDATA("Sum of COrad",SalmonPivot!$BI$4,"Date",B187,"Site",2)</f>
        <v>0</v>
      </c>
      <c r="S187" s="24">
        <f>GETPIVOTDATA("Sum of TotalOther",OtherPivot!$J$5,"Date",B187,"Site",2)</f>
        <v>0</v>
      </c>
      <c r="T187" s="38"/>
      <c r="U187" s="172">
        <f>IF(GETPIVOTDATA("3 Revs (s)",EffortRPMPivot!$L$4,"Date",$B187,"Site",2)=0,"",GETPIVOTDATA("3 revs (s)",EffortRPMPivot!$L$4,"date",$B187,"Site",2))</f>
        <v>36.666666666666664</v>
      </c>
      <c r="V187" s="173">
        <f t="shared" ref="V187:V188" si="354">IF(D187=0,"",E187/D187)</f>
        <v>0</v>
      </c>
      <c r="W187" s="173">
        <f t="shared" ref="W187:W188" si="355">IF(D187=0,"",H187/D187)</f>
        <v>0</v>
      </c>
      <c r="X187" s="173">
        <f t="shared" ref="X187:X188" si="356">IF(D187=0,"",K187/$D187)</f>
        <v>0.11070110701107011</v>
      </c>
      <c r="Y187" s="173">
        <f t="shared" ref="Y187:Y188" si="357">IF(D187=0,"",M187/$D187)</f>
        <v>0</v>
      </c>
      <c r="Z187" s="173">
        <f t="shared" ref="Z187:Z188" si="358">IF(D187=0,"",O187/$D187)</f>
        <v>0.33210332103321033</v>
      </c>
      <c r="AA187" s="174">
        <f t="shared" ref="AA187:AA188" si="359">IF(D187=0,"",Q187/$D187)</f>
        <v>0</v>
      </c>
      <c r="AB187" s="181"/>
      <c r="AC187" s="181"/>
      <c r="AD187" s="181"/>
      <c r="AE187" s="181"/>
      <c r="AF187" s="181"/>
      <c r="AG187" s="181"/>
      <c r="AH187" s="182"/>
      <c r="AI187" s="181"/>
      <c r="AJ187" s="181"/>
      <c r="AK187" s="181"/>
      <c r="AL187" s="181"/>
      <c r="AM187" s="181"/>
      <c r="AN187" s="182"/>
      <c r="AO187" s="181"/>
      <c r="AP187" s="181"/>
      <c r="AQ187" s="181"/>
      <c r="AR187" s="181"/>
      <c r="AS187" s="181"/>
      <c r="AT187" s="182"/>
      <c r="AU187" s="181"/>
      <c r="AV187" s="181"/>
      <c r="AW187" s="181"/>
      <c r="AX187" s="181"/>
      <c r="AY187" s="181"/>
      <c r="AZ187" s="182"/>
      <c r="BA187" s="185"/>
      <c r="BB187" s="185"/>
      <c r="BC187" s="185"/>
      <c r="BD187" s="185"/>
      <c r="BE187" s="185"/>
      <c r="BF187" s="186"/>
      <c r="BG187" s="185"/>
      <c r="BH187" s="185"/>
      <c r="BI187" s="185"/>
      <c r="BJ187" s="185"/>
      <c r="BK187" s="185"/>
      <c r="BL187" s="186"/>
      <c r="BM187" s="409"/>
      <c r="BN187" s="409"/>
    </row>
    <row r="188" spans="1:66" s="49" customFormat="1" x14ac:dyDescent="0.2">
      <c r="A188" s="61"/>
      <c r="B188" s="60">
        <f t="shared" si="338"/>
        <v>41884</v>
      </c>
      <c r="C188" s="22">
        <f t="shared" si="353"/>
        <v>4.9315068493150687</v>
      </c>
      <c r="D188" s="23">
        <f>GETPIVOTDATA("Active time (min)",EffortRPMPivot!$A$4,"date",B188,"Site",2)/60</f>
        <v>10.050000000000001</v>
      </c>
      <c r="E188" s="24">
        <f>F188+G188+GETPIVOTDATA("Sum of CNlgNo",SalmonPivot!$A$4,"Date",B188,"Site",2)</f>
        <v>0</v>
      </c>
      <c r="F188" s="24">
        <f>GETPIVOTDATA("Sum of CNlgrad",SalmonPivot!$A$4,"date",B188,"Site",2)</f>
        <v>0</v>
      </c>
      <c r="G188" s="24">
        <f>GETPIVOTDATA("Sum of CNlgrecap",SalmonPivot!$A$4,"date",B188,"Site",2)</f>
        <v>0</v>
      </c>
      <c r="H188" s="24">
        <f>I188+J188+GETPIVOTDATA("Sum of CNsmno",SalmonPivot!$M$4,"Date",B188,"Site",2)</f>
        <v>0</v>
      </c>
      <c r="I188" s="24">
        <f>GETPIVOTDATA("Sum of CNsmradio",SalmonPivot!$M$4,"Date",B188,"Site",2)</f>
        <v>0</v>
      </c>
      <c r="J188" s="24">
        <f>GETPIVOTDATA("Sum of CNsmrecap",SalmonPivot!$M$4,"Date",B188,"Site",2)</f>
        <v>0</v>
      </c>
      <c r="K188" s="24">
        <f>L188+GETPIVOTDATA("Sum of SOno",SalmonPivot!$Y$4,"Date",B188,"Site",2)+GETPIVOTDATA("Sum of SOrecap",SalmonPivot!$Y$4,"Date",B188,"Site",2)</f>
        <v>0</v>
      </c>
      <c r="L188" s="24">
        <f>GETPIVOTDATA("Sum of SOrad",SalmonPivot!$Y$4,"Date",B188,"Site",2)</f>
        <v>0</v>
      </c>
      <c r="M188" s="24">
        <f>N188+GETPIVOTDATA("Sum of PKno",SalmonPivot!$AK$4,"Date",B188,"Site",2)+GETPIVOTDATA("Sum of PKrecap",SalmonPivot!$AK$4,"Date",B188,"Site",2)</f>
        <v>0</v>
      </c>
      <c r="N188" s="24">
        <f>GETPIVOTDATA("Sum of PKrad",SalmonPivot!$AK$4,"Date",B188,"Site",2)</f>
        <v>0</v>
      </c>
      <c r="O188" s="24">
        <f>P188+GETPIVOTDATA("Sum of CMno",SalmonPivot!$AW$4,"Date",B188,"Site",2)+GETPIVOTDATA("Sum of CMrecap",SalmonPivot!$AW$4,"Date",B188,"Site",2)</f>
        <v>3</v>
      </c>
      <c r="P188" s="24">
        <f>GETPIVOTDATA("Sum of CMrad",SalmonPivot!$AW$4,"Date",B188,"Site",2)</f>
        <v>0</v>
      </c>
      <c r="Q188" s="25">
        <f>R188+GETPIVOTDATA("Sum of COno",SalmonPivot!$BI$4,"Date",B188,"Site",2)+GETPIVOTDATA("Sum of COrecap",SalmonPivot!$BI$4,"Date",B188,"Site",2)</f>
        <v>0</v>
      </c>
      <c r="R188" s="24">
        <f>GETPIVOTDATA("Sum of COrad",SalmonPivot!$BI$4,"Date",B188,"Site",2)</f>
        <v>0</v>
      </c>
      <c r="S188" s="24">
        <f>GETPIVOTDATA("Sum of TotalOther",OtherPivot!$J$5,"Date",B188,"Site",2)</f>
        <v>0</v>
      </c>
      <c r="T188" s="38"/>
      <c r="U188" s="172">
        <f>IF(GETPIVOTDATA("3 Revs (s)",EffortRPMPivot!$L$4,"Date",$B188,"Site",2)=0,"",GETPIVOTDATA("3 revs (s)",EffortRPMPivot!$L$4,"date",$B188,"Site",2))</f>
        <v>36.5</v>
      </c>
      <c r="V188" s="173">
        <f t="shared" si="354"/>
        <v>0</v>
      </c>
      <c r="W188" s="173">
        <f t="shared" si="355"/>
        <v>0</v>
      </c>
      <c r="X188" s="173">
        <f t="shared" si="356"/>
        <v>0</v>
      </c>
      <c r="Y188" s="173">
        <f t="shared" si="357"/>
        <v>0</v>
      </c>
      <c r="Z188" s="173">
        <f t="shared" si="358"/>
        <v>0.29850746268656714</v>
      </c>
      <c r="AA188" s="174">
        <f t="shared" si="359"/>
        <v>0</v>
      </c>
      <c r="AB188" s="181"/>
      <c r="AC188" s="181"/>
      <c r="AD188" s="181"/>
      <c r="AE188" s="181"/>
      <c r="AF188" s="181"/>
      <c r="AG188" s="181"/>
      <c r="AH188" s="182"/>
      <c r="AI188" s="181"/>
      <c r="AJ188" s="181"/>
      <c r="AK188" s="181"/>
      <c r="AL188" s="181"/>
      <c r="AM188" s="181"/>
      <c r="AN188" s="182"/>
      <c r="AO188" s="181"/>
      <c r="AP188" s="181"/>
      <c r="AQ188" s="181"/>
      <c r="AR188" s="181"/>
      <c r="AS188" s="181"/>
      <c r="AT188" s="182"/>
      <c r="AU188" s="181"/>
      <c r="AV188" s="181"/>
      <c r="AW188" s="181"/>
      <c r="AX188" s="181"/>
      <c r="AY188" s="181"/>
      <c r="AZ188" s="182"/>
      <c r="BA188" s="185"/>
      <c r="BB188" s="185"/>
      <c r="BC188" s="185"/>
      <c r="BD188" s="185"/>
      <c r="BE188" s="185"/>
      <c r="BF188" s="186"/>
      <c r="BG188" s="185"/>
      <c r="BH188" s="185"/>
      <c r="BI188" s="185"/>
      <c r="BJ188" s="185"/>
      <c r="BK188" s="185"/>
      <c r="BL188" s="186"/>
      <c r="BM188" s="409"/>
      <c r="BN188" s="409"/>
    </row>
    <row r="189" spans="1:66" s="49" customFormat="1" x14ac:dyDescent="0.2">
      <c r="A189" s="61"/>
      <c r="B189" s="60">
        <f t="shared" si="338"/>
        <v>41885</v>
      </c>
      <c r="C189" s="22">
        <f t="shared" ref="C189:C193" si="360">IF(ISERROR(3/(U189/60)),"",3/(U189/60))</f>
        <v>5.7142857142857144</v>
      </c>
      <c r="D189" s="23">
        <f>GETPIVOTDATA("Active time (min)",EffortRPMPivot!$A$4,"date",B189,"Site",2)/60</f>
        <v>10.466666666666669</v>
      </c>
      <c r="E189" s="24">
        <f>F189+G189+GETPIVOTDATA("Sum of CNlgNo",SalmonPivot!$A$4,"Date",B189,"Site",2)</f>
        <v>0</v>
      </c>
      <c r="F189" s="24">
        <f>GETPIVOTDATA("Sum of CNlgrad",SalmonPivot!$A$4,"date",B189,"Site",2)</f>
        <v>0</v>
      </c>
      <c r="G189" s="24">
        <f>GETPIVOTDATA("Sum of CNlgrecap",SalmonPivot!$A$4,"date",B189,"Site",2)</f>
        <v>0</v>
      </c>
      <c r="H189" s="24">
        <f>I189+J189+GETPIVOTDATA("Sum of CNsmno",SalmonPivot!$M$4,"Date",B189,"Site",2)</f>
        <v>0</v>
      </c>
      <c r="I189" s="24">
        <f>GETPIVOTDATA("Sum of CNsmradio",SalmonPivot!$M$4,"Date",B189,"Site",2)</f>
        <v>0</v>
      </c>
      <c r="J189" s="24">
        <f>GETPIVOTDATA("Sum of CNsmrecap",SalmonPivot!$M$4,"Date",B189,"Site",2)</f>
        <v>0</v>
      </c>
      <c r="K189" s="24">
        <f>L189+GETPIVOTDATA("Sum of SOno",SalmonPivot!$Y$4,"Date",B189,"Site",2)+GETPIVOTDATA("Sum of SOrecap",SalmonPivot!$Y$4,"Date",B189,"Site",2)</f>
        <v>1</v>
      </c>
      <c r="L189" s="24">
        <f>GETPIVOTDATA("Sum of SOrad",SalmonPivot!$Y$4,"Date",B189,"Site",2)</f>
        <v>1</v>
      </c>
      <c r="M189" s="24">
        <f>N189+GETPIVOTDATA("Sum of PKno",SalmonPivot!$AK$4,"Date",B189,"Site",2)+GETPIVOTDATA("Sum of PKrecap",SalmonPivot!$AK$4,"Date",B189,"Site",2)</f>
        <v>0</v>
      </c>
      <c r="N189" s="24">
        <f>GETPIVOTDATA("Sum of PKrad",SalmonPivot!$AK$4,"Date",B189,"Site",2)</f>
        <v>0</v>
      </c>
      <c r="O189" s="24">
        <f>P189+GETPIVOTDATA("Sum of CMno",SalmonPivot!$AW$4,"Date",B189,"Site",2)+GETPIVOTDATA("Sum of CMrecap",SalmonPivot!$AW$4,"Date",B189,"Site",2)</f>
        <v>0</v>
      </c>
      <c r="P189" s="24">
        <f>GETPIVOTDATA("Sum of CMrad",SalmonPivot!$AW$4,"Date",B189,"Site",2)</f>
        <v>0</v>
      </c>
      <c r="Q189" s="25">
        <f>R189+GETPIVOTDATA("Sum of COno",SalmonPivot!$BI$4,"Date",B189,"Site",2)+GETPIVOTDATA("Sum of COrecap",SalmonPivot!$BI$4,"Date",B189,"Site",2)</f>
        <v>0</v>
      </c>
      <c r="R189" s="24">
        <f>GETPIVOTDATA("Sum of COrad",SalmonPivot!$BI$4,"Date",B189,"Site",2)</f>
        <v>0</v>
      </c>
      <c r="S189" s="24">
        <f>GETPIVOTDATA("Sum of TotalOther",OtherPivot!$J$5,"Date",B189,"Site",2)</f>
        <v>0</v>
      </c>
      <c r="T189" s="38"/>
      <c r="U189" s="172">
        <f>IF(GETPIVOTDATA("3 Revs (s)",EffortRPMPivot!$L$4,"Date",$B189,"Site",2)=0,"",GETPIVOTDATA("3 revs (s)",EffortRPMPivot!$L$4,"date",$B189,"Site",2))</f>
        <v>31.5</v>
      </c>
      <c r="V189" s="173">
        <f t="shared" ref="V189:V193" si="361">IF(D189=0,"",E189/D189)</f>
        <v>0</v>
      </c>
      <c r="W189" s="173">
        <f t="shared" ref="W189:W193" si="362">IF(D189=0,"",H189/D189)</f>
        <v>0</v>
      </c>
      <c r="X189" s="173">
        <f t="shared" ref="X189:X193" si="363">IF(D189=0,"",K189/$D189)</f>
        <v>9.5541401273885329E-2</v>
      </c>
      <c r="Y189" s="173">
        <f t="shared" ref="Y189:Y193" si="364">IF(D189=0,"",M189/$D189)</f>
        <v>0</v>
      </c>
      <c r="Z189" s="173">
        <f t="shared" ref="Z189:Z193" si="365">IF(D189=0,"",O189/$D189)</f>
        <v>0</v>
      </c>
      <c r="AA189" s="174">
        <f t="shared" ref="AA189:AA193" si="366">IF(D189=0,"",Q189/$D189)</f>
        <v>0</v>
      </c>
      <c r="AB189" s="181"/>
      <c r="AC189" s="181"/>
      <c r="AD189" s="181"/>
      <c r="AE189" s="181"/>
      <c r="AF189" s="181"/>
      <c r="AG189" s="181"/>
      <c r="AH189" s="182"/>
      <c r="AI189" s="181"/>
      <c r="AJ189" s="181"/>
      <c r="AK189" s="181"/>
      <c r="AL189" s="181"/>
      <c r="AM189" s="181"/>
      <c r="AN189" s="182"/>
      <c r="AO189" s="181"/>
      <c r="AP189" s="181"/>
      <c r="AQ189" s="181"/>
      <c r="AR189" s="181"/>
      <c r="AS189" s="181"/>
      <c r="AT189" s="182"/>
      <c r="AU189" s="181"/>
      <c r="AV189" s="181"/>
      <c r="AW189" s="181"/>
      <c r="AX189" s="181"/>
      <c r="AY189" s="181"/>
      <c r="AZ189" s="182"/>
      <c r="BA189" s="185"/>
      <c r="BB189" s="185"/>
      <c r="BC189" s="185"/>
      <c r="BD189" s="185"/>
      <c r="BE189" s="185"/>
      <c r="BF189" s="186"/>
      <c r="BG189" s="185"/>
      <c r="BH189" s="185"/>
      <c r="BI189" s="185"/>
      <c r="BJ189" s="185"/>
      <c r="BK189" s="185"/>
      <c r="BL189" s="186"/>
      <c r="BM189" s="409"/>
      <c r="BN189" s="409"/>
    </row>
    <row r="190" spans="1:66" s="49" customFormat="1" x14ac:dyDescent="0.2">
      <c r="A190" s="61"/>
      <c r="B190" s="60">
        <f t="shared" si="338"/>
        <v>41886</v>
      </c>
      <c r="C190" s="22">
        <f t="shared" si="360"/>
        <v>5.3731343283582085</v>
      </c>
      <c r="D190" s="23">
        <f>GETPIVOTDATA("Active time (min)",EffortRPMPivot!$A$4,"date",B190,"Site",2)/60</f>
        <v>9.4833333333333325</v>
      </c>
      <c r="E190" s="24">
        <f>F190+G190+GETPIVOTDATA("Sum of CNlgNo",SalmonPivot!$A$4,"Date",B190,"Site",2)</f>
        <v>0</v>
      </c>
      <c r="F190" s="24">
        <f>GETPIVOTDATA("Sum of CNlgrad",SalmonPivot!$A$4,"date",B190,"Site",2)</f>
        <v>0</v>
      </c>
      <c r="G190" s="24">
        <f>GETPIVOTDATA("Sum of CNlgrecap",SalmonPivot!$A$4,"date",B190,"Site",2)</f>
        <v>0</v>
      </c>
      <c r="H190" s="24">
        <f>I190+J190+GETPIVOTDATA("Sum of CNsmno",SalmonPivot!$M$4,"Date",B190,"Site",2)</f>
        <v>0</v>
      </c>
      <c r="I190" s="24">
        <f>GETPIVOTDATA("Sum of CNsmradio",SalmonPivot!$M$4,"Date",B190,"Site",2)</f>
        <v>0</v>
      </c>
      <c r="J190" s="24">
        <f>GETPIVOTDATA("Sum of CNsmrecap",SalmonPivot!$M$4,"Date",B190,"Site",2)</f>
        <v>0</v>
      </c>
      <c r="K190" s="24">
        <f>L190+GETPIVOTDATA("Sum of SOno",SalmonPivot!$Y$4,"Date",B190,"Site",2)+GETPIVOTDATA("Sum of SOrecap",SalmonPivot!$Y$4,"Date",B190,"Site",2)</f>
        <v>0</v>
      </c>
      <c r="L190" s="24">
        <f>GETPIVOTDATA("Sum of SOrad",SalmonPivot!$Y$4,"Date",B190,"Site",2)</f>
        <v>0</v>
      </c>
      <c r="M190" s="24">
        <f>N190+GETPIVOTDATA("Sum of PKno",SalmonPivot!$AK$4,"Date",B190,"Site",2)+GETPIVOTDATA("Sum of PKrecap",SalmonPivot!$AK$4,"Date",B190,"Site",2)</f>
        <v>0</v>
      </c>
      <c r="N190" s="24">
        <f>GETPIVOTDATA("Sum of PKrad",SalmonPivot!$AK$4,"Date",B190,"Site",2)</f>
        <v>0</v>
      </c>
      <c r="O190" s="24">
        <f>P190+GETPIVOTDATA("Sum of CMno",SalmonPivot!$AW$4,"Date",B190,"Site",2)+GETPIVOTDATA("Sum of CMrecap",SalmonPivot!$AW$4,"Date",B190,"Site",2)</f>
        <v>0</v>
      </c>
      <c r="P190" s="24">
        <f>GETPIVOTDATA("Sum of CMrad",SalmonPivot!$AW$4,"Date",B190,"Site",2)</f>
        <v>0</v>
      </c>
      <c r="Q190" s="25">
        <f>R190+GETPIVOTDATA("Sum of COno",SalmonPivot!$BI$4,"Date",B190,"Site",2)+GETPIVOTDATA("Sum of COrecap",SalmonPivot!$BI$4,"Date",B190,"Site",2)</f>
        <v>0</v>
      </c>
      <c r="R190" s="24">
        <f>GETPIVOTDATA("Sum of COrad",SalmonPivot!$BI$4,"Date",B190,"Site",2)</f>
        <v>0</v>
      </c>
      <c r="S190" s="24">
        <f>GETPIVOTDATA("Sum of TotalOther",OtherPivot!$J$5,"Date",B190,"Site",2)</f>
        <v>0</v>
      </c>
      <c r="T190" s="38"/>
      <c r="U190" s="172">
        <f>IF(GETPIVOTDATA("3 Revs (s)",EffortRPMPivot!$L$4,"Date",$B190,"Site",2)=0,"",GETPIVOTDATA("3 revs (s)",EffortRPMPivot!$L$4,"date",$B190,"Site",2))</f>
        <v>33.5</v>
      </c>
      <c r="V190" s="173">
        <f t="shared" si="361"/>
        <v>0</v>
      </c>
      <c r="W190" s="173">
        <f t="shared" si="362"/>
        <v>0</v>
      </c>
      <c r="X190" s="173">
        <f t="shared" si="363"/>
        <v>0</v>
      </c>
      <c r="Y190" s="173">
        <f t="shared" si="364"/>
        <v>0</v>
      </c>
      <c r="Z190" s="173">
        <f t="shared" si="365"/>
        <v>0</v>
      </c>
      <c r="AA190" s="174">
        <f t="shared" si="366"/>
        <v>0</v>
      </c>
      <c r="AB190" s="181"/>
      <c r="AC190" s="181"/>
      <c r="AD190" s="181"/>
      <c r="AE190" s="181"/>
      <c r="AF190" s="181"/>
      <c r="AG190" s="181"/>
      <c r="AH190" s="182"/>
      <c r="AI190" s="181"/>
      <c r="AJ190" s="181"/>
      <c r="AK190" s="181"/>
      <c r="AL190" s="181"/>
      <c r="AM190" s="181"/>
      <c r="AN190" s="182"/>
      <c r="AO190" s="181"/>
      <c r="AP190" s="181"/>
      <c r="AQ190" s="181"/>
      <c r="AR190" s="181"/>
      <c r="AS190" s="181"/>
      <c r="AT190" s="182"/>
      <c r="AU190" s="181"/>
      <c r="AV190" s="181"/>
      <c r="AW190" s="181"/>
      <c r="AX190" s="181"/>
      <c r="AY190" s="181"/>
      <c r="AZ190" s="182"/>
      <c r="BA190" s="185"/>
      <c r="BB190" s="185"/>
      <c r="BC190" s="185"/>
      <c r="BD190" s="185"/>
      <c r="BE190" s="185"/>
      <c r="BF190" s="186"/>
      <c r="BG190" s="185"/>
      <c r="BH190" s="185"/>
      <c r="BI190" s="185"/>
      <c r="BJ190" s="185"/>
      <c r="BK190" s="185"/>
      <c r="BL190" s="186"/>
      <c r="BM190" s="409"/>
      <c r="BN190" s="409"/>
    </row>
    <row r="191" spans="1:66" s="49" customFormat="1" x14ac:dyDescent="0.2">
      <c r="A191" s="61"/>
      <c r="B191" s="60">
        <f t="shared" si="338"/>
        <v>41887</v>
      </c>
      <c r="C191" s="22">
        <f t="shared" si="360"/>
        <v>4.8648648648648649</v>
      </c>
      <c r="D191" s="23">
        <f>GETPIVOTDATA("Active time (min)",EffortRPMPivot!$A$4,"date",B191,"Site",2)/60</f>
        <v>9.9333333333333318</v>
      </c>
      <c r="E191" s="24">
        <f>F191+G191+GETPIVOTDATA("Sum of CNlgNo",SalmonPivot!$A$4,"Date",B191,"Site",2)</f>
        <v>0</v>
      </c>
      <c r="F191" s="24">
        <f>GETPIVOTDATA("Sum of CNlgrad",SalmonPivot!$A$4,"date",B191,"Site",2)</f>
        <v>0</v>
      </c>
      <c r="G191" s="24">
        <f>GETPIVOTDATA("Sum of CNlgrecap",SalmonPivot!$A$4,"date",B191,"Site",2)</f>
        <v>0</v>
      </c>
      <c r="H191" s="24">
        <f>I191+J191+GETPIVOTDATA("Sum of CNsmno",SalmonPivot!$M$4,"Date",B191,"Site",2)</f>
        <v>0</v>
      </c>
      <c r="I191" s="24">
        <f>GETPIVOTDATA("Sum of CNsmradio",SalmonPivot!$M$4,"Date",B191,"Site",2)</f>
        <v>0</v>
      </c>
      <c r="J191" s="24">
        <f>GETPIVOTDATA("Sum of CNsmrecap",SalmonPivot!$M$4,"Date",B191,"Site",2)</f>
        <v>0</v>
      </c>
      <c r="K191" s="24">
        <f>L191+GETPIVOTDATA("Sum of SOno",SalmonPivot!$Y$4,"Date",B191,"Site",2)+GETPIVOTDATA("Sum of SOrecap",SalmonPivot!$Y$4,"Date",B191,"Site",2)</f>
        <v>0</v>
      </c>
      <c r="L191" s="24">
        <f>GETPIVOTDATA("Sum of SOrad",SalmonPivot!$Y$4,"Date",B191,"Site",2)</f>
        <v>0</v>
      </c>
      <c r="M191" s="24">
        <f>N191+GETPIVOTDATA("Sum of PKno",SalmonPivot!$AK$4,"Date",B191,"Site",2)+GETPIVOTDATA("Sum of PKrecap",SalmonPivot!$AK$4,"Date",B191,"Site",2)</f>
        <v>0</v>
      </c>
      <c r="N191" s="24">
        <f>GETPIVOTDATA("Sum of PKrad",SalmonPivot!$AK$4,"Date",B191,"Site",2)</f>
        <v>0</v>
      </c>
      <c r="O191" s="24">
        <f>P191+GETPIVOTDATA("Sum of CMno",SalmonPivot!$AW$4,"Date",B191,"Site",2)+GETPIVOTDATA("Sum of CMrecap",SalmonPivot!$AW$4,"Date",B191,"Site",2)</f>
        <v>0</v>
      </c>
      <c r="P191" s="24">
        <f>GETPIVOTDATA("Sum of CMrad",SalmonPivot!$AW$4,"Date",B191,"Site",2)</f>
        <v>0</v>
      </c>
      <c r="Q191" s="25">
        <f>R191+GETPIVOTDATA("Sum of COno",SalmonPivot!$BI$4,"Date",B191,"Site",2)+GETPIVOTDATA("Sum of COrecap",SalmonPivot!$BI$4,"Date",B191,"Site",2)</f>
        <v>0</v>
      </c>
      <c r="R191" s="24">
        <f>GETPIVOTDATA("Sum of COrad",SalmonPivot!$BI$4,"Date",B191,"Site",2)</f>
        <v>0</v>
      </c>
      <c r="S191" s="24">
        <f>GETPIVOTDATA("Sum of TotalOther",OtherPivot!$J$5,"Date",B191,"Site",2)</f>
        <v>0</v>
      </c>
      <c r="T191" s="38"/>
      <c r="U191" s="172">
        <f>IF(GETPIVOTDATA("3 Revs (s)",EffortRPMPivot!$L$4,"Date",$B191,"Site",2)=0,"",GETPIVOTDATA("3 revs (s)",EffortRPMPivot!$L$4,"date",$B191,"Site",2))</f>
        <v>37</v>
      </c>
      <c r="V191" s="173">
        <f t="shared" si="361"/>
        <v>0</v>
      </c>
      <c r="W191" s="173">
        <f t="shared" si="362"/>
        <v>0</v>
      </c>
      <c r="X191" s="173">
        <f t="shared" si="363"/>
        <v>0</v>
      </c>
      <c r="Y191" s="173">
        <f t="shared" si="364"/>
        <v>0</v>
      </c>
      <c r="Z191" s="173">
        <f t="shared" si="365"/>
        <v>0</v>
      </c>
      <c r="AA191" s="174">
        <f t="shared" si="366"/>
        <v>0</v>
      </c>
      <c r="AB191" s="181"/>
      <c r="AC191" s="181"/>
      <c r="AD191" s="181"/>
      <c r="AE191" s="181"/>
      <c r="AF191" s="181"/>
      <c r="AG191" s="181"/>
      <c r="AH191" s="182"/>
      <c r="AI191" s="181"/>
      <c r="AJ191" s="181"/>
      <c r="AK191" s="181"/>
      <c r="AL191" s="181"/>
      <c r="AM191" s="181"/>
      <c r="AN191" s="182"/>
      <c r="AO191" s="181"/>
      <c r="AP191" s="181"/>
      <c r="AQ191" s="181"/>
      <c r="AR191" s="181"/>
      <c r="AS191" s="181"/>
      <c r="AT191" s="182"/>
      <c r="AU191" s="181"/>
      <c r="AV191" s="181"/>
      <c r="AW191" s="181"/>
      <c r="AX191" s="181"/>
      <c r="AY191" s="181"/>
      <c r="AZ191" s="182"/>
      <c r="BA191" s="185"/>
      <c r="BB191" s="185"/>
      <c r="BC191" s="185"/>
      <c r="BD191" s="185"/>
      <c r="BE191" s="185"/>
      <c r="BF191" s="186"/>
      <c r="BG191" s="185"/>
      <c r="BH191" s="185"/>
      <c r="BI191" s="185"/>
      <c r="BJ191" s="185"/>
      <c r="BK191" s="185"/>
      <c r="BL191" s="186"/>
      <c r="BM191" s="409"/>
      <c r="BN191" s="409"/>
    </row>
    <row r="192" spans="1:66" s="49" customFormat="1" x14ac:dyDescent="0.2">
      <c r="A192" s="61"/>
      <c r="B192" s="60">
        <f t="shared" si="338"/>
        <v>41888</v>
      </c>
      <c r="C192" s="22">
        <f t="shared" si="360"/>
        <v>5.4545454545454541</v>
      </c>
      <c r="D192" s="23">
        <f>GETPIVOTDATA("Active time (min)",EffortRPMPivot!$A$4,"date",B192,"Site",2)/60</f>
        <v>10.033333333333333</v>
      </c>
      <c r="E192" s="24">
        <f>F192+G192+GETPIVOTDATA("Sum of CNlgNo",SalmonPivot!$A$4,"Date",B192,"Site",2)</f>
        <v>0</v>
      </c>
      <c r="F192" s="24">
        <f>GETPIVOTDATA("Sum of CNlgrad",SalmonPivot!$A$4,"date",B192,"Site",2)</f>
        <v>0</v>
      </c>
      <c r="G192" s="24">
        <f>GETPIVOTDATA("Sum of CNlgrecap",SalmonPivot!$A$4,"date",B192,"Site",2)</f>
        <v>0</v>
      </c>
      <c r="H192" s="24">
        <f>I192+J192+GETPIVOTDATA("Sum of CNsmno",SalmonPivot!$M$4,"Date",B192,"Site",2)</f>
        <v>0</v>
      </c>
      <c r="I192" s="24">
        <f>GETPIVOTDATA("Sum of CNsmradio",SalmonPivot!$M$4,"Date",B192,"Site",2)</f>
        <v>0</v>
      </c>
      <c r="J192" s="24">
        <f>GETPIVOTDATA("Sum of CNsmrecap",SalmonPivot!$M$4,"Date",B192,"Site",2)</f>
        <v>0</v>
      </c>
      <c r="K192" s="24">
        <f>L192+GETPIVOTDATA("Sum of SOno",SalmonPivot!$Y$4,"Date",B192,"Site",2)+GETPIVOTDATA("Sum of SOrecap",SalmonPivot!$Y$4,"Date",B192,"Site",2)</f>
        <v>0</v>
      </c>
      <c r="L192" s="24">
        <f>GETPIVOTDATA("Sum of SOrad",SalmonPivot!$Y$4,"Date",B192,"Site",2)</f>
        <v>0</v>
      </c>
      <c r="M192" s="24">
        <f>N192+GETPIVOTDATA("Sum of PKno",SalmonPivot!$AK$4,"Date",B192,"Site",2)+GETPIVOTDATA("Sum of PKrecap",SalmonPivot!$AK$4,"Date",B192,"Site",2)</f>
        <v>0</v>
      </c>
      <c r="N192" s="24">
        <f>GETPIVOTDATA("Sum of PKrad",SalmonPivot!$AK$4,"Date",B192,"Site",2)</f>
        <v>0</v>
      </c>
      <c r="O192" s="24">
        <f>P192+GETPIVOTDATA("Sum of CMno",SalmonPivot!$AW$4,"Date",B192,"Site",2)+GETPIVOTDATA("Sum of CMrecap",SalmonPivot!$AW$4,"Date",B192,"Site",2)</f>
        <v>0</v>
      </c>
      <c r="P192" s="24">
        <f>GETPIVOTDATA("Sum of CMrad",SalmonPivot!$AW$4,"Date",B192,"Site",2)</f>
        <v>0</v>
      </c>
      <c r="Q192" s="25">
        <f>R192+GETPIVOTDATA("Sum of COno",SalmonPivot!$BI$4,"Date",B192,"Site",2)+GETPIVOTDATA("Sum of COrecap",SalmonPivot!$BI$4,"Date",B192,"Site",2)</f>
        <v>0</v>
      </c>
      <c r="R192" s="24">
        <f>GETPIVOTDATA("Sum of COrad",SalmonPivot!$BI$4,"Date",B192,"Site",2)</f>
        <v>0</v>
      </c>
      <c r="S192" s="24">
        <f>GETPIVOTDATA("Sum of TotalOther",OtherPivot!$J$5,"Date",B192,"Site",2)</f>
        <v>0</v>
      </c>
      <c r="T192" s="38"/>
      <c r="U192" s="172">
        <f>IF(GETPIVOTDATA("3 Revs (s)",EffortRPMPivot!$L$4,"Date",$B192,"Site",2)=0,"",GETPIVOTDATA("3 revs (s)",EffortRPMPivot!$L$4,"date",$B192,"Site",2))</f>
        <v>33</v>
      </c>
      <c r="V192" s="173">
        <f t="shared" si="361"/>
        <v>0</v>
      </c>
      <c r="W192" s="173">
        <f t="shared" si="362"/>
        <v>0</v>
      </c>
      <c r="X192" s="173">
        <f t="shared" si="363"/>
        <v>0</v>
      </c>
      <c r="Y192" s="173">
        <f t="shared" si="364"/>
        <v>0</v>
      </c>
      <c r="Z192" s="173">
        <f t="shared" si="365"/>
        <v>0</v>
      </c>
      <c r="AA192" s="174">
        <f t="shared" si="366"/>
        <v>0</v>
      </c>
      <c r="AB192" s="181"/>
      <c r="AC192" s="181"/>
      <c r="AD192" s="181"/>
      <c r="AE192" s="181"/>
      <c r="AF192" s="181"/>
      <c r="AG192" s="181"/>
      <c r="AH192" s="182"/>
      <c r="AI192" s="181"/>
      <c r="AJ192" s="181"/>
      <c r="AK192" s="181"/>
      <c r="AL192" s="181"/>
      <c r="AM192" s="181"/>
      <c r="AN192" s="182"/>
      <c r="AO192" s="181"/>
      <c r="AP192" s="181"/>
      <c r="AQ192" s="181"/>
      <c r="AR192" s="181"/>
      <c r="AS192" s="181"/>
      <c r="AT192" s="182"/>
      <c r="AU192" s="181"/>
      <c r="AV192" s="181"/>
      <c r="AW192" s="181"/>
      <c r="AX192" s="181"/>
      <c r="AY192" s="181"/>
      <c r="AZ192" s="182"/>
      <c r="BA192" s="185"/>
      <c r="BB192" s="185"/>
      <c r="BC192" s="185"/>
      <c r="BD192" s="185"/>
      <c r="BE192" s="185"/>
      <c r="BF192" s="186"/>
      <c r="BG192" s="185"/>
      <c r="BH192" s="185"/>
      <c r="BI192" s="185"/>
      <c r="BJ192" s="185"/>
      <c r="BK192" s="185"/>
      <c r="BL192" s="186"/>
      <c r="BM192" s="409"/>
      <c r="BN192" s="409"/>
    </row>
    <row r="193" spans="1:67" s="49" customFormat="1" x14ac:dyDescent="0.2">
      <c r="A193" s="61"/>
      <c r="B193" s="60">
        <f t="shared" si="338"/>
        <v>41889</v>
      </c>
      <c r="C193" s="22">
        <f t="shared" si="360"/>
        <v>5.2941176470588234</v>
      </c>
      <c r="D193" s="23">
        <f>GETPIVOTDATA("Active time (min)",EffortRPMPivot!$A$4,"date",B193,"Site",2)/60</f>
        <v>9.15</v>
      </c>
      <c r="E193" s="24">
        <f>F193+G193+GETPIVOTDATA("Sum of CNlgNo",SalmonPivot!$A$4,"Date",B193,"Site",2)</f>
        <v>0</v>
      </c>
      <c r="F193" s="24">
        <f>GETPIVOTDATA("Sum of CNlgrad",SalmonPivot!$A$4,"date",B193,"Site",2)</f>
        <v>0</v>
      </c>
      <c r="G193" s="24">
        <f>GETPIVOTDATA("Sum of CNlgrecap",SalmonPivot!$A$4,"date",B193,"Site",2)</f>
        <v>0</v>
      </c>
      <c r="H193" s="24">
        <f>I193+J193+GETPIVOTDATA("Sum of CNsmno",SalmonPivot!$M$4,"Date",B193,"Site",2)</f>
        <v>0</v>
      </c>
      <c r="I193" s="24">
        <f>GETPIVOTDATA("Sum of CNsmradio",SalmonPivot!$M$4,"Date",B193,"Site",2)</f>
        <v>0</v>
      </c>
      <c r="J193" s="24">
        <f>GETPIVOTDATA("Sum of CNsmrecap",SalmonPivot!$M$4,"Date",B193,"Site",2)</f>
        <v>0</v>
      </c>
      <c r="K193" s="24">
        <f>L193+GETPIVOTDATA("Sum of SOno",SalmonPivot!$Y$4,"Date",B193,"Site",2)+GETPIVOTDATA("Sum of SOrecap",SalmonPivot!$Y$4,"Date",B193,"Site",2)</f>
        <v>0</v>
      </c>
      <c r="L193" s="24">
        <f>GETPIVOTDATA("Sum of SOrad",SalmonPivot!$Y$4,"Date",B193,"Site",2)</f>
        <v>0</v>
      </c>
      <c r="M193" s="24">
        <f>N193+GETPIVOTDATA("Sum of PKno",SalmonPivot!$AK$4,"Date",B193,"Site",2)+GETPIVOTDATA("Sum of PKrecap",SalmonPivot!$AK$4,"Date",B193,"Site",2)</f>
        <v>0</v>
      </c>
      <c r="N193" s="24">
        <f>GETPIVOTDATA("Sum of PKrad",SalmonPivot!$AK$4,"Date",B193,"Site",2)</f>
        <v>0</v>
      </c>
      <c r="O193" s="24">
        <f>P193+GETPIVOTDATA("Sum of CMno",SalmonPivot!$AW$4,"Date",B193,"Site",2)+GETPIVOTDATA("Sum of CMrecap",SalmonPivot!$AW$4,"Date",B193,"Site",2)</f>
        <v>0</v>
      </c>
      <c r="P193" s="24">
        <f>GETPIVOTDATA("Sum of CMrad",SalmonPivot!$AW$4,"Date",B193,"Site",2)</f>
        <v>0</v>
      </c>
      <c r="Q193" s="25">
        <f>R193+GETPIVOTDATA("Sum of COno",SalmonPivot!$BI$4,"Date",B193,"Site",2)+GETPIVOTDATA("Sum of COrecap",SalmonPivot!$BI$4,"Date",B193,"Site",2)</f>
        <v>0</v>
      </c>
      <c r="R193" s="24">
        <f>GETPIVOTDATA("Sum of COrad",SalmonPivot!$BI$4,"Date",B193,"Site",2)</f>
        <v>0</v>
      </c>
      <c r="S193" s="24">
        <f>GETPIVOTDATA("Sum of TotalOther",OtherPivot!$J$5,"Date",B193,"Site",2)</f>
        <v>0</v>
      </c>
      <c r="T193" s="38"/>
      <c r="U193" s="172">
        <f>IF(GETPIVOTDATA("3 Revs (s)",EffortRPMPivot!$L$4,"Date",$B193,"Site",2)=0,"",GETPIVOTDATA("3 revs (s)",EffortRPMPivot!$L$4,"date",$B193,"Site",2))</f>
        <v>34</v>
      </c>
      <c r="V193" s="173">
        <f t="shared" si="361"/>
        <v>0</v>
      </c>
      <c r="W193" s="173">
        <f t="shared" si="362"/>
        <v>0</v>
      </c>
      <c r="X193" s="173">
        <f t="shared" si="363"/>
        <v>0</v>
      </c>
      <c r="Y193" s="173">
        <f t="shared" si="364"/>
        <v>0</v>
      </c>
      <c r="Z193" s="173">
        <f t="shared" si="365"/>
        <v>0</v>
      </c>
      <c r="AA193" s="174">
        <f t="shared" si="366"/>
        <v>0</v>
      </c>
      <c r="AB193" s="181"/>
      <c r="AC193" s="181"/>
      <c r="AD193" s="181"/>
      <c r="AE193" s="181"/>
      <c r="AF193" s="181"/>
      <c r="AG193" s="181"/>
      <c r="AH193" s="182"/>
      <c r="AI193" s="181"/>
      <c r="AJ193" s="181"/>
      <c r="AK193" s="181"/>
      <c r="AL193" s="181"/>
      <c r="AM193" s="181"/>
      <c r="AN193" s="182"/>
      <c r="AO193" s="181"/>
      <c r="AP193" s="181"/>
      <c r="AQ193" s="181"/>
      <c r="AR193" s="181"/>
      <c r="AS193" s="181"/>
      <c r="AT193" s="182"/>
      <c r="AU193" s="181"/>
      <c r="AV193" s="181"/>
      <c r="AW193" s="181"/>
      <c r="AX193" s="181"/>
      <c r="AY193" s="181"/>
      <c r="AZ193" s="182"/>
      <c r="BA193" s="185"/>
      <c r="BB193" s="185"/>
      <c r="BC193" s="185"/>
      <c r="BD193" s="185"/>
      <c r="BE193" s="185"/>
      <c r="BF193" s="186"/>
      <c r="BG193" s="185"/>
      <c r="BH193" s="185"/>
      <c r="BI193" s="185"/>
      <c r="BJ193" s="185"/>
      <c r="BK193" s="185"/>
      <c r="BL193" s="186"/>
      <c r="BM193" s="409"/>
      <c r="BN193" s="409"/>
    </row>
    <row r="194" spans="1:67" s="153" customFormat="1" x14ac:dyDescent="0.2">
      <c r="A194" s="63" t="s">
        <v>151</v>
      </c>
      <c r="B194" s="60"/>
      <c r="C194" s="64"/>
      <c r="D194" s="65">
        <f t="shared" ref="D194:S194" si="367">SUM(D100:D193)</f>
        <v>1269.7999999999997</v>
      </c>
      <c r="E194" s="65">
        <f t="shared" si="367"/>
        <v>79</v>
      </c>
      <c r="F194" s="65">
        <f t="shared" si="367"/>
        <v>75</v>
      </c>
      <c r="G194" s="65">
        <f t="shared" si="367"/>
        <v>1</v>
      </c>
      <c r="H194" s="65">
        <f t="shared" si="367"/>
        <v>18</v>
      </c>
      <c r="I194" s="65">
        <f t="shared" si="367"/>
        <v>2</v>
      </c>
      <c r="J194" s="65">
        <f t="shared" si="367"/>
        <v>0</v>
      </c>
      <c r="K194" s="65">
        <f t="shared" si="367"/>
        <v>92</v>
      </c>
      <c r="L194" s="65">
        <f t="shared" si="367"/>
        <v>89</v>
      </c>
      <c r="M194" s="65">
        <f t="shared" si="367"/>
        <v>73</v>
      </c>
      <c r="N194" s="65">
        <f t="shared" si="367"/>
        <v>27</v>
      </c>
      <c r="O194" s="65">
        <f t="shared" si="367"/>
        <v>417</v>
      </c>
      <c r="P194" s="65">
        <f t="shared" si="367"/>
        <v>53</v>
      </c>
      <c r="Q194" s="65">
        <f t="shared" si="367"/>
        <v>25</v>
      </c>
      <c r="R194" s="65">
        <f t="shared" si="367"/>
        <v>14</v>
      </c>
      <c r="S194" s="65">
        <f t="shared" si="367"/>
        <v>17</v>
      </c>
      <c r="T194" s="41"/>
      <c r="U194" s="192"/>
      <c r="V194" s="179">
        <f>E194/D194</f>
        <v>6.2214521971964101E-2</v>
      </c>
      <c r="W194" s="179">
        <f>H194/D194</f>
        <v>1.4175460702472834E-2</v>
      </c>
      <c r="X194" s="179">
        <f>K194/$D194</f>
        <v>7.2452354701527819E-2</v>
      </c>
      <c r="Y194" s="179">
        <f>M194/$D194</f>
        <v>5.7489368404473155E-2</v>
      </c>
      <c r="Z194" s="179">
        <f>O194/$D194</f>
        <v>0.32839817294062063</v>
      </c>
      <c r="AA194" s="180">
        <f>Q194/$D194</f>
        <v>1.9688139864545602E-2</v>
      </c>
      <c r="AB194" s="181"/>
      <c r="AC194" s="181"/>
      <c r="AD194" s="181"/>
      <c r="AE194" s="181"/>
      <c r="AF194" s="181"/>
      <c r="AG194" s="181"/>
      <c r="AH194" s="182"/>
      <c r="AI194" s="181"/>
      <c r="AJ194" s="181"/>
      <c r="AK194" s="181"/>
      <c r="AL194" s="181"/>
      <c r="AM194" s="181"/>
      <c r="AN194" s="182"/>
      <c r="AO194" s="181"/>
      <c r="AP194" s="181"/>
      <c r="AQ194" s="181"/>
      <c r="AR194" s="181"/>
      <c r="AS194" s="181"/>
      <c r="AT194" s="182"/>
      <c r="AU194" s="181"/>
      <c r="AV194" s="181"/>
      <c r="AW194" s="181"/>
      <c r="AX194" s="181"/>
      <c r="AY194" s="181"/>
      <c r="AZ194" s="182"/>
      <c r="BA194" s="183"/>
      <c r="BB194" s="183"/>
      <c r="BC194" s="183"/>
      <c r="BD194" s="183"/>
      <c r="BE194" s="183"/>
      <c r="BF194" s="184"/>
      <c r="BG194" s="183"/>
      <c r="BH194" s="183"/>
      <c r="BI194" s="183"/>
      <c r="BJ194" s="183"/>
      <c r="BK194" s="183"/>
      <c r="BL194" s="184"/>
      <c r="BM194" s="409"/>
      <c r="BN194" s="409"/>
    </row>
    <row r="195" spans="1:67" s="153" customFormat="1" x14ac:dyDescent="0.2">
      <c r="A195" s="63"/>
      <c r="B195" s="60"/>
      <c r="C195" s="64"/>
      <c r="D195" s="65"/>
      <c r="E195" s="64"/>
      <c r="F195" s="64"/>
      <c r="G195" s="64"/>
      <c r="H195" s="64"/>
      <c r="I195" s="64"/>
      <c r="J195" s="64"/>
      <c r="K195" s="64"/>
      <c r="L195" s="64"/>
      <c r="M195" s="64"/>
      <c r="N195" s="64"/>
      <c r="O195" s="64"/>
      <c r="P195" s="64"/>
      <c r="Q195" s="64"/>
      <c r="R195" s="64"/>
      <c r="S195" s="64"/>
      <c r="T195" s="41"/>
      <c r="U195" s="192"/>
      <c r="V195" s="179"/>
      <c r="W195" s="179"/>
      <c r="X195" s="179"/>
      <c r="Y195" s="179"/>
      <c r="Z195" s="179"/>
      <c r="AA195" s="180"/>
      <c r="AB195" s="188"/>
      <c r="AC195" s="188"/>
      <c r="AD195" s="188"/>
      <c r="AE195" s="188"/>
      <c r="AF195" s="188"/>
      <c r="AG195" s="188"/>
      <c r="AH195" s="189"/>
      <c r="AI195" s="188"/>
      <c r="AJ195" s="188"/>
      <c r="AK195" s="188"/>
      <c r="AL195" s="188"/>
      <c r="AM195" s="188"/>
      <c r="AN195" s="189"/>
      <c r="AO195" s="188"/>
      <c r="AP195" s="188"/>
      <c r="AQ195" s="188"/>
      <c r="AR195" s="188"/>
      <c r="AS195" s="188"/>
      <c r="AT195" s="189"/>
      <c r="AU195" s="188"/>
      <c r="AV195" s="188"/>
      <c r="AW195" s="190"/>
      <c r="AX195" s="190"/>
      <c r="AY195" s="190"/>
      <c r="AZ195" s="191"/>
      <c r="BA195" s="183"/>
      <c r="BB195" s="183"/>
      <c r="BC195" s="183"/>
      <c r="BD195" s="183"/>
      <c r="BE195" s="183"/>
      <c r="BF195" s="184"/>
      <c r="BG195" s="183"/>
      <c r="BH195" s="183"/>
      <c r="BI195" s="183"/>
      <c r="BJ195" s="183"/>
      <c r="BK195" s="183"/>
      <c r="BL195" s="184"/>
      <c r="BM195" s="409"/>
      <c r="BN195" s="409"/>
    </row>
    <row r="196" spans="1:67" x14ac:dyDescent="0.2">
      <c r="A196" s="34"/>
      <c r="B196" s="60">
        <v>41796</v>
      </c>
      <c r="C196" s="22"/>
      <c r="D196" s="23"/>
      <c r="E196" s="24"/>
      <c r="F196" s="24"/>
      <c r="G196" s="24"/>
      <c r="H196" s="24"/>
      <c r="I196" s="24"/>
      <c r="J196" s="24"/>
      <c r="K196" s="24"/>
      <c r="L196" s="24"/>
      <c r="M196" s="24"/>
      <c r="N196" s="24"/>
      <c r="O196" s="24"/>
      <c r="P196" s="24"/>
      <c r="Q196" s="25"/>
      <c r="R196" s="24"/>
      <c r="S196" s="24"/>
      <c r="T196" s="38"/>
      <c r="U196" s="178" t="str">
        <f>IF(GETPIVOTDATA("3 Revs (s)",EffortRPMPivot!$L$4,"Date",$B196,"Site",3)=0,"",GETPIVOTDATA("3 revs (s)",EffortRPMPivot!$L$4,"date",$B196,"Site",3))</f>
        <v/>
      </c>
      <c r="V196" s="179"/>
      <c r="W196" s="179"/>
      <c r="X196" s="179"/>
      <c r="Y196" s="179"/>
      <c r="Z196" s="179"/>
      <c r="AA196" s="180"/>
      <c r="AB196" s="188"/>
      <c r="AC196" s="188"/>
      <c r="AD196" s="188"/>
      <c r="AE196" s="188"/>
      <c r="AF196" s="188"/>
      <c r="AG196" s="188"/>
      <c r="AH196" s="189"/>
      <c r="AI196" s="188"/>
      <c r="AJ196" s="188"/>
      <c r="AK196" s="188"/>
      <c r="AL196" s="188"/>
      <c r="AM196" s="188"/>
      <c r="AN196" s="189"/>
      <c r="AO196" s="188"/>
      <c r="AP196" s="188"/>
      <c r="AQ196" s="188"/>
      <c r="AR196" s="188"/>
      <c r="AS196" s="188"/>
      <c r="AT196" s="189"/>
      <c r="AU196" s="188"/>
      <c r="AV196" s="188"/>
      <c r="AW196" s="190"/>
      <c r="AX196" s="190"/>
      <c r="AY196" s="190"/>
      <c r="AZ196" s="191"/>
      <c r="BA196" s="183"/>
      <c r="BB196" s="183"/>
      <c r="BC196" s="183"/>
      <c r="BD196" s="183"/>
      <c r="BE196" s="183"/>
      <c r="BF196" s="184"/>
      <c r="BG196" s="183"/>
      <c r="BH196" s="183"/>
      <c r="BI196" s="183"/>
      <c r="BJ196" s="183"/>
      <c r="BK196" s="183"/>
      <c r="BL196" s="184"/>
      <c r="BO196" s="153"/>
    </row>
    <row r="197" spans="1:67" x14ac:dyDescent="0.2">
      <c r="A197" s="34"/>
      <c r="B197" s="60">
        <f>B196+1</f>
        <v>41797</v>
      </c>
      <c r="C197" s="22"/>
      <c r="D197" s="23"/>
      <c r="E197" s="24"/>
      <c r="F197" s="24"/>
      <c r="G197" s="24"/>
      <c r="H197" s="24"/>
      <c r="I197" s="24"/>
      <c r="J197" s="24"/>
      <c r="K197" s="24"/>
      <c r="L197" s="24"/>
      <c r="M197" s="24"/>
      <c r="N197" s="24"/>
      <c r="O197" s="24"/>
      <c r="P197" s="24"/>
      <c r="Q197" s="25"/>
      <c r="R197" s="24"/>
      <c r="S197" s="24"/>
      <c r="T197" s="38"/>
      <c r="U197" s="178" t="str">
        <f>IF(GETPIVOTDATA("3 Revs (s)",EffortRPMPivot!$L$4,"Date",$B197,"Site",3)=0,"",GETPIVOTDATA("3 revs (s)",EffortRPMPivot!$L$4,"date",$B197,"Site",3))</f>
        <v/>
      </c>
      <c r="V197" s="179"/>
      <c r="W197" s="179"/>
      <c r="X197" s="179"/>
      <c r="Y197" s="179"/>
      <c r="Z197" s="179"/>
      <c r="AA197" s="180"/>
      <c r="AB197" s="188"/>
      <c r="AC197" s="188"/>
      <c r="AD197" s="188"/>
      <c r="AE197" s="188"/>
      <c r="AF197" s="188"/>
      <c r="AG197" s="188"/>
      <c r="AH197" s="189"/>
      <c r="AI197" s="188"/>
      <c r="AJ197" s="188"/>
      <c r="AK197" s="188"/>
      <c r="AL197" s="188"/>
      <c r="AM197" s="188"/>
      <c r="AN197" s="189"/>
      <c r="AO197" s="188"/>
      <c r="AP197" s="188"/>
      <c r="AQ197" s="188"/>
      <c r="AR197" s="188"/>
      <c r="AS197" s="188"/>
      <c r="AT197" s="189"/>
      <c r="AU197" s="188"/>
      <c r="AV197" s="188"/>
      <c r="AW197" s="190"/>
      <c r="AX197" s="190"/>
      <c r="AY197" s="190"/>
      <c r="AZ197" s="191"/>
      <c r="BA197" s="183"/>
      <c r="BB197" s="183"/>
      <c r="BC197" s="183"/>
      <c r="BD197" s="183"/>
      <c r="BE197" s="183"/>
      <c r="BF197" s="184"/>
      <c r="BG197" s="183"/>
      <c r="BH197" s="183"/>
      <c r="BI197" s="183"/>
      <c r="BJ197" s="183"/>
      <c r="BK197" s="183"/>
      <c r="BL197" s="184"/>
      <c r="BO197" s="153"/>
    </row>
    <row r="198" spans="1:67" x14ac:dyDescent="0.2">
      <c r="A198" s="34"/>
      <c r="B198" s="60">
        <f t="shared" ref="B198:B289" si="368">B197+1</f>
        <v>41798</v>
      </c>
      <c r="C198" s="22"/>
      <c r="D198" s="23"/>
      <c r="E198" s="24"/>
      <c r="F198" s="24"/>
      <c r="G198" s="24"/>
      <c r="H198" s="24"/>
      <c r="I198" s="24"/>
      <c r="J198" s="24"/>
      <c r="K198" s="24"/>
      <c r="L198" s="24"/>
      <c r="M198" s="24"/>
      <c r="N198" s="24"/>
      <c r="O198" s="24"/>
      <c r="P198" s="24"/>
      <c r="Q198" s="25"/>
      <c r="R198" s="24"/>
      <c r="S198" s="24"/>
      <c r="T198" s="38"/>
      <c r="U198" s="178" t="str">
        <f>IF(GETPIVOTDATA("3 Revs (s)",EffortRPMPivot!$L$4,"Date",$B198,"Site",3)=0,"",GETPIVOTDATA("3 revs (s)",EffortRPMPivot!$L$4,"date",$B198,"Site",3))</f>
        <v/>
      </c>
      <c r="V198" s="179"/>
      <c r="W198" s="179"/>
      <c r="X198" s="179"/>
      <c r="Y198" s="179"/>
      <c r="Z198" s="179"/>
      <c r="AA198" s="180"/>
      <c r="AB198" s="188"/>
      <c r="AC198" s="188"/>
      <c r="AD198" s="188"/>
      <c r="AE198" s="188"/>
      <c r="AF198" s="188"/>
      <c r="AG198" s="188"/>
      <c r="AH198" s="189"/>
      <c r="AI198" s="188"/>
      <c r="AJ198" s="188"/>
      <c r="AK198" s="188"/>
      <c r="AL198" s="188"/>
      <c r="AM198" s="188"/>
      <c r="AN198" s="189"/>
      <c r="AO198" s="188"/>
      <c r="AP198" s="188"/>
      <c r="AQ198" s="188"/>
      <c r="AR198" s="188"/>
      <c r="AS198" s="188"/>
      <c r="AT198" s="189"/>
      <c r="AU198" s="188"/>
      <c r="AV198" s="188"/>
      <c r="AW198" s="190"/>
      <c r="AX198" s="190"/>
      <c r="AY198" s="190"/>
      <c r="AZ198" s="191"/>
      <c r="BA198" s="183"/>
      <c r="BB198" s="183"/>
      <c r="BC198" s="183"/>
      <c r="BD198" s="183"/>
      <c r="BE198" s="183"/>
      <c r="BF198" s="184"/>
      <c r="BG198" s="183"/>
      <c r="BH198" s="183"/>
      <c r="BI198" s="183"/>
      <c r="BJ198" s="183"/>
      <c r="BK198" s="183"/>
      <c r="BL198" s="184"/>
      <c r="BO198" s="153"/>
    </row>
    <row r="199" spans="1:67" x14ac:dyDescent="0.2">
      <c r="A199" s="61" t="s">
        <v>178</v>
      </c>
      <c r="B199" s="60">
        <f t="shared" si="368"/>
        <v>41799</v>
      </c>
      <c r="C199" s="22">
        <f t="shared" ref="C199" si="369">IF(ISERROR(3/(U199/60)),"",3/(U199/60))</f>
        <v>4.1860465116279073</v>
      </c>
      <c r="D199" s="23">
        <f>GETPIVOTDATA("Active time (min)",EffortRPMPivot!$A$4,"date",B199,"Site",3)/60</f>
        <v>4.8333333333333375</v>
      </c>
      <c r="E199" s="24">
        <f>F199+G199+GETPIVOTDATA("Sum of CNlgNo",SalmonPivot!$A$4,"Date",B199,"Site",3)</f>
        <v>0</v>
      </c>
      <c r="F199" s="24">
        <f>GETPIVOTDATA("Sum of CNlgrad",SalmonPivot!$A$4,"date",B199,"Site",3)</f>
        <v>0</v>
      </c>
      <c r="G199" s="24">
        <f>GETPIVOTDATA("Sum of CNlgrecap",SalmonPivot!$A$4,"date",B199,"Site",3)</f>
        <v>0</v>
      </c>
      <c r="H199" s="24">
        <f>I199+J199+GETPIVOTDATA("Sum of CNsmno",SalmonPivot!$M$4,"Date",B199,"Site",3)</f>
        <v>0</v>
      </c>
      <c r="I199" s="24">
        <f>GETPIVOTDATA("Sum of CNsmradio",SalmonPivot!$M$4,"Date",B199,"Site",3)</f>
        <v>0</v>
      </c>
      <c r="J199" s="24">
        <f>GETPIVOTDATA("Sum of CNsmrecap",SalmonPivot!$M$4,"Date",B199,"Site",3)</f>
        <v>0</v>
      </c>
      <c r="K199" s="24">
        <f>L199+GETPIVOTDATA("Sum of SOno",SalmonPivot!$Y$4,"Date",B199,"Site",3)+GETPIVOTDATA("Sum of SOrecap",SalmonPivot!$Y$4,"Date",B199,"Site",3)</f>
        <v>0</v>
      </c>
      <c r="L199" s="24">
        <f>GETPIVOTDATA("Sum of SOrad",SalmonPivot!$Y$4,"Date",B199,"Site",3)</f>
        <v>0</v>
      </c>
      <c r="M199" s="24">
        <f>N199+GETPIVOTDATA("Sum of PKno",SalmonPivot!$AK$4,"Date",B199,"Site",3)+GETPIVOTDATA("Sum of PKrecap",SalmonPivot!$AK$4,"Date",B199,"Site",3)</f>
        <v>0</v>
      </c>
      <c r="N199" s="24">
        <f>GETPIVOTDATA("Sum of PKrad",SalmonPivot!$AK$4,"Date",B199,"Site",3)</f>
        <v>0</v>
      </c>
      <c r="O199" s="24">
        <f>P199+GETPIVOTDATA("Sum of CMno",SalmonPivot!$AW$4,"Date",B199,"Site",3)+GETPIVOTDATA("Sum of CMrecap",SalmonPivot!$AW$4,"Date",B199,"Site",3)</f>
        <v>0</v>
      </c>
      <c r="P199" s="24">
        <f>GETPIVOTDATA("Sum of CMrad",SalmonPivot!$AW$4,"Date",B199,"Site",3)</f>
        <v>0</v>
      </c>
      <c r="Q199" s="25">
        <f>R199+GETPIVOTDATA("Sum of COno",SalmonPivot!$BI$4,"Date",B199,"Site",3)+GETPIVOTDATA("Sum of COrecap",SalmonPivot!$BI$4,"Date",B199,"Site",3)</f>
        <v>0</v>
      </c>
      <c r="R199" s="24">
        <f>GETPIVOTDATA("Sum of COrad",SalmonPivot!$BI$4,"Date",B199,"Site",3)</f>
        <v>0</v>
      </c>
      <c r="S199" s="24">
        <f>GETPIVOTDATA("Sum of TotalOther",OtherPivot!$J$5,"Date",B199,"Site",3)</f>
        <v>0</v>
      </c>
      <c r="T199" s="38"/>
      <c r="U199" s="172">
        <f>IF(GETPIVOTDATA("3 Revs (s)",EffortRPMPivot!$L$4,"Date",$B199,"Site",3)=0,"",GETPIVOTDATA("3 revs (s)",EffortRPMPivot!$L$4,"date",$B199,"Site",3))</f>
        <v>43</v>
      </c>
      <c r="V199" s="173">
        <f t="shared" ref="V199" si="370">IF(D199=0,"",E199/D199)</f>
        <v>0</v>
      </c>
      <c r="W199" s="173">
        <f t="shared" ref="W199" si="371">IF(D199=0,"",H199/D199)</f>
        <v>0</v>
      </c>
      <c r="X199" s="173">
        <f t="shared" ref="X199" si="372">IF(D199=0,"",K199/$D199)</f>
        <v>0</v>
      </c>
      <c r="Y199" s="173">
        <f t="shared" ref="Y199" si="373">IF(D199=0,"",M199/$D199)</f>
        <v>0</v>
      </c>
      <c r="Z199" s="173">
        <f t="shared" ref="Z199" si="374">IF(D199=0,"",O199/$D199)</f>
        <v>0</v>
      </c>
      <c r="AA199" s="174">
        <f t="shared" ref="AA199" si="375">IF(D199=0,"",Q199/$D199)</f>
        <v>0</v>
      </c>
      <c r="AB199" s="181"/>
      <c r="AC199" s="181"/>
      <c r="AD199" s="181"/>
      <c r="AE199" s="181"/>
      <c r="AF199" s="181"/>
      <c r="AG199" s="181"/>
      <c r="AH199" s="182"/>
      <c r="AI199" s="181"/>
      <c r="AJ199" s="181"/>
      <c r="AK199" s="181"/>
      <c r="AL199" s="181"/>
      <c r="AM199" s="181"/>
      <c r="AN199" s="182"/>
      <c r="AO199" s="181"/>
      <c r="AP199" s="181"/>
      <c r="AQ199" s="181"/>
      <c r="AR199" s="181"/>
      <c r="AS199" s="181"/>
      <c r="AT199" s="182"/>
      <c r="AU199" s="181"/>
      <c r="AV199" s="181"/>
      <c r="AW199" s="181"/>
      <c r="AX199" s="181"/>
      <c r="AY199" s="181"/>
      <c r="AZ199" s="182"/>
      <c r="BA199" s="183"/>
      <c r="BB199" s="183"/>
      <c r="BC199" s="183"/>
      <c r="BD199" s="183"/>
      <c r="BE199" s="183"/>
      <c r="BF199" s="324"/>
      <c r="BG199" s="183"/>
      <c r="BH199" s="183"/>
      <c r="BI199" s="183"/>
      <c r="BJ199" s="183"/>
      <c r="BK199" s="183"/>
      <c r="BL199" s="184"/>
      <c r="BO199" s="153"/>
    </row>
    <row r="200" spans="1:67" x14ac:dyDescent="0.2">
      <c r="A200" s="61" t="s">
        <v>138</v>
      </c>
      <c r="B200" s="60">
        <f t="shared" si="368"/>
        <v>41800</v>
      </c>
      <c r="C200" s="22">
        <f t="shared" ref="C200:C208" si="376">IF(ISERROR(3/(U200/60)),"",3/(U200/60))</f>
        <v>4.3902439024390247</v>
      </c>
      <c r="D200" s="23">
        <f>GETPIVOTDATA("Active time (min)",EffortRPMPivot!$A$4,"date",B200,"Site",3)/60</f>
        <v>13.750000000000002</v>
      </c>
      <c r="E200" s="24">
        <f>F200+G200+GETPIVOTDATA("Sum of CNlgNo",SalmonPivot!$A$4,"Date",B200,"Site",3)</f>
        <v>0</v>
      </c>
      <c r="F200" s="24">
        <f>GETPIVOTDATA("Sum of CNlgrad",SalmonPivot!$A$4,"date",B200,"Site",3)</f>
        <v>0</v>
      </c>
      <c r="G200" s="24">
        <f>GETPIVOTDATA("Sum of CNlgrecap",SalmonPivot!$A$4,"date",B200,"Site",3)</f>
        <v>0</v>
      </c>
      <c r="H200" s="24">
        <f>I200+J200+GETPIVOTDATA("Sum of CNsmno",SalmonPivot!$M$4,"Date",B200,"Site",3)</f>
        <v>0</v>
      </c>
      <c r="I200" s="24">
        <f>GETPIVOTDATA("Sum of CNsmradio",SalmonPivot!$M$4,"Date",B200,"Site",3)</f>
        <v>0</v>
      </c>
      <c r="J200" s="24">
        <f>GETPIVOTDATA("Sum of CNsmrecap",SalmonPivot!$M$4,"Date",B200,"Site",3)</f>
        <v>0</v>
      </c>
      <c r="K200" s="24">
        <f>L200+GETPIVOTDATA("Sum of SOno",SalmonPivot!$Y$4,"Date",B200,"Site",3)+GETPIVOTDATA("Sum of SOrecap",SalmonPivot!$Y$4,"Date",B200,"Site",3)</f>
        <v>0</v>
      </c>
      <c r="L200" s="24">
        <f>GETPIVOTDATA("Sum of SOrad",SalmonPivot!$Y$4,"Date",B200,"Site",3)</f>
        <v>0</v>
      </c>
      <c r="M200" s="24">
        <f>N200+GETPIVOTDATA("Sum of PKno",SalmonPivot!$AK$4,"Date",B200,"Site",3)+GETPIVOTDATA("Sum of PKrecap",SalmonPivot!$AK$4,"Date",B200,"Site",3)</f>
        <v>0</v>
      </c>
      <c r="N200" s="24">
        <f>GETPIVOTDATA("Sum of PKrad",SalmonPivot!$AK$4,"Date",B200,"Site",3)</f>
        <v>0</v>
      </c>
      <c r="O200" s="24">
        <f>P200+GETPIVOTDATA("Sum of CMno",SalmonPivot!$AW$4,"Date",B200,"Site",3)+GETPIVOTDATA("Sum of CMrecap",SalmonPivot!$AW$4,"Date",B200,"Site",3)</f>
        <v>0</v>
      </c>
      <c r="P200" s="24">
        <f>GETPIVOTDATA("Sum of CMrad",SalmonPivot!$AW$4,"Date",B200,"Site",3)</f>
        <v>0</v>
      </c>
      <c r="Q200" s="25">
        <f>R200+GETPIVOTDATA("Sum of COno",SalmonPivot!$BI$4,"Date",B200,"Site",3)+GETPIVOTDATA("Sum of COrecap",SalmonPivot!$BI$4,"Date",B200,"Site",3)</f>
        <v>0</v>
      </c>
      <c r="R200" s="24">
        <f>GETPIVOTDATA("Sum of COrad",SalmonPivot!$BI$4,"Date",B200,"Site",3)</f>
        <v>0</v>
      </c>
      <c r="S200" s="24">
        <f>GETPIVOTDATA("Sum of TotalOther",OtherPivot!$J$5,"Date",B200,"Site",3)</f>
        <v>0</v>
      </c>
      <c r="T200" s="38"/>
      <c r="U200" s="172">
        <f>IF(GETPIVOTDATA("3 Revs (s)",EffortRPMPivot!$L$4,"Date",$B200,"Site",3)=0,"",GETPIVOTDATA("3 revs (s)",EffortRPMPivot!$L$4,"date",$B200,"Site",3))</f>
        <v>41</v>
      </c>
      <c r="V200" s="173">
        <f t="shared" ref="V200:V208" si="377">IF(D200=0,"",E200/D200)</f>
        <v>0</v>
      </c>
      <c r="W200" s="173">
        <f t="shared" ref="W200:W208" si="378">IF(D200=0,"",H200/D200)</f>
        <v>0</v>
      </c>
      <c r="X200" s="173">
        <f t="shared" ref="X200:X208" si="379">IF(D200=0,"",K200/$D200)</f>
        <v>0</v>
      </c>
      <c r="Y200" s="173">
        <f t="shared" ref="Y200:Y208" si="380">IF(D200=0,"",M200/$D200)</f>
        <v>0</v>
      </c>
      <c r="Z200" s="173">
        <f t="shared" ref="Z200:Z208" si="381">IF(D200=0,"",O200/$D200)</f>
        <v>0</v>
      </c>
      <c r="AA200" s="174">
        <f t="shared" ref="AA200:AA208" si="382">IF(D200=0,"",Q200/$D200)</f>
        <v>0</v>
      </c>
      <c r="AB200" s="188"/>
      <c r="AC200" s="188"/>
      <c r="AD200" s="188"/>
      <c r="AE200" s="188"/>
      <c r="AF200" s="188"/>
      <c r="AG200" s="188"/>
      <c r="AH200" s="189"/>
      <c r="AI200" s="188"/>
      <c r="AJ200" s="188"/>
      <c r="AK200" s="188"/>
      <c r="AL200" s="188"/>
      <c r="AM200" s="188"/>
      <c r="AN200" s="189"/>
      <c r="AO200" s="188"/>
      <c r="AP200" s="188"/>
      <c r="AQ200" s="188"/>
      <c r="AR200" s="188"/>
      <c r="AS200" s="188"/>
      <c r="AT200" s="189"/>
      <c r="AU200" s="188"/>
      <c r="AV200" s="188"/>
      <c r="AW200" s="190"/>
      <c r="AX200" s="190"/>
      <c r="AY200" s="190"/>
      <c r="AZ200" s="191"/>
      <c r="BA200" s="183"/>
      <c r="BB200" s="183"/>
      <c r="BC200" s="183"/>
      <c r="BD200" s="183"/>
      <c r="BE200" s="183"/>
      <c r="BF200" s="184"/>
      <c r="BG200" s="183"/>
      <c r="BH200" s="183"/>
      <c r="BI200" s="183"/>
      <c r="BJ200" s="183"/>
      <c r="BK200" s="183"/>
      <c r="BL200" s="184"/>
      <c r="BO200" s="153"/>
    </row>
    <row r="201" spans="1:67" x14ac:dyDescent="0.2">
      <c r="A201" s="61" t="s">
        <v>130</v>
      </c>
      <c r="B201" s="60">
        <f t="shared" si="368"/>
        <v>41801</v>
      </c>
      <c r="C201" s="22">
        <f t="shared" si="376"/>
        <v>4.0909090909090908</v>
      </c>
      <c r="D201" s="23">
        <f>GETPIVOTDATA("Active time (min)",EffortRPMPivot!$A$4,"date",B201,"Site",3)/60</f>
        <v>14.35</v>
      </c>
      <c r="E201" s="24">
        <f>F201+G201+GETPIVOTDATA("Sum of CNlgNo",SalmonPivot!$A$4,"Date",B201,"Site",3)</f>
        <v>2</v>
      </c>
      <c r="F201" s="24">
        <f>GETPIVOTDATA("Sum of CNlgrad",SalmonPivot!$A$4,"date",B201,"Site",3)</f>
        <v>2</v>
      </c>
      <c r="G201" s="24">
        <f>GETPIVOTDATA("Sum of CNlgrecap",SalmonPivot!$A$4,"date",B201,"Site",3)</f>
        <v>0</v>
      </c>
      <c r="H201" s="24">
        <f>I201+J201+GETPIVOTDATA("Sum of CNsmno",SalmonPivot!$M$4,"Date",B201,"Site",3)</f>
        <v>0</v>
      </c>
      <c r="I201" s="24">
        <f>GETPIVOTDATA("Sum of CNsmradio",SalmonPivot!$M$4,"Date",B201,"Site",3)</f>
        <v>0</v>
      </c>
      <c r="J201" s="24">
        <f>GETPIVOTDATA("Sum of CNsmrecap",SalmonPivot!$M$4,"Date",B201,"Site",3)</f>
        <v>0</v>
      </c>
      <c r="K201" s="24">
        <f>L201+GETPIVOTDATA("Sum of SOno",SalmonPivot!$Y$4,"Date",B201,"Site",3)+GETPIVOTDATA("Sum of SOrecap",SalmonPivot!$Y$4,"Date",B201,"Site",3)</f>
        <v>0</v>
      </c>
      <c r="L201" s="24">
        <f>GETPIVOTDATA("Sum of SOrad",SalmonPivot!$Y$4,"Date",B201,"Site",3)</f>
        <v>0</v>
      </c>
      <c r="M201" s="24">
        <f>N201+GETPIVOTDATA("Sum of PKno",SalmonPivot!$AK$4,"Date",B201,"Site",3)+GETPIVOTDATA("Sum of PKrecap",SalmonPivot!$AK$4,"Date",B201,"Site",3)</f>
        <v>0</v>
      </c>
      <c r="N201" s="24">
        <f>GETPIVOTDATA("Sum of PKrad",SalmonPivot!$AK$4,"Date",B201,"Site",3)</f>
        <v>0</v>
      </c>
      <c r="O201" s="24">
        <f>P201+GETPIVOTDATA("Sum of CMno",SalmonPivot!$AW$4,"Date",B201,"Site",3)+GETPIVOTDATA("Sum of CMrecap",SalmonPivot!$AW$4,"Date",B201,"Site",3)</f>
        <v>0</v>
      </c>
      <c r="P201" s="24">
        <f>GETPIVOTDATA("Sum of CMrad",SalmonPivot!$AW$4,"Date",B201,"Site",3)</f>
        <v>0</v>
      </c>
      <c r="Q201" s="25">
        <f>R201+GETPIVOTDATA("Sum of COno",SalmonPivot!$BI$4,"Date",B201,"Site",3)+GETPIVOTDATA("Sum of COrecap",SalmonPivot!$BI$4,"Date",B201,"Site",3)</f>
        <v>0</v>
      </c>
      <c r="R201" s="24">
        <f>GETPIVOTDATA("Sum of COrad",SalmonPivot!$BI$4,"Date",B201,"Site",3)</f>
        <v>0</v>
      </c>
      <c r="S201" s="24">
        <f>GETPIVOTDATA("Sum of TotalOther",OtherPivot!$J$5,"Date",B201,"Site",3)</f>
        <v>3</v>
      </c>
      <c r="T201" s="38"/>
      <c r="U201" s="172">
        <f>IF(GETPIVOTDATA("3 Revs (s)",EffortRPMPivot!$L$4,"Date",$B201,"Site",3)=0,"",GETPIVOTDATA("3 revs (s)",EffortRPMPivot!$L$4,"date",$B201,"Site",3))</f>
        <v>44</v>
      </c>
      <c r="V201" s="173">
        <f t="shared" si="377"/>
        <v>0.13937282229965156</v>
      </c>
      <c r="W201" s="173">
        <f t="shared" si="378"/>
        <v>0</v>
      </c>
      <c r="X201" s="173">
        <f t="shared" si="379"/>
        <v>0</v>
      </c>
      <c r="Y201" s="173">
        <f t="shared" si="380"/>
        <v>0</v>
      </c>
      <c r="Z201" s="173">
        <f t="shared" si="381"/>
        <v>0</v>
      </c>
      <c r="AA201" s="174">
        <f t="shared" si="382"/>
        <v>0</v>
      </c>
      <c r="AB201" s="188"/>
      <c r="AC201" s="188"/>
      <c r="AD201" s="188"/>
      <c r="AE201" s="188"/>
      <c r="AF201" s="188"/>
      <c r="AG201" s="188"/>
      <c r="AH201" s="189"/>
      <c r="AI201" s="188"/>
      <c r="AJ201" s="188"/>
      <c r="AK201" s="188"/>
      <c r="AL201" s="188"/>
      <c r="AM201" s="188"/>
      <c r="AN201" s="189"/>
      <c r="AO201" s="188"/>
      <c r="AP201" s="188"/>
      <c r="AQ201" s="188"/>
      <c r="AR201" s="188"/>
      <c r="AS201" s="188"/>
      <c r="AT201" s="189"/>
      <c r="AU201" s="188"/>
      <c r="AV201" s="188"/>
      <c r="AW201" s="190"/>
      <c r="AX201" s="190"/>
      <c r="AY201" s="190"/>
      <c r="AZ201" s="191"/>
      <c r="BA201" s="183"/>
      <c r="BB201" s="183"/>
      <c r="BC201" s="183"/>
      <c r="BD201" s="183"/>
      <c r="BE201" s="183"/>
      <c r="BF201" s="184"/>
      <c r="BG201" s="183"/>
      <c r="BH201" s="183"/>
      <c r="BI201" s="183"/>
      <c r="BJ201" s="183"/>
      <c r="BK201" s="183"/>
      <c r="BL201" s="184"/>
      <c r="BO201" s="153"/>
    </row>
    <row r="202" spans="1:67" x14ac:dyDescent="0.2">
      <c r="A202" s="61"/>
      <c r="B202" s="60">
        <f t="shared" si="368"/>
        <v>41802</v>
      </c>
      <c r="C202" s="22">
        <f t="shared" si="376"/>
        <v>4.32</v>
      </c>
      <c r="D202" s="23">
        <f>GETPIVOTDATA("Active time (min)",EffortRPMPivot!$A$4,"date",B202,"Site",3)/60</f>
        <v>15.750000000000002</v>
      </c>
      <c r="E202" s="24">
        <f>F202+G202+GETPIVOTDATA("Sum of CNlgNo",SalmonPivot!$A$4,"Date",B202,"Site",3)</f>
        <v>0</v>
      </c>
      <c r="F202" s="24">
        <f>GETPIVOTDATA("Sum of CNlgrad",SalmonPivot!$A$4,"date",B202,"Site",3)</f>
        <v>0</v>
      </c>
      <c r="G202" s="24">
        <f>GETPIVOTDATA("Sum of CNlgrecap",SalmonPivot!$A$4,"date",B202,"Site",3)</f>
        <v>0</v>
      </c>
      <c r="H202" s="24">
        <f>I202+J202+GETPIVOTDATA("Sum of CNsmno",SalmonPivot!$M$4,"Date",B202,"Site",3)</f>
        <v>0</v>
      </c>
      <c r="I202" s="24">
        <f>GETPIVOTDATA("Sum of CNsmradio",SalmonPivot!$M$4,"Date",B202,"Site",3)</f>
        <v>0</v>
      </c>
      <c r="J202" s="24">
        <f>GETPIVOTDATA("Sum of CNsmrecap",SalmonPivot!$M$4,"Date",B202,"Site",3)</f>
        <v>0</v>
      </c>
      <c r="K202" s="24">
        <f>L202+GETPIVOTDATA("Sum of SOno",SalmonPivot!$Y$4,"Date",B202,"Site",3)+GETPIVOTDATA("Sum of SOrecap",SalmonPivot!$Y$4,"Date",B202,"Site",3)</f>
        <v>0</v>
      </c>
      <c r="L202" s="24">
        <f>GETPIVOTDATA("Sum of SOrad",SalmonPivot!$Y$4,"Date",B202,"Site",3)</f>
        <v>0</v>
      </c>
      <c r="M202" s="24">
        <f>N202+GETPIVOTDATA("Sum of PKno",SalmonPivot!$AK$4,"Date",B202,"Site",3)+GETPIVOTDATA("Sum of PKrecap",SalmonPivot!$AK$4,"Date",B202,"Site",3)</f>
        <v>0</v>
      </c>
      <c r="N202" s="24">
        <f>GETPIVOTDATA("Sum of PKrad",SalmonPivot!$AK$4,"Date",B202,"Site",3)</f>
        <v>0</v>
      </c>
      <c r="O202" s="24">
        <f>P202+GETPIVOTDATA("Sum of CMno",SalmonPivot!$AW$4,"Date",B202,"Site",3)+GETPIVOTDATA("Sum of CMrecap",SalmonPivot!$AW$4,"Date",B202,"Site",3)</f>
        <v>0</v>
      </c>
      <c r="P202" s="24">
        <f>GETPIVOTDATA("Sum of CMrad",SalmonPivot!$AW$4,"Date",B202,"Site",3)</f>
        <v>0</v>
      </c>
      <c r="Q202" s="25">
        <f>R202+GETPIVOTDATA("Sum of COno",SalmonPivot!$BI$4,"Date",B202,"Site",3)+GETPIVOTDATA("Sum of COrecap",SalmonPivot!$BI$4,"Date",B202,"Site",3)</f>
        <v>0</v>
      </c>
      <c r="R202" s="24">
        <f>GETPIVOTDATA("Sum of COrad",SalmonPivot!$BI$4,"Date",B202,"Site",3)</f>
        <v>0</v>
      </c>
      <c r="S202" s="24">
        <f>GETPIVOTDATA("Sum of TotalOther",OtherPivot!$J$5,"Date",B202,"Site",3)</f>
        <v>1</v>
      </c>
      <c r="T202" s="38"/>
      <c r="U202" s="172">
        <f>IF(GETPIVOTDATA("3 Revs (s)",EffortRPMPivot!$L$4,"Date",$B202,"Site",3)=0,"",GETPIVOTDATA("3 revs (s)",EffortRPMPivot!$L$4,"date",$B202,"Site",3))</f>
        <v>41.666666666666664</v>
      </c>
      <c r="V202" s="173">
        <f t="shared" si="377"/>
        <v>0</v>
      </c>
      <c r="W202" s="173">
        <f t="shared" si="378"/>
        <v>0</v>
      </c>
      <c r="X202" s="173">
        <f t="shared" si="379"/>
        <v>0</v>
      </c>
      <c r="Y202" s="173">
        <f t="shared" si="380"/>
        <v>0</v>
      </c>
      <c r="Z202" s="173">
        <f t="shared" si="381"/>
        <v>0</v>
      </c>
      <c r="AA202" s="174">
        <f t="shared" si="382"/>
        <v>0</v>
      </c>
      <c r="AB202" s="188"/>
      <c r="AC202" s="188"/>
      <c r="AD202" s="188"/>
      <c r="AE202" s="188"/>
      <c r="AF202" s="188"/>
      <c r="AG202" s="188"/>
      <c r="AH202" s="189"/>
      <c r="AI202" s="188"/>
      <c r="AJ202" s="188"/>
      <c r="AK202" s="188"/>
      <c r="AL202" s="188"/>
      <c r="AM202" s="188"/>
      <c r="AN202" s="189"/>
      <c r="AO202" s="188"/>
      <c r="AP202" s="188"/>
      <c r="AQ202" s="188"/>
      <c r="AR202" s="188"/>
      <c r="AS202" s="188"/>
      <c r="AT202" s="189"/>
      <c r="AU202" s="188"/>
      <c r="AV202" s="188"/>
      <c r="AW202" s="190"/>
      <c r="AX202" s="190"/>
      <c r="AY202" s="190"/>
      <c r="AZ202" s="191"/>
      <c r="BA202" s="183"/>
      <c r="BB202" s="183"/>
      <c r="BC202" s="183"/>
      <c r="BD202" s="183"/>
      <c r="BE202" s="183"/>
      <c r="BF202" s="184"/>
      <c r="BG202" s="183"/>
      <c r="BH202" s="183"/>
      <c r="BI202" s="183"/>
      <c r="BJ202" s="183"/>
      <c r="BK202" s="183"/>
      <c r="BL202" s="184"/>
      <c r="BO202" s="153"/>
    </row>
    <row r="203" spans="1:67" x14ac:dyDescent="0.2">
      <c r="A203" s="61"/>
      <c r="B203" s="60">
        <f t="shared" si="368"/>
        <v>41803</v>
      </c>
      <c r="C203" s="22">
        <f t="shared" si="376"/>
        <v>4.3636363636363633</v>
      </c>
      <c r="D203" s="23">
        <f>GETPIVOTDATA("Active time (min)",EffortRPMPivot!$A$4,"date",B203,"Site",3)/60</f>
        <v>15.249999999999996</v>
      </c>
      <c r="E203" s="24">
        <f>F203+G203+GETPIVOTDATA("Sum of CNlgNo",SalmonPivot!$A$4,"Date",B203,"Site",3)</f>
        <v>1</v>
      </c>
      <c r="F203" s="24">
        <f>GETPIVOTDATA("Sum of CNlgrad",SalmonPivot!$A$4,"date",B203,"Site",3)</f>
        <v>1</v>
      </c>
      <c r="G203" s="24">
        <f>GETPIVOTDATA("Sum of CNlgrecap",SalmonPivot!$A$4,"date",B203,"Site",3)</f>
        <v>0</v>
      </c>
      <c r="H203" s="24">
        <f>I203+J203+GETPIVOTDATA("Sum of CNsmno",SalmonPivot!$M$4,"Date",B203,"Site",3)</f>
        <v>0</v>
      </c>
      <c r="I203" s="24">
        <f>GETPIVOTDATA("Sum of CNsmradio",SalmonPivot!$M$4,"Date",B203,"Site",3)</f>
        <v>0</v>
      </c>
      <c r="J203" s="24">
        <f>GETPIVOTDATA("Sum of CNsmrecap",SalmonPivot!$M$4,"Date",B203,"Site",3)</f>
        <v>0</v>
      </c>
      <c r="K203" s="24">
        <f>L203+GETPIVOTDATA("Sum of SOno",SalmonPivot!$Y$4,"Date",B203,"Site",3)+GETPIVOTDATA("Sum of SOrecap",SalmonPivot!$Y$4,"Date",B203,"Site",3)</f>
        <v>0</v>
      </c>
      <c r="L203" s="24">
        <f>GETPIVOTDATA("Sum of SOrad",SalmonPivot!$Y$4,"Date",B203,"Site",3)</f>
        <v>0</v>
      </c>
      <c r="M203" s="24">
        <f>N203+GETPIVOTDATA("Sum of PKno",SalmonPivot!$AK$4,"Date",B203,"Site",3)+GETPIVOTDATA("Sum of PKrecap",SalmonPivot!$AK$4,"Date",B203,"Site",3)</f>
        <v>0</v>
      </c>
      <c r="N203" s="24">
        <f>GETPIVOTDATA("Sum of PKrad",SalmonPivot!$AK$4,"Date",B203,"Site",3)</f>
        <v>0</v>
      </c>
      <c r="O203" s="24">
        <f>P203+GETPIVOTDATA("Sum of CMno",SalmonPivot!$AW$4,"Date",B203,"Site",3)+GETPIVOTDATA("Sum of CMrecap",SalmonPivot!$AW$4,"Date",B203,"Site",3)</f>
        <v>0</v>
      </c>
      <c r="P203" s="24">
        <f>GETPIVOTDATA("Sum of CMrad",SalmonPivot!$AW$4,"Date",B203,"Site",3)</f>
        <v>0</v>
      </c>
      <c r="Q203" s="25">
        <f>R203+GETPIVOTDATA("Sum of COno",SalmonPivot!$BI$4,"Date",B203,"Site",3)+GETPIVOTDATA("Sum of COrecap",SalmonPivot!$BI$4,"Date",B203,"Site",3)</f>
        <v>0</v>
      </c>
      <c r="R203" s="24">
        <f>GETPIVOTDATA("Sum of COrad",SalmonPivot!$BI$4,"Date",B203,"Site",3)</f>
        <v>0</v>
      </c>
      <c r="S203" s="24">
        <f>GETPIVOTDATA("Sum of TotalOther",OtherPivot!$J$5,"Date",B203,"Site",3)</f>
        <v>1</v>
      </c>
      <c r="T203" s="38"/>
      <c r="U203" s="172">
        <f>IF(GETPIVOTDATA("3 Revs (s)",EffortRPMPivot!$L$4,"Date",$B203,"Site",3)=0,"",GETPIVOTDATA("3 revs (s)",EffortRPMPivot!$L$4,"date",$B203,"Site",3))</f>
        <v>41.25</v>
      </c>
      <c r="V203" s="173">
        <f t="shared" si="377"/>
        <v>6.5573770491803296E-2</v>
      </c>
      <c r="W203" s="173">
        <f t="shared" si="378"/>
        <v>0</v>
      </c>
      <c r="X203" s="173">
        <f t="shared" si="379"/>
        <v>0</v>
      </c>
      <c r="Y203" s="173">
        <f t="shared" si="380"/>
        <v>0</v>
      </c>
      <c r="Z203" s="173">
        <f t="shared" si="381"/>
        <v>0</v>
      </c>
      <c r="AA203" s="174">
        <f t="shared" si="382"/>
        <v>0</v>
      </c>
      <c r="AB203" s="188"/>
      <c r="AC203" s="188"/>
      <c r="AD203" s="188"/>
      <c r="AE203" s="188"/>
      <c r="AF203" s="188"/>
      <c r="AG203" s="188"/>
      <c r="AH203" s="189"/>
      <c r="AI203" s="188"/>
      <c r="AJ203" s="188"/>
      <c r="AK203" s="188"/>
      <c r="AL203" s="188"/>
      <c r="AM203" s="188"/>
      <c r="AN203" s="189"/>
      <c r="AO203" s="188"/>
      <c r="AP203" s="188"/>
      <c r="AQ203" s="188"/>
      <c r="AR203" s="188"/>
      <c r="AS203" s="188"/>
      <c r="AT203" s="189"/>
      <c r="AU203" s="188"/>
      <c r="AV203" s="188"/>
      <c r="AW203" s="190"/>
      <c r="AX203" s="190"/>
      <c r="AY203" s="190"/>
      <c r="AZ203" s="191"/>
      <c r="BA203" s="183"/>
      <c r="BB203" s="183"/>
      <c r="BC203" s="183"/>
      <c r="BD203" s="183"/>
      <c r="BE203" s="183"/>
      <c r="BF203" s="184"/>
      <c r="BG203" s="183"/>
      <c r="BH203" s="183"/>
      <c r="BI203" s="183"/>
      <c r="BJ203" s="183"/>
      <c r="BK203" s="183"/>
      <c r="BL203" s="184"/>
      <c r="BO203" s="153"/>
    </row>
    <row r="204" spans="1:67" x14ac:dyDescent="0.2">
      <c r="A204" s="61"/>
      <c r="B204" s="60">
        <f t="shared" si="368"/>
        <v>41804</v>
      </c>
      <c r="C204" s="22">
        <f t="shared" si="376"/>
        <v>4.2857142857142856</v>
      </c>
      <c r="D204" s="23">
        <f>GETPIVOTDATA("Active time (min)",EffortRPMPivot!$A$4,"date",B204,"Site",3)/60</f>
        <v>15.450000000000001</v>
      </c>
      <c r="E204" s="24">
        <f>F204+G204+GETPIVOTDATA("Sum of CNlgNo",SalmonPivot!$A$4,"Date",B204,"Site",3)</f>
        <v>3</v>
      </c>
      <c r="F204" s="24">
        <f>GETPIVOTDATA("Sum of CNlgrad",SalmonPivot!$A$4,"date",B204,"Site",3)</f>
        <v>3</v>
      </c>
      <c r="G204" s="24">
        <f>GETPIVOTDATA("Sum of CNlgrecap",SalmonPivot!$A$4,"date",B204,"Site",3)</f>
        <v>0</v>
      </c>
      <c r="H204" s="24">
        <f>I204+J204+GETPIVOTDATA("Sum of CNsmno",SalmonPivot!$M$4,"Date",B204,"Site",3)</f>
        <v>0</v>
      </c>
      <c r="I204" s="24">
        <f>GETPIVOTDATA("Sum of CNsmradio",SalmonPivot!$M$4,"Date",B204,"Site",3)</f>
        <v>0</v>
      </c>
      <c r="J204" s="24">
        <f>GETPIVOTDATA("Sum of CNsmrecap",SalmonPivot!$M$4,"Date",B204,"Site",3)</f>
        <v>0</v>
      </c>
      <c r="K204" s="24">
        <f>L204+GETPIVOTDATA("Sum of SOno",SalmonPivot!$Y$4,"Date",B204,"Site",3)+GETPIVOTDATA("Sum of SOrecap",SalmonPivot!$Y$4,"Date",B204,"Site",3)</f>
        <v>0</v>
      </c>
      <c r="L204" s="24">
        <f>GETPIVOTDATA("Sum of SOrad",SalmonPivot!$Y$4,"Date",B204,"Site",3)</f>
        <v>0</v>
      </c>
      <c r="M204" s="24">
        <f>N204+GETPIVOTDATA("Sum of PKno",SalmonPivot!$AK$4,"Date",B204,"Site",3)+GETPIVOTDATA("Sum of PKrecap",SalmonPivot!$AK$4,"Date",B204,"Site",3)</f>
        <v>0</v>
      </c>
      <c r="N204" s="24">
        <f>GETPIVOTDATA("Sum of PKrad",SalmonPivot!$AK$4,"Date",B204,"Site",3)</f>
        <v>0</v>
      </c>
      <c r="O204" s="24">
        <f>P204+GETPIVOTDATA("Sum of CMno",SalmonPivot!$AW$4,"Date",B204,"Site",3)+GETPIVOTDATA("Sum of CMrecap",SalmonPivot!$AW$4,"Date",B204,"Site",3)</f>
        <v>0</v>
      </c>
      <c r="P204" s="24">
        <f>GETPIVOTDATA("Sum of CMrad",SalmonPivot!$AW$4,"Date",B204,"Site",3)</f>
        <v>0</v>
      </c>
      <c r="Q204" s="25">
        <f>R204+GETPIVOTDATA("Sum of COno",SalmonPivot!$BI$4,"Date",B204,"Site",3)+GETPIVOTDATA("Sum of COrecap",SalmonPivot!$BI$4,"Date",B204,"Site",3)</f>
        <v>0</v>
      </c>
      <c r="R204" s="24">
        <f>GETPIVOTDATA("Sum of COrad",SalmonPivot!$BI$4,"Date",B204,"Site",3)</f>
        <v>0</v>
      </c>
      <c r="S204" s="24">
        <f>GETPIVOTDATA("Sum of TotalOther",OtherPivot!$J$5,"Date",B204,"Site",3)</f>
        <v>0</v>
      </c>
      <c r="T204" s="38"/>
      <c r="U204" s="172">
        <f>IF(GETPIVOTDATA("3 Revs (s)",EffortRPMPivot!$L$4,"Date",$B204,"Site",3)=0,"",GETPIVOTDATA("3 revs (s)",EffortRPMPivot!$L$4,"date",$B204,"Site",3))</f>
        <v>42</v>
      </c>
      <c r="V204" s="173">
        <f t="shared" si="377"/>
        <v>0.1941747572815534</v>
      </c>
      <c r="W204" s="173">
        <f t="shared" si="378"/>
        <v>0</v>
      </c>
      <c r="X204" s="173">
        <f t="shared" si="379"/>
        <v>0</v>
      </c>
      <c r="Y204" s="173">
        <f t="shared" si="380"/>
        <v>0</v>
      </c>
      <c r="Z204" s="173">
        <f t="shared" si="381"/>
        <v>0</v>
      </c>
      <c r="AA204" s="174">
        <f t="shared" si="382"/>
        <v>0</v>
      </c>
      <c r="AB204" s="188"/>
      <c r="AC204" s="188"/>
      <c r="AD204" s="188"/>
      <c r="AE204" s="188"/>
      <c r="AF204" s="188"/>
      <c r="AG204" s="188"/>
      <c r="AH204" s="189"/>
      <c r="AI204" s="188"/>
      <c r="AJ204" s="188"/>
      <c r="AK204" s="188"/>
      <c r="AL204" s="188"/>
      <c r="AM204" s="188"/>
      <c r="AN204" s="189"/>
      <c r="AO204" s="188"/>
      <c r="AP204" s="188"/>
      <c r="AQ204" s="188"/>
      <c r="AR204" s="188"/>
      <c r="AS204" s="188"/>
      <c r="AT204" s="189"/>
      <c r="AU204" s="188"/>
      <c r="AV204" s="188"/>
      <c r="AW204" s="190"/>
      <c r="AX204" s="190"/>
      <c r="AY204" s="190"/>
      <c r="AZ204" s="191"/>
      <c r="BA204" s="183"/>
      <c r="BB204" s="183"/>
      <c r="BC204" s="183"/>
      <c r="BD204" s="183"/>
      <c r="BE204" s="183"/>
      <c r="BF204" s="184"/>
      <c r="BG204" s="183"/>
      <c r="BH204" s="183"/>
      <c r="BI204" s="183"/>
      <c r="BJ204" s="183"/>
      <c r="BK204" s="183"/>
      <c r="BL204" s="184"/>
      <c r="BO204" s="153"/>
    </row>
    <row r="205" spans="1:67" x14ac:dyDescent="0.2">
      <c r="A205" s="61"/>
      <c r="B205" s="60">
        <f t="shared" si="368"/>
        <v>41805</v>
      </c>
      <c r="C205" s="22">
        <f t="shared" si="376"/>
        <v>4.5859872611464967</v>
      </c>
      <c r="D205" s="23">
        <f>GETPIVOTDATA("Active time (min)",EffortRPMPivot!$A$4,"date",B205,"Site",3)/60</f>
        <v>15.666666666666666</v>
      </c>
      <c r="E205" s="24">
        <f>F205+G205+GETPIVOTDATA("Sum of CNlgNo",SalmonPivot!$A$4,"Date",B205,"Site",3)</f>
        <v>0</v>
      </c>
      <c r="F205" s="24">
        <f>GETPIVOTDATA("Sum of CNlgrad",SalmonPivot!$A$4,"date",B205,"Site",3)</f>
        <v>0</v>
      </c>
      <c r="G205" s="24">
        <f>GETPIVOTDATA("Sum of CNlgrecap",SalmonPivot!$A$4,"date",B205,"Site",3)</f>
        <v>0</v>
      </c>
      <c r="H205" s="24">
        <f>I205+J205+GETPIVOTDATA("Sum of CNsmno",SalmonPivot!$M$4,"Date",B205,"Site",3)</f>
        <v>0</v>
      </c>
      <c r="I205" s="24">
        <f>GETPIVOTDATA("Sum of CNsmradio",SalmonPivot!$M$4,"Date",B205,"Site",3)</f>
        <v>0</v>
      </c>
      <c r="J205" s="24">
        <f>GETPIVOTDATA("Sum of CNsmrecap",SalmonPivot!$M$4,"Date",B205,"Site",3)</f>
        <v>0</v>
      </c>
      <c r="K205" s="24">
        <f>L205+GETPIVOTDATA("Sum of SOno",SalmonPivot!$Y$4,"Date",B205,"Site",3)+GETPIVOTDATA("Sum of SOrecap",SalmonPivot!$Y$4,"Date",B205,"Site",3)</f>
        <v>0</v>
      </c>
      <c r="L205" s="24">
        <f>GETPIVOTDATA("Sum of SOrad",SalmonPivot!$Y$4,"Date",B205,"Site",3)</f>
        <v>0</v>
      </c>
      <c r="M205" s="24">
        <f>N205+GETPIVOTDATA("Sum of PKno",SalmonPivot!$AK$4,"Date",B205,"Site",3)+GETPIVOTDATA("Sum of PKrecap",SalmonPivot!$AK$4,"Date",B205,"Site",3)</f>
        <v>0</v>
      </c>
      <c r="N205" s="24">
        <f>GETPIVOTDATA("Sum of PKrad",SalmonPivot!$AK$4,"Date",B205,"Site",3)</f>
        <v>0</v>
      </c>
      <c r="O205" s="24">
        <f>P205+GETPIVOTDATA("Sum of CMno",SalmonPivot!$AW$4,"Date",B205,"Site",3)+GETPIVOTDATA("Sum of CMrecap",SalmonPivot!$AW$4,"Date",B205,"Site",3)</f>
        <v>0</v>
      </c>
      <c r="P205" s="24">
        <f>GETPIVOTDATA("Sum of CMrad",SalmonPivot!$AW$4,"Date",B205,"Site",3)</f>
        <v>0</v>
      </c>
      <c r="Q205" s="25">
        <f>R205+GETPIVOTDATA("Sum of COno",SalmonPivot!$BI$4,"Date",B205,"Site",3)+GETPIVOTDATA("Sum of COrecap",SalmonPivot!$BI$4,"Date",B205,"Site",3)</f>
        <v>0</v>
      </c>
      <c r="R205" s="24">
        <f>GETPIVOTDATA("Sum of COrad",SalmonPivot!$BI$4,"Date",B205,"Site",3)</f>
        <v>0</v>
      </c>
      <c r="S205" s="24">
        <f>GETPIVOTDATA("Sum of TotalOther",OtherPivot!$J$5,"Date",B205,"Site",3)</f>
        <v>0</v>
      </c>
      <c r="T205" s="38"/>
      <c r="U205" s="172">
        <f>IF(GETPIVOTDATA("3 Revs (s)",EffortRPMPivot!$L$4,"Date",$B205,"Site",3)=0,"",GETPIVOTDATA("3 revs (s)",EffortRPMPivot!$L$4,"date",$B205,"Site",3))</f>
        <v>39.25</v>
      </c>
      <c r="V205" s="173">
        <f t="shared" si="377"/>
        <v>0</v>
      </c>
      <c r="W205" s="173">
        <f t="shared" si="378"/>
        <v>0</v>
      </c>
      <c r="X205" s="173">
        <f t="shared" si="379"/>
        <v>0</v>
      </c>
      <c r="Y205" s="173">
        <f t="shared" si="380"/>
        <v>0</v>
      </c>
      <c r="Z205" s="173">
        <f t="shared" si="381"/>
        <v>0</v>
      </c>
      <c r="AA205" s="174">
        <f t="shared" si="382"/>
        <v>0</v>
      </c>
      <c r="AB205" s="188"/>
      <c r="AC205" s="188"/>
      <c r="AD205" s="188"/>
      <c r="AE205" s="188"/>
      <c r="AF205" s="188"/>
      <c r="AG205" s="188"/>
      <c r="AH205" s="189"/>
      <c r="AI205" s="188"/>
      <c r="AJ205" s="188"/>
      <c r="AK205" s="188"/>
      <c r="AL205" s="188"/>
      <c r="AM205" s="188"/>
      <c r="AN205" s="189"/>
      <c r="AO205" s="188"/>
      <c r="AP205" s="188"/>
      <c r="AQ205" s="188"/>
      <c r="AR205" s="188"/>
      <c r="AS205" s="188"/>
      <c r="AT205" s="189"/>
      <c r="AU205" s="188"/>
      <c r="AV205" s="188"/>
      <c r="AW205" s="190"/>
      <c r="AX205" s="190"/>
      <c r="AY205" s="190"/>
      <c r="AZ205" s="191"/>
      <c r="BA205" s="183"/>
      <c r="BB205" s="183"/>
      <c r="BC205" s="183"/>
      <c r="BD205" s="183"/>
      <c r="BE205" s="183"/>
      <c r="BF205" s="184"/>
      <c r="BG205" s="183"/>
      <c r="BH205" s="183"/>
      <c r="BI205" s="183"/>
      <c r="BJ205" s="183"/>
      <c r="BK205" s="183"/>
      <c r="BL205" s="184"/>
      <c r="BO205" s="153"/>
    </row>
    <row r="206" spans="1:67" x14ac:dyDescent="0.2">
      <c r="A206" s="61"/>
      <c r="B206" s="60">
        <f t="shared" si="368"/>
        <v>41806</v>
      </c>
      <c r="C206" s="22">
        <f t="shared" si="376"/>
        <v>4.8091603053435117</v>
      </c>
      <c r="D206" s="23">
        <f>GETPIVOTDATA("Active time (min)",EffortRPMPivot!$A$4,"date",B206,"Site",3)/60</f>
        <v>15.883333333333333</v>
      </c>
      <c r="E206" s="24">
        <f>F206+G206+GETPIVOTDATA("Sum of CNlgNo",SalmonPivot!$A$4,"Date",B206,"Site",3)</f>
        <v>0</v>
      </c>
      <c r="F206" s="24">
        <f>GETPIVOTDATA("Sum of CNlgrad",SalmonPivot!$A$4,"date",B206,"Site",3)</f>
        <v>0</v>
      </c>
      <c r="G206" s="24">
        <f>GETPIVOTDATA("Sum of CNlgrecap",SalmonPivot!$A$4,"date",B206,"Site",3)</f>
        <v>0</v>
      </c>
      <c r="H206" s="24">
        <f>I206+J206+GETPIVOTDATA("Sum of CNsmno",SalmonPivot!$M$4,"Date",B206,"Site",3)</f>
        <v>0</v>
      </c>
      <c r="I206" s="24">
        <f>GETPIVOTDATA("Sum of CNsmradio",SalmonPivot!$M$4,"Date",B206,"Site",3)</f>
        <v>0</v>
      </c>
      <c r="J206" s="24">
        <f>GETPIVOTDATA("Sum of CNsmrecap",SalmonPivot!$M$4,"Date",B206,"Site",3)</f>
        <v>0</v>
      </c>
      <c r="K206" s="24">
        <f>L206+GETPIVOTDATA("Sum of SOno",SalmonPivot!$Y$4,"Date",B206,"Site",3)+GETPIVOTDATA("Sum of SOrecap",SalmonPivot!$Y$4,"Date",B206,"Site",3)</f>
        <v>0</v>
      </c>
      <c r="L206" s="24">
        <f>GETPIVOTDATA("Sum of SOrad",SalmonPivot!$Y$4,"Date",B206,"Site",3)</f>
        <v>0</v>
      </c>
      <c r="M206" s="24">
        <f>N206+GETPIVOTDATA("Sum of PKno",SalmonPivot!$AK$4,"Date",B206,"Site",3)+GETPIVOTDATA("Sum of PKrecap",SalmonPivot!$AK$4,"Date",B206,"Site",3)</f>
        <v>0</v>
      </c>
      <c r="N206" s="24">
        <f>GETPIVOTDATA("Sum of PKrad",SalmonPivot!$AK$4,"Date",B206,"Site",3)</f>
        <v>0</v>
      </c>
      <c r="O206" s="24">
        <f>P206+GETPIVOTDATA("Sum of CMno",SalmonPivot!$AW$4,"Date",B206,"Site",3)+GETPIVOTDATA("Sum of CMrecap",SalmonPivot!$AW$4,"Date",B206,"Site",3)</f>
        <v>0</v>
      </c>
      <c r="P206" s="24">
        <f>GETPIVOTDATA("Sum of CMrad",SalmonPivot!$AW$4,"Date",B206,"Site",3)</f>
        <v>0</v>
      </c>
      <c r="Q206" s="25">
        <f>R206+GETPIVOTDATA("Sum of COno",SalmonPivot!$BI$4,"Date",B206,"Site",3)+GETPIVOTDATA("Sum of COrecap",SalmonPivot!$BI$4,"Date",B206,"Site",3)</f>
        <v>0</v>
      </c>
      <c r="R206" s="24">
        <f>GETPIVOTDATA("Sum of COrad",SalmonPivot!$BI$4,"Date",B206,"Site",3)</f>
        <v>0</v>
      </c>
      <c r="S206" s="24">
        <f>GETPIVOTDATA("Sum of TotalOther",OtherPivot!$J$5,"Date",B206,"Site",3)</f>
        <v>0</v>
      </c>
      <c r="T206" s="38"/>
      <c r="U206" s="172">
        <f>IF(GETPIVOTDATA("3 Revs (s)",EffortRPMPivot!$L$4,"Date",$B206,"Site",3)=0,"",GETPIVOTDATA("3 revs (s)",EffortRPMPivot!$L$4,"date",$B206,"Site",3))</f>
        <v>37.428571428571431</v>
      </c>
      <c r="V206" s="173">
        <f t="shared" si="377"/>
        <v>0</v>
      </c>
      <c r="W206" s="173">
        <f t="shared" si="378"/>
        <v>0</v>
      </c>
      <c r="X206" s="173">
        <f t="shared" si="379"/>
        <v>0</v>
      </c>
      <c r="Y206" s="173">
        <f t="shared" si="380"/>
        <v>0</v>
      </c>
      <c r="Z206" s="173">
        <f t="shared" si="381"/>
        <v>0</v>
      </c>
      <c r="AA206" s="174">
        <f t="shared" si="382"/>
        <v>0</v>
      </c>
      <c r="AB206" s="188"/>
      <c r="AC206" s="188"/>
      <c r="AD206" s="188"/>
      <c r="AE206" s="188"/>
      <c r="AF206" s="188"/>
      <c r="AG206" s="188"/>
      <c r="AH206" s="189"/>
      <c r="AI206" s="188"/>
      <c r="AJ206" s="188"/>
      <c r="AK206" s="188"/>
      <c r="AL206" s="188"/>
      <c r="AM206" s="188"/>
      <c r="AN206" s="189"/>
      <c r="AO206" s="188"/>
      <c r="AP206" s="188"/>
      <c r="AQ206" s="188"/>
      <c r="AR206" s="188"/>
      <c r="AS206" s="188"/>
      <c r="AT206" s="189"/>
      <c r="AU206" s="188"/>
      <c r="AV206" s="188"/>
      <c r="AW206" s="190"/>
      <c r="AX206" s="190"/>
      <c r="AY206" s="190"/>
      <c r="AZ206" s="191"/>
      <c r="BA206" s="183"/>
      <c r="BB206" s="183"/>
      <c r="BC206" s="183"/>
      <c r="BD206" s="183"/>
      <c r="BE206" s="183"/>
      <c r="BF206" s="184"/>
      <c r="BG206" s="183"/>
      <c r="BH206" s="183"/>
      <c r="BI206" s="183"/>
      <c r="BJ206" s="183"/>
      <c r="BK206" s="183"/>
      <c r="BL206" s="184"/>
      <c r="BO206" s="153"/>
    </row>
    <row r="207" spans="1:67" x14ac:dyDescent="0.2">
      <c r="A207" s="61"/>
      <c r="B207" s="60">
        <f t="shared" si="368"/>
        <v>41807</v>
      </c>
      <c r="C207" s="22">
        <f t="shared" si="376"/>
        <v>4.787234042553191</v>
      </c>
      <c r="D207" s="23">
        <f>GETPIVOTDATA("Active time (min)",EffortRPMPivot!$A$4,"date",B207,"Site",3)/60</f>
        <v>16.933333333333334</v>
      </c>
      <c r="E207" s="24">
        <f>F207+G207+GETPIVOTDATA("Sum of CNlgNo",SalmonPivot!$A$4,"Date",B207,"Site",3)</f>
        <v>1</v>
      </c>
      <c r="F207" s="24">
        <f>GETPIVOTDATA("Sum of CNlgrad",SalmonPivot!$A$4,"date",B207,"Site",3)</f>
        <v>1</v>
      </c>
      <c r="G207" s="24">
        <f>GETPIVOTDATA("Sum of CNlgrecap",SalmonPivot!$A$4,"date",B207,"Site",3)</f>
        <v>0</v>
      </c>
      <c r="H207" s="24">
        <f>I207+J207+GETPIVOTDATA("Sum of CNsmno",SalmonPivot!$M$4,"Date",B207,"Site",3)</f>
        <v>0</v>
      </c>
      <c r="I207" s="24">
        <f>GETPIVOTDATA("Sum of CNsmradio",SalmonPivot!$M$4,"Date",B207,"Site",3)</f>
        <v>0</v>
      </c>
      <c r="J207" s="24">
        <f>GETPIVOTDATA("Sum of CNsmrecap",SalmonPivot!$M$4,"Date",B207,"Site",3)</f>
        <v>0</v>
      </c>
      <c r="K207" s="24">
        <f>L207+GETPIVOTDATA("Sum of SOno",SalmonPivot!$Y$4,"Date",B207,"Site",3)+GETPIVOTDATA("Sum of SOrecap",SalmonPivot!$Y$4,"Date",B207,"Site",3)</f>
        <v>0</v>
      </c>
      <c r="L207" s="24">
        <f>GETPIVOTDATA("Sum of SOrad",SalmonPivot!$Y$4,"Date",B207,"Site",3)</f>
        <v>0</v>
      </c>
      <c r="M207" s="24">
        <f>N207+GETPIVOTDATA("Sum of PKno",SalmonPivot!$AK$4,"Date",B207,"Site",3)+GETPIVOTDATA("Sum of PKrecap",SalmonPivot!$AK$4,"Date",B207,"Site",3)</f>
        <v>0</v>
      </c>
      <c r="N207" s="24">
        <f>GETPIVOTDATA("Sum of PKrad",SalmonPivot!$AK$4,"Date",B207,"Site",3)</f>
        <v>0</v>
      </c>
      <c r="O207" s="24">
        <f>P207+GETPIVOTDATA("Sum of CMno",SalmonPivot!$AW$4,"Date",B207,"Site",3)+GETPIVOTDATA("Sum of CMrecap",SalmonPivot!$AW$4,"Date",B207,"Site",3)</f>
        <v>0</v>
      </c>
      <c r="P207" s="24">
        <f>GETPIVOTDATA("Sum of CMrad",SalmonPivot!$AW$4,"Date",B207,"Site",3)</f>
        <v>0</v>
      </c>
      <c r="Q207" s="25">
        <f>R207+GETPIVOTDATA("Sum of COno",SalmonPivot!$BI$4,"Date",B207,"Site",3)+GETPIVOTDATA("Sum of COrecap",SalmonPivot!$BI$4,"Date",B207,"Site",3)</f>
        <v>0</v>
      </c>
      <c r="R207" s="24">
        <f>GETPIVOTDATA("Sum of COrad",SalmonPivot!$BI$4,"Date",B207,"Site",3)</f>
        <v>0</v>
      </c>
      <c r="S207" s="24">
        <f>GETPIVOTDATA("Sum of TotalOther",OtherPivot!$J$5,"Date",B207,"Site",3)</f>
        <v>0</v>
      </c>
      <c r="T207" s="38"/>
      <c r="U207" s="172">
        <f>IF(GETPIVOTDATA("3 Revs (s)",EffortRPMPivot!$L$4,"Date",$B207,"Site",3)=0,"",GETPIVOTDATA("3 revs (s)",EffortRPMPivot!$L$4,"date",$B207,"Site",3))</f>
        <v>37.6</v>
      </c>
      <c r="V207" s="173">
        <f t="shared" si="377"/>
        <v>5.905511811023622E-2</v>
      </c>
      <c r="W207" s="173">
        <f t="shared" si="378"/>
        <v>0</v>
      </c>
      <c r="X207" s="173">
        <f t="shared" si="379"/>
        <v>0</v>
      </c>
      <c r="Y207" s="173">
        <f t="shared" si="380"/>
        <v>0</v>
      </c>
      <c r="Z207" s="173">
        <f t="shared" si="381"/>
        <v>0</v>
      </c>
      <c r="AA207" s="174">
        <f t="shared" si="382"/>
        <v>0</v>
      </c>
      <c r="AB207" s="188"/>
      <c r="AC207" s="188"/>
      <c r="AD207" s="188"/>
      <c r="AE207" s="188"/>
      <c r="AF207" s="188"/>
      <c r="AG207" s="188"/>
      <c r="AH207" s="189"/>
      <c r="AI207" s="188"/>
      <c r="AJ207" s="188"/>
      <c r="AK207" s="188"/>
      <c r="AL207" s="188"/>
      <c r="AM207" s="188"/>
      <c r="AN207" s="189"/>
      <c r="AO207" s="188"/>
      <c r="AP207" s="188"/>
      <c r="AQ207" s="188"/>
      <c r="AR207" s="188"/>
      <c r="AS207" s="188"/>
      <c r="AT207" s="189"/>
      <c r="AU207" s="188"/>
      <c r="AV207" s="188"/>
      <c r="AW207" s="190"/>
      <c r="AX207" s="190"/>
      <c r="AY207" s="190"/>
      <c r="AZ207" s="191"/>
      <c r="BA207" s="183"/>
      <c r="BB207" s="183"/>
      <c r="BC207" s="183"/>
      <c r="BD207" s="183"/>
      <c r="BE207" s="183"/>
      <c r="BF207" s="184"/>
      <c r="BG207" s="183"/>
      <c r="BH207" s="183"/>
      <c r="BI207" s="183"/>
      <c r="BJ207" s="183"/>
      <c r="BK207" s="183"/>
      <c r="BL207" s="184"/>
      <c r="BO207" s="153"/>
    </row>
    <row r="208" spans="1:67" x14ac:dyDescent="0.2">
      <c r="A208" s="61"/>
      <c r="B208" s="60">
        <f t="shared" si="368"/>
        <v>41808</v>
      </c>
      <c r="C208" s="22">
        <f t="shared" si="376"/>
        <v>4.4444444444444438</v>
      </c>
      <c r="D208" s="23">
        <f>GETPIVOTDATA("Active time (min)",EffortRPMPivot!$A$4,"date",B208,"Site",3)/60</f>
        <v>13.133333333333335</v>
      </c>
      <c r="E208" s="24">
        <f>F208+G208+GETPIVOTDATA("Sum of CNlgNo",SalmonPivot!$A$4,"Date",B208,"Site",3)</f>
        <v>2</v>
      </c>
      <c r="F208" s="24">
        <f>GETPIVOTDATA("Sum of CNlgrad",SalmonPivot!$A$4,"date",B208,"Site",3)</f>
        <v>2</v>
      </c>
      <c r="G208" s="24">
        <f>GETPIVOTDATA("Sum of CNlgrecap",SalmonPivot!$A$4,"date",B208,"Site",3)</f>
        <v>0</v>
      </c>
      <c r="H208" s="24">
        <f>I208+J208+GETPIVOTDATA("Sum of CNsmno",SalmonPivot!$M$4,"Date",B208,"Site",3)</f>
        <v>2</v>
      </c>
      <c r="I208" s="24">
        <f>GETPIVOTDATA("Sum of CNsmradio",SalmonPivot!$M$4,"Date",B208,"Site",3)</f>
        <v>0</v>
      </c>
      <c r="J208" s="24">
        <f>GETPIVOTDATA("Sum of CNsmrecap",SalmonPivot!$M$4,"Date",B208,"Site",3)</f>
        <v>0</v>
      </c>
      <c r="K208" s="24">
        <f>L208+GETPIVOTDATA("Sum of SOno",SalmonPivot!$Y$4,"Date",B208,"Site",3)+GETPIVOTDATA("Sum of SOrecap",SalmonPivot!$Y$4,"Date",B208,"Site",3)</f>
        <v>0</v>
      </c>
      <c r="L208" s="24">
        <f>GETPIVOTDATA("Sum of SOrad",SalmonPivot!$Y$4,"Date",B208,"Site",3)</f>
        <v>0</v>
      </c>
      <c r="M208" s="24">
        <f>N208+GETPIVOTDATA("Sum of PKno",SalmonPivot!$AK$4,"Date",B208,"Site",3)+GETPIVOTDATA("Sum of PKrecap",SalmonPivot!$AK$4,"Date",B208,"Site",3)</f>
        <v>0</v>
      </c>
      <c r="N208" s="24">
        <f>GETPIVOTDATA("Sum of PKrad",SalmonPivot!$AK$4,"Date",B208,"Site",3)</f>
        <v>0</v>
      </c>
      <c r="O208" s="24">
        <f>P208+GETPIVOTDATA("Sum of CMno",SalmonPivot!$AW$4,"Date",B208,"Site",3)+GETPIVOTDATA("Sum of CMrecap",SalmonPivot!$AW$4,"Date",B208,"Site",3)</f>
        <v>0</v>
      </c>
      <c r="P208" s="24">
        <f>GETPIVOTDATA("Sum of CMrad",SalmonPivot!$AW$4,"Date",B208,"Site",3)</f>
        <v>0</v>
      </c>
      <c r="Q208" s="25">
        <f>R208+GETPIVOTDATA("Sum of COno",SalmonPivot!$BI$4,"Date",B208,"Site",3)+GETPIVOTDATA("Sum of COrecap",SalmonPivot!$BI$4,"Date",B208,"Site",3)</f>
        <v>0</v>
      </c>
      <c r="R208" s="24">
        <f>GETPIVOTDATA("Sum of COrad",SalmonPivot!$BI$4,"Date",B208,"Site",3)</f>
        <v>0</v>
      </c>
      <c r="S208" s="24">
        <f>GETPIVOTDATA("Sum of TotalOther",OtherPivot!$J$5,"Date",B208,"Site",3)</f>
        <v>1</v>
      </c>
      <c r="T208" s="38"/>
      <c r="U208" s="172">
        <f>IF(GETPIVOTDATA("3 Revs (s)",EffortRPMPivot!$L$4,"Date",$B208,"Site",3)=0,"",GETPIVOTDATA("3 revs (s)",EffortRPMPivot!$L$4,"date",$B208,"Site",3))</f>
        <v>40.5</v>
      </c>
      <c r="V208" s="173">
        <f t="shared" si="377"/>
        <v>0.15228426395939085</v>
      </c>
      <c r="W208" s="173">
        <f t="shared" si="378"/>
        <v>0.15228426395939085</v>
      </c>
      <c r="X208" s="173">
        <f t="shared" si="379"/>
        <v>0</v>
      </c>
      <c r="Y208" s="173">
        <f t="shared" si="380"/>
        <v>0</v>
      </c>
      <c r="Z208" s="173">
        <f t="shared" si="381"/>
        <v>0</v>
      </c>
      <c r="AA208" s="174">
        <f t="shared" si="382"/>
        <v>0</v>
      </c>
      <c r="AB208" s="188"/>
      <c r="AC208" s="188"/>
      <c r="AD208" s="188"/>
      <c r="AE208" s="188"/>
      <c r="AF208" s="188"/>
      <c r="AG208" s="188"/>
      <c r="AH208" s="189"/>
      <c r="AI208" s="188"/>
      <c r="AJ208" s="188"/>
      <c r="AK208" s="188"/>
      <c r="AL208" s="188"/>
      <c r="AM208" s="188"/>
      <c r="AN208" s="189"/>
      <c r="AO208" s="188"/>
      <c r="AP208" s="188"/>
      <c r="AQ208" s="188"/>
      <c r="AR208" s="188"/>
      <c r="AS208" s="188"/>
      <c r="AT208" s="189"/>
      <c r="AU208" s="188"/>
      <c r="AV208" s="188"/>
      <c r="AW208" s="190"/>
      <c r="AX208" s="190"/>
      <c r="AY208" s="190"/>
      <c r="AZ208" s="191"/>
      <c r="BA208" s="183"/>
      <c r="BB208" s="183"/>
      <c r="BC208" s="183"/>
      <c r="BD208" s="183"/>
      <c r="BE208" s="183"/>
      <c r="BF208" s="184"/>
      <c r="BG208" s="183"/>
      <c r="BH208" s="183"/>
      <c r="BI208" s="183"/>
      <c r="BJ208" s="183"/>
      <c r="BK208" s="183"/>
      <c r="BL208" s="184"/>
      <c r="BO208" s="153"/>
    </row>
    <row r="209" spans="1:67" x14ac:dyDescent="0.2">
      <c r="A209" s="61"/>
      <c r="B209" s="60">
        <f t="shared" si="368"/>
        <v>41809</v>
      </c>
      <c r="C209" s="22">
        <f t="shared" ref="C209" si="383">IF(ISERROR(3/(U209/60)),"",3/(U209/60))</f>
        <v>4.6551724137931041</v>
      </c>
      <c r="D209" s="23">
        <f>GETPIVOTDATA("Active time (min)",EffortRPMPivot!$A$4,"date",B209,"Site",3)/60</f>
        <v>15.899999999999997</v>
      </c>
      <c r="E209" s="24">
        <f>F209+G209+GETPIVOTDATA("Sum of CNlgNo",SalmonPivot!$A$4,"Date",B209,"Site",3)</f>
        <v>7</v>
      </c>
      <c r="F209" s="24">
        <f>GETPIVOTDATA("Sum of CNlgrad",SalmonPivot!$A$4,"date",B209,"Site",3)</f>
        <v>7</v>
      </c>
      <c r="G209" s="24">
        <f>GETPIVOTDATA("Sum of CNlgrecap",SalmonPivot!$A$4,"date",B209,"Site",3)</f>
        <v>0</v>
      </c>
      <c r="H209" s="24">
        <f>I209+J209+GETPIVOTDATA("Sum of CNsmno",SalmonPivot!$M$4,"Date",B209,"Site",3)</f>
        <v>7</v>
      </c>
      <c r="I209" s="24">
        <f>GETPIVOTDATA("Sum of CNsmradio",SalmonPivot!$M$4,"Date",B209,"Site",3)</f>
        <v>0</v>
      </c>
      <c r="J209" s="24">
        <f>GETPIVOTDATA("Sum of CNsmrecap",SalmonPivot!$M$4,"Date",B209,"Site",3)</f>
        <v>0</v>
      </c>
      <c r="K209" s="24">
        <f>L209+GETPIVOTDATA("Sum of SOno",SalmonPivot!$Y$4,"Date",B209,"Site",3)+GETPIVOTDATA("Sum of SOrecap",SalmonPivot!$Y$4,"Date",B209,"Site",3)</f>
        <v>0</v>
      </c>
      <c r="L209" s="24">
        <f>GETPIVOTDATA("Sum of SOrad",SalmonPivot!$Y$4,"Date",B209,"Site",3)</f>
        <v>0</v>
      </c>
      <c r="M209" s="24">
        <f>N209+GETPIVOTDATA("Sum of PKno",SalmonPivot!$AK$4,"Date",B209,"Site",3)+GETPIVOTDATA("Sum of PKrecap",SalmonPivot!$AK$4,"Date",B209,"Site",3)</f>
        <v>0</v>
      </c>
      <c r="N209" s="24">
        <f>GETPIVOTDATA("Sum of PKrad",SalmonPivot!$AK$4,"Date",B209,"Site",3)</f>
        <v>0</v>
      </c>
      <c r="O209" s="24">
        <f>P209+GETPIVOTDATA("Sum of CMno",SalmonPivot!$AW$4,"Date",B209,"Site",3)+GETPIVOTDATA("Sum of CMrecap",SalmonPivot!$AW$4,"Date",B209,"Site",3)</f>
        <v>0</v>
      </c>
      <c r="P209" s="24">
        <f>GETPIVOTDATA("Sum of CMrad",SalmonPivot!$AW$4,"Date",B209,"Site",3)</f>
        <v>0</v>
      </c>
      <c r="Q209" s="25">
        <f>R209+GETPIVOTDATA("Sum of COno",SalmonPivot!$BI$4,"Date",B209,"Site",3)+GETPIVOTDATA("Sum of COrecap",SalmonPivot!$BI$4,"Date",B209,"Site",3)</f>
        <v>0</v>
      </c>
      <c r="R209" s="24">
        <f>GETPIVOTDATA("Sum of COrad",SalmonPivot!$BI$4,"Date",B209,"Site",3)</f>
        <v>0</v>
      </c>
      <c r="S209" s="24">
        <f>GETPIVOTDATA("Sum of TotalOther",OtherPivot!$J$5,"Date",B209,"Site",3)</f>
        <v>2</v>
      </c>
      <c r="T209" s="38"/>
      <c r="U209" s="172">
        <f>IF(GETPIVOTDATA("3 Revs (s)",EffortRPMPivot!$L$4,"Date",$B209,"Site",3)=0,"",GETPIVOTDATA("3 revs (s)",EffortRPMPivot!$L$4,"date",$B209,"Site",3))</f>
        <v>38.666666666666664</v>
      </c>
      <c r="V209" s="173">
        <f t="shared" ref="V209" si="384">IF(D209=0,"",E209/D209)</f>
        <v>0.44025157232704409</v>
      </c>
      <c r="W209" s="173">
        <f t="shared" ref="W209" si="385">IF(D209=0,"",H209/D209)</f>
        <v>0.44025157232704409</v>
      </c>
      <c r="X209" s="173">
        <f t="shared" ref="X209" si="386">IF(D209=0,"",K209/$D209)</f>
        <v>0</v>
      </c>
      <c r="Y209" s="173">
        <f t="shared" ref="Y209" si="387">IF(D209=0,"",M209/$D209)</f>
        <v>0</v>
      </c>
      <c r="Z209" s="173">
        <f t="shared" ref="Z209" si="388">IF(D209=0,"",O209/$D209)</f>
        <v>0</v>
      </c>
      <c r="AA209" s="174">
        <f t="shared" ref="AA209" si="389">IF(D209=0,"",Q209/$D209)</f>
        <v>0</v>
      </c>
      <c r="AB209" s="188"/>
      <c r="AC209" s="188"/>
      <c r="AD209" s="188"/>
      <c r="AE209" s="188"/>
      <c r="AF209" s="188"/>
      <c r="AG209" s="188"/>
      <c r="AH209" s="189"/>
      <c r="AI209" s="188"/>
      <c r="AJ209" s="188"/>
      <c r="AK209" s="188"/>
      <c r="AL209" s="188"/>
      <c r="AM209" s="188"/>
      <c r="AN209" s="189"/>
      <c r="AO209" s="188"/>
      <c r="AP209" s="188"/>
      <c r="AQ209" s="188"/>
      <c r="AR209" s="188"/>
      <c r="AS209" s="188"/>
      <c r="AT209" s="189"/>
      <c r="AU209" s="188"/>
      <c r="AV209" s="188"/>
      <c r="AW209" s="190"/>
      <c r="AX209" s="190"/>
      <c r="AY209" s="190"/>
      <c r="AZ209" s="191"/>
      <c r="BA209" s="183"/>
      <c r="BB209" s="183"/>
      <c r="BC209" s="183"/>
      <c r="BD209" s="183"/>
      <c r="BE209" s="183"/>
      <c r="BF209" s="184"/>
      <c r="BG209" s="183"/>
      <c r="BH209" s="183"/>
      <c r="BI209" s="183"/>
      <c r="BJ209" s="183"/>
      <c r="BK209" s="183"/>
      <c r="BL209" s="184"/>
      <c r="BO209" s="153"/>
    </row>
    <row r="210" spans="1:67" x14ac:dyDescent="0.2">
      <c r="A210" s="61"/>
      <c r="B210" s="60">
        <f t="shared" si="368"/>
        <v>41810</v>
      </c>
      <c r="C210" s="22">
        <f t="shared" ref="C210" si="390">IF(ISERROR(3/(U210/60)),"",3/(U210/60))</f>
        <v>4.556962025316456</v>
      </c>
      <c r="D210" s="23">
        <f>GETPIVOTDATA("Active time (min)",EffortRPMPivot!$A$4,"date",B210,"Site",3)/60</f>
        <v>16.266666666666669</v>
      </c>
      <c r="E210" s="24">
        <f>F210+G210+GETPIVOTDATA("Sum of CNlgNo",SalmonPivot!$A$4,"Date",B210,"Site",3)</f>
        <v>7</v>
      </c>
      <c r="F210" s="24">
        <f>GETPIVOTDATA("Sum of CNlgrad",SalmonPivot!$A$4,"date",B210,"Site",3)</f>
        <v>7</v>
      </c>
      <c r="G210" s="24">
        <f>GETPIVOTDATA("Sum of CNlgrecap",SalmonPivot!$A$4,"date",B210,"Site",3)</f>
        <v>0</v>
      </c>
      <c r="H210" s="24">
        <f>I210+J210+GETPIVOTDATA("Sum of CNsmno",SalmonPivot!$M$4,"Date",B210,"Site",3)</f>
        <v>3</v>
      </c>
      <c r="I210" s="24">
        <f>GETPIVOTDATA("Sum of CNsmradio",SalmonPivot!$M$4,"Date",B210,"Site",3)</f>
        <v>0</v>
      </c>
      <c r="J210" s="24">
        <f>GETPIVOTDATA("Sum of CNsmrecap",SalmonPivot!$M$4,"Date",B210,"Site",3)</f>
        <v>0</v>
      </c>
      <c r="K210" s="24">
        <f>L210+GETPIVOTDATA("Sum of SOno",SalmonPivot!$Y$4,"Date",B210,"Site",3)+GETPIVOTDATA("Sum of SOrecap",SalmonPivot!$Y$4,"Date",B210,"Site",3)</f>
        <v>0</v>
      </c>
      <c r="L210" s="24">
        <f>GETPIVOTDATA("Sum of SOrad",SalmonPivot!$Y$4,"Date",B210,"Site",3)</f>
        <v>0</v>
      </c>
      <c r="M210" s="24">
        <f>N210+GETPIVOTDATA("Sum of PKno",SalmonPivot!$AK$4,"Date",B210,"Site",3)+GETPIVOTDATA("Sum of PKrecap",SalmonPivot!$AK$4,"Date",B210,"Site",3)</f>
        <v>0</v>
      </c>
      <c r="N210" s="24">
        <f>GETPIVOTDATA("Sum of PKrad",SalmonPivot!$AK$4,"Date",B210,"Site",3)</f>
        <v>0</v>
      </c>
      <c r="O210" s="24">
        <f>P210+GETPIVOTDATA("Sum of CMno",SalmonPivot!$AW$4,"Date",B210,"Site",3)+GETPIVOTDATA("Sum of CMrecap",SalmonPivot!$AW$4,"Date",B210,"Site",3)</f>
        <v>0</v>
      </c>
      <c r="P210" s="24">
        <f>GETPIVOTDATA("Sum of CMrad",SalmonPivot!$AW$4,"Date",B210,"Site",3)</f>
        <v>0</v>
      </c>
      <c r="Q210" s="25">
        <f>R210+GETPIVOTDATA("Sum of COno",SalmonPivot!$BI$4,"Date",B210,"Site",3)+GETPIVOTDATA("Sum of COrecap",SalmonPivot!$BI$4,"Date",B210,"Site",3)</f>
        <v>0</v>
      </c>
      <c r="R210" s="24">
        <f>GETPIVOTDATA("Sum of COrad",SalmonPivot!$BI$4,"Date",B210,"Site",3)</f>
        <v>0</v>
      </c>
      <c r="S210" s="24">
        <f>GETPIVOTDATA("Sum of TotalOther",OtherPivot!$J$5,"Date",B210,"Site",3)</f>
        <v>2</v>
      </c>
      <c r="T210" s="38"/>
      <c r="U210" s="172">
        <f>IF(GETPIVOTDATA("3 Revs (s)",EffortRPMPivot!$L$4,"Date",$B210,"Site",3)=0,"",GETPIVOTDATA("3 revs (s)",EffortRPMPivot!$L$4,"date",$B210,"Site",3))</f>
        <v>39.5</v>
      </c>
      <c r="V210" s="173">
        <f t="shared" ref="V210" si="391">IF(D210=0,"",E210/D210)</f>
        <v>0.43032786885245894</v>
      </c>
      <c r="W210" s="173">
        <f t="shared" ref="W210" si="392">IF(D210=0,"",H210/D210)</f>
        <v>0.1844262295081967</v>
      </c>
      <c r="X210" s="173">
        <f t="shared" ref="X210" si="393">IF(D210=0,"",K210/$D210)</f>
        <v>0</v>
      </c>
      <c r="Y210" s="173">
        <f t="shared" ref="Y210" si="394">IF(D210=0,"",M210/$D210)</f>
        <v>0</v>
      </c>
      <c r="Z210" s="173">
        <f t="shared" ref="Z210" si="395">IF(D210=0,"",O210/$D210)</f>
        <v>0</v>
      </c>
      <c r="AA210" s="174">
        <f t="shared" ref="AA210" si="396">IF(D210=0,"",Q210/$D210)</f>
        <v>0</v>
      </c>
      <c r="AB210" s="188"/>
      <c r="AC210" s="188"/>
      <c r="AD210" s="188"/>
      <c r="AE210" s="188"/>
      <c r="AF210" s="188"/>
      <c r="AG210" s="188"/>
      <c r="AH210" s="189"/>
      <c r="AI210" s="188"/>
      <c r="AJ210" s="188"/>
      <c r="AK210" s="188"/>
      <c r="AL210" s="188"/>
      <c r="AM210" s="188"/>
      <c r="AN210" s="189"/>
      <c r="AO210" s="188"/>
      <c r="AP210" s="188"/>
      <c r="AQ210" s="188"/>
      <c r="AR210" s="188"/>
      <c r="AS210" s="188"/>
      <c r="AT210" s="189"/>
      <c r="AU210" s="188"/>
      <c r="AV210" s="188"/>
      <c r="AW210" s="190"/>
      <c r="AX210" s="190"/>
      <c r="AY210" s="190"/>
      <c r="AZ210" s="191"/>
      <c r="BA210" s="183"/>
      <c r="BB210" s="183"/>
      <c r="BC210" s="183"/>
      <c r="BD210" s="183"/>
      <c r="BE210" s="183"/>
      <c r="BF210" s="184"/>
      <c r="BG210" s="183"/>
      <c r="BH210" s="183"/>
      <c r="BI210" s="183"/>
      <c r="BJ210" s="183"/>
      <c r="BK210" s="183"/>
      <c r="BL210" s="184"/>
      <c r="BO210" s="153"/>
    </row>
    <row r="211" spans="1:67" x14ac:dyDescent="0.2">
      <c r="A211" s="61"/>
      <c r="B211" s="60">
        <f t="shared" si="368"/>
        <v>41811</v>
      </c>
      <c r="C211" s="22">
        <f t="shared" ref="C211:C213" si="397">IF(ISERROR(3/(U211/60)),"",3/(U211/60))</f>
        <v>4.5283018867924527</v>
      </c>
      <c r="D211" s="23">
        <f>GETPIVOTDATA("Active time (min)",EffortRPMPivot!$A$4,"date",B211,"Site",3)/60</f>
        <v>17.100000000000001</v>
      </c>
      <c r="E211" s="24">
        <f>F211+G211+GETPIVOTDATA("Sum of CNlgNo",SalmonPivot!$A$4,"Date",B211,"Site",3)</f>
        <v>14</v>
      </c>
      <c r="F211" s="24">
        <f>GETPIVOTDATA("Sum of CNlgrad",SalmonPivot!$A$4,"date",B211,"Site",3)</f>
        <v>13</v>
      </c>
      <c r="G211" s="24">
        <f>GETPIVOTDATA("Sum of CNlgrecap",SalmonPivot!$A$4,"date",B211,"Site",3)</f>
        <v>0</v>
      </c>
      <c r="H211" s="24">
        <f>I211+J211+GETPIVOTDATA("Sum of CNsmno",SalmonPivot!$M$4,"Date",B211,"Site",3)</f>
        <v>6</v>
      </c>
      <c r="I211" s="24">
        <f>GETPIVOTDATA("Sum of CNsmradio",SalmonPivot!$M$4,"Date",B211,"Site",3)</f>
        <v>0</v>
      </c>
      <c r="J211" s="24">
        <f>GETPIVOTDATA("Sum of CNsmrecap",SalmonPivot!$M$4,"Date",B211,"Site",3)</f>
        <v>0</v>
      </c>
      <c r="K211" s="24">
        <f>L211+GETPIVOTDATA("Sum of SOno",SalmonPivot!$Y$4,"Date",B211,"Site",3)+GETPIVOTDATA("Sum of SOrecap",SalmonPivot!$Y$4,"Date",B211,"Site",3)</f>
        <v>0</v>
      </c>
      <c r="L211" s="24">
        <f>GETPIVOTDATA("Sum of SOrad",SalmonPivot!$Y$4,"Date",B211,"Site",3)</f>
        <v>0</v>
      </c>
      <c r="M211" s="24">
        <f>N211+GETPIVOTDATA("Sum of PKno",SalmonPivot!$AK$4,"Date",B211,"Site",3)+GETPIVOTDATA("Sum of PKrecap",SalmonPivot!$AK$4,"Date",B211,"Site",3)</f>
        <v>0</v>
      </c>
      <c r="N211" s="24">
        <f>GETPIVOTDATA("Sum of PKrad",SalmonPivot!$AK$4,"Date",B211,"Site",3)</f>
        <v>0</v>
      </c>
      <c r="O211" s="24">
        <f>P211+GETPIVOTDATA("Sum of CMno",SalmonPivot!$AW$4,"Date",B211,"Site",3)+GETPIVOTDATA("Sum of CMrecap",SalmonPivot!$AW$4,"Date",B211,"Site",3)</f>
        <v>0</v>
      </c>
      <c r="P211" s="24">
        <f>GETPIVOTDATA("Sum of CMrad",SalmonPivot!$AW$4,"Date",B211,"Site",3)</f>
        <v>0</v>
      </c>
      <c r="Q211" s="25">
        <f>R211+GETPIVOTDATA("Sum of COno",SalmonPivot!$BI$4,"Date",B211,"Site",3)+GETPIVOTDATA("Sum of COrecap",SalmonPivot!$BI$4,"Date",B211,"Site",3)</f>
        <v>0</v>
      </c>
      <c r="R211" s="24">
        <f>GETPIVOTDATA("Sum of COrad",SalmonPivot!$BI$4,"Date",B211,"Site",3)</f>
        <v>0</v>
      </c>
      <c r="S211" s="24">
        <f>GETPIVOTDATA("Sum of TotalOther",OtherPivot!$J$5,"Date",B211,"Site",3)</f>
        <v>3</v>
      </c>
      <c r="T211" s="38"/>
      <c r="U211" s="172">
        <f>IF(GETPIVOTDATA("3 Revs (s)",EffortRPMPivot!$L$4,"Date",$B211,"Site",3)=0,"",GETPIVOTDATA("3 revs (s)",EffortRPMPivot!$L$4,"date",$B211,"Site",3))</f>
        <v>39.75</v>
      </c>
      <c r="V211" s="173">
        <f t="shared" ref="V211:V213" si="398">IF(D211=0,"",E211/D211)</f>
        <v>0.81871345029239762</v>
      </c>
      <c r="W211" s="173">
        <f t="shared" ref="W211:W213" si="399">IF(D211=0,"",H211/D211)</f>
        <v>0.35087719298245612</v>
      </c>
      <c r="X211" s="173">
        <f t="shared" ref="X211:X213" si="400">IF(D211=0,"",K211/$D211)</f>
        <v>0</v>
      </c>
      <c r="Y211" s="173">
        <f t="shared" ref="Y211:Y213" si="401">IF(D211=0,"",M211/$D211)</f>
        <v>0</v>
      </c>
      <c r="Z211" s="173">
        <f t="shared" ref="Z211:Z213" si="402">IF(D211=0,"",O211/$D211)</f>
        <v>0</v>
      </c>
      <c r="AA211" s="174">
        <f t="shared" ref="AA211:AA213" si="403">IF(D211=0,"",Q211/$D211)</f>
        <v>0</v>
      </c>
      <c r="AB211" s="188"/>
      <c r="AC211" s="188"/>
      <c r="AD211" s="188"/>
      <c r="AE211" s="188"/>
      <c r="AF211" s="188"/>
      <c r="AG211" s="188"/>
      <c r="AH211" s="189"/>
      <c r="AI211" s="188"/>
      <c r="AJ211" s="188"/>
      <c r="AK211" s="188"/>
      <c r="AL211" s="188"/>
      <c r="AM211" s="188"/>
      <c r="AN211" s="189"/>
      <c r="AO211" s="188"/>
      <c r="AP211" s="188"/>
      <c r="AQ211" s="188"/>
      <c r="AR211" s="188"/>
      <c r="AS211" s="188"/>
      <c r="AT211" s="189"/>
      <c r="AU211" s="188"/>
      <c r="AV211" s="188"/>
      <c r="AW211" s="190"/>
      <c r="AX211" s="190"/>
      <c r="AY211" s="190"/>
      <c r="AZ211" s="191"/>
      <c r="BA211" s="183"/>
      <c r="BB211" s="183"/>
      <c r="BC211" s="183"/>
      <c r="BD211" s="183"/>
      <c r="BE211" s="183"/>
      <c r="BF211" s="184"/>
      <c r="BG211" s="183"/>
      <c r="BH211" s="183"/>
      <c r="BI211" s="183"/>
      <c r="BJ211" s="183"/>
      <c r="BK211" s="183"/>
      <c r="BL211" s="184"/>
      <c r="BO211" s="153"/>
    </row>
    <row r="212" spans="1:67" x14ac:dyDescent="0.2">
      <c r="A212" s="61"/>
      <c r="B212" s="60">
        <f t="shared" si="368"/>
        <v>41812</v>
      </c>
      <c r="C212" s="22">
        <f t="shared" si="397"/>
        <v>4.615384615384615</v>
      </c>
      <c r="D212" s="23">
        <f>GETPIVOTDATA("Active time (min)",EffortRPMPivot!$A$4,"date",B212,"Site",3)/60</f>
        <v>17.399999999999999</v>
      </c>
      <c r="E212" s="24">
        <f>F212+G212+GETPIVOTDATA("Sum of CNlgNo",SalmonPivot!$A$4,"Date",B212,"Site",3)</f>
        <v>12</v>
      </c>
      <c r="F212" s="24">
        <f>GETPIVOTDATA("Sum of CNlgrad",SalmonPivot!$A$4,"date",B212,"Site",3)</f>
        <v>11</v>
      </c>
      <c r="G212" s="24">
        <f>GETPIVOTDATA("Sum of CNlgrecap",SalmonPivot!$A$4,"date",B212,"Site",3)</f>
        <v>0</v>
      </c>
      <c r="H212" s="24">
        <f>I212+J212+GETPIVOTDATA("Sum of CNsmno",SalmonPivot!$M$4,"Date",B212,"Site",3)</f>
        <v>7</v>
      </c>
      <c r="I212" s="24">
        <f>GETPIVOTDATA("Sum of CNsmradio",SalmonPivot!$M$4,"Date",B212,"Site",3)</f>
        <v>1</v>
      </c>
      <c r="J212" s="24">
        <f>GETPIVOTDATA("Sum of CNsmrecap",SalmonPivot!$M$4,"Date",B212,"Site",3)</f>
        <v>0</v>
      </c>
      <c r="K212" s="24">
        <f>L212+GETPIVOTDATA("Sum of SOno",SalmonPivot!$Y$4,"Date",B212,"Site",3)+GETPIVOTDATA("Sum of SOrecap",SalmonPivot!$Y$4,"Date",B212,"Site",3)</f>
        <v>0</v>
      </c>
      <c r="L212" s="24">
        <f>GETPIVOTDATA("Sum of SOrad",SalmonPivot!$Y$4,"Date",B212,"Site",3)</f>
        <v>0</v>
      </c>
      <c r="M212" s="24">
        <f>N212+GETPIVOTDATA("Sum of PKno",SalmonPivot!$AK$4,"Date",B212,"Site",3)+GETPIVOTDATA("Sum of PKrecap",SalmonPivot!$AK$4,"Date",B212,"Site",3)</f>
        <v>0</v>
      </c>
      <c r="N212" s="24">
        <f>GETPIVOTDATA("Sum of PKrad",SalmonPivot!$AK$4,"Date",B212,"Site",3)</f>
        <v>0</v>
      </c>
      <c r="O212" s="24">
        <f>P212+GETPIVOTDATA("Sum of CMno",SalmonPivot!$AW$4,"Date",B212,"Site",3)+GETPIVOTDATA("Sum of CMrecap",SalmonPivot!$AW$4,"Date",B212,"Site",3)</f>
        <v>0</v>
      </c>
      <c r="P212" s="24">
        <f>GETPIVOTDATA("Sum of CMrad",SalmonPivot!$AW$4,"Date",B212,"Site",3)</f>
        <v>0</v>
      </c>
      <c r="Q212" s="25">
        <f>R212+GETPIVOTDATA("Sum of COno",SalmonPivot!$BI$4,"Date",B212,"Site",3)+GETPIVOTDATA("Sum of COrecap",SalmonPivot!$BI$4,"Date",B212,"Site",3)</f>
        <v>0</v>
      </c>
      <c r="R212" s="24">
        <f>GETPIVOTDATA("Sum of COrad",SalmonPivot!$BI$4,"Date",B212,"Site",3)</f>
        <v>0</v>
      </c>
      <c r="S212" s="24">
        <f>GETPIVOTDATA("Sum of TotalOther",OtherPivot!$J$5,"Date",B212,"Site",3)</f>
        <v>3</v>
      </c>
      <c r="T212" s="38"/>
      <c r="U212" s="172">
        <f>IF(GETPIVOTDATA("3 Revs (s)",EffortRPMPivot!$L$4,"Date",$B212,"Site",3)=0,"",GETPIVOTDATA("3 revs (s)",EffortRPMPivot!$L$4,"date",$B212,"Site",3))</f>
        <v>39</v>
      </c>
      <c r="V212" s="173">
        <f t="shared" si="398"/>
        <v>0.68965517241379315</v>
      </c>
      <c r="W212" s="173">
        <f t="shared" si="399"/>
        <v>0.40229885057471265</v>
      </c>
      <c r="X212" s="173">
        <f t="shared" si="400"/>
        <v>0</v>
      </c>
      <c r="Y212" s="173">
        <f t="shared" si="401"/>
        <v>0</v>
      </c>
      <c r="Z212" s="173">
        <f t="shared" si="402"/>
        <v>0</v>
      </c>
      <c r="AA212" s="174">
        <f t="shared" si="403"/>
        <v>0</v>
      </c>
      <c r="AB212" s="188"/>
      <c r="AC212" s="188"/>
      <c r="AD212" s="188"/>
      <c r="AE212" s="188"/>
      <c r="AF212" s="188"/>
      <c r="AG212" s="188"/>
      <c r="AH212" s="189"/>
      <c r="AI212" s="188"/>
      <c r="AJ212" s="188"/>
      <c r="AK212" s="188"/>
      <c r="AL212" s="188"/>
      <c r="AM212" s="188"/>
      <c r="AN212" s="189"/>
      <c r="AO212" s="188"/>
      <c r="AP212" s="188"/>
      <c r="AQ212" s="188"/>
      <c r="AR212" s="188"/>
      <c r="AS212" s="188"/>
      <c r="AT212" s="189"/>
      <c r="AU212" s="188"/>
      <c r="AV212" s="188"/>
      <c r="AW212" s="190"/>
      <c r="AX212" s="190"/>
      <c r="AY212" s="190"/>
      <c r="AZ212" s="191"/>
      <c r="BA212" s="183"/>
      <c r="BB212" s="183"/>
      <c r="BC212" s="183"/>
      <c r="BD212" s="183"/>
      <c r="BE212" s="183"/>
      <c r="BF212" s="184"/>
      <c r="BG212" s="183"/>
      <c r="BH212" s="183"/>
      <c r="BI212" s="183"/>
      <c r="BJ212" s="183"/>
      <c r="BK212" s="183"/>
      <c r="BL212" s="184"/>
      <c r="BM212" s="413"/>
      <c r="BN212" s="413"/>
      <c r="BO212" s="153"/>
    </row>
    <row r="213" spans="1:67" x14ac:dyDescent="0.2">
      <c r="A213" s="61"/>
      <c r="B213" s="60">
        <f t="shared" si="368"/>
        <v>41813</v>
      </c>
      <c r="C213" s="22">
        <f t="shared" si="397"/>
        <v>4.2857142857142856</v>
      </c>
      <c r="D213" s="23">
        <f>GETPIVOTDATA("Active time (min)",EffortRPMPivot!$A$4,"date",B213,"Site",3)/60</f>
        <v>17.416666666666668</v>
      </c>
      <c r="E213" s="24">
        <f>F213+G213+GETPIVOTDATA("Sum of CNlgNo",SalmonPivot!$A$4,"Date",B213,"Site",3)</f>
        <v>3</v>
      </c>
      <c r="F213" s="24">
        <f>GETPIVOTDATA("Sum of CNlgrad",SalmonPivot!$A$4,"date",B213,"Site",3)</f>
        <v>3</v>
      </c>
      <c r="G213" s="24">
        <f>GETPIVOTDATA("Sum of CNlgrecap",SalmonPivot!$A$4,"date",B213,"Site",3)</f>
        <v>0</v>
      </c>
      <c r="H213" s="24">
        <f>I213+J213+GETPIVOTDATA("Sum of CNsmno",SalmonPivot!$M$4,"Date",B213,"Site",3)</f>
        <v>0</v>
      </c>
      <c r="I213" s="24">
        <f>GETPIVOTDATA("Sum of CNsmradio",SalmonPivot!$M$4,"Date",B213,"Site",3)</f>
        <v>0</v>
      </c>
      <c r="J213" s="24">
        <f>GETPIVOTDATA("Sum of CNsmrecap",SalmonPivot!$M$4,"Date",B213,"Site",3)</f>
        <v>0</v>
      </c>
      <c r="K213" s="24">
        <f>L213+GETPIVOTDATA("Sum of SOno",SalmonPivot!$Y$4,"Date",B213,"Site",3)+GETPIVOTDATA("Sum of SOrecap",SalmonPivot!$Y$4,"Date",B213,"Site",3)</f>
        <v>0</v>
      </c>
      <c r="L213" s="24">
        <f>GETPIVOTDATA("Sum of SOrad",SalmonPivot!$Y$4,"Date",B213,"Site",3)</f>
        <v>0</v>
      </c>
      <c r="M213" s="24">
        <f>N213+GETPIVOTDATA("Sum of PKno",SalmonPivot!$AK$4,"Date",B213,"Site",3)+GETPIVOTDATA("Sum of PKrecap",SalmonPivot!$AK$4,"Date",B213,"Site",3)</f>
        <v>0</v>
      </c>
      <c r="N213" s="24">
        <f>GETPIVOTDATA("Sum of PKrad",SalmonPivot!$AK$4,"Date",B213,"Site",3)</f>
        <v>0</v>
      </c>
      <c r="O213" s="24">
        <f>P213+GETPIVOTDATA("Sum of CMno",SalmonPivot!$AW$4,"Date",B213,"Site",3)+GETPIVOTDATA("Sum of CMrecap",SalmonPivot!$AW$4,"Date",B213,"Site",3)</f>
        <v>0</v>
      </c>
      <c r="P213" s="24">
        <f>GETPIVOTDATA("Sum of CMrad",SalmonPivot!$AW$4,"Date",B213,"Site",3)</f>
        <v>0</v>
      </c>
      <c r="Q213" s="25">
        <f>R213+GETPIVOTDATA("Sum of COno",SalmonPivot!$BI$4,"Date",B213,"Site",3)+GETPIVOTDATA("Sum of COrecap",SalmonPivot!$BI$4,"Date",B213,"Site",3)</f>
        <v>0</v>
      </c>
      <c r="R213" s="24">
        <f>GETPIVOTDATA("Sum of COrad",SalmonPivot!$BI$4,"Date",B213,"Site",3)</f>
        <v>0</v>
      </c>
      <c r="S213" s="24">
        <f>GETPIVOTDATA("Sum of TotalOther",OtherPivot!$J$5,"Date",B213,"Site",3)</f>
        <v>2</v>
      </c>
      <c r="T213" s="38"/>
      <c r="U213" s="172">
        <f>IF(GETPIVOTDATA("3 Revs (s)",EffortRPMPivot!$L$4,"Date",$B213,"Site",3)=0,"",GETPIVOTDATA("3 revs (s)",EffortRPMPivot!$L$4,"date",$B213,"Site",3))</f>
        <v>42</v>
      </c>
      <c r="V213" s="173">
        <f t="shared" si="398"/>
        <v>0.17224880382775118</v>
      </c>
      <c r="W213" s="173">
        <f t="shared" si="399"/>
        <v>0</v>
      </c>
      <c r="X213" s="173">
        <f t="shared" si="400"/>
        <v>0</v>
      </c>
      <c r="Y213" s="173">
        <f t="shared" si="401"/>
        <v>0</v>
      </c>
      <c r="Z213" s="173">
        <f t="shared" si="402"/>
        <v>0</v>
      </c>
      <c r="AA213" s="174">
        <f t="shared" si="403"/>
        <v>0</v>
      </c>
      <c r="AB213" s="188"/>
      <c r="AC213" s="188"/>
      <c r="AD213" s="188"/>
      <c r="AE213" s="188"/>
      <c r="AF213" s="188"/>
      <c r="AG213" s="188"/>
      <c r="AH213" s="189"/>
      <c r="AI213" s="188"/>
      <c r="AJ213" s="188"/>
      <c r="AK213" s="188"/>
      <c r="AL213" s="188"/>
      <c r="AM213" s="188"/>
      <c r="AN213" s="189"/>
      <c r="AO213" s="188"/>
      <c r="AP213" s="188"/>
      <c r="AQ213" s="188"/>
      <c r="AR213" s="188"/>
      <c r="AS213" s="188"/>
      <c r="AT213" s="189"/>
      <c r="AU213" s="188"/>
      <c r="AV213" s="188"/>
      <c r="AW213" s="190"/>
      <c r="AX213" s="190"/>
      <c r="AY213" s="190"/>
      <c r="AZ213" s="191"/>
      <c r="BA213" s="183"/>
      <c r="BB213" s="183"/>
      <c r="BC213" s="183"/>
      <c r="BD213" s="183"/>
      <c r="BE213" s="183"/>
      <c r="BF213" s="184"/>
      <c r="BG213" s="183"/>
      <c r="BH213" s="183"/>
      <c r="BI213" s="183"/>
      <c r="BJ213" s="183"/>
      <c r="BK213" s="183"/>
      <c r="BL213" s="184"/>
      <c r="BO213" s="153"/>
    </row>
    <row r="214" spans="1:67" x14ac:dyDescent="0.2">
      <c r="A214" s="61"/>
      <c r="B214" s="60">
        <f t="shared" si="368"/>
        <v>41814</v>
      </c>
      <c r="C214" s="22">
        <f t="shared" ref="C214:C215" si="404">IF(ISERROR(3/(U214/60)),"",3/(U214/60))</f>
        <v>4</v>
      </c>
      <c r="D214" s="23">
        <f>GETPIVOTDATA("Active time (min)",EffortRPMPivot!$A$4,"date",B214,"Site",3)/60</f>
        <v>17.5</v>
      </c>
      <c r="E214" s="24">
        <f>F214+G214+GETPIVOTDATA("Sum of CNlgNo",SalmonPivot!$A$4,"Date",B214,"Site",3)</f>
        <v>7</v>
      </c>
      <c r="F214" s="24">
        <f>GETPIVOTDATA("Sum of CNlgrad",SalmonPivot!$A$4,"date",B214,"Site",3)</f>
        <v>6</v>
      </c>
      <c r="G214" s="24">
        <f>GETPIVOTDATA("Sum of CNlgrecap",SalmonPivot!$A$4,"date",B214,"Site",3)</f>
        <v>0</v>
      </c>
      <c r="H214" s="24">
        <f>I214+J214+GETPIVOTDATA("Sum of CNsmno",SalmonPivot!$M$4,"Date",B214,"Site",3)</f>
        <v>1</v>
      </c>
      <c r="I214" s="24">
        <f>GETPIVOTDATA("Sum of CNsmradio",SalmonPivot!$M$4,"Date",B214,"Site",3)</f>
        <v>0</v>
      </c>
      <c r="J214" s="24">
        <f>GETPIVOTDATA("Sum of CNsmrecap",SalmonPivot!$M$4,"Date",B214,"Site",3)</f>
        <v>0</v>
      </c>
      <c r="K214" s="24">
        <f>L214+GETPIVOTDATA("Sum of SOno",SalmonPivot!$Y$4,"Date",B214,"Site",3)+GETPIVOTDATA("Sum of SOrecap",SalmonPivot!$Y$4,"Date",B214,"Site",3)</f>
        <v>0</v>
      </c>
      <c r="L214" s="24">
        <f>GETPIVOTDATA("Sum of SOrad",SalmonPivot!$Y$4,"Date",B214,"Site",3)</f>
        <v>0</v>
      </c>
      <c r="M214" s="24">
        <f>N214+GETPIVOTDATA("Sum of PKno",SalmonPivot!$AK$4,"Date",B214,"Site",3)+GETPIVOTDATA("Sum of PKrecap",SalmonPivot!$AK$4,"Date",B214,"Site",3)</f>
        <v>0</v>
      </c>
      <c r="N214" s="24">
        <f>GETPIVOTDATA("Sum of PKrad",SalmonPivot!$AK$4,"Date",B214,"Site",3)</f>
        <v>0</v>
      </c>
      <c r="O214" s="24">
        <f>P214+GETPIVOTDATA("Sum of CMno",SalmonPivot!$AW$4,"Date",B214,"Site",3)+GETPIVOTDATA("Sum of CMrecap",SalmonPivot!$AW$4,"Date",B214,"Site",3)</f>
        <v>0</v>
      </c>
      <c r="P214" s="24">
        <f>GETPIVOTDATA("Sum of CMrad",SalmonPivot!$AW$4,"Date",B214,"Site",3)</f>
        <v>0</v>
      </c>
      <c r="Q214" s="25">
        <f>R214+GETPIVOTDATA("Sum of COno",SalmonPivot!$BI$4,"Date",B214,"Site",3)+GETPIVOTDATA("Sum of COrecap",SalmonPivot!$BI$4,"Date",B214,"Site",3)</f>
        <v>0</v>
      </c>
      <c r="R214" s="24">
        <f>GETPIVOTDATA("Sum of COrad",SalmonPivot!$BI$4,"Date",B214,"Site",3)</f>
        <v>0</v>
      </c>
      <c r="S214" s="24">
        <f>GETPIVOTDATA("Sum of TotalOther",OtherPivot!$J$5,"Date",B214,"Site",3)</f>
        <v>0</v>
      </c>
      <c r="T214" s="38"/>
      <c r="U214" s="172">
        <f>IF(GETPIVOTDATA("3 Revs (s)",EffortRPMPivot!$L$4,"Date",$B214,"Site",3)=0,"",GETPIVOTDATA("3 revs (s)",EffortRPMPivot!$L$4,"date",$B214,"Site",3))</f>
        <v>45</v>
      </c>
      <c r="V214" s="173">
        <f t="shared" ref="V214:V215" si="405">IF(D214=0,"",E214/D214)</f>
        <v>0.4</v>
      </c>
      <c r="W214" s="173">
        <f t="shared" ref="W214:W215" si="406">IF(D214=0,"",H214/D214)</f>
        <v>5.7142857142857141E-2</v>
      </c>
      <c r="X214" s="173">
        <f t="shared" ref="X214:X215" si="407">IF(D214=0,"",K214/$D214)</f>
        <v>0</v>
      </c>
      <c r="Y214" s="173">
        <f t="shared" ref="Y214:Y215" si="408">IF(D214=0,"",M214/$D214)</f>
        <v>0</v>
      </c>
      <c r="Z214" s="173">
        <f t="shared" ref="Z214:Z218" si="409">IF(D214=0,"",O214/$D214)</f>
        <v>0</v>
      </c>
      <c r="AA214" s="174">
        <f t="shared" ref="AA214:AA218" si="410">IF(D214=0,"",Q214/$D214)</f>
        <v>0</v>
      </c>
      <c r="AB214" s="188"/>
      <c r="AC214" s="188"/>
      <c r="AD214" s="188"/>
      <c r="AE214" s="188"/>
      <c r="AF214" s="188"/>
      <c r="AG214" s="188"/>
      <c r="AH214" s="189"/>
      <c r="AI214" s="188"/>
      <c r="AJ214" s="188"/>
      <c r="AK214" s="188"/>
      <c r="AL214" s="188"/>
      <c r="AM214" s="188"/>
      <c r="AN214" s="189"/>
      <c r="AO214" s="188"/>
      <c r="AP214" s="188"/>
      <c r="AQ214" s="188"/>
      <c r="AR214" s="188"/>
      <c r="AS214" s="188"/>
      <c r="AT214" s="189"/>
      <c r="AU214" s="188"/>
      <c r="AV214" s="188"/>
      <c r="AW214" s="190"/>
      <c r="AX214" s="190"/>
      <c r="AY214" s="190"/>
      <c r="AZ214" s="191"/>
      <c r="BA214" s="183"/>
      <c r="BB214" s="183"/>
      <c r="BC214" s="183"/>
      <c r="BD214" s="183"/>
      <c r="BE214" s="183"/>
      <c r="BF214" s="184"/>
      <c r="BG214" s="183"/>
      <c r="BH214" s="183"/>
      <c r="BI214" s="183"/>
      <c r="BJ214" s="183"/>
      <c r="BK214" s="183"/>
      <c r="BL214" s="184"/>
      <c r="BO214" s="153"/>
    </row>
    <row r="215" spans="1:67" x14ac:dyDescent="0.2">
      <c r="A215" s="61"/>
      <c r="B215" s="60">
        <f t="shared" si="368"/>
        <v>41815</v>
      </c>
      <c r="C215" s="22">
        <f t="shared" si="404"/>
        <v>3.9560439560439562</v>
      </c>
      <c r="D215" s="23">
        <f>GETPIVOTDATA("Active time (min)",EffortRPMPivot!$A$4,"date",B215,"Site",3)/60</f>
        <v>16.100000000000001</v>
      </c>
      <c r="E215" s="24">
        <f>F215+G215+GETPIVOTDATA("Sum of CNlgNo",SalmonPivot!$A$4,"Date",B215,"Site",3)</f>
        <v>8</v>
      </c>
      <c r="F215" s="24">
        <f>GETPIVOTDATA("Sum of CNlgrad",SalmonPivot!$A$4,"date",B215,"Site",3)</f>
        <v>8</v>
      </c>
      <c r="G215" s="24">
        <f>GETPIVOTDATA("Sum of CNlgrecap",SalmonPivot!$A$4,"date",B215,"Site",3)</f>
        <v>0</v>
      </c>
      <c r="H215" s="24">
        <f>I215+J215+GETPIVOTDATA("Sum of CNsmno",SalmonPivot!$M$4,"Date",B215,"Site",3)</f>
        <v>1</v>
      </c>
      <c r="I215" s="24">
        <f>GETPIVOTDATA("Sum of CNsmradio",SalmonPivot!$M$4,"Date",B215,"Site",3)</f>
        <v>0</v>
      </c>
      <c r="J215" s="24">
        <f>GETPIVOTDATA("Sum of CNsmrecap",SalmonPivot!$M$4,"Date",B215,"Site",3)</f>
        <v>0</v>
      </c>
      <c r="K215" s="24">
        <f>L215+GETPIVOTDATA("Sum of SOno",SalmonPivot!$Y$4,"Date",B215,"Site",3)+GETPIVOTDATA("Sum of SOrecap",SalmonPivot!$Y$4,"Date",B215,"Site",3)</f>
        <v>0</v>
      </c>
      <c r="L215" s="24">
        <f>GETPIVOTDATA("Sum of SOrad",SalmonPivot!$Y$4,"Date",B215,"Site",3)</f>
        <v>0</v>
      </c>
      <c r="M215" s="24">
        <f>N215+GETPIVOTDATA("Sum of PKno",SalmonPivot!$AK$4,"Date",B215,"Site",3)+GETPIVOTDATA("Sum of PKrecap",SalmonPivot!$AK$4,"Date",B215,"Site",3)</f>
        <v>0</v>
      </c>
      <c r="N215" s="24">
        <f>GETPIVOTDATA("Sum of PKrad",SalmonPivot!$AK$4,"Date",B215,"Site",3)</f>
        <v>0</v>
      </c>
      <c r="O215" s="24">
        <f>P215+GETPIVOTDATA("Sum of CMno",SalmonPivot!$AW$4,"Date",B215,"Site",3)+GETPIVOTDATA("Sum of CMrecap",SalmonPivot!$AW$4,"Date",B215,"Site",3)</f>
        <v>0</v>
      </c>
      <c r="P215" s="24">
        <f>GETPIVOTDATA("Sum of CMrad",SalmonPivot!$AW$4,"Date",B215,"Site",3)</f>
        <v>0</v>
      </c>
      <c r="Q215" s="25">
        <f>R215+GETPIVOTDATA("Sum of COno",SalmonPivot!$BI$4,"Date",B215,"Site",3)+GETPIVOTDATA("Sum of COrecap",SalmonPivot!$BI$4,"Date",B215,"Site",3)</f>
        <v>0</v>
      </c>
      <c r="R215" s="24">
        <f>GETPIVOTDATA("Sum of COrad",SalmonPivot!$BI$4,"Date",B215,"Site",3)</f>
        <v>0</v>
      </c>
      <c r="S215" s="24">
        <f>GETPIVOTDATA("Sum of TotalOther",OtherPivot!$J$5,"Date",B215,"Site",3)</f>
        <v>1</v>
      </c>
      <c r="T215" s="38"/>
      <c r="U215" s="172">
        <f>IF(GETPIVOTDATA("3 Revs (s)",EffortRPMPivot!$L$4,"Date",$B215,"Site",3)=0,"",GETPIVOTDATA("3 revs (s)",EffortRPMPivot!$L$4,"date",$B215,"Site",3))</f>
        <v>45.5</v>
      </c>
      <c r="V215" s="173">
        <f t="shared" si="405"/>
        <v>0.49689440993788814</v>
      </c>
      <c r="W215" s="173">
        <f t="shared" si="406"/>
        <v>6.2111801242236017E-2</v>
      </c>
      <c r="X215" s="173">
        <f t="shared" si="407"/>
        <v>0</v>
      </c>
      <c r="Y215" s="173">
        <f t="shared" si="408"/>
        <v>0</v>
      </c>
      <c r="Z215" s="173">
        <f t="shared" si="409"/>
        <v>0</v>
      </c>
      <c r="AA215" s="174">
        <f t="shared" si="410"/>
        <v>0</v>
      </c>
      <c r="AB215" s="188"/>
      <c r="AC215" s="188"/>
      <c r="AD215" s="188"/>
      <c r="AE215" s="188"/>
      <c r="AF215" s="188"/>
      <c r="AG215" s="188"/>
      <c r="AH215" s="189"/>
      <c r="AI215" s="188"/>
      <c r="AJ215" s="188"/>
      <c r="AK215" s="188"/>
      <c r="AL215" s="188"/>
      <c r="AM215" s="188"/>
      <c r="AN215" s="189"/>
      <c r="AO215" s="188"/>
      <c r="AP215" s="188"/>
      <c r="AQ215" s="188"/>
      <c r="AR215" s="188"/>
      <c r="AS215" s="188"/>
      <c r="AT215" s="189"/>
      <c r="AU215" s="188"/>
      <c r="AV215" s="188"/>
      <c r="AW215" s="190"/>
      <c r="AX215" s="190"/>
      <c r="AY215" s="190"/>
      <c r="AZ215" s="191"/>
      <c r="BA215" s="183"/>
      <c r="BB215" s="183"/>
      <c r="BC215" s="183"/>
      <c r="BD215" s="183"/>
      <c r="BE215" s="183"/>
      <c r="BF215" s="184"/>
      <c r="BG215" s="183"/>
      <c r="BH215" s="183"/>
      <c r="BI215" s="183"/>
      <c r="BJ215" s="183"/>
      <c r="BK215" s="183"/>
      <c r="BL215" s="184"/>
      <c r="BO215" s="153"/>
    </row>
    <row r="216" spans="1:67" x14ac:dyDescent="0.2">
      <c r="A216" s="61"/>
      <c r="B216" s="60">
        <f t="shared" si="368"/>
        <v>41816</v>
      </c>
      <c r="C216" s="22"/>
      <c r="D216" s="23"/>
      <c r="E216" s="24"/>
      <c r="F216" s="24"/>
      <c r="G216" s="24"/>
      <c r="H216" s="24"/>
      <c r="I216" s="24"/>
      <c r="J216" s="24"/>
      <c r="K216" s="24"/>
      <c r="L216" s="24"/>
      <c r="M216" s="24"/>
      <c r="N216" s="24"/>
      <c r="O216" s="24"/>
      <c r="P216" s="24"/>
      <c r="Q216" s="25"/>
      <c r="R216" s="24"/>
      <c r="S216" s="24"/>
      <c r="T216" s="38"/>
      <c r="U216" s="172"/>
      <c r="V216" s="173"/>
      <c r="W216" s="173"/>
      <c r="X216" s="173"/>
      <c r="Y216" s="173"/>
      <c r="Z216" s="173" t="str">
        <f t="shared" si="409"/>
        <v/>
      </c>
      <c r="AA216" s="174" t="str">
        <f t="shared" si="410"/>
        <v/>
      </c>
      <c r="AB216" s="188"/>
      <c r="AC216" s="188"/>
      <c r="AD216" s="188"/>
      <c r="AE216" s="188"/>
      <c r="AF216" s="188"/>
      <c r="AG216" s="188"/>
      <c r="AH216" s="189"/>
      <c r="AI216" s="188"/>
      <c r="AJ216" s="188"/>
      <c r="AK216" s="188"/>
      <c r="AL216" s="188"/>
      <c r="AM216" s="188"/>
      <c r="AN216" s="189"/>
      <c r="AO216" s="188"/>
      <c r="AP216" s="188"/>
      <c r="AQ216" s="188"/>
      <c r="AR216" s="188"/>
      <c r="AS216" s="188"/>
      <c r="AT216" s="189"/>
      <c r="AU216" s="188"/>
      <c r="AV216" s="188"/>
      <c r="AW216" s="190"/>
      <c r="AX216" s="190"/>
      <c r="AY216" s="190"/>
      <c r="AZ216" s="191"/>
      <c r="BA216" s="183"/>
      <c r="BB216" s="183"/>
      <c r="BC216" s="183"/>
      <c r="BD216" s="183"/>
      <c r="BE216" s="183"/>
      <c r="BF216" s="184"/>
      <c r="BG216" s="183"/>
      <c r="BH216" s="183"/>
      <c r="BI216" s="183"/>
      <c r="BJ216" s="183"/>
      <c r="BK216" s="183"/>
      <c r="BL216" s="184"/>
      <c r="BO216" s="153"/>
    </row>
    <row r="217" spans="1:67" x14ac:dyDescent="0.2">
      <c r="A217" s="61"/>
      <c r="B217" s="60">
        <f t="shared" si="368"/>
        <v>41817</v>
      </c>
      <c r="C217" s="22"/>
      <c r="D217" s="23"/>
      <c r="E217" s="24"/>
      <c r="F217" s="24"/>
      <c r="G217" s="24"/>
      <c r="H217" s="24"/>
      <c r="I217" s="24"/>
      <c r="J217" s="24"/>
      <c r="K217" s="24"/>
      <c r="L217" s="24"/>
      <c r="M217" s="24"/>
      <c r="N217" s="24"/>
      <c r="O217" s="24"/>
      <c r="P217" s="24"/>
      <c r="Q217" s="25"/>
      <c r="R217" s="24"/>
      <c r="S217" s="24"/>
      <c r="T217" s="38"/>
      <c r="U217" s="172"/>
      <c r="V217" s="173"/>
      <c r="W217" s="173"/>
      <c r="X217" s="173"/>
      <c r="Y217" s="173"/>
      <c r="Z217" s="173" t="str">
        <f t="shared" si="409"/>
        <v/>
      </c>
      <c r="AA217" s="174" t="str">
        <f t="shared" si="410"/>
        <v/>
      </c>
      <c r="AB217" s="188"/>
      <c r="AC217" s="188"/>
      <c r="AD217" s="188"/>
      <c r="AE217" s="188"/>
      <c r="AF217" s="188"/>
      <c r="AG217" s="188"/>
      <c r="AH217" s="189"/>
      <c r="AI217" s="188"/>
      <c r="AJ217" s="188"/>
      <c r="AK217" s="188"/>
      <c r="AL217" s="188"/>
      <c r="AM217" s="188"/>
      <c r="AN217" s="189"/>
      <c r="AO217" s="188"/>
      <c r="AP217" s="188"/>
      <c r="AQ217" s="188"/>
      <c r="AR217" s="188"/>
      <c r="AS217" s="188"/>
      <c r="AT217" s="189"/>
      <c r="AU217" s="188"/>
      <c r="AV217" s="188"/>
      <c r="AW217" s="190"/>
      <c r="AX217" s="190"/>
      <c r="AY217" s="190"/>
      <c r="AZ217" s="191"/>
      <c r="BA217" s="183"/>
      <c r="BB217" s="183"/>
      <c r="BC217" s="183"/>
      <c r="BD217" s="183"/>
      <c r="BE217" s="183"/>
      <c r="BF217" s="184"/>
      <c r="BG217" s="183"/>
      <c r="BH217" s="183"/>
      <c r="BI217" s="183"/>
      <c r="BJ217" s="183"/>
      <c r="BK217" s="183"/>
      <c r="BL217" s="184"/>
      <c r="BO217" s="153"/>
    </row>
    <row r="218" spans="1:67" x14ac:dyDescent="0.2">
      <c r="A218" s="61"/>
      <c r="B218" s="60">
        <f t="shared" si="368"/>
        <v>41818</v>
      </c>
      <c r="C218" s="22"/>
      <c r="D218" s="23"/>
      <c r="E218" s="24"/>
      <c r="F218" s="24"/>
      <c r="G218" s="24"/>
      <c r="H218" s="24"/>
      <c r="I218" s="24"/>
      <c r="J218" s="24"/>
      <c r="K218" s="24"/>
      <c r="L218" s="24"/>
      <c r="M218" s="24"/>
      <c r="N218" s="24"/>
      <c r="O218" s="24"/>
      <c r="P218" s="24"/>
      <c r="Q218" s="25"/>
      <c r="R218" s="24"/>
      <c r="S218" s="24"/>
      <c r="T218" s="38"/>
      <c r="U218" s="172"/>
      <c r="V218" s="173"/>
      <c r="W218" s="173"/>
      <c r="X218" s="173"/>
      <c r="Y218" s="173"/>
      <c r="Z218" s="173" t="str">
        <f t="shared" si="409"/>
        <v/>
      </c>
      <c r="AA218" s="174" t="str">
        <f t="shared" si="410"/>
        <v/>
      </c>
      <c r="AB218" s="188"/>
      <c r="AC218" s="188"/>
      <c r="AD218" s="188"/>
      <c r="AE218" s="188"/>
      <c r="AF218" s="188"/>
      <c r="AG218" s="188"/>
      <c r="AH218" s="189"/>
      <c r="AI218" s="188"/>
      <c r="AJ218" s="188"/>
      <c r="AK218" s="188"/>
      <c r="AL218" s="188"/>
      <c r="AM218" s="188"/>
      <c r="AN218" s="189"/>
      <c r="AO218" s="188"/>
      <c r="AP218" s="188"/>
      <c r="AQ218" s="188"/>
      <c r="AR218" s="188"/>
      <c r="AS218" s="188"/>
      <c r="AT218" s="189"/>
      <c r="AU218" s="188"/>
      <c r="AV218" s="188"/>
      <c r="AW218" s="190"/>
      <c r="AX218" s="190"/>
      <c r="AY218" s="190"/>
      <c r="AZ218" s="191"/>
      <c r="BA218" s="183"/>
      <c r="BB218" s="183"/>
      <c r="BC218" s="183"/>
      <c r="BD218" s="183"/>
      <c r="BE218" s="183"/>
      <c r="BF218" s="184"/>
      <c r="BG218" s="183"/>
      <c r="BH218" s="183"/>
      <c r="BI218" s="183"/>
      <c r="BJ218" s="183"/>
      <c r="BK218" s="183"/>
      <c r="BL218" s="184"/>
      <c r="BO218" s="153"/>
    </row>
    <row r="219" spans="1:67" x14ac:dyDescent="0.2">
      <c r="A219" s="61"/>
      <c r="B219" s="60">
        <f t="shared" si="368"/>
        <v>41819</v>
      </c>
      <c r="C219" s="22">
        <f t="shared" ref="C219:C226" si="411">IF(ISERROR(3/(U219/60)),"",3/(U219/60))</f>
        <v>5.1428571428571423</v>
      </c>
      <c r="D219" s="23">
        <f>GETPIVOTDATA("Active time (min)",EffortRPMPivot!$A$4,"date",B219,"Site",3)/60</f>
        <v>17.616666666666667</v>
      </c>
      <c r="E219" s="24">
        <f>F219+G219+GETPIVOTDATA("Sum of CNlgNo",SalmonPivot!$A$4,"Date",B219,"Site",3)</f>
        <v>3</v>
      </c>
      <c r="F219" s="24">
        <f>GETPIVOTDATA("Sum of CNlgrad",SalmonPivot!$A$4,"date",B219,"Site",3)</f>
        <v>3</v>
      </c>
      <c r="G219" s="24">
        <f>GETPIVOTDATA("Sum of CNlgrecap",SalmonPivot!$A$4,"date",B219,"Site",3)</f>
        <v>0</v>
      </c>
      <c r="H219" s="24">
        <f>I219+J219+GETPIVOTDATA("Sum of CNsmno",SalmonPivot!$M$4,"Date",B219,"Site",3)</f>
        <v>1</v>
      </c>
      <c r="I219" s="24">
        <f>GETPIVOTDATA("Sum of CNsmradio",SalmonPivot!$M$4,"Date",B219,"Site",3)</f>
        <v>0</v>
      </c>
      <c r="J219" s="24">
        <f>GETPIVOTDATA("Sum of CNsmrecap",SalmonPivot!$M$4,"Date",B219,"Site",3)</f>
        <v>0</v>
      </c>
      <c r="K219" s="24">
        <f>L219+GETPIVOTDATA("Sum of SOno",SalmonPivot!$Y$4,"Date",B219,"Site",3)+GETPIVOTDATA("Sum of SOrecap",SalmonPivot!$Y$4,"Date",B219,"Site",3)</f>
        <v>0</v>
      </c>
      <c r="L219" s="24">
        <f>GETPIVOTDATA("Sum of SOrad",SalmonPivot!$Y$4,"Date",B219,"Site",3)</f>
        <v>0</v>
      </c>
      <c r="M219" s="24">
        <f>N219+GETPIVOTDATA("Sum of PKno",SalmonPivot!$AK$4,"Date",B219,"Site",3)+GETPIVOTDATA("Sum of PKrecap",SalmonPivot!$AK$4,"Date",B219,"Site",3)</f>
        <v>0</v>
      </c>
      <c r="N219" s="24">
        <f>GETPIVOTDATA("Sum of PKrad",SalmonPivot!$AK$4,"Date",B219,"Site",3)</f>
        <v>0</v>
      </c>
      <c r="O219" s="24">
        <f>P219+GETPIVOTDATA("Sum of CMno",SalmonPivot!$AW$4,"Date",B219,"Site",3)+GETPIVOTDATA("Sum of CMrecap",SalmonPivot!$AW$4,"Date",B219,"Site",3)</f>
        <v>0</v>
      </c>
      <c r="P219" s="24">
        <f>GETPIVOTDATA("Sum of CMrad",SalmonPivot!$AW$4,"Date",B219,"Site",3)</f>
        <v>0</v>
      </c>
      <c r="Q219" s="25">
        <f>R219+GETPIVOTDATA("Sum of COno",SalmonPivot!$BI$4,"Date",B219,"Site",3)+GETPIVOTDATA("Sum of COrecap",SalmonPivot!$BI$4,"Date",B219,"Site",3)</f>
        <v>0</v>
      </c>
      <c r="R219" s="24">
        <f>GETPIVOTDATA("Sum of COrad",SalmonPivot!$BI$4,"Date",B219,"Site",3)</f>
        <v>0</v>
      </c>
      <c r="S219" s="24">
        <f>GETPIVOTDATA("Sum of TotalOther",OtherPivot!$J$5,"Date",B219,"Site",3)</f>
        <v>0</v>
      </c>
      <c r="T219" s="38"/>
      <c r="U219" s="172">
        <f>IF(GETPIVOTDATA("3 Revs (s)",EffortRPMPivot!$L$4,"Date",$B219,"Site",3)=0,"",GETPIVOTDATA("3 revs (s)",EffortRPMPivot!$L$4,"date",$B219,"Site",3))</f>
        <v>35</v>
      </c>
      <c r="V219" s="173">
        <f t="shared" ref="V219:V226" si="412">IF(D219=0,"",E219/D219)</f>
        <v>0.17029328287606432</v>
      </c>
      <c r="W219" s="173">
        <f t="shared" ref="W219:W226" si="413">IF(D219=0,"",H219/D219)</f>
        <v>5.6764427625354774E-2</v>
      </c>
      <c r="X219" s="173">
        <f t="shared" ref="X219:X226" si="414">IF(D219=0,"",K219/$D219)</f>
        <v>0</v>
      </c>
      <c r="Y219" s="173">
        <f t="shared" ref="Y219:Y226" si="415">IF(D219=0,"",M219/$D219)</f>
        <v>0</v>
      </c>
      <c r="Z219" s="173">
        <f t="shared" ref="Z219:Z226" si="416">IF(D219=0,"",O219/$D219)</f>
        <v>0</v>
      </c>
      <c r="AA219" s="174">
        <f t="shared" ref="AA219:AA226" si="417">IF(D219=0,"",Q219/$D219)</f>
        <v>0</v>
      </c>
      <c r="AB219" s="188"/>
      <c r="AC219" s="188"/>
      <c r="AD219" s="188"/>
      <c r="AE219" s="188"/>
      <c r="AF219" s="188"/>
      <c r="AG219" s="188"/>
      <c r="AH219" s="189"/>
      <c r="AI219" s="188"/>
      <c r="AJ219" s="188"/>
      <c r="AK219" s="188"/>
      <c r="AL219" s="188"/>
      <c r="AM219" s="188"/>
      <c r="AN219" s="189"/>
      <c r="AO219" s="188"/>
      <c r="AP219" s="188"/>
      <c r="AQ219" s="188"/>
      <c r="AR219" s="188"/>
      <c r="AS219" s="188"/>
      <c r="AT219" s="189"/>
      <c r="AU219" s="188"/>
      <c r="AV219" s="188"/>
      <c r="AW219" s="190"/>
      <c r="AX219" s="190"/>
      <c r="AY219" s="190"/>
      <c r="AZ219" s="191"/>
      <c r="BA219" s="183"/>
      <c r="BB219" s="183"/>
      <c r="BC219" s="183"/>
      <c r="BD219" s="183"/>
      <c r="BE219" s="183"/>
      <c r="BF219" s="184"/>
      <c r="BG219" s="183"/>
      <c r="BH219" s="183"/>
      <c r="BI219" s="183"/>
      <c r="BJ219" s="183"/>
      <c r="BK219" s="183"/>
      <c r="BL219" s="184"/>
      <c r="BO219" s="153"/>
    </row>
    <row r="220" spans="1:67" x14ac:dyDescent="0.2">
      <c r="A220" s="61"/>
      <c r="B220" s="60">
        <f t="shared" si="368"/>
        <v>41820</v>
      </c>
      <c r="C220" s="22">
        <f t="shared" si="411"/>
        <v>4.5283018867924527</v>
      </c>
      <c r="D220" s="23">
        <f>GETPIVOTDATA("Active time (min)",EffortRPMPivot!$A$4,"date",B220,"Site",3)/60</f>
        <v>23.7</v>
      </c>
      <c r="E220" s="24">
        <f>F220+G220+GETPIVOTDATA("Sum of CNlgNo",SalmonPivot!$A$4,"Date",B220,"Site",3)</f>
        <v>11</v>
      </c>
      <c r="F220" s="24">
        <f>GETPIVOTDATA("Sum of CNlgrad",SalmonPivot!$A$4,"date",B220,"Site",3)</f>
        <v>10</v>
      </c>
      <c r="G220" s="24">
        <f>GETPIVOTDATA("Sum of CNlgrecap",SalmonPivot!$A$4,"date",B220,"Site",3)</f>
        <v>0</v>
      </c>
      <c r="H220" s="24">
        <f>I220+J220+GETPIVOTDATA("Sum of CNsmno",SalmonPivot!$M$4,"Date",B220,"Site",3)</f>
        <v>5</v>
      </c>
      <c r="I220" s="24">
        <f>GETPIVOTDATA("Sum of CNsmradio",SalmonPivot!$M$4,"Date",B220,"Site",3)</f>
        <v>1</v>
      </c>
      <c r="J220" s="24">
        <f>GETPIVOTDATA("Sum of CNsmrecap",SalmonPivot!$M$4,"Date",B220,"Site",3)</f>
        <v>0</v>
      </c>
      <c r="K220" s="24">
        <f>L220+GETPIVOTDATA("Sum of SOno",SalmonPivot!$Y$4,"Date",B220,"Site",3)+GETPIVOTDATA("Sum of SOrecap",SalmonPivot!$Y$4,"Date",B220,"Site",3)</f>
        <v>0</v>
      </c>
      <c r="L220" s="24">
        <f>GETPIVOTDATA("Sum of SOrad",SalmonPivot!$Y$4,"Date",B220,"Site",3)</f>
        <v>0</v>
      </c>
      <c r="M220" s="24">
        <f>N220+GETPIVOTDATA("Sum of PKno",SalmonPivot!$AK$4,"Date",B220,"Site",3)+GETPIVOTDATA("Sum of PKrecap",SalmonPivot!$AK$4,"Date",B220,"Site",3)</f>
        <v>0</v>
      </c>
      <c r="N220" s="24">
        <f>GETPIVOTDATA("Sum of PKrad",SalmonPivot!$AK$4,"Date",B220,"Site",3)</f>
        <v>0</v>
      </c>
      <c r="O220" s="24">
        <f>P220+GETPIVOTDATA("Sum of CMno",SalmonPivot!$AW$4,"Date",B220,"Site",3)+GETPIVOTDATA("Sum of CMrecap",SalmonPivot!$AW$4,"Date",B220,"Site",3)</f>
        <v>0</v>
      </c>
      <c r="P220" s="24">
        <f>GETPIVOTDATA("Sum of CMrad",SalmonPivot!$AW$4,"Date",B220,"Site",3)</f>
        <v>0</v>
      </c>
      <c r="Q220" s="25">
        <f>R220+GETPIVOTDATA("Sum of COno",SalmonPivot!$BI$4,"Date",B220,"Site",3)+GETPIVOTDATA("Sum of COrecap",SalmonPivot!$BI$4,"Date",B220,"Site",3)</f>
        <v>0</v>
      </c>
      <c r="R220" s="24">
        <f>GETPIVOTDATA("Sum of COrad",SalmonPivot!$BI$4,"Date",B220,"Site",3)</f>
        <v>0</v>
      </c>
      <c r="S220" s="24">
        <f>GETPIVOTDATA("Sum of TotalOther",OtherPivot!$J$5,"Date",B220,"Site",3)</f>
        <v>0</v>
      </c>
      <c r="T220" s="38"/>
      <c r="U220" s="172">
        <f>IF(GETPIVOTDATA("3 Revs (s)",EffortRPMPivot!$L$4,"Date",$B220,"Site",3)=0,"",GETPIVOTDATA("3 revs (s)",EffortRPMPivot!$L$4,"date",$B220,"Site",3))</f>
        <v>39.75</v>
      </c>
      <c r="V220" s="173">
        <f t="shared" si="412"/>
        <v>0.46413502109704641</v>
      </c>
      <c r="W220" s="173">
        <f t="shared" si="413"/>
        <v>0.2109704641350211</v>
      </c>
      <c r="X220" s="173">
        <f t="shared" si="414"/>
        <v>0</v>
      </c>
      <c r="Y220" s="173">
        <f t="shared" si="415"/>
        <v>0</v>
      </c>
      <c r="Z220" s="173">
        <f t="shared" si="416"/>
        <v>0</v>
      </c>
      <c r="AA220" s="174">
        <f t="shared" si="417"/>
        <v>0</v>
      </c>
      <c r="AB220" s="188"/>
      <c r="AC220" s="188"/>
      <c r="AD220" s="188"/>
      <c r="AE220" s="188"/>
      <c r="AF220" s="188"/>
      <c r="AG220" s="188"/>
      <c r="AH220" s="189"/>
      <c r="AI220" s="188"/>
      <c r="AJ220" s="188"/>
      <c r="AK220" s="188"/>
      <c r="AL220" s="188"/>
      <c r="AM220" s="188"/>
      <c r="AN220" s="189"/>
      <c r="AO220" s="188"/>
      <c r="AP220" s="188"/>
      <c r="AQ220" s="188"/>
      <c r="AR220" s="188"/>
      <c r="AS220" s="188"/>
      <c r="AT220" s="189"/>
      <c r="AU220" s="188"/>
      <c r="AV220" s="188"/>
      <c r="AW220" s="190"/>
      <c r="AX220" s="190"/>
      <c r="AY220" s="190"/>
      <c r="AZ220" s="191"/>
      <c r="BA220" s="183"/>
      <c r="BB220" s="183"/>
      <c r="BC220" s="183"/>
      <c r="BD220" s="183"/>
      <c r="BE220" s="183"/>
      <c r="BF220" s="184"/>
      <c r="BG220" s="183"/>
      <c r="BH220" s="183"/>
      <c r="BI220" s="183"/>
      <c r="BJ220" s="183"/>
      <c r="BK220" s="183"/>
      <c r="BL220" s="184"/>
      <c r="BO220" s="153"/>
    </row>
    <row r="221" spans="1:67" x14ac:dyDescent="0.2">
      <c r="A221" s="61"/>
      <c r="B221" s="60">
        <f t="shared" si="368"/>
        <v>41821</v>
      </c>
      <c r="C221" s="22">
        <f t="shared" si="411"/>
        <v>3.4285714285714284</v>
      </c>
      <c r="D221" s="23">
        <f>GETPIVOTDATA("Active time (min)",EffortRPMPivot!$A$4,"date",B221,"Site",3)/60</f>
        <v>24</v>
      </c>
      <c r="E221" s="24">
        <f>F221+G221+GETPIVOTDATA("Sum of CNlgNo",SalmonPivot!$A$4,"Date",B221,"Site",3)</f>
        <v>27</v>
      </c>
      <c r="F221" s="24">
        <f>GETPIVOTDATA("Sum of CNlgrad",SalmonPivot!$A$4,"date",B221,"Site",3)</f>
        <v>24</v>
      </c>
      <c r="G221" s="24">
        <f>GETPIVOTDATA("Sum of CNlgrecap",SalmonPivot!$A$4,"date",B221,"Site",3)</f>
        <v>0</v>
      </c>
      <c r="H221" s="24">
        <f>I221+J221+GETPIVOTDATA("Sum of CNsmno",SalmonPivot!$M$4,"Date",B221,"Site",3)</f>
        <v>9</v>
      </c>
      <c r="I221" s="24">
        <f>GETPIVOTDATA("Sum of CNsmradio",SalmonPivot!$M$4,"Date",B221,"Site",3)</f>
        <v>2</v>
      </c>
      <c r="J221" s="24">
        <f>GETPIVOTDATA("Sum of CNsmrecap",SalmonPivot!$M$4,"Date",B221,"Site",3)</f>
        <v>0</v>
      </c>
      <c r="K221" s="24">
        <f>L221+GETPIVOTDATA("Sum of SOno",SalmonPivot!$Y$4,"Date",B221,"Site",3)+GETPIVOTDATA("Sum of SOrecap",SalmonPivot!$Y$4,"Date",B221,"Site",3)</f>
        <v>0</v>
      </c>
      <c r="L221" s="24">
        <f>GETPIVOTDATA("Sum of SOrad",SalmonPivot!$Y$4,"Date",B221,"Site",3)</f>
        <v>0</v>
      </c>
      <c r="M221" s="24">
        <f>N221+GETPIVOTDATA("Sum of PKno",SalmonPivot!$AK$4,"Date",B221,"Site",3)+GETPIVOTDATA("Sum of PKrecap",SalmonPivot!$AK$4,"Date",B221,"Site",3)</f>
        <v>0</v>
      </c>
      <c r="N221" s="24">
        <f>GETPIVOTDATA("Sum of PKrad",SalmonPivot!$AK$4,"Date",B221,"Site",3)</f>
        <v>0</v>
      </c>
      <c r="O221" s="24">
        <f>P221+GETPIVOTDATA("Sum of CMno",SalmonPivot!$AW$4,"Date",B221,"Site",3)+GETPIVOTDATA("Sum of CMrecap",SalmonPivot!$AW$4,"Date",B221,"Site",3)</f>
        <v>0</v>
      </c>
      <c r="P221" s="24">
        <f>GETPIVOTDATA("Sum of CMrad",SalmonPivot!$AW$4,"Date",B221,"Site",3)</f>
        <v>0</v>
      </c>
      <c r="Q221" s="25">
        <f>R221+GETPIVOTDATA("Sum of COno",SalmonPivot!$BI$4,"Date",B221,"Site",3)+GETPIVOTDATA("Sum of COrecap",SalmonPivot!$BI$4,"Date",B221,"Site",3)</f>
        <v>0</v>
      </c>
      <c r="R221" s="24">
        <f>GETPIVOTDATA("Sum of COrad",SalmonPivot!$BI$4,"Date",B221,"Site",3)</f>
        <v>0</v>
      </c>
      <c r="S221" s="24">
        <f>GETPIVOTDATA("Sum of TotalOther",OtherPivot!$J$5,"Date",B221,"Site",3)</f>
        <v>5</v>
      </c>
      <c r="T221" s="38"/>
      <c r="U221" s="172">
        <f>IF(GETPIVOTDATA("3 Revs (s)",EffortRPMPivot!$L$4,"Date",$B221,"Site",3)=0,"",GETPIVOTDATA("3 revs (s)",EffortRPMPivot!$L$4,"date",$B221,"Site",3))</f>
        <v>52.5</v>
      </c>
      <c r="V221" s="173">
        <f t="shared" si="412"/>
        <v>1.125</v>
      </c>
      <c r="W221" s="173">
        <f t="shared" si="413"/>
        <v>0.375</v>
      </c>
      <c r="X221" s="173">
        <f t="shared" si="414"/>
        <v>0</v>
      </c>
      <c r="Y221" s="173">
        <f t="shared" si="415"/>
        <v>0</v>
      </c>
      <c r="Z221" s="173">
        <f t="shared" si="416"/>
        <v>0</v>
      </c>
      <c r="AA221" s="174">
        <f t="shared" si="417"/>
        <v>0</v>
      </c>
      <c r="AB221" s="188"/>
      <c r="AC221" s="188"/>
      <c r="AD221" s="188"/>
      <c r="AE221" s="188"/>
      <c r="AF221" s="188"/>
      <c r="AG221" s="188"/>
      <c r="AH221" s="189"/>
      <c r="AI221" s="188"/>
      <c r="AJ221" s="188"/>
      <c r="AK221" s="188"/>
      <c r="AL221" s="188"/>
      <c r="AM221" s="188"/>
      <c r="AN221" s="189"/>
      <c r="AO221" s="188"/>
      <c r="AP221" s="188"/>
      <c r="AQ221" s="188"/>
      <c r="AR221" s="188"/>
      <c r="AS221" s="188"/>
      <c r="AT221" s="189"/>
      <c r="AU221" s="188"/>
      <c r="AV221" s="188"/>
      <c r="AW221" s="190"/>
      <c r="AX221" s="190"/>
      <c r="AY221" s="190"/>
      <c r="AZ221" s="191"/>
      <c r="BA221" s="183"/>
      <c r="BB221" s="183"/>
      <c r="BC221" s="183"/>
      <c r="BD221" s="183"/>
      <c r="BE221" s="183"/>
      <c r="BF221" s="184"/>
      <c r="BG221" s="183"/>
      <c r="BH221" s="183"/>
      <c r="BI221" s="183"/>
      <c r="BJ221" s="183"/>
      <c r="BK221" s="183"/>
      <c r="BL221" s="184"/>
      <c r="BO221" s="153"/>
    </row>
    <row r="222" spans="1:67" x14ac:dyDescent="0.2">
      <c r="A222" s="61"/>
      <c r="B222" s="60">
        <f t="shared" si="368"/>
        <v>41822</v>
      </c>
      <c r="C222" s="22">
        <f t="shared" si="411"/>
        <v>4.53781512605042</v>
      </c>
      <c r="D222" s="23">
        <f>GETPIVOTDATA("Active time (min)",EffortRPMPivot!$A$4,"date",B222,"Site",3)/60</f>
        <v>22.816666666666666</v>
      </c>
      <c r="E222" s="24">
        <f>F222+G222+GETPIVOTDATA("Sum of CNlgNo",SalmonPivot!$A$4,"Date",B222,"Site",3)</f>
        <v>20</v>
      </c>
      <c r="F222" s="24">
        <f>GETPIVOTDATA("Sum of CNlgrad",SalmonPivot!$A$4,"date",B222,"Site",3)</f>
        <v>16</v>
      </c>
      <c r="G222" s="24">
        <f>GETPIVOTDATA("Sum of CNlgrecap",SalmonPivot!$A$4,"date",B222,"Site",3)</f>
        <v>4</v>
      </c>
      <c r="H222" s="24">
        <f>I222+J222+GETPIVOTDATA("Sum of CNsmno",SalmonPivot!$M$4,"Date",B222,"Site",3)</f>
        <v>5</v>
      </c>
      <c r="I222" s="24">
        <f>GETPIVOTDATA("Sum of CNsmradio",SalmonPivot!$M$4,"Date",B222,"Site",3)</f>
        <v>1</v>
      </c>
      <c r="J222" s="24">
        <f>GETPIVOTDATA("Sum of CNsmrecap",SalmonPivot!$M$4,"Date",B222,"Site",3)</f>
        <v>0</v>
      </c>
      <c r="K222" s="24">
        <f>L222+GETPIVOTDATA("Sum of SOno",SalmonPivot!$Y$4,"Date",B222,"Site",3)+GETPIVOTDATA("Sum of SOrecap",SalmonPivot!$Y$4,"Date",B222,"Site",3)</f>
        <v>0</v>
      </c>
      <c r="L222" s="24">
        <f>GETPIVOTDATA("Sum of SOrad",SalmonPivot!$Y$4,"Date",B222,"Site",3)</f>
        <v>0</v>
      </c>
      <c r="M222" s="24">
        <f>N222+GETPIVOTDATA("Sum of PKno",SalmonPivot!$AK$4,"Date",B222,"Site",3)+GETPIVOTDATA("Sum of PKrecap",SalmonPivot!$AK$4,"Date",B222,"Site",3)</f>
        <v>0</v>
      </c>
      <c r="N222" s="24">
        <f>GETPIVOTDATA("Sum of PKrad",SalmonPivot!$AK$4,"Date",B222,"Site",3)</f>
        <v>0</v>
      </c>
      <c r="O222" s="24">
        <f>P222+GETPIVOTDATA("Sum of CMno",SalmonPivot!$AW$4,"Date",B222,"Site",3)+GETPIVOTDATA("Sum of CMrecap",SalmonPivot!$AW$4,"Date",B222,"Site",3)</f>
        <v>0</v>
      </c>
      <c r="P222" s="24">
        <f>GETPIVOTDATA("Sum of CMrad",SalmonPivot!$AW$4,"Date",B222,"Site",3)</f>
        <v>0</v>
      </c>
      <c r="Q222" s="25">
        <f>R222+GETPIVOTDATA("Sum of COno",SalmonPivot!$BI$4,"Date",B222,"Site",3)+GETPIVOTDATA("Sum of COrecap",SalmonPivot!$BI$4,"Date",B222,"Site",3)</f>
        <v>0</v>
      </c>
      <c r="R222" s="24">
        <f>GETPIVOTDATA("Sum of COrad",SalmonPivot!$BI$4,"Date",B222,"Site",3)</f>
        <v>0</v>
      </c>
      <c r="S222" s="24">
        <f>GETPIVOTDATA("Sum of TotalOther",OtherPivot!$J$5,"Date",B222,"Site",3)</f>
        <v>3</v>
      </c>
      <c r="T222" s="38"/>
      <c r="U222" s="172">
        <f>IF(GETPIVOTDATA("3 Revs (s)",EffortRPMPivot!$L$4,"Date",$B222,"Site",3)=0,"",GETPIVOTDATA("3 revs (s)",EffortRPMPivot!$L$4,"date",$B222,"Site",3))</f>
        <v>39.666666666666664</v>
      </c>
      <c r="V222" s="173">
        <f t="shared" si="412"/>
        <v>0.87655222790357923</v>
      </c>
      <c r="W222" s="173">
        <f t="shared" si="413"/>
        <v>0.21913805697589481</v>
      </c>
      <c r="X222" s="173">
        <f t="shared" si="414"/>
        <v>0</v>
      </c>
      <c r="Y222" s="173">
        <f t="shared" si="415"/>
        <v>0</v>
      </c>
      <c r="Z222" s="173">
        <f t="shared" si="416"/>
        <v>0</v>
      </c>
      <c r="AA222" s="174">
        <f t="shared" si="417"/>
        <v>0</v>
      </c>
      <c r="AB222" s="188"/>
      <c r="AC222" s="188"/>
      <c r="AD222" s="188"/>
      <c r="AE222" s="188"/>
      <c r="AF222" s="188"/>
      <c r="AG222" s="188"/>
      <c r="AH222" s="189"/>
      <c r="AI222" s="188"/>
      <c r="AJ222" s="188"/>
      <c r="AK222" s="188"/>
      <c r="AL222" s="188"/>
      <c r="AM222" s="188"/>
      <c r="AN222" s="189"/>
      <c r="AO222" s="188"/>
      <c r="AP222" s="188"/>
      <c r="AQ222" s="188"/>
      <c r="AR222" s="188"/>
      <c r="AS222" s="188"/>
      <c r="AT222" s="189"/>
      <c r="AU222" s="188"/>
      <c r="AV222" s="188"/>
      <c r="AW222" s="190"/>
      <c r="AX222" s="190"/>
      <c r="AY222" s="190"/>
      <c r="AZ222" s="191"/>
      <c r="BA222" s="183"/>
      <c r="BB222" s="183"/>
      <c r="BC222" s="183"/>
      <c r="BD222" s="183"/>
      <c r="BE222" s="183"/>
      <c r="BF222" s="184"/>
      <c r="BG222" s="183"/>
      <c r="BH222" s="183"/>
      <c r="BI222" s="183"/>
      <c r="BJ222" s="183"/>
      <c r="BK222" s="183"/>
      <c r="BL222" s="184"/>
      <c r="BO222" s="153"/>
    </row>
    <row r="223" spans="1:67" x14ac:dyDescent="0.2">
      <c r="A223" s="61"/>
      <c r="B223" s="60">
        <f t="shared" si="368"/>
        <v>41823</v>
      </c>
      <c r="C223" s="22">
        <f t="shared" si="411"/>
        <v>5.625</v>
      </c>
      <c r="D223" s="23">
        <f>GETPIVOTDATA("Active time (min)",EffortRPMPivot!$A$4,"date",B223,"Site",3)/60</f>
        <v>13.316666666666666</v>
      </c>
      <c r="E223" s="24">
        <f>F223+G223+GETPIVOTDATA("Sum of CNlgNo",SalmonPivot!$A$4,"Date",B223,"Site",3)</f>
        <v>10</v>
      </c>
      <c r="F223" s="24">
        <f>GETPIVOTDATA("Sum of CNlgrad",SalmonPivot!$A$4,"date",B223,"Site",3)</f>
        <v>9</v>
      </c>
      <c r="G223" s="24">
        <f>GETPIVOTDATA("Sum of CNlgrecap",SalmonPivot!$A$4,"date",B223,"Site",3)</f>
        <v>0</v>
      </c>
      <c r="H223" s="24">
        <f>I223+J223+GETPIVOTDATA("Sum of CNsmno",SalmonPivot!$M$4,"Date",B223,"Site",3)</f>
        <v>1</v>
      </c>
      <c r="I223" s="24">
        <f>GETPIVOTDATA("Sum of CNsmradio",SalmonPivot!$M$4,"Date",B223,"Site",3)</f>
        <v>0</v>
      </c>
      <c r="J223" s="24">
        <f>GETPIVOTDATA("Sum of CNsmrecap",SalmonPivot!$M$4,"Date",B223,"Site",3)</f>
        <v>0</v>
      </c>
      <c r="K223" s="24">
        <f>L223+GETPIVOTDATA("Sum of SOno",SalmonPivot!$Y$4,"Date",B223,"Site",3)+GETPIVOTDATA("Sum of SOrecap",SalmonPivot!$Y$4,"Date",B223,"Site",3)</f>
        <v>0</v>
      </c>
      <c r="L223" s="24">
        <f>GETPIVOTDATA("Sum of SOrad",SalmonPivot!$Y$4,"Date",B223,"Site",3)</f>
        <v>0</v>
      </c>
      <c r="M223" s="24">
        <f>N223+GETPIVOTDATA("Sum of PKno",SalmonPivot!$AK$4,"Date",B223,"Site",3)+GETPIVOTDATA("Sum of PKrecap",SalmonPivot!$AK$4,"Date",B223,"Site",3)</f>
        <v>0</v>
      </c>
      <c r="N223" s="24">
        <f>GETPIVOTDATA("Sum of PKrad",SalmonPivot!$AK$4,"Date",B223,"Site",3)</f>
        <v>0</v>
      </c>
      <c r="O223" s="24">
        <f>P223+GETPIVOTDATA("Sum of CMno",SalmonPivot!$AW$4,"Date",B223,"Site",3)+GETPIVOTDATA("Sum of CMrecap",SalmonPivot!$AW$4,"Date",B223,"Site",3)</f>
        <v>0</v>
      </c>
      <c r="P223" s="24">
        <f>GETPIVOTDATA("Sum of CMrad",SalmonPivot!$AW$4,"Date",B223,"Site",3)</f>
        <v>0</v>
      </c>
      <c r="Q223" s="25">
        <f>R223+GETPIVOTDATA("Sum of COno",SalmonPivot!$BI$4,"Date",B223,"Site",3)+GETPIVOTDATA("Sum of COrecap",SalmonPivot!$BI$4,"Date",B223,"Site",3)</f>
        <v>0</v>
      </c>
      <c r="R223" s="24">
        <f>GETPIVOTDATA("Sum of COrad",SalmonPivot!$BI$4,"Date",B223,"Site",3)</f>
        <v>0</v>
      </c>
      <c r="S223" s="24">
        <f>GETPIVOTDATA("Sum of TotalOther",OtherPivot!$J$5,"Date",B223,"Site",3)</f>
        <v>0</v>
      </c>
      <c r="T223" s="38"/>
      <c r="U223" s="172">
        <f>IF(GETPIVOTDATA("3 Revs (s)",EffortRPMPivot!$L$4,"Date",$B223,"Site",3)=0,"",GETPIVOTDATA("3 revs (s)",EffortRPMPivot!$L$4,"date",$B223,"Site",3))</f>
        <v>32</v>
      </c>
      <c r="V223" s="173">
        <f t="shared" si="412"/>
        <v>0.75093867334167708</v>
      </c>
      <c r="W223" s="173">
        <f t="shared" si="413"/>
        <v>7.5093867334167716E-2</v>
      </c>
      <c r="X223" s="173">
        <f t="shared" si="414"/>
        <v>0</v>
      </c>
      <c r="Y223" s="173">
        <f t="shared" si="415"/>
        <v>0</v>
      </c>
      <c r="Z223" s="173">
        <f t="shared" si="416"/>
        <v>0</v>
      </c>
      <c r="AA223" s="174">
        <f t="shared" si="417"/>
        <v>0</v>
      </c>
      <c r="AB223" s="188"/>
      <c r="AC223" s="188"/>
      <c r="AD223" s="188"/>
      <c r="AE223" s="188"/>
      <c r="AF223" s="188"/>
      <c r="AG223" s="188"/>
      <c r="AH223" s="189"/>
      <c r="AI223" s="188"/>
      <c r="AJ223" s="188"/>
      <c r="AK223" s="188"/>
      <c r="AL223" s="188"/>
      <c r="AM223" s="188"/>
      <c r="AN223" s="189"/>
      <c r="AO223" s="188"/>
      <c r="AP223" s="188"/>
      <c r="AQ223" s="188"/>
      <c r="AR223" s="188"/>
      <c r="AS223" s="188"/>
      <c r="AT223" s="189"/>
      <c r="AU223" s="188"/>
      <c r="AV223" s="188"/>
      <c r="AW223" s="190"/>
      <c r="AX223" s="190"/>
      <c r="AY223" s="190"/>
      <c r="AZ223" s="191"/>
      <c r="BA223" s="183"/>
      <c r="BB223" s="183"/>
      <c r="BC223" s="183"/>
      <c r="BD223" s="183"/>
      <c r="BE223" s="183"/>
      <c r="BF223" s="184"/>
      <c r="BG223" s="183"/>
      <c r="BH223" s="183"/>
      <c r="BI223" s="183"/>
      <c r="BJ223" s="183"/>
      <c r="BK223" s="183"/>
      <c r="BL223" s="184"/>
      <c r="BO223" s="153"/>
    </row>
    <row r="224" spans="1:67" x14ac:dyDescent="0.2">
      <c r="A224" s="61"/>
      <c r="B224" s="60">
        <f t="shared" si="368"/>
        <v>41824</v>
      </c>
      <c r="C224" s="22">
        <f t="shared" si="411"/>
        <v>5.1428571428571423</v>
      </c>
      <c r="D224" s="23">
        <f>GETPIVOTDATA("Active time (min)",EffortRPMPivot!$A$4,"date",B224,"Site",3)/60</f>
        <v>23.283333333333335</v>
      </c>
      <c r="E224" s="24">
        <f>F224+G224+GETPIVOTDATA("Sum of CNlgNo",SalmonPivot!$A$4,"Date",B224,"Site",3)</f>
        <v>19</v>
      </c>
      <c r="F224" s="24">
        <f>GETPIVOTDATA("Sum of CNlgrad",SalmonPivot!$A$4,"date",B224,"Site",3)</f>
        <v>17</v>
      </c>
      <c r="G224" s="24">
        <f>GETPIVOTDATA("Sum of CNlgrecap",SalmonPivot!$A$4,"date",B224,"Site",3)</f>
        <v>1</v>
      </c>
      <c r="H224" s="24">
        <f>I224+J224+GETPIVOTDATA("Sum of CNsmno",SalmonPivot!$M$4,"Date",B224,"Site",3)</f>
        <v>5</v>
      </c>
      <c r="I224" s="24">
        <f>GETPIVOTDATA("Sum of CNsmradio",SalmonPivot!$M$4,"Date",B224,"Site",3)</f>
        <v>0</v>
      </c>
      <c r="J224" s="24">
        <f>GETPIVOTDATA("Sum of CNsmrecap",SalmonPivot!$M$4,"Date",B224,"Site",3)</f>
        <v>0</v>
      </c>
      <c r="K224" s="24">
        <f>L224+GETPIVOTDATA("Sum of SOno",SalmonPivot!$Y$4,"Date",B224,"Site",3)+GETPIVOTDATA("Sum of SOrecap",SalmonPivot!$Y$4,"Date",B224,"Site",3)</f>
        <v>0</v>
      </c>
      <c r="L224" s="24">
        <f>GETPIVOTDATA("Sum of SOrad",SalmonPivot!$Y$4,"Date",B224,"Site",3)</f>
        <v>0</v>
      </c>
      <c r="M224" s="24">
        <f>N224+GETPIVOTDATA("Sum of PKno",SalmonPivot!$AK$4,"Date",B224,"Site",3)+GETPIVOTDATA("Sum of PKrecap",SalmonPivot!$AK$4,"Date",B224,"Site",3)</f>
        <v>0</v>
      </c>
      <c r="N224" s="24">
        <f>GETPIVOTDATA("Sum of PKrad",SalmonPivot!$AK$4,"Date",B224,"Site",3)</f>
        <v>0</v>
      </c>
      <c r="O224" s="24">
        <f>P224+GETPIVOTDATA("Sum of CMno",SalmonPivot!$AW$4,"Date",B224,"Site",3)+GETPIVOTDATA("Sum of CMrecap",SalmonPivot!$AW$4,"Date",B224,"Site",3)</f>
        <v>0</v>
      </c>
      <c r="P224" s="24">
        <f>GETPIVOTDATA("Sum of CMrad",SalmonPivot!$AW$4,"Date",B224,"Site",3)</f>
        <v>0</v>
      </c>
      <c r="Q224" s="25">
        <f>R224+GETPIVOTDATA("Sum of COno",SalmonPivot!$BI$4,"Date",B224,"Site",3)+GETPIVOTDATA("Sum of COrecap",SalmonPivot!$BI$4,"Date",B224,"Site",3)</f>
        <v>0</v>
      </c>
      <c r="R224" s="24">
        <f>GETPIVOTDATA("Sum of COrad",SalmonPivot!$BI$4,"Date",B224,"Site",3)</f>
        <v>0</v>
      </c>
      <c r="S224" s="24">
        <f>GETPIVOTDATA("Sum of TotalOther",OtherPivot!$J$5,"Date",B224,"Site",3)</f>
        <v>5</v>
      </c>
      <c r="T224" s="38"/>
      <c r="U224" s="172">
        <f>IF(GETPIVOTDATA("3 Revs (s)",EffortRPMPivot!$L$4,"Date",$B224,"Site",3)=0,"",GETPIVOTDATA("3 revs (s)",EffortRPMPivot!$L$4,"date",$B224,"Site",3))</f>
        <v>35</v>
      </c>
      <c r="V224" s="173">
        <f t="shared" si="412"/>
        <v>0.81603435934144586</v>
      </c>
      <c r="W224" s="173">
        <f t="shared" si="413"/>
        <v>0.21474588403722261</v>
      </c>
      <c r="X224" s="173">
        <f t="shared" si="414"/>
        <v>0</v>
      </c>
      <c r="Y224" s="173">
        <f t="shared" si="415"/>
        <v>0</v>
      </c>
      <c r="Z224" s="173">
        <f t="shared" si="416"/>
        <v>0</v>
      </c>
      <c r="AA224" s="174">
        <f t="shared" si="417"/>
        <v>0</v>
      </c>
      <c r="AB224" s="188"/>
      <c r="AC224" s="188"/>
      <c r="AD224" s="188"/>
      <c r="AE224" s="188"/>
      <c r="AF224" s="188"/>
      <c r="AG224" s="188"/>
      <c r="AH224" s="189"/>
      <c r="AI224" s="188"/>
      <c r="AJ224" s="188"/>
      <c r="AK224" s="188"/>
      <c r="AL224" s="188"/>
      <c r="AM224" s="188"/>
      <c r="AN224" s="189"/>
      <c r="AO224" s="188"/>
      <c r="AP224" s="188"/>
      <c r="AQ224" s="188"/>
      <c r="AR224" s="188"/>
      <c r="AS224" s="188"/>
      <c r="AT224" s="189"/>
      <c r="AU224" s="188"/>
      <c r="AV224" s="188"/>
      <c r="AW224" s="190"/>
      <c r="AX224" s="190"/>
      <c r="AY224" s="190"/>
      <c r="AZ224" s="191"/>
      <c r="BA224" s="183"/>
      <c r="BB224" s="183"/>
      <c r="BC224" s="183"/>
      <c r="BD224" s="183"/>
      <c r="BE224" s="183"/>
      <c r="BF224" s="184"/>
      <c r="BG224" s="183"/>
      <c r="BH224" s="183"/>
      <c r="BI224" s="183"/>
      <c r="BJ224" s="183"/>
      <c r="BK224" s="183"/>
      <c r="BL224" s="184"/>
      <c r="BO224" s="153"/>
    </row>
    <row r="225" spans="1:67" x14ac:dyDescent="0.2">
      <c r="A225" s="61"/>
      <c r="B225" s="60">
        <f t="shared" si="368"/>
        <v>41825</v>
      </c>
      <c r="C225" s="22">
        <f t="shared" si="411"/>
        <v>4.615384615384615</v>
      </c>
      <c r="D225" s="23">
        <f>GETPIVOTDATA("Active time (min)",EffortRPMPivot!$A$4,"date",B225,"Site",3)/60</f>
        <v>23.766666666666666</v>
      </c>
      <c r="E225" s="24">
        <f>F225+G225+GETPIVOTDATA("Sum of CNlgNo",SalmonPivot!$A$4,"Date",B225,"Site",3)</f>
        <v>18</v>
      </c>
      <c r="F225" s="24">
        <f>GETPIVOTDATA("Sum of CNlgrad",SalmonPivot!$A$4,"date",B225,"Site",3)</f>
        <v>16</v>
      </c>
      <c r="G225" s="24">
        <f>GETPIVOTDATA("Sum of CNlgrecap",SalmonPivot!$A$4,"date",B225,"Site",3)</f>
        <v>1</v>
      </c>
      <c r="H225" s="24">
        <f>I225+J225+GETPIVOTDATA("Sum of CNsmno",SalmonPivot!$M$4,"Date",B225,"Site",3)</f>
        <v>3</v>
      </c>
      <c r="I225" s="24">
        <f>GETPIVOTDATA("Sum of CNsmradio",SalmonPivot!$M$4,"Date",B225,"Site",3)</f>
        <v>0</v>
      </c>
      <c r="J225" s="24">
        <f>GETPIVOTDATA("Sum of CNsmrecap",SalmonPivot!$M$4,"Date",B225,"Site",3)</f>
        <v>0</v>
      </c>
      <c r="K225" s="24">
        <f>L225+GETPIVOTDATA("Sum of SOno",SalmonPivot!$Y$4,"Date",B225,"Site",3)+GETPIVOTDATA("Sum of SOrecap",SalmonPivot!$Y$4,"Date",B225,"Site",3)</f>
        <v>0</v>
      </c>
      <c r="L225" s="24">
        <f>GETPIVOTDATA("Sum of SOrad",SalmonPivot!$Y$4,"Date",B225,"Site",3)</f>
        <v>0</v>
      </c>
      <c r="M225" s="24">
        <f>N225+GETPIVOTDATA("Sum of PKno",SalmonPivot!$AK$4,"Date",B225,"Site",3)+GETPIVOTDATA("Sum of PKrecap",SalmonPivot!$AK$4,"Date",B225,"Site",3)</f>
        <v>0</v>
      </c>
      <c r="N225" s="24">
        <f>GETPIVOTDATA("Sum of PKrad",SalmonPivot!$AK$4,"Date",B225,"Site",3)</f>
        <v>0</v>
      </c>
      <c r="O225" s="24">
        <f>P225+GETPIVOTDATA("Sum of CMno",SalmonPivot!$AW$4,"Date",B225,"Site",3)+GETPIVOTDATA("Sum of CMrecap",SalmonPivot!$AW$4,"Date",B225,"Site",3)</f>
        <v>0</v>
      </c>
      <c r="P225" s="24">
        <f>GETPIVOTDATA("Sum of CMrad",SalmonPivot!$AW$4,"Date",B225,"Site",3)</f>
        <v>0</v>
      </c>
      <c r="Q225" s="25">
        <f>R225+GETPIVOTDATA("Sum of COno",SalmonPivot!$BI$4,"Date",B225,"Site",3)+GETPIVOTDATA("Sum of COrecap",SalmonPivot!$BI$4,"Date",B225,"Site",3)</f>
        <v>0</v>
      </c>
      <c r="R225" s="24">
        <f>GETPIVOTDATA("Sum of COrad",SalmonPivot!$BI$4,"Date",B225,"Site",3)</f>
        <v>0</v>
      </c>
      <c r="S225" s="24">
        <f>GETPIVOTDATA("Sum of TotalOther",OtherPivot!$J$5,"Date",B225,"Site",3)</f>
        <v>6</v>
      </c>
      <c r="T225" s="38"/>
      <c r="U225" s="172">
        <f>IF(GETPIVOTDATA("3 Revs (s)",EffortRPMPivot!$L$4,"Date",$B225,"Site",3)=0,"",GETPIVOTDATA("3 revs (s)",EffortRPMPivot!$L$4,"date",$B225,"Site",3))</f>
        <v>39</v>
      </c>
      <c r="V225" s="173">
        <f t="shared" si="412"/>
        <v>0.75736325385694248</v>
      </c>
      <c r="W225" s="173">
        <f t="shared" si="413"/>
        <v>0.12622720897615708</v>
      </c>
      <c r="X225" s="173">
        <f t="shared" si="414"/>
        <v>0</v>
      </c>
      <c r="Y225" s="173">
        <f t="shared" si="415"/>
        <v>0</v>
      </c>
      <c r="Z225" s="173">
        <f t="shared" si="416"/>
        <v>0</v>
      </c>
      <c r="AA225" s="174">
        <f t="shared" si="417"/>
        <v>0</v>
      </c>
      <c r="AB225" s="188"/>
      <c r="AC225" s="188"/>
      <c r="AD225" s="188"/>
      <c r="AE225" s="188"/>
      <c r="AF225" s="188"/>
      <c r="AG225" s="188"/>
      <c r="AH225" s="189"/>
      <c r="AI225" s="188"/>
      <c r="AJ225" s="188"/>
      <c r="AK225" s="188"/>
      <c r="AL225" s="188"/>
      <c r="AM225" s="188"/>
      <c r="AN225" s="189"/>
      <c r="AO225" s="188"/>
      <c r="AP225" s="188"/>
      <c r="AQ225" s="188"/>
      <c r="AR225" s="188"/>
      <c r="AS225" s="188"/>
      <c r="AT225" s="189"/>
      <c r="AU225" s="188"/>
      <c r="AV225" s="188"/>
      <c r="AW225" s="190"/>
      <c r="AX225" s="190"/>
      <c r="AY225" s="190"/>
      <c r="AZ225" s="191"/>
      <c r="BA225" s="183"/>
      <c r="BB225" s="183"/>
      <c r="BC225" s="183"/>
      <c r="BD225" s="183"/>
      <c r="BE225" s="183"/>
      <c r="BF225" s="184"/>
      <c r="BG225" s="183"/>
      <c r="BH225" s="183"/>
      <c r="BI225" s="183"/>
      <c r="BJ225" s="183"/>
      <c r="BK225" s="183"/>
      <c r="BL225" s="184"/>
      <c r="BO225" s="153"/>
    </row>
    <row r="226" spans="1:67" x14ac:dyDescent="0.2">
      <c r="A226" s="61"/>
      <c r="B226" s="60">
        <f t="shared" si="368"/>
        <v>41826</v>
      </c>
      <c r="C226" s="22">
        <f t="shared" si="411"/>
        <v>4.4444444444444438</v>
      </c>
      <c r="D226" s="23">
        <f>GETPIVOTDATA("Active time (min)",EffortRPMPivot!$A$4,"date",B226,"Site",3)/60</f>
        <v>23.533333333333335</v>
      </c>
      <c r="E226" s="24">
        <f>F226+G226+GETPIVOTDATA("Sum of CNlgNo",SalmonPivot!$A$4,"Date",B226,"Site",3)</f>
        <v>14</v>
      </c>
      <c r="F226" s="24">
        <f>GETPIVOTDATA("Sum of CNlgrad",SalmonPivot!$A$4,"date",B226,"Site",3)</f>
        <v>12</v>
      </c>
      <c r="G226" s="24">
        <f>GETPIVOTDATA("Sum of CNlgrecap",SalmonPivot!$A$4,"date",B226,"Site",3)</f>
        <v>1</v>
      </c>
      <c r="H226" s="24">
        <f>I226+J226+GETPIVOTDATA("Sum of CNsmno",SalmonPivot!$M$4,"Date",B226,"Site",3)</f>
        <v>9</v>
      </c>
      <c r="I226" s="24">
        <f>GETPIVOTDATA("Sum of CNsmradio",SalmonPivot!$M$4,"Date",B226,"Site",3)</f>
        <v>2</v>
      </c>
      <c r="J226" s="24">
        <f>GETPIVOTDATA("Sum of CNsmrecap",SalmonPivot!$M$4,"Date",B226,"Site",3)</f>
        <v>0</v>
      </c>
      <c r="K226" s="24">
        <f>L226+GETPIVOTDATA("Sum of SOno",SalmonPivot!$Y$4,"Date",B226,"Site",3)+GETPIVOTDATA("Sum of SOrecap",SalmonPivot!$Y$4,"Date",B226,"Site",3)</f>
        <v>0</v>
      </c>
      <c r="L226" s="24">
        <f>GETPIVOTDATA("Sum of SOrad",SalmonPivot!$Y$4,"Date",B226,"Site",3)</f>
        <v>0</v>
      </c>
      <c r="M226" s="24">
        <f>N226+GETPIVOTDATA("Sum of PKno",SalmonPivot!$AK$4,"Date",B226,"Site",3)+GETPIVOTDATA("Sum of PKrecap",SalmonPivot!$AK$4,"Date",B226,"Site",3)</f>
        <v>0</v>
      </c>
      <c r="N226" s="24">
        <f>GETPIVOTDATA("Sum of PKrad",SalmonPivot!$AK$4,"Date",B226,"Site",3)</f>
        <v>0</v>
      </c>
      <c r="O226" s="24">
        <f>P226+GETPIVOTDATA("Sum of CMno",SalmonPivot!$AW$4,"Date",B226,"Site",3)+GETPIVOTDATA("Sum of CMrecap",SalmonPivot!$AW$4,"Date",B226,"Site",3)</f>
        <v>0</v>
      </c>
      <c r="P226" s="24">
        <f>GETPIVOTDATA("Sum of CMrad",SalmonPivot!$AW$4,"Date",B226,"Site",3)</f>
        <v>0</v>
      </c>
      <c r="Q226" s="25">
        <f>R226+GETPIVOTDATA("Sum of COno",SalmonPivot!$BI$4,"Date",B226,"Site",3)+GETPIVOTDATA("Sum of COrecap",SalmonPivot!$BI$4,"Date",B226,"Site",3)</f>
        <v>0</v>
      </c>
      <c r="R226" s="24">
        <f>GETPIVOTDATA("Sum of COrad",SalmonPivot!$BI$4,"Date",B226,"Site",3)</f>
        <v>0</v>
      </c>
      <c r="S226" s="24">
        <f>GETPIVOTDATA("Sum of TotalOther",OtherPivot!$J$5,"Date",B226,"Site",3)</f>
        <v>8</v>
      </c>
      <c r="T226" s="38"/>
      <c r="U226" s="172">
        <f>IF(GETPIVOTDATA("3 Revs (s)",EffortRPMPivot!$L$4,"Date",$B226,"Site",3)=0,"",GETPIVOTDATA("3 revs (s)",EffortRPMPivot!$L$4,"date",$B226,"Site",3))</f>
        <v>40.5</v>
      </c>
      <c r="V226" s="173">
        <f t="shared" si="412"/>
        <v>0.59490084985835689</v>
      </c>
      <c r="W226" s="173">
        <f t="shared" si="413"/>
        <v>0.38243626062322944</v>
      </c>
      <c r="X226" s="173">
        <f t="shared" si="414"/>
        <v>0</v>
      </c>
      <c r="Y226" s="173">
        <f t="shared" si="415"/>
        <v>0</v>
      </c>
      <c r="Z226" s="173">
        <f t="shared" si="416"/>
        <v>0</v>
      </c>
      <c r="AA226" s="174">
        <f t="shared" si="417"/>
        <v>0</v>
      </c>
      <c r="AB226" s="188"/>
      <c r="AC226" s="188"/>
      <c r="AD226" s="188"/>
      <c r="AE226" s="188"/>
      <c r="AF226" s="188"/>
      <c r="AG226" s="188"/>
      <c r="AH226" s="189"/>
      <c r="AI226" s="188"/>
      <c r="AJ226" s="188"/>
      <c r="AK226" s="188"/>
      <c r="AL226" s="188"/>
      <c r="AM226" s="188"/>
      <c r="AN226" s="189"/>
      <c r="AO226" s="188"/>
      <c r="AP226" s="188"/>
      <c r="AQ226" s="188"/>
      <c r="AR226" s="188"/>
      <c r="AS226" s="188"/>
      <c r="AT226" s="189"/>
      <c r="AU226" s="188"/>
      <c r="AV226" s="188"/>
      <c r="AW226" s="190"/>
      <c r="AX226" s="190"/>
      <c r="AY226" s="190"/>
      <c r="AZ226" s="191"/>
      <c r="BA226" s="183"/>
      <c r="BB226" s="183"/>
      <c r="BC226" s="183"/>
      <c r="BD226" s="183"/>
      <c r="BE226" s="183"/>
      <c r="BF226" s="184"/>
      <c r="BG226" s="183"/>
      <c r="BH226" s="183"/>
      <c r="BI226" s="183"/>
      <c r="BJ226" s="183"/>
      <c r="BK226" s="183"/>
      <c r="BL226" s="184"/>
      <c r="BO226" s="153"/>
    </row>
    <row r="227" spans="1:67" x14ac:dyDescent="0.2">
      <c r="A227" s="61"/>
      <c r="B227" s="60">
        <f t="shared" si="368"/>
        <v>41827</v>
      </c>
      <c r="C227" s="22">
        <f t="shared" ref="C227:C229" si="418">IF(ISERROR(3/(U227/60)),"",3/(U227/60))</f>
        <v>5.1798561151079134</v>
      </c>
      <c r="D227" s="23">
        <f>GETPIVOTDATA("Active time (min)",EffortRPMPivot!$A$4,"date",B227,"Site",3)/60</f>
        <v>22.716666666666665</v>
      </c>
      <c r="E227" s="24">
        <f>F227+G227+GETPIVOTDATA("Sum of CNlgNo",SalmonPivot!$A$4,"Date",B227,"Site",3)</f>
        <v>16</v>
      </c>
      <c r="F227" s="24">
        <f>GETPIVOTDATA("Sum of CNlgrad",SalmonPivot!$A$4,"date",B227,"Site",3)</f>
        <v>13</v>
      </c>
      <c r="G227" s="24">
        <f>GETPIVOTDATA("Sum of CNlgrecap",SalmonPivot!$A$4,"date",B227,"Site",3)</f>
        <v>2</v>
      </c>
      <c r="H227" s="24">
        <f>I227+J227+GETPIVOTDATA("Sum of CNsmno",SalmonPivot!$M$4,"Date",B227,"Site",3)</f>
        <v>5</v>
      </c>
      <c r="I227" s="24">
        <f>GETPIVOTDATA("Sum of CNsmradio",SalmonPivot!$M$4,"Date",B227,"Site",3)</f>
        <v>0</v>
      </c>
      <c r="J227" s="24">
        <f>GETPIVOTDATA("Sum of CNsmrecap",SalmonPivot!$M$4,"Date",B227,"Site",3)</f>
        <v>0</v>
      </c>
      <c r="K227" s="24">
        <f>L227+GETPIVOTDATA("Sum of SOno",SalmonPivot!$Y$4,"Date",B227,"Site",3)+GETPIVOTDATA("Sum of SOrecap",SalmonPivot!$Y$4,"Date",B227,"Site",3)</f>
        <v>0</v>
      </c>
      <c r="L227" s="24">
        <f>GETPIVOTDATA("Sum of SOrad",SalmonPivot!$Y$4,"Date",B227,"Site",3)</f>
        <v>0</v>
      </c>
      <c r="M227" s="24">
        <f>N227+GETPIVOTDATA("Sum of PKno",SalmonPivot!$AK$4,"Date",B227,"Site",3)+GETPIVOTDATA("Sum of PKrecap",SalmonPivot!$AK$4,"Date",B227,"Site",3)</f>
        <v>0</v>
      </c>
      <c r="N227" s="24">
        <f>GETPIVOTDATA("Sum of PKrad",SalmonPivot!$AK$4,"Date",B227,"Site",3)</f>
        <v>0</v>
      </c>
      <c r="O227" s="24">
        <f>P227+GETPIVOTDATA("Sum of CMno",SalmonPivot!$AW$4,"Date",B227,"Site",3)+GETPIVOTDATA("Sum of CMrecap",SalmonPivot!$AW$4,"Date",B227,"Site",3)</f>
        <v>0</v>
      </c>
      <c r="P227" s="24">
        <f>GETPIVOTDATA("Sum of CMrad",SalmonPivot!$AW$4,"Date",B227,"Site",3)</f>
        <v>0</v>
      </c>
      <c r="Q227" s="25">
        <f>R227+GETPIVOTDATA("Sum of COno",SalmonPivot!$BI$4,"Date",B227,"Site",3)+GETPIVOTDATA("Sum of COrecap",SalmonPivot!$BI$4,"Date",B227,"Site",3)</f>
        <v>0</v>
      </c>
      <c r="R227" s="24">
        <f>GETPIVOTDATA("Sum of COrad",SalmonPivot!$BI$4,"Date",B227,"Site",3)</f>
        <v>0</v>
      </c>
      <c r="S227" s="24">
        <f>GETPIVOTDATA("Sum of TotalOther",OtherPivot!$J$5,"Date",B227,"Site",3)</f>
        <v>0</v>
      </c>
      <c r="T227" s="38"/>
      <c r="U227" s="172">
        <f>IF(GETPIVOTDATA("3 Revs (s)",EffortRPMPivot!$L$4,"Date",$B227,"Site",3)=0,"",GETPIVOTDATA("3 revs (s)",EffortRPMPivot!$L$4,"date",$B227,"Site",3))</f>
        <v>34.75</v>
      </c>
      <c r="V227" s="173">
        <f t="shared" ref="V227:V229" si="419">IF(D227=0,"",E227/D227)</f>
        <v>0.70432868672046955</v>
      </c>
      <c r="W227" s="173">
        <f t="shared" ref="W227:W229" si="420">IF(D227=0,"",H227/D227)</f>
        <v>0.22010271460014674</v>
      </c>
      <c r="X227" s="173">
        <f t="shared" ref="X227:X229" si="421">IF(D227=0,"",K227/$D227)</f>
        <v>0</v>
      </c>
      <c r="Y227" s="173">
        <f t="shared" ref="Y227:Y229" si="422">IF(D227=0,"",M227/$D227)</f>
        <v>0</v>
      </c>
      <c r="Z227" s="173">
        <f t="shared" ref="Z227:Z229" si="423">IF(D227=0,"",O227/$D227)</f>
        <v>0</v>
      </c>
      <c r="AA227" s="174">
        <f t="shared" ref="AA227:AA229" si="424">IF(D227=0,"",Q227/$D227)</f>
        <v>0</v>
      </c>
      <c r="AB227" s="188"/>
      <c r="AC227" s="188"/>
      <c r="AD227" s="188"/>
      <c r="AE227" s="188"/>
      <c r="AF227" s="188"/>
      <c r="AG227" s="188"/>
      <c r="AH227" s="189"/>
      <c r="AI227" s="188"/>
      <c r="AJ227" s="188"/>
      <c r="AK227" s="188"/>
      <c r="AL227" s="188"/>
      <c r="AM227" s="188"/>
      <c r="AN227" s="189"/>
      <c r="AO227" s="188"/>
      <c r="AP227" s="188"/>
      <c r="AQ227" s="188"/>
      <c r="AR227" s="188"/>
      <c r="AS227" s="188"/>
      <c r="AT227" s="189"/>
      <c r="AU227" s="188"/>
      <c r="AV227" s="188"/>
      <c r="AW227" s="190"/>
      <c r="AX227" s="190"/>
      <c r="AY227" s="190"/>
      <c r="AZ227" s="191"/>
      <c r="BA227" s="183"/>
      <c r="BB227" s="183"/>
      <c r="BC227" s="183"/>
      <c r="BD227" s="183"/>
      <c r="BE227" s="183"/>
      <c r="BF227" s="184"/>
      <c r="BG227" s="183"/>
      <c r="BH227" s="183"/>
      <c r="BI227" s="183"/>
      <c r="BJ227" s="183"/>
      <c r="BK227" s="183"/>
      <c r="BL227" s="184"/>
      <c r="BO227" s="153"/>
    </row>
    <row r="228" spans="1:67" x14ac:dyDescent="0.2">
      <c r="A228" s="61"/>
      <c r="B228" s="60">
        <f t="shared" si="368"/>
        <v>41828</v>
      </c>
      <c r="C228" s="22">
        <f t="shared" si="418"/>
        <v>5.2173913043478262</v>
      </c>
      <c r="D228" s="23">
        <f>GETPIVOTDATA("Active time (min)",EffortRPMPivot!$A$4,"date",B228,"Site",3)/60</f>
        <v>17.850000000000001</v>
      </c>
      <c r="E228" s="24">
        <f>F228+G228+GETPIVOTDATA("Sum of CNlgNo",SalmonPivot!$A$4,"Date",B228,"Site",3)</f>
        <v>5</v>
      </c>
      <c r="F228" s="24">
        <f>GETPIVOTDATA("Sum of CNlgrad",SalmonPivot!$A$4,"date",B228,"Site",3)</f>
        <v>5</v>
      </c>
      <c r="G228" s="24">
        <f>GETPIVOTDATA("Sum of CNlgrecap",SalmonPivot!$A$4,"date",B228,"Site",3)</f>
        <v>0</v>
      </c>
      <c r="H228" s="24">
        <f>I228+J228+GETPIVOTDATA("Sum of CNsmno",SalmonPivot!$M$4,"Date",B228,"Site",3)</f>
        <v>0</v>
      </c>
      <c r="I228" s="24">
        <f>GETPIVOTDATA("Sum of CNsmradio",SalmonPivot!$M$4,"Date",B228,"Site",3)</f>
        <v>0</v>
      </c>
      <c r="J228" s="24">
        <f>GETPIVOTDATA("Sum of CNsmrecap",SalmonPivot!$M$4,"Date",B228,"Site",3)</f>
        <v>0</v>
      </c>
      <c r="K228" s="24">
        <f>L228+GETPIVOTDATA("Sum of SOno",SalmonPivot!$Y$4,"Date",B228,"Site",3)+GETPIVOTDATA("Sum of SOrecap",SalmonPivot!$Y$4,"Date",B228,"Site",3)</f>
        <v>0</v>
      </c>
      <c r="L228" s="24">
        <f>GETPIVOTDATA("Sum of SOrad",SalmonPivot!$Y$4,"Date",B228,"Site",3)</f>
        <v>0</v>
      </c>
      <c r="M228" s="24">
        <f>N228+GETPIVOTDATA("Sum of PKno",SalmonPivot!$AK$4,"Date",B228,"Site",3)+GETPIVOTDATA("Sum of PKrecap",SalmonPivot!$AK$4,"Date",B228,"Site",3)</f>
        <v>0</v>
      </c>
      <c r="N228" s="24">
        <f>GETPIVOTDATA("Sum of PKrad",SalmonPivot!$AK$4,"Date",B228,"Site",3)</f>
        <v>0</v>
      </c>
      <c r="O228" s="24">
        <f>P228+GETPIVOTDATA("Sum of CMno",SalmonPivot!$AW$4,"Date",B228,"Site",3)+GETPIVOTDATA("Sum of CMrecap",SalmonPivot!$AW$4,"Date",B228,"Site",3)</f>
        <v>0</v>
      </c>
      <c r="P228" s="24">
        <f>GETPIVOTDATA("Sum of CMrad",SalmonPivot!$AW$4,"Date",B228,"Site",3)</f>
        <v>0</v>
      </c>
      <c r="Q228" s="25">
        <f>R228+GETPIVOTDATA("Sum of COno",SalmonPivot!$BI$4,"Date",B228,"Site",3)+GETPIVOTDATA("Sum of COrecap",SalmonPivot!$BI$4,"Date",B228,"Site",3)</f>
        <v>0</v>
      </c>
      <c r="R228" s="24">
        <f>GETPIVOTDATA("Sum of COrad",SalmonPivot!$BI$4,"Date",B228,"Site",3)</f>
        <v>0</v>
      </c>
      <c r="S228" s="24">
        <f>GETPIVOTDATA("Sum of TotalOther",OtherPivot!$J$5,"Date",B228,"Site",3)</f>
        <v>1</v>
      </c>
      <c r="T228" s="38"/>
      <c r="U228" s="172">
        <f>IF(GETPIVOTDATA("3 Revs (s)",EffortRPMPivot!$L$4,"Date",$B228,"Site",3)=0,"",GETPIVOTDATA("3 revs (s)",EffortRPMPivot!$L$4,"date",$B228,"Site",3))</f>
        <v>34.5</v>
      </c>
      <c r="V228" s="173">
        <f t="shared" si="419"/>
        <v>0.28011204481792717</v>
      </c>
      <c r="W228" s="173">
        <f t="shared" si="420"/>
        <v>0</v>
      </c>
      <c r="X228" s="173">
        <f t="shared" si="421"/>
        <v>0</v>
      </c>
      <c r="Y228" s="173">
        <f t="shared" si="422"/>
        <v>0</v>
      </c>
      <c r="Z228" s="173">
        <f t="shared" si="423"/>
        <v>0</v>
      </c>
      <c r="AA228" s="174">
        <f t="shared" si="424"/>
        <v>0</v>
      </c>
      <c r="AB228" s="188"/>
      <c r="AC228" s="188"/>
      <c r="AD228" s="188"/>
      <c r="AE228" s="188"/>
      <c r="AF228" s="188"/>
      <c r="AG228" s="188"/>
      <c r="AH228" s="189"/>
      <c r="AI228" s="188"/>
      <c r="AJ228" s="188"/>
      <c r="AK228" s="188"/>
      <c r="AL228" s="188"/>
      <c r="AM228" s="188"/>
      <c r="AN228" s="189"/>
      <c r="AO228" s="188"/>
      <c r="AP228" s="188"/>
      <c r="AQ228" s="188"/>
      <c r="AR228" s="188"/>
      <c r="AS228" s="188"/>
      <c r="AT228" s="189"/>
      <c r="AU228" s="188"/>
      <c r="AV228" s="188"/>
      <c r="AW228" s="190"/>
      <c r="AX228" s="190"/>
      <c r="AY228" s="190"/>
      <c r="AZ228" s="191"/>
      <c r="BA228" s="183"/>
      <c r="BB228" s="183"/>
      <c r="BC228" s="183"/>
      <c r="BD228" s="183"/>
      <c r="BE228" s="183"/>
      <c r="BF228" s="184"/>
      <c r="BG228" s="183"/>
      <c r="BH228" s="183"/>
      <c r="BI228" s="183"/>
      <c r="BJ228" s="183"/>
      <c r="BK228" s="183"/>
      <c r="BL228" s="184"/>
      <c r="BO228" s="153"/>
    </row>
    <row r="229" spans="1:67" x14ac:dyDescent="0.2">
      <c r="A229" s="61"/>
      <c r="B229" s="60">
        <f t="shared" si="368"/>
        <v>41829</v>
      </c>
      <c r="C229" s="22">
        <f t="shared" si="418"/>
        <v>5.034965034965035</v>
      </c>
      <c r="D229" s="23">
        <f>GETPIVOTDATA("Active time (min)",EffortRPMPivot!$A$4,"date",B229,"Site",3)/60</f>
        <v>23.233333333333334</v>
      </c>
      <c r="E229" s="24">
        <f>F229+G229+GETPIVOTDATA("Sum of CNlgNo",SalmonPivot!$A$4,"Date",B229,"Site",3)</f>
        <v>12</v>
      </c>
      <c r="F229" s="24">
        <f>GETPIVOTDATA("Sum of CNlgrad",SalmonPivot!$A$4,"date",B229,"Site",3)</f>
        <v>8</v>
      </c>
      <c r="G229" s="24">
        <f>GETPIVOTDATA("Sum of CNlgrecap",SalmonPivot!$A$4,"date",B229,"Site",3)</f>
        <v>1</v>
      </c>
      <c r="H229" s="24">
        <f>I229+J229+GETPIVOTDATA("Sum of CNsmno",SalmonPivot!$M$4,"Date",B229,"Site",3)</f>
        <v>0</v>
      </c>
      <c r="I229" s="24">
        <f>GETPIVOTDATA("Sum of CNsmradio",SalmonPivot!$M$4,"Date",B229,"Site",3)</f>
        <v>0</v>
      </c>
      <c r="J229" s="24">
        <f>GETPIVOTDATA("Sum of CNsmrecap",SalmonPivot!$M$4,"Date",B229,"Site",3)</f>
        <v>0</v>
      </c>
      <c r="K229" s="24">
        <f>L229+GETPIVOTDATA("Sum of SOno",SalmonPivot!$Y$4,"Date",B229,"Site",3)+GETPIVOTDATA("Sum of SOrecap",SalmonPivot!$Y$4,"Date",B229,"Site",3)</f>
        <v>0</v>
      </c>
      <c r="L229" s="24">
        <f>GETPIVOTDATA("Sum of SOrad",SalmonPivot!$Y$4,"Date",B229,"Site",3)</f>
        <v>0</v>
      </c>
      <c r="M229" s="24">
        <f>N229+GETPIVOTDATA("Sum of PKno",SalmonPivot!$AK$4,"Date",B229,"Site",3)+GETPIVOTDATA("Sum of PKrecap",SalmonPivot!$AK$4,"Date",B229,"Site",3)</f>
        <v>0</v>
      </c>
      <c r="N229" s="24">
        <f>GETPIVOTDATA("Sum of PKrad",SalmonPivot!$AK$4,"Date",B229,"Site",3)</f>
        <v>0</v>
      </c>
      <c r="O229" s="24">
        <f>P229+GETPIVOTDATA("Sum of CMno",SalmonPivot!$AW$4,"Date",B229,"Site",3)+GETPIVOTDATA("Sum of CMrecap",SalmonPivot!$AW$4,"Date",B229,"Site",3)</f>
        <v>0</v>
      </c>
      <c r="P229" s="24">
        <f>GETPIVOTDATA("Sum of CMrad",SalmonPivot!$AW$4,"Date",B229,"Site",3)</f>
        <v>0</v>
      </c>
      <c r="Q229" s="25">
        <f>R229+GETPIVOTDATA("Sum of COno",SalmonPivot!$BI$4,"Date",B229,"Site",3)+GETPIVOTDATA("Sum of COrecap",SalmonPivot!$BI$4,"Date",B229,"Site",3)</f>
        <v>0</v>
      </c>
      <c r="R229" s="24">
        <f>GETPIVOTDATA("Sum of COrad",SalmonPivot!$BI$4,"Date",B229,"Site",3)</f>
        <v>0</v>
      </c>
      <c r="S229" s="24">
        <f>GETPIVOTDATA("Sum of TotalOther",OtherPivot!$J$5,"Date",B229,"Site",3)</f>
        <v>4</v>
      </c>
      <c r="T229" s="38"/>
      <c r="U229" s="172">
        <f>IF(GETPIVOTDATA("3 Revs (s)",EffortRPMPivot!$L$4,"Date",$B229,"Site",3)=0,"",GETPIVOTDATA("3 revs (s)",EffortRPMPivot!$L$4,"date",$B229,"Site",3))</f>
        <v>35.75</v>
      </c>
      <c r="V229" s="173">
        <f t="shared" si="419"/>
        <v>0.5164992826398852</v>
      </c>
      <c r="W229" s="173">
        <f t="shared" si="420"/>
        <v>0</v>
      </c>
      <c r="X229" s="173">
        <f t="shared" si="421"/>
        <v>0</v>
      </c>
      <c r="Y229" s="173">
        <f t="shared" si="422"/>
        <v>0</v>
      </c>
      <c r="Z229" s="173">
        <f t="shared" si="423"/>
        <v>0</v>
      </c>
      <c r="AA229" s="174">
        <f t="shared" si="424"/>
        <v>0</v>
      </c>
      <c r="AB229" s="188"/>
      <c r="AC229" s="188"/>
      <c r="AD229" s="188"/>
      <c r="AE229" s="188"/>
      <c r="AF229" s="188"/>
      <c r="AG229" s="188"/>
      <c r="AH229" s="189"/>
      <c r="AI229" s="188"/>
      <c r="AJ229" s="188"/>
      <c r="AK229" s="188"/>
      <c r="AL229" s="188"/>
      <c r="AM229" s="188"/>
      <c r="AN229" s="189"/>
      <c r="AO229" s="188"/>
      <c r="AP229" s="188"/>
      <c r="AQ229" s="188"/>
      <c r="AR229" s="188"/>
      <c r="AS229" s="188"/>
      <c r="AT229" s="189"/>
      <c r="AU229" s="188"/>
      <c r="AV229" s="188"/>
      <c r="AW229" s="190"/>
      <c r="AX229" s="190"/>
      <c r="AY229" s="190"/>
      <c r="AZ229" s="191"/>
      <c r="BA229" s="183"/>
      <c r="BB229" s="183"/>
      <c r="BC229" s="183"/>
      <c r="BD229" s="183"/>
      <c r="BE229" s="183"/>
      <c r="BF229" s="184"/>
      <c r="BG229" s="183"/>
      <c r="BH229" s="183"/>
      <c r="BI229" s="183"/>
      <c r="BJ229" s="183"/>
      <c r="BK229" s="183"/>
      <c r="BL229" s="184"/>
      <c r="BO229" s="153"/>
    </row>
    <row r="230" spans="1:67" x14ac:dyDescent="0.2">
      <c r="A230" s="61"/>
      <c r="B230" s="60">
        <f t="shared" si="368"/>
        <v>41830</v>
      </c>
      <c r="C230" s="22">
        <f t="shared" ref="C230:C231" si="425">IF(ISERROR(3/(U230/60)),"",3/(U230/60))</f>
        <v>4.6451612903225801</v>
      </c>
      <c r="D230" s="23">
        <f>GETPIVOTDATA("Active time (min)",EffortRPMPivot!$A$4,"date",B230,"Site",3)/60</f>
        <v>24</v>
      </c>
      <c r="E230" s="24">
        <f>F230+G230+GETPIVOTDATA("Sum of CNlgNo",SalmonPivot!$A$4,"Date",B230,"Site",3)</f>
        <v>12</v>
      </c>
      <c r="F230" s="24">
        <f>GETPIVOTDATA("Sum of CNlgrad",SalmonPivot!$A$4,"date",B230,"Site",3)</f>
        <v>8</v>
      </c>
      <c r="G230" s="24">
        <f>GETPIVOTDATA("Sum of CNlgrecap",SalmonPivot!$A$4,"date",B230,"Site",3)</f>
        <v>1</v>
      </c>
      <c r="H230" s="24">
        <f>I230+J230+GETPIVOTDATA("Sum of CNsmno",SalmonPivot!$M$4,"Date",B230,"Site",3)</f>
        <v>2</v>
      </c>
      <c r="I230" s="24">
        <f>GETPIVOTDATA("Sum of CNsmradio",SalmonPivot!$M$4,"Date",B230,"Site",3)</f>
        <v>0</v>
      </c>
      <c r="J230" s="24">
        <f>GETPIVOTDATA("Sum of CNsmrecap",SalmonPivot!$M$4,"Date",B230,"Site",3)</f>
        <v>0</v>
      </c>
      <c r="K230" s="24">
        <f>L230+GETPIVOTDATA("Sum of SOno",SalmonPivot!$Y$4,"Date",B230,"Site",3)+GETPIVOTDATA("Sum of SOrecap",SalmonPivot!$Y$4,"Date",B230,"Site",3)</f>
        <v>0</v>
      </c>
      <c r="L230" s="24">
        <f>GETPIVOTDATA("Sum of SOrad",SalmonPivot!$Y$4,"Date",B230,"Site",3)</f>
        <v>0</v>
      </c>
      <c r="M230" s="24">
        <f>N230+GETPIVOTDATA("Sum of PKno",SalmonPivot!$AK$4,"Date",B230,"Site",3)+GETPIVOTDATA("Sum of PKrecap",SalmonPivot!$AK$4,"Date",B230,"Site",3)</f>
        <v>0</v>
      </c>
      <c r="N230" s="24">
        <f>GETPIVOTDATA("Sum of PKrad",SalmonPivot!$AK$4,"Date",B230,"Site",3)</f>
        <v>0</v>
      </c>
      <c r="O230" s="24">
        <f>P230+GETPIVOTDATA("Sum of CMno",SalmonPivot!$AW$4,"Date",B230,"Site",3)+GETPIVOTDATA("Sum of CMrecap",SalmonPivot!$AW$4,"Date",B230,"Site",3)</f>
        <v>0</v>
      </c>
      <c r="P230" s="24">
        <f>GETPIVOTDATA("Sum of CMrad",SalmonPivot!$AW$4,"Date",B230,"Site",3)</f>
        <v>0</v>
      </c>
      <c r="Q230" s="25">
        <f>R230+GETPIVOTDATA("Sum of COno",SalmonPivot!$BI$4,"Date",B230,"Site",3)+GETPIVOTDATA("Sum of COrecap",SalmonPivot!$BI$4,"Date",B230,"Site",3)</f>
        <v>0</v>
      </c>
      <c r="R230" s="24">
        <f>GETPIVOTDATA("Sum of COrad",SalmonPivot!$BI$4,"Date",B230,"Site",3)</f>
        <v>0</v>
      </c>
      <c r="S230" s="24">
        <f>GETPIVOTDATA("Sum of TotalOther",OtherPivot!$J$5,"Date",B230,"Site",3)</f>
        <v>3</v>
      </c>
      <c r="T230" s="38"/>
      <c r="U230" s="172">
        <f>IF(GETPIVOTDATA("3 Revs (s)",EffortRPMPivot!$L$4,"Date",$B230,"Site",3)=0,"",GETPIVOTDATA("3 revs (s)",EffortRPMPivot!$L$4,"date",$B230,"Site",3))</f>
        <v>38.75</v>
      </c>
      <c r="V230" s="173">
        <f t="shared" ref="V230:V231" si="426">IF(D230=0,"",E230/D230)</f>
        <v>0.5</v>
      </c>
      <c r="W230" s="173">
        <f t="shared" ref="W230:W231" si="427">IF(D230=0,"",H230/D230)</f>
        <v>8.3333333333333329E-2</v>
      </c>
      <c r="X230" s="173">
        <f t="shared" ref="X230:X231" si="428">IF(D230=0,"",K230/$D230)</f>
        <v>0</v>
      </c>
      <c r="Y230" s="173">
        <f t="shared" ref="Y230:Y231" si="429">IF(D230=0,"",M230/$D230)</f>
        <v>0</v>
      </c>
      <c r="Z230" s="173">
        <f t="shared" ref="Z230:Z231" si="430">IF(D230=0,"",O230/$D230)</f>
        <v>0</v>
      </c>
      <c r="AA230" s="174">
        <f t="shared" ref="AA230:AA231" si="431">IF(D230=0,"",Q230/$D230)</f>
        <v>0</v>
      </c>
      <c r="AB230" s="188"/>
      <c r="AC230" s="188"/>
      <c r="AD230" s="188"/>
      <c r="AE230" s="188"/>
      <c r="AF230" s="188"/>
      <c r="AG230" s="188"/>
      <c r="AH230" s="189"/>
      <c r="AI230" s="188"/>
      <c r="AJ230" s="188"/>
      <c r="AK230" s="188"/>
      <c r="AL230" s="188"/>
      <c r="AM230" s="188"/>
      <c r="AN230" s="189"/>
      <c r="AO230" s="188"/>
      <c r="AP230" s="188"/>
      <c r="AQ230" s="188"/>
      <c r="AR230" s="188"/>
      <c r="AS230" s="188"/>
      <c r="AT230" s="189"/>
      <c r="AU230" s="188"/>
      <c r="AV230" s="188"/>
      <c r="AW230" s="190"/>
      <c r="AX230" s="190"/>
      <c r="AY230" s="190"/>
      <c r="AZ230" s="191"/>
      <c r="BA230" s="183"/>
      <c r="BB230" s="183"/>
      <c r="BC230" s="183"/>
      <c r="BD230" s="183"/>
      <c r="BE230" s="183"/>
      <c r="BF230" s="184"/>
      <c r="BG230" s="183"/>
      <c r="BH230" s="183"/>
      <c r="BI230" s="183"/>
      <c r="BJ230" s="183"/>
      <c r="BK230" s="183"/>
      <c r="BL230" s="184"/>
      <c r="BO230" s="153"/>
    </row>
    <row r="231" spans="1:67" x14ac:dyDescent="0.2">
      <c r="A231" s="61"/>
      <c r="B231" s="60">
        <f t="shared" si="368"/>
        <v>41831</v>
      </c>
      <c r="C231" s="22">
        <f t="shared" si="425"/>
        <v>4.9655172413793105</v>
      </c>
      <c r="D231" s="23">
        <f>GETPIVOTDATA("Active time (min)",EffortRPMPivot!$A$4,"date",B231,"Site",3)/60</f>
        <v>24</v>
      </c>
      <c r="E231" s="24">
        <f>F231+G231+GETPIVOTDATA("Sum of CNlgNo",SalmonPivot!$A$4,"Date",B231,"Site",3)</f>
        <v>12</v>
      </c>
      <c r="F231" s="24">
        <f>GETPIVOTDATA("Sum of CNlgrad",SalmonPivot!$A$4,"date",B231,"Site",3)</f>
        <v>10</v>
      </c>
      <c r="G231" s="24">
        <f>GETPIVOTDATA("Sum of CNlgrecap",SalmonPivot!$A$4,"date",B231,"Site",3)</f>
        <v>2</v>
      </c>
      <c r="H231" s="24">
        <f>I231+J231+GETPIVOTDATA("Sum of CNsmno",SalmonPivot!$M$4,"Date",B231,"Site",3)</f>
        <v>1</v>
      </c>
      <c r="I231" s="24">
        <f>GETPIVOTDATA("Sum of CNsmradio",SalmonPivot!$M$4,"Date",B231,"Site",3)</f>
        <v>0</v>
      </c>
      <c r="J231" s="24">
        <f>GETPIVOTDATA("Sum of CNsmrecap",SalmonPivot!$M$4,"Date",B231,"Site",3)</f>
        <v>0</v>
      </c>
      <c r="K231" s="24">
        <f>L231+GETPIVOTDATA("Sum of SOno",SalmonPivot!$Y$4,"Date",B231,"Site",3)+GETPIVOTDATA("Sum of SOrecap",SalmonPivot!$Y$4,"Date",B231,"Site",3)</f>
        <v>0</v>
      </c>
      <c r="L231" s="24">
        <f>GETPIVOTDATA("Sum of SOrad",SalmonPivot!$Y$4,"Date",B231,"Site",3)</f>
        <v>0</v>
      </c>
      <c r="M231" s="24">
        <f>N231+GETPIVOTDATA("Sum of PKno",SalmonPivot!$AK$4,"Date",B231,"Site",3)+GETPIVOTDATA("Sum of PKrecap",SalmonPivot!$AK$4,"Date",B231,"Site",3)</f>
        <v>0</v>
      </c>
      <c r="N231" s="24">
        <f>GETPIVOTDATA("Sum of PKrad",SalmonPivot!$AK$4,"Date",B231,"Site",3)</f>
        <v>0</v>
      </c>
      <c r="O231" s="24">
        <f>P231+GETPIVOTDATA("Sum of CMno",SalmonPivot!$AW$4,"Date",B231,"Site",3)+GETPIVOTDATA("Sum of CMrecap",SalmonPivot!$AW$4,"Date",B231,"Site",3)</f>
        <v>0</v>
      </c>
      <c r="P231" s="24">
        <f>GETPIVOTDATA("Sum of CMrad",SalmonPivot!$AW$4,"Date",B231,"Site",3)</f>
        <v>0</v>
      </c>
      <c r="Q231" s="25">
        <f>R231+GETPIVOTDATA("Sum of COno",SalmonPivot!$BI$4,"Date",B231,"Site",3)+GETPIVOTDATA("Sum of COrecap",SalmonPivot!$BI$4,"Date",B231,"Site",3)</f>
        <v>0</v>
      </c>
      <c r="R231" s="24">
        <f>GETPIVOTDATA("Sum of COrad",SalmonPivot!$BI$4,"Date",B231,"Site",3)</f>
        <v>0</v>
      </c>
      <c r="S231" s="24">
        <f>GETPIVOTDATA("Sum of TotalOther",OtherPivot!$J$5,"Date",B231,"Site",3)</f>
        <v>2</v>
      </c>
      <c r="T231" s="38"/>
      <c r="U231" s="172">
        <f>IF(GETPIVOTDATA("3 Revs (s)",EffortRPMPivot!$L$4,"Date",$B231,"Site",3)=0,"",GETPIVOTDATA("3 revs (s)",EffortRPMPivot!$L$4,"date",$B231,"Site",3))</f>
        <v>36.25</v>
      </c>
      <c r="V231" s="173">
        <f t="shared" si="426"/>
        <v>0.5</v>
      </c>
      <c r="W231" s="173">
        <f t="shared" si="427"/>
        <v>4.1666666666666664E-2</v>
      </c>
      <c r="X231" s="173">
        <f t="shared" si="428"/>
        <v>0</v>
      </c>
      <c r="Y231" s="173">
        <f t="shared" si="429"/>
        <v>0</v>
      </c>
      <c r="Z231" s="173">
        <f t="shared" si="430"/>
        <v>0</v>
      </c>
      <c r="AA231" s="174">
        <f t="shared" si="431"/>
        <v>0</v>
      </c>
      <c r="AB231" s="188"/>
      <c r="AC231" s="188"/>
      <c r="AD231" s="188"/>
      <c r="AE231" s="188"/>
      <c r="AF231" s="188"/>
      <c r="AG231" s="188"/>
      <c r="AH231" s="189"/>
      <c r="AI231" s="188"/>
      <c r="AJ231" s="188"/>
      <c r="AK231" s="188"/>
      <c r="AL231" s="188"/>
      <c r="AM231" s="188"/>
      <c r="AN231" s="189"/>
      <c r="AO231" s="188"/>
      <c r="AP231" s="188"/>
      <c r="AQ231" s="188"/>
      <c r="AR231" s="188"/>
      <c r="AS231" s="188"/>
      <c r="AT231" s="189"/>
      <c r="AU231" s="188"/>
      <c r="AV231" s="188"/>
      <c r="AW231" s="190"/>
      <c r="AX231" s="190"/>
      <c r="AY231" s="190"/>
      <c r="AZ231" s="191"/>
      <c r="BA231" s="183"/>
      <c r="BB231" s="183"/>
      <c r="BC231" s="183"/>
      <c r="BD231" s="183"/>
      <c r="BE231" s="183"/>
      <c r="BF231" s="184"/>
      <c r="BG231" s="183"/>
      <c r="BH231" s="183"/>
      <c r="BI231" s="183"/>
      <c r="BJ231" s="183"/>
      <c r="BK231" s="183"/>
      <c r="BL231" s="184"/>
      <c r="BO231" s="153"/>
    </row>
    <row r="232" spans="1:67" x14ac:dyDescent="0.2">
      <c r="A232" s="61"/>
      <c r="B232" s="60">
        <f t="shared" si="368"/>
        <v>41832</v>
      </c>
      <c r="C232" s="22">
        <f t="shared" ref="C232" si="432">IF(ISERROR(3/(U232/60)),"",3/(U232/60))</f>
        <v>4.7682119205298017</v>
      </c>
      <c r="D232" s="23">
        <f>GETPIVOTDATA("Active time (min)",EffortRPMPivot!$A$4,"date",B232,"Site",3)/60</f>
        <v>23.816666666666666</v>
      </c>
      <c r="E232" s="24">
        <f>F232+G232+GETPIVOTDATA("Sum of CNlgNo",SalmonPivot!$A$4,"Date",B232,"Site",3)</f>
        <v>6</v>
      </c>
      <c r="F232" s="24">
        <f>GETPIVOTDATA("Sum of CNlgrad",SalmonPivot!$A$4,"date",B232,"Site",3)</f>
        <v>6</v>
      </c>
      <c r="G232" s="24">
        <f>GETPIVOTDATA("Sum of CNlgrecap",SalmonPivot!$A$4,"date",B232,"Site",3)</f>
        <v>0</v>
      </c>
      <c r="H232" s="24">
        <f>I232+J232+GETPIVOTDATA("Sum of CNsmno",SalmonPivot!$M$4,"Date",B232,"Site",3)</f>
        <v>2</v>
      </c>
      <c r="I232" s="24">
        <f>GETPIVOTDATA("Sum of CNsmradio",SalmonPivot!$M$4,"Date",B232,"Site",3)</f>
        <v>0</v>
      </c>
      <c r="J232" s="24">
        <f>GETPIVOTDATA("Sum of CNsmrecap",SalmonPivot!$M$4,"Date",B232,"Site",3)</f>
        <v>0</v>
      </c>
      <c r="K232" s="24">
        <f>L232+GETPIVOTDATA("Sum of SOno",SalmonPivot!$Y$4,"Date",B232,"Site",3)+GETPIVOTDATA("Sum of SOrecap",SalmonPivot!$Y$4,"Date",B232,"Site",3)</f>
        <v>0</v>
      </c>
      <c r="L232" s="24">
        <f>GETPIVOTDATA("Sum of SOrad",SalmonPivot!$Y$4,"Date",B232,"Site",3)</f>
        <v>0</v>
      </c>
      <c r="M232" s="24">
        <f>N232+GETPIVOTDATA("Sum of PKno",SalmonPivot!$AK$4,"Date",B232,"Site",3)+GETPIVOTDATA("Sum of PKrecap",SalmonPivot!$AK$4,"Date",B232,"Site",3)</f>
        <v>0</v>
      </c>
      <c r="N232" s="24">
        <f>GETPIVOTDATA("Sum of PKrad",SalmonPivot!$AK$4,"Date",B232,"Site",3)</f>
        <v>0</v>
      </c>
      <c r="O232" s="24">
        <f>P232+GETPIVOTDATA("Sum of CMno",SalmonPivot!$AW$4,"Date",B232,"Site",3)+GETPIVOTDATA("Sum of CMrecap",SalmonPivot!$AW$4,"Date",B232,"Site",3)</f>
        <v>1</v>
      </c>
      <c r="P232" s="24">
        <f>GETPIVOTDATA("Sum of CMrad",SalmonPivot!$AW$4,"Date",B232,"Site",3)</f>
        <v>1</v>
      </c>
      <c r="Q232" s="25">
        <f>R232+GETPIVOTDATA("Sum of COno",SalmonPivot!$BI$4,"Date",B232,"Site",3)+GETPIVOTDATA("Sum of COrecap",SalmonPivot!$BI$4,"Date",B232,"Site",3)</f>
        <v>0</v>
      </c>
      <c r="R232" s="24">
        <f>GETPIVOTDATA("Sum of COrad",SalmonPivot!$BI$4,"Date",B232,"Site",3)</f>
        <v>0</v>
      </c>
      <c r="S232" s="24">
        <f>GETPIVOTDATA("Sum of TotalOther",OtherPivot!$J$5,"Date",B232,"Site",3)</f>
        <v>1</v>
      </c>
      <c r="T232" s="38"/>
      <c r="U232" s="172">
        <f>IF(GETPIVOTDATA("3 Revs (s)",EffortRPMPivot!$L$4,"Date",$B232,"Site",3)=0,"",GETPIVOTDATA("3 revs (s)",EffortRPMPivot!$L$4,"date",$B232,"Site",3))</f>
        <v>37.75</v>
      </c>
      <c r="V232" s="173">
        <f t="shared" ref="V232" si="433">IF(D232=0,"",E232/D232)</f>
        <v>0.25192442267319803</v>
      </c>
      <c r="W232" s="173">
        <f t="shared" ref="W232" si="434">IF(D232=0,"",H232/D232)</f>
        <v>8.3974807557732678E-2</v>
      </c>
      <c r="X232" s="173">
        <f t="shared" ref="X232" si="435">IF(D232=0,"",K232/$D232)</f>
        <v>0</v>
      </c>
      <c r="Y232" s="173">
        <f t="shared" ref="Y232" si="436">IF(D232=0,"",M232/$D232)</f>
        <v>0</v>
      </c>
      <c r="Z232" s="173">
        <f t="shared" ref="Z232" si="437">IF(D232=0,"",O232/$D232)</f>
        <v>4.1987403778866339E-2</v>
      </c>
      <c r="AA232" s="174">
        <f t="shared" ref="AA232" si="438">IF(D232=0,"",Q232/$D232)</f>
        <v>0</v>
      </c>
      <c r="AB232" s="188"/>
      <c r="AC232" s="188"/>
      <c r="AD232" s="188"/>
      <c r="AE232" s="188"/>
      <c r="AF232" s="188"/>
      <c r="AG232" s="188"/>
      <c r="AH232" s="189"/>
      <c r="AI232" s="188"/>
      <c r="AJ232" s="188"/>
      <c r="AK232" s="188"/>
      <c r="AL232" s="188"/>
      <c r="AM232" s="188"/>
      <c r="AN232" s="189"/>
      <c r="AO232" s="188"/>
      <c r="AP232" s="188"/>
      <c r="AQ232" s="188"/>
      <c r="AR232" s="188"/>
      <c r="AS232" s="188"/>
      <c r="AT232" s="189"/>
      <c r="AU232" s="188"/>
      <c r="AV232" s="188"/>
      <c r="AW232" s="190"/>
      <c r="AX232" s="190"/>
      <c r="AY232" s="190"/>
      <c r="AZ232" s="191"/>
      <c r="BA232" s="183"/>
      <c r="BB232" s="183"/>
      <c r="BC232" s="183"/>
      <c r="BD232" s="183"/>
      <c r="BE232" s="183"/>
      <c r="BF232" s="184"/>
      <c r="BG232" s="183"/>
      <c r="BH232" s="183"/>
      <c r="BI232" s="183"/>
      <c r="BJ232" s="183"/>
      <c r="BK232" s="183"/>
      <c r="BL232" s="184"/>
      <c r="BO232" s="153"/>
    </row>
    <row r="233" spans="1:67" x14ac:dyDescent="0.2">
      <c r="A233" s="61"/>
      <c r="B233" s="60">
        <f t="shared" si="368"/>
        <v>41833</v>
      </c>
      <c r="C233" s="22">
        <f t="shared" ref="C233:C235" si="439">IF(ISERROR(3/(U233/60)),"",3/(U233/60))</f>
        <v>5</v>
      </c>
      <c r="D233" s="23">
        <f>GETPIVOTDATA("Active time (min)",EffortRPMPivot!$A$4,"date",B233,"Site",3)/60</f>
        <v>23.2</v>
      </c>
      <c r="E233" s="24">
        <f>F233+G233+GETPIVOTDATA("Sum of CNlgNo",SalmonPivot!$A$4,"Date",B233,"Site",3)</f>
        <v>8</v>
      </c>
      <c r="F233" s="24">
        <f>GETPIVOTDATA("Sum of CNlgrad",SalmonPivot!$A$4,"date",B233,"Site",3)</f>
        <v>8</v>
      </c>
      <c r="G233" s="24">
        <f>GETPIVOTDATA("Sum of CNlgrecap",SalmonPivot!$A$4,"date",B233,"Site",3)</f>
        <v>0</v>
      </c>
      <c r="H233" s="24">
        <f>I233+J233+GETPIVOTDATA("Sum of CNsmno",SalmonPivot!$M$4,"Date",B233,"Site",3)</f>
        <v>1</v>
      </c>
      <c r="I233" s="24">
        <f>GETPIVOTDATA("Sum of CNsmradio",SalmonPivot!$M$4,"Date",B233,"Site",3)</f>
        <v>0</v>
      </c>
      <c r="J233" s="24">
        <f>GETPIVOTDATA("Sum of CNsmrecap",SalmonPivot!$M$4,"Date",B233,"Site",3)</f>
        <v>0</v>
      </c>
      <c r="K233" s="24">
        <f>L233+GETPIVOTDATA("Sum of SOno",SalmonPivot!$Y$4,"Date",B233,"Site",3)+GETPIVOTDATA("Sum of SOrecap",SalmonPivot!$Y$4,"Date",B233,"Site",3)</f>
        <v>0</v>
      </c>
      <c r="L233" s="24">
        <f>GETPIVOTDATA("Sum of SOrad",SalmonPivot!$Y$4,"Date",B233,"Site",3)</f>
        <v>0</v>
      </c>
      <c r="M233" s="24">
        <f>N233+GETPIVOTDATA("Sum of PKno",SalmonPivot!$AK$4,"Date",B233,"Site",3)+GETPIVOTDATA("Sum of PKrecap",SalmonPivot!$AK$4,"Date",B233,"Site",3)</f>
        <v>0</v>
      </c>
      <c r="N233" s="24">
        <f>GETPIVOTDATA("Sum of PKrad",SalmonPivot!$AK$4,"Date",B233,"Site",3)</f>
        <v>0</v>
      </c>
      <c r="O233" s="24">
        <f>P233+GETPIVOTDATA("Sum of CMno",SalmonPivot!$AW$4,"Date",B233,"Site",3)+GETPIVOTDATA("Sum of CMrecap",SalmonPivot!$AW$4,"Date",B233,"Site",3)</f>
        <v>0</v>
      </c>
      <c r="P233" s="24">
        <f>GETPIVOTDATA("Sum of CMrad",SalmonPivot!$AW$4,"Date",B233,"Site",3)</f>
        <v>0</v>
      </c>
      <c r="Q233" s="25">
        <f>R233+GETPIVOTDATA("Sum of COno",SalmonPivot!$BI$4,"Date",B233,"Site",3)+GETPIVOTDATA("Sum of COrecap",SalmonPivot!$BI$4,"Date",B233,"Site",3)</f>
        <v>0</v>
      </c>
      <c r="R233" s="24">
        <f>GETPIVOTDATA("Sum of COrad",SalmonPivot!$BI$4,"Date",B233,"Site",3)</f>
        <v>0</v>
      </c>
      <c r="S233" s="24">
        <f>GETPIVOTDATA("Sum of TotalOther",OtherPivot!$J$5,"Date",B233,"Site",3)</f>
        <v>2</v>
      </c>
      <c r="T233" s="38"/>
      <c r="U233" s="172">
        <f>IF(GETPIVOTDATA("3 Revs (s)",EffortRPMPivot!$L$4,"Date",$B233,"Site",3)=0,"",GETPIVOTDATA("3 revs (s)",EffortRPMPivot!$L$4,"date",$B233,"Site",3))</f>
        <v>36</v>
      </c>
      <c r="V233" s="173">
        <f t="shared" ref="V233:V235" si="440">IF(D233=0,"",E233/D233)</f>
        <v>0.34482758620689657</v>
      </c>
      <c r="W233" s="173">
        <f t="shared" ref="W233:W235" si="441">IF(D233=0,"",H233/D233)</f>
        <v>4.3103448275862072E-2</v>
      </c>
      <c r="X233" s="173">
        <f t="shared" ref="X233:X235" si="442">IF(D233=0,"",K233/$D233)</f>
        <v>0</v>
      </c>
      <c r="Y233" s="173">
        <f t="shared" ref="Y233:Y235" si="443">IF(D233=0,"",M233/$D233)</f>
        <v>0</v>
      </c>
      <c r="Z233" s="173">
        <f t="shared" ref="Z233:Z235" si="444">IF(D233=0,"",O233/$D233)</f>
        <v>0</v>
      </c>
      <c r="AA233" s="174">
        <f t="shared" ref="AA233:AA235" si="445">IF(D233=0,"",Q233/$D233)</f>
        <v>0</v>
      </c>
      <c r="AB233" s="188"/>
      <c r="AC233" s="188"/>
      <c r="AD233" s="188"/>
      <c r="AE233" s="188"/>
      <c r="AF233" s="188"/>
      <c r="AG233" s="188"/>
      <c r="AH233" s="189"/>
      <c r="AI233" s="188"/>
      <c r="AJ233" s="188"/>
      <c r="AK233" s="188"/>
      <c r="AL233" s="188"/>
      <c r="AM233" s="188"/>
      <c r="AN233" s="189"/>
      <c r="AO233" s="188"/>
      <c r="AP233" s="188"/>
      <c r="AQ233" s="188"/>
      <c r="AR233" s="188"/>
      <c r="AS233" s="188"/>
      <c r="AT233" s="189"/>
      <c r="AU233" s="188"/>
      <c r="AV233" s="188"/>
      <c r="AW233" s="190"/>
      <c r="AX233" s="190"/>
      <c r="AY233" s="190"/>
      <c r="AZ233" s="191"/>
      <c r="BA233" s="183"/>
      <c r="BB233" s="183"/>
      <c r="BC233" s="183"/>
      <c r="BD233" s="183"/>
      <c r="BE233" s="183"/>
      <c r="BF233" s="184"/>
      <c r="BG233" s="183"/>
      <c r="BH233" s="183"/>
      <c r="BI233" s="183"/>
      <c r="BJ233" s="183"/>
      <c r="BK233" s="183"/>
      <c r="BL233" s="184"/>
      <c r="BO233" s="153"/>
    </row>
    <row r="234" spans="1:67" x14ac:dyDescent="0.2">
      <c r="A234" s="61"/>
      <c r="B234" s="60">
        <f t="shared" si="368"/>
        <v>41834</v>
      </c>
      <c r="C234" s="22">
        <f t="shared" si="439"/>
        <v>4.8979591836734686</v>
      </c>
      <c r="D234" s="23">
        <f>GETPIVOTDATA("Active time (min)",EffortRPMPivot!$A$4,"date",B234,"Site",3)/60</f>
        <v>24</v>
      </c>
      <c r="E234" s="24">
        <f>F234+G234+GETPIVOTDATA("Sum of CNlgNo",SalmonPivot!$A$4,"Date",B234,"Site",3)</f>
        <v>5</v>
      </c>
      <c r="F234" s="24">
        <f>GETPIVOTDATA("Sum of CNlgrad",SalmonPivot!$A$4,"date",B234,"Site",3)</f>
        <v>2</v>
      </c>
      <c r="G234" s="24">
        <f>GETPIVOTDATA("Sum of CNlgrecap",SalmonPivot!$A$4,"date",B234,"Site",3)</f>
        <v>2</v>
      </c>
      <c r="H234" s="24">
        <f>I234+J234+GETPIVOTDATA("Sum of CNsmno",SalmonPivot!$M$4,"Date",B234,"Site",3)</f>
        <v>0</v>
      </c>
      <c r="I234" s="24">
        <f>GETPIVOTDATA("Sum of CNsmradio",SalmonPivot!$M$4,"Date",B234,"Site",3)</f>
        <v>0</v>
      </c>
      <c r="J234" s="24">
        <f>GETPIVOTDATA("Sum of CNsmrecap",SalmonPivot!$M$4,"Date",B234,"Site",3)</f>
        <v>0</v>
      </c>
      <c r="K234" s="24">
        <f>L234+GETPIVOTDATA("Sum of SOno",SalmonPivot!$Y$4,"Date",B234,"Site",3)+GETPIVOTDATA("Sum of SOrecap",SalmonPivot!$Y$4,"Date",B234,"Site",3)</f>
        <v>0</v>
      </c>
      <c r="L234" s="24">
        <f>GETPIVOTDATA("Sum of SOrad",SalmonPivot!$Y$4,"Date",B234,"Site",3)</f>
        <v>0</v>
      </c>
      <c r="M234" s="24">
        <f>N234+GETPIVOTDATA("Sum of PKno",SalmonPivot!$AK$4,"Date",B234,"Site",3)+GETPIVOTDATA("Sum of PKrecap",SalmonPivot!$AK$4,"Date",B234,"Site",3)</f>
        <v>0</v>
      </c>
      <c r="N234" s="24">
        <f>GETPIVOTDATA("Sum of PKrad",SalmonPivot!$AK$4,"Date",B234,"Site",3)</f>
        <v>0</v>
      </c>
      <c r="O234" s="24">
        <f>P234+GETPIVOTDATA("Sum of CMno",SalmonPivot!$AW$4,"Date",B234,"Site",3)+GETPIVOTDATA("Sum of CMrecap",SalmonPivot!$AW$4,"Date",B234,"Site",3)</f>
        <v>1</v>
      </c>
      <c r="P234" s="24">
        <f>GETPIVOTDATA("Sum of CMrad",SalmonPivot!$AW$4,"Date",B234,"Site",3)</f>
        <v>1</v>
      </c>
      <c r="Q234" s="25">
        <f>R234+GETPIVOTDATA("Sum of COno",SalmonPivot!$BI$4,"Date",B234,"Site",3)+GETPIVOTDATA("Sum of COrecap",SalmonPivot!$BI$4,"Date",B234,"Site",3)</f>
        <v>0</v>
      </c>
      <c r="R234" s="24">
        <f>GETPIVOTDATA("Sum of COrad",SalmonPivot!$BI$4,"Date",B234,"Site",3)</f>
        <v>0</v>
      </c>
      <c r="S234" s="24">
        <f>GETPIVOTDATA("Sum of TotalOther",OtherPivot!$J$5,"Date",B234,"Site",3)</f>
        <v>3</v>
      </c>
      <c r="T234" s="38"/>
      <c r="U234" s="172">
        <f>IF(GETPIVOTDATA("3 Revs (s)",EffortRPMPivot!$L$4,"Date",$B234,"Site",3)=0,"",GETPIVOTDATA("3 revs (s)",EffortRPMPivot!$L$4,"date",$B234,"Site",3))</f>
        <v>36.75</v>
      </c>
      <c r="V234" s="173">
        <f t="shared" si="440"/>
        <v>0.20833333333333334</v>
      </c>
      <c r="W234" s="173">
        <f t="shared" si="441"/>
        <v>0</v>
      </c>
      <c r="X234" s="173">
        <f t="shared" si="442"/>
        <v>0</v>
      </c>
      <c r="Y234" s="173">
        <f t="shared" si="443"/>
        <v>0</v>
      </c>
      <c r="Z234" s="173">
        <f t="shared" si="444"/>
        <v>4.1666666666666664E-2</v>
      </c>
      <c r="AA234" s="174">
        <f t="shared" si="445"/>
        <v>0</v>
      </c>
      <c r="AB234" s="188"/>
      <c r="AC234" s="188"/>
      <c r="AD234" s="188"/>
      <c r="AE234" s="188"/>
      <c r="AF234" s="188"/>
      <c r="AG234" s="188"/>
      <c r="AH234" s="189"/>
      <c r="AI234" s="188"/>
      <c r="AJ234" s="188"/>
      <c r="AK234" s="188"/>
      <c r="AL234" s="188"/>
      <c r="AM234" s="188"/>
      <c r="AN234" s="189"/>
      <c r="AO234" s="188"/>
      <c r="AP234" s="188"/>
      <c r="AQ234" s="188"/>
      <c r="AR234" s="188"/>
      <c r="AS234" s="188"/>
      <c r="AT234" s="189"/>
      <c r="AU234" s="188"/>
      <c r="AV234" s="188"/>
      <c r="AW234" s="190"/>
      <c r="AX234" s="190"/>
      <c r="AY234" s="190"/>
      <c r="AZ234" s="191"/>
      <c r="BA234" s="183"/>
      <c r="BB234" s="183"/>
      <c r="BC234" s="183"/>
      <c r="BD234" s="183"/>
      <c r="BE234" s="183"/>
      <c r="BF234" s="184"/>
      <c r="BG234" s="183"/>
      <c r="BH234" s="183"/>
      <c r="BI234" s="183"/>
      <c r="BJ234" s="183"/>
      <c r="BK234" s="183"/>
      <c r="BL234" s="184"/>
      <c r="BO234" s="153"/>
    </row>
    <row r="235" spans="1:67" x14ac:dyDescent="0.2">
      <c r="A235" s="61"/>
      <c r="B235" s="60">
        <f t="shared" si="368"/>
        <v>41835</v>
      </c>
      <c r="C235" s="22">
        <f t="shared" si="439"/>
        <v>4.4720496894409942</v>
      </c>
      <c r="D235" s="23">
        <f>GETPIVOTDATA("Active time (min)",EffortRPMPivot!$A$4,"date",B235,"Site",3)/60</f>
        <v>23.916666666666668</v>
      </c>
      <c r="E235" s="24">
        <f>F235+G235+GETPIVOTDATA("Sum of CNlgNo",SalmonPivot!$A$4,"Date",B235,"Site",3)</f>
        <v>8</v>
      </c>
      <c r="F235" s="24">
        <f>GETPIVOTDATA("Sum of CNlgrad",SalmonPivot!$A$4,"date",B235,"Site",3)</f>
        <v>7</v>
      </c>
      <c r="G235" s="24">
        <f>GETPIVOTDATA("Sum of CNlgrecap",SalmonPivot!$A$4,"date",B235,"Site",3)</f>
        <v>0</v>
      </c>
      <c r="H235" s="24">
        <f>I235+J235+GETPIVOTDATA("Sum of CNsmno",SalmonPivot!$M$4,"Date",B235,"Site",3)</f>
        <v>3</v>
      </c>
      <c r="I235" s="24">
        <f>GETPIVOTDATA("Sum of CNsmradio",SalmonPivot!$M$4,"Date",B235,"Site",3)</f>
        <v>1</v>
      </c>
      <c r="J235" s="24">
        <f>GETPIVOTDATA("Sum of CNsmrecap",SalmonPivot!$M$4,"Date",B235,"Site",3)</f>
        <v>0</v>
      </c>
      <c r="K235" s="24">
        <f>L235+GETPIVOTDATA("Sum of SOno",SalmonPivot!$Y$4,"Date",B235,"Site",3)+GETPIVOTDATA("Sum of SOrecap",SalmonPivot!$Y$4,"Date",B235,"Site",3)</f>
        <v>1</v>
      </c>
      <c r="L235" s="24">
        <f>GETPIVOTDATA("Sum of SOrad",SalmonPivot!$Y$4,"Date",B235,"Site",3)</f>
        <v>1</v>
      </c>
      <c r="M235" s="24">
        <f>N235+GETPIVOTDATA("Sum of PKno",SalmonPivot!$AK$4,"Date",B235,"Site",3)+GETPIVOTDATA("Sum of PKrecap",SalmonPivot!$AK$4,"Date",B235,"Site",3)</f>
        <v>0</v>
      </c>
      <c r="N235" s="24">
        <f>GETPIVOTDATA("Sum of PKrad",SalmonPivot!$AK$4,"Date",B235,"Site",3)</f>
        <v>0</v>
      </c>
      <c r="O235" s="24">
        <f>P235+GETPIVOTDATA("Sum of CMno",SalmonPivot!$AW$4,"Date",B235,"Site",3)+GETPIVOTDATA("Sum of CMrecap",SalmonPivot!$AW$4,"Date",B235,"Site",3)</f>
        <v>1</v>
      </c>
      <c r="P235" s="24">
        <f>GETPIVOTDATA("Sum of CMrad",SalmonPivot!$AW$4,"Date",B235,"Site",3)</f>
        <v>1</v>
      </c>
      <c r="Q235" s="25">
        <f>R235+GETPIVOTDATA("Sum of COno",SalmonPivot!$BI$4,"Date",B235,"Site",3)+GETPIVOTDATA("Sum of COrecap",SalmonPivot!$BI$4,"Date",B235,"Site",3)</f>
        <v>0</v>
      </c>
      <c r="R235" s="24">
        <f>GETPIVOTDATA("Sum of COrad",SalmonPivot!$BI$4,"Date",B235,"Site",3)</f>
        <v>0</v>
      </c>
      <c r="S235" s="24">
        <f>GETPIVOTDATA("Sum of TotalOther",OtherPivot!$J$5,"Date",B235,"Site",3)</f>
        <v>3</v>
      </c>
      <c r="T235" s="38"/>
      <c r="U235" s="172">
        <f>IF(GETPIVOTDATA("3 Revs (s)",EffortRPMPivot!$L$4,"Date",$B235,"Site",3)=0,"",GETPIVOTDATA("3 revs (s)",EffortRPMPivot!$L$4,"date",$B235,"Site",3))</f>
        <v>40.25</v>
      </c>
      <c r="V235" s="173">
        <f t="shared" si="440"/>
        <v>0.33449477351916374</v>
      </c>
      <c r="W235" s="173">
        <f t="shared" si="441"/>
        <v>0.12543554006968641</v>
      </c>
      <c r="X235" s="173">
        <f t="shared" si="442"/>
        <v>4.1811846689895467E-2</v>
      </c>
      <c r="Y235" s="173">
        <f t="shared" si="443"/>
        <v>0</v>
      </c>
      <c r="Z235" s="173">
        <f t="shared" si="444"/>
        <v>4.1811846689895467E-2</v>
      </c>
      <c r="AA235" s="174">
        <f t="shared" si="445"/>
        <v>0</v>
      </c>
      <c r="AB235" s="188"/>
      <c r="AC235" s="188"/>
      <c r="AD235" s="188"/>
      <c r="AE235" s="188"/>
      <c r="AF235" s="188"/>
      <c r="AG235" s="188"/>
      <c r="AH235" s="189"/>
      <c r="AI235" s="188"/>
      <c r="AJ235" s="188"/>
      <c r="AK235" s="188"/>
      <c r="AL235" s="188"/>
      <c r="AM235" s="188"/>
      <c r="AN235" s="189"/>
      <c r="AO235" s="188"/>
      <c r="AP235" s="188"/>
      <c r="AQ235" s="188"/>
      <c r="AR235" s="188"/>
      <c r="AS235" s="188"/>
      <c r="AT235" s="189"/>
      <c r="AU235" s="188"/>
      <c r="AV235" s="188"/>
      <c r="AW235" s="190"/>
      <c r="AX235" s="190"/>
      <c r="AY235" s="190"/>
      <c r="AZ235" s="191"/>
      <c r="BA235" s="183"/>
      <c r="BB235" s="183"/>
      <c r="BC235" s="183"/>
      <c r="BD235" s="183"/>
      <c r="BE235" s="183"/>
      <c r="BF235" s="184"/>
      <c r="BG235" s="183"/>
      <c r="BH235" s="183"/>
      <c r="BI235" s="183"/>
      <c r="BJ235" s="183"/>
      <c r="BK235" s="183"/>
      <c r="BL235" s="184"/>
      <c r="BO235" s="153"/>
    </row>
    <row r="236" spans="1:67" x14ac:dyDescent="0.2">
      <c r="A236" s="61"/>
      <c r="B236" s="60">
        <f t="shared" si="368"/>
        <v>41836</v>
      </c>
      <c r="C236" s="22">
        <f t="shared" ref="C236:C237" si="446">IF(ISERROR(3/(U236/60)),"",3/(U236/60))</f>
        <v>4.3373493975903612</v>
      </c>
      <c r="D236" s="23">
        <f>GETPIVOTDATA("Active time (min)",EffortRPMPivot!$A$4,"date",B236,"Site",3)/60</f>
        <v>24</v>
      </c>
      <c r="E236" s="24">
        <f>F236+G236+GETPIVOTDATA("Sum of CNlgNo",SalmonPivot!$A$4,"Date",B236,"Site",3)</f>
        <v>5</v>
      </c>
      <c r="F236" s="24">
        <f>GETPIVOTDATA("Sum of CNlgrad",SalmonPivot!$A$4,"date",B236,"Site",3)</f>
        <v>3</v>
      </c>
      <c r="G236" s="24">
        <f>GETPIVOTDATA("Sum of CNlgrecap",SalmonPivot!$A$4,"date",B236,"Site",3)</f>
        <v>2</v>
      </c>
      <c r="H236" s="24">
        <f>I236+J236+GETPIVOTDATA("Sum of CNsmno",SalmonPivot!$M$4,"Date",B236,"Site",3)</f>
        <v>1</v>
      </c>
      <c r="I236" s="24">
        <f>GETPIVOTDATA("Sum of CNsmradio",SalmonPivot!$M$4,"Date",B236,"Site",3)</f>
        <v>0</v>
      </c>
      <c r="J236" s="24">
        <f>GETPIVOTDATA("Sum of CNsmrecap",SalmonPivot!$M$4,"Date",B236,"Site",3)</f>
        <v>0</v>
      </c>
      <c r="K236" s="24">
        <f>L236+GETPIVOTDATA("Sum of SOno",SalmonPivot!$Y$4,"Date",B236,"Site",3)+GETPIVOTDATA("Sum of SOrecap",SalmonPivot!$Y$4,"Date",B236,"Site",3)</f>
        <v>1</v>
      </c>
      <c r="L236" s="24">
        <f>GETPIVOTDATA("Sum of SOrad",SalmonPivot!$Y$4,"Date",B236,"Site",3)</f>
        <v>0</v>
      </c>
      <c r="M236" s="24">
        <f>N236+GETPIVOTDATA("Sum of PKno",SalmonPivot!$AK$4,"Date",B236,"Site",3)+GETPIVOTDATA("Sum of PKrecap",SalmonPivot!$AK$4,"Date",B236,"Site",3)</f>
        <v>0</v>
      </c>
      <c r="N236" s="24">
        <f>GETPIVOTDATA("Sum of PKrad",SalmonPivot!$AK$4,"Date",B236,"Site",3)</f>
        <v>0</v>
      </c>
      <c r="O236" s="24">
        <f>P236+GETPIVOTDATA("Sum of CMno",SalmonPivot!$AW$4,"Date",B236,"Site",3)+GETPIVOTDATA("Sum of CMrecap",SalmonPivot!$AW$4,"Date",B236,"Site",3)</f>
        <v>0</v>
      </c>
      <c r="P236" s="24">
        <f>GETPIVOTDATA("Sum of CMrad",SalmonPivot!$AW$4,"Date",B236,"Site",3)</f>
        <v>0</v>
      </c>
      <c r="Q236" s="25">
        <f>R236+GETPIVOTDATA("Sum of COno",SalmonPivot!$BI$4,"Date",B236,"Site",3)+GETPIVOTDATA("Sum of COrecap",SalmonPivot!$BI$4,"Date",B236,"Site",3)</f>
        <v>0</v>
      </c>
      <c r="R236" s="24">
        <f>GETPIVOTDATA("Sum of COrad",SalmonPivot!$BI$4,"Date",B236,"Site",3)</f>
        <v>0</v>
      </c>
      <c r="S236" s="24">
        <f>GETPIVOTDATA("Sum of TotalOther",OtherPivot!$J$5,"Date",B236,"Site",3)</f>
        <v>1</v>
      </c>
      <c r="T236" s="38"/>
      <c r="U236" s="172">
        <f>IF(GETPIVOTDATA("3 Revs (s)",EffortRPMPivot!$L$4,"Date",$B236,"Site",3)=0,"",GETPIVOTDATA("3 revs (s)",EffortRPMPivot!$L$4,"date",$B236,"Site",3))</f>
        <v>41.5</v>
      </c>
      <c r="V236" s="173">
        <f t="shared" ref="V236:V237" si="447">IF(D236=0,"",E236/D236)</f>
        <v>0.20833333333333334</v>
      </c>
      <c r="W236" s="173">
        <f t="shared" ref="W236:W237" si="448">IF(D236=0,"",H236/D236)</f>
        <v>4.1666666666666664E-2</v>
      </c>
      <c r="X236" s="173">
        <f t="shared" ref="X236:X237" si="449">IF(D236=0,"",K236/$D236)</f>
        <v>4.1666666666666664E-2</v>
      </c>
      <c r="Y236" s="173">
        <f t="shared" ref="Y236:Y237" si="450">IF(D236=0,"",M236/$D236)</f>
        <v>0</v>
      </c>
      <c r="Z236" s="173">
        <f t="shared" ref="Z236:Z237" si="451">IF(D236=0,"",O236/$D236)</f>
        <v>0</v>
      </c>
      <c r="AA236" s="174">
        <f t="shared" ref="AA236:AA237" si="452">IF(D236=0,"",Q236/$D236)</f>
        <v>0</v>
      </c>
      <c r="AB236" s="188"/>
      <c r="AC236" s="188"/>
      <c r="AD236" s="188"/>
      <c r="AE236" s="188"/>
      <c r="AF236" s="188"/>
      <c r="AG236" s="188"/>
      <c r="AH236" s="189"/>
      <c r="AI236" s="188"/>
      <c r="AJ236" s="188"/>
      <c r="AK236" s="188"/>
      <c r="AL236" s="188"/>
      <c r="AM236" s="188"/>
      <c r="AN236" s="189"/>
      <c r="AO236" s="188"/>
      <c r="AP236" s="188"/>
      <c r="AQ236" s="188"/>
      <c r="AR236" s="188"/>
      <c r="AS236" s="188"/>
      <c r="AT236" s="189"/>
      <c r="AU236" s="188"/>
      <c r="AV236" s="188"/>
      <c r="AW236" s="190"/>
      <c r="AX236" s="190"/>
      <c r="AY236" s="190"/>
      <c r="AZ236" s="191"/>
      <c r="BA236" s="183"/>
      <c r="BB236" s="183"/>
      <c r="BC236" s="183"/>
      <c r="BD236" s="183"/>
      <c r="BE236" s="183"/>
      <c r="BF236" s="184"/>
      <c r="BG236" s="183"/>
      <c r="BH236" s="183"/>
      <c r="BI236" s="183"/>
      <c r="BJ236" s="183"/>
      <c r="BK236" s="183"/>
      <c r="BL236" s="184"/>
      <c r="BO236" s="153"/>
    </row>
    <row r="237" spans="1:67" x14ac:dyDescent="0.2">
      <c r="A237" s="61"/>
      <c r="B237" s="60">
        <f t="shared" si="368"/>
        <v>41837</v>
      </c>
      <c r="C237" s="22">
        <f t="shared" si="446"/>
        <v>4.022346368715084</v>
      </c>
      <c r="D237" s="23">
        <f>GETPIVOTDATA("Active time (min)",EffortRPMPivot!$A$4,"date",B237,"Site",3)/60</f>
        <v>23.75</v>
      </c>
      <c r="E237" s="24">
        <f>F237+G237+GETPIVOTDATA("Sum of CNlgNo",SalmonPivot!$A$4,"Date",B237,"Site",3)</f>
        <v>4</v>
      </c>
      <c r="F237" s="24">
        <f>GETPIVOTDATA("Sum of CNlgrad",SalmonPivot!$A$4,"date",B237,"Site",3)</f>
        <v>4</v>
      </c>
      <c r="G237" s="24">
        <f>GETPIVOTDATA("Sum of CNlgrecap",SalmonPivot!$A$4,"date",B237,"Site",3)</f>
        <v>0</v>
      </c>
      <c r="H237" s="24">
        <f>I237+J237+GETPIVOTDATA("Sum of CNsmno",SalmonPivot!$M$4,"Date",B237,"Site",3)</f>
        <v>5</v>
      </c>
      <c r="I237" s="24">
        <f>GETPIVOTDATA("Sum of CNsmradio",SalmonPivot!$M$4,"Date",B237,"Site",3)</f>
        <v>0</v>
      </c>
      <c r="J237" s="24">
        <f>GETPIVOTDATA("Sum of CNsmrecap",SalmonPivot!$M$4,"Date",B237,"Site",3)</f>
        <v>1</v>
      </c>
      <c r="K237" s="24">
        <f>L237+GETPIVOTDATA("Sum of SOno",SalmonPivot!$Y$4,"Date",B237,"Site",3)+GETPIVOTDATA("Sum of SOrecap",SalmonPivot!$Y$4,"Date",B237,"Site",3)</f>
        <v>0</v>
      </c>
      <c r="L237" s="24">
        <f>GETPIVOTDATA("Sum of SOrad",SalmonPivot!$Y$4,"Date",B237,"Site",3)</f>
        <v>0</v>
      </c>
      <c r="M237" s="24">
        <f>N237+GETPIVOTDATA("Sum of PKno",SalmonPivot!$AK$4,"Date",B237,"Site",3)+GETPIVOTDATA("Sum of PKrecap",SalmonPivot!$AK$4,"Date",B237,"Site",3)</f>
        <v>1</v>
      </c>
      <c r="N237" s="24">
        <f>GETPIVOTDATA("Sum of PKrad",SalmonPivot!$AK$4,"Date",B237,"Site",3)</f>
        <v>1</v>
      </c>
      <c r="O237" s="24">
        <f>P237+GETPIVOTDATA("Sum of CMno",SalmonPivot!$AW$4,"Date",B237,"Site",3)+GETPIVOTDATA("Sum of CMrecap",SalmonPivot!$AW$4,"Date",B237,"Site",3)</f>
        <v>2</v>
      </c>
      <c r="P237" s="24">
        <f>GETPIVOTDATA("Sum of CMrad",SalmonPivot!$AW$4,"Date",B237,"Site",3)</f>
        <v>1</v>
      </c>
      <c r="Q237" s="25">
        <f>R237+GETPIVOTDATA("Sum of COno",SalmonPivot!$BI$4,"Date",B237,"Site",3)+GETPIVOTDATA("Sum of COrecap",SalmonPivot!$BI$4,"Date",B237,"Site",3)</f>
        <v>0</v>
      </c>
      <c r="R237" s="24">
        <f>GETPIVOTDATA("Sum of COrad",SalmonPivot!$BI$4,"Date",B237,"Site",3)</f>
        <v>0</v>
      </c>
      <c r="S237" s="24">
        <f>GETPIVOTDATA("Sum of TotalOther",OtherPivot!$J$5,"Date",B237,"Site",3)</f>
        <v>9</v>
      </c>
      <c r="T237" s="38"/>
      <c r="U237" s="172">
        <f>IF(GETPIVOTDATA("3 Revs (s)",EffortRPMPivot!$L$4,"Date",$B237,"Site",3)=0,"",GETPIVOTDATA("3 revs (s)",EffortRPMPivot!$L$4,"date",$B237,"Site",3))</f>
        <v>44.75</v>
      </c>
      <c r="V237" s="173">
        <f t="shared" si="447"/>
        <v>0.16842105263157894</v>
      </c>
      <c r="W237" s="173">
        <f t="shared" si="448"/>
        <v>0.21052631578947367</v>
      </c>
      <c r="X237" s="173">
        <f t="shared" si="449"/>
        <v>0</v>
      </c>
      <c r="Y237" s="173">
        <f t="shared" si="450"/>
        <v>4.2105263157894736E-2</v>
      </c>
      <c r="Z237" s="173">
        <f t="shared" si="451"/>
        <v>8.4210526315789472E-2</v>
      </c>
      <c r="AA237" s="174">
        <f t="shared" si="452"/>
        <v>0</v>
      </c>
      <c r="AB237" s="188"/>
      <c r="AC237" s="188"/>
      <c r="AD237" s="188"/>
      <c r="AE237" s="188"/>
      <c r="AF237" s="188"/>
      <c r="AG237" s="188"/>
      <c r="AH237" s="189"/>
      <c r="AI237" s="188"/>
      <c r="AJ237" s="188"/>
      <c r="AK237" s="188"/>
      <c r="AL237" s="188"/>
      <c r="AM237" s="188"/>
      <c r="AN237" s="189"/>
      <c r="AO237" s="188"/>
      <c r="AP237" s="188"/>
      <c r="AQ237" s="188"/>
      <c r="AR237" s="188"/>
      <c r="AS237" s="188"/>
      <c r="AT237" s="189"/>
      <c r="AU237" s="188"/>
      <c r="AV237" s="188"/>
      <c r="AW237" s="190"/>
      <c r="AX237" s="190"/>
      <c r="AY237" s="190"/>
      <c r="AZ237" s="191"/>
      <c r="BA237" s="183"/>
      <c r="BB237" s="183"/>
      <c r="BC237" s="183"/>
      <c r="BD237" s="183"/>
      <c r="BE237" s="183"/>
      <c r="BF237" s="184"/>
      <c r="BG237" s="183"/>
      <c r="BH237" s="183"/>
      <c r="BI237" s="183"/>
      <c r="BJ237" s="183"/>
      <c r="BK237" s="183"/>
      <c r="BL237" s="184"/>
      <c r="BO237" s="153"/>
    </row>
    <row r="238" spans="1:67" x14ac:dyDescent="0.2">
      <c r="A238" s="61"/>
      <c r="B238" s="60">
        <f t="shared" si="368"/>
        <v>41838</v>
      </c>
      <c r="C238" s="22">
        <f t="shared" ref="C238" si="453">IF(ISERROR(3/(U238/60)),"",3/(U238/60))</f>
        <v>3.5643564356435644</v>
      </c>
      <c r="D238" s="23">
        <f>GETPIVOTDATA("Active time (min)",EffortRPMPivot!$A$4,"date",B238,"Site",3)/60</f>
        <v>23.4</v>
      </c>
      <c r="E238" s="24">
        <f>F238+G238+GETPIVOTDATA("Sum of CNlgNo",SalmonPivot!$A$4,"Date",B238,"Site",3)</f>
        <v>8</v>
      </c>
      <c r="F238" s="24">
        <f>GETPIVOTDATA("Sum of CNlgrad",SalmonPivot!$A$4,"date",B238,"Site",3)</f>
        <v>7</v>
      </c>
      <c r="G238" s="24">
        <f>GETPIVOTDATA("Sum of CNlgrecap",SalmonPivot!$A$4,"date",B238,"Site",3)</f>
        <v>1</v>
      </c>
      <c r="H238" s="24">
        <f>I238+J238+GETPIVOTDATA("Sum of CNsmno",SalmonPivot!$M$4,"Date",B238,"Site",3)</f>
        <v>5</v>
      </c>
      <c r="I238" s="24">
        <f>GETPIVOTDATA("Sum of CNsmradio",SalmonPivot!$M$4,"Date",B238,"Site",3)</f>
        <v>1</v>
      </c>
      <c r="J238" s="24">
        <f>GETPIVOTDATA("Sum of CNsmrecap",SalmonPivot!$M$4,"Date",B238,"Site",3)</f>
        <v>0</v>
      </c>
      <c r="K238" s="24">
        <f>L238+GETPIVOTDATA("Sum of SOno",SalmonPivot!$Y$4,"Date",B238,"Site",3)+GETPIVOTDATA("Sum of SOrecap",SalmonPivot!$Y$4,"Date",B238,"Site",3)</f>
        <v>1</v>
      </c>
      <c r="L238" s="24">
        <f>GETPIVOTDATA("Sum of SOrad",SalmonPivot!$Y$4,"Date",B238,"Site",3)</f>
        <v>1</v>
      </c>
      <c r="M238" s="24">
        <f>N238+GETPIVOTDATA("Sum of PKno",SalmonPivot!$AK$4,"Date",B238,"Site",3)+GETPIVOTDATA("Sum of PKrecap",SalmonPivot!$AK$4,"Date",B238,"Site",3)</f>
        <v>2</v>
      </c>
      <c r="N238" s="24">
        <f>GETPIVOTDATA("Sum of PKrad",SalmonPivot!$AK$4,"Date",B238,"Site",3)</f>
        <v>1</v>
      </c>
      <c r="O238" s="24">
        <f>P238+GETPIVOTDATA("Sum of CMno",SalmonPivot!$AW$4,"Date",B238,"Site",3)+GETPIVOTDATA("Sum of CMrecap",SalmonPivot!$AW$4,"Date",B238,"Site",3)</f>
        <v>0</v>
      </c>
      <c r="P238" s="24">
        <f>GETPIVOTDATA("Sum of CMrad",SalmonPivot!$AW$4,"Date",B238,"Site",3)</f>
        <v>0</v>
      </c>
      <c r="Q238" s="25">
        <f>R238+GETPIVOTDATA("Sum of COno",SalmonPivot!$BI$4,"Date",B238,"Site",3)+GETPIVOTDATA("Sum of COrecap",SalmonPivot!$BI$4,"Date",B238,"Site",3)</f>
        <v>0</v>
      </c>
      <c r="R238" s="24">
        <f>GETPIVOTDATA("Sum of COrad",SalmonPivot!$BI$4,"Date",B238,"Site",3)</f>
        <v>0</v>
      </c>
      <c r="S238" s="24">
        <f>GETPIVOTDATA("Sum of TotalOther",OtherPivot!$J$5,"Date",B238,"Site",3)</f>
        <v>11</v>
      </c>
      <c r="T238" s="38"/>
      <c r="U238" s="172">
        <f>IF(GETPIVOTDATA("3 Revs (s)",EffortRPMPivot!$L$4,"Date",$B238,"Site",3)=0,"",GETPIVOTDATA("3 revs (s)",EffortRPMPivot!$L$4,"date",$B238,"Site",3))</f>
        <v>50.5</v>
      </c>
      <c r="V238" s="173">
        <f t="shared" ref="V238" si="454">IF(D238=0,"",E238/D238)</f>
        <v>0.34188034188034189</v>
      </c>
      <c r="W238" s="173">
        <f t="shared" ref="W238" si="455">IF(D238=0,"",H238/D238)</f>
        <v>0.21367521367521369</v>
      </c>
      <c r="X238" s="173">
        <f t="shared" ref="X238" si="456">IF(D238=0,"",K238/$D238)</f>
        <v>4.2735042735042736E-2</v>
      </c>
      <c r="Y238" s="173">
        <f t="shared" ref="Y238" si="457">IF(D238=0,"",M238/$D238)</f>
        <v>8.5470085470085472E-2</v>
      </c>
      <c r="Z238" s="173">
        <f t="shared" ref="Z238" si="458">IF(D238=0,"",O238/$D238)</f>
        <v>0</v>
      </c>
      <c r="AA238" s="174">
        <f t="shared" ref="AA238" si="459">IF(D238=0,"",Q238/$D238)</f>
        <v>0</v>
      </c>
      <c r="AB238" s="188"/>
      <c r="AC238" s="188"/>
      <c r="AD238" s="188"/>
      <c r="AE238" s="188"/>
      <c r="AF238" s="188"/>
      <c r="AG238" s="188"/>
      <c r="AH238" s="189"/>
      <c r="AI238" s="188"/>
      <c r="AJ238" s="188"/>
      <c r="AK238" s="188"/>
      <c r="AL238" s="188"/>
      <c r="AM238" s="188"/>
      <c r="AN238" s="189"/>
      <c r="AO238" s="188"/>
      <c r="AP238" s="188"/>
      <c r="AQ238" s="188"/>
      <c r="AR238" s="188"/>
      <c r="AS238" s="188"/>
      <c r="AT238" s="189"/>
      <c r="AU238" s="188"/>
      <c r="AV238" s="188"/>
      <c r="AW238" s="190"/>
      <c r="AX238" s="190"/>
      <c r="AY238" s="190"/>
      <c r="AZ238" s="191"/>
      <c r="BA238" s="183"/>
      <c r="BB238" s="183"/>
      <c r="BC238" s="183"/>
      <c r="BD238" s="183"/>
      <c r="BE238" s="183"/>
      <c r="BF238" s="184"/>
      <c r="BG238" s="183"/>
      <c r="BH238" s="183"/>
      <c r="BI238" s="183"/>
      <c r="BJ238" s="183"/>
      <c r="BK238" s="183"/>
      <c r="BL238" s="184"/>
      <c r="BO238" s="153"/>
    </row>
    <row r="239" spans="1:67" x14ac:dyDescent="0.2">
      <c r="A239" s="61"/>
      <c r="B239" s="60">
        <f t="shared" si="368"/>
        <v>41839</v>
      </c>
      <c r="C239" s="22">
        <f t="shared" ref="C239" si="460">IF(ISERROR(3/(U239/60)),"",3/(U239/60))</f>
        <v>3.6241610738255035</v>
      </c>
      <c r="D239" s="23">
        <f>GETPIVOTDATA("Active time (min)",EffortRPMPivot!$A$4,"date",B239,"Site",3)/60</f>
        <v>11.83333333333333</v>
      </c>
      <c r="E239" s="24">
        <f>F239+G239+GETPIVOTDATA("Sum of CNlgNo",SalmonPivot!$A$4,"Date",B239,"Site",3)</f>
        <v>5</v>
      </c>
      <c r="F239" s="24">
        <f>GETPIVOTDATA("Sum of CNlgrad",SalmonPivot!$A$4,"date",B239,"Site",3)</f>
        <v>3</v>
      </c>
      <c r="G239" s="24">
        <f>GETPIVOTDATA("Sum of CNlgrecap",SalmonPivot!$A$4,"date",B239,"Site",3)</f>
        <v>2</v>
      </c>
      <c r="H239" s="24">
        <f>I239+J239+GETPIVOTDATA("Sum of CNsmno",SalmonPivot!$M$4,"Date",B239,"Site",3)</f>
        <v>2</v>
      </c>
      <c r="I239" s="24">
        <f>GETPIVOTDATA("Sum of CNsmradio",SalmonPivot!$M$4,"Date",B239,"Site",3)</f>
        <v>1</v>
      </c>
      <c r="J239" s="24">
        <f>GETPIVOTDATA("Sum of CNsmrecap",SalmonPivot!$M$4,"Date",B239,"Site",3)</f>
        <v>1</v>
      </c>
      <c r="K239" s="24">
        <f>L239+GETPIVOTDATA("Sum of SOno",SalmonPivot!$Y$4,"Date",B239,"Site",3)+GETPIVOTDATA("Sum of SOrecap",SalmonPivot!$Y$4,"Date",B239,"Site",3)</f>
        <v>3</v>
      </c>
      <c r="L239" s="24">
        <f>GETPIVOTDATA("Sum of SOrad",SalmonPivot!$Y$4,"Date",B239,"Site",3)</f>
        <v>3</v>
      </c>
      <c r="M239" s="24">
        <f>N239+GETPIVOTDATA("Sum of PKno",SalmonPivot!$AK$4,"Date",B239,"Site",3)+GETPIVOTDATA("Sum of PKrecap",SalmonPivot!$AK$4,"Date",B239,"Site",3)</f>
        <v>1</v>
      </c>
      <c r="N239" s="24">
        <f>GETPIVOTDATA("Sum of PKrad",SalmonPivot!$AK$4,"Date",B239,"Site",3)</f>
        <v>1</v>
      </c>
      <c r="O239" s="24">
        <f>P239+GETPIVOTDATA("Sum of CMno",SalmonPivot!$AW$4,"Date",B239,"Site",3)+GETPIVOTDATA("Sum of CMrecap",SalmonPivot!$AW$4,"Date",B239,"Site",3)</f>
        <v>2</v>
      </c>
      <c r="P239" s="24">
        <f>GETPIVOTDATA("Sum of CMrad",SalmonPivot!$AW$4,"Date",B239,"Site",3)</f>
        <v>0</v>
      </c>
      <c r="Q239" s="25">
        <f>R239+GETPIVOTDATA("Sum of COno",SalmonPivot!$BI$4,"Date",B239,"Site",3)+GETPIVOTDATA("Sum of COrecap",SalmonPivot!$BI$4,"Date",B239,"Site",3)</f>
        <v>0</v>
      </c>
      <c r="R239" s="24">
        <f>GETPIVOTDATA("Sum of COrad",SalmonPivot!$BI$4,"Date",B239,"Site",3)</f>
        <v>0</v>
      </c>
      <c r="S239" s="24">
        <f>GETPIVOTDATA("Sum of TotalOther",OtherPivot!$J$5,"Date",B239,"Site",3)</f>
        <v>4</v>
      </c>
      <c r="T239" s="38"/>
      <c r="U239" s="172">
        <f>IF(GETPIVOTDATA("3 Revs (s)",EffortRPMPivot!$L$4,"Date",$B239,"Site",3)=0,"",GETPIVOTDATA("3 revs (s)",EffortRPMPivot!$L$4,"date",$B239,"Site",3))</f>
        <v>49.666666666666664</v>
      </c>
      <c r="V239" s="173">
        <f t="shared" ref="V239" si="461">IF(D239=0,"",E239/D239)</f>
        <v>0.42253521126760574</v>
      </c>
      <c r="W239" s="173">
        <f t="shared" ref="W239" si="462">IF(D239=0,"",H239/D239)</f>
        <v>0.16901408450704231</v>
      </c>
      <c r="X239" s="173">
        <f t="shared" ref="X239" si="463">IF(D239=0,"",K239/$D239)</f>
        <v>0.25352112676056343</v>
      </c>
      <c r="Y239" s="173">
        <f t="shared" ref="Y239" si="464">IF(D239=0,"",M239/$D239)</f>
        <v>8.4507042253521153E-2</v>
      </c>
      <c r="Z239" s="173">
        <f t="shared" ref="Z239" si="465">IF(D239=0,"",O239/$D239)</f>
        <v>0.16901408450704231</v>
      </c>
      <c r="AA239" s="174">
        <f t="shared" ref="AA239" si="466">IF(D239=0,"",Q239/$D239)</f>
        <v>0</v>
      </c>
      <c r="AB239" s="188"/>
      <c r="AC239" s="188"/>
      <c r="AD239" s="188"/>
      <c r="AE239" s="188"/>
      <c r="AF239" s="188"/>
      <c r="AG239" s="188"/>
      <c r="AH239" s="189"/>
      <c r="AI239" s="188"/>
      <c r="AJ239" s="188"/>
      <c r="AK239" s="188"/>
      <c r="AL239" s="188"/>
      <c r="AM239" s="188"/>
      <c r="AN239" s="189"/>
      <c r="AO239" s="188"/>
      <c r="AP239" s="188"/>
      <c r="AQ239" s="188"/>
      <c r="AR239" s="188"/>
      <c r="AS239" s="188"/>
      <c r="AT239" s="189"/>
      <c r="AU239" s="188"/>
      <c r="AV239" s="188"/>
      <c r="AW239" s="190"/>
      <c r="AX239" s="190"/>
      <c r="AY239" s="190"/>
      <c r="AZ239" s="191"/>
      <c r="BA239" s="183"/>
      <c r="BB239" s="183"/>
      <c r="BC239" s="183"/>
      <c r="BD239" s="183"/>
      <c r="BE239" s="183"/>
      <c r="BF239" s="184"/>
      <c r="BG239" s="183"/>
      <c r="BH239" s="183"/>
      <c r="BI239" s="183"/>
      <c r="BJ239" s="183"/>
      <c r="BK239" s="183"/>
      <c r="BL239" s="184"/>
      <c r="BO239" s="153"/>
    </row>
    <row r="240" spans="1:67" x14ac:dyDescent="0.2">
      <c r="A240" s="61"/>
      <c r="B240" s="60">
        <f t="shared" si="368"/>
        <v>41840</v>
      </c>
      <c r="C240" s="22">
        <f t="shared" ref="C240:C242" si="467">IF(ISERROR(3/(U240/60)),"",3/(U240/60))</f>
        <v>4.0909090909090908</v>
      </c>
      <c r="D240" s="23">
        <f>GETPIVOTDATA("Active time (min)",EffortRPMPivot!$A$4,"date",B240,"Site",3)/60</f>
        <v>11.949999999999998</v>
      </c>
      <c r="E240" s="24">
        <f>F240+G240+GETPIVOTDATA("Sum of CNlgNo",SalmonPivot!$A$4,"Date",B240,"Site",3)</f>
        <v>5</v>
      </c>
      <c r="F240" s="24">
        <f>GETPIVOTDATA("Sum of CNlgrad",SalmonPivot!$A$4,"date",B240,"Site",3)</f>
        <v>5</v>
      </c>
      <c r="G240" s="24">
        <f>GETPIVOTDATA("Sum of CNlgrecap",SalmonPivot!$A$4,"date",B240,"Site",3)</f>
        <v>0</v>
      </c>
      <c r="H240" s="24">
        <f>I240+J240+GETPIVOTDATA("Sum of CNsmno",SalmonPivot!$M$4,"Date",B240,"Site",3)</f>
        <v>1</v>
      </c>
      <c r="I240" s="24">
        <f>GETPIVOTDATA("Sum of CNsmradio",SalmonPivot!$M$4,"Date",B240,"Site",3)</f>
        <v>0</v>
      </c>
      <c r="J240" s="24">
        <f>GETPIVOTDATA("Sum of CNsmrecap",SalmonPivot!$M$4,"Date",B240,"Site",3)</f>
        <v>0</v>
      </c>
      <c r="K240" s="24">
        <f>L240+GETPIVOTDATA("Sum of SOno",SalmonPivot!$Y$4,"Date",B240,"Site",3)+GETPIVOTDATA("Sum of SOrecap",SalmonPivot!$Y$4,"Date",B240,"Site",3)</f>
        <v>1</v>
      </c>
      <c r="L240" s="24">
        <f>GETPIVOTDATA("Sum of SOrad",SalmonPivot!$Y$4,"Date",B240,"Site",3)</f>
        <v>0</v>
      </c>
      <c r="M240" s="24">
        <f>N240+GETPIVOTDATA("Sum of PKno",SalmonPivot!$AK$4,"Date",B240,"Site",3)+GETPIVOTDATA("Sum of PKrecap",SalmonPivot!$AK$4,"Date",B240,"Site",3)</f>
        <v>9</v>
      </c>
      <c r="N240" s="24">
        <f>GETPIVOTDATA("Sum of PKrad",SalmonPivot!$AK$4,"Date",B240,"Site",3)</f>
        <v>1</v>
      </c>
      <c r="O240" s="24">
        <f>P240+GETPIVOTDATA("Sum of CMno",SalmonPivot!$AW$4,"Date",B240,"Site",3)+GETPIVOTDATA("Sum of CMrecap",SalmonPivot!$AW$4,"Date",B240,"Site",3)</f>
        <v>1</v>
      </c>
      <c r="P240" s="24">
        <f>GETPIVOTDATA("Sum of CMrad",SalmonPivot!$AW$4,"Date",B240,"Site",3)</f>
        <v>1</v>
      </c>
      <c r="Q240" s="25">
        <f>R240+GETPIVOTDATA("Sum of COno",SalmonPivot!$BI$4,"Date",B240,"Site",3)+GETPIVOTDATA("Sum of COrecap",SalmonPivot!$BI$4,"Date",B240,"Site",3)</f>
        <v>0</v>
      </c>
      <c r="R240" s="24">
        <f>GETPIVOTDATA("Sum of COrad",SalmonPivot!$BI$4,"Date",B240,"Site",3)</f>
        <v>0</v>
      </c>
      <c r="S240" s="24">
        <f>GETPIVOTDATA("Sum of TotalOther",OtherPivot!$J$5,"Date",B240,"Site",3)</f>
        <v>0</v>
      </c>
      <c r="T240" s="38"/>
      <c r="U240" s="172">
        <f>IF(GETPIVOTDATA("3 Revs (s)",EffortRPMPivot!$L$4,"Date",$B240,"Site",3)=0,"",GETPIVOTDATA("3 revs (s)",EffortRPMPivot!$L$4,"date",$B240,"Site",3))</f>
        <v>44</v>
      </c>
      <c r="V240" s="173">
        <f t="shared" ref="V240:V242" si="468">IF(D240=0,"",E240/D240)</f>
        <v>0.41841004184100428</v>
      </c>
      <c r="W240" s="173">
        <f t="shared" ref="W240:W242" si="469">IF(D240=0,"",H240/D240)</f>
        <v>8.3682008368200861E-2</v>
      </c>
      <c r="X240" s="173">
        <f t="shared" ref="X240:X242" si="470">IF(D240=0,"",K240/$D240)</f>
        <v>8.3682008368200861E-2</v>
      </c>
      <c r="Y240" s="173">
        <f t="shared" ref="Y240:Y242" si="471">IF(D240=0,"",M240/$D240)</f>
        <v>0.75313807531380772</v>
      </c>
      <c r="Z240" s="173">
        <f t="shared" ref="Z240:Z242" si="472">IF(D240=0,"",O240/$D240)</f>
        <v>8.3682008368200861E-2</v>
      </c>
      <c r="AA240" s="174">
        <f t="shared" ref="AA240:AA242" si="473">IF(D240=0,"",Q240/$D240)</f>
        <v>0</v>
      </c>
      <c r="AB240" s="188"/>
      <c r="AC240" s="188"/>
      <c r="AD240" s="188"/>
      <c r="AE240" s="188"/>
      <c r="AF240" s="188"/>
      <c r="AG240" s="188"/>
      <c r="AH240" s="189"/>
      <c r="AI240" s="188"/>
      <c r="AJ240" s="188"/>
      <c r="AK240" s="188"/>
      <c r="AL240" s="188"/>
      <c r="AM240" s="188"/>
      <c r="AN240" s="189"/>
      <c r="AO240" s="188"/>
      <c r="AP240" s="188"/>
      <c r="AQ240" s="188"/>
      <c r="AR240" s="188"/>
      <c r="AS240" s="188"/>
      <c r="AT240" s="189"/>
      <c r="AU240" s="188"/>
      <c r="AV240" s="188"/>
      <c r="AW240" s="190"/>
      <c r="AX240" s="190"/>
      <c r="AY240" s="190"/>
      <c r="AZ240" s="191"/>
      <c r="BA240" s="183"/>
      <c r="BB240" s="183"/>
      <c r="BC240" s="183"/>
      <c r="BD240" s="183"/>
      <c r="BE240" s="183"/>
      <c r="BF240" s="184"/>
      <c r="BG240" s="183"/>
      <c r="BH240" s="183"/>
      <c r="BI240" s="183"/>
      <c r="BJ240" s="183"/>
      <c r="BK240" s="183"/>
      <c r="BL240" s="184"/>
      <c r="BO240" s="153"/>
    </row>
    <row r="241" spans="1:67" x14ac:dyDescent="0.2">
      <c r="A241" s="61"/>
      <c r="B241" s="60">
        <f t="shared" si="368"/>
        <v>41841</v>
      </c>
      <c r="C241" s="22">
        <f t="shared" si="467"/>
        <v>4.1860465116279073</v>
      </c>
      <c r="D241" s="23">
        <f>GETPIVOTDATA("Active time (min)",EffortRPMPivot!$A$4,"date",B241,"Site",3)/60</f>
        <v>12.016666666666667</v>
      </c>
      <c r="E241" s="24">
        <f>F241+G241+GETPIVOTDATA("Sum of CNlgNo",SalmonPivot!$A$4,"Date",B241,"Site",3)</f>
        <v>4</v>
      </c>
      <c r="F241" s="24">
        <f>GETPIVOTDATA("Sum of CNlgrad",SalmonPivot!$A$4,"date",B241,"Site",3)</f>
        <v>4</v>
      </c>
      <c r="G241" s="24">
        <f>GETPIVOTDATA("Sum of CNlgrecap",SalmonPivot!$A$4,"date",B241,"Site",3)</f>
        <v>0</v>
      </c>
      <c r="H241" s="24">
        <f>I241+J241+GETPIVOTDATA("Sum of CNsmno",SalmonPivot!$M$4,"Date",B241,"Site",3)</f>
        <v>2</v>
      </c>
      <c r="I241" s="24">
        <f>GETPIVOTDATA("Sum of CNsmradio",SalmonPivot!$M$4,"Date",B241,"Site",3)</f>
        <v>0</v>
      </c>
      <c r="J241" s="24">
        <f>GETPIVOTDATA("Sum of CNsmrecap",SalmonPivot!$M$4,"Date",B241,"Site",3)</f>
        <v>0</v>
      </c>
      <c r="K241" s="24">
        <f>L241+GETPIVOTDATA("Sum of SOno",SalmonPivot!$Y$4,"Date",B241,"Site",3)+GETPIVOTDATA("Sum of SOrecap",SalmonPivot!$Y$4,"Date",B241,"Site",3)</f>
        <v>0</v>
      </c>
      <c r="L241" s="24">
        <f>GETPIVOTDATA("Sum of SOrad",SalmonPivot!$Y$4,"Date",B241,"Site",3)</f>
        <v>0</v>
      </c>
      <c r="M241" s="24">
        <f>N241+GETPIVOTDATA("Sum of PKno",SalmonPivot!$AK$4,"Date",B241,"Site",3)+GETPIVOTDATA("Sum of PKrecap",SalmonPivot!$AK$4,"Date",B241,"Site",3)</f>
        <v>3</v>
      </c>
      <c r="N241" s="24">
        <f>GETPIVOTDATA("Sum of PKrad",SalmonPivot!$AK$4,"Date",B241,"Site",3)</f>
        <v>1</v>
      </c>
      <c r="O241" s="24">
        <f>P241+GETPIVOTDATA("Sum of CMno",SalmonPivot!$AW$4,"Date",B241,"Site",3)+GETPIVOTDATA("Sum of CMrecap",SalmonPivot!$AW$4,"Date",B241,"Site",3)</f>
        <v>0</v>
      </c>
      <c r="P241" s="24">
        <f>GETPIVOTDATA("Sum of CMrad",SalmonPivot!$AW$4,"Date",B241,"Site",3)</f>
        <v>0</v>
      </c>
      <c r="Q241" s="25">
        <f>R241+GETPIVOTDATA("Sum of COno",SalmonPivot!$BI$4,"Date",B241,"Site",3)+GETPIVOTDATA("Sum of COrecap",SalmonPivot!$BI$4,"Date",B241,"Site",3)</f>
        <v>0</v>
      </c>
      <c r="R241" s="24">
        <f>GETPIVOTDATA("Sum of COrad",SalmonPivot!$BI$4,"Date",B241,"Site",3)</f>
        <v>0</v>
      </c>
      <c r="S241" s="24">
        <f>GETPIVOTDATA("Sum of TotalOther",OtherPivot!$J$5,"Date",B241,"Site",3)</f>
        <v>1</v>
      </c>
      <c r="T241" s="38"/>
      <c r="U241" s="172">
        <f>IF(GETPIVOTDATA("3 Revs (s)",EffortRPMPivot!$L$4,"Date",$B241,"Site",3)=0,"",GETPIVOTDATA("3 revs (s)",EffortRPMPivot!$L$4,"date",$B241,"Site",3))</f>
        <v>43</v>
      </c>
      <c r="V241" s="173">
        <f t="shared" si="468"/>
        <v>0.33287101248266293</v>
      </c>
      <c r="W241" s="173">
        <f t="shared" si="469"/>
        <v>0.16643550624133147</v>
      </c>
      <c r="X241" s="173">
        <f t="shared" si="470"/>
        <v>0</v>
      </c>
      <c r="Y241" s="173">
        <f t="shared" si="471"/>
        <v>0.2496532593619972</v>
      </c>
      <c r="Z241" s="173">
        <f t="shared" si="472"/>
        <v>0</v>
      </c>
      <c r="AA241" s="174">
        <f t="shared" si="473"/>
        <v>0</v>
      </c>
      <c r="AB241" s="188"/>
      <c r="AC241" s="188"/>
      <c r="AD241" s="188"/>
      <c r="AE241" s="188"/>
      <c r="AF241" s="188"/>
      <c r="AG241" s="188"/>
      <c r="AH241" s="189"/>
      <c r="AI241" s="188"/>
      <c r="AJ241" s="188"/>
      <c r="AK241" s="188"/>
      <c r="AL241" s="188"/>
      <c r="AM241" s="188"/>
      <c r="AN241" s="189"/>
      <c r="AO241" s="188"/>
      <c r="AP241" s="188"/>
      <c r="AQ241" s="188"/>
      <c r="AR241" s="188"/>
      <c r="AS241" s="188"/>
      <c r="AT241" s="189"/>
      <c r="AU241" s="188"/>
      <c r="AV241" s="188"/>
      <c r="AW241" s="190"/>
      <c r="AX241" s="190"/>
      <c r="AY241" s="190"/>
      <c r="AZ241" s="191"/>
      <c r="BA241" s="183"/>
      <c r="BB241" s="183"/>
      <c r="BC241" s="183"/>
      <c r="BD241" s="183"/>
      <c r="BE241" s="183"/>
      <c r="BF241" s="184"/>
      <c r="BG241" s="183"/>
      <c r="BH241" s="183"/>
      <c r="BI241" s="183"/>
      <c r="BJ241" s="183"/>
      <c r="BK241" s="183"/>
      <c r="BL241" s="184"/>
      <c r="BO241" s="153"/>
    </row>
    <row r="242" spans="1:67" x14ac:dyDescent="0.2">
      <c r="A242" s="61"/>
      <c r="B242" s="60">
        <f t="shared" si="368"/>
        <v>41842</v>
      </c>
      <c r="C242" s="22">
        <f t="shared" si="467"/>
        <v>4.0909090909090908</v>
      </c>
      <c r="D242" s="23">
        <f>GETPIVOTDATA("Active time (min)",EffortRPMPivot!$A$4,"date",B242,"Site",3)/60</f>
        <v>11.666666666666666</v>
      </c>
      <c r="E242" s="24">
        <f>F242+G242+GETPIVOTDATA("Sum of CNlgNo",SalmonPivot!$A$4,"Date",B242,"Site",3)</f>
        <v>1</v>
      </c>
      <c r="F242" s="24">
        <f>GETPIVOTDATA("Sum of CNlgrad",SalmonPivot!$A$4,"date",B242,"Site",3)</f>
        <v>0</v>
      </c>
      <c r="G242" s="24">
        <f>GETPIVOTDATA("Sum of CNlgrecap",SalmonPivot!$A$4,"date",B242,"Site",3)</f>
        <v>0</v>
      </c>
      <c r="H242" s="24">
        <f>I242+J242+GETPIVOTDATA("Sum of CNsmno",SalmonPivot!$M$4,"Date",B242,"Site",3)</f>
        <v>0</v>
      </c>
      <c r="I242" s="24">
        <f>GETPIVOTDATA("Sum of CNsmradio",SalmonPivot!$M$4,"Date",B242,"Site",3)</f>
        <v>0</v>
      </c>
      <c r="J242" s="24">
        <f>GETPIVOTDATA("Sum of CNsmrecap",SalmonPivot!$M$4,"Date",B242,"Site",3)</f>
        <v>0</v>
      </c>
      <c r="K242" s="24">
        <f>L242+GETPIVOTDATA("Sum of SOno",SalmonPivot!$Y$4,"Date",B242,"Site",3)+GETPIVOTDATA("Sum of SOrecap",SalmonPivot!$Y$4,"Date",B242,"Site",3)</f>
        <v>0</v>
      </c>
      <c r="L242" s="24">
        <f>GETPIVOTDATA("Sum of SOrad",SalmonPivot!$Y$4,"Date",B242,"Site",3)</f>
        <v>0</v>
      </c>
      <c r="M242" s="24">
        <f>N242+GETPIVOTDATA("Sum of PKno",SalmonPivot!$AK$4,"Date",B242,"Site",3)+GETPIVOTDATA("Sum of PKrecap",SalmonPivot!$AK$4,"Date",B242,"Site",3)</f>
        <v>10</v>
      </c>
      <c r="N242" s="24">
        <f>GETPIVOTDATA("Sum of PKrad",SalmonPivot!$AK$4,"Date",B242,"Site",3)</f>
        <v>2</v>
      </c>
      <c r="O242" s="24">
        <f>P242+GETPIVOTDATA("Sum of CMno",SalmonPivot!$AW$4,"Date",B242,"Site",3)+GETPIVOTDATA("Sum of CMrecap",SalmonPivot!$AW$4,"Date",B242,"Site",3)</f>
        <v>3</v>
      </c>
      <c r="P242" s="24">
        <f>GETPIVOTDATA("Sum of CMrad",SalmonPivot!$AW$4,"Date",B242,"Site",3)</f>
        <v>0</v>
      </c>
      <c r="Q242" s="25">
        <f>R242+GETPIVOTDATA("Sum of COno",SalmonPivot!$BI$4,"Date",B242,"Site",3)+GETPIVOTDATA("Sum of COrecap",SalmonPivot!$BI$4,"Date",B242,"Site",3)</f>
        <v>0</v>
      </c>
      <c r="R242" s="24">
        <f>GETPIVOTDATA("Sum of COrad",SalmonPivot!$BI$4,"Date",B242,"Site",3)</f>
        <v>0</v>
      </c>
      <c r="S242" s="24">
        <f>GETPIVOTDATA("Sum of TotalOther",OtherPivot!$J$5,"Date",B242,"Site",3)</f>
        <v>2</v>
      </c>
      <c r="T242" s="38"/>
      <c r="U242" s="172">
        <f>IF(GETPIVOTDATA("3 Revs (s)",EffortRPMPivot!$L$4,"Date",$B242,"Site",3)=0,"",GETPIVOTDATA("3 revs (s)",EffortRPMPivot!$L$4,"date",$B242,"Site",3))</f>
        <v>44</v>
      </c>
      <c r="V242" s="173">
        <f t="shared" si="468"/>
        <v>8.5714285714285715E-2</v>
      </c>
      <c r="W242" s="173">
        <f t="shared" si="469"/>
        <v>0</v>
      </c>
      <c r="X242" s="173">
        <f t="shared" si="470"/>
        <v>0</v>
      </c>
      <c r="Y242" s="173">
        <f t="shared" si="471"/>
        <v>0.85714285714285721</v>
      </c>
      <c r="Z242" s="173">
        <f t="shared" si="472"/>
        <v>0.25714285714285717</v>
      </c>
      <c r="AA242" s="174">
        <f t="shared" si="473"/>
        <v>0</v>
      </c>
      <c r="AB242" s="188"/>
      <c r="AC242" s="188"/>
      <c r="AD242" s="188"/>
      <c r="AE242" s="188"/>
      <c r="AF242" s="188"/>
      <c r="AG242" s="188"/>
      <c r="AH242" s="189"/>
      <c r="AI242" s="188"/>
      <c r="AJ242" s="188"/>
      <c r="AK242" s="188"/>
      <c r="AL242" s="188"/>
      <c r="AM242" s="188"/>
      <c r="AN242" s="189"/>
      <c r="AO242" s="188"/>
      <c r="AP242" s="188"/>
      <c r="AQ242" s="188"/>
      <c r="AR242" s="188"/>
      <c r="AS242" s="188"/>
      <c r="AT242" s="189"/>
      <c r="AU242" s="188"/>
      <c r="AV242" s="188"/>
      <c r="AW242" s="190"/>
      <c r="AX242" s="190"/>
      <c r="AY242" s="190"/>
      <c r="AZ242" s="191"/>
      <c r="BA242" s="183"/>
      <c r="BB242" s="183"/>
      <c r="BC242" s="183"/>
      <c r="BD242" s="183"/>
      <c r="BE242" s="183"/>
      <c r="BF242" s="184"/>
      <c r="BG242" s="183"/>
      <c r="BH242" s="183"/>
      <c r="BI242" s="183"/>
      <c r="BJ242" s="183"/>
      <c r="BK242" s="183"/>
      <c r="BL242" s="184"/>
      <c r="BO242" s="153"/>
    </row>
    <row r="243" spans="1:67" x14ac:dyDescent="0.2">
      <c r="A243" s="61"/>
      <c r="B243" s="60">
        <f t="shared" si="368"/>
        <v>41843</v>
      </c>
      <c r="C243" s="22">
        <f t="shared" ref="C243" si="474">IF(ISERROR(3/(U243/60)),"",3/(U243/60))</f>
        <v>3.4951456310679614</v>
      </c>
      <c r="D243" s="23">
        <f>GETPIVOTDATA("Active time (min)",EffortRPMPivot!$A$4,"date",B243,"Site",3)/60</f>
        <v>11.866666666666667</v>
      </c>
      <c r="E243" s="24">
        <f>F243+G243+GETPIVOTDATA("Sum of CNlgNo",SalmonPivot!$A$4,"Date",B243,"Site",3)</f>
        <v>1</v>
      </c>
      <c r="F243" s="24">
        <f>GETPIVOTDATA("Sum of CNlgrad",SalmonPivot!$A$4,"date",B243,"Site",3)</f>
        <v>1</v>
      </c>
      <c r="G243" s="24">
        <f>GETPIVOTDATA("Sum of CNlgrecap",SalmonPivot!$A$4,"date",B243,"Site",3)</f>
        <v>0</v>
      </c>
      <c r="H243" s="24">
        <f>I243+J243+GETPIVOTDATA("Sum of CNsmno",SalmonPivot!$M$4,"Date",B243,"Site",3)</f>
        <v>0</v>
      </c>
      <c r="I243" s="24">
        <f>GETPIVOTDATA("Sum of CNsmradio",SalmonPivot!$M$4,"Date",B243,"Site",3)</f>
        <v>0</v>
      </c>
      <c r="J243" s="24">
        <f>GETPIVOTDATA("Sum of CNsmrecap",SalmonPivot!$M$4,"Date",B243,"Site",3)</f>
        <v>0</v>
      </c>
      <c r="K243" s="24">
        <f>L243+GETPIVOTDATA("Sum of SOno",SalmonPivot!$Y$4,"Date",B243,"Site",3)+GETPIVOTDATA("Sum of SOrecap",SalmonPivot!$Y$4,"Date",B243,"Site",3)</f>
        <v>6</v>
      </c>
      <c r="L243" s="24">
        <f>GETPIVOTDATA("Sum of SOrad",SalmonPivot!$Y$4,"Date",B243,"Site",3)</f>
        <v>6</v>
      </c>
      <c r="M243" s="24">
        <f>N243+GETPIVOTDATA("Sum of PKno",SalmonPivot!$AK$4,"Date",B243,"Site",3)+GETPIVOTDATA("Sum of PKrecap",SalmonPivot!$AK$4,"Date",B243,"Site",3)</f>
        <v>25</v>
      </c>
      <c r="N243" s="24">
        <f>GETPIVOTDATA("Sum of PKrad",SalmonPivot!$AK$4,"Date",B243,"Site",3)</f>
        <v>2</v>
      </c>
      <c r="O243" s="24">
        <f>P243+GETPIVOTDATA("Sum of CMno",SalmonPivot!$AW$4,"Date",B243,"Site",3)+GETPIVOTDATA("Sum of CMrecap",SalmonPivot!$AW$4,"Date",B243,"Site",3)</f>
        <v>5</v>
      </c>
      <c r="P243" s="24">
        <f>GETPIVOTDATA("Sum of CMrad",SalmonPivot!$AW$4,"Date",B243,"Site",3)</f>
        <v>2</v>
      </c>
      <c r="Q243" s="25">
        <f>R243+GETPIVOTDATA("Sum of COno",SalmonPivot!$BI$4,"Date",B243,"Site",3)+GETPIVOTDATA("Sum of COrecap",SalmonPivot!$BI$4,"Date",B243,"Site",3)</f>
        <v>0</v>
      </c>
      <c r="R243" s="24">
        <f>GETPIVOTDATA("Sum of COrad",SalmonPivot!$BI$4,"Date",B243,"Site",3)</f>
        <v>0</v>
      </c>
      <c r="S243" s="24">
        <f>GETPIVOTDATA("Sum of TotalOther",OtherPivot!$J$5,"Date",B243,"Site",3)</f>
        <v>4</v>
      </c>
      <c r="T243" s="38"/>
      <c r="U243" s="172">
        <f>IF(GETPIVOTDATA("3 Revs (s)",EffortRPMPivot!$L$4,"Date",$B243,"Site",3)=0,"",GETPIVOTDATA("3 revs (s)",EffortRPMPivot!$L$4,"date",$B243,"Site",3))</f>
        <v>51.5</v>
      </c>
      <c r="V243" s="173">
        <f t="shared" ref="V243" si="475">IF(D243=0,"",E243/D243)</f>
        <v>8.4269662921348312E-2</v>
      </c>
      <c r="W243" s="173">
        <f t="shared" ref="W243" si="476">IF(D243=0,"",H243/D243)</f>
        <v>0</v>
      </c>
      <c r="X243" s="173">
        <f t="shared" ref="X243" si="477">IF(D243=0,"",K243/$D243)</f>
        <v>0.5056179775280899</v>
      </c>
      <c r="Y243" s="173">
        <f t="shared" ref="Y243" si="478">IF(D243=0,"",M243/$D243)</f>
        <v>2.1067415730337076</v>
      </c>
      <c r="Z243" s="173">
        <f t="shared" ref="Z243" si="479">IF(D243=0,"",O243/$D243)</f>
        <v>0.42134831460674155</v>
      </c>
      <c r="AA243" s="174">
        <f t="shared" ref="AA243" si="480">IF(D243=0,"",Q243/$D243)</f>
        <v>0</v>
      </c>
      <c r="AB243" s="188"/>
      <c r="AC243" s="188"/>
      <c r="AD243" s="188"/>
      <c r="AE243" s="188"/>
      <c r="AF243" s="188"/>
      <c r="AG243" s="188"/>
      <c r="AH243" s="189"/>
      <c r="AI243" s="188"/>
      <c r="AJ243" s="188"/>
      <c r="AK243" s="188"/>
      <c r="AL243" s="188"/>
      <c r="AM243" s="188"/>
      <c r="AN243" s="189"/>
      <c r="AO243" s="188"/>
      <c r="AP243" s="188"/>
      <c r="AQ243" s="188"/>
      <c r="AR243" s="188"/>
      <c r="AS243" s="188"/>
      <c r="AT243" s="189"/>
      <c r="AU243" s="188"/>
      <c r="AV243" s="188"/>
      <c r="AW243" s="190"/>
      <c r="AX243" s="190"/>
      <c r="AY243" s="190"/>
      <c r="AZ243" s="191"/>
      <c r="BA243" s="183"/>
      <c r="BB243" s="183"/>
      <c r="BC243" s="183"/>
      <c r="BD243" s="183"/>
      <c r="BE243" s="183"/>
      <c r="BF243" s="184"/>
      <c r="BG243" s="183"/>
      <c r="BH243" s="183"/>
      <c r="BI243" s="183"/>
      <c r="BJ243" s="183"/>
      <c r="BK243" s="183"/>
      <c r="BL243" s="184"/>
      <c r="BO243" s="153"/>
    </row>
    <row r="244" spans="1:67" x14ac:dyDescent="0.2">
      <c r="A244" s="61"/>
      <c r="B244" s="60">
        <f t="shared" si="368"/>
        <v>41844</v>
      </c>
      <c r="C244" s="22">
        <f t="shared" ref="C244:C247" si="481">IF(ISERROR(3/(U244/60)),"",3/(U244/60))</f>
        <v>3.4615384615384612</v>
      </c>
      <c r="D244" s="23">
        <f>GETPIVOTDATA("Active time (min)",EffortRPMPivot!$A$4,"date",B244,"Site",3)/60</f>
        <v>12.083333333333336</v>
      </c>
      <c r="E244" s="24">
        <f>F244+G244+GETPIVOTDATA("Sum of CNlgNo",SalmonPivot!$A$4,"Date",B244,"Site",3)</f>
        <v>0</v>
      </c>
      <c r="F244" s="24">
        <f>GETPIVOTDATA("Sum of CNlgrad",SalmonPivot!$A$4,"date",B244,"Site",3)</f>
        <v>0</v>
      </c>
      <c r="G244" s="24">
        <f>GETPIVOTDATA("Sum of CNlgrecap",SalmonPivot!$A$4,"date",B244,"Site",3)</f>
        <v>0</v>
      </c>
      <c r="H244" s="24">
        <f>I244+J244+GETPIVOTDATA("Sum of CNsmno",SalmonPivot!$M$4,"Date",B244,"Site",3)</f>
        <v>2</v>
      </c>
      <c r="I244" s="24">
        <f>GETPIVOTDATA("Sum of CNsmradio",SalmonPivot!$M$4,"Date",B244,"Site",3)</f>
        <v>2</v>
      </c>
      <c r="J244" s="24">
        <f>GETPIVOTDATA("Sum of CNsmrecap",SalmonPivot!$M$4,"Date",B244,"Site",3)</f>
        <v>0</v>
      </c>
      <c r="K244" s="24">
        <f>L244+GETPIVOTDATA("Sum of SOno",SalmonPivot!$Y$4,"Date",B244,"Site",3)+GETPIVOTDATA("Sum of SOrecap",SalmonPivot!$Y$4,"Date",B244,"Site",3)</f>
        <v>2</v>
      </c>
      <c r="L244" s="24">
        <f>GETPIVOTDATA("Sum of SOrad",SalmonPivot!$Y$4,"Date",B244,"Site",3)</f>
        <v>2</v>
      </c>
      <c r="M244" s="24">
        <f>N244+GETPIVOTDATA("Sum of PKno",SalmonPivot!$AK$4,"Date",B244,"Site",3)+GETPIVOTDATA("Sum of PKrecap",SalmonPivot!$AK$4,"Date",B244,"Site",3)</f>
        <v>86</v>
      </c>
      <c r="N244" s="24">
        <f>GETPIVOTDATA("Sum of PKrad",SalmonPivot!$AK$4,"Date",B244,"Site",3)</f>
        <v>2</v>
      </c>
      <c r="O244" s="24">
        <f>P244+GETPIVOTDATA("Sum of CMno",SalmonPivot!$AW$4,"Date",B244,"Site",3)+GETPIVOTDATA("Sum of CMrecap",SalmonPivot!$AW$4,"Date",B244,"Site",3)</f>
        <v>9</v>
      </c>
      <c r="P244" s="24">
        <f>GETPIVOTDATA("Sum of CMrad",SalmonPivot!$AW$4,"Date",B244,"Site",3)</f>
        <v>4</v>
      </c>
      <c r="Q244" s="25">
        <f>R244+GETPIVOTDATA("Sum of COno",SalmonPivot!$BI$4,"Date",B244,"Site",3)+GETPIVOTDATA("Sum of COrecap",SalmonPivot!$BI$4,"Date",B244,"Site",3)</f>
        <v>0</v>
      </c>
      <c r="R244" s="24">
        <f>GETPIVOTDATA("Sum of COrad",SalmonPivot!$BI$4,"Date",B244,"Site",3)</f>
        <v>0</v>
      </c>
      <c r="S244" s="24">
        <f>GETPIVOTDATA("Sum of TotalOther",OtherPivot!$J$5,"Date",B244,"Site",3)</f>
        <v>2</v>
      </c>
      <c r="T244" s="38"/>
      <c r="U244" s="172">
        <f>IF(GETPIVOTDATA("3 Revs (s)",EffortRPMPivot!$L$4,"Date",$B244,"Site",3)=0,"",GETPIVOTDATA("3 revs (s)",EffortRPMPivot!$L$4,"date",$B244,"Site",3))</f>
        <v>52</v>
      </c>
      <c r="V244" s="173">
        <f t="shared" ref="V244:V247" si="482">IF(D244=0,"",E244/D244)</f>
        <v>0</v>
      </c>
      <c r="W244" s="173">
        <f t="shared" ref="W244:W247" si="483">IF(D244=0,"",H244/D244)</f>
        <v>0.16551724137931031</v>
      </c>
      <c r="X244" s="173">
        <f t="shared" ref="X244:X247" si="484">IF(D244=0,"",K244/$D244)</f>
        <v>0.16551724137931031</v>
      </c>
      <c r="Y244" s="173">
        <f t="shared" ref="Y244:Y247" si="485">IF(D244=0,"",M244/$D244)</f>
        <v>7.1172413793103431</v>
      </c>
      <c r="Z244" s="173">
        <f t="shared" ref="Z244:Z247" si="486">IF(D244=0,"",O244/$D244)</f>
        <v>0.74482758620689637</v>
      </c>
      <c r="AA244" s="174">
        <f t="shared" ref="AA244:AA247" si="487">IF(D244=0,"",Q244/$D244)</f>
        <v>0</v>
      </c>
      <c r="AB244" s="188"/>
      <c r="AC244" s="188"/>
      <c r="AD244" s="188"/>
      <c r="AE244" s="188"/>
      <c r="AF244" s="188"/>
      <c r="AG244" s="188"/>
      <c r="AH244" s="189"/>
      <c r="AI244" s="188"/>
      <c r="AJ244" s="188"/>
      <c r="AK244" s="188"/>
      <c r="AL244" s="188"/>
      <c r="AM244" s="188"/>
      <c r="AN244" s="189"/>
      <c r="AO244" s="188"/>
      <c r="AP244" s="188"/>
      <c r="AQ244" s="188"/>
      <c r="AR244" s="188"/>
      <c r="AS244" s="188"/>
      <c r="AT244" s="189"/>
      <c r="AU244" s="188"/>
      <c r="AV244" s="188"/>
      <c r="AW244" s="190"/>
      <c r="AX244" s="190"/>
      <c r="AY244" s="190"/>
      <c r="AZ244" s="191"/>
      <c r="BA244" s="183"/>
      <c r="BB244" s="183"/>
      <c r="BC244" s="183"/>
      <c r="BD244" s="183"/>
      <c r="BE244" s="183"/>
      <c r="BF244" s="184"/>
      <c r="BG244" s="183"/>
      <c r="BH244" s="183"/>
      <c r="BI244" s="183"/>
      <c r="BJ244" s="183"/>
      <c r="BK244" s="183"/>
      <c r="BL244" s="184"/>
      <c r="BO244" s="153"/>
    </row>
    <row r="245" spans="1:67" x14ac:dyDescent="0.2">
      <c r="A245" s="61"/>
      <c r="B245" s="60">
        <f t="shared" si="368"/>
        <v>41845</v>
      </c>
      <c r="C245" s="22">
        <f t="shared" si="481"/>
        <v>3.576158940397351</v>
      </c>
      <c r="D245" s="23">
        <f>GETPIVOTDATA("Active time (min)",EffortRPMPivot!$A$4,"date",B245,"Site",3)/60</f>
        <v>11.999999999999996</v>
      </c>
      <c r="E245" s="24">
        <f>F245+G245+GETPIVOTDATA("Sum of CNlgNo",SalmonPivot!$A$4,"Date",B245,"Site",3)</f>
        <v>1</v>
      </c>
      <c r="F245" s="24">
        <f>GETPIVOTDATA("Sum of CNlgrad",SalmonPivot!$A$4,"date",B245,"Site",3)</f>
        <v>1</v>
      </c>
      <c r="G245" s="24">
        <f>GETPIVOTDATA("Sum of CNlgrecap",SalmonPivot!$A$4,"date",B245,"Site",3)</f>
        <v>0</v>
      </c>
      <c r="H245" s="24">
        <f>I245+J245+GETPIVOTDATA("Sum of CNsmno",SalmonPivot!$M$4,"Date",B245,"Site",3)</f>
        <v>0</v>
      </c>
      <c r="I245" s="24">
        <f>GETPIVOTDATA("Sum of CNsmradio",SalmonPivot!$M$4,"Date",B245,"Site",3)</f>
        <v>0</v>
      </c>
      <c r="J245" s="24">
        <f>GETPIVOTDATA("Sum of CNsmrecap",SalmonPivot!$M$4,"Date",B245,"Site",3)</f>
        <v>0</v>
      </c>
      <c r="K245" s="24">
        <f>L245+GETPIVOTDATA("Sum of SOno",SalmonPivot!$Y$4,"Date",B245,"Site",3)+GETPIVOTDATA("Sum of SOrecap",SalmonPivot!$Y$4,"Date",B245,"Site",3)</f>
        <v>0</v>
      </c>
      <c r="L245" s="24">
        <f>GETPIVOTDATA("Sum of SOrad",SalmonPivot!$Y$4,"Date",B245,"Site",3)</f>
        <v>0</v>
      </c>
      <c r="M245" s="24">
        <f>N245+GETPIVOTDATA("Sum of PKno",SalmonPivot!$AK$4,"Date",B245,"Site",3)+GETPIVOTDATA("Sum of PKrecap",SalmonPivot!$AK$4,"Date",B245,"Site",3)</f>
        <v>245</v>
      </c>
      <c r="N245" s="24">
        <f>GETPIVOTDATA("Sum of PKrad",SalmonPivot!$AK$4,"Date",B245,"Site",3)</f>
        <v>3</v>
      </c>
      <c r="O245" s="24">
        <f>P245+GETPIVOTDATA("Sum of CMno",SalmonPivot!$AW$4,"Date",B245,"Site",3)+GETPIVOTDATA("Sum of CMrecap",SalmonPivot!$AW$4,"Date",B245,"Site",3)</f>
        <v>3</v>
      </c>
      <c r="P245" s="24">
        <f>GETPIVOTDATA("Sum of CMrad",SalmonPivot!$AW$4,"Date",B245,"Site",3)</f>
        <v>2</v>
      </c>
      <c r="Q245" s="25">
        <f>R245+GETPIVOTDATA("Sum of COno",SalmonPivot!$BI$4,"Date",B245,"Site",3)+GETPIVOTDATA("Sum of COrecap",SalmonPivot!$BI$4,"Date",B245,"Site",3)</f>
        <v>0</v>
      </c>
      <c r="R245" s="24">
        <f>GETPIVOTDATA("Sum of COrad",SalmonPivot!$BI$4,"Date",B245,"Site",3)</f>
        <v>0</v>
      </c>
      <c r="S245" s="24">
        <f>GETPIVOTDATA("Sum of TotalOther",OtherPivot!$J$5,"Date",B245,"Site",3)</f>
        <v>0</v>
      </c>
      <c r="T245" s="38"/>
      <c r="U245" s="172">
        <f>IF(GETPIVOTDATA("3 Revs (s)",EffortRPMPivot!$L$4,"Date",$B245,"Site",3)=0,"",GETPIVOTDATA("3 revs (s)",EffortRPMPivot!$L$4,"date",$B245,"Site",3))</f>
        <v>50.333333333333336</v>
      </c>
      <c r="V245" s="173">
        <f t="shared" si="482"/>
        <v>8.3333333333333356E-2</v>
      </c>
      <c r="W245" s="173">
        <f t="shared" si="483"/>
        <v>0</v>
      </c>
      <c r="X245" s="173">
        <f t="shared" si="484"/>
        <v>0</v>
      </c>
      <c r="Y245" s="173">
        <f t="shared" si="485"/>
        <v>20.416666666666671</v>
      </c>
      <c r="Z245" s="173">
        <f t="shared" si="486"/>
        <v>0.25000000000000006</v>
      </c>
      <c r="AA245" s="174">
        <f t="shared" si="487"/>
        <v>0</v>
      </c>
      <c r="AB245" s="188"/>
      <c r="AC245" s="188"/>
      <c r="AD245" s="188"/>
      <c r="AE245" s="188"/>
      <c r="AF245" s="188"/>
      <c r="AG245" s="188"/>
      <c r="AH245" s="189"/>
      <c r="AI245" s="188"/>
      <c r="AJ245" s="188"/>
      <c r="AK245" s="188"/>
      <c r="AL245" s="188"/>
      <c r="AM245" s="188"/>
      <c r="AN245" s="189"/>
      <c r="AO245" s="188"/>
      <c r="AP245" s="188"/>
      <c r="AQ245" s="188"/>
      <c r="AR245" s="188"/>
      <c r="AS245" s="188"/>
      <c r="AT245" s="189"/>
      <c r="AU245" s="188"/>
      <c r="AV245" s="188"/>
      <c r="AW245" s="190"/>
      <c r="AX245" s="190"/>
      <c r="AY245" s="190"/>
      <c r="AZ245" s="191"/>
      <c r="BA245" s="183"/>
      <c r="BB245" s="183"/>
      <c r="BC245" s="183"/>
      <c r="BD245" s="183"/>
      <c r="BE245" s="183"/>
      <c r="BF245" s="184"/>
      <c r="BG245" s="183"/>
      <c r="BH245" s="183"/>
      <c r="BI245" s="183"/>
      <c r="BJ245" s="183"/>
      <c r="BK245" s="183"/>
      <c r="BL245" s="184"/>
      <c r="BO245" s="153"/>
    </row>
    <row r="246" spans="1:67" x14ac:dyDescent="0.2">
      <c r="A246" s="61"/>
      <c r="B246" s="60">
        <f t="shared" si="368"/>
        <v>41846</v>
      </c>
      <c r="C246" s="22">
        <f t="shared" si="481"/>
        <v>3.8297872340425534</v>
      </c>
      <c r="D246" s="23">
        <f>GETPIVOTDATA("Active time (min)",EffortRPMPivot!$A$4,"date",B246,"Site",3)/60</f>
        <v>12.616666666666667</v>
      </c>
      <c r="E246" s="24">
        <f>F246+G246+GETPIVOTDATA("Sum of CNlgNo",SalmonPivot!$A$4,"Date",B246,"Site",3)</f>
        <v>1</v>
      </c>
      <c r="F246" s="24">
        <f>GETPIVOTDATA("Sum of CNlgrad",SalmonPivot!$A$4,"date",B246,"Site",3)</f>
        <v>0</v>
      </c>
      <c r="G246" s="24">
        <f>GETPIVOTDATA("Sum of CNlgrecap",SalmonPivot!$A$4,"date",B246,"Site",3)</f>
        <v>1</v>
      </c>
      <c r="H246" s="24">
        <f>I246+J246+GETPIVOTDATA("Sum of CNsmno",SalmonPivot!$M$4,"Date",B246,"Site",3)</f>
        <v>0</v>
      </c>
      <c r="I246" s="24">
        <f>GETPIVOTDATA("Sum of CNsmradio",SalmonPivot!$M$4,"Date",B246,"Site",3)</f>
        <v>0</v>
      </c>
      <c r="J246" s="24">
        <f>GETPIVOTDATA("Sum of CNsmrecap",SalmonPivot!$M$4,"Date",B246,"Site",3)</f>
        <v>0</v>
      </c>
      <c r="K246" s="24">
        <f>L246+GETPIVOTDATA("Sum of SOno",SalmonPivot!$Y$4,"Date",B246,"Site",3)+GETPIVOTDATA("Sum of SOrecap",SalmonPivot!$Y$4,"Date",B246,"Site",3)</f>
        <v>2</v>
      </c>
      <c r="L246" s="24">
        <f>GETPIVOTDATA("Sum of SOrad",SalmonPivot!$Y$4,"Date",B246,"Site",3)</f>
        <v>2</v>
      </c>
      <c r="M246" s="24">
        <f>N246+GETPIVOTDATA("Sum of PKno",SalmonPivot!$AK$4,"Date",B246,"Site",3)+GETPIVOTDATA("Sum of PKrecap",SalmonPivot!$AK$4,"Date",B246,"Site",3)</f>
        <v>242</v>
      </c>
      <c r="N246" s="24">
        <f>GETPIVOTDATA("Sum of PKrad",SalmonPivot!$AK$4,"Date",B246,"Site",3)</f>
        <v>8</v>
      </c>
      <c r="O246" s="24">
        <f>P246+GETPIVOTDATA("Sum of CMno",SalmonPivot!$AW$4,"Date",B246,"Site",3)+GETPIVOTDATA("Sum of CMrecap",SalmonPivot!$AW$4,"Date",B246,"Site",3)</f>
        <v>2</v>
      </c>
      <c r="P246" s="24">
        <f>GETPIVOTDATA("Sum of CMrad",SalmonPivot!$AW$4,"Date",B246,"Site",3)</f>
        <v>2</v>
      </c>
      <c r="Q246" s="25">
        <f>R246+GETPIVOTDATA("Sum of COno",SalmonPivot!$BI$4,"Date",B246,"Site",3)+GETPIVOTDATA("Sum of COrecap",SalmonPivot!$BI$4,"Date",B246,"Site",3)</f>
        <v>0</v>
      </c>
      <c r="R246" s="24">
        <f>GETPIVOTDATA("Sum of COrad",SalmonPivot!$BI$4,"Date",B246,"Site",3)</f>
        <v>0</v>
      </c>
      <c r="S246" s="24">
        <f>GETPIVOTDATA("Sum of TotalOther",OtherPivot!$J$5,"Date",B246,"Site",3)</f>
        <v>1</v>
      </c>
      <c r="T246" s="38"/>
      <c r="U246" s="172">
        <f>IF(GETPIVOTDATA("3 Revs (s)",EffortRPMPivot!$L$4,"Date",$B246,"Site",3)=0,"",GETPIVOTDATA("3 revs (s)",EffortRPMPivot!$L$4,"date",$B246,"Site",3))</f>
        <v>47</v>
      </c>
      <c r="V246" s="173">
        <f t="shared" si="482"/>
        <v>7.9260237780713338E-2</v>
      </c>
      <c r="W246" s="173">
        <f t="shared" si="483"/>
        <v>0</v>
      </c>
      <c r="X246" s="173">
        <f t="shared" si="484"/>
        <v>0.15852047556142668</v>
      </c>
      <c r="Y246" s="173">
        <f t="shared" si="485"/>
        <v>19.180977542932627</v>
      </c>
      <c r="Z246" s="173">
        <f t="shared" si="486"/>
        <v>0.15852047556142668</v>
      </c>
      <c r="AA246" s="174">
        <f t="shared" si="487"/>
        <v>0</v>
      </c>
      <c r="AB246" s="188"/>
      <c r="AC246" s="188"/>
      <c r="AD246" s="188"/>
      <c r="AE246" s="188"/>
      <c r="AF246" s="188"/>
      <c r="AG246" s="188"/>
      <c r="AH246" s="189"/>
      <c r="AI246" s="188"/>
      <c r="AJ246" s="188"/>
      <c r="AK246" s="188"/>
      <c r="AL246" s="188"/>
      <c r="AM246" s="188"/>
      <c r="AN246" s="189"/>
      <c r="AO246" s="188"/>
      <c r="AP246" s="188"/>
      <c r="AQ246" s="188"/>
      <c r="AR246" s="188"/>
      <c r="AS246" s="188"/>
      <c r="AT246" s="189"/>
      <c r="AU246" s="188"/>
      <c r="AV246" s="188"/>
      <c r="AW246" s="190"/>
      <c r="AX246" s="190"/>
      <c r="AY246" s="190"/>
      <c r="AZ246" s="191"/>
      <c r="BA246" s="183"/>
      <c r="BB246" s="183"/>
      <c r="BC246" s="183"/>
      <c r="BD246" s="183"/>
      <c r="BE246" s="183"/>
      <c r="BF246" s="184"/>
      <c r="BG246" s="183"/>
      <c r="BH246" s="183"/>
      <c r="BI246" s="183"/>
      <c r="BJ246" s="183"/>
      <c r="BK246" s="183"/>
      <c r="BL246" s="184"/>
      <c r="BO246" s="153"/>
    </row>
    <row r="247" spans="1:67" x14ac:dyDescent="0.2">
      <c r="A247" s="61"/>
      <c r="B247" s="60">
        <f t="shared" si="368"/>
        <v>41847</v>
      </c>
      <c r="C247" s="22">
        <f t="shared" si="481"/>
        <v>3.6734693877551021</v>
      </c>
      <c r="D247" s="23">
        <f>GETPIVOTDATA("Active time (min)",EffortRPMPivot!$A$4,"date",B247,"Site",3)/60</f>
        <v>12.016666666666667</v>
      </c>
      <c r="E247" s="24">
        <f>F247+G247+GETPIVOTDATA("Sum of CNlgNo",SalmonPivot!$A$4,"Date",B247,"Site",3)</f>
        <v>0</v>
      </c>
      <c r="F247" s="24">
        <f>GETPIVOTDATA("Sum of CNlgrad",SalmonPivot!$A$4,"date",B247,"Site",3)</f>
        <v>0</v>
      </c>
      <c r="G247" s="24">
        <f>GETPIVOTDATA("Sum of CNlgrecap",SalmonPivot!$A$4,"date",B247,"Site",3)</f>
        <v>0</v>
      </c>
      <c r="H247" s="24">
        <f>I247+J247+GETPIVOTDATA("Sum of CNsmno",SalmonPivot!$M$4,"Date",B247,"Site",3)</f>
        <v>0</v>
      </c>
      <c r="I247" s="24">
        <f>GETPIVOTDATA("Sum of CNsmradio",SalmonPivot!$M$4,"Date",B247,"Site",3)</f>
        <v>0</v>
      </c>
      <c r="J247" s="24">
        <f>GETPIVOTDATA("Sum of CNsmrecap",SalmonPivot!$M$4,"Date",B247,"Site",3)</f>
        <v>0</v>
      </c>
      <c r="K247" s="24">
        <f>L247+GETPIVOTDATA("Sum of SOno",SalmonPivot!$Y$4,"Date",B247,"Site",3)+GETPIVOTDATA("Sum of SOrecap",SalmonPivot!$Y$4,"Date",B247,"Site",3)</f>
        <v>3</v>
      </c>
      <c r="L247" s="24">
        <f>GETPIVOTDATA("Sum of SOrad",SalmonPivot!$Y$4,"Date",B247,"Site",3)</f>
        <v>3</v>
      </c>
      <c r="M247" s="24">
        <f>N247+GETPIVOTDATA("Sum of PKno",SalmonPivot!$AK$4,"Date",B247,"Site",3)+GETPIVOTDATA("Sum of PKrecap",SalmonPivot!$AK$4,"Date",B247,"Site",3)</f>
        <v>146</v>
      </c>
      <c r="N247" s="24">
        <f>GETPIVOTDATA("Sum of PKrad",SalmonPivot!$AK$4,"Date",B247,"Site",3)</f>
        <v>5</v>
      </c>
      <c r="O247" s="24">
        <f>P247+GETPIVOTDATA("Sum of CMno",SalmonPivot!$AW$4,"Date",B247,"Site",3)+GETPIVOTDATA("Sum of CMrecap",SalmonPivot!$AW$4,"Date",B247,"Site",3)</f>
        <v>3</v>
      </c>
      <c r="P247" s="24">
        <f>GETPIVOTDATA("Sum of CMrad",SalmonPivot!$AW$4,"Date",B247,"Site",3)</f>
        <v>0</v>
      </c>
      <c r="Q247" s="25">
        <f>R247+GETPIVOTDATA("Sum of COno",SalmonPivot!$BI$4,"Date",B247,"Site",3)+GETPIVOTDATA("Sum of COrecap",SalmonPivot!$BI$4,"Date",B247,"Site",3)</f>
        <v>0</v>
      </c>
      <c r="R247" s="24">
        <f>GETPIVOTDATA("Sum of COrad",SalmonPivot!$BI$4,"Date",B247,"Site",3)</f>
        <v>0</v>
      </c>
      <c r="S247" s="24">
        <f>GETPIVOTDATA("Sum of TotalOther",OtherPivot!$J$5,"Date",B247,"Site",3)</f>
        <v>0</v>
      </c>
      <c r="T247" s="38"/>
      <c r="U247" s="172">
        <f>IF(GETPIVOTDATA("3 Revs (s)",EffortRPMPivot!$L$4,"Date",$B247,"Site",3)=0,"",GETPIVOTDATA("3 revs (s)",EffortRPMPivot!$L$4,"date",$B247,"Site",3))</f>
        <v>49</v>
      </c>
      <c r="V247" s="173">
        <f t="shared" si="482"/>
        <v>0</v>
      </c>
      <c r="W247" s="173">
        <f t="shared" si="483"/>
        <v>0</v>
      </c>
      <c r="X247" s="173">
        <f t="shared" si="484"/>
        <v>0.2496532593619972</v>
      </c>
      <c r="Y247" s="173">
        <f t="shared" si="485"/>
        <v>12.149791955617198</v>
      </c>
      <c r="Z247" s="173">
        <f t="shared" si="486"/>
        <v>0.2496532593619972</v>
      </c>
      <c r="AA247" s="174">
        <f t="shared" si="487"/>
        <v>0</v>
      </c>
      <c r="AB247" s="188"/>
      <c r="AC247" s="188"/>
      <c r="AD247" s="188"/>
      <c r="AE247" s="188"/>
      <c r="AF247" s="188"/>
      <c r="AG247" s="188"/>
      <c r="AH247" s="189"/>
      <c r="AI247" s="188"/>
      <c r="AJ247" s="188"/>
      <c r="AK247" s="188"/>
      <c r="AL247" s="188"/>
      <c r="AM247" s="188"/>
      <c r="AN247" s="189"/>
      <c r="AO247" s="188"/>
      <c r="AP247" s="188"/>
      <c r="AQ247" s="188"/>
      <c r="AR247" s="188"/>
      <c r="AS247" s="188"/>
      <c r="AT247" s="189"/>
      <c r="AU247" s="188"/>
      <c r="AV247" s="188"/>
      <c r="AW247" s="190"/>
      <c r="AX247" s="190"/>
      <c r="AY247" s="190"/>
      <c r="AZ247" s="191"/>
      <c r="BA247" s="183"/>
      <c r="BB247" s="183"/>
      <c r="BC247" s="183"/>
      <c r="BD247" s="183"/>
      <c r="BE247" s="183"/>
      <c r="BF247" s="184"/>
      <c r="BG247" s="183"/>
      <c r="BH247" s="183"/>
      <c r="BI247" s="183"/>
      <c r="BJ247" s="183"/>
      <c r="BK247" s="183"/>
      <c r="BL247" s="184"/>
      <c r="BO247" s="153"/>
    </row>
    <row r="248" spans="1:67" x14ac:dyDescent="0.2">
      <c r="A248" s="61"/>
      <c r="B248" s="60">
        <f t="shared" si="368"/>
        <v>41848</v>
      </c>
      <c r="C248" s="22">
        <f t="shared" ref="C248:C249" si="488">IF(ISERROR(3/(U248/60)),"",3/(U248/60))</f>
        <v>3.3749999999999996</v>
      </c>
      <c r="D248" s="23">
        <f>GETPIVOTDATA("Active time (min)",EffortRPMPivot!$A$4,"date",B248,"Site",3)/60</f>
        <v>12.033333333333333</v>
      </c>
      <c r="E248" s="24">
        <f>F248+G248+GETPIVOTDATA("Sum of CNlgNo",SalmonPivot!$A$4,"Date",B248,"Site",3)</f>
        <v>0</v>
      </c>
      <c r="F248" s="24">
        <f>GETPIVOTDATA("Sum of CNlgrad",SalmonPivot!$A$4,"date",B248,"Site",3)</f>
        <v>0</v>
      </c>
      <c r="G248" s="24">
        <f>GETPIVOTDATA("Sum of CNlgrecap",SalmonPivot!$A$4,"date",B248,"Site",3)</f>
        <v>0</v>
      </c>
      <c r="H248" s="24">
        <f>I248+J248+GETPIVOTDATA("Sum of CNsmno",SalmonPivot!$M$4,"Date",B248,"Site",3)</f>
        <v>1</v>
      </c>
      <c r="I248" s="24">
        <f>GETPIVOTDATA("Sum of CNsmradio",SalmonPivot!$M$4,"Date",B248,"Site",3)</f>
        <v>1</v>
      </c>
      <c r="J248" s="24">
        <f>GETPIVOTDATA("Sum of CNsmrecap",SalmonPivot!$M$4,"Date",B248,"Site",3)</f>
        <v>0</v>
      </c>
      <c r="K248" s="24">
        <f>L248+GETPIVOTDATA("Sum of SOno",SalmonPivot!$Y$4,"Date",B248,"Site",3)+GETPIVOTDATA("Sum of SOrecap",SalmonPivot!$Y$4,"Date",B248,"Site",3)</f>
        <v>5</v>
      </c>
      <c r="L248" s="24">
        <f>GETPIVOTDATA("Sum of SOrad",SalmonPivot!$Y$4,"Date",B248,"Site",3)</f>
        <v>5</v>
      </c>
      <c r="M248" s="24">
        <f>N248+GETPIVOTDATA("Sum of PKno",SalmonPivot!$AK$4,"Date",B248,"Site",3)+GETPIVOTDATA("Sum of PKrecap",SalmonPivot!$AK$4,"Date",B248,"Site",3)</f>
        <v>258</v>
      </c>
      <c r="N248" s="24">
        <f>GETPIVOTDATA("Sum of PKrad",SalmonPivot!$AK$4,"Date",B248,"Site",3)</f>
        <v>3</v>
      </c>
      <c r="O248" s="24">
        <f>P248+GETPIVOTDATA("Sum of CMno",SalmonPivot!$AW$4,"Date",B248,"Site",3)+GETPIVOTDATA("Sum of CMrecap",SalmonPivot!$AW$4,"Date",B248,"Site",3)</f>
        <v>0</v>
      </c>
      <c r="P248" s="24">
        <f>GETPIVOTDATA("Sum of CMrad",SalmonPivot!$AW$4,"Date",B248,"Site",3)</f>
        <v>0</v>
      </c>
      <c r="Q248" s="25">
        <f>R248+GETPIVOTDATA("Sum of COno",SalmonPivot!$BI$4,"Date",B248,"Site",3)+GETPIVOTDATA("Sum of COrecap",SalmonPivot!$BI$4,"Date",B248,"Site",3)</f>
        <v>0</v>
      </c>
      <c r="R248" s="24">
        <f>GETPIVOTDATA("Sum of COrad",SalmonPivot!$BI$4,"Date",B248,"Site",3)</f>
        <v>0</v>
      </c>
      <c r="S248" s="24">
        <f>GETPIVOTDATA("Sum of TotalOther",OtherPivot!$J$5,"Date",B248,"Site",3)</f>
        <v>2</v>
      </c>
      <c r="T248" s="38"/>
      <c r="U248" s="172">
        <f>IF(GETPIVOTDATA("3 Revs (s)",EffortRPMPivot!$L$4,"Date",$B248,"Site",3)=0,"",GETPIVOTDATA("3 revs (s)",EffortRPMPivot!$L$4,"date",$B248,"Site",3))</f>
        <v>53.333333333333336</v>
      </c>
      <c r="V248" s="173">
        <f t="shared" ref="V248:V249" si="489">IF(D248=0,"",E248/D248)</f>
        <v>0</v>
      </c>
      <c r="W248" s="173">
        <f t="shared" ref="W248:W249" si="490">IF(D248=0,"",H248/D248)</f>
        <v>8.3102493074792241E-2</v>
      </c>
      <c r="X248" s="173">
        <f t="shared" ref="X248:X249" si="491">IF(D248=0,"",K248/$D248)</f>
        <v>0.41551246537396125</v>
      </c>
      <c r="Y248" s="173">
        <f t="shared" ref="Y248:Y249" si="492">IF(D248=0,"",M248/$D248)</f>
        <v>21.440443213296398</v>
      </c>
      <c r="Z248" s="173">
        <f t="shared" ref="Z248:Z249" si="493">IF(D248=0,"",O248/$D248)</f>
        <v>0</v>
      </c>
      <c r="AA248" s="174">
        <f t="shared" ref="AA248:AA249" si="494">IF(D248=0,"",Q248/$D248)</f>
        <v>0</v>
      </c>
      <c r="AB248" s="188"/>
      <c r="AC248" s="188"/>
      <c r="AD248" s="188"/>
      <c r="AE248" s="188"/>
      <c r="AF248" s="188"/>
      <c r="AG248" s="188"/>
      <c r="AH248" s="189"/>
      <c r="AI248" s="188"/>
      <c r="AJ248" s="188"/>
      <c r="AK248" s="188"/>
      <c r="AL248" s="188"/>
      <c r="AM248" s="188"/>
      <c r="AN248" s="189"/>
      <c r="AO248" s="188"/>
      <c r="AP248" s="188"/>
      <c r="AQ248" s="188"/>
      <c r="AR248" s="188"/>
      <c r="AS248" s="188"/>
      <c r="AT248" s="189"/>
      <c r="AU248" s="188"/>
      <c r="AV248" s="188"/>
      <c r="AW248" s="190"/>
      <c r="AX248" s="190"/>
      <c r="AY248" s="190"/>
      <c r="AZ248" s="191"/>
      <c r="BA248" s="183"/>
      <c r="BB248" s="183"/>
      <c r="BC248" s="183"/>
      <c r="BD248" s="183"/>
      <c r="BE248" s="183"/>
      <c r="BF248" s="184"/>
      <c r="BG248" s="183"/>
      <c r="BH248" s="183"/>
      <c r="BI248" s="183"/>
      <c r="BJ248" s="183"/>
      <c r="BK248" s="183"/>
      <c r="BL248" s="184"/>
      <c r="BO248" s="153"/>
    </row>
    <row r="249" spans="1:67" x14ac:dyDescent="0.2">
      <c r="A249" s="61"/>
      <c r="B249" s="60">
        <f t="shared" si="368"/>
        <v>41849</v>
      </c>
      <c r="C249" s="22">
        <f t="shared" si="488"/>
        <v>3.1764705882352944</v>
      </c>
      <c r="D249" s="23">
        <f>GETPIVOTDATA("Active time (min)",EffortRPMPivot!$A$4,"date",B249,"Site",3)/60</f>
        <v>12.016666666666669</v>
      </c>
      <c r="E249" s="24">
        <f>F249+G249+GETPIVOTDATA("Sum of CNlgNo",SalmonPivot!$A$4,"Date",B249,"Site",3)</f>
        <v>0</v>
      </c>
      <c r="F249" s="24">
        <f>GETPIVOTDATA("Sum of CNlgrad",SalmonPivot!$A$4,"date",B249,"Site",3)</f>
        <v>0</v>
      </c>
      <c r="G249" s="24">
        <f>GETPIVOTDATA("Sum of CNlgrecap",SalmonPivot!$A$4,"date",B249,"Site",3)</f>
        <v>0</v>
      </c>
      <c r="H249" s="24">
        <f>I249+J249+GETPIVOTDATA("Sum of CNsmno",SalmonPivot!$M$4,"Date",B249,"Site",3)</f>
        <v>0</v>
      </c>
      <c r="I249" s="24">
        <f>GETPIVOTDATA("Sum of CNsmradio",SalmonPivot!$M$4,"Date",B249,"Site",3)</f>
        <v>0</v>
      </c>
      <c r="J249" s="24">
        <f>GETPIVOTDATA("Sum of CNsmrecap",SalmonPivot!$M$4,"Date",B249,"Site",3)</f>
        <v>0</v>
      </c>
      <c r="K249" s="24">
        <f>L249+GETPIVOTDATA("Sum of SOno",SalmonPivot!$Y$4,"Date",B249,"Site",3)+GETPIVOTDATA("Sum of SOrecap",SalmonPivot!$Y$4,"Date",B249,"Site",3)</f>
        <v>2</v>
      </c>
      <c r="L249" s="24">
        <f>GETPIVOTDATA("Sum of SOrad",SalmonPivot!$Y$4,"Date",B249,"Site",3)</f>
        <v>2</v>
      </c>
      <c r="M249" s="24">
        <f>N249+GETPIVOTDATA("Sum of PKno",SalmonPivot!$AK$4,"Date",B249,"Site",3)+GETPIVOTDATA("Sum of PKrecap",SalmonPivot!$AK$4,"Date",B249,"Site",3)</f>
        <v>625</v>
      </c>
      <c r="N249" s="24">
        <f>GETPIVOTDATA("Sum of PKrad",SalmonPivot!$AK$4,"Date",B249,"Site",3)</f>
        <v>3</v>
      </c>
      <c r="O249" s="24">
        <f>P249+GETPIVOTDATA("Sum of CMno",SalmonPivot!$AW$4,"Date",B249,"Site",3)+GETPIVOTDATA("Sum of CMrecap",SalmonPivot!$AW$4,"Date",B249,"Site",3)</f>
        <v>10</v>
      </c>
      <c r="P249" s="24">
        <f>GETPIVOTDATA("Sum of CMrad",SalmonPivot!$AW$4,"Date",B249,"Site",3)</f>
        <v>2</v>
      </c>
      <c r="Q249" s="25">
        <f>R249+GETPIVOTDATA("Sum of COno",SalmonPivot!$BI$4,"Date",B249,"Site",3)+GETPIVOTDATA("Sum of COrecap",SalmonPivot!$BI$4,"Date",B249,"Site",3)</f>
        <v>3</v>
      </c>
      <c r="R249" s="24">
        <f>GETPIVOTDATA("Sum of COrad",SalmonPivot!$BI$4,"Date",B249,"Site",3)</f>
        <v>3</v>
      </c>
      <c r="S249" s="24">
        <f>GETPIVOTDATA("Sum of TotalOther",OtherPivot!$J$5,"Date",B249,"Site",3)</f>
        <v>0</v>
      </c>
      <c r="T249" s="38"/>
      <c r="U249" s="172">
        <f>IF(GETPIVOTDATA("3 Revs (s)",EffortRPMPivot!$L$4,"Date",$B249,"Site",3)=0,"",GETPIVOTDATA("3 revs (s)",EffortRPMPivot!$L$4,"date",$B249,"Site",3))</f>
        <v>56.666666666666664</v>
      </c>
      <c r="V249" s="173">
        <f t="shared" si="489"/>
        <v>0</v>
      </c>
      <c r="W249" s="173">
        <f t="shared" si="490"/>
        <v>0</v>
      </c>
      <c r="X249" s="173">
        <f t="shared" si="491"/>
        <v>0.16643550624133144</v>
      </c>
      <c r="Y249" s="173">
        <f t="shared" si="492"/>
        <v>52.011095700416078</v>
      </c>
      <c r="Z249" s="173">
        <f t="shared" si="493"/>
        <v>0.83217753120665727</v>
      </c>
      <c r="AA249" s="174">
        <f t="shared" si="494"/>
        <v>0.24965325936199717</v>
      </c>
      <c r="AB249" s="188"/>
      <c r="AC249" s="188"/>
      <c r="AD249" s="188"/>
      <c r="AE249" s="188"/>
      <c r="AF249" s="188"/>
      <c r="AG249" s="188"/>
      <c r="AH249" s="189"/>
      <c r="AI249" s="188"/>
      <c r="AJ249" s="188"/>
      <c r="AK249" s="188"/>
      <c r="AL249" s="188"/>
      <c r="AM249" s="188"/>
      <c r="AN249" s="189"/>
      <c r="AO249" s="188"/>
      <c r="AP249" s="188"/>
      <c r="AQ249" s="188"/>
      <c r="AR249" s="188"/>
      <c r="AS249" s="188"/>
      <c r="AT249" s="189"/>
      <c r="AU249" s="188"/>
      <c r="AV249" s="188"/>
      <c r="AW249" s="190"/>
      <c r="AX249" s="190"/>
      <c r="AY249" s="190"/>
      <c r="AZ249" s="191"/>
      <c r="BA249" s="183"/>
      <c r="BB249" s="183"/>
      <c r="BC249" s="183"/>
      <c r="BD249" s="183"/>
      <c r="BE249" s="183"/>
      <c r="BF249" s="184"/>
      <c r="BG249" s="183"/>
      <c r="BH249" s="183"/>
      <c r="BI249" s="183"/>
      <c r="BJ249" s="183"/>
      <c r="BK249" s="183"/>
      <c r="BL249" s="184"/>
      <c r="BO249" s="153"/>
    </row>
    <row r="250" spans="1:67" x14ac:dyDescent="0.2">
      <c r="A250" s="61"/>
      <c r="B250" s="60">
        <f t="shared" si="368"/>
        <v>41850</v>
      </c>
      <c r="C250" s="22">
        <f t="shared" ref="C250" si="495">IF(ISERROR(3/(U250/60)),"",3/(U250/60))</f>
        <v>3.2530120481927707</v>
      </c>
      <c r="D250" s="23">
        <f>GETPIVOTDATA("Active time (min)",EffortRPMPivot!$A$4,"date",B250,"Site",3)/60</f>
        <v>12.083333333333334</v>
      </c>
      <c r="E250" s="24">
        <f>F250+G250+GETPIVOTDATA("Sum of CNlgNo",SalmonPivot!$A$4,"Date",B250,"Site",3)</f>
        <v>0</v>
      </c>
      <c r="F250" s="24">
        <f>GETPIVOTDATA("Sum of CNlgrad",SalmonPivot!$A$4,"date",B250,"Site",3)</f>
        <v>0</v>
      </c>
      <c r="G250" s="24">
        <f>GETPIVOTDATA("Sum of CNlgrecap",SalmonPivot!$A$4,"date",B250,"Site",3)</f>
        <v>0</v>
      </c>
      <c r="H250" s="24">
        <f>I250+J250+GETPIVOTDATA("Sum of CNsmno",SalmonPivot!$M$4,"Date",B250,"Site",3)</f>
        <v>0</v>
      </c>
      <c r="I250" s="24">
        <f>GETPIVOTDATA("Sum of CNsmradio",SalmonPivot!$M$4,"Date",B250,"Site",3)</f>
        <v>0</v>
      </c>
      <c r="J250" s="24">
        <f>GETPIVOTDATA("Sum of CNsmrecap",SalmonPivot!$M$4,"Date",B250,"Site",3)</f>
        <v>0</v>
      </c>
      <c r="K250" s="24">
        <f>L250+GETPIVOTDATA("Sum of SOno",SalmonPivot!$Y$4,"Date",B250,"Site",3)+GETPIVOTDATA("Sum of SOrecap",SalmonPivot!$Y$4,"Date",B250,"Site",3)</f>
        <v>1</v>
      </c>
      <c r="L250" s="24">
        <f>GETPIVOTDATA("Sum of SOrad",SalmonPivot!$Y$4,"Date",B250,"Site",3)</f>
        <v>1</v>
      </c>
      <c r="M250" s="24">
        <f>N250+GETPIVOTDATA("Sum of PKno",SalmonPivot!$AK$4,"Date",B250,"Site",3)+GETPIVOTDATA("Sum of PKrecap",SalmonPivot!$AK$4,"Date",B250,"Site",3)</f>
        <v>370</v>
      </c>
      <c r="N250" s="24">
        <f>GETPIVOTDATA("Sum of PKrad",SalmonPivot!$AK$4,"Date",B250,"Site",3)</f>
        <v>6</v>
      </c>
      <c r="O250" s="24">
        <f>P250+GETPIVOTDATA("Sum of CMno",SalmonPivot!$AW$4,"Date",B250,"Site",3)+GETPIVOTDATA("Sum of CMrecap",SalmonPivot!$AW$4,"Date",B250,"Site",3)</f>
        <v>5</v>
      </c>
      <c r="P250" s="24">
        <f>GETPIVOTDATA("Sum of CMrad",SalmonPivot!$AW$4,"Date",B250,"Site",3)</f>
        <v>1</v>
      </c>
      <c r="Q250" s="25">
        <f>R250+GETPIVOTDATA("Sum of COno",SalmonPivot!$BI$4,"Date",B250,"Site",3)+GETPIVOTDATA("Sum of COrecap",SalmonPivot!$BI$4,"Date",B250,"Site",3)</f>
        <v>2</v>
      </c>
      <c r="R250" s="24">
        <f>GETPIVOTDATA("Sum of COrad",SalmonPivot!$BI$4,"Date",B250,"Site",3)</f>
        <v>2</v>
      </c>
      <c r="S250" s="24">
        <f>GETPIVOTDATA("Sum of TotalOther",OtherPivot!$J$5,"Date",B250,"Site",3)</f>
        <v>0</v>
      </c>
      <c r="T250" s="38"/>
      <c r="U250" s="172">
        <f>IF(GETPIVOTDATA("3 Revs (s)",EffortRPMPivot!$L$4,"Date",$B250,"Site",3)=0,"",GETPIVOTDATA("3 revs (s)",EffortRPMPivot!$L$4,"date",$B250,"Site",3))</f>
        <v>55.333333333333336</v>
      </c>
      <c r="V250" s="173">
        <f t="shared" ref="V250" si="496">IF(D250=0,"",E250/D250)</f>
        <v>0</v>
      </c>
      <c r="W250" s="173">
        <f t="shared" ref="W250" si="497">IF(D250=0,"",H250/D250)</f>
        <v>0</v>
      </c>
      <c r="X250" s="173">
        <f t="shared" ref="X250" si="498">IF(D250=0,"",K250/$D250)</f>
        <v>8.2758620689655171E-2</v>
      </c>
      <c r="Y250" s="173">
        <f t="shared" ref="Y250" si="499">IF(D250=0,"",M250/$D250)</f>
        <v>30.620689655172413</v>
      </c>
      <c r="Z250" s="173">
        <f t="shared" ref="Z250" si="500">IF(D250=0,"",O250/$D250)</f>
        <v>0.41379310344827586</v>
      </c>
      <c r="AA250" s="174">
        <f t="shared" ref="AA250" si="501">IF(D250=0,"",Q250/$D250)</f>
        <v>0.16551724137931034</v>
      </c>
      <c r="AB250" s="188"/>
      <c r="AC250" s="188"/>
      <c r="AD250" s="188"/>
      <c r="AE250" s="188"/>
      <c r="AF250" s="188"/>
      <c r="AG250" s="188"/>
      <c r="AH250" s="189"/>
      <c r="AI250" s="188"/>
      <c r="AJ250" s="188"/>
      <c r="AK250" s="188"/>
      <c r="AL250" s="188"/>
      <c r="AM250" s="188"/>
      <c r="AN250" s="189"/>
      <c r="AO250" s="188"/>
      <c r="AP250" s="188"/>
      <c r="AQ250" s="188"/>
      <c r="AR250" s="188"/>
      <c r="AS250" s="188"/>
      <c r="AT250" s="189"/>
      <c r="AU250" s="188"/>
      <c r="AV250" s="188"/>
      <c r="AW250" s="190"/>
      <c r="AX250" s="190"/>
      <c r="AY250" s="190"/>
      <c r="AZ250" s="191"/>
      <c r="BA250" s="183"/>
      <c r="BB250" s="183"/>
      <c r="BC250" s="183"/>
      <c r="BD250" s="183"/>
      <c r="BE250" s="183"/>
      <c r="BF250" s="184"/>
      <c r="BG250" s="183"/>
      <c r="BH250" s="183"/>
      <c r="BI250" s="183"/>
      <c r="BJ250" s="183"/>
      <c r="BK250" s="183"/>
      <c r="BL250" s="184"/>
      <c r="BO250" s="153"/>
    </row>
    <row r="251" spans="1:67" x14ac:dyDescent="0.2">
      <c r="A251" s="61"/>
      <c r="B251" s="60">
        <f t="shared" si="368"/>
        <v>41851</v>
      </c>
      <c r="C251" s="22">
        <f t="shared" ref="C251" si="502">IF(ISERROR(3/(U251/60)),"",3/(U251/60))</f>
        <v>3.6734693877551021</v>
      </c>
      <c r="D251" s="23">
        <f>GETPIVOTDATA("Active time (min)",EffortRPMPivot!$A$4,"date",B251,"Site",3)/60</f>
        <v>11.78333333333333</v>
      </c>
      <c r="E251" s="24">
        <f>F251+G251+GETPIVOTDATA("Sum of CNlgNo",SalmonPivot!$A$4,"Date",B251,"Site",3)</f>
        <v>2</v>
      </c>
      <c r="F251" s="24">
        <f>GETPIVOTDATA("Sum of CNlgrad",SalmonPivot!$A$4,"date",B251,"Site",3)</f>
        <v>2</v>
      </c>
      <c r="G251" s="24">
        <f>GETPIVOTDATA("Sum of CNlgrecap",SalmonPivot!$A$4,"date",B251,"Site",3)</f>
        <v>0</v>
      </c>
      <c r="H251" s="24">
        <f>I251+J251+GETPIVOTDATA("Sum of CNsmno",SalmonPivot!$M$4,"Date",B251,"Site",3)</f>
        <v>0</v>
      </c>
      <c r="I251" s="24">
        <f>GETPIVOTDATA("Sum of CNsmradio",SalmonPivot!$M$4,"Date",B251,"Site",3)</f>
        <v>0</v>
      </c>
      <c r="J251" s="24">
        <f>GETPIVOTDATA("Sum of CNsmrecap",SalmonPivot!$M$4,"Date",B251,"Site",3)</f>
        <v>0</v>
      </c>
      <c r="K251" s="24">
        <f>L251+GETPIVOTDATA("Sum of SOno",SalmonPivot!$Y$4,"Date",B251,"Site",3)+GETPIVOTDATA("Sum of SOrecap",SalmonPivot!$Y$4,"Date",B251,"Site",3)</f>
        <v>3</v>
      </c>
      <c r="L251" s="24">
        <f>GETPIVOTDATA("Sum of SOrad",SalmonPivot!$Y$4,"Date",B251,"Site",3)</f>
        <v>2</v>
      </c>
      <c r="M251" s="24">
        <f>N251+GETPIVOTDATA("Sum of PKno",SalmonPivot!$AK$4,"Date",B251,"Site",3)+GETPIVOTDATA("Sum of PKrecap",SalmonPivot!$AK$4,"Date",B251,"Site",3)</f>
        <v>398</v>
      </c>
      <c r="N251" s="24">
        <f>GETPIVOTDATA("Sum of PKrad",SalmonPivot!$AK$4,"Date",B251,"Site",3)</f>
        <v>3</v>
      </c>
      <c r="O251" s="24">
        <f>P251+GETPIVOTDATA("Sum of CMno",SalmonPivot!$AW$4,"Date",B251,"Site",3)+GETPIVOTDATA("Sum of CMrecap",SalmonPivot!$AW$4,"Date",B251,"Site",3)</f>
        <v>13</v>
      </c>
      <c r="P251" s="24">
        <f>GETPIVOTDATA("Sum of CMrad",SalmonPivot!$AW$4,"Date",B251,"Site",3)</f>
        <v>1</v>
      </c>
      <c r="Q251" s="25">
        <f>R251+GETPIVOTDATA("Sum of COno",SalmonPivot!$BI$4,"Date",B251,"Site",3)+GETPIVOTDATA("Sum of COrecap",SalmonPivot!$BI$4,"Date",B251,"Site",3)</f>
        <v>0</v>
      </c>
      <c r="R251" s="24">
        <f>GETPIVOTDATA("Sum of COrad",SalmonPivot!$BI$4,"Date",B251,"Site",3)</f>
        <v>0</v>
      </c>
      <c r="S251" s="24">
        <f>GETPIVOTDATA("Sum of TotalOther",OtherPivot!$J$5,"Date",B251,"Site",3)</f>
        <v>0</v>
      </c>
      <c r="T251" s="38"/>
      <c r="U251" s="172">
        <f>IF(GETPIVOTDATA("3 Revs (s)",EffortRPMPivot!$L$4,"Date",$B251,"Site",3)=0,"",GETPIVOTDATA("3 revs (s)",EffortRPMPivot!$L$4,"date",$B251,"Site",3))</f>
        <v>49</v>
      </c>
      <c r="V251" s="173">
        <f t="shared" ref="V251" si="503">IF(D251=0,"",E251/D251)</f>
        <v>0.16973125884016979</v>
      </c>
      <c r="W251" s="173">
        <f t="shared" ref="W251" si="504">IF(D251=0,"",H251/D251)</f>
        <v>0</v>
      </c>
      <c r="X251" s="173">
        <f t="shared" ref="X251" si="505">IF(D251=0,"",K251/$D251)</f>
        <v>0.25459688826025467</v>
      </c>
      <c r="Y251" s="173">
        <f t="shared" ref="Y251" si="506">IF(D251=0,"",M251/$D251)</f>
        <v>33.776520509193787</v>
      </c>
      <c r="Z251" s="173">
        <f t="shared" ref="Z251" si="507">IF(D251=0,"",O251/$D251)</f>
        <v>1.1032531824611036</v>
      </c>
      <c r="AA251" s="174">
        <f t="shared" ref="AA251" si="508">IF(D251=0,"",Q251/$D251)</f>
        <v>0</v>
      </c>
      <c r="AB251" s="188"/>
      <c r="AC251" s="188"/>
      <c r="AD251" s="188"/>
      <c r="AE251" s="188"/>
      <c r="AF251" s="188"/>
      <c r="AG251" s="188"/>
      <c r="AH251" s="189"/>
      <c r="AI251" s="188"/>
      <c r="AJ251" s="188"/>
      <c r="AK251" s="188"/>
      <c r="AL251" s="188"/>
      <c r="AM251" s="188"/>
      <c r="AN251" s="189"/>
      <c r="AO251" s="188"/>
      <c r="AP251" s="188"/>
      <c r="AQ251" s="188"/>
      <c r="AR251" s="188"/>
      <c r="AS251" s="188"/>
      <c r="AT251" s="189"/>
      <c r="AU251" s="188"/>
      <c r="AV251" s="188"/>
      <c r="AW251" s="190"/>
      <c r="AX251" s="190"/>
      <c r="AY251" s="190"/>
      <c r="AZ251" s="191"/>
      <c r="BA251" s="183"/>
      <c r="BB251" s="183"/>
      <c r="BC251" s="183"/>
      <c r="BD251" s="183"/>
      <c r="BE251" s="183"/>
      <c r="BF251" s="184"/>
      <c r="BG251" s="183"/>
      <c r="BH251" s="183"/>
      <c r="BI251" s="183"/>
      <c r="BJ251" s="183"/>
      <c r="BK251" s="183"/>
      <c r="BL251" s="184"/>
      <c r="BO251" s="153"/>
    </row>
    <row r="252" spans="1:67" x14ac:dyDescent="0.2">
      <c r="A252" s="61"/>
      <c r="B252" s="60">
        <f t="shared" si="368"/>
        <v>41852</v>
      </c>
      <c r="C252" s="22">
        <f t="shared" ref="C252" si="509">IF(ISERROR(3/(U252/60)),"",3/(U252/60))</f>
        <v>3.5526315789473686</v>
      </c>
      <c r="D252" s="23">
        <f>GETPIVOTDATA("Active time (min)",EffortRPMPivot!$A$4,"date",B252,"Site",3)/60</f>
        <v>11.999999999999998</v>
      </c>
      <c r="E252" s="24">
        <f>F252+G252+GETPIVOTDATA("Sum of CNlgNo",SalmonPivot!$A$4,"Date",B252,"Site",3)</f>
        <v>1</v>
      </c>
      <c r="F252" s="24">
        <f>GETPIVOTDATA("Sum of CNlgrad",SalmonPivot!$A$4,"date",B252,"Site",3)</f>
        <v>0</v>
      </c>
      <c r="G252" s="24">
        <f>GETPIVOTDATA("Sum of CNlgrecap",SalmonPivot!$A$4,"date",B252,"Site",3)</f>
        <v>0</v>
      </c>
      <c r="H252" s="24">
        <f>I252+J252+GETPIVOTDATA("Sum of CNsmno",SalmonPivot!$M$4,"Date",B252,"Site",3)</f>
        <v>0</v>
      </c>
      <c r="I252" s="24">
        <f>GETPIVOTDATA("Sum of CNsmradio",SalmonPivot!$M$4,"Date",B252,"Site",3)</f>
        <v>0</v>
      </c>
      <c r="J252" s="24">
        <f>GETPIVOTDATA("Sum of CNsmrecap",SalmonPivot!$M$4,"Date",B252,"Site",3)</f>
        <v>0</v>
      </c>
      <c r="K252" s="24">
        <f>L252+GETPIVOTDATA("Sum of SOno",SalmonPivot!$Y$4,"Date",B252,"Site",3)+GETPIVOTDATA("Sum of SOrecap",SalmonPivot!$Y$4,"Date",B252,"Site",3)</f>
        <v>4</v>
      </c>
      <c r="L252" s="24">
        <f>GETPIVOTDATA("Sum of SOrad",SalmonPivot!$Y$4,"Date",B252,"Site",3)</f>
        <v>3</v>
      </c>
      <c r="M252" s="24">
        <f>N252+GETPIVOTDATA("Sum of PKno",SalmonPivot!$AK$4,"Date",B252,"Site",3)+GETPIVOTDATA("Sum of PKrecap",SalmonPivot!$AK$4,"Date",B252,"Site",3)</f>
        <v>281</v>
      </c>
      <c r="N252" s="24">
        <f>GETPIVOTDATA("Sum of PKrad",SalmonPivot!$AK$4,"Date",B252,"Site",3)</f>
        <v>6</v>
      </c>
      <c r="O252" s="24">
        <f>P252+GETPIVOTDATA("Sum of CMno",SalmonPivot!$AW$4,"Date",B252,"Site",3)+GETPIVOTDATA("Sum of CMrecap",SalmonPivot!$AW$4,"Date",B252,"Site",3)</f>
        <v>28</v>
      </c>
      <c r="P252" s="24">
        <f>GETPIVOTDATA("Sum of CMrad",SalmonPivot!$AW$4,"Date",B252,"Site",3)</f>
        <v>4</v>
      </c>
      <c r="Q252" s="25">
        <f>R252+GETPIVOTDATA("Sum of COno",SalmonPivot!$BI$4,"Date",B252,"Site",3)+GETPIVOTDATA("Sum of COrecap",SalmonPivot!$BI$4,"Date",B252,"Site",3)</f>
        <v>3</v>
      </c>
      <c r="R252" s="24">
        <f>GETPIVOTDATA("Sum of COrad",SalmonPivot!$BI$4,"Date",B252,"Site",3)</f>
        <v>2</v>
      </c>
      <c r="S252" s="24">
        <f>GETPIVOTDATA("Sum of TotalOther",OtherPivot!$J$5,"Date",B252,"Site",3)</f>
        <v>4</v>
      </c>
      <c r="T252" s="38"/>
      <c r="U252" s="172">
        <f>IF(GETPIVOTDATA("3 Revs (s)",EffortRPMPivot!$L$4,"Date",$B252,"Site",3)=0,"",GETPIVOTDATA("3 revs (s)",EffortRPMPivot!$L$4,"date",$B252,"Site",3))</f>
        <v>50.666666666666664</v>
      </c>
      <c r="V252" s="173">
        <f t="shared" ref="V252" si="510">IF(D252=0,"",E252/D252)</f>
        <v>8.3333333333333343E-2</v>
      </c>
      <c r="W252" s="173">
        <f t="shared" ref="W252" si="511">IF(D252=0,"",H252/D252)</f>
        <v>0</v>
      </c>
      <c r="X252" s="173">
        <f t="shared" ref="X252" si="512">IF(D252=0,"",K252/$D252)</f>
        <v>0.33333333333333337</v>
      </c>
      <c r="Y252" s="173">
        <f t="shared" ref="Y252" si="513">IF(D252=0,"",M252/$D252)</f>
        <v>23.416666666666671</v>
      </c>
      <c r="Z252" s="173">
        <f t="shared" ref="Z252" si="514">IF(D252=0,"",O252/$D252)</f>
        <v>2.3333333333333335</v>
      </c>
      <c r="AA252" s="174">
        <f t="shared" ref="AA252" si="515">IF(D252=0,"",Q252/$D252)</f>
        <v>0.25000000000000006</v>
      </c>
      <c r="AB252" s="188"/>
      <c r="AC252" s="188"/>
      <c r="AD252" s="188"/>
      <c r="AE252" s="188"/>
      <c r="AF252" s="188"/>
      <c r="AG252" s="188"/>
      <c r="AH252" s="189"/>
      <c r="AI252" s="188"/>
      <c r="AJ252" s="188"/>
      <c r="AK252" s="188"/>
      <c r="AL252" s="188"/>
      <c r="AM252" s="188"/>
      <c r="AN252" s="189"/>
      <c r="AO252" s="188"/>
      <c r="AP252" s="188"/>
      <c r="AQ252" s="188"/>
      <c r="AR252" s="188"/>
      <c r="AS252" s="188"/>
      <c r="AT252" s="189"/>
      <c r="AU252" s="188"/>
      <c r="AV252" s="188"/>
      <c r="AW252" s="190"/>
      <c r="AX252" s="190"/>
      <c r="AY252" s="190"/>
      <c r="AZ252" s="191"/>
      <c r="BA252" s="183"/>
      <c r="BB252" s="183"/>
      <c r="BC252" s="183"/>
      <c r="BD252" s="183"/>
      <c r="BE252" s="183"/>
      <c r="BF252" s="184"/>
      <c r="BG252" s="183"/>
      <c r="BH252" s="183"/>
      <c r="BI252" s="183"/>
      <c r="BJ252" s="183"/>
      <c r="BK252" s="183"/>
      <c r="BL252" s="184"/>
      <c r="BO252" s="153"/>
    </row>
    <row r="253" spans="1:67" x14ac:dyDescent="0.2">
      <c r="A253" s="61"/>
      <c r="B253" s="60">
        <f t="shared" si="368"/>
        <v>41853</v>
      </c>
      <c r="C253" s="22">
        <f t="shared" ref="C253:C254" si="516">IF(ISERROR(3/(U253/60)),"",3/(U253/60))</f>
        <v>3.75</v>
      </c>
      <c r="D253" s="23">
        <f>GETPIVOTDATA("Active time (min)",EffortRPMPivot!$A$4,"date",B253,"Site",3)/60</f>
        <v>12.016666666666667</v>
      </c>
      <c r="E253" s="24">
        <f>F253+G253+GETPIVOTDATA("Sum of CNlgNo",SalmonPivot!$A$4,"Date",B253,"Site",3)</f>
        <v>0</v>
      </c>
      <c r="F253" s="24">
        <f>GETPIVOTDATA("Sum of CNlgrad",SalmonPivot!$A$4,"date",B253,"Site",3)</f>
        <v>0</v>
      </c>
      <c r="G253" s="24">
        <f>GETPIVOTDATA("Sum of CNlgrecap",SalmonPivot!$A$4,"date",B253,"Site",3)</f>
        <v>0</v>
      </c>
      <c r="H253" s="24">
        <f>I253+J253+GETPIVOTDATA("Sum of CNsmno",SalmonPivot!$M$4,"Date",B253,"Site",3)</f>
        <v>0</v>
      </c>
      <c r="I253" s="24">
        <f>GETPIVOTDATA("Sum of CNsmradio",SalmonPivot!$M$4,"Date",B253,"Site",3)</f>
        <v>0</v>
      </c>
      <c r="J253" s="24">
        <f>GETPIVOTDATA("Sum of CNsmrecap",SalmonPivot!$M$4,"Date",B253,"Site",3)</f>
        <v>0</v>
      </c>
      <c r="K253" s="24">
        <f>L253+GETPIVOTDATA("Sum of SOno",SalmonPivot!$Y$4,"Date",B253,"Site",3)+GETPIVOTDATA("Sum of SOrecap",SalmonPivot!$Y$4,"Date",B253,"Site",3)</f>
        <v>0</v>
      </c>
      <c r="L253" s="24">
        <f>GETPIVOTDATA("Sum of SOrad",SalmonPivot!$Y$4,"Date",B253,"Site",3)</f>
        <v>0</v>
      </c>
      <c r="M253" s="24">
        <f>N253+GETPIVOTDATA("Sum of PKno",SalmonPivot!$AK$4,"Date",B253,"Site",3)+GETPIVOTDATA("Sum of PKrecap",SalmonPivot!$AK$4,"Date",B253,"Site",3)</f>
        <v>209</v>
      </c>
      <c r="N253" s="24">
        <f>GETPIVOTDATA("Sum of PKrad",SalmonPivot!$AK$4,"Date",B253,"Site",3)</f>
        <v>6</v>
      </c>
      <c r="O253" s="24">
        <f>P253+GETPIVOTDATA("Sum of CMno",SalmonPivot!$AW$4,"Date",B253,"Site",3)+GETPIVOTDATA("Sum of CMrecap",SalmonPivot!$AW$4,"Date",B253,"Site",3)</f>
        <v>18</v>
      </c>
      <c r="P253" s="24">
        <f>GETPIVOTDATA("Sum of CMrad",SalmonPivot!$AW$4,"Date",B253,"Site",3)</f>
        <v>3</v>
      </c>
      <c r="Q253" s="25">
        <f>R253+GETPIVOTDATA("Sum of COno",SalmonPivot!$BI$4,"Date",B253,"Site",3)+GETPIVOTDATA("Sum of COrecap",SalmonPivot!$BI$4,"Date",B253,"Site",3)</f>
        <v>2</v>
      </c>
      <c r="R253" s="24">
        <f>GETPIVOTDATA("Sum of COrad",SalmonPivot!$BI$4,"Date",B253,"Site",3)</f>
        <v>2</v>
      </c>
      <c r="S253" s="24">
        <f>GETPIVOTDATA("Sum of TotalOther",OtherPivot!$J$5,"Date",B253,"Site",3)</f>
        <v>1</v>
      </c>
      <c r="T253" s="38"/>
      <c r="U253" s="172">
        <f>IF(GETPIVOTDATA("3 Revs (s)",EffortRPMPivot!$L$4,"Date",$B253,"Site",3)=0,"",GETPIVOTDATA("3 revs (s)",EffortRPMPivot!$L$4,"date",$B253,"Site",3))</f>
        <v>48</v>
      </c>
      <c r="V253" s="173">
        <f t="shared" ref="V253:V254" si="517">IF(D253=0,"",E253/D253)</f>
        <v>0</v>
      </c>
      <c r="W253" s="173">
        <f t="shared" ref="W253:W254" si="518">IF(D253=0,"",H253/D253)</f>
        <v>0</v>
      </c>
      <c r="X253" s="173">
        <f t="shared" ref="X253:X254" si="519">IF(D253=0,"",K253/$D253)</f>
        <v>0</v>
      </c>
      <c r="Y253" s="173">
        <f t="shared" ref="Y253:Y254" si="520">IF(D253=0,"",M253/$D253)</f>
        <v>17.392510402219138</v>
      </c>
      <c r="Z253" s="173">
        <f t="shared" ref="Z253:Z254" si="521">IF(D253=0,"",O253/$D253)</f>
        <v>1.4979195561719834</v>
      </c>
      <c r="AA253" s="174">
        <f t="shared" ref="AA253:AA254" si="522">IF(D253=0,"",Q253/$D253)</f>
        <v>0.16643550624133147</v>
      </c>
      <c r="AB253" s="188"/>
      <c r="AC253" s="188"/>
      <c r="AD253" s="188"/>
      <c r="AE253" s="188"/>
      <c r="AF253" s="188"/>
      <c r="AG253" s="188"/>
      <c r="AH253" s="189"/>
      <c r="AI253" s="188"/>
      <c r="AJ253" s="188"/>
      <c r="AK253" s="188"/>
      <c r="AL253" s="188"/>
      <c r="AM253" s="188"/>
      <c r="AN253" s="189"/>
      <c r="AO253" s="188"/>
      <c r="AP253" s="188"/>
      <c r="AQ253" s="188"/>
      <c r="AR253" s="188"/>
      <c r="AS253" s="188"/>
      <c r="AT253" s="189"/>
      <c r="AU253" s="188"/>
      <c r="AV253" s="188"/>
      <c r="AW253" s="190"/>
      <c r="AX253" s="190"/>
      <c r="AY253" s="190"/>
      <c r="AZ253" s="191"/>
      <c r="BA253" s="183"/>
      <c r="BB253" s="183"/>
      <c r="BC253" s="183"/>
      <c r="BD253" s="183"/>
      <c r="BE253" s="183"/>
      <c r="BF253" s="184"/>
      <c r="BG253" s="183"/>
      <c r="BH253" s="183"/>
      <c r="BI253" s="183"/>
      <c r="BJ253" s="183"/>
      <c r="BK253" s="183"/>
      <c r="BL253" s="184"/>
      <c r="BO253" s="153"/>
    </row>
    <row r="254" spans="1:67" x14ac:dyDescent="0.2">
      <c r="A254" s="61"/>
      <c r="B254" s="60">
        <f t="shared" si="368"/>
        <v>41854</v>
      </c>
      <c r="C254" s="22">
        <f t="shared" si="516"/>
        <v>3.7762237762237763</v>
      </c>
      <c r="D254" s="23">
        <f>GETPIVOTDATA("Active time (min)",EffortRPMPivot!$A$4,"date",B254,"Site",3)/60</f>
        <v>11.999999999999996</v>
      </c>
      <c r="E254" s="24">
        <f>F254+G254+GETPIVOTDATA("Sum of CNlgNo",SalmonPivot!$A$4,"Date",B254,"Site",3)</f>
        <v>0</v>
      </c>
      <c r="F254" s="24">
        <f>GETPIVOTDATA("Sum of CNlgrad",SalmonPivot!$A$4,"date",B254,"Site",3)</f>
        <v>0</v>
      </c>
      <c r="G254" s="24">
        <f>GETPIVOTDATA("Sum of CNlgrecap",SalmonPivot!$A$4,"date",B254,"Site",3)</f>
        <v>0</v>
      </c>
      <c r="H254" s="24">
        <f>I254+J254+GETPIVOTDATA("Sum of CNsmno",SalmonPivot!$M$4,"Date",B254,"Site",3)</f>
        <v>0</v>
      </c>
      <c r="I254" s="24">
        <f>GETPIVOTDATA("Sum of CNsmradio",SalmonPivot!$M$4,"Date",B254,"Site",3)</f>
        <v>0</v>
      </c>
      <c r="J254" s="24">
        <f>GETPIVOTDATA("Sum of CNsmrecap",SalmonPivot!$M$4,"Date",B254,"Site",3)</f>
        <v>0</v>
      </c>
      <c r="K254" s="24">
        <f>L254+GETPIVOTDATA("Sum of SOno",SalmonPivot!$Y$4,"Date",B254,"Site",3)+GETPIVOTDATA("Sum of SOrecap",SalmonPivot!$Y$4,"Date",B254,"Site",3)</f>
        <v>0</v>
      </c>
      <c r="L254" s="24">
        <f>GETPIVOTDATA("Sum of SOrad",SalmonPivot!$Y$4,"Date",B254,"Site",3)</f>
        <v>0</v>
      </c>
      <c r="M254" s="24">
        <f>N254+GETPIVOTDATA("Sum of PKno",SalmonPivot!$AK$4,"Date",B254,"Site",3)+GETPIVOTDATA("Sum of PKrecap",SalmonPivot!$AK$4,"Date",B254,"Site",3)</f>
        <v>204</v>
      </c>
      <c r="N254" s="24">
        <f>GETPIVOTDATA("Sum of PKrad",SalmonPivot!$AK$4,"Date",B254,"Site",3)</f>
        <v>6</v>
      </c>
      <c r="O254" s="24">
        <f>P254+GETPIVOTDATA("Sum of CMno",SalmonPivot!$AW$4,"Date",B254,"Site",3)+GETPIVOTDATA("Sum of CMrecap",SalmonPivot!$AW$4,"Date",B254,"Site",3)</f>
        <v>8</v>
      </c>
      <c r="P254" s="24">
        <f>GETPIVOTDATA("Sum of CMrad",SalmonPivot!$AW$4,"Date",B254,"Site",3)</f>
        <v>6</v>
      </c>
      <c r="Q254" s="25">
        <f>R254+GETPIVOTDATA("Sum of COno",SalmonPivot!$BI$4,"Date",B254,"Site",3)+GETPIVOTDATA("Sum of COrecap",SalmonPivot!$BI$4,"Date",B254,"Site",3)</f>
        <v>0</v>
      </c>
      <c r="R254" s="24">
        <f>GETPIVOTDATA("Sum of COrad",SalmonPivot!$BI$4,"Date",B254,"Site",3)</f>
        <v>0</v>
      </c>
      <c r="S254" s="24">
        <f>GETPIVOTDATA("Sum of TotalOther",OtherPivot!$J$5,"Date",B254,"Site",3)</f>
        <v>3</v>
      </c>
      <c r="T254" s="38"/>
      <c r="U254" s="172">
        <f>IF(GETPIVOTDATA("3 Revs (s)",EffortRPMPivot!$L$4,"Date",$B254,"Site",3)=0,"",GETPIVOTDATA("3 revs (s)",EffortRPMPivot!$L$4,"date",$B254,"Site",3))</f>
        <v>47.666666666666664</v>
      </c>
      <c r="V254" s="173">
        <f t="shared" si="517"/>
        <v>0</v>
      </c>
      <c r="W254" s="173">
        <f t="shared" si="518"/>
        <v>0</v>
      </c>
      <c r="X254" s="173">
        <f t="shared" si="519"/>
        <v>0</v>
      </c>
      <c r="Y254" s="173">
        <f t="shared" si="520"/>
        <v>17.000000000000004</v>
      </c>
      <c r="Z254" s="173">
        <f t="shared" si="521"/>
        <v>0.66666666666666685</v>
      </c>
      <c r="AA254" s="174">
        <f t="shared" si="522"/>
        <v>0</v>
      </c>
      <c r="AB254" s="188"/>
      <c r="AC254" s="188"/>
      <c r="AD254" s="188"/>
      <c r="AE254" s="188"/>
      <c r="AF254" s="188"/>
      <c r="AG254" s="188"/>
      <c r="AH254" s="189"/>
      <c r="AI254" s="188"/>
      <c r="AJ254" s="188"/>
      <c r="AK254" s="188"/>
      <c r="AL254" s="188"/>
      <c r="AM254" s="188"/>
      <c r="AN254" s="189"/>
      <c r="AO254" s="188"/>
      <c r="AP254" s="188"/>
      <c r="AQ254" s="188"/>
      <c r="AR254" s="188"/>
      <c r="AS254" s="188"/>
      <c r="AT254" s="189"/>
      <c r="AU254" s="188"/>
      <c r="AV254" s="188"/>
      <c r="AW254" s="190"/>
      <c r="AX254" s="190"/>
      <c r="AY254" s="190"/>
      <c r="AZ254" s="191"/>
      <c r="BA254" s="183"/>
      <c r="BB254" s="183"/>
      <c r="BC254" s="183"/>
      <c r="BD254" s="183"/>
      <c r="BE254" s="183"/>
      <c r="BF254" s="184"/>
      <c r="BG254" s="183"/>
      <c r="BH254" s="183"/>
      <c r="BI254" s="183"/>
      <c r="BJ254" s="183"/>
      <c r="BK254" s="183"/>
      <c r="BL254" s="184"/>
      <c r="BO254" s="153"/>
    </row>
    <row r="255" spans="1:67" x14ac:dyDescent="0.2">
      <c r="A255" s="61"/>
      <c r="B255" s="60">
        <f t="shared" si="368"/>
        <v>41855</v>
      </c>
      <c r="C255" s="22">
        <f t="shared" ref="C255" si="523">IF(ISERROR(3/(U255/60)),"",3/(U255/60))</f>
        <v>3.5999999999999996</v>
      </c>
      <c r="D255" s="23">
        <f>GETPIVOTDATA("Active time (min)",EffortRPMPivot!$A$4,"date",B255,"Site",3)/60</f>
        <v>11.999999999999998</v>
      </c>
      <c r="E255" s="24">
        <f>F255+G255+GETPIVOTDATA("Sum of CNlgNo",SalmonPivot!$A$4,"Date",B255,"Site",3)</f>
        <v>0</v>
      </c>
      <c r="F255" s="24">
        <f>GETPIVOTDATA("Sum of CNlgrad",SalmonPivot!$A$4,"date",B255,"Site",3)</f>
        <v>0</v>
      </c>
      <c r="G255" s="24">
        <f>GETPIVOTDATA("Sum of CNlgrecap",SalmonPivot!$A$4,"date",B255,"Site",3)</f>
        <v>0</v>
      </c>
      <c r="H255" s="24">
        <f>I255+J255+GETPIVOTDATA("Sum of CNsmno",SalmonPivot!$M$4,"Date",B255,"Site",3)</f>
        <v>1</v>
      </c>
      <c r="I255" s="24">
        <f>GETPIVOTDATA("Sum of CNsmradio",SalmonPivot!$M$4,"Date",B255,"Site",3)</f>
        <v>0</v>
      </c>
      <c r="J255" s="24">
        <f>GETPIVOTDATA("Sum of CNsmrecap",SalmonPivot!$M$4,"Date",B255,"Site",3)</f>
        <v>0</v>
      </c>
      <c r="K255" s="24">
        <f>L255+GETPIVOTDATA("Sum of SOno",SalmonPivot!$Y$4,"Date",B255,"Site",3)+GETPIVOTDATA("Sum of SOrecap",SalmonPivot!$Y$4,"Date",B255,"Site",3)</f>
        <v>1</v>
      </c>
      <c r="L255" s="24">
        <f>GETPIVOTDATA("Sum of SOrad",SalmonPivot!$Y$4,"Date",B255,"Site",3)</f>
        <v>1</v>
      </c>
      <c r="M255" s="24">
        <f>N255+GETPIVOTDATA("Sum of PKno",SalmonPivot!$AK$4,"Date",B255,"Site",3)+GETPIVOTDATA("Sum of PKrecap",SalmonPivot!$AK$4,"Date",B255,"Site",3)</f>
        <v>187</v>
      </c>
      <c r="N255" s="24">
        <f>GETPIVOTDATA("Sum of PKrad",SalmonPivot!$AK$4,"Date",B255,"Site",3)</f>
        <v>4</v>
      </c>
      <c r="O255" s="24">
        <f>P255+GETPIVOTDATA("Sum of CMno",SalmonPivot!$AW$4,"Date",B255,"Site",3)+GETPIVOTDATA("Sum of CMrecap",SalmonPivot!$AW$4,"Date",B255,"Site",3)</f>
        <v>20</v>
      </c>
      <c r="P255" s="24">
        <f>GETPIVOTDATA("Sum of CMrad",SalmonPivot!$AW$4,"Date",B255,"Site",3)</f>
        <v>6</v>
      </c>
      <c r="Q255" s="25">
        <f>R255+GETPIVOTDATA("Sum of COno",SalmonPivot!$BI$4,"Date",B255,"Site",3)+GETPIVOTDATA("Sum of COrecap",SalmonPivot!$BI$4,"Date",B255,"Site",3)</f>
        <v>2</v>
      </c>
      <c r="R255" s="24">
        <f>GETPIVOTDATA("Sum of COrad",SalmonPivot!$BI$4,"Date",B255,"Site",3)</f>
        <v>2</v>
      </c>
      <c r="S255" s="24">
        <f>GETPIVOTDATA("Sum of TotalOther",OtherPivot!$J$5,"Date",B255,"Site",3)</f>
        <v>1</v>
      </c>
      <c r="T255" s="38"/>
      <c r="U255" s="172">
        <f>IF(GETPIVOTDATA("3 Revs (s)",EffortRPMPivot!$L$4,"Date",$B255,"Site",3)=0,"",GETPIVOTDATA("3 revs (s)",EffortRPMPivot!$L$4,"date",$B255,"Site",3))</f>
        <v>50</v>
      </c>
      <c r="V255" s="173">
        <f t="shared" ref="V255" si="524">IF(D255=0,"",E255/D255)</f>
        <v>0</v>
      </c>
      <c r="W255" s="173">
        <f t="shared" ref="W255" si="525">IF(D255=0,"",H255/D255)</f>
        <v>8.3333333333333343E-2</v>
      </c>
      <c r="X255" s="173">
        <f t="shared" ref="X255" si="526">IF(D255=0,"",K255/$D255)</f>
        <v>8.3333333333333343E-2</v>
      </c>
      <c r="Y255" s="173">
        <f t="shared" ref="Y255" si="527">IF(D255=0,"",M255/$D255)</f>
        <v>15.583333333333336</v>
      </c>
      <c r="Z255" s="173">
        <f t="shared" ref="Z255" si="528">IF(D255=0,"",O255/$D255)</f>
        <v>1.666666666666667</v>
      </c>
      <c r="AA255" s="174">
        <f t="shared" ref="AA255" si="529">IF(D255=0,"",Q255/$D255)</f>
        <v>0.16666666666666669</v>
      </c>
      <c r="AB255" s="188"/>
      <c r="AC255" s="188"/>
      <c r="AD255" s="188"/>
      <c r="AE255" s="188"/>
      <c r="AF255" s="188"/>
      <c r="AG255" s="188"/>
      <c r="AH255" s="189"/>
      <c r="AI255" s="188"/>
      <c r="AJ255" s="188"/>
      <c r="AK255" s="188"/>
      <c r="AL255" s="188"/>
      <c r="AM255" s="188"/>
      <c r="AN255" s="189"/>
      <c r="AO255" s="188"/>
      <c r="AP255" s="188"/>
      <c r="AQ255" s="188"/>
      <c r="AR255" s="188"/>
      <c r="AS255" s="188"/>
      <c r="AT255" s="189"/>
      <c r="AU255" s="188"/>
      <c r="AV255" s="188"/>
      <c r="AW255" s="190"/>
      <c r="AX255" s="190"/>
      <c r="AY255" s="190"/>
      <c r="AZ255" s="191"/>
      <c r="BA255" s="183"/>
      <c r="BB255" s="183"/>
      <c r="BC255" s="183"/>
      <c r="BD255" s="183"/>
      <c r="BE255" s="183"/>
      <c r="BF255" s="184"/>
      <c r="BG255" s="183"/>
      <c r="BH255" s="183"/>
      <c r="BI255" s="183"/>
      <c r="BJ255" s="183"/>
      <c r="BK255" s="183"/>
      <c r="BL255" s="184"/>
      <c r="BO255" s="153"/>
    </row>
    <row r="256" spans="1:67" x14ac:dyDescent="0.2">
      <c r="A256" s="61"/>
      <c r="B256" s="60">
        <f t="shared" si="368"/>
        <v>41856</v>
      </c>
      <c r="C256" s="22">
        <f t="shared" ref="C256" si="530">IF(ISERROR(3/(U256/60)),"",3/(U256/60))</f>
        <v>3.7894736842105265</v>
      </c>
      <c r="D256" s="23">
        <f>GETPIVOTDATA("Active time (min)",EffortRPMPivot!$A$4,"date",B256,"Site",3)/60</f>
        <v>12.083333333333334</v>
      </c>
      <c r="E256" s="24">
        <f>F256+G256+GETPIVOTDATA("Sum of CNlgNo",SalmonPivot!$A$4,"Date",B256,"Site",3)</f>
        <v>3</v>
      </c>
      <c r="F256" s="24">
        <f>GETPIVOTDATA("Sum of CNlgrad",SalmonPivot!$A$4,"date",B256,"Site",3)</f>
        <v>0</v>
      </c>
      <c r="G256" s="24">
        <f>GETPIVOTDATA("Sum of CNlgrecap",SalmonPivot!$A$4,"date",B256,"Site",3)</f>
        <v>0</v>
      </c>
      <c r="H256" s="24">
        <f>I256+J256+GETPIVOTDATA("Sum of CNsmno",SalmonPivot!$M$4,"Date",B256,"Site",3)</f>
        <v>0</v>
      </c>
      <c r="I256" s="24">
        <f>GETPIVOTDATA("Sum of CNsmradio",SalmonPivot!$M$4,"Date",B256,"Site",3)</f>
        <v>0</v>
      </c>
      <c r="J256" s="24">
        <f>GETPIVOTDATA("Sum of CNsmrecap",SalmonPivot!$M$4,"Date",B256,"Site",3)</f>
        <v>0</v>
      </c>
      <c r="K256" s="24">
        <f>L256+GETPIVOTDATA("Sum of SOno",SalmonPivot!$Y$4,"Date",B256,"Site",3)+GETPIVOTDATA("Sum of SOrecap",SalmonPivot!$Y$4,"Date",B256,"Site",3)</f>
        <v>3</v>
      </c>
      <c r="L256" s="24">
        <f>GETPIVOTDATA("Sum of SOrad",SalmonPivot!$Y$4,"Date",B256,"Site",3)</f>
        <v>3</v>
      </c>
      <c r="M256" s="24">
        <f>N256+GETPIVOTDATA("Sum of PKno",SalmonPivot!$AK$4,"Date",B256,"Site",3)+GETPIVOTDATA("Sum of PKrecap",SalmonPivot!$AK$4,"Date",B256,"Site",3)</f>
        <v>177</v>
      </c>
      <c r="N256" s="24">
        <f>GETPIVOTDATA("Sum of PKrad",SalmonPivot!$AK$4,"Date",B256,"Site",3)</f>
        <v>5</v>
      </c>
      <c r="O256" s="24">
        <f>P256+GETPIVOTDATA("Sum of CMno",SalmonPivot!$AW$4,"Date",B256,"Site",3)+GETPIVOTDATA("Sum of CMrecap",SalmonPivot!$AW$4,"Date",B256,"Site",3)</f>
        <v>13</v>
      </c>
      <c r="P256" s="24">
        <f>GETPIVOTDATA("Sum of CMrad",SalmonPivot!$AW$4,"Date",B256,"Site",3)</f>
        <v>6</v>
      </c>
      <c r="Q256" s="25">
        <f>R256+GETPIVOTDATA("Sum of COno",SalmonPivot!$BI$4,"Date",B256,"Site",3)+GETPIVOTDATA("Sum of COrecap",SalmonPivot!$BI$4,"Date",B256,"Site",3)</f>
        <v>3</v>
      </c>
      <c r="R256" s="24">
        <f>GETPIVOTDATA("Sum of COrad",SalmonPivot!$BI$4,"Date",B256,"Site",3)</f>
        <v>2</v>
      </c>
      <c r="S256" s="24">
        <f>GETPIVOTDATA("Sum of TotalOther",OtherPivot!$J$5,"Date",B256,"Site",3)</f>
        <v>1</v>
      </c>
      <c r="T256" s="38"/>
      <c r="U256" s="172">
        <f>IF(GETPIVOTDATA("3 Revs (s)",EffortRPMPivot!$L$4,"Date",$B256,"Site",3)=0,"",GETPIVOTDATA("3 revs (s)",EffortRPMPivot!$L$4,"date",$B256,"Site",3))</f>
        <v>47.5</v>
      </c>
      <c r="V256" s="173">
        <f t="shared" ref="V256" si="531">IF(D256=0,"",E256/D256)</f>
        <v>0.24827586206896551</v>
      </c>
      <c r="W256" s="173">
        <f t="shared" ref="W256" si="532">IF(D256=0,"",H256/D256)</f>
        <v>0</v>
      </c>
      <c r="X256" s="173">
        <f t="shared" ref="X256" si="533">IF(D256=0,"",K256/$D256)</f>
        <v>0.24827586206896551</v>
      </c>
      <c r="Y256" s="173">
        <f t="shared" ref="Y256" si="534">IF(D256=0,"",M256/$D256)</f>
        <v>14.648275862068965</v>
      </c>
      <c r="Z256" s="173">
        <f t="shared" ref="Z256" si="535">IF(D256=0,"",O256/$D256)</f>
        <v>1.0758620689655172</v>
      </c>
      <c r="AA256" s="174">
        <f t="shared" ref="AA256" si="536">IF(D256=0,"",Q256/$D256)</f>
        <v>0.24827586206896551</v>
      </c>
      <c r="AB256" s="188"/>
      <c r="AC256" s="188"/>
      <c r="AD256" s="188"/>
      <c r="AE256" s="188"/>
      <c r="AF256" s="188"/>
      <c r="AG256" s="188"/>
      <c r="AH256" s="189"/>
      <c r="AI256" s="188"/>
      <c r="AJ256" s="188"/>
      <c r="AK256" s="188"/>
      <c r="AL256" s="188"/>
      <c r="AM256" s="188"/>
      <c r="AN256" s="189"/>
      <c r="AO256" s="188"/>
      <c r="AP256" s="188"/>
      <c r="AQ256" s="188"/>
      <c r="AR256" s="188"/>
      <c r="AS256" s="188"/>
      <c r="AT256" s="189"/>
      <c r="AU256" s="188"/>
      <c r="AV256" s="188"/>
      <c r="AW256" s="190"/>
      <c r="AX256" s="190"/>
      <c r="AY256" s="190"/>
      <c r="AZ256" s="191"/>
      <c r="BA256" s="183"/>
      <c r="BB256" s="183"/>
      <c r="BC256" s="183"/>
      <c r="BD256" s="183"/>
      <c r="BE256" s="183"/>
      <c r="BF256" s="184"/>
      <c r="BG256" s="183"/>
      <c r="BH256" s="183"/>
      <c r="BI256" s="183"/>
      <c r="BJ256" s="183"/>
      <c r="BK256" s="183"/>
      <c r="BL256" s="184"/>
      <c r="BO256" s="153"/>
    </row>
    <row r="257" spans="1:67" x14ac:dyDescent="0.2">
      <c r="A257" s="61"/>
      <c r="B257" s="60">
        <f t="shared" si="368"/>
        <v>41857</v>
      </c>
      <c r="C257" s="22">
        <f t="shared" ref="C257" si="537">IF(ISERROR(3/(U257/60)),"",3/(U257/60))</f>
        <v>3.8709677419354835</v>
      </c>
      <c r="D257" s="23">
        <f>GETPIVOTDATA("Active time (min)",EffortRPMPivot!$A$4,"date",B257,"Site",3)/60</f>
        <v>12</v>
      </c>
      <c r="E257" s="24">
        <f>F257+G257+GETPIVOTDATA("Sum of CNlgNo",SalmonPivot!$A$4,"Date",B257,"Site",3)</f>
        <v>1</v>
      </c>
      <c r="F257" s="24">
        <f>GETPIVOTDATA("Sum of CNlgrad",SalmonPivot!$A$4,"date",B257,"Site",3)</f>
        <v>0</v>
      </c>
      <c r="G257" s="24">
        <f>GETPIVOTDATA("Sum of CNlgrecap",SalmonPivot!$A$4,"date",B257,"Site",3)</f>
        <v>0</v>
      </c>
      <c r="H257" s="24">
        <f>I257+J257+GETPIVOTDATA("Sum of CNsmno",SalmonPivot!$M$4,"Date",B257,"Site",3)</f>
        <v>1</v>
      </c>
      <c r="I257" s="24">
        <f>GETPIVOTDATA("Sum of CNsmradio",SalmonPivot!$M$4,"Date",B257,"Site",3)</f>
        <v>0</v>
      </c>
      <c r="J257" s="24">
        <f>GETPIVOTDATA("Sum of CNsmrecap",SalmonPivot!$M$4,"Date",B257,"Site",3)</f>
        <v>0</v>
      </c>
      <c r="K257" s="24">
        <f>L257+GETPIVOTDATA("Sum of SOno",SalmonPivot!$Y$4,"Date",B257,"Site",3)+GETPIVOTDATA("Sum of SOrecap",SalmonPivot!$Y$4,"Date",B257,"Site",3)</f>
        <v>0</v>
      </c>
      <c r="L257" s="24">
        <f>GETPIVOTDATA("Sum of SOrad",SalmonPivot!$Y$4,"Date",B257,"Site",3)</f>
        <v>0</v>
      </c>
      <c r="M257" s="24">
        <f>N257+GETPIVOTDATA("Sum of PKno",SalmonPivot!$AK$4,"Date",B257,"Site",3)+GETPIVOTDATA("Sum of PKrecap",SalmonPivot!$AK$4,"Date",B257,"Site",3)</f>
        <v>170</v>
      </c>
      <c r="N257" s="24">
        <f>GETPIVOTDATA("Sum of PKrad",SalmonPivot!$AK$4,"Date",B257,"Site",3)</f>
        <v>4</v>
      </c>
      <c r="O257" s="24">
        <f>P257+GETPIVOTDATA("Sum of CMno",SalmonPivot!$AW$4,"Date",B257,"Site",3)+GETPIVOTDATA("Sum of CMrecap",SalmonPivot!$AW$4,"Date",B257,"Site",3)</f>
        <v>9</v>
      </c>
      <c r="P257" s="24">
        <f>GETPIVOTDATA("Sum of CMrad",SalmonPivot!$AW$4,"Date",B257,"Site",3)</f>
        <v>6</v>
      </c>
      <c r="Q257" s="25">
        <f>R257+GETPIVOTDATA("Sum of COno",SalmonPivot!$BI$4,"Date",B257,"Site",3)+GETPIVOTDATA("Sum of COrecap",SalmonPivot!$BI$4,"Date",B257,"Site",3)</f>
        <v>3</v>
      </c>
      <c r="R257" s="24">
        <f>GETPIVOTDATA("Sum of COrad",SalmonPivot!$BI$4,"Date",B257,"Site",3)</f>
        <v>3</v>
      </c>
      <c r="S257" s="24">
        <f>GETPIVOTDATA("Sum of TotalOther",OtherPivot!$J$5,"Date",B257,"Site",3)</f>
        <v>1</v>
      </c>
      <c r="T257" s="38"/>
      <c r="U257" s="172">
        <f>IF(GETPIVOTDATA("3 Revs (s)",EffortRPMPivot!$L$4,"Date",$B257,"Site",3)=0,"",GETPIVOTDATA("3 revs (s)",EffortRPMPivot!$L$4,"date",$B257,"Site",3))</f>
        <v>46.5</v>
      </c>
      <c r="V257" s="173">
        <f t="shared" ref="V257" si="538">IF(D257=0,"",E257/D257)</f>
        <v>8.3333333333333329E-2</v>
      </c>
      <c r="W257" s="173">
        <f t="shared" ref="W257" si="539">IF(D257=0,"",H257/D257)</f>
        <v>8.3333333333333329E-2</v>
      </c>
      <c r="X257" s="173">
        <f t="shared" ref="X257" si="540">IF(D257=0,"",K257/$D257)</f>
        <v>0</v>
      </c>
      <c r="Y257" s="173">
        <f t="shared" ref="Y257" si="541">IF(D257=0,"",M257/$D257)</f>
        <v>14.166666666666666</v>
      </c>
      <c r="Z257" s="173">
        <f t="shared" ref="Z257" si="542">IF(D257=0,"",O257/$D257)</f>
        <v>0.75</v>
      </c>
      <c r="AA257" s="174">
        <f t="shared" ref="AA257" si="543">IF(D257=0,"",Q257/$D257)</f>
        <v>0.25</v>
      </c>
      <c r="AB257" s="188"/>
      <c r="AC257" s="188"/>
      <c r="AD257" s="188"/>
      <c r="AE257" s="188"/>
      <c r="AF257" s="188"/>
      <c r="AG257" s="188"/>
      <c r="AH257" s="189"/>
      <c r="AI257" s="188"/>
      <c r="AJ257" s="188"/>
      <c r="AK257" s="188"/>
      <c r="AL257" s="188"/>
      <c r="AM257" s="188"/>
      <c r="AN257" s="189"/>
      <c r="AO257" s="188"/>
      <c r="AP257" s="188"/>
      <c r="AQ257" s="188"/>
      <c r="AR257" s="188"/>
      <c r="AS257" s="188"/>
      <c r="AT257" s="189"/>
      <c r="AU257" s="188"/>
      <c r="AV257" s="188"/>
      <c r="AW257" s="190"/>
      <c r="AX257" s="190"/>
      <c r="AY257" s="190"/>
      <c r="AZ257" s="191"/>
      <c r="BA257" s="183"/>
      <c r="BB257" s="183"/>
      <c r="BC257" s="183"/>
      <c r="BD257" s="183"/>
      <c r="BE257" s="183"/>
      <c r="BF257" s="184"/>
      <c r="BG257" s="183"/>
      <c r="BH257" s="183"/>
      <c r="BI257" s="183"/>
      <c r="BJ257" s="183"/>
      <c r="BK257" s="183"/>
      <c r="BL257" s="184"/>
      <c r="BO257" s="153"/>
    </row>
    <row r="258" spans="1:67" x14ac:dyDescent="0.2">
      <c r="A258" s="61"/>
      <c r="B258" s="60">
        <f t="shared" si="368"/>
        <v>41858</v>
      </c>
      <c r="C258" s="22">
        <f t="shared" ref="C258:C259" si="544">IF(ISERROR(3/(U258/60)),"",3/(U258/60))</f>
        <v>3.8028169014084501</v>
      </c>
      <c r="D258" s="23">
        <f>GETPIVOTDATA("Active time (min)",EffortRPMPivot!$A$4,"date",B258,"Site",3)/60</f>
        <v>12</v>
      </c>
      <c r="E258" s="24">
        <f>F258+G258+GETPIVOTDATA("Sum of CNlgNo",SalmonPivot!$A$4,"Date",B258,"Site",3)</f>
        <v>1</v>
      </c>
      <c r="F258" s="24">
        <f>GETPIVOTDATA("Sum of CNlgrad",SalmonPivot!$A$4,"date",B258,"Site",3)</f>
        <v>0</v>
      </c>
      <c r="G258" s="24">
        <f>GETPIVOTDATA("Sum of CNlgrecap",SalmonPivot!$A$4,"date",B258,"Site",3)</f>
        <v>0</v>
      </c>
      <c r="H258" s="24">
        <f>I258+J258+GETPIVOTDATA("Sum of CNsmno",SalmonPivot!$M$4,"Date",B258,"Site",3)</f>
        <v>0</v>
      </c>
      <c r="I258" s="24">
        <f>GETPIVOTDATA("Sum of CNsmradio",SalmonPivot!$M$4,"Date",B258,"Site",3)</f>
        <v>0</v>
      </c>
      <c r="J258" s="24">
        <f>GETPIVOTDATA("Sum of CNsmrecap",SalmonPivot!$M$4,"Date",B258,"Site",3)</f>
        <v>0</v>
      </c>
      <c r="K258" s="24">
        <f>L258+GETPIVOTDATA("Sum of SOno",SalmonPivot!$Y$4,"Date",B258,"Site",3)+GETPIVOTDATA("Sum of SOrecap",SalmonPivot!$Y$4,"Date",B258,"Site",3)</f>
        <v>1</v>
      </c>
      <c r="L258" s="24">
        <f>GETPIVOTDATA("Sum of SOrad",SalmonPivot!$Y$4,"Date",B258,"Site",3)</f>
        <v>1</v>
      </c>
      <c r="M258" s="24">
        <f>N258+GETPIVOTDATA("Sum of PKno",SalmonPivot!$AK$4,"Date",B258,"Site",3)+GETPIVOTDATA("Sum of PKrecap",SalmonPivot!$AK$4,"Date",B258,"Site",3)</f>
        <v>180</v>
      </c>
      <c r="N258" s="24">
        <f>GETPIVOTDATA("Sum of PKrad",SalmonPivot!$AK$4,"Date",B258,"Site",3)</f>
        <v>4</v>
      </c>
      <c r="O258" s="24">
        <f>P258+GETPIVOTDATA("Sum of CMno",SalmonPivot!$AW$4,"Date",B258,"Site",3)+GETPIVOTDATA("Sum of CMrecap",SalmonPivot!$AW$4,"Date",B258,"Site",3)</f>
        <v>20</v>
      </c>
      <c r="P258" s="24">
        <f>GETPIVOTDATA("Sum of CMrad",SalmonPivot!$AW$4,"Date",B258,"Site",3)</f>
        <v>6</v>
      </c>
      <c r="Q258" s="25">
        <f>R258+GETPIVOTDATA("Sum of COno",SalmonPivot!$BI$4,"Date",B258,"Site",3)+GETPIVOTDATA("Sum of COrecap",SalmonPivot!$BI$4,"Date",B258,"Site",3)</f>
        <v>6</v>
      </c>
      <c r="R258" s="24">
        <f>GETPIVOTDATA("Sum of COrad",SalmonPivot!$BI$4,"Date",B258,"Site",3)</f>
        <v>5</v>
      </c>
      <c r="S258" s="24">
        <f>GETPIVOTDATA("Sum of TotalOther",OtherPivot!$J$5,"Date",B258,"Site",3)</f>
        <v>0</v>
      </c>
      <c r="T258" s="38"/>
      <c r="U258" s="172">
        <f>IF(GETPIVOTDATA("3 Revs (s)",EffortRPMPivot!$L$4,"Date",$B258,"Site",3)=0,"",GETPIVOTDATA("3 revs (s)",EffortRPMPivot!$L$4,"date",$B258,"Site",3))</f>
        <v>47.333333333333336</v>
      </c>
      <c r="V258" s="173">
        <f t="shared" ref="V258:V259" si="545">IF(D258=0,"",E258/D258)</f>
        <v>8.3333333333333329E-2</v>
      </c>
      <c r="W258" s="173">
        <f t="shared" ref="W258:W259" si="546">IF(D258=0,"",H258/D258)</f>
        <v>0</v>
      </c>
      <c r="X258" s="173">
        <f t="shared" ref="X258:X259" si="547">IF(D258=0,"",K258/$D258)</f>
        <v>8.3333333333333329E-2</v>
      </c>
      <c r="Y258" s="173">
        <f t="shared" ref="Y258:Y259" si="548">IF(D258=0,"",M258/$D258)</f>
        <v>15</v>
      </c>
      <c r="Z258" s="173">
        <f t="shared" ref="Z258:Z259" si="549">IF(D258=0,"",O258/$D258)</f>
        <v>1.6666666666666667</v>
      </c>
      <c r="AA258" s="174">
        <f t="shared" ref="AA258:AA259" si="550">IF(D258=0,"",Q258/$D258)</f>
        <v>0.5</v>
      </c>
      <c r="AB258" s="188"/>
      <c r="AC258" s="188"/>
      <c r="AD258" s="188"/>
      <c r="AE258" s="188"/>
      <c r="AF258" s="188"/>
      <c r="AG258" s="188"/>
      <c r="AH258" s="189"/>
      <c r="AI258" s="188"/>
      <c r="AJ258" s="188"/>
      <c r="AK258" s="188"/>
      <c r="AL258" s="188"/>
      <c r="AM258" s="188"/>
      <c r="AN258" s="189"/>
      <c r="AO258" s="188"/>
      <c r="AP258" s="188"/>
      <c r="AQ258" s="188"/>
      <c r="AR258" s="188"/>
      <c r="AS258" s="188"/>
      <c r="AT258" s="189"/>
      <c r="AU258" s="188"/>
      <c r="AV258" s="188"/>
      <c r="AW258" s="190"/>
      <c r="AX258" s="190"/>
      <c r="AY258" s="190"/>
      <c r="AZ258" s="191"/>
      <c r="BA258" s="183"/>
      <c r="BB258" s="183"/>
      <c r="BC258" s="183"/>
      <c r="BD258" s="183"/>
      <c r="BE258" s="183"/>
      <c r="BF258" s="184"/>
      <c r="BG258" s="183"/>
      <c r="BH258" s="183"/>
      <c r="BI258" s="183"/>
      <c r="BJ258" s="183"/>
      <c r="BK258" s="183"/>
      <c r="BL258" s="184"/>
      <c r="BO258" s="153"/>
    </row>
    <row r="259" spans="1:67" x14ac:dyDescent="0.2">
      <c r="A259" s="61"/>
      <c r="B259" s="60">
        <f t="shared" si="368"/>
        <v>41859</v>
      </c>
      <c r="C259" s="22">
        <f t="shared" si="544"/>
        <v>3.5526315789473686</v>
      </c>
      <c r="D259" s="23">
        <f>GETPIVOTDATA("Active time (min)",EffortRPMPivot!$A$4,"date",B259,"Site",3)/60</f>
        <v>11.966666666666663</v>
      </c>
      <c r="E259" s="24">
        <f>F259+G259+GETPIVOTDATA("Sum of CNlgNo",SalmonPivot!$A$4,"Date",B259,"Site",3)</f>
        <v>1</v>
      </c>
      <c r="F259" s="24">
        <f>GETPIVOTDATA("Sum of CNlgrad",SalmonPivot!$A$4,"date",B259,"Site",3)</f>
        <v>0</v>
      </c>
      <c r="G259" s="24">
        <f>GETPIVOTDATA("Sum of CNlgrecap",SalmonPivot!$A$4,"date",B259,"Site",3)</f>
        <v>0</v>
      </c>
      <c r="H259" s="24">
        <f>I259+J259+GETPIVOTDATA("Sum of CNsmno",SalmonPivot!$M$4,"Date",B259,"Site",3)</f>
        <v>0</v>
      </c>
      <c r="I259" s="24">
        <f>GETPIVOTDATA("Sum of CNsmradio",SalmonPivot!$M$4,"Date",B259,"Site",3)</f>
        <v>0</v>
      </c>
      <c r="J259" s="24">
        <f>GETPIVOTDATA("Sum of CNsmrecap",SalmonPivot!$M$4,"Date",B259,"Site",3)</f>
        <v>0</v>
      </c>
      <c r="K259" s="24">
        <f>L259+GETPIVOTDATA("Sum of SOno",SalmonPivot!$Y$4,"Date",B259,"Site",3)+GETPIVOTDATA("Sum of SOrecap",SalmonPivot!$Y$4,"Date",B259,"Site",3)</f>
        <v>1</v>
      </c>
      <c r="L259" s="24">
        <f>GETPIVOTDATA("Sum of SOrad",SalmonPivot!$Y$4,"Date",B259,"Site",3)</f>
        <v>1</v>
      </c>
      <c r="M259" s="24">
        <f>N259+GETPIVOTDATA("Sum of PKno",SalmonPivot!$AK$4,"Date",B259,"Site",3)+GETPIVOTDATA("Sum of PKrecap",SalmonPivot!$AK$4,"Date",B259,"Site",3)</f>
        <v>157</v>
      </c>
      <c r="N259" s="24">
        <f>GETPIVOTDATA("Sum of PKrad",SalmonPivot!$AK$4,"Date",B259,"Site",3)</f>
        <v>4</v>
      </c>
      <c r="O259" s="24">
        <f>P259+GETPIVOTDATA("Sum of CMno",SalmonPivot!$AW$4,"Date",B259,"Site",3)+GETPIVOTDATA("Sum of CMrecap",SalmonPivot!$AW$4,"Date",B259,"Site",3)</f>
        <v>18</v>
      </c>
      <c r="P259" s="24">
        <f>GETPIVOTDATA("Sum of CMrad",SalmonPivot!$AW$4,"Date",B259,"Site",3)</f>
        <v>6</v>
      </c>
      <c r="Q259" s="25">
        <f>R259+GETPIVOTDATA("Sum of COno",SalmonPivot!$BI$4,"Date",B259,"Site",3)+GETPIVOTDATA("Sum of COrecap",SalmonPivot!$BI$4,"Date",B259,"Site",3)</f>
        <v>2</v>
      </c>
      <c r="R259" s="24">
        <f>GETPIVOTDATA("Sum of COrad",SalmonPivot!$BI$4,"Date",B259,"Site",3)</f>
        <v>1</v>
      </c>
      <c r="S259" s="24">
        <f>GETPIVOTDATA("Sum of TotalOther",OtherPivot!$J$5,"Date",B259,"Site",3)</f>
        <v>0</v>
      </c>
      <c r="T259" s="38"/>
      <c r="U259" s="172">
        <f>IF(GETPIVOTDATA("3 Revs (s)",EffortRPMPivot!$L$4,"Date",$B259,"Site",3)=0,"",GETPIVOTDATA("3 revs (s)",EffortRPMPivot!$L$4,"date",$B259,"Site",3))</f>
        <v>50.666666666666664</v>
      </c>
      <c r="V259" s="173">
        <f t="shared" si="545"/>
        <v>8.3565459610027884E-2</v>
      </c>
      <c r="W259" s="173">
        <f t="shared" si="546"/>
        <v>0</v>
      </c>
      <c r="X259" s="173">
        <f t="shared" si="547"/>
        <v>8.3565459610027884E-2</v>
      </c>
      <c r="Y259" s="173">
        <f t="shared" si="548"/>
        <v>13.119777158774378</v>
      </c>
      <c r="Z259" s="173">
        <f t="shared" si="549"/>
        <v>1.5041782729805018</v>
      </c>
      <c r="AA259" s="174">
        <f t="shared" si="550"/>
        <v>0.16713091922005577</v>
      </c>
      <c r="AB259" s="188"/>
      <c r="AC259" s="188"/>
      <c r="AD259" s="188"/>
      <c r="AE259" s="188"/>
      <c r="AF259" s="188"/>
      <c r="AG259" s="188"/>
      <c r="AH259" s="189"/>
      <c r="AI259" s="188"/>
      <c r="AJ259" s="188"/>
      <c r="AK259" s="188"/>
      <c r="AL259" s="188"/>
      <c r="AM259" s="188"/>
      <c r="AN259" s="189"/>
      <c r="AO259" s="188"/>
      <c r="AP259" s="188"/>
      <c r="AQ259" s="188"/>
      <c r="AR259" s="188"/>
      <c r="AS259" s="188"/>
      <c r="AT259" s="189"/>
      <c r="AU259" s="188"/>
      <c r="AV259" s="188"/>
      <c r="AW259" s="190"/>
      <c r="AX259" s="190"/>
      <c r="AY259" s="190"/>
      <c r="AZ259" s="191"/>
      <c r="BA259" s="183"/>
      <c r="BB259" s="183"/>
      <c r="BC259" s="183"/>
      <c r="BD259" s="183"/>
      <c r="BE259" s="183"/>
      <c r="BF259" s="184"/>
      <c r="BG259" s="183"/>
      <c r="BH259" s="183"/>
      <c r="BI259" s="183"/>
      <c r="BJ259" s="183"/>
      <c r="BK259" s="183"/>
      <c r="BL259" s="184"/>
      <c r="BO259" s="153"/>
    </row>
    <row r="260" spans="1:67" x14ac:dyDescent="0.2">
      <c r="A260" s="61"/>
      <c r="B260" s="60">
        <f t="shared" si="368"/>
        <v>41860</v>
      </c>
      <c r="C260" s="22">
        <f t="shared" ref="C260" si="551">IF(ISERROR(3/(U260/60)),"",3/(U260/60))</f>
        <v>3.6486486486486482</v>
      </c>
      <c r="D260" s="23">
        <f>GETPIVOTDATA("Active time (min)",EffortRPMPivot!$A$4,"date",B260,"Site",3)/60</f>
        <v>12.000000000000002</v>
      </c>
      <c r="E260" s="24">
        <f>F260+G260+GETPIVOTDATA("Sum of CNlgNo",SalmonPivot!$A$4,"Date",B260,"Site",3)</f>
        <v>1</v>
      </c>
      <c r="F260" s="24">
        <f>GETPIVOTDATA("Sum of CNlgrad",SalmonPivot!$A$4,"date",B260,"Site",3)</f>
        <v>0</v>
      </c>
      <c r="G260" s="24">
        <f>GETPIVOTDATA("Sum of CNlgrecap",SalmonPivot!$A$4,"date",B260,"Site",3)</f>
        <v>0</v>
      </c>
      <c r="H260" s="24">
        <f>I260+J260+GETPIVOTDATA("Sum of CNsmno",SalmonPivot!$M$4,"Date",B260,"Site",3)</f>
        <v>0</v>
      </c>
      <c r="I260" s="24">
        <f>GETPIVOTDATA("Sum of CNsmradio",SalmonPivot!$M$4,"Date",B260,"Site",3)</f>
        <v>0</v>
      </c>
      <c r="J260" s="24">
        <f>GETPIVOTDATA("Sum of CNsmrecap",SalmonPivot!$M$4,"Date",B260,"Site",3)</f>
        <v>0</v>
      </c>
      <c r="K260" s="24">
        <f>L260+GETPIVOTDATA("Sum of SOno",SalmonPivot!$Y$4,"Date",B260,"Site",3)+GETPIVOTDATA("Sum of SOrecap",SalmonPivot!$Y$4,"Date",B260,"Site",3)</f>
        <v>0</v>
      </c>
      <c r="L260" s="24">
        <f>GETPIVOTDATA("Sum of SOrad",SalmonPivot!$Y$4,"Date",B260,"Site",3)</f>
        <v>0</v>
      </c>
      <c r="M260" s="24">
        <f>N260+GETPIVOTDATA("Sum of PKno",SalmonPivot!$AK$4,"Date",B260,"Site",3)+GETPIVOTDATA("Sum of PKrecap",SalmonPivot!$AK$4,"Date",B260,"Site",3)</f>
        <v>107</v>
      </c>
      <c r="N260" s="24">
        <f>GETPIVOTDATA("Sum of PKrad",SalmonPivot!$AK$4,"Date",B260,"Site",3)</f>
        <v>4</v>
      </c>
      <c r="O260" s="24">
        <f>P260+GETPIVOTDATA("Sum of CMno",SalmonPivot!$AW$4,"Date",B260,"Site",3)+GETPIVOTDATA("Sum of CMrecap",SalmonPivot!$AW$4,"Date",B260,"Site",3)</f>
        <v>26</v>
      </c>
      <c r="P260" s="24">
        <f>GETPIVOTDATA("Sum of CMrad",SalmonPivot!$AW$4,"Date",B260,"Site",3)</f>
        <v>2</v>
      </c>
      <c r="Q260" s="25">
        <f>R260+GETPIVOTDATA("Sum of COno",SalmonPivot!$BI$4,"Date",B260,"Site",3)+GETPIVOTDATA("Sum of COrecap",SalmonPivot!$BI$4,"Date",B260,"Site",3)</f>
        <v>5</v>
      </c>
      <c r="R260" s="24">
        <f>GETPIVOTDATA("Sum of COrad",SalmonPivot!$BI$4,"Date",B260,"Site",3)</f>
        <v>3</v>
      </c>
      <c r="S260" s="24">
        <f>GETPIVOTDATA("Sum of TotalOther",OtherPivot!$J$5,"Date",B260,"Site",3)</f>
        <v>1</v>
      </c>
      <c r="T260" s="38"/>
      <c r="U260" s="172">
        <f>IF(GETPIVOTDATA("3 Revs (s)",EffortRPMPivot!$L$4,"Date",$B260,"Site",3)=0,"",GETPIVOTDATA("3 revs (s)",EffortRPMPivot!$L$4,"date",$B260,"Site",3))</f>
        <v>49.333333333333336</v>
      </c>
      <c r="V260" s="173">
        <f t="shared" ref="V260" si="552">IF(D260=0,"",E260/D260)</f>
        <v>8.3333333333333315E-2</v>
      </c>
      <c r="W260" s="173">
        <f t="shared" ref="W260" si="553">IF(D260=0,"",H260/D260)</f>
        <v>0</v>
      </c>
      <c r="X260" s="173">
        <f t="shared" ref="X260" si="554">IF(D260=0,"",K260/$D260)</f>
        <v>0</v>
      </c>
      <c r="Y260" s="173">
        <f t="shared" ref="Y260" si="555">IF(D260=0,"",M260/$D260)</f>
        <v>8.9166666666666661</v>
      </c>
      <c r="Z260" s="173">
        <f t="shared" ref="Z260" si="556">IF(D260=0,"",O260/$D260)</f>
        <v>2.1666666666666665</v>
      </c>
      <c r="AA260" s="174">
        <f t="shared" ref="AA260" si="557">IF(D260=0,"",Q260/$D260)</f>
        <v>0.41666666666666663</v>
      </c>
      <c r="AB260" s="188"/>
      <c r="AC260" s="188"/>
      <c r="AD260" s="188"/>
      <c r="AE260" s="188"/>
      <c r="AF260" s="188"/>
      <c r="AG260" s="188"/>
      <c r="AH260" s="189"/>
      <c r="AI260" s="188"/>
      <c r="AJ260" s="188"/>
      <c r="AK260" s="188"/>
      <c r="AL260" s="188"/>
      <c r="AM260" s="188"/>
      <c r="AN260" s="189"/>
      <c r="AO260" s="188"/>
      <c r="AP260" s="188"/>
      <c r="AQ260" s="188"/>
      <c r="AR260" s="188"/>
      <c r="AS260" s="188"/>
      <c r="AT260" s="189"/>
      <c r="AU260" s="188"/>
      <c r="AV260" s="188"/>
      <c r="AW260" s="190"/>
      <c r="AX260" s="190"/>
      <c r="AY260" s="190"/>
      <c r="AZ260" s="191"/>
      <c r="BA260" s="183"/>
      <c r="BB260" s="183"/>
      <c r="BC260" s="183"/>
      <c r="BD260" s="183"/>
      <c r="BE260" s="183"/>
      <c r="BF260" s="184"/>
      <c r="BG260" s="183"/>
      <c r="BH260" s="183"/>
      <c r="BI260" s="183"/>
      <c r="BJ260" s="183"/>
      <c r="BK260" s="183"/>
      <c r="BL260" s="184"/>
      <c r="BO260" s="153"/>
    </row>
    <row r="261" spans="1:67" x14ac:dyDescent="0.2">
      <c r="A261" s="61"/>
      <c r="B261" s="60">
        <f t="shared" si="368"/>
        <v>41861</v>
      </c>
      <c r="C261" s="22">
        <f t="shared" ref="C261:C264" si="558">IF(ISERROR(3/(U261/60)),"",3/(U261/60))</f>
        <v>3.5294117647058822</v>
      </c>
      <c r="D261" s="23">
        <f>GETPIVOTDATA("Active time (min)",EffortRPMPivot!$A$4,"date",B261,"Site",3)/60</f>
        <v>12.216666666666667</v>
      </c>
      <c r="E261" s="24">
        <f>F261+G261+GETPIVOTDATA("Sum of CNlgNo",SalmonPivot!$A$4,"Date",B261,"Site",3)</f>
        <v>0</v>
      </c>
      <c r="F261" s="24">
        <f>GETPIVOTDATA("Sum of CNlgrad",SalmonPivot!$A$4,"date",B261,"Site",3)</f>
        <v>0</v>
      </c>
      <c r="G261" s="24">
        <f>GETPIVOTDATA("Sum of CNlgrecap",SalmonPivot!$A$4,"date",B261,"Site",3)</f>
        <v>0</v>
      </c>
      <c r="H261" s="24">
        <f>I261+J261+GETPIVOTDATA("Sum of CNsmno",SalmonPivot!$M$4,"Date",B261,"Site",3)</f>
        <v>0</v>
      </c>
      <c r="I261" s="24">
        <f>GETPIVOTDATA("Sum of CNsmradio",SalmonPivot!$M$4,"Date",B261,"Site",3)</f>
        <v>0</v>
      </c>
      <c r="J261" s="24">
        <f>GETPIVOTDATA("Sum of CNsmrecap",SalmonPivot!$M$4,"Date",B261,"Site",3)</f>
        <v>0</v>
      </c>
      <c r="K261" s="24">
        <f>L261+GETPIVOTDATA("Sum of SOno",SalmonPivot!$Y$4,"Date",B261,"Site",3)+GETPIVOTDATA("Sum of SOrecap",SalmonPivot!$Y$4,"Date",B261,"Site",3)</f>
        <v>3</v>
      </c>
      <c r="L261" s="24">
        <f>GETPIVOTDATA("Sum of SOrad",SalmonPivot!$Y$4,"Date",B261,"Site",3)</f>
        <v>3</v>
      </c>
      <c r="M261" s="24">
        <f>N261+GETPIVOTDATA("Sum of PKno",SalmonPivot!$AK$4,"Date",B261,"Site",3)+GETPIVOTDATA("Sum of PKrecap",SalmonPivot!$AK$4,"Date",B261,"Site",3)</f>
        <v>84</v>
      </c>
      <c r="N261" s="24">
        <f>GETPIVOTDATA("Sum of PKrad",SalmonPivot!$AK$4,"Date",B261,"Site",3)</f>
        <v>2</v>
      </c>
      <c r="O261" s="24">
        <f>P261+GETPIVOTDATA("Sum of CMno",SalmonPivot!$AW$4,"Date",B261,"Site",3)+GETPIVOTDATA("Sum of CMrecap",SalmonPivot!$AW$4,"Date",B261,"Site",3)</f>
        <v>45</v>
      </c>
      <c r="P261" s="24">
        <f>GETPIVOTDATA("Sum of CMrad",SalmonPivot!$AW$4,"Date",B261,"Site",3)</f>
        <v>2</v>
      </c>
      <c r="Q261" s="25">
        <f>R261+GETPIVOTDATA("Sum of COno",SalmonPivot!$BI$4,"Date",B261,"Site",3)+GETPIVOTDATA("Sum of COrecap",SalmonPivot!$BI$4,"Date",B261,"Site",3)</f>
        <v>11</v>
      </c>
      <c r="R261" s="24">
        <f>GETPIVOTDATA("Sum of COrad",SalmonPivot!$BI$4,"Date",B261,"Site",3)</f>
        <v>11</v>
      </c>
      <c r="S261" s="24">
        <f>GETPIVOTDATA("Sum of TotalOther",OtherPivot!$J$5,"Date",B261,"Site",3)</f>
        <v>2</v>
      </c>
      <c r="T261" s="38"/>
      <c r="U261" s="172">
        <f>IF(GETPIVOTDATA("3 Revs (s)",EffortRPMPivot!$L$4,"Date",$B261,"Site",3)=0,"",GETPIVOTDATA("3 revs (s)",EffortRPMPivot!$L$4,"date",$B261,"Site",3))</f>
        <v>51</v>
      </c>
      <c r="V261" s="173">
        <f t="shared" ref="V261:V264" si="559">IF(D261=0,"",E261/D261)</f>
        <v>0</v>
      </c>
      <c r="W261" s="173">
        <f t="shared" ref="W261:W264" si="560">IF(D261=0,"",H261/D261)</f>
        <v>0</v>
      </c>
      <c r="X261" s="173">
        <f t="shared" ref="X261:X264" si="561">IF(D261=0,"",K261/$D261)</f>
        <v>0.24556616643929058</v>
      </c>
      <c r="Y261" s="173">
        <f t="shared" ref="Y261:Y264" si="562">IF(D261=0,"",M261/$D261)</f>
        <v>6.8758526603001364</v>
      </c>
      <c r="Z261" s="173">
        <f t="shared" ref="Z261:Z264" si="563">IF(D261=0,"",O261/$D261)</f>
        <v>3.6834924965893587</v>
      </c>
      <c r="AA261" s="174">
        <f t="shared" ref="AA261:AA264" si="564">IF(D261=0,"",Q261/$D261)</f>
        <v>0.90040927694406547</v>
      </c>
      <c r="AB261" s="188"/>
      <c r="AC261" s="188"/>
      <c r="AD261" s="188"/>
      <c r="AE261" s="188"/>
      <c r="AF261" s="188"/>
      <c r="AG261" s="188"/>
      <c r="AH261" s="189"/>
      <c r="AI261" s="188"/>
      <c r="AJ261" s="188"/>
      <c r="AK261" s="188"/>
      <c r="AL261" s="188"/>
      <c r="AM261" s="188"/>
      <c r="AN261" s="189"/>
      <c r="AO261" s="188"/>
      <c r="AP261" s="188"/>
      <c r="AQ261" s="188"/>
      <c r="AR261" s="188"/>
      <c r="AS261" s="188"/>
      <c r="AT261" s="189"/>
      <c r="AU261" s="188"/>
      <c r="AV261" s="188"/>
      <c r="AW261" s="190"/>
      <c r="AX261" s="190"/>
      <c r="AY261" s="190"/>
      <c r="AZ261" s="191"/>
      <c r="BA261" s="183"/>
      <c r="BB261" s="183"/>
      <c r="BC261" s="183"/>
      <c r="BD261" s="183"/>
      <c r="BE261" s="183"/>
      <c r="BF261" s="184"/>
      <c r="BG261" s="183"/>
      <c r="BH261" s="183"/>
      <c r="BI261" s="183"/>
      <c r="BJ261" s="183"/>
      <c r="BK261" s="183"/>
      <c r="BL261" s="184"/>
      <c r="BO261" s="153"/>
    </row>
    <row r="262" spans="1:67" x14ac:dyDescent="0.2">
      <c r="A262" s="61"/>
      <c r="B262" s="60">
        <f t="shared" si="368"/>
        <v>41862</v>
      </c>
      <c r="C262" s="22">
        <f t="shared" si="558"/>
        <v>3.4394904458598727</v>
      </c>
      <c r="D262" s="23">
        <f>GETPIVOTDATA("Active time (min)",EffortRPMPivot!$A$4,"date",B262,"Site",3)/60</f>
        <v>11.999999999999998</v>
      </c>
      <c r="E262" s="24">
        <f>F262+G262+GETPIVOTDATA("Sum of CNlgNo",SalmonPivot!$A$4,"Date",B262,"Site",3)</f>
        <v>0</v>
      </c>
      <c r="F262" s="24">
        <f>GETPIVOTDATA("Sum of CNlgrad",SalmonPivot!$A$4,"date",B262,"Site",3)</f>
        <v>0</v>
      </c>
      <c r="G262" s="24">
        <f>GETPIVOTDATA("Sum of CNlgrecap",SalmonPivot!$A$4,"date",B262,"Site",3)</f>
        <v>0</v>
      </c>
      <c r="H262" s="24">
        <f>I262+J262+GETPIVOTDATA("Sum of CNsmno",SalmonPivot!$M$4,"Date",B262,"Site",3)</f>
        <v>0</v>
      </c>
      <c r="I262" s="24">
        <f>GETPIVOTDATA("Sum of CNsmradio",SalmonPivot!$M$4,"Date",B262,"Site",3)</f>
        <v>0</v>
      </c>
      <c r="J262" s="24">
        <f>GETPIVOTDATA("Sum of CNsmrecap",SalmonPivot!$M$4,"Date",B262,"Site",3)</f>
        <v>0</v>
      </c>
      <c r="K262" s="24">
        <f>L262+GETPIVOTDATA("Sum of SOno",SalmonPivot!$Y$4,"Date",B262,"Site",3)+GETPIVOTDATA("Sum of SOrecap",SalmonPivot!$Y$4,"Date",B262,"Site",3)</f>
        <v>6</v>
      </c>
      <c r="L262" s="24">
        <f>GETPIVOTDATA("Sum of SOrad",SalmonPivot!$Y$4,"Date",B262,"Site",3)</f>
        <v>6</v>
      </c>
      <c r="M262" s="24">
        <f>N262+GETPIVOTDATA("Sum of PKno",SalmonPivot!$AK$4,"Date",B262,"Site",3)+GETPIVOTDATA("Sum of PKrecap",SalmonPivot!$AK$4,"Date",B262,"Site",3)</f>
        <v>63</v>
      </c>
      <c r="N262" s="24">
        <f>GETPIVOTDATA("Sum of PKrad",SalmonPivot!$AK$4,"Date",B262,"Site",3)</f>
        <v>2</v>
      </c>
      <c r="O262" s="24">
        <f>P262+GETPIVOTDATA("Sum of CMno",SalmonPivot!$AW$4,"Date",B262,"Site",3)+GETPIVOTDATA("Sum of CMrecap",SalmonPivot!$AW$4,"Date",B262,"Site",3)</f>
        <v>36</v>
      </c>
      <c r="P262" s="24">
        <f>GETPIVOTDATA("Sum of CMrad",SalmonPivot!$AW$4,"Date",B262,"Site",3)</f>
        <v>2</v>
      </c>
      <c r="Q262" s="25">
        <f>R262+GETPIVOTDATA("Sum of COno",SalmonPivot!$BI$4,"Date",B262,"Site",3)+GETPIVOTDATA("Sum of COrecap",SalmonPivot!$BI$4,"Date",B262,"Site",3)</f>
        <v>11</v>
      </c>
      <c r="R262" s="24">
        <f>GETPIVOTDATA("Sum of COrad",SalmonPivot!$BI$4,"Date",B262,"Site",3)</f>
        <v>7</v>
      </c>
      <c r="S262" s="24">
        <f>GETPIVOTDATA("Sum of TotalOther",OtherPivot!$J$5,"Date",B262,"Site",3)</f>
        <v>1</v>
      </c>
      <c r="T262" s="38"/>
      <c r="U262" s="172">
        <f>IF(GETPIVOTDATA("3 Revs (s)",EffortRPMPivot!$L$4,"Date",$B262,"Site",3)=0,"",GETPIVOTDATA("3 revs (s)",EffortRPMPivot!$L$4,"date",$B262,"Site",3))</f>
        <v>52.333333333333336</v>
      </c>
      <c r="V262" s="173">
        <f t="shared" si="559"/>
        <v>0</v>
      </c>
      <c r="W262" s="173">
        <f t="shared" si="560"/>
        <v>0</v>
      </c>
      <c r="X262" s="173">
        <f t="shared" si="561"/>
        <v>0.50000000000000011</v>
      </c>
      <c r="Y262" s="173">
        <f t="shared" si="562"/>
        <v>5.2500000000000009</v>
      </c>
      <c r="Z262" s="173">
        <f t="shared" si="563"/>
        <v>3.0000000000000004</v>
      </c>
      <c r="AA262" s="174">
        <f t="shared" si="564"/>
        <v>0.91666666666666685</v>
      </c>
      <c r="AB262" s="188"/>
      <c r="AC262" s="188"/>
      <c r="AD262" s="188"/>
      <c r="AE262" s="188"/>
      <c r="AF262" s="188"/>
      <c r="AG262" s="188"/>
      <c r="AH262" s="189"/>
      <c r="AI262" s="188"/>
      <c r="AJ262" s="188"/>
      <c r="AK262" s="188"/>
      <c r="AL262" s="188"/>
      <c r="AM262" s="188"/>
      <c r="AN262" s="189"/>
      <c r="AO262" s="188"/>
      <c r="AP262" s="188"/>
      <c r="AQ262" s="188"/>
      <c r="AR262" s="188"/>
      <c r="AS262" s="188"/>
      <c r="AT262" s="189"/>
      <c r="AU262" s="188"/>
      <c r="AV262" s="188"/>
      <c r="AW262" s="190"/>
      <c r="AX262" s="190"/>
      <c r="AY262" s="190"/>
      <c r="AZ262" s="191"/>
      <c r="BA262" s="183"/>
      <c r="BB262" s="183"/>
      <c r="BC262" s="183"/>
      <c r="BD262" s="183"/>
      <c r="BE262" s="183"/>
      <c r="BF262" s="184"/>
      <c r="BG262" s="183"/>
      <c r="BH262" s="183"/>
      <c r="BI262" s="183"/>
      <c r="BJ262" s="183"/>
      <c r="BK262" s="183"/>
      <c r="BL262" s="184"/>
      <c r="BO262" s="153"/>
    </row>
    <row r="263" spans="1:67" x14ac:dyDescent="0.2">
      <c r="A263" s="61"/>
      <c r="B263" s="60">
        <f t="shared" si="368"/>
        <v>41863</v>
      </c>
      <c r="C263" s="22">
        <f t="shared" si="558"/>
        <v>3.75</v>
      </c>
      <c r="D263" s="23">
        <f>GETPIVOTDATA("Active time (min)",EffortRPMPivot!$A$4,"date",B263,"Site",3)/60</f>
        <v>12.000000000000002</v>
      </c>
      <c r="E263" s="24">
        <f>F263+G263+GETPIVOTDATA("Sum of CNlgNo",SalmonPivot!$A$4,"Date",B263,"Site",3)</f>
        <v>0</v>
      </c>
      <c r="F263" s="24">
        <f>GETPIVOTDATA("Sum of CNlgrad",SalmonPivot!$A$4,"date",B263,"Site",3)</f>
        <v>0</v>
      </c>
      <c r="G263" s="24">
        <f>GETPIVOTDATA("Sum of CNlgrecap",SalmonPivot!$A$4,"date",B263,"Site",3)</f>
        <v>0</v>
      </c>
      <c r="H263" s="24">
        <f>I263+J263+GETPIVOTDATA("Sum of CNsmno",SalmonPivot!$M$4,"Date",B263,"Site",3)</f>
        <v>0</v>
      </c>
      <c r="I263" s="24">
        <f>GETPIVOTDATA("Sum of CNsmradio",SalmonPivot!$M$4,"Date",B263,"Site",3)</f>
        <v>0</v>
      </c>
      <c r="J263" s="24">
        <f>GETPIVOTDATA("Sum of CNsmrecap",SalmonPivot!$M$4,"Date",B263,"Site",3)</f>
        <v>0</v>
      </c>
      <c r="K263" s="24">
        <f>L263+GETPIVOTDATA("Sum of SOno",SalmonPivot!$Y$4,"Date",B263,"Site",3)+GETPIVOTDATA("Sum of SOrecap",SalmonPivot!$Y$4,"Date",B263,"Site",3)</f>
        <v>3</v>
      </c>
      <c r="L263" s="24">
        <f>GETPIVOTDATA("Sum of SOrad",SalmonPivot!$Y$4,"Date",B263,"Site",3)</f>
        <v>3</v>
      </c>
      <c r="M263" s="24">
        <f>N263+GETPIVOTDATA("Sum of PKno",SalmonPivot!$AK$4,"Date",B263,"Site",3)+GETPIVOTDATA("Sum of PKrecap",SalmonPivot!$AK$4,"Date",B263,"Site",3)</f>
        <v>32</v>
      </c>
      <c r="N263" s="24">
        <f>GETPIVOTDATA("Sum of PKrad",SalmonPivot!$AK$4,"Date",B263,"Site",3)</f>
        <v>2</v>
      </c>
      <c r="O263" s="24">
        <f>P263+GETPIVOTDATA("Sum of CMno",SalmonPivot!$AW$4,"Date",B263,"Site",3)+GETPIVOTDATA("Sum of CMrecap",SalmonPivot!$AW$4,"Date",B263,"Site",3)</f>
        <v>18</v>
      </c>
      <c r="P263" s="24">
        <f>GETPIVOTDATA("Sum of CMrad",SalmonPivot!$AW$4,"Date",B263,"Site",3)</f>
        <v>2</v>
      </c>
      <c r="Q263" s="25">
        <f>R263+GETPIVOTDATA("Sum of COno",SalmonPivot!$BI$4,"Date",B263,"Site",3)+GETPIVOTDATA("Sum of COrecap",SalmonPivot!$BI$4,"Date",B263,"Site",3)</f>
        <v>4</v>
      </c>
      <c r="R263" s="24">
        <f>GETPIVOTDATA("Sum of COrad",SalmonPivot!$BI$4,"Date",B263,"Site",3)</f>
        <v>4</v>
      </c>
      <c r="S263" s="24">
        <f>GETPIVOTDATA("Sum of TotalOther",OtherPivot!$J$5,"Date",B263,"Site",3)</f>
        <v>1</v>
      </c>
      <c r="T263" s="38"/>
      <c r="U263" s="172">
        <f>IF(GETPIVOTDATA("3 Revs (s)",EffortRPMPivot!$L$4,"Date",$B263,"Site",3)=0,"",GETPIVOTDATA("3 revs (s)",EffortRPMPivot!$L$4,"date",$B263,"Site",3))</f>
        <v>48</v>
      </c>
      <c r="V263" s="173">
        <f t="shared" si="559"/>
        <v>0</v>
      </c>
      <c r="W263" s="173">
        <f t="shared" si="560"/>
        <v>0</v>
      </c>
      <c r="X263" s="173">
        <f t="shared" si="561"/>
        <v>0.24999999999999997</v>
      </c>
      <c r="Y263" s="173">
        <f t="shared" si="562"/>
        <v>2.6666666666666661</v>
      </c>
      <c r="Z263" s="173">
        <f t="shared" si="563"/>
        <v>1.4999999999999998</v>
      </c>
      <c r="AA263" s="174">
        <f t="shared" si="564"/>
        <v>0.33333333333333326</v>
      </c>
      <c r="AB263" s="188"/>
      <c r="AC263" s="188"/>
      <c r="AD263" s="188"/>
      <c r="AE263" s="188"/>
      <c r="AF263" s="188"/>
      <c r="AG263" s="188"/>
      <c r="AH263" s="189"/>
      <c r="AI263" s="188"/>
      <c r="AJ263" s="188"/>
      <c r="AK263" s="188"/>
      <c r="AL263" s="188"/>
      <c r="AM263" s="188"/>
      <c r="AN263" s="189"/>
      <c r="AO263" s="188"/>
      <c r="AP263" s="188"/>
      <c r="AQ263" s="188"/>
      <c r="AR263" s="188"/>
      <c r="AS263" s="188"/>
      <c r="AT263" s="189"/>
      <c r="AU263" s="188"/>
      <c r="AV263" s="188"/>
      <c r="AW263" s="190"/>
      <c r="AX263" s="190"/>
      <c r="AY263" s="190"/>
      <c r="AZ263" s="191"/>
      <c r="BA263" s="183"/>
      <c r="BB263" s="183"/>
      <c r="BC263" s="183"/>
      <c r="BD263" s="183"/>
      <c r="BE263" s="183"/>
      <c r="BF263" s="184"/>
      <c r="BG263" s="183"/>
      <c r="BH263" s="183"/>
      <c r="BI263" s="183"/>
      <c r="BJ263" s="183"/>
      <c r="BK263" s="183"/>
      <c r="BL263" s="184"/>
      <c r="BO263" s="153"/>
    </row>
    <row r="264" spans="1:67" x14ac:dyDescent="0.2">
      <c r="A264" s="61"/>
      <c r="B264" s="60">
        <f t="shared" si="368"/>
        <v>41864</v>
      </c>
      <c r="C264" s="22">
        <f t="shared" si="558"/>
        <v>4.5</v>
      </c>
      <c r="D264" s="23">
        <f>GETPIVOTDATA("Active time (min)",EffortRPMPivot!$A$4,"date",B264,"Site",3)/60</f>
        <v>11.983333333333336</v>
      </c>
      <c r="E264" s="24">
        <f>F264+G264+GETPIVOTDATA("Sum of CNlgNo",SalmonPivot!$A$4,"Date",B264,"Site",3)</f>
        <v>1</v>
      </c>
      <c r="F264" s="24">
        <f>GETPIVOTDATA("Sum of CNlgrad",SalmonPivot!$A$4,"date",B264,"Site",3)</f>
        <v>0</v>
      </c>
      <c r="G264" s="24">
        <f>GETPIVOTDATA("Sum of CNlgrecap",SalmonPivot!$A$4,"date",B264,"Site",3)</f>
        <v>0</v>
      </c>
      <c r="H264" s="24">
        <f>I264+J264+GETPIVOTDATA("Sum of CNsmno",SalmonPivot!$M$4,"Date",B264,"Site",3)</f>
        <v>0</v>
      </c>
      <c r="I264" s="24">
        <f>GETPIVOTDATA("Sum of CNsmradio",SalmonPivot!$M$4,"Date",B264,"Site",3)</f>
        <v>0</v>
      </c>
      <c r="J264" s="24">
        <f>GETPIVOTDATA("Sum of CNsmrecap",SalmonPivot!$M$4,"Date",B264,"Site",3)</f>
        <v>0</v>
      </c>
      <c r="K264" s="24">
        <f>L264+GETPIVOTDATA("Sum of SOno",SalmonPivot!$Y$4,"Date",B264,"Site",3)+GETPIVOTDATA("Sum of SOrecap",SalmonPivot!$Y$4,"Date",B264,"Site",3)</f>
        <v>1</v>
      </c>
      <c r="L264" s="24">
        <f>GETPIVOTDATA("Sum of SOrad",SalmonPivot!$Y$4,"Date",B264,"Site",3)</f>
        <v>0</v>
      </c>
      <c r="M264" s="24">
        <f>N264+GETPIVOTDATA("Sum of PKno",SalmonPivot!$AK$4,"Date",B264,"Site",3)+GETPIVOTDATA("Sum of PKrecap",SalmonPivot!$AK$4,"Date",B264,"Site",3)</f>
        <v>29</v>
      </c>
      <c r="N264" s="24">
        <f>GETPIVOTDATA("Sum of PKrad",SalmonPivot!$AK$4,"Date",B264,"Site",3)</f>
        <v>1</v>
      </c>
      <c r="O264" s="24">
        <f>P264+GETPIVOTDATA("Sum of CMno",SalmonPivot!$AW$4,"Date",B264,"Site",3)+GETPIVOTDATA("Sum of CMrecap",SalmonPivot!$AW$4,"Date",B264,"Site",3)</f>
        <v>12</v>
      </c>
      <c r="P264" s="24">
        <f>GETPIVOTDATA("Sum of CMrad",SalmonPivot!$AW$4,"Date",B264,"Site",3)</f>
        <v>1</v>
      </c>
      <c r="Q264" s="25">
        <f>R264+GETPIVOTDATA("Sum of COno",SalmonPivot!$BI$4,"Date",B264,"Site",3)+GETPIVOTDATA("Sum of COrecap",SalmonPivot!$BI$4,"Date",B264,"Site",3)</f>
        <v>4</v>
      </c>
      <c r="R264" s="24">
        <f>GETPIVOTDATA("Sum of COrad",SalmonPivot!$BI$4,"Date",B264,"Site",3)</f>
        <v>3</v>
      </c>
      <c r="S264" s="24">
        <f>GETPIVOTDATA("Sum of TotalOther",OtherPivot!$J$5,"Date",B264,"Site",3)</f>
        <v>0</v>
      </c>
      <c r="T264" s="38"/>
      <c r="U264" s="172">
        <f>IF(GETPIVOTDATA("3 Revs (s)",EffortRPMPivot!$L$4,"Date",$B264,"Site",3)=0,"",GETPIVOTDATA("3 revs (s)",EffortRPMPivot!$L$4,"date",$B264,"Site",3))</f>
        <v>40</v>
      </c>
      <c r="V264" s="173">
        <f t="shared" si="559"/>
        <v>8.3449235048678697E-2</v>
      </c>
      <c r="W264" s="173">
        <f t="shared" si="560"/>
        <v>0</v>
      </c>
      <c r="X264" s="173">
        <f t="shared" si="561"/>
        <v>8.3449235048678697E-2</v>
      </c>
      <c r="Y264" s="173">
        <f t="shared" si="562"/>
        <v>2.4200278164116824</v>
      </c>
      <c r="Z264" s="173">
        <f t="shared" si="563"/>
        <v>1.0013908205841444</v>
      </c>
      <c r="AA264" s="174">
        <f t="shared" si="564"/>
        <v>0.33379694019471479</v>
      </c>
      <c r="AB264" s="188"/>
      <c r="AC264" s="188"/>
      <c r="AD264" s="188"/>
      <c r="AE264" s="188"/>
      <c r="AF264" s="188"/>
      <c r="AG264" s="188"/>
      <c r="AH264" s="189"/>
      <c r="AI264" s="188"/>
      <c r="AJ264" s="188"/>
      <c r="AK264" s="188"/>
      <c r="AL264" s="188"/>
      <c r="AM264" s="188"/>
      <c r="AN264" s="189"/>
      <c r="AO264" s="188"/>
      <c r="AP264" s="188"/>
      <c r="AQ264" s="188"/>
      <c r="AR264" s="188"/>
      <c r="AS264" s="188"/>
      <c r="AT264" s="189"/>
      <c r="AU264" s="188"/>
      <c r="AV264" s="188"/>
      <c r="AW264" s="190"/>
      <c r="AX264" s="190"/>
      <c r="AY264" s="190"/>
      <c r="AZ264" s="191"/>
      <c r="BA264" s="183"/>
      <c r="BB264" s="183"/>
      <c r="BC264" s="183"/>
      <c r="BD264" s="183"/>
      <c r="BE264" s="183"/>
      <c r="BF264" s="184"/>
      <c r="BG264" s="183"/>
      <c r="BH264" s="183"/>
      <c r="BI264" s="183"/>
      <c r="BJ264" s="183"/>
      <c r="BK264" s="183"/>
      <c r="BL264" s="184"/>
      <c r="BO264" s="153"/>
    </row>
    <row r="265" spans="1:67" x14ac:dyDescent="0.2">
      <c r="A265" s="61"/>
      <c r="B265" s="60">
        <f t="shared" si="368"/>
        <v>41865</v>
      </c>
      <c r="C265" s="22">
        <f t="shared" ref="C265:C266" si="565">IF(ISERROR(3/(U265/60)),"",3/(U265/60))</f>
        <v>4.4262295081967222</v>
      </c>
      <c r="D265" s="23">
        <f>GETPIVOTDATA("Active time (min)",EffortRPMPivot!$A$4,"date",B265,"Site",3)/60</f>
        <v>12.033333333333333</v>
      </c>
      <c r="E265" s="24">
        <f>F265+G265+GETPIVOTDATA("Sum of CNlgNo",SalmonPivot!$A$4,"Date",B265,"Site",3)</f>
        <v>0</v>
      </c>
      <c r="F265" s="24">
        <f>GETPIVOTDATA("Sum of CNlgrad",SalmonPivot!$A$4,"date",B265,"Site",3)</f>
        <v>0</v>
      </c>
      <c r="G265" s="24">
        <f>GETPIVOTDATA("Sum of CNlgrecap",SalmonPivot!$A$4,"date",B265,"Site",3)</f>
        <v>0</v>
      </c>
      <c r="H265" s="24">
        <f>I265+J265+GETPIVOTDATA("Sum of CNsmno",SalmonPivot!$M$4,"Date",B265,"Site",3)</f>
        <v>0</v>
      </c>
      <c r="I265" s="24">
        <f>GETPIVOTDATA("Sum of CNsmradio",SalmonPivot!$M$4,"Date",B265,"Site",3)</f>
        <v>0</v>
      </c>
      <c r="J265" s="24">
        <f>GETPIVOTDATA("Sum of CNsmrecap",SalmonPivot!$M$4,"Date",B265,"Site",3)</f>
        <v>0</v>
      </c>
      <c r="K265" s="24">
        <f>L265+GETPIVOTDATA("Sum of SOno",SalmonPivot!$Y$4,"Date",B265,"Site",3)+GETPIVOTDATA("Sum of SOrecap",SalmonPivot!$Y$4,"Date",B265,"Site",3)</f>
        <v>0</v>
      </c>
      <c r="L265" s="24">
        <f>GETPIVOTDATA("Sum of SOrad",SalmonPivot!$Y$4,"Date",B265,"Site",3)</f>
        <v>0</v>
      </c>
      <c r="M265" s="24">
        <f>N265+GETPIVOTDATA("Sum of PKno",SalmonPivot!$AK$4,"Date",B265,"Site",3)+GETPIVOTDATA("Sum of PKrecap",SalmonPivot!$AK$4,"Date",B265,"Site",3)</f>
        <v>23</v>
      </c>
      <c r="N265" s="24">
        <f>GETPIVOTDATA("Sum of PKrad",SalmonPivot!$AK$4,"Date",B265,"Site",3)</f>
        <v>1</v>
      </c>
      <c r="O265" s="24">
        <f>P265+GETPIVOTDATA("Sum of CMno",SalmonPivot!$AW$4,"Date",B265,"Site",3)+GETPIVOTDATA("Sum of CMrecap",SalmonPivot!$AW$4,"Date",B265,"Site",3)</f>
        <v>9</v>
      </c>
      <c r="P265" s="24">
        <f>GETPIVOTDATA("Sum of CMrad",SalmonPivot!$AW$4,"Date",B265,"Site",3)</f>
        <v>3</v>
      </c>
      <c r="Q265" s="25">
        <f>R265+GETPIVOTDATA("Sum of COno",SalmonPivot!$BI$4,"Date",B265,"Site",3)+GETPIVOTDATA("Sum of COrecap",SalmonPivot!$BI$4,"Date",B265,"Site",3)</f>
        <v>5</v>
      </c>
      <c r="R265" s="24">
        <f>GETPIVOTDATA("Sum of COrad",SalmonPivot!$BI$4,"Date",B265,"Site",3)</f>
        <v>4</v>
      </c>
      <c r="S265" s="24">
        <f>GETPIVOTDATA("Sum of TotalOther",OtherPivot!$J$5,"Date",B265,"Site",3)</f>
        <v>0</v>
      </c>
      <c r="T265" s="38"/>
      <c r="U265" s="172">
        <f>IF(GETPIVOTDATA("3 Revs (s)",EffortRPMPivot!$L$4,"Date",$B265,"Site",3)=0,"",GETPIVOTDATA("3 revs (s)",EffortRPMPivot!$L$4,"date",$B265,"Site",3))</f>
        <v>40.666666666666664</v>
      </c>
      <c r="V265" s="173">
        <f t="shared" ref="V265:V266" si="566">IF(D265=0,"",E265/D265)</f>
        <v>0</v>
      </c>
      <c r="W265" s="173">
        <f t="shared" ref="W265:W266" si="567">IF(D265=0,"",H265/D265)</f>
        <v>0</v>
      </c>
      <c r="X265" s="173">
        <f t="shared" ref="X265:X266" si="568">IF(D265=0,"",K265/$D265)</f>
        <v>0</v>
      </c>
      <c r="Y265" s="173">
        <f t="shared" ref="Y265:Y266" si="569">IF(D265=0,"",M265/$D265)</f>
        <v>1.9113573407202216</v>
      </c>
      <c r="Z265" s="173">
        <f t="shared" ref="Z265:Z266" si="570">IF(D265=0,"",O265/$D265)</f>
        <v>0.74792243767313016</v>
      </c>
      <c r="AA265" s="174">
        <f t="shared" ref="AA265:AA266" si="571">IF(D265=0,"",Q265/$D265)</f>
        <v>0.41551246537396125</v>
      </c>
      <c r="AB265" s="188"/>
      <c r="AC265" s="188"/>
      <c r="AD265" s="188"/>
      <c r="AE265" s="188"/>
      <c r="AF265" s="188"/>
      <c r="AG265" s="188"/>
      <c r="AH265" s="189"/>
      <c r="AI265" s="188"/>
      <c r="AJ265" s="188"/>
      <c r="AK265" s="188"/>
      <c r="AL265" s="188"/>
      <c r="AM265" s="188"/>
      <c r="AN265" s="189"/>
      <c r="AO265" s="188"/>
      <c r="AP265" s="188"/>
      <c r="AQ265" s="188"/>
      <c r="AR265" s="188"/>
      <c r="AS265" s="188"/>
      <c r="AT265" s="189"/>
      <c r="AU265" s="188"/>
      <c r="AV265" s="188"/>
      <c r="AW265" s="190"/>
      <c r="AX265" s="190"/>
      <c r="AY265" s="190"/>
      <c r="AZ265" s="191"/>
      <c r="BA265" s="183"/>
      <c r="BB265" s="183"/>
      <c r="BC265" s="183"/>
      <c r="BD265" s="183"/>
      <c r="BE265" s="183"/>
      <c r="BF265" s="184"/>
      <c r="BG265" s="183"/>
      <c r="BH265" s="183"/>
      <c r="BI265" s="183"/>
      <c r="BJ265" s="183"/>
      <c r="BK265" s="183"/>
      <c r="BL265" s="184"/>
      <c r="BO265" s="153"/>
    </row>
    <row r="266" spans="1:67" ht="13.5" customHeight="1" x14ac:dyDescent="0.2">
      <c r="A266" s="61"/>
      <c r="B266" s="60">
        <f t="shared" si="368"/>
        <v>41866</v>
      </c>
      <c r="C266" s="22">
        <f t="shared" si="565"/>
        <v>4.8648648648648649</v>
      </c>
      <c r="D266" s="23">
        <f>GETPIVOTDATA("Active time (min)",EffortRPMPivot!$A$4,"date",B266,"Site",3)/60</f>
        <v>12</v>
      </c>
      <c r="E266" s="24">
        <f>F266+G266+GETPIVOTDATA("Sum of CNlgNo",SalmonPivot!$A$4,"Date",B266,"Site",3)</f>
        <v>0</v>
      </c>
      <c r="F266" s="24">
        <f>GETPIVOTDATA("Sum of CNlgrad",SalmonPivot!$A$4,"date",B266,"Site",3)</f>
        <v>0</v>
      </c>
      <c r="G266" s="24">
        <f>GETPIVOTDATA("Sum of CNlgrecap",SalmonPivot!$A$4,"date",B266,"Site",3)</f>
        <v>0</v>
      </c>
      <c r="H266" s="24">
        <f>I266+J266+GETPIVOTDATA("Sum of CNsmno",SalmonPivot!$M$4,"Date",B266,"Site",3)</f>
        <v>0</v>
      </c>
      <c r="I266" s="24">
        <f>GETPIVOTDATA("Sum of CNsmradio",SalmonPivot!$M$4,"Date",B266,"Site",3)</f>
        <v>0</v>
      </c>
      <c r="J266" s="24">
        <f>GETPIVOTDATA("Sum of CNsmrecap",SalmonPivot!$M$4,"Date",B266,"Site",3)</f>
        <v>0</v>
      </c>
      <c r="K266" s="24">
        <f>L266+GETPIVOTDATA("Sum of SOno",SalmonPivot!$Y$4,"Date",B266,"Site",3)+GETPIVOTDATA("Sum of SOrecap",SalmonPivot!$Y$4,"Date",B266,"Site",3)</f>
        <v>0</v>
      </c>
      <c r="L266" s="24">
        <f>GETPIVOTDATA("Sum of SOrad",SalmonPivot!$Y$4,"Date",B266,"Site",3)</f>
        <v>0</v>
      </c>
      <c r="M266" s="24">
        <f>N266+GETPIVOTDATA("Sum of PKno",SalmonPivot!$AK$4,"Date",B266,"Site",3)+GETPIVOTDATA("Sum of PKrecap",SalmonPivot!$AK$4,"Date",B266,"Site",3)</f>
        <v>7</v>
      </c>
      <c r="N266" s="24">
        <f>GETPIVOTDATA("Sum of PKrad",SalmonPivot!$AK$4,"Date",B266,"Site",3)</f>
        <v>1</v>
      </c>
      <c r="O266" s="24">
        <f>P266+GETPIVOTDATA("Sum of CMno",SalmonPivot!$AW$4,"Date",B266,"Site",3)+GETPIVOTDATA("Sum of CMrecap",SalmonPivot!$AW$4,"Date",B266,"Site",3)</f>
        <v>7</v>
      </c>
      <c r="P266" s="24">
        <f>GETPIVOTDATA("Sum of CMrad",SalmonPivot!$AW$4,"Date",B266,"Site",3)</f>
        <v>2</v>
      </c>
      <c r="Q266" s="25">
        <f>R266+GETPIVOTDATA("Sum of COno",SalmonPivot!$BI$4,"Date",B266,"Site",3)+GETPIVOTDATA("Sum of COrecap",SalmonPivot!$BI$4,"Date",B266,"Site",3)</f>
        <v>5</v>
      </c>
      <c r="R266" s="24">
        <f>GETPIVOTDATA("Sum of COrad",SalmonPivot!$BI$4,"Date",B266,"Site",3)</f>
        <v>4</v>
      </c>
      <c r="S266" s="24">
        <f>GETPIVOTDATA("Sum of TotalOther",OtherPivot!$J$5,"Date",B266,"Site",3)</f>
        <v>1</v>
      </c>
      <c r="T266" s="38"/>
      <c r="U266" s="172">
        <f>IF(GETPIVOTDATA("3 Revs (s)",EffortRPMPivot!$L$4,"Date",$B266,"Site",3)=0,"",GETPIVOTDATA("3 revs (s)",EffortRPMPivot!$L$4,"date",$B266,"Site",3))</f>
        <v>37</v>
      </c>
      <c r="V266" s="173">
        <f t="shared" si="566"/>
        <v>0</v>
      </c>
      <c r="W266" s="173">
        <f t="shared" si="567"/>
        <v>0</v>
      </c>
      <c r="X266" s="173">
        <f t="shared" si="568"/>
        <v>0</v>
      </c>
      <c r="Y266" s="173">
        <f t="shared" si="569"/>
        <v>0.58333333333333337</v>
      </c>
      <c r="Z266" s="173">
        <f t="shared" si="570"/>
        <v>0.58333333333333337</v>
      </c>
      <c r="AA266" s="174">
        <f t="shared" si="571"/>
        <v>0.41666666666666669</v>
      </c>
      <c r="AB266" s="188"/>
      <c r="AC266" s="188"/>
      <c r="AD266" s="188"/>
      <c r="AE266" s="188"/>
      <c r="AF266" s="188"/>
      <c r="AG266" s="188"/>
      <c r="AH266" s="189"/>
      <c r="AI266" s="188"/>
      <c r="AJ266" s="188"/>
      <c r="AK266" s="188"/>
      <c r="AL266" s="188"/>
      <c r="AM266" s="188"/>
      <c r="AN266" s="189"/>
      <c r="AO266" s="188"/>
      <c r="AP266" s="188"/>
      <c r="AQ266" s="188"/>
      <c r="AR266" s="188"/>
      <c r="AS266" s="188"/>
      <c r="AT266" s="189"/>
      <c r="AU266" s="188"/>
      <c r="AV266" s="188"/>
      <c r="AW266" s="190"/>
      <c r="AX266" s="190"/>
      <c r="AY266" s="190"/>
      <c r="AZ266" s="191"/>
      <c r="BA266" s="183"/>
      <c r="BB266" s="183"/>
      <c r="BC266" s="183"/>
      <c r="BD266" s="183"/>
      <c r="BE266" s="183"/>
      <c r="BF266" s="184"/>
      <c r="BG266" s="183"/>
      <c r="BH266" s="183"/>
      <c r="BI266" s="183"/>
      <c r="BJ266" s="183"/>
      <c r="BK266" s="183"/>
      <c r="BL266" s="184"/>
      <c r="BO266" s="153"/>
    </row>
    <row r="267" spans="1:67" x14ac:dyDescent="0.2">
      <c r="A267" s="61"/>
      <c r="B267" s="60">
        <f t="shared" si="368"/>
        <v>41867</v>
      </c>
      <c r="C267" s="22">
        <f t="shared" ref="C267" si="572">IF(ISERROR(3/(U267/60)),"",3/(U267/60))</f>
        <v>4.695652173913043</v>
      </c>
      <c r="D267" s="23">
        <f>GETPIVOTDATA("Active time (min)",EffortRPMPivot!$A$4,"date",B267,"Site",3)/60</f>
        <v>12.2</v>
      </c>
      <c r="E267" s="24">
        <f>F267+G267+GETPIVOTDATA("Sum of CNlgNo",SalmonPivot!$A$4,"Date",B267,"Site",3)</f>
        <v>0</v>
      </c>
      <c r="F267" s="24">
        <f>GETPIVOTDATA("Sum of CNlgrad",SalmonPivot!$A$4,"date",B267,"Site",3)</f>
        <v>0</v>
      </c>
      <c r="G267" s="24">
        <f>GETPIVOTDATA("Sum of CNlgrecap",SalmonPivot!$A$4,"date",B267,"Site",3)</f>
        <v>0</v>
      </c>
      <c r="H267" s="24">
        <f>I267+J267+GETPIVOTDATA("Sum of CNsmno",SalmonPivot!$M$4,"Date",B267,"Site",3)</f>
        <v>1</v>
      </c>
      <c r="I267" s="24">
        <f>GETPIVOTDATA("Sum of CNsmradio",SalmonPivot!$M$4,"Date",B267,"Site",3)</f>
        <v>0</v>
      </c>
      <c r="J267" s="24">
        <f>GETPIVOTDATA("Sum of CNsmrecap",SalmonPivot!$M$4,"Date",B267,"Site",3)</f>
        <v>0</v>
      </c>
      <c r="K267" s="24">
        <f>L267+GETPIVOTDATA("Sum of SOno",SalmonPivot!$Y$4,"Date",B267,"Site",3)+GETPIVOTDATA("Sum of SOrecap",SalmonPivot!$Y$4,"Date",B267,"Site",3)</f>
        <v>1</v>
      </c>
      <c r="L267" s="24">
        <f>GETPIVOTDATA("Sum of SOrad",SalmonPivot!$Y$4,"Date",B267,"Site",3)</f>
        <v>1</v>
      </c>
      <c r="M267" s="24">
        <f>N267+GETPIVOTDATA("Sum of PKno",SalmonPivot!$AK$4,"Date",B267,"Site",3)+GETPIVOTDATA("Sum of PKrecap",SalmonPivot!$AK$4,"Date",B267,"Site",3)</f>
        <v>17</v>
      </c>
      <c r="N267" s="24">
        <f>GETPIVOTDATA("Sum of PKrad",SalmonPivot!$AK$4,"Date",B267,"Site",3)</f>
        <v>1</v>
      </c>
      <c r="O267" s="24">
        <f>P267+GETPIVOTDATA("Sum of CMno",SalmonPivot!$AW$4,"Date",B267,"Site",3)+GETPIVOTDATA("Sum of CMrecap",SalmonPivot!$AW$4,"Date",B267,"Site",3)</f>
        <v>9</v>
      </c>
      <c r="P267" s="24">
        <f>GETPIVOTDATA("Sum of CMrad",SalmonPivot!$AW$4,"Date",B267,"Site",3)</f>
        <v>1</v>
      </c>
      <c r="Q267" s="25">
        <f>R267+GETPIVOTDATA("Sum of COno",SalmonPivot!$BI$4,"Date",B267,"Site",3)+GETPIVOTDATA("Sum of COrecap",SalmonPivot!$BI$4,"Date",B267,"Site",3)</f>
        <v>6</v>
      </c>
      <c r="R267" s="24">
        <f>GETPIVOTDATA("Sum of COrad",SalmonPivot!$BI$4,"Date",B267,"Site",3)</f>
        <v>6</v>
      </c>
      <c r="S267" s="24">
        <f>GETPIVOTDATA("Sum of TotalOther",OtherPivot!$J$5,"Date",B267,"Site",3)</f>
        <v>0</v>
      </c>
      <c r="T267" s="38"/>
      <c r="U267" s="172">
        <f>IF(GETPIVOTDATA("3 Revs (s)",EffortRPMPivot!$L$4,"Date",$B267,"Site",3)=0,"",GETPIVOTDATA("3 revs (s)",EffortRPMPivot!$L$4,"date",$B267,"Site",3))</f>
        <v>38.333333333333336</v>
      </c>
      <c r="V267" s="173">
        <f t="shared" ref="V267" si="573">IF(D267=0,"",E267/D267)</f>
        <v>0</v>
      </c>
      <c r="W267" s="173">
        <f t="shared" ref="W267" si="574">IF(D267=0,"",H267/D267)</f>
        <v>8.1967213114754106E-2</v>
      </c>
      <c r="X267" s="173">
        <f t="shared" ref="X267" si="575">IF(D267=0,"",K267/$D267)</f>
        <v>8.1967213114754106E-2</v>
      </c>
      <c r="Y267" s="173">
        <f t="shared" ref="Y267" si="576">IF(D267=0,"",M267/$D267)</f>
        <v>1.3934426229508197</v>
      </c>
      <c r="Z267" s="173">
        <f t="shared" ref="Z267" si="577">IF(D267=0,"",O267/$D267)</f>
        <v>0.73770491803278693</v>
      </c>
      <c r="AA267" s="174">
        <f t="shared" ref="AA267" si="578">IF(D267=0,"",Q267/$D267)</f>
        <v>0.49180327868852464</v>
      </c>
      <c r="AB267" s="188"/>
      <c r="AC267" s="188"/>
      <c r="AD267" s="188"/>
      <c r="AE267" s="188"/>
      <c r="AF267" s="188"/>
      <c r="AG267" s="188"/>
      <c r="AH267" s="189"/>
      <c r="AI267" s="188"/>
      <c r="AJ267" s="188"/>
      <c r="AK267" s="188"/>
      <c r="AL267" s="188"/>
      <c r="AM267" s="188"/>
      <c r="AN267" s="189"/>
      <c r="AO267" s="188"/>
      <c r="AP267" s="188"/>
      <c r="AQ267" s="188"/>
      <c r="AR267" s="188"/>
      <c r="AS267" s="188"/>
      <c r="AT267" s="189"/>
      <c r="AU267" s="188"/>
      <c r="AV267" s="188"/>
      <c r="AW267" s="190"/>
      <c r="AX267" s="190"/>
      <c r="AY267" s="190"/>
      <c r="AZ267" s="191"/>
      <c r="BA267" s="183"/>
      <c r="BB267" s="183"/>
      <c r="BC267" s="183"/>
      <c r="BD267" s="183"/>
      <c r="BE267" s="183"/>
      <c r="BF267" s="184"/>
      <c r="BG267" s="183"/>
      <c r="BH267" s="183"/>
      <c r="BI267" s="183"/>
      <c r="BJ267" s="183"/>
      <c r="BK267" s="183"/>
      <c r="BL267" s="184"/>
      <c r="BO267" s="153"/>
    </row>
    <row r="268" spans="1:67" x14ac:dyDescent="0.2">
      <c r="A268" s="61"/>
      <c r="B268" s="60">
        <f t="shared" si="368"/>
        <v>41868</v>
      </c>
      <c r="C268" s="22">
        <f t="shared" ref="C268:C271" si="579">IF(ISERROR(3/(U268/60)),"",3/(U268/60))</f>
        <v>3.9130434782608692</v>
      </c>
      <c r="D268" s="23">
        <f>GETPIVOTDATA("Active time (min)",EffortRPMPivot!$A$4,"date",B268,"Site",3)/60</f>
        <v>12.000000000000002</v>
      </c>
      <c r="E268" s="24">
        <f>F268+G268+GETPIVOTDATA("Sum of CNlgNo",SalmonPivot!$A$4,"Date",B268,"Site",3)</f>
        <v>0</v>
      </c>
      <c r="F268" s="24">
        <f>GETPIVOTDATA("Sum of CNlgrad",SalmonPivot!$A$4,"date",B268,"Site",3)</f>
        <v>0</v>
      </c>
      <c r="G268" s="24">
        <f>GETPIVOTDATA("Sum of CNlgrecap",SalmonPivot!$A$4,"date",B268,"Site",3)</f>
        <v>0</v>
      </c>
      <c r="H268" s="24">
        <f>I268+J268+GETPIVOTDATA("Sum of CNsmno",SalmonPivot!$M$4,"Date",B268,"Site",3)</f>
        <v>0</v>
      </c>
      <c r="I268" s="24">
        <f>GETPIVOTDATA("Sum of CNsmradio",SalmonPivot!$M$4,"Date",B268,"Site",3)</f>
        <v>0</v>
      </c>
      <c r="J268" s="24">
        <f>GETPIVOTDATA("Sum of CNsmrecap",SalmonPivot!$M$4,"Date",B268,"Site",3)</f>
        <v>0</v>
      </c>
      <c r="K268" s="24">
        <f>L268+GETPIVOTDATA("Sum of SOno",SalmonPivot!$Y$4,"Date",B268,"Site",3)+GETPIVOTDATA("Sum of SOrecap",SalmonPivot!$Y$4,"Date",B268,"Site",3)</f>
        <v>1</v>
      </c>
      <c r="L268" s="24">
        <f>GETPIVOTDATA("Sum of SOrad",SalmonPivot!$Y$4,"Date",B268,"Site",3)</f>
        <v>1</v>
      </c>
      <c r="M268" s="24">
        <f>N268+GETPIVOTDATA("Sum of PKno",SalmonPivot!$AK$4,"Date",B268,"Site",3)+GETPIVOTDATA("Sum of PKrecap",SalmonPivot!$AK$4,"Date",B268,"Site",3)</f>
        <v>6</v>
      </c>
      <c r="N268" s="24">
        <f>GETPIVOTDATA("Sum of PKrad",SalmonPivot!$AK$4,"Date",B268,"Site",3)</f>
        <v>1</v>
      </c>
      <c r="O268" s="24">
        <f>P268+GETPIVOTDATA("Sum of CMno",SalmonPivot!$AW$4,"Date",B268,"Site",3)+GETPIVOTDATA("Sum of CMrecap",SalmonPivot!$AW$4,"Date",B268,"Site",3)</f>
        <v>5</v>
      </c>
      <c r="P268" s="24">
        <f>GETPIVOTDATA("Sum of CMrad",SalmonPivot!$AW$4,"Date",B268,"Site",3)</f>
        <v>1</v>
      </c>
      <c r="Q268" s="25">
        <f>R268+GETPIVOTDATA("Sum of COno",SalmonPivot!$BI$4,"Date",B268,"Site",3)+GETPIVOTDATA("Sum of COrecap",SalmonPivot!$BI$4,"Date",B268,"Site",3)</f>
        <v>4</v>
      </c>
      <c r="R268" s="24">
        <f>GETPIVOTDATA("Sum of COrad",SalmonPivot!$BI$4,"Date",B268,"Site",3)</f>
        <v>4</v>
      </c>
      <c r="S268" s="24">
        <f>GETPIVOTDATA("Sum of TotalOther",OtherPivot!$J$5,"Date",B268,"Site",3)</f>
        <v>0</v>
      </c>
      <c r="T268" s="38"/>
      <c r="U268" s="172">
        <f>IF(GETPIVOTDATA("3 Revs (s)",EffortRPMPivot!$L$4,"Date",$B268,"Site",3)=0,"",GETPIVOTDATA("3 revs (s)",EffortRPMPivot!$L$4,"date",$B268,"Site",3))</f>
        <v>46</v>
      </c>
      <c r="V268" s="173">
        <f t="shared" ref="V268:V271" si="580">IF(D268=0,"",E268/D268)</f>
        <v>0</v>
      </c>
      <c r="W268" s="173">
        <f t="shared" ref="W268:W271" si="581">IF(D268=0,"",H268/D268)</f>
        <v>0</v>
      </c>
      <c r="X268" s="173">
        <f t="shared" ref="X268:X271" si="582">IF(D268=0,"",K268/$D268)</f>
        <v>8.3333333333333315E-2</v>
      </c>
      <c r="Y268" s="173">
        <f t="shared" ref="Y268:Y271" si="583">IF(D268=0,"",M268/$D268)</f>
        <v>0.49999999999999994</v>
      </c>
      <c r="Z268" s="173">
        <f t="shared" ref="Z268:Z271" si="584">IF(D268=0,"",O268/$D268)</f>
        <v>0.41666666666666663</v>
      </c>
      <c r="AA268" s="174">
        <f t="shared" ref="AA268:AA271" si="585">IF(D268=0,"",Q268/$D268)</f>
        <v>0.33333333333333326</v>
      </c>
      <c r="AB268" s="188"/>
      <c r="AC268" s="188"/>
      <c r="AD268" s="188"/>
      <c r="AE268" s="188"/>
      <c r="AF268" s="188"/>
      <c r="AG268" s="188"/>
      <c r="AH268" s="189"/>
      <c r="AI268" s="188"/>
      <c r="AJ268" s="188"/>
      <c r="AK268" s="188"/>
      <c r="AL268" s="188"/>
      <c r="AM268" s="188"/>
      <c r="AN268" s="189"/>
      <c r="AO268" s="188"/>
      <c r="AP268" s="188"/>
      <c r="AQ268" s="188"/>
      <c r="AR268" s="188"/>
      <c r="AS268" s="188"/>
      <c r="AT268" s="189"/>
      <c r="AU268" s="188"/>
      <c r="AV268" s="188"/>
      <c r="AW268" s="190"/>
      <c r="AX268" s="190"/>
      <c r="AY268" s="190"/>
      <c r="AZ268" s="191"/>
      <c r="BA268" s="183"/>
      <c r="BB268" s="183"/>
      <c r="BC268" s="183"/>
      <c r="BD268" s="183"/>
      <c r="BE268" s="183"/>
      <c r="BF268" s="184"/>
      <c r="BG268" s="183"/>
      <c r="BH268" s="183"/>
      <c r="BI268" s="183"/>
      <c r="BJ268" s="183"/>
      <c r="BK268" s="183"/>
      <c r="BL268" s="184"/>
      <c r="BO268" s="153"/>
    </row>
    <row r="269" spans="1:67" x14ac:dyDescent="0.2">
      <c r="A269" s="61"/>
      <c r="B269" s="60">
        <f t="shared" si="368"/>
        <v>41869</v>
      </c>
      <c r="C269" s="22">
        <f t="shared" si="579"/>
        <v>4.5</v>
      </c>
      <c r="D269" s="23">
        <f>GETPIVOTDATA("Active time (min)",EffortRPMPivot!$A$4,"date",B269,"Site",3)/60</f>
        <v>12.1</v>
      </c>
      <c r="E269" s="24">
        <f>F269+G269+GETPIVOTDATA("Sum of CNlgNo",SalmonPivot!$A$4,"Date",B269,"Site",3)</f>
        <v>0</v>
      </c>
      <c r="F269" s="24">
        <f>GETPIVOTDATA("Sum of CNlgrad",SalmonPivot!$A$4,"date",B269,"Site",3)</f>
        <v>0</v>
      </c>
      <c r="G269" s="24">
        <f>GETPIVOTDATA("Sum of CNlgrecap",SalmonPivot!$A$4,"date",B269,"Site",3)</f>
        <v>0</v>
      </c>
      <c r="H269" s="24">
        <f>I269+J269+GETPIVOTDATA("Sum of CNsmno",SalmonPivot!$M$4,"Date",B269,"Site",3)</f>
        <v>0</v>
      </c>
      <c r="I269" s="24">
        <f>GETPIVOTDATA("Sum of CNsmradio",SalmonPivot!$M$4,"Date",B269,"Site",3)</f>
        <v>0</v>
      </c>
      <c r="J269" s="24">
        <f>GETPIVOTDATA("Sum of CNsmrecap",SalmonPivot!$M$4,"Date",B269,"Site",3)</f>
        <v>0</v>
      </c>
      <c r="K269" s="24">
        <f>L269+GETPIVOTDATA("Sum of SOno",SalmonPivot!$Y$4,"Date",B269,"Site",3)+GETPIVOTDATA("Sum of SOrecap",SalmonPivot!$Y$4,"Date",B269,"Site",3)</f>
        <v>0</v>
      </c>
      <c r="L269" s="24">
        <f>GETPIVOTDATA("Sum of SOrad",SalmonPivot!$Y$4,"Date",B269,"Site",3)</f>
        <v>0</v>
      </c>
      <c r="M269" s="24">
        <f>N269+GETPIVOTDATA("Sum of PKno",SalmonPivot!$AK$4,"Date",B269,"Site",3)+GETPIVOTDATA("Sum of PKrecap",SalmonPivot!$AK$4,"Date",B269,"Site",3)</f>
        <v>12</v>
      </c>
      <c r="N269" s="24">
        <f>GETPIVOTDATA("Sum of PKrad",SalmonPivot!$AK$4,"Date",B269,"Site",3)</f>
        <v>5</v>
      </c>
      <c r="O269" s="24">
        <f>P269+GETPIVOTDATA("Sum of CMno",SalmonPivot!$AW$4,"Date",B269,"Site",3)+GETPIVOTDATA("Sum of CMrecap",SalmonPivot!$AW$4,"Date",B269,"Site",3)</f>
        <v>7</v>
      </c>
      <c r="P269" s="24">
        <f>GETPIVOTDATA("Sum of CMrad",SalmonPivot!$AW$4,"Date",B269,"Site",3)</f>
        <v>2</v>
      </c>
      <c r="Q269" s="25">
        <f>R269+GETPIVOTDATA("Sum of COno",SalmonPivot!$BI$4,"Date",B269,"Site",3)+GETPIVOTDATA("Sum of COrecap",SalmonPivot!$BI$4,"Date",B269,"Site",3)</f>
        <v>3</v>
      </c>
      <c r="R269" s="24">
        <f>GETPIVOTDATA("Sum of COrad",SalmonPivot!$BI$4,"Date",B269,"Site",3)</f>
        <v>2</v>
      </c>
      <c r="S269" s="24">
        <f>GETPIVOTDATA("Sum of TotalOther",OtherPivot!$J$5,"Date",B269,"Site",3)</f>
        <v>1</v>
      </c>
      <c r="T269" s="38"/>
      <c r="U269" s="172">
        <f>IF(GETPIVOTDATA("3 Revs (s)",EffortRPMPivot!$L$4,"Date",$B269,"Site",3)=0,"",GETPIVOTDATA("3 revs (s)",EffortRPMPivot!$L$4,"date",$B269,"Site",3))</f>
        <v>40</v>
      </c>
      <c r="V269" s="173">
        <f t="shared" si="580"/>
        <v>0</v>
      </c>
      <c r="W269" s="173">
        <f t="shared" si="581"/>
        <v>0</v>
      </c>
      <c r="X269" s="173">
        <f t="shared" si="582"/>
        <v>0</v>
      </c>
      <c r="Y269" s="173">
        <f t="shared" si="583"/>
        <v>0.99173553719008267</v>
      </c>
      <c r="Z269" s="173">
        <f t="shared" si="584"/>
        <v>0.57851239669421495</v>
      </c>
      <c r="AA269" s="174">
        <f t="shared" si="585"/>
        <v>0.24793388429752067</v>
      </c>
      <c r="AB269" s="188"/>
      <c r="AC269" s="188"/>
      <c r="AD269" s="188"/>
      <c r="AE269" s="188"/>
      <c r="AF269" s="188"/>
      <c r="AG269" s="188"/>
      <c r="AH269" s="189"/>
      <c r="AI269" s="188"/>
      <c r="AJ269" s="188"/>
      <c r="AK269" s="188"/>
      <c r="AL269" s="188"/>
      <c r="AM269" s="188"/>
      <c r="AN269" s="189"/>
      <c r="AO269" s="188"/>
      <c r="AP269" s="188"/>
      <c r="AQ269" s="188"/>
      <c r="AR269" s="188"/>
      <c r="AS269" s="188"/>
      <c r="AT269" s="189"/>
      <c r="AU269" s="188"/>
      <c r="AV269" s="188"/>
      <c r="AW269" s="190"/>
      <c r="AX269" s="190"/>
      <c r="AY269" s="190"/>
      <c r="AZ269" s="191"/>
      <c r="BA269" s="183"/>
      <c r="BB269" s="183"/>
      <c r="BC269" s="183"/>
      <c r="BD269" s="183"/>
      <c r="BE269" s="183"/>
      <c r="BF269" s="184"/>
      <c r="BG269" s="183"/>
      <c r="BH269" s="183"/>
      <c r="BI269" s="183"/>
      <c r="BJ269" s="183"/>
      <c r="BK269" s="183"/>
      <c r="BL269" s="184"/>
      <c r="BO269" s="153"/>
    </row>
    <row r="270" spans="1:67" x14ac:dyDescent="0.2">
      <c r="A270" s="61"/>
      <c r="B270" s="60">
        <f t="shared" si="368"/>
        <v>41870</v>
      </c>
      <c r="C270" s="22">
        <f t="shared" si="579"/>
        <v>4.556962025316456</v>
      </c>
      <c r="D270" s="23">
        <f>GETPIVOTDATA("Active time (min)",EffortRPMPivot!$A$4,"date",B270,"Site",3)/60</f>
        <v>12.000000000000002</v>
      </c>
      <c r="E270" s="24">
        <f>F270+G270+GETPIVOTDATA("Sum of CNlgNo",SalmonPivot!$A$4,"Date",B270,"Site",3)</f>
        <v>0</v>
      </c>
      <c r="F270" s="24">
        <f>GETPIVOTDATA("Sum of CNlgrad",SalmonPivot!$A$4,"date",B270,"Site",3)</f>
        <v>0</v>
      </c>
      <c r="G270" s="24">
        <f>GETPIVOTDATA("Sum of CNlgrecap",SalmonPivot!$A$4,"date",B270,"Site",3)</f>
        <v>0</v>
      </c>
      <c r="H270" s="24">
        <f>I270+J270+GETPIVOTDATA("Sum of CNsmno",SalmonPivot!$M$4,"Date",B270,"Site",3)</f>
        <v>1</v>
      </c>
      <c r="I270" s="24">
        <f>GETPIVOTDATA("Sum of CNsmradio",SalmonPivot!$M$4,"Date",B270,"Site",3)</f>
        <v>0</v>
      </c>
      <c r="J270" s="24">
        <f>GETPIVOTDATA("Sum of CNsmrecap",SalmonPivot!$M$4,"Date",B270,"Site",3)</f>
        <v>0</v>
      </c>
      <c r="K270" s="24">
        <f>L270+GETPIVOTDATA("Sum of SOno",SalmonPivot!$Y$4,"Date",B270,"Site",3)+GETPIVOTDATA("Sum of SOrecap",SalmonPivot!$Y$4,"Date",B270,"Site",3)</f>
        <v>0</v>
      </c>
      <c r="L270" s="24">
        <f>GETPIVOTDATA("Sum of SOrad",SalmonPivot!$Y$4,"Date",B270,"Site",3)</f>
        <v>0</v>
      </c>
      <c r="M270" s="24">
        <f>N270+GETPIVOTDATA("Sum of PKno",SalmonPivot!$AK$4,"Date",B270,"Site",3)+GETPIVOTDATA("Sum of PKrecap",SalmonPivot!$AK$4,"Date",B270,"Site",3)</f>
        <v>8</v>
      </c>
      <c r="N270" s="24">
        <f>GETPIVOTDATA("Sum of PKrad",SalmonPivot!$AK$4,"Date",B270,"Site",3)</f>
        <v>0</v>
      </c>
      <c r="O270" s="24">
        <f>P270+GETPIVOTDATA("Sum of CMno",SalmonPivot!$AW$4,"Date",B270,"Site",3)+GETPIVOTDATA("Sum of CMrecap",SalmonPivot!$AW$4,"Date",B270,"Site",3)</f>
        <v>14</v>
      </c>
      <c r="P270" s="24">
        <f>GETPIVOTDATA("Sum of CMrad",SalmonPivot!$AW$4,"Date",B270,"Site",3)</f>
        <v>1</v>
      </c>
      <c r="Q270" s="25">
        <f>R270+GETPIVOTDATA("Sum of COno",SalmonPivot!$BI$4,"Date",B270,"Site",3)+GETPIVOTDATA("Sum of COrecap",SalmonPivot!$BI$4,"Date",B270,"Site",3)</f>
        <v>8</v>
      </c>
      <c r="R270" s="24">
        <f>GETPIVOTDATA("Sum of COrad",SalmonPivot!$BI$4,"Date",B270,"Site",3)</f>
        <v>5</v>
      </c>
      <c r="S270" s="24">
        <f>GETPIVOTDATA("Sum of TotalOther",OtherPivot!$J$5,"Date",B270,"Site",3)</f>
        <v>0</v>
      </c>
      <c r="T270" s="38"/>
      <c r="U270" s="172">
        <f>IF(GETPIVOTDATA("3 Revs (s)",EffortRPMPivot!$L$4,"Date",$B270,"Site",3)=0,"",GETPIVOTDATA("3 revs (s)",EffortRPMPivot!$L$4,"date",$B270,"Site",3))</f>
        <v>39.5</v>
      </c>
      <c r="V270" s="173">
        <f t="shared" si="580"/>
        <v>0</v>
      </c>
      <c r="W270" s="173">
        <f t="shared" si="581"/>
        <v>8.3333333333333315E-2</v>
      </c>
      <c r="X270" s="173">
        <f t="shared" si="582"/>
        <v>0</v>
      </c>
      <c r="Y270" s="173">
        <f t="shared" si="583"/>
        <v>0.66666666666666652</v>
      </c>
      <c r="Z270" s="173">
        <f t="shared" si="584"/>
        <v>1.1666666666666665</v>
      </c>
      <c r="AA270" s="174">
        <f t="shared" si="585"/>
        <v>0.66666666666666652</v>
      </c>
      <c r="AB270" s="188"/>
      <c r="AC270" s="188"/>
      <c r="AD270" s="188"/>
      <c r="AE270" s="188"/>
      <c r="AF270" s="188"/>
      <c r="AG270" s="188"/>
      <c r="AH270" s="189"/>
      <c r="AI270" s="188"/>
      <c r="AJ270" s="188"/>
      <c r="AK270" s="188"/>
      <c r="AL270" s="188"/>
      <c r="AM270" s="188"/>
      <c r="AN270" s="189"/>
      <c r="AO270" s="188"/>
      <c r="AP270" s="188"/>
      <c r="AQ270" s="188"/>
      <c r="AR270" s="188"/>
      <c r="AS270" s="188"/>
      <c r="AT270" s="189"/>
      <c r="AU270" s="188"/>
      <c r="AV270" s="188"/>
      <c r="AW270" s="190"/>
      <c r="AX270" s="190"/>
      <c r="AY270" s="190"/>
      <c r="AZ270" s="191"/>
      <c r="BA270" s="183"/>
      <c r="BB270" s="183"/>
      <c r="BC270" s="183"/>
      <c r="BD270" s="183"/>
      <c r="BE270" s="183"/>
      <c r="BF270" s="184"/>
      <c r="BG270" s="183"/>
      <c r="BH270" s="183"/>
      <c r="BI270" s="183"/>
      <c r="BJ270" s="183"/>
      <c r="BK270" s="183"/>
      <c r="BL270" s="184"/>
      <c r="BO270" s="153"/>
    </row>
    <row r="271" spans="1:67" x14ac:dyDescent="0.2">
      <c r="A271" s="61"/>
      <c r="B271" s="60">
        <f t="shared" si="368"/>
        <v>41871</v>
      </c>
      <c r="C271" s="22">
        <f t="shared" si="579"/>
        <v>4.3373493975903612</v>
      </c>
      <c r="D271" s="23">
        <f>GETPIVOTDATA("Active time (min)",EffortRPMPivot!$A$4,"date",B271,"Site",3)/60</f>
        <v>12.000000000000002</v>
      </c>
      <c r="E271" s="24">
        <f>F271+G271+GETPIVOTDATA("Sum of CNlgNo",SalmonPivot!$A$4,"Date",B271,"Site",3)</f>
        <v>0</v>
      </c>
      <c r="F271" s="24">
        <f>GETPIVOTDATA("Sum of CNlgrad",SalmonPivot!$A$4,"date",B271,"Site",3)</f>
        <v>0</v>
      </c>
      <c r="G271" s="24">
        <f>GETPIVOTDATA("Sum of CNlgrecap",SalmonPivot!$A$4,"date",B271,"Site",3)</f>
        <v>0</v>
      </c>
      <c r="H271" s="24">
        <f>I271+J271+GETPIVOTDATA("Sum of CNsmno",SalmonPivot!$M$4,"Date",B271,"Site",3)</f>
        <v>0</v>
      </c>
      <c r="I271" s="24">
        <f>GETPIVOTDATA("Sum of CNsmradio",SalmonPivot!$M$4,"Date",B271,"Site",3)</f>
        <v>0</v>
      </c>
      <c r="J271" s="24">
        <f>GETPIVOTDATA("Sum of CNsmrecap",SalmonPivot!$M$4,"Date",B271,"Site",3)</f>
        <v>0</v>
      </c>
      <c r="K271" s="24">
        <f>L271+GETPIVOTDATA("Sum of SOno",SalmonPivot!$Y$4,"Date",B271,"Site",3)+GETPIVOTDATA("Sum of SOrecap",SalmonPivot!$Y$4,"Date",B271,"Site",3)</f>
        <v>0</v>
      </c>
      <c r="L271" s="24">
        <f>GETPIVOTDATA("Sum of SOrad",SalmonPivot!$Y$4,"Date",B271,"Site",3)</f>
        <v>0</v>
      </c>
      <c r="M271" s="24">
        <f>N271+GETPIVOTDATA("Sum of PKno",SalmonPivot!$AK$4,"Date",B271,"Site",3)+GETPIVOTDATA("Sum of PKrecap",SalmonPivot!$AK$4,"Date",B271,"Site",3)</f>
        <v>3</v>
      </c>
      <c r="N271" s="24">
        <f>GETPIVOTDATA("Sum of PKrad",SalmonPivot!$AK$4,"Date",B271,"Site",3)</f>
        <v>0</v>
      </c>
      <c r="O271" s="24">
        <f>P271+GETPIVOTDATA("Sum of CMno",SalmonPivot!$AW$4,"Date",B271,"Site",3)+GETPIVOTDATA("Sum of CMrecap",SalmonPivot!$AW$4,"Date",B271,"Site",3)</f>
        <v>7</v>
      </c>
      <c r="P271" s="24">
        <f>GETPIVOTDATA("Sum of CMrad",SalmonPivot!$AW$4,"Date",B271,"Site",3)</f>
        <v>1</v>
      </c>
      <c r="Q271" s="25">
        <f>R271+GETPIVOTDATA("Sum of COno",SalmonPivot!$BI$4,"Date",B271,"Site",3)+GETPIVOTDATA("Sum of COrecap",SalmonPivot!$BI$4,"Date",B271,"Site",3)</f>
        <v>12</v>
      </c>
      <c r="R271" s="24">
        <f>GETPIVOTDATA("Sum of COrad",SalmonPivot!$BI$4,"Date",B271,"Site",3)</f>
        <v>6</v>
      </c>
      <c r="S271" s="24">
        <f>GETPIVOTDATA("Sum of TotalOther",OtherPivot!$J$5,"Date",B271,"Site",3)</f>
        <v>2</v>
      </c>
      <c r="T271" s="38"/>
      <c r="U271" s="172">
        <f>IF(GETPIVOTDATA("3 Revs (s)",EffortRPMPivot!$L$4,"Date",$B271,"Site",3)=0,"",GETPIVOTDATA("3 revs (s)",EffortRPMPivot!$L$4,"date",$B271,"Site",3))</f>
        <v>41.5</v>
      </c>
      <c r="V271" s="173">
        <f t="shared" si="580"/>
        <v>0</v>
      </c>
      <c r="W271" s="173">
        <f t="shared" si="581"/>
        <v>0</v>
      </c>
      <c r="X271" s="173">
        <f t="shared" si="582"/>
        <v>0</v>
      </c>
      <c r="Y271" s="173">
        <f t="shared" si="583"/>
        <v>0.24999999999999997</v>
      </c>
      <c r="Z271" s="173">
        <f t="shared" si="584"/>
        <v>0.58333333333333326</v>
      </c>
      <c r="AA271" s="174">
        <f t="shared" si="585"/>
        <v>0.99999999999999989</v>
      </c>
      <c r="AB271" s="188"/>
      <c r="AC271" s="188"/>
      <c r="AD271" s="188"/>
      <c r="AE271" s="188"/>
      <c r="AF271" s="188"/>
      <c r="AG271" s="188"/>
      <c r="AH271" s="189"/>
      <c r="AI271" s="188"/>
      <c r="AJ271" s="188"/>
      <c r="AK271" s="188"/>
      <c r="AL271" s="188"/>
      <c r="AM271" s="188"/>
      <c r="AN271" s="189"/>
      <c r="AO271" s="188"/>
      <c r="AP271" s="188"/>
      <c r="AQ271" s="188"/>
      <c r="AR271" s="188"/>
      <c r="AS271" s="188"/>
      <c r="AT271" s="189"/>
      <c r="AU271" s="188"/>
      <c r="AV271" s="188"/>
      <c r="AW271" s="190"/>
      <c r="AX271" s="190"/>
      <c r="AY271" s="190"/>
      <c r="AZ271" s="191"/>
      <c r="BA271" s="183"/>
      <c r="BB271" s="183"/>
      <c r="BC271" s="183"/>
      <c r="BD271" s="183"/>
      <c r="BE271" s="183"/>
      <c r="BF271" s="184"/>
      <c r="BG271" s="183"/>
      <c r="BH271" s="183"/>
      <c r="BI271" s="183"/>
      <c r="BJ271" s="183"/>
      <c r="BK271" s="183"/>
      <c r="BL271" s="184"/>
      <c r="BO271" s="153"/>
    </row>
    <row r="272" spans="1:67" x14ac:dyDescent="0.2">
      <c r="A272" s="61"/>
      <c r="B272" s="60">
        <f t="shared" si="368"/>
        <v>41872</v>
      </c>
      <c r="C272" s="22">
        <f t="shared" ref="C272" si="586">IF(ISERROR(3/(U272/60)),"",3/(U272/60))</f>
        <v>4.1860465116279073</v>
      </c>
      <c r="D272" s="23">
        <f>GETPIVOTDATA("Active time (min)",EffortRPMPivot!$A$4,"date",B272,"Site",3)/60</f>
        <v>12</v>
      </c>
      <c r="E272" s="24">
        <f>F272+G272+GETPIVOTDATA("Sum of CNlgNo",SalmonPivot!$A$4,"Date",B272,"Site",3)</f>
        <v>0</v>
      </c>
      <c r="F272" s="24">
        <f>GETPIVOTDATA("Sum of CNlgrad",SalmonPivot!$A$4,"date",B272,"Site",3)</f>
        <v>0</v>
      </c>
      <c r="G272" s="24">
        <f>GETPIVOTDATA("Sum of CNlgrecap",SalmonPivot!$A$4,"date",B272,"Site",3)</f>
        <v>0</v>
      </c>
      <c r="H272" s="24">
        <f>I272+J272+GETPIVOTDATA("Sum of CNsmno",SalmonPivot!$M$4,"Date",B272,"Site",3)</f>
        <v>0</v>
      </c>
      <c r="I272" s="24">
        <f>GETPIVOTDATA("Sum of CNsmradio",SalmonPivot!$M$4,"Date",B272,"Site",3)</f>
        <v>0</v>
      </c>
      <c r="J272" s="24">
        <f>GETPIVOTDATA("Sum of CNsmrecap",SalmonPivot!$M$4,"Date",B272,"Site",3)</f>
        <v>0</v>
      </c>
      <c r="K272" s="24">
        <f>L272+GETPIVOTDATA("Sum of SOno",SalmonPivot!$Y$4,"Date",B272,"Site",3)+GETPIVOTDATA("Sum of SOrecap",SalmonPivot!$Y$4,"Date",B272,"Site",3)</f>
        <v>1</v>
      </c>
      <c r="L272" s="24">
        <f>GETPIVOTDATA("Sum of SOrad",SalmonPivot!$Y$4,"Date",B272,"Site",3)</f>
        <v>1</v>
      </c>
      <c r="M272" s="24">
        <f>N272+GETPIVOTDATA("Sum of PKno",SalmonPivot!$AK$4,"Date",B272,"Site",3)+GETPIVOTDATA("Sum of PKrecap",SalmonPivot!$AK$4,"Date",B272,"Site",3)</f>
        <v>3</v>
      </c>
      <c r="N272" s="24">
        <f>GETPIVOTDATA("Sum of PKrad",SalmonPivot!$AK$4,"Date",B272,"Site",3)</f>
        <v>0</v>
      </c>
      <c r="O272" s="24">
        <f>P272+GETPIVOTDATA("Sum of CMno",SalmonPivot!$AW$4,"Date",B272,"Site",3)+GETPIVOTDATA("Sum of CMrecap",SalmonPivot!$AW$4,"Date",B272,"Site",3)</f>
        <v>22</v>
      </c>
      <c r="P272" s="24">
        <f>GETPIVOTDATA("Sum of CMrad",SalmonPivot!$AW$4,"Date",B272,"Site",3)</f>
        <v>1</v>
      </c>
      <c r="Q272" s="25">
        <f>R272+GETPIVOTDATA("Sum of COno",SalmonPivot!$BI$4,"Date",B272,"Site",3)+GETPIVOTDATA("Sum of COrecap",SalmonPivot!$BI$4,"Date",B272,"Site",3)</f>
        <v>13</v>
      </c>
      <c r="R272" s="24">
        <f>GETPIVOTDATA("Sum of COrad",SalmonPivot!$BI$4,"Date",B272,"Site",3)</f>
        <v>4</v>
      </c>
      <c r="S272" s="24">
        <f>GETPIVOTDATA("Sum of TotalOther",OtherPivot!$J$5,"Date",B272,"Site",3)</f>
        <v>1</v>
      </c>
      <c r="T272" s="38"/>
      <c r="U272" s="172">
        <f>IF(GETPIVOTDATA("3 Revs (s)",EffortRPMPivot!$L$4,"Date",$B272,"Site",3)=0,"",GETPIVOTDATA("3 revs (s)",EffortRPMPivot!$L$4,"date",$B272,"Site",3))</f>
        <v>43</v>
      </c>
      <c r="V272" s="173">
        <f t="shared" ref="V272" si="587">IF(D272=0,"",E272/D272)</f>
        <v>0</v>
      </c>
      <c r="W272" s="173">
        <f t="shared" ref="W272" si="588">IF(D272=0,"",H272/D272)</f>
        <v>0</v>
      </c>
      <c r="X272" s="173">
        <f t="shared" ref="X272" si="589">IF(D272=0,"",K272/$D272)</f>
        <v>8.3333333333333329E-2</v>
      </c>
      <c r="Y272" s="173">
        <f t="shared" ref="Y272" si="590">IF(D272=0,"",M272/$D272)</f>
        <v>0.25</v>
      </c>
      <c r="Z272" s="173">
        <f t="shared" ref="Z272" si="591">IF(D272=0,"",O272/$D272)</f>
        <v>1.8333333333333333</v>
      </c>
      <c r="AA272" s="174">
        <f t="shared" ref="AA272" si="592">IF(D272=0,"",Q272/$D272)</f>
        <v>1.0833333333333333</v>
      </c>
      <c r="AB272" s="188"/>
      <c r="AC272" s="188"/>
      <c r="AD272" s="188"/>
      <c r="AE272" s="188"/>
      <c r="AF272" s="188"/>
      <c r="AG272" s="188"/>
      <c r="AH272" s="189"/>
      <c r="AI272" s="188"/>
      <c r="AJ272" s="188"/>
      <c r="AK272" s="188"/>
      <c r="AL272" s="188"/>
      <c r="AM272" s="188"/>
      <c r="AN272" s="189"/>
      <c r="AO272" s="188"/>
      <c r="AP272" s="188"/>
      <c r="AQ272" s="188"/>
      <c r="AR272" s="188"/>
      <c r="AS272" s="188"/>
      <c r="AT272" s="189"/>
      <c r="AU272" s="188"/>
      <c r="AV272" s="188"/>
      <c r="AW272" s="190"/>
      <c r="AX272" s="190"/>
      <c r="AY272" s="190"/>
      <c r="AZ272" s="191"/>
      <c r="BA272" s="183"/>
      <c r="BB272" s="183"/>
      <c r="BC272" s="183"/>
      <c r="BD272" s="183"/>
      <c r="BE272" s="183"/>
      <c r="BF272" s="184"/>
      <c r="BG272" s="183"/>
      <c r="BH272" s="183"/>
      <c r="BI272" s="183"/>
      <c r="BJ272" s="183"/>
      <c r="BK272" s="183"/>
      <c r="BL272" s="184"/>
      <c r="BO272" s="153"/>
    </row>
    <row r="273" spans="1:67" x14ac:dyDescent="0.2">
      <c r="A273" s="61"/>
      <c r="B273" s="60">
        <f t="shared" si="368"/>
        <v>41873</v>
      </c>
      <c r="C273" s="22">
        <f t="shared" ref="C273" si="593">IF(ISERROR(3/(U273/60)),"",3/(U273/60))</f>
        <v>3.8297872340425534</v>
      </c>
      <c r="D273" s="23">
        <f>GETPIVOTDATA("Active time (min)",EffortRPMPivot!$A$4,"date",B273,"Site",3)/60</f>
        <v>12.016666666666667</v>
      </c>
      <c r="E273" s="24">
        <f>F273+G273+GETPIVOTDATA("Sum of CNlgNo",SalmonPivot!$A$4,"Date",B273,"Site",3)</f>
        <v>0</v>
      </c>
      <c r="F273" s="24">
        <f>GETPIVOTDATA("Sum of CNlgrad",SalmonPivot!$A$4,"date",B273,"Site",3)</f>
        <v>0</v>
      </c>
      <c r="G273" s="24">
        <f>GETPIVOTDATA("Sum of CNlgrecap",SalmonPivot!$A$4,"date",B273,"Site",3)</f>
        <v>0</v>
      </c>
      <c r="H273" s="24">
        <f>I273+J273+GETPIVOTDATA("Sum of CNsmno",SalmonPivot!$M$4,"Date",B273,"Site",3)</f>
        <v>0</v>
      </c>
      <c r="I273" s="24">
        <f>GETPIVOTDATA("Sum of CNsmradio",SalmonPivot!$M$4,"Date",B273,"Site",3)</f>
        <v>0</v>
      </c>
      <c r="J273" s="24">
        <f>GETPIVOTDATA("Sum of CNsmrecap",SalmonPivot!$M$4,"Date",B273,"Site",3)</f>
        <v>0</v>
      </c>
      <c r="K273" s="24">
        <f>L273+GETPIVOTDATA("Sum of SOno",SalmonPivot!$Y$4,"Date",B273,"Site",3)+GETPIVOTDATA("Sum of SOrecap",SalmonPivot!$Y$4,"Date",B273,"Site",3)</f>
        <v>2</v>
      </c>
      <c r="L273" s="24">
        <f>GETPIVOTDATA("Sum of SOrad",SalmonPivot!$Y$4,"Date",B273,"Site",3)</f>
        <v>2</v>
      </c>
      <c r="M273" s="24">
        <f>N273+GETPIVOTDATA("Sum of PKno",SalmonPivot!$AK$4,"Date",B273,"Site",3)+GETPIVOTDATA("Sum of PKrecap",SalmonPivot!$AK$4,"Date",B273,"Site",3)</f>
        <v>5</v>
      </c>
      <c r="N273" s="24">
        <f>GETPIVOTDATA("Sum of PKrad",SalmonPivot!$AK$4,"Date",B273,"Site",3)</f>
        <v>0</v>
      </c>
      <c r="O273" s="24">
        <f>P273+GETPIVOTDATA("Sum of CMno",SalmonPivot!$AW$4,"Date",B273,"Site",3)+GETPIVOTDATA("Sum of CMrecap",SalmonPivot!$AW$4,"Date",B273,"Site",3)</f>
        <v>19</v>
      </c>
      <c r="P273" s="24">
        <f>GETPIVOTDATA("Sum of CMrad",SalmonPivot!$AW$4,"Date",B273,"Site",3)</f>
        <v>1</v>
      </c>
      <c r="Q273" s="25">
        <f>R273+GETPIVOTDATA("Sum of COno",SalmonPivot!$BI$4,"Date",B273,"Site",3)+GETPIVOTDATA("Sum of COrecap",SalmonPivot!$BI$4,"Date",B273,"Site",3)</f>
        <v>14</v>
      </c>
      <c r="R273" s="24">
        <f>GETPIVOTDATA("Sum of COrad",SalmonPivot!$BI$4,"Date",B273,"Site",3)</f>
        <v>5</v>
      </c>
      <c r="S273" s="24">
        <f>GETPIVOTDATA("Sum of TotalOther",OtherPivot!$J$5,"Date",B273,"Site",3)</f>
        <v>4</v>
      </c>
      <c r="T273" s="38"/>
      <c r="U273" s="172">
        <f>IF(GETPIVOTDATA("3 Revs (s)",EffortRPMPivot!$L$4,"Date",$B273,"Site",3)=0,"",GETPIVOTDATA("3 revs (s)",EffortRPMPivot!$L$4,"date",$B273,"Site",3))</f>
        <v>47</v>
      </c>
      <c r="V273" s="173">
        <f t="shared" ref="V273" si="594">IF(D273=0,"",E273/D273)</f>
        <v>0</v>
      </c>
      <c r="W273" s="173">
        <f t="shared" ref="W273" si="595">IF(D273=0,"",H273/D273)</f>
        <v>0</v>
      </c>
      <c r="X273" s="173">
        <f t="shared" ref="X273" si="596">IF(D273=0,"",K273/$D273)</f>
        <v>0.16643550624133147</v>
      </c>
      <c r="Y273" s="173">
        <f t="shared" ref="Y273" si="597">IF(D273=0,"",M273/$D273)</f>
        <v>0.41608876560332869</v>
      </c>
      <c r="Z273" s="173">
        <f t="shared" ref="Z273" si="598">IF(D273=0,"",O273/$D273)</f>
        <v>1.5811373092926491</v>
      </c>
      <c r="AA273" s="174">
        <f t="shared" ref="AA273" si="599">IF(D273=0,"",Q273/$D273)</f>
        <v>1.1650485436893203</v>
      </c>
      <c r="AB273" s="188"/>
      <c r="AC273" s="188"/>
      <c r="AD273" s="188"/>
      <c r="AE273" s="188"/>
      <c r="AF273" s="188"/>
      <c r="AG273" s="188"/>
      <c r="AH273" s="189"/>
      <c r="AI273" s="188"/>
      <c r="AJ273" s="188"/>
      <c r="AK273" s="188"/>
      <c r="AL273" s="188"/>
      <c r="AM273" s="188"/>
      <c r="AN273" s="189"/>
      <c r="AO273" s="188"/>
      <c r="AP273" s="188"/>
      <c r="AQ273" s="188"/>
      <c r="AR273" s="188"/>
      <c r="AS273" s="188"/>
      <c r="AT273" s="189"/>
      <c r="AU273" s="188"/>
      <c r="AV273" s="188"/>
      <c r="AW273" s="190"/>
      <c r="AX273" s="190"/>
      <c r="AY273" s="190"/>
      <c r="AZ273" s="191"/>
      <c r="BA273" s="183"/>
      <c r="BB273" s="183"/>
      <c r="BC273" s="183"/>
      <c r="BD273" s="183"/>
      <c r="BE273" s="183"/>
      <c r="BF273" s="184"/>
      <c r="BG273" s="183"/>
      <c r="BH273" s="183"/>
      <c r="BI273" s="183"/>
      <c r="BJ273" s="183"/>
      <c r="BK273" s="183"/>
      <c r="BL273" s="184"/>
      <c r="BO273" s="153"/>
    </row>
    <row r="274" spans="1:67" x14ac:dyDescent="0.2">
      <c r="A274" s="61"/>
      <c r="B274" s="60">
        <f t="shared" si="368"/>
        <v>41874</v>
      </c>
      <c r="C274" s="22">
        <f t="shared" ref="C274:C277" si="600">IF(ISERROR(3/(U274/60)),"",3/(U274/60))</f>
        <v>3.8709677419354835</v>
      </c>
      <c r="D274" s="23">
        <f>GETPIVOTDATA("Active time (min)",EffortRPMPivot!$A$4,"date",B274,"Site",3)/60</f>
        <v>11.883333333333335</v>
      </c>
      <c r="E274" s="24">
        <f>F274+G274+GETPIVOTDATA("Sum of CNlgNo",SalmonPivot!$A$4,"Date",B274,"Site",3)</f>
        <v>0</v>
      </c>
      <c r="F274" s="24">
        <f>GETPIVOTDATA("Sum of CNlgrad",SalmonPivot!$A$4,"date",B274,"Site",3)</f>
        <v>0</v>
      </c>
      <c r="G274" s="24">
        <f>GETPIVOTDATA("Sum of CNlgrecap",SalmonPivot!$A$4,"date",B274,"Site",3)</f>
        <v>0</v>
      </c>
      <c r="H274" s="24">
        <f>I274+J274+GETPIVOTDATA("Sum of CNsmno",SalmonPivot!$M$4,"Date",B274,"Site",3)</f>
        <v>0</v>
      </c>
      <c r="I274" s="24">
        <f>GETPIVOTDATA("Sum of CNsmradio",SalmonPivot!$M$4,"Date",B274,"Site",3)</f>
        <v>0</v>
      </c>
      <c r="J274" s="24">
        <f>GETPIVOTDATA("Sum of CNsmrecap",SalmonPivot!$M$4,"Date",B274,"Site",3)</f>
        <v>0</v>
      </c>
      <c r="K274" s="24">
        <f>L274+GETPIVOTDATA("Sum of SOno",SalmonPivot!$Y$4,"Date",B274,"Site",3)+GETPIVOTDATA("Sum of SOrecap",SalmonPivot!$Y$4,"Date",B274,"Site",3)</f>
        <v>1</v>
      </c>
      <c r="L274" s="24">
        <f>GETPIVOTDATA("Sum of SOrad",SalmonPivot!$Y$4,"Date",B274,"Site",3)</f>
        <v>1</v>
      </c>
      <c r="M274" s="24">
        <f>N274+GETPIVOTDATA("Sum of PKno",SalmonPivot!$AK$4,"Date",B274,"Site",3)+GETPIVOTDATA("Sum of PKrecap",SalmonPivot!$AK$4,"Date",B274,"Site",3)</f>
        <v>4</v>
      </c>
      <c r="N274" s="24">
        <f>GETPIVOTDATA("Sum of PKrad",SalmonPivot!$AK$4,"Date",B274,"Site",3)</f>
        <v>0</v>
      </c>
      <c r="O274" s="24">
        <f>P274+GETPIVOTDATA("Sum of CMno",SalmonPivot!$AW$4,"Date",B274,"Site",3)+GETPIVOTDATA("Sum of CMrecap",SalmonPivot!$AW$4,"Date",B274,"Site",3)</f>
        <v>13</v>
      </c>
      <c r="P274" s="24">
        <f>GETPIVOTDATA("Sum of CMrad",SalmonPivot!$AW$4,"Date",B274,"Site",3)</f>
        <v>1</v>
      </c>
      <c r="Q274" s="25">
        <f>R274+GETPIVOTDATA("Sum of COno",SalmonPivot!$BI$4,"Date",B274,"Site",3)+GETPIVOTDATA("Sum of COrecap",SalmonPivot!$BI$4,"Date",B274,"Site",3)</f>
        <v>17</v>
      </c>
      <c r="R274" s="24">
        <f>GETPIVOTDATA("Sum of COrad",SalmonPivot!$BI$4,"Date",B274,"Site",3)</f>
        <v>7</v>
      </c>
      <c r="S274" s="24">
        <f>GETPIVOTDATA("Sum of TotalOther",OtherPivot!$J$5,"Date",B274,"Site",3)</f>
        <v>2</v>
      </c>
      <c r="T274" s="38"/>
      <c r="U274" s="172">
        <f>IF(GETPIVOTDATA("3 Revs (s)",EffortRPMPivot!$L$4,"Date",$B274,"Site",3)=0,"",GETPIVOTDATA("3 revs (s)",EffortRPMPivot!$L$4,"date",$B274,"Site",3))</f>
        <v>46.5</v>
      </c>
      <c r="V274" s="173">
        <f t="shared" ref="V274:V277" si="601">IF(D274=0,"",E274/D274)</f>
        <v>0</v>
      </c>
      <c r="W274" s="173">
        <f t="shared" ref="W274:W277" si="602">IF(D274=0,"",H274/D274)</f>
        <v>0</v>
      </c>
      <c r="X274" s="173">
        <f t="shared" ref="X274:X277" si="603">IF(D274=0,"",K274/$D274)</f>
        <v>8.4151472650771386E-2</v>
      </c>
      <c r="Y274" s="173">
        <f t="shared" ref="Y274:Y277" si="604">IF(D274=0,"",M274/$D274)</f>
        <v>0.33660589060308554</v>
      </c>
      <c r="Z274" s="173">
        <f t="shared" ref="Z274:Z277" si="605">IF(D274=0,"",O274/$D274)</f>
        <v>1.0939691444600279</v>
      </c>
      <c r="AA274" s="174">
        <f t="shared" ref="AA274:AA277" si="606">IF(D274=0,"",Q274/$D274)</f>
        <v>1.4305750350631135</v>
      </c>
      <c r="AB274" s="188"/>
      <c r="AC274" s="188"/>
      <c r="AD274" s="188"/>
      <c r="AE274" s="188"/>
      <c r="AF274" s="188"/>
      <c r="AG274" s="188"/>
      <c r="AH274" s="189"/>
      <c r="AI274" s="188"/>
      <c r="AJ274" s="188"/>
      <c r="AK274" s="188"/>
      <c r="AL274" s="188"/>
      <c r="AM274" s="188"/>
      <c r="AN274" s="189"/>
      <c r="AO274" s="188"/>
      <c r="AP274" s="188"/>
      <c r="AQ274" s="188"/>
      <c r="AR274" s="188"/>
      <c r="AS274" s="188"/>
      <c r="AT274" s="189"/>
      <c r="AU274" s="188"/>
      <c r="AV274" s="188"/>
      <c r="AW274" s="190"/>
      <c r="AX274" s="190"/>
      <c r="AY274" s="190"/>
      <c r="AZ274" s="191"/>
      <c r="BA274" s="183"/>
      <c r="BB274" s="183"/>
      <c r="BC274" s="183"/>
      <c r="BD274" s="183"/>
      <c r="BE274" s="183"/>
      <c r="BF274" s="184"/>
      <c r="BG274" s="183"/>
      <c r="BH274" s="183"/>
      <c r="BI274" s="183"/>
      <c r="BJ274" s="183"/>
      <c r="BK274" s="183"/>
      <c r="BL274" s="184"/>
      <c r="BO274" s="153"/>
    </row>
    <row r="275" spans="1:67" x14ac:dyDescent="0.2">
      <c r="A275" s="61"/>
      <c r="B275" s="60">
        <f t="shared" si="368"/>
        <v>41875</v>
      </c>
      <c r="C275" s="22">
        <f t="shared" si="600"/>
        <v>3.6734693877551021</v>
      </c>
      <c r="D275" s="23">
        <f>GETPIVOTDATA("Active time (min)",EffortRPMPivot!$A$4,"date",B275,"Site",3)/60</f>
        <v>12.183333333333334</v>
      </c>
      <c r="E275" s="24">
        <f>F275+G275+GETPIVOTDATA("Sum of CNlgNo",SalmonPivot!$A$4,"Date",B275,"Site",3)</f>
        <v>1</v>
      </c>
      <c r="F275" s="24">
        <f>GETPIVOTDATA("Sum of CNlgrad",SalmonPivot!$A$4,"date",B275,"Site",3)</f>
        <v>0</v>
      </c>
      <c r="G275" s="24">
        <f>GETPIVOTDATA("Sum of CNlgrecap",SalmonPivot!$A$4,"date",B275,"Site",3)</f>
        <v>0</v>
      </c>
      <c r="H275" s="24">
        <f>I275+J275+GETPIVOTDATA("Sum of CNsmno",SalmonPivot!$M$4,"Date",B275,"Site",3)</f>
        <v>0</v>
      </c>
      <c r="I275" s="24">
        <f>GETPIVOTDATA("Sum of CNsmradio",SalmonPivot!$M$4,"Date",B275,"Site",3)</f>
        <v>0</v>
      </c>
      <c r="J275" s="24">
        <f>GETPIVOTDATA("Sum of CNsmrecap",SalmonPivot!$M$4,"Date",B275,"Site",3)</f>
        <v>0</v>
      </c>
      <c r="K275" s="24">
        <f>L275+GETPIVOTDATA("Sum of SOno",SalmonPivot!$Y$4,"Date",B275,"Site",3)+GETPIVOTDATA("Sum of SOrecap",SalmonPivot!$Y$4,"Date",B275,"Site",3)</f>
        <v>1</v>
      </c>
      <c r="L275" s="24">
        <f>GETPIVOTDATA("Sum of SOrad",SalmonPivot!$Y$4,"Date",B275,"Site",3)</f>
        <v>1</v>
      </c>
      <c r="M275" s="24">
        <f>N275+GETPIVOTDATA("Sum of PKno",SalmonPivot!$AK$4,"Date",B275,"Site",3)+GETPIVOTDATA("Sum of PKrecap",SalmonPivot!$AK$4,"Date",B275,"Site",3)</f>
        <v>0</v>
      </c>
      <c r="N275" s="24">
        <f>GETPIVOTDATA("Sum of PKrad",SalmonPivot!$AK$4,"Date",B275,"Site",3)</f>
        <v>0</v>
      </c>
      <c r="O275" s="24">
        <f>P275+GETPIVOTDATA("Sum of CMno",SalmonPivot!$AW$4,"Date",B275,"Site",3)+GETPIVOTDATA("Sum of CMrecap",SalmonPivot!$AW$4,"Date",B275,"Site",3)</f>
        <v>10</v>
      </c>
      <c r="P275" s="24">
        <f>GETPIVOTDATA("Sum of CMrad",SalmonPivot!$AW$4,"Date",B275,"Site",3)</f>
        <v>1</v>
      </c>
      <c r="Q275" s="25">
        <f>R275+GETPIVOTDATA("Sum of COno",SalmonPivot!$BI$4,"Date",B275,"Site",3)+GETPIVOTDATA("Sum of COrecap",SalmonPivot!$BI$4,"Date",B275,"Site",3)</f>
        <v>15</v>
      </c>
      <c r="R275" s="24">
        <f>GETPIVOTDATA("Sum of COrad",SalmonPivot!$BI$4,"Date",B275,"Site",3)</f>
        <v>4</v>
      </c>
      <c r="S275" s="24">
        <f>GETPIVOTDATA("Sum of TotalOther",OtherPivot!$J$5,"Date",B275,"Site",3)</f>
        <v>0</v>
      </c>
      <c r="T275" s="38"/>
      <c r="U275" s="172">
        <f>IF(GETPIVOTDATA("3 Revs (s)",EffortRPMPivot!$L$4,"Date",$B275,"Site",3)=0,"",GETPIVOTDATA("3 revs (s)",EffortRPMPivot!$L$4,"date",$B275,"Site",3))</f>
        <v>49</v>
      </c>
      <c r="V275" s="173">
        <f t="shared" si="601"/>
        <v>8.2079343365253077E-2</v>
      </c>
      <c r="W275" s="173">
        <f t="shared" si="602"/>
        <v>0</v>
      </c>
      <c r="X275" s="173">
        <f t="shared" si="603"/>
        <v>8.2079343365253077E-2</v>
      </c>
      <c r="Y275" s="173">
        <f t="shared" si="604"/>
        <v>0</v>
      </c>
      <c r="Z275" s="173">
        <f t="shared" si="605"/>
        <v>0.82079343365253077</v>
      </c>
      <c r="AA275" s="174">
        <f t="shared" si="606"/>
        <v>1.2311901504787961</v>
      </c>
      <c r="AB275" s="188"/>
      <c r="AC275" s="188"/>
      <c r="AD275" s="188"/>
      <c r="AE275" s="188"/>
      <c r="AF275" s="188"/>
      <c r="AG275" s="188"/>
      <c r="AH275" s="189"/>
      <c r="AI275" s="188"/>
      <c r="AJ275" s="188"/>
      <c r="AK275" s="188"/>
      <c r="AL275" s="188"/>
      <c r="AM275" s="188"/>
      <c r="AN275" s="189"/>
      <c r="AO275" s="188"/>
      <c r="AP275" s="188"/>
      <c r="AQ275" s="188"/>
      <c r="AR275" s="188"/>
      <c r="AS275" s="188"/>
      <c r="AT275" s="189"/>
      <c r="AU275" s="188"/>
      <c r="AV275" s="188"/>
      <c r="AW275" s="190"/>
      <c r="AX275" s="190"/>
      <c r="AY275" s="190"/>
      <c r="AZ275" s="191"/>
      <c r="BA275" s="183"/>
      <c r="BB275" s="183"/>
      <c r="BC275" s="183"/>
      <c r="BD275" s="183"/>
      <c r="BE275" s="183"/>
      <c r="BF275" s="184"/>
      <c r="BG275" s="183"/>
      <c r="BH275" s="183"/>
      <c r="BI275" s="183"/>
      <c r="BJ275" s="183"/>
      <c r="BK275" s="183"/>
      <c r="BL275" s="184"/>
      <c r="BO275" s="153"/>
    </row>
    <row r="276" spans="1:67" x14ac:dyDescent="0.2">
      <c r="A276" s="61"/>
      <c r="B276" s="60">
        <f t="shared" si="368"/>
        <v>41876</v>
      </c>
      <c r="C276" s="22">
        <f t="shared" si="600"/>
        <v>3.7762237762237763</v>
      </c>
      <c r="D276" s="23">
        <f>GETPIVOTDATA("Active time (min)",EffortRPMPivot!$A$4,"date",B276,"Site",3)/60</f>
        <v>12</v>
      </c>
      <c r="E276" s="24">
        <f>F276+G276+GETPIVOTDATA("Sum of CNlgNo",SalmonPivot!$A$4,"Date",B276,"Site",3)</f>
        <v>0</v>
      </c>
      <c r="F276" s="24">
        <f>GETPIVOTDATA("Sum of CNlgrad",SalmonPivot!$A$4,"date",B276,"Site",3)</f>
        <v>0</v>
      </c>
      <c r="G276" s="24">
        <f>GETPIVOTDATA("Sum of CNlgrecap",SalmonPivot!$A$4,"date",B276,"Site",3)</f>
        <v>0</v>
      </c>
      <c r="H276" s="24">
        <f>I276+J276+GETPIVOTDATA("Sum of CNsmno",SalmonPivot!$M$4,"Date",B276,"Site",3)</f>
        <v>0</v>
      </c>
      <c r="I276" s="24">
        <f>GETPIVOTDATA("Sum of CNsmradio",SalmonPivot!$M$4,"Date",B276,"Site",3)</f>
        <v>0</v>
      </c>
      <c r="J276" s="24">
        <f>GETPIVOTDATA("Sum of CNsmrecap",SalmonPivot!$M$4,"Date",B276,"Site",3)</f>
        <v>0</v>
      </c>
      <c r="K276" s="24">
        <f>L276+GETPIVOTDATA("Sum of SOno",SalmonPivot!$Y$4,"Date",B276,"Site",3)+GETPIVOTDATA("Sum of SOrecap",SalmonPivot!$Y$4,"Date",B276,"Site",3)</f>
        <v>1</v>
      </c>
      <c r="L276" s="24">
        <f>GETPIVOTDATA("Sum of SOrad",SalmonPivot!$Y$4,"Date",B276,"Site",3)</f>
        <v>1</v>
      </c>
      <c r="M276" s="24">
        <f>N276+GETPIVOTDATA("Sum of PKno",SalmonPivot!$AK$4,"Date",B276,"Site",3)+GETPIVOTDATA("Sum of PKrecap",SalmonPivot!$AK$4,"Date",B276,"Site",3)</f>
        <v>0</v>
      </c>
      <c r="N276" s="24">
        <f>GETPIVOTDATA("Sum of PKrad",SalmonPivot!$AK$4,"Date",B276,"Site",3)</f>
        <v>0</v>
      </c>
      <c r="O276" s="24">
        <f>P276+GETPIVOTDATA("Sum of CMno",SalmonPivot!$AW$4,"Date",B276,"Site",3)+GETPIVOTDATA("Sum of CMrecap",SalmonPivot!$AW$4,"Date",B276,"Site",3)</f>
        <v>5</v>
      </c>
      <c r="P276" s="24">
        <f>GETPIVOTDATA("Sum of CMrad",SalmonPivot!$AW$4,"Date",B276,"Site",3)</f>
        <v>0</v>
      </c>
      <c r="Q276" s="25">
        <f>R276+GETPIVOTDATA("Sum of COno",SalmonPivot!$BI$4,"Date",B276,"Site",3)+GETPIVOTDATA("Sum of COrecap",SalmonPivot!$BI$4,"Date",B276,"Site",3)</f>
        <v>9</v>
      </c>
      <c r="R276" s="24">
        <f>GETPIVOTDATA("Sum of COrad",SalmonPivot!$BI$4,"Date",B276,"Site",3)</f>
        <v>4</v>
      </c>
      <c r="S276" s="24">
        <f>GETPIVOTDATA("Sum of TotalOther",OtherPivot!$J$5,"Date",B276,"Site",3)</f>
        <v>1</v>
      </c>
      <c r="T276" s="38"/>
      <c r="U276" s="172">
        <f>IF(GETPIVOTDATA("3 Revs (s)",EffortRPMPivot!$L$4,"Date",$B276,"Site",3)=0,"",GETPIVOTDATA("3 revs (s)",EffortRPMPivot!$L$4,"date",$B276,"Site",3))</f>
        <v>47.666666666666664</v>
      </c>
      <c r="V276" s="173">
        <f t="shared" si="601"/>
        <v>0</v>
      </c>
      <c r="W276" s="173">
        <f t="shared" si="602"/>
        <v>0</v>
      </c>
      <c r="X276" s="173">
        <f t="shared" si="603"/>
        <v>8.3333333333333329E-2</v>
      </c>
      <c r="Y276" s="173">
        <f t="shared" si="604"/>
        <v>0</v>
      </c>
      <c r="Z276" s="173">
        <f t="shared" si="605"/>
        <v>0.41666666666666669</v>
      </c>
      <c r="AA276" s="174">
        <f t="shared" si="606"/>
        <v>0.75</v>
      </c>
      <c r="AB276" s="188"/>
      <c r="AC276" s="188"/>
      <c r="AD276" s="188"/>
      <c r="AE276" s="188"/>
      <c r="AF276" s="188"/>
      <c r="AG276" s="188"/>
      <c r="AH276" s="189"/>
      <c r="AI276" s="188"/>
      <c r="AJ276" s="188"/>
      <c r="AK276" s="188"/>
      <c r="AL276" s="188"/>
      <c r="AM276" s="188"/>
      <c r="AN276" s="189"/>
      <c r="AO276" s="188"/>
      <c r="AP276" s="188"/>
      <c r="AQ276" s="188"/>
      <c r="AR276" s="188"/>
      <c r="AS276" s="188"/>
      <c r="AT276" s="189"/>
      <c r="AU276" s="188"/>
      <c r="AV276" s="188"/>
      <c r="AW276" s="190"/>
      <c r="AX276" s="190"/>
      <c r="AY276" s="190"/>
      <c r="AZ276" s="191"/>
      <c r="BA276" s="183"/>
      <c r="BB276" s="183"/>
      <c r="BC276" s="183"/>
      <c r="BD276" s="183"/>
      <c r="BE276" s="183"/>
      <c r="BF276" s="184"/>
      <c r="BG276" s="183"/>
      <c r="BH276" s="183"/>
      <c r="BI276" s="183"/>
      <c r="BJ276" s="183"/>
      <c r="BK276" s="183"/>
      <c r="BL276" s="184"/>
      <c r="BO276" s="153"/>
    </row>
    <row r="277" spans="1:67" x14ac:dyDescent="0.2">
      <c r="A277" s="61"/>
      <c r="B277" s="60">
        <f t="shared" si="368"/>
        <v>41877</v>
      </c>
      <c r="C277" s="22">
        <f t="shared" si="600"/>
        <v>3.9705882352941173</v>
      </c>
      <c r="D277" s="23">
        <f>GETPIVOTDATA("Active time (min)",EffortRPMPivot!$A$4,"date",B277,"Site",3)/60</f>
        <v>11.983333333333333</v>
      </c>
      <c r="E277" s="24">
        <f>F277+G277+GETPIVOTDATA("Sum of CNlgNo",SalmonPivot!$A$4,"Date",B277,"Site",3)</f>
        <v>0</v>
      </c>
      <c r="F277" s="24">
        <f>GETPIVOTDATA("Sum of CNlgrad",SalmonPivot!$A$4,"date",B277,"Site",3)</f>
        <v>0</v>
      </c>
      <c r="G277" s="24">
        <f>GETPIVOTDATA("Sum of CNlgrecap",SalmonPivot!$A$4,"date",B277,"Site",3)</f>
        <v>0</v>
      </c>
      <c r="H277" s="24">
        <f>I277+J277+GETPIVOTDATA("Sum of CNsmno",SalmonPivot!$M$4,"Date",B277,"Site",3)</f>
        <v>0</v>
      </c>
      <c r="I277" s="24">
        <f>GETPIVOTDATA("Sum of CNsmradio",SalmonPivot!$M$4,"Date",B277,"Site",3)</f>
        <v>0</v>
      </c>
      <c r="J277" s="24">
        <f>GETPIVOTDATA("Sum of CNsmrecap",SalmonPivot!$M$4,"Date",B277,"Site",3)</f>
        <v>0</v>
      </c>
      <c r="K277" s="24">
        <f>L277+GETPIVOTDATA("Sum of SOno",SalmonPivot!$Y$4,"Date",B277,"Site",3)+GETPIVOTDATA("Sum of SOrecap",SalmonPivot!$Y$4,"Date",B277,"Site",3)</f>
        <v>0</v>
      </c>
      <c r="L277" s="24">
        <f>GETPIVOTDATA("Sum of SOrad",SalmonPivot!$Y$4,"Date",B277,"Site",3)</f>
        <v>0</v>
      </c>
      <c r="M277" s="24">
        <f>N277+GETPIVOTDATA("Sum of PKno",SalmonPivot!$AK$4,"Date",B277,"Site",3)+GETPIVOTDATA("Sum of PKrecap",SalmonPivot!$AK$4,"Date",B277,"Site",3)</f>
        <v>0</v>
      </c>
      <c r="N277" s="24">
        <f>GETPIVOTDATA("Sum of PKrad",SalmonPivot!$AK$4,"Date",B277,"Site",3)</f>
        <v>0</v>
      </c>
      <c r="O277" s="24">
        <f>P277+GETPIVOTDATA("Sum of CMno",SalmonPivot!$AW$4,"Date",B277,"Site",3)+GETPIVOTDATA("Sum of CMrecap",SalmonPivot!$AW$4,"Date",B277,"Site",3)</f>
        <v>4</v>
      </c>
      <c r="P277" s="24">
        <f>GETPIVOTDATA("Sum of CMrad",SalmonPivot!$AW$4,"Date",B277,"Site",3)</f>
        <v>1</v>
      </c>
      <c r="Q277" s="25">
        <f>R277+GETPIVOTDATA("Sum of COno",SalmonPivot!$BI$4,"Date",B277,"Site",3)+GETPIVOTDATA("Sum of COrecap",SalmonPivot!$BI$4,"Date",B277,"Site",3)</f>
        <v>10</v>
      </c>
      <c r="R277" s="24">
        <f>GETPIVOTDATA("Sum of COrad",SalmonPivot!$BI$4,"Date",B277,"Site",3)</f>
        <v>7</v>
      </c>
      <c r="S277" s="24">
        <f>GETPIVOTDATA("Sum of TotalOther",OtherPivot!$J$5,"Date",B277,"Site",3)</f>
        <v>0</v>
      </c>
      <c r="T277" s="38"/>
      <c r="U277" s="172">
        <f>IF(GETPIVOTDATA("3 Revs (s)",EffortRPMPivot!$L$4,"Date",$B277,"Site",3)=0,"",GETPIVOTDATA("3 revs (s)",EffortRPMPivot!$L$4,"date",$B277,"Site",3))</f>
        <v>45.333333333333336</v>
      </c>
      <c r="V277" s="173">
        <f t="shared" si="601"/>
        <v>0</v>
      </c>
      <c r="W277" s="173">
        <f t="shared" si="602"/>
        <v>0</v>
      </c>
      <c r="X277" s="173">
        <f t="shared" si="603"/>
        <v>0</v>
      </c>
      <c r="Y277" s="173">
        <f t="shared" si="604"/>
        <v>0</v>
      </c>
      <c r="Z277" s="173">
        <f t="shared" si="605"/>
        <v>0.3337969401947149</v>
      </c>
      <c r="AA277" s="174">
        <f t="shared" si="606"/>
        <v>0.83449235048678727</v>
      </c>
      <c r="AB277" s="188"/>
      <c r="AC277" s="188"/>
      <c r="AD277" s="188"/>
      <c r="AE277" s="188"/>
      <c r="AF277" s="188"/>
      <c r="AG277" s="188"/>
      <c r="AH277" s="189"/>
      <c r="AI277" s="188"/>
      <c r="AJ277" s="188"/>
      <c r="AK277" s="188"/>
      <c r="AL277" s="188"/>
      <c r="AM277" s="188"/>
      <c r="AN277" s="189"/>
      <c r="AO277" s="188"/>
      <c r="AP277" s="188"/>
      <c r="AQ277" s="188"/>
      <c r="AR277" s="188"/>
      <c r="AS277" s="188"/>
      <c r="AT277" s="189"/>
      <c r="AU277" s="188"/>
      <c r="AV277" s="188"/>
      <c r="AW277" s="190"/>
      <c r="AX277" s="190"/>
      <c r="AY277" s="190"/>
      <c r="AZ277" s="191"/>
      <c r="BA277" s="183"/>
      <c r="BB277" s="183"/>
      <c r="BC277" s="183"/>
      <c r="BD277" s="183"/>
      <c r="BE277" s="183"/>
      <c r="BF277" s="184"/>
      <c r="BG277" s="183"/>
      <c r="BH277" s="183"/>
      <c r="BI277" s="183"/>
      <c r="BJ277" s="183"/>
      <c r="BK277" s="183"/>
      <c r="BL277" s="184"/>
      <c r="BO277" s="153"/>
    </row>
    <row r="278" spans="1:67" x14ac:dyDescent="0.2">
      <c r="A278" s="61"/>
      <c r="B278" s="60">
        <f t="shared" si="368"/>
        <v>41878</v>
      </c>
      <c r="C278" s="22">
        <f t="shared" ref="C278" si="607">IF(ISERROR(3/(U278/60)),"",3/(U278/60))</f>
        <v>3.9130434782608692</v>
      </c>
      <c r="D278" s="23">
        <f>GETPIVOTDATA("Active time (min)",EffortRPMPivot!$A$4,"date",B278,"Site",3)/60</f>
        <v>12.05</v>
      </c>
      <c r="E278" s="24">
        <f>F278+G278+GETPIVOTDATA("Sum of CNlgNo",SalmonPivot!$A$4,"Date",B278,"Site",3)</f>
        <v>0</v>
      </c>
      <c r="F278" s="24">
        <f>GETPIVOTDATA("Sum of CNlgrad",SalmonPivot!$A$4,"date",B278,"Site",3)</f>
        <v>0</v>
      </c>
      <c r="G278" s="24">
        <f>GETPIVOTDATA("Sum of CNlgrecap",SalmonPivot!$A$4,"date",B278,"Site",3)</f>
        <v>0</v>
      </c>
      <c r="H278" s="24">
        <f>I278+J278+GETPIVOTDATA("Sum of CNsmno",SalmonPivot!$M$4,"Date",B278,"Site",3)</f>
        <v>0</v>
      </c>
      <c r="I278" s="24">
        <f>GETPIVOTDATA("Sum of CNsmradio",SalmonPivot!$M$4,"Date",B278,"Site",3)</f>
        <v>0</v>
      </c>
      <c r="J278" s="24">
        <f>GETPIVOTDATA("Sum of CNsmrecap",SalmonPivot!$M$4,"Date",B278,"Site",3)</f>
        <v>0</v>
      </c>
      <c r="K278" s="24">
        <f>L278+GETPIVOTDATA("Sum of SOno",SalmonPivot!$Y$4,"Date",B278,"Site",3)+GETPIVOTDATA("Sum of SOrecap",SalmonPivot!$Y$4,"Date",B278,"Site",3)</f>
        <v>0</v>
      </c>
      <c r="L278" s="24">
        <f>GETPIVOTDATA("Sum of SOrad",SalmonPivot!$Y$4,"Date",B278,"Site",3)</f>
        <v>0</v>
      </c>
      <c r="M278" s="24">
        <f>N278+GETPIVOTDATA("Sum of PKno",SalmonPivot!$AK$4,"Date",B278,"Site",3)+GETPIVOTDATA("Sum of PKrecap",SalmonPivot!$AK$4,"Date",B278,"Site",3)</f>
        <v>0</v>
      </c>
      <c r="N278" s="24">
        <f>GETPIVOTDATA("Sum of PKrad",SalmonPivot!$AK$4,"Date",B278,"Site",3)</f>
        <v>0</v>
      </c>
      <c r="O278" s="24">
        <f>P278+GETPIVOTDATA("Sum of CMno",SalmonPivot!$AW$4,"Date",B278,"Site",3)+GETPIVOTDATA("Sum of CMrecap",SalmonPivot!$AW$4,"Date",B278,"Site",3)</f>
        <v>0</v>
      </c>
      <c r="P278" s="24">
        <f>GETPIVOTDATA("Sum of CMrad",SalmonPivot!$AW$4,"Date",B278,"Site",3)</f>
        <v>0</v>
      </c>
      <c r="Q278" s="25">
        <f>R278+GETPIVOTDATA("Sum of COno",SalmonPivot!$BI$4,"Date",B278,"Site",3)+GETPIVOTDATA("Sum of COrecap",SalmonPivot!$BI$4,"Date",B278,"Site",3)</f>
        <v>3</v>
      </c>
      <c r="R278" s="24">
        <f>GETPIVOTDATA("Sum of COrad",SalmonPivot!$BI$4,"Date",B278,"Site",3)</f>
        <v>3</v>
      </c>
      <c r="S278" s="24">
        <f>GETPIVOTDATA("Sum of TotalOther",OtherPivot!$J$5,"Date",B278,"Site",3)</f>
        <v>0</v>
      </c>
      <c r="T278" s="38"/>
      <c r="U278" s="172">
        <f>IF(GETPIVOTDATA("3 Revs (s)",EffortRPMPivot!$L$4,"Date",$B278,"Site",3)=0,"",GETPIVOTDATA("3 revs (s)",EffortRPMPivot!$L$4,"date",$B278,"Site",3))</f>
        <v>46</v>
      </c>
      <c r="V278" s="173">
        <f t="shared" ref="V278" si="608">IF(D278=0,"",E278/D278)</f>
        <v>0</v>
      </c>
      <c r="W278" s="173">
        <f t="shared" ref="W278" si="609">IF(D278=0,"",H278/D278)</f>
        <v>0</v>
      </c>
      <c r="X278" s="173">
        <f t="shared" ref="X278" si="610">IF(D278=0,"",K278/$D278)</f>
        <v>0</v>
      </c>
      <c r="Y278" s="173">
        <f t="shared" ref="Y278" si="611">IF(D278=0,"",M278/$D278)</f>
        <v>0</v>
      </c>
      <c r="Z278" s="173">
        <f t="shared" ref="Z278" si="612">IF(D278=0,"",O278/$D278)</f>
        <v>0</v>
      </c>
      <c r="AA278" s="174">
        <f t="shared" ref="AA278" si="613">IF(D278=0,"",Q278/$D278)</f>
        <v>0.24896265560165973</v>
      </c>
      <c r="AB278" s="188"/>
      <c r="AC278" s="188"/>
      <c r="AD278" s="188"/>
      <c r="AE278" s="188"/>
      <c r="AF278" s="188"/>
      <c r="AG278" s="188"/>
      <c r="AH278" s="189"/>
      <c r="AI278" s="188"/>
      <c r="AJ278" s="188"/>
      <c r="AK278" s="188"/>
      <c r="AL278" s="188"/>
      <c r="AM278" s="188"/>
      <c r="AN278" s="189"/>
      <c r="AO278" s="188"/>
      <c r="AP278" s="188"/>
      <c r="AQ278" s="188"/>
      <c r="AR278" s="188"/>
      <c r="AS278" s="188"/>
      <c r="AT278" s="189"/>
      <c r="AU278" s="188"/>
      <c r="AV278" s="188"/>
      <c r="AW278" s="190"/>
      <c r="AX278" s="190"/>
      <c r="AY278" s="190"/>
      <c r="AZ278" s="191"/>
      <c r="BA278" s="183"/>
      <c r="BB278" s="183"/>
      <c r="BC278" s="183"/>
      <c r="BD278" s="183"/>
      <c r="BE278" s="183"/>
      <c r="BF278" s="184"/>
      <c r="BG278" s="183"/>
      <c r="BH278" s="183"/>
      <c r="BI278" s="183"/>
      <c r="BJ278" s="183"/>
      <c r="BK278" s="183"/>
      <c r="BL278" s="184"/>
      <c r="BO278" s="153"/>
    </row>
    <row r="279" spans="1:67" x14ac:dyDescent="0.2">
      <c r="A279" s="61"/>
      <c r="B279" s="60">
        <f>B278+1</f>
        <v>41879</v>
      </c>
      <c r="C279" s="22">
        <f t="shared" ref="C279:C280" si="614">IF(ISERROR(3/(U279/60)),"",3/(U279/60))</f>
        <v>4.1860465116279073</v>
      </c>
      <c r="D279" s="23">
        <f>GETPIVOTDATA("Active time (min)",EffortRPMPivot!$A$4,"date",B279,"Site",3)/60</f>
        <v>12.05</v>
      </c>
      <c r="E279" s="24">
        <f>F279+G279+GETPIVOTDATA("Sum of CNlgNo",SalmonPivot!$A$4,"Date",B279,"Site",3)</f>
        <v>0</v>
      </c>
      <c r="F279" s="24">
        <f>GETPIVOTDATA("Sum of CNlgrad",SalmonPivot!$A$4,"date",B279,"Site",3)</f>
        <v>0</v>
      </c>
      <c r="G279" s="24">
        <f>GETPIVOTDATA("Sum of CNlgrecap",SalmonPivot!$A$4,"date",B279,"Site",3)</f>
        <v>0</v>
      </c>
      <c r="H279" s="24">
        <f>I279+J279+GETPIVOTDATA("Sum of CNsmno",SalmonPivot!$M$4,"Date",B279,"Site",3)</f>
        <v>0</v>
      </c>
      <c r="I279" s="24">
        <f>GETPIVOTDATA("Sum of CNsmradio",SalmonPivot!$M$4,"Date",B279,"Site",3)</f>
        <v>0</v>
      </c>
      <c r="J279" s="24">
        <f>GETPIVOTDATA("Sum of CNsmrecap",SalmonPivot!$M$4,"Date",B279,"Site",3)</f>
        <v>0</v>
      </c>
      <c r="K279" s="24">
        <f>L279+GETPIVOTDATA("Sum of SOno",SalmonPivot!$Y$4,"Date",B279,"Site",3)+GETPIVOTDATA("Sum of SOrecap",SalmonPivot!$Y$4,"Date",B279,"Site",3)</f>
        <v>0</v>
      </c>
      <c r="L279" s="24">
        <f>GETPIVOTDATA("Sum of SOrad",SalmonPivot!$Y$4,"Date",B279,"Site",3)</f>
        <v>0</v>
      </c>
      <c r="M279" s="24">
        <f>N279+GETPIVOTDATA("Sum of PKno",SalmonPivot!$AK$4,"Date",B279,"Site",3)+GETPIVOTDATA("Sum of PKrecap",SalmonPivot!$AK$4,"Date",B279,"Site",3)</f>
        <v>0</v>
      </c>
      <c r="N279" s="24">
        <f>GETPIVOTDATA("Sum of PKrad",SalmonPivot!$AK$4,"Date",B279,"Site",3)</f>
        <v>0</v>
      </c>
      <c r="O279" s="24">
        <f>P279+GETPIVOTDATA("Sum of CMno",SalmonPivot!$AW$4,"Date",B279,"Site",3)+GETPIVOTDATA("Sum of CMrecap",SalmonPivot!$AW$4,"Date",B279,"Site",3)</f>
        <v>0</v>
      </c>
      <c r="P279" s="24">
        <f>GETPIVOTDATA("Sum of CMrad",SalmonPivot!$AW$4,"Date",B279,"Site",3)</f>
        <v>0</v>
      </c>
      <c r="Q279" s="25">
        <f>R279+GETPIVOTDATA("Sum of COno",SalmonPivot!$BI$4,"Date",B279,"Site",3)+GETPIVOTDATA("Sum of COrecap",SalmonPivot!$BI$4,"Date",B279,"Site",3)</f>
        <v>4</v>
      </c>
      <c r="R279" s="24">
        <f>GETPIVOTDATA("Sum of COrad",SalmonPivot!$BI$4,"Date",B279,"Site",3)</f>
        <v>2</v>
      </c>
      <c r="S279" s="24">
        <f>GETPIVOTDATA("Sum of TotalOther",OtherPivot!$J$5,"Date",B279,"Site",3)</f>
        <v>0</v>
      </c>
      <c r="T279" s="38"/>
      <c r="U279" s="172">
        <f>IF(GETPIVOTDATA("3 Revs (s)",EffortRPMPivot!$L$4,"Date",$B279,"Site",3)=0,"",GETPIVOTDATA("3 revs (s)",EffortRPMPivot!$L$4,"date",$B279,"Site",3))</f>
        <v>43</v>
      </c>
      <c r="V279" s="173">
        <f t="shared" ref="V279:V280" si="615">IF(D279=0,"",E279/D279)</f>
        <v>0</v>
      </c>
      <c r="W279" s="173">
        <f t="shared" ref="W279:W280" si="616">IF(D279=0,"",H279/D279)</f>
        <v>0</v>
      </c>
      <c r="X279" s="173">
        <f t="shared" ref="X279:X280" si="617">IF(D279=0,"",K279/$D279)</f>
        <v>0</v>
      </c>
      <c r="Y279" s="173">
        <f t="shared" ref="Y279:Y280" si="618">IF(D279=0,"",M279/$D279)</f>
        <v>0</v>
      </c>
      <c r="Z279" s="173">
        <f t="shared" ref="Z279:Z280" si="619">IF(D279=0,"",O279/$D279)</f>
        <v>0</v>
      </c>
      <c r="AA279" s="174">
        <f t="shared" ref="AA279:AA280" si="620">IF(D279=0,"",Q279/$D279)</f>
        <v>0.33195020746887965</v>
      </c>
      <c r="AB279" s="188"/>
      <c r="AC279" s="188"/>
      <c r="AD279" s="188"/>
      <c r="AE279" s="188"/>
      <c r="AF279" s="188"/>
      <c r="AG279" s="188"/>
      <c r="AH279" s="189"/>
      <c r="AI279" s="188"/>
      <c r="AJ279" s="188"/>
      <c r="AK279" s="188"/>
      <c r="AL279" s="188"/>
      <c r="AM279" s="188"/>
      <c r="AN279" s="189"/>
      <c r="AO279" s="188"/>
      <c r="AP279" s="188"/>
      <c r="AQ279" s="188"/>
      <c r="AR279" s="188"/>
      <c r="AS279" s="188"/>
      <c r="AT279" s="189"/>
      <c r="AU279" s="188"/>
      <c r="AV279" s="188"/>
      <c r="AW279" s="190"/>
      <c r="AX279" s="190"/>
      <c r="AY279" s="190"/>
      <c r="AZ279" s="191"/>
      <c r="BA279" s="183"/>
      <c r="BB279" s="183"/>
      <c r="BC279" s="183"/>
      <c r="BD279" s="183"/>
      <c r="BE279" s="183"/>
      <c r="BF279" s="184"/>
      <c r="BG279" s="183"/>
      <c r="BH279" s="183"/>
      <c r="BI279" s="183"/>
      <c r="BJ279" s="183"/>
      <c r="BK279" s="183"/>
      <c r="BL279" s="184"/>
      <c r="BO279" s="153"/>
    </row>
    <row r="280" spans="1:67" x14ac:dyDescent="0.2">
      <c r="A280" s="61"/>
      <c r="B280" s="60">
        <f t="shared" si="368"/>
        <v>41880</v>
      </c>
      <c r="C280" s="22">
        <f t="shared" si="614"/>
        <v>4.6551724137931041</v>
      </c>
      <c r="D280" s="23">
        <f>GETPIVOTDATA("Active time (min)",EffortRPMPivot!$A$4,"date",B280,"Site",3)/60</f>
        <v>12.183333333333334</v>
      </c>
      <c r="E280" s="24">
        <f>F280+G280+GETPIVOTDATA("Sum of CNlgNo",SalmonPivot!$A$4,"Date",B280,"Site",3)</f>
        <v>0</v>
      </c>
      <c r="F280" s="24">
        <f>GETPIVOTDATA("Sum of CNlgrad",SalmonPivot!$A$4,"date",B280,"Site",3)</f>
        <v>0</v>
      </c>
      <c r="G280" s="24">
        <f>GETPIVOTDATA("Sum of CNlgrecap",SalmonPivot!$A$4,"date",B280,"Site",3)</f>
        <v>0</v>
      </c>
      <c r="H280" s="24">
        <f>I280+J280+GETPIVOTDATA("Sum of CNsmno",SalmonPivot!$M$4,"Date",B280,"Site",3)</f>
        <v>0</v>
      </c>
      <c r="I280" s="24">
        <f>GETPIVOTDATA("Sum of CNsmradio",SalmonPivot!$M$4,"Date",B280,"Site",3)</f>
        <v>0</v>
      </c>
      <c r="J280" s="24">
        <f>GETPIVOTDATA("Sum of CNsmrecap",SalmonPivot!$M$4,"Date",B280,"Site",3)</f>
        <v>0</v>
      </c>
      <c r="K280" s="24">
        <f>L280+GETPIVOTDATA("Sum of SOno",SalmonPivot!$Y$4,"Date",B280,"Site",3)+GETPIVOTDATA("Sum of SOrecap",SalmonPivot!$Y$4,"Date",B280,"Site",3)</f>
        <v>0</v>
      </c>
      <c r="L280" s="24">
        <f>GETPIVOTDATA("Sum of SOrad",SalmonPivot!$Y$4,"Date",B280,"Site",3)</f>
        <v>0</v>
      </c>
      <c r="M280" s="24">
        <f>N280+GETPIVOTDATA("Sum of PKno",SalmonPivot!$AK$4,"Date",B280,"Site",3)+GETPIVOTDATA("Sum of PKrecap",SalmonPivot!$AK$4,"Date",B280,"Site",3)</f>
        <v>0</v>
      </c>
      <c r="N280" s="24">
        <f>GETPIVOTDATA("Sum of PKrad",SalmonPivot!$AK$4,"Date",B280,"Site",3)</f>
        <v>0</v>
      </c>
      <c r="O280" s="24">
        <f>P280+GETPIVOTDATA("Sum of CMno",SalmonPivot!$AW$4,"Date",B280,"Site",3)+GETPIVOTDATA("Sum of CMrecap",SalmonPivot!$AW$4,"Date",B280,"Site",3)</f>
        <v>3</v>
      </c>
      <c r="P280" s="24">
        <f>GETPIVOTDATA("Sum of CMrad",SalmonPivot!$AW$4,"Date",B280,"Site",3)</f>
        <v>0</v>
      </c>
      <c r="Q280" s="25">
        <f>R280+GETPIVOTDATA("Sum of COno",SalmonPivot!$BI$4,"Date",B280,"Site",3)+GETPIVOTDATA("Sum of COrecap",SalmonPivot!$BI$4,"Date",B280,"Site",3)</f>
        <v>3</v>
      </c>
      <c r="R280" s="24">
        <f>GETPIVOTDATA("Sum of COrad",SalmonPivot!$BI$4,"Date",B280,"Site",3)</f>
        <v>3</v>
      </c>
      <c r="S280" s="24">
        <f>GETPIVOTDATA("Sum of TotalOther",OtherPivot!$J$5,"Date",B280,"Site",3)</f>
        <v>1</v>
      </c>
      <c r="T280" s="38"/>
      <c r="U280" s="172">
        <f>IF(GETPIVOTDATA("3 Revs (s)",EffortRPMPivot!$L$4,"Date",$B280,"Site",3)=0,"",GETPIVOTDATA("3 revs (s)",EffortRPMPivot!$L$4,"date",$B280,"Site",3))</f>
        <v>38.666666666666664</v>
      </c>
      <c r="V280" s="173">
        <f t="shared" si="615"/>
        <v>0</v>
      </c>
      <c r="W280" s="173">
        <f t="shared" si="616"/>
        <v>0</v>
      </c>
      <c r="X280" s="173">
        <f t="shared" si="617"/>
        <v>0</v>
      </c>
      <c r="Y280" s="173">
        <f t="shared" si="618"/>
        <v>0</v>
      </c>
      <c r="Z280" s="173">
        <f t="shared" si="619"/>
        <v>0.24623803009575923</v>
      </c>
      <c r="AA280" s="174">
        <f t="shared" si="620"/>
        <v>0.24623803009575923</v>
      </c>
      <c r="AB280" s="188"/>
      <c r="AC280" s="188"/>
      <c r="AD280" s="188"/>
      <c r="AE280" s="188"/>
      <c r="AF280" s="188"/>
      <c r="AG280" s="188"/>
      <c r="AH280" s="189"/>
      <c r="AI280" s="188"/>
      <c r="AJ280" s="188"/>
      <c r="AK280" s="188"/>
      <c r="AL280" s="188"/>
      <c r="AM280" s="188"/>
      <c r="AN280" s="189"/>
      <c r="AO280" s="188"/>
      <c r="AP280" s="188"/>
      <c r="AQ280" s="188"/>
      <c r="AR280" s="188"/>
      <c r="AS280" s="188"/>
      <c r="AT280" s="189"/>
      <c r="AU280" s="188"/>
      <c r="AV280" s="188"/>
      <c r="AW280" s="190"/>
      <c r="AX280" s="190"/>
      <c r="AY280" s="190"/>
      <c r="AZ280" s="191"/>
      <c r="BA280" s="183"/>
      <c r="BB280" s="183"/>
      <c r="BC280" s="183"/>
      <c r="BD280" s="183"/>
      <c r="BE280" s="183"/>
      <c r="BF280" s="184"/>
      <c r="BG280" s="183"/>
      <c r="BH280" s="183"/>
      <c r="BI280" s="183"/>
      <c r="BJ280" s="183"/>
      <c r="BK280" s="183"/>
      <c r="BL280" s="184"/>
      <c r="BO280" s="153"/>
    </row>
    <row r="281" spans="1:67" x14ac:dyDescent="0.2">
      <c r="A281" s="61"/>
      <c r="B281" s="60">
        <f t="shared" si="368"/>
        <v>41881</v>
      </c>
      <c r="C281" s="22">
        <f t="shared" ref="C281" si="621">IF(ISERROR(3/(U281/60)),"",3/(U281/60))</f>
        <v>4.615384615384615</v>
      </c>
      <c r="D281" s="23">
        <f>GETPIVOTDATA("Active time (min)",EffortRPMPivot!$A$4,"date",B281,"Site",3)/60</f>
        <v>9.9500000000000011</v>
      </c>
      <c r="E281" s="24">
        <f>F281+G281+GETPIVOTDATA("Sum of CNlgNo",SalmonPivot!$A$4,"Date",B281,"Site",3)</f>
        <v>0</v>
      </c>
      <c r="F281" s="24">
        <f>GETPIVOTDATA("Sum of CNlgrad",SalmonPivot!$A$4,"date",B281,"Site",3)</f>
        <v>0</v>
      </c>
      <c r="G281" s="24">
        <f>GETPIVOTDATA("Sum of CNlgrecap",SalmonPivot!$A$4,"date",B281,"Site",3)</f>
        <v>0</v>
      </c>
      <c r="H281" s="24">
        <f>I281+J281+GETPIVOTDATA("Sum of CNsmno",SalmonPivot!$M$4,"Date",B281,"Site",3)</f>
        <v>0</v>
      </c>
      <c r="I281" s="24">
        <f>GETPIVOTDATA("Sum of CNsmradio",SalmonPivot!$M$4,"Date",B281,"Site",3)</f>
        <v>0</v>
      </c>
      <c r="J281" s="24">
        <f>GETPIVOTDATA("Sum of CNsmrecap",SalmonPivot!$M$4,"Date",B281,"Site",3)</f>
        <v>0</v>
      </c>
      <c r="K281" s="24">
        <f>L281+GETPIVOTDATA("Sum of SOno",SalmonPivot!$Y$4,"Date",B281,"Site",3)+GETPIVOTDATA("Sum of SOrecap",SalmonPivot!$Y$4,"Date",B281,"Site",3)</f>
        <v>0</v>
      </c>
      <c r="L281" s="24">
        <f>GETPIVOTDATA("Sum of SOrad",SalmonPivot!$Y$4,"Date",B281,"Site",3)</f>
        <v>0</v>
      </c>
      <c r="M281" s="24">
        <f>N281+GETPIVOTDATA("Sum of PKno",SalmonPivot!$AK$4,"Date",B281,"Site",3)+GETPIVOTDATA("Sum of PKrecap",SalmonPivot!$AK$4,"Date",B281,"Site",3)</f>
        <v>0</v>
      </c>
      <c r="N281" s="24">
        <f>GETPIVOTDATA("Sum of PKrad",SalmonPivot!$AK$4,"Date",B281,"Site",3)</f>
        <v>0</v>
      </c>
      <c r="O281" s="24">
        <f>P281+GETPIVOTDATA("Sum of CMno",SalmonPivot!$AW$4,"Date",B281,"Site",3)+GETPIVOTDATA("Sum of CMrecap",SalmonPivot!$AW$4,"Date",B281,"Site",3)</f>
        <v>2</v>
      </c>
      <c r="P281" s="24">
        <f>GETPIVOTDATA("Sum of CMrad",SalmonPivot!$AW$4,"Date",B281,"Site",3)</f>
        <v>0</v>
      </c>
      <c r="Q281" s="25">
        <f>R281+GETPIVOTDATA("Sum of COno",SalmonPivot!$BI$4,"Date",B281,"Site",3)+GETPIVOTDATA("Sum of COrecap",SalmonPivot!$BI$4,"Date",B281,"Site",3)</f>
        <v>1</v>
      </c>
      <c r="R281" s="24">
        <f>GETPIVOTDATA("Sum of COrad",SalmonPivot!$BI$4,"Date",B281,"Site",3)</f>
        <v>1</v>
      </c>
      <c r="S281" s="24">
        <f>GETPIVOTDATA("Sum of TotalOther",OtherPivot!$J$5,"Date",B281,"Site",3)</f>
        <v>0</v>
      </c>
      <c r="T281" s="38"/>
      <c r="U281" s="172">
        <f>IF(GETPIVOTDATA("3 Revs (s)",EffortRPMPivot!$L$4,"Date",$B281,"Site",3)=0,"",GETPIVOTDATA("3 revs (s)",EffortRPMPivot!$L$4,"date",$B281,"Site",3))</f>
        <v>39</v>
      </c>
      <c r="V281" s="173">
        <f t="shared" ref="V281" si="622">IF(D281=0,"",E281/D281)</f>
        <v>0</v>
      </c>
      <c r="W281" s="173">
        <f t="shared" ref="W281" si="623">IF(D281=0,"",H281/D281)</f>
        <v>0</v>
      </c>
      <c r="X281" s="173">
        <f t="shared" ref="X281" si="624">IF(D281=0,"",K281/$D281)</f>
        <v>0</v>
      </c>
      <c r="Y281" s="173">
        <f t="shared" ref="Y281" si="625">IF(D281=0,"",M281/$D281)</f>
        <v>0</v>
      </c>
      <c r="Z281" s="173">
        <f t="shared" ref="Z281" si="626">IF(D281=0,"",O281/$D281)</f>
        <v>0.20100502512562812</v>
      </c>
      <c r="AA281" s="174">
        <f t="shared" ref="AA281" si="627">IF(D281=0,"",Q281/$D281)</f>
        <v>0.10050251256281406</v>
      </c>
      <c r="AB281" s="188"/>
      <c r="AC281" s="188"/>
      <c r="AD281" s="188"/>
      <c r="AE281" s="188"/>
      <c r="AF281" s="188"/>
      <c r="AG281" s="188"/>
      <c r="AH281" s="189"/>
      <c r="AI281" s="188"/>
      <c r="AJ281" s="188"/>
      <c r="AK281" s="188"/>
      <c r="AL281" s="188"/>
      <c r="AM281" s="188"/>
      <c r="AN281" s="189"/>
      <c r="AO281" s="188"/>
      <c r="AP281" s="188"/>
      <c r="AQ281" s="188"/>
      <c r="AR281" s="188"/>
      <c r="AS281" s="188"/>
      <c r="AT281" s="189"/>
      <c r="AU281" s="188"/>
      <c r="AV281" s="188"/>
      <c r="AW281" s="190"/>
      <c r="AX281" s="190"/>
      <c r="AY281" s="190"/>
      <c r="AZ281" s="191"/>
      <c r="BA281" s="183"/>
      <c r="BB281" s="183"/>
      <c r="BC281" s="183"/>
      <c r="BD281" s="183"/>
      <c r="BE281" s="183"/>
      <c r="BF281" s="184"/>
      <c r="BG281" s="183"/>
      <c r="BH281" s="183"/>
      <c r="BI281" s="183"/>
      <c r="BJ281" s="183"/>
      <c r="BK281" s="183"/>
      <c r="BL281" s="184"/>
      <c r="BO281" s="153"/>
    </row>
    <row r="282" spans="1:67" x14ac:dyDescent="0.2">
      <c r="A282" s="61"/>
      <c r="B282" s="60">
        <f t="shared" si="368"/>
        <v>41882</v>
      </c>
      <c r="C282" s="22">
        <f t="shared" ref="C282" si="628">IF(ISERROR(3/(U282/60)),"",3/(U282/60))</f>
        <v>4.32</v>
      </c>
      <c r="D282" s="23">
        <f>GETPIVOTDATA("Active time (min)",EffortRPMPivot!$A$4,"date",B282,"Site",3)/60</f>
        <v>9.7666666666666675</v>
      </c>
      <c r="E282" s="24">
        <f>F282+G282+GETPIVOTDATA("Sum of CNlgNo",SalmonPivot!$A$4,"Date",B282,"Site",3)</f>
        <v>0</v>
      </c>
      <c r="F282" s="24">
        <f>GETPIVOTDATA("Sum of CNlgrad",SalmonPivot!$A$4,"date",B282,"Site",3)</f>
        <v>0</v>
      </c>
      <c r="G282" s="24">
        <f>GETPIVOTDATA("Sum of CNlgrecap",SalmonPivot!$A$4,"date",B282,"Site",3)</f>
        <v>0</v>
      </c>
      <c r="H282" s="24">
        <f>I282+J282+GETPIVOTDATA("Sum of CNsmno",SalmonPivot!$M$4,"Date",B282,"Site",3)</f>
        <v>0</v>
      </c>
      <c r="I282" s="24">
        <f>GETPIVOTDATA("Sum of CNsmradio",SalmonPivot!$M$4,"Date",B282,"Site",3)</f>
        <v>0</v>
      </c>
      <c r="J282" s="24">
        <f>GETPIVOTDATA("Sum of CNsmrecap",SalmonPivot!$M$4,"Date",B282,"Site",3)</f>
        <v>0</v>
      </c>
      <c r="K282" s="24">
        <f>L282+GETPIVOTDATA("Sum of SOno",SalmonPivot!$Y$4,"Date",B282,"Site",3)+GETPIVOTDATA("Sum of SOrecap",SalmonPivot!$Y$4,"Date",B282,"Site",3)</f>
        <v>0</v>
      </c>
      <c r="L282" s="24">
        <f>GETPIVOTDATA("Sum of SOrad",SalmonPivot!$Y$4,"Date",B282,"Site",3)</f>
        <v>0</v>
      </c>
      <c r="M282" s="24">
        <f>N282+GETPIVOTDATA("Sum of PKno",SalmonPivot!$AK$4,"Date",B282,"Site",3)+GETPIVOTDATA("Sum of PKrecap",SalmonPivot!$AK$4,"Date",B282,"Site",3)</f>
        <v>0</v>
      </c>
      <c r="N282" s="24">
        <f>GETPIVOTDATA("Sum of PKrad",SalmonPivot!$AK$4,"Date",B282,"Site",3)</f>
        <v>0</v>
      </c>
      <c r="O282" s="24">
        <f>P282+GETPIVOTDATA("Sum of CMno",SalmonPivot!$AW$4,"Date",B282,"Site",3)+GETPIVOTDATA("Sum of CMrecap",SalmonPivot!$AW$4,"Date",B282,"Site",3)</f>
        <v>1</v>
      </c>
      <c r="P282" s="24">
        <f>GETPIVOTDATA("Sum of CMrad",SalmonPivot!$AW$4,"Date",B282,"Site",3)</f>
        <v>0</v>
      </c>
      <c r="Q282" s="25">
        <f>R282+GETPIVOTDATA("Sum of COno",SalmonPivot!$BI$4,"Date",B282,"Site",3)+GETPIVOTDATA("Sum of COrecap",SalmonPivot!$BI$4,"Date",B282,"Site",3)</f>
        <v>2</v>
      </c>
      <c r="R282" s="24">
        <f>GETPIVOTDATA("Sum of COrad",SalmonPivot!$BI$4,"Date",B282,"Site",3)</f>
        <v>2</v>
      </c>
      <c r="S282" s="24">
        <f>GETPIVOTDATA("Sum of TotalOther",OtherPivot!$J$5,"Date",B282,"Site",3)</f>
        <v>1</v>
      </c>
      <c r="T282" s="38"/>
      <c r="U282" s="172">
        <f>IF(GETPIVOTDATA("3 Revs (s)",EffortRPMPivot!$L$4,"Date",$B282,"Site",3)=0,"",GETPIVOTDATA("3 revs (s)",EffortRPMPivot!$L$4,"date",$B282,"Site",3))</f>
        <v>41.666666666666664</v>
      </c>
      <c r="V282" s="173">
        <f t="shared" ref="V282" si="629">IF(D282=0,"",E282/D282)</f>
        <v>0</v>
      </c>
      <c r="W282" s="173">
        <f t="shared" ref="W282" si="630">IF(D282=0,"",H282/D282)</f>
        <v>0</v>
      </c>
      <c r="X282" s="173">
        <f t="shared" ref="X282" si="631">IF(D282=0,"",K282/$D282)</f>
        <v>0</v>
      </c>
      <c r="Y282" s="173">
        <f t="shared" ref="Y282" si="632">IF(D282=0,"",M282/$D282)</f>
        <v>0</v>
      </c>
      <c r="Z282" s="173">
        <f t="shared" ref="Z282" si="633">IF(D282=0,"",O282/$D282)</f>
        <v>0.10238907849829351</v>
      </c>
      <c r="AA282" s="174">
        <f t="shared" ref="AA282" si="634">IF(D282=0,"",Q282/$D282)</f>
        <v>0.20477815699658702</v>
      </c>
      <c r="AB282" s="188"/>
      <c r="AC282" s="188"/>
      <c r="AD282" s="188"/>
      <c r="AE282" s="188"/>
      <c r="AF282" s="188"/>
      <c r="AG282" s="188"/>
      <c r="AH282" s="189"/>
      <c r="AI282" s="188"/>
      <c r="AJ282" s="188"/>
      <c r="AK282" s="188"/>
      <c r="AL282" s="188"/>
      <c r="AM282" s="188"/>
      <c r="AN282" s="189"/>
      <c r="AO282" s="188"/>
      <c r="AP282" s="188"/>
      <c r="AQ282" s="188"/>
      <c r="AR282" s="188"/>
      <c r="AS282" s="188"/>
      <c r="AT282" s="189"/>
      <c r="AU282" s="188"/>
      <c r="AV282" s="188"/>
      <c r="AW282" s="190"/>
      <c r="AX282" s="190"/>
      <c r="AY282" s="190"/>
      <c r="AZ282" s="191"/>
      <c r="BA282" s="183"/>
      <c r="BB282" s="183"/>
      <c r="BC282" s="183"/>
      <c r="BD282" s="183"/>
      <c r="BE282" s="183"/>
      <c r="BF282" s="184"/>
      <c r="BG282" s="183"/>
      <c r="BH282" s="183"/>
      <c r="BI282" s="183"/>
      <c r="BJ282" s="183"/>
      <c r="BK282" s="183"/>
      <c r="BL282" s="184"/>
      <c r="BO282" s="153"/>
    </row>
    <row r="283" spans="1:67" x14ac:dyDescent="0.2">
      <c r="A283" s="61"/>
      <c r="B283" s="60">
        <f t="shared" si="368"/>
        <v>41883</v>
      </c>
      <c r="C283" s="22">
        <f t="shared" ref="C283:C284" si="635">IF(ISERROR(3/(U283/60)),"",3/(U283/60))</f>
        <v>4.0909090909090908</v>
      </c>
      <c r="D283" s="23">
        <f>GETPIVOTDATA("Active time (min)",EffortRPMPivot!$A$4,"date",B283,"Site",3)/60</f>
        <v>9.56666666666667</v>
      </c>
      <c r="E283" s="24">
        <f>F283+G283+GETPIVOTDATA("Sum of CNlgNo",SalmonPivot!$A$4,"Date",B283,"Site",3)</f>
        <v>0</v>
      </c>
      <c r="F283" s="24">
        <f>GETPIVOTDATA("Sum of CNlgrad",SalmonPivot!$A$4,"date",B283,"Site",3)</f>
        <v>0</v>
      </c>
      <c r="G283" s="24">
        <f>GETPIVOTDATA("Sum of CNlgrecap",SalmonPivot!$A$4,"date",B283,"Site",3)</f>
        <v>0</v>
      </c>
      <c r="H283" s="24">
        <f>I283+J283+GETPIVOTDATA("Sum of CNsmno",SalmonPivot!$M$4,"Date",B283,"Site",3)</f>
        <v>0</v>
      </c>
      <c r="I283" s="24">
        <f>GETPIVOTDATA("Sum of CNsmradio",SalmonPivot!$M$4,"Date",B283,"Site",3)</f>
        <v>0</v>
      </c>
      <c r="J283" s="24">
        <f>GETPIVOTDATA("Sum of CNsmrecap",SalmonPivot!$M$4,"Date",B283,"Site",3)</f>
        <v>0</v>
      </c>
      <c r="K283" s="24">
        <f>L283+GETPIVOTDATA("Sum of SOno",SalmonPivot!$Y$4,"Date",B283,"Site",3)+GETPIVOTDATA("Sum of SOrecap",SalmonPivot!$Y$4,"Date",B283,"Site",3)</f>
        <v>0</v>
      </c>
      <c r="L283" s="24">
        <f>GETPIVOTDATA("Sum of SOrad",SalmonPivot!$Y$4,"Date",B283,"Site",3)</f>
        <v>0</v>
      </c>
      <c r="M283" s="24">
        <f>N283+GETPIVOTDATA("Sum of PKno",SalmonPivot!$AK$4,"Date",B283,"Site",3)+GETPIVOTDATA("Sum of PKrecap",SalmonPivot!$AK$4,"Date",B283,"Site",3)</f>
        <v>0</v>
      </c>
      <c r="N283" s="24">
        <f>GETPIVOTDATA("Sum of PKrad",SalmonPivot!$AK$4,"Date",B283,"Site",3)</f>
        <v>0</v>
      </c>
      <c r="O283" s="24">
        <f>P283+GETPIVOTDATA("Sum of CMno",SalmonPivot!$AW$4,"Date",B283,"Site",3)+GETPIVOTDATA("Sum of CMrecap",SalmonPivot!$AW$4,"Date",B283,"Site",3)</f>
        <v>0</v>
      </c>
      <c r="P283" s="24">
        <f>GETPIVOTDATA("Sum of CMrad",SalmonPivot!$AW$4,"Date",B283,"Site",3)</f>
        <v>0</v>
      </c>
      <c r="Q283" s="25">
        <f>R283+GETPIVOTDATA("Sum of COno",SalmonPivot!$BI$4,"Date",B283,"Site",3)+GETPIVOTDATA("Sum of COrecap",SalmonPivot!$BI$4,"Date",B283,"Site",3)</f>
        <v>2</v>
      </c>
      <c r="R283" s="24">
        <f>GETPIVOTDATA("Sum of COrad",SalmonPivot!$BI$4,"Date",B283,"Site",3)</f>
        <v>1</v>
      </c>
      <c r="S283" s="24">
        <f>GETPIVOTDATA("Sum of TotalOther",OtherPivot!$J$5,"Date",B283,"Site",3)</f>
        <v>0</v>
      </c>
      <c r="T283" s="38"/>
      <c r="U283" s="172">
        <f>IF(GETPIVOTDATA("3 Revs (s)",EffortRPMPivot!$L$4,"Date",$B283,"Site",3)=0,"",GETPIVOTDATA("3 revs (s)",EffortRPMPivot!$L$4,"date",$B283,"Site",3))</f>
        <v>44</v>
      </c>
      <c r="V283" s="173">
        <f t="shared" ref="V283:V284" si="636">IF(D283=0,"",E283/D283)</f>
        <v>0</v>
      </c>
      <c r="W283" s="173">
        <f t="shared" ref="W283:W284" si="637">IF(D283=0,"",H283/D283)</f>
        <v>0</v>
      </c>
      <c r="X283" s="173">
        <f t="shared" ref="X283:X284" si="638">IF(D283=0,"",K283/$D283)</f>
        <v>0</v>
      </c>
      <c r="Y283" s="173">
        <f t="shared" ref="Y283:Y284" si="639">IF(D283=0,"",M283/$D283)</f>
        <v>0</v>
      </c>
      <c r="Z283" s="173">
        <f t="shared" ref="Z283:Z284" si="640">IF(D283=0,"",O283/$D283)</f>
        <v>0</v>
      </c>
      <c r="AA283" s="174">
        <f t="shared" ref="AA283:AA284" si="641">IF(D283=0,"",Q283/$D283)</f>
        <v>0.20905923344947727</v>
      </c>
      <c r="AB283" s="188"/>
      <c r="AC283" s="188"/>
      <c r="AD283" s="188"/>
      <c r="AE283" s="188"/>
      <c r="AF283" s="188"/>
      <c r="AG283" s="188"/>
      <c r="AH283" s="189"/>
      <c r="AI283" s="188"/>
      <c r="AJ283" s="188"/>
      <c r="AK283" s="188"/>
      <c r="AL283" s="188"/>
      <c r="AM283" s="188"/>
      <c r="AN283" s="189"/>
      <c r="AO283" s="188"/>
      <c r="AP283" s="188"/>
      <c r="AQ283" s="188"/>
      <c r="AR283" s="188"/>
      <c r="AS283" s="188"/>
      <c r="AT283" s="189"/>
      <c r="AU283" s="188"/>
      <c r="AV283" s="188"/>
      <c r="AW283" s="190"/>
      <c r="AX283" s="190"/>
      <c r="AY283" s="190"/>
      <c r="AZ283" s="191"/>
      <c r="BA283" s="183"/>
      <c r="BB283" s="183"/>
      <c r="BC283" s="183"/>
      <c r="BD283" s="183"/>
      <c r="BE283" s="183"/>
      <c r="BF283" s="184"/>
      <c r="BG283" s="183"/>
      <c r="BH283" s="183"/>
      <c r="BI283" s="183"/>
      <c r="BJ283" s="183"/>
      <c r="BK283" s="183"/>
      <c r="BL283" s="184"/>
      <c r="BO283" s="153"/>
    </row>
    <row r="284" spans="1:67" x14ac:dyDescent="0.2">
      <c r="A284" s="61"/>
      <c r="B284" s="60">
        <f t="shared" si="368"/>
        <v>41884</v>
      </c>
      <c r="C284" s="22">
        <f t="shared" si="635"/>
        <v>4.1379310344827589</v>
      </c>
      <c r="D284" s="23">
        <f>GETPIVOTDATA("Active time (min)",EffortRPMPivot!$A$4,"date",B284,"Site",3)/60</f>
        <v>9.7999999999999989</v>
      </c>
      <c r="E284" s="24">
        <f>F284+G284+GETPIVOTDATA("Sum of CNlgNo",SalmonPivot!$A$4,"Date",B284,"Site",3)</f>
        <v>0</v>
      </c>
      <c r="F284" s="24">
        <f>GETPIVOTDATA("Sum of CNlgrad",SalmonPivot!$A$4,"date",B284,"Site",3)</f>
        <v>0</v>
      </c>
      <c r="G284" s="24">
        <f>GETPIVOTDATA("Sum of CNlgrecap",SalmonPivot!$A$4,"date",B284,"Site",3)</f>
        <v>0</v>
      </c>
      <c r="H284" s="24">
        <f>I284+J284+GETPIVOTDATA("Sum of CNsmno",SalmonPivot!$M$4,"Date",B284,"Site",3)</f>
        <v>0</v>
      </c>
      <c r="I284" s="24">
        <f>GETPIVOTDATA("Sum of CNsmradio",SalmonPivot!$M$4,"Date",B284,"Site",3)</f>
        <v>0</v>
      </c>
      <c r="J284" s="24">
        <f>GETPIVOTDATA("Sum of CNsmrecap",SalmonPivot!$M$4,"Date",B284,"Site",3)</f>
        <v>0</v>
      </c>
      <c r="K284" s="24">
        <f>L284+GETPIVOTDATA("Sum of SOno",SalmonPivot!$Y$4,"Date",B284,"Site",3)+GETPIVOTDATA("Sum of SOrecap",SalmonPivot!$Y$4,"Date",B284,"Site",3)</f>
        <v>0</v>
      </c>
      <c r="L284" s="24">
        <f>GETPIVOTDATA("Sum of SOrad",SalmonPivot!$Y$4,"Date",B284,"Site",3)</f>
        <v>0</v>
      </c>
      <c r="M284" s="24">
        <f>N284+GETPIVOTDATA("Sum of PKno",SalmonPivot!$AK$4,"Date",B284,"Site",3)+GETPIVOTDATA("Sum of PKrecap",SalmonPivot!$AK$4,"Date",B284,"Site",3)</f>
        <v>0</v>
      </c>
      <c r="N284" s="24">
        <f>GETPIVOTDATA("Sum of PKrad",SalmonPivot!$AK$4,"Date",B284,"Site",3)</f>
        <v>0</v>
      </c>
      <c r="O284" s="24">
        <f>P284+GETPIVOTDATA("Sum of CMno",SalmonPivot!$AW$4,"Date",B284,"Site",3)+GETPIVOTDATA("Sum of CMrecap",SalmonPivot!$AW$4,"Date",B284,"Site",3)</f>
        <v>1</v>
      </c>
      <c r="P284" s="24">
        <f>GETPIVOTDATA("Sum of CMrad",SalmonPivot!$AW$4,"Date",B284,"Site",3)</f>
        <v>0</v>
      </c>
      <c r="Q284" s="25">
        <f>R284+GETPIVOTDATA("Sum of COno",SalmonPivot!$BI$4,"Date",B284,"Site",3)+GETPIVOTDATA("Sum of COrecap",SalmonPivot!$BI$4,"Date",B284,"Site",3)</f>
        <v>0</v>
      </c>
      <c r="R284" s="24">
        <f>GETPIVOTDATA("Sum of COrad",SalmonPivot!$BI$4,"Date",B284,"Site",3)</f>
        <v>0</v>
      </c>
      <c r="S284" s="24">
        <f>GETPIVOTDATA("Sum of TotalOther",OtherPivot!$J$5,"Date",B284,"Site",3)</f>
        <v>0</v>
      </c>
      <c r="T284" s="38"/>
      <c r="U284" s="172">
        <f>IF(GETPIVOTDATA("3 Revs (s)",EffortRPMPivot!$L$4,"Date",$B284,"Site",3)=0,"",GETPIVOTDATA("3 revs (s)",EffortRPMPivot!$L$4,"date",$B284,"Site",3))</f>
        <v>43.5</v>
      </c>
      <c r="V284" s="173">
        <f t="shared" si="636"/>
        <v>0</v>
      </c>
      <c r="W284" s="173">
        <f t="shared" si="637"/>
        <v>0</v>
      </c>
      <c r="X284" s="173">
        <f t="shared" si="638"/>
        <v>0</v>
      </c>
      <c r="Y284" s="173">
        <f t="shared" si="639"/>
        <v>0</v>
      </c>
      <c r="Z284" s="173">
        <f t="shared" si="640"/>
        <v>0.10204081632653063</v>
      </c>
      <c r="AA284" s="174">
        <f t="shared" si="641"/>
        <v>0</v>
      </c>
      <c r="AB284" s="188"/>
      <c r="AC284" s="188"/>
      <c r="AD284" s="188"/>
      <c r="AE284" s="188"/>
      <c r="AF284" s="188"/>
      <c r="AG284" s="188"/>
      <c r="AH284" s="189"/>
      <c r="AI284" s="188"/>
      <c r="AJ284" s="188"/>
      <c r="AK284" s="188"/>
      <c r="AL284" s="188"/>
      <c r="AM284" s="188"/>
      <c r="AN284" s="189"/>
      <c r="AO284" s="188"/>
      <c r="AP284" s="188"/>
      <c r="AQ284" s="188"/>
      <c r="AR284" s="188"/>
      <c r="AS284" s="188"/>
      <c r="AT284" s="189"/>
      <c r="AU284" s="188"/>
      <c r="AV284" s="188"/>
      <c r="AW284" s="190"/>
      <c r="AX284" s="190"/>
      <c r="AY284" s="190"/>
      <c r="AZ284" s="191"/>
      <c r="BA284" s="183"/>
      <c r="BB284" s="183"/>
      <c r="BC284" s="183"/>
      <c r="BD284" s="183"/>
      <c r="BE284" s="183"/>
      <c r="BF284" s="184"/>
      <c r="BG284" s="183"/>
      <c r="BH284" s="183"/>
      <c r="BI284" s="183"/>
      <c r="BJ284" s="183"/>
      <c r="BK284" s="183"/>
      <c r="BL284" s="184"/>
      <c r="BO284" s="153"/>
    </row>
    <row r="285" spans="1:67" x14ac:dyDescent="0.2">
      <c r="A285" s="61"/>
      <c r="B285" s="60">
        <f t="shared" si="368"/>
        <v>41885</v>
      </c>
      <c r="C285" s="22">
        <f t="shared" ref="C285" si="642">IF(ISERROR(3/(U285/60)),"",3/(U285/60))</f>
        <v>5.2173913043478262</v>
      </c>
      <c r="D285" s="23">
        <f>GETPIVOTDATA("Active time (min)",EffortRPMPivot!$A$4,"date",B285,"Site",3)/60</f>
        <v>10.55</v>
      </c>
      <c r="E285" s="24">
        <f>F285+G285+GETPIVOTDATA("Sum of CNlgNo",SalmonPivot!$A$4,"Date",B285,"Site",3)</f>
        <v>0</v>
      </c>
      <c r="F285" s="24">
        <f>GETPIVOTDATA("Sum of CNlgrad",SalmonPivot!$A$4,"date",B285,"Site",3)</f>
        <v>0</v>
      </c>
      <c r="G285" s="24">
        <f>GETPIVOTDATA("Sum of CNlgrecap",SalmonPivot!$A$4,"date",B285,"Site",3)</f>
        <v>0</v>
      </c>
      <c r="H285" s="24">
        <f>I285+J285+GETPIVOTDATA("Sum of CNsmno",SalmonPivot!$M$4,"Date",B285,"Site",3)</f>
        <v>0</v>
      </c>
      <c r="I285" s="24">
        <f>GETPIVOTDATA("Sum of CNsmradio",SalmonPivot!$M$4,"Date",B285,"Site",3)</f>
        <v>0</v>
      </c>
      <c r="J285" s="24">
        <f>GETPIVOTDATA("Sum of CNsmrecap",SalmonPivot!$M$4,"Date",B285,"Site",3)</f>
        <v>0</v>
      </c>
      <c r="K285" s="24">
        <f>L285+GETPIVOTDATA("Sum of SOno",SalmonPivot!$Y$4,"Date",B285,"Site",3)+GETPIVOTDATA("Sum of SOrecap",SalmonPivot!$Y$4,"Date",B285,"Site",3)</f>
        <v>0</v>
      </c>
      <c r="L285" s="24">
        <f>GETPIVOTDATA("Sum of SOrad",SalmonPivot!$Y$4,"Date",B285,"Site",3)</f>
        <v>0</v>
      </c>
      <c r="M285" s="24">
        <f>N285+GETPIVOTDATA("Sum of PKno",SalmonPivot!$AK$4,"Date",B285,"Site",3)+GETPIVOTDATA("Sum of PKrecap",SalmonPivot!$AK$4,"Date",B285,"Site",3)</f>
        <v>0</v>
      </c>
      <c r="N285" s="24">
        <f>GETPIVOTDATA("Sum of PKrad",SalmonPivot!$AK$4,"Date",B285,"Site",3)</f>
        <v>0</v>
      </c>
      <c r="O285" s="24">
        <f>P285+GETPIVOTDATA("Sum of CMno",SalmonPivot!$AW$4,"Date",B285,"Site",3)+GETPIVOTDATA("Sum of CMrecap",SalmonPivot!$AW$4,"Date",B285,"Site",3)</f>
        <v>0</v>
      </c>
      <c r="P285" s="24">
        <f>GETPIVOTDATA("Sum of CMrad",SalmonPivot!$AW$4,"Date",B285,"Site",3)</f>
        <v>0</v>
      </c>
      <c r="Q285" s="25">
        <f>R285+GETPIVOTDATA("Sum of COno",SalmonPivot!$BI$4,"Date",B285,"Site",3)+GETPIVOTDATA("Sum of COrecap",SalmonPivot!$BI$4,"Date",B285,"Site",3)</f>
        <v>1</v>
      </c>
      <c r="R285" s="24">
        <f>GETPIVOTDATA("Sum of COrad",SalmonPivot!$BI$4,"Date",B285,"Site",3)</f>
        <v>1</v>
      </c>
      <c r="S285" s="24">
        <f>GETPIVOTDATA("Sum of TotalOther",OtherPivot!$J$5,"Date",B285,"Site",3)</f>
        <v>1</v>
      </c>
      <c r="T285" s="38"/>
      <c r="U285" s="172">
        <f>IF(GETPIVOTDATA("3 Revs (s)",EffortRPMPivot!$L$4,"Date",$B285,"Site",3)=0,"",GETPIVOTDATA("3 revs (s)",EffortRPMPivot!$L$4,"date",$B285,"Site",3))</f>
        <v>34.5</v>
      </c>
      <c r="V285" s="173">
        <f t="shared" ref="V285" si="643">IF(D285=0,"",E285/D285)</f>
        <v>0</v>
      </c>
      <c r="W285" s="173">
        <f t="shared" ref="W285" si="644">IF(D285=0,"",H285/D285)</f>
        <v>0</v>
      </c>
      <c r="X285" s="173">
        <f t="shared" ref="X285" si="645">IF(D285=0,"",K285/$D285)</f>
        <v>0</v>
      </c>
      <c r="Y285" s="173">
        <f t="shared" ref="Y285" si="646">IF(D285=0,"",M285/$D285)</f>
        <v>0</v>
      </c>
      <c r="Z285" s="173">
        <f t="shared" ref="Z285" si="647">IF(D285=0,"",O285/$D285)</f>
        <v>0</v>
      </c>
      <c r="AA285" s="174">
        <f t="shared" ref="AA285" si="648">IF(D285=0,"",Q285/$D285)</f>
        <v>9.4786729857819899E-2</v>
      </c>
      <c r="AB285" s="188"/>
      <c r="AC285" s="188"/>
      <c r="AD285" s="188"/>
      <c r="AE285" s="188"/>
      <c r="AF285" s="188"/>
      <c r="AG285" s="188"/>
      <c r="AH285" s="189"/>
      <c r="AI285" s="188"/>
      <c r="AJ285" s="188"/>
      <c r="AK285" s="188"/>
      <c r="AL285" s="188"/>
      <c r="AM285" s="188"/>
      <c r="AN285" s="189"/>
      <c r="AO285" s="188"/>
      <c r="AP285" s="188"/>
      <c r="AQ285" s="188"/>
      <c r="AR285" s="188"/>
      <c r="AS285" s="188"/>
      <c r="AT285" s="189"/>
      <c r="AU285" s="188"/>
      <c r="AV285" s="188"/>
      <c r="AW285" s="190"/>
      <c r="AX285" s="190"/>
      <c r="AY285" s="190"/>
      <c r="AZ285" s="191"/>
      <c r="BA285" s="183"/>
      <c r="BB285" s="183"/>
      <c r="BC285" s="183"/>
      <c r="BD285" s="183"/>
      <c r="BE285" s="183"/>
      <c r="BF285" s="184"/>
      <c r="BG285" s="183"/>
      <c r="BH285" s="183"/>
      <c r="BI285" s="183"/>
      <c r="BJ285" s="183"/>
      <c r="BK285" s="183"/>
      <c r="BL285" s="184"/>
      <c r="BO285" s="153"/>
    </row>
    <row r="286" spans="1:67" x14ac:dyDescent="0.2">
      <c r="A286" s="61"/>
      <c r="B286" s="60">
        <f t="shared" si="368"/>
        <v>41886</v>
      </c>
      <c r="C286" s="22">
        <f t="shared" ref="C286:C289" si="649">IF(ISERROR(3/(U286/60)),"",3/(U286/60))</f>
        <v>4.6753246753246751</v>
      </c>
      <c r="D286" s="23">
        <f>GETPIVOTDATA("Active time (min)",EffortRPMPivot!$A$4,"date",B286,"Site",3)/60</f>
        <v>9.6333333333333346</v>
      </c>
      <c r="E286" s="24">
        <f>F286+G286+GETPIVOTDATA("Sum of CNlgNo",SalmonPivot!$A$4,"Date",B286,"Site",3)</f>
        <v>0</v>
      </c>
      <c r="F286" s="24">
        <f>GETPIVOTDATA("Sum of CNlgrad",SalmonPivot!$A$4,"date",B286,"Site",3)</f>
        <v>0</v>
      </c>
      <c r="G286" s="24">
        <f>GETPIVOTDATA("Sum of CNlgrecap",SalmonPivot!$A$4,"date",B286,"Site",3)</f>
        <v>0</v>
      </c>
      <c r="H286" s="24">
        <f>I286+J286+GETPIVOTDATA("Sum of CNsmno",SalmonPivot!$M$4,"Date",B286,"Site",3)</f>
        <v>0</v>
      </c>
      <c r="I286" s="24">
        <f>GETPIVOTDATA("Sum of CNsmradio",SalmonPivot!$M$4,"Date",B286,"Site",3)</f>
        <v>0</v>
      </c>
      <c r="J286" s="24">
        <f>GETPIVOTDATA("Sum of CNsmrecap",SalmonPivot!$M$4,"Date",B286,"Site",3)</f>
        <v>0</v>
      </c>
      <c r="K286" s="24">
        <f>L286+GETPIVOTDATA("Sum of SOno",SalmonPivot!$Y$4,"Date",B286,"Site",3)+GETPIVOTDATA("Sum of SOrecap",SalmonPivot!$Y$4,"Date",B286,"Site",3)</f>
        <v>0</v>
      </c>
      <c r="L286" s="24">
        <f>GETPIVOTDATA("Sum of SOrad",SalmonPivot!$Y$4,"Date",B286,"Site",3)</f>
        <v>0</v>
      </c>
      <c r="M286" s="24">
        <f>N286+GETPIVOTDATA("Sum of PKno",SalmonPivot!$AK$4,"Date",B286,"Site",3)+GETPIVOTDATA("Sum of PKrecap",SalmonPivot!$AK$4,"Date",B286,"Site",3)</f>
        <v>0</v>
      </c>
      <c r="N286" s="24">
        <f>GETPIVOTDATA("Sum of PKrad",SalmonPivot!$AK$4,"Date",B286,"Site",3)</f>
        <v>0</v>
      </c>
      <c r="O286" s="24">
        <f>P286+GETPIVOTDATA("Sum of CMno",SalmonPivot!$AW$4,"Date",B286,"Site",3)+GETPIVOTDATA("Sum of CMrecap",SalmonPivot!$AW$4,"Date",B286,"Site",3)</f>
        <v>0</v>
      </c>
      <c r="P286" s="24">
        <f>GETPIVOTDATA("Sum of CMrad",SalmonPivot!$AW$4,"Date",B286,"Site",3)</f>
        <v>0</v>
      </c>
      <c r="Q286" s="25">
        <f>R286+GETPIVOTDATA("Sum of COno",SalmonPivot!$BI$4,"Date",B286,"Site",3)+GETPIVOTDATA("Sum of COrecap",SalmonPivot!$BI$4,"Date",B286,"Site",3)</f>
        <v>0</v>
      </c>
      <c r="R286" s="24">
        <f>GETPIVOTDATA("Sum of COrad",SalmonPivot!$BI$4,"Date",B286,"Site",3)</f>
        <v>0</v>
      </c>
      <c r="S286" s="24">
        <f>GETPIVOTDATA("Sum of TotalOther",OtherPivot!$J$5,"Date",B286,"Site",3)</f>
        <v>0</v>
      </c>
      <c r="T286" s="38"/>
      <c r="U286" s="172">
        <f>IF(GETPIVOTDATA("3 Revs (s)",EffortRPMPivot!$L$4,"Date",$B286,"Site",3)=0,"",GETPIVOTDATA("3 revs (s)",EffortRPMPivot!$L$4,"date",$B286,"Site",3))</f>
        <v>38.5</v>
      </c>
      <c r="V286" s="173">
        <f t="shared" ref="V286:V289" si="650">IF(D286=0,"",E286/D286)</f>
        <v>0</v>
      </c>
      <c r="W286" s="173">
        <f t="shared" ref="W286:W289" si="651">IF(D286=0,"",H286/D286)</f>
        <v>0</v>
      </c>
      <c r="X286" s="173">
        <f t="shared" ref="X286:X289" si="652">IF(D286=0,"",K286/$D286)</f>
        <v>0</v>
      </c>
      <c r="Y286" s="173">
        <f t="shared" ref="Y286:Y289" si="653">IF(D286=0,"",M286/$D286)</f>
        <v>0</v>
      </c>
      <c r="Z286" s="173">
        <f t="shared" ref="Z286:Z289" si="654">IF(D286=0,"",O286/$D286)</f>
        <v>0</v>
      </c>
      <c r="AA286" s="174">
        <f t="shared" ref="AA286:AA289" si="655">IF(D286=0,"",Q286/$D286)</f>
        <v>0</v>
      </c>
      <c r="AB286" s="188"/>
      <c r="AC286" s="188"/>
      <c r="AD286" s="188"/>
      <c r="AE286" s="188"/>
      <c r="AF286" s="188"/>
      <c r="AG286" s="188"/>
      <c r="AH286" s="189"/>
      <c r="AI286" s="188"/>
      <c r="AJ286" s="188"/>
      <c r="AK286" s="188"/>
      <c r="AL286" s="188"/>
      <c r="AM286" s="188"/>
      <c r="AN286" s="189"/>
      <c r="AO286" s="188"/>
      <c r="AP286" s="188"/>
      <c r="AQ286" s="188"/>
      <c r="AR286" s="188"/>
      <c r="AS286" s="188"/>
      <c r="AT286" s="189"/>
      <c r="AU286" s="188"/>
      <c r="AV286" s="188"/>
      <c r="AW286" s="190"/>
      <c r="AX286" s="190"/>
      <c r="AY286" s="190"/>
      <c r="AZ286" s="191"/>
      <c r="BA286" s="183"/>
      <c r="BB286" s="183"/>
      <c r="BC286" s="183"/>
      <c r="BD286" s="183"/>
      <c r="BE286" s="183"/>
      <c r="BF286" s="184"/>
      <c r="BG286" s="183"/>
      <c r="BH286" s="183"/>
      <c r="BI286" s="183"/>
      <c r="BJ286" s="183"/>
      <c r="BK286" s="183"/>
      <c r="BL286" s="184"/>
      <c r="BO286" s="153"/>
    </row>
    <row r="287" spans="1:67" x14ac:dyDescent="0.2">
      <c r="A287" s="61"/>
      <c r="B287" s="60">
        <f t="shared" si="368"/>
        <v>41887</v>
      </c>
      <c r="C287" s="22">
        <f t="shared" si="649"/>
        <v>4.556962025316456</v>
      </c>
      <c r="D287" s="23">
        <f>GETPIVOTDATA("Active time (min)",EffortRPMPivot!$A$4,"date",B287,"Site",3)/60</f>
        <v>10.099999999999998</v>
      </c>
      <c r="E287" s="24">
        <f>F287+G287+GETPIVOTDATA("Sum of CNlgNo",SalmonPivot!$A$4,"Date",B287,"Site",3)</f>
        <v>0</v>
      </c>
      <c r="F287" s="24">
        <f>GETPIVOTDATA("Sum of CNlgrad",SalmonPivot!$A$4,"date",B287,"Site",3)</f>
        <v>0</v>
      </c>
      <c r="G287" s="24">
        <f>GETPIVOTDATA("Sum of CNlgrecap",SalmonPivot!$A$4,"date",B287,"Site",3)</f>
        <v>0</v>
      </c>
      <c r="H287" s="24">
        <f>I287+J287+GETPIVOTDATA("Sum of CNsmno",SalmonPivot!$M$4,"Date",B287,"Site",3)</f>
        <v>0</v>
      </c>
      <c r="I287" s="24">
        <f>GETPIVOTDATA("Sum of CNsmradio",SalmonPivot!$M$4,"Date",B287,"Site",3)</f>
        <v>0</v>
      </c>
      <c r="J287" s="24">
        <f>GETPIVOTDATA("Sum of CNsmrecap",SalmonPivot!$M$4,"Date",B287,"Site",3)</f>
        <v>0</v>
      </c>
      <c r="K287" s="24">
        <f>L287+GETPIVOTDATA("Sum of SOno",SalmonPivot!$Y$4,"Date",B287,"Site",3)+GETPIVOTDATA("Sum of SOrecap",SalmonPivot!$Y$4,"Date",B287,"Site",3)</f>
        <v>0</v>
      </c>
      <c r="L287" s="24">
        <f>GETPIVOTDATA("Sum of SOrad",SalmonPivot!$Y$4,"Date",B287,"Site",3)</f>
        <v>0</v>
      </c>
      <c r="M287" s="24">
        <f>N287+GETPIVOTDATA("Sum of PKno",SalmonPivot!$AK$4,"Date",B287,"Site",3)+GETPIVOTDATA("Sum of PKrecap",SalmonPivot!$AK$4,"Date",B287,"Site",3)</f>
        <v>0</v>
      </c>
      <c r="N287" s="24">
        <f>GETPIVOTDATA("Sum of PKrad",SalmonPivot!$AK$4,"Date",B287,"Site",3)</f>
        <v>0</v>
      </c>
      <c r="O287" s="24">
        <f>P287+GETPIVOTDATA("Sum of CMno",SalmonPivot!$AW$4,"Date",B287,"Site",3)+GETPIVOTDATA("Sum of CMrecap",SalmonPivot!$AW$4,"Date",B287,"Site",3)</f>
        <v>1</v>
      </c>
      <c r="P287" s="24">
        <f>GETPIVOTDATA("Sum of CMrad",SalmonPivot!$AW$4,"Date",B287,"Site",3)</f>
        <v>0</v>
      </c>
      <c r="Q287" s="25">
        <f>R287+GETPIVOTDATA("Sum of COno",SalmonPivot!$BI$4,"Date",B287,"Site",3)+GETPIVOTDATA("Sum of COrecap",SalmonPivot!$BI$4,"Date",B287,"Site",3)</f>
        <v>0</v>
      </c>
      <c r="R287" s="24">
        <f>GETPIVOTDATA("Sum of COrad",SalmonPivot!$BI$4,"Date",B287,"Site",3)</f>
        <v>0</v>
      </c>
      <c r="S287" s="24">
        <f>GETPIVOTDATA("Sum of TotalOther",OtherPivot!$J$5,"Date",B287,"Site",3)</f>
        <v>0</v>
      </c>
      <c r="T287" s="38"/>
      <c r="U287" s="172">
        <f>IF(GETPIVOTDATA("3 Revs (s)",EffortRPMPivot!$L$4,"Date",$B287,"Site",3)=0,"",GETPIVOTDATA("3 revs (s)",EffortRPMPivot!$L$4,"date",$B287,"Site",3))</f>
        <v>39.5</v>
      </c>
      <c r="V287" s="173">
        <f t="shared" si="650"/>
        <v>0</v>
      </c>
      <c r="W287" s="173">
        <f t="shared" si="651"/>
        <v>0</v>
      </c>
      <c r="X287" s="173">
        <f t="shared" si="652"/>
        <v>0</v>
      </c>
      <c r="Y287" s="173">
        <f t="shared" si="653"/>
        <v>0</v>
      </c>
      <c r="Z287" s="173">
        <f t="shared" si="654"/>
        <v>9.9009900990099028E-2</v>
      </c>
      <c r="AA287" s="174">
        <f t="shared" si="655"/>
        <v>0</v>
      </c>
      <c r="AB287" s="188"/>
      <c r="AC287" s="188"/>
      <c r="AD287" s="188"/>
      <c r="AE287" s="188"/>
      <c r="AF287" s="188"/>
      <c r="AG287" s="188"/>
      <c r="AH287" s="189"/>
      <c r="AI287" s="188"/>
      <c r="AJ287" s="188"/>
      <c r="AK287" s="188"/>
      <c r="AL287" s="188"/>
      <c r="AM287" s="188"/>
      <c r="AN287" s="189"/>
      <c r="AO287" s="188"/>
      <c r="AP287" s="188"/>
      <c r="AQ287" s="188"/>
      <c r="AR287" s="188"/>
      <c r="AS287" s="188"/>
      <c r="AT287" s="189"/>
      <c r="AU287" s="188"/>
      <c r="AV287" s="188"/>
      <c r="AW287" s="190"/>
      <c r="AX287" s="190"/>
      <c r="AY287" s="190"/>
      <c r="AZ287" s="191"/>
      <c r="BA287" s="183"/>
      <c r="BB287" s="183"/>
      <c r="BC287" s="183"/>
      <c r="BD287" s="183"/>
      <c r="BE287" s="183"/>
      <c r="BF287" s="184"/>
      <c r="BG287" s="183"/>
      <c r="BH287" s="183"/>
      <c r="BI287" s="183"/>
      <c r="BJ287" s="183"/>
      <c r="BK287" s="183"/>
      <c r="BL287" s="184"/>
      <c r="BO287" s="153"/>
    </row>
    <row r="288" spans="1:67" x14ac:dyDescent="0.2">
      <c r="A288" s="61"/>
      <c r="B288" s="60">
        <f t="shared" si="368"/>
        <v>41888</v>
      </c>
      <c r="C288" s="22">
        <f t="shared" si="649"/>
        <v>4.556962025316456</v>
      </c>
      <c r="D288" s="23">
        <f>GETPIVOTDATA("Active time (min)",EffortRPMPivot!$A$4,"date",B288,"Site",3)/60</f>
        <v>9.7666666666666693</v>
      </c>
      <c r="E288" s="24">
        <f>F288+G288+GETPIVOTDATA("Sum of CNlgNo",SalmonPivot!$A$4,"Date",B288,"Site",3)</f>
        <v>0</v>
      </c>
      <c r="F288" s="24">
        <f>GETPIVOTDATA("Sum of CNlgrad",SalmonPivot!$A$4,"date",B288,"Site",3)</f>
        <v>0</v>
      </c>
      <c r="G288" s="24">
        <f>GETPIVOTDATA("Sum of CNlgrecap",SalmonPivot!$A$4,"date",B288,"Site",3)</f>
        <v>0</v>
      </c>
      <c r="H288" s="24">
        <f>I288+J288+GETPIVOTDATA("Sum of CNsmno",SalmonPivot!$M$4,"Date",B288,"Site",3)</f>
        <v>0</v>
      </c>
      <c r="I288" s="24">
        <f>GETPIVOTDATA("Sum of CNsmradio",SalmonPivot!$M$4,"Date",B288,"Site",3)</f>
        <v>0</v>
      </c>
      <c r="J288" s="24">
        <f>GETPIVOTDATA("Sum of CNsmrecap",SalmonPivot!$M$4,"Date",B288,"Site",3)</f>
        <v>0</v>
      </c>
      <c r="K288" s="24">
        <f>L288+GETPIVOTDATA("Sum of SOno",SalmonPivot!$Y$4,"Date",B288,"Site",3)+GETPIVOTDATA("Sum of SOrecap",SalmonPivot!$Y$4,"Date",B288,"Site",3)</f>
        <v>0</v>
      </c>
      <c r="L288" s="24">
        <f>GETPIVOTDATA("Sum of SOrad",SalmonPivot!$Y$4,"Date",B288,"Site",3)</f>
        <v>0</v>
      </c>
      <c r="M288" s="24">
        <f>N288+GETPIVOTDATA("Sum of PKno",SalmonPivot!$AK$4,"Date",B288,"Site",3)+GETPIVOTDATA("Sum of PKrecap",SalmonPivot!$AK$4,"Date",B288,"Site",3)</f>
        <v>0</v>
      </c>
      <c r="N288" s="24">
        <f>GETPIVOTDATA("Sum of PKrad",SalmonPivot!$AK$4,"Date",B288,"Site",3)</f>
        <v>0</v>
      </c>
      <c r="O288" s="24">
        <f>P288+GETPIVOTDATA("Sum of CMno",SalmonPivot!$AW$4,"Date",B288,"Site",3)+GETPIVOTDATA("Sum of CMrecap",SalmonPivot!$AW$4,"Date",B288,"Site",3)</f>
        <v>0</v>
      </c>
      <c r="P288" s="24">
        <f>GETPIVOTDATA("Sum of CMrad",SalmonPivot!$AW$4,"Date",B288,"Site",3)</f>
        <v>0</v>
      </c>
      <c r="Q288" s="25">
        <f>R288+GETPIVOTDATA("Sum of COno",SalmonPivot!$BI$4,"Date",B288,"Site",3)+GETPIVOTDATA("Sum of COrecap",SalmonPivot!$BI$4,"Date",B288,"Site",3)</f>
        <v>0</v>
      </c>
      <c r="R288" s="24">
        <f>GETPIVOTDATA("Sum of COrad",SalmonPivot!$BI$4,"Date",B288,"Site",3)</f>
        <v>0</v>
      </c>
      <c r="S288" s="24">
        <f>GETPIVOTDATA("Sum of TotalOther",OtherPivot!$J$5,"Date",B288,"Site",3)</f>
        <v>0</v>
      </c>
      <c r="T288" s="38"/>
      <c r="U288" s="172">
        <f>IF(GETPIVOTDATA("3 Revs (s)",EffortRPMPivot!$L$4,"Date",$B288,"Site",3)=0,"",GETPIVOTDATA("3 revs (s)",EffortRPMPivot!$L$4,"date",$B288,"Site",3))</f>
        <v>39.5</v>
      </c>
      <c r="V288" s="173">
        <f t="shared" si="650"/>
        <v>0</v>
      </c>
      <c r="W288" s="173">
        <f t="shared" si="651"/>
        <v>0</v>
      </c>
      <c r="X288" s="173">
        <f t="shared" si="652"/>
        <v>0</v>
      </c>
      <c r="Y288" s="173">
        <f t="shared" si="653"/>
        <v>0</v>
      </c>
      <c r="Z288" s="173">
        <f t="shared" si="654"/>
        <v>0</v>
      </c>
      <c r="AA288" s="174">
        <f t="shared" si="655"/>
        <v>0</v>
      </c>
      <c r="AB288" s="188"/>
      <c r="AC288" s="188"/>
      <c r="AD288" s="188"/>
      <c r="AE288" s="188"/>
      <c r="AF288" s="188"/>
      <c r="AG288" s="188"/>
      <c r="AH288" s="189"/>
      <c r="AI288" s="188"/>
      <c r="AJ288" s="188"/>
      <c r="AK288" s="188"/>
      <c r="AL288" s="188"/>
      <c r="AM288" s="188"/>
      <c r="AN288" s="189"/>
      <c r="AO288" s="188"/>
      <c r="AP288" s="188"/>
      <c r="AQ288" s="188"/>
      <c r="AR288" s="188"/>
      <c r="AS288" s="188"/>
      <c r="AT288" s="189"/>
      <c r="AU288" s="188"/>
      <c r="AV288" s="188"/>
      <c r="AW288" s="190"/>
      <c r="AX288" s="190"/>
      <c r="AY288" s="190"/>
      <c r="AZ288" s="191"/>
      <c r="BA288" s="183"/>
      <c r="BB288" s="183"/>
      <c r="BC288" s="183"/>
      <c r="BD288" s="183"/>
      <c r="BE288" s="183"/>
      <c r="BF288" s="184"/>
      <c r="BG288" s="183"/>
      <c r="BH288" s="183"/>
      <c r="BI288" s="183"/>
      <c r="BJ288" s="183"/>
      <c r="BK288" s="183"/>
      <c r="BL288" s="184"/>
      <c r="BO288" s="153"/>
    </row>
    <row r="289" spans="1:67" x14ac:dyDescent="0.2">
      <c r="A289" s="61"/>
      <c r="B289" s="60">
        <f t="shared" si="368"/>
        <v>41889</v>
      </c>
      <c r="C289" s="22">
        <f t="shared" si="649"/>
        <v>4.615384615384615</v>
      </c>
      <c r="D289" s="23">
        <f>GETPIVOTDATA("Active time (min)",EffortRPMPivot!$A$4,"date",B289,"Site",3)/60</f>
        <v>8.9666666666666686</v>
      </c>
      <c r="E289" s="24">
        <f>F289+G289+GETPIVOTDATA("Sum of CNlgNo",SalmonPivot!$A$4,"Date",B289,"Site",3)</f>
        <v>0</v>
      </c>
      <c r="F289" s="24">
        <f>GETPIVOTDATA("Sum of CNlgrad",SalmonPivot!$A$4,"date",B289,"Site",3)</f>
        <v>0</v>
      </c>
      <c r="G289" s="24">
        <f>GETPIVOTDATA("Sum of CNlgrecap",SalmonPivot!$A$4,"date",B289,"Site",3)</f>
        <v>0</v>
      </c>
      <c r="H289" s="24">
        <f>I289+J289+GETPIVOTDATA("Sum of CNsmno",SalmonPivot!$M$4,"Date",B289,"Site",3)</f>
        <v>0</v>
      </c>
      <c r="I289" s="24">
        <f>GETPIVOTDATA("Sum of CNsmradio",SalmonPivot!$M$4,"Date",B289,"Site",3)</f>
        <v>0</v>
      </c>
      <c r="J289" s="24">
        <f>GETPIVOTDATA("Sum of CNsmrecap",SalmonPivot!$M$4,"Date",B289,"Site",3)</f>
        <v>0</v>
      </c>
      <c r="K289" s="24">
        <f>L289+GETPIVOTDATA("Sum of SOno",SalmonPivot!$Y$4,"Date",B289,"Site",3)+GETPIVOTDATA("Sum of SOrecap",SalmonPivot!$Y$4,"Date",B289,"Site",3)</f>
        <v>0</v>
      </c>
      <c r="L289" s="24">
        <f>GETPIVOTDATA("Sum of SOrad",SalmonPivot!$Y$4,"Date",B289,"Site",3)</f>
        <v>0</v>
      </c>
      <c r="M289" s="24">
        <f>N289+GETPIVOTDATA("Sum of PKno",SalmonPivot!$AK$4,"Date",B289,"Site",3)+GETPIVOTDATA("Sum of PKrecap",SalmonPivot!$AK$4,"Date",B289,"Site",3)</f>
        <v>0</v>
      </c>
      <c r="N289" s="24">
        <f>GETPIVOTDATA("Sum of PKrad",SalmonPivot!$AK$4,"Date",B289,"Site",3)</f>
        <v>0</v>
      </c>
      <c r="O289" s="24">
        <f>P289+GETPIVOTDATA("Sum of CMno",SalmonPivot!$AW$4,"Date",B289,"Site",3)+GETPIVOTDATA("Sum of CMrecap",SalmonPivot!$AW$4,"Date",B289,"Site",3)</f>
        <v>0</v>
      </c>
      <c r="P289" s="24">
        <f>GETPIVOTDATA("Sum of CMrad",SalmonPivot!$AW$4,"Date",B289,"Site",3)</f>
        <v>0</v>
      </c>
      <c r="Q289" s="25">
        <f>R289+GETPIVOTDATA("Sum of COno",SalmonPivot!$BI$4,"Date",B289,"Site",3)+GETPIVOTDATA("Sum of COrecap",SalmonPivot!$BI$4,"Date",B289,"Site",3)</f>
        <v>0</v>
      </c>
      <c r="R289" s="24">
        <f>GETPIVOTDATA("Sum of COrad",SalmonPivot!$BI$4,"Date",B289,"Site",3)</f>
        <v>0</v>
      </c>
      <c r="S289" s="24">
        <f>GETPIVOTDATA("Sum of TotalOther",OtherPivot!$J$5,"Date",B289,"Site",3)</f>
        <v>0</v>
      </c>
      <c r="T289" s="38"/>
      <c r="U289" s="172">
        <f>IF(GETPIVOTDATA("3 Revs (s)",EffortRPMPivot!$L$4,"Date",$B289,"Site",3)=0,"",GETPIVOTDATA("3 revs (s)",EffortRPMPivot!$L$4,"date",$B289,"Site",3))</f>
        <v>39</v>
      </c>
      <c r="V289" s="173">
        <f t="shared" si="650"/>
        <v>0</v>
      </c>
      <c r="W289" s="173">
        <f t="shared" si="651"/>
        <v>0</v>
      </c>
      <c r="X289" s="173">
        <f t="shared" si="652"/>
        <v>0</v>
      </c>
      <c r="Y289" s="173">
        <f t="shared" si="653"/>
        <v>0</v>
      </c>
      <c r="Z289" s="173">
        <f t="shared" si="654"/>
        <v>0</v>
      </c>
      <c r="AA289" s="174">
        <f t="shared" si="655"/>
        <v>0</v>
      </c>
      <c r="AB289" s="188"/>
      <c r="AC289" s="188"/>
      <c r="AD289" s="188"/>
      <c r="AE289" s="188"/>
      <c r="AF289" s="188"/>
      <c r="AG289" s="188"/>
      <c r="AH289" s="189"/>
      <c r="AI289" s="188"/>
      <c r="AJ289" s="188"/>
      <c r="AK289" s="188"/>
      <c r="AL289" s="188"/>
      <c r="AM289" s="188"/>
      <c r="AN289" s="189"/>
      <c r="AO289" s="188"/>
      <c r="AP289" s="188"/>
      <c r="AQ289" s="188"/>
      <c r="AR289" s="188"/>
      <c r="AS289" s="188"/>
      <c r="AT289" s="189"/>
      <c r="AU289" s="188"/>
      <c r="AV289" s="188"/>
      <c r="AW289" s="190"/>
      <c r="AX289" s="190"/>
      <c r="AY289" s="190"/>
      <c r="AZ289" s="191"/>
      <c r="BA289" s="183"/>
      <c r="BB289" s="183"/>
      <c r="BC289" s="183"/>
      <c r="BD289" s="183"/>
      <c r="BE289" s="183"/>
      <c r="BF289" s="184"/>
      <c r="BG289" s="183"/>
      <c r="BH289" s="183"/>
      <c r="BI289" s="183"/>
      <c r="BJ289" s="183"/>
      <c r="BK289" s="183"/>
      <c r="BL289" s="184"/>
      <c r="BO289" s="153"/>
    </row>
    <row r="290" spans="1:67" s="153" customFormat="1" x14ac:dyDescent="0.2">
      <c r="A290" s="63" t="s">
        <v>179</v>
      </c>
      <c r="B290" s="60"/>
      <c r="C290" s="64"/>
      <c r="D290" s="65">
        <f>SUM(D196:D289)</f>
        <v>1301.6166666666668</v>
      </c>
      <c r="E290" s="65">
        <f t="shared" ref="E290:S290" si="656">SUM(E196:E289)</f>
        <v>320</v>
      </c>
      <c r="F290" s="65">
        <f t="shared" si="656"/>
        <v>268</v>
      </c>
      <c r="G290" s="65">
        <f t="shared" si="656"/>
        <v>21</v>
      </c>
      <c r="H290" s="65">
        <f t="shared" si="656"/>
        <v>102</v>
      </c>
      <c r="I290" s="65">
        <f t="shared" si="656"/>
        <v>13</v>
      </c>
      <c r="J290" s="65">
        <f t="shared" si="656"/>
        <v>2</v>
      </c>
      <c r="K290" s="65">
        <f t="shared" si="656"/>
        <v>62</v>
      </c>
      <c r="L290" s="65">
        <f t="shared" si="656"/>
        <v>57</v>
      </c>
      <c r="M290" s="65">
        <f t="shared" si="656"/>
        <v>4389</v>
      </c>
      <c r="N290" s="65">
        <f t="shared" si="656"/>
        <v>101</v>
      </c>
      <c r="O290" s="65">
        <f t="shared" si="656"/>
        <v>471</v>
      </c>
      <c r="P290" s="65">
        <f t="shared" si="656"/>
        <v>87</v>
      </c>
      <c r="Q290" s="65">
        <f t="shared" si="656"/>
        <v>198</v>
      </c>
      <c r="R290" s="65">
        <f t="shared" si="656"/>
        <v>125</v>
      </c>
      <c r="S290" s="65">
        <f t="shared" si="656"/>
        <v>133</v>
      </c>
      <c r="T290" s="41"/>
      <c r="U290" s="192"/>
      <c r="V290" s="179">
        <f>E290/D290</f>
        <v>0.24584811196332762</v>
      </c>
      <c r="W290" s="179">
        <f>H290/D290</f>
        <v>7.8364085688310686E-2</v>
      </c>
      <c r="X290" s="179">
        <f>K290/$D290</f>
        <v>4.7633071692894727E-2</v>
      </c>
      <c r="Y290" s="179">
        <f>M290/$D290</f>
        <v>3.3719605106470154</v>
      </c>
      <c r="Z290" s="179">
        <f>O290/$D290</f>
        <v>0.36185768979602284</v>
      </c>
      <c r="AA290" s="180">
        <f>Q290/$D290</f>
        <v>0.15211851927730896</v>
      </c>
      <c r="AB290" s="188"/>
      <c r="AC290" s="188"/>
      <c r="AD290" s="188"/>
      <c r="AE290" s="188"/>
      <c r="AF290" s="188"/>
      <c r="AG290" s="188"/>
      <c r="AH290" s="189"/>
      <c r="AI290" s="188"/>
      <c r="AJ290" s="188"/>
      <c r="AK290" s="188"/>
      <c r="AL290" s="188"/>
      <c r="AM290" s="188"/>
      <c r="AN290" s="189"/>
      <c r="AO290" s="188"/>
      <c r="AP290" s="188"/>
      <c r="AQ290" s="188"/>
      <c r="AR290" s="188"/>
      <c r="AS290" s="188"/>
      <c r="AT290" s="189"/>
      <c r="AU290" s="188"/>
      <c r="AV290" s="188"/>
      <c r="AW290" s="190"/>
      <c r="AX290" s="190"/>
      <c r="AY290" s="190"/>
      <c r="AZ290" s="191"/>
      <c r="BA290" s="183"/>
      <c r="BB290" s="183"/>
      <c r="BC290" s="183"/>
      <c r="BD290" s="183"/>
      <c r="BE290" s="183"/>
      <c r="BF290" s="184"/>
      <c r="BG290" s="183"/>
      <c r="BH290" s="183"/>
      <c r="BI290" s="183"/>
      <c r="BJ290" s="183"/>
      <c r="BK290" s="183"/>
      <c r="BL290" s="184"/>
      <c r="BM290" s="409"/>
      <c r="BN290" s="409"/>
    </row>
    <row r="291" spans="1:67" s="153" customFormat="1" ht="3" customHeight="1" x14ac:dyDescent="0.2">
      <c r="A291" s="63"/>
      <c r="B291" s="60"/>
      <c r="C291" s="64"/>
      <c r="D291" s="65"/>
      <c r="E291" s="64"/>
      <c r="F291" s="64"/>
      <c r="G291" s="64"/>
      <c r="H291" s="64"/>
      <c r="I291" s="64"/>
      <c r="J291" s="64"/>
      <c r="K291" s="64"/>
      <c r="L291" s="64"/>
      <c r="M291" s="64"/>
      <c r="N291" s="64"/>
      <c r="O291" s="64"/>
      <c r="P291" s="64"/>
      <c r="Q291" s="64"/>
      <c r="R291" s="64"/>
      <c r="S291" s="64"/>
      <c r="T291" s="41"/>
      <c r="U291" s="192"/>
      <c r="V291" s="179"/>
      <c r="W291" s="179"/>
      <c r="X291" s="179"/>
      <c r="Y291" s="179"/>
      <c r="Z291" s="179"/>
      <c r="AA291" s="180"/>
      <c r="AB291" s="188"/>
      <c r="AC291" s="188"/>
      <c r="AD291" s="188"/>
      <c r="AE291" s="188"/>
      <c r="AF291" s="188"/>
      <c r="AG291" s="188"/>
      <c r="AH291" s="189"/>
      <c r="AI291" s="188"/>
      <c r="AJ291" s="188"/>
      <c r="AK291" s="188"/>
      <c r="AL291" s="188"/>
      <c r="AM291" s="188"/>
      <c r="AN291" s="189"/>
      <c r="AO291" s="188"/>
      <c r="AP291" s="188"/>
      <c r="AQ291" s="188"/>
      <c r="AR291" s="188"/>
      <c r="AS291" s="188"/>
      <c r="AT291" s="189"/>
      <c r="AU291" s="188"/>
      <c r="AV291" s="188"/>
      <c r="AW291" s="190"/>
      <c r="AX291" s="190"/>
      <c r="AY291" s="190"/>
      <c r="AZ291" s="191"/>
      <c r="BA291" s="183"/>
      <c r="BB291" s="183"/>
      <c r="BC291" s="183"/>
      <c r="BD291" s="183"/>
      <c r="BE291" s="183"/>
      <c r="BF291" s="184"/>
      <c r="BG291" s="183"/>
      <c r="BH291" s="183"/>
      <c r="BI291" s="183"/>
      <c r="BJ291" s="183"/>
      <c r="BK291" s="183"/>
      <c r="BL291" s="184"/>
      <c r="BM291" s="409"/>
      <c r="BN291" s="409"/>
    </row>
    <row r="292" spans="1:67" s="153" customFormat="1" ht="3" customHeight="1" x14ac:dyDescent="0.2">
      <c r="A292" s="154"/>
      <c r="B292" s="66"/>
      <c r="C292" s="155"/>
      <c r="D292" s="155"/>
      <c r="E292" s="155"/>
      <c r="F292" s="155"/>
      <c r="G292" s="155"/>
      <c r="H292" s="155"/>
      <c r="I292" s="155"/>
      <c r="J292" s="155"/>
      <c r="K292" s="155"/>
      <c r="L292" s="155"/>
      <c r="M292" s="155"/>
      <c r="N292" s="155"/>
      <c r="O292" s="155"/>
      <c r="P292" s="155"/>
      <c r="Q292" s="155"/>
      <c r="R292" s="155"/>
      <c r="S292" s="155"/>
      <c r="T292" s="39"/>
      <c r="U292" s="187"/>
      <c r="V292" s="179"/>
      <c r="W292" s="179"/>
      <c r="X292" s="179"/>
      <c r="Y292" s="179"/>
      <c r="Z292" s="179"/>
      <c r="AA292" s="180"/>
      <c r="AB292" s="188"/>
      <c r="AC292" s="188"/>
      <c r="AD292" s="188"/>
      <c r="AE292" s="188"/>
      <c r="AF292" s="188"/>
      <c r="AG292" s="188"/>
      <c r="AH292" s="189"/>
      <c r="AI292" s="188"/>
      <c r="AJ292" s="188"/>
      <c r="AK292" s="188"/>
      <c r="AL292" s="188"/>
      <c r="AM292" s="188"/>
      <c r="AN292" s="189"/>
      <c r="AO292" s="188"/>
      <c r="AP292" s="188"/>
      <c r="AQ292" s="188"/>
      <c r="AR292" s="188"/>
      <c r="AS292" s="188"/>
      <c r="AT292" s="189"/>
      <c r="AU292" s="188"/>
      <c r="AV292" s="188"/>
      <c r="AW292" s="190"/>
      <c r="AX292" s="190"/>
      <c r="AY292" s="190"/>
      <c r="AZ292" s="191"/>
      <c r="BA292" s="183"/>
      <c r="BB292" s="183"/>
      <c r="BC292" s="183"/>
      <c r="BD292" s="183"/>
      <c r="BE292" s="183"/>
      <c r="BF292" s="184"/>
      <c r="BG292" s="183"/>
      <c r="BH292" s="183"/>
      <c r="BI292" s="183"/>
      <c r="BJ292" s="183"/>
      <c r="BK292" s="183"/>
      <c r="BL292" s="184"/>
      <c r="BM292" s="409"/>
      <c r="BN292" s="409"/>
    </row>
    <row r="293" spans="1:67" s="159" customFormat="1" x14ac:dyDescent="0.2">
      <c r="A293" s="156" t="s">
        <v>12</v>
      </c>
      <c r="B293" s="67"/>
      <c r="C293" s="157"/>
      <c r="D293" s="158">
        <f t="shared" ref="D293:S293" si="657">D98+D194+D290</f>
        <v>3942.333333333333</v>
      </c>
      <c r="E293" s="158">
        <f t="shared" si="657"/>
        <v>672</v>
      </c>
      <c r="F293" s="158">
        <f t="shared" si="657"/>
        <v>590</v>
      </c>
      <c r="G293" s="158">
        <f t="shared" si="657"/>
        <v>30</v>
      </c>
      <c r="H293" s="158">
        <f t="shared" si="657"/>
        <v>205</v>
      </c>
      <c r="I293" s="158">
        <f t="shared" si="657"/>
        <v>33</v>
      </c>
      <c r="J293" s="158">
        <f t="shared" si="657"/>
        <v>2</v>
      </c>
      <c r="K293" s="158">
        <f t="shared" si="657"/>
        <v>213</v>
      </c>
      <c r="L293" s="158">
        <f t="shared" si="657"/>
        <v>200</v>
      </c>
      <c r="M293" s="158">
        <f t="shared" si="657"/>
        <v>7472</v>
      </c>
      <c r="N293" s="158">
        <f t="shared" si="657"/>
        <v>200</v>
      </c>
      <c r="O293" s="158">
        <f t="shared" si="657"/>
        <v>1469</v>
      </c>
      <c r="P293" s="158">
        <f t="shared" si="657"/>
        <v>200</v>
      </c>
      <c r="Q293" s="158">
        <f t="shared" si="657"/>
        <v>334</v>
      </c>
      <c r="R293" s="158">
        <f t="shared" si="657"/>
        <v>212</v>
      </c>
      <c r="S293" s="158">
        <f t="shared" si="657"/>
        <v>188</v>
      </c>
      <c r="T293" s="41"/>
      <c r="U293" s="192"/>
      <c r="V293" s="179">
        <f>E293/$D$293</f>
        <v>0.17045742791916801</v>
      </c>
      <c r="W293" s="179">
        <f>H293/D293</f>
        <v>5.1999661790817622E-2</v>
      </c>
      <c r="X293" s="179">
        <f>K293/$D$293</f>
        <v>5.4028916885093432E-2</v>
      </c>
      <c r="Y293" s="179">
        <f>M293/$D$293</f>
        <v>1.8953242580536063</v>
      </c>
      <c r="Z293" s="179">
        <f>O293/$D$293</f>
        <v>0.37262196668639558</v>
      </c>
      <c r="AA293" s="180">
        <f>Q293/$D$293</f>
        <v>8.4721400186015053E-2</v>
      </c>
      <c r="AB293" s="188"/>
      <c r="AC293" s="188"/>
      <c r="AD293" s="188"/>
      <c r="AE293" s="188"/>
      <c r="AF293" s="188"/>
      <c r="AG293" s="188"/>
      <c r="AH293" s="189"/>
      <c r="AI293" s="188"/>
      <c r="AJ293" s="188"/>
      <c r="AK293" s="188"/>
      <c r="AL293" s="188"/>
      <c r="AM293" s="188"/>
      <c r="AN293" s="189"/>
      <c r="AO293" s="188"/>
      <c r="AP293" s="188"/>
      <c r="AQ293" s="188"/>
      <c r="AR293" s="188"/>
      <c r="AS293" s="188"/>
      <c r="AT293" s="189"/>
      <c r="AU293" s="188"/>
      <c r="AV293" s="188"/>
      <c r="AW293" s="194"/>
      <c r="AX293" s="194"/>
      <c r="AY293" s="194"/>
      <c r="AZ293" s="195"/>
      <c r="BA293" s="196"/>
      <c r="BB293" s="196"/>
      <c r="BC293" s="196"/>
      <c r="BD293" s="196"/>
      <c r="BE293" s="196"/>
      <c r="BF293" s="197"/>
      <c r="BG293" s="196"/>
      <c r="BH293" s="196"/>
      <c r="BI293" s="196"/>
      <c r="BJ293" s="196"/>
      <c r="BK293" s="196"/>
      <c r="BL293" s="197"/>
      <c r="BM293" s="409"/>
      <c r="BN293" s="409"/>
    </row>
    <row r="294" spans="1:67" s="153" customFormat="1" ht="3" customHeight="1" x14ac:dyDescent="0.2">
      <c r="A294" s="160"/>
      <c r="B294" s="68"/>
      <c r="C294" s="161"/>
      <c r="D294" s="161"/>
      <c r="E294" s="161"/>
      <c r="F294" s="161"/>
      <c r="G294" s="161"/>
      <c r="H294" s="161"/>
      <c r="I294" s="161"/>
      <c r="J294" s="161"/>
      <c r="K294" s="161"/>
      <c r="L294" s="161"/>
      <c r="M294" s="161"/>
      <c r="N294" s="161"/>
      <c r="O294" s="161"/>
      <c r="P294" s="161"/>
      <c r="Q294" s="161"/>
      <c r="R294" s="161"/>
      <c r="S294" s="161"/>
      <c r="T294" s="39"/>
      <c r="U294" s="198"/>
      <c r="V294" s="199"/>
      <c r="W294" s="199"/>
      <c r="X294" s="199"/>
      <c r="Y294" s="199"/>
      <c r="Z294" s="199"/>
      <c r="AA294" s="200"/>
      <c r="AB294" s="201"/>
      <c r="AC294" s="201"/>
      <c r="AD294" s="201"/>
      <c r="AE294" s="201"/>
      <c r="AF294" s="201"/>
      <c r="AG294" s="201"/>
      <c r="AH294" s="202"/>
      <c r="AI294" s="203"/>
      <c r="AJ294" s="203"/>
      <c r="AK294" s="203"/>
      <c r="AL294" s="203"/>
      <c r="AM294" s="203"/>
      <c r="AN294" s="204"/>
      <c r="AO294" s="201"/>
      <c r="AP294" s="201"/>
      <c r="AQ294" s="201"/>
      <c r="AR294" s="201"/>
      <c r="AS294" s="201"/>
      <c r="AT294" s="202"/>
      <c r="AU294" s="201"/>
      <c r="AV294" s="201"/>
      <c r="AW294" s="201"/>
      <c r="AX294" s="201"/>
      <c r="AY294" s="201"/>
      <c r="AZ294" s="202"/>
      <c r="BA294" s="183"/>
      <c r="BB294" s="183"/>
      <c r="BC294" s="183"/>
      <c r="BD294" s="183"/>
      <c r="BE294" s="183"/>
      <c r="BF294" s="184"/>
      <c r="BG294" s="183"/>
      <c r="BH294" s="183"/>
      <c r="BI294" s="183"/>
      <c r="BJ294" s="183"/>
      <c r="BK294" s="183"/>
      <c r="BL294" s="184"/>
      <c r="BM294" s="409"/>
      <c r="BN294" s="409"/>
    </row>
    <row r="295" spans="1:67" s="153" customFormat="1" x14ac:dyDescent="0.2">
      <c r="A295" s="61"/>
      <c r="B295" s="60"/>
      <c r="C295" s="61"/>
      <c r="D295" s="61"/>
      <c r="E295" s="61"/>
      <c r="F295" s="61"/>
      <c r="G295" s="61"/>
      <c r="H295" s="61"/>
      <c r="I295" s="61"/>
      <c r="J295" s="61"/>
      <c r="K295" s="61"/>
      <c r="L295" s="61"/>
      <c r="M295" s="61"/>
      <c r="N295" s="61"/>
      <c r="O295" s="61"/>
      <c r="P295" s="61"/>
      <c r="Q295" s="61"/>
      <c r="R295" s="61"/>
      <c r="S295" s="61"/>
      <c r="T295" s="35"/>
      <c r="U295" s="187"/>
      <c r="V295" s="183"/>
      <c r="W295" s="183"/>
      <c r="X295" s="183"/>
      <c r="Y295" s="183"/>
      <c r="Z295" s="183"/>
      <c r="AA295" s="184"/>
      <c r="AB295" s="190"/>
      <c r="AC295" s="190"/>
      <c r="AD295" s="190"/>
      <c r="AE295" s="190"/>
      <c r="AF295" s="190"/>
      <c r="AG295" s="190"/>
      <c r="AH295" s="191"/>
      <c r="AI295" s="190"/>
      <c r="AJ295" s="190"/>
      <c r="AK295" s="190"/>
      <c r="AL295" s="190"/>
      <c r="AM295" s="190"/>
      <c r="AN295" s="191"/>
      <c r="AO295" s="190"/>
      <c r="AP295" s="190"/>
      <c r="AQ295" s="190"/>
      <c r="AR295" s="190"/>
      <c r="AS295" s="190"/>
      <c r="AT295" s="191"/>
      <c r="AU295" s="190"/>
      <c r="AV295" s="190"/>
      <c r="AW295" s="190"/>
      <c r="AX295" s="190"/>
      <c r="AY295" s="190"/>
      <c r="AZ295" s="191"/>
      <c r="BA295" s="183"/>
      <c r="BB295" s="183"/>
      <c r="BC295" s="183"/>
      <c r="BD295" s="183"/>
      <c r="BE295" s="183"/>
      <c r="BF295" s="184"/>
      <c r="BG295" s="183"/>
      <c r="BH295" s="183"/>
      <c r="BI295" s="183"/>
      <c r="BJ295" s="183"/>
      <c r="BK295" s="183"/>
      <c r="BL295" s="184"/>
      <c r="BM295" s="409"/>
      <c r="BN295" s="409"/>
    </row>
    <row r="296" spans="1:67" s="153" customFormat="1" x14ac:dyDescent="0.2">
      <c r="A296" s="61"/>
      <c r="B296" s="60"/>
      <c r="C296" s="61"/>
      <c r="D296" s="61"/>
      <c r="E296" s="69"/>
      <c r="F296" s="61"/>
      <c r="G296" s="69"/>
      <c r="H296" s="61"/>
      <c r="I296" s="61"/>
      <c r="J296" s="61"/>
      <c r="K296" s="61"/>
      <c r="L296" s="61"/>
      <c r="M296" s="61"/>
      <c r="N296" s="61"/>
      <c r="O296" s="61"/>
      <c r="P296" s="61"/>
      <c r="Q296" s="61"/>
      <c r="R296" s="61"/>
      <c r="S296" s="61"/>
      <c r="T296" s="35"/>
      <c r="U296" s="187"/>
      <c r="V296" s="183"/>
      <c r="W296" s="183"/>
      <c r="X296" s="183"/>
      <c r="Y296" s="183"/>
      <c r="Z296" s="183"/>
      <c r="AA296" s="184"/>
      <c r="AB296" s="190"/>
      <c r="AC296" s="190"/>
      <c r="AD296" s="190"/>
      <c r="AE296" s="190"/>
      <c r="AF296" s="190"/>
      <c r="AG296" s="190"/>
      <c r="AH296" s="191"/>
      <c r="AI296" s="190"/>
      <c r="AJ296" s="190"/>
      <c r="AK296" s="190"/>
      <c r="AL296" s="190"/>
      <c r="AM296" s="190"/>
      <c r="AN296" s="191"/>
      <c r="AO296" s="190"/>
      <c r="AP296" s="190"/>
      <c r="AQ296" s="190"/>
      <c r="AR296" s="190"/>
      <c r="AS296" s="190"/>
      <c r="AT296" s="191"/>
      <c r="AU296" s="190"/>
      <c r="AV296" s="190"/>
      <c r="AW296" s="190"/>
      <c r="AX296" s="190"/>
      <c r="AY296" s="190"/>
      <c r="AZ296" s="191"/>
      <c r="BA296" s="183"/>
      <c r="BB296" s="183"/>
      <c r="BC296" s="183"/>
      <c r="BD296" s="183"/>
      <c r="BE296" s="183"/>
      <c r="BF296" s="184"/>
      <c r="BG296" s="183"/>
      <c r="BH296" s="183"/>
      <c r="BI296" s="183"/>
      <c r="BJ296" s="183"/>
      <c r="BK296" s="183"/>
      <c r="BL296" s="184"/>
      <c r="BM296" s="409"/>
      <c r="BN296" s="409"/>
    </row>
    <row r="297" spans="1:67" s="153" customFormat="1" x14ac:dyDescent="0.2">
      <c r="A297" s="61"/>
      <c r="B297" s="61"/>
      <c r="C297" s="60"/>
      <c r="D297" s="61"/>
      <c r="E297" s="70"/>
      <c r="F297" s="61"/>
      <c r="G297" s="61"/>
      <c r="H297" s="61"/>
      <c r="I297" s="61"/>
      <c r="J297" s="61"/>
      <c r="K297" s="61"/>
      <c r="L297" s="61"/>
      <c r="M297" s="61"/>
      <c r="N297" s="61"/>
      <c r="O297" s="61"/>
      <c r="P297" s="61"/>
      <c r="Q297" s="61"/>
      <c r="R297" s="61"/>
      <c r="S297" s="61"/>
      <c r="T297" s="35"/>
      <c r="U297" s="187"/>
      <c r="V297" s="183"/>
      <c r="W297" s="183"/>
      <c r="X297" s="183"/>
      <c r="Y297" s="183"/>
      <c r="Z297" s="183"/>
      <c r="AA297" s="184"/>
      <c r="AB297" s="190"/>
      <c r="AC297" s="190"/>
      <c r="AD297" s="190"/>
      <c r="AE297" s="190"/>
      <c r="AF297" s="190"/>
      <c r="AG297" s="190"/>
      <c r="AH297" s="191"/>
      <c r="AI297" s="190"/>
      <c r="AJ297" s="190"/>
      <c r="AK297" s="190"/>
      <c r="AL297" s="190"/>
      <c r="AM297" s="190"/>
      <c r="AN297" s="191"/>
      <c r="AO297" s="190"/>
      <c r="AP297" s="190"/>
      <c r="AQ297" s="190"/>
      <c r="AR297" s="190"/>
      <c r="AS297" s="190"/>
      <c r="AT297" s="191"/>
      <c r="AU297" s="190"/>
      <c r="AV297" s="190"/>
      <c r="AW297" s="190"/>
      <c r="AX297" s="190"/>
      <c r="AY297" s="190"/>
      <c r="AZ297" s="191"/>
      <c r="BA297" s="183"/>
      <c r="BB297" s="183"/>
      <c r="BC297" s="183"/>
      <c r="BD297" s="183"/>
      <c r="BE297" s="183"/>
      <c r="BF297" s="184"/>
      <c r="BG297" s="183"/>
      <c r="BH297" s="183"/>
      <c r="BI297" s="183"/>
      <c r="BJ297" s="183"/>
      <c r="BK297" s="183"/>
      <c r="BL297" s="184"/>
      <c r="BM297" s="409"/>
      <c r="BN297" s="409"/>
    </row>
    <row r="298" spans="1:67" s="153" customFormat="1" x14ac:dyDescent="0.2">
      <c r="A298" s="61"/>
      <c r="B298" s="61"/>
      <c r="C298" s="60"/>
      <c r="D298" s="61"/>
      <c r="E298" s="70"/>
      <c r="F298" s="61"/>
      <c r="G298" s="61"/>
      <c r="H298" s="61"/>
      <c r="I298" s="61"/>
      <c r="J298" s="61"/>
      <c r="K298" s="61"/>
      <c r="L298" s="61"/>
      <c r="M298" s="61"/>
      <c r="N298" s="61"/>
      <c r="O298" s="61"/>
      <c r="P298" s="61"/>
      <c r="Q298" s="61"/>
      <c r="R298" s="61"/>
      <c r="S298" s="61"/>
      <c r="T298" s="35"/>
      <c r="U298" s="187"/>
      <c r="V298" s="183"/>
      <c r="W298" s="183"/>
      <c r="X298" s="183"/>
      <c r="Y298" s="183"/>
      <c r="Z298" s="183"/>
      <c r="AA298" s="184"/>
      <c r="AB298" s="190"/>
      <c r="AC298" s="190"/>
      <c r="AD298" s="190"/>
      <c r="AE298" s="190"/>
      <c r="AF298" s="190"/>
      <c r="AG298" s="190"/>
      <c r="AH298" s="191"/>
      <c r="AI298" s="190"/>
      <c r="AJ298" s="190"/>
      <c r="AK298" s="190"/>
      <c r="AL298" s="190"/>
      <c r="AM298" s="190"/>
      <c r="AN298" s="191"/>
      <c r="AO298" s="190"/>
      <c r="AP298" s="190"/>
      <c r="AQ298" s="190"/>
      <c r="AR298" s="190"/>
      <c r="AS298" s="190"/>
      <c r="AT298" s="191"/>
      <c r="AU298" s="190"/>
      <c r="AV298" s="190"/>
      <c r="AW298" s="190"/>
      <c r="AX298" s="190"/>
      <c r="AY298" s="190"/>
      <c r="AZ298" s="191"/>
      <c r="BA298" s="183"/>
      <c r="BB298" s="183"/>
      <c r="BC298" s="183"/>
      <c r="BD298" s="183"/>
      <c r="BE298" s="183"/>
      <c r="BF298" s="184"/>
      <c r="BG298" s="183"/>
      <c r="BH298" s="183"/>
      <c r="BI298" s="183"/>
      <c r="BJ298" s="183"/>
      <c r="BK298" s="183"/>
      <c r="BL298" s="184"/>
      <c r="BM298" s="409"/>
      <c r="BN298" s="409"/>
    </row>
    <row r="299" spans="1:67" s="153" customFormat="1" x14ac:dyDescent="0.2">
      <c r="A299" s="61"/>
      <c r="B299" s="60"/>
      <c r="C299" s="61"/>
      <c r="D299" s="61"/>
      <c r="E299" s="61"/>
      <c r="F299" s="61"/>
      <c r="G299" s="61"/>
      <c r="H299" s="61"/>
      <c r="I299" s="61"/>
      <c r="J299" s="61"/>
      <c r="K299" s="61"/>
      <c r="L299" s="61"/>
      <c r="M299" s="61"/>
      <c r="N299" s="61"/>
      <c r="O299" s="61"/>
      <c r="P299" s="61"/>
      <c r="Q299" s="61"/>
      <c r="R299" s="61"/>
      <c r="S299" s="61"/>
      <c r="T299" s="35"/>
      <c r="U299" s="187"/>
      <c r="V299" s="190"/>
      <c r="W299" s="190"/>
      <c r="X299" s="190"/>
      <c r="Y299" s="190"/>
      <c r="Z299" s="190"/>
      <c r="AA299" s="191"/>
      <c r="AB299" s="190"/>
      <c r="AC299" s="190"/>
      <c r="AD299" s="190"/>
      <c r="AE299" s="190"/>
      <c r="AF299" s="190"/>
      <c r="AG299" s="190"/>
      <c r="AH299" s="191"/>
      <c r="AI299" s="190"/>
      <c r="AJ299" s="190"/>
      <c r="AK299" s="190"/>
      <c r="AL299" s="190"/>
      <c r="AM299" s="190"/>
      <c r="AN299" s="191"/>
      <c r="AO299" s="190"/>
      <c r="AP299" s="190"/>
      <c r="AQ299" s="190"/>
      <c r="AR299" s="190"/>
      <c r="AS299" s="190"/>
      <c r="AT299" s="191"/>
      <c r="AU299" s="190"/>
      <c r="AV299" s="190"/>
      <c r="AW299" s="190"/>
      <c r="AX299" s="190"/>
      <c r="AY299" s="190"/>
      <c r="AZ299" s="191"/>
      <c r="BA299" s="183"/>
      <c r="BB299" s="183"/>
      <c r="BC299" s="183"/>
      <c r="BD299" s="183"/>
      <c r="BE299" s="183"/>
      <c r="BF299" s="184"/>
      <c r="BG299" s="183"/>
      <c r="BH299" s="183"/>
      <c r="BI299" s="183"/>
      <c r="BJ299" s="183"/>
      <c r="BK299" s="183"/>
      <c r="BL299" s="184"/>
      <c r="BM299" s="409"/>
      <c r="BN299" s="409"/>
    </row>
    <row r="300" spans="1:67" s="153" customFormat="1" x14ac:dyDescent="0.2">
      <c r="A300" s="71"/>
      <c r="B300" s="72"/>
      <c r="C300" s="61"/>
      <c r="D300" s="80"/>
      <c r="E300" s="80"/>
      <c r="F300" s="80"/>
      <c r="G300" s="61"/>
      <c r="H300" s="61"/>
      <c r="I300" s="61"/>
      <c r="J300" s="61"/>
      <c r="K300" s="109"/>
      <c r="L300" s="109"/>
      <c r="M300" s="61"/>
      <c r="N300" s="61"/>
      <c r="O300" s="61"/>
      <c r="P300" s="61"/>
      <c r="Q300" s="61"/>
      <c r="R300" s="61"/>
      <c r="S300" s="61"/>
      <c r="T300" s="35"/>
      <c r="U300" s="187"/>
      <c r="V300" s="190"/>
      <c r="W300" s="190"/>
      <c r="X300" s="190"/>
      <c r="Y300" s="190"/>
      <c r="Z300" s="190"/>
      <c r="AA300" s="191"/>
      <c r="AB300" s="190"/>
      <c r="AC300" s="190"/>
      <c r="AD300" s="190"/>
      <c r="AE300" s="190"/>
      <c r="AF300" s="190"/>
      <c r="AG300" s="190"/>
      <c r="AH300" s="191"/>
      <c r="AI300" s="190"/>
      <c r="AJ300" s="190"/>
      <c r="AK300" s="190"/>
      <c r="AL300" s="190"/>
      <c r="AM300" s="190"/>
      <c r="AN300" s="191"/>
      <c r="AO300" s="190"/>
      <c r="AP300" s="190"/>
      <c r="AQ300" s="190"/>
      <c r="AR300" s="190"/>
      <c r="AS300" s="190"/>
      <c r="AT300" s="191"/>
      <c r="AU300" s="190"/>
      <c r="AV300" s="190"/>
      <c r="AW300" s="190"/>
      <c r="AX300" s="190"/>
      <c r="AY300" s="190"/>
      <c r="AZ300" s="191"/>
      <c r="BA300" s="183"/>
      <c r="BB300" s="183"/>
      <c r="BC300" s="183"/>
      <c r="BD300" s="183"/>
      <c r="BE300" s="183"/>
      <c r="BF300" s="184"/>
      <c r="BG300" s="183"/>
      <c r="BH300" s="183"/>
      <c r="BI300" s="183"/>
      <c r="BJ300" s="183"/>
      <c r="BK300" s="183"/>
      <c r="BL300" s="184"/>
      <c r="BM300" s="409"/>
      <c r="BN300" s="409"/>
    </row>
    <row r="301" spans="1:67" s="153" customFormat="1" x14ac:dyDescent="0.2">
      <c r="A301" s="71"/>
      <c r="B301" s="72"/>
      <c r="C301" s="61"/>
      <c r="D301" s="80"/>
      <c r="E301" s="80"/>
      <c r="F301" s="80"/>
      <c r="G301" s="61"/>
      <c r="H301" s="61"/>
      <c r="I301" s="61"/>
      <c r="J301" s="61"/>
      <c r="K301" s="109"/>
      <c r="L301" s="109"/>
      <c r="M301" s="61"/>
      <c r="N301" s="61"/>
      <c r="O301" s="61"/>
      <c r="P301" s="61"/>
      <c r="Q301" s="61"/>
      <c r="R301" s="61"/>
      <c r="S301" s="61"/>
      <c r="T301" s="35"/>
      <c r="U301" s="187"/>
      <c r="V301" s="190"/>
      <c r="W301" s="190"/>
      <c r="X301" s="190"/>
      <c r="Y301" s="190"/>
      <c r="Z301" s="190"/>
      <c r="AA301" s="191"/>
      <c r="AB301" s="190"/>
      <c r="AC301" s="190"/>
      <c r="AD301" s="190"/>
      <c r="AE301" s="190"/>
      <c r="AF301" s="190"/>
      <c r="AG301" s="190"/>
      <c r="AH301" s="191"/>
      <c r="AI301" s="190"/>
      <c r="AJ301" s="190"/>
      <c r="AK301" s="190"/>
      <c r="AL301" s="190"/>
      <c r="AM301" s="190"/>
      <c r="AN301" s="191"/>
      <c r="AO301" s="190"/>
      <c r="AP301" s="190"/>
      <c r="AQ301" s="190"/>
      <c r="AR301" s="190"/>
      <c r="AS301" s="190"/>
      <c r="AT301" s="191"/>
      <c r="AU301" s="190"/>
      <c r="AV301" s="190"/>
      <c r="AW301" s="190"/>
      <c r="AX301" s="190"/>
      <c r="AY301" s="190"/>
      <c r="AZ301" s="191"/>
      <c r="BA301" s="183"/>
      <c r="BB301" s="183"/>
      <c r="BC301" s="183"/>
      <c r="BD301" s="183"/>
      <c r="BE301" s="183"/>
      <c r="BF301" s="184"/>
      <c r="BG301" s="183"/>
      <c r="BH301" s="183"/>
      <c r="BI301" s="183"/>
      <c r="BJ301" s="183"/>
      <c r="BK301" s="183"/>
      <c r="BL301" s="184"/>
      <c r="BM301" s="409"/>
      <c r="BN301" s="409"/>
    </row>
    <row r="302" spans="1:67" s="153" customFormat="1" x14ac:dyDescent="0.2">
      <c r="A302" s="71"/>
      <c r="B302" s="72"/>
      <c r="C302" s="61"/>
      <c r="D302" s="80"/>
      <c r="E302" s="80"/>
      <c r="F302" s="80"/>
      <c r="G302" s="61"/>
      <c r="H302" s="61"/>
      <c r="I302" s="61"/>
      <c r="J302" s="61"/>
      <c r="K302" s="109"/>
      <c r="L302" s="109"/>
      <c r="M302" s="61"/>
      <c r="N302" s="61"/>
      <c r="O302" s="61"/>
      <c r="P302" s="61"/>
      <c r="Q302" s="61"/>
      <c r="R302" s="61"/>
      <c r="S302" s="61"/>
      <c r="T302" s="35"/>
      <c r="U302" s="187"/>
      <c r="V302" s="190"/>
      <c r="W302" s="190"/>
      <c r="X302" s="190"/>
      <c r="Y302" s="190"/>
      <c r="Z302" s="190"/>
      <c r="AA302" s="191"/>
      <c r="AB302" s="190"/>
      <c r="AC302" s="190"/>
      <c r="AD302" s="190"/>
      <c r="AE302" s="190"/>
      <c r="AF302" s="190"/>
      <c r="AG302" s="190"/>
      <c r="AH302" s="191"/>
      <c r="AI302" s="190"/>
      <c r="AJ302" s="190"/>
      <c r="AK302" s="190"/>
      <c r="AL302" s="190"/>
      <c r="AM302" s="190"/>
      <c r="AN302" s="191"/>
      <c r="AO302" s="190"/>
      <c r="AP302" s="190"/>
      <c r="AQ302" s="190"/>
      <c r="AR302" s="190"/>
      <c r="AS302" s="190"/>
      <c r="AT302" s="191"/>
      <c r="AU302" s="190"/>
      <c r="AV302" s="190"/>
      <c r="AW302" s="190"/>
      <c r="AX302" s="190"/>
      <c r="AY302" s="190"/>
      <c r="AZ302" s="191"/>
      <c r="BA302" s="183"/>
      <c r="BB302" s="183"/>
      <c r="BC302" s="183"/>
      <c r="BD302" s="183"/>
      <c r="BE302" s="183"/>
      <c r="BF302" s="184"/>
      <c r="BG302" s="183"/>
      <c r="BH302" s="183"/>
      <c r="BI302" s="183"/>
      <c r="BJ302" s="183"/>
      <c r="BK302" s="183"/>
      <c r="BL302" s="184"/>
      <c r="BM302" s="409"/>
      <c r="BN302" s="409"/>
    </row>
    <row r="303" spans="1:67" s="153" customFormat="1" x14ac:dyDescent="0.2">
      <c r="A303" s="71"/>
      <c r="B303" s="72"/>
      <c r="C303" s="61"/>
      <c r="D303" s="80"/>
      <c r="E303" s="80"/>
      <c r="F303" s="80"/>
      <c r="G303" s="61"/>
      <c r="H303" s="61"/>
      <c r="I303" s="61"/>
      <c r="J303" s="61"/>
      <c r="K303" s="109"/>
      <c r="L303" s="109"/>
      <c r="M303" s="61"/>
      <c r="N303" s="61"/>
      <c r="O303" s="61"/>
      <c r="P303" s="61"/>
      <c r="Q303" s="61"/>
      <c r="R303" s="61"/>
      <c r="S303" s="61"/>
      <c r="T303" s="35"/>
      <c r="U303" s="187"/>
      <c r="V303" s="190"/>
      <c r="W303" s="190"/>
      <c r="X303" s="190"/>
      <c r="Y303" s="190"/>
      <c r="Z303" s="190"/>
      <c r="AA303" s="191"/>
      <c r="AB303" s="190"/>
      <c r="AC303" s="190"/>
      <c r="AD303" s="190"/>
      <c r="AE303" s="190"/>
      <c r="AF303" s="190"/>
      <c r="AG303" s="190"/>
      <c r="AH303" s="191"/>
      <c r="AI303" s="190"/>
      <c r="AJ303" s="190"/>
      <c r="AK303" s="190"/>
      <c r="AL303" s="190"/>
      <c r="AM303" s="190"/>
      <c r="AN303" s="191"/>
      <c r="AO303" s="190"/>
      <c r="AP303" s="190"/>
      <c r="AQ303" s="190"/>
      <c r="AR303" s="190"/>
      <c r="AS303" s="190"/>
      <c r="AT303" s="191"/>
      <c r="AU303" s="190"/>
      <c r="AV303" s="190"/>
      <c r="AW303" s="190"/>
      <c r="AX303" s="190"/>
      <c r="AY303" s="190"/>
      <c r="AZ303" s="191"/>
      <c r="BA303" s="183"/>
      <c r="BB303" s="183"/>
      <c r="BC303" s="183"/>
      <c r="BD303" s="183"/>
      <c r="BE303" s="183"/>
      <c r="BF303" s="184"/>
      <c r="BG303" s="183"/>
      <c r="BH303" s="183"/>
      <c r="BI303" s="183"/>
      <c r="BJ303" s="183"/>
      <c r="BK303" s="183"/>
      <c r="BL303" s="184"/>
      <c r="BM303" s="409"/>
      <c r="BN303" s="409"/>
    </row>
    <row r="304" spans="1:67" s="153" customFormat="1" x14ac:dyDescent="0.2">
      <c r="A304" s="71"/>
      <c r="B304" s="72"/>
      <c r="C304" s="61"/>
      <c r="D304" s="80"/>
      <c r="E304" s="80"/>
      <c r="F304" s="80"/>
      <c r="G304" s="61"/>
      <c r="H304" s="61"/>
      <c r="I304" s="61"/>
      <c r="J304" s="61"/>
      <c r="K304" s="109"/>
      <c r="L304" s="109"/>
      <c r="M304" s="61"/>
      <c r="N304" s="61"/>
      <c r="O304" s="61"/>
      <c r="P304" s="61"/>
      <c r="Q304" s="61"/>
      <c r="R304" s="61"/>
      <c r="S304" s="61"/>
      <c r="T304" s="35"/>
      <c r="U304" s="187"/>
      <c r="V304" s="190"/>
      <c r="W304" s="190"/>
      <c r="X304" s="190"/>
      <c r="Y304" s="190"/>
      <c r="Z304" s="190"/>
      <c r="AA304" s="191"/>
      <c r="AB304" s="190"/>
      <c r="AC304" s="190"/>
      <c r="AD304" s="190"/>
      <c r="AE304" s="190"/>
      <c r="AF304" s="190"/>
      <c r="AG304" s="190"/>
      <c r="AH304" s="191"/>
      <c r="AI304" s="190"/>
      <c r="AJ304" s="190"/>
      <c r="AK304" s="190"/>
      <c r="AL304" s="190"/>
      <c r="AM304" s="190"/>
      <c r="AN304" s="191"/>
      <c r="AO304" s="190"/>
      <c r="AP304" s="190"/>
      <c r="AQ304" s="190"/>
      <c r="AR304" s="190"/>
      <c r="AS304" s="190"/>
      <c r="AT304" s="191"/>
      <c r="AU304" s="190"/>
      <c r="AV304" s="190"/>
      <c r="AW304" s="190"/>
      <c r="AX304" s="190"/>
      <c r="AY304" s="190"/>
      <c r="AZ304" s="191"/>
      <c r="BA304" s="183"/>
      <c r="BB304" s="183"/>
      <c r="BC304" s="183"/>
      <c r="BD304" s="183"/>
      <c r="BE304" s="183"/>
      <c r="BF304" s="184"/>
      <c r="BG304" s="183"/>
      <c r="BH304" s="183"/>
      <c r="BI304" s="183"/>
      <c r="BJ304" s="183"/>
      <c r="BK304" s="183"/>
      <c r="BL304" s="184"/>
      <c r="BM304" s="409"/>
      <c r="BN304" s="409"/>
    </row>
    <row r="305" spans="1:66" s="153" customFormat="1" x14ac:dyDescent="0.2">
      <c r="A305" s="71"/>
      <c r="B305" s="72"/>
      <c r="C305" s="61"/>
      <c r="D305" s="80"/>
      <c r="E305" s="80"/>
      <c r="F305" s="80"/>
      <c r="G305" s="61"/>
      <c r="H305" s="61"/>
      <c r="I305" s="61"/>
      <c r="J305" s="61"/>
      <c r="K305" s="109"/>
      <c r="L305" s="109"/>
      <c r="M305" s="61"/>
      <c r="N305" s="61"/>
      <c r="O305" s="61"/>
      <c r="P305" s="61"/>
      <c r="U305" s="187"/>
      <c r="V305" s="190"/>
      <c r="W305" s="190"/>
      <c r="X305" s="190"/>
      <c r="Y305" s="190"/>
      <c r="Z305" s="190"/>
      <c r="AA305" s="191"/>
      <c r="AB305" s="190"/>
      <c r="AC305" s="190"/>
      <c r="AD305" s="190"/>
      <c r="AE305" s="190"/>
      <c r="AF305" s="190"/>
      <c r="AG305" s="190"/>
      <c r="AH305" s="191"/>
      <c r="AI305" s="190"/>
      <c r="AJ305" s="190"/>
      <c r="AK305" s="190"/>
      <c r="AL305" s="190"/>
      <c r="AM305" s="190"/>
      <c r="AN305" s="191"/>
      <c r="AO305" s="190"/>
      <c r="AP305" s="190"/>
      <c r="AQ305" s="190"/>
      <c r="AR305" s="190"/>
      <c r="AS305" s="190"/>
      <c r="AT305" s="191"/>
      <c r="AU305" s="190"/>
      <c r="AV305" s="190"/>
      <c r="AW305" s="190"/>
      <c r="AX305" s="190"/>
      <c r="AY305" s="190"/>
      <c r="AZ305" s="191"/>
      <c r="BA305" s="183"/>
      <c r="BB305" s="183"/>
      <c r="BC305" s="183"/>
      <c r="BD305" s="183"/>
      <c r="BE305" s="183"/>
      <c r="BF305" s="184"/>
      <c r="BG305" s="183"/>
      <c r="BH305" s="183"/>
      <c r="BI305" s="183"/>
      <c r="BJ305" s="183"/>
      <c r="BK305" s="183"/>
      <c r="BL305" s="184"/>
      <c r="BM305" s="409"/>
      <c r="BN305" s="409"/>
    </row>
    <row r="306" spans="1:66" s="153" customFormat="1" x14ac:dyDescent="0.2">
      <c r="A306" s="71"/>
      <c r="B306" s="72"/>
      <c r="C306" s="61"/>
      <c r="D306" s="80"/>
      <c r="E306" s="80"/>
      <c r="F306" s="80"/>
      <c r="G306" s="61"/>
      <c r="H306" s="61"/>
      <c r="I306" s="61"/>
      <c r="J306" s="61"/>
      <c r="K306" s="109"/>
      <c r="L306" s="109"/>
      <c r="M306" s="61"/>
      <c r="N306" s="61"/>
      <c r="O306" s="61"/>
      <c r="P306" s="61"/>
      <c r="U306" s="187"/>
      <c r="V306" s="190"/>
      <c r="W306" s="190"/>
      <c r="X306" s="190"/>
      <c r="Y306" s="190"/>
      <c r="Z306" s="190"/>
      <c r="AA306" s="191"/>
      <c r="AB306" s="190"/>
      <c r="AC306" s="190"/>
      <c r="AD306" s="190"/>
      <c r="AE306" s="190"/>
      <c r="AF306" s="190"/>
      <c r="AG306" s="190"/>
      <c r="AH306" s="191"/>
      <c r="AI306" s="190"/>
      <c r="AJ306" s="190"/>
      <c r="AK306" s="190"/>
      <c r="AL306" s="190"/>
      <c r="AM306" s="190"/>
      <c r="AN306" s="191"/>
      <c r="AO306" s="190"/>
      <c r="AP306" s="190"/>
      <c r="AQ306" s="190"/>
      <c r="AR306" s="190"/>
      <c r="AS306" s="190"/>
      <c r="AT306" s="191"/>
      <c r="AU306" s="190"/>
      <c r="AV306" s="190"/>
      <c r="AW306" s="190"/>
      <c r="AX306" s="190"/>
      <c r="AY306" s="190"/>
      <c r="AZ306" s="191"/>
      <c r="BA306" s="183"/>
      <c r="BB306" s="183"/>
      <c r="BC306" s="183"/>
      <c r="BD306" s="183"/>
      <c r="BE306" s="183"/>
      <c r="BF306" s="184"/>
      <c r="BG306" s="183"/>
      <c r="BH306" s="183"/>
      <c r="BI306" s="183"/>
      <c r="BJ306" s="183"/>
      <c r="BK306" s="183"/>
      <c r="BL306" s="184"/>
      <c r="BM306" s="409"/>
      <c r="BN306" s="409"/>
    </row>
    <row r="307" spans="1:66" s="153" customFormat="1" x14ac:dyDescent="0.2">
      <c r="A307" s="71"/>
      <c r="B307" s="72"/>
      <c r="C307" s="61"/>
      <c r="D307" s="80"/>
      <c r="E307" s="80"/>
      <c r="F307" s="80"/>
      <c r="G307" s="61"/>
      <c r="H307" s="61"/>
      <c r="I307" s="61"/>
      <c r="J307" s="61"/>
      <c r="K307" s="109"/>
      <c r="L307" s="109"/>
      <c r="M307" s="61"/>
      <c r="N307" s="61"/>
      <c r="O307" s="61"/>
      <c r="P307" s="61"/>
      <c r="U307" s="187"/>
      <c r="V307" s="190"/>
      <c r="W307" s="190"/>
      <c r="X307" s="190"/>
      <c r="Y307" s="190"/>
      <c r="Z307" s="190"/>
      <c r="AA307" s="191"/>
      <c r="AB307" s="190"/>
      <c r="AC307" s="190"/>
      <c r="AD307" s="190"/>
      <c r="AE307" s="190"/>
      <c r="AF307" s="190"/>
      <c r="AG307" s="190"/>
      <c r="AH307" s="191"/>
      <c r="AI307" s="190"/>
      <c r="AJ307" s="190"/>
      <c r="AK307" s="190"/>
      <c r="AL307" s="190"/>
      <c r="AM307" s="190"/>
      <c r="AN307" s="191"/>
      <c r="AO307" s="190"/>
      <c r="AP307" s="190"/>
      <c r="AQ307" s="190"/>
      <c r="AR307" s="190"/>
      <c r="AS307" s="190"/>
      <c r="AT307" s="191"/>
      <c r="AU307" s="190"/>
      <c r="AV307" s="190"/>
      <c r="AW307" s="190"/>
      <c r="AX307" s="190"/>
      <c r="AY307" s="190"/>
      <c r="AZ307" s="191"/>
      <c r="BA307" s="183"/>
      <c r="BB307" s="183"/>
      <c r="BC307" s="183"/>
      <c r="BD307" s="183"/>
      <c r="BE307" s="183"/>
      <c r="BF307" s="184"/>
      <c r="BG307" s="183"/>
      <c r="BH307" s="183"/>
      <c r="BI307" s="183"/>
      <c r="BJ307" s="183"/>
      <c r="BK307" s="183"/>
      <c r="BL307" s="184"/>
      <c r="BM307" s="409"/>
      <c r="BN307" s="409"/>
    </row>
    <row r="308" spans="1:66" s="153" customFormat="1" x14ac:dyDescent="0.2">
      <c r="A308" s="71"/>
      <c r="B308" s="72"/>
      <c r="C308" s="61"/>
      <c r="D308" s="80"/>
      <c r="E308" s="80"/>
      <c r="F308" s="80"/>
      <c r="G308" s="61"/>
      <c r="H308" s="61"/>
      <c r="I308" s="61"/>
      <c r="J308" s="61"/>
      <c r="K308" s="109"/>
      <c r="L308" s="109"/>
      <c r="M308" s="61"/>
      <c r="N308" s="61"/>
      <c r="O308" s="61"/>
      <c r="P308" s="61"/>
      <c r="U308" s="187"/>
      <c r="V308" s="190"/>
      <c r="W308" s="190"/>
      <c r="X308" s="190"/>
      <c r="Y308" s="190"/>
      <c r="Z308" s="190"/>
      <c r="AA308" s="191"/>
      <c r="AB308" s="190"/>
      <c r="AC308" s="190"/>
      <c r="AD308" s="190"/>
      <c r="AE308" s="190"/>
      <c r="AF308" s="190"/>
      <c r="AG308" s="190"/>
      <c r="AH308" s="191"/>
      <c r="AI308" s="190"/>
      <c r="AJ308" s="190"/>
      <c r="AK308" s="190"/>
      <c r="AL308" s="190"/>
      <c r="AM308" s="190"/>
      <c r="AN308" s="191"/>
      <c r="AO308" s="190"/>
      <c r="AP308" s="190"/>
      <c r="AQ308" s="190"/>
      <c r="AR308" s="190"/>
      <c r="AS308" s="190"/>
      <c r="AT308" s="191"/>
      <c r="AU308" s="190"/>
      <c r="AV308" s="190"/>
      <c r="AW308" s="190"/>
      <c r="AX308" s="190"/>
      <c r="AY308" s="190"/>
      <c r="AZ308" s="191"/>
      <c r="BA308" s="183"/>
      <c r="BB308" s="183"/>
      <c r="BC308" s="183"/>
      <c r="BD308" s="183"/>
      <c r="BE308" s="183"/>
      <c r="BF308" s="184"/>
      <c r="BG308" s="183"/>
      <c r="BH308" s="183"/>
      <c r="BI308" s="183"/>
      <c r="BJ308" s="183"/>
      <c r="BK308" s="183"/>
      <c r="BL308" s="184"/>
      <c r="BM308" s="409"/>
      <c r="BN308" s="409"/>
    </row>
    <row r="309" spans="1:66" s="153" customFormat="1" x14ac:dyDescent="0.2">
      <c r="A309" s="71"/>
      <c r="B309" s="72"/>
      <c r="C309" s="61"/>
      <c r="D309" s="80"/>
      <c r="E309" s="80"/>
      <c r="F309" s="80"/>
      <c r="G309" s="61"/>
      <c r="H309" s="61"/>
      <c r="I309" s="61"/>
      <c r="J309" s="61"/>
      <c r="K309" s="109"/>
      <c r="L309" s="109"/>
      <c r="M309" s="61"/>
      <c r="N309" s="61"/>
      <c r="O309" s="61"/>
      <c r="P309" s="61"/>
      <c r="U309" s="187"/>
      <c r="V309" s="190"/>
      <c r="W309" s="190"/>
      <c r="X309" s="190"/>
      <c r="Y309" s="190"/>
      <c r="Z309" s="190"/>
      <c r="AA309" s="191"/>
      <c r="AB309" s="190"/>
      <c r="AC309" s="190"/>
      <c r="AD309" s="190"/>
      <c r="AE309" s="190"/>
      <c r="AF309" s="190"/>
      <c r="AG309" s="190"/>
      <c r="AH309" s="191"/>
      <c r="AI309" s="190"/>
      <c r="AJ309" s="190"/>
      <c r="AK309" s="190"/>
      <c r="AL309" s="190"/>
      <c r="AM309" s="190"/>
      <c r="AN309" s="191"/>
      <c r="AO309" s="190"/>
      <c r="AP309" s="190"/>
      <c r="AQ309" s="190"/>
      <c r="AR309" s="190"/>
      <c r="AS309" s="190"/>
      <c r="AT309" s="191"/>
      <c r="AU309" s="190"/>
      <c r="AV309" s="190"/>
      <c r="AW309" s="190"/>
      <c r="AX309" s="190"/>
      <c r="AY309" s="190"/>
      <c r="AZ309" s="191"/>
      <c r="BA309" s="183"/>
      <c r="BB309" s="183"/>
      <c r="BC309" s="183"/>
      <c r="BD309" s="183"/>
      <c r="BE309" s="183"/>
      <c r="BF309" s="184"/>
      <c r="BG309" s="183"/>
      <c r="BH309" s="183"/>
      <c r="BI309" s="183"/>
      <c r="BJ309" s="183"/>
      <c r="BK309" s="183"/>
      <c r="BL309" s="184"/>
      <c r="BM309" s="409"/>
      <c r="BN309" s="409"/>
    </row>
    <row r="310" spans="1:66" s="153" customFormat="1" x14ac:dyDescent="0.2">
      <c r="A310" s="71"/>
      <c r="B310" s="72"/>
      <c r="C310" s="61"/>
      <c r="D310" s="80"/>
      <c r="E310" s="80"/>
      <c r="F310" s="80"/>
      <c r="G310" s="61"/>
      <c r="H310" s="61"/>
      <c r="I310" s="61"/>
      <c r="J310" s="61"/>
      <c r="K310" s="109"/>
      <c r="L310" s="109"/>
      <c r="M310" s="61"/>
      <c r="N310" s="61"/>
      <c r="O310" s="61"/>
      <c r="P310" s="61"/>
      <c r="U310" s="187"/>
      <c r="V310" s="190"/>
      <c r="W310" s="190"/>
      <c r="X310" s="190"/>
      <c r="Y310" s="190"/>
      <c r="Z310" s="190"/>
      <c r="AA310" s="191"/>
      <c r="AB310" s="190"/>
      <c r="AC310" s="190"/>
      <c r="AD310" s="190"/>
      <c r="AE310" s="190"/>
      <c r="AF310" s="190"/>
      <c r="AG310" s="190"/>
      <c r="AH310" s="191"/>
      <c r="AI310" s="190"/>
      <c r="AJ310" s="190"/>
      <c r="AK310" s="190"/>
      <c r="AL310" s="190"/>
      <c r="AM310" s="190"/>
      <c r="AN310" s="191"/>
      <c r="AO310" s="190"/>
      <c r="AP310" s="190"/>
      <c r="AQ310" s="190"/>
      <c r="AR310" s="190"/>
      <c r="AS310" s="190"/>
      <c r="AT310" s="191"/>
      <c r="AU310" s="190"/>
      <c r="AV310" s="190"/>
      <c r="AW310" s="190"/>
      <c r="AX310" s="190"/>
      <c r="AY310" s="190"/>
      <c r="AZ310" s="191"/>
      <c r="BA310" s="183"/>
      <c r="BB310" s="183"/>
      <c r="BC310" s="183"/>
      <c r="BD310" s="183"/>
      <c r="BE310" s="183"/>
      <c r="BF310" s="184"/>
      <c r="BG310" s="183"/>
      <c r="BH310" s="183"/>
      <c r="BI310" s="183"/>
      <c r="BJ310" s="183"/>
      <c r="BK310" s="183"/>
      <c r="BL310" s="184"/>
      <c r="BM310" s="409"/>
      <c r="BN310" s="409"/>
    </row>
    <row r="311" spans="1:66" s="153" customFormat="1" x14ac:dyDescent="0.2">
      <c r="A311" s="61"/>
      <c r="B311" s="61"/>
      <c r="C311" s="61"/>
      <c r="D311" s="61"/>
      <c r="E311" s="61"/>
      <c r="F311" s="61"/>
      <c r="G311" s="61"/>
      <c r="H311" s="61"/>
      <c r="I311" s="61"/>
      <c r="J311" s="61"/>
      <c r="K311" s="61"/>
      <c r="L311" s="61"/>
      <c r="M311" s="61"/>
      <c r="N311" s="61"/>
      <c r="O311" s="61"/>
      <c r="P311" s="61"/>
      <c r="U311" s="187"/>
      <c r="V311" s="190"/>
      <c r="W311" s="190"/>
      <c r="X311" s="190"/>
      <c r="Y311" s="190"/>
      <c r="Z311" s="190"/>
      <c r="AA311" s="191"/>
      <c r="AB311" s="190"/>
      <c r="AC311" s="190"/>
      <c r="AD311" s="190"/>
      <c r="AE311" s="190"/>
      <c r="AF311" s="190"/>
      <c r="AG311" s="190"/>
      <c r="AH311" s="191"/>
      <c r="AI311" s="190"/>
      <c r="AJ311" s="190"/>
      <c r="AK311" s="190"/>
      <c r="AL311" s="190"/>
      <c r="AM311" s="190"/>
      <c r="AN311" s="191"/>
      <c r="AO311" s="190"/>
      <c r="AP311" s="190"/>
      <c r="AQ311" s="190"/>
      <c r="AR311" s="190"/>
      <c r="AS311" s="190"/>
      <c r="AT311" s="191"/>
      <c r="AU311" s="190"/>
      <c r="AV311" s="190"/>
      <c r="AW311" s="190"/>
      <c r="AX311" s="190"/>
      <c r="AY311" s="190"/>
      <c r="AZ311" s="191"/>
      <c r="BA311" s="183"/>
      <c r="BB311" s="183"/>
      <c r="BC311" s="183"/>
      <c r="BD311" s="183"/>
      <c r="BE311" s="183"/>
      <c r="BF311" s="184"/>
      <c r="BG311" s="183"/>
      <c r="BH311" s="183"/>
      <c r="BI311" s="183"/>
      <c r="BJ311" s="183"/>
      <c r="BK311" s="183"/>
      <c r="BL311" s="184"/>
      <c r="BM311" s="409"/>
      <c r="BN311" s="409"/>
    </row>
    <row r="312" spans="1:66" s="153" customFormat="1" x14ac:dyDescent="0.2">
      <c r="A312" s="61"/>
      <c r="B312" s="61"/>
      <c r="C312" s="61"/>
      <c r="D312" s="61"/>
      <c r="E312" s="61"/>
      <c r="F312" s="61"/>
      <c r="G312" s="61"/>
      <c r="H312" s="61"/>
      <c r="I312" s="61"/>
      <c r="J312" s="61"/>
      <c r="K312" s="61"/>
      <c r="L312" s="61"/>
      <c r="M312" s="61"/>
      <c r="N312" s="61"/>
      <c r="O312" s="61"/>
      <c r="P312" s="61"/>
      <c r="U312" s="187"/>
      <c r="V312" s="190"/>
      <c r="W312" s="190"/>
      <c r="X312" s="190"/>
      <c r="Y312" s="190"/>
      <c r="Z312" s="190"/>
      <c r="AA312" s="191"/>
      <c r="AB312" s="190"/>
      <c r="AC312" s="190"/>
      <c r="AD312" s="190"/>
      <c r="AE312" s="190"/>
      <c r="AF312" s="190"/>
      <c r="AG312" s="190"/>
      <c r="AH312" s="191"/>
      <c r="AI312" s="190"/>
      <c r="AJ312" s="190"/>
      <c r="AK312" s="190"/>
      <c r="AL312" s="190"/>
      <c r="AM312" s="190"/>
      <c r="AN312" s="191"/>
      <c r="AO312" s="190"/>
      <c r="AP312" s="190"/>
      <c r="AQ312" s="190"/>
      <c r="AR312" s="190"/>
      <c r="AS312" s="190"/>
      <c r="AT312" s="191"/>
      <c r="AU312" s="190"/>
      <c r="AV312" s="190"/>
      <c r="AW312" s="190"/>
      <c r="AX312" s="190"/>
      <c r="AY312" s="190"/>
      <c r="AZ312" s="191"/>
      <c r="BA312" s="183"/>
      <c r="BB312" s="183"/>
      <c r="BC312" s="183"/>
      <c r="BD312" s="183"/>
      <c r="BE312" s="183"/>
      <c r="BF312" s="184"/>
      <c r="BG312" s="183"/>
      <c r="BH312" s="183"/>
      <c r="BI312" s="183"/>
      <c r="BJ312" s="183"/>
      <c r="BK312" s="183"/>
      <c r="BL312" s="184"/>
      <c r="BM312" s="409"/>
      <c r="BN312" s="409"/>
    </row>
    <row r="313" spans="1:66" s="153" customFormat="1" x14ac:dyDescent="0.2">
      <c r="A313" s="61"/>
      <c r="B313" s="61"/>
      <c r="C313" s="61"/>
      <c r="D313" s="61"/>
      <c r="E313" s="61"/>
      <c r="F313" s="61"/>
      <c r="G313" s="61"/>
      <c r="H313" s="61"/>
      <c r="I313" s="61"/>
      <c r="J313" s="61"/>
      <c r="K313" s="61"/>
      <c r="L313" s="61"/>
      <c r="M313" s="61"/>
      <c r="N313" s="61"/>
      <c r="O313" s="61"/>
      <c r="P313" s="61"/>
      <c r="Q313" s="61"/>
      <c r="R313" s="61"/>
      <c r="S313" s="61"/>
      <c r="T313" s="35"/>
      <c r="U313" s="187"/>
      <c r="V313" s="190"/>
      <c r="W313" s="190"/>
      <c r="X313" s="190"/>
      <c r="Y313" s="190"/>
      <c r="Z313" s="190"/>
      <c r="AA313" s="191"/>
      <c r="AB313" s="190"/>
      <c r="AC313" s="190"/>
      <c r="AD313" s="190"/>
      <c r="AE313" s="190"/>
      <c r="AF313" s="190"/>
      <c r="AG313" s="190"/>
      <c r="AH313" s="191"/>
      <c r="AI313" s="190"/>
      <c r="AJ313" s="190"/>
      <c r="AK313" s="190"/>
      <c r="AL313" s="190"/>
      <c r="AM313" s="190"/>
      <c r="AN313" s="191"/>
      <c r="AO313" s="190"/>
      <c r="AP313" s="190"/>
      <c r="AQ313" s="190"/>
      <c r="AR313" s="190"/>
      <c r="AS313" s="190"/>
      <c r="AT313" s="191"/>
      <c r="AU313" s="190"/>
      <c r="AV313" s="190"/>
      <c r="AW313" s="190"/>
      <c r="AX313" s="190"/>
      <c r="AY313" s="190"/>
      <c r="AZ313" s="191"/>
      <c r="BA313" s="183"/>
      <c r="BB313" s="183"/>
      <c r="BC313" s="183"/>
      <c r="BD313" s="183"/>
      <c r="BE313" s="183"/>
      <c r="BF313" s="184"/>
      <c r="BG313" s="183"/>
      <c r="BH313" s="183"/>
      <c r="BI313" s="183"/>
      <c r="BJ313" s="183"/>
      <c r="BK313" s="183"/>
      <c r="BL313" s="184"/>
      <c r="BM313" s="409"/>
      <c r="BN313" s="409"/>
    </row>
    <row r="314" spans="1:66" s="153" customFormat="1" x14ac:dyDescent="0.2">
      <c r="A314" s="61"/>
      <c r="B314" s="61"/>
      <c r="C314" s="61"/>
      <c r="D314" s="61"/>
      <c r="E314" s="61"/>
      <c r="F314" s="61"/>
      <c r="G314" s="61"/>
      <c r="H314" s="61"/>
      <c r="I314" s="61"/>
      <c r="J314" s="61"/>
      <c r="K314" s="61"/>
      <c r="L314" s="61"/>
      <c r="M314" s="61"/>
      <c r="N314" s="61"/>
      <c r="O314" s="61"/>
      <c r="P314" s="61"/>
      <c r="Q314" s="61"/>
      <c r="R314" s="61"/>
      <c r="S314" s="61"/>
      <c r="T314" s="35"/>
      <c r="U314" s="187"/>
      <c r="V314" s="190"/>
      <c r="W314" s="190"/>
      <c r="X314" s="190"/>
      <c r="Y314" s="190"/>
      <c r="Z314" s="190"/>
      <c r="AA314" s="191"/>
      <c r="AB314" s="190"/>
      <c r="AC314" s="190"/>
      <c r="AD314" s="190"/>
      <c r="AE314" s="190"/>
      <c r="AF314" s="190"/>
      <c r="AG314" s="190"/>
      <c r="AH314" s="191"/>
      <c r="AI314" s="190"/>
      <c r="AJ314" s="190"/>
      <c r="AK314" s="190"/>
      <c r="AL314" s="190"/>
      <c r="AM314" s="190"/>
      <c r="AN314" s="191"/>
      <c r="AO314" s="190"/>
      <c r="AP314" s="190"/>
      <c r="AQ314" s="190"/>
      <c r="AR314" s="190"/>
      <c r="AS314" s="190"/>
      <c r="AT314" s="191"/>
      <c r="AU314" s="190"/>
      <c r="AV314" s="190"/>
      <c r="AW314" s="190"/>
      <c r="AX314" s="190"/>
      <c r="AY314" s="190"/>
      <c r="AZ314" s="191"/>
      <c r="BA314" s="183"/>
      <c r="BB314" s="183"/>
      <c r="BC314" s="183"/>
      <c r="BD314" s="183"/>
      <c r="BE314" s="183"/>
      <c r="BF314" s="184"/>
      <c r="BG314" s="183"/>
      <c r="BH314" s="183"/>
      <c r="BI314" s="183"/>
      <c r="BJ314" s="183"/>
      <c r="BK314" s="183"/>
      <c r="BL314" s="184"/>
      <c r="BM314" s="409"/>
      <c r="BN314" s="409"/>
    </row>
    <row r="315" spans="1:66" s="153" customFormat="1" x14ac:dyDescent="0.2">
      <c r="A315" s="61"/>
      <c r="B315" s="61"/>
      <c r="C315" s="61"/>
      <c r="D315" s="61"/>
      <c r="E315" s="61"/>
      <c r="F315" s="61"/>
      <c r="G315" s="61"/>
      <c r="H315" s="61"/>
      <c r="I315" s="61"/>
      <c r="J315" s="61"/>
      <c r="K315" s="61"/>
      <c r="L315" s="61"/>
      <c r="M315" s="61"/>
      <c r="N315" s="61"/>
      <c r="O315" s="61"/>
      <c r="P315" s="61"/>
      <c r="Q315" s="61"/>
      <c r="R315" s="61"/>
      <c r="S315" s="61"/>
      <c r="T315" s="35"/>
      <c r="U315" s="187"/>
      <c r="V315" s="190"/>
      <c r="W315" s="190"/>
      <c r="X315" s="190"/>
      <c r="Y315" s="190"/>
      <c r="Z315" s="190"/>
      <c r="AA315" s="191"/>
      <c r="AB315" s="190"/>
      <c r="AC315" s="190"/>
      <c r="AD315" s="190"/>
      <c r="AE315" s="190"/>
      <c r="AF315" s="190"/>
      <c r="AG315" s="190"/>
      <c r="AH315" s="191"/>
      <c r="AI315" s="190"/>
      <c r="AJ315" s="190"/>
      <c r="AK315" s="190"/>
      <c r="AL315" s="190"/>
      <c r="AM315" s="190"/>
      <c r="AN315" s="191"/>
      <c r="AO315" s="190"/>
      <c r="AP315" s="190"/>
      <c r="AQ315" s="190"/>
      <c r="AR315" s="190"/>
      <c r="AS315" s="190"/>
      <c r="AT315" s="191"/>
      <c r="AU315" s="190"/>
      <c r="AV315" s="190"/>
      <c r="AW315" s="190"/>
      <c r="AX315" s="190"/>
      <c r="AY315" s="190"/>
      <c r="AZ315" s="191"/>
      <c r="BA315" s="183"/>
      <c r="BB315" s="183"/>
      <c r="BC315" s="183"/>
      <c r="BD315" s="183"/>
      <c r="BE315" s="183"/>
      <c r="BF315" s="184"/>
      <c r="BG315" s="183"/>
      <c r="BH315" s="183"/>
      <c r="BI315" s="183"/>
      <c r="BJ315" s="183"/>
      <c r="BK315" s="183"/>
      <c r="BL315" s="184"/>
      <c r="BM315" s="409"/>
      <c r="BN315" s="409"/>
    </row>
    <row r="316" spans="1:66" s="153" customFormat="1" x14ac:dyDescent="0.2">
      <c r="A316" s="61"/>
      <c r="B316" s="61"/>
      <c r="C316" s="61"/>
      <c r="D316" s="61"/>
      <c r="E316" s="61"/>
      <c r="F316" s="61"/>
      <c r="G316" s="61"/>
      <c r="H316" s="61"/>
      <c r="I316" s="61"/>
      <c r="J316" s="61"/>
      <c r="K316" s="61"/>
      <c r="L316" s="61"/>
      <c r="M316" s="61"/>
      <c r="N316" s="61"/>
      <c r="O316" s="61"/>
      <c r="P316" s="61"/>
      <c r="Q316" s="61"/>
      <c r="R316" s="61"/>
      <c r="S316" s="61"/>
      <c r="T316" s="35"/>
      <c r="U316" s="187"/>
      <c r="V316" s="190"/>
      <c r="W316" s="190"/>
      <c r="X316" s="190"/>
      <c r="Y316" s="190"/>
      <c r="Z316" s="190"/>
      <c r="AA316" s="191"/>
      <c r="AB316" s="190"/>
      <c r="AC316" s="190"/>
      <c r="AD316" s="190"/>
      <c r="AE316" s="190"/>
      <c r="AF316" s="190"/>
      <c r="AG316" s="190"/>
      <c r="AH316" s="191"/>
      <c r="AI316" s="190"/>
      <c r="AJ316" s="190"/>
      <c r="AK316" s="190"/>
      <c r="AL316" s="190"/>
      <c r="AM316" s="190"/>
      <c r="AN316" s="191"/>
      <c r="AO316" s="190"/>
      <c r="AP316" s="190"/>
      <c r="AQ316" s="190"/>
      <c r="AR316" s="190"/>
      <c r="AS316" s="190"/>
      <c r="AT316" s="191"/>
      <c r="AU316" s="190"/>
      <c r="AV316" s="190"/>
      <c r="AW316" s="190"/>
      <c r="AX316" s="190"/>
      <c r="AY316" s="190"/>
      <c r="AZ316" s="191"/>
      <c r="BA316" s="183"/>
      <c r="BB316" s="183"/>
      <c r="BC316" s="183"/>
      <c r="BD316" s="183"/>
      <c r="BE316" s="183"/>
      <c r="BF316" s="184"/>
      <c r="BG316" s="183"/>
      <c r="BH316" s="183"/>
      <c r="BI316" s="183"/>
      <c r="BJ316" s="183"/>
      <c r="BK316" s="183"/>
      <c r="BL316" s="184"/>
      <c r="BM316" s="409"/>
      <c r="BN316" s="409"/>
    </row>
    <row r="317" spans="1:66" s="153" customFormat="1" x14ac:dyDescent="0.2">
      <c r="A317" s="61"/>
      <c r="B317" s="61"/>
      <c r="C317" s="61"/>
      <c r="D317" s="61"/>
      <c r="E317" s="61"/>
      <c r="F317" s="61"/>
      <c r="G317" s="61"/>
      <c r="H317" s="61"/>
      <c r="I317" s="61"/>
      <c r="J317" s="61"/>
      <c r="K317" s="61"/>
      <c r="L317" s="61"/>
      <c r="M317" s="61"/>
      <c r="N317" s="61"/>
      <c r="O317" s="61"/>
      <c r="P317" s="61"/>
      <c r="Q317" s="61"/>
      <c r="R317" s="61"/>
      <c r="S317" s="61"/>
      <c r="T317" s="35"/>
      <c r="U317" s="187"/>
      <c r="V317" s="190"/>
      <c r="W317" s="190"/>
      <c r="X317" s="190"/>
      <c r="Y317" s="190"/>
      <c r="Z317" s="190"/>
      <c r="AA317" s="191"/>
      <c r="AB317" s="190"/>
      <c r="AC317" s="190"/>
      <c r="AD317" s="190"/>
      <c r="AE317" s="190"/>
      <c r="AF317" s="190"/>
      <c r="AG317" s="190"/>
      <c r="AH317" s="191"/>
      <c r="AI317" s="190"/>
      <c r="AJ317" s="190"/>
      <c r="AK317" s="190"/>
      <c r="AL317" s="190"/>
      <c r="AM317" s="190"/>
      <c r="AN317" s="191"/>
      <c r="AO317" s="190"/>
      <c r="AP317" s="190"/>
      <c r="AQ317" s="190"/>
      <c r="AR317" s="190"/>
      <c r="AS317" s="190"/>
      <c r="AT317" s="191"/>
      <c r="AU317" s="190"/>
      <c r="AV317" s="190"/>
      <c r="AW317" s="190"/>
      <c r="AX317" s="190"/>
      <c r="AY317" s="190"/>
      <c r="AZ317" s="191"/>
      <c r="BA317" s="183"/>
      <c r="BB317" s="183"/>
      <c r="BC317" s="183"/>
      <c r="BD317" s="183"/>
      <c r="BE317" s="183"/>
      <c r="BF317" s="184"/>
      <c r="BG317" s="183"/>
      <c r="BH317" s="183"/>
      <c r="BI317" s="183"/>
      <c r="BJ317" s="183"/>
      <c r="BK317" s="183"/>
      <c r="BL317" s="184"/>
      <c r="BM317" s="409"/>
      <c r="BN317" s="409"/>
    </row>
    <row r="318" spans="1:66" s="153" customFormat="1" x14ac:dyDescent="0.2">
      <c r="A318" s="61"/>
      <c r="B318" s="61"/>
      <c r="C318" s="61"/>
      <c r="D318" s="61"/>
      <c r="E318" s="61"/>
      <c r="F318" s="61"/>
      <c r="G318" s="61"/>
      <c r="H318" s="61"/>
      <c r="I318" s="61"/>
      <c r="J318" s="61"/>
      <c r="K318" s="61"/>
      <c r="L318" s="61"/>
      <c r="M318" s="61"/>
      <c r="N318" s="61"/>
      <c r="O318" s="61"/>
      <c r="P318" s="61"/>
      <c r="Q318" s="61"/>
      <c r="R318" s="61"/>
      <c r="S318" s="61"/>
      <c r="T318" s="35"/>
      <c r="U318" s="187"/>
      <c r="V318" s="190"/>
      <c r="W318" s="190"/>
      <c r="X318" s="190"/>
      <c r="Y318" s="190"/>
      <c r="Z318" s="190"/>
      <c r="AA318" s="191"/>
      <c r="AB318" s="190"/>
      <c r="AC318" s="190"/>
      <c r="AD318" s="190"/>
      <c r="AE318" s="190"/>
      <c r="AF318" s="190"/>
      <c r="AG318" s="190"/>
      <c r="AH318" s="191"/>
      <c r="AI318" s="190"/>
      <c r="AJ318" s="190"/>
      <c r="AK318" s="190"/>
      <c r="AL318" s="190"/>
      <c r="AM318" s="190"/>
      <c r="AN318" s="191"/>
      <c r="AO318" s="190"/>
      <c r="AP318" s="190"/>
      <c r="AQ318" s="190"/>
      <c r="AR318" s="190"/>
      <c r="AS318" s="190"/>
      <c r="AT318" s="191"/>
      <c r="AU318" s="190"/>
      <c r="AV318" s="190"/>
      <c r="AW318" s="190"/>
      <c r="AX318" s="190"/>
      <c r="AY318" s="190"/>
      <c r="AZ318" s="191"/>
      <c r="BA318" s="183"/>
      <c r="BB318" s="183"/>
      <c r="BC318" s="183"/>
      <c r="BD318" s="183"/>
      <c r="BE318" s="183"/>
      <c r="BF318" s="184"/>
      <c r="BG318" s="183"/>
      <c r="BH318" s="183"/>
      <c r="BI318" s="183"/>
      <c r="BJ318" s="183"/>
      <c r="BK318" s="183"/>
      <c r="BL318" s="184"/>
      <c r="BM318" s="409"/>
      <c r="BN318" s="409"/>
    </row>
    <row r="319" spans="1:66" s="153" customFormat="1" x14ac:dyDescent="0.2">
      <c r="A319" s="61"/>
      <c r="B319" s="61"/>
      <c r="C319" s="61"/>
      <c r="D319" s="61"/>
      <c r="E319" s="61"/>
      <c r="F319" s="61"/>
      <c r="G319" s="61"/>
      <c r="H319" s="61"/>
      <c r="I319" s="61"/>
      <c r="J319" s="61"/>
      <c r="K319" s="61"/>
      <c r="L319" s="61"/>
      <c r="M319" s="61"/>
      <c r="N319" s="61"/>
      <c r="O319" s="61"/>
      <c r="P319" s="61"/>
      <c r="Q319" s="61"/>
      <c r="R319" s="61"/>
      <c r="S319" s="61"/>
      <c r="T319" s="35"/>
      <c r="U319" s="187"/>
      <c r="V319" s="190"/>
      <c r="W319" s="190"/>
      <c r="X319" s="190"/>
      <c r="Y319" s="190"/>
      <c r="Z319" s="190"/>
      <c r="AA319" s="191"/>
      <c r="AB319" s="190"/>
      <c r="AC319" s="190"/>
      <c r="AD319" s="190"/>
      <c r="AE319" s="190"/>
      <c r="AF319" s="190"/>
      <c r="AG319" s="190"/>
      <c r="AH319" s="191"/>
      <c r="AI319" s="190"/>
      <c r="AJ319" s="190"/>
      <c r="AK319" s="190"/>
      <c r="AL319" s="190"/>
      <c r="AM319" s="190"/>
      <c r="AN319" s="191"/>
      <c r="AO319" s="190"/>
      <c r="AP319" s="190"/>
      <c r="AQ319" s="190"/>
      <c r="AR319" s="190"/>
      <c r="AS319" s="190"/>
      <c r="AT319" s="191"/>
      <c r="AU319" s="190"/>
      <c r="AV319" s="190"/>
      <c r="AW319" s="190"/>
      <c r="AX319" s="190"/>
      <c r="AY319" s="190"/>
      <c r="AZ319" s="191"/>
      <c r="BA319" s="183"/>
      <c r="BB319" s="183"/>
      <c r="BC319" s="183"/>
      <c r="BD319" s="183"/>
      <c r="BE319" s="183"/>
      <c r="BF319" s="184"/>
      <c r="BG319" s="183"/>
      <c r="BH319" s="183"/>
      <c r="BI319" s="183"/>
      <c r="BJ319" s="183"/>
      <c r="BK319" s="183"/>
      <c r="BL319" s="184"/>
      <c r="BM319" s="409"/>
      <c r="BN319" s="409"/>
    </row>
    <row r="320" spans="1:66" s="153" customFormat="1" x14ac:dyDescent="0.2">
      <c r="A320" s="61"/>
      <c r="B320" s="61"/>
      <c r="C320" s="61"/>
      <c r="D320" s="61"/>
      <c r="E320" s="61"/>
      <c r="F320" s="61"/>
      <c r="G320" s="61"/>
      <c r="H320" s="61"/>
      <c r="I320" s="61"/>
      <c r="J320" s="61"/>
      <c r="K320" s="61"/>
      <c r="L320" s="61"/>
      <c r="M320" s="61"/>
      <c r="N320" s="61"/>
      <c r="O320" s="61"/>
      <c r="P320" s="61"/>
      <c r="Q320" s="61"/>
      <c r="R320" s="61"/>
      <c r="S320" s="61"/>
      <c r="T320" s="35"/>
      <c r="U320" s="187"/>
      <c r="V320" s="190"/>
      <c r="W320" s="190"/>
      <c r="X320" s="190"/>
      <c r="Y320" s="190"/>
      <c r="Z320" s="190"/>
      <c r="AA320" s="191"/>
      <c r="AB320" s="190"/>
      <c r="AC320" s="190"/>
      <c r="AD320" s="190"/>
      <c r="AE320" s="190"/>
      <c r="AF320" s="190"/>
      <c r="AG320" s="190"/>
      <c r="AH320" s="191"/>
      <c r="AI320" s="190"/>
      <c r="AJ320" s="190"/>
      <c r="AK320" s="190"/>
      <c r="AL320" s="190"/>
      <c r="AM320" s="190"/>
      <c r="AN320" s="191"/>
      <c r="AO320" s="190"/>
      <c r="AP320" s="190"/>
      <c r="AQ320" s="190"/>
      <c r="AR320" s="190"/>
      <c r="AS320" s="190"/>
      <c r="AT320" s="191"/>
      <c r="AU320" s="190"/>
      <c r="AV320" s="190"/>
      <c r="AW320" s="190"/>
      <c r="AX320" s="190"/>
      <c r="AY320" s="190"/>
      <c r="AZ320" s="191"/>
      <c r="BA320" s="183"/>
      <c r="BB320" s="183"/>
      <c r="BC320" s="183"/>
      <c r="BD320" s="183"/>
      <c r="BE320" s="183"/>
      <c r="BF320" s="184"/>
      <c r="BG320" s="183"/>
      <c r="BH320" s="183"/>
      <c r="BI320" s="183"/>
      <c r="BJ320" s="183"/>
      <c r="BK320" s="183"/>
      <c r="BL320" s="184"/>
      <c r="BM320" s="409"/>
      <c r="BN320" s="409"/>
    </row>
    <row r="321" spans="1:66" s="153" customFormat="1" x14ac:dyDescent="0.2">
      <c r="A321" s="61"/>
      <c r="B321" s="61"/>
      <c r="C321" s="61"/>
      <c r="D321" s="61"/>
      <c r="E321" s="61"/>
      <c r="F321" s="61"/>
      <c r="G321" s="61"/>
      <c r="H321" s="61"/>
      <c r="I321" s="61"/>
      <c r="J321" s="61"/>
      <c r="K321" s="61"/>
      <c r="L321" s="61"/>
      <c r="M321" s="61"/>
      <c r="N321" s="61"/>
      <c r="O321" s="61"/>
      <c r="P321" s="61"/>
      <c r="Q321" s="61"/>
      <c r="R321" s="61"/>
      <c r="S321" s="61"/>
      <c r="T321" s="35"/>
      <c r="U321" s="187"/>
      <c r="V321" s="190"/>
      <c r="W321" s="190"/>
      <c r="X321" s="190"/>
      <c r="Y321" s="190"/>
      <c r="Z321" s="190"/>
      <c r="AA321" s="191"/>
      <c r="AB321" s="190"/>
      <c r="AC321" s="190"/>
      <c r="AD321" s="190"/>
      <c r="AE321" s="190"/>
      <c r="AF321" s="190"/>
      <c r="AG321" s="190"/>
      <c r="AH321" s="191"/>
      <c r="AI321" s="190"/>
      <c r="AJ321" s="190"/>
      <c r="AK321" s="190"/>
      <c r="AL321" s="190"/>
      <c r="AM321" s="190"/>
      <c r="AN321" s="191"/>
      <c r="AO321" s="190"/>
      <c r="AP321" s="190"/>
      <c r="AQ321" s="190"/>
      <c r="AR321" s="190"/>
      <c r="AS321" s="190"/>
      <c r="AT321" s="191"/>
      <c r="AU321" s="190"/>
      <c r="AV321" s="190"/>
      <c r="AW321" s="190"/>
      <c r="AX321" s="190"/>
      <c r="AY321" s="190"/>
      <c r="AZ321" s="191"/>
      <c r="BA321" s="183"/>
      <c r="BB321" s="183"/>
      <c r="BC321" s="183"/>
      <c r="BD321" s="183"/>
      <c r="BE321" s="183"/>
      <c r="BF321" s="184"/>
      <c r="BG321" s="183"/>
      <c r="BH321" s="183"/>
      <c r="BI321" s="183"/>
      <c r="BJ321" s="183"/>
      <c r="BK321" s="183"/>
      <c r="BL321" s="184"/>
      <c r="BM321" s="409"/>
      <c r="BN321" s="409"/>
    </row>
    <row r="322" spans="1:66" s="153" customFormat="1" x14ac:dyDescent="0.2">
      <c r="A322" s="61"/>
      <c r="B322" s="61"/>
      <c r="C322" s="61"/>
      <c r="D322" s="61"/>
      <c r="E322" s="61"/>
      <c r="F322" s="61"/>
      <c r="G322" s="61"/>
      <c r="H322" s="61"/>
      <c r="I322" s="61"/>
      <c r="J322" s="61"/>
      <c r="K322" s="61"/>
      <c r="L322" s="61"/>
      <c r="M322" s="61"/>
      <c r="N322" s="61"/>
      <c r="O322" s="61"/>
      <c r="P322" s="61"/>
      <c r="Q322" s="61"/>
      <c r="R322" s="61"/>
      <c r="S322" s="61"/>
      <c r="T322" s="35"/>
      <c r="U322" s="187"/>
      <c r="V322" s="190"/>
      <c r="W322" s="190"/>
      <c r="X322" s="190"/>
      <c r="Y322" s="190"/>
      <c r="Z322" s="190"/>
      <c r="AA322" s="191"/>
      <c r="AB322" s="190"/>
      <c r="AC322" s="190"/>
      <c r="AD322" s="190"/>
      <c r="AE322" s="190"/>
      <c r="AF322" s="190"/>
      <c r="AG322" s="190"/>
      <c r="AH322" s="191"/>
      <c r="AI322" s="190"/>
      <c r="AJ322" s="190"/>
      <c r="AK322" s="190"/>
      <c r="AL322" s="190"/>
      <c r="AM322" s="190"/>
      <c r="AN322" s="191"/>
      <c r="AO322" s="190"/>
      <c r="AP322" s="190"/>
      <c r="AQ322" s="190"/>
      <c r="AR322" s="190"/>
      <c r="AS322" s="190"/>
      <c r="AT322" s="191"/>
      <c r="AU322" s="190"/>
      <c r="AV322" s="190"/>
      <c r="AW322" s="190"/>
      <c r="AX322" s="190"/>
      <c r="AY322" s="190"/>
      <c r="AZ322" s="191"/>
      <c r="BA322" s="183"/>
      <c r="BB322" s="183"/>
      <c r="BC322" s="183"/>
      <c r="BD322" s="183"/>
      <c r="BE322" s="183"/>
      <c r="BF322" s="184"/>
      <c r="BG322" s="183"/>
      <c r="BH322" s="183"/>
      <c r="BI322" s="183"/>
      <c r="BJ322" s="183"/>
      <c r="BK322" s="183"/>
      <c r="BL322" s="184"/>
      <c r="BM322" s="409"/>
      <c r="BN322" s="409"/>
    </row>
    <row r="323" spans="1:66" s="153" customFormat="1" x14ac:dyDescent="0.2">
      <c r="A323" s="61"/>
      <c r="B323" s="61"/>
      <c r="C323" s="61"/>
      <c r="D323" s="61"/>
      <c r="E323" s="61"/>
      <c r="F323" s="61"/>
      <c r="G323" s="61"/>
      <c r="H323" s="61"/>
      <c r="I323" s="61"/>
      <c r="J323" s="61"/>
      <c r="K323" s="61"/>
      <c r="L323" s="61"/>
      <c r="M323" s="61"/>
      <c r="N323" s="61"/>
      <c r="O323" s="61"/>
      <c r="P323" s="61"/>
      <c r="Q323" s="61"/>
      <c r="R323" s="61"/>
      <c r="S323" s="61"/>
      <c r="T323" s="35"/>
      <c r="U323" s="187"/>
      <c r="V323" s="190"/>
      <c r="W323" s="190"/>
      <c r="X323" s="190"/>
      <c r="Y323" s="190"/>
      <c r="Z323" s="190"/>
      <c r="AA323" s="191"/>
      <c r="AB323" s="190"/>
      <c r="AC323" s="190"/>
      <c r="AD323" s="190"/>
      <c r="AE323" s="190"/>
      <c r="AF323" s="190"/>
      <c r="AG323" s="190"/>
      <c r="AH323" s="191"/>
      <c r="AI323" s="190"/>
      <c r="AJ323" s="190"/>
      <c r="AK323" s="190"/>
      <c r="AL323" s="190"/>
      <c r="AM323" s="190"/>
      <c r="AN323" s="191"/>
      <c r="AO323" s="190"/>
      <c r="AP323" s="190"/>
      <c r="AQ323" s="190"/>
      <c r="AR323" s="190"/>
      <c r="AS323" s="190"/>
      <c r="AT323" s="191"/>
      <c r="AU323" s="190"/>
      <c r="AV323" s="190"/>
      <c r="AW323" s="190"/>
      <c r="AX323" s="190"/>
      <c r="AY323" s="190"/>
      <c r="AZ323" s="191"/>
      <c r="BA323" s="183"/>
      <c r="BB323" s="183"/>
      <c r="BC323" s="183"/>
      <c r="BD323" s="183"/>
      <c r="BE323" s="183"/>
      <c r="BF323" s="184"/>
      <c r="BG323" s="183"/>
      <c r="BH323" s="183"/>
      <c r="BI323" s="183"/>
      <c r="BJ323" s="183"/>
      <c r="BK323" s="183"/>
      <c r="BL323" s="184"/>
      <c r="BM323" s="409"/>
      <c r="BN323" s="409"/>
    </row>
    <row r="324" spans="1:66" s="153" customFormat="1" x14ac:dyDescent="0.2">
      <c r="A324" s="61"/>
      <c r="B324" s="61"/>
      <c r="C324" s="61"/>
      <c r="D324" s="61"/>
      <c r="E324" s="61"/>
      <c r="F324" s="61"/>
      <c r="G324" s="61"/>
      <c r="H324" s="61"/>
      <c r="I324" s="61"/>
      <c r="J324" s="61"/>
      <c r="K324" s="61"/>
      <c r="L324" s="61"/>
      <c r="M324" s="61"/>
      <c r="N324" s="61"/>
      <c r="O324" s="61"/>
      <c r="P324" s="61"/>
      <c r="Q324" s="61"/>
      <c r="R324" s="61"/>
      <c r="S324" s="61"/>
      <c r="T324" s="35"/>
      <c r="U324" s="187"/>
      <c r="V324" s="190"/>
      <c r="W324" s="190"/>
      <c r="X324" s="190"/>
      <c r="Y324" s="190"/>
      <c r="Z324" s="190"/>
      <c r="AA324" s="191"/>
      <c r="AB324" s="190"/>
      <c r="AC324" s="190"/>
      <c r="AD324" s="190"/>
      <c r="AE324" s="190"/>
      <c r="AF324" s="190"/>
      <c r="AG324" s="190"/>
      <c r="AH324" s="191"/>
      <c r="AI324" s="190"/>
      <c r="AJ324" s="190"/>
      <c r="AK324" s="190"/>
      <c r="AL324" s="190"/>
      <c r="AM324" s="190"/>
      <c r="AN324" s="191"/>
      <c r="AO324" s="190"/>
      <c r="AP324" s="190"/>
      <c r="AQ324" s="190"/>
      <c r="AR324" s="190"/>
      <c r="AS324" s="190"/>
      <c r="AT324" s="191"/>
      <c r="AU324" s="190"/>
      <c r="AV324" s="190"/>
      <c r="AW324" s="190"/>
      <c r="AX324" s="190"/>
      <c r="AY324" s="190"/>
      <c r="AZ324" s="191"/>
      <c r="BA324" s="183"/>
      <c r="BB324" s="183"/>
      <c r="BC324" s="183"/>
      <c r="BD324" s="183"/>
      <c r="BE324" s="183"/>
      <c r="BF324" s="184"/>
      <c r="BG324" s="183"/>
      <c r="BH324" s="183"/>
      <c r="BI324" s="183"/>
      <c r="BJ324" s="183"/>
      <c r="BK324" s="183"/>
      <c r="BL324" s="184"/>
      <c r="BM324" s="409"/>
      <c r="BN324" s="409"/>
    </row>
    <row r="325" spans="1:66" s="153" customFormat="1" x14ac:dyDescent="0.2">
      <c r="A325" s="61"/>
      <c r="B325" s="61"/>
      <c r="C325" s="61"/>
      <c r="D325" s="61"/>
      <c r="E325" s="61"/>
      <c r="F325" s="61"/>
      <c r="G325" s="61"/>
      <c r="H325" s="61"/>
      <c r="I325" s="61"/>
      <c r="J325" s="61"/>
      <c r="K325" s="61"/>
      <c r="L325" s="61"/>
      <c r="M325" s="61"/>
      <c r="N325" s="61"/>
      <c r="O325" s="61"/>
      <c r="P325" s="61"/>
      <c r="Q325" s="61"/>
      <c r="R325" s="61"/>
      <c r="S325" s="61"/>
      <c r="T325" s="35"/>
      <c r="U325" s="187"/>
      <c r="V325" s="190"/>
      <c r="W325" s="190"/>
      <c r="X325" s="190"/>
      <c r="Y325" s="190"/>
      <c r="Z325" s="190"/>
      <c r="AA325" s="191"/>
      <c r="AB325" s="190"/>
      <c r="AC325" s="190"/>
      <c r="AD325" s="190"/>
      <c r="AE325" s="190"/>
      <c r="AF325" s="190"/>
      <c r="AG325" s="190"/>
      <c r="AH325" s="191"/>
      <c r="AI325" s="190"/>
      <c r="AJ325" s="190"/>
      <c r="AK325" s="190"/>
      <c r="AL325" s="190"/>
      <c r="AM325" s="190"/>
      <c r="AN325" s="191"/>
      <c r="AO325" s="190"/>
      <c r="AP325" s="190"/>
      <c r="AQ325" s="190"/>
      <c r="AR325" s="190"/>
      <c r="AS325" s="190"/>
      <c r="AT325" s="191"/>
      <c r="AU325" s="190"/>
      <c r="AV325" s="190"/>
      <c r="AW325" s="190"/>
      <c r="AX325" s="190"/>
      <c r="AY325" s="190"/>
      <c r="AZ325" s="191"/>
      <c r="BA325" s="183"/>
      <c r="BB325" s="183"/>
      <c r="BC325" s="183"/>
      <c r="BD325" s="183"/>
      <c r="BE325" s="183"/>
      <c r="BF325" s="184"/>
      <c r="BG325" s="183"/>
      <c r="BH325" s="183"/>
      <c r="BI325" s="183"/>
      <c r="BJ325" s="183"/>
      <c r="BK325" s="183"/>
      <c r="BL325" s="184"/>
      <c r="BM325" s="409"/>
      <c r="BN325" s="409"/>
    </row>
    <row r="326" spans="1:66" s="153" customFormat="1" x14ac:dyDescent="0.2">
      <c r="A326" s="61"/>
      <c r="B326" s="61"/>
      <c r="C326" s="61"/>
      <c r="D326" s="61"/>
      <c r="E326" s="61"/>
      <c r="F326" s="61"/>
      <c r="G326" s="61"/>
      <c r="H326" s="61"/>
      <c r="I326" s="61"/>
      <c r="J326" s="61"/>
      <c r="K326" s="61"/>
      <c r="L326" s="61"/>
      <c r="M326" s="61"/>
      <c r="N326" s="61"/>
      <c r="O326" s="61"/>
      <c r="P326" s="61"/>
      <c r="Q326" s="61"/>
      <c r="R326" s="61"/>
      <c r="S326" s="61"/>
      <c r="T326" s="35"/>
      <c r="U326" s="187"/>
      <c r="V326" s="190"/>
      <c r="W326" s="190"/>
      <c r="X326" s="190"/>
      <c r="Y326" s="190"/>
      <c r="Z326" s="190"/>
      <c r="AA326" s="191"/>
      <c r="AB326" s="190"/>
      <c r="AC326" s="190"/>
      <c r="AD326" s="190"/>
      <c r="AE326" s="190"/>
      <c r="AF326" s="190"/>
      <c r="AG326" s="190"/>
      <c r="AH326" s="191"/>
      <c r="AI326" s="190"/>
      <c r="AJ326" s="190"/>
      <c r="AK326" s="190"/>
      <c r="AL326" s="190"/>
      <c r="AM326" s="190"/>
      <c r="AN326" s="191"/>
      <c r="AO326" s="190"/>
      <c r="AP326" s="190"/>
      <c r="AQ326" s="190"/>
      <c r="AR326" s="190"/>
      <c r="AS326" s="190"/>
      <c r="AT326" s="191"/>
      <c r="AU326" s="190"/>
      <c r="AV326" s="190"/>
      <c r="AW326" s="190"/>
      <c r="AX326" s="190"/>
      <c r="AY326" s="190"/>
      <c r="AZ326" s="191"/>
      <c r="BA326" s="183"/>
      <c r="BB326" s="183"/>
      <c r="BC326" s="183"/>
      <c r="BD326" s="183"/>
      <c r="BE326" s="183"/>
      <c r="BF326" s="184"/>
      <c r="BG326" s="183"/>
      <c r="BH326" s="183"/>
      <c r="BI326" s="183"/>
      <c r="BJ326" s="183"/>
      <c r="BK326" s="183"/>
      <c r="BL326" s="184"/>
      <c r="BM326" s="409"/>
      <c r="BN326" s="409"/>
    </row>
    <row r="327" spans="1:66" s="153" customFormat="1" x14ac:dyDescent="0.2">
      <c r="A327" s="61"/>
      <c r="B327" s="61"/>
      <c r="C327" s="61"/>
      <c r="D327" s="61"/>
      <c r="E327" s="61"/>
      <c r="F327" s="61"/>
      <c r="G327" s="61"/>
      <c r="H327" s="61"/>
      <c r="I327" s="61"/>
      <c r="J327" s="61"/>
      <c r="K327" s="61"/>
      <c r="L327" s="61"/>
      <c r="M327" s="61"/>
      <c r="N327" s="61"/>
      <c r="O327" s="61"/>
      <c r="P327" s="61"/>
      <c r="Q327" s="61"/>
      <c r="R327" s="61"/>
      <c r="S327" s="61"/>
      <c r="T327" s="35"/>
      <c r="U327" s="187"/>
      <c r="V327" s="190"/>
      <c r="W327" s="190"/>
      <c r="X327" s="190"/>
      <c r="Y327" s="190"/>
      <c r="Z327" s="190"/>
      <c r="AA327" s="191"/>
      <c r="AB327" s="190"/>
      <c r="AC327" s="190"/>
      <c r="AD327" s="190"/>
      <c r="AE327" s="190"/>
      <c r="AF327" s="190"/>
      <c r="AG327" s="190"/>
      <c r="AH327" s="191"/>
      <c r="AI327" s="190"/>
      <c r="AJ327" s="190"/>
      <c r="AK327" s="190"/>
      <c r="AL327" s="190"/>
      <c r="AM327" s="190"/>
      <c r="AN327" s="191"/>
      <c r="AO327" s="190"/>
      <c r="AP327" s="190"/>
      <c r="AQ327" s="190"/>
      <c r="AR327" s="190"/>
      <c r="AS327" s="190"/>
      <c r="AT327" s="191"/>
      <c r="AU327" s="190"/>
      <c r="AV327" s="190"/>
      <c r="AW327" s="190"/>
      <c r="AX327" s="190"/>
      <c r="AY327" s="190"/>
      <c r="AZ327" s="191"/>
      <c r="BA327" s="183"/>
      <c r="BB327" s="183"/>
      <c r="BC327" s="183"/>
      <c r="BD327" s="183"/>
      <c r="BE327" s="183"/>
      <c r="BF327" s="184"/>
      <c r="BG327" s="183"/>
      <c r="BH327" s="183"/>
      <c r="BI327" s="183"/>
      <c r="BJ327" s="183"/>
      <c r="BK327" s="183"/>
      <c r="BL327" s="184"/>
      <c r="BM327" s="409"/>
      <c r="BN327" s="409"/>
    </row>
    <row r="328" spans="1:66" s="153" customFormat="1" x14ac:dyDescent="0.2">
      <c r="A328" s="61"/>
      <c r="B328" s="61"/>
      <c r="C328" s="61"/>
      <c r="D328" s="61"/>
      <c r="E328" s="61"/>
      <c r="F328" s="61"/>
      <c r="G328" s="61"/>
      <c r="H328" s="61"/>
      <c r="I328" s="61"/>
      <c r="J328" s="61"/>
      <c r="K328" s="61"/>
      <c r="L328" s="61"/>
      <c r="M328" s="61"/>
      <c r="N328" s="61"/>
      <c r="O328" s="61"/>
      <c r="P328" s="61"/>
      <c r="Q328" s="61"/>
      <c r="R328" s="61"/>
      <c r="S328" s="61"/>
      <c r="T328" s="35"/>
      <c r="U328" s="187"/>
      <c r="V328" s="190"/>
      <c r="W328" s="190"/>
      <c r="X328" s="190"/>
      <c r="Y328" s="190"/>
      <c r="Z328" s="190"/>
      <c r="AA328" s="191"/>
      <c r="AB328" s="190"/>
      <c r="AC328" s="190"/>
      <c r="AD328" s="190"/>
      <c r="AE328" s="190"/>
      <c r="AF328" s="190"/>
      <c r="AG328" s="190"/>
      <c r="AH328" s="191"/>
      <c r="AI328" s="190"/>
      <c r="AJ328" s="190"/>
      <c r="AK328" s="190"/>
      <c r="AL328" s="190"/>
      <c r="AM328" s="190"/>
      <c r="AN328" s="191"/>
      <c r="AO328" s="190"/>
      <c r="AP328" s="190"/>
      <c r="AQ328" s="190"/>
      <c r="AR328" s="190"/>
      <c r="AS328" s="190"/>
      <c r="AT328" s="191"/>
      <c r="AU328" s="190"/>
      <c r="AV328" s="190"/>
      <c r="AW328" s="190"/>
      <c r="AX328" s="190"/>
      <c r="AY328" s="190"/>
      <c r="AZ328" s="191"/>
      <c r="BA328" s="183"/>
      <c r="BB328" s="183"/>
      <c r="BC328" s="183"/>
      <c r="BD328" s="183"/>
      <c r="BE328" s="183"/>
      <c r="BF328" s="184"/>
      <c r="BG328" s="183"/>
      <c r="BH328" s="183"/>
      <c r="BI328" s="183"/>
      <c r="BJ328" s="183"/>
      <c r="BK328" s="183"/>
      <c r="BL328" s="184"/>
      <c r="BM328" s="409"/>
      <c r="BN328" s="409"/>
    </row>
    <row r="329" spans="1:66" s="153" customFormat="1" x14ac:dyDescent="0.2">
      <c r="A329" s="61"/>
      <c r="B329" s="61"/>
      <c r="C329" s="61"/>
      <c r="D329" s="61"/>
      <c r="E329" s="61"/>
      <c r="F329" s="61"/>
      <c r="G329" s="61"/>
      <c r="H329" s="61"/>
      <c r="I329" s="61"/>
      <c r="J329" s="61"/>
      <c r="K329" s="61"/>
      <c r="L329" s="61"/>
      <c r="M329" s="61"/>
      <c r="N329" s="61"/>
      <c r="O329" s="61"/>
      <c r="P329" s="61"/>
      <c r="Q329" s="61"/>
      <c r="R329" s="61"/>
      <c r="S329" s="61"/>
      <c r="T329" s="35"/>
      <c r="U329" s="187"/>
      <c r="V329" s="190"/>
      <c r="W329" s="190"/>
      <c r="X329" s="190"/>
      <c r="Y329" s="190"/>
      <c r="Z329" s="190"/>
      <c r="AA329" s="191"/>
      <c r="AB329" s="190"/>
      <c r="AC329" s="190"/>
      <c r="AD329" s="190"/>
      <c r="AE329" s="190"/>
      <c r="AF329" s="190"/>
      <c r="AG329" s="190"/>
      <c r="AH329" s="191"/>
      <c r="AI329" s="190"/>
      <c r="AJ329" s="190"/>
      <c r="AK329" s="190"/>
      <c r="AL329" s="190"/>
      <c r="AM329" s="190"/>
      <c r="AN329" s="191"/>
      <c r="AO329" s="190"/>
      <c r="AP329" s="190"/>
      <c r="AQ329" s="190"/>
      <c r="AR329" s="190"/>
      <c r="AS329" s="190"/>
      <c r="AT329" s="191"/>
      <c r="AU329" s="190"/>
      <c r="AV329" s="190"/>
      <c r="AW329" s="190"/>
      <c r="AX329" s="190"/>
      <c r="AY329" s="190"/>
      <c r="AZ329" s="191"/>
      <c r="BA329" s="183"/>
      <c r="BB329" s="183"/>
      <c r="BC329" s="183"/>
      <c r="BD329" s="183"/>
      <c r="BE329" s="183"/>
      <c r="BF329" s="184"/>
      <c r="BG329" s="183"/>
      <c r="BH329" s="183"/>
      <c r="BI329" s="183"/>
      <c r="BJ329" s="183"/>
      <c r="BK329" s="183"/>
      <c r="BL329" s="184"/>
      <c r="BM329" s="409"/>
      <c r="BN329" s="409"/>
    </row>
    <row r="330" spans="1:66" s="153" customFormat="1" x14ac:dyDescent="0.2">
      <c r="A330" s="61"/>
      <c r="B330" s="61"/>
      <c r="C330" s="61"/>
      <c r="D330" s="61"/>
      <c r="E330" s="61"/>
      <c r="F330" s="61"/>
      <c r="G330" s="61"/>
      <c r="H330" s="61"/>
      <c r="I330" s="61"/>
      <c r="J330" s="61"/>
      <c r="K330" s="61"/>
      <c r="L330" s="61"/>
      <c r="M330" s="61"/>
      <c r="N330" s="61"/>
      <c r="O330" s="61"/>
      <c r="P330" s="61"/>
      <c r="Q330" s="61"/>
      <c r="R330" s="61"/>
      <c r="S330" s="61"/>
      <c r="T330" s="35"/>
      <c r="U330" s="187"/>
      <c r="V330" s="190"/>
      <c r="W330" s="190"/>
      <c r="X330" s="190"/>
      <c r="Y330" s="190"/>
      <c r="Z330" s="190"/>
      <c r="AA330" s="191"/>
      <c r="AB330" s="190"/>
      <c r="AC330" s="190"/>
      <c r="AD330" s="190"/>
      <c r="AE330" s="190"/>
      <c r="AF330" s="190"/>
      <c r="AG330" s="190"/>
      <c r="AH330" s="191"/>
      <c r="AI330" s="190"/>
      <c r="AJ330" s="190"/>
      <c r="AK330" s="190"/>
      <c r="AL330" s="190"/>
      <c r="AM330" s="190"/>
      <c r="AN330" s="191"/>
      <c r="AO330" s="190"/>
      <c r="AP330" s="190"/>
      <c r="AQ330" s="190"/>
      <c r="AR330" s="190"/>
      <c r="AS330" s="190"/>
      <c r="AT330" s="191"/>
      <c r="AU330" s="190"/>
      <c r="AV330" s="190"/>
      <c r="AW330" s="190"/>
      <c r="AX330" s="190"/>
      <c r="AY330" s="190"/>
      <c r="AZ330" s="191"/>
      <c r="BA330" s="183"/>
      <c r="BB330" s="183"/>
      <c r="BC330" s="183"/>
      <c r="BD330" s="183"/>
      <c r="BE330" s="183"/>
      <c r="BF330" s="184"/>
      <c r="BG330" s="183"/>
      <c r="BH330" s="183"/>
      <c r="BI330" s="183"/>
      <c r="BJ330" s="183"/>
      <c r="BK330" s="183"/>
      <c r="BL330" s="184"/>
      <c r="BM330" s="409"/>
      <c r="BN330" s="409"/>
    </row>
    <row r="331" spans="1:66" s="153" customFormat="1" x14ac:dyDescent="0.2">
      <c r="A331" s="61"/>
      <c r="B331" s="61"/>
      <c r="C331" s="61"/>
      <c r="D331" s="61"/>
      <c r="E331" s="61"/>
      <c r="F331" s="61"/>
      <c r="G331" s="61"/>
      <c r="H331" s="61"/>
      <c r="I331" s="61"/>
      <c r="J331" s="61"/>
      <c r="K331" s="61"/>
      <c r="L331" s="61"/>
      <c r="M331" s="61"/>
      <c r="N331" s="61"/>
      <c r="O331" s="61"/>
      <c r="P331" s="61"/>
      <c r="Q331" s="61"/>
      <c r="R331" s="61"/>
      <c r="S331" s="61"/>
      <c r="T331" s="35"/>
      <c r="U331" s="187"/>
      <c r="V331" s="190"/>
      <c r="W331" s="190"/>
      <c r="X331" s="190"/>
      <c r="Y331" s="190"/>
      <c r="Z331" s="190"/>
      <c r="AA331" s="191"/>
      <c r="AB331" s="190"/>
      <c r="AC331" s="190"/>
      <c r="AD331" s="190"/>
      <c r="AE331" s="190"/>
      <c r="AF331" s="190"/>
      <c r="AG331" s="190"/>
      <c r="AH331" s="191"/>
      <c r="AI331" s="190"/>
      <c r="AJ331" s="190"/>
      <c r="AK331" s="190"/>
      <c r="AL331" s="190"/>
      <c r="AM331" s="190"/>
      <c r="AN331" s="191"/>
      <c r="AO331" s="190"/>
      <c r="AP331" s="190"/>
      <c r="AQ331" s="190"/>
      <c r="AR331" s="190"/>
      <c r="AS331" s="190"/>
      <c r="AT331" s="191"/>
      <c r="AU331" s="190"/>
      <c r="AV331" s="190"/>
      <c r="AW331" s="190"/>
      <c r="AX331" s="190"/>
      <c r="AY331" s="190"/>
      <c r="AZ331" s="191"/>
      <c r="BA331" s="183"/>
      <c r="BB331" s="183"/>
      <c r="BC331" s="183"/>
      <c r="BD331" s="183"/>
      <c r="BE331" s="183"/>
      <c r="BF331" s="184"/>
      <c r="BG331" s="183"/>
      <c r="BH331" s="183"/>
      <c r="BI331" s="183"/>
      <c r="BJ331" s="183"/>
      <c r="BK331" s="183"/>
      <c r="BL331" s="184"/>
      <c r="BM331" s="409"/>
      <c r="BN331" s="409"/>
    </row>
    <row r="332" spans="1:66" s="153" customFormat="1" x14ac:dyDescent="0.2">
      <c r="A332" s="61"/>
      <c r="B332" s="61"/>
      <c r="C332" s="61"/>
      <c r="D332" s="61"/>
      <c r="E332" s="61"/>
      <c r="F332" s="61"/>
      <c r="G332" s="61"/>
      <c r="H332" s="61"/>
      <c r="I332" s="61"/>
      <c r="J332" s="61"/>
      <c r="K332" s="61"/>
      <c r="L332" s="61"/>
      <c r="M332" s="61"/>
      <c r="N332" s="61"/>
      <c r="O332" s="61"/>
      <c r="P332" s="61"/>
      <c r="Q332" s="61"/>
      <c r="R332" s="61"/>
      <c r="S332" s="61"/>
      <c r="T332" s="35"/>
      <c r="U332" s="187"/>
      <c r="V332" s="190"/>
      <c r="W332" s="190"/>
      <c r="X332" s="190"/>
      <c r="Y332" s="190"/>
      <c r="Z332" s="190"/>
      <c r="AA332" s="191"/>
      <c r="AB332" s="190"/>
      <c r="AC332" s="190"/>
      <c r="AD332" s="190"/>
      <c r="AE332" s="190"/>
      <c r="AF332" s="190"/>
      <c r="AG332" s="190"/>
      <c r="AH332" s="191"/>
      <c r="AI332" s="190"/>
      <c r="AJ332" s="190"/>
      <c r="AK332" s="190"/>
      <c r="AL332" s="190"/>
      <c r="AM332" s="190"/>
      <c r="AN332" s="191"/>
      <c r="AO332" s="190"/>
      <c r="AP332" s="190"/>
      <c r="AQ332" s="190"/>
      <c r="AR332" s="190"/>
      <c r="AS332" s="190"/>
      <c r="AT332" s="191"/>
      <c r="AU332" s="190"/>
      <c r="AV332" s="190"/>
      <c r="AW332" s="190"/>
      <c r="AX332" s="190"/>
      <c r="AY332" s="190"/>
      <c r="AZ332" s="191"/>
      <c r="BA332" s="183"/>
      <c r="BB332" s="183"/>
      <c r="BC332" s="183"/>
      <c r="BD332" s="183"/>
      <c r="BE332" s="183"/>
      <c r="BF332" s="184"/>
      <c r="BG332" s="183"/>
      <c r="BH332" s="183"/>
      <c r="BI332" s="183"/>
      <c r="BJ332" s="183"/>
      <c r="BK332" s="183"/>
      <c r="BL332" s="184"/>
      <c r="BM332" s="409"/>
      <c r="BN332" s="409"/>
    </row>
    <row r="333" spans="1:66" s="153" customFormat="1" x14ac:dyDescent="0.2">
      <c r="A333" s="61"/>
      <c r="B333" s="61"/>
      <c r="C333" s="61"/>
      <c r="D333" s="61"/>
      <c r="E333" s="61"/>
      <c r="F333" s="61"/>
      <c r="G333" s="61"/>
      <c r="H333" s="61"/>
      <c r="I333" s="61"/>
      <c r="J333" s="61"/>
      <c r="K333" s="61"/>
      <c r="L333" s="61"/>
      <c r="M333" s="61"/>
      <c r="N333" s="61"/>
      <c r="O333" s="61"/>
      <c r="P333" s="61"/>
      <c r="Q333" s="61"/>
      <c r="R333" s="61"/>
      <c r="S333" s="61"/>
      <c r="T333" s="35"/>
      <c r="U333" s="187"/>
      <c r="V333" s="190"/>
      <c r="W333" s="190"/>
      <c r="X333" s="190"/>
      <c r="Y333" s="190"/>
      <c r="Z333" s="190"/>
      <c r="AA333" s="191"/>
      <c r="AB333" s="190"/>
      <c r="AC333" s="190"/>
      <c r="AD333" s="190"/>
      <c r="AE333" s="190"/>
      <c r="AF333" s="190"/>
      <c r="AG333" s="190"/>
      <c r="AH333" s="191"/>
      <c r="AI333" s="190"/>
      <c r="AJ333" s="190"/>
      <c r="AK333" s="190"/>
      <c r="AL333" s="190"/>
      <c r="AM333" s="190"/>
      <c r="AN333" s="191"/>
      <c r="AO333" s="190"/>
      <c r="AP333" s="190"/>
      <c r="AQ333" s="190"/>
      <c r="AR333" s="190"/>
      <c r="AS333" s="190"/>
      <c r="AT333" s="191"/>
      <c r="AU333" s="190"/>
      <c r="AV333" s="190"/>
      <c r="AW333" s="190"/>
      <c r="AX333" s="190"/>
      <c r="AY333" s="190"/>
      <c r="AZ333" s="191"/>
      <c r="BA333" s="183"/>
      <c r="BB333" s="183"/>
      <c r="BC333" s="183"/>
      <c r="BD333" s="183"/>
      <c r="BE333" s="183"/>
      <c r="BF333" s="184"/>
      <c r="BG333" s="183"/>
      <c r="BH333" s="183"/>
      <c r="BI333" s="183"/>
      <c r="BJ333" s="183"/>
      <c r="BK333" s="183"/>
      <c r="BL333" s="184"/>
      <c r="BM333" s="409"/>
      <c r="BN333" s="409"/>
    </row>
    <row r="334" spans="1:66" s="153" customFormat="1" x14ac:dyDescent="0.2">
      <c r="A334" s="61"/>
      <c r="B334" s="61"/>
      <c r="C334" s="61"/>
      <c r="D334" s="61"/>
      <c r="E334" s="61"/>
      <c r="F334" s="61"/>
      <c r="G334" s="61"/>
      <c r="H334" s="61"/>
      <c r="I334" s="61"/>
      <c r="J334" s="61"/>
      <c r="K334" s="61"/>
      <c r="L334" s="61"/>
      <c r="M334" s="61"/>
      <c r="N334" s="61"/>
      <c r="O334" s="61"/>
      <c r="P334" s="61"/>
      <c r="Q334" s="61"/>
      <c r="R334" s="61"/>
      <c r="S334" s="61"/>
      <c r="T334" s="35"/>
      <c r="U334" s="187"/>
      <c r="V334" s="190"/>
      <c r="W334" s="190"/>
      <c r="X334" s="190"/>
      <c r="Y334" s="190"/>
      <c r="Z334" s="190"/>
      <c r="AA334" s="191"/>
      <c r="AB334" s="190"/>
      <c r="AC334" s="190"/>
      <c r="AD334" s="190"/>
      <c r="AE334" s="190"/>
      <c r="AF334" s="190"/>
      <c r="AG334" s="190"/>
      <c r="AH334" s="191"/>
      <c r="AI334" s="190"/>
      <c r="AJ334" s="190"/>
      <c r="AK334" s="190"/>
      <c r="AL334" s="190"/>
      <c r="AM334" s="190"/>
      <c r="AN334" s="191"/>
      <c r="AO334" s="190"/>
      <c r="AP334" s="190"/>
      <c r="AQ334" s="190"/>
      <c r="AR334" s="190"/>
      <c r="AS334" s="190"/>
      <c r="AT334" s="191"/>
      <c r="AU334" s="190"/>
      <c r="AV334" s="190"/>
      <c r="AW334" s="190"/>
      <c r="AX334" s="190"/>
      <c r="AY334" s="190"/>
      <c r="AZ334" s="191"/>
      <c r="BA334" s="183"/>
      <c r="BB334" s="183"/>
      <c r="BC334" s="183"/>
      <c r="BD334" s="183"/>
      <c r="BE334" s="183"/>
      <c r="BF334" s="184"/>
      <c r="BG334" s="183"/>
      <c r="BH334" s="183"/>
      <c r="BI334" s="183"/>
      <c r="BJ334" s="183"/>
      <c r="BK334" s="183"/>
      <c r="BL334" s="184"/>
      <c r="BM334" s="409"/>
      <c r="BN334" s="409"/>
    </row>
    <row r="335" spans="1:66" s="153" customFormat="1" x14ac:dyDescent="0.2">
      <c r="A335" s="61"/>
      <c r="B335" s="61"/>
      <c r="C335" s="61"/>
      <c r="D335" s="61"/>
      <c r="E335" s="61"/>
      <c r="F335" s="61"/>
      <c r="G335" s="61"/>
      <c r="H335" s="61"/>
      <c r="I335" s="61"/>
      <c r="J335" s="61"/>
      <c r="K335" s="61"/>
      <c r="L335" s="61"/>
      <c r="M335" s="61"/>
      <c r="N335" s="61"/>
      <c r="O335" s="61"/>
      <c r="P335" s="61"/>
      <c r="Q335" s="61"/>
      <c r="R335" s="61"/>
      <c r="S335" s="61"/>
      <c r="T335" s="35"/>
      <c r="U335" s="187"/>
      <c r="V335" s="190"/>
      <c r="W335" s="190"/>
      <c r="X335" s="190"/>
      <c r="Y335" s="190"/>
      <c r="Z335" s="190"/>
      <c r="AA335" s="191"/>
      <c r="AB335" s="190"/>
      <c r="AC335" s="190"/>
      <c r="AD335" s="190"/>
      <c r="AE335" s="190"/>
      <c r="AF335" s="190"/>
      <c r="AG335" s="190"/>
      <c r="AH335" s="191"/>
      <c r="AI335" s="190"/>
      <c r="AJ335" s="190"/>
      <c r="AK335" s="190"/>
      <c r="AL335" s="190"/>
      <c r="AM335" s="190"/>
      <c r="AN335" s="191"/>
      <c r="AO335" s="190"/>
      <c r="AP335" s="190"/>
      <c r="AQ335" s="190"/>
      <c r="AR335" s="190"/>
      <c r="AS335" s="190"/>
      <c r="AT335" s="191"/>
      <c r="AU335" s="190"/>
      <c r="AV335" s="190"/>
      <c r="AW335" s="190"/>
      <c r="AX335" s="190"/>
      <c r="AY335" s="190"/>
      <c r="AZ335" s="191"/>
      <c r="BA335" s="183"/>
      <c r="BB335" s="183"/>
      <c r="BC335" s="183"/>
      <c r="BD335" s="183"/>
      <c r="BE335" s="183"/>
      <c r="BF335" s="184"/>
      <c r="BG335" s="183"/>
      <c r="BH335" s="183"/>
      <c r="BI335" s="183"/>
      <c r="BJ335" s="183"/>
      <c r="BK335" s="183"/>
      <c r="BL335" s="184"/>
      <c r="BM335" s="409"/>
      <c r="BN335" s="409"/>
    </row>
    <row r="336" spans="1:66" s="153" customFormat="1" x14ac:dyDescent="0.2">
      <c r="A336" s="61"/>
      <c r="B336" s="61"/>
      <c r="C336" s="61"/>
      <c r="D336" s="61"/>
      <c r="E336" s="61"/>
      <c r="F336" s="61"/>
      <c r="G336" s="61"/>
      <c r="H336" s="61"/>
      <c r="I336" s="61"/>
      <c r="J336" s="61"/>
      <c r="K336" s="61"/>
      <c r="L336" s="61"/>
      <c r="M336" s="61"/>
      <c r="N336" s="61"/>
      <c r="O336" s="61"/>
      <c r="P336" s="61"/>
      <c r="Q336" s="61"/>
      <c r="R336" s="61"/>
      <c r="S336" s="61"/>
      <c r="T336" s="35"/>
      <c r="U336" s="187"/>
      <c r="V336" s="190"/>
      <c r="W336" s="190"/>
      <c r="X336" s="190"/>
      <c r="Y336" s="190"/>
      <c r="Z336" s="190"/>
      <c r="AA336" s="191"/>
      <c r="AB336" s="190"/>
      <c r="AC336" s="190"/>
      <c r="AD336" s="190"/>
      <c r="AE336" s="190"/>
      <c r="AF336" s="190"/>
      <c r="AG336" s="190"/>
      <c r="AH336" s="191"/>
      <c r="AI336" s="190"/>
      <c r="AJ336" s="190"/>
      <c r="AK336" s="190"/>
      <c r="AL336" s="190"/>
      <c r="AM336" s="190"/>
      <c r="AN336" s="191"/>
      <c r="AO336" s="190"/>
      <c r="AP336" s="190"/>
      <c r="AQ336" s="190"/>
      <c r="AR336" s="190"/>
      <c r="AS336" s="190"/>
      <c r="AT336" s="191"/>
      <c r="AU336" s="190"/>
      <c r="AV336" s="190"/>
      <c r="AW336" s="190"/>
      <c r="AX336" s="190"/>
      <c r="AY336" s="190"/>
      <c r="AZ336" s="191"/>
      <c r="BA336" s="183"/>
      <c r="BB336" s="183"/>
      <c r="BC336" s="183"/>
      <c r="BD336" s="183"/>
      <c r="BE336" s="183"/>
      <c r="BF336" s="184"/>
      <c r="BG336" s="183"/>
      <c r="BH336" s="183"/>
      <c r="BI336" s="183"/>
      <c r="BJ336" s="183"/>
      <c r="BK336" s="183"/>
      <c r="BL336" s="184"/>
      <c r="BM336" s="409"/>
      <c r="BN336" s="409"/>
    </row>
    <row r="337" spans="1:66" s="153" customFormat="1" x14ac:dyDescent="0.2">
      <c r="A337" s="61"/>
      <c r="B337" s="61"/>
      <c r="C337" s="61"/>
      <c r="D337" s="61"/>
      <c r="E337" s="61"/>
      <c r="F337" s="61"/>
      <c r="G337" s="61"/>
      <c r="H337" s="61"/>
      <c r="I337" s="61"/>
      <c r="J337" s="61"/>
      <c r="K337" s="61"/>
      <c r="L337" s="61"/>
      <c r="M337" s="61"/>
      <c r="N337" s="61"/>
      <c r="O337" s="61"/>
      <c r="P337" s="61"/>
      <c r="Q337" s="61"/>
      <c r="R337" s="61"/>
      <c r="S337" s="61"/>
      <c r="T337" s="35"/>
      <c r="U337" s="187"/>
      <c r="V337" s="190"/>
      <c r="W337" s="190"/>
      <c r="X337" s="190"/>
      <c r="Y337" s="190"/>
      <c r="Z337" s="190"/>
      <c r="AA337" s="191"/>
      <c r="AB337" s="190"/>
      <c r="AC337" s="190"/>
      <c r="AD337" s="190"/>
      <c r="AE337" s="190"/>
      <c r="AF337" s="190"/>
      <c r="AG337" s="190"/>
      <c r="AH337" s="191"/>
      <c r="AI337" s="190"/>
      <c r="AJ337" s="190"/>
      <c r="AK337" s="190"/>
      <c r="AL337" s="190"/>
      <c r="AM337" s="190"/>
      <c r="AN337" s="191"/>
      <c r="AO337" s="190"/>
      <c r="AP337" s="190"/>
      <c r="AQ337" s="190"/>
      <c r="AR337" s="190"/>
      <c r="AS337" s="190"/>
      <c r="AT337" s="191"/>
      <c r="AU337" s="190"/>
      <c r="AV337" s="190"/>
      <c r="AW337" s="190"/>
      <c r="AX337" s="190"/>
      <c r="AY337" s="190"/>
      <c r="AZ337" s="191"/>
      <c r="BA337" s="183"/>
      <c r="BB337" s="183"/>
      <c r="BC337" s="183"/>
      <c r="BD337" s="183"/>
      <c r="BE337" s="183"/>
      <c r="BF337" s="184"/>
      <c r="BG337" s="183"/>
      <c r="BH337" s="183"/>
      <c r="BI337" s="183"/>
      <c r="BJ337" s="183"/>
      <c r="BK337" s="183"/>
      <c r="BL337" s="184"/>
      <c r="BM337" s="409"/>
      <c r="BN337" s="409"/>
    </row>
    <row r="338" spans="1:66" s="153" customFormat="1" x14ac:dyDescent="0.2">
      <c r="A338" s="61"/>
      <c r="B338" s="61"/>
      <c r="C338" s="61"/>
      <c r="D338" s="61"/>
      <c r="E338" s="61"/>
      <c r="F338" s="61"/>
      <c r="G338" s="61"/>
      <c r="H338" s="61"/>
      <c r="I338" s="61"/>
      <c r="J338" s="61"/>
      <c r="K338" s="61"/>
      <c r="L338" s="61"/>
      <c r="M338" s="61"/>
      <c r="N338" s="61"/>
      <c r="O338" s="61"/>
      <c r="P338" s="61"/>
      <c r="Q338" s="61"/>
      <c r="R338" s="61"/>
      <c r="S338" s="61"/>
      <c r="T338" s="35"/>
      <c r="U338" s="187"/>
      <c r="V338" s="190"/>
      <c r="W338" s="190"/>
      <c r="X338" s="190"/>
      <c r="Y338" s="190"/>
      <c r="Z338" s="190"/>
      <c r="AA338" s="191"/>
      <c r="AB338" s="190"/>
      <c r="AC338" s="190"/>
      <c r="AD338" s="190"/>
      <c r="AE338" s="190"/>
      <c r="AF338" s="190"/>
      <c r="AG338" s="190"/>
      <c r="AH338" s="191"/>
      <c r="AI338" s="190"/>
      <c r="AJ338" s="190"/>
      <c r="AK338" s="190"/>
      <c r="AL338" s="190"/>
      <c r="AM338" s="190"/>
      <c r="AN338" s="191"/>
      <c r="AO338" s="190"/>
      <c r="AP338" s="190"/>
      <c r="AQ338" s="190"/>
      <c r="AR338" s="190"/>
      <c r="AS338" s="190"/>
      <c r="AT338" s="191"/>
      <c r="AU338" s="190"/>
      <c r="AV338" s="190"/>
      <c r="AW338" s="190"/>
      <c r="AX338" s="190"/>
      <c r="AY338" s="190"/>
      <c r="AZ338" s="191"/>
      <c r="BA338" s="183"/>
      <c r="BB338" s="183"/>
      <c r="BC338" s="183"/>
      <c r="BD338" s="183"/>
      <c r="BE338" s="183"/>
      <c r="BF338" s="184"/>
      <c r="BG338" s="183"/>
      <c r="BH338" s="183"/>
      <c r="BI338" s="183"/>
      <c r="BJ338" s="183"/>
      <c r="BK338" s="183"/>
      <c r="BL338" s="184"/>
      <c r="BM338" s="409"/>
      <c r="BN338" s="409"/>
    </row>
    <row r="339" spans="1:66" s="153" customFormat="1" x14ac:dyDescent="0.2">
      <c r="A339" s="61"/>
      <c r="B339" s="61"/>
      <c r="C339" s="61"/>
      <c r="D339" s="61"/>
      <c r="E339" s="61"/>
      <c r="F339" s="61"/>
      <c r="G339" s="61"/>
      <c r="H339" s="61"/>
      <c r="I339" s="61"/>
      <c r="J339" s="61"/>
      <c r="K339" s="61"/>
      <c r="L339" s="61"/>
      <c r="M339" s="61"/>
      <c r="N339" s="61"/>
      <c r="O339" s="61"/>
      <c r="P339" s="61"/>
      <c r="Q339" s="61"/>
      <c r="R339" s="61"/>
      <c r="S339" s="61"/>
      <c r="T339" s="35"/>
      <c r="U339" s="187"/>
      <c r="V339" s="190"/>
      <c r="W339" s="190"/>
      <c r="X339" s="190"/>
      <c r="Y339" s="190"/>
      <c r="Z339" s="190"/>
      <c r="AA339" s="191"/>
      <c r="AB339" s="190"/>
      <c r="AC339" s="190"/>
      <c r="AD339" s="190"/>
      <c r="AE339" s="190"/>
      <c r="AF339" s="190"/>
      <c r="AG339" s="190"/>
      <c r="AH339" s="191"/>
      <c r="AI339" s="190"/>
      <c r="AJ339" s="190"/>
      <c r="AK339" s="190"/>
      <c r="AL339" s="190"/>
      <c r="AM339" s="190"/>
      <c r="AN339" s="191"/>
      <c r="AO339" s="190"/>
      <c r="AP339" s="190"/>
      <c r="AQ339" s="190"/>
      <c r="AR339" s="190"/>
      <c r="AS339" s="190"/>
      <c r="AT339" s="191"/>
      <c r="AU339" s="190"/>
      <c r="AV339" s="190"/>
      <c r="AW339" s="190"/>
      <c r="AX339" s="190"/>
      <c r="AY339" s="190"/>
      <c r="AZ339" s="191"/>
      <c r="BA339" s="183"/>
      <c r="BB339" s="183"/>
      <c r="BC339" s="183"/>
      <c r="BD339" s="183"/>
      <c r="BE339" s="183"/>
      <c r="BF339" s="184"/>
      <c r="BG339" s="183"/>
      <c r="BH339" s="183"/>
      <c r="BI339" s="183"/>
      <c r="BJ339" s="183"/>
      <c r="BK339" s="183"/>
      <c r="BL339" s="184"/>
      <c r="BM339" s="409"/>
      <c r="BN339" s="409"/>
    </row>
    <row r="340" spans="1:66" s="153" customFormat="1" x14ac:dyDescent="0.2">
      <c r="A340" s="61"/>
      <c r="B340" s="61"/>
      <c r="C340" s="61"/>
      <c r="D340" s="61"/>
      <c r="E340" s="61"/>
      <c r="F340" s="61"/>
      <c r="G340" s="61"/>
      <c r="H340" s="61"/>
      <c r="I340" s="61"/>
      <c r="J340" s="61"/>
      <c r="K340" s="61"/>
      <c r="L340" s="61"/>
      <c r="M340" s="61"/>
      <c r="N340" s="61"/>
      <c r="O340" s="61"/>
      <c r="P340" s="61"/>
      <c r="Q340" s="61"/>
      <c r="R340" s="61"/>
      <c r="S340" s="61"/>
      <c r="T340" s="35"/>
      <c r="U340" s="187"/>
      <c r="V340" s="190"/>
      <c r="W340" s="190"/>
      <c r="X340" s="190"/>
      <c r="Y340" s="190"/>
      <c r="Z340" s="190"/>
      <c r="AA340" s="191"/>
      <c r="AB340" s="190"/>
      <c r="AC340" s="190"/>
      <c r="AD340" s="190"/>
      <c r="AE340" s="190"/>
      <c r="AF340" s="190"/>
      <c r="AG340" s="190"/>
      <c r="AH340" s="191"/>
      <c r="AI340" s="190"/>
      <c r="AJ340" s="190"/>
      <c r="AK340" s="190"/>
      <c r="AL340" s="190"/>
      <c r="AM340" s="190"/>
      <c r="AN340" s="191"/>
      <c r="AO340" s="190"/>
      <c r="AP340" s="190"/>
      <c r="AQ340" s="190"/>
      <c r="AR340" s="190"/>
      <c r="AS340" s="190"/>
      <c r="AT340" s="191"/>
      <c r="AU340" s="190"/>
      <c r="AV340" s="190"/>
      <c r="AW340" s="190"/>
      <c r="AX340" s="190"/>
      <c r="AY340" s="190"/>
      <c r="AZ340" s="191"/>
      <c r="BA340" s="183"/>
      <c r="BB340" s="183"/>
      <c r="BC340" s="183"/>
      <c r="BD340" s="183"/>
      <c r="BE340" s="183"/>
      <c r="BF340" s="184"/>
      <c r="BG340" s="183"/>
      <c r="BH340" s="183"/>
      <c r="BI340" s="183"/>
      <c r="BJ340" s="183"/>
      <c r="BK340" s="183"/>
      <c r="BL340" s="184"/>
      <c r="BM340" s="409"/>
      <c r="BN340" s="409"/>
    </row>
    <row r="341" spans="1:66" s="153" customFormat="1" x14ac:dyDescent="0.2">
      <c r="A341" s="61"/>
      <c r="B341" s="61"/>
      <c r="C341" s="61"/>
      <c r="D341" s="61"/>
      <c r="E341" s="61"/>
      <c r="F341" s="61"/>
      <c r="G341" s="61"/>
      <c r="H341" s="61"/>
      <c r="I341" s="61"/>
      <c r="J341" s="61"/>
      <c r="K341" s="61"/>
      <c r="L341" s="61"/>
      <c r="M341" s="61"/>
      <c r="N341" s="61"/>
      <c r="O341" s="61"/>
      <c r="P341" s="61"/>
      <c r="Q341" s="61"/>
      <c r="R341" s="61"/>
      <c r="S341" s="61"/>
      <c r="T341" s="35"/>
      <c r="U341" s="187"/>
      <c r="V341" s="190"/>
      <c r="W341" s="190"/>
      <c r="X341" s="190"/>
      <c r="Y341" s="190"/>
      <c r="Z341" s="190"/>
      <c r="AA341" s="191"/>
      <c r="AB341" s="190"/>
      <c r="AC341" s="190"/>
      <c r="AD341" s="190"/>
      <c r="AE341" s="190"/>
      <c r="AF341" s="190"/>
      <c r="AG341" s="190"/>
      <c r="AH341" s="191"/>
      <c r="AI341" s="190"/>
      <c r="AJ341" s="190"/>
      <c r="AK341" s="190"/>
      <c r="AL341" s="190"/>
      <c r="AM341" s="190"/>
      <c r="AN341" s="191"/>
      <c r="AO341" s="190"/>
      <c r="AP341" s="190"/>
      <c r="AQ341" s="190"/>
      <c r="AR341" s="190"/>
      <c r="AS341" s="190"/>
      <c r="AT341" s="191"/>
      <c r="AU341" s="190"/>
      <c r="AV341" s="190"/>
      <c r="AW341" s="190"/>
      <c r="AX341" s="190"/>
      <c r="AY341" s="190"/>
      <c r="AZ341" s="191"/>
      <c r="BA341" s="183"/>
      <c r="BB341" s="183"/>
      <c r="BC341" s="183"/>
      <c r="BD341" s="183"/>
      <c r="BE341" s="183"/>
      <c r="BF341" s="184"/>
      <c r="BG341" s="183"/>
      <c r="BH341" s="183"/>
      <c r="BI341" s="183"/>
      <c r="BJ341" s="183"/>
      <c r="BK341" s="183"/>
      <c r="BL341" s="184"/>
      <c r="BM341" s="409"/>
      <c r="BN341" s="409"/>
    </row>
    <row r="342" spans="1:66" s="153" customFormat="1" x14ac:dyDescent="0.2">
      <c r="A342" s="61"/>
      <c r="B342" s="61"/>
      <c r="C342" s="61"/>
      <c r="D342" s="61"/>
      <c r="E342" s="61"/>
      <c r="F342" s="61"/>
      <c r="G342" s="61"/>
      <c r="H342" s="61"/>
      <c r="I342" s="61"/>
      <c r="J342" s="61"/>
      <c r="K342" s="61"/>
      <c r="L342" s="61"/>
      <c r="M342" s="61"/>
      <c r="N342" s="61"/>
      <c r="O342" s="61"/>
      <c r="P342" s="61"/>
      <c r="Q342" s="61"/>
      <c r="R342" s="61"/>
      <c r="S342" s="61"/>
      <c r="T342" s="35"/>
      <c r="U342" s="187"/>
      <c r="V342" s="190"/>
      <c r="W342" s="190"/>
      <c r="X342" s="190"/>
      <c r="Y342" s="190"/>
      <c r="Z342" s="190"/>
      <c r="AA342" s="191"/>
      <c r="AB342" s="190"/>
      <c r="AC342" s="190"/>
      <c r="AD342" s="190"/>
      <c r="AE342" s="190"/>
      <c r="AF342" s="190"/>
      <c r="AG342" s="190"/>
      <c r="AH342" s="191"/>
      <c r="AI342" s="190"/>
      <c r="AJ342" s="190"/>
      <c r="AK342" s="190"/>
      <c r="AL342" s="190"/>
      <c r="AM342" s="190"/>
      <c r="AN342" s="191"/>
      <c r="AO342" s="190"/>
      <c r="AP342" s="190"/>
      <c r="AQ342" s="190"/>
      <c r="AR342" s="190"/>
      <c r="AS342" s="190"/>
      <c r="AT342" s="191"/>
      <c r="AU342" s="190"/>
      <c r="AV342" s="190"/>
      <c r="AW342" s="190"/>
      <c r="AX342" s="190"/>
      <c r="AY342" s="190"/>
      <c r="AZ342" s="191"/>
      <c r="BA342" s="183"/>
      <c r="BB342" s="183"/>
      <c r="BC342" s="183"/>
      <c r="BD342" s="183"/>
      <c r="BE342" s="183"/>
      <c r="BF342" s="184"/>
      <c r="BG342" s="183"/>
      <c r="BH342" s="183"/>
      <c r="BI342" s="183"/>
      <c r="BJ342" s="183"/>
      <c r="BK342" s="183"/>
      <c r="BL342" s="184"/>
      <c r="BM342" s="409"/>
      <c r="BN342" s="409"/>
    </row>
    <row r="343" spans="1:66" s="153" customFormat="1" x14ac:dyDescent="0.2">
      <c r="A343" s="61"/>
      <c r="B343" s="61"/>
      <c r="C343" s="61"/>
      <c r="D343" s="61"/>
      <c r="E343" s="61"/>
      <c r="F343" s="61"/>
      <c r="G343" s="61"/>
      <c r="H343" s="61"/>
      <c r="I343" s="61"/>
      <c r="J343" s="61"/>
      <c r="K343" s="61"/>
      <c r="L343" s="61"/>
      <c r="M343" s="61"/>
      <c r="N343" s="61"/>
      <c r="O343" s="61"/>
      <c r="P343" s="61"/>
      <c r="Q343" s="61"/>
      <c r="R343" s="61"/>
      <c r="S343" s="61"/>
      <c r="T343" s="35"/>
      <c r="U343" s="187"/>
      <c r="V343" s="190"/>
      <c r="W343" s="190"/>
      <c r="X343" s="190"/>
      <c r="Y343" s="190"/>
      <c r="Z343" s="190"/>
      <c r="AA343" s="191"/>
      <c r="AB343" s="190"/>
      <c r="AC343" s="190"/>
      <c r="AD343" s="190"/>
      <c r="AE343" s="190"/>
      <c r="AF343" s="190"/>
      <c r="AG343" s="190"/>
      <c r="AH343" s="191"/>
      <c r="AI343" s="190"/>
      <c r="AJ343" s="190"/>
      <c r="AK343" s="190"/>
      <c r="AL343" s="190"/>
      <c r="AM343" s="190"/>
      <c r="AN343" s="191"/>
      <c r="AO343" s="190"/>
      <c r="AP343" s="190"/>
      <c r="AQ343" s="190"/>
      <c r="AR343" s="190"/>
      <c r="AS343" s="190"/>
      <c r="AT343" s="191"/>
      <c r="AU343" s="190"/>
      <c r="AV343" s="190"/>
      <c r="AW343" s="190"/>
      <c r="AX343" s="190"/>
      <c r="AY343" s="190"/>
      <c r="AZ343" s="191"/>
      <c r="BA343" s="183"/>
      <c r="BB343" s="183"/>
      <c r="BC343" s="183"/>
      <c r="BD343" s="183"/>
      <c r="BE343" s="183"/>
      <c r="BF343" s="184"/>
      <c r="BG343" s="183"/>
      <c r="BH343" s="183"/>
      <c r="BI343" s="183"/>
      <c r="BJ343" s="183"/>
      <c r="BK343" s="183"/>
      <c r="BL343" s="184"/>
      <c r="BM343" s="409"/>
      <c r="BN343" s="409"/>
    </row>
    <row r="344" spans="1:66" s="153" customFormat="1" x14ac:dyDescent="0.2">
      <c r="A344" s="61"/>
      <c r="B344" s="61"/>
      <c r="C344" s="61"/>
      <c r="D344" s="61"/>
      <c r="E344" s="61"/>
      <c r="F344" s="61"/>
      <c r="G344" s="61"/>
      <c r="H344" s="61"/>
      <c r="I344" s="61"/>
      <c r="J344" s="61"/>
      <c r="K344" s="61"/>
      <c r="L344" s="61"/>
      <c r="M344" s="61"/>
      <c r="N344" s="61"/>
      <c r="O344" s="61"/>
      <c r="P344" s="61"/>
      <c r="Q344" s="61"/>
      <c r="R344" s="61"/>
      <c r="S344" s="61"/>
      <c r="T344" s="35"/>
      <c r="U344" s="187"/>
      <c r="V344" s="190"/>
      <c r="W344" s="190"/>
      <c r="X344" s="190"/>
      <c r="Y344" s="190"/>
      <c r="Z344" s="190"/>
      <c r="AA344" s="191"/>
      <c r="AB344" s="190"/>
      <c r="AC344" s="190"/>
      <c r="AD344" s="190"/>
      <c r="AE344" s="190"/>
      <c r="AF344" s="190"/>
      <c r="AG344" s="190"/>
      <c r="AH344" s="191"/>
      <c r="AI344" s="190"/>
      <c r="AJ344" s="190"/>
      <c r="AK344" s="190"/>
      <c r="AL344" s="190"/>
      <c r="AM344" s="190"/>
      <c r="AN344" s="191"/>
      <c r="AO344" s="190"/>
      <c r="AP344" s="190"/>
      <c r="AQ344" s="190"/>
      <c r="AR344" s="190"/>
      <c r="AS344" s="190"/>
      <c r="AT344" s="191"/>
      <c r="AU344" s="190"/>
      <c r="AV344" s="190"/>
      <c r="AW344" s="190"/>
      <c r="AX344" s="190"/>
      <c r="AY344" s="190"/>
      <c r="AZ344" s="191"/>
      <c r="BA344" s="183"/>
      <c r="BB344" s="183"/>
      <c r="BC344" s="183"/>
      <c r="BD344" s="183"/>
      <c r="BE344" s="183"/>
      <c r="BF344" s="184"/>
      <c r="BG344" s="183"/>
      <c r="BH344" s="183"/>
      <c r="BI344" s="183"/>
      <c r="BJ344" s="183"/>
      <c r="BK344" s="183"/>
      <c r="BL344" s="184"/>
      <c r="BM344" s="409"/>
      <c r="BN344" s="409"/>
    </row>
    <row r="345" spans="1:66" s="153" customFormat="1" x14ac:dyDescent="0.2">
      <c r="A345" s="61"/>
      <c r="B345" s="61"/>
      <c r="C345" s="61"/>
      <c r="D345" s="61"/>
      <c r="E345" s="61"/>
      <c r="F345" s="61"/>
      <c r="G345" s="61"/>
      <c r="H345" s="61"/>
      <c r="I345" s="61"/>
      <c r="J345" s="61"/>
      <c r="K345" s="61"/>
      <c r="L345" s="61"/>
      <c r="M345" s="61"/>
      <c r="N345" s="61"/>
      <c r="O345" s="61"/>
      <c r="P345" s="61"/>
      <c r="Q345" s="61"/>
      <c r="R345" s="61"/>
      <c r="S345" s="61"/>
      <c r="T345" s="35"/>
      <c r="U345" s="187"/>
      <c r="V345" s="190"/>
      <c r="W345" s="190"/>
      <c r="X345" s="190"/>
      <c r="Y345" s="190"/>
      <c r="Z345" s="190"/>
      <c r="AA345" s="191"/>
      <c r="AB345" s="190"/>
      <c r="AC345" s="190"/>
      <c r="AD345" s="190"/>
      <c r="AE345" s="190"/>
      <c r="AF345" s="190"/>
      <c r="AG345" s="190"/>
      <c r="AH345" s="191"/>
      <c r="AI345" s="190"/>
      <c r="AJ345" s="190"/>
      <c r="AK345" s="190"/>
      <c r="AL345" s="190"/>
      <c r="AM345" s="190"/>
      <c r="AN345" s="191"/>
      <c r="AO345" s="190"/>
      <c r="AP345" s="190"/>
      <c r="AQ345" s="190"/>
      <c r="AR345" s="190"/>
      <c r="AS345" s="190"/>
      <c r="AT345" s="191"/>
      <c r="AU345" s="190"/>
      <c r="AV345" s="190"/>
      <c r="AW345" s="190"/>
      <c r="AX345" s="190"/>
      <c r="AY345" s="190"/>
      <c r="AZ345" s="191"/>
      <c r="BA345" s="183"/>
      <c r="BB345" s="183"/>
      <c r="BC345" s="183"/>
      <c r="BD345" s="183"/>
      <c r="BE345" s="183"/>
      <c r="BF345" s="184"/>
      <c r="BG345" s="183"/>
      <c r="BH345" s="183"/>
      <c r="BI345" s="183"/>
      <c r="BJ345" s="183"/>
      <c r="BK345" s="183"/>
      <c r="BL345" s="184"/>
      <c r="BM345" s="409"/>
      <c r="BN345" s="409"/>
    </row>
    <row r="346" spans="1:66" s="153" customFormat="1" x14ac:dyDescent="0.2">
      <c r="A346" s="61"/>
      <c r="B346" s="61"/>
      <c r="C346" s="61"/>
      <c r="D346" s="61"/>
      <c r="E346" s="61"/>
      <c r="F346" s="61"/>
      <c r="G346" s="61"/>
      <c r="H346" s="61"/>
      <c r="I346" s="61"/>
      <c r="J346" s="61"/>
      <c r="K346" s="61"/>
      <c r="L346" s="61"/>
      <c r="M346" s="61"/>
      <c r="N346" s="61"/>
      <c r="O346" s="61"/>
      <c r="P346" s="61"/>
      <c r="Q346" s="61"/>
      <c r="R346" s="61"/>
      <c r="S346" s="61"/>
      <c r="T346" s="35"/>
      <c r="U346" s="187"/>
      <c r="V346" s="190"/>
      <c r="W346" s="190"/>
      <c r="X346" s="190"/>
      <c r="Y346" s="190"/>
      <c r="Z346" s="190"/>
      <c r="AA346" s="191"/>
      <c r="AB346" s="190"/>
      <c r="AC346" s="190"/>
      <c r="AD346" s="190"/>
      <c r="AE346" s="190"/>
      <c r="AF346" s="190"/>
      <c r="AG346" s="190"/>
      <c r="AH346" s="191"/>
      <c r="AI346" s="190"/>
      <c r="AJ346" s="190"/>
      <c r="AK346" s="190"/>
      <c r="AL346" s="190"/>
      <c r="AM346" s="190"/>
      <c r="AN346" s="191"/>
      <c r="AO346" s="190"/>
      <c r="AP346" s="190"/>
      <c r="AQ346" s="190"/>
      <c r="AR346" s="190"/>
      <c r="AS346" s="190"/>
      <c r="AT346" s="191"/>
      <c r="AU346" s="190"/>
      <c r="AV346" s="190"/>
      <c r="AW346" s="190"/>
      <c r="AX346" s="190"/>
      <c r="AY346" s="190"/>
      <c r="AZ346" s="191"/>
      <c r="BA346" s="183"/>
      <c r="BB346" s="183"/>
      <c r="BC346" s="183"/>
      <c r="BD346" s="183"/>
      <c r="BE346" s="183"/>
      <c r="BF346" s="184"/>
      <c r="BG346" s="183"/>
      <c r="BH346" s="183"/>
      <c r="BI346" s="183"/>
      <c r="BJ346" s="183"/>
      <c r="BK346" s="183"/>
      <c r="BL346" s="184"/>
      <c r="BM346" s="409"/>
      <c r="BN346" s="409"/>
    </row>
    <row r="347" spans="1:66" s="153" customFormat="1" x14ac:dyDescent="0.2">
      <c r="A347" s="61"/>
      <c r="B347" s="61"/>
      <c r="C347" s="61"/>
      <c r="D347" s="61"/>
      <c r="E347" s="61"/>
      <c r="F347" s="61"/>
      <c r="G347" s="61"/>
      <c r="H347" s="61"/>
      <c r="I347" s="61"/>
      <c r="J347" s="61"/>
      <c r="K347" s="61"/>
      <c r="L347" s="61"/>
      <c r="M347" s="61"/>
      <c r="N347" s="61"/>
      <c r="O347" s="61"/>
      <c r="P347" s="61"/>
      <c r="Q347" s="61"/>
      <c r="R347" s="61"/>
      <c r="S347" s="61"/>
      <c r="T347" s="35"/>
      <c r="U347" s="187"/>
      <c r="V347" s="190"/>
      <c r="W347" s="190"/>
      <c r="X347" s="190"/>
      <c r="Y347" s="190"/>
      <c r="Z347" s="190"/>
      <c r="AA347" s="191"/>
      <c r="AB347" s="190"/>
      <c r="AC347" s="190"/>
      <c r="AD347" s="190"/>
      <c r="AE347" s="190"/>
      <c r="AF347" s="190"/>
      <c r="AG347" s="190"/>
      <c r="AH347" s="191"/>
      <c r="AI347" s="190"/>
      <c r="AJ347" s="190"/>
      <c r="AK347" s="190"/>
      <c r="AL347" s="190"/>
      <c r="AM347" s="190"/>
      <c r="AN347" s="191"/>
      <c r="AO347" s="190"/>
      <c r="AP347" s="190"/>
      <c r="AQ347" s="190"/>
      <c r="AR347" s="190"/>
      <c r="AS347" s="190"/>
      <c r="AT347" s="191"/>
      <c r="AU347" s="190"/>
      <c r="AV347" s="190"/>
      <c r="AW347" s="190"/>
      <c r="AX347" s="190"/>
      <c r="AY347" s="190"/>
      <c r="AZ347" s="191"/>
      <c r="BA347" s="183"/>
      <c r="BB347" s="183"/>
      <c r="BC347" s="183"/>
      <c r="BD347" s="183"/>
      <c r="BE347" s="183"/>
      <c r="BF347" s="184"/>
      <c r="BG347" s="183"/>
      <c r="BH347" s="183"/>
      <c r="BI347" s="183"/>
      <c r="BJ347" s="183"/>
      <c r="BK347" s="183"/>
      <c r="BL347" s="184"/>
      <c r="BM347" s="409"/>
      <c r="BN347" s="409"/>
    </row>
    <row r="348" spans="1:66" s="153" customFormat="1" x14ac:dyDescent="0.2">
      <c r="A348" s="61"/>
      <c r="B348" s="61"/>
      <c r="C348" s="61"/>
      <c r="D348" s="61"/>
      <c r="E348" s="61"/>
      <c r="F348" s="61"/>
      <c r="G348" s="61"/>
      <c r="H348" s="61"/>
      <c r="I348" s="61"/>
      <c r="J348" s="61"/>
      <c r="K348" s="61"/>
      <c r="L348" s="61"/>
      <c r="M348" s="61"/>
      <c r="N348" s="61"/>
      <c r="O348" s="61"/>
      <c r="P348" s="61"/>
      <c r="Q348" s="61"/>
      <c r="R348" s="61"/>
      <c r="S348" s="61"/>
      <c r="T348" s="35"/>
      <c r="U348" s="187"/>
      <c r="V348" s="190"/>
      <c r="W348" s="190"/>
      <c r="X348" s="190"/>
      <c r="Y348" s="190"/>
      <c r="Z348" s="190"/>
      <c r="AA348" s="191"/>
      <c r="AB348" s="190"/>
      <c r="AC348" s="190"/>
      <c r="AD348" s="190"/>
      <c r="AE348" s="190"/>
      <c r="AF348" s="190"/>
      <c r="AG348" s="190"/>
      <c r="AH348" s="191"/>
      <c r="AI348" s="190"/>
      <c r="AJ348" s="190"/>
      <c r="AK348" s="190"/>
      <c r="AL348" s="190"/>
      <c r="AM348" s="190"/>
      <c r="AN348" s="191"/>
      <c r="AO348" s="190"/>
      <c r="AP348" s="190"/>
      <c r="AQ348" s="190"/>
      <c r="AR348" s="190"/>
      <c r="AS348" s="190"/>
      <c r="AT348" s="191"/>
      <c r="AU348" s="190"/>
      <c r="AV348" s="190"/>
      <c r="AW348" s="190"/>
      <c r="AX348" s="190"/>
      <c r="AY348" s="190"/>
      <c r="AZ348" s="191"/>
      <c r="BA348" s="183"/>
      <c r="BB348" s="183"/>
      <c r="BC348" s="183"/>
      <c r="BD348" s="183"/>
      <c r="BE348" s="183"/>
      <c r="BF348" s="184"/>
      <c r="BG348" s="183"/>
      <c r="BH348" s="183"/>
      <c r="BI348" s="183"/>
      <c r="BJ348" s="183"/>
      <c r="BK348" s="183"/>
      <c r="BL348" s="184"/>
      <c r="BM348" s="409"/>
      <c r="BN348" s="409"/>
    </row>
    <row r="349" spans="1:66" s="153" customFormat="1" x14ac:dyDescent="0.2">
      <c r="A349" s="61"/>
      <c r="B349" s="61"/>
      <c r="C349" s="61"/>
      <c r="D349" s="61"/>
      <c r="E349" s="61"/>
      <c r="F349" s="61"/>
      <c r="G349" s="61"/>
      <c r="H349" s="61"/>
      <c r="I349" s="61"/>
      <c r="J349" s="61"/>
      <c r="K349" s="61"/>
      <c r="L349" s="61"/>
      <c r="M349" s="61"/>
      <c r="N349" s="61"/>
      <c r="O349" s="61"/>
      <c r="P349" s="61"/>
      <c r="Q349" s="61"/>
      <c r="R349" s="61"/>
      <c r="S349" s="61"/>
      <c r="T349" s="35"/>
      <c r="U349" s="187"/>
      <c r="V349" s="190"/>
      <c r="W349" s="190"/>
      <c r="X349" s="190"/>
      <c r="Y349" s="190"/>
      <c r="Z349" s="190"/>
      <c r="AA349" s="191"/>
      <c r="AB349" s="190"/>
      <c r="AC349" s="190"/>
      <c r="AD349" s="190"/>
      <c r="AE349" s="190"/>
      <c r="AF349" s="190"/>
      <c r="AG349" s="190"/>
      <c r="AH349" s="191"/>
      <c r="AI349" s="190"/>
      <c r="AJ349" s="190"/>
      <c r="AK349" s="190"/>
      <c r="AL349" s="190"/>
      <c r="AM349" s="190"/>
      <c r="AN349" s="191"/>
      <c r="AO349" s="190"/>
      <c r="AP349" s="190"/>
      <c r="AQ349" s="190"/>
      <c r="AR349" s="190"/>
      <c r="AS349" s="190"/>
      <c r="AT349" s="191"/>
      <c r="AU349" s="190"/>
      <c r="AV349" s="190"/>
      <c r="AW349" s="190"/>
      <c r="AX349" s="190"/>
      <c r="AY349" s="190"/>
      <c r="AZ349" s="191"/>
      <c r="BA349" s="183"/>
      <c r="BB349" s="183"/>
      <c r="BC349" s="183"/>
      <c r="BD349" s="183"/>
      <c r="BE349" s="183"/>
      <c r="BF349" s="184"/>
      <c r="BG349" s="183"/>
      <c r="BH349" s="183"/>
      <c r="BI349" s="183"/>
      <c r="BJ349" s="183"/>
      <c r="BK349" s="183"/>
      <c r="BL349" s="184"/>
      <c r="BM349" s="409"/>
      <c r="BN349" s="409"/>
    </row>
    <row r="350" spans="1:66" s="153" customFormat="1" x14ac:dyDescent="0.2">
      <c r="A350" s="61"/>
      <c r="B350" s="61"/>
      <c r="C350" s="61"/>
      <c r="D350" s="61"/>
      <c r="E350" s="61"/>
      <c r="F350" s="61"/>
      <c r="G350" s="61"/>
      <c r="H350" s="61"/>
      <c r="I350" s="61"/>
      <c r="J350" s="61"/>
      <c r="K350" s="61"/>
      <c r="L350" s="61"/>
      <c r="M350" s="61"/>
      <c r="N350" s="61"/>
      <c r="O350" s="61"/>
      <c r="P350" s="61"/>
      <c r="Q350" s="61"/>
      <c r="R350" s="61"/>
      <c r="S350" s="61"/>
      <c r="T350" s="35"/>
      <c r="U350" s="187"/>
      <c r="V350" s="190"/>
      <c r="W350" s="190"/>
      <c r="X350" s="190"/>
      <c r="Y350" s="190"/>
      <c r="Z350" s="190"/>
      <c r="AA350" s="191"/>
      <c r="AB350" s="190"/>
      <c r="AC350" s="190"/>
      <c r="AD350" s="190"/>
      <c r="AE350" s="190"/>
      <c r="AF350" s="190"/>
      <c r="AG350" s="190"/>
      <c r="AH350" s="191"/>
      <c r="AI350" s="190"/>
      <c r="AJ350" s="190"/>
      <c r="AK350" s="190"/>
      <c r="AL350" s="190"/>
      <c r="AM350" s="190"/>
      <c r="AN350" s="191"/>
      <c r="AO350" s="190"/>
      <c r="AP350" s="190"/>
      <c r="AQ350" s="190"/>
      <c r="AR350" s="190"/>
      <c r="AS350" s="190"/>
      <c r="AT350" s="191"/>
      <c r="AU350" s="190"/>
      <c r="AV350" s="190"/>
      <c r="AW350" s="190"/>
      <c r="AX350" s="190"/>
      <c r="AY350" s="190"/>
      <c r="AZ350" s="191"/>
      <c r="BA350" s="183"/>
      <c r="BB350" s="183"/>
      <c r="BC350" s="183"/>
      <c r="BD350" s="183"/>
      <c r="BE350" s="183"/>
      <c r="BF350" s="184"/>
      <c r="BG350" s="183"/>
      <c r="BH350" s="183"/>
      <c r="BI350" s="183"/>
      <c r="BJ350" s="183"/>
      <c r="BK350" s="183"/>
      <c r="BL350" s="184"/>
      <c r="BM350" s="409"/>
      <c r="BN350" s="409"/>
    </row>
    <row r="351" spans="1:66" s="153" customFormat="1" x14ac:dyDescent="0.2">
      <c r="A351" s="61"/>
      <c r="B351" s="61"/>
      <c r="C351" s="61"/>
      <c r="D351" s="61"/>
      <c r="E351" s="61"/>
      <c r="F351" s="61"/>
      <c r="G351" s="61"/>
      <c r="H351" s="61"/>
      <c r="I351" s="61"/>
      <c r="J351" s="61"/>
      <c r="K351" s="61"/>
      <c r="L351" s="61"/>
      <c r="M351" s="61"/>
      <c r="N351" s="61"/>
      <c r="O351" s="61"/>
      <c r="P351" s="61"/>
      <c r="Q351" s="61"/>
      <c r="R351" s="61"/>
      <c r="S351" s="61"/>
      <c r="T351" s="35"/>
      <c r="U351" s="187"/>
      <c r="V351" s="190"/>
      <c r="W351" s="190"/>
      <c r="X351" s="190"/>
      <c r="Y351" s="190"/>
      <c r="Z351" s="190"/>
      <c r="AA351" s="191"/>
      <c r="AB351" s="190"/>
      <c r="AC351" s="190"/>
      <c r="AD351" s="190"/>
      <c r="AE351" s="190"/>
      <c r="AF351" s="190"/>
      <c r="AG351" s="190"/>
      <c r="AH351" s="191"/>
      <c r="AI351" s="190"/>
      <c r="AJ351" s="190"/>
      <c r="AK351" s="190"/>
      <c r="AL351" s="190"/>
      <c r="AM351" s="190"/>
      <c r="AN351" s="191"/>
      <c r="AO351" s="190"/>
      <c r="AP351" s="190"/>
      <c r="AQ351" s="190"/>
      <c r="AR351" s="190"/>
      <c r="AS351" s="190"/>
      <c r="AT351" s="191"/>
      <c r="AU351" s="190"/>
      <c r="AV351" s="190"/>
      <c r="AW351" s="190"/>
      <c r="AX351" s="190"/>
      <c r="AY351" s="190"/>
      <c r="AZ351" s="191"/>
      <c r="BA351" s="183"/>
      <c r="BB351" s="183"/>
      <c r="BC351" s="183"/>
      <c r="BD351" s="183"/>
      <c r="BE351" s="183"/>
      <c r="BF351" s="184"/>
      <c r="BG351" s="183"/>
      <c r="BH351" s="183"/>
      <c r="BI351" s="183"/>
      <c r="BJ351" s="183"/>
      <c r="BK351" s="183"/>
      <c r="BL351" s="184"/>
      <c r="BM351" s="409"/>
      <c r="BN351" s="409"/>
    </row>
    <row r="352" spans="1:66" s="153" customFormat="1" x14ac:dyDescent="0.2">
      <c r="A352" s="61"/>
      <c r="B352" s="61"/>
      <c r="C352" s="61"/>
      <c r="D352" s="61"/>
      <c r="E352" s="61"/>
      <c r="F352" s="61"/>
      <c r="G352" s="61"/>
      <c r="H352" s="61"/>
      <c r="I352" s="61"/>
      <c r="J352" s="61"/>
      <c r="K352" s="61"/>
      <c r="L352" s="61"/>
      <c r="M352" s="61"/>
      <c r="N352" s="61"/>
      <c r="O352" s="61"/>
      <c r="P352" s="61"/>
      <c r="Q352" s="61"/>
      <c r="R352" s="61"/>
      <c r="S352" s="61"/>
      <c r="T352" s="35"/>
      <c r="U352" s="187"/>
      <c r="V352" s="190"/>
      <c r="W352" s="190"/>
      <c r="X352" s="190"/>
      <c r="Y352" s="190"/>
      <c r="Z352" s="190"/>
      <c r="AA352" s="191"/>
      <c r="AB352" s="190"/>
      <c r="AC352" s="190"/>
      <c r="AD352" s="190"/>
      <c r="AE352" s="190"/>
      <c r="AF352" s="190"/>
      <c r="AG352" s="190"/>
      <c r="AH352" s="191"/>
      <c r="AI352" s="190"/>
      <c r="AJ352" s="190"/>
      <c r="AK352" s="190"/>
      <c r="AL352" s="190"/>
      <c r="AM352" s="190"/>
      <c r="AN352" s="191"/>
      <c r="AO352" s="190"/>
      <c r="AP352" s="190"/>
      <c r="AQ352" s="190"/>
      <c r="AR352" s="190"/>
      <c r="AS352" s="190"/>
      <c r="AT352" s="191"/>
      <c r="AU352" s="190"/>
      <c r="AV352" s="190"/>
      <c r="AW352" s="190"/>
      <c r="AX352" s="190"/>
      <c r="AY352" s="190"/>
      <c r="AZ352" s="191"/>
      <c r="BA352" s="183"/>
      <c r="BB352" s="183"/>
      <c r="BC352" s="183"/>
      <c r="BD352" s="183"/>
      <c r="BE352" s="183"/>
      <c r="BF352" s="184"/>
      <c r="BG352" s="183"/>
      <c r="BH352" s="183"/>
      <c r="BI352" s="183"/>
      <c r="BJ352" s="183"/>
      <c r="BK352" s="183"/>
      <c r="BL352" s="184"/>
      <c r="BM352" s="409"/>
      <c r="BN352" s="409"/>
    </row>
    <row r="353" spans="1:66" s="153" customFormat="1" x14ac:dyDescent="0.2">
      <c r="A353" s="61"/>
      <c r="B353" s="61"/>
      <c r="C353" s="61"/>
      <c r="D353" s="61"/>
      <c r="E353" s="61"/>
      <c r="F353" s="61"/>
      <c r="G353" s="61"/>
      <c r="H353" s="61"/>
      <c r="I353" s="61"/>
      <c r="J353" s="61"/>
      <c r="K353" s="61"/>
      <c r="L353" s="61"/>
      <c r="M353" s="61"/>
      <c r="N353" s="61"/>
      <c r="O353" s="61"/>
      <c r="P353" s="61"/>
      <c r="Q353" s="61"/>
      <c r="R353" s="61"/>
      <c r="S353" s="61"/>
      <c r="T353" s="35"/>
      <c r="U353" s="187"/>
      <c r="V353" s="190"/>
      <c r="W353" s="190"/>
      <c r="X353" s="190"/>
      <c r="Y353" s="190"/>
      <c r="Z353" s="190"/>
      <c r="AA353" s="191"/>
      <c r="AB353" s="190"/>
      <c r="AC353" s="190"/>
      <c r="AD353" s="190"/>
      <c r="AE353" s="190"/>
      <c r="AF353" s="190"/>
      <c r="AG353" s="190"/>
      <c r="AH353" s="191"/>
      <c r="AI353" s="190"/>
      <c r="AJ353" s="190"/>
      <c r="AK353" s="190"/>
      <c r="AL353" s="190"/>
      <c r="AM353" s="190"/>
      <c r="AN353" s="191"/>
      <c r="AO353" s="190"/>
      <c r="AP353" s="190"/>
      <c r="AQ353" s="190"/>
      <c r="AR353" s="190"/>
      <c r="AS353" s="190"/>
      <c r="AT353" s="191"/>
      <c r="AU353" s="190"/>
      <c r="AV353" s="190"/>
      <c r="AW353" s="190"/>
      <c r="AX353" s="190"/>
      <c r="AY353" s="190"/>
      <c r="AZ353" s="191"/>
      <c r="BA353" s="183"/>
      <c r="BB353" s="183"/>
      <c r="BC353" s="183"/>
      <c r="BD353" s="183"/>
      <c r="BE353" s="183"/>
      <c r="BF353" s="184"/>
      <c r="BG353" s="183"/>
      <c r="BH353" s="183"/>
      <c r="BI353" s="183"/>
      <c r="BJ353" s="183"/>
      <c r="BK353" s="183"/>
      <c r="BL353" s="184"/>
      <c r="BM353" s="409"/>
      <c r="BN353" s="409"/>
    </row>
    <row r="354" spans="1:66" s="153" customFormat="1" x14ac:dyDescent="0.2">
      <c r="A354" s="61"/>
      <c r="B354" s="61"/>
      <c r="C354" s="61"/>
      <c r="D354" s="61"/>
      <c r="E354" s="61"/>
      <c r="F354" s="61"/>
      <c r="G354" s="61"/>
      <c r="H354" s="61"/>
      <c r="I354" s="61"/>
      <c r="J354" s="61"/>
      <c r="K354" s="61"/>
      <c r="L354" s="61"/>
      <c r="M354" s="61"/>
      <c r="N354" s="61"/>
      <c r="O354" s="61"/>
      <c r="P354" s="61"/>
      <c r="Q354" s="61"/>
      <c r="R354" s="61"/>
      <c r="S354" s="61"/>
      <c r="T354" s="35"/>
      <c r="U354" s="187"/>
      <c r="V354" s="190"/>
      <c r="W354" s="190"/>
      <c r="X354" s="190"/>
      <c r="Y354" s="190"/>
      <c r="Z354" s="190"/>
      <c r="AA354" s="191"/>
      <c r="AB354" s="190"/>
      <c r="AC354" s="190"/>
      <c r="AD354" s="190"/>
      <c r="AE354" s="190"/>
      <c r="AF354" s="190"/>
      <c r="AG354" s="190"/>
      <c r="AH354" s="191"/>
      <c r="AI354" s="190"/>
      <c r="AJ354" s="190"/>
      <c r="AK354" s="190"/>
      <c r="AL354" s="190"/>
      <c r="AM354" s="190"/>
      <c r="AN354" s="191"/>
      <c r="AO354" s="190"/>
      <c r="AP354" s="190"/>
      <c r="AQ354" s="190"/>
      <c r="AR354" s="190"/>
      <c r="AS354" s="190"/>
      <c r="AT354" s="191"/>
      <c r="AU354" s="190"/>
      <c r="AV354" s="190"/>
      <c r="AW354" s="190"/>
      <c r="AX354" s="190"/>
      <c r="AY354" s="190"/>
      <c r="AZ354" s="191"/>
      <c r="BA354" s="183"/>
      <c r="BB354" s="183"/>
      <c r="BC354" s="183"/>
      <c r="BD354" s="183"/>
      <c r="BE354" s="183"/>
      <c r="BF354" s="184"/>
      <c r="BG354" s="183"/>
      <c r="BH354" s="183"/>
      <c r="BI354" s="183"/>
      <c r="BJ354" s="183"/>
      <c r="BK354" s="183"/>
      <c r="BL354" s="184"/>
      <c r="BM354" s="409"/>
      <c r="BN354" s="409"/>
    </row>
    <row r="355" spans="1:66" s="153" customFormat="1" x14ac:dyDescent="0.2">
      <c r="A355" s="61"/>
      <c r="B355" s="61"/>
      <c r="C355" s="61"/>
      <c r="D355" s="61"/>
      <c r="E355" s="61"/>
      <c r="F355" s="61"/>
      <c r="G355" s="61"/>
      <c r="H355" s="61"/>
      <c r="I355" s="61"/>
      <c r="J355" s="61"/>
      <c r="K355" s="61"/>
      <c r="L355" s="61"/>
      <c r="M355" s="61"/>
      <c r="N355" s="61"/>
      <c r="O355" s="61"/>
      <c r="P355" s="61"/>
      <c r="Q355" s="61"/>
      <c r="R355" s="61"/>
      <c r="S355" s="61"/>
      <c r="T355" s="35"/>
      <c r="U355" s="187"/>
      <c r="V355" s="190"/>
      <c r="W355" s="190"/>
      <c r="X355" s="190"/>
      <c r="Y355" s="190"/>
      <c r="Z355" s="190"/>
      <c r="AA355" s="191"/>
      <c r="AB355" s="190"/>
      <c r="AC355" s="190"/>
      <c r="AD355" s="190"/>
      <c r="AE355" s="190"/>
      <c r="AF355" s="190"/>
      <c r="AG355" s="190"/>
      <c r="AH355" s="191"/>
      <c r="AI355" s="190"/>
      <c r="AJ355" s="190"/>
      <c r="AK355" s="190"/>
      <c r="AL355" s="190"/>
      <c r="AM355" s="190"/>
      <c r="AN355" s="191"/>
      <c r="AO355" s="190"/>
      <c r="AP355" s="190"/>
      <c r="AQ355" s="190"/>
      <c r="AR355" s="190"/>
      <c r="AS355" s="190"/>
      <c r="AT355" s="191"/>
      <c r="AU355" s="190"/>
      <c r="AV355" s="190"/>
      <c r="AW355" s="190"/>
      <c r="AX355" s="190"/>
      <c r="AY355" s="190"/>
      <c r="AZ355" s="191"/>
      <c r="BA355" s="183"/>
      <c r="BB355" s="183"/>
      <c r="BC355" s="183"/>
      <c r="BD355" s="183"/>
      <c r="BE355" s="183"/>
      <c r="BF355" s="184"/>
      <c r="BG355" s="183"/>
      <c r="BH355" s="183"/>
      <c r="BI355" s="183"/>
      <c r="BJ355" s="183"/>
      <c r="BK355" s="183"/>
      <c r="BL355" s="184"/>
      <c r="BM355" s="409"/>
      <c r="BN355" s="409"/>
    </row>
    <row r="356" spans="1:66" s="153" customFormat="1" x14ac:dyDescent="0.2">
      <c r="A356" s="61"/>
      <c r="B356" s="61"/>
      <c r="C356" s="61"/>
      <c r="D356" s="61"/>
      <c r="E356" s="61"/>
      <c r="F356" s="61"/>
      <c r="G356" s="61"/>
      <c r="H356" s="61"/>
      <c r="I356" s="61"/>
      <c r="J356" s="61"/>
      <c r="K356" s="61"/>
      <c r="L356" s="61"/>
      <c r="M356" s="61"/>
      <c r="N356" s="61"/>
      <c r="O356" s="61"/>
      <c r="P356" s="61"/>
      <c r="Q356" s="61"/>
      <c r="R356" s="61"/>
      <c r="S356" s="61"/>
      <c r="T356" s="35"/>
      <c r="U356" s="187"/>
      <c r="V356" s="190"/>
      <c r="W356" s="190"/>
      <c r="X356" s="190"/>
      <c r="Y356" s="190"/>
      <c r="Z356" s="190"/>
      <c r="AA356" s="191"/>
      <c r="AB356" s="190"/>
      <c r="AC356" s="190"/>
      <c r="AD356" s="190"/>
      <c r="AE356" s="190"/>
      <c r="AF356" s="190"/>
      <c r="AG356" s="190"/>
      <c r="AH356" s="191"/>
      <c r="AI356" s="190"/>
      <c r="AJ356" s="190"/>
      <c r="AK356" s="190"/>
      <c r="AL356" s="190"/>
      <c r="AM356" s="190"/>
      <c r="AN356" s="191"/>
      <c r="AO356" s="190"/>
      <c r="AP356" s="190"/>
      <c r="AQ356" s="190"/>
      <c r="AR356" s="190"/>
      <c r="AS356" s="190"/>
      <c r="AT356" s="191"/>
      <c r="AU356" s="190"/>
      <c r="AV356" s="190"/>
      <c r="AW356" s="190"/>
      <c r="AX356" s="190"/>
      <c r="AY356" s="190"/>
      <c r="AZ356" s="191"/>
      <c r="BA356" s="183"/>
      <c r="BB356" s="183"/>
      <c r="BC356" s="183"/>
      <c r="BD356" s="183"/>
      <c r="BE356" s="183"/>
      <c r="BF356" s="184"/>
      <c r="BG356" s="183"/>
      <c r="BH356" s="183"/>
      <c r="BI356" s="183"/>
      <c r="BJ356" s="183"/>
      <c r="BK356" s="183"/>
      <c r="BL356" s="184"/>
      <c r="BM356" s="409"/>
      <c r="BN356" s="409"/>
    </row>
    <row r="357" spans="1:66" s="153" customFormat="1" x14ac:dyDescent="0.2">
      <c r="A357" s="61"/>
      <c r="B357" s="61"/>
      <c r="C357" s="61"/>
      <c r="D357" s="61"/>
      <c r="E357" s="61"/>
      <c r="F357" s="61"/>
      <c r="G357" s="61"/>
      <c r="H357" s="61"/>
      <c r="I357" s="61"/>
      <c r="J357" s="61"/>
      <c r="K357" s="61"/>
      <c r="L357" s="61"/>
      <c r="M357" s="61"/>
      <c r="N357" s="61"/>
      <c r="O357" s="61"/>
      <c r="P357" s="61"/>
      <c r="Q357" s="61"/>
      <c r="R357" s="61"/>
      <c r="S357" s="61"/>
      <c r="T357" s="35"/>
      <c r="U357" s="187"/>
      <c r="V357" s="190"/>
      <c r="W357" s="190"/>
      <c r="X357" s="190"/>
      <c r="Y357" s="190"/>
      <c r="Z357" s="190"/>
      <c r="AA357" s="191"/>
      <c r="AB357" s="190"/>
      <c r="AC357" s="190"/>
      <c r="AD357" s="190"/>
      <c r="AE357" s="190"/>
      <c r="AF357" s="190"/>
      <c r="AG357" s="190"/>
      <c r="AH357" s="191"/>
      <c r="AI357" s="190"/>
      <c r="AJ357" s="190"/>
      <c r="AK357" s="190"/>
      <c r="AL357" s="190"/>
      <c r="AM357" s="190"/>
      <c r="AN357" s="191"/>
      <c r="AO357" s="190"/>
      <c r="AP357" s="190"/>
      <c r="AQ357" s="190"/>
      <c r="AR357" s="190"/>
      <c r="AS357" s="190"/>
      <c r="AT357" s="191"/>
      <c r="AU357" s="190"/>
      <c r="AV357" s="190"/>
      <c r="AW357" s="190"/>
      <c r="AX357" s="190"/>
      <c r="AY357" s="190"/>
      <c r="AZ357" s="191"/>
      <c r="BA357" s="183"/>
      <c r="BB357" s="183"/>
      <c r="BC357" s="183"/>
      <c r="BD357" s="183"/>
      <c r="BE357" s="183"/>
      <c r="BF357" s="184"/>
      <c r="BG357" s="183"/>
      <c r="BH357" s="183"/>
      <c r="BI357" s="183"/>
      <c r="BJ357" s="183"/>
      <c r="BK357" s="183"/>
      <c r="BL357" s="184"/>
      <c r="BM357" s="409"/>
      <c r="BN357" s="409"/>
    </row>
    <row r="358" spans="1:66" s="153" customFormat="1" x14ac:dyDescent="0.2">
      <c r="A358" s="61"/>
      <c r="B358" s="61"/>
      <c r="C358" s="61"/>
      <c r="D358" s="61"/>
      <c r="E358" s="61"/>
      <c r="F358" s="61"/>
      <c r="G358" s="61"/>
      <c r="H358" s="61"/>
      <c r="I358" s="61"/>
      <c r="J358" s="61"/>
      <c r="K358" s="61"/>
      <c r="L358" s="61"/>
      <c r="M358" s="61"/>
      <c r="N358" s="61"/>
      <c r="O358" s="61"/>
      <c r="P358" s="61"/>
      <c r="Q358" s="61"/>
      <c r="R358" s="61"/>
      <c r="S358" s="61"/>
      <c r="T358" s="35"/>
      <c r="U358" s="187"/>
      <c r="V358" s="190"/>
      <c r="W358" s="190"/>
      <c r="X358" s="190"/>
      <c r="Y358" s="190"/>
      <c r="Z358" s="190"/>
      <c r="AA358" s="191"/>
      <c r="AB358" s="190"/>
      <c r="AC358" s="190"/>
      <c r="AD358" s="190"/>
      <c r="AE358" s="190"/>
      <c r="AF358" s="190"/>
      <c r="AG358" s="190"/>
      <c r="AH358" s="191"/>
      <c r="AI358" s="190"/>
      <c r="AJ358" s="190"/>
      <c r="AK358" s="190"/>
      <c r="AL358" s="190"/>
      <c r="AM358" s="190"/>
      <c r="AN358" s="191"/>
      <c r="AO358" s="190"/>
      <c r="AP358" s="190"/>
      <c r="AQ358" s="190"/>
      <c r="AR358" s="190"/>
      <c r="AS358" s="190"/>
      <c r="AT358" s="191"/>
      <c r="AU358" s="190"/>
      <c r="AV358" s="190"/>
      <c r="AW358" s="190"/>
      <c r="AX358" s="190"/>
      <c r="AY358" s="190"/>
      <c r="AZ358" s="191"/>
      <c r="BA358" s="183"/>
      <c r="BB358" s="183"/>
      <c r="BC358" s="183"/>
      <c r="BD358" s="183"/>
      <c r="BE358" s="183"/>
      <c r="BF358" s="184"/>
      <c r="BG358" s="183"/>
      <c r="BH358" s="183"/>
      <c r="BI358" s="183"/>
      <c r="BJ358" s="183"/>
      <c r="BK358" s="183"/>
      <c r="BL358" s="184"/>
      <c r="BM358" s="409"/>
      <c r="BN358" s="409"/>
    </row>
    <row r="359" spans="1:66" s="153" customFormat="1" x14ac:dyDescent="0.2">
      <c r="A359" s="61"/>
      <c r="B359" s="61"/>
      <c r="C359" s="61"/>
      <c r="D359" s="61"/>
      <c r="E359" s="61"/>
      <c r="F359" s="61"/>
      <c r="G359" s="61"/>
      <c r="H359" s="61"/>
      <c r="I359" s="61"/>
      <c r="J359" s="61"/>
      <c r="K359" s="61"/>
      <c r="L359" s="61"/>
      <c r="M359" s="61"/>
      <c r="N359" s="61"/>
      <c r="O359" s="61"/>
      <c r="P359" s="61"/>
      <c r="Q359" s="61"/>
      <c r="R359" s="61"/>
      <c r="S359" s="61"/>
      <c r="T359" s="35"/>
      <c r="U359" s="187"/>
      <c r="V359" s="190"/>
      <c r="W359" s="190"/>
      <c r="X359" s="190"/>
      <c r="Y359" s="190"/>
      <c r="Z359" s="190"/>
      <c r="AA359" s="191"/>
      <c r="AB359" s="190"/>
      <c r="AC359" s="190"/>
      <c r="AD359" s="190"/>
      <c r="AE359" s="190"/>
      <c r="AF359" s="190"/>
      <c r="AG359" s="190"/>
      <c r="AH359" s="191"/>
      <c r="AI359" s="190"/>
      <c r="AJ359" s="190"/>
      <c r="AK359" s="190"/>
      <c r="AL359" s="190"/>
      <c r="AM359" s="190"/>
      <c r="AN359" s="191"/>
      <c r="AO359" s="190"/>
      <c r="AP359" s="190"/>
      <c r="AQ359" s="190"/>
      <c r="AR359" s="190"/>
      <c r="AS359" s="190"/>
      <c r="AT359" s="191"/>
      <c r="AU359" s="190"/>
      <c r="AV359" s="190"/>
      <c r="AW359" s="190"/>
      <c r="AX359" s="190"/>
      <c r="AY359" s="190"/>
      <c r="AZ359" s="191"/>
      <c r="BA359" s="183"/>
      <c r="BB359" s="183"/>
      <c r="BC359" s="183"/>
      <c r="BD359" s="183"/>
      <c r="BE359" s="183"/>
      <c r="BF359" s="184"/>
      <c r="BG359" s="183"/>
      <c r="BH359" s="183"/>
      <c r="BI359" s="183"/>
      <c r="BJ359" s="183"/>
      <c r="BK359" s="183"/>
      <c r="BL359" s="184"/>
      <c r="BM359" s="409"/>
      <c r="BN359" s="409"/>
    </row>
    <row r="360" spans="1:66" s="153" customFormat="1" x14ac:dyDescent="0.2">
      <c r="A360" s="61"/>
      <c r="B360" s="61"/>
      <c r="C360" s="61"/>
      <c r="D360" s="61"/>
      <c r="E360" s="61"/>
      <c r="F360" s="61"/>
      <c r="G360" s="61"/>
      <c r="H360" s="61"/>
      <c r="I360" s="61"/>
      <c r="J360" s="61"/>
      <c r="K360" s="61"/>
      <c r="L360" s="61"/>
      <c r="M360" s="61"/>
      <c r="N360" s="61"/>
      <c r="O360" s="61"/>
      <c r="P360" s="61"/>
      <c r="Q360" s="61"/>
      <c r="R360" s="61"/>
      <c r="S360" s="61"/>
      <c r="T360" s="35"/>
      <c r="U360" s="187"/>
      <c r="V360" s="190"/>
      <c r="W360" s="190"/>
      <c r="X360" s="190"/>
      <c r="Y360" s="190"/>
      <c r="Z360" s="190"/>
      <c r="AA360" s="191"/>
      <c r="AB360" s="190"/>
      <c r="AC360" s="190"/>
      <c r="AD360" s="190"/>
      <c r="AE360" s="190"/>
      <c r="AF360" s="190"/>
      <c r="AG360" s="190"/>
      <c r="AH360" s="191"/>
      <c r="AI360" s="190"/>
      <c r="AJ360" s="190"/>
      <c r="AK360" s="190"/>
      <c r="AL360" s="190"/>
      <c r="AM360" s="190"/>
      <c r="AN360" s="191"/>
      <c r="AO360" s="190"/>
      <c r="AP360" s="190"/>
      <c r="AQ360" s="190"/>
      <c r="AR360" s="190"/>
      <c r="AS360" s="190"/>
      <c r="AT360" s="191"/>
      <c r="AU360" s="190"/>
      <c r="AV360" s="190"/>
      <c r="AW360" s="190"/>
      <c r="AX360" s="190"/>
      <c r="AY360" s="190"/>
      <c r="AZ360" s="191"/>
      <c r="BA360" s="183"/>
      <c r="BB360" s="183"/>
      <c r="BC360" s="183"/>
      <c r="BD360" s="183"/>
      <c r="BE360" s="183"/>
      <c r="BF360" s="184"/>
      <c r="BG360" s="183"/>
      <c r="BH360" s="183"/>
      <c r="BI360" s="183"/>
      <c r="BJ360" s="183"/>
      <c r="BK360" s="183"/>
      <c r="BL360" s="184"/>
      <c r="BM360" s="409"/>
      <c r="BN360" s="409"/>
    </row>
    <row r="361" spans="1:66" s="153" customFormat="1" x14ac:dyDescent="0.2">
      <c r="A361" s="61"/>
      <c r="B361" s="61"/>
      <c r="C361" s="61"/>
      <c r="D361" s="61"/>
      <c r="E361" s="61"/>
      <c r="F361" s="61"/>
      <c r="G361" s="61"/>
      <c r="H361" s="61"/>
      <c r="I361" s="61"/>
      <c r="J361" s="61"/>
      <c r="K361" s="61"/>
      <c r="L361" s="61"/>
      <c r="M361" s="61"/>
      <c r="N361" s="61"/>
      <c r="O361" s="61"/>
      <c r="P361" s="61"/>
      <c r="Q361" s="61"/>
      <c r="R361" s="61"/>
      <c r="S361" s="61"/>
      <c r="T361" s="35"/>
      <c r="U361" s="187"/>
      <c r="V361" s="190"/>
      <c r="W361" s="190"/>
      <c r="X361" s="190"/>
      <c r="Y361" s="190"/>
      <c r="Z361" s="190"/>
      <c r="AA361" s="191"/>
      <c r="AB361" s="190"/>
      <c r="AC361" s="190"/>
      <c r="AD361" s="190"/>
      <c r="AE361" s="190"/>
      <c r="AF361" s="190"/>
      <c r="AG361" s="190"/>
      <c r="AH361" s="191"/>
      <c r="AI361" s="190"/>
      <c r="AJ361" s="190"/>
      <c r="AK361" s="190"/>
      <c r="AL361" s="190"/>
      <c r="AM361" s="190"/>
      <c r="AN361" s="191"/>
      <c r="AO361" s="190"/>
      <c r="AP361" s="190"/>
      <c r="AQ361" s="190"/>
      <c r="AR361" s="190"/>
      <c r="AS361" s="190"/>
      <c r="AT361" s="191"/>
      <c r="AU361" s="190"/>
      <c r="AV361" s="190"/>
      <c r="AW361" s="190"/>
      <c r="AX361" s="190"/>
      <c r="AY361" s="190"/>
      <c r="AZ361" s="191"/>
      <c r="BA361" s="183"/>
      <c r="BB361" s="183"/>
      <c r="BC361" s="183"/>
      <c r="BD361" s="183"/>
      <c r="BE361" s="183"/>
      <c r="BF361" s="184"/>
      <c r="BG361" s="183"/>
      <c r="BH361" s="183"/>
      <c r="BI361" s="183"/>
      <c r="BJ361" s="183"/>
      <c r="BK361" s="183"/>
      <c r="BL361" s="184"/>
      <c r="BM361" s="409"/>
      <c r="BN361" s="409"/>
    </row>
    <row r="362" spans="1:66" s="153" customFormat="1" x14ac:dyDescent="0.2">
      <c r="A362" s="61"/>
      <c r="B362" s="61"/>
      <c r="C362" s="61"/>
      <c r="D362" s="61"/>
      <c r="E362" s="61"/>
      <c r="F362" s="61"/>
      <c r="G362" s="61"/>
      <c r="H362" s="61"/>
      <c r="I362" s="61"/>
      <c r="J362" s="61"/>
      <c r="K362" s="61"/>
      <c r="L362" s="61"/>
      <c r="M362" s="61"/>
      <c r="N362" s="61"/>
      <c r="O362" s="61"/>
      <c r="P362" s="61"/>
      <c r="Q362" s="61"/>
      <c r="R362" s="61"/>
      <c r="S362" s="61"/>
      <c r="T362" s="35"/>
      <c r="U362" s="187"/>
      <c r="V362" s="190"/>
      <c r="W362" s="190"/>
      <c r="X362" s="190"/>
      <c r="Y362" s="190"/>
      <c r="Z362" s="190"/>
      <c r="AA362" s="191"/>
      <c r="AB362" s="190"/>
      <c r="AC362" s="190"/>
      <c r="AD362" s="190"/>
      <c r="AE362" s="190"/>
      <c r="AF362" s="190"/>
      <c r="AG362" s="190"/>
      <c r="AH362" s="191"/>
      <c r="AI362" s="190"/>
      <c r="AJ362" s="190"/>
      <c r="AK362" s="190"/>
      <c r="AL362" s="190"/>
      <c r="AM362" s="190"/>
      <c r="AN362" s="191"/>
      <c r="AO362" s="190"/>
      <c r="AP362" s="190"/>
      <c r="AQ362" s="190"/>
      <c r="AR362" s="190"/>
      <c r="AS362" s="190"/>
      <c r="AT362" s="191"/>
      <c r="AU362" s="190"/>
      <c r="AV362" s="190"/>
      <c r="AW362" s="190"/>
      <c r="AX362" s="190"/>
      <c r="AY362" s="190"/>
      <c r="AZ362" s="191"/>
      <c r="BA362" s="183"/>
      <c r="BB362" s="183"/>
      <c r="BC362" s="183"/>
      <c r="BD362" s="183"/>
      <c r="BE362" s="183"/>
      <c r="BF362" s="184"/>
      <c r="BG362" s="183"/>
      <c r="BH362" s="183"/>
      <c r="BI362" s="183"/>
      <c r="BJ362" s="183"/>
      <c r="BK362" s="183"/>
      <c r="BL362" s="184"/>
      <c r="BM362" s="409"/>
      <c r="BN362" s="409"/>
    </row>
    <row r="363" spans="1:66" s="153" customFormat="1" x14ac:dyDescent="0.2">
      <c r="A363" s="61"/>
      <c r="B363" s="61"/>
      <c r="C363" s="61"/>
      <c r="D363" s="61"/>
      <c r="E363" s="61"/>
      <c r="F363" s="61"/>
      <c r="G363" s="61"/>
      <c r="H363" s="61"/>
      <c r="I363" s="61"/>
      <c r="J363" s="61"/>
      <c r="K363" s="61"/>
      <c r="L363" s="61"/>
      <c r="M363" s="61"/>
      <c r="N363" s="61"/>
      <c r="O363" s="61"/>
      <c r="P363" s="61"/>
      <c r="Q363" s="61"/>
      <c r="R363" s="61"/>
      <c r="S363" s="61"/>
      <c r="T363" s="35"/>
      <c r="U363" s="187"/>
      <c r="V363" s="190"/>
      <c r="W363" s="190"/>
      <c r="X363" s="190"/>
      <c r="Y363" s="190"/>
      <c r="Z363" s="190"/>
      <c r="AA363" s="191"/>
      <c r="AB363" s="190"/>
      <c r="AC363" s="190"/>
      <c r="AD363" s="190"/>
      <c r="AE363" s="190"/>
      <c r="AF363" s="190"/>
      <c r="AG363" s="190"/>
      <c r="AH363" s="191"/>
      <c r="AI363" s="190"/>
      <c r="AJ363" s="190"/>
      <c r="AK363" s="190"/>
      <c r="AL363" s="190"/>
      <c r="AM363" s="190"/>
      <c r="AN363" s="191"/>
      <c r="AO363" s="190"/>
      <c r="AP363" s="190"/>
      <c r="AQ363" s="190"/>
      <c r="AR363" s="190"/>
      <c r="AS363" s="190"/>
      <c r="AT363" s="191"/>
      <c r="AU363" s="190"/>
      <c r="AV363" s="190"/>
      <c r="AW363" s="190"/>
      <c r="AX363" s="190"/>
      <c r="AY363" s="190"/>
      <c r="AZ363" s="191"/>
      <c r="BA363" s="183"/>
      <c r="BB363" s="183"/>
      <c r="BC363" s="183"/>
      <c r="BD363" s="183"/>
      <c r="BE363" s="183"/>
      <c r="BF363" s="184"/>
      <c r="BG363" s="183"/>
      <c r="BH363" s="183"/>
      <c r="BI363" s="183"/>
      <c r="BJ363" s="183"/>
      <c r="BK363" s="183"/>
      <c r="BL363" s="184"/>
      <c r="BM363" s="409"/>
      <c r="BN363" s="409"/>
    </row>
    <row r="364" spans="1:66" s="153" customFormat="1" x14ac:dyDescent="0.2">
      <c r="A364" s="61"/>
      <c r="B364" s="61"/>
      <c r="C364" s="61"/>
      <c r="D364" s="61"/>
      <c r="E364" s="61"/>
      <c r="F364" s="61"/>
      <c r="G364" s="61"/>
      <c r="H364" s="61"/>
      <c r="I364" s="61"/>
      <c r="J364" s="61"/>
      <c r="K364" s="61"/>
      <c r="L364" s="61"/>
      <c r="M364" s="61"/>
      <c r="N364" s="61"/>
      <c r="O364" s="61"/>
      <c r="P364" s="61"/>
      <c r="Q364" s="61"/>
      <c r="R364" s="61"/>
      <c r="S364" s="61"/>
      <c r="T364" s="35"/>
      <c r="U364" s="187"/>
      <c r="V364" s="190"/>
      <c r="W364" s="190"/>
      <c r="X364" s="190"/>
      <c r="Y364" s="190"/>
      <c r="Z364" s="190"/>
      <c r="AA364" s="191"/>
      <c r="AB364" s="190"/>
      <c r="AC364" s="190"/>
      <c r="AD364" s="190"/>
      <c r="AE364" s="190"/>
      <c r="AF364" s="190"/>
      <c r="AG364" s="190"/>
      <c r="AH364" s="191"/>
      <c r="AI364" s="190"/>
      <c r="AJ364" s="190"/>
      <c r="AK364" s="190"/>
      <c r="AL364" s="190"/>
      <c r="AM364" s="190"/>
      <c r="AN364" s="191"/>
      <c r="AO364" s="190"/>
      <c r="AP364" s="190"/>
      <c r="AQ364" s="190"/>
      <c r="AR364" s="190"/>
      <c r="AS364" s="190"/>
      <c r="AT364" s="191"/>
      <c r="AU364" s="190"/>
      <c r="AV364" s="190"/>
      <c r="AW364" s="190"/>
      <c r="AX364" s="190"/>
      <c r="AY364" s="190"/>
      <c r="AZ364" s="191"/>
      <c r="BA364" s="183"/>
      <c r="BB364" s="183"/>
      <c r="BC364" s="183"/>
      <c r="BD364" s="183"/>
      <c r="BE364" s="183"/>
      <c r="BF364" s="184"/>
      <c r="BG364" s="183"/>
      <c r="BH364" s="183"/>
      <c r="BI364" s="183"/>
      <c r="BJ364" s="183"/>
      <c r="BK364" s="183"/>
      <c r="BL364" s="184"/>
      <c r="BM364" s="409"/>
      <c r="BN364" s="409"/>
    </row>
    <row r="365" spans="1:66" s="153" customFormat="1" x14ac:dyDescent="0.2">
      <c r="A365" s="61"/>
      <c r="B365" s="61"/>
      <c r="C365" s="61"/>
      <c r="D365" s="61"/>
      <c r="E365" s="61"/>
      <c r="F365" s="61"/>
      <c r="G365" s="61"/>
      <c r="H365" s="61"/>
      <c r="I365" s="61"/>
      <c r="J365" s="61"/>
      <c r="K365" s="61"/>
      <c r="L365" s="61"/>
      <c r="M365" s="61"/>
      <c r="N365" s="61"/>
      <c r="O365" s="61"/>
      <c r="P365" s="61"/>
      <c r="Q365" s="61"/>
      <c r="R365" s="61"/>
      <c r="S365" s="61"/>
      <c r="T365" s="35"/>
      <c r="U365" s="187"/>
      <c r="V365" s="190"/>
      <c r="W365" s="190"/>
      <c r="X365" s="190"/>
      <c r="Y365" s="190"/>
      <c r="Z365" s="190"/>
      <c r="AA365" s="191"/>
      <c r="AB365" s="190"/>
      <c r="AC365" s="190"/>
      <c r="AD365" s="190"/>
      <c r="AE365" s="190"/>
      <c r="AF365" s="190"/>
      <c r="AG365" s="190"/>
      <c r="AH365" s="191"/>
      <c r="AI365" s="190"/>
      <c r="AJ365" s="190"/>
      <c r="AK365" s="190"/>
      <c r="AL365" s="190"/>
      <c r="AM365" s="190"/>
      <c r="AN365" s="191"/>
      <c r="AO365" s="190"/>
      <c r="AP365" s="190"/>
      <c r="AQ365" s="190"/>
      <c r="AR365" s="190"/>
      <c r="AS365" s="190"/>
      <c r="AT365" s="191"/>
      <c r="AU365" s="190"/>
      <c r="AV365" s="190"/>
      <c r="AW365" s="190"/>
      <c r="AX365" s="190"/>
      <c r="AY365" s="190"/>
      <c r="AZ365" s="191"/>
      <c r="BA365" s="183"/>
      <c r="BB365" s="183"/>
      <c r="BC365" s="183"/>
      <c r="BD365" s="183"/>
      <c r="BE365" s="183"/>
      <c r="BF365" s="184"/>
      <c r="BG365" s="183"/>
      <c r="BH365" s="183"/>
      <c r="BI365" s="183"/>
      <c r="BJ365" s="183"/>
      <c r="BK365" s="183"/>
      <c r="BL365" s="184"/>
      <c r="BM365" s="409"/>
      <c r="BN365" s="409"/>
    </row>
    <row r="366" spans="1:66" s="153" customFormat="1" x14ac:dyDescent="0.2">
      <c r="A366" s="61"/>
      <c r="B366" s="61"/>
      <c r="C366" s="61"/>
      <c r="D366" s="61"/>
      <c r="E366" s="61"/>
      <c r="F366" s="61"/>
      <c r="G366" s="61"/>
      <c r="H366" s="61"/>
      <c r="I366" s="61"/>
      <c r="J366" s="61"/>
      <c r="K366" s="61"/>
      <c r="L366" s="61"/>
      <c r="M366" s="61"/>
      <c r="N366" s="61"/>
      <c r="O366" s="61"/>
      <c r="P366" s="61"/>
      <c r="Q366" s="61"/>
      <c r="R366" s="61"/>
      <c r="S366" s="61"/>
      <c r="T366" s="35"/>
      <c r="U366" s="187"/>
      <c r="V366" s="190"/>
      <c r="W366" s="190"/>
      <c r="X366" s="190"/>
      <c r="Y366" s="190"/>
      <c r="Z366" s="190"/>
      <c r="AA366" s="191"/>
      <c r="AB366" s="190"/>
      <c r="AC366" s="190"/>
      <c r="AD366" s="190"/>
      <c r="AE366" s="190"/>
      <c r="AF366" s="190"/>
      <c r="AG366" s="190"/>
      <c r="AH366" s="191"/>
      <c r="AI366" s="190"/>
      <c r="AJ366" s="190"/>
      <c r="AK366" s="190"/>
      <c r="AL366" s="190"/>
      <c r="AM366" s="190"/>
      <c r="AN366" s="191"/>
      <c r="AO366" s="190"/>
      <c r="AP366" s="190"/>
      <c r="AQ366" s="190"/>
      <c r="AR366" s="190"/>
      <c r="AS366" s="190"/>
      <c r="AT366" s="191"/>
      <c r="AU366" s="190"/>
      <c r="AV366" s="190"/>
      <c r="AW366" s="190"/>
      <c r="AX366" s="190"/>
      <c r="AY366" s="190"/>
      <c r="AZ366" s="191"/>
      <c r="BA366" s="183"/>
      <c r="BB366" s="183"/>
      <c r="BC366" s="183"/>
      <c r="BD366" s="183"/>
      <c r="BE366" s="183"/>
      <c r="BF366" s="184"/>
      <c r="BG366" s="183"/>
      <c r="BH366" s="183"/>
      <c r="BI366" s="183"/>
      <c r="BJ366" s="183"/>
      <c r="BK366" s="183"/>
      <c r="BL366" s="184"/>
      <c r="BM366" s="409"/>
      <c r="BN366" s="409"/>
    </row>
    <row r="367" spans="1:66" s="153" customFormat="1" x14ac:dyDescent="0.2">
      <c r="A367" s="61"/>
      <c r="B367" s="61"/>
      <c r="C367" s="61"/>
      <c r="D367" s="61"/>
      <c r="E367" s="61"/>
      <c r="F367" s="61"/>
      <c r="G367" s="61"/>
      <c r="H367" s="61"/>
      <c r="I367" s="61"/>
      <c r="J367" s="61"/>
      <c r="K367" s="61"/>
      <c r="L367" s="61"/>
      <c r="M367" s="61"/>
      <c r="N367" s="61"/>
      <c r="O367" s="61"/>
      <c r="P367" s="61"/>
      <c r="Q367" s="61"/>
      <c r="R367" s="61"/>
      <c r="S367" s="61"/>
      <c r="T367" s="35"/>
      <c r="U367" s="187"/>
      <c r="V367" s="190"/>
      <c r="W367" s="190"/>
      <c r="X367" s="190"/>
      <c r="Y367" s="190"/>
      <c r="Z367" s="190"/>
      <c r="AA367" s="191"/>
      <c r="AB367" s="190"/>
      <c r="AC367" s="190"/>
      <c r="AD367" s="190"/>
      <c r="AE367" s="190"/>
      <c r="AF367" s="190"/>
      <c r="AG367" s="190"/>
      <c r="AH367" s="191"/>
      <c r="AI367" s="190"/>
      <c r="AJ367" s="190"/>
      <c r="AK367" s="190"/>
      <c r="AL367" s="190"/>
      <c r="AM367" s="190"/>
      <c r="AN367" s="191"/>
      <c r="AO367" s="190"/>
      <c r="AP367" s="190"/>
      <c r="AQ367" s="190"/>
      <c r="AR367" s="190"/>
      <c r="AS367" s="190"/>
      <c r="AT367" s="191"/>
      <c r="AU367" s="190"/>
      <c r="AV367" s="190"/>
      <c r="AW367" s="190"/>
      <c r="AX367" s="190"/>
      <c r="AY367" s="190"/>
      <c r="AZ367" s="191"/>
      <c r="BA367" s="183"/>
      <c r="BB367" s="183"/>
      <c r="BC367" s="183"/>
      <c r="BD367" s="183"/>
      <c r="BE367" s="183"/>
      <c r="BF367" s="184"/>
      <c r="BG367" s="183"/>
      <c r="BH367" s="183"/>
      <c r="BI367" s="183"/>
      <c r="BJ367" s="183"/>
      <c r="BK367" s="183"/>
      <c r="BL367" s="184"/>
      <c r="BM367" s="409"/>
      <c r="BN367" s="409"/>
    </row>
    <row r="368" spans="1:66" s="153" customFormat="1" x14ac:dyDescent="0.2">
      <c r="A368" s="61"/>
      <c r="B368" s="61"/>
      <c r="C368" s="61"/>
      <c r="D368" s="61"/>
      <c r="E368" s="61"/>
      <c r="F368" s="61"/>
      <c r="G368" s="61"/>
      <c r="H368" s="61"/>
      <c r="I368" s="61"/>
      <c r="J368" s="61"/>
      <c r="K368" s="61"/>
      <c r="L368" s="61"/>
      <c r="M368" s="61"/>
      <c r="N368" s="61"/>
      <c r="O368" s="61"/>
      <c r="P368" s="61"/>
      <c r="Q368" s="61"/>
      <c r="R368" s="61"/>
      <c r="S368" s="61"/>
      <c r="T368" s="35"/>
      <c r="U368" s="187"/>
      <c r="V368" s="190"/>
      <c r="W368" s="190"/>
      <c r="X368" s="190"/>
      <c r="Y368" s="190"/>
      <c r="Z368" s="190"/>
      <c r="AA368" s="191"/>
      <c r="AB368" s="190"/>
      <c r="AC368" s="190"/>
      <c r="AD368" s="190"/>
      <c r="AE368" s="190"/>
      <c r="AF368" s="190"/>
      <c r="AG368" s="190"/>
      <c r="AH368" s="191"/>
      <c r="AI368" s="190"/>
      <c r="AJ368" s="190"/>
      <c r="AK368" s="190"/>
      <c r="AL368" s="190"/>
      <c r="AM368" s="190"/>
      <c r="AN368" s="191"/>
      <c r="AO368" s="190"/>
      <c r="AP368" s="190"/>
      <c r="AQ368" s="190"/>
      <c r="AR368" s="190"/>
      <c r="AS368" s="190"/>
      <c r="AT368" s="191"/>
      <c r="AU368" s="190"/>
      <c r="AV368" s="190"/>
      <c r="AW368" s="190"/>
      <c r="AX368" s="190"/>
      <c r="AY368" s="190"/>
      <c r="AZ368" s="191"/>
      <c r="BA368" s="183"/>
      <c r="BB368" s="183"/>
      <c r="BC368" s="183"/>
      <c r="BD368" s="183"/>
      <c r="BE368" s="183"/>
      <c r="BF368" s="184"/>
      <c r="BG368" s="183"/>
      <c r="BH368" s="183"/>
      <c r="BI368" s="183"/>
      <c r="BJ368" s="183"/>
      <c r="BK368" s="183"/>
      <c r="BL368" s="184"/>
      <c r="BM368" s="409"/>
      <c r="BN368" s="409"/>
    </row>
    <row r="369" spans="1:66" s="153" customFormat="1" x14ac:dyDescent="0.2">
      <c r="A369" s="61"/>
      <c r="B369" s="61"/>
      <c r="C369" s="61"/>
      <c r="D369" s="61"/>
      <c r="E369" s="61"/>
      <c r="F369" s="61"/>
      <c r="G369" s="61"/>
      <c r="H369" s="61"/>
      <c r="I369" s="61"/>
      <c r="J369" s="61"/>
      <c r="K369" s="61"/>
      <c r="L369" s="61"/>
      <c r="M369" s="61"/>
      <c r="N369" s="61"/>
      <c r="O369" s="61"/>
      <c r="P369" s="61"/>
      <c r="Q369" s="61"/>
      <c r="R369" s="61"/>
      <c r="S369" s="61"/>
      <c r="T369" s="35"/>
      <c r="U369" s="187"/>
      <c r="V369" s="190"/>
      <c r="W369" s="190"/>
      <c r="X369" s="190"/>
      <c r="Y369" s="190"/>
      <c r="Z369" s="190"/>
      <c r="AA369" s="191"/>
      <c r="AB369" s="190"/>
      <c r="AC369" s="190"/>
      <c r="AD369" s="190"/>
      <c r="AE369" s="190"/>
      <c r="AF369" s="190"/>
      <c r="AG369" s="190"/>
      <c r="AH369" s="191"/>
      <c r="AI369" s="190"/>
      <c r="AJ369" s="190"/>
      <c r="AK369" s="190"/>
      <c r="AL369" s="190"/>
      <c r="AM369" s="190"/>
      <c r="AN369" s="191"/>
      <c r="AO369" s="190"/>
      <c r="AP369" s="190"/>
      <c r="AQ369" s="190"/>
      <c r="AR369" s="190"/>
      <c r="AS369" s="190"/>
      <c r="AT369" s="191"/>
      <c r="AU369" s="190"/>
      <c r="AV369" s="190"/>
      <c r="AW369" s="190"/>
      <c r="AX369" s="190"/>
      <c r="AY369" s="190"/>
      <c r="AZ369" s="191"/>
      <c r="BA369" s="183"/>
      <c r="BB369" s="183"/>
      <c r="BC369" s="183"/>
      <c r="BD369" s="183"/>
      <c r="BE369" s="183"/>
      <c r="BF369" s="184"/>
      <c r="BG369" s="183"/>
      <c r="BH369" s="183"/>
      <c r="BI369" s="183"/>
      <c r="BJ369" s="183"/>
      <c r="BK369" s="183"/>
      <c r="BL369" s="184"/>
      <c r="BM369" s="409"/>
      <c r="BN369" s="409"/>
    </row>
    <row r="370" spans="1:66" s="153" customFormat="1" x14ac:dyDescent="0.2">
      <c r="A370" s="61"/>
      <c r="B370" s="61"/>
      <c r="C370" s="61"/>
      <c r="D370" s="61"/>
      <c r="E370" s="61"/>
      <c r="F370" s="61"/>
      <c r="G370" s="61"/>
      <c r="H370" s="61"/>
      <c r="I370" s="61"/>
      <c r="J370" s="61"/>
      <c r="K370" s="61"/>
      <c r="L370" s="61"/>
      <c r="M370" s="61"/>
      <c r="N370" s="61"/>
      <c r="O370" s="61"/>
      <c r="P370" s="61"/>
      <c r="Q370" s="61"/>
      <c r="R370" s="61"/>
      <c r="S370" s="61"/>
      <c r="T370" s="35"/>
      <c r="U370" s="187"/>
      <c r="V370" s="190"/>
      <c r="W370" s="190"/>
      <c r="X370" s="190"/>
      <c r="Y370" s="190"/>
      <c r="Z370" s="190"/>
      <c r="AA370" s="191"/>
      <c r="AB370" s="190"/>
      <c r="AC370" s="190"/>
      <c r="AD370" s="190"/>
      <c r="AE370" s="190"/>
      <c r="AF370" s="190"/>
      <c r="AG370" s="190"/>
      <c r="AH370" s="191"/>
      <c r="AI370" s="190"/>
      <c r="AJ370" s="190"/>
      <c r="AK370" s="190"/>
      <c r="AL370" s="190"/>
      <c r="AM370" s="190"/>
      <c r="AN370" s="191"/>
      <c r="AO370" s="190"/>
      <c r="AP370" s="190"/>
      <c r="AQ370" s="190"/>
      <c r="AR370" s="190"/>
      <c r="AS370" s="190"/>
      <c r="AT370" s="191"/>
      <c r="AU370" s="190"/>
      <c r="AV370" s="190"/>
      <c r="AW370" s="190"/>
      <c r="AX370" s="190"/>
      <c r="AY370" s="190"/>
      <c r="AZ370" s="191"/>
      <c r="BA370" s="183"/>
      <c r="BB370" s="183"/>
      <c r="BC370" s="183"/>
      <c r="BD370" s="183"/>
      <c r="BE370" s="183"/>
      <c r="BF370" s="184"/>
      <c r="BG370" s="183"/>
      <c r="BH370" s="183"/>
      <c r="BI370" s="183"/>
      <c r="BJ370" s="183"/>
      <c r="BK370" s="183"/>
      <c r="BL370" s="184"/>
      <c r="BM370" s="409"/>
      <c r="BN370" s="409"/>
    </row>
    <row r="371" spans="1:66" s="153" customFormat="1" x14ac:dyDescent="0.2">
      <c r="A371" s="61"/>
      <c r="B371" s="61"/>
      <c r="C371" s="61"/>
      <c r="D371" s="61"/>
      <c r="E371" s="61"/>
      <c r="F371" s="61"/>
      <c r="G371" s="61"/>
      <c r="H371" s="61"/>
      <c r="I371" s="61"/>
      <c r="J371" s="61"/>
      <c r="K371" s="61"/>
      <c r="L371" s="61"/>
      <c r="M371" s="61"/>
      <c r="N371" s="61"/>
      <c r="O371" s="61"/>
      <c r="P371" s="61"/>
      <c r="Q371" s="61"/>
      <c r="R371" s="61"/>
      <c r="S371" s="61"/>
      <c r="T371" s="35"/>
      <c r="U371" s="187"/>
      <c r="V371" s="190"/>
      <c r="W371" s="190"/>
      <c r="X371" s="190"/>
      <c r="Y371" s="190"/>
      <c r="Z371" s="190"/>
      <c r="AA371" s="191"/>
      <c r="AB371" s="190"/>
      <c r="AC371" s="190"/>
      <c r="AD371" s="190"/>
      <c r="AE371" s="190"/>
      <c r="AF371" s="190"/>
      <c r="AG371" s="190"/>
      <c r="AH371" s="191"/>
      <c r="AI371" s="190"/>
      <c r="AJ371" s="190"/>
      <c r="AK371" s="190"/>
      <c r="AL371" s="190"/>
      <c r="AM371" s="190"/>
      <c r="AN371" s="191"/>
      <c r="AO371" s="190"/>
      <c r="AP371" s="190"/>
      <c r="AQ371" s="190"/>
      <c r="AR371" s="190"/>
      <c r="AS371" s="190"/>
      <c r="AT371" s="191"/>
      <c r="AU371" s="190"/>
      <c r="AV371" s="190"/>
      <c r="AW371" s="190"/>
      <c r="AX371" s="190"/>
      <c r="AY371" s="190"/>
      <c r="AZ371" s="191"/>
      <c r="BA371" s="183"/>
      <c r="BB371" s="183"/>
      <c r="BC371" s="183"/>
      <c r="BD371" s="183"/>
      <c r="BE371" s="183"/>
      <c r="BF371" s="184"/>
      <c r="BG371" s="183"/>
      <c r="BH371" s="183"/>
      <c r="BI371" s="183"/>
      <c r="BJ371" s="183"/>
      <c r="BK371" s="183"/>
      <c r="BL371" s="184"/>
      <c r="BM371" s="409"/>
      <c r="BN371" s="409"/>
    </row>
    <row r="372" spans="1:66" s="153" customFormat="1" x14ac:dyDescent="0.2">
      <c r="A372" s="61"/>
      <c r="B372" s="61"/>
      <c r="C372" s="61"/>
      <c r="D372" s="61"/>
      <c r="E372" s="61"/>
      <c r="F372" s="61"/>
      <c r="G372" s="61"/>
      <c r="H372" s="61"/>
      <c r="I372" s="61"/>
      <c r="J372" s="61"/>
      <c r="K372" s="61"/>
      <c r="L372" s="61"/>
      <c r="M372" s="61"/>
      <c r="N372" s="61"/>
      <c r="O372" s="61"/>
      <c r="P372" s="61"/>
      <c r="Q372" s="61"/>
      <c r="R372" s="61"/>
      <c r="S372" s="61"/>
      <c r="T372" s="35"/>
      <c r="U372" s="187"/>
      <c r="V372" s="190"/>
      <c r="W372" s="190"/>
      <c r="X372" s="190"/>
      <c r="Y372" s="190"/>
      <c r="Z372" s="190"/>
      <c r="AA372" s="191"/>
      <c r="AB372" s="190"/>
      <c r="AC372" s="190"/>
      <c r="AD372" s="190"/>
      <c r="AE372" s="190"/>
      <c r="AF372" s="190"/>
      <c r="AG372" s="190"/>
      <c r="AH372" s="191"/>
      <c r="AI372" s="190"/>
      <c r="AJ372" s="190"/>
      <c r="AK372" s="190"/>
      <c r="AL372" s="190"/>
      <c r="AM372" s="190"/>
      <c r="AN372" s="191"/>
      <c r="AO372" s="190"/>
      <c r="AP372" s="190"/>
      <c r="AQ372" s="190"/>
      <c r="AR372" s="190"/>
      <c r="AS372" s="190"/>
      <c r="AT372" s="191"/>
      <c r="AU372" s="190"/>
      <c r="AV372" s="190"/>
      <c r="AW372" s="190"/>
      <c r="AX372" s="190"/>
      <c r="AY372" s="190"/>
      <c r="AZ372" s="191"/>
      <c r="BA372" s="183"/>
      <c r="BB372" s="183"/>
      <c r="BC372" s="183"/>
      <c r="BD372" s="183"/>
      <c r="BE372" s="183"/>
      <c r="BF372" s="184"/>
      <c r="BG372" s="183"/>
      <c r="BH372" s="183"/>
      <c r="BI372" s="183"/>
      <c r="BJ372" s="183"/>
      <c r="BK372" s="183"/>
      <c r="BL372" s="184"/>
      <c r="BM372" s="409"/>
      <c r="BN372" s="409"/>
    </row>
    <row r="373" spans="1:66" s="153" customFormat="1" x14ac:dyDescent="0.2">
      <c r="A373" s="61"/>
      <c r="B373" s="61"/>
      <c r="C373" s="61"/>
      <c r="D373" s="61"/>
      <c r="E373" s="61"/>
      <c r="F373" s="61"/>
      <c r="G373" s="61"/>
      <c r="H373" s="61"/>
      <c r="I373" s="61"/>
      <c r="J373" s="61"/>
      <c r="K373" s="61"/>
      <c r="L373" s="61"/>
      <c r="M373" s="61"/>
      <c r="N373" s="61"/>
      <c r="O373" s="61"/>
      <c r="P373" s="61"/>
      <c r="Q373" s="61"/>
      <c r="R373" s="61"/>
      <c r="S373" s="61"/>
      <c r="T373" s="35"/>
      <c r="U373" s="187"/>
      <c r="V373" s="190"/>
      <c r="W373" s="190"/>
      <c r="X373" s="190"/>
      <c r="Y373" s="190"/>
      <c r="Z373" s="190"/>
      <c r="AA373" s="191"/>
      <c r="AB373" s="190"/>
      <c r="AC373" s="190"/>
      <c r="AD373" s="190"/>
      <c r="AE373" s="190"/>
      <c r="AF373" s="190"/>
      <c r="AG373" s="190"/>
      <c r="AH373" s="191"/>
      <c r="AI373" s="190"/>
      <c r="AJ373" s="190"/>
      <c r="AK373" s="190"/>
      <c r="AL373" s="190"/>
      <c r="AM373" s="190"/>
      <c r="AN373" s="191"/>
      <c r="AO373" s="190"/>
      <c r="AP373" s="190"/>
      <c r="AQ373" s="190"/>
      <c r="AR373" s="190"/>
      <c r="AS373" s="190"/>
      <c r="AT373" s="191"/>
      <c r="AU373" s="190"/>
      <c r="AV373" s="190"/>
      <c r="AW373" s="190"/>
      <c r="AX373" s="190"/>
      <c r="AY373" s="190"/>
      <c r="AZ373" s="191"/>
      <c r="BA373" s="183"/>
      <c r="BB373" s="183"/>
      <c r="BC373" s="183"/>
      <c r="BD373" s="183"/>
      <c r="BE373" s="183"/>
      <c r="BF373" s="184"/>
      <c r="BG373" s="183"/>
      <c r="BH373" s="183"/>
      <c r="BI373" s="183"/>
      <c r="BJ373" s="183"/>
      <c r="BK373" s="183"/>
      <c r="BL373" s="184"/>
      <c r="BM373" s="409"/>
      <c r="BN373" s="409"/>
    </row>
    <row r="374" spans="1:66" s="153" customFormat="1" x14ac:dyDescent="0.2">
      <c r="A374" s="61"/>
      <c r="B374" s="61"/>
      <c r="C374" s="61"/>
      <c r="D374" s="61"/>
      <c r="E374" s="61"/>
      <c r="F374" s="61"/>
      <c r="G374" s="61"/>
      <c r="H374" s="61"/>
      <c r="I374" s="61"/>
      <c r="J374" s="61"/>
      <c r="K374" s="61"/>
      <c r="L374" s="61"/>
      <c r="M374" s="61"/>
      <c r="N374" s="61"/>
      <c r="O374" s="61"/>
      <c r="P374" s="61"/>
      <c r="Q374" s="61"/>
      <c r="R374" s="61"/>
      <c r="S374" s="61"/>
      <c r="T374" s="35"/>
      <c r="U374" s="187"/>
      <c r="V374" s="190"/>
      <c r="W374" s="190"/>
      <c r="X374" s="190"/>
      <c r="Y374" s="190"/>
      <c r="Z374" s="190"/>
      <c r="AA374" s="191"/>
      <c r="AB374" s="190"/>
      <c r="AC374" s="190"/>
      <c r="AD374" s="190"/>
      <c r="AE374" s="190"/>
      <c r="AF374" s="190"/>
      <c r="AG374" s="190"/>
      <c r="AH374" s="191"/>
      <c r="AI374" s="190"/>
      <c r="AJ374" s="190"/>
      <c r="AK374" s="190"/>
      <c r="AL374" s="190"/>
      <c r="AM374" s="190"/>
      <c r="AN374" s="191"/>
      <c r="AO374" s="190"/>
      <c r="AP374" s="190"/>
      <c r="AQ374" s="190"/>
      <c r="AR374" s="190"/>
      <c r="AS374" s="190"/>
      <c r="AT374" s="191"/>
      <c r="AU374" s="190"/>
      <c r="AV374" s="190"/>
      <c r="AW374" s="190"/>
      <c r="AX374" s="190"/>
      <c r="AY374" s="190"/>
      <c r="AZ374" s="191"/>
      <c r="BA374" s="183"/>
      <c r="BB374" s="183"/>
      <c r="BC374" s="183"/>
      <c r="BD374" s="183"/>
      <c r="BE374" s="183"/>
      <c r="BF374" s="184"/>
      <c r="BG374" s="183"/>
      <c r="BH374" s="183"/>
      <c r="BI374" s="183"/>
      <c r="BJ374" s="183"/>
      <c r="BK374" s="183"/>
      <c r="BL374" s="184"/>
      <c r="BM374" s="409"/>
      <c r="BN374" s="409"/>
    </row>
    <row r="375" spans="1:66" s="153" customFormat="1" x14ac:dyDescent="0.2">
      <c r="A375" s="61"/>
      <c r="B375" s="61"/>
      <c r="C375" s="61"/>
      <c r="D375" s="61"/>
      <c r="E375" s="61"/>
      <c r="F375" s="61"/>
      <c r="G375" s="61"/>
      <c r="H375" s="61"/>
      <c r="I375" s="61"/>
      <c r="J375" s="61"/>
      <c r="K375" s="61"/>
      <c r="L375" s="61"/>
      <c r="M375" s="61"/>
      <c r="N375" s="61"/>
      <c r="O375" s="61"/>
      <c r="P375" s="61"/>
      <c r="Q375" s="61"/>
      <c r="R375" s="61"/>
      <c r="S375" s="61"/>
      <c r="T375" s="35"/>
      <c r="U375" s="187"/>
      <c r="V375" s="190"/>
      <c r="W375" s="190"/>
      <c r="X375" s="190"/>
      <c r="Y375" s="190"/>
      <c r="Z375" s="190"/>
      <c r="AA375" s="191"/>
      <c r="AB375" s="190"/>
      <c r="AC375" s="190"/>
      <c r="AD375" s="190"/>
      <c r="AE375" s="190"/>
      <c r="AF375" s="190"/>
      <c r="AG375" s="190"/>
      <c r="AH375" s="191"/>
      <c r="AI375" s="190"/>
      <c r="AJ375" s="190"/>
      <c r="AK375" s="190"/>
      <c r="AL375" s="190"/>
      <c r="AM375" s="190"/>
      <c r="AN375" s="191"/>
      <c r="AO375" s="190"/>
      <c r="AP375" s="190"/>
      <c r="AQ375" s="190"/>
      <c r="AR375" s="190"/>
      <c r="AS375" s="190"/>
      <c r="AT375" s="191"/>
      <c r="AU375" s="190"/>
      <c r="AV375" s="190"/>
      <c r="AW375" s="190"/>
      <c r="AX375" s="190"/>
      <c r="AY375" s="190"/>
      <c r="AZ375" s="191"/>
      <c r="BA375" s="183"/>
      <c r="BB375" s="183"/>
      <c r="BC375" s="183"/>
      <c r="BD375" s="183"/>
      <c r="BE375" s="183"/>
      <c r="BF375" s="184"/>
      <c r="BG375" s="183"/>
      <c r="BH375" s="183"/>
      <c r="BI375" s="183"/>
      <c r="BJ375" s="183"/>
      <c r="BK375" s="183"/>
      <c r="BL375" s="184"/>
      <c r="BM375" s="409"/>
      <c r="BN375" s="409"/>
    </row>
    <row r="376" spans="1:66" s="153" customFormat="1" x14ac:dyDescent="0.2">
      <c r="A376" s="61"/>
      <c r="B376" s="61"/>
      <c r="C376" s="61"/>
      <c r="D376" s="61"/>
      <c r="E376" s="61"/>
      <c r="F376" s="61"/>
      <c r="G376" s="61"/>
      <c r="H376" s="61"/>
      <c r="I376" s="61"/>
      <c r="J376" s="61"/>
      <c r="K376" s="61"/>
      <c r="L376" s="61"/>
      <c r="M376" s="61"/>
      <c r="N376" s="61"/>
      <c r="O376" s="61"/>
      <c r="P376" s="61"/>
      <c r="Q376" s="61"/>
      <c r="R376" s="61"/>
      <c r="S376" s="61"/>
      <c r="T376" s="35"/>
      <c r="U376" s="187"/>
      <c r="V376" s="190"/>
      <c r="W376" s="190"/>
      <c r="X376" s="190"/>
      <c r="Y376" s="190"/>
      <c r="Z376" s="190"/>
      <c r="AA376" s="191"/>
      <c r="AB376" s="190"/>
      <c r="AC376" s="190"/>
      <c r="AD376" s="190"/>
      <c r="AE376" s="190"/>
      <c r="AF376" s="190"/>
      <c r="AG376" s="190"/>
      <c r="AH376" s="191"/>
      <c r="AI376" s="190"/>
      <c r="AJ376" s="190"/>
      <c r="AK376" s="190"/>
      <c r="AL376" s="190"/>
      <c r="AM376" s="190"/>
      <c r="AN376" s="191"/>
      <c r="AO376" s="190"/>
      <c r="AP376" s="190"/>
      <c r="AQ376" s="190"/>
      <c r="AR376" s="190"/>
      <c r="AS376" s="190"/>
      <c r="AT376" s="191"/>
      <c r="AU376" s="190"/>
      <c r="AV376" s="190"/>
      <c r="AW376" s="190"/>
      <c r="AX376" s="190"/>
      <c r="AY376" s="190"/>
      <c r="AZ376" s="191"/>
      <c r="BA376" s="183"/>
      <c r="BB376" s="183"/>
      <c r="BC376" s="183"/>
      <c r="BD376" s="183"/>
      <c r="BE376" s="183"/>
      <c r="BF376" s="184"/>
      <c r="BG376" s="183"/>
      <c r="BH376" s="183"/>
      <c r="BI376" s="183"/>
      <c r="BJ376" s="183"/>
      <c r="BK376" s="183"/>
      <c r="BL376" s="184"/>
      <c r="BM376" s="409"/>
      <c r="BN376" s="409"/>
    </row>
    <row r="377" spans="1:66" s="153" customFormat="1" x14ac:dyDescent="0.2">
      <c r="A377" s="61"/>
      <c r="B377" s="61"/>
      <c r="C377" s="61"/>
      <c r="D377" s="61"/>
      <c r="E377" s="61"/>
      <c r="F377" s="61"/>
      <c r="G377" s="61"/>
      <c r="H377" s="61"/>
      <c r="I377" s="61"/>
      <c r="J377" s="61"/>
      <c r="K377" s="61"/>
      <c r="L377" s="61"/>
      <c r="M377" s="61"/>
      <c r="N377" s="61"/>
      <c r="O377" s="61"/>
      <c r="P377" s="61"/>
      <c r="Q377" s="61"/>
      <c r="R377" s="61"/>
      <c r="S377" s="61"/>
      <c r="T377" s="35"/>
      <c r="U377" s="187"/>
      <c r="V377" s="190"/>
      <c r="W377" s="190"/>
      <c r="X377" s="190"/>
      <c r="Y377" s="190"/>
      <c r="Z377" s="190"/>
      <c r="AA377" s="191"/>
      <c r="AB377" s="190"/>
      <c r="AC377" s="190"/>
      <c r="AD377" s="190"/>
      <c r="AE377" s="190"/>
      <c r="AF377" s="190"/>
      <c r="AG377" s="190"/>
      <c r="AH377" s="191"/>
      <c r="AI377" s="190"/>
      <c r="AJ377" s="190"/>
      <c r="AK377" s="190"/>
      <c r="AL377" s="190"/>
      <c r="AM377" s="190"/>
      <c r="AN377" s="191"/>
      <c r="AO377" s="190"/>
      <c r="AP377" s="190"/>
      <c r="AQ377" s="190"/>
      <c r="AR377" s="190"/>
      <c r="AS377" s="190"/>
      <c r="AT377" s="191"/>
      <c r="AU377" s="190"/>
      <c r="AV377" s="190"/>
      <c r="AW377" s="190"/>
      <c r="AX377" s="190"/>
      <c r="AY377" s="190"/>
      <c r="AZ377" s="191"/>
      <c r="BA377" s="183"/>
      <c r="BB377" s="183"/>
      <c r="BC377" s="183"/>
      <c r="BD377" s="183"/>
      <c r="BE377" s="183"/>
      <c r="BF377" s="184"/>
      <c r="BG377" s="183"/>
      <c r="BH377" s="183"/>
      <c r="BI377" s="183"/>
      <c r="BJ377" s="183"/>
      <c r="BK377" s="183"/>
      <c r="BL377" s="184"/>
      <c r="BM377" s="409"/>
      <c r="BN377" s="409"/>
    </row>
    <row r="378" spans="1:66" s="153" customFormat="1" x14ac:dyDescent="0.2">
      <c r="A378" s="61"/>
      <c r="B378" s="61"/>
      <c r="C378" s="61"/>
      <c r="D378" s="61"/>
      <c r="E378" s="61"/>
      <c r="F378" s="61"/>
      <c r="G378" s="61"/>
      <c r="H378" s="61"/>
      <c r="I378" s="61"/>
      <c r="J378" s="61"/>
      <c r="K378" s="61"/>
      <c r="L378" s="61"/>
      <c r="M378" s="61"/>
      <c r="N378" s="61"/>
      <c r="O378" s="61"/>
      <c r="P378" s="61"/>
      <c r="Q378" s="61"/>
      <c r="R378" s="61"/>
      <c r="S378" s="61"/>
      <c r="T378" s="35"/>
      <c r="U378" s="187"/>
      <c r="V378" s="190"/>
      <c r="W378" s="190"/>
      <c r="X378" s="190"/>
      <c r="Y378" s="190"/>
      <c r="Z378" s="190"/>
      <c r="AA378" s="191"/>
      <c r="AB378" s="190"/>
      <c r="AC378" s="190"/>
      <c r="AD378" s="190"/>
      <c r="AE378" s="190"/>
      <c r="AF378" s="190"/>
      <c r="AG378" s="190"/>
      <c r="AH378" s="191"/>
      <c r="AI378" s="190"/>
      <c r="AJ378" s="190"/>
      <c r="AK378" s="190"/>
      <c r="AL378" s="190"/>
      <c r="AM378" s="190"/>
      <c r="AN378" s="191"/>
      <c r="AO378" s="190"/>
      <c r="AP378" s="190"/>
      <c r="AQ378" s="190"/>
      <c r="AR378" s="190"/>
      <c r="AS378" s="190"/>
      <c r="AT378" s="191"/>
      <c r="AU378" s="190"/>
      <c r="AV378" s="190"/>
      <c r="AW378" s="190"/>
      <c r="AX378" s="190"/>
      <c r="AY378" s="190"/>
      <c r="AZ378" s="191"/>
      <c r="BA378" s="183"/>
      <c r="BB378" s="183"/>
      <c r="BC378" s="183"/>
      <c r="BD378" s="183"/>
      <c r="BE378" s="183"/>
      <c r="BF378" s="184"/>
      <c r="BG378" s="183"/>
      <c r="BH378" s="183"/>
      <c r="BI378" s="183"/>
      <c r="BJ378" s="183"/>
      <c r="BK378" s="183"/>
      <c r="BL378" s="184"/>
      <c r="BM378" s="409"/>
      <c r="BN378" s="409"/>
    </row>
    <row r="379" spans="1:66" s="153" customFormat="1" x14ac:dyDescent="0.2">
      <c r="A379" s="61"/>
      <c r="B379" s="61"/>
      <c r="C379" s="61"/>
      <c r="D379" s="61"/>
      <c r="E379" s="61"/>
      <c r="F379" s="61"/>
      <c r="G379" s="61"/>
      <c r="H379" s="61"/>
      <c r="I379" s="61"/>
      <c r="J379" s="61"/>
      <c r="K379" s="61"/>
      <c r="L379" s="61"/>
      <c r="M379" s="61"/>
      <c r="N379" s="61"/>
      <c r="O379" s="61"/>
      <c r="P379" s="61"/>
      <c r="Q379" s="61"/>
      <c r="R379" s="61"/>
      <c r="S379" s="61"/>
      <c r="T379" s="35"/>
      <c r="U379" s="187"/>
      <c r="V379" s="190"/>
      <c r="W379" s="190"/>
      <c r="X379" s="190"/>
      <c r="Y379" s="190"/>
      <c r="Z379" s="190"/>
      <c r="AA379" s="191"/>
      <c r="AB379" s="190"/>
      <c r="AC379" s="190"/>
      <c r="AD379" s="190"/>
      <c r="AE379" s="190"/>
      <c r="AF379" s="190"/>
      <c r="AG379" s="190"/>
      <c r="AH379" s="191"/>
      <c r="AI379" s="190"/>
      <c r="AJ379" s="190"/>
      <c r="AK379" s="190"/>
      <c r="AL379" s="190"/>
      <c r="AM379" s="190"/>
      <c r="AN379" s="191"/>
      <c r="AO379" s="190"/>
      <c r="AP379" s="190"/>
      <c r="AQ379" s="190"/>
      <c r="AR379" s="190"/>
      <c r="AS379" s="190"/>
      <c r="AT379" s="191"/>
      <c r="AU379" s="190"/>
      <c r="AV379" s="190"/>
      <c r="AW379" s="190"/>
      <c r="AX379" s="190"/>
      <c r="AY379" s="190"/>
      <c r="AZ379" s="191"/>
      <c r="BA379" s="183"/>
      <c r="BB379" s="183"/>
      <c r="BC379" s="183"/>
      <c r="BD379" s="183"/>
      <c r="BE379" s="183"/>
      <c r="BF379" s="184"/>
      <c r="BG379" s="183"/>
      <c r="BH379" s="183"/>
      <c r="BI379" s="183"/>
      <c r="BJ379" s="183"/>
      <c r="BK379" s="183"/>
      <c r="BL379" s="184"/>
      <c r="BM379" s="409"/>
      <c r="BN379" s="409"/>
    </row>
    <row r="380" spans="1:66" s="153" customFormat="1" x14ac:dyDescent="0.2">
      <c r="A380" s="61"/>
      <c r="B380" s="61"/>
      <c r="C380" s="61"/>
      <c r="D380" s="61"/>
      <c r="E380" s="61"/>
      <c r="F380" s="61"/>
      <c r="G380" s="61"/>
      <c r="H380" s="61"/>
      <c r="I380" s="61"/>
      <c r="J380" s="61"/>
      <c r="K380" s="61"/>
      <c r="L380" s="61"/>
      <c r="M380" s="61"/>
      <c r="N380" s="61"/>
      <c r="O380" s="61"/>
      <c r="P380" s="61"/>
      <c r="Q380" s="61"/>
      <c r="R380" s="61"/>
      <c r="S380" s="61"/>
      <c r="T380" s="35"/>
      <c r="U380" s="187"/>
      <c r="V380" s="190"/>
      <c r="W380" s="190"/>
      <c r="X380" s="190"/>
      <c r="Y380" s="190"/>
      <c r="Z380" s="190"/>
      <c r="AA380" s="191"/>
      <c r="AB380" s="190"/>
      <c r="AC380" s="190"/>
      <c r="AD380" s="190"/>
      <c r="AE380" s="190"/>
      <c r="AF380" s="190"/>
      <c r="AG380" s="190"/>
      <c r="AH380" s="191"/>
      <c r="AI380" s="190"/>
      <c r="AJ380" s="190"/>
      <c r="AK380" s="190"/>
      <c r="AL380" s="190"/>
      <c r="AM380" s="190"/>
      <c r="AN380" s="191"/>
      <c r="AO380" s="190"/>
      <c r="AP380" s="190"/>
      <c r="AQ380" s="190"/>
      <c r="AR380" s="190"/>
      <c r="AS380" s="190"/>
      <c r="AT380" s="191"/>
      <c r="AU380" s="190"/>
      <c r="AV380" s="190"/>
      <c r="AW380" s="190"/>
      <c r="AX380" s="190"/>
      <c r="AY380" s="190"/>
      <c r="AZ380" s="191"/>
      <c r="BA380" s="183"/>
      <c r="BB380" s="183"/>
      <c r="BC380" s="183"/>
      <c r="BD380" s="183"/>
      <c r="BE380" s="183"/>
      <c r="BF380" s="184"/>
      <c r="BG380" s="183"/>
      <c r="BH380" s="183"/>
      <c r="BI380" s="183"/>
      <c r="BJ380" s="183"/>
      <c r="BK380" s="183"/>
      <c r="BL380" s="184"/>
      <c r="BM380" s="409"/>
      <c r="BN380" s="409"/>
    </row>
    <row r="381" spans="1:66" s="153" customFormat="1" x14ac:dyDescent="0.2">
      <c r="A381" s="61"/>
      <c r="B381" s="61"/>
      <c r="C381" s="61"/>
      <c r="D381" s="61"/>
      <c r="E381" s="61"/>
      <c r="F381" s="61"/>
      <c r="G381" s="61"/>
      <c r="H381" s="61"/>
      <c r="I381" s="61"/>
      <c r="J381" s="61"/>
      <c r="K381" s="61"/>
      <c r="L381" s="61"/>
      <c r="M381" s="61"/>
      <c r="N381" s="61"/>
      <c r="O381" s="61"/>
      <c r="P381" s="61"/>
      <c r="Q381" s="61"/>
      <c r="R381" s="61"/>
      <c r="S381" s="61"/>
      <c r="T381" s="35"/>
      <c r="U381" s="187"/>
      <c r="V381" s="190"/>
      <c r="W381" s="190"/>
      <c r="X381" s="190"/>
      <c r="Y381" s="190"/>
      <c r="Z381" s="190"/>
      <c r="AA381" s="191"/>
      <c r="AB381" s="190"/>
      <c r="AC381" s="190"/>
      <c r="AD381" s="190"/>
      <c r="AE381" s="190"/>
      <c r="AF381" s="190"/>
      <c r="AG381" s="190"/>
      <c r="AH381" s="191"/>
      <c r="AI381" s="190"/>
      <c r="AJ381" s="190"/>
      <c r="AK381" s="190"/>
      <c r="AL381" s="190"/>
      <c r="AM381" s="190"/>
      <c r="AN381" s="191"/>
      <c r="AO381" s="190"/>
      <c r="AP381" s="190"/>
      <c r="AQ381" s="190"/>
      <c r="AR381" s="190"/>
      <c r="AS381" s="190"/>
      <c r="AT381" s="191"/>
      <c r="AU381" s="190"/>
      <c r="AV381" s="190"/>
      <c r="AW381" s="190"/>
      <c r="AX381" s="190"/>
      <c r="AY381" s="190"/>
      <c r="AZ381" s="191"/>
      <c r="BA381" s="183"/>
      <c r="BB381" s="183"/>
      <c r="BC381" s="183"/>
      <c r="BD381" s="183"/>
      <c r="BE381" s="183"/>
      <c r="BF381" s="184"/>
      <c r="BG381" s="183"/>
      <c r="BH381" s="183"/>
      <c r="BI381" s="183"/>
      <c r="BJ381" s="183"/>
      <c r="BK381" s="183"/>
      <c r="BL381" s="184"/>
      <c r="BM381" s="409"/>
      <c r="BN381" s="409"/>
    </row>
    <row r="382" spans="1:66" s="153" customFormat="1" x14ac:dyDescent="0.2">
      <c r="A382" s="61"/>
      <c r="B382" s="61"/>
      <c r="C382" s="61"/>
      <c r="D382" s="61"/>
      <c r="E382" s="61"/>
      <c r="F382" s="61"/>
      <c r="G382" s="61"/>
      <c r="H382" s="61"/>
      <c r="I382" s="61"/>
      <c r="J382" s="61"/>
      <c r="K382" s="61"/>
      <c r="L382" s="61"/>
      <c r="M382" s="61"/>
      <c r="N382" s="61"/>
      <c r="O382" s="61"/>
      <c r="P382" s="61"/>
      <c r="Q382" s="61"/>
      <c r="R382" s="61"/>
      <c r="S382" s="61"/>
      <c r="T382" s="35"/>
      <c r="U382" s="187"/>
      <c r="V382" s="190"/>
      <c r="W382" s="190"/>
      <c r="X382" s="190"/>
      <c r="Y382" s="190"/>
      <c r="Z382" s="190"/>
      <c r="AA382" s="191"/>
      <c r="AB382" s="190"/>
      <c r="AC382" s="190"/>
      <c r="AD382" s="190"/>
      <c r="AE382" s="190"/>
      <c r="AF382" s="190"/>
      <c r="AG382" s="190"/>
      <c r="AH382" s="191"/>
      <c r="AI382" s="190"/>
      <c r="AJ382" s="190"/>
      <c r="AK382" s="190"/>
      <c r="AL382" s="190"/>
      <c r="AM382" s="190"/>
      <c r="AN382" s="191"/>
      <c r="AO382" s="190"/>
      <c r="AP382" s="190"/>
      <c r="AQ382" s="190"/>
      <c r="AR382" s="190"/>
      <c r="AS382" s="190"/>
      <c r="AT382" s="191"/>
      <c r="AU382" s="190"/>
      <c r="AV382" s="190"/>
      <c r="AW382" s="190"/>
      <c r="AX382" s="190"/>
      <c r="AY382" s="190"/>
      <c r="AZ382" s="191"/>
      <c r="BA382" s="183"/>
      <c r="BB382" s="183"/>
      <c r="BC382" s="183"/>
      <c r="BD382" s="183"/>
      <c r="BE382" s="183"/>
      <c r="BF382" s="184"/>
      <c r="BG382" s="183"/>
      <c r="BH382" s="183"/>
      <c r="BI382" s="183"/>
      <c r="BJ382" s="183"/>
      <c r="BK382" s="183"/>
      <c r="BL382" s="184"/>
      <c r="BM382" s="409"/>
      <c r="BN382" s="409"/>
    </row>
    <row r="383" spans="1:66" s="153" customFormat="1" x14ac:dyDescent="0.2">
      <c r="A383" s="61"/>
      <c r="B383" s="61"/>
      <c r="C383" s="61"/>
      <c r="D383" s="61"/>
      <c r="E383" s="61"/>
      <c r="F383" s="61"/>
      <c r="G383" s="61"/>
      <c r="H383" s="61"/>
      <c r="I383" s="61"/>
      <c r="J383" s="61"/>
      <c r="K383" s="61"/>
      <c r="L383" s="61"/>
      <c r="M383" s="61"/>
      <c r="N383" s="61"/>
      <c r="O383" s="61"/>
      <c r="P383" s="61"/>
      <c r="Q383" s="61"/>
      <c r="R383" s="61"/>
      <c r="S383" s="61"/>
      <c r="T383" s="35"/>
      <c r="U383" s="187"/>
      <c r="V383" s="190"/>
      <c r="W383" s="190"/>
      <c r="X383" s="190"/>
      <c r="Y383" s="190"/>
      <c r="Z383" s="190"/>
      <c r="AA383" s="191"/>
      <c r="AB383" s="190"/>
      <c r="AC383" s="190"/>
      <c r="AD383" s="190"/>
      <c r="AE383" s="190"/>
      <c r="AF383" s="190"/>
      <c r="AG383" s="190"/>
      <c r="AH383" s="191"/>
      <c r="AI383" s="190"/>
      <c r="AJ383" s="190"/>
      <c r="AK383" s="190"/>
      <c r="AL383" s="190"/>
      <c r="AM383" s="190"/>
      <c r="AN383" s="191"/>
      <c r="AO383" s="190"/>
      <c r="AP383" s="190"/>
      <c r="AQ383" s="190"/>
      <c r="AR383" s="190"/>
      <c r="AS383" s="190"/>
      <c r="AT383" s="191"/>
      <c r="AU383" s="190"/>
      <c r="AV383" s="190"/>
      <c r="AW383" s="190"/>
      <c r="AX383" s="190"/>
      <c r="AY383" s="190"/>
      <c r="AZ383" s="191"/>
      <c r="BA383" s="183"/>
      <c r="BB383" s="183"/>
      <c r="BC383" s="183"/>
      <c r="BD383" s="183"/>
      <c r="BE383" s="183"/>
      <c r="BF383" s="184"/>
      <c r="BG383" s="183"/>
      <c r="BH383" s="183"/>
      <c r="BI383" s="183"/>
      <c r="BJ383" s="183"/>
      <c r="BK383" s="183"/>
      <c r="BL383" s="184"/>
      <c r="BM383" s="409"/>
      <c r="BN383" s="409"/>
    </row>
    <row r="384" spans="1:66" s="153" customFormat="1" x14ac:dyDescent="0.2">
      <c r="A384" s="61"/>
      <c r="B384" s="61"/>
      <c r="C384" s="61"/>
      <c r="D384" s="61"/>
      <c r="E384" s="61"/>
      <c r="F384" s="61"/>
      <c r="G384" s="61"/>
      <c r="H384" s="61"/>
      <c r="I384" s="61"/>
      <c r="J384" s="61"/>
      <c r="K384" s="61"/>
      <c r="L384" s="61"/>
      <c r="M384" s="61"/>
      <c r="N384" s="61"/>
      <c r="O384" s="61"/>
      <c r="P384" s="61"/>
      <c r="Q384" s="61"/>
      <c r="R384" s="61"/>
      <c r="S384" s="61"/>
      <c r="T384" s="35"/>
      <c r="U384" s="187"/>
      <c r="V384" s="190"/>
      <c r="W384" s="190"/>
      <c r="X384" s="190"/>
      <c r="Y384" s="190"/>
      <c r="Z384" s="190"/>
      <c r="AA384" s="191"/>
      <c r="AB384" s="190"/>
      <c r="AC384" s="190"/>
      <c r="AD384" s="190"/>
      <c r="AE384" s="190"/>
      <c r="AF384" s="190"/>
      <c r="AG384" s="190"/>
      <c r="AH384" s="191"/>
      <c r="AI384" s="190"/>
      <c r="AJ384" s="190"/>
      <c r="AK384" s="190"/>
      <c r="AL384" s="190"/>
      <c r="AM384" s="190"/>
      <c r="AN384" s="191"/>
      <c r="AO384" s="190"/>
      <c r="AP384" s="190"/>
      <c r="AQ384" s="190"/>
      <c r="AR384" s="190"/>
      <c r="AS384" s="190"/>
      <c r="AT384" s="191"/>
      <c r="AU384" s="190"/>
      <c r="AV384" s="190"/>
      <c r="AW384" s="190"/>
      <c r="AX384" s="190"/>
      <c r="AY384" s="190"/>
      <c r="AZ384" s="191"/>
      <c r="BA384" s="183"/>
      <c r="BB384" s="183"/>
      <c r="BC384" s="183"/>
      <c r="BD384" s="183"/>
      <c r="BE384" s="183"/>
      <c r="BF384" s="184"/>
      <c r="BG384" s="183"/>
      <c r="BH384" s="183"/>
      <c r="BI384" s="183"/>
      <c r="BJ384" s="183"/>
      <c r="BK384" s="183"/>
      <c r="BL384" s="184"/>
      <c r="BM384" s="409"/>
      <c r="BN384" s="409"/>
    </row>
    <row r="385" spans="1:66" s="153" customFormat="1" x14ac:dyDescent="0.2">
      <c r="A385" s="61"/>
      <c r="B385" s="61"/>
      <c r="C385" s="61"/>
      <c r="D385" s="61"/>
      <c r="E385" s="61"/>
      <c r="F385" s="61"/>
      <c r="G385" s="61"/>
      <c r="H385" s="61"/>
      <c r="I385" s="61"/>
      <c r="J385" s="61"/>
      <c r="K385" s="61"/>
      <c r="L385" s="61"/>
      <c r="M385" s="61"/>
      <c r="N385" s="61"/>
      <c r="O385" s="61"/>
      <c r="P385" s="61"/>
      <c r="Q385" s="61"/>
      <c r="R385" s="61"/>
      <c r="S385" s="61"/>
      <c r="T385" s="35"/>
      <c r="U385" s="187"/>
      <c r="V385" s="190"/>
      <c r="W385" s="190"/>
      <c r="X385" s="190"/>
      <c r="Y385" s="190"/>
      <c r="Z385" s="190"/>
      <c r="AA385" s="191"/>
      <c r="AB385" s="190"/>
      <c r="AC385" s="190"/>
      <c r="AD385" s="190"/>
      <c r="AE385" s="190"/>
      <c r="AF385" s="190"/>
      <c r="AG385" s="190"/>
      <c r="AH385" s="191"/>
      <c r="AI385" s="190"/>
      <c r="AJ385" s="190"/>
      <c r="AK385" s="190"/>
      <c r="AL385" s="190"/>
      <c r="AM385" s="190"/>
      <c r="AN385" s="191"/>
      <c r="AO385" s="190"/>
      <c r="AP385" s="190"/>
      <c r="AQ385" s="190"/>
      <c r="AR385" s="190"/>
      <c r="AS385" s="190"/>
      <c r="AT385" s="191"/>
      <c r="AU385" s="190"/>
      <c r="AV385" s="190"/>
      <c r="AW385" s="190"/>
      <c r="AX385" s="190"/>
      <c r="AY385" s="190"/>
      <c r="AZ385" s="191"/>
      <c r="BA385" s="183"/>
      <c r="BB385" s="183"/>
      <c r="BC385" s="183"/>
      <c r="BD385" s="183"/>
      <c r="BE385" s="183"/>
      <c r="BF385" s="184"/>
      <c r="BG385" s="183"/>
      <c r="BH385" s="183"/>
      <c r="BI385" s="183"/>
      <c r="BJ385" s="183"/>
      <c r="BK385" s="183"/>
      <c r="BL385" s="184"/>
      <c r="BM385" s="409"/>
      <c r="BN385" s="409"/>
    </row>
    <row r="386" spans="1:66" s="153" customFormat="1" x14ac:dyDescent="0.2">
      <c r="A386" s="61"/>
      <c r="B386" s="61"/>
      <c r="C386" s="61"/>
      <c r="D386" s="61"/>
      <c r="E386" s="61"/>
      <c r="F386" s="61"/>
      <c r="G386" s="61"/>
      <c r="H386" s="61"/>
      <c r="I386" s="61"/>
      <c r="J386" s="61"/>
      <c r="K386" s="61"/>
      <c r="L386" s="61"/>
      <c r="M386" s="61"/>
      <c r="N386" s="61"/>
      <c r="O386" s="61"/>
      <c r="P386" s="61"/>
      <c r="Q386" s="61"/>
      <c r="R386" s="61"/>
      <c r="S386" s="61"/>
      <c r="T386" s="35"/>
      <c r="U386" s="187"/>
      <c r="V386" s="190"/>
      <c r="W386" s="190"/>
      <c r="X386" s="190"/>
      <c r="Y386" s="190"/>
      <c r="Z386" s="190"/>
      <c r="AA386" s="191"/>
      <c r="AB386" s="190"/>
      <c r="AC386" s="190"/>
      <c r="AD386" s="190"/>
      <c r="AE386" s="190"/>
      <c r="AF386" s="190"/>
      <c r="AG386" s="190"/>
      <c r="AH386" s="191"/>
      <c r="AI386" s="190"/>
      <c r="AJ386" s="190"/>
      <c r="AK386" s="190"/>
      <c r="AL386" s="190"/>
      <c r="AM386" s="190"/>
      <c r="AN386" s="191"/>
      <c r="AO386" s="190"/>
      <c r="AP386" s="190"/>
      <c r="AQ386" s="190"/>
      <c r="AR386" s="190"/>
      <c r="AS386" s="190"/>
      <c r="AT386" s="191"/>
      <c r="AU386" s="190"/>
      <c r="AV386" s="190"/>
      <c r="AW386" s="190"/>
      <c r="AX386" s="190"/>
      <c r="AY386" s="190"/>
      <c r="AZ386" s="191"/>
      <c r="BA386" s="183"/>
      <c r="BB386" s="183"/>
      <c r="BC386" s="183"/>
      <c r="BD386" s="183"/>
      <c r="BE386" s="183"/>
      <c r="BF386" s="184"/>
      <c r="BG386" s="183"/>
      <c r="BH386" s="183"/>
      <c r="BI386" s="183"/>
      <c r="BJ386" s="183"/>
      <c r="BK386" s="183"/>
      <c r="BL386" s="184"/>
      <c r="BM386" s="409"/>
      <c r="BN386" s="409"/>
    </row>
    <row r="387" spans="1:66" s="153" customFormat="1" x14ac:dyDescent="0.2">
      <c r="A387" s="61"/>
      <c r="B387" s="61"/>
      <c r="C387" s="61"/>
      <c r="D387" s="61"/>
      <c r="E387" s="61"/>
      <c r="F387" s="61"/>
      <c r="G387" s="61"/>
      <c r="H387" s="61"/>
      <c r="I387" s="61"/>
      <c r="J387" s="61"/>
      <c r="K387" s="61"/>
      <c r="L387" s="61"/>
      <c r="M387" s="61"/>
      <c r="N387" s="61"/>
      <c r="O387" s="61"/>
      <c r="P387" s="61"/>
      <c r="Q387" s="61"/>
      <c r="R387" s="61"/>
      <c r="S387" s="61"/>
      <c r="T387" s="35"/>
      <c r="U387" s="187"/>
      <c r="V387" s="190"/>
      <c r="W387" s="190"/>
      <c r="X387" s="190"/>
      <c r="Y387" s="190"/>
      <c r="Z387" s="190"/>
      <c r="AA387" s="191"/>
      <c r="AB387" s="190"/>
      <c r="AC387" s="190"/>
      <c r="AD387" s="190"/>
      <c r="AE387" s="190"/>
      <c r="AF387" s="190"/>
      <c r="AG387" s="190"/>
      <c r="AH387" s="191"/>
      <c r="AI387" s="190"/>
      <c r="AJ387" s="190"/>
      <c r="AK387" s="190"/>
      <c r="AL387" s="190"/>
      <c r="AM387" s="190"/>
      <c r="AN387" s="191"/>
      <c r="AO387" s="190"/>
      <c r="AP387" s="190"/>
      <c r="AQ387" s="190"/>
      <c r="AR387" s="190"/>
      <c r="AS387" s="190"/>
      <c r="AT387" s="191"/>
      <c r="AU387" s="190"/>
      <c r="AV387" s="190"/>
      <c r="AW387" s="190"/>
      <c r="AX387" s="190"/>
      <c r="AY387" s="190"/>
      <c r="AZ387" s="191"/>
      <c r="BA387" s="183"/>
      <c r="BB387" s="183"/>
      <c r="BC387" s="183"/>
      <c r="BD387" s="183"/>
      <c r="BE387" s="183"/>
      <c r="BF387" s="184"/>
      <c r="BG387" s="183"/>
      <c r="BH387" s="183"/>
      <c r="BI387" s="183"/>
      <c r="BJ387" s="183"/>
      <c r="BK387" s="183"/>
      <c r="BL387" s="184"/>
      <c r="BM387" s="409"/>
      <c r="BN387" s="409"/>
    </row>
    <row r="388" spans="1:66" s="153" customFormat="1" x14ac:dyDescent="0.2">
      <c r="A388" s="61"/>
      <c r="B388" s="61"/>
      <c r="C388" s="61"/>
      <c r="D388" s="61"/>
      <c r="E388" s="61"/>
      <c r="F388" s="61"/>
      <c r="G388" s="61"/>
      <c r="H388" s="61"/>
      <c r="I388" s="61"/>
      <c r="J388" s="61"/>
      <c r="K388" s="61"/>
      <c r="L388" s="61"/>
      <c r="M388" s="61"/>
      <c r="N388" s="61"/>
      <c r="O388" s="61"/>
      <c r="P388" s="61"/>
      <c r="Q388" s="61"/>
      <c r="R388" s="61"/>
      <c r="S388" s="61"/>
      <c r="T388" s="35"/>
      <c r="U388" s="187"/>
      <c r="V388" s="190"/>
      <c r="W388" s="190"/>
      <c r="X388" s="190"/>
      <c r="Y388" s="190"/>
      <c r="Z388" s="190"/>
      <c r="AA388" s="191"/>
      <c r="AB388" s="190"/>
      <c r="AC388" s="190"/>
      <c r="AD388" s="190"/>
      <c r="AE388" s="190"/>
      <c r="AF388" s="190"/>
      <c r="AG388" s="190"/>
      <c r="AH388" s="191"/>
      <c r="AI388" s="190"/>
      <c r="AJ388" s="190"/>
      <c r="AK388" s="190"/>
      <c r="AL388" s="190"/>
      <c r="AM388" s="190"/>
      <c r="AN388" s="191"/>
      <c r="AO388" s="190"/>
      <c r="AP388" s="190"/>
      <c r="AQ388" s="190"/>
      <c r="AR388" s="190"/>
      <c r="AS388" s="190"/>
      <c r="AT388" s="191"/>
      <c r="AU388" s="190"/>
      <c r="AV388" s="190"/>
      <c r="AW388" s="190"/>
      <c r="AX388" s="190"/>
      <c r="AY388" s="190"/>
      <c r="AZ388" s="191"/>
      <c r="BA388" s="183"/>
      <c r="BB388" s="183"/>
      <c r="BC388" s="183"/>
      <c r="BD388" s="183"/>
      <c r="BE388" s="183"/>
      <c r="BF388" s="184"/>
      <c r="BG388" s="183"/>
      <c r="BH388" s="183"/>
      <c r="BI388" s="183"/>
      <c r="BJ388" s="183"/>
      <c r="BK388" s="183"/>
      <c r="BL388" s="184"/>
      <c r="BM388" s="409"/>
      <c r="BN388" s="409"/>
    </row>
    <row r="389" spans="1:66" s="153" customFormat="1" x14ac:dyDescent="0.2">
      <c r="A389" s="61"/>
      <c r="B389" s="61"/>
      <c r="C389" s="61"/>
      <c r="D389" s="61"/>
      <c r="E389" s="61"/>
      <c r="F389" s="61"/>
      <c r="G389" s="61"/>
      <c r="H389" s="61"/>
      <c r="I389" s="61"/>
      <c r="J389" s="61"/>
      <c r="K389" s="61"/>
      <c r="L389" s="61"/>
      <c r="M389" s="61"/>
      <c r="N389" s="61"/>
      <c r="O389" s="61"/>
      <c r="P389" s="61"/>
      <c r="Q389" s="61"/>
      <c r="R389" s="61"/>
      <c r="S389" s="61"/>
      <c r="T389" s="35"/>
      <c r="U389" s="187"/>
      <c r="V389" s="190"/>
      <c r="W389" s="190"/>
      <c r="X389" s="190"/>
      <c r="Y389" s="190"/>
      <c r="Z389" s="190"/>
      <c r="AA389" s="191"/>
      <c r="AB389" s="190"/>
      <c r="AC389" s="190"/>
      <c r="AD389" s="190"/>
      <c r="AE389" s="190"/>
      <c r="AF389" s="190"/>
      <c r="AG389" s="190"/>
      <c r="AH389" s="191"/>
      <c r="AI389" s="190"/>
      <c r="AJ389" s="190"/>
      <c r="AK389" s="190"/>
      <c r="AL389" s="190"/>
      <c r="AM389" s="190"/>
      <c r="AN389" s="191"/>
      <c r="AO389" s="190"/>
      <c r="AP389" s="190"/>
      <c r="AQ389" s="190"/>
      <c r="AR389" s="190"/>
      <c r="AS389" s="190"/>
      <c r="AT389" s="191"/>
      <c r="AU389" s="190"/>
      <c r="AV389" s="190"/>
      <c r="AW389" s="190"/>
      <c r="AX389" s="190"/>
      <c r="AY389" s="190"/>
      <c r="AZ389" s="191"/>
      <c r="BA389" s="183"/>
      <c r="BB389" s="183"/>
      <c r="BC389" s="183"/>
      <c r="BD389" s="183"/>
      <c r="BE389" s="183"/>
      <c r="BF389" s="184"/>
      <c r="BG389" s="183"/>
      <c r="BH389" s="183"/>
      <c r="BI389" s="183"/>
      <c r="BJ389" s="183"/>
      <c r="BK389" s="183"/>
      <c r="BL389" s="184"/>
      <c r="BM389" s="409"/>
      <c r="BN389" s="409"/>
    </row>
    <row r="390" spans="1:66" s="153" customFormat="1" x14ac:dyDescent="0.2">
      <c r="A390" s="61"/>
      <c r="B390" s="61"/>
      <c r="C390" s="61"/>
      <c r="D390" s="61"/>
      <c r="E390" s="61"/>
      <c r="F390" s="61"/>
      <c r="G390" s="61"/>
      <c r="H390" s="61"/>
      <c r="I390" s="61"/>
      <c r="J390" s="61"/>
      <c r="K390" s="61"/>
      <c r="L390" s="61"/>
      <c r="M390" s="61"/>
      <c r="N390" s="61"/>
      <c r="O390" s="61"/>
      <c r="P390" s="61"/>
      <c r="Q390" s="61"/>
      <c r="R390" s="61"/>
      <c r="S390" s="61"/>
      <c r="T390" s="35"/>
      <c r="U390" s="187"/>
      <c r="V390" s="190"/>
      <c r="W390" s="190"/>
      <c r="X390" s="190"/>
      <c r="Y390" s="190"/>
      <c r="Z390" s="190"/>
      <c r="AA390" s="191"/>
      <c r="AB390" s="190"/>
      <c r="AC390" s="190"/>
      <c r="AD390" s="190"/>
      <c r="AE390" s="190"/>
      <c r="AF390" s="190"/>
      <c r="AG390" s="190"/>
      <c r="AH390" s="191"/>
      <c r="AI390" s="190"/>
      <c r="AJ390" s="190"/>
      <c r="AK390" s="190"/>
      <c r="AL390" s="190"/>
      <c r="AM390" s="190"/>
      <c r="AN390" s="191"/>
      <c r="AO390" s="190"/>
      <c r="AP390" s="190"/>
      <c r="AQ390" s="190"/>
      <c r="AR390" s="190"/>
      <c r="AS390" s="190"/>
      <c r="AT390" s="191"/>
      <c r="AU390" s="190"/>
      <c r="AV390" s="190"/>
      <c r="AW390" s="190"/>
      <c r="AX390" s="190"/>
      <c r="AY390" s="190"/>
      <c r="AZ390" s="191"/>
      <c r="BA390" s="183"/>
      <c r="BB390" s="183"/>
      <c r="BC390" s="183"/>
      <c r="BD390" s="183"/>
      <c r="BE390" s="183"/>
      <c r="BF390" s="184"/>
      <c r="BG390" s="183"/>
      <c r="BH390" s="183"/>
      <c r="BI390" s="183"/>
      <c r="BJ390" s="183"/>
      <c r="BK390" s="183"/>
      <c r="BL390" s="184"/>
      <c r="BM390" s="409"/>
      <c r="BN390" s="409"/>
    </row>
    <row r="391" spans="1:66" s="153" customFormat="1" x14ac:dyDescent="0.2">
      <c r="A391" s="61"/>
      <c r="B391" s="61"/>
      <c r="C391" s="61"/>
      <c r="D391" s="61"/>
      <c r="E391" s="61"/>
      <c r="F391" s="61"/>
      <c r="G391" s="61"/>
      <c r="H391" s="61"/>
      <c r="I391" s="61"/>
      <c r="J391" s="61"/>
      <c r="K391" s="61"/>
      <c r="L391" s="61"/>
      <c r="M391" s="61"/>
      <c r="N391" s="61"/>
      <c r="O391" s="61"/>
      <c r="P391" s="61"/>
      <c r="Q391" s="61"/>
      <c r="R391" s="61"/>
      <c r="S391" s="61"/>
      <c r="T391" s="35"/>
      <c r="U391" s="187"/>
      <c r="V391" s="190"/>
      <c r="W391" s="190"/>
      <c r="X391" s="190"/>
      <c r="Y391" s="190"/>
      <c r="Z391" s="190"/>
      <c r="AA391" s="191"/>
      <c r="AB391" s="190"/>
      <c r="AC391" s="190"/>
      <c r="AD391" s="190"/>
      <c r="AE391" s="190"/>
      <c r="AF391" s="190"/>
      <c r="AG391" s="190"/>
      <c r="AH391" s="191"/>
      <c r="AI391" s="190"/>
      <c r="AJ391" s="190"/>
      <c r="AK391" s="190"/>
      <c r="AL391" s="190"/>
      <c r="AM391" s="190"/>
      <c r="AN391" s="191"/>
      <c r="AO391" s="190"/>
      <c r="AP391" s="190"/>
      <c r="AQ391" s="190"/>
      <c r="AR391" s="190"/>
      <c r="AS391" s="190"/>
      <c r="AT391" s="191"/>
      <c r="AU391" s="190"/>
      <c r="AV391" s="190"/>
      <c r="AW391" s="190"/>
      <c r="AX391" s="190"/>
      <c r="AY391" s="190"/>
      <c r="AZ391" s="191"/>
      <c r="BA391" s="183"/>
      <c r="BB391" s="183"/>
      <c r="BC391" s="183"/>
      <c r="BD391" s="183"/>
      <c r="BE391" s="183"/>
      <c r="BF391" s="184"/>
      <c r="BG391" s="183"/>
      <c r="BH391" s="183"/>
      <c r="BI391" s="183"/>
      <c r="BJ391" s="183"/>
      <c r="BK391" s="183"/>
      <c r="BL391" s="184"/>
      <c r="BM391" s="409"/>
      <c r="BN391" s="409"/>
    </row>
    <row r="392" spans="1:66" s="153" customFormat="1" x14ac:dyDescent="0.2">
      <c r="A392" s="61"/>
      <c r="B392" s="61"/>
      <c r="C392" s="61"/>
      <c r="D392" s="61"/>
      <c r="E392" s="61"/>
      <c r="F392" s="61"/>
      <c r="G392" s="61"/>
      <c r="H392" s="61"/>
      <c r="I392" s="61"/>
      <c r="J392" s="61"/>
      <c r="K392" s="61"/>
      <c r="L392" s="61"/>
      <c r="M392" s="61"/>
      <c r="N392" s="61"/>
      <c r="O392" s="61"/>
      <c r="P392" s="61"/>
      <c r="Q392" s="61"/>
      <c r="R392" s="61"/>
      <c r="S392" s="61"/>
      <c r="T392" s="35"/>
      <c r="U392" s="187"/>
      <c r="V392" s="190"/>
      <c r="W392" s="190"/>
      <c r="X392" s="190"/>
      <c r="Y392" s="190"/>
      <c r="Z392" s="190"/>
      <c r="AA392" s="191"/>
      <c r="AB392" s="190"/>
      <c r="AC392" s="190"/>
      <c r="AD392" s="190"/>
      <c r="AE392" s="190"/>
      <c r="AF392" s="190"/>
      <c r="AG392" s="190"/>
      <c r="AH392" s="191"/>
      <c r="AI392" s="190"/>
      <c r="AJ392" s="190"/>
      <c r="AK392" s="190"/>
      <c r="AL392" s="190"/>
      <c r="AM392" s="190"/>
      <c r="AN392" s="191"/>
      <c r="AO392" s="190"/>
      <c r="AP392" s="190"/>
      <c r="AQ392" s="190"/>
      <c r="AR392" s="190"/>
      <c r="AS392" s="190"/>
      <c r="AT392" s="191"/>
      <c r="AU392" s="190"/>
      <c r="AV392" s="190"/>
      <c r="AW392" s="190"/>
      <c r="AX392" s="190"/>
      <c r="AY392" s="190"/>
      <c r="AZ392" s="191"/>
      <c r="BA392" s="183"/>
      <c r="BB392" s="183"/>
      <c r="BC392" s="183"/>
      <c r="BD392" s="183"/>
      <c r="BE392" s="183"/>
      <c r="BF392" s="184"/>
      <c r="BG392" s="183"/>
      <c r="BH392" s="183"/>
      <c r="BI392" s="183"/>
      <c r="BJ392" s="183"/>
      <c r="BK392" s="183"/>
      <c r="BL392" s="184"/>
      <c r="BM392" s="409"/>
      <c r="BN392" s="409"/>
    </row>
    <row r="393" spans="1:66" s="153" customFormat="1" x14ac:dyDescent="0.2">
      <c r="A393" s="61"/>
      <c r="B393" s="61"/>
      <c r="C393" s="61"/>
      <c r="D393" s="61"/>
      <c r="E393" s="61"/>
      <c r="F393" s="61"/>
      <c r="G393" s="61"/>
      <c r="H393" s="61"/>
      <c r="I393" s="61"/>
      <c r="J393" s="61"/>
      <c r="K393" s="61"/>
      <c r="L393" s="61"/>
      <c r="M393" s="61"/>
      <c r="N393" s="61"/>
      <c r="O393" s="61"/>
      <c r="P393" s="61"/>
      <c r="Q393" s="61"/>
      <c r="R393" s="61"/>
      <c r="S393" s="61"/>
      <c r="T393" s="35"/>
      <c r="U393" s="187"/>
      <c r="V393" s="190"/>
      <c r="W393" s="190"/>
      <c r="X393" s="190"/>
      <c r="Y393" s="190"/>
      <c r="Z393" s="190"/>
      <c r="AA393" s="191"/>
      <c r="AB393" s="190"/>
      <c r="AC393" s="190"/>
      <c r="AD393" s="190"/>
      <c r="AE393" s="190"/>
      <c r="AF393" s="190"/>
      <c r="AG393" s="190"/>
      <c r="AH393" s="191"/>
      <c r="AI393" s="190"/>
      <c r="AJ393" s="190"/>
      <c r="AK393" s="190"/>
      <c r="AL393" s="190"/>
      <c r="AM393" s="190"/>
      <c r="AN393" s="191"/>
      <c r="AO393" s="190"/>
      <c r="AP393" s="190"/>
      <c r="AQ393" s="190"/>
      <c r="AR393" s="190"/>
      <c r="AS393" s="190"/>
      <c r="AT393" s="191"/>
      <c r="AU393" s="190"/>
      <c r="AV393" s="190"/>
      <c r="AW393" s="190"/>
      <c r="AX393" s="190"/>
      <c r="AY393" s="190"/>
      <c r="AZ393" s="191"/>
      <c r="BA393" s="183"/>
      <c r="BB393" s="183"/>
      <c r="BC393" s="183"/>
      <c r="BD393" s="183"/>
      <c r="BE393" s="183"/>
      <c r="BF393" s="184"/>
      <c r="BG393" s="183"/>
      <c r="BH393" s="183"/>
      <c r="BI393" s="183"/>
      <c r="BJ393" s="183"/>
      <c r="BK393" s="183"/>
      <c r="BL393" s="184"/>
      <c r="BM393" s="409"/>
      <c r="BN393" s="409"/>
    </row>
    <row r="394" spans="1:66" s="153" customFormat="1" x14ac:dyDescent="0.2">
      <c r="A394" s="61"/>
      <c r="B394" s="61"/>
      <c r="C394" s="61"/>
      <c r="D394" s="61"/>
      <c r="E394" s="61"/>
      <c r="F394" s="61"/>
      <c r="G394" s="61"/>
      <c r="H394" s="61"/>
      <c r="I394" s="61"/>
      <c r="J394" s="61"/>
      <c r="K394" s="61"/>
      <c r="L394" s="61"/>
      <c r="M394" s="61"/>
      <c r="N394" s="61"/>
      <c r="O394" s="61"/>
      <c r="P394" s="61"/>
      <c r="Q394" s="61"/>
      <c r="R394" s="61"/>
      <c r="S394" s="61"/>
      <c r="T394" s="35"/>
      <c r="U394" s="187"/>
      <c r="V394" s="190"/>
      <c r="W394" s="190"/>
      <c r="X394" s="190"/>
      <c r="Y394" s="190"/>
      <c r="Z394" s="190"/>
      <c r="AA394" s="191"/>
      <c r="AB394" s="190"/>
      <c r="AC394" s="190"/>
      <c r="AD394" s="190"/>
      <c r="AE394" s="190"/>
      <c r="AF394" s="190"/>
      <c r="AG394" s="190"/>
      <c r="AH394" s="191"/>
      <c r="AI394" s="190"/>
      <c r="AJ394" s="190"/>
      <c r="AK394" s="190"/>
      <c r="AL394" s="190"/>
      <c r="AM394" s="190"/>
      <c r="AN394" s="191"/>
      <c r="AO394" s="190"/>
      <c r="AP394" s="190"/>
      <c r="AQ394" s="190"/>
      <c r="AR394" s="190"/>
      <c r="AS394" s="190"/>
      <c r="AT394" s="191"/>
      <c r="AU394" s="190"/>
      <c r="AV394" s="190"/>
      <c r="AW394" s="190"/>
      <c r="AX394" s="190"/>
      <c r="AY394" s="190"/>
      <c r="AZ394" s="191"/>
      <c r="BA394" s="183"/>
      <c r="BB394" s="183"/>
      <c r="BC394" s="183"/>
      <c r="BD394" s="183"/>
      <c r="BE394" s="183"/>
      <c r="BF394" s="184"/>
      <c r="BG394" s="183"/>
      <c r="BH394" s="183"/>
      <c r="BI394" s="183"/>
      <c r="BJ394" s="183"/>
      <c r="BK394" s="183"/>
      <c r="BL394" s="184"/>
      <c r="BM394" s="409"/>
      <c r="BN394" s="409"/>
    </row>
    <row r="395" spans="1:66" s="153" customFormat="1" x14ac:dyDescent="0.2">
      <c r="A395" s="61"/>
      <c r="B395" s="61"/>
      <c r="C395" s="61"/>
      <c r="D395" s="61"/>
      <c r="E395" s="61"/>
      <c r="F395" s="61"/>
      <c r="G395" s="61"/>
      <c r="H395" s="61"/>
      <c r="I395" s="61"/>
      <c r="J395" s="61"/>
      <c r="K395" s="61"/>
      <c r="L395" s="61"/>
      <c r="M395" s="61"/>
      <c r="N395" s="61"/>
      <c r="O395" s="61"/>
      <c r="P395" s="61"/>
      <c r="Q395" s="61"/>
      <c r="R395" s="61"/>
      <c r="S395" s="61"/>
      <c r="T395" s="35"/>
      <c r="U395" s="187"/>
      <c r="V395" s="190"/>
      <c r="W395" s="190"/>
      <c r="X395" s="190"/>
      <c r="Y395" s="190"/>
      <c r="Z395" s="190"/>
      <c r="AA395" s="191"/>
      <c r="AB395" s="190"/>
      <c r="AC395" s="190"/>
      <c r="AD395" s="190"/>
      <c r="AE395" s="190"/>
      <c r="AF395" s="190"/>
      <c r="AG395" s="190"/>
      <c r="AH395" s="191"/>
      <c r="AI395" s="190"/>
      <c r="AJ395" s="190"/>
      <c r="AK395" s="190"/>
      <c r="AL395" s="190"/>
      <c r="AM395" s="190"/>
      <c r="AN395" s="191"/>
      <c r="AO395" s="190"/>
      <c r="AP395" s="190"/>
      <c r="AQ395" s="190"/>
      <c r="AR395" s="190"/>
      <c r="AS395" s="190"/>
      <c r="AT395" s="191"/>
      <c r="AU395" s="190"/>
      <c r="AV395" s="190"/>
      <c r="AW395" s="190"/>
      <c r="AX395" s="190"/>
      <c r="AY395" s="190"/>
      <c r="AZ395" s="191"/>
      <c r="BA395" s="183"/>
      <c r="BB395" s="183"/>
      <c r="BC395" s="183"/>
      <c r="BD395" s="183"/>
      <c r="BE395" s="183"/>
      <c r="BF395" s="184"/>
      <c r="BG395" s="183"/>
      <c r="BH395" s="183"/>
      <c r="BI395" s="183"/>
      <c r="BJ395" s="183"/>
      <c r="BK395" s="183"/>
      <c r="BL395" s="184"/>
      <c r="BM395" s="409"/>
      <c r="BN395" s="409"/>
    </row>
    <row r="396" spans="1:66" s="153" customFormat="1" x14ac:dyDescent="0.2">
      <c r="A396" s="61"/>
      <c r="B396" s="61"/>
      <c r="C396" s="61"/>
      <c r="D396" s="61"/>
      <c r="E396" s="61"/>
      <c r="F396" s="61"/>
      <c r="G396" s="61"/>
      <c r="H396" s="61"/>
      <c r="I396" s="61"/>
      <c r="J396" s="61"/>
      <c r="K396" s="61"/>
      <c r="L396" s="61"/>
      <c r="M396" s="61"/>
      <c r="N396" s="61"/>
      <c r="O396" s="61"/>
      <c r="P396" s="61"/>
      <c r="Q396" s="61"/>
      <c r="R396" s="61"/>
      <c r="S396" s="61"/>
      <c r="T396" s="35"/>
      <c r="U396" s="187"/>
      <c r="V396" s="190"/>
      <c r="W396" s="190"/>
      <c r="X396" s="190"/>
      <c r="Y396" s="190"/>
      <c r="Z396" s="190"/>
      <c r="AA396" s="191"/>
      <c r="AB396" s="190"/>
      <c r="AC396" s="190"/>
      <c r="AD396" s="190"/>
      <c r="AE396" s="190"/>
      <c r="AF396" s="190"/>
      <c r="AG396" s="190"/>
      <c r="AH396" s="191"/>
      <c r="AI396" s="190"/>
      <c r="AJ396" s="190"/>
      <c r="AK396" s="190"/>
      <c r="AL396" s="190"/>
      <c r="AM396" s="190"/>
      <c r="AN396" s="191"/>
      <c r="AO396" s="190"/>
      <c r="AP396" s="190"/>
      <c r="AQ396" s="190"/>
      <c r="AR396" s="190"/>
      <c r="AS396" s="190"/>
      <c r="AT396" s="191"/>
      <c r="AU396" s="190"/>
      <c r="AV396" s="190"/>
      <c r="AW396" s="190"/>
      <c r="AX396" s="190"/>
      <c r="AY396" s="190"/>
      <c r="AZ396" s="191"/>
      <c r="BA396" s="183"/>
      <c r="BB396" s="183"/>
      <c r="BC396" s="183"/>
      <c r="BD396" s="183"/>
      <c r="BE396" s="183"/>
      <c r="BF396" s="184"/>
      <c r="BG396" s="183"/>
      <c r="BH396" s="183"/>
      <c r="BI396" s="183"/>
      <c r="BJ396" s="183"/>
      <c r="BK396" s="183"/>
      <c r="BL396" s="184"/>
      <c r="BM396" s="409"/>
      <c r="BN396" s="409"/>
    </row>
    <row r="397" spans="1:66" s="153" customFormat="1" x14ac:dyDescent="0.2">
      <c r="A397" s="61"/>
      <c r="B397" s="61"/>
      <c r="C397" s="61"/>
      <c r="D397" s="61"/>
      <c r="E397" s="61"/>
      <c r="F397" s="61"/>
      <c r="G397" s="61"/>
      <c r="H397" s="61"/>
      <c r="I397" s="61"/>
      <c r="J397" s="61"/>
      <c r="K397" s="61"/>
      <c r="L397" s="61"/>
      <c r="M397" s="61"/>
      <c r="N397" s="61"/>
      <c r="O397" s="61"/>
      <c r="P397" s="61"/>
      <c r="Q397" s="61"/>
      <c r="R397" s="61"/>
      <c r="S397" s="61"/>
      <c r="T397" s="35"/>
      <c r="U397" s="187"/>
      <c r="V397" s="190"/>
      <c r="W397" s="190"/>
      <c r="X397" s="190"/>
      <c r="Y397" s="190"/>
      <c r="Z397" s="190"/>
      <c r="AA397" s="191"/>
      <c r="AB397" s="190"/>
      <c r="AC397" s="190"/>
      <c r="AD397" s="190"/>
      <c r="AE397" s="190"/>
      <c r="AF397" s="190"/>
      <c r="AG397" s="190"/>
      <c r="AH397" s="191"/>
      <c r="AI397" s="190"/>
      <c r="AJ397" s="190"/>
      <c r="AK397" s="190"/>
      <c r="AL397" s="190"/>
      <c r="AM397" s="190"/>
      <c r="AN397" s="191"/>
      <c r="AO397" s="190"/>
      <c r="AP397" s="190"/>
      <c r="AQ397" s="190"/>
      <c r="AR397" s="190"/>
      <c r="AS397" s="190"/>
      <c r="AT397" s="191"/>
      <c r="AU397" s="190"/>
      <c r="AV397" s="190"/>
      <c r="AW397" s="190"/>
      <c r="AX397" s="190"/>
      <c r="AY397" s="190"/>
      <c r="AZ397" s="191"/>
      <c r="BA397" s="183"/>
      <c r="BB397" s="183"/>
      <c r="BC397" s="183"/>
      <c r="BD397" s="183"/>
      <c r="BE397" s="183"/>
      <c r="BF397" s="184"/>
      <c r="BG397" s="183"/>
      <c r="BH397" s="183"/>
      <c r="BI397" s="183"/>
      <c r="BJ397" s="183"/>
      <c r="BK397" s="183"/>
      <c r="BL397" s="184"/>
      <c r="BM397" s="409"/>
      <c r="BN397" s="409"/>
    </row>
    <row r="398" spans="1:66" s="153" customFormat="1" x14ac:dyDescent="0.2">
      <c r="A398" s="61"/>
      <c r="B398" s="61"/>
      <c r="C398" s="61"/>
      <c r="D398" s="61"/>
      <c r="E398" s="61"/>
      <c r="F398" s="61"/>
      <c r="G398" s="61"/>
      <c r="H398" s="61"/>
      <c r="I398" s="61"/>
      <c r="J398" s="61"/>
      <c r="K398" s="61"/>
      <c r="L398" s="61"/>
      <c r="M398" s="61"/>
      <c r="N398" s="61"/>
      <c r="O398" s="61"/>
      <c r="P398" s="61"/>
      <c r="Q398" s="61"/>
      <c r="R398" s="61"/>
      <c r="S398" s="61"/>
      <c r="T398" s="35"/>
      <c r="U398" s="187"/>
      <c r="V398" s="190"/>
      <c r="W398" s="190"/>
      <c r="X398" s="190"/>
      <c r="Y398" s="190"/>
      <c r="Z398" s="190"/>
      <c r="AA398" s="191"/>
      <c r="AB398" s="190"/>
      <c r="AC398" s="190"/>
      <c r="AD398" s="190"/>
      <c r="AE398" s="190"/>
      <c r="AF398" s="190"/>
      <c r="AG398" s="190"/>
      <c r="AH398" s="191"/>
      <c r="AI398" s="190"/>
      <c r="AJ398" s="190"/>
      <c r="AK398" s="190"/>
      <c r="AL398" s="190"/>
      <c r="AM398" s="190"/>
      <c r="AN398" s="191"/>
      <c r="AO398" s="190"/>
      <c r="AP398" s="190"/>
      <c r="AQ398" s="190"/>
      <c r="AR398" s="190"/>
      <c r="AS398" s="190"/>
      <c r="AT398" s="191"/>
      <c r="AU398" s="190"/>
      <c r="AV398" s="190"/>
      <c r="AW398" s="190"/>
      <c r="AX398" s="190"/>
      <c r="AY398" s="190"/>
      <c r="AZ398" s="191"/>
      <c r="BA398" s="183"/>
      <c r="BB398" s="183"/>
      <c r="BC398" s="183"/>
      <c r="BD398" s="183"/>
      <c r="BE398" s="183"/>
      <c r="BF398" s="184"/>
      <c r="BG398" s="183"/>
      <c r="BH398" s="183"/>
      <c r="BI398" s="183"/>
      <c r="BJ398" s="183"/>
      <c r="BK398" s="183"/>
      <c r="BL398" s="184"/>
      <c r="BM398" s="409"/>
      <c r="BN398" s="409"/>
    </row>
    <row r="399" spans="1:66" s="153" customFormat="1" x14ac:dyDescent="0.2">
      <c r="A399" s="61"/>
      <c r="B399" s="61"/>
      <c r="C399" s="61"/>
      <c r="D399" s="61"/>
      <c r="E399" s="61"/>
      <c r="F399" s="61"/>
      <c r="G399" s="61"/>
      <c r="H399" s="61"/>
      <c r="I399" s="61"/>
      <c r="J399" s="61"/>
      <c r="K399" s="61"/>
      <c r="L399" s="61"/>
      <c r="M399" s="61"/>
      <c r="N399" s="61"/>
      <c r="O399" s="61"/>
      <c r="P399" s="61"/>
      <c r="Q399" s="61"/>
      <c r="R399" s="61"/>
      <c r="S399" s="61"/>
      <c r="T399" s="35"/>
      <c r="U399" s="187"/>
      <c r="V399" s="190"/>
      <c r="W399" s="190"/>
      <c r="X399" s="190"/>
      <c r="Y399" s="190"/>
      <c r="Z399" s="190"/>
      <c r="AA399" s="191"/>
      <c r="AB399" s="190"/>
      <c r="AC399" s="190"/>
      <c r="AD399" s="190"/>
      <c r="AE399" s="190"/>
      <c r="AF399" s="190"/>
      <c r="AG399" s="190"/>
      <c r="AH399" s="191"/>
      <c r="AI399" s="190"/>
      <c r="AJ399" s="190"/>
      <c r="AK399" s="190"/>
      <c r="AL399" s="190"/>
      <c r="AM399" s="190"/>
      <c r="AN399" s="191"/>
      <c r="AO399" s="190"/>
      <c r="AP399" s="190"/>
      <c r="AQ399" s="190"/>
      <c r="AR399" s="190"/>
      <c r="AS399" s="190"/>
      <c r="AT399" s="191"/>
      <c r="AU399" s="190"/>
      <c r="AV399" s="190"/>
      <c r="AW399" s="190"/>
      <c r="AX399" s="190"/>
      <c r="AY399" s="190"/>
      <c r="AZ399" s="191"/>
      <c r="BA399" s="183"/>
      <c r="BB399" s="183"/>
      <c r="BC399" s="183"/>
      <c r="BD399" s="183"/>
      <c r="BE399" s="183"/>
      <c r="BF399" s="184"/>
      <c r="BG399" s="183"/>
      <c r="BH399" s="183"/>
      <c r="BI399" s="183"/>
      <c r="BJ399" s="183"/>
      <c r="BK399" s="183"/>
      <c r="BL399" s="184"/>
      <c r="BM399" s="409"/>
      <c r="BN399" s="409"/>
    </row>
    <row r="400" spans="1:66" s="153" customFormat="1" x14ac:dyDescent="0.2">
      <c r="A400" s="61"/>
      <c r="B400" s="61"/>
      <c r="C400" s="61"/>
      <c r="D400" s="61"/>
      <c r="E400" s="61"/>
      <c r="F400" s="61"/>
      <c r="G400" s="61"/>
      <c r="H400" s="61"/>
      <c r="I400" s="61"/>
      <c r="J400" s="61"/>
      <c r="K400" s="61"/>
      <c r="L400" s="61"/>
      <c r="M400" s="61"/>
      <c r="N400" s="61"/>
      <c r="O400" s="61"/>
      <c r="P400" s="61"/>
      <c r="Q400" s="61"/>
      <c r="R400" s="61"/>
      <c r="S400" s="61"/>
      <c r="T400" s="35"/>
      <c r="U400" s="187"/>
      <c r="V400" s="190"/>
      <c r="W400" s="190"/>
      <c r="X400" s="190"/>
      <c r="Y400" s="190"/>
      <c r="Z400" s="190"/>
      <c r="AA400" s="191"/>
      <c r="AB400" s="190"/>
      <c r="AC400" s="190"/>
      <c r="AD400" s="190"/>
      <c r="AE400" s="190"/>
      <c r="AF400" s="190"/>
      <c r="AG400" s="190"/>
      <c r="AH400" s="191"/>
      <c r="AI400" s="190"/>
      <c r="AJ400" s="190"/>
      <c r="AK400" s="190"/>
      <c r="AL400" s="190"/>
      <c r="AM400" s="190"/>
      <c r="AN400" s="191"/>
      <c r="AO400" s="190"/>
      <c r="AP400" s="190"/>
      <c r="AQ400" s="190"/>
      <c r="AR400" s="190"/>
      <c r="AS400" s="190"/>
      <c r="AT400" s="191"/>
      <c r="AU400" s="190"/>
      <c r="AV400" s="190"/>
      <c r="AW400" s="190"/>
      <c r="AX400" s="190"/>
      <c r="AY400" s="190"/>
      <c r="AZ400" s="191"/>
      <c r="BA400" s="183"/>
      <c r="BB400" s="183"/>
      <c r="BC400" s="183"/>
      <c r="BD400" s="183"/>
      <c r="BE400" s="183"/>
      <c r="BF400" s="184"/>
      <c r="BG400" s="183"/>
      <c r="BH400" s="183"/>
      <c r="BI400" s="183"/>
      <c r="BJ400" s="183"/>
      <c r="BK400" s="183"/>
      <c r="BL400" s="184"/>
      <c r="BM400" s="409"/>
      <c r="BN400" s="409"/>
    </row>
    <row r="401" spans="1:66" s="153" customFormat="1" x14ac:dyDescent="0.2">
      <c r="A401" s="61"/>
      <c r="B401" s="61"/>
      <c r="C401" s="61"/>
      <c r="D401" s="61"/>
      <c r="E401" s="61"/>
      <c r="F401" s="61"/>
      <c r="G401" s="61"/>
      <c r="H401" s="61"/>
      <c r="I401" s="61"/>
      <c r="J401" s="61"/>
      <c r="K401" s="61"/>
      <c r="L401" s="61"/>
      <c r="M401" s="61"/>
      <c r="N401" s="61"/>
      <c r="O401" s="61"/>
      <c r="P401" s="61"/>
      <c r="Q401" s="61"/>
      <c r="R401" s="61"/>
      <c r="S401" s="61"/>
      <c r="T401" s="35"/>
      <c r="U401" s="187"/>
      <c r="V401" s="190"/>
      <c r="W401" s="190"/>
      <c r="X401" s="190"/>
      <c r="Y401" s="190"/>
      <c r="Z401" s="190"/>
      <c r="AA401" s="191"/>
      <c r="AB401" s="190"/>
      <c r="AC401" s="190"/>
      <c r="AD401" s="190"/>
      <c r="AE401" s="190"/>
      <c r="AF401" s="190"/>
      <c r="AG401" s="190"/>
      <c r="AH401" s="191"/>
      <c r="AI401" s="190"/>
      <c r="AJ401" s="190"/>
      <c r="AK401" s="190"/>
      <c r="AL401" s="190"/>
      <c r="AM401" s="190"/>
      <c r="AN401" s="191"/>
      <c r="AO401" s="190"/>
      <c r="AP401" s="190"/>
      <c r="AQ401" s="190"/>
      <c r="AR401" s="190"/>
      <c r="AS401" s="190"/>
      <c r="AT401" s="191"/>
      <c r="AU401" s="190"/>
      <c r="AV401" s="190"/>
      <c r="AW401" s="190"/>
      <c r="AX401" s="190"/>
      <c r="AY401" s="190"/>
      <c r="AZ401" s="191"/>
      <c r="BA401" s="183"/>
      <c r="BB401" s="183"/>
      <c r="BC401" s="183"/>
      <c r="BD401" s="183"/>
      <c r="BE401" s="183"/>
      <c r="BF401" s="184"/>
      <c r="BG401" s="183"/>
      <c r="BH401" s="183"/>
      <c r="BI401" s="183"/>
      <c r="BJ401" s="183"/>
      <c r="BK401" s="183"/>
      <c r="BL401" s="184"/>
      <c r="BM401" s="409"/>
      <c r="BN401" s="409"/>
    </row>
    <row r="402" spans="1:66" s="153" customFormat="1" x14ac:dyDescent="0.2">
      <c r="A402" s="61"/>
      <c r="B402" s="61"/>
      <c r="C402" s="61"/>
      <c r="D402" s="61"/>
      <c r="E402" s="61"/>
      <c r="F402" s="61"/>
      <c r="G402" s="61"/>
      <c r="H402" s="61"/>
      <c r="I402" s="61"/>
      <c r="J402" s="61"/>
      <c r="K402" s="61"/>
      <c r="L402" s="61"/>
      <c r="M402" s="61"/>
      <c r="N402" s="61"/>
      <c r="O402" s="61"/>
      <c r="P402" s="61"/>
      <c r="Q402" s="61"/>
      <c r="R402" s="61"/>
      <c r="S402" s="61"/>
      <c r="T402" s="35"/>
      <c r="U402" s="187"/>
      <c r="V402" s="190"/>
      <c r="W402" s="190"/>
      <c r="X402" s="190"/>
      <c r="Y402" s="190"/>
      <c r="Z402" s="190"/>
      <c r="AA402" s="191"/>
      <c r="AB402" s="190"/>
      <c r="AC402" s="190"/>
      <c r="AD402" s="190"/>
      <c r="AE402" s="190"/>
      <c r="AF402" s="190"/>
      <c r="AG402" s="190"/>
      <c r="AH402" s="191"/>
      <c r="AI402" s="190"/>
      <c r="AJ402" s="190"/>
      <c r="AK402" s="190"/>
      <c r="AL402" s="190"/>
      <c r="AM402" s="190"/>
      <c r="AN402" s="191"/>
      <c r="AO402" s="190"/>
      <c r="AP402" s="190"/>
      <c r="AQ402" s="190"/>
      <c r="AR402" s="190"/>
      <c r="AS402" s="190"/>
      <c r="AT402" s="191"/>
      <c r="AU402" s="190"/>
      <c r="AV402" s="190"/>
      <c r="AW402" s="190"/>
      <c r="AX402" s="190"/>
      <c r="AY402" s="190"/>
      <c r="AZ402" s="191"/>
      <c r="BA402" s="183"/>
      <c r="BB402" s="183"/>
      <c r="BC402" s="183"/>
      <c r="BD402" s="183"/>
      <c r="BE402" s="183"/>
      <c r="BF402" s="184"/>
      <c r="BG402" s="183"/>
      <c r="BH402" s="183"/>
      <c r="BI402" s="183"/>
      <c r="BJ402" s="183"/>
      <c r="BK402" s="183"/>
      <c r="BL402" s="184"/>
      <c r="BM402" s="409"/>
      <c r="BN402" s="409"/>
    </row>
    <row r="403" spans="1:66" s="153" customFormat="1" x14ac:dyDescent="0.2">
      <c r="A403" s="61"/>
      <c r="B403" s="61"/>
      <c r="C403" s="61"/>
      <c r="D403" s="61"/>
      <c r="E403" s="61"/>
      <c r="F403" s="61"/>
      <c r="G403" s="61"/>
      <c r="H403" s="61"/>
      <c r="I403" s="61"/>
      <c r="J403" s="61"/>
      <c r="K403" s="61"/>
      <c r="L403" s="61"/>
      <c r="M403" s="61"/>
      <c r="N403" s="61"/>
      <c r="O403" s="61"/>
      <c r="P403" s="61"/>
      <c r="Q403" s="61"/>
      <c r="R403" s="61"/>
      <c r="S403" s="61"/>
      <c r="T403" s="35"/>
      <c r="U403" s="187"/>
      <c r="V403" s="190"/>
      <c r="W403" s="190"/>
      <c r="X403" s="190"/>
      <c r="Y403" s="190"/>
      <c r="Z403" s="190"/>
      <c r="AA403" s="191"/>
      <c r="AB403" s="190"/>
      <c r="AC403" s="190"/>
      <c r="AD403" s="190"/>
      <c r="AE403" s="190"/>
      <c r="AF403" s="190"/>
      <c r="AG403" s="190"/>
      <c r="AH403" s="191"/>
      <c r="AI403" s="190"/>
      <c r="AJ403" s="190"/>
      <c r="AK403" s="190"/>
      <c r="AL403" s="190"/>
      <c r="AM403" s="190"/>
      <c r="AN403" s="191"/>
      <c r="AO403" s="190"/>
      <c r="AP403" s="190"/>
      <c r="AQ403" s="190"/>
      <c r="AR403" s="190"/>
      <c r="AS403" s="190"/>
      <c r="AT403" s="191"/>
      <c r="AU403" s="190"/>
      <c r="AV403" s="190"/>
      <c r="AW403" s="190"/>
      <c r="AX403" s="190"/>
      <c r="AY403" s="190"/>
      <c r="AZ403" s="191"/>
      <c r="BA403" s="183"/>
      <c r="BB403" s="183"/>
      <c r="BC403" s="183"/>
      <c r="BD403" s="183"/>
      <c r="BE403" s="183"/>
      <c r="BF403" s="184"/>
      <c r="BG403" s="183"/>
      <c r="BH403" s="183"/>
      <c r="BI403" s="183"/>
      <c r="BJ403" s="183"/>
      <c r="BK403" s="183"/>
      <c r="BL403" s="184"/>
      <c r="BM403" s="409"/>
      <c r="BN403" s="409"/>
    </row>
    <row r="404" spans="1:66" s="153" customFormat="1" x14ac:dyDescent="0.2">
      <c r="A404" s="61"/>
      <c r="B404" s="61"/>
      <c r="C404" s="61"/>
      <c r="D404" s="61"/>
      <c r="E404" s="61"/>
      <c r="F404" s="61"/>
      <c r="G404" s="61"/>
      <c r="H404" s="61"/>
      <c r="I404" s="61"/>
      <c r="J404" s="61"/>
      <c r="K404" s="61"/>
      <c r="L404" s="61"/>
      <c r="M404" s="61"/>
      <c r="N404" s="61"/>
      <c r="O404" s="61"/>
      <c r="P404" s="61"/>
      <c r="Q404" s="61"/>
      <c r="R404" s="61"/>
      <c r="S404" s="61"/>
      <c r="T404" s="35"/>
      <c r="U404" s="187"/>
      <c r="V404" s="190"/>
      <c r="W404" s="190"/>
      <c r="X404" s="190"/>
      <c r="Y404" s="190"/>
      <c r="Z404" s="190"/>
      <c r="AA404" s="191"/>
      <c r="AB404" s="190"/>
      <c r="AC404" s="190"/>
      <c r="AD404" s="190"/>
      <c r="AE404" s="190"/>
      <c r="AF404" s="190"/>
      <c r="AG404" s="190"/>
      <c r="AH404" s="191"/>
      <c r="AI404" s="190"/>
      <c r="AJ404" s="190"/>
      <c r="AK404" s="190"/>
      <c r="AL404" s="190"/>
      <c r="AM404" s="190"/>
      <c r="AN404" s="191"/>
      <c r="AO404" s="190"/>
      <c r="AP404" s="190"/>
      <c r="AQ404" s="190"/>
      <c r="AR404" s="190"/>
      <c r="AS404" s="190"/>
      <c r="AT404" s="191"/>
      <c r="AU404" s="190"/>
      <c r="AV404" s="190"/>
      <c r="AW404" s="190"/>
      <c r="AX404" s="190"/>
      <c r="AY404" s="190"/>
      <c r="AZ404" s="191"/>
      <c r="BA404" s="183"/>
      <c r="BB404" s="183"/>
      <c r="BC404" s="183"/>
      <c r="BD404" s="183"/>
      <c r="BE404" s="183"/>
      <c r="BF404" s="184"/>
      <c r="BG404" s="183"/>
      <c r="BH404" s="183"/>
      <c r="BI404" s="183"/>
      <c r="BJ404" s="183"/>
      <c r="BK404" s="183"/>
      <c r="BL404" s="184"/>
      <c r="BM404" s="409"/>
      <c r="BN404" s="409"/>
    </row>
    <row r="405" spans="1:66" s="153" customFormat="1" x14ac:dyDescent="0.2">
      <c r="A405" s="61"/>
      <c r="B405" s="61"/>
      <c r="C405" s="61"/>
      <c r="D405" s="61"/>
      <c r="E405" s="61"/>
      <c r="F405" s="61"/>
      <c r="G405" s="61"/>
      <c r="H405" s="61"/>
      <c r="I405" s="61"/>
      <c r="J405" s="61"/>
      <c r="K405" s="61"/>
      <c r="L405" s="61"/>
      <c r="M405" s="61"/>
      <c r="N405" s="61"/>
      <c r="O405" s="61"/>
      <c r="P405" s="61"/>
      <c r="Q405" s="61"/>
      <c r="R405" s="61"/>
      <c r="S405" s="61"/>
      <c r="T405" s="35"/>
      <c r="U405" s="187"/>
      <c r="V405" s="190"/>
      <c r="W405" s="190"/>
      <c r="X405" s="190"/>
      <c r="Y405" s="190"/>
      <c r="Z405" s="190"/>
      <c r="AA405" s="191"/>
      <c r="AB405" s="190"/>
      <c r="AC405" s="190"/>
      <c r="AD405" s="190"/>
      <c r="AE405" s="190"/>
      <c r="AF405" s="190"/>
      <c r="AG405" s="190"/>
      <c r="AH405" s="191"/>
      <c r="AI405" s="190"/>
      <c r="AJ405" s="190"/>
      <c r="AK405" s="190"/>
      <c r="AL405" s="190"/>
      <c r="AM405" s="190"/>
      <c r="AN405" s="191"/>
      <c r="AO405" s="190"/>
      <c r="AP405" s="190"/>
      <c r="AQ405" s="190"/>
      <c r="AR405" s="190"/>
      <c r="AS405" s="190"/>
      <c r="AT405" s="191"/>
      <c r="AU405" s="190"/>
      <c r="AV405" s="190"/>
      <c r="AW405" s="190"/>
      <c r="AX405" s="190"/>
      <c r="AY405" s="190"/>
      <c r="AZ405" s="191"/>
      <c r="BA405" s="183"/>
      <c r="BB405" s="183"/>
      <c r="BC405" s="183"/>
      <c r="BD405" s="183"/>
      <c r="BE405" s="183"/>
      <c r="BF405" s="184"/>
      <c r="BG405" s="183"/>
      <c r="BH405" s="183"/>
      <c r="BI405" s="183"/>
      <c r="BJ405" s="183"/>
      <c r="BK405" s="183"/>
      <c r="BL405" s="184"/>
      <c r="BM405" s="409"/>
      <c r="BN405" s="409"/>
    </row>
    <row r="406" spans="1:66" s="153" customFormat="1" x14ac:dyDescent="0.2">
      <c r="A406" s="61"/>
      <c r="B406" s="61"/>
      <c r="C406" s="61"/>
      <c r="D406" s="61"/>
      <c r="E406" s="61"/>
      <c r="F406" s="61"/>
      <c r="G406" s="61"/>
      <c r="H406" s="61"/>
      <c r="I406" s="61"/>
      <c r="J406" s="61"/>
      <c r="K406" s="61"/>
      <c r="L406" s="61"/>
      <c r="M406" s="61"/>
      <c r="N406" s="61"/>
      <c r="O406" s="61"/>
      <c r="P406" s="61"/>
      <c r="Q406" s="61"/>
      <c r="R406" s="61"/>
      <c r="S406" s="61"/>
      <c r="T406" s="35"/>
      <c r="U406" s="187"/>
      <c r="V406" s="190"/>
      <c r="W406" s="190"/>
      <c r="X406" s="190"/>
      <c r="Y406" s="190"/>
      <c r="Z406" s="190"/>
      <c r="AA406" s="191"/>
      <c r="AB406" s="190"/>
      <c r="AC406" s="190"/>
      <c r="AD406" s="190"/>
      <c r="AE406" s="190"/>
      <c r="AF406" s="190"/>
      <c r="AG406" s="190"/>
      <c r="AH406" s="191"/>
      <c r="AI406" s="190"/>
      <c r="AJ406" s="190"/>
      <c r="AK406" s="190"/>
      <c r="AL406" s="190"/>
      <c r="AM406" s="190"/>
      <c r="AN406" s="191"/>
      <c r="AO406" s="190"/>
      <c r="AP406" s="190"/>
      <c r="AQ406" s="190"/>
      <c r="AR406" s="190"/>
      <c r="AS406" s="190"/>
      <c r="AT406" s="191"/>
      <c r="AU406" s="190"/>
      <c r="AV406" s="190"/>
      <c r="AW406" s="190"/>
      <c r="AX406" s="190"/>
      <c r="AY406" s="190"/>
      <c r="AZ406" s="191"/>
      <c r="BA406" s="183"/>
      <c r="BB406" s="183"/>
      <c r="BC406" s="183"/>
      <c r="BD406" s="183"/>
      <c r="BE406" s="183"/>
      <c r="BF406" s="184"/>
      <c r="BG406" s="183"/>
      <c r="BH406" s="183"/>
      <c r="BI406" s="183"/>
      <c r="BJ406" s="183"/>
      <c r="BK406" s="183"/>
      <c r="BL406" s="184"/>
      <c r="BM406" s="409"/>
      <c r="BN406" s="409"/>
    </row>
    <row r="407" spans="1:66" s="153" customFormat="1" x14ac:dyDescent="0.2">
      <c r="A407" s="61"/>
      <c r="B407" s="61"/>
      <c r="C407" s="61"/>
      <c r="D407" s="61"/>
      <c r="E407" s="61"/>
      <c r="F407" s="61"/>
      <c r="G407" s="61"/>
      <c r="H407" s="61"/>
      <c r="I407" s="61"/>
      <c r="J407" s="61"/>
      <c r="K407" s="61"/>
      <c r="L407" s="61"/>
      <c r="M407" s="61"/>
      <c r="N407" s="61"/>
      <c r="O407" s="61"/>
      <c r="P407" s="61"/>
      <c r="Q407" s="61"/>
      <c r="R407" s="61"/>
      <c r="S407" s="61"/>
      <c r="T407" s="35"/>
      <c r="U407" s="187"/>
      <c r="V407" s="190"/>
      <c r="W407" s="190"/>
      <c r="X407" s="190"/>
      <c r="Y407" s="190"/>
      <c r="Z407" s="190"/>
      <c r="AA407" s="191"/>
      <c r="AB407" s="190"/>
      <c r="AC407" s="190"/>
      <c r="AD407" s="190"/>
      <c r="AE407" s="190"/>
      <c r="AF407" s="190"/>
      <c r="AG407" s="190"/>
      <c r="AH407" s="191"/>
      <c r="AI407" s="190"/>
      <c r="AJ407" s="190"/>
      <c r="AK407" s="190"/>
      <c r="AL407" s="190"/>
      <c r="AM407" s="190"/>
      <c r="AN407" s="191"/>
      <c r="AO407" s="190"/>
      <c r="AP407" s="190"/>
      <c r="AQ407" s="190"/>
      <c r="AR407" s="190"/>
      <c r="AS407" s="190"/>
      <c r="AT407" s="191"/>
      <c r="AU407" s="190"/>
      <c r="AV407" s="190"/>
      <c r="AW407" s="190"/>
      <c r="AX407" s="190"/>
      <c r="AY407" s="190"/>
      <c r="AZ407" s="191"/>
      <c r="BA407" s="183"/>
      <c r="BB407" s="183"/>
      <c r="BC407" s="183"/>
      <c r="BD407" s="183"/>
      <c r="BE407" s="183"/>
      <c r="BF407" s="184"/>
      <c r="BG407" s="183"/>
      <c r="BH407" s="183"/>
      <c r="BI407" s="183"/>
      <c r="BJ407" s="183"/>
      <c r="BK407" s="183"/>
      <c r="BL407" s="184"/>
      <c r="BM407" s="409"/>
      <c r="BN407" s="409"/>
    </row>
    <row r="408" spans="1:66" s="153" customFormat="1" x14ac:dyDescent="0.2">
      <c r="A408" s="61"/>
      <c r="B408" s="61"/>
      <c r="C408" s="61"/>
      <c r="D408" s="61"/>
      <c r="E408" s="61"/>
      <c r="F408" s="61"/>
      <c r="G408" s="61"/>
      <c r="H408" s="61"/>
      <c r="I408" s="61"/>
      <c r="J408" s="61"/>
      <c r="K408" s="61"/>
      <c r="L408" s="61"/>
      <c r="M408" s="61"/>
      <c r="N408" s="61"/>
      <c r="O408" s="61"/>
      <c r="P408" s="61"/>
      <c r="Q408" s="61"/>
      <c r="R408" s="61"/>
      <c r="S408" s="61"/>
      <c r="T408" s="35"/>
      <c r="U408" s="187"/>
      <c r="V408" s="190"/>
      <c r="W408" s="190"/>
      <c r="X408" s="190"/>
      <c r="Y408" s="190"/>
      <c r="Z408" s="190"/>
      <c r="AA408" s="191"/>
      <c r="AB408" s="190"/>
      <c r="AC408" s="190"/>
      <c r="AD408" s="190"/>
      <c r="AE408" s="190"/>
      <c r="AF408" s="190"/>
      <c r="AG408" s="190"/>
      <c r="AH408" s="191"/>
      <c r="AI408" s="190"/>
      <c r="AJ408" s="190"/>
      <c r="AK408" s="190"/>
      <c r="AL408" s="190"/>
      <c r="AM408" s="190"/>
      <c r="AN408" s="191"/>
      <c r="AO408" s="190"/>
      <c r="AP408" s="190"/>
      <c r="AQ408" s="190"/>
      <c r="AR408" s="190"/>
      <c r="AS408" s="190"/>
      <c r="AT408" s="191"/>
      <c r="AU408" s="190"/>
      <c r="AV408" s="190"/>
      <c r="AW408" s="190"/>
      <c r="AX408" s="190"/>
      <c r="AY408" s="190"/>
      <c r="AZ408" s="191"/>
      <c r="BA408" s="183"/>
      <c r="BB408" s="183"/>
      <c r="BC408" s="183"/>
      <c r="BD408" s="183"/>
      <c r="BE408" s="183"/>
      <c r="BF408" s="184"/>
      <c r="BG408" s="183"/>
      <c r="BH408" s="183"/>
      <c r="BI408" s="183"/>
      <c r="BJ408" s="183"/>
      <c r="BK408" s="183"/>
      <c r="BL408" s="184"/>
      <c r="BM408" s="409"/>
      <c r="BN408" s="409"/>
    </row>
    <row r="409" spans="1:66" s="153" customFormat="1" x14ac:dyDescent="0.2">
      <c r="A409" s="61"/>
      <c r="B409" s="61"/>
      <c r="C409" s="61"/>
      <c r="D409" s="61"/>
      <c r="E409" s="61"/>
      <c r="F409" s="61"/>
      <c r="G409" s="61"/>
      <c r="H409" s="61"/>
      <c r="I409" s="61"/>
      <c r="J409" s="61"/>
      <c r="K409" s="61"/>
      <c r="L409" s="61"/>
      <c r="M409" s="61"/>
      <c r="N409" s="61"/>
      <c r="O409" s="61"/>
      <c r="P409" s="61"/>
      <c r="Q409" s="61"/>
      <c r="R409" s="61"/>
      <c r="S409" s="61"/>
      <c r="T409" s="35"/>
      <c r="U409" s="187"/>
      <c r="V409" s="190"/>
      <c r="W409" s="190"/>
      <c r="X409" s="190"/>
      <c r="Y409" s="190"/>
      <c r="Z409" s="190"/>
      <c r="AA409" s="191"/>
      <c r="AB409" s="190"/>
      <c r="AC409" s="190"/>
      <c r="AD409" s="190"/>
      <c r="AE409" s="190"/>
      <c r="AF409" s="190"/>
      <c r="AG409" s="190"/>
      <c r="AH409" s="191"/>
      <c r="AI409" s="190"/>
      <c r="AJ409" s="190"/>
      <c r="AK409" s="190"/>
      <c r="AL409" s="190"/>
      <c r="AM409" s="190"/>
      <c r="AN409" s="191"/>
      <c r="AO409" s="190"/>
      <c r="AP409" s="190"/>
      <c r="AQ409" s="190"/>
      <c r="AR409" s="190"/>
      <c r="AS409" s="190"/>
      <c r="AT409" s="191"/>
      <c r="AU409" s="190"/>
      <c r="AV409" s="190"/>
      <c r="AW409" s="190"/>
      <c r="AX409" s="190"/>
      <c r="AY409" s="190"/>
      <c r="AZ409" s="191"/>
      <c r="BA409" s="183"/>
      <c r="BB409" s="183"/>
      <c r="BC409" s="183"/>
      <c r="BD409" s="183"/>
      <c r="BE409" s="183"/>
      <c r="BF409" s="184"/>
      <c r="BG409" s="183"/>
      <c r="BH409" s="183"/>
      <c r="BI409" s="183"/>
      <c r="BJ409" s="183"/>
      <c r="BK409" s="183"/>
      <c r="BL409" s="184"/>
      <c r="BM409" s="409"/>
      <c r="BN409" s="409"/>
    </row>
    <row r="410" spans="1:66" s="153" customFormat="1" x14ac:dyDescent="0.2">
      <c r="A410" s="61"/>
      <c r="B410" s="61"/>
      <c r="C410" s="61"/>
      <c r="D410" s="61"/>
      <c r="E410" s="61"/>
      <c r="F410" s="61"/>
      <c r="G410" s="61"/>
      <c r="H410" s="61"/>
      <c r="I410" s="61"/>
      <c r="J410" s="61"/>
      <c r="K410" s="61"/>
      <c r="L410" s="61"/>
      <c r="M410" s="61"/>
      <c r="N410" s="61"/>
      <c r="O410" s="61"/>
      <c r="P410" s="61"/>
      <c r="Q410" s="61"/>
      <c r="R410" s="61"/>
      <c r="S410" s="61"/>
      <c r="T410" s="35"/>
      <c r="U410" s="187"/>
      <c r="V410" s="190"/>
      <c r="W410" s="190"/>
      <c r="X410" s="190"/>
      <c r="Y410" s="190"/>
      <c r="Z410" s="190"/>
      <c r="AA410" s="191"/>
      <c r="AB410" s="190"/>
      <c r="AC410" s="190"/>
      <c r="AD410" s="190"/>
      <c r="AE410" s="190"/>
      <c r="AF410" s="190"/>
      <c r="AG410" s="190"/>
      <c r="AH410" s="191"/>
      <c r="AI410" s="190"/>
      <c r="AJ410" s="190"/>
      <c r="AK410" s="190"/>
      <c r="AL410" s="190"/>
      <c r="AM410" s="190"/>
      <c r="AN410" s="191"/>
      <c r="AO410" s="190"/>
      <c r="AP410" s="190"/>
      <c r="AQ410" s="190"/>
      <c r="AR410" s="190"/>
      <c r="AS410" s="190"/>
      <c r="AT410" s="191"/>
      <c r="AU410" s="190"/>
      <c r="AV410" s="190"/>
      <c r="AW410" s="190"/>
      <c r="AX410" s="190"/>
      <c r="AY410" s="190"/>
      <c r="AZ410" s="191"/>
      <c r="BA410" s="183"/>
      <c r="BB410" s="183"/>
      <c r="BC410" s="183"/>
      <c r="BD410" s="183"/>
      <c r="BE410" s="183"/>
      <c r="BF410" s="184"/>
      <c r="BG410" s="183"/>
      <c r="BH410" s="183"/>
      <c r="BI410" s="183"/>
      <c r="BJ410" s="183"/>
      <c r="BK410" s="183"/>
      <c r="BL410" s="184"/>
      <c r="BM410" s="409"/>
      <c r="BN410" s="409"/>
    </row>
    <row r="411" spans="1:66" s="153" customFormat="1" x14ac:dyDescent="0.2">
      <c r="A411" s="61"/>
      <c r="B411" s="61"/>
      <c r="C411" s="61"/>
      <c r="D411" s="61"/>
      <c r="E411" s="61"/>
      <c r="F411" s="61"/>
      <c r="G411" s="61"/>
      <c r="H411" s="61"/>
      <c r="I411" s="61"/>
      <c r="J411" s="61"/>
      <c r="K411" s="61"/>
      <c r="L411" s="61"/>
      <c r="M411" s="61"/>
      <c r="N411" s="61"/>
      <c r="O411" s="61"/>
      <c r="P411" s="61"/>
      <c r="Q411" s="61"/>
      <c r="R411" s="61"/>
      <c r="S411" s="61"/>
      <c r="T411" s="35"/>
      <c r="U411" s="187"/>
      <c r="V411" s="190"/>
      <c r="W411" s="190"/>
      <c r="X411" s="190"/>
      <c r="Y411" s="190"/>
      <c r="Z411" s="190"/>
      <c r="AA411" s="191"/>
      <c r="AB411" s="190"/>
      <c r="AC411" s="190"/>
      <c r="AD411" s="190"/>
      <c r="AE411" s="190"/>
      <c r="AF411" s="190"/>
      <c r="AG411" s="190"/>
      <c r="AH411" s="191"/>
      <c r="AI411" s="190"/>
      <c r="AJ411" s="190"/>
      <c r="AK411" s="190"/>
      <c r="AL411" s="190"/>
      <c r="AM411" s="190"/>
      <c r="AN411" s="191"/>
      <c r="AO411" s="190"/>
      <c r="AP411" s="190"/>
      <c r="AQ411" s="190"/>
      <c r="AR411" s="190"/>
      <c r="AS411" s="190"/>
      <c r="AT411" s="191"/>
      <c r="AU411" s="190"/>
      <c r="AV411" s="190"/>
      <c r="AW411" s="190"/>
      <c r="AX411" s="190"/>
      <c r="AY411" s="190"/>
      <c r="AZ411" s="191"/>
      <c r="BA411" s="183"/>
      <c r="BB411" s="183"/>
      <c r="BC411" s="183"/>
      <c r="BD411" s="183"/>
      <c r="BE411" s="183"/>
      <c r="BF411" s="184"/>
      <c r="BG411" s="183"/>
      <c r="BH411" s="183"/>
      <c r="BI411" s="183"/>
      <c r="BJ411" s="183"/>
      <c r="BK411" s="183"/>
      <c r="BL411" s="184"/>
      <c r="BM411" s="409"/>
      <c r="BN411" s="409"/>
    </row>
    <row r="412" spans="1:66" s="153" customFormat="1" x14ac:dyDescent="0.2">
      <c r="A412" s="61"/>
      <c r="B412" s="61"/>
      <c r="C412" s="61"/>
      <c r="D412" s="61"/>
      <c r="E412" s="61"/>
      <c r="F412" s="61"/>
      <c r="G412" s="61"/>
      <c r="H412" s="61"/>
      <c r="I412" s="61"/>
      <c r="J412" s="61"/>
      <c r="K412" s="61"/>
      <c r="L412" s="61"/>
      <c r="M412" s="61"/>
      <c r="N412" s="61"/>
      <c r="O412" s="61"/>
      <c r="P412" s="61"/>
      <c r="Q412" s="61"/>
      <c r="R412" s="61"/>
      <c r="S412" s="61"/>
      <c r="T412" s="35"/>
      <c r="U412" s="187"/>
      <c r="V412" s="190"/>
      <c r="W412" s="190"/>
      <c r="X412" s="190"/>
      <c r="Y412" s="190"/>
      <c r="Z412" s="190"/>
      <c r="AA412" s="191"/>
      <c r="AB412" s="190"/>
      <c r="AC412" s="190"/>
      <c r="AD412" s="190"/>
      <c r="AE412" s="190"/>
      <c r="AF412" s="190"/>
      <c r="AG412" s="190"/>
      <c r="AH412" s="191"/>
      <c r="AI412" s="190"/>
      <c r="AJ412" s="190"/>
      <c r="AK412" s="190"/>
      <c r="AL412" s="190"/>
      <c r="AM412" s="190"/>
      <c r="AN412" s="191"/>
      <c r="AO412" s="190"/>
      <c r="AP412" s="190"/>
      <c r="AQ412" s="190"/>
      <c r="AR412" s="190"/>
      <c r="AS412" s="190"/>
      <c r="AT412" s="191"/>
      <c r="AU412" s="190"/>
      <c r="AV412" s="190"/>
      <c r="AW412" s="190"/>
      <c r="AX412" s="190"/>
      <c r="AY412" s="190"/>
      <c r="AZ412" s="191"/>
      <c r="BA412" s="183"/>
      <c r="BB412" s="183"/>
      <c r="BC412" s="183"/>
      <c r="BD412" s="183"/>
      <c r="BE412" s="183"/>
      <c r="BF412" s="184"/>
      <c r="BG412" s="183"/>
      <c r="BH412" s="183"/>
      <c r="BI412" s="183"/>
      <c r="BJ412" s="183"/>
      <c r="BK412" s="183"/>
      <c r="BL412" s="184"/>
      <c r="BM412" s="409"/>
      <c r="BN412" s="409"/>
    </row>
    <row r="413" spans="1:66" s="153" customFormat="1" x14ac:dyDescent="0.2">
      <c r="A413" s="61"/>
      <c r="B413" s="61"/>
      <c r="C413" s="61"/>
      <c r="D413" s="61"/>
      <c r="E413" s="61"/>
      <c r="F413" s="61"/>
      <c r="G413" s="61"/>
      <c r="H413" s="61"/>
      <c r="I413" s="61"/>
      <c r="J413" s="61"/>
      <c r="K413" s="61"/>
      <c r="L413" s="61"/>
      <c r="M413" s="61"/>
      <c r="N413" s="61"/>
      <c r="O413" s="61"/>
      <c r="P413" s="61"/>
      <c r="Q413" s="61"/>
      <c r="R413" s="61"/>
      <c r="S413" s="61"/>
      <c r="T413" s="35"/>
      <c r="U413" s="187"/>
      <c r="V413" s="190"/>
      <c r="W413" s="190"/>
      <c r="X413" s="190"/>
      <c r="Y413" s="190"/>
      <c r="Z413" s="190"/>
      <c r="AA413" s="191"/>
      <c r="AB413" s="190"/>
      <c r="AC413" s="190"/>
      <c r="AD413" s="190"/>
      <c r="AE413" s="190"/>
      <c r="AF413" s="190"/>
      <c r="AG413" s="190"/>
      <c r="AH413" s="191"/>
      <c r="AI413" s="190"/>
      <c r="AJ413" s="190"/>
      <c r="AK413" s="190"/>
      <c r="AL413" s="190"/>
      <c r="AM413" s="190"/>
      <c r="AN413" s="191"/>
      <c r="AO413" s="190"/>
      <c r="AP413" s="190"/>
      <c r="AQ413" s="190"/>
      <c r="AR413" s="190"/>
      <c r="AS413" s="190"/>
      <c r="AT413" s="191"/>
      <c r="AU413" s="190"/>
      <c r="AV413" s="190"/>
      <c r="AW413" s="190"/>
      <c r="AX413" s="190"/>
      <c r="AY413" s="190"/>
      <c r="AZ413" s="191"/>
      <c r="BA413" s="183"/>
      <c r="BB413" s="183"/>
      <c r="BC413" s="183"/>
      <c r="BD413" s="183"/>
      <c r="BE413" s="183"/>
      <c r="BF413" s="184"/>
      <c r="BG413" s="183"/>
      <c r="BH413" s="183"/>
      <c r="BI413" s="183"/>
      <c r="BJ413" s="183"/>
      <c r="BK413" s="183"/>
      <c r="BL413" s="184"/>
      <c r="BM413" s="409"/>
      <c r="BN413" s="409"/>
    </row>
    <row r="414" spans="1:66" s="153" customFormat="1" x14ac:dyDescent="0.2">
      <c r="A414" s="61"/>
      <c r="B414" s="61"/>
      <c r="C414" s="61"/>
      <c r="D414" s="61"/>
      <c r="E414" s="61"/>
      <c r="F414" s="61"/>
      <c r="G414" s="61"/>
      <c r="H414" s="61"/>
      <c r="I414" s="61"/>
      <c r="J414" s="61"/>
      <c r="K414" s="61"/>
      <c r="L414" s="61"/>
      <c r="M414" s="61"/>
      <c r="N414" s="61"/>
      <c r="O414" s="61"/>
      <c r="P414" s="61"/>
      <c r="Q414" s="61"/>
      <c r="R414" s="61"/>
      <c r="S414" s="61"/>
      <c r="T414" s="35"/>
      <c r="U414" s="187"/>
      <c r="V414" s="190"/>
      <c r="W414" s="190"/>
      <c r="X414" s="190"/>
      <c r="Y414" s="190"/>
      <c r="Z414" s="190"/>
      <c r="AA414" s="191"/>
      <c r="AB414" s="190"/>
      <c r="AC414" s="190"/>
      <c r="AD414" s="190"/>
      <c r="AE414" s="190"/>
      <c r="AF414" s="190"/>
      <c r="AG414" s="190"/>
      <c r="AH414" s="191"/>
      <c r="AI414" s="190"/>
      <c r="AJ414" s="190"/>
      <c r="AK414" s="190"/>
      <c r="AL414" s="190"/>
      <c r="AM414" s="190"/>
      <c r="AN414" s="191"/>
      <c r="AO414" s="190"/>
      <c r="AP414" s="190"/>
      <c r="AQ414" s="190"/>
      <c r="AR414" s="190"/>
      <c r="AS414" s="190"/>
      <c r="AT414" s="191"/>
      <c r="AU414" s="190"/>
      <c r="AV414" s="190"/>
      <c r="AW414" s="190"/>
      <c r="AX414" s="190"/>
      <c r="AY414" s="190"/>
      <c r="AZ414" s="191"/>
      <c r="BA414" s="183"/>
      <c r="BB414" s="183"/>
      <c r="BC414" s="183"/>
      <c r="BD414" s="183"/>
      <c r="BE414" s="183"/>
      <c r="BF414" s="184"/>
      <c r="BG414" s="183"/>
      <c r="BH414" s="183"/>
      <c r="BI414" s="183"/>
      <c r="BJ414" s="183"/>
      <c r="BK414" s="183"/>
      <c r="BL414" s="184"/>
      <c r="BM414" s="409"/>
      <c r="BN414" s="409"/>
    </row>
    <row r="415" spans="1:66" s="153" customFormat="1" x14ac:dyDescent="0.2">
      <c r="A415" s="61"/>
      <c r="B415" s="61"/>
      <c r="C415" s="61"/>
      <c r="D415" s="61"/>
      <c r="E415" s="61"/>
      <c r="F415" s="61"/>
      <c r="G415" s="61"/>
      <c r="H415" s="61"/>
      <c r="I415" s="61"/>
      <c r="J415" s="61"/>
      <c r="K415" s="61"/>
      <c r="L415" s="61"/>
      <c r="M415" s="61"/>
      <c r="N415" s="61"/>
      <c r="O415" s="61"/>
      <c r="P415" s="61"/>
      <c r="Q415" s="61"/>
      <c r="R415" s="61"/>
      <c r="S415" s="61"/>
      <c r="T415" s="35"/>
      <c r="U415" s="187"/>
      <c r="V415" s="190"/>
      <c r="W415" s="190"/>
      <c r="X415" s="190"/>
      <c r="Y415" s="190"/>
      <c r="Z415" s="190"/>
      <c r="AA415" s="191"/>
      <c r="AB415" s="190"/>
      <c r="AC415" s="190"/>
      <c r="AD415" s="190"/>
      <c r="AE415" s="190"/>
      <c r="AF415" s="190"/>
      <c r="AG415" s="190"/>
      <c r="AH415" s="191"/>
      <c r="AI415" s="190"/>
      <c r="AJ415" s="190"/>
      <c r="AK415" s="190"/>
      <c r="AL415" s="190"/>
      <c r="AM415" s="190"/>
      <c r="AN415" s="191"/>
      <c r="AO415" s="190"/>
      <c r="AP415" s="190"/>
      <c r="AQ415" s="190"/>
      <c r="AR415" s="190"/>
      <c r="AS415" s="190"/>
      <c r="AT415" s="191"/>
      <c r="AU415" s="190"/>
      <c r="AV415" s="190"/>
      <c r="AW415" s="190"/>
      <c r="AX415" s="190"/>
      <c r="AY415" s="190"/>
      <c r="AZ415" s="191"/>
      <c r="BA415" s="183"/>
      <c r="BB415" s="183"/>
      <c r="BC415" s="183"/>
      <c r="BD415" s="183"/>
      <c r="BE415" s="183"/>
      <c r="BF415" s="184"/>
      <c r="BG415" s="183"/>
      <c r="BH415" s="183"/>
      <c r="BI415" s="183"/>
      <c r="BJ415" s="183"/>
      <c r="BK415" s="183"/>
      <c r="BL415" s="184"/>
      <c r="BM415" s="409"/>
      <c r="BN415" s="409"/>
    </row>
    <row r="416" spans="1:66" s="153" customFormat="1" x14ac:dyDescent="0.2">
      <c r="A416" s="61"/>
      <c r="B416" s="61"/>
      <c r="C416" s="61"/>
      <c r="D416" s="61"/>
      <c r="E416" s="61"/>
      <c r="F416" s="61"/>
      <c r="G416" s="61"/>
      <c r="H416" s="61"/>
      <c r="I416" s="61"/>
      <c r="J416" s="61"/>
      <c r="K416" s="61"/>
      <c r="L416" s="61"/>
      <c r="M416" s="61"/>
      <c r="N416" s="61"/>
      <c r="O416" s="61"/>
      <c r="P416" s="61"/>
      <c r="Q416" s="61"/>
      <c r="R416" s="61"/>
      <c r="S416" s="61"/>
      <c r="T416" s="35"/>
      <c r="U416" s="187"/>
      <c r="V416" s="190"/>
      <c r="W416" s="190"/>
      <c r="X416" s="190"/>
      <c r="Y416" s="190"/>
      <c r="Z416" s="190"/>
      <c r="AA416" s="191"/>
      <c r="AB416" s="190"/>
      <c r="AC416" s="190"/>
      <c r="AD416" s="190"/>
      <c r="AE416" s="190"/>
      <c r="AF416" s="190"/>
      <c r="AG416" s="190"/>
      <c r="AH416" s="191"/>
      <c r="AI416" s="190"/>
      <c r="AJ416" s="190"/>
      <c r="AK416" s="190"/>
      <c r="AL416" s="190"/>
      <c r="AM416" s="190"/>
      <c r="AN416" s="191"/>
      <c r="AO416" s="190"/>
      <c r="AP416" s="190"/>
      <c r="AQ416" s="190"/>
      <c r="AR416" s="190"/>
      <c r="AS416" s="190"/>
      <c r="AT416" s="191"/>
      <c r="AU416" s="190"/>
      <c r="AV416" s="190"/>
      <c r="AW416" s="190"/>
      <c r="AX416" s="190"/>
      <c r="AY416" s="190"/>
      <c r="AZ416" s="191"/>
      <c r="BA416" s="183"/>
      <c r="BB416" s="183"/>
      <c r="BC416" s="183"/>
      <c r="BD416" s="183"/>
      <c r="BE416" s="183"/>
      <c r="BF416" s="184"/>
      <c r="BG416" s="183"/>
      <c r="BH416" s="183"/>
      <c r="BI416" s="183"/>
      <c r="BJ416" s="183"/>
      <c r="BK416" s="183"/>
      <c r="BL416" s="184"/>
      <c r="BM416" s="409"/>
      <c r="BN416" s="409"/>
    </row>
    <row r="417" spans="1:66" s="153" customFormat="1" x14ac:dyDescent="0.2">
      <c r="A417" s="61"/>
      <c r="B417" s="61"/>
      <c r="C417" s="61"/>
      <c r="D417" s="61"/>
      <c r="E417" s="61"/>
      <c r="F417" s="61"/>
      <c r="G417" s="61"/>
      <c r="H417" s="61"/>
      <c r="I417" s="61"/>
      <c r="J417" s="61"/>
      <c r="K417" s="61"/>
      <c r="L417" s="61"/>
      <c r="M417" s="61"/>
      <c r="N417" s="61"/>
      <c r="O417" s="61"/>
      <c r="P417" s="61"/>
      <c r="Q417" s="61"/>
      <c r="R417" s="61"/>
      <c r="S417" s="61"/>
      <c r="T417" s="35"/>
      <c r="U417" s="187"/>
      <c r="V417" s="190"/>
      <c r="W417" s="190"/>
      <c r="X417" s="190"/>
      <c r="Y417" s="190"/>
      <c r="Z417" s="190"/>
      <c r="AA417" s="191"/>
      <c r="AB417" s="190"/>
      <c r="AC417" s="190"/>
      <c r="AD417" s="190"/>
      <c r="AE417" s="190"/>
      <c r="AF417" s="190"/>
      <c r="AG417" s="190"/>
      <c r="AH417" s="191"/>
      <c r="AI417" s="190"/>
      <c r="AJ417" s="190"/>
      <c r="AK417" s="190"/>
      <c r="AL417" s="190"/>
      <c r="AM417" s="190"/>
      <c r="AN417" s="191"/>
      <c r="AO417" s="190"/>
      <c r="AP417" s="190"/>
      <c r="AQ417" s="190"/>
      <c r="AR417" s="190"/>
      <c r="AS417" s="190"/>
      <c r="AT417" s="191"/>
      <c r="AU417" s="190"/>
      <c r="AV417" s="190"/>
      <c r="AW417" s="190"/>
      <c r="AX417" s="190"/>
      <c r="AY417" s="190"/>
      <c r="AZ417" s="191"/>
      <c r="BA417" s="183"/>
      <c r="BB417" s="183"/>
      <c r="BC417" s="183"/>
      <c r="BD417" s="183"/>
      <c r="BE417" s="183"/>
      <c r="BF417" s="184"/>
      <c r="BG417" s="183"/>
      <c r="BH417" s="183"/>
      <c r="BI417" s="183"/>
      <c r="BJ417" s="183"/>
      <c r="BK417" s="183"/>
      <c r="BL417" s="184"/>
      <c r="BM417" s="409"/>
      <c r="BN417" s="409"/>
    </row>
    <row r="418" spans="1:66" s="153" customFormat="1" x14ac:dyDescent="0.2">
      <c r="A418" s="61"/>
      <c r="B418" s="61"/>
      <c r="C418" s="61"/>
      <c r="D418" s="61"/>
      <c r="E418" s="61"/>
      <c r="F418" s="61"/>
      <c r="G418" s="61"/>
      <c r="H418" s="61"/>
      <c r="I418" s="61"/>
      <c r="J418" s="61"/>
      <c r="K418" s="61"/>
      <c r="L418" s="61"/>
      <c r="M418" s="61"/>
      <c r="N418" s="61"/>
      <c r="O418" s="61"/>
      <c r="P418" s="61"/>
      <c r="Q418" s="61"/>
      <c r="R418" s="61"/>
      <c r="S418" s="61"/>
      <c r="T418" s="35"/>
      <c r="U418" s="187"/>
      <c r="V418" s="190"/>
      <c r="W418" s="190"/>
      <c r="X418" s="190"/>
      <c r="Y418" s="190"/>
      <c r="Z418" s="190"/>
      <c r="AA418" s="191"/>
      <c r="AB418" s="190"/>
      <c r="AC418" s="190"/>
      <c r="AD418" s="190"/>
      <c r="AE418" s="190"/>
      <c r="AF418" s="190"/>
      <c r="AG418" s="190"/>
      <c r="AH418" s="191"/>
      <c r="AI418" s="190"/>
      <c r="AJ418" s="190"/>
      <c r="AK418" s="190"/>
      <c r="AL418" s="190"/>
      <c r="AM418" s="190"/>
      <c r="AN418" s="191"/>
      <c r="AO418" s="190"/>
      <c r="AP418" s="190"/>
      <c r="AQ418" s="190"/>
      <c r="AR418" s="190"/>
      <c r="AS418" s="190"/>
      <c r="AT418" s="191"/>
      <c r="AU418" s="190"/>
      <c r="AV418" s="190"/>
      <c r="AW418" s="190"/>
      <c r="AX418" s="190"/>
      <c r="AY418" s="190"/>
      <c r="AZ418" s="191"/>
      <c r="BA418" s="183"/>
      <c r="BB418" s="183"/>
      <c r="BC418" s="183"/>
      <c r="BD418" s="183"/>
      <c r="BE418" s="183"/>
      <c r="BF418" s="184"/>
      <c r="BG418" s="183"/>
      <c r="BH418" s="183"/>
      <c r="BI418" s="183"/>
      <c r="BJ418" s="183"/>
      <c r="BK418" s="183"/>
      <c r="BL418" s="184"/>
      <c r="BM418" s="409"/>
      <c r="BN418" s="409"/>
    </row>
    <row r="419" spans="1:66" s="153" customFormat="1" x14ac:dyDescent="0.2">
      <c r="A419" s="61"/>
      <c r="B419" s="61"/>
      <c r="C419" s="61"/>
      <c r="D419" s="61"/>
      <c r="E419" s="61"/>
      <c r="F419" s="61"/>
      <c r="G419" s="61"/>
      <c r="H419" s="61"/>
      <c r="I419" s="61"/>
      <c r="J419" s="61"/>
      <c r="K419" s="61"/>
      <c r="L419" s="61"/>
      <c r="M419" s="61"/>
      <c r="N419" s="61"/>
      <c r="O419" s="61"/>
      <c r="P419" s="61"/>
      <c r="Q419" s="61"/>
      <c r="R419" s="61"/>
      <c r="S419" s="61"/>
      <c r="T419" s="35"/>
      <c r="U419" s="187"/>
      <c r="V419" s="190"/>
      <c r="W419" s="190"/>
      <c r="X419" s="190"/>
      <c r="Y419" s="190"/>
      <c r="Z419" s="190"/>
      <c r="AA419" s="191"/>
      <c r="AB419" s="190"/>
      <c r="AC419" s="190"/>
      <c r="AD419" s="190"/>
      <c r="AE419" s="190"/>
      <c r="AF419" s="190"/>
      <c r="AG419" s="190"/>
      <c r="AH419" s="191"/>
      <c r="AI419" s="190"/>
      <c r="AJ419" s="190"/>
      <c r="AK419" s="190"/>
      <c r="AL419" s="190"/>
      <c r="AM419" s="190"/>
      <c r="AN419" s="191"/>
      <c r="AO419" s="190"/>
      <c r="AP419" s="190"/>
      <c r="AQ419" s="190"/>
      <c r="AR419" s="190"/>
      <c r="AS419" s="190"/>
      <c r="AT419" s="191"/>
      <c r="AU419" s="190"/>
      <c r="AV419" s="190"/>
      <c r="AW419" s="190"/>
      <c r="AX419" s="190"/>
      <c r="AY419" s="190"/>
      <c r="AZ419" s="191"/>
      <c r="BA419" s="183"/>
      <c r="BB419" s="183"/>
      <c r="BC419" s="183"/>
      <c r="BD419" s="183"/>
      <c r="BE419" s="183"/>
      <c r="BF419" s="184"/>
      <c r="BG419" s="183"/>
      <c r="BH419" s="183"/>
      <c r="BI419" s="183"/>
      <c r="BJ419" s="183"/>
      <c r="BK419" s="183"/>
      <c r="BL419" s="184"/>
      <c r="BM419" s="409"/>
      <c r="BN419" s="409"/>
    </row>
    <row r="420" spans="1:66" s="153" customFormat="1" x14ac:dyDescent="0.2">
      <c r="A420" s="61"/>
      <c r="B420" s="61"/>
      <c r="C420" s="61"/>
      <c r="D420" s="61"/>
      <c r="E420" s="61"/>
      <c r="F420" s="61"/>
      <c r="G420" s="61"/>
      <c r="H420" s="61"/>
      <c r="I420" s="61"/>
      <c r="J420" s="61"/>
      <c r="K420" s="61"/>
      <c r="L420" s="61"/>
      <c r="M420" s="61"/>
      <c r="N420" s="61"/>
      <c r="O420" s="61"/>
      <c r="P420" s="61"/>
      <c r="Q420" s="61"/>
      <c r="R420" s="61"/>
      <c r="S420" s="61"/>
      <c r="T420" s="35"/>
      <c r="U420" s="187"/>
      <c r="V420" s="190"/>
      <c r="W420" s="190"/>
      <c r="X420" s="190"/>
      <c r="Y420" s="190"/>
      <c r="Z420" s="190"/>
      <c r="AA420" s="191"/>
      <c r="AB420" s="190"/>
      <c r="AC420" s="190"/>
      <c r="AD420" s="190"/>
      <c r="AE420" s="190"/>
      <c r="AF420" s="190"/>
      <c r="AG420" s="190"/>
      <c r="AH420" s="191"/>
      <c r="AI420" s="190"/>
      <c r="AJ420" s="190"/>
      <c r="AK420" s="190"/>
      <c r="AL420" s="190"/>
      <c r="AM420" s="190"/>
      <c r="AN420" s="191"/>
      <c r="AO420" s="190"/>
      <c r="AP420" s="190"/>
      <c r="AQ420" s="190"/>
      <c r="AR420" s="190"/>
      <c r="AS420" s="190"/>
      <c r="AT420" s="191"/>
      <c r="AU420" s="190"/>
      <c r="AV420" s="190"/>
      <c r="AW420" s="190"/>
      <c r="AX420" s="190"/>
      <c r="AY420" s="190"/>
      <c r="AZ420" s="191"/>
      <c r="BA420" s="183"/>
      <c r="BB420" s="183"/>
      <c r="BC420" s="183"/>
      <c r="BD420" s="183"/>
      <c r="BE420" s="183"/>
      <c r="BF420" s="184"/>
      <c r="BG420" s="183"/>
      <c r="BH420" s="183"/>
      <c r="BI420" s="183"/>
      <c r="BJ420" s="183"/>
      <c r="BK420" s="183"/>
      <c r="BL420" s="184"/>
      <c r="BM420" s="409"/>
      <c r="BN420" s="409"/>
    </row>
    <row r="421" spans="1:66" s="153" customFormat="1" x14ac:dyDescent="0.2">
      <c r="A421" s="61"/>
      <c r="B421" s="61"/>
      <c r="C421" s="61"/>
      <c r="D421" s="61"/>
      <c r="E421" s="61"/>
      <c r="F421" s="61"/>
      <c r="G421" s="61"/>
      <c r="H421" s="61"/>
      <c r="I421" s="61"/>
      <c r="J421" s="61"/>
      <c r="K421" s="61"/>
      <c r="L421" s="61"/>
      <c r="M421" s="61"/>
      <c r="N421" s="61"/>
      <c r="O421" s="61"/>
      <c r="P421" s="61"/>
      <c r="Q421" s="61"/>
      <c r="R421" s="61"/>
      <c r="S421" s="61"/>
      <c r="T421" s="35"/>
      <c r="U421" s="187"/>
      <c r="V421" s="190"/>
      <c r="W421" s="190"/>
      <c r="X421" s="190"/>
      <c r="Y421" s="190"/>
      <c r="Z421" s="190"/>
      <c r="AA421" s="191"/>
      <c r="AB421" s="190"/>
      <c r="AC421" s="190"/>
      <c r="AD421" s="190"/>
      <c r="AE421" s="190"/>
      <c r="AF421" s="190"/>
      <c r="AG421" s="190"/>
      <c r="AH421" s="191"/>
      <c r="AI421" s="190"/>
      <c r="AJ421" s="190"/>
      <c r="AK421" s="190"/>
      <c r="AL421" s="190"/>
      <c r="AM421" s="190"/>
      <c r="AN421" s="191"/>
      <c r="AO421" s="190"/>
      <c r="AP421" s="190"/>
      <c r="AQ421" s="190"/>
      <c r="AR421" s="190"/>
      <c r="AS421" s="190"/>
      <c r="AT421" s="191"/>
      <c r="AU421" s="190"/>
      <c r="AV421" s="190"/>
      <c r="AW421" s="190"/>
      <c r="AX421" s="190"/>
      <c r="AY421" s="190"/>
      <c r="AZ421" s="191"/>
      <c r="BA421" s="183"/>
      <c r="BB421" s="183"/>
      <c r="BC421" s="183"/>
      <c r="BD421" s="183"/>
      <c r="BE421" s="183"/>
      <c r="BF421" s="184"/>
      <c r="BG421" s="183"/>
      <c r="BH421" s="183"/>
      <c r="BI421" s="183"/>
      <c r="BJ421" s="183"/>
      <c r="BK421" s="183"/>
      <c r="BL421" s="184"/>
      <c r="BM421" s="409"/>
      <c r="BN421" s="409"/>
    </row>
    <row r="422" spans="1:66" s="153" customFormat="1" x14ac:dyDescent="0.2">
      <c r="A422" s="61"/>
      <c r="B422" s="61"/>
      <c r="C422" s="61"/>
      <c r="D422" s="61"/>
      <c r="E422" s="61"/>
      <c r="F422" s="61"/>
      <c r="G422" s="61"/>
      <c r="H422" s="61"/>
      <c r="I422" s="61"/>
      <c r="J422" s="61"/>
      <c r="K422" s="61"/>
      <c r="L422" s="61"/>
      <c r="M422" s="61"/>
      <c r="N422" s="61"/>
      <c r="O422" s="61"/>
      <c r="P422" s="61"/>
      <c r="Q422" s="61"/>
      <c r="R422" s="61"/>
      <c r="S422" s="61"/>
      <c r="T422" s="35"/>
      <c r="U422" s="187"/>
      <c r="V422" s="190"/>
      <c r="W422" s="190"/>
      <c r="X422" s="190"/>
      <c r="Y422" s="190"/>
      <c r="Z422" s="190"/>
      <c r="AA422" s="191"/>
      <c r="AB422" s="190"/>
      <c r="AC422" s="190"/>
      <c r="AD422" s="190"/>
      <c r="AE422" s="190"/>
      <c r="AF422" s="190"/>
      <c r="AG422" s="190"/>
      <c r="AH422" s="191"/>
      <c r="AI422" s="190"/>
      <c r="AJ422" s="190"/>
      <c r="AK422" s="190"/>
      <c r="AL422" s="190"/>
      <c r="AM422" s="190"/>
      <c r="AN422" s="191"/>
      <c r="AO422" s="190"/>
      <c r="AP422" s="190"/>
      <c r="AQ422" s="190"/>
      <c r="AR422" s="190"/>
      <c r="AS422" s="190"/>
      <c r="AT422" s="191"/>
      <c r="AU422" s="190"/>
      <c r="AV422" s="190"/>
      <c r="AW422" s="190"/>
      <c r="AX422" s="190"/>
      <c r="AY422" s="190"/>
      <c r="AZ422" s="191"/>
      <c r="BA422" s="183"/>
      <c r="BB422" s="183"/>
      <c r="BC422" s="183"/>
      <c r="BD422" s="183"/>
      <c r="BE422" s="183"/>
      <c r="BF422" s="184"/>
      <c r="BG422" s="183"/>
      <c r="BH422" s="183"/>
      <c r="BI422" s="183"/>
      <c r="BJ422" s="183"/>
      <c r="BK422" s="183"/>
      <c r="BL422" s="184"/>
      <c r="BM422" s="409"/>
      <c r="BN422" s="409"/>
    </row>
    <row r="423" spans="1:66" s="153" customFormat="1" x14ac:dyDescent="0.2">
      <c r="A423" s="61"/>
      <c r="B423" s="61"/>
      <c r="C423" s="61"/>
      <c r="D423" s="61"/>
      <c r="E423" s="61"/>
      <c r="F423" s="61"/>
      <c r="G423" s="61"/>
      <c r="H423" s="61"/>
      <c r="I423" s="61"/>
      <c r="J423" s="61"/>
      <c r="K423" s="61"/>
      <c r="L423" s="61"/>
      <c r="M423" s="61"/>
      <c r="N423" s="61"/>
      <c r="O423" s="61"/>
      <c r="P423" s="61"/>
      <c r="Q423" s="61"/>
      <c r="R423" s="61"/>
      <c r="S423" s="61"/>
      <c r="T423" s="35"/>
      <c r="U423" s="187"/>
      <c r="V423" s="190"/>
      <c r="W423" s="190"/>
      <c r="X423" s="190"/>
      <c r="Y423" s="190"/>
      <c r="Z423" s="190"/>
      <c r="AA423" s="191"/>
      <c r="AB423" s="190"/>
      <c r="AC423" s="190"/>
      <c r="AD423" s="190"/>
      <c r="AE423" s="190"/>
      <c r="AF423" s="190"/>
      <c r="AG423" s="190"/>
      <c r="AH423" s="191"/>
      <c r="AI423" s="190"/>
      <c r="AJ423" s="190"/>
      <c r="AK423" s="190"/>
      <c r="AL423" s="190"/>
      <c r="AM423" s="190"/>
      <c r="AN423" s="191"/>
      <c r="AO423" s="190"/>
      <c r="AP423" s="190"/>
      <c r="AQ423" s="190"/>
      <c r="AR423" s="190"/>
      <c r="AS423" s="190"/>
      <c r="AT423" s="191"/>
      <c r="AU423" s="190"/>
      <c r="AV423" s="190"/>
      <c r="AW423" s="190"/>
      <c r="AX423" s="190"/>
      <c r="AY423" s="190"/>
      <c r="AZ423" s="191"/>
      <c r="BA423" s="183"/>
      <c r="BB423" s="183"/>
      <c r="BC423" s="183"/>
      <c r="BD423" s="183"/>
      <c r="BE423" s="183"/>
      <c r="BF423" s="184"/>
      <c r="BG423" s="183"/>
      <c r="BH423" s="183"/>
      <c r="BI423" s="183"/>
      <c r="BJ423" s="183"/>
      <c r="BK423" s="183"/>
      <c r="BL423" s="184"/>
      <c r="BM423" s="409"/>
      <c r="BN423" s="409"/>
    </row>
    <row r="424" spans="1:66" s="153" customFormat="1" x14ac:dyDescent="0.2">
      <c r="A424" s="61"/>
      <c r="B424" s="61"/>
      <c r="C424" s="61"/>
      <c r="D424" s="61"/>
      <c r="E424" s="61"/>
      <c r="F424" s="61"/>
      <c r="G424" s="61"/>
      <c r="H424" s="61"/>
      <c r="I424" s="61"/>
      <c r="J424" s="61"/>
      <c r="K424" s="61"/>
      <c r="L424" s="61"/>
      <c r="M424" s="61"/>
      <c r="N424" s="61"/>
      <c r="O424" s="61"/>
      <c r="P424" s="61"/>
      <c r="Q424" s="61"/>
      <c r="R424" s="61"/>
      <c r="S424" s="61"/>
      <c r="T424" s="35"/>
      <c r="U424" s="187"/>
      <c r="V424" s="190"/>
      <c r="W424" s="190"/>
      <c r="X424" s="190"/>
      <c r="Y424" s="190"/>
      <c r="Z424" s="190"/>
      <c r="AA424" s="191"/>
      <c r="AB424" s="190"/>
      <c r="AC424" s="190"/>
      <c r="AD424" s="190"/>
      <c r="AE424" s="190"/>
      <c r="AF424" s="190"/>
      <c r="AG424" s="190"/>
      <c r="AH424" s="191"/>
      <c r="AI424" s="190"/>
      <c r="AJ424" s="190"/>
      <c r="AK424" s="190"/>
      <c r="AL424" s="190"/>
      <c r="AM424" s="190"/>
      <c r="AN424" s="191"/>
      <c r="AO424" s="190"/>
      <c r="AP424" s="190"/>
      <c r="AQ424" s="190"/>
      <c r="AR424" s="190"/>
      <c r="AS424" s="190"/>
      <c r="AT424" s="191"/>
      <c r="AU424" s="190"/>
      <c r="AV424" s="190"/>
      <c r="AW424" s="190"/>
      <c r="AX424" s="190"/>
      <c r="AY424" s="190"/>
      <c r="AZ424" s="191"/>
      <c r="BA424" s="183"/>
      <c r="BB424" s="183"/>
      <c r="BC424" s="183"/>
      <c r="BD424" s="183"/>
      <c r="BE424" s="183"/>
      <c r="BF424" s="184"/>
      <c r="BG424" s="183"/>
      <c r="BH424" s="183"/>
      <c r="BI424" s="183"/>
      <c r="BJ424" s="183"/>
      <c r="BK424" s="183"/>
      <c r="BL424" s="184"/>
      <c r="BM424" s="409"/>
      <c r="BN424" s="409"/>
    </row>
    <row r="425" spans="1:66" s="153" customFormat="1" x14ac:dyDescent="0.2">
      <c r="A425" s="61"/>
      <c r="B425" s="61"/>
      <c r="C425" s="61"/>
      <c r="D425" s="61"/>
      <c r="E425" s="61"/>
      <c r="F425" s="61"/>
      <c r="G425" s="61"/>
      <c r="H425" s="61"/>
      <c r="I425" s="61"/>
      <c r="J425" s="61"/>
      <c r="K425" s="61"/>
      <c r="L425" s="61"/>
      <c r="M425" s="61"/>
      <c r="N425" s="61"/>
      <c r="O425" s="61"/>
      <c r="P425" s="61"/>
      <c r="Q425" s="61"/>
      <c r="R425" s="61"/>
      <c r="S425" s="61"/>
      <c r="T425" s="35"/>
      <c r="U425" s="187"/>
      <c r="V425" s="190"/>
      <c r="W425" s="190"/>
      <c r="X425" s="190"/>
      <c r="Y425" s="190"/>
      <c r="Z425" s="190"/>
      <c r="AA425" s="191"/>
      <c r="AB425" s="190"/>
      <c r="AC425" s="190"/>
      <c r="AD425" s="190"/>
      <c r="AE425" s="190"/>
      <c r="AF425" s="190"/>
      <c r="AG425" s="190"/>
      <c r="AH425" s="191"/>
      <c r="AI425" s="190"/>
      <c r="AJ425" s="190"/>
      <c r="AK425" s="190"/>
      <c r="AL425" s="190"/>
      <c r="AM425" s="190"/>
      <c r="AN425" s="191"/>
      <c r="AO425" s="190"/>
      <c r="AP425" s="190"/>
      <c r="AQ425" s="190"/>
      <c r="AR425" s="190"/>
      <c r="AS425" s="190"/>
      <c r="AT425" s="191"/>
      <c r="AU425" s="190"/>
      <c r="AV425" s="190"/>
      <c r="AW425" s="190"/>
      <c r="AX425" s="190"/>
      <c r="AY425" s="190"/>
      <c r="AZ425" s="191"/>
      <c r="BA425" s="183"/>
      <c r="BB425" s="183"/>
      <c r="BC425" s="183"/>
      <c r="BD425" s="183"/>
      <c r="BE425" s="183"/>
      <c r="BF425" s="184"/>
      <c r="BG425" s="183"/>
      <c r="BH425" s="183"/>
      <c r="BI425" s="183"/>
      <c r="BJ425" s="183"/>
      <c r="BK425" s="183"/>
      <c r="BL425" s="184"/>
      <c r="BM425" s="409"/>
      <c r="BN425" s="409"/>
    </row>
    <row r="426" spans="1:66" s="153" customFormat="1" x14ac:dyDescent="0.2">
      <c r="A426" s="61"/>
      <c r="B426" s="61"/>
      <c r="C426" s="61"/>
      <c r="D426" s="61"/>
      <c r="E426" s="61"/>
      <c r="F426" s="61"/>
      <c r="G426" s="61"/>
      <c r="H426" s="61"/>
      <c r="I426" s="61"/>
      <c r="J426" s="61"/>
      <c r="K426" s="61"/>
      <c r="L426" s="61"/>
      <c r="M426" s="61"/>
      <c r="N426" s="61"/>
      <c r="O426" s="61"/>
      <c r="P426" s="61"/>
      <c r="Q426" s="61"/>
      <c r="R426" s="61"/>
      <c r="S426" s="61"/>
      <c r="T426" s="35"/>
      <c r="U426" s="187"/>
      <c r="V426" s="190"/>
      <c r="W426" s="190"/>
      <c r="X426" s="190"/>
      <c r="Y426" s="190"/>
      <c r="Z426" s="190"/>
      <c r="AA426" s="191"/>
      <c r="AB426" s="190"/>
      <c r="AC426" s="190"/>
      <c r="AD426" s="190"/>
      <c r="AE426" s="190"/>
      <c r="AF426" s="190"/>
      <c r="AG426" s="190"/>
      <c r="AH426" s="191"/>
      <c r="AI426" s="190"/>
      <c r="AJ426" s="190"/>
      <c r="AK426" s="190"/>
      <c r="AL426" s="190"/>
      <c r="AM426" s="190"/>
      <c r="AN426" s="191"/>
      <c r="AO426" s="190"/>
      <c r="AP426" s="190"/>
      <c r="AQ426" s="190"/>
      <c r="AR426" s="190"/>
      <c r="AS426" s="190"/>
      <c r="AT426" s="191"/>
      <c r="AU426" s="190"/>
      <c r="AV426" s="190"/>
      <c r="AW426" s="190"/>
      <c r="AX426" s="190"/>
      <c r="AY426" s="190"/>
      <c r="AZ426" s="191"/>
      <c r="BA426" s="183"/>
      <c r="BB426" s="183"/>
      <c r="BC426" s="183"/>
      <c r="BD426" s="183"/>
      <c r="BE426" s="183"/>
      <c r="BF426" s="184"/>
      <c r="BG426" s="183"/>
      <c r="BH426" s="183"/>
      <c r="BI426" s="183"/>
      <c r="BJ426" s="183"/>
      <c r="BK426" s="183"/>
      <c r="BL426" s="184"/>
      <c r="BM426" s="409"/>
      <c r="BN426" s="409"/>
    </row>
    <row r="427" spans="1:66" s="153" customFormat="1" x14ac:dyDescent="0.2">
      <c r="A427" s="61"/>
      <c r="B427" s="61"/>
      <c r="C427" s="61"/>
      <c r="D427" s="61"/>
      <c r="E427" s="61"/>
      <c r="F427" s="61"/>
      <c r="G427" s="61"/>
      <c r="H427" s="61"/>
      <c r="I427" s="61"/>
      <c r="J427" s="61"/>
      <c r="K427" s="61"/>
      <c r="L427" s="61"/>
      <c r="M427" s="61"/>
      <c r="N427" s="61"/>
      <c r="O427" s="61"/>
      <c r="P427" s="61"/>
      <c r="Q427" s="61"/>
      <c r="R427" s="61"/>
      <c r="S427" s="61"/>
      <c r="T427" s="35"/>
      <c r="U427" s="187"/>
      <c r="V427" s="190"/>
      <c r="W427" s="190"/>
      <c r="X427" s="190"/>
      <c r="Y427" s="190"/>
      <c r="Z427" s="190"/>
      <c r="AA427" s="191"/>
      <c r="AB427" s="190"/>
      <c r="AC427" s="190"/>
      <c r="AD427" s="190"/>
      <c r="AE427" s="190"/>
      <c r="AF427" s="190"/>
      <c r="AG427" s="190"/>
      <c r="AH427" s="191"/>
      <c r="AI427" s="190"/>
      <c r="AJ427" s="190"/>
      <c r="AK427" s="190"/>
      <c r="AL427" s="190"/>
      <c r="AM427" s="190"/>
      <c r="AN427" s="191"/>
      <c r="AO427" s="190"/>
      <c r="AP427" s="190"/>
      <c r="AQ427" s="190"/>
      <c r="AR427" s="190"/>
      <c r="AS427" s="190"/>
      <c r="AT427" s="191"/>
      <c r="AU427" s="190"/>
      <c r="AV427" s="190"/>
      <c r="AW427" s="190"/>
      <c r="AX427" s="190"/>
      <c r="AY427" s="190"/>
      <c r="AZ427" s="191"/>
      <c r="BA427" s="183"/>
      <c r="BB427" s="183"/>
      <c r="BC427" s="183"/>
      <c r="BD427" s="183"/>
      <c r="BE427" s="183"/>
      <c r="BF427" s="184"/>
      <c r="BG427" s="183"/>
      <c r="BH427" s="183"/>
      <c r="BI427" s="183"/>
      <c r="BJ427" s="183"/>
      <c r="BK427" s="183"/>
      <c r="BL427" s="184"/>
      <c r="BM427" s="409"/>
      <c r="BN427" s="409"/>
    </row>
    <row r="428" spans="1:66" s="153" customFormat="1" x14ac:dyDescent="0.2">
      <c r="A428" s="61"/>
      <c r="B428" s="61"/>
      <c r="C428" s="61"/>
      <c r="D428" s="61"/>
      <c r="E428" s="61"/>
      <c r="F428" s="61"/>
      <c r="G428" s="61"/>
      <c r="H428" s="61"/>
      <c r="I428" s="61"/>
      <c r="J428" s="61"/>
      <c r="K428" s="61"/>
      <c r="L428" s="61"/>
      <c r="M428" s="61"/>
      <c r="N428" s="61"/>
      <c r="O428" s="61"/>
      <c r="P428" s="61"/>
      <c r="Q428" s="61"/>
      <c r="R428" s="61"/>
      <c r="S428" s="61"/>
      <c r="T428" s="35"/>
      <c r="U428" s="187"/>
      <c r="V428" s="190"/>
      <c r="W428" s="190"/>
      <c r="X428" s="190"/>
      <c r="Y428" s="190"/>
      <c r="Z428" s="190"/>
      <c r="AA428" s="191"/>
      <c r="AB428" s="190"/>
      <c r="AC428" s="190"/>
      <c r="AD428" s="190"/>
      <c r="AE428" s="190"/>
      <c r="AF428" s="190"/>
      <c r="AG428" s="190"/>
      <c r="AH428" s="191"/>
      <c r="AI428" s="190"/>
      <c r="AJ428" s="190"/>
      <c r="AK428" s="190"/>
      <c r="AL428" s="190"/>
      <c r="AM428" s="190"/>
      <c r="AN428" s="191"/>
      <c r="AO428" s="190"/>
      <c r="AP428" s="190"/>
      <c r="AQ428" s="190"/>
      <c r="AR428" s="190"/>
      <c r="AS428" s="190"/>
      <c r="AT428" s="191"/>
      <c r="AU428" s="190"/>
      <c r="AV428" s="190"/>
      <c r="AW428" s="190"/>
      <c r="AX428" s="190"/>
      <c r="AY428" s="190"/>
      <c r="AZ428" s="191"/>
      <c r="BA428" s="183"/>
      <c r="BB428" s="183"/>
      <c r="BC428" s="183"/>
      <c r="BD428" s="183"/>
      <c r="BE428" s="183"/>
      <c r="BF428" s="184"/>
      <c r="BG428" s="183"/>
      <c r="BH428" s="183"/>
      <c r="BI428" s="183"/>
      <c r="BJ428" s="183"/>
      <c r="BK428" s="183"/>
      <c r="BL428" s="184"/>
      <c r="BM428" s="409"/>
      <c r="BN428" s="409"/>
    </row>
    <row r="429" spans="1:66" s="153" customFormat="1" x14ac:dyDescent="0.2">
      <c r="A429" s="61"/>
      <c r="B429" s="61"/>
      <c r="C429" s="61"/>
      <c r="D429" s="61"/>
      <c r="E429" s="61"/>
      <c r="F429" s="61"/>
      <c r="G429" s="61"/>
      <c r="H429" s="61"/>
      <c r="I429" s="61"/>
      <c r="J429" s="61"/>
      <c r="K429" s="61"/>
      <c r="L429" s="61"/>
      <c r="M429" s="61"/>
      <c r="N429" s="61"/>
      <c r="O429" s="61"/>
      <c r="P429" s="61"/>
      <c r="Q429" s="61"/>
      <c r="R429" s="61"/>
      <c r="S429" s="61"/>
      <c r="T429" s="35"/>
      <c r="U429" s="187"/>
      <c r="V429" s="190"/>
      <c r="W429" s="190"/>
      <c r="X429" s="190"/>
      <c r="Y429" s="190"/>
      <c r="Z429" s="190"/>
      <c r="AA429" s="191"/>
      <c r="AB429" s="190"/>
      <c r="AC429" s="190"/>
      <c r="AD429" s="190"/>
      <c r="AE429" s="190"/>
      <c r="AF429" s="190"/>
      <c r="AG429" s="190"/>
      <c r="AH429" s="191"/>
      <c r="AI429" s="190"/>
      <c r="AJ429" s="190"/>
      <c r="AK429" s="190"/>
      <c r="AL429" s="190"/>
      <c r="AM429" s="190"/>
      <c r="AN429" s="191"/>
      <c r="AO429" s="190"/>
      <c r="AP429" s="190"/>
      <c r="AQ429" s="190"/>
      <c r="AR429" s="190"/>
      <c r="AS429" s="190"/>
      <c r="AT429" s="191"/>
      <c r="AU429" s="190"/>
      <c r="AV429" s="190"/>
      <c r="AW429" s="190"/>
      <c r="AX429" s="190"/>
      <c r="AY429" s="190"/>
      <c r="AZ429" s="191"/>
      <c r="BA429" s="183"/>
      <c r="BB429" s="183"/>
      <c r="BC429" s="183"/>
      <c r="BD429" s="183"/>
      <c r="BE429" s="183"/>
      <c r="BF429" s="184"/>
      <c r="BG429" s="183"/>
      <c r="BH429" s="183"/>
      <c r="BI429" s="183"/>
      <c r="BJ429" s="183"/>
      <c r="BK429" s="183"/>
      <c r="BL429" s="184"/>
      <c r="BM429" s="409"/>
      <c r="BN429" s="409"/>
    </row>
    <row r="430" spans="1:66" s="153" customFormat="1" x14ac:dyDescent="0.2">
      <c r="A430" s="61"/>
      <c r="B430" s="61"/>
      <c r="C430" s="61"/>
      <c r="D430" s="61"/>
      <c r="E430" s="61"/>
      <c r="F430" s="61"/>
      <c r="G430" s="61"/>
      <c r="H430" s="61"/>
      <c r="I430" s="61"/>
      <c r="J430" s="61"/>
      <c r="K430" s="61"/>
      <c r="L430" s="61"/>
      <c r="M430" s="61"/>
      <c r="N430" s="61"/>
      <c r="O430" s="61"/>
      <c r="P430" s="61"/>
      <c r="Q430" s="61"/>
      <c r="R430" s="61"/>
      <c r="S430" s="61"/>
      <c r="T430" s="35"/>
      <c r="U430" s="187"/>
      <c r="V430" s="190"/>
      <c r="W430" s="190"/>
      <c r="X430" s="190"/>
      <c r="Y430" s="190"/>
      <c r="Z430" s="190"/>
      <c r="AA430" s="191"/>
      <c r="AB430" s="190"/>
      <c r="AC430" s="190"/>
      <c r="AD430" s="190"/>
      <c r="AE430" s="190"/>
      <c r="AF430" s="190"/>
      <c r="AG430" s="190"/>
      <c r="AH430" s="191"/>
      <c r="AI430" s="190"/>
      <c r="AJ430" s="190"/>
      <c r="AK430" s="190"/>
      <c r="AL430" s="190"/>
      <c r="AM430" s="190"/>
      <c r="AN430" s="191"/>
      <c r="AO430" s="190"/>
      <c r="AP430" s="190"/>
      <c r="AQ430" s="190"/>
      <c r="AR430" s="190"/>
      <c r="AS430" s="190"/>
      <c r="AT430" s="191"/>
      <c r="AU430" s="190"/>
      <c r="AV430" s="190"/>
      <c r="AW430" s="190"/>
      <c r="AX430" s="190"/>
      <c r="AY430" s="190"/>
      <c r="AZ430" s="191"/>
      <c r="BA430" s="183"/>
      <c r="BB430" s="183"/>
      <c r="BC430" s="183"/>
      <c r="BD430" s="183"/>
      <c r="BE430" s="183"/>
      <c r="BF430" s="184"/>
      <c r="BG430" s="183"/>
      <c r="BH430" s="183"/>
      <c r="BI430" s="183"/>
      <c r="BJ430" s="183"/>
      <c r="BK430" s="183"/>
      <c r="BL430" s="184"/>
      <c r="BM430" s="409"/>
      <c r="BN430" s="409"/>
    </row>
    <row r="431" spans="1:66" s="153" customFormat="1" x14ac:dyDescent="0.2">
      <c r="A431" s="61"/>
      <c r="B431" s="61"/>
      <c r="C431" s="61"/>
      <c r="D431" s="61"/>
      <c r="E431" s="61"/>
      <c r="F431" s="61"/>
      <c r="G431" s="61"/>
      <c r="H431" s="61"/>
      <c r="I431" s="61"/>
      <c r="J431" s="61"/>
      <c r="K431" s="61"/>
      <c r="L431" s="61"/>
      <c r="M431" s="61"/>
      <c r="N431" s="61"/>
      <c r="O431" s="61"/>
      <c r="P431" s="61"/>
      <c r="Q431" s="61"/>
      <c r="R431" s="61"/>
      <c r="S431" s="61"/>
      <c r="T431" s="35"/>
      <c r="U431" s="187"/>
      <c r="V431" s="190"/>
      <c r="W431" s="190"/>
      <c r="X431" s="190"/>
      <c r="Y431" s="190"/>
      <c r="Z431" s="190"/>
      <c r="AA431" s="191"/>
      <c r="AB431" s="190"/>
      <c r="AC431" s="190"/>
      <c r="AD431" s="190"/>
      <c r="AE431" s="190"/>
      <c r="AF431" s="190"/>
      <c r="AG431" s="190"/>
      <c r="AH431" s="191"/>
      <c r="AI431" s="190"/>
      <c r="AJ431" s="190"/>
      <c r="AK431" s="190"/>
      <c r="AL431" s="190"/>
      <c r="AM431" s="190"/>
      <c r="AN431" s="191"/>
      <c r="AO431" s="190"/>
      <c r="AP431" s="190"/>
      <c r="AQ431" s="190"/>
      <c r="AR431" s="190"/>
      <c r="AS431" s="190"/>
      <c r="AT431" s="191"/>
      <c r="AU431" s="190"/>
      <c r="AV431" s="190"/>
      <c r="AW431" s="190"/>
      <c r="AX431" s="190"/>
      <c r="AY431" s="190"/>
      <c r="AZ431" s="191"/>
      <c r="BA431" s="183"/>
      <c r="BB431" s="183"/>
      <c r="BC431" s="183"/>
      <c r="BD431" s="183"/>
      <c r="BE431" s="183"/>
      <c r="BF431" s="184"/>
      <c r="BG431" s="183"/>
      <c r="BH431" s="183"/>
      <c r="BI431" s="183"/>
      <c r="BJ431" s="183"/>
      <c r="BK431" s="183"/>
      <c r="BL431" s="184"/>
      <c r="BM431" s="409"/>
      <c r="BN431" s="409"/>
    </row>
    <row r="432" spans="1:66" s="153" customFormat="1" x14ac:dyDescent="0.2">
      <c r="A432" s="61"/>
      <c r="B432" s="61"/>
      <c r="C432" s="61"/>
      <c r="D432" s="61"/>
      <c r="E432" s="61"/>
      <c r="F432" s="61"/>
      <c r="G432" s="61"/>
      <c r="H432" s="61"/>
      <c r="I432" s="61"/>
      <c r="J432" s="61"/>
      <c r="K432" s="61"/>
      <c r="L432" s="61"/>
      <c r="M432" s="61"/>
      <c r="N432" s="61"/>
      <c r="O432" s="61"/>
      <c r="P432" s="61"/>
      <c r="Q432" s="61"/>
      <c r="R432" s="61"/>
      <c r="S432" s="61"/>
      <c r="T432" s="35"/>
      <c r="U432" s="187"/>
      <c r="V432" s="190"/>
      <c r="W432" s="190"/>
      <c r="X432" s="190"/>
      <c r="Y432" s="190"/>
      <c r="Z432" s="190"/>
      <c r="AA432" s="191"/>
      <c r="AB432" s="190"/>
      <c r="AC432" s="190"/>
      <c r="AD432" s="190"/>
      <c r="AE432" s="190"/>
      <c r="AF432" s="190"/>
      <c r="AG432" s="190"/>
      <c r="AH432" s="191"/>
      <c r="AI432" s="190"/>
      <c r="AJ432" s="190"/>
      <c r="AK432" s="190"/>
      <c r="AL432" s="190"/>
      <c r="AM432" s="190"/>
      <c r="AN432" s="191"/>
      <c r="AO432" s="190"/>
      <c r="AP432" s="190"/>
      <c r="AQ432" s="190"/>
      <c r="AR432" s="190"/>
      <c r="AS432" s="190"/>
      <c r="AT432" s="191"/>
      <c r="AU432" s="190"/>
      <c r="AV432" s="190"/>
      <c r="AW432" s="190"/>
      <c r="AX432" s="190"/>
      <c r="AY432" s="190"/>
      <c r="AZ432" s="191"/>
      <c r="BA432" s="183"/>
      <c r="BB432" s="183"/>
      <c r="BC432" s="183"/>
      <c r="BD432" s="183"/>
      <c r="BE432" s="183"/>
      <c r="BF432" s="184"/>
      <c r="BG432" s="183"/>
      <c r="BH432" s="183"/>
      <c r="BI432" s="183"/>
      <c r="BJ432" s="183"/>
      <c r="BK432" s="183"/>
      <c r="BL432" s="184"/>
      <c r="BM432" s="409"/>
      <c r="BN432" s="409"/>
    </row>
    <row r="433" spans="1:66" s="153" customFormat="1" x14ac:dyDescent="0.2">
      <c r="A433" s="61"/>
      <c r="B433" s="61"/>
      <c r="C433" s="61"/>
      <c r="D433" s="61"/>
      <c r="E433" s="61"/>
      <c r="F433" s="61"/>
      <c r="G433" s="61"/>
      <c r="H433" s="61"/>
      <c r="I433" s="61"/>
      <c r="J433" s="61"/>
      <c r="K433" s="61"/>
      <c r="L433" s="61"/>
      <c r="M433" s="61"/>
      <c r="N433" s="61"/>
      <c r="O433" s="61"/>
      <c r="P433" s="61"/>
      <c r="Q433" s="61"/>
      <c r="R433" s="61"/>
      <c r="S433" s="61"/>
      <c r="T433" s="35"/>
      <c r="U433" s="187"/>
      <c r="V433" s="190"/>
      <c r="W433" s="190"/>
      <c r="X433" s="190"/>
      <c r="Y433" s="190"/>
      <c r="Z433" s="190"/>
      <c r="AA433" s="191"/>
      <c r="AB433" s="190"/>
      <c r="AC433" s="190"/>
      <c r="AD433" s="190"/>
      <c r="AE433" s="190"/>
      <c r="AF433" s="190"/>
      <c r="AG433" s="190"/>
      <c r="AH433" s="191"/>
      <c r="AI433" s="190"/>
      <c r="AJ433" s="190"/>
      <c r="AK433" s="190"/>
      <c r="AL433" s="190"/>
      <c r="AM433" s="190"/>
      <c r="AN433" s="191"/>
      <c r="AO433" s="190"/>
      <c r="AP433" s="190"/>
      <c r="AQ433" s="190"/>
      <c r="AR433" s="190"/>
      <c r="AS433" s="190"/>
      <c r="AT433" s="191"/>
      <c r="AU433" s="190"/>
      <c r="AV433" s="190"/>
      <c r="AW433" s="190"/>
      <c r="AX433" s="190"/>
      <c r="AY433" s="190"/>
      <c r="AZ433" s="191"/>
      <c r="BA433" s="183"/>
      <c r="BB433" s="183"/>
      <c r="BC433" s="183"/>
      <c r="BD433" s="183"/>
      <c r="BE433" s="183"/>
      <c r="BF433" s="184"/>
      <c r="BG433" s="183"/>
      <c r="BH433" s="183"/>
      <c r="BI433" s="183"/>
      <c r="BJ433" s="183"/>
      <c r="BK433" s="183"/>
      <c r="BL433" s="184"/>
      <c r="BM433" s="409"/>
      <c r="BN433" s="409"/>
    </row>
    <row r="434" spans="1:66" s="153" customFormat="1" x14ac:dyDescent="0.2">
      <c r="A434" s="61"/>
      <c r="B434" s="61"/>
      <c r="C434" s="61"/>
      <c r="D434" s="61"/>
      <c r="E434" s="61"/>
      <c r="F434" s="61"/>
      <c r="G434" s="61"/>
      <c r="H434" s="61"/>
      <c r="I434" s="61"/>
      <c r="J434" s="61"/>
      <c r="K434" s="61"/>
      <c r="L434" s="61"/>
      <c r="M434" s="61"/>
      <c r="N434" s="61"/>
      <c r="O434" s="61"/>
      <c r="P434" s="61"/>
      <c r="Q434" s="61"/>
      <c r="R434" s="61"/>
      <c r="S434" s="61"/>
      <c r="T434" s="35"/>
      <c r="U434" s="187"/>
      <c r="V434" s="190"/>
      <c r="W434" s="190"/>
      <c r="X434" s="190"/>
      <c r="Y434" s="190"/>
      <c r="Z434" s="190"/>
      <c r="AA434" s="191"/>
      <c r="AB434" s="190"/>
      <c r="AC434" s="190"/>
      <c r="AD434" s="190"/>
      <c r="AE434" s="190"/>
      <c r="AF434" s="190"/>
      <c r="AG434" s="190"/>
      <c r="AH434" s="191"/>
      <c r="AI434" s="190"/>
      <c r="AJ434" s="190"/>
      <c r="AK434" s="190"/>
      <c r="AL434" s="190"/>
      <c r="AM434" s="190"/>
      <c r="AN434" s="191"/>
      <c r="AO434" s="190"/>
      <c r="AP434" s="190"/>
      <c r="AQ434" s="190"/>
      <c r="AR434" s="190"/>
      <c r="AS434" s="190"/>
      <c r="AT434" s="191"/>
      <c r="AU434" s="190"/>
      <c r="AV434" s="190"/>
      <c r="AW434" s="190"/>
      <c r="AX434" s="190"/>
      <c r="AY434" s="190"/>
      <c r="AZ434" s="191"/>
      <c r="BA434" s="183"/>
      <c r="BB434" s="183"/>
      <c r="BC434" s="183"/>
      <c r="BD434" s="183"/>
      <c r="BE434" s="183"/>
      <c r="BF434" s="184"/>
      <c r="BG434" s="183"/>
      <c r="BH434" s="183"/>
      <c r="BI434" s="183"/>
      <c r="BJ434" s="183"/>
      <c r="BK434" s="183"/>
      <c r="BL434" s="184"/>
      <c r="BM434" s="409"/>
      <c r="BN434" s="409"/>
    </row>
    <row r="435" spans="1:66" s="153" customFormat="1" x14ac:dyDescent="0.2">
      <c r="A435" s="61"/>
      <c r="B435" s="61"/>
      <c r="C435" s="61"/>
      <c r="D435" s="61"/>
      <c r="E435" s="61"/>
      <c r="F435" s="61"/>
      <c r="G435" s="61"/>
      <c r="H435" s="61"/>
      <c r="I435" s="61"/>
      <c r="J435" s="61"/>
      <c r="K435" s="61"/>
      <c r="L435" s="61"/>
      <c r="M435" s="61"/>
      <c r="N435" s="61"/>
      <c r="O435" s="61"/>
      <c r="P435" s="61"/>
      <c r="Q435" s="61"/>
      <c r="R435" s="61"/>
      <c r="S435" s="61"/>
      <c r="T435" s="35"/>
      <c r="U435" s="187"/>
      <c r="V435" s="190"/>
      <c r="W435" s="190"/>
      <c r="X435" s="190"/>
      <c r="Y435" s="190"/>
      <c r="Z435" s="190"/>
      <c r="AA435" s="191"/>
      <c r="AB435" s="190"/>
      <c r="AC435" s="190"/>
      <c r="AD435" s="190"/>
      <c r="AE435" s="190"/>
      <c r="AF435" s="190"/>
      <c r="AG435" s="190"/>
      <c r="AH435" s="191"/>
      <c r="AI435" s="190"/>
      <c r="AJ435" s="190"/>
      <c r="AK435" s="190"/>
      <c r="AL435" s="190"/>
      <c r="AM435" s="190"/>
      <c r="AN435" s="191"/>
      <c r="AO435" s="190"/>
      <c r="AP435" s="190"/>
      <c r="AQ435" s="190"/>
      <c r="AR435" s="190"/>
      <c r="AS435" s="190"/>
      <c r="AT435" s="191"/>
      <c r="AU435" s="190"/>
      <c r="AV435" s="190"/>
      <c r="AW435" s="190"/>
      <c r="AX435" s="190"/>
      <c r="AY435" s="190"/>
      <c r="AZ435" s="191"/>
      <c r="BA435" s="183"/>
      <c r="BB435" s="183"/>
      <c r="BC435" s="183"/>
      <c r="BD435" s="183"/>
      <c r="BE435" s="183"/>
      <c r="BF435" s="184"/>
      <c r="BG435" s="183"/>
      <c r="BH435" s="183"/>
      <c r="BI435" s="183"/>
      <c r="BJ435" s="183"/>
      <c r="BK435" s="183"/>
      <c r="BL435" s="184"/>
      <c r="BM435" s="409"/>
      <c r="BN435" s="409"/>
    </row>
    <row r="436" spans="1:66" s="153" customFormat="1" x14ac:dyDescent="0.2">
      <c r="A436" s="61"/>
      <c r="B436" s="61"/>
      <c r="C436" s="61"/>
      <c r="D436" s="61"/>
      <c r="E436" s="61"/>
      <c r="F436" s="61"/>
      <c r="G436" s="61"/>
      <c r="H436" s="61"/>
      <c r="I436" s="61"/>
      <c r="J436" s="61"/>
      <c r="K436" s="61"/>
      <c r="L436" s="61"/>
      <c r="M436" s="61"/>
      <c r="N436" s="61"/>
      <c r="O436" s="61"/>
      <c r="P436" s="61"/>
      <c r="Q436" s="61"/>
      <c r="R436" s="61"/>
      <c r="S436" s="61"/>
      <c r="T436" s="35"/>
      <c r="U436" s="187"/>
      <c r="V436" s="190"/>
      <c r="W436" s="190"/>
      <c r="X436" s="190"/>
      <c r="Y436" s="190"/>
      <c r="Z436" s="190"/>
      <c r="AA436" s="191"/>
      <c r="AB436" s="190"/>
      <c r="AC436" s="190"/>
      <c r="AD436" s="190"/>
      <c r="AE436" s="190"/>
      <c r="AF436" s="190"/>
      <c r="AG436" s="190"/>
      <c r="AH436" s="191"/>
      <c r="AI436" s="190"/>
      <c r="AJ436" s="190"/>
      <c r="AK436" s="190"/>
      <c r="AL436" s="190"/>
      <c r="AM436" s="190"/>
      <c r="AN436" s="191"/>
      <c r="AO436" s="190"/>
      <c r="AP436" s="190"/>
      <c r="AQ436" s="190"/>
      <c r="AR436" s="190"/>
      <c r="AS436" s="190"/>
      <c r="AT436" s="191"/>
      <c r="AU436" s="190"/>
      <c r="AV436" s="190"/>
      <c r="AW436" s="190"/>
      <c r="AX436" s="190"/>
      <c r="AY436" s="190"/>
      <c r="AZ436" s="191"/>
      <c r="BA436" s="183"/>
      <c r="BB436" s="183"/>
      <c r="BC436" s="183"/>
      <c r="BD436" s="183"/>
      <c r="BE436" s="183"/>
      <c r="BF436" s="184"/>
      <c r="BG436" s="183"/>
      <c r="BH436" s="183"/>
      <c r="BI436" s="183"/>
      <c r="BJ436" s="183"/>
      <c r="BK436" s="183"/>
      <c r="BL436" s="184"/>
      <c r="BM436" s="409"/>
      <c r="BN436" s="409"/>
    </row>
    <row r="437" spans="1:66" s="153" customFormat="1" x14ac:dyDescent="0.2">
      <c r="A437" s="61"/>
      <c r="B437" s="61"/>
      <c r="C437" s="61"/>
      <c r="D437" s="61"/>
      <c r="E437" s="61"/>
      <c r="F437" s="61"/>
      <c r="G437" s="61"/>
      <c r="H437" s="61"/>
      <c r="I437" s="61"/>
      <c r="J437" s="61"/>
      <c r="K437" s="61"/>
      <c r="L437" s="61"/>
      <c r="M437" s="61"/>
      <c r="N437" s="61"/>
      <c r="O437" s="61"/>
      <c r="P437" s="61"/>
      <c r="Q437" s="61"/>
      <c r="R437" s="61"/>
      <c r="S437" s="61"/>
      <c r="T437" s="35"/>
      <c r="U437" s="187"/>
      <c r="V437" s="190"/>
      <c r="W437" s="190"/>
      <c r="X437" s="190"/>
      <c r="Y437" s="190"/>
      <c r="Z437" s="190"/>
      <c r="AA437" s="191"/>
      <c r="AB437" s="190"/>
      <c r="AC437" s="190"/>
      <c r="AD437" s="190"/>
      <c r="AE437" s="190"/>
      <c r="AF437" s="190"/>
      <c r="AG437" s="190"/>
      <c r="AH437" s="191"/>
      <c r="AI437" s="190"/>
      <c r="AJ437" s="190"/>
      <c r="AK437" s="190"/>
      <c r="AL437" s="190"/>
      <c r="AM437" s="190"/>
      <c r="AN437" s="191"/>
      <c r="AO437" s="190"/>
      <c r="AP437" s="190"/>
      <c r="AQ437" s="190"/>
      <c r="AR437" s="190"/>
      <c r="AS437" s="190"/>
      <c r="AT437" s="191"/>
      <c r="AU437" s="190"/>
      <c r="AV437" s="190"/>
      <c r="AW437" s="190"/>
      <c r="AX437" s="190"/>
      <c r="AY437" s="190"/>
      <c r="AZ437" s="191"/>
      <c r="BA437" s="183"/>
      <c r="BB437" s="183"/>
      <c r="BC437" s="183"/>
      <c r="BD437" s="183"/>
      <c r="BE437" s="183"/>
      <c r="BF437" s="184"/>
      <c r="BG437" s="183"/>
      <c r="BH437" s="183"/>
      <c r="BI437" s="183"/>
      <c r="BJ437" s="183"/>
      <c r="BK437" s="183"/>
      <c r="BL437" s="184"/>
      <c r="BM437" s="409"/>
      <c r="BN437" s="409"/>
    </row>
    <row r="438" spans="1:66" s="153" customFormat="1" x14ac:dyDescent="0.2">
      <c r="A438" s="61"/>
      <c r="B438" s="61"/>
      <c r="C438" s="61"/>
      <c r="D438" s="61"/>
      <c r="E438" s="61"/>
      <c r="F438" s="61"/>
      <c r="G438" s="61"/>
      <c r="H438" s="61"/>
      <c r="I438" s="61"/>
      <c r="J438" s="61"/>
      <c r="K438" s="61"/>
      <c r="L438" s="61"/>
      <c r="M438" s="61"/>
      <c r="N438" s="61"/>
      <c r="O438" s="61"/>
      <c r="P438" s="61"/>
      <c r="Q438" s="61"/>
      <c r="R438" s="61"/>
      <c r="S438" s="61"/>
      <c r="T438" s="35"/>
      <c r="U438" s="187"/>
      <c r="V438" s="190"/>
      <c r="W438" s="190"/>
      <c r="X438" s="190"/>
      <c r="Y438" s="190"/>
      <c r="Z438" s="190"/>
      <c r="AA438" s="191"/>
      <c r="AB438" s="190"/>
      <c r="AC438" s="190"/>
      <c r="AD438" s="190"/>
      <c r="AE438" s="190"/>
      <c r="AF438" s="190"/>
      <c r="AG438" s="190"/>
      <c r="AH438" s="191"/>
      <c r="AI438" s="190"/>
      <c r="AJ438" s="190"/>
      <c r="AK438" s="190"/>
      <c r="AL438" s="190"/>
      <c r="AM438" s="190"/>
      <c r="AN438" s="191"/>
      <c r="AO438" s="190"/>
      <c r="AP438" s="190"/>
      <c r="AQ438" s="190"/>
      <c r="AR438" s="190"/>
      <c r="AS438" s="190"/>
      <c r="AT438" s="191"/>
      <c r="AU438" s="190"/>
      <c r="AV438" s="190"/>
      <c r="AW438" s="190"/>
      <c r="AX438" s="190"/>
      <c r="AY438" s="190"/>
      <c r="AZ438" s="191"/>
      <c r="BA438" s="183"/>
      <c r="BB438" s="183"/>
      <c r="BC438" s="183"/>
      <c r="BD438" s="183"/>
      <c r="BE438" s="183"/>
      <c r="BF438" s="184"/>
      <c r="BG438" s="183"/>
      <c r="BH438" s="183"/>
      <c r="BI438" s="183"/>
      <c r="BJ438" s="183"/>
      <c r="BK438" s="183"/>
      <c r="BL438" s="184"/>
      <c r="BM438" s="409"/>
      <c r="BN438" s="409"/>
    </row>
    <row r="439" spans="1:66" s="153" customFormat="1" x14ac:dyDescent="0.2">
      <c r="A439" s="61"/>
      <c r="B439" s="61"/>
      <c r="C439" s="61"/>
      <c r="D439" s="61"/>
      <c r="E439" s="61"/>
      <c r="F439" s="61"/>
      <c r="G439" s="61"/>
      <c r="H439" s="61"/>
      <c r="I439" s="61"/>
      <c r="J439" s="61"/>
      <c r="K439" s="61"/>
      <c r="L439" s="61"/>
      <c r="M439" s="61"/>
      <c r="N439" s="61"/>
      <c r="O439" s="61"/>
      <c r="P439" s="61"/>
      <c r="Q439" s="61"/>
      <c r="R439" s="61"/>
      <c r="S439" s="61"/>
      <c r="T439" s="35"/>
      <c r="U439" s="187"/>
      <c r="V439" s="190"/>
      <c r="W439" s="190"/>
      <c r="X439" s="190"/>
      <c r="Y439" s="190"/>
      <c r="Z439" s="190"/>
      <c r="AA439" s="191"/>
      <c r="AB439" s="190"/>
      <c r="AC439" s="190"/>
      <c r="AD439" s="190"/>
      <c r="AE439" s="190"/>
      <c r="AF439" s="190"/>
      <c r="AG439" s="190"/>
      <c r="AH439" s="191"/>
      <c r="AI439" s="190"/>
      <c r="AJ439" s="190"/>
      <c r="AK439" s="190"/>
      <c r="AL439" s="190"/>
      <c r="AM439" s="190"/>
      <c r="AN439" s="191"/>
      <c r="AO439" s="190"/>
      <c r="AP439" s="190"/>
      <c r="AQ439" s="190"/>
      <c r="AR439" s="190"/>
      <c r="AS439" s="190"/>
      <c r="AT439" s="191"/>
      <c r="AU439" s="190"/>
      <c r="AV439" s="190"/>
      <c r="AW439" s="190"/>
      <c r="AX439" s="190"/>
      <c r="AY439" s="190"/>
      <c r="AZ439" s="191"/>
      <c r="BA439" s="183"/>
      <c r="BB439" s="183"/>
      <c r="BC439" s="183"/>
      <c r="BD439" s="183"/>
      <c r="BE439" s="183"/>
      <c r="BF439" s="184"/>
      <c r="BG439" s="183"/>
      <c r="BH439" s="183"/>
      <c r="BI439" s="183"/>
      <c r="BJ439" s="183"/>
      <c r="BK439" s="183"/>
      <c r="BL439" s="184"/>
      <c r="BM439" s="409"/>
      <c r="BN439" s="409"/>
    </row>
    <row r="440" spans="1:66" s="153" customFormat="1" x14ac:dyDescent="0.2">
      <c r="A440" s="61"/>
      <c r="B440" s="61"/>
      <c r="C440" s="61"/>
      <c r="D440" s="61"/>
      <c r="E440" s="61"/>
      <c r="F440" s="61"/>
      <c r="G440" s="61"/>
      <c r="H440" s="61"/>
      <c r="I440" s="61"/>
      <c r="J440" s="61"/>
      <c r="K440" s="61"/>
      <c r="L440" s="61"/>
      <c r="M440" s="61"/>
      <c r="N440" s="61"/>
      <c r="O440" s="61"/>
      <c r="P440" s="61"/>
      <c r="Q440" s="61"/>
      <c r="R440" s="61"/>
      <c r="S440" s="61"/>
      <c r="T440" s="35"/>
      <c r="U440" s="187"/>
      <c r="V440" s="190"/>
      <c r="W440" s="190"/>
      <c r="X440" s="190"/>
      <c r="Y440" s="190"/>
      <c r="Z440" s="190"/>
      <c r="AA440" s="191"/>
      <c r="AB440" s="190"/>
      <c r="AC440" s="190"/>
      <c r="AD440" s="190"/>
      <c r="AE440" s="190"/>
      <c r="AF440" s="190"/>
      <c r="AG440" s="190"/>
      <c r="AH440" s="191"/>
      <c r="AI440" s="190"/>
      <c r="AJ440" s="190"/>
      <c r="AK440" s="190"/>
      <c r="AL440" s="190"/>
      <c r="AM440" s="190"/>
      <c r="AN440" s="191"/>
      <c r="AO440" s="190"/>
      <c r="AP440" s="190"/>
      <c r="AQ440" s="190"/>
      <c r="AR440" s="190"/>
      <c r="AS440" s="190"/>
      <c r="AT440" s="191"/>
      <c r="AU440" s="190"/>
      <c r="AV440" s="190"/>
      <c r="AW440" s="190"/>
      <c r="AX440" s="190"/>
      <c r="AY440" s="190"/>
      <c r="AZ440" s="191"/>
      <c r="BA440" s="183"/>
      <c r="BB440" s="183"/>
      <c r="BC440" s="183"/>
      <c r="BD440" s="183"/>
      <c r="BE440" s="183"/>
      <c r="BF440" s="184"/>
      <c r="BG440" s="183"/>
      <c r="BH440" s="183"/>
      <c r="BI440" s="183"/>
      <c r="BJ440" s="183"/>
      <c r="BK440" s="183"/>
      <c r="BL440" s="184"/>
      <c r="BM440" s="409"/>
      <c r="BN440" s="409"/>
    </row>
    <row r="441" spans="1:66" s="153" customFormat="1" x14ac:dyDescent="0.2">
      <c r="A441" s="61"/>
      <c r="B441" s="61"/>
      <c r="C441" s="61"/>
      <c r="D441" s="61"/>
      <c r="E441" s="61"/>
      <c r="F441" s="61"/>
      <c r="G441" s="61"/>
      <c r="H441" s="61"/>
      <c r="I441" s="61"/>
      <c r="J441" s="61"/>
      <c r="K441" s="61"/>
      <c r="L441" s="61"/>
      <c r="M441" s="61"/>
      <c r="N441" s="61"/>
      <c r="O441" s="61"/>
      <c r="P441" s="61"/>
      <c r="Q441" s="61"/>
      <c r="R441" s="61"/>
      <c r="S441" s="61"/>
      <c r="T441" s="35"/>
      <c r="U441" s="187"/>
      <c r="V441" s="190"/>
      <c r="W441" s="190"/>
      <c r="X441" s="190"/>
      <c r="Y441" s="190"/>
      <c r="Z441" s="190"/>
      <c r="AA441" s="191"/>
      <c r="AB441" s="190"/>
      <c r="AC441" s="190"/>
      <c r="AD441" s="190"/>
      <c r="AE441" s="190"/>
      <c r="AF441" s="190"/>
      <c r="AG441" s="190"/>
      <c r="AH441" s="191"/>
      <c r="AI441" s="190"/>
      <c r="AJ441" s="190"/>
      <c r="AK441" s="190"/>
      <c r="AL441" s="190"/>
      <c r="AM441" s="190"/>
      <c r="AN441" s="191"/>
      <c r="AO441" s="190"/>
      <c r="AP441" s="190"/>
      <c r="AQ441" s="190"/>
      <c r="AR441" s="190"/>
      <c r="AS441" s="190"/>
      <c r="AT441" s="191"/>
      <c r="AU441" s="190"/>
      <c r="AV441" s="190"/>
      <c r="AW441" s="190"/>
      <c r="AX441" s="190"/>
      <c r="AY441" s="190"/>
      <c r="AZ441" s="191"/>
      <c r="BA441" s="183"/>
      <c r="BB441" s="183"/>
      <c r="BC441" s="183"/>
      <c r="BD441" s="183"/>
      <c r="BE441" s="183"/>
      <c r="BF441" s="184"/>
      <c r="BG441" s="183"/>
      <c r="BH441" s="183"/>
      <c r="BI441" s="183"/>
      <c r="BJ441" s="183"/>
      <c r="BK441" s="183"/>
      <c r="BL441" s="184"/>
      <c r="BM441" s="409"/>
      <c r="BN441" s="409"/>
    </row>
    <row r="442" spans="1:66" s="153" customFormat="1" x14ac:dyDescent="0.2">
      <c r="A442" s="61"/>
      <c r="B442" s="61"/>
      <c r="C442" s="61"/>
      <c r="D442" s="61"/>
      <c r="E442" s="61"/>
      <c r="F442" s="61"/>
      <c r="G442" s="61"/>
      <c r="H442" s="61"/>
      <c r="I442" s="61"/>
      <c r="J442" s="61"/>
      <c r="K442" s="61"/>
      <c r="L442" s="61"/>
      <c r="M442" s="61"/>
      <c r="N442" s="61"/>
      <c r="O442" s="61"/>
      <c r="P442" s="61"/>
      <c r="Q442" s="61"/>
      <c r="R442" s="61"/>
      <c r="S442" s="61"/>
      <c r="T442" s="35"/>
      <c r="U442" s="187"/>
      <c r="V442" s="190"/>
      <c r="W442" s="190"/>
      <c r="X442" s="190"/>
      <c r="Y442" s="190"/>
      <c r="Z442" s="190"/>
      <c r="AA442" s="191"/>
      <c r="AB442" s="190"/>
      <c r="AC442" s="190"/>
      <c r="AD442" s="190"/>
      <c r="AE442" s="190"/>
      <c r="AF442" s="190"/>
      <c r="AG442" s="190"/>
      <c r="AH442" s="191"/>
      <c r="AI442" s="190"/>
      <c r="AJ442" s="190"/>
      <c r="AK442" s="190"/>
      <c r="AL442" s="190"/>
      <c r="AM442" s="190"/>
      <c r="AN442" s="191"/>
      <c r="AO442" s="190"/>
      <c r="AP442" s="190"/>
      <c r="AQ442" s="190"/>
      <c r="AR442" s="190"/>
      <c r="AS442" s="190"/>
      <c r="AT442" s="191"/>
      <c r="AU442" s="190"/>
      <c r="AV442" s="190"/>
      <c r="AW442" s="190"/>
      <c r="AX442" s="190"/>
      <c r="AY442" s="190"/>
      <c r="AZ442" s="191"/>
      <c r="BA442" s="183"/>
      <c r="BB442" s="183"/>
      <c r="BC442" s="183"/>
      <c r="BD442" s="183"/>
      <c r="BE442" s="183"/>
      <c r="BF442" s="184"/>
      <c r="BG442" s="183"/>
      <c r="BH442" s="183"/>
      <c r="BI442" s="183"/>
      <c r="BJ442" s="183"/>
      <c r="BK442" s="183"/>
      <c r="BL442" s="184"/>
      <c r="BM442" s="409"/>
      <c r="BN442" s="409"/>
    </row>
    <row r="443" spans="1:66" s="153" customFormat="1" x14ac:dyDescent="0.2">
      <c r="A443" s="61"/>
      <c r="B443" s="61"/>
      <c r="C443" s="61"/>
      <c r="D443" s="61"/>
      <c r="E443" s="61"/>
      <c r="F443" s="61"/>
      <c r="G443" s="61"/>
      <c r="H443" s="61"/>
      <c r="I443" s="61"/>
      <c r="J443" s="61"/>
      <c r="K443" s="61"/>
      <c r="L443" s="61"/>
      <c r="M443" s="61"/>
      <c r="N443" s="61"/>
      <c r="O443" s="61"/>
      <c r="P443" s="61"/>
      <c r="Q443" s="61"/>
      <c r="R443" s="61"/>
      <c r="S443" s="61"/>
      <c r="T443" s="35"/>
      <c r="U443" s="187"/>
      <c r="V443" s="190"/>
      <c r="W443" s="190"/>
      <c r="X443" s="190"/>
      <c r="Y443" s="190"/>
      <c r="Z443" s="190"/>
      <c r="AA443" s="191"/>
      <c r="AB443" s="190"/>
      <c r="AC443" s="190"/>
      <c r="AD443" s="190"/>
      <c r="AE443" s="190"/>
      <c r="AF443" s="190"/>
      <c r="AG443" s="190"/>
      <c r="AH443" s="191"/>
      <c r="AI443" s="190"/>
      <c r="AJ443" s="190"/>
      <c r="AK443" s="190"/>
      <c r="AL443" s="190"/>
      <c r="AM443" s="190"/>
      <c r="AN443" s="191"/>
      <c r="AO443" s="190"/>
      <c r="AP443" s="190"/>
      <c r="AQ443" s="190"/>
      <c r="AR443" s="190"/>
      <c r="AS443" s="190"/>
      <c r="AT443" s="191"/>
      <c r="AU443" s="190"/>
      <c r="AV443" s="190"/>
      <c r="AW443" s="190"/>
      <c r="AX443" s="190"/>
      <c r="AY443" s="190"/>
      <c r="AZ443" s="191"/>
      <c r="BA443" s="183"/>
      <c r="BB443" s="183"/>
      <c r="BC443" s="183"/>
      <c r="BD443" s="183"/>
      <c r="BE443" s="183"/>
      <c r="BF443" s="184"/>
      <c r="BG443" s="183"/>
      <c r="BH443" s="183"/>
      <c r="BI443" s="183"/>
      <c r="BJ443" s="183"/>
      <c r="BK443" s="183"/>
      <c r="BL443" s="184"/>
      <c r="BM443" s="409"/>
      <c r="BN443" s="409"/>
    </row>
    <row r="444" spans="1:66" s="153" customFormat="1" x14ac:dyDescent="0.2">
      <c r="A444" s="61"/>
      <c r="B444" s="61"/>
      <c r="C444" s="61"/>
      <c r="D444" s="61"/>
      <c r="E444" s="61"/>
      <c r="F444" s="61"/>
      <c r="G444" s="61"/>
      <c r="H444" s="61"/>
      <c r="I444" s="61"/>
      <c r="J444" s="61"/>
      <c r="K444" s="61"/>
      <c r="L444" s="61"/>
      <c r="M444" s="61"/>
      <c r="N444" s="61"/>
      <c r="O444" s="61"/>
      <c r="P444" s="61"/>
      <c r="Q444" s="61"/>
      <c r="R444" s="61"/>
      <c r="S444" s="61"/>
      <c r="T444" s="35"/>
      <c r="U444" s="187"/>
      <c r="V444" s="190"/>
      <c r="W444" s="190"/>
      <c r="X444" s="190"/>
      <c r="Y444" s="190"/>
      <c r="Z444" s="190"/>
      <c r="AA444" s="191"/>
      <c r="AB444" s="190"/>
      <c r="AC444" s="190"/>
      <c r="AD444" s="190"/>
      <c r="AE444" s="190"/>
      <c r="AF444" s="190"/>
      <c r="AG444" s="190"/>
      <c r="AH444" s="191"/>
      <c r="AI444" s="190"/>
      <c r="AJ444" s="190"/>
      <c r="AK444" s="190"/>
      <c r="AL444" s="190"/>
      <c r="AM444" s="190"/>
      <c r="AN444" s="191"/>
      <c r="AO444" s="190"/>
      <c r="AP444" s="190"/>
      <c r="AQ444" s="190"/>
      <c r="AR444" s="190"/>
      <c r="AS444" s="190"/>
      <c r="AT444" s="191"/>
      <c r="AU444" s="190"/>
      <c r="AV444" s="190"/>
      <c r="AW444" s="190"/>
      <c r="AX444" s="190"/>
      <c r="AY444" s="190"/>
      <c r="AZ444" s="191"/>
      <c r="BA444" s="183"/>
      <c r="BB444" s="183"/>
      <c r="BC444" s="183"/>
      <c r="BD444" s="183"/>
      <c r="BE444" s="183"/>
      <c r="BF444" s="184"/>
      <c r="BG444" s="183"/>
      <c r="BH444" s="183"/>
      <c r="BI444" s="183"/>
      <c r="BJ444" s="183"/>
      <c r="BK444" s="183"/>
      <c r="BL444" s="184"/>
      <c r="BM444" s="409"/>
      <c r="BN444" s="409"/>
    </row>
    <row r="445" spans="1:66" s="153" customFormat="1" x14ac:dyDescent="0.2">
      <c r="A445" s="61"/>
      <c r="B445" s="61"/>
      <c r="C445" s="61"/>
      <c r="D445" s="61"/>
      <c r="E445" s="61"/>
      <c r="F445" s="61"/>
      <c r="G445" s="61"/>
      <c r="H445" s="61"/>
      <c r="I445" s="61"/>
      <c r="J445" s="61"/>
      <c r="K445" s="61"/>
      <c r="L445" s="61"/>
      <c r="M445" s="61"/>
      <c r="N445" s="61"/>
      <c r="O445" s="61"/>
      <c r="P445" s="61"/>
      <c r="Q445" s="61"/>
      <c r="R445" s="61"/>
      <c r="S445" s="61"/>
      <c r="T445" s="35"/>
      <c r="U445" s="187"/>
      <c r="V445" s="190"/>
      <c r="W445" s="190"/>
      <c r="X445" s="190"/>
      <c r="Y445" s="190"/>
      <c r="Z445" s="190"/>
      <c r="AA445" s="191"/>
      <c r="AB445" s="190"/>
      <c r="AC445" s="190"/>
      <c r="AD445" s="190"/>
      <c r="AE445" s="190"/>
      <c r="AF445" s="190"/>
      <c r="AG445" s="190"/>
      <c r="AH445" s="191"/>
      <c r="AI445" s="190"/>
      <c r="AJ445" s="190"/>
      <c r="AK445" s="190"/>
      <c r="AL445" s="190"/>
      <c r="AM445" s="190"/>
      <c r="AN445" s="191"/>
      <c r="AO445" s="190"/>
      <c r="AP445" s="190"/>
      <c r="AQ445" s="190"/>
      <c r="AR445" s="190"/>
      <c r="AS445" s="190"/>
      <c r="AT445" s="191"/>
      <c r="AU445" s="190"/>
      <c r="AV445" s="190"/>
      <c r="AW445" s="190"/>
      <c r="AX445" s="190"/>
      <c r="AY445" s="190"/>
      <c r="AZ445" s="191"/>
      <c r="BA445" s="183"/>
      <c r="BB445" s="183"/>
      <c r="BC445" s="183"/>
      <c r="BD445" s="183"/>
      <c r="BE445" s="183"/>
      <c r="BF445" s="184"/>
      <c r="BG445" s="183"/>
      <c r="BH445" s="183"/>
      <c r="BI445" s="183"/>
      <c r="BJ445" s="183"/>
      <c r="BK445" s="183"/>
      <c r="BL445" s="184"/>
      <c r="BM445" s="409"/>
      <c r="BN445" s="409"/>
    </row>
    <row r="446" spans="1:66" s="153" customFormat="1" x14ac:dyDescent="0.2">
      <c r="A446" s="61"/>
      <c r="B446" s="61"/>
      <c r="C446" s="61"/>
      <c r="D446" s="61"/>
      <c r="E446" s="61"/>
      <c r="F446" s="61"/>
      <c r="G446" s="61"/>
      <c r="H446" s="61"/>
      <c r="I446" s="61"/>
      <c r="J446" s="61"/>
      <c r="K446" s="61"/>
      <c r="L446" s="61"/>
      <c r="M446" s="61"/>
      <c r="N446" s="61"/>
      <c r="O446" s="61"/>
      <c r="P446" s="61"/>
      <c r="Q446" s="61"/>
      <c r="R446" s="61"/>
      <c r="S446" s="61"/>
      <c r="T446" s="35"/>
      <c r="U446" s="187"/>
      <c r="V446" s="190"/>
      <c r="W446" s="190"/>
      <c r="X446" s="190"/>
      <c r="Y446" s="190"/>
      <c r="Z446" s="190"/>
      <c r="AA446" s="191"/>
      <c r="AB446" s="190"/>
      <c r="AC446" s="190"/>
      <c r="AD446" s="190"/>
      <c r="AE446" s="190"/>
      <c r="AF446" s="190"/>
      <c r="AG446" s="190"/>
      <c r="AH446" s="191"/>
      <c r="AI446" s="190"/>
      <c r="AJ446" s="190"/>
      <c r="AK446" s="190"/>
      <c r="AL446" s="190"/>
      <c r="AM446" s="190"/>
      <c r="AN446" s="191"/>
      <c r="AO446" s="190"/>
      <c r="AP446" s="190"/>
      <c r="AQ446" s="190"/>
      <c r="AR446" s="190"/>
      <c r="AS446" s="190"/>
      <c r="AT446" s="191"/>
      <c r="AU446" s="190"/>
      <c r="AV446" s="190"/>
      <c r="AW446" s="190"/>
      <c r="AX446" s="190"/>
      <c r="AY446" s="190"/>
      <c r="AZ446" s="191"/>
      <c r="BA446" s="183"/>
      <c r="BB446" s="183"/>
      <c r="BC446" s="183"/>
      <c r="BD446" s="183"/>
      <c r="BE446" s="183"/>
      <c r="BF446" s="184"/>
      <c r="BG446" s="183"/>
      <c r="BH446" s="183"/>
      <c r="BI446" s="183"/>
      <c r="BJ446" s="183"/>
      <c r="BK446" s="183"/>
      <c r="BL446" s="184"/>
      <c r="BM446" s="409"/>
      <c r="BN446" s="409"/>
    </row>
    <row r="447" spans="1:66" s="153" customFormat="1" x14ac:dyDescent="0.2">
      <c r="A447" s="61"/>
      <c r="B447" s="61"/>
      <c r="C447" s="61"/>
      <c r="D447" s="61"/>
      <c r="E447" s="61"/>
      <c r="F447" s="61"/>
      <c r="G447" s="61"/>
      <c r="H447" s="61"/>
      <c r="I447" s="61"/>
      <c r="J447" s="61"/>
      <c r="K447" s="61"/>
      <c r="L447" s="61"/>
      <c r="M447" s="61"/>
      <c r="N447" s="61"/>
      <c r="O447" s="61"/>
      <c r="P447" s="61"/>
      <c r="Q447" s="61"/>
      <c r="R447" s="61"/>
      <c r="S447" s="61"/>
      <c r="T447" s="35"/>
      <c r="U447" s="187"/>
      <c r="V447" s="190"/>
      <c r="W447" s="190"/>
      <c r="X447" s="190"/>
      <c r="Y447" s="190"/>
      <c r="Z447" s="190"/>
      <c r="AA447" s="191"/>
      <c r="AB447" s="190"/>
      <c r="AC447" s="190"/>
      <c r="AD447" s="190"/>
      <c r="AE447" s="190"/>
      <c r="AF447" s="190"/>
      <c r="AG447" s="190"/>
      <c r="AH447" s="191"/>
      <c r="AI447" s="190"/>
      <c r="AJ447" s="190"/>
      <c r="AK447" s="190"/>
      <c r="AL447" s="190"/>
      <c r="AM447" s="190"/>
      <c r="AN447" s="191"/>
      <c r="AO447" s="190"/>
      <c r="AP447" s="190"/>
      <c r="AQ447" s="190"/>
      <c r="AR447" s="190"/>
      <c r="AS447" s="190"/>
      <c r="AT447" s="191"/>
      <c r="AU447" s="190"/>
      <c r="AV447" s="190"/>
      <c r="AW447" s="190"/>
      <c r="AX447" s="190"/>
      <c r="AY447" s="190"/>
      <c r="AZ447" s="191"/>
      <c r="BA447" s="183"/>
      <c r="BB447" s="183"/>
      <c r="BC447" s="183"/>
      <c r="BD447" s="183"/>
      <c r="BE447" s="183"/>
      <c r="BF447" s="184"/>
      <c r="BG447" s="183"/>
      <c r="BH447" s="183"/>
      <c r="BI447" s="183"/>
      <c r="BJ447" s="183"/>
      <c r="BK447" s="183"/>
      <c r="BL447" s="184"/>
      <c r="BM447" s="409"/>
      <c r="BN447" s="409"/>
    </row>
    <row r="448" spans="1:66" s="153" customFormat="1" x14ac:dyDescent="0.2">
      <c r="A448" s="61"/>
      <c r="B448" s="61"/>
      <c r="C448" s="61"/>
      <c r="D448" s="61"/>
      <c r="E448" s="61"/>
      <c r="F448" s="61"/>
      <c r="G448" s="61"/>
      <c r="H448" s="61"/>
      <c r="I448" s="61"/>
      <c r="J448" s="61"/>
      <c r="K448" s="61"/>
      <c r="L448" s="61"/>
      <c r="M448" s="61"/>
      <c r="N448" s="61"/>
      <c r="O448" s="61"/>
      <c r="P448" s="61"/>
      <c r="Q448" s="61"/>
      <c r="R448" s="61"/>
      <c r="S448" s="61"/>
      <c r="T448" s="35"/>
      <c r="U448" s="187"/>
      <c r="V448" s="190"/>
      <c r="W448" s="190"/>
      <c r="X448" s="190"/>
      <c r="Y448" s="190"/>
      <c r="Z448" s="190"/>
      <c r="AA448" s="191"/>
      <c r="AB448" s="190"/>
      <c r="AC448" s="190"/>
      <c r="AD448" s="190"/>
      <c r="AE448" s="190"/>
      <c r="AF448" s="190"/>
      <c r="AG448" s="190"/>
      <c r="AH448" s="191"/>
      <c r="AI448" s="190"/>
      <c r="AJ448" s="190"/>
      <c r="AK448" s="190"/>
      <c r="AL448" s="190"/>
      <c r="AM448" s="190"/>
      <c r="AN448" s="191"/>
      <c r="AO448" s="190"/>
      <c r="AP448" s="190"/>
      <c r="AQ448" s="190"/>
      <c r="AR448" s="190"/>
      <c r="AS448" s="190"/>
      <c r="AT448" s="191"/>
      <c r="AU448" s="190"/>
      <c r="AV448" s="190"/>
      <c r="AW448" s="190"/>
      <c r="AX448" s="190"/>
      <c r="AY448" s="190"/>
      <c r="AZ448" s="191"/>
      <c r="BA448" s="183"/>
      <c r="BB448" s="183"/>
      <c r="BC448" s="183"/>
      <c r="BD448" s="183"/>
      <c r="BE448" s="183"/>
      <c r="BF448" s="184"/>
      <c r="BG448" s="183"/>
      <c r="BH448" s="183"/>
      <c r="BI448" s="183"/>
      <c r="BJ448" s="183"/>
      <c r="BK448" s="183"/>
      <c r="BL448" s="184"/>
      <c r="BM448" s="409"/>
      <c r="BN448" s="409"/>
    </row>
    <row r="449" spans="1:66" s="153" customFormat="1" x14ac:dyDescent="0.2">
      <c r="A449" s="61"/>
      <c r="B449" s="61"/>
      <c r="C449" s="61"/>
      <c r="D449" s="61"/>
      <c r="E449" s="61"/>
      <c r="F449" s="61"/>
      <c r="G449" s="61"/>
      <c r="H449" s="61"/>
      <c r="I449" s="61"/>
      <c r="J449" s="61"/>
      <c r="K449" s="61"/>
      <c r="L449" s="61"/>
      <c r="M449" s="61"/>
      <c r="N449" s="61"/>
      <c r="O449" s="61"/>
      <c r="P449" s="61"/>
      <c r="Q449" s="61"/>
      <c r="R449" s="61"/>
      <c r="S449" s="61"/>
      <c r="T449" s="35"/>
      <c r="U449" s="187"/>
      <c r="V449" s="190"/>
      <c r="W449" s="190"/>
      <c r="X449" s="190"/>
      <c r="Y449" s="190"/>
      <c r="Z449" s="190"/>
      <c r="AA449" s="191"/>
      <c r="AB449" s="190"/>
      <c r="AC449" s="190"/>
      <c r="AD449" s="190"/>
      <c r="AE449" s="190"/>
      <c r="AF449" s="190"/>
      <c r="AG449" s="190"/>
      <c r="AH449" s="191"/>
      <c r="AI449" s="190"/>
      <c r="AJ449" s="190"/>
      <c r="AK449" s="190"/>
      <c r="AL449" s="190"/>
      <c r="AM449" s="190"/>
      <c r="AN449" s="191"/>
      <c r="AO449" s="190"/>
      <c r="AP449" s="190"/>
      <c r="AQ449" s="190"/>
      <c r="AR449" s="190"/>
      <c r="AS449" s="190"/>
      <c r="AT449" s="191"/>
      <c r="AU449" s="190"/>
      <c r="AV449" s="190"/>
      <c r="AW449" s="190"/>
      <c r="AX449" s="190"/>
      <c r="AY449" s="190"/>
      <c r="AZ449" s="191"/>
      <c r="BA449" s="183"/>
      <c r="BB449" s="183"/>
      <c r="BC449" s="183"/>
      <c r="BD449" s="183"/>
      <c r="BE449" s="183"/>
      <c r="BF449" s="184"/>
      <c r="BG449" s="183"/>
      <c r="BH449" s="183"/>
      <c r="BI449" s="183"/>
      <c r="BJ449" s="183"/>
      <c r="BK449" s="183"/>
      <c r="BL449" s="184"/>
      <c r="BM449" s="409"/>
      <c r="BN449" s="409"/>
    </row>
    <row r="450" spans="1:66" s="153" customFormat="1" x14ac:dyDescent="0.2">
      <c r="A450" s="61"/>
      <c r="B450" s="61"/>
      <c r="C450" s="61"/>
      <c r="D450" s="61"/>
      <c r="E450" s="61"/>
      <c r="F450" s="61"/>
      <c r="G450" s="61"/>
      <c r="H450" s="61"/>
      <c r="I450" s="61"/>
      <c r="J450" s="61"/>
      <c r="K450" s="61"/>
      <c r="L450" s="61"/>
      <c r="M450" s="61"/>
      <c r="N450" s="61"/>
      <c r="O450" s="61"/>
      <c r="P450" s="61"/>
      <c r="Q450" s="61"/>
      <c r="R450" s="61"/>
      <c r="S450" s="61"/>
      <c r="T450" s="35"/>
      <c r="U450" s="187"/>
      <c r="V450" s="190"/>
      <c r="W450" s="190"/>
      <c r="X450" s="190"/>
      <c r="Y450" s="190"/>
      <c r="Z450" s="190"/>
      <c r="AA450" s="191"/>
      <c r="AB450" s="190"/>
      <c r="AC450" s="190"/>
      <c r="AD450" s="190"/>
      <c r="AE450" s="190"/>
      <c r="AF450" s="190"/>
      <c r="AG450" s="190"/>
      <c r="AH450" s="191"/>
      <c r="AI450" s="190"/>
      <c r="AJ450" s="190"/>
      <c r="AK450" s="190"/>
      <c r="AL450" s="190"/>
      <c r="AM450" s="190"/>
      <c r="AN450" s="191"/>
      <c r="AO450" s="190"/>
      <c r="AP450" s="190"/>
      <c r="AQ450" s="190"/>
      <c r="AR450" s="190"/>
      <c r="AS450" s="190"/>
      <c r="AT450" s="191"/>
      <c r="AU450" s="190"/>
      <c r="AV450" s="190"/>
      <c r="AW450" s="190"/>
      <c r="AX450" s="190"/>
      <c r="AY450" s="190"/>
      <c r="AZ450" s="191"/>
      <c r="BA450" s="183"/>
      <c r="BB450" s="183"/>
      <c r="BC450" s="183"/>
      <c r="BD450" s="183"/>
      <c r="BE450" s="183"/>
      <c r="BF450" s="184"/>
      <c r="BG450" s="183"/>
      <c r="BH450" s="183"/>
      <c r="BI450" s="183"/>
      <c r="BJ450" s="183"/>
      <c r="BK450" s="183"/>
      <c r="BL450" s="184"/>
      <c r="BM450" s="409"/>
      <c r="BN450" s="409"/>
    </row>
    <row r="451" spans="1:66" s="153" customFormat="1" x14ac:dyDescent="0.2">
      <c r="A451" s="61"/>
      <c r="B451" s="61"/>
      <c r="C451" s="61"/>
      <c r="D451" s="61"/>
      <c r="E451" s="61"/>
      <c r="F451" s="61"/>
      <c r="G451" s="61"/>
      <c r="H451" s="61"/>
      <c r="I451" s="61"/>
      <c r="J451" s="61"/>
      <c r="K451" s="61"/>
      <c r="L451" s="61"/>
      <c r="M451" s="61"/>
      <c r="N451" s="61"/>
      <c r="O451" s="61"/>
      <c r="P451" s="61"/>
      <c r="Q451" s="61"/>
      <c r="R451" s="61"/>
      <c r="S451" s="61"/>
      <c r="T451" s="35"/>
      <c r="U451" s="187"/>
      <c r="V451" s="190"/>
      <c r="W451" s="190"/>
      <c r="X451" s="190"/>
      <c r="Y451" s="190"/>
      <c r="Z451" s="190"/>
      <c r="AA451" s="191"/>
      <c r="AB451" s="190"/>
      <c r="AC451" s="190"/>
      <c r="AD451" s="190"/>
      <c r="AE451" s="190"/>
      <c r="AF451" s="190"/>
      <c r="AG451" s="190"/>
      <c r="AH451" s="191"/>
      <c r="AI451" s="190"/>
      <c r="AJ451" s="190"/>
      <c r="AK451" s="190"/>
      <c r="AL451" s="190"/>
      <c r="AM451" s="190"/>
      <c r="AN451" s="191"/>
      <c r="AO451" s="190"/>
      <c r="AP451" s="190"/>
      <c r="AQ451" s="190"/>
      <c r="AR451" s="190"/>
      <c r="AS451" s="190"/>
      <c r="AT451" s="191"/>
      <c r="AU451" s="190"/>
      <c r="AV451" s="190"/>
      <c r="AW451" s="190"/>
      <c r="AX451" s="190"/>
      <c r="AY451" s="190"/>
      <c r="AZ451" s="191"/>
      <c r="BA451" s="183"/>
      <c r="BB451" s="183"/>
      <c r="BC451" s="183"/>
      <c r="BD451" s="183"/>
      <c r="BE451" s="183"/>
      <c r="BF451" s="184"/>
      <c r="BG451" s="183"/>
      <c r="BH451" s="183"/>
      <c r="BI451" s="183"/>
      <c r="BJ451" s="183"/>
      <c r="BK451" s="183"/>
      <c r="BL451" s="184"/>
      <c r="BM451" s="409"/>
      <c r="BN451" s="409"/>
    </row>
    <row r="452" spans="1:66" s="153" customFormat="1" x14ac:dyDescent="0.2">
      <c r="A452" s="61"/>
      <c r="B452" s="61"/>
      <c r="C452" s="61"/>
      <c r="D452" s="61"/>
      <c r="E452" s="61"/>
      <c r="F452" s="61"/>
      <c r="G452" s="61"/>
      <c r="H452" s="61"/>
      <c r="I452" s="61"/>
      <c r="J452" s="61"/>
      <c r="K452" s="61"/>
      <c r="L452" s="61"/>
      <c r="M452" s="61"/>
      <c r="N452" s="61"/>
      <c r="O452" s="61"/>
      <c r="P452" s="61"/>
      <c r="Q452" s="61"/>
      <c r="R452" s="61"/>
      <c r="S452" s="61"/>
      <c r="T452" s="35"/>
      <c r="U452" s="187"/>
      <c r="V452" s="190"/>
      <c r="W452" s="190"/>
      <c r="X452" s="190"/>
      <c r="Y452" s="190"/>
      <c r="Z452" s="190"/>
      <c r="AA452" s="191"/>
      <c r="AB452" s="190"/>
      <c r="AC452" s="190"/>
      <c r="AD452" s="190"/>
      <c r="AE452" s="190"/>
      <c r="AF452" s="190"/>
      <c r="AG452" s="190"/>
      <c r="AH452" s="191"/>
      <c r="AI452" s="190"/>
      <c r="AJ452" s="190"/>
      <c r="AK452" s="190"/>
      <c r="AL452" s="190"/>
      <c r="AM452" s="190"/>
      <c r="AN452" s="191"/>
      <c r="AO452" s="190"/>
      <c r="AP452" s="190"/>
      <c r="AQ452" s="190"/>
      <c r="AR452" s="190"/>
      <c r="AS452" s="190"/>
      <c r="AT452" s="191"/>
      <c r="AU452" s="190"/>
      <c r="AV452" s="190"/>
      <c r="AW452" s="190"/>
      <c r="AX452" s="190"/>
      <c r="AY452" s="190"/>
      <c r="AZ452" s="191"/>
      <c r="BA452" s="183"/>
      <c r="BB452" s="183"/>
      <c r="BC452" s="183"/>
      <c r="BD452" s="183"/>
      <c r="BE452" s="183"/>
      <c r="BF452" s="184"/>
      <c r="BG452" s="183"/>
      <c r="BH452" s="183"/>
      <c r="BI452" s="183"/>
      <c r="BJ452" s="183"/>
      <c r="BK452" s="183"/>
      <c r="BL452" s="184"/>
      <c r="BM452" s="409"/>
      <c r="BN452" s="409"/>
    </row>
    <row r="453" spans="1:66" s="153" customFormat="1" x14ac:dyDescent="0.2">
      <c r="A453" s="61"/>
      <c r="B453" s="61"/>
      <c r="C453" s="61"/>
      <c r="D453" s="61"/>
      <c r="E453" s="61"/>
      <c r="F453" s="61"/>
      <c r="G453" s="61"/>
      <c r="H453" s="61"/>
      <c r="I453" s="61"/>
      <c r="J453" s="61"/>
      <c r="K453" s="61"/>
      <c r="L453" s="61"/>
      <c r="M453" s="61"/>
      <c r="N453" s="61"/>
      <c r="O453" s="61"/>
      <c r="P453" s="61"/>
      <c r="Q453" s="61"/>
      <c r="R453" s="61"/>
      <c r="S453" s="61"/>
      <c r="T453" s="35"/>
      <c r="U453" s="187"/>
      <c r="V453" s="190"/>
      <c r="W453" s="190"/>
      <c r="X453" s="190"/>
      <c r="Y453" s="190"/>
      <c r="Z453" s="190"/>
      <c r="AA453" s="191"/>
      <c r="AB453" s="190"/>
      <c r="AC453" s="190"/>
      <c r="AD453" s="190"/>
      <c r="AE453" s="190"/>
      <c r="AF453" s="190"/>
      <c r="AG453" s="190"/>
      <c r="AH453" s="191"/>
      <c r="AI453" s="190"/>
      <c r="AJ453" s="190"/>
      <c r="AK453" s="190"/>
      <c r="AL453" s="190"/>
      <c r="AM453" s="190"/>
      <c r="AN453" s="191"/>
      <c r="AO453" s="190"/>
      <c r="AP453" s="190"/>
      <c r="AQ453" s="190"/>
      <c r="AR453" s="190"/>
      <c r="AS453" s="190"/>
      <c r="AT453" s="191"/>
      <c r="AU453" s="190"/>
      <c r="AV453" s="190"/>
      <c r="AW453" s="190"/>
      <c r="AX453" s="190"/>
      <c r="AY453" s="190"/>
      <c r="AZ453" s="191"/>
      <c r="BA453" s="183"/>
      <c r="BB453" s="183"/>
      <c r="BC453" s="183"/>
      <c r="BD453" s="183"/>
      <c r="BE453" s="183"/>
      <c r="BF453" s="184"/>
      <c r="BG453" s="183"/>
      <c r="BH453" s="183"/>
      <c r="BI453" s="183"/>
      <c r="BJ453" s="183"/>
      <c r="BK453" s="183"/>
      <c r="BL453" s="184"/>
      <c r="BM453" s="409"/>
      <c r="BN453" s="409"/>
    </row>
    <row r="454" spans="1:66" s="153" customFormat="1" x14ac:dyDescent="0.2">
      <c r="A454" s="61"/>
      <c r="B454" s="61"/>
      <c r="C454" s="61"/>
      <c r="D454" s="61"/>
      <c r="E454" s="61"/>
      <c r="F454" s="61"/>
      <c r="G454" s="61"/>
      <c r="H454" s="61"/>
      <c r="I454" s="61"/>
      <c r="J454" s="61"/>
      <c r="K454" s="61"/>
      <c r="L454" s="61"/>
      <c r="M454" s="61"/>
      <c r="N454" s="61"/>
      <c r="O454" s="61"/>
      <c r="P454" s="61"/>
      <c r="Q454" s="61"/>
      <c r="R454" s="61"/>
      <c r="S454" s="61"/>
      <c r="T454" s="35"/>
      <c r="U454" s="187"/>
      <c r="V454" s="190"/>
      <c r="W454" s="190"/>
      <c r="X454" s="190"/>
      <c r="Y454" s="190"/>
      <c r="Z454" s="190"/>
      <c r="AA454" s="191"/>
      <c r="AB454" s="190"/>
      <c r="AC454" s="190"/>
      <c r="AD454" s="190"/>
      <c r="AE454" s="190"/>
      <c r="AF454" s="190"/>
      <c r="AG454" s="190"/>
      <c r="AH454" s="191"/>
      <c r="AI454" s="190"/>
      <c r="AJ454" s="190"/>
      <c r="AK454" s="190"/>
      <c r="AL454" s="190"/>
      <c r="AM454" s="190"/>
      <c r="AN454" s="191"/>
      <c r="AO454" s="190"/>
      <c r="AP454" s="190"/>
      <c r="AQ454" s="190"/>
      <c r="AR454" s="190"/>
      <c r="AS454" s="190"/>
      <c r="AT454" s="191"/>
      <c r="AU454" s="190"/>
      <c r="AV454" s="190"/>
      <c r="AW454" s="190"/>
      <c r="AX454" s="190"/>
      <c r="AY454" s="190"/>
      <c r="AZ454" s="191"/>
      <c r="BA454" s="183"/>
      <c r="BB454" s="183"/>
      <c r="BC454" s="183"/>
      <c r="BD454" s="183"/>
      <c r="BE454" s="183"/>
      <c r="BF454" s="184"/>
      <c r="BG454" s="183"/>
      <c r="BH454" s="183"/>
      <c r="BI454" s="183"/>
      <c r="BJ454" s="183"/>
      <c r="BK454" s="183"/>
      <c r="BL454" s="184"/>
      <c r="BM454" s="409"/>
      <c r="BN454" s="409"/>
    </row>
    <row r="455" spans="1:66" s="153" customFormat="1" x14ac:dyDescent="0.2">
      <c r="A455" s="61"/>
      <c r="B455" s="61"/>
      <c r="C455" s="61"/>
      <c r="D455" s="61"/>
      <c r="E455" s="61"/>
      <c r="F455" s="61"/>
      <c r="G455" s="61"/>
      <c r="H455" s="61"/>
      <c r="I455" s="61"/>
      <c r="J455" s="61"/>
      <c r="K455" s="61"/>
      <c r="L455" s="61"/>
      <c r="M455" s="61"/>
      <c r="N455" s="61"/>
      <c r="O455" s="61"/>
      <c r="P455" s="61"/>
      <c r="Q455" s="61"/>
      <c r="R455" s="61"/>
      <c r="S455" s="61"/>
      <c r="T455" s="35"/>
      <c r="U455" s="187"/>
      <c r="V455" s="190"/>
      <c r="W455" s="190"/>
      <c r="X455" s="190"/>
      <c r="Y455" s="190"/>
      <c r="Z455" s="190"/>
      <c r="AA455" s="191"/>
      <c r="AB455" s="190"/>
      <c r="AC455" s="190"/>
      <c r="AD455" s="190"/>
      <c r="AE455" s="190"/>
      <c r="AF455" s="190"/>
      <c r="AG455" s="190"/>
      <c r="AH455" s="191"/>
      <c r="AI455" s="190"/>
      <c r="AJ455" s="190"/>
      <c r="AK455" s="190"/>
      <c r="AL455" s="190"/>
      <c r="AM455" s="190"/>
      <c r="AN455" s="191"/>
      <c r="AO455" s="190"/>
      <c r="AP455" s="190"/>
      <c r="AQ455" s="190"/>
      <c r="AR455" s="190"/>
      <c r="AS455" s="190"/>
      <c r="AT455" s="191"/>
      <c r="AU455" s="190"/>
      <c r="AV455" s="190"/>
      <c r="AW455" s="190"/>
      <c r="AX455" s="190"/>
      <c r="AY455" s="190"/>
      <c r="AZ455" s="191"/>
      <c r="BA455" s="183"/>
      <c r="BB455" s="183"/>
      <c r="BC455" s="183"/>
      <c r="BD455" s="183"/>
      <c r="BE455" s="183"/>
      <c r="BF455" s="184"/>
      <c r="BG455" s="183"/>
      <c r="BH455" s="183"/>
      <c r="BI455" s="183"/>
      <c r="BJ455" s="183"/>
      <c r="BK455" s="183"/>
      <c r="BL455" s="184"/>
      <c r="BM455" s="409"/>
      <c r="BN455" s="409"/>
    </row>
    <row r="456" spans="1:66" s="153" customFormat="1" x14ac:dyDescent="0.2">
      <c r="A456" s="61"/>
      <c r="B456" s="61"/>
      <c r="C456" s="61"/>
      <c r="D456" s="61"/>
      <c r="E456" s="61"/>
      <c r="F456" s="61"/>
      <c r="G456" s="61"/>
      <c r="H456" s="61"/>
      <c r="I456" s="61"/>
      <c r="J456" s="61"/>
      <c r="K456" s="61"/>
      <c r="L456" s="61"/>
      <c r="M456" s="61"/>
      <c r="N456" s="61"/>
      <c r="O456" s="61"/>
      <c r="P456" s="61"/>
      <c r="Q456" s="61"/>
      <c r="R456" s="61"/>
      <c r="S456" s="61"/>
      <c r="T456" s="35"/>
      <c r="U456" s="187"/>
      <c r="V456" s="190"/>
      <c r="W456" s="190"/>
      <c r="X456" s="190"/>
      <c r="Y456" s="190"/>
      <c r="Z456" s="190"/>
      <c r="AA456" s="191"/>
      <c r="AB456" s="190"/>
      <c r="AC456" s="190"/>
      <c r="AD456" s="190"/>
      <c r="AE456" s="190"/>
      <c r="AF456" s="190"/>
      <c r="AG456" s="190"/>
      <c r="AH456" s="191"/>
      <c r="AI456" s="190"/>
      <c r="AJ456" s="190"/>
      <c r="AK456" s="190"/>
      <c r="AL456" s="190"/>
      <c r="AM456" s="190"/>
      <c r="AN456" s="191"/>
      <c r="AO456" s="190"/>
      <c r="AP456" s="190"/>
      <c r="AQ456" s="190"/>
      <c r="AR456" s="190"/>
      <c r="AS456" s="190"/>
      <c r="AT456" s="191"/>
      <c r="AU456" s="190"/>
      <c r="AV456" s="190"/>
      <c r="AW456" s="190"/>
      <c r="AX456" s="190"/>
      <c r="AY456" s="190"/>
      <c r="AZ456" s="191"/>
      <c r="BA456" s="183"/>
      <c r="BB456" s="183"/>
      <c r="BC456" s="183"/>
      <c r="BD456" s="183"/>
      <c r="BE456" s="183"/>
      <c r="BF456" s="184"/>
      <c r="BG456" s="183"/>
      <c r="BH456" s="183"/>
      <c r="BI456" s="183"/>
      <c r="BJ456" s="183"/>
      <c r="BK456" s="183"/>
      <c r="BL456" s="184"/>
      <c r="BM456" s="409"/>
      <c r="BN456" s="409"/>
    </row>
    <row r="457" spans="1:66" s="153" customFormat="1" x14ac:dyDescent="0.2">
      <c r="A457" s="61"/>
      <c r="B457" s="61"/>
      <c r="C457" s="61"/>
      <c r="D457" s="61"/>
      <c r="E457" s="61"/>
      <c r="F457" s="61"/>
      <c r="G457" s="61"/>
      <c r="H457" s="61"/>
      <c r="I457" s="61"/>
      <c r="J457" s="61"/>
      <c r="K457" s="61"/>
      <c r="L457" s="61"/>
      <c r="M457" s="61"/>
      <c r="N457" s="61"/>
      <c r="O457" s="61"/>
      <c r="P457" s="61"/>
      <c r="Q457" s="61"/>
      <c r="R457" s="61"/>
      <c r="S457" s="61"/>
      <c r="T457" s="35"/>
      <c r="U457" s="187"/>
      <c r="V457" s="190"/>
      <c r="W457" s="190"/>
      <c r="X457" s="190"/>
      <c r="Y457" s="190"/>
      <c r="Z457" s="190"/>
      <c r="AA457" s="191"/>
      <c r="AB457" s="190"/>
      <c r="AC457" s="190"/>
      <c r="AD457" s="190"/>
      <c r="AE457" s="190"/>
      <c r="AF457" s="190"/>
      <c r="AG457" s="190"/>
      <c r="AH457" s="191"/>
      <c r="AI457" s="190"/>
      <c r="AJ457" s="190"/>
      <c r="AK457" s="190"/>
      <c r="AL457" s="190"/>
      <c r="AM457" s="190"/>
      <c r="AN457" s="191"/>
      <c r="AO457" s="190"/>
      <c r="AP457" s="190"/>
      <c r="AQ457" s="190"/>
      <c r="AR457" s="190"/>
      <c r="AS457" s="190"/>
      <c r="AT457" s="191"/>
      <c r="AU457" s="190"/>
      <c r="AV457" s="190"/>
      <c r="AW457" s="190"/>
      <c r="AX457" s="190"/>
      <c r="AY457" s="190"/>
      <c r="AZ457" s="191"/>
      <c r="BA457" s="183"/>
      <c r="BB457" s="183"/>
      <c r="BC457" s="183"/>
      <c r="BD457" s="183"/>
      <c r="BE457" s="183"/>
      <c r="BF457" s="184"/>
      <c r="BG457" s="183"/>
      <c r="BH457" s="183"/>
      <c r="BI457" s="183"/>
      <c r="BJ457" s="183"/>
      <c r="BK457" s="183"/>
      <c r="BL457" s="184"/>
      <c r="BM457" s="409"/>
      <c r="BN457" s="409"/>
    </row>
    <row r="458" spans="1:66" s="153" customFormat="1" x14ac:dyDescent="0.2">
      <c r="A458" s="61"/>
      <c r="B458" s="61"/>
      <c r="C458" s="61"/>
      <c r="D458" s="61"/>
      <c r="E458" s="61"/>
      <c r="F458" s="61"/>
      <c r="G458" s="61"/>
      <c r="H458" s="61"/>
      <c r="I458" s="61"/>
      <c r="J458" s="61"/>
      <c r="K458" s="61"/>
      <c r="L458" s="61"/>
      <c r="M458" s="61"/>
      <c r="N458" s="61"/>
      <c r="O458" s="61"/>
      <c r="P458" s="61"/>
      <c r="Q458" s="61"/>
      <c r="R458" s="61"/>
      <c r="S458" s="61"/>
      <c r="T458" s="35"/>
      <c r="U458" s="187"/>
      <c r="V458" s="190"/>
      <c r="W458" s="190"/>
      <c r="X458" s="190"/>
      <c r="Y458" s="190"/>
      <c r="Z458" s="190"/>
      <c r="AA458" s="191"/>
      <c r="AB458" s="190"/>
      <c r="AC458" s="190"/>
      <c r="AD458" s="190"/>
      <c r="AE458" s="190"/>
      <c r="AF458" s="190"/>
      <c r="AG458" s="190"/>
      <c r="AH458" s="191"/>
      <c r="AI458" s="190"/>
      <c r="AJ458" s="190"/>
      <c r="AK458" s="190"/>
      <c r="AL458" s="190"/>
      <c r="AM458" s="190"/>
      <c r="AN458" s="191"/>
      <c r="AO458" s="190"/>
      <c r="AP458" s="190"/>
      <c r="AQ458" s="190"/>
      <c r="AR458" s="190"/>
      <c r="AS458" s="190"/>
      <c r="AT458" s="191"/>
      <c r="AU458" s="190"/>
      <c r="AV458" s="190"/>
      <c r="AW458" s="190"/>
      <c r="AX458" s="190"/>
      <c r="AY458" s="190"/>
      <c r="AZ458" s="191"/>
      <c r="BA458" s="183"/>
      <c r="BB458" s="183"/>
      <c r="BC458" s="183"/>
      <c r="BD458" s="183"/>
      <c r="BE458" s="183"/>
      <c r="BF458" s="184"/>
      <c r="BG458" s="183"/>
      <c r="BH458" s="183"/>
      <c r="BI458" s="183"/>
      <c r="BJ458" s="183"/>
      <c r="BK458" s="183"/>
      <c r="BL458" s="184"/>
      <c r="BM458" s="409"/>
      <c r="BN458" s="409"/>
    </row>
    <row r="459" spans="1:66" s="153" customFormat="1" x14ac:dyDescent="0.2">
      <c r="A459" s="61"/>
      <c r="B459" s="61"/>
      <c r="C459" s="61"/>
      <c r="D459" s="61"/>
      <c r="E459" s="61"/>
      <c r="F459" s="61"/>
      <c r="G459" s="61"/>
      <c r="H459" s="61"/>
      <c r="I459" s="61"/>
      <c r="J459" s="61"/>
      <c r="K459" s="61"/>
      <c r="L459" s="61"/>
      <c r="M459" s="61"/>
      <c r="N459" s="61"/>
      <c r="O459" s="61"/>
      <c r="P459" s="61"/>
      <c r="Q459" s="61"/>
      <c r="R459" s="61"/>
      <c r="S459" s="61"/>
      <c r="T459" s="35"/>
      <c r="U459" s="187"/>
      <c r="V459" s="190"/>
      <c r="W459" s="190"/>
      <c r="X459" s="190"/>
      <c r="Y459" s="190"/>
      <c r="Z459" s="190"/>
      <c r="AA459" s="191"/>
      <c r="AB459" s="190"/>
      <c r="AC459" s="190"/>
      <c r="AD459" s="190"/>
      <c r="AE459" s="190"/>
      <c r="AF459" s="190"/>
      <c r="AG459" s="190"/>
      <c r="AH459" s="191"/>
      <c r="AI459" s="190"/>
      <c r="AJ459" s="190"/>
      <c r="AK459" s="190"/>
      <c r="AL459" s="190"/>
      <c r="AM459" s="190"/>
      <c r="AN459" s="191"/>
      <c r="AO459" s="190"/>
      <c r="AP459" s="190"/>
      <c r="AQ459" s="190"/>
      <c r="AR459" s="190"/>
      <c r="AS459" s="190"/>
      <c r="AT459" s="191"/>
      <c r="AU459" s="190"/>
      <c r="AV459" s="190"/>
      <c r="AW459" s="190"/>
      <c r="AX459" s="190"/>
      <c r="AY459" s="190"/>
      <c r="AZ459" s="191"/>
      <c r="BA459" s="183"/>
      <c r="BB459" s="183"/>
      <c r="BC459" s="183"/>
      <c r="BD459" s="183"/>
      <c r="BE459" s="183"/>
      <c r="BF459" s="184"/>
      <c r="BG459" s="183"/>
      <c r="BH459" s="183"/>
      <c r="BI459" s="183"/>
      <c r="BJ459" s="183"/>
      <c r="BK459" s="183"/>
      <c r="BL459" s="184"/>
      <c r="BM459" s="409"/>
      <c r="BN459" s="409"/>
    </row>
    <row r="460" spans="1:66" s="153" customFormat="1" x14ac:dyDescent="0.2">
      <c r="A460" s="61"/>
      <c r="B460" s="61"/>
      <c r="C460" s="61"/>
      <c r="D460" s="61"/>
      <c r="E460" s="61"/>
      <c r="F460" s="61"/>
      <c r="G460" s="61"/>
      <c r="H460" s="61"/>
      <c r="I460" s="61"/>
      <c r="J460" s="61"/>
      <c r="K460" s="61"/>
      <c r="L460" s="61"/>
      <c r="M460" s="61"/>
      <c r="N460" s="61"/>
      <c r="O460" s="61"/>
      <c r="P460" s="61"/>
      <c r="Q460" s="61"/>
      <c r="R460" s="61"/>
      <c r="S460" s="61"/>
      <c r="T460" s="35"/>
      <c r="U460" s="187"/>
      <c r="V460" s="190"/>
      <c r="W460" s="190"/>
      <c r="X460" s="190"/>
      <c r="Y460" s="190"/>
      <c r="Z460" s="190"/>
      <c r="AA460" s="191"/>
      <c r="AB460" s="190"/>
      <c r="AC460" s="190"/>
      <c r="AD460" s="190"/>
      <c r="AE460" s="190"/>
      <c r="AF460" s="190"/>
      <c r="AG460" s="190"/>
      <c r="AH460" s="191"/>
      <c r="AI460" s="190"/>
      <c r="AJ460" s="190"/>
      <c r="AK460" s="190"/>
      <c r="AL460" s="190"/>
      <c r="AM460" s="190"/>
      <c r="AN460" s="191"/>
      <c r="AO460" s="190"/>
      <c r="AP460" s="190"/>
      <c r="AQ460" s="190"/>
      <c r="AR460" s="190"/>
      <c r="AS460" s="190"/>
      <c r="AT460" s="191"/>
      <c r="AU460" s="190"/>
      <c r="AV460" s="190"/>
      <c r="AW460" s="190"/>
      <c r="AX460" s="190"/>
      <c r="AY460" s="190"/>
      <c r="AZ460" s="191"/>
      <c r="BA460" s="183"/>
      <c r="BB460" s="183"/>
      <c r="BC460" s="183"/>
      <c r="BD460" s="183"/>
      <c r="BE460" s="183"/>
      <c r="BF460" s="184"/>
      <c r="BG460" s="183"/>
      <c r="BH460" s="183"/>
      <c r="BI460" s="183"/>
      <c r="BJ460" s="183"/>
      <c r="BK460" s="183"/>
      <c r="BL460" s="184"/>
      <c r="BM460" s="409"/>
      <c r="BN460" s="409"/>
    </row>
    <row r="461" spans="1:66" s="153" customFormat="1" x14ac:dyDescent="0.2">
      <c r="A461" s="61"/>
      <c r="B461" s="61"/>
      <c r="C461" s="61"/>
      <c r="D461" s="61"/>
      <c r="E461" s="61"/>
      <c r="F461" s="61"/>
      <c r="G461" s="61"/>
      <c r="H461" s="61"/>
      <c r="I461" s="61"/>
      <c r="J461" s="61"/>
      <c r="K461" s="61"/>
      <c r="L461" s="61"/>
      <c r="M461" s="61"/>
      <c r="N461" s="61"/>
      <c r="O461" s="61"/>
      <c r="P461" s="61"/>
      <c r="Q461" s="61"/>
      <c r="R461" s="61"/>
      <c r="S461" s="61"/>
      <c r="T461" s="35"/>
      <c r="U461" s="187"/>
      <c r="V461" s="190"/>
      <c r="W461" s="190"/>
      <c r="X461" s="190"/>
      <c r="Y461" s="190"/>
      <c r="Z461" s="190"/>
      <c r="AA461" s="191"/>
      <c r="AB461" s="190"/>
      <c r="AC461" s="190"/>
      <c r="AD461" s="190"/>
      <c r="AE461" s="190"/>
      <c r="AF461" s="190"/>
      <c r="AG461" s="190"/>
      <c r="AH461" s="191"/>
      <c r="AI461" s="190"/>
      <c r="AJ461" s="190"/>
      <c r="AK461" s="190"/>
      <c r="AL461" s="190"/>
      <c r="AM461" s="190"/>
      <c r="AN461" s="191"/>
      <c r="AO461" s="190"/>
      <c r="AP461" s="190"/>
      <c r="AQ461" s="190"/>
      <c r="AR461" s="190"/>
      <c r="AS461" s="190"/>
      <c r="AT461" s="191"/>
      <c r="AU461" s="190"/>
      <c r="AV461" s="190"/>
      <c r="AW461" s="190"/>
      <c r="AX461" s="190"/>
      <c r="AY461" s="190"/>
      <c r="AZ461" s="191"/>
      <c r="BA461" s="183"/>
      <c r="BB461" s="183"/>
      <c r="BC461" s="183"/>
      <c r="BD461" s="183"/>
      <c r="BE461" s="183"/>
      <c r="BF461" s="184"/>
      <c r="BG461" s="183"/>
      <c r="BH461" s="183"/>
      <c r="BI461" s="183"/>
      <c r="BJ461" s="183"/>
      <c r="BK461" s="183"/>
      <c r="BL461" s="184"/>
      <c r="BM461" s="409"/>
      <c r="BN461" s="409"/>
    </row>
    <row r="462" spans="1:66" s="153" customFormat="1" x14ac:dyDescent="0.2">
      <c r="A462" s="61"/>
      <c r="B462" s="61"/>
      <c r="C462" s="61"/>
      <c r="D462" s="61"/>
      <c r="E462" s="61"/>
      <c r="F462" s="61"/>
      <c r="G462" s="61"/>
      <c r="H462" s="61"/>
      <c r="I462" s="61"/>
      <c r="J462" s="61"/>
      <c r="K462" s="61"/>
      <c r="L462" s="61"/>
      <c r="M462" s="61"/>
      <c r="N462" s="61"/>
      <c r="O462" s="61"/>
      <c r="P462" s="61"/>
      <c r="Q462" s="61"/>
      <c r="R462" s="61"/>
      <c r="S462" s="61"/>
      <c r="T462" s="35"/>
      <c r="U462" s="187"/>
      <c r="V462" s="190"/>
      <c r="W462" s="190"/>
      <c r="X462" s="190"/>
      <c r="Y462" s="190"/>
      <c r="Z462" s="190"/>
      <c r="AA462" s="191"/>
      <c r="AB462" s="190"/>
      <c r="AC462" s="190"/>
      <c r="AD462" s="190"/>
      <c r="AE462" s="190"/>
      <c r="AF462" s="190"/>
      <c r="AG462" s="190"/>
      <c r="AH462" s="191"/>
      <c r="AI462" s="190"/>
      <c r="AJ462" s="190"/>
      <c r="AK462" s="190"/>
      <c r="AL462" s="190"/>
      <c r="AM462" s="190"/>
      <c r="AN462" s="191"/>
      <c r="AO462" s="190"/>
      <c r="AP462" s="190"/>
      <c r="AQ462" s="190"/>
      <c r="AR462" s="190"/>
      <c r="AS462" s="190"/>
      <c r="AT462" s="191"/>
      <c r="AU462" s="190"/>
      <c r="AV462" s="190"/>
      <c r="AW462" s="190"/>
      <c r="AX462" s="190"/>
      <c r="AY462" s="190"/>
      <c r="AZ462" s="191"/>
      <c r="BA462" s="183"/>
      <c r="BB462" s="183"/>
      <c r="BC462" s="183"/>
      <c r="BD462" s="183"/>
      <c r="BE462" s="183"/>
      <c r="BF462" s="184"/>
      <c r="BG462" s="183"/>
      <c r="BH462" s="183"/>
      <c r="BI462" s="183"/>
      <c r="BJ462" s="183"/>
      <c r="BK462" s="183"/>
      <c r="BL462" s="184"/>
      <c r="BM462" s="409"/>
      <c r="BN462" s="409"/>
    </row>
    <row r="463" spans="1:66" s="153" customFormat="1" x14ac:dyDescent="0.2">
      <c r="A463" s="61"/>
      <c r="B463" s="61"/>
      <c r="C463" s="61"/>
      <c r="D463" s="61"/>
      <c r="E463" s="61"/>
      <c r="F463" s="61"/>
      <c r="G463" s="61"/>
      <c r="H463" s="61"/>
      <c r="I463" s="61"/>
      <c r="J463" s="61"/>
      <c r="K463" s="61"/>
      <c r="L463" s="61"/>
      <c r="M463" s="61"/>
      <c r="N463" s="61"/>
      <c r="O463" s="61"/>
      <c r="P463" s="61"/>
      <c r="Q463" s="61"/>
      <c r="R463" s="61"/>
      <c r="S463" s="61"/>
      <c r="T463" s="35"/>
      <c r="U463" s="187"/>
      <c r="V463" s="190"/>
      <c r="W463" s="190"/>
      <c r="X463" s="190"/>
      <c r="Y463" s="190"/>
      <c r="Z463" s="190"/>
      <c r="AA463" s="191"/>
      <c r="AB463" s="190"/>
      <c r="AC463" s="190"/>
      <c r="AD463" s="190"/>
      <c r="AE463" s="190"/>
      <c r="AF463" s="190"/>
      <c r="AG463" s="190"/>
      <c r="AH463" s="191"/>
      <c r="AI463" s="190"/>
      <c r="AJ463" s="190"/>
      <c r="AK463" s="190"/>
      <c r="AL463" s="190"/>
      <c r="AM463" s="190"/>
      <c r="AN463" s="191"/>
      <c r="AO463" s="190"/>
      <c r="AP463" s="190"/>
      <c r="AQ463" s="190"/>
      <c r="AR463" s="190"/>
      <c r="AS463" s="190"/>
      <c r="AT463" s="191"/>
      <c r="AU463" s="190"/>
      <c r="AV463" s="190"/>
      <c r="AW463" s="190"/>
      <c r="AX463" s="190"/>
      <c r="AY463" s="190"/>
      <c r="AZ463" s="191"/>
      <c r="BA463" s="183"/>
      <c r="BB463" s="183"/>
      <c r="BC463" s="183"/>
      <c r="BD463" s="183"/>
      <c r="BE463" s="183"/>
      <c r="BF463" s="184"/>
      <c r="BG463" s="183"/>
      <c r="BH463" s="183"/>
      <c r="BI463" s="183"/>
      <c r="BJ463" s="183"/>
      <c r="BK463" s="183"/>
      <c r="BL463" s="184"/>
      <c r="BM463" s="409"/>
      <c r="BN463" s="409"/>
    </row>
    <row r="464" spans="1:66" s="153" customFormat="1" x14ac:dyDescent="0.2">
      <c r="A464" s="61"/>
      <c r="B464" s="61"/>
      <c r="C464" s="61"/>
      <c r="D464" s="61"/>
      <c r="E464" s="61"/>
      <c r="F464" s="61"/>
      <c r="G464" s="61"/>
      <c r="H464" s="61"/>
      <c r="I464" s="61"/>
      <c r="J464" s="61"/>
      <c r="K464" s="61"/>
      <c r="L464" s="61"/>
      <c r="M464" s="61"/>
      <c r="N464" s="61"/>
      <c r="O464" s="61"/>
      <c r="P464" s="61"/>
      <c r="Q464" s="61"/>
      <c r="R464" s="61"/>
      <c r="S464" s="61"/>
      <c r="T464" s="35"/>
      <c r="U464" s="187"/>
      <c r="V464" s="190"/>
      <c r="W464" s="190"/>
      <c r="X464" s="190"/>
      <c r="Y464" s="190"/>
      <c r="Z464" s="190"/>
      <c r="AA464" s="191"/>
      <c r="AB464" s="190"/>
      <c r="AC464" s="190"/>
      <c r="AD464" s="190"/>
      <c r="AE464" s="190"/>
      <c r="AF464" s="190"/>
      <c r="AG464" s="190"/>
      <c r="AH464" s="191"/>
      <c r="AI464" s="190"/>
      <c r="AJ464" s="190"/>
      <c r="AK464" s="190"/>
      <c r="AL464" s="190"/>
      <c r="AM464" s="190"/>
      <c r="AN464" s="191"/>
      <c r="AO464" s="190"/>
      <c r="AP464" s="190"/>
      <c r="AQ464" s="190"/>
      <c r="AR464" s="190"/>
      <c r="AS464" s="190"/>
      <c r="AT464" s="191"/>
      <c r="AU464" s="190"/>
      <c r="AV464" s="190"/>
      <c r="AW464" s="190"/>
      <c r="AX464" s="190"/>
      <c r="AY464" s="190"/>
      <c r="AZ464" s="191"/>
      <c r="BA464" s="183"/>
      <c r="BB464" s="183"/>
      <c r="BC464" s="183"/>
      <c r="BD464" s="183"/>
      <c r="BE464" s="183"/>
      <c r="BF464" s="184"/>
      <c r="BG464" s="183"/>
      <c r="BH464" s="183"/>
      <c r="BI464" s="183"/>
      <c r="BJ464" s="183"/>
      <c r="BK464" s="183"/>
      <c r="BL464" s="184"/>
      <c r="BM464" s="409"/>
      <c r="BN464" s="409"/>
    </row>
    <row r="465" spans="1:66" s="153" customFormat="1" x14ac:dyDescent="0.2">
      <c r="A465" s="61"/>
      <c r="B465" s="61"/>
      <c r="C465" s="61"/>
      <c r="D465" s="61"/>
      <c r="E465" s="61"/>
      <c r="F465" s="61"/>
      <c r="G465" s="61"/>
      <c r="H465" s="61"/>
      <c r="I465" s="61"/>
      <c r="J465" s="61"/>
      <c r="K465" s="61"/>
      <c r="L465" s="61"/>
      <c r="M465" s="61"/>
      <c r="N465" s="61"/>
      <c r="O465" s="61"/>
      <c r="P465" s="61"/>
      <c r="Q465" s="61"/>
      <c r="R465" s="61"/>
      <c r="S465" s="61"/>
      <c r="T465" s="35"/>
      <c r="U465" s="187"/>
      <c r="V465" s="190"/>
      <c r="W465" s="190"/>
      <c r="X465" s="190"/>
      <c r="Y465" s="190"/>
      <c r="Z465" s="190"/>
      <c r="AA465" s="191"/>
      <c r="AB465" s="190"/>
      <c r="AC465" s="190"/>
      <c r="AD465" s="190"/>
      <c r="AE465" s="190"/>
      <c r="AF465" s="190"/>
      <c r="AG465" s="190"/>
      <c r="AH465" s="191"/>
      <c r="AI465" s="190"/>
      <c r="AJ465" s="190"/>
      <c r="AK465" s="190"/>
      <c r="AL465" s="190"/>
      <c r="AM465" s="190"/>
      <c r="AN465" s="191"/>
      <c r="AO465" s="190"/>
      <c r="AP465" s="190"/>
      <c r="AQ465" s="190"/>
      <c r="AR465" s="190"/>
      <c r="AS465" s="190"/>
      <c r="AT465" s="191"/>
      <c r="AU465" s="190"/>
      <c r="AV465" s="190"/>
      <c r="AW465" s="190"/>
      <c r="AX465" s="190"/>
      <c r="AY465" s="190"/>
      <c r="AZ465" s="191"/>
      <c r="BA465" s="183"/>
      <c r="BB465" s="183"/>
      <c r="BC465" s="183"/>
      <c r="BD465" s="183"/>
      <c r="BE465" s="183"/>
      <c r="BF465" s="184"/>
      <c r="BG465" s="183"/>
      <c r="BH465" s="183"/>
      <c r="BI465" s="183"/>
      <c r="BJ465" s="183"/>
      <c r="BK465" s="183"/>
      <c r="BL465" s="184"/>
      <c r="BM465" s="409"/>
      <c r="BN465" s="409"/>
    </row>
    <row r="466" spans="1:66" s="153" customFormat="1" x14ac:dyDescent="0.2">
      <c r="A466" s="61"/>
      <c r="B466" s="61"/>
      <c r="C466" s="61"/>
      <c r="D466" s="61"/>
      <c r="E466" s="61"/>
      <c r="F466" s="61"/>
      <c r="G466" s="61"/>
      <c r="H466" s="61"/>
      <c r="I466" s="61"/>
      <c r="J466" s="61"/>
      <c r="K466" s="61"/>
      <c r="L466" s="61"/>
      <c r="M466" s="61"/>
      <c r="N466" s="61"/>
      <c r="O466" s="61"/>
      <c r="P466" s="61"/>
      <c r="Q466" s="61"/>
      <c r="R466" s="61"/>
      <c r="S466" s="61"/>
      <c r="T466" s="35"/>
      <c r="U466" s="187"/>
      <c r="V466" s="190"/>
      <c r="W466" s="190"/>
      <c r="X466" s="190"/>
      <c r="Y466" s="190"/>
      <c r="Z466" s="190"/>
      <c r="AA466" s="191"/>
      <c r="AB466" s="190"/>
      <c r="AC466" s="190"/>
      <c r="AD466" s="190"/>
      <c r="AE466" s="190"/>
      <c r="AF466" s="190"/>
      <c r="AG466" s="190"/>
      <c r="AH466" s="191"/>
      <c r="AI466" s="190"/>
      <c r="AJ466" s="190"/>
      <c r="AK466" s="190"/>
      <c r="AL466" s="190"/>
      <c r="AM466" s="190"/>
      <c r="AN466" s="191"/>
      <c r="AO466" s="190"/>
      <c r="AP466" s="190"/>
      <c r="AQ466" s="190"/>
      <c r="AR466" s="190"/>
      <c r="AS466" s="190"/>
      <c r="AT466" s="191"/>
      <c r="AU466" s="190"/>
      <c r="AV466" s="190"/>
      <c r="AW466" s="190"/>
      <c r="AX466" s="190"/>
      <c r="AY466" s="190"/>
      <c r="AZ466" s="191"/>
      <c r="BA466" s="183"/>
      <c r="BB466" s="183"/>
      <c r="BC466" s="183"/>
      <c r="BD466" s="183"/>
      <c r="BE466" s="183"/>
      <c r="BF466" s="184"/>
      <c r="BG466" s="183"/>
      <c r="BH466" s="183"/>
      <c r="BI466" s="183"/>
      <c r="BJ466" s="183"/>
      <c r="BK466" s="183"/>
      <c r="BL466" s="184"/>
      <c r="BM466" s="409"/>
      <c r="BN466" s="409"/>
    </row>
    <row r="467" spans="1:66" s="153" customFormat="1" x14ac:dyDescent="0.2">
      <c r="A467" s="61"/>
      <c r="B467" s="61"/>
      <c r="C467" s="61"/>
      <c r="D467" s="61"/>
      <c r="E467" s="61"/>
      <c r="F467" s="61"/>
      <c r="G467" s="61"/>
      <c r="H467" s="61"/>
      <c r="I467" s="61"/>
      <c r="J467" s="61"/>
      <c r="K467" s="61"/>
      <c r="L467" s="61"/>
      <c r="M467" s="61"/>
      <c r="N467" s="61"/>
      <c r="O467" s="61"/>
      <c r="P467" s="61"/>
      <c r="Q467" s="61"/>
      <c r="R467" s="61"/>
      <c r="S467" s="61"/>
      <c r="T467" s="35"/>
      <c r="U467" s="187"/>
      <c r="V467" s="190"/>
      <c r="W467" s="190"/>
      <c r="X467" s="190"/>
      <c r="Y467" s="190"/>
      <c r="Z467" s="190"/>
      <c r="AA467" s="191"/>
      <c r="AB467" s="190"/>
      <c r="AC467" s="190"/>
      <c r="AD467" s="190"/>
      <c r="AE467" s="190"/>
      <c r="AF467" s="190"/>
      <c r="AG467" s="190"/>
      <c r="AH467" s="191"/>
      <c r="AI467" s="190"/>
      <c r="AJ467" s="190"/>
      <c r="AK467" s="190"/>
      <c r="AL467" s="190"/>
      <c r="AM467" s="190"/>
      <c r="AN467" s="191"/>
      <c r="AO467" s="190"/>
      <c r="AP467" s="190"/>
      <c r="AQ467" s="190"/>
      <c r="AR467" s="190"/>
      <c r="AS467" s="190"/>
      <c r="AT467" s="191"/>
      <c r="AU467" s="190"/>
      <c r="AV467" s="190"/>
      <c r="AW467" s="190"/>
      <c r="AX467" s="190"/>
      <c r="AY467" s="190"/>
      <c r="AZ467" s="191"/>
      <c r="BA467" s="183"/>
      <c r="BB467" s="183"/>
      <c r="BC467" s="183"/>
      <c r="BD467" s="183"/>
      <c r="BE467" s="183"/>
      <c r="BF467" s="184"/>
      <c r="BG467" s="183"/>
      <c r="BH467" s="183"/>
      <c r="BI467" s="183"/>
      <c r="BJ467" s="183"/>
      <c r="BK467" s="183"/>
      <c r="BL467" s="184"/>
      <c r="BM467" s="409"/>
      <c r="BN467" s="409"/>
    </row>
    <row r="468" spans="1:66" s="153" customFormat="1" x14ac:dyDescent="0.2">
      <c r="A468" s="61"/>
      <c r="B468" s="61"/>
      <c r="C468" s="61"/>
      <c r="D468" s="61"/>
      <c r="E468" s="61"/>
      <c r="F468" s="61"/>
      <c r="G468" s="61"/>
      <c r="H468" s="61"/>
      <c r="I468" s="61"/>
      <c r="J468" s="61"/>
      <c r="K468" s="61"/>
      <c r="L468" s="61"/>
      <c r="M468" s="61"/>
      <c r="N468" s="61"/>
      <c r="O468" s="61"/>
      <c r="P468" s="61"/>
      <c r="Q468" s="61"/>
      <c r="R468" s="61"/>
      <c r="S468" s="61"/>
      <c r="T468" s="35"/>
      <c r="U468" s="187"/>
      <c r="V468" s="190"/>
      <c r="W468" s="190"/>
      <c r="X468" s="190"/>
      <c r="Y468" s="190"/>
      <c r="Z468" s="190"/>
      <c r="AA468" s="191"/>
      <c r="AB468" s="190"/>
      <c r="AC468" s="190"/>
      <c r="AD468" s="190"/>
      <c r="AE468" s="190"/>
      <c r="AF468" s="190"/>
      <c r="AG468" s="190"/>
      <c r="AH468" s="191"/>
      <c r="AI468" s="190"/>
      <c r="AJ468" s="190"/>
      <c r="AK468" s="190"/>
      <c r="AL468" s="190"/>
      <c r="AM468" s="190"/>
      <c r="AN468" s="191"/>
      <c r="AO468" s="190"/>
      <c r="AP468" s="190"/>
      <c r="AQ468" s="190"/>
      <c r="AR468" s="190"/>
      <c r="AS468" s="190"/>
      <c r="AT468" s="191"/>
      <c r="AU468" s="190"/>
      <c r="AV468" s="190"/>
      <c r="AW468" s="190"/>
      <c r="AX468" s="190"/>
      <c r="AY468" s="190"/>
      <c r="AZ468" s="191"/>
      <c r="BA468" s="183"/>
      <c r="BB468" s="183"/>
      <c r="BC468" s="183"/>
      <c r="BD468" s="183"/>
      <c r="BE468" s="183"/>
      <c r="BF468" s="184"/>
      <c r="BG468" s="183"/>
      <c r="BH468" s="183"/>
      <c r="BI468" s="183"/>
      <c r="BJ468" s="183"/>
      <c r="BK468" s="183"/>
      <c r="BL468" s="184"/>
      <c r="BM468" s="409"/>
      <c r="BN468" s="409"/>
    </row>
    <row r="469" spans="1:66" s="153" customFormat="1" x14ac:dyDescent="0.2">
      <c r="A469" s="61"/>
      <c r="B469" s="61"/>
      <c r="C469" s="61"/>
      <c r="D469" s="61"/>
      <c r="E469" s="61"/>
      <c r="F469" s="61"/>
      <c r="G469" s="61"/>
      <c r="H469" s="61"/>
      <c r="I469" s="61"/>
      <c r="J469" s="61"/>
      <c r="K469" s="61"/>
      <c r="L469" s="61"/>
      <c r="M469" s="61"/>
      <c r="N469" s="61"/>
      <c r="O469" s="61"/>
      <c r="P469" s="61"/>
      <c r="Q469" s="61"/>
      <c r="R469" s="61"/>
      <c r="S469" s="61"/>
      <c r="T469" s="35"/>
      <c r="U469" s="187"/>
      <c r="V469" s="190"/>
      <c r="W469" s="190"/>
      <c r="X469" s="190"/>
      <c r="Y469" s="190"/>
      <c r="Z469" s="190"/>
      <c r="AA469" s="191"/>
      <c r="AB469" s="190"/>
      <c r="AC469" s="190"/>
      <c r="AD469" s="190"/>
      <c r="AE469" s="190"/>
      <c r="AF469" s="190"/>
      <c r="AG469" s="190"/>
      <c r="AH469" s="191"/>
      <c r="AI469" s="190"/>
      <c r="AJ469" s="190"/>
      <c r="AK469" s="190"/>
      <c r="AL469" s="190"/>
      <c r="AM469" s="190"/>
      <c r="AN469" s="191"/>
      <c r="AO469" s="190"/>
      <c r="AP469" s="190"/>
      <c r="AQ469" s="190"/>
      <c r="AR469" s="190"/>
      <c r="AS469" s="190"/>
      <c r="AT469" s="191"/>
      <c r="AU469" s="190"/>
      <c r="AV469" s="190"/>
      <c r="AW469" s="190"/>
      <c r="AX469" s="190"/>
      <c r="AY469" s="190"/>
      <c r="AZ469" s="191"/>
      <c r="BA469" s="183"/>
      <c r="BB469" s="183"/>
      <c r="BC469" s="183"/>
      <c r="BD469" s="183"/>
      <c r="BE469" s="183"/>
      <c r="BF469" s="184"/>
      <c r="BG469" s="183"/>
      <c r="BH469" s="183"/>
      <c r="BI469" s="183"/>
      <c r="BJ469" s="183"/>
      <c r="BK469" s="183"/>
      <c r="BL469" s="184"/>
      <c r="BM469" s="409"/>
      <c r="BN469" s="409"/>
    </row>
    <row r="470" spans="1:66" s="153" customFormat="1" x14ac:dyDescent="0.2">
      <c r="A470" s="61"/>
      <c r="B470" s="61"/>
      <c r="C470" s="61"/>
      <c r="D470" s="61"/>
      <c r="E470" s="61"/>
      <c r="F470" s="61"/>
      <c r="G470" s="61"/>
      <c r="H470" s="61"/>
      <c r="I470" s="61"/>
      <c r="J470" s="61"/>
      <c r="K470" s="61"/>
      <c r="L470" s="61"/>
      <c r="M470" s="61"/>
      <c r="N470" s="61"/>
      <c r="O470" s="61"/>
      <c r="P470" s="61"/>
      <c r="Q470" s="61"/>
      <c r="R470" s="61"/>
      <c r="S470" s="61"/>
      <c r="T470" s="35"/>
      <c r="U470" s="187"/>
      <c r="V470" s="190"/>
      <c r="W470" s="190"/>
      <c r="X470" s="190"/>
      <c r="Y470" s="190"/>
      <c r="Z470" s="190"/>
      <c r="AA470" s="191"/>
      <c r="AB470" s="190"/>
      <c r="AC470" s="190"/>
      <c r="AD470" s="190"/>
      <c r="AE470" s="190"/>
      <c r="AF470" s="190"/>
      <c r="AG470" s="190"/>
      <c r="AH470" s="191"/>
      <c r="AI470" s="190"/>
      <c r="AJ470" s="190"/>
      <c r="AK470" s="190"/>
      <c r="AL470" s="190"/>
      <c r="AM470" s="190"/>
      <c r="AN470" s="191"/>
      <c r="AO470" s="190"/>
      <c r="AP470" s="190"/>
      <c r="AQ470" s="190"/>
      <c r="AR470" s="190"/>
      <c r="AS470" s="190"/>
      <c r="AT470" s="191"/>
      <c r="AU470" s="190"/>
      <c r="AV470" s="190"/>
      <c r="AW470" s="190"/>
      <c r="AX470" s="190"/>
      <c r="AY470" s="190"/>
      <c r="AZ470" s="191"/>
      <c r="BA470" s="183"/>
      <c r="BB470" s="183"/>
      <c r="BC470" s="183"/>
      <c r="BD470" s="183"/>
      <c r="BE470" s="183"/>
      <c r="BF470" s="184"/>
      <c r="BG470" s="183"/>
      <c r="BH470" s="183"/>
      <c r="BI470" s="183"/>
      <c r="BJ470" s="183"/>
      <c r="BK470" s="183"/>
      <c r="BL470" s="184"/>
      <c r="BM470" s="409"/>
      <c r="BN470" s="409"/>
    </row>
    <row r="471" spans="1:66" s="153" customFormat="1" x14ac:dyDescent="0.2">
      <c r="A471" s="61"/>
      <c r="B471" s="61"/>
      <c r="C471" s="61"/>
      <c r="D471" s="61"/>
      <c r="E471" s="61"/>
      <c r="F471" s="61"/>
      <c r="G471" s="61"/>
      <c r="H471" s="61"/>
      <c r="I471" s="61"/>
      <c r="J471" s="61"/>
      <c r="K471" s="61"/>
      <c r="L471" s="61"/>
      <c r="M471" s="61"/>
      <c r="N471" s="61"/>
      <c r="O471" s="61"/>
      <c r="P471" s="61"/>
      <c r="Q471" s="61"/>
      <c r="R471" s="61"/>
      <c r="S471" s="61"/>
      <c r="T471" s="35"/>
      <c r="U471" s="187"/>
      <c r="V471" s="190"/>
      <c r="W471" s="190"/>
      <c r="X471" s="190"/>
      <c r="Y471" s="190"/>
      <c r="Z471" s="190"/>
      <c r="AA471" s="191"/>
      <c r="AB471" s="190"/>
      <c r="AC471" s="190"/>
      <c r="AD471" s="190"/>
      <c r="AE471" s="190"/>
      <c r="AF471" s="190"/>
      <c r="AG471" s="190"/>
      <c r="AH471" s="191"/>
      <c r="AI471" s="190"/>
      <c r="AJ471" s="190"/>
      <c r="AK471" s="190"/>
      <c r="AL471" s="190"/>
      <c r="AM471" s="190"/>
      <c r="AN471" s="191"/>
      <c r="AO471" s="190"/>
      <c r="AP471" s="190"/>
      <c r="AQ471" s="190"/>
      <c r="AR471" s="190"/>
      <c r="AS471" s="190"/>
      <c r="AT471" s="191"/>
      <c r="AU471" s="190"/>
      <c r="AV471" s="190"/>
      <c r="AW471" s="190"/>
      <c r="AX471" s="190"/>
      <c r="AY471" s="190"/>
      <c r="AZ471" s="191"/>
      <c r="BA471" s="183"/>
      <c r="BB471" s="183"/>
      <c r="BC471" s="183"/>
      <c r="BD471" s="183"/>
      <c r="BE471" s="183"/>
      <c r="BF471" s="184"/>
      <c r="BG471" s="183"/>
      <c r="BH471" s="183"/>
      <c r="BI471" s="183"/>
      <c r="BJ471" s="183"/>
      <c r="BK471" s="183"/>
      <c r="BL471" s="184"/>
      <c r="BM471" s="409"/>
      <c r="BN471" s="409"/>
    </row>
    <row r="472" spans="1:66" s="153" customFormat="1" x14ac:dyDescent="0.2">
      <c r="A472" s="61"/>
      <c r="B472" s="61"/>
      <c r="C472" s="61"/>
      <c r="D472" s="61"/>
      <c r="E472" s="61"/>
      <c r="F472" s="61"/>
      <c r="G472" s="61"/>
      <c r="H472" s="61"/>
      <c r="I472" s="61"/>
      <c r="J472" s="61"/>
      <c r="K472" s="61"/>
      <c r="L472" s="61"/>
      <c r="M472" s="61"/>
      <c r="N472" s="61"/>
      <c r="O472" s="61"/>
      <c r="P472" s="61"/>
      <c r="Q472" s="61"/>
      <c r="R472" s="61"/>
      <c r="S472" s="61"/>
      <c r="T472" s="35"/>
      <c r="U472" s="187"/>
      <c r="V472" s="190"/>
      <c r="W472" s="190"/>
      <c r="X472" s="190"/>
      <c r="Y472" s="190"/>
      <c r="Z472" s="190"/>
      <c r="AA472" s="191"/>
      <c r="AB472" s="190"/>
      <c r="AC472" s="190"/>
      <c r="AD472" s="190"/>
      <c r="AE472" s="190"/>
      <c r="AF472" s="190"/>
      <c r="AG472" s="190"/>
      <c r="AH472" s="191"/>
      <c r="AI472" s="190"/>
      <c r="AJ472" s="190"/>
      <c r="AK472" s="190"/>
      <c r="AL472" s="190"/>
      <c r="AM472" s="190"/>
      <c r="AN472" s="191"/>
      <c r="AO472" s="190"/>
      <c r="AP472" s="190"/>
      <c r="AQ472" s="190"/>
      <c r="AR472" s="190"/>
      <c r="AS472" s="190"/>
      <c r="AT472" s="191"/>
      <c r="AU472" s="190"/>
      <c r="AV472" s="190"/>
      <c r="AW472" s="190"/>
      <c r="AX472" s="190"/>
      <c r="AY472" s="190"/>
      <c r="AZ472" s="191"/>
      <c r="BA472" s="183"/>
      <c r="BB472" s="183"/>
      <c r="BC472" s="183"/>
      <c r="BD472" s="183"/>
      <c r="BE472" s="183"/>
      <c r="BF472" s="184"/>
      <c r="BG472" s="183"/>
      <c r="BH472" s="183"/>
      <c r="BI472" s="183"/>
      <c r="BJ472" s="183"/>
      <c r="BK472" s="183"/>
      <c r="BL472" s="184"/>
      <c r="BM472" s="409"/>
      <c r="BN472" s="409"/>
    </row>
    <row r="473" spans="1:66" s="153" customFormat="1" x14ac:dyDescent="0.2">
      <c r="A473" s="61"/>
      <c r="B473" s="61"/>
      <c r="C473" s="61"/>
      <c r="D473" s="61"/>
      <c r="E473" s="61"/>
      <c r="F473" s="61"/>
      <c r="G473" s="61"/>
      <c r="H473" s="61"/>
      <c r="I473" s="61"/>
      <c r="J473" s="61"/>
      <c r="K473" s="61"/>
      <c r="L473" s="61"/>
      <c r="M473" s="61"/>
      <c r="N473" s="61"/>
      <c r="O473" s="61"/>
      <c r="P473" s="61"/>
      <c r="Q473" s="61"/>
      <c r="R473" s="61"/>
      <c r="S473" s="61"/>
      <c r="T473" s="35"/>
      <c r="U473" s="187"/>
      <c r="V473" s="190"/>
      <c r="W473" s="190"/>
      <c r="X473" s="190"/>
      <c r="Y473" s="190"/>
      <c r="Z473" s="190"/>
      <c r="AA473" s="191"/>
      <c r="AB473" s="190"/>
      <c r="AC473" s="190"/>
      <c r="AD473" s="190"/>
      <c r="AE473" s="190"/>
      <c r="AF473" s="190"/>
      <c r="AG473" s="190"/>
      <c r="AH473" s="191"/>
      <c r="AI473" s="190"/>
      <c r="AJ473" s="190"/>
      <c r="AK473" s="190"/>
      <c r="AL473" s="190"/>
      <c r="AM473" s="190"/>
      <c r="AN473" s="191"/>
      <c r="AO473" s="190"/>
      <c r="AP473" s="190"/>
      <c r="AQ473" s="190"/>
      <c r="AR473" s="190"/>
      <c r="AS473" s="190"/>
      <c r="AT473" s="191"/>
      <c r="AU473" s="190"/>
      <c r="AV473" s="190"/>
      <c r="AW473" s="190"/>
      <c r="AX473" s="190"/>
      <c r="AY473" s="190"/>
      <c r="AZ473" s="191"/>
      <c r="BA473" s="183"/>
      <c r="BB473" s="183"/>
      <c r="BC473" s="183"/>
      <c r="BD473" s="183"/>
      <c r="BE473" s="183"/>
      <c r="BF473" s="184"/>
      <c r="BG473" s="183"/>
      <c r="BH473" s="183"/>
      <c r="BI473" s="183"/>
      <c r="BJ473" s="183"/>
      <c r="BK473" s="183"/>
      <c r="BL473" s="184"/>
      <c r="BM473" s="409"/>
      <c r="BN473" s="409"/>
    </row>
    <row r="474" spans="1:66" s="153" customFormat="1" x14ac:dyDescent="0.2">
      <c r="A474" s="61"/>
      <c r="B474" s="61"/>
      <c r="C474" s="61"/>
      <c r="D474" s="61"/>
      <c r="E474" s="61"/>
      <c r="F474" s="61"/>
      <c r="G474" s="61"/>
      <c r="H474" s="61"/>
      <c r="I474" s="61"/>
      <c r="J474" s="61"/>
      <c r="K474" s="61"/>
      <c r="L474" s="61"/>
      <c r="M474" s="61"/>
      <c r="N474" s="61"/>
      <c r="O474" s="61"/>
      <c r="P474" s="61"/>
      <c r="Q474" s="61"/>
      <c r="R474" s="61"/>
      <c r="S474" s="61"/>
      <c r="T474" s="35"/>
      <c r="U474" s="187"/>
      <c r="V474" s="190"/>
      <c r="W474" s="190"/>
      <c r="X474" s="190"/>
      <c r="Y474" s="190"/>
      <c r="Z474" s="190"/>
      <c r="AA474" s="191"/>
      <c r="AB474" s="190"/>
      <c r="AC474" s="190"/>
      <c r="AD474" s="190"/>
      <c r="AE474" s="190"/>
      <c r="AF474" s="190"/>
      <c r="AG474" s="190"/>
      <c r="AH474" s="191"/>
      <c r="AI474" s="190"/>
      <c r="AJ474" s="190"/>
      <c r="AK474" s="190"/>
      <c r="AL474" s="190"/>
      <c r="AM474" s="190"/>
      <c r="AN474" s="191"/>
      <c r="AO474" s="190"/>
      <c r="AP474" s="190"/>
      <c r="AQ474" s="190"/>
      <c r="AR474" s="190"/>
      <c r="AS474" s="190"/>
      <c r="AT474" s="191"/>
      <c r="AU474" s="190"/>
      <c r="AV474" s="190"/>
      <c r="AW474" s="190"/>
      <c r="AX474" s="190"/>
      <c r="AY474" s="190"/>
      <c r="AZ474" s="191"/>
      <c r="BA474" s="183"/>
      <c r="BB474" s="183"/>
      <c r="BC474" s="183"/>
      <c r="BD474" s="183"/>
      <c r="BE474" s="183"/>
      <c r="BF474" s="184"/>
      <c r="BG474" s="183"/>
      <c r="BH474" s="183"/>
      <c r="BI474" s="183"/>
      <c r="BJ474" s="183"/>
      <c r="BK474" s="183"/>
      <c r="BL474" s="184"/>
      <c r="BM474" s="409"/>
      <c r="BN474" s="409"/>
    </row>
    <row r="475" spans="1:66" s="153" customFormat="1" x14ac:dyDescent="0.2">
      <c r="A475" s="61"/>
      <c r="B475" s="61"/>
      <c r="C475" s="61"/>
      <c r="D475" s="61"/>
      <c r="E475" s="61"/>
      <c r="F475" s="61"/>
      <c r="G475" s="61"/>
      <c r="H475" s="61"/>
      <c r="I475" s="61"/>
      <c r="J475" s="61"/>
      <c r="K475" s="61"/>
      <c r="L475" s="61"/>
      <c r="M475" s="61"/>
      <c r="N475" s="61"/>
      <c r="O475" s="61"/>
      <c r="P475" s="61"/>
      <c r="Q475" s="61"/>
      <c r="R475" s="61"/>
      <c r="S475" s="61"/>
      <c r="T475" s="35"/>
      <c r="U475" s="187"/>
      <c r="V475" s="190"/>
      <c r="W475" s="190"/>
      <c r="X475" s="190"/>
      <c r="Y475" s="190"/>
      <c r="Z475" s="190"/>
      <c r="AA475" s="191"/>
      <c r="AB475" s="190"/>
      <c r="AC475" s="190"/>
      <c r="AD475" s="190"/>
      <c r="AE475" s="190"/>
      <c r="AF475" s="190"/>
      <c r="AG475" s="190"/>
      <c r="AH475" s="191"/>
      <c r="AI475" s="190"/>
      <c r="AJ475" s="190"/>
      <c r="AK475" s="190"/>
      <c r="AL475" s="190"/>
      <c r="AM475" s="190"/>
      <c r="AN475" s="191"/>
      <c r="AO475" s="190"/>
      <c r="AP475" s="190"/>
      <c r="AQ475" s="190"/>
      <c r="AR475" s="190"/>
      <c r="AS475" s="190"/>
      <c r="AT475" s="191"/>
      <c r="AU475" s="190"/>
      <c r="AV475" s="190"/>
      <c r="AW475" s="190"/>
      <c r="AX475" s="190"/>
      <c r="AY475" s="190"/>
      <c r="AZ475" s="191"/>
      <c r="BA475" s="183"/>
      <c r="BB475" s="183"/>
      <c r="BC475" s="183"/>
      <c r="BD475" s="183"/>
      <c r="BE475" s="183"/>
      <c r="BF475" s="184"/>
      <c r="BG475" s="183"/>
      <c r="BH475" s="183"/>
      <c r="BI475" s="183"/>
      <c r="BJ475" s="183"/>
      <c r="BK475" s="183"/>
      <c r="BL475" s="184"/>
      <c r="BM475" s="409"/>
      <c r="BN475" s="409"/>
    </row>
    <row r="476" spans="1:66" s="153" customFormat="1" x14ac:dyDescent="0.2">
      <c r="A476" s="61"/>
      <c r="B476" s="61"/>
      <c r="C476" s="61"/>
      <c r="D476" s="61"/>
      <c r="E476" s="61"/>
      <c r="F476" s="61"/>
      <c r="G476" s="61"/>
      <c r="H476" s="61"/>
      <c r="I476" s="61"/>
      <c r="J476" s="61"/>
      <c r="K476" s="61"/>
      <c r="L476" s="61"/>
      <c r="M476" s="61"/>
      <c r="N476" s="61"/>
      <c r="O476" s="61"/>
      <c r="P476" s="61"/>
      <c r="Q476" s="61"/>
      <c r="R476" s="61"/>
      <c r="S476" s="61"/>
      <c r="T476" s="35"/>
      <c r="U476" s="187"/>
      <c r="V476" s="190"/>
      <c r="W476" s="190"/>
      <c r="X476" s="190"/>
      <c r="Y476" s="190"/>
      <c r="Z476" s="190"/>
      <c r="AA476" s="191"/>
      <c r="AB476" s="190"/>
      <c r="AC476" s="190"/>
      <c r="AD476" s="190"/>
      <c r="AE476" s="190"/>
      <c r="AF476" s="190"/>
      <c r="AG476" s="190"/>
      <c r="AH476" s="191"/>
      <c r="AI476" s="190"/>
      <c r="AJ476" s="190"/>
      <c r="AK476" s="190"/>
      <c r="AL476" s="190"/>
      <c r="AM476" s="190"/>
      <c r="AN476" s="191"/>
      <c r="AO476" s="190"/>
      <c r="AP476" s="190"/>
      <c r="AQ476" s="190"/>
      <c r="AR476" s="190"/>
      <c r="AS476" s="190"/>
      <c r="AT476" s="191"/>
      <c r="AU476" s="190"/>
      <c r="AV476" s="190"/>
      <c r="AW476" s="190"/>
      <c r="AX476" s="190"/>
      <c r="AY476" s="190"/>
      <c r="AZ476" s="191"/>
      <c r="BA476" s="183"/>
      <c r="BB476" s="183"/>
      <c r="BC476" s="183"/>
      <c r="BD476" s="183"/>
      <c r="BE476" s="183"/>
      <c r="BF476" s="184"/>
      <c r="BG476" s="183"/>
      <c r="BH476" s="183"/>
      <c r="BI476" s="183"/>
      <c r="BJ476" s="183"/>
      <c r="BK476" s="183"/>
      <c r="BL476" s="184"/>
      <c r="BM476" s="409"/>
      <c r="BN476" s="409"/>
    </row>
    <row r="477" spans="1:66" s="153" customFormat="1" x14ac:dyDescent="0.2">
      <c r="A477" s="61"/>
      <c r="B477" s="61"/>
      <c r="C477" s="61"/>
      <c r="D477" s="61"/>
      <c r="E477" s="61"/>
      <c r="F477" s="61"/>
      <c r="G477" s="61"/>
      <c r="H477" s="61"/>
      <c r="I477" s="61"/>
      <c r="J477" s="61"/>
      <c r="K477" s="61"/>
      <c r="L477" s="61"/>
      <c r="M477" s="61"/>
      <c r="N477" s="61"/>
      <c r="O477" s="61"/>
      <c r="P477" s="61"/>
      <c r="Q477" s="61"/>
      <c r="R477" s="61"/>
      <c r="S477" s="61"/>
      <c r="T477" s="35"/>
      <c r="U477" s="187"/>
      <c r="V477" s="190"/>
      <c r="W477" s="190"/>
      <c r="X477" s="190"/>
      <c r="Y477" s="190"/>
      <c r="Z477" s="190"/>
      <c r="AA477" s="191"/>
      <c r="AB477" s="190"/>
      <c r="AC477" s="190"/>
      <c r="AD477" s="190"/>
      <c r="AE477" s="190"/>
      <c r="AF477" s="190"/>
      <c r="AG477" s="190"/>
      <c r="AH477" s="191"/>
      <c r="AI477" s="190"/>
      <c r="AJ477" s="190"/>
      <c r="AK477" s="190"/>
      <c r="AL477" s="190"/>
      <c r="AM477" s="190"/>
      <c r="AN477" s="191"/>
      <c r="AO477" s="190"/>
      <c r="AP477" s="190"/>
      <c r="AQ477" s="190"/>
      <c r="AR477" s="190"/>
      <c r="AS477" s="190"/>
      <c r="AT477" s="191"/>
      <c r="AU477" s="190"/>
      <c r="AV477" s="190"/>
      <c r="AW477" s="190"/>
      <c r="AX477" s="190"/>
      <c r="AY477" s="190"/>
      <c r="AZ477" s="191"/>
      <c r="BA477" s="183"/>
      <c r="BB477" s="183"/>
      <c r="BC477" s="183"/>
      <c r="BD477" s="183"/>
      <c r="BE477" s="183"/>
      <c r="BF477" s="184"/>
      <c r="BG477" s="183"/>
      <c r="BH477" s="183"/>
      <c r="BI477" s="183"/>
      <c r="BJ477" s="183"/>
      <c r="BK477" s="183"/>
      <c r="BL477" s="184"/>
      <c r="BM477" s="409"/>
      <c r="BN477" s="409"/>
    </row>
    <row r="478" spans="1:66" s="153" customFormat="1" x14ac:dyDescent="0.2">
      <c r="A478" s="61"/>
      <c r="B478" s="61"/>
      <c r="C478" s="61"/>
      <c r="D478" s="61"/>
      <c r="E478" s="61"/>
      <c r="F478" s="61"/>
      <c r="G478" s="61"/>
      <c r="H478" s="61"/>
      <c r="I478" s="61"/>
      <c r="J478" s="61"/>
      <c r="K478" s="61"/>
      <c r="L478" s="61"/>
      <c r="M478" s="61"/>
      <c r="N478" s="61"/>
      <c r="O478" s="61"/>
      <c r="P478" s="61"/>
      <c r="Q478" s="61"/>
      <c r="R478" s="61"/>
      <c r="S478" s="61"/>
      <c r="T478" s="35"/>
      <c r="U478" s="187"/>
      <c r="V478" s="190"/>
      <c r="W478" s="190"/>
      <c r="X478" s="190"/>
      <c r="Y478" s="190"/>
      <c r="Z478" s="190"/>
      <c r="AA478" s="191"/>
      <c r="AB478" s="190"/>
      <c r="AC478" s="190"/>
      <c r="AD478" s="190"/>
      <c r="AE478" s="190"/>
      <c r="AF478" s="190"/>
      <c r="AG478" s="190"/>
      <c r="AH478" s="191"/>
      <c r="AI478" s="190"/>
      <c r="AJ478" s="190"/>
      <c r="AK478" s="190"/>
      <c r="AL478" s="190"/>
      <c r="AM478" s="190"/>
      <c r="AN478" s="191"/>
      <c r="AO478" s="190"/>
      <c r="AP478" s="190"/>
      <c r="AQ478" s="190"/>
      <c r="AR478" s="190"/>
      <c r="AS478" s="190"/>
      <c r="AT478" s="191"/>
      <c r="AU478" s="190"/>
      <c r="AV478" s="190"/>
      <c r="AW478" s="190"/>
      <c r="AX478" s="190"/>
      <c r="AY478" s="190"/>
      <c r="AZ478" s="191"/>
      <c r="BA478" s="183"/>
      <c r="BB478" s="183"/>
      <c r="BC478" s="183"/>
      <c r="BD478" s="183"/>
      <c r="BE478" s="183"/>
      <c r="BF478" s="184"/>
      <c r="BG478" s="183"/>
      <c r="BH478" s="183"/>
      <c r="BI478" s="183"/>
      <c r="BJ478" s="183"/>
      <c r="BK478" s="183"/>
      <c r="BL478" s="184"/>
      <c r="BM478" s="409"/>
      <c r="BN478" s="409"/>
    </row>
    <row r="479" spans="1:66" s="153" customFormat="1" x14ac:dyDescent="0.2">
      <c r="A479" s="61"/>
      <c r="B479" s="61"/>
      <c r="C479" s="61"/>
      <c r="D479" s="61"/>
      <c r="E479" s="61"/>
      <c r="F479" s="61"/>
      <c r="G479" s="61"/>
      <c r="H479" s="61"/>
      <c r="I479" s="61"/>
      <c r="J479" s="61"/>
      <c r="K479" s="61"/>
      <c r="L479" s="61"/>
      <c r="M479" s="61"/>
      <c r="N479" s="61"/>
      <c r="O479" s="61"/>
      <c r="P479" s="61"/>
      <c r="Q479" s="61"/>
      <c r="R479" s="61"/>
      <c r="S479" s="61"/>
      <c r="T479" s="35"/>
      <c r="U479" s="187"/>
      <c r="V479" s="190"/>
      <c r="W479" s="190"/>
      <c r="X479" s="190"/>
      <c r="Y479" s="190"/>
      <c r="Z479" s="190"/>
      <c r="AA479" s="191"/>
      <c r="AB479" s="190"/>
      <c r="AC479" s="190"/>
      <c r="AD479" s="190"/>
      <c r="AE479" s="190"/>
      <c r="AF479" s="190"/>
      <c r="AG479" s="190"/>
      <c r="AH479" s="191"/>
      <c r="AI479" s="190"/>
      <c r="AJ479" s="190"/>
      <c r="AK479" s="190"/>
      <c r="AL479" s="190"/>
      <c r="AM479" s="190"/>
      <c r="AN479" s="191"/>
      <c r="AO479" s="190"/>
      <c r="AP479" s="190"/>
      <c r="AQ479" s="190"/>
      <c r="AR479" s="190"/>
      <c r="AS479" s="190"/>
      <c r="AT479" s="191"/>
      <c r="AU479" s="190"/>
      <c r="AV479" s="190"/>
      <c r="AW479" s="190"/>
      <c r="AX479" s="190"/>
      <c r="AY479" s="190"/>
      <c r="AZ479" s="191"/>
      <c r="BA479" s="183"/>
      <c r="BB479" s="183"/>
      <c r="BC479" s="183"/>
      <c r="BD479" s="183"/>
      <c r="BE479" s="183"/>
      <c r="BF479" s="184"/>
      <c r="BG479" s="183"/>
      <c r="BH479" s="183"/>
      <c r="BI479" s="183"/>
      <c r="BJ479" s="183"/>
      <c r="BK479" s="183"/>
      <c r="BL479" s="184"/>
      <c r="BM479" s="409"/>
      <c r="BN479" s="409"/>
    </row>
    <row r="480" spans="1:66" s="153" customFormat="1" x14ac:dyDescent="0.2">
      <c r="A480" s="61"/>
      <c r="B480" s="61"/>
      <c r="C480" s="61"/>
      <c r="D480" s="61"/>
      <c r="E480" s="61"/>
      <c r="F480" s="61"/>
      <c r="G480" s="61"/>
      <c r="H480" s="61"/>
      <c r="I480" s="61"/>
      <c r="J480" s="61"/>
      <c r="K480" s="61"/>
      <c r="L480" s="61"/>
      <c r="M480" s="61"/>
      <c r="N480" s="61"/>
      <c r="O480" s="61"/>
      <c r="P480" s="61"/>
      <c r="Q480" s="61"/>
      <c r="R480" s="61"/>
      <c r="S480" s="61"/>
      <c r="T480" s="35"/>
      <c r="U480" s="187"/>
      <c r="V480" s="190"/>
      <c r="W480" s="190"/>
      <c r="X480" s="190"/>
      <c r="Y480" s="190"/>
      <c r="Z480" s="190"/>
      <c r="AA480" s="191"/>
      <c r="AB480" s="190"/>
      <c r="AC480" s="190"/>
      <c r="AD480" s="190"/>
      <c r="AE480" s="190"/>
      <c r="AF480" s="190"/>
      <c r="AG480" s="190"/>
      <c r="AH480" s="191"/>
      <c r="AI480" s="190"/>
      <c r="AJ480" s="190"/>
      <c r="AK480" s="190"/>
      <c r="AL480" s="190"/>
      <c r="AM480" s="190"/>
      <c r="AN480" s="191"/>
      <c r="AO480" s="190"/>
      <c r="AP480" s="190"/>
      <c r="AQ480" s="190"/>
      <c r="AR480" s="190"/>
      <c r="AS480" s="190"/>
      <c r="AT480" s="191"/>
      <c r="AU480" s="190"/>
      <c r="AV480" s="190"/>
      <c r="AW480" s="190"/>
      <c r="AX480" s="190"/>
      <c r="AY480" s="190"/>
      <c r="AZ480" s="191"/>
      <c r="BA480" s="183"/>
      <c r="BB480" s="183"/>
      <c r="BC480" s="183"/>
      <c r="BD480" s="183"/>
      <c r="BE480" s="183"/>
      <c r="BF480" s="184"/>
      <c r="BG480" s="183"/>
      <c r="BH480" s="183"/>
      <c r="BI480" s="183"/>
      <c r="BJ480" s="183"/>
      <c r="BK480" s="183"/>
      <c r="BL480" s="184"/>
      <c r="BM480" s="409"/>
      <c r="BN480" s="409"/>
    </row>
    <row r="481" spans="1:66" s="153" customFormat="1" x14ac:dyDescent="0.2">
      <c r="A481" s="61"/>
      <c r="B481" s="61"/>
      <c r="C481" s="61"/>
      <c r="D481" s="61"/>
      <c r="E481" s="61"/>
      <c r="F481" s="61"/>
      <c r="G481" s="61"/>
      <c r="H481" s="61"/>
      <c r="I481" s="61"/>
      <c r="J481" s="61"/>
      <c r="K481" s="61"/>
      <c r="L481" s="61"/>
      <c r="M481" s="61"/>
      <c r="N481" s="61"/>
      <c r="O481" s="61"/>
      <c r="P481" s="61"/>
      <c r="Q481" s="61"/>
      <c r="R481" s="61"/>
      <c r="S481" s="61"/>
      <c r="T481" s="35"/>
      <c r="U481" s="187"/>
      <c r="V481" s="190"/>
      <c r="W481" s="190"/>
      <c r="X481" s="190"/>
      <c r="Y481" s="190"/>
      <c r="Z481" s="190"/>
      <c r="AA481" s="191"/>
      <c r="AB481" s="190"/>
      <c r="AC481" s="190"/>
      <c r="AD481" s="190"/>
      <c r="AE481" s="190"/>
      <c r="AF481" s="190"/>
      <c r="AG481" s="190"/>
      <c r="AH481" s="191"/>
      <c r="AI481" s="190"/>
      <c r="AJ481" s="190"/>
      <c r="AK481" s="190"/>
      <c r="AL481" s="190"/>
      <c r="AM481" s="190"/>
      <c r="AN481" s="191"/>
      <c r="AO481" s="190"/>
      <c r="AP481" s="190"/>
      <c r="AQ481" s="190"/>
      <c r="AR481" s="190"/>
      <c r="AS481" s="190"/>
      <c r="AT481" s="191"/>
      <c r="AU481" s="190"/>
      <c r="AV481" s="190"/>
      <c r="AW481" s="190"/>
      <c r="AX481" s="190"/>
      <c r="AY481" s="190"/>
      <c r="AZ481" s="191"/>
      <c r="BA481" s="183"/>
      <c r="BB481" s="183"/>
      <c r="BC481" s="183"/>
      <c r="BD481" s="183"/>
      <c r="BE481" s="183"/>
      <c r="BF481" s="184"/>
      <c r="BG481" s="183"/>
      <c r="BH481" s="183"/>
      <c r="BI481" s="183"/>
      <c r="BJ481" s="183"/>
      <c r="BK481" s="183"/>
      <c r="BL481" s="184"/>
      <c r="BM481" s="409"/>
      <c r="BN481" s="409"/>
    </row>
    <row r="482" spans="1:66" s="153" customFormat="1" x14ac:dyDescent="0.2">
      <c r="A482" s="61"/>
      <c r="B482" s="61"/>
      <c r="C482" s="61"/>
      <c r="D482" s="61"/>
      <c r="E482" s="61"/>
      <c r="F482" s="61"/>
      <c r="G482" s="61"/>
      <c r="H482" s="61"/>
      <c r="I482" s="61"/>
      <c r="J482" s="61"/>
      <c r="K482" s="61"/>
      <c r="L482" s="61"/>
      <c r="M482" s="61"/>
      <c r="N482" s="61"/>
      <c r="O482" s="61"/>
      <c r="P482" s="61"/>
      <c r="Q482" s="61"/>
      <c r="R482" s="61"/>
      <c r="S482" s="61"/>
      <c r="T482" s="35"/>
      <c r="U482" s="187"/>
      <c r="V482" s="190"/>
      <c r="W482" s="190"/>
      <c r="X482" s="190"/>
      <c r="Y482" s="190"/>
      <c r="Z482" s="190"/>
      <c r="AA482" s="191"/>
      <c r="AB482" s="190"/>
      <c r="AC482" s="190"/>
      <c r="AD482" s="190"/>
      <c r="AE482" s="190"/>
      <c r="AF482" s="190"/>
      <c r="AG482" s="190"/>
      <c r="AH482" s="191"/>
      <c r="AI482" s="190"/>
      <c r="AJ482" s="190"/>
      <c r="AK482" s="190"/>
      <c r="AL482" s="190"/>
      <c r="AM482" s="190"/>
      <c r="AN482" s="191"/>
      <c r="AO482" s="190"/>
      <c r="AP482" s="190"/>
      <c r="AQ482" s="190"/>
      <c r="AR482" s="190"/>
      <c r="AS482" s="190"/>
      <c r="AT482" s="191"/>
      <c r="AU482" s="190"/>
      <c r="AV482" s="190"/>
      <c r="AW482" s="190"/>
      <c r="AX482" s="190"/>
      <c r="AY482" s="190"/>
      <c r="AZ482" s="191"/>
      <c r="BA482" s="183"/>
      <c r="BB482" s="183"/>
      <c r="BC482" s="183"/>
      <c r="BD482" s="183"/>
      <c r="BE482" s="183"/>
      <c r="BF482" s="184"/>
      <c r="BG482" s="183"/>
      <c r="BH482" s="183"/>
      <c r="BI482" s="183"/>
      <c r="BJ482" s="183"/>
      <c r="BK482" s="183"/>
      <c r="BL482" s="184"/>
      <c r="BM482" s="409"/>
      <c r="BN482" s="409"/>
    </row>
    <row r="483" spans="1:66" s="153" customFormat="1" x14ac:dyDescent="0.2">
      <c r="A483" s="61"/>
      <c r="B483" s="61"/>
      <c r="C483" s="61"/>
      <c r="D483" s="61"/>
      <c r="E483" s="61"/>
      <c r="F483" s="61"/>
      <c r="G483" s="61"/>
      <c r="H483" s="61"/>
      <c r="I483" s="61"/>
      <c r="J483" s="61"/>
      <c r="K483" s="61"/>
      <c r="L483" s="61"/>
      <c r="M483" s="61"/>
      <c r="N483" s="61"/>
      <c r="O483" s="61"/>
      <c r="P483" s="61"/>
      <c r="Q483" s="61"/>
      <c r="R483" s="61"/>
      <c r="S483" s="61"/>
      <c r="T483" s="35"/>
      <c r="U483" s="187"/>
      <c r="V483" s="190"/>
      <c r="W483" s="190"/>
      <c r="X483" s="190"/>
      <c r="Y483" s="190"/>
      <c r="Z483" s="190"/>
      <c r="AA483" s="191"/>
      <c r="AB483" s="190"/>
      <c r="AC483" s="190"/>
      <c r="AD483" s="190"/>
      <c r="AE483" s="190"/>
      <c r="AF483" s="190"/>
      <c r="AG483" s="190"/>
      <c r="AH483" s="191"/>
      <c r="AI483" s="190"/>
      <c r="AJ483" s="190"/>
      <c r="AK483" s="190"/>
      <c r="AL483" s="190"/>
      <c r="AM483" s="190"/>
      <c r="AN483" s="191"/>
      <c r="AO483" s="190"/>
      <c r="AP483" s="190"/>
      <c r="AQ483" s="190"/>
      <c r="AR483" s="190"/>
      <c r="AS483" s="190"/>
      <c r="AT483" s="191"/>
      <c r="AU483" s="190"/>
      <c r="AV483" s="190"/>
      <c r="AW483" s="190"/>
      <c r="AX483" s="190"/>
      <c r="AY483" s="190"/>
      <c r="AZ483" s="191"/>
      <c r="BA483" s="183"/>
      <c r="BB483" s="183"/>
      <c r="BC483" s="183"/>
      <c r="BD483" s="183"/>
      <c r="BE483" s="183"/>
      <c r="BF483" s="184"/>
      <c r="BG483" s="183"/>
      <c r="BH483" s="183"/>
      <c r="BI483" s="183"/>
      <c r="BJ483" s="183"/>
      <c r="BK483" s="183"/>
      <c r="BL483" s="184"/>
      <c r="BM483" s="409"/>
      <c r="BN483" s="409"/>
    </row>
    <row r="484" spans="1:66" s="153" customFormat="1" x14ac:dyDescent="0.2">
      <c r="A484" s="61"/>
      <c r="B484" s="61"/>
      <c r="C484" s="61"/>
      <c r="D484" s="61"/>
      <c r="E484" s="61"/>
      <c r="F484" s="61"/>
      <c r="G484" s="61"/>
      <c r="H484" s="61"/>
      <c r="I484" s="61"/>
      <c r="J484" s="61"/>
      <c r="K484" s="61"/>
      <c r="L484" s="61"/>
      <c r="M484" s="61"/>
      <c r="N484" s="61"/>
      <c r="O484" s="61"/>
      <c r="P484" s="61"/>
      <c r="Q484" s="61"/>
      <c r="R484" s="61"/>
      <c r="S484" s="61"/>
      <c r="T484" s="35"/>
      <c r="U484" s="187"/>
      <c r="V484" s="190"/>
      <c r="W484" s="190"/>
      <c r="X484" s="190"/>
      <c r="Y484" s="190"/>
      <c r="Z484" s="190"/>
      <c r="AA484" s="191"/>
      <c r="AB484" s="190"/>
      <c r="AC484" s="190"/>
      <c r="AD484" s="190"/>
      <c r="AE484" s="190"/>
      <c r="AF484" s="190"/>
      <c r="AG484" s="190"/>
      <c r="AH484" s="191"/>
      <c r="AI484" s="190"/>
      <c r="AJ484" s="190"/>
      <c r="AK484" s="190"/>
      <c r="AL484" s="190"/>
      <c r="AM484" s="190"/>
      <c r="AN484" s="191"/>
      <c r="AO484" s="190"/>
      <c r="AP484" s="190"/>
      <c r="AQ484" s="190"/>
      <c r="AR484" s="190"/>
      <c r="AS484" s="190"/>
      <c r="AT484" s="191"/>
      <c r="AU484" s="190"/>
      <c r="AV484" s="190"/>
      <c r="AW484" s="190"/>
      <c r="AX484" s="190"/>
      <c r="AY484" s="190"/>
      <c r="AZ484" s="191"/>
      <c r="BA484" s="183"/>
      <c r="BB484" s="183"/>
      <c r="BC484" s="183"/>
      <c r="BD484" s="183"/>
      <c r="BE484" s="183"/>
      <c r="BF484" s="184"/>
      <c r="BG484" s="183"/>
      <c r="BH484" s="183"/>
      <c r="BI484" s="183"/>
      <c r="BJ484" s="183"/>
      <c r="BK484" s="183"/>
      <c r="BL484" s="184"/>
      <c r="BM484" s="409"/>
      <c r="BN484" s="409"/>
    </row>
    <row r="485" spans="1:66" s="153" customFormat="1" x14ac:dyDescent="0.2">
      <c r="A485" s="61"/>
      <c r="B485" s="61"/>
      <c r="C485" s="61"/>
      <c r="D485" s="61"/>
      <c r="E485" s="61"/>
      <c r="F485" s="61"/>
      <c r="G485" s="61"/>
      <c r="H485" s="61"/>
      <c r="I485" s="61"/>
      <c r="J485" s="61"/>
      <c r="K485" s="61"/>
      <c r="L485" s="61"/>
      <c r="M485" s="61"/>
      <c r="N485" s="61"/>
      <c r="O485" s="61"/>
      <c r="P485" s="61"/>
      <c r="Q485" s="61"/>
      <c r="R485" s="61"/>
      <c r="S485" s="61"/>
      <c r="T485" s="35"/>
      <c r="U485" s="187"/>
      <c r="V485" s="190"/>
      <c r="W485" s="190"/>
      <c r="X485" s="190"/>
      <c r="Y485" s="190"/>
      <c r="Z485" s="190"/>
      <c r="AA485" s="191"/>
      <c r="AB485" s="190"/>
      <c r="AC485" s="190"/>
      <c r="AD485" s="190"/>
      <c r="AE485" s="190"/>
      <c r="AF485" s="190"/>
      <c r="AG485" s="190"/>
      <c r="AH485" s="191"/>
      <c r="AI485" s="190"/>
      <c r="AJ485" s="190"/>
      <c r="AK485" s="190"/>
      <c r="AL485" s="190"/>
      <c r="AM485" s="190"/>
      <c r="AN485" s="191"/>
      <c r="AO485" s="190"/>
      <c r="AP485" s="190"/>
      <c r="AQ485" s="190"/>
      <c r="AR485" s="190"/>
      <c r="AS485" s="190"/>
      <c r="AT485" s="191"/>
      <c r="AU485" s="190"/>
      <c r="AV485" s="190"/>
      <c r="AW485" s="190"/>
      <c r="AX485" s="190"/>
      <c r="AY485" s="190"/>
      <c r="AZ485" s="191"/>
      <c r="BA485" s="183"/>
      <c r="BB485" s="183"/>
      <c r="BC485" s="183"/>
      <c r="BD485" s="183"/>
      <c r="BE485" s="183"/>
      <c r="BF485" s="184"/>
      <c r="BG485" s="183"/>
      <c r="BH485" s="183"/>
      <c r="BI485" s="183"/>
      <c r="BJ485" s="183"/>
      <c r="BK485" s="183"/>
      <c r="BL485" s="184"/>
      <c r="BM485" s="409"/>
      <c r="BN485" s="409"/>
    </row>
    <row r="486" spans="1:66" s="153" customFormat="1" x14ac:dyDescent="0.2">
      <c r="A486" s="61"/>
      <c r="B486" s="61"/>
      <c r="C486" s="61"/>
      <c r="D486" s="61"/>
      <c r="E486" s="61"/>
      <c r="F486" s="61"/>
      <c r="G486" s="61"/>
      <c r="H486" s="61"/>
      <c r="I486" s="61"/>
      <c r="J486" s="61"/>
      <c r="K486" s="61"/>
      <c r="L486" s="61"/>
      <c r="M486" s="61"/>
      <c r="N486" s="61"/>
      <c r="O486" s="61"/>
      <c r="P486" s="61"/>
      <c r="Q486" s="61"/>
      <c r="R486" s="61"/>
      <c r="S486" s="61"/>
      <c r="T486" s="35"/>
      <c r="U486" s="187"/>
      <c r="V486" s="190"/>
      <c r="W486" s="190"/>
      <c r="X486" s="190"/>
      <c r="Y486" s="190"/>
      <c r="Z486" s="190"/>
      <c r="AA486" s="191"/>
      <c r="AB486" s="190"/>
      <c r="AC486" s="190"/>
      <c r="AD486" s="190"/>
      <c r="AE486" s="190"/>
      <c r="AF486" s="190"/>
      <c r="AG486" s="190"/>
      <c r="AH486" s="191"/>
      <c r="AI486" s="190"/>
      <c r="AJ486" s="190"/>
      <c r="AK486" s="190"/>
      <c r="AL486" s="190"/>
      <c r="AM486" s="190"/>
      <c r="AN486" s="191"/>
      <c r="AO486" s="190"/>
      <c r="AP486" s="190"/>
      <c r="AQ486" s="190"/>
      <c r="AR486" s="190"/>
      <c r="AS486" s="190"/>
      <c r="AT486" s="191"/>
      <c r="AU486" s="190"/>
      <c r="AV486" s="190"/>
      <c r="AW486" s="190"/>
      <c r="AX486" s="190"/>
      <c r="AY486" s="190"/>
      <c r="AZ486" s="191"/>
      <c r="BA486" s="183"/>
      <c r="BB486" s="183"/>
      <c r="BC486" s="183"/>
      <c r="BD486" s="183"/>
      <c r="BE486" s="183"/>
      <c r="BF486" s="184"/>
      <c r="BG486" s="183"/>
      <c r="BH486" s="183"/>
      <c r="BI486" s="183"/>
      <c r="BJ486" s="183"/>
      <c r="BK486" s="183"/>
      <c r="BL486" s="184"/>
      <c r="BM486" s="409"/>
      <c r="BN486" s="409"/>
    </row>
    <row r="487" spans="1:66" s="153" customFormat="1" x14ac:dyDescent="0.2">
      <c r="A487" s="61"/>
      <c r="B487" s="61"/>
      <c r="C487" s="61"/>
      <c r="D487" s="61"/>
      <c r="E487" s="61"/>
      <c r="F487" s="61"/>
      <c r="G487" s="61"/>
      <c r="H487" s="61"/>
      <c r="I487" s="61"/>
      <c r="J487" s="61"/>
      <c r="K487" s="61"/>
      <c r="L487" s="61"/>
      <c r="M487" s="61"/>
      <c r="N487" s="61"/>
      <c r="O487" s="61"/>
      <c r="P487" s="61"/>
      <c r="Q487" s="61"/>
      <c r="R487" s="61"/>
      <c r="S487" s="61"/>
      <c r="T487" s="35"/>
      <c r="U487" s="187"/>
      <c r="V487" s="190"/>
      <c r="W487" s="190"/>
      <c r="X487" s="190"/>
      <c r="Y487" s="190"/>
      <c r="Z487" s="190"/>
      <c r="AA487" s="191"/>
      <c r="AB487" s="190"/>
      <c r="AC487" s="190"/>
      <c r="AD487" s="190"/>
      <c r="AE487" s="190"/>
      <c r="AF487" s="190"/>
      <c r="AG487" s="190"/>
      <c r="AH487" s="191"/>
      <c r="AI487" s="190"/>
      <c r="AJ487" s="190"/>
      <c r="AK487" s="190"/>
      <c r="AL487" s="190"/>
      <c r="AM487" s="190"/>
      <c r="AN487" s="191"/>
      <c r="AO487" s="190"/>
      <c r="AP487" s="190"/>
      <c r="AQ487" s="190"/>
      <c r="AR487" s="190"/>
      <c r="AS487" s="190"/>
      <c r="AT487" s="191"/>
      <c r="AU487" s="190"/>
      <c r="AV487" s="190"/>
      <c r="AW487" s="190"/>
      <c r="AX487" s="190"/>
      <c r="AY487" s="190"/>
      <c r="AZ487" s="191"/>
      <c r="BA487" s="183"/>
      <c r="BB487" s="183"/>
      <c r="BC487" s="183"/>
      <c r="BD487" s="183"/>
      <c r="BE487" s="183"/>
      <c r="BF487" s="184"/>
      <c r="BG487" s="183"/>
      <c r="BH487" s="183"/>
      <c r="BI487" s="183"/>
      <c r="BJ487" s="183"/>
      <c r="BK487" s="183"/>
      <c r="BL487" s="184"/>
      <c r="BM487" s="409"/>
      <c r="BN487" s="409"/>
    </row>
    <row r="488" spans="1:66" s="153" customFormat="1" x14ac:dyDescent="0.2">
      <c r="A488" s="61"/>
      <c r="B488" s="61"/>
      <c r="C488" s="61"/>
      <c r="D488" s="61"/>
      <c r="E488" s="61"/>
      <c r="F488" s="61"/>
      <c r="G488" s="61"/>
      <c r="H488" s="61"/>
      <c r="I488" s="61"/>
      <c r="J488" s="61"/>
      <c r="K488" s="61"/>
      <c r="L488" s="61"/>
      <c r="M488" s="61"/>
      <c r="N488" s="61"/>
      <c r="O488" s="61"/>
      <c r="P488" s="61"/>
      <c r="Q488" s="61"/>
      <c r="R488" s="61"/>
      <c r="S488" s="61"/>
      <c r="T488" s="35"/>
      <c r="U488" s="187"/>
      <c r="V488" s="190"/>
      <c r="W488" s="190"/>
      <c r="X488" s="190"/>
      <c r="Y488" s="190"/>
      <c r="Z488" s="190"/>
      <c r="AA488" s="191"/>
      <c r="AB488" s="190"/>
      <c r="AC488" s="190"/>
      <c r="AD488" s="190"/>
      <c r="AE488" s="190"/>
      <c r="AF488" s="190"/>
      <c r="AG488" s="190"/>
      <c r="AH488" s="191"/>
      <c r="AI488" s="190"/>
      <c r="AJ488" s="190"/>
      <c r="AK488" s="190"/>
      <c r="AL488" s="190"/>
      <c r="AM488" s="190"/>
      <c r="AN488" s="191"/>
      <c r="AO488" s="190"/>
      <c r="AP488" s="190"/>
      <c r="AQ488" s="190"/>
      <c r="AR488" s="190"/>
      <c r="AS488" s="190"/>
      <c r="AT488" s="191"/>
      <c r="AU488" s="190"/>
      <c r="AV488" s="190"/>
      <c r="AW488" s="190"/>
      <c r="AX488" s="190"/>
      <c r="AY488" s="190"/>
      <c r="AZ488" s="191"/>
      <c r="BA488" s="183"/>
      <c r="BB488" s="183"/>
      <c r="BC488" s="183"/>
      <c r="BD488" s="183"/>
      <c r="BE488" s="183"/>
      <c r="BF488" s="184"/>
      <c r="BG488" s="183"/>
      <c r="BH488" s="183"/>
      <c r="BI488" s="183"/>
      <c r="BJ488" s="183"/>
      <c r="BK488" s="183"/>
      <c r="BL488" s="184"/>
      <c r="BM488" s="409"/>
      <c r="BN488" s="409"/>
    </row>
    <row r="489" spans="1:66" s="153" customFormat="1" x14ac:dyDescent="0.2">
      <c r="A489" s="61"/>
      <c r="B489" s="61"/>
      <c r="C489" s="61"/>
      <c r="D489" s="61"/>
      <c r="E489" s="61"/>
      <c r="F489" s="61"/>
      <c r="G489" s="61"/>
      <c r="H489" s="61"/>
      <c r="I489" s="61"/>
      <c r="J489" s="61"/>
      <c r="K489" s="61"/>
      <c r="L489" s="61"/>
      <c r="M489" s="61"/>
      <c r="N489" s="61"/>
      <c r="O489" s="61"/>
      <c r="P489" s="61"/>
      <c r="Q489" s="61"/>
      <c r="R489" s="61"/>
      <c r="S489" s="61"/>
      <c r="T489" s="35"/>
      <c r="U489" s="187"/>
      <c r="V489" s="190"/>
      <c r="W489" s="190"/>
      <c r="X489" s="190"/>
      <c r="Y489" s="190"/>
      <c r="Z489" s="190"/>
      <c r="AA489" s="191"/>
      <c r="AB489" s="190"/>
      <c r="AC489" s="190"/>
      <c r="AD489" s="190"/>
      <c r="AE489" s="190"/>
      <c r="AF489" s="190"/>
      <c r="AG489" s="190"/>
      <c r="AH489" s="191"/>
      <c r="AI489" s="190"/>
      <c r="AJ489" s="190"/>
      <c r="AK489" s="190"/>
      <c r="AL489" s="190"/>
      <c r="AM489" s="190"/>
      <c r="AN489" s="191"/>
      <c r="AO489" s="190"/>
      <c r="AP489" s="190"/>
      <c r="AQ489" s="190"/>
      <c r="AR489" s="190"/>
      <c r="AS489" s="190"/>
      <c r="AT489" s="191"/>
      <c r="AU489" s="190"/>
      <c r="AV489" s="190"/>
      <c r="AW489" s="190"/>
      <c r="AX489" s="190"/>
      <c r="AY489" s="190"/>
      <c r="AZ489" s="191"/>
      <c r="BA489" s="183"/>
      <c r="BB489" s="183"/>
      <c r="BC489" s="183"/>
      <c r="BD489" s="183"/>
      <c r="BE489" s="183"/>
      <c r="BF489" s="184"/>
      <c r="BG489" s="183"/>
      <c r="BH489" s="183"/>
      <c r="BI489" s="183"/>
      <c r="BJ489" s="183"/>
      <c r="BK489" s="183"/>
      <c r="BL489" s="184"/>
      <c r="BM489" s="409"/>
      <c r="BN489" s="409"/>
    </row>
    <row r="490" spans="1:66" s="153" customFormat="1" x14ac:dyDescent="0.2">
      <c r="A490" s="61"/>
      <c r="B490" s="61"/>
      <c r="C490" s="61"/>
      <c r="D490" s="61"/>
      <c r="E490" s="61"/>
      <c r="F490" s="61"/>
      <c r="G490" s="61"/>
      <c r="H490" s="61"/>
      <c r="I490" s="61"/>
      <c r="J490" s="61"/>
      <c r="K490" s="61"/>
      <c r="L490" s="61"/>
      <c r="M490" s="61"/>
      <c r="N490" s="61"/>
      <c r="O490" s="61"/>
      <c r="P490" s="61"/>
      <c r="Q490" s="61"/>
      <c r="R490" s="61"/>
      <c r="S490" s="61"/>
      <c r="T490" s="35"/>
      <c r="U490" s="187"/>
      <c r="V490" s="190"/>
      <c r="W490" s="190"/>
      <c r="X490" s="190"/>
      <c r="Y490" s="190"/>
      <c r="Z490" s="190"/>
      <c r="AA490" s="191"/>
      <c r="AB490" s="190"/>
      <c r="AC490" s="190"/>
      <c r="AD490" s="190"/>
      <c r="AE490" s="190"/>
      <c r="AF490" s="190"/>
      <c r="AG490" s="190"/>
      <c r="AH490" s="191"/>
      <c r="AI490" s="190"/>
      <c r="AJ490" s="190"/>
      <c r="AK490" s="190"/>
      <c r="AL490" s="190"/>
      <c r="AM490" s="190"/>
      <c r="AN490" s="191"/>
      <c r="AO490" s="190"/>
      <c r="AP490" s="190"/>
      <c r="AQ490" s="190"/>
      <c r="AR490" s="190"/>
      <c r="AS490" s="190"/>
      <c r="AT490" s="191"/>
      <c r="AU490" s="190"/>
      <c r="AV490" s="190"/>
      <c r="AW490" s="190"/>
      <c r="AX490" s="190"/>
      <c r="AY490" s="190"/>
      <c r="AZ490" s="191"/>
      <c r="BA490" s="183"/>
      <c r="BB490" s="183"/>
      <c r="BC490" s="183"/>
      <c r="BD490" s="183"/>
      <c r="BE490" s="183"/>
      <c r="BF490" s="184"/>
      <c r="BG490" s="183"/>
      <c r="BH490" s="183"/>
      <c r="BI490" s="183"/>
      <c r="BJ490" s="183"/>
      <c r="BK490" s="183"/>
      <c r="BL490" s="184"/>
      <c r="BM490" s="409"/>
      <c r="BN490" s="409"/>
    </row>
    <row r="491" spans="1:66" s="153" customFormat="1" x14ac:dyDescent="0.2">
      <c r="A491" s="61"/>
      <c r="B491" s="61"/>
      <c r="C491" s="61"/>
      <c r="D491" s="61"/>
      <c r="E491" s="61"/>
      <c r="F491" s="61"/>
      <c r="G491" s="61"/>
      <c r="H491" s="61"/>
      <c r="I491" s="61"/>
      <c r="J491" s="61"/>
      <c r="K491" s="61"/>
      <c r="L491" s="61"/>
      <c r="M491" s="61"/>
      <c r="N491" s="61"/>
      <c r="O491" s="61"/>
      <c r="P491" s="61"/>
      <c r="Q491" s="61"/>
      <c r="R491" s="61"/>
      <c r="S491" s="61"/>
      <c r="T491" s="35"/>
      <c r="U491" s="187"/>
      <c r="V491" s="190"/>
      <c r="W491" s="190"/>
      <c r="X491" s="190"/>
      <c r="Y491" s="190"/>
      <c r="Z491" s="190"/>
      <c r="AA491" s="191"/>
      <c r="AB491" s="190"/>
      <c r="AC491" s="190"/>
      <c r="AD491" s="190"/>
      <c r="AE491" s="190"/>
      <c r="AF491" s="190"/>
      <c r="AG491" s="190"/>
      <c r="AH491" s="191"/>
      <c r="AI491" s="190"/>
      <c r="AJ491" s="190"/>
      <c r="AK491" s="190"/>
      <c r="AL491" s="190"/>
      <c r="AM491" s="190"/>
      <c r="AN491" s="191"/>
      <c r="AO491" s="190"/>
      <c r="AP491" s="190"/>
      <c r="AQ491" s="190"/>
      <c r="AR491" s="190"/>
      <c r="AS491" s="190"/>
      <c r="AT491" s="191"/>
      <c r="AU491" s="190"/>
      <c r="AV491" s="190"/>
      <c r="AW491" s="190"/>
      <c r="AX491" s="190"/>
      <c r="AY491" s="190"/>
      <c r="AZ491" s="191"/>
      <c r="BA491" s="183"/>
      <c r="BB491" s="183"/>
      <c r="BC491" s="183"/>
      <c r="BD491" s="183"/>
      <c r="BE491" s="183"/>
      <c r="BF491" s="184"/>
      <c r="BG491" s="183"/>
      <c r="BH491" s="183"/>
      <c r="BI491" s="183"/>
      <c r="BJ491" s="183"/>
      <c r="BK491" s="183"/>
      <c r="BL491" s="184"/>
      <c r="BM491" s="409"/>
      <c r="BN491" s="409"/>
    </row>
    <row r="492" spans="1:66" s="153" customFormat="1" x14ac:dyDescent="0.2">
      <c r="A492" s="61"/>
      <c r="B492" s="61"/>
      <c r="C492" s="61"/>
      <c r="D492" s="61"/>
      <c r="E492" s="61"/>
      <c r="F492" s="61"/>
      <c r="G492" s="61"/>
      <c r="H492" s="61"/>
      <c r="I492" s="61"/>
      <c r="J492" s="61"/>
      <c r="K492" s="61"/>
      <c r="L492" s="61"/>
      <c r="M492" s="61"/>
      <c r="N492" s="61"/>
      <c r="O492" s="61"/>
      <c r="P492" s="61"/>
      <c r="Q492" s="61"/>
      <c r="R492" s="61"/>
      <c r="S492" s="61"/>
      <c r="T492" s="35"/>
      <c r="U492" s="187"/>
      <c r="V492" s="190"/>
      <c r="W492" s="190"/>
      <c r="X492" s="190"/>
      <c r="Y492" s="190"/>
      <c r="Z492" s="190"/>
      <c r="AA492" s="191"/>
      <c r="AB492" s="190"/>
      <c r="AC492" s="190"/>
      <c r="AD492" s="190"/>
      <c r="AE492" s="190"/>
      <c r="AF492" s="190"/>
      <c r="AG492" s="190"/>
      <c r="AH492" s="191"/>
      <c r="AI492" s="190"/>
      <c r="AJ492" s="190"/>
      <c r="AK492" s="190"/>
      <c r="AL492" s="190"/>
      <c r="AM492" s="190"/>
      <c r="AN492" s="191"/>
      <c r="AO492" s="190"/>
      <c r="AP492" s="190"/>
      <c r="AQ492" s="190"/>
      <c r="AR492" s="190"/>
      <c r="AS492" s="190"/>
      <c r="AT492" s="191"/>
      <c r="AU492" s="190"/>
      <c r="AV492" s="190"/>
      <c r="AW492" s="190"/>
      <c r="AX492" s="190"/>
      <c r="AY492" s="190"/>
      <c r="AZ492" s="191"/>
      <c r="BA492" s="183"/>
      <c r="BB492" s="183"/>
      <c r="BC492" s="183"/>
      <c r="BD492" s="183"/>
      <c r="BE492" s="183"/>
      <c r="BF492" s="184"/>
      <c r="BG492" s="183"/>
      <c r="BH492" s="183"/>
      <c r="BI492" s="183"/>
      <c r="BJ492" s="183"/>
      <c r="BK492" s="183"/>
      <c r="BL492" s="184"/>
      <c r="BM492" s="409"/>
      <c r="BN492" s="409"/>
    </row>
    <row r="493" spans="1:66" s="153" customFormat="1" x14ac:dyDescent="0.2">
      <c r="A493" s="61"/>
      <c r="B493" s="61"/>
      <c r="C493" s="61"/>
      <c r="D493" s="61"/>
      <c r="E493" s="61"/>
      <c r="F493" s="61"/>
      <c r="G493" s="61"/>
      <c r="H493" s="61"/>
      <c r="I493" s="61"/>
      <c r="J493" s="61"/>
      <c r="K493" s="61"/>
      <c r="L493" s="61"/>
      <c r="M493" s="61"/>
      <c r="N493" s="61"/>
      <c r="O493" s="61"/>
      <c r="P493" s="61"/>
      <c r="Q493" s="61"/>
      <c r="R493" s="61"/>
      <c r="S493" s="61"/>
      <c r="T493" s="35"/>
      <c r="U493" s="187"/>
      <c r="V493" s="190"/>
      <c r="W493" s="190"/>
      <c r="X493" s="190"/>
      <c r="Y493" s="190"/>
      <c r="Z493" s="190"/>
      <c r="AA493" s="191"/>
      <c r="AB493" s="190"/>
      <c r="AC493" s="190"/>
      <c r="AD493" s="190"/>
      <c r="AE493" s="190"/>
      <c r="AF493" s="190"/>
      <c r="AG493" s="190"/>
      <c r="AH493" s="191"/>
      <c r="AI493" s="190"/>
      <c r="AJ493" s="190"/>
      <c r="AK493" s="190"/>
      <c r="AL493" s="190"/>
      <c r="AM493" s="190"/>
      <c r="AN493" s="191"/>
      <c r="AO493" s="190"/>
      <c r="AP493" s="190"/>
      <c r="AQ493" s="190"/>
      <c r="AR493" s="190"/>
      <c r="AS493" s="190"/>
      <c r="AT493" s="191"/>
      <c r="AU493" s="190"/>
      <c r="AV493" s="190"/>
      <c r="AW493" s="190"/>
      <c r="AX493" s="190"/>
      <c r="AY493" s="190"/>
      <c r="AZ493" s="191"/>
      <c r="BA493" s="183"/>
      <c r="BB493" s="183"/>
      <c r="BC493" s="183"/>
      <c r="BD493" s="183"/>
      <c r="BE493" s="183"/>
      <c r="BF493" s="184"/>
      <c r="BG493" s="183"/>
      <c r="BH493" s="183"/>
      <c r="BI493" s="183"/>
      <c r="BJ493" s="183"/>
      <c r="BK493" s="183"/>
      <c r="BL493" s="184"/>
      <c r="BM493" s="409"/>
      <c r="BN493" s="409"/>
    </row>
    <row r="494" spans="1:66" s="153" customFormat="1" x14ac:dyDescent="0.2">
      <c r="A494" s="61"/>
      <c r="B494" s="61"/>
      <c r="C494" s="61"/>
      <c r="D494" s="61"/>
      <c r="E494" s="61"/>
      <c r="F494" s="61"/>
      <c r="G494" s="61"/>
      <c r="H494" s="61"/>
      <c r="I494" s="61"/>
      <c r="J494" s="61"/>
      <c r="K494" s="61"/>
      <c r="L494" s="61"/>
      <c r="M494" s="61"/>
      <c r="N494" s="61"/>
      <c r="O494" s="61"/>
      <c r="P494" s="61"/>
      <c r="Q494" s="61"/>
      <c r="R494" s="61"/>
      <c r="S494" s="61"/>
      <c r="T494" s="35"/>
      <c r="U494" s="187"/>
      <c r="V494" s="190"/>
      <c r="W494" s="190"/>
      <c r="X494" s="190"/>
      <c r="Y494" s="190"/>
      <c r="Z494" s="190"/>
      <c r="AA494" s="191"/>
      <c r="AB494" s="190"/>
      <c r="AC494" s="190"/>
      <c r="AD494" s="190"/>
      <c r="AE494" s="190"/>
      <c r="AF494" s="190"/>
      <c r="AG494" s="190"/>
      <c r="AH494" s="191"/>
      <c r="AI494" s="190"/>
      <c r="AJ494" s="190"/>
      <c r="AK494" s="190"/>
      <c r="AL494" s="190"/>
      <c r="AM494" s="190"/>
      <c r="AN494" s="191"/>
      <c r="AO494" s="190"/>
      <c r="AP494" s="190"/>
      <c r="AQ494" s="190"/>
      <c r="AR494" s="190"/>
      <c r="AS494" s="190"/>
      <c r="AT494" s="191"/>
      <c r="AU494" s="190"/>
      <c r="AV494" s="190"/>
      <c r="AW494" s="190"/>
      <c r="AX494" s="190"/>
      <c r="AY494" s="190"/>
      <c r="AZ494" s="191"/>
      <c r="BA494" s="183"/>
      <c r="BB494" s="183"/>
      <c r="BC494" s="183"/>
      <c r="BD494" s="183"/>
      <c r="BE494" s="183"/>
      <c r="BF494" s="184"/>
      <c r="BG494" s="183"/>
      <c r="BH494" s="183"/>
      <c r="BI494" s="183"/>
      <c r="BJ494" s="183"/>
      <c r="BK494" s="183"/>
      <c r="BL494" s="184"/>
      <c r="BM494" s="409"/>
      <c r="BN494" s="409"/>
    </row>
    <row r="495" spans="1:66" s="153" customFormat="1" x14ac:dyDescent="0.2">
      <c r="A495" s="61"/>
      <c r="B495" s="61"/>
      <c r="C495" s="61"/>
      <c r="D495" s="61"/>
      <c r="E495" s="61"/>
      <c r="F495" s="61"/>
      <c r="G495" s="61"/>
      <c r="H495" s="61"/>
      <c r="I495" s="61"/>
      <c r="J495" s="61"/>
      <c r="K495" s="61"/>
      <c r="L495" s="61"/>
      <c r="M495" s="61"/>
      <c r="N495" s="61"/>
      <c r="O495" s="61"/>
      <c r="P495" s="61"/>
      <c r="Q495" s="61"/>
      <c r="R495" s="61"/>
      <c r="S495" s="61"/>
      <c r="T495" s="35"/>
      <c r="U495" s="187"/>
      <c r="V495" s="190"/>
      <c r="W495" s="190"/>
      <c r="X495" s="190"/>
      <c r="Y495" s="190"/>
      <c r="Z495" s="190"/>
      <c r="AA495" s="191"/>
      <c r="AB495" s="190"/>
      <c r="AC495" s="190"/>
      <c r="AD495" s="190"/>
      <c r="AE495" s="190"/>
      <c r="AF495" s="190"/>
      <c r="AG495" s="190"/>
      <c r="AH495" s="191"/>
      <c r="AI495" s="190"/>
      <c r="AJ495" s="190"/>
      <c r="AK495" s="190"/>
      <c r="AL495" s="190"/>
      <c r="AM495" s="190"/>
      <c r="AN495" s="191"/>
      <c r="AO495" s="190"/>
      <c r="AP495" s="190"/>
      <c r="AQ495" s="190"/>
      <c r="AR495" s="190"/>
      <c r="AS495" s="190"/>
      <c r="AT495" s="191"/>
      <c r="AU495" s="190"/>
      <c r="AV495" s="190"/>
      <c r="AW495" s="190"/>
      <c r="AX495" s="190"/>
      <c r="AY495" s="190"/>
      <c r="AZ495" s="191"/>
      <c r="BA495" s="183"/>
      <c r="BB495" s="183"/>
      <c r="BC495" s="183"/>
      <c r="BD495" s="183"/>
      <c r="BE495" s="183"/>
      <c r="BF495" s="184"/>
      <c r="BG495" s="183"/>
      <c r="BH495" s="183"/>
      <c r="BI495" s="183"/>
      <c r="BJ495" s="183"/>
      <c r="BK495" s="183"/>
      <c r="BL495" s="184"/>
      <c r="BM495" s="409"/>
      <c r="BN495" s="409"/>
    </row>
    <row r="496" spans="1:66" s="153" customFormat="1" x14ac:dyDescent="0.2">
      <c r="A496" s="61"/>
      <c r="B496" s="61"/>
      <c r="C496" s="61"/>
      <c r="D496" s="61"/>
      <c r="E496" s="61"/>
      <c r="F496" s="61"/>
      <c r="G496" s="61"/>
      <c r="H496" s="61"/>
      <c r="I496" s="61"/>
      <c r="J496" s="61"/>
      <c r="K496" s="61"/>
      <c r="L496" s="61"/>
      <c r="M496" s="61"/>
      <c r="N496" s="61"/>
      <c r="O496" s="61"/>
      <c r="P496" s="61"/>
      <c r="Q496" s="61"/>
      <c r="R496" s="61"/>
      <c r="S496" s="61"/>
      <c r="T496" s="35"/>
      <c r="U496" s="187"/>
      <c r="V496" s="190"/>
      <c r="W496" s="190"/>
      <c r="X496" s="190"/>
      <c r="Y496" s="190"/>
      <c r="Z496" s="190"/>
      <c r="AA496" s="191"/>
      <c r="AB496" s="190"/>
      <c r="AC496" s="190"/>
      <c r="AD496" s="190"/>
      <c r="AE496" s="190"/>
      <c r="AF496" s="190"/>
      <c r="AG496" s="190"/>
      <c r="AH496" s="191"/>
      <c r="AI496" s="190"/>
      <c r="AJ496" s="190"/>
      <c r="AK496" s="190"/>
      <c r="AL496" s="190"/>
      <c r="AM496" s="190"/>
      <c r="AN496" s="191"/>
      <c r="AO496" s="190"/>
      <c r="AP496" s="190"/>
      <c r="AQ496" s="190"/>
      <c r="AR496" s="190"/>
      <c r="AS496" s="190"/>
      <c r="AT496" s="191"/>
      <c r="AU496" s="190"/>
      <c r="AV496" s="190"/>
      <c r="AW496" s="190"/>
      <c r="AX496" s="190"/>
      <c r="AY496" s="190"/>
      <c r="AZ496" s="191"/>
      <c r="BA496" s="183"/>
      <c r="BB496" s="183"/>
      <c r="BC496" s="183"/>
      <c r="BD496" s="183"/>
      <c r="BE496" s="183"/>
      <c r="BF496" s="184"/>
      <c r="BG496" s="183"/>
      <c r="BH496" s="183"/>
      <c r="BI496" s="183"/>
      <c r="BJ496" s="183"/>
      <c r="BK496" s="183"/>
      <c r="BL496" s="184"/>
      <c r="BM496" s="409"/>
      <c r="BN496" s="409"/>
    </row>
    <row r="497" spans="1:66" s="153" customFormat="1" x14ac:dyDescent="0.2">
      <c r="A497" s="61"/>
      <c r="B497" s="61"/>
      <c r="C497" s="61"/>
      <c r="D497" s="61"/>
      <c r="E497" s="61"/>
      <c r="F497" s="61"/>
      <c r="G497" s="61"/>
      <c r="H497" s="61"/>
      <c r="I497" s="61"/>
      <c r="J497" s="61"/>
      <c r="K497" s="61"/>
      <c r="L497" s="61"/>
      <c r="M497" s="61"/>
      <c r="N497" s="61"/>
      <c r="O497" s="61"/>
      <c r="P497" s="61"/>
      <c r="Q497" s="61"/>
      <c r="R497" s="61"/>
      <c r="S497" s="61"/>
      <c r="T497" s="35"/>
      <c r="U497" s="187"/>
      <c r="V497" s="190"/>
      <c r="W497" s="190"/>
      <c r="X497" s="190"/>
      <c r="Y497" s="190"/>
      <c r="Z497" s="190"/>
      <c r="AA497" s="191"/>
      <c r="AB497" s="190"/>
      <c r="AC497" s="190"/>
      <c r="AD497" s="190"/>
      <c r="AE497" s="190"/>
      <c r="AF497" s="190"/>
      <c r="AG497" s="190"/>
      <c r="AH497" s="191"/>
      <c r="AI497" s="190"/>
      <c r="AJ497" s="190"/>
      <c r="AK497" s="190"/>
      <c r="AL497" s="190"/>
      <c r="AM497" s="190"/>
      <c r="AN497" s="191"/>
      <c r="AO497" s="190"/>
      <c r="AP497" s="190"/>
      <c r="AQ497" s="190"/>
      <c r="AR497" s="190"/>
      <c r="AS497" s="190"/>
      <c r="AT497" s="191"/>
      <c r="AU497" s="190"/>
      <c r="AV497" s="190"/>
      <c r="AW497" s="190"/>
      <c r="AX497" s="190"/>
      <c r="AY497" s="190"/>
      <c r="AZ497" s="191"/>
      <c r="BA497" s="183"/>
      <c r="BB497" s="183"/>
      <c r="BC497" s="183"/>
      <c r="BD497" s="183"/>
      <c r="BE497" s="183"/>
      <c r="BF497" s="184"/>
      <c r="BG497" s="183"/>
      <c r="BH497" s="183"/>
      <c r="BI497" s="183"/>
      <c r="BJ497" s="183"/>
      <c r="BK497" s="183"/>
      <c r="BL497" s="184"/>
      <c r="BM497" s="409"/>
      <c r="BN497" s="409"/>
    </row>
    <row r="498" spans="1:66" s="153" customFormat="1" x14ac:dyDescent="0.2">
      <c r="A498" s="61"/>
      <c r="B498" s="61"/>
      <c r="C498" s="61"/>
      <c r="D498" s="61"/>
      <c r="E498" s="61"/>
      <c r="F498" s="61"/>
      <c r="G498" s="61"/>
      <c r="H498" s="61"/>
      <c r="I498" s="61"/>
      <c r="J498" s="61"/>
      <c r="K498" s="61"/>
      <c r="L498" s="61"/>
      <c r="M498" s="61"/>
      <c r="N498" s="61"/>
      <c r="O498" s="61"/>
      <c r="P498" s="61"/>
      <c r="Q498" s="61"/>
      <c r="R498" s="61"/>
      <c r="S498" s="61"/>
      <c r="T498" s="35"/>
      <c r="U498" s="187"/>
      <c r="V498" s="190"/>
      <c r="W498" s="190"/>
      <c r="X498" s="190"/>
      <c r="Y498" s="190"/>
      <c r="Z498" s="190"/>
      <c r="AA498" s="191"/>
      <c r="AB498" s="190"/>
      <c r="AC498" s="190"/>
      <c r="AD498" s="190"/>
      <c r="AE498" s="190"/>
      <c r="AF498" s="190"/>
      <c r="AG498" s="190"/>
      <c r="AH498" s="191"/>
      <c r="AI498" s="190"/>
      <c r="AJ498" s="190"/>
      <c r="AK498" s="190"/>
      <c r="AL498" s="190"/>
      <c r="AM498" s="190"/>
      <c r="AN498" s="191"/>
      <c r="AO498" s="190"/>
      <c r="AP498" s="190"/>
      <c r="AQ498" s="190"/>
      <c r="AR498" s="190"/>
      <c r="AS498" s="190"/>
      <c r="AT498" s="191"/>
      <c r="AU498" s="190"/>
      <c r="AV498" s="190"/>
      <c r="AW498" s="190"/>
      <c r="AX498" s="190"/>
      <c r="AY498" s="190"/>
      <c r="AZ498" s="191"/>
      <c r="BA498" s="183"/>
      <c r="BB498" s="183"/>
      <c r="BC498" s="183"/>
      <c r="BD498" s="183"/>
      <c r="BE498" s="183"/>
      <c r="BF498" s="184"/>
      <c r="BG498" s="183"/>
      <c r="BH498" s="183"/>
      <c r="BI498" s="183"/>
      <c r="BJ498" s="183"/>
      <c r="BK498" s="183"/>
      <c r="BL498" s="184"/>
      <c r="BM498" s="409"/>
      <c r="BN498" s="409"/>
    </row>
    <row r="499" spans="1:66" s="153" customFormat="1" x14ac:dyDescent="0.2">
      <c r="A499" s="61"/>
      <c r="B499" s="61"/>
      <c r="C499" s="61"/>
      <c r="D499" s="61"/>
      <c r="E499" s="61"/>
      <c r="F499" s="61"/>
      <c r="G499" s="61"/>
      <c r="H499" s="61"/>
      <c r="I499" s="61"/>
      <c r="J499" s="61"/>
      <c r="K499" s="61"/>
      <c r="L499" s="61"/>
      <c r="M499" s="61"/>
      <c r="N499" s="61"/>
      <c r="O499" s="61"/>
      <c r="P499" s="61"/>
      <c r="Q499" s="61"/>
      <c r="R499" s="61"/>
      <c r="S499" s="61"/>
      <c r="T499" s="35"/>
      <c r="U499" s="187"/>
      <c r="V499" s="190"/>
      <c r="W499" s="190"/>
      <c r="X499" s="190"/>
      <c r="Y499" s="190"/>
      <c r="Z499" s="190"/>
      <c r="AA499" s="191"/>
      <c r="AB499" s="190"/>
      <c r="AC499" s="190"/>
      <c r="AD499" s="190"/>
      <c r="AE499" s="190"/>
      <c r="AF499" s="190"/>
      <c r="AG499" s="190"/>
      <c r="AH499" s="191"/>
      <c r="AI499" s="190"/>
      <c r="AJ499" s="190"/>
      <c r="AK499" s="190"/>
      <c r="AL499" s="190"/>
      <c r="AM499" s="190"/>
      <c r="AN499" s="191"/>
      <c r="AO499" s="190"/>
      <c r="AP499" s="190"/>
      <c r="AQ499" s="190"/>
      <c r="AR499" s="190"/>
      <c r="AS499" s="190"/>
      <c r="AT499" s="191"/>
      <c r="AU499" s="190"/>
      <c r="AV499" s="190"/>
      <c r="AW499" s="190"/>
      <c r="AX499" s="190"/>
      <c r="AY499" s="190"/>
      <c r="AZ499" s="191"/>
      <c r="BA499" s="183"/>
      <c r="BB499" s="183"/>
      <c r="BC499" s="183"/>
      <c r="BD499" s="183"/>
      <c r="BE499" s="183"/>
      <c r="BF499" s="184"/>
      <c r="BG499" s="183"/>
      <c r="BH499" s="183"/>
      <c r="BI499" s="183"/>
      <c r="BJ499" s="183"/>
      <c r="BK499" s="183"/>
      <c r="BL499" s="184"/>
      <c r="BM499" s="409"/>
      <c r="BN499" s="409"/>
    </row>
    <row r="500" spans="1:66" s="153" customFormat="1" x14ac:dyDescent="0.2">
      <c r="A500" s="61"/>
      <c r="B500" s="61"/>
      <c r="C500" s="61"/>
      <c r="D500" s="61"/>
      <c r="E500" s="61"/>
      <c r="F500" s="61"/>
      <c r="G500" s="61"/>
      <c r="H500" s="61"/>
      <c r="I500" s="61"/>
      <c r="J500" s="61"/>
      <c r="K500" s="61"/>
      <c r="L500" s="61"/>
      <c r="M500" s="61"/>
      <c r="N500" s="61"/>
      <c r="O500" s="61"/>
      <c r="P500" s="61"/>
      <c r="Q500" s="61"/>
      <c r="R500" s="61"/>
      <c r="S500" s="61"/>
      <c r="T500" s="35"/>
      <c r="U500" s="187"/>
      <c r="V500" s="190"/>
      <c r="W500" s="190"/>
      <c r="X500" s="190"/>
      <c r="Y500" s="190"/>
      <c r="Z500" s="190"/>
      <c r="AA500" s="191"/>
      <c r="AB500" s="190"/>
      <c r="AC500" s="190"/>
      <c r="AD500" s="190"/>
      <c r="AE500" s="190"/>
      <c r="AF500" s="190"/>
      <c r="AG500" s="190"/>
      <c r="AH500" s="191"/>
      <c r="AI500" s="190"/>
      <c r="AJ500" s="190"/>
      <c r="AK500" s="190"/>
      <c r="AL500" s="190"/>
      <c r="AM500" s="190"/>
      <c r="AN500" s="191"/>
      <c r="AO500" s="190"/>
      <c r="AP500" s="190"/>
      <c r="AQ500" s="190"/>
      <c r="AR500" s="190"/>
      <c r="AS500" s="190"/>
      <c r="AT500" s="191"/>
      <c r="AU500" s="190"/>
      <c r="AV500" s="190"/>
      <c r="AW500" s="190"/>
      <c r="AX500" s="190"/>
      <c r="AY500" s="190"/>
      <c r="AZ500" s="191"/>
      <c r="BA500" s="183"/>
      <c r="BB500" s="183"/>
      <c r="BC500" s="183"/>
      <c r="BD500" s="183"/>
      <c r="BE500" s="183"/>
      <c r="BF500" s="184"/>
      <c r="BG500" s="183"/>
      <c r="BH500" s="183"/>
      <c r="BI500" s="183"/>
      <c r="BJ500" s="183"/>
      <c r="BK500" s="183"/>
      <c r="BL500" s="184"/>
      <c r="BM500" s="409"/>
      <c r="BN500" s="409"/>
    </row>
    <row r="501" spans="1:66" s="153" customFormat="1" x14ac:dyDescent="0.2">
      <c r="A501" s="61"/>
      <c r="B501" s="61"/>
      <c r="C501" s="61"/>
      <c r="D501" s="61"/>
      <c r="E501" s="61"/>
      <c r="F501" s="61"/>
      <c r="G501" s="61"/>
      <c r="H501" s="61"/>
      <c r="I501" s="61"/>
      <c r="J501" s="61"/>
      <c r="K501" s="61"/>
      <c r="L501" s="61"/>
      <c r="M501" s="61"/>
      <c r="N501" s="61"/>
      <c r="O501" s="61"/>
      <c r="P501" s="61"/>
      <c r="Q501" s="61"/>
      <c r="R501" s="61"/>
      <c r="S501" s="61"/>
      <c r="T501" s="35"/>
      <c r="U501" s="187"/>
      <c r="V501" s="190"/>
      <c r="W501" s="190"/>
      <c r="X501" s="190"/>
      <c r="Y501" s="190"/>
      <c r="Z501" s="190"/>
      <c r="AA501" s="191"/>
      <c r="AB501" s="190"/>
      <c r="AC501" s="190"/>
      <c r="AD501" s="190"/>
      <c r="AE501" s="190"/>
      <c r="AF501" s="190"/>
      <c r="AG501" s="190"/>
      <c r="AH501" s="191"/>
      <c r="AI501" s="190"/>
      <c r="AJ501" s="190"/>
      <c r="AK501" s="190"/>
      <c r="AL501" s="190"/>
      <c r="AM501" s="190"/>
      <c r="AN501" s="191"/>
      <c r="AO501" s="190"/>
      <c r="AP501" s="190"/>
      <c r="AQ501" s="190"/>
      <c r="AR501" s="190"/>
      <c r="AS501" s="190"/>
      <c r="AT501" s="191"/>
      <c r="AU501" s="190"/>
      <c r="AV501" s="190"/>
      <c r="AW501" s="190"/>
      <c r="AX501" s="190"/>
      <c r="AY501" s="190"/>
      <c r="AZ501" s="191"/>
      <c r="BA501" s="183"/>
      <c r="BB501" s="183"/>
      <c r="BC501" s="183"/>
      <c r="BD501" s="183"/>
      <c r="BE501" s="183"/>
      <c r="BF501" s="184"/>
      <c r="BG501" s="183"/>
      <c r="BH501" s="183"/>
      <c r="BI501" s="183"/>
      <c r="BJ501" s="183"/>
      <c r="BK501" s="183"/>
      <c r="BL501" s="184"/>
      <c r="BM501" s="409"/>
      <c r="BN501" s="409"/>
    </row>
    <row r="502" spans="1:66" s="153" customFormat="1" x14ac:dyDescent="0.2">
      <c r="A502" s="61"/>
      <c r="B502" s="61"/>
      <c r="C502" s="61"/>
      <c r="D502" s="61"/>
      <c r="E502" s="61"/>
      <c r="F502" s="61"/>
      <c r="G502" s="61"/>
      <c r="H502" s="61"/>
      <c r="I502" s="61"/>
      <c r="J502" s="61"/>
      <c r="K502" s="61"/>
      <c r="L502" s="61"/>
      <c r="M502" s="61"/>
      <c r="N502" s="61"/>
      <c r="O502" s="61"/>
      <c r="P502" s="61"/>
      <c r="Q502" s="61"/>
      <c r="R502" s="61"/>
      <c r="S502" s="61"/>
      <c r="T502" s="35"/>
      <c r="U502" s="187"/>
      <c r="V502" s="190"/>
      <c r="W502" s="190"/>
      <c r="X502" s="190"/>
      <c r="Y502" s="190"/>
      <c r="Z502" s="190"/>
      <c r="AA502" s="191"/>
      <c r="AB502" s="190"/>
      <c r="AC502" s="190"/>
      <c r="AD502" s="190"/>
      <c r="AE502" s="190"/>
      <c r="AF502" s="190"/>
      <c r="AG502" s="190"/>
      <c r="AH502" s="191"/>
      <c r="AI502" s="190"/>
      <c r="AJ502" s="190"/>
      <c r="AK502" s="190"/>
      <c r="AL502" s="190"/>
      <c r="AM502" s="190"/>
      <c r="AN502" s="191"/>
      <c r="AO502" s="190"/>
      <c r="AP502" s="190"/>
      <c r="AQ502" s="190"/>
      <c r="AR502" s="190"/>
      <c r="AS502" s="190"/>
      <c r="AT502" s="191"/>
      <c r="AU502" s="190"/>
      <c r="AV502" s="190"/>
      <c r="AW502" s="190"/>
      <c r="AX502" s="190"/>
      <c r="AY502" s="190"/>
      <c r="AZ502" s="191"/>
      <c r="BA502" s="183"/>
      <c r="BB502" s="183"/>
      <c r="BC502" s="183"/>
      <c r="BD502" s="183"/>
      <c r="BE502" s="183"/>
      <c r="BF502" s="184"/>
      <c r="BG502" s="183"/>
      <c r="BH502" s="183"/>
      <c r="BI502" s="183"/>
      <c r="BJ502" s="183"/>
      <c r="BK502" s="183"/>
      <c r="BL502" s="184"/>
      <c r="BM502" s="409"/>
      <c r="BN502" s="409"/>
    </row>
    <row r="503" spans="1:66" s="153" customFormat="1" x14ac:dyDescent="0.2">
      <c r="A503" s="61"/>
      <c r="B503" s="61"/>
      <c r="C503" s="61"/>
      <c r="D503" s="61"/>
      <c r="E503" s="61"/>
      <c r="F503" s="61"/>
      <c r="G503" s="61"/>
      <c r="H503" s="61"/>
      <c r="I503" s="61"/>
      <c r="J503" s="61"/>
      <c r="K503" s="61"/>
      <c r="L503" s="61"/>
      <c r="M503" s="61"/>
      <c r="N503" s="61"/>
      <c r="O503" s="61"/>
      <c r="P503" s="61"/>
      <c r="Q503" s="61"/>
      <c r="R503" s="61"/>
      <c r="S503" s="61"/>
      <c r="T503" s="35"/>
      <c r="U503" s="187"/>
      <c r="V503" s="190"/>
      <c r="W503" s="190"/>
      <c r="X503" s="190"/>
      <c r="Y503" s="190"/>
      <c r="Z503" s="190"/>
      <c r="AA503" s="191"/>
      <c r="AB503" s="190"/>
      <c r="AC503" s="190"/>
      <c r="AD503" s="190"/>
      <c r="AE503" s="190"/>
      <c r="AF503" s="190"/>
      <c r="AG503" s="190"/>
      <c r="AH503" s="191"/>
      <c r="AI503" s="190"/>
      <c r="AJ503" s="190"/>
      <c r="AK503" s="190"/>
      <c r="AL503" s="190"/>
      <c r="AM503" s="190"/>
      <c r="AN503" s="191"/>
      <c r="AO503" s="190"/>
      <c r="AP503" s="190"/>
      <c r="AQ503" s="190"/>
      <c r="AR503" s="190"/>
      <c r="AS503" s="190"/>
      <c r="AT503" s="191"/>
      <c r="AU503" s="190"/>
      <c r="AV503" s="190"/>
      <c r="AW503" s="190"/>
      <c r="AX503" s="190"/>
      <c r="AY503" s="190"/>
      <c r="AZ503" s="191"/>
      <c r="BA503" s="183"/>
      <c r="BB503" s="183"/>
      <c r="BC503" s="183"/>
      <c r="BD503" s="183"/>
      <c r="BE503" s="183"/>
      <c r="BF503" s="184"/>
      <c r="BG503" s="183"/>
      <c r="BH503" s="183"/>
      <c r="BI503" s="183"/>
      <c r="BJ503" s="183"/>
      <c r="BK503" s="183"/>
      <c r="BL503" s="184"/>
      <c r="BM503" s="409"/>
      <c r="BN503" s="409"/>
    </row>
    <row r="504" spans="1:66" s="153" customFormat="1" x14ac:dyDescent="0.2">
      <c r="A504" s="61"/>
      <c r="B504" s="61"/>
      <c r="C504" s="61"/>
      <c r="D504" s="61"/>
      <c r="E504" s="61"/>
      <c r="F504" s="61"/>
      <c r="G504" s="61"/>
      <c r="H504" s="61"/>
      <c r="I504" s="61"/>
      <c r="J504" s="61"/>
      <c r="K504" s="61"/>
      <c r="L504" s="61"/>
      <c r="M504" s="61"/>
      <c r="N504" s="61"/>
      <c r="O504" s="61"/>
      <c r="P504" s="61"/>
      <c r="Q504" s="61"/>
      <c r="R504" s="61"/>
      <c r="S504" s="61"/>
      <c r="T504" s="35"/>
      <c r="U504" s="187"/>
      <c r="V504" s="190"/>
      <c r="W504" s="190"/>
      <c r="X504" s="190"/>
      <c r="Y504" s="190"/>
      <c r="Z504" s="190"/>
      <c r="AA504" s="191"/>
      <c r="AB504" s="190"/>
      <c r="AC504" s="190"/>
      <c r="AD504" s="190"/>
      <c r="AE504" s="190"/>
      <c r="AF504" s="190"/>
      <c r="AG504" s="190"/>
      <c r="AH504" s="191"/>
      <c r="AI504" s="190"/>
      <c r="AJ504" s="190"/>
      <c r="AK504" s="190"/>
      <c r="AL504" s="190"/>
      <c r="AM504" s="190"/>
      <c r="AN504" s="191"/>
      <c r="AO504" s="190"/>
      <c r="AP504" s="190"/>
      <c r="AQ504" s="190"/>
      <c r="AR504" s="190"/>
      <c r="AS504" s="190"/>
      <c r="AT504" s="191"/>
      <c r="AU504" s="190"/>
      <c r="AV504" s="190"/>
      <c r="AW504" s="190"/>
      <c r="AX504" s="190"/>
      <c r="AY504" s="190"/>
      <c r="AZ504" s="191"/>
      <c r="BA504" s="183"/>
      <c r="BB504" s="183"/>
      <c r="BC504" s="183"/>
      <c r="BD504" s="183"/>
      <c r="BE504" s="183"/>
      <c r="BF504" s="184"/>
      <c r="BG504" s="183"/>
      <c r="BH504" s="183"/>
      <c r="BI504" s="183"/>
      <c r="BJ504" s="183"/>
      <c r="BK504" s="183"/>
      <c r="BL504" s="184"/>
      <c r="BM504" s="409"/>
      <c r="BN504" s="409"/>
    </row>
    <row r="505" spans="1:66" s="153" customFormat="1" x14ac:dyDescent="0.2">
      <c r="A505" s="61"/>
      <c r="B505" s="61"/>
      <c r="C505" s="61"/>
      <c r="D505" s="61"/>
      <c r="E505" s="61"/>
      <c r="F505" s="61"/>
      <c r="G505" s="61"/>
      <c r="H505" s="61"/>
      <c r="I505" s="61"/>
      <c r="J505" s="61"/>
      <c r="K505" s="61"/>
      <c r="L505" s="61"/>
      <c r="M505" s="61"/>
      <c r="N505" s="61"/>
      <c r="O505" s="61"/>
      <c r="P505" s="61"/>
      <c r="Q505" s="61"/>
      <c r="R505" s="61"/>
      <c r="S505" s="61"/>
      <c r="T505" s="35"/>
      <c r="U505" s="187"/>
      <c r="V505" s="190"/>
      <c r="W505" s="190"/>
      <c r="X505" s="190"/>
      <c r="Y505" s="190"/>
      <c r="Z505" s="190"/>
      <c r="AA505" s="191"/>
      <c r="AB505" s="190"/>
      <c r="AC505" s="190"/>
      <c r="AD505" s="190"/>
      <c r="AE505" s="190"/>
      <c r="AF505" s="190"/>
      <c r="AG505" s="190"/>
      <c r="AH505" s="191"/>
      <c r="AI505" s="190"/>
      <c r="AJ505" s="190"/>
      <c r="AK505" s="190"/>
      <c r="AL505" s="190"/>
      <c r="AM505" s="190"/>
      <c r="AN505" s="191"/>
      <c r="AO505" s="190"/>
      <c r="AP505" s="190"/>
      <c r="AQ505" s="190"/>
      <c r="AR505" s="190"/>
      <c r="AS505" s="190"/>
      <c r="AT505" s="191"/>
      <c r="AU505" s="190"/>
      <c r="AV505" s="190"/>
      <c r="AW505" s="190"/>
      <c r="AX505" s="190"/>
      <c r="AY505" s="190"/>
      <c r="AZ505" s="191"/>
      <c r="BA505" s="183"/>
      <c r="BB505" s="183"/>
      <c r="BC505" s="183"/>
      <c r="BD505" s="183"/>
      <c r="BE505" s="183"/>
      <c r="BF505" s="184"/>
      <c r="BG505" s="183"/>
      <c r="BH505" s="183"/>
      <c r="BI505" s="183"/>
      <c r="BJ505" s="183"/>
      <c r="BK505" s="183"/>
      <c r="BL505" s="184"/>
      <c r="BM505" s="409"/>
      <c r="BN505" s="409"/>
    </row>
    <row r="506" spans="1:66" s="153" customFormat="1" x14ac:dyDescent="0.2">
      <c r="A506" s="61"/>
      <c r="B506" s="61"/>
      <c r="C506" s="61"/>
      <c r="D506" s="61"/>
      <c r="E506" s="61"/>
      <c r="F506" s="61"/>
      <c r="G506" s="61"/>
      <c r="H506" s="61"/>
      <c r="I506" s="61"/>
      <c r="J506" s="61"/>
      <c r="K506" s="61"/>
      <c r="L506" s="61"/>
      <c r="M506" s="61"/>
      <c r="N506" s="61"/>
      <c r="O506" s="61"/>
      <c r="P506" s="61"/>
      <c r="Q506" s="61"/>
      <c r="R506" s="61"/>
      <c r="S506" s="61"/>
      <c r="T506" s="35"/>
      <c r="U506" s="187"/>
      <c r="V506" s="190"/>
      <c r="W506" s="190"/>
      <c r="X506" s="190"/>
      <c r="Y506" s="190"/>
      <c r="Z506" s="190"/>
      <c r="AA506" s="191"/>
      <c r="AB506" s="190"/>
      <c r="AC506" s="190"/>
      <c r="AD506" s="190"/>
      <c r="AE506" s="190"/>
      <c r="AF506" s="190"/>
      <c r="AG506" s="190"/>
      <c r="AH506" s="191"/>
      <c r="AI506" s="190"/>
      <c r="AJ506" s="190"/>
      <c r="AK506" s="190"/>
      <c r="AL506" s="190"/>
      <c r="AM506" s="190"/>
      <c r="AN506" s="191"/>
      <c r="AO506" s="190"/>
      <c r="AP506" s="190"/>
      <c r="AQ506" s="190"/>
      <c r="AR506" s="190"/>
      <c r="AS506" s="190"/>
      <c r="AT506" s="191"/>
      <c r="AU506" s="190"/>
      <c r="AV506" s="190"/>
      <c r="AW506" s="190"/>
      <c r="AX506" s="190"/>
      <c r="AY506" s="190"/>
      <c r="AZ506" s="191"/>
      <c r="BA506" s="183"/>
      <c r="BB506" s="183"/>
      <c r="BC506" s="183"/>
      <c r="BD506" s="183"/>
      <c r="BE506" s="183"/>
      <c r="BF506" s="184"/>
      <c r="BG506" s="183"/>
      <c r="BH506" s="183"/>
      <c r="BI506" s="183"/>
      <c r="BJ506" s="183"/>
      <c r="BK506" s="183"/>
      <c r="BL506" s="184"/>
      <c r="BM506" s="409"/>
      <c r="BN506" s="409"/>
    </row>
    <row r="507" spans="1:66" s="153" customFormat="1" x14ac:dyDescent="0.2">
      <c r="A507" s="61"/>
      <c r="B507" s="61"/>
      <c r="C507" s="61"/>
      <c r="D507" s="61"/>
      <c r="E507" s="61"/>
      <c r="F507" s="61"/>
      <c r="G507" s="61"/>
      <c r="H507" s="61"/>
      <c r="I507" s="61"/>
      <c r="J507" s="61"/>
      <c r="K507" s="61"/>
      <c r="L507" s="61"/>
      <c r="M507" s="61"/>
      <c r="N507" s="61"/>
      <c r="O507" s="61"/>
      <c r="P507" s="61"/>
      <c r="Q507" s="61"/>
      <c r="R507" s="61"/>
      <c r="S507" s="61"/>
      <c r="T507" s="35"/>
      <c r="U507" s="187"/>
      <c r="V507" s="190"/>
      <c r="W507" s="190"/>
      <c r="X507" s="190"/>
      <c r="Y507" s="190"/>
      <c r="Z507" s="190"/>
      <c r="AA507" s="191"/>
      <c r="AB507" s="190"/>
      <c r="AC507" s="190"/>
      <c r="AD507" s="190"/>
      <c r="AE507" s="190"/>
      <c r="AF507" s="190"/>
      <c r="AG507" s="190"/>
      <c r="AH507" s="191"/>
      <c r="AI507" s="190"/>
      <c r="AJ507" s="190"/>
      <c r="AK507" s="190"/>
      <c r="AL507" s="190"/>
      <c r="AM507" s="190"/>
      <c r="AN507" s="191"/>
      <c r="AO507" s="190"/>
      <c r="AP507" s="190"/>
      <c r="AQ507" s="190"/>
      <c r="AR507" s="190"/>
      <c r="AS507" s="190"/>
      <c r="AT507" s="191"/>
      <c r="AU507" s="190"/>
      <c r="AV507" s="190"/>
      <c r="AW507" s="190"/>
      <c r="AX507" s="190"/>
      <c r="AY507" s="190"/>
      <c r="AZ507" s="191"/>
      <c r="BA507" s="183"/>
      <c r="BB507" s="183"/>
      <c r="BC507" s="183"/>
      <c r="BD507" s="183"/>
      <c r="BE507" s="183"/>
      <c r="BF507" s="184"/>
      <c r="BG507" s="183"/>
      <c r="BH507" s="183"/>
      <c r="BI507" s="183"/>
      <c r="BJ507" s="183"/>
      <c r="BK507" s="183"/>
      <c r="BL507" s="184"/>
      <c r="BM507" s="409"/>
      <c r="BN507" s="409"/>
    </row>
    <row r="508" spans="1:66" s="153" customFormat="1" x14ac:dyDescent="0.2">
      <c r="A508" s="61"/>
      <c r="B508" s="61"/>
      <c r="C508" s="61"/>
      <c r="D508" s="61"/>
      <c r="E508" s="61"/>
      <c r="F508" s="61"/>
      <c r="G508" s="61"/>
      <c r="H508" s="61"/>
      <c r="I508" s="61"/>
      <c r="J508" s="61"/>
      <c r="K508" s="61"/>
      <c r="L508" s="61"/>
      <c r="M508" s="61"/>
      <c r="N508" s="61"/>
      <c r="O508" s="61"/>
      <c r="P508" s="61"/>
      <c r="Q508" s="61"/>
      <c r="R508" s="61"/>
      <c r="S508" s="61"/>
      <c r="T508" s="35"/>
      <c r="U508" s="187"/>
      <c r="V508" s="190"/>
      <c r="W508" s="190"/>
      <c r="X508" s="190"/>
      <c r="Y508" s="190"/>
      <c r="Z508" s="190"/>
      <c r="AA508" s="191"/>
      <c r="AB508" s="190"/>
      <c r="AC508" s="190"/>
      <c r="AD508" s="190"/>
      <c r="AE508" s="190"/>
      <c r="AF508" s="190"/>
      <c r="AG508" s="190"/>
      <c r="AH508" s="191"/>
      <c r="AI508" s="190"/>
      <c r="AJ508" s="190"/>
      <c r="AK508" s="190"/>
      <c r="AL508" s="190"/>
      <c r="AM508" s="190"/>
      <c r="AN508" s="191"/>
      <c r="AO508" s="190"/>
      <c r="AP508" s="190"/>
      <c r="AQ508" s="190"/>
      <c r="AR508" s="190"/>
      <c r="AS508" s="190"/>
      <c r="AT508" s="191"/>
      <c r="AU508" s="190"/>
      <c r="AV508" s="190"/>
      <c r="AW508" s="190"/>
      <c r="AX508" s="190"/>
      <c r="AY508" s="190"/>
      <c r="AZ508" s="191"/>
      <c r="BA508" s="183"/>
      <c r="BB508" s="183"/>
      <c r="BC508" s="183"/>
      <c r="BD508" s="183"/>
      <c r="BE508" s="183"/>
      <c r="BF508" s="184"/>
      <c r="BG508" s="183"/>
      <c r="BH508" s="183"/>
      <c r="BI508" s="183"/>
      <c r="BJ508" s="183"/>
      <c r="BK508" s="183"/>
      <c r="BL508" s="184"/>
      <c r="BM508" s="409"/>
      <c r="BN508" s="409"/>
    </row>
    <row r="509" spans="1:66" s="153" customFormat="1" x14ac:dyDescent="0.2">
      <c r="A509" s="61"/>
      <c r="B509" s="61"/>
      <c r="C509" s="61"/>
      <c r="D509" s="61"/>
      <c r="E509" s="61"/>
      <c r="F509" s="61"/>
      <c r="G509" s="61"/>
      <c r="H509" s="61"/>
      <c r="I509" s="61"/>
      <c r="J509" s="61"/>
      <c r="K509" s="61"/>
      <c r="L509" s="61"/>
      <c r="M509" s="61"/>
      <c r="N509" s="61"/>
      <c r="O509" s="61"/>
      <c r="P509" s="61"/>
      <c r="Q509" s="61"/>
      <c r="R509" s="61"/>
      <c r="S509" s="61"/>
      <c r="T509" s="35"/>
      <c r="U509" s="187"/>
      <c r="V509" s="190"/>
      <c r="W509" s="190"/>
      <c r="X509" s="190"/>
      <c r="Y509" s="190"/>
      <c r="Z509" s="190"/>
      <c r="AA509" s="191"/>
      <c r="AB509" s="190"/>
      <c r="AC509" s="190"/>
      <c r="AD509" s="190"/>
      <c r="AE509" s="190"/>
      <c r="AF509" s="190"/>
      <c r="AG509" s="190"/>
      <c r="AH509" s="191"/>
      <c r="AI509" s="190"/>
      <c r="AJ509" s="190"/>
      <c r="AK509" s="190"/>
      <c r="AL509" s="190"/>
      <c r="AM509" s="190"/>
      <c r="AN509" s="191"/>
      <c r="AO509" s="190"/>
      <c r="AP509" s="190"/>
      <c r="AQ509" s="190"/>
      <c r="AR509" s="190"/>
      <c r="AS509" s="190"/>
      <c r="AT509" s="191"/>
      <c r="AU509" s="190"/>
      <c r="AV509" s="190"/>
      <c r="AW509" s="190"/>
      <c r="AX509" s="190"/>
      <c r="AY509" s="190"/>
      <c r="AZ509" s="191"/>
      <c r="BA509" s="183"/>
      <c r="BB509" s="183"/>
      <c r="BC509" s="183"/>
      <c r="BD509" s="183"/>
      <c r="BE509" s="183"/>
      <c r="BF509" s="184"/>
      <c r="BG509" s="183"/>
      <c r="BH509" s="183"/>
      <c r="BI509" s="183"/>
      <c r="BJ509" s="183"/>
      <c r="BK509" s="183"/>
      <c r="BL509" s="184"/>
      <c r="BM509" s="409"/>
      <c r="BN509" s="409"/>
    </row>
    <row r="510" spans="1:66" s="153" customFormat="1" x14ac:dyDescent="0.2">
      <c r="A510" s="61"/>
      <c r="B510" s="61"/>
      <c r="C510" s="61"/>
      <c r="D510" s="61"/>
      <c r="E510" s="61"/>
      <c r="F510" s="61"/>
      <c r="G510" s="61"/>
      <c r="H510" s="61"/>
      <c r="I510" s="61"/>
      <c r="J510" s="61"/>
      <c r="K510" s="61"/>
      <c r="L510" s="61"/>
      <c r="M510" s="61"/>
      <c r="N510" s="61"/>
      <c r="O510" s="61"/>
      <c r="P510" s="61"/>
      <c r="Q510" s="61"/>
      <c r="R510" s="61"/>
      <c r="S510" s="61"/>
      <c r="T510" s="35"/>
      <c r="U510" s="187"/>
      <c r="V510" s="190"/>
      <c r="W510" s="190"/>
      <c r="X510" s="190"/>
      <c r="Y510" s="190"/>
      <c r="Z510" s="190"/>
      <c r="AA510" s="191"/>
      <c r="AB510" s="190"/>
      <c r="AC510" s="190"/>
      <c r="AD510" s="190"/>
      <c r="AE510" s="190"/>
      <c r="AF510" s="190"/>
      <c r="AG510" s="190"/>
      <c r="AH510" s="191"/>
      <c r="AI510" s="190"/>
      <c r="AJ510" s="190"/>
      <c r="AK510" s="190"/>
      <c r="AL510" s="190"/>
      <c r="AM510" s="190"/>
      <c r="AN510" s="191"/>
      <c r="AO510" s="190"/>
      <c r="AP510" s="190"/>
      <c r="AQ510" s="190"/>
      <c r="AR510" s="190"/>
      <c r="AS510" s="190"/>
      <c r="AT510" s="191"/>
      <c r="AU510" s="190"/>
      <c r="AV510" s="190"/>
      <c r="AW510" s="190"/>
      <c r="AX510" s="190"/>
      <c r="AY510" s="190"/>
      <c r="AZ510" s="191"/>
      <c r="BA510" s="183"/>
      <c r="BB510" s="183"/>
      <c r="BC510" s="183"/>
      <c r="BD510" s="183"/>
      <c r="BE510" s="183"/>
      <c r="BF510" s="184"/>
      <c r="BG510" s="183"/>
      <c r="BH510" s="183"/>
      <c r="BI510" s="183"/>
      <c r="BJ510" s="183"/>
      <c r="BK510" s="183"/>
      <c r="BL510" s="184"/>
      <c r="BM510" s="409"/>
      <c r="BN510" s="409"/>
    </row>
    <row r="511" spans="1:66" s="153" customFormat="1" x14ac:dyDescent="0.2">
      <c r="A511" s="61"/>
      <c r="B511" s="61"/>
      <c r="C511" s="61"/>
      <c r="D511" s="61"/>
      <c r="E511" s="61"/>
      <c r="F511" s="61"/>
      <c r="G511" s="61"/>
      <c r="H511" s="61"/>
      <c r="I511" s="61"/>
      <c r="J511" s="61"/>
      <c r="K511" s="61"/>
      <c r="L511" s="61"/>
      <c r="M511" s="61"/>
      <c r="N511" s="61"/>
      <c r="O511" s="61"/>
      <c r="P511" s="61"/>
      <c r="Q511" s="61"/>
      <c r="R511" s="61"/>
      <c r="S511" s="61"/>
      <c r="T511" s="35"/>
      <c r="U511" s="187"/>
      <c r="V511" s="190"/>
      <c r="W511" s="190"/>
      <c r="X511" s="190"/>
      <c r="Y511" s="190"/>
      <c r="Z511" s="190"/>
      <c r="AA511" s="191"/>
      <c r="AB511" s="190"/>
      <c r="AC511" s="190"/>
      <c r="AD511" s="190"/>
      <c r="AE511" s="190"/>
      <c r="AF511" s="190"/>
      <c r="AG511" s="190"/>
      <c r="AH511" s="191"/>
      <c r="AI511" s="190"/>
      <c r="AJ511" s="190"/>
      <c r="AK511" s="190"/>
      <c r="AL511" s="190"/>
      <c r="AM511" s="190"/>
      <c r="AN511" s="191"/>
      <c r="AO511" s="190"/>
      <c r="AP511" s="190"/>
      <c r="AQ511" s="190"/>
      <c r="AR511" s="190"/>
      <c r="AS511" s="190"/>
      <c r="AT511" s="191"/>
      <c r="AU511" s="190"/>
      <c r="AV511" s="190"/>
      <c r="AW511" s="190"/>
      <c r="AX511" s="190"/>
      <c r="AY511" s="190"/>
      <c r="AZ511" s="191"/>
      <c r="BA511" s="183"/>
      <c r="BB511" s="183"/>
      <c r="BC511" s="183"/>
      <c r="BD511" s="183"/>
      <c r="BE511" s="183"/>
      <c r="BF511" s="184"/>
      <c r="BG511" s="183"/>
      <c r="BH511" s="183"/>
      <c r="BI511" s="183"/>
      <c r="BJ511" s="183"/>
      <c r="BK511" s="183"/>
      <c r="BL511" s="184"/>
      <c r="BM511" s="409"/>
      <c r="BN511" s="409"/>
    </row>
    <row r="512" spans="1:66" s="153" customFormat="1" x14ac:dyDescent="0.2">
      <c r="A512" s="61"/>
      <c r="B512" s="61"/>
      <c r="C512" s="61"/>
      <c r="D512" s="61"/>
      <c r="E512" s="61"/>
      <c r="F512" s="61"/>
      <c r="G512" s="61"/>
      <c r="H512" s="61"/>
      <c r="I512" s="61"/>
      <c r="J512" s="61"/>
      <c r="K512" s="61"/>
      <c r="L512" s="61"/>
      <c r="M512" s="61"/>
      <c r="N512" s="61"/>
      <c r="O512" s="61"/>
      <c r="P512" s="61"/>
      <c r="Q512" s="61"/>
      <c r="R512" s="61"/>
      <c r="S512" s="61"/>
      <c r="T512" s="35"/>
      <c r="U512" s="187"/>
      <c r="V512" s="190"/>
      <c r="W512" s="190"/>
      <c r="X512" s="190"/>
      <c r="Y512" s="190"/>
      <c r="Z512" s="190"/>
      <c r="AA512" s="191"/>
      <c r="AB512" s="190"/>
      <c r="AC512" s="190"/>
      <c r="AD512" s="190"/>
      <c r="AE512" s="190"/>
      <c r="AF512" s="190"/>
      <c r="AG512" s="190"/>
      <c r="AH512" s="191"/>
      <c r="AI512" s="190"/>
      <c r="AJ512" s="190"/>
      <c r="AK512" s="190"/>
      <c r="AL512" s="190"/>
      <c r="AM512" s="190"/>
      <c r="AN512" s="191"/>
      <c r="AO512" s="190"/>
      <c r="AP512" s="190"/>
      <c r="AQ512" s="190"/>
      <c r="AR512" s="190"/>
      <c r="AS512" s="190"/>
      <c r="AT512" s="191"/>
      <c r="AU512" s="190"/>
      <c r="AV512" s="190"/>
      <c r="AW512" s="190"/>
      <c r="AX512" s="190"/>
      <c r="AY512" s="190"/>
      <c r="AZ512" s="191"/>
      <c r="BA512" s="183"/>
      <c r="BB512" s="183"/>
      <c r="BC512" s="183"/>
      <c r="BD512" s="183"/>
      <c r="BE512" s="183"/>
      <c r="BF512" s="184"/>
      <c r="BG512" s="183"/>
      <c r="BH512" s="183"/>
      <c r="BI512" s="183"/>
      <c r="BJ512" s="183"/>
      <c r="BK512" s="183"/>
      <c r="BL512" s="184"/>
      <c r="BM512" s="409"/>
      <c r="BN512" s="409"/>
    </row>
    <row r="513" spans="1:66" s="153" customFormat="1" x14ac:dyDescent="0.2">
      <c r="A513" s="61"/>
      <c r="B513" s="61"/>
      <c r="C513" s="61"/>
      <c r="D513" s="61"/>
      <c r="E513" s="61"/>
      <c r="F513" s="61"/>
      <c r="G513" s="61"/>
      <c r="H513" s="61"/>
      <c r="I513" s="61"/>
      <c r="J513" s="61"/>
      <c r="K513" s="61"/>
      <c r="L513" s="61"/>
      <c r="M513" s="61"/>
      <c r="N513" s="61"/>
      <c r="O513" s="61"/>
      <c r="P513" s="61"/>
      <c r="Q513" s="61"/>
      <c r="R513" s="61"/>
      <c r="S513" s="61"/>
      <c r="T513" s="35"/>
      <c r="U513" s="187"/>
      <c r="V513" s="190"/>
      <c r="W513" s="190"/>
      <c r="X513" s="190"/>
      <c r="Y513" s="190"/>
      <c r="Z513" s="190"/>
      <c r="AA513" s="191"/>
      <c r="AB513" s="190"/>
      <c r="AC513" s="190"/>
      <c r="AD513" s="190"/>
      <c r="AE513" s="190"/>
      <c r="AF513" s="190"/>
      <c r="AG513" s="190"/>
      <c r="AH513" s="191"/>
      <c r="AI513" s="190"/>
      <c r="AJ513" s="190"/>
      <c r="AK513" s="190"/>
      <c r="AL513" s="190"/>
      <c r="AM513" s="190"/>
      <c r="AN513" s="191"/>
      <c r="AO513" s="190"/>
      <c r="AP513" s="190"/>
      <c r="AQ513" s="190"/>
      <c r="AR513" s="190"/>
      <c r="AS513" s="190"/>
      <c r="AT513" s="191"/>
      <c r="AU513" s="190"/>
      <c r="AV513" s="190"/>
      <c r="AW513" s="190"/>
      <c r="AX513" s="190"/>
      <c r="AY513" s="190"/>
      <c r="AZ513" s="191"/>
      <c r="BA513" s="183"/>
      <c r="BB513" s="183"/>
      <c r="BC513" s="183"/>
      <c r="BD513" s="183"/>
      <c r="BE513" s="183"/>
      <c r="BF513" s="184"/>
      <c r="BG513" s="183"/>
      <c r="BH513" s="183"/>
      <c r="BI513" s="183"/>
      <c r="BJ513" s="183"/>
      <c r="BK513" s="183"/>
      <c r="BL513" s="184"/>
      <c r="BM513" s="409"/>
      <c r="BN513" s="409"/>
    </row>
    <row r="514" spans="1:66" s="153" customFormat="1" x14ac:dyDescent="0.2">
      <c r="A514" s="61"/>
      <c r="B514" s="61"/>
      <c r="C514" s="61"/>
      <c r="D514" s="61"/>
      <c r="E514" s="61"/>
      <c r="F514" s="61"/>
      <c r="G514" s="61"/>
      <c r="H514" s="61"/>
      <c r="I514" s="61"/>
      <c r="J514" s="61"/>
      <c r="K514" s="61"/>
      <c r="L514" s="61"/>
      <c r="M514" s="61"/>
      <c r="N514" s="61"/>
      <c r="O514" s="61"/>
      <c r="P514" s="61"/>
      <c r="Q514" s="61"/>
      <c r="R514" s="61"/>
      <c r="S514" s="61"/>
      <c r="T514" s="35"/>
      <c r="U514" s="187"/>
      <c r="V514" s="190"/>
      <c r="W514" s="190"/>
      <c r="X514" s="190"/>
      <c r="Y514" s="190"/>
      <c r="Z514" s="190"/>
      <c r="AA514" s="191"/>
      <c r="AB514" s="190"/>
      <c r="AC514" s="190"/>
      <c r="AD514" s="190"/>
      <c r="AE514" s="190"/>
      <c r="AF514" s="190"/>
      <c r="AG514" s="190"/>
      <c r="AH514" s="191"/>
      <c r="AI514" s="190"/>
      <c r="AJ514" s="190"/>
      <c r="AK514" s="190"/>
      <c r="AL514" s="190"/>
      <c r="AM514" s="190"/>
      <c r="AN514" s="191"/>
      <c r="AO514" s="190"/>
      <c r="AP514" s="190"/>
      <c r="AQ514" s="190"/>
      <c r="AR514" s="190"/>
      <c r="AS514" s="190"/>
      <c r="AT514" s="191"/>
      <c r="AU514" s="190"/>
      <c r="AV514" s="190"/>
      <c r="AW514" s="190"/>
      <c r="AX514" s="190"/>
      <c r="AY514" s="190"/>
      <c r="AZ514" s="191"/>
      <c r="BA514" s="183"/>
      <c r="BB514" s="183"/>
      <c r="BC514" s="183"/>
      <c r="BD514" s="183"/>
      <c r="BE514" s="183"/>
      <c r="BF514" s="184"/>
      <c r="BG514" s="183"/>
      <c r="BH514" s="183"/>
      <c r="BI514" s="183"/>
      <c r="BJ514" s="183"/>
      <c r="BK514" s="183"/>
      <c r="BL514" s="184"/>
      <c r="BM514" s="409"/>
      <c r="BN514" s="409"/>
    </row>
    <row r="515" spans="1:66" s="153" customFormat="1" x14ac:dyDescent="0.2">
      <c r="A515" s="61"/>
      <c r="B515" s="61"/>
      <c r="C515" s="61"/>
      <c r="D515" s="61"/>
      <c r="E515" s="61"/>
      <c r="F515" s="61"/>
      <c r="G515" s="61"/>
      <c r="H515" s="61"/>
      <c r="I515" s="61"/>
      <c r="J515" s="61"/>
      <c r="K515" s="61"/>
      <c r="L515" s="61"/>
      <c r="M515" s="61"/>
      <c r="N515" s="61"/>
      <c r="O515" s="61"/>
      <c r="P515" s="61"/>
      <c r="Q515" s="61"/>
      <c r="R515" s="61"/>
      <c r="S515" s="61"/>
      <c r="T515" s="35"/>
      <c r="U515" s="187"/>
      <c r="V515" s="190"/>
      <c r="W515" s="190"/>
      <c r="X515" s="190"/>
      <c r="Y515" s="190"/>
      <c r="Z515" s="190"/>
      <c r="AA515" s="191"/>
      <c r="AB515" s="190"/>
      <c r="AC515" s="190"/>
      <c r="AD515" s="190"/>
      <c r="AE515" s="190"/>
      <c r="AF515" s="190"/>
      <c r="AG515" s="190"/>
      <c r="AH515" s="191"/>
      <c r="AI515" s="190"/>
      <c r="AJ515" s="190"/>
      <c r="AK515" s="190"/>
      <c r="AL515" s="190"/>
      <c r="AM515" s="190"/>
      <c r="AN515" s="191"/>
      <c r="AO515" s="190"/>
      <c r="AP515" s="190"/>
      <c r="AQ515" s="190"/>
      <c r="AR515" s="190"/>
      <c r="AS515" s="190"/>
      <c r="AT515" s="191"/>
      <c r="AU515" s="190"/>
      <c r="AV515" s="190"/>
      <c r="AW515" s="190"/>
      <c r="AX515" s="190"/>
      <c r="AY515" s="190"/>
      <c r="AZ515" s="191"/>
      <c r="BA515" s="183"/>
      <c r="BB515" s="183"/>
      <c r="BC515" s="183"/>
      <c r="BD515" s="183"/>
      <c r="BE515" s="183"/>
      <c r="BF515" s="184"/>
      <c r="BG515" s="183"/>
      <c r="BH515" s="183"/>
      <c r="BI515" s="183"/>
      <c r="BJ515" s="183"/>
      <c r="BK515" s="183"/>
      <c r="BL515" s="184"/>
      <c r="BM515" s="409"/>
      <c r="BN515" s="409"/>
    </row>
    <row r="516" spans="1:66" s="153" customFormat="1" x14ac:dyDescent="0.2">
      <c r="A516" s="61"/>
      <c r="B516" s="61"/>
      <c r="C516" s="61"/>
      <c r="D516" s="61"/>
      <c r="E516" s="61"/>
      <c r="F516" s="61"/>
      <c r="G516" s="61"/>
      <c r="H516" s="61"/>
      <c r="I516" s="61"/>
      <c r="J516" s="61"/>
      <c r="K516" s="61"/>
      <c r="L516" s="61"/>
      <c r="M516" s="61"/>
      <c r="N516" s="61"/>
      <c r="O516" s="61"/>
      <c r="P516" s="61"/>
      <c r="Q516" s="61"/>
      <c r="R516" s="61"/>
      <c r="S516" s="61"/>
      <c r="T516" s="35"/>
      <c r="U516" s="187"/>
      <c r="V516" s="190"/>
      <c r="W516" s="190"/>
      <c r="X516" s="190"/>
      <c r="Y516" s="190"/>
      <c r="Z516" s="190"/>
      <c r="AA516" s="191"/>
      <c r="AB516" s="190"/>
      <c r="AC516" s="190"/>
      <c r="AD516" s="190"/>
      <c r="AE516" s="190"/>
      <c r="AF516" s="190"/>
      <c r="AG516" s="190"/>
      <c r="AH516" s="191"/>
      <c r="AI516" s="190"/>
      <c r="AJ516" s="190"/>
      <c r="AK516" s="190"/>
      <c r="AL516" s="190"/>
      <c r="AM516" s="190"/>
      <c r="AN516" s="191"/>
      <c r="AO516" s="190"/>
      <c r="AP516" s="190"/>
      <c r="AQ516" s="190"/>
      <c r="AR516" s="190"/>
      <c r="AS516" s="190"/>
      <c r="AT516" s="191"/>
      <c r="AU516" s="190"/>
      <c r="AV516" s="190"/>
      <c r="AW516" s="190"/>
      <c r="AX516" s="190"/>
      <c r="AY516" s="190"/>
      <c r="AZ516" s="191"/>
      <c r="BA516" s="183"/>
      <c r="BB516" s="183"/>
      <c r="BC516" s="183"/>
      <c r="BD516" s="183"/>
      <c r="BE516" s="183"/>
      <c r="BF516" s="184"/>
      <c r="BG516" s="183"/>
      <c r="BH516" s="183"/>
      <c r="BI516" s="183"/>
      <c r="BJ516" s="183"/>
      <c r="BK516" s="183"/>
      <c r="BL516" s="184"/>
      <c r="BM516" s="409"/>
      <c r="BN516" s="409"/>
    </row>
    <row r="517" spans="1:66" s="153" customFormat="1" x14ac:dyDescent="0.2">
      <c r="A517" s="61"/>
      <c r="B517" s="61"/>
      <c r="C517" s="61"/>
      <c r="D517" s="61"/>
      <c r="E517" s="61"/>
      <c r="F517" s="61"/>
      <c r="G517" s="61"/>
      <c r="H517" s="61"/>
      <c r="I517" s="61"/>
      <c r="J517" s="61"/>
      <c r="K517" s="61"/>
      <c r="L517" s="61"/>
      <c r="M517" s="61"/>
      <c r="N517" s="61"/>
      <c r="O517" s="61"/>
      <c r="P517" s="61"/>
      <c r="Q517" s="61"/>
      <c r="R517" s="61"/>
      <c r="S517" s="61"/>
      <c r="T517" s="35"/>
      <c r="U517" s="187"/>
      <c r="V517" s="190"/>
      <c r="W517" s="190"/>
      <c r="X517" s="190"/>
      <c r="Y517" s="190"/>
      <c r="Z517" s="190"/>
      <c r="AA517" s="191"/>
      <c r="AB517" s="190"/>
      <c r="AC517" s="190"/>
      <c r="AD517" s="190"/>
      <c r="AE517" s="190"/>
      <c r="AF517" s="190"/>
      <c r="AG517" s="190"/>
      <c r="AH517" s="191"/>
      <c r="AI517" s="190"/>
      <c r="AJ517" s="190"/>
      <c r="AK517" s="190"/>
      <c r="AL517" s="190"/>
      <c r="AM517" s="190"/>
      <c r="AN517" s="191"/>
      <c r="AO517" s="190"/>
      <c r="AP517" s="190"/>
      <c r="AQ517" s="190"/>
      <c r="AR517" s="190"/>
      <c r="AS517" s="190"/>
      <c r="AT517" s="191"/>
      <c r="AU517" s="190"/>
      <c r="AV517" s="190"/>
      <c r="AW517" s="190"/>
      <c r="AX517" s="190"/>
      <c r="AY517" s="190"/>
      <c r="AZ517" s="191"/>
      <c r="BA517" s="183"/>
      <c r="BB517" s="183"/>
      <c r="BC517" s="183"/>
      <c r="BD517" s="183"/>
      <c r="BE517" s="183"/>
      <c r="BF517" s="184"/>
      <c r="BG517" s="183"/>
      <c r="BH517" s="183"/>
      <c r="BI517" s="183"/>
      <c r="BJ517" s="183"/>
      <c r="BK517" s="183"/>
      <c r="BL517" s="184"/>
      <c r="BM517" s="409"/>
      <c r="BN517" s="409"/>
    </row>
    <row r="518" spans="1:66" s="153" customFormat="1" x14ac:dyDescent="0.2">
      <c r="A518" s="61"/>
      <c r="B518" s="61"/>
      <c r="C518" s="61"/>
      <c r="D518" s="61"/>
      <c r="E518" s="61"/>
      <c r="F518" s="61"/>
      <c r="G518" s="61"/>
      <c r="H518" s="61"/>
      <c r="I518" s="61"/>
      <c r="J518" s="61"/>
      <c r="K518" s="61"/>
      <c r="L518" s="61"/>
      <c r="M518" s="61"/>
      <c r="N518" s="61"/>
      <c r="O518" s="61"/>
      <c r="P518" s="61"/>
      <c r="Q518" s="61"/>
      <c r="R518" s="61"/>
      <c r="S518" s="61"/>
      <c r="T518" s="35"/>
      <c r="U518" s="187"/>
      <c r="V518" s="190"/>
      <c r="W518" s="190"/>
      <c r="X518" s="190"/>
      <c r="Y518" s="190"/>
      <c r="Z518" s="190"/>
      <c r="AA518" s="191"/>
      <c r="AB518" s="190"/>
      <c r="AC518" s="190"/>
      <c r="AD518" s="190"/>
      <c r="AE518" s="190"/>
      <c r="AF518" s="190"/>
      <c r="AG518" s="190"/>
      <c r="AH518" s="191"/>
      <c r="AI518" s="190"/>
      <c r="AJ518" s="190"/>
      <c r="AK518" s="190"/>
      <c r="AL518" s="190"/>
      <c r="AM518" s="190"/>
      <c r="AN518" s="191"/>
      <c r="AO518" s="190"/>
      <c r="AP518" s="190"/>
      <c r="AQ518" s="190"/>
      <c r="AR518" s="190"/>
      <c r="AS518" s="190"/>
      <c r="AT518" s="191"/>
      <c r="AU518" s="190"/>
      <c r="AV518" s="190"/>
      <c r="AW518" s="190"/>
      <c r="AX518" s="190"/>
      <c r="AY518" s="190"/>
      <c r="AZ518" s="191"/>
      <c r="BA518" s="183"/>
      <c r="BB518" s="183"/>
      <c r="BC518" s="183"/>
      <c r="BD518" s="183"/>
      <c r="BE518" s="183"/>
      <c r="BF518" s="184"/>
      <c r="BG518" s="183"/>
      <c r="BH518" s="183"/>
      <c r="BI518" s="183"/>
      <c r="BJ518" s="183"/>
      <c r="BK518" s="183"/>
      <c r="BL518" s="184"/>
      <c r="BM518" s="409"/>
      <c r="BN518" s="409"/>
    </row>
    <row r="519" spans="1:66" s="153" customFormat="1" x14ac:dyDescent="0.2">
      <c r="A519" s="61"/>
      <c r="B519" s="61"/>
      <c r="C519" s="61"/>
      <c r="D519" s="61"/>
      <c r="E519" s="61"/>
      <c r="F519" s="61"/>
      <c r="G519" s="61"/>
      <c r="H519" s="61"/>
      <c r="I519" s="61"/>
      <c r="J519" s="61"/>
      <c r="K519" s="61"/>
      <c r="L519" s="61"/>
      <c r="M519" s="61"/>
      <c r="N519" s="61"/>
      <c r="O519" s="61"/>
      <c r="P519" s="61"/>
      <c r="Q519" s="61"/>
      <c r="R519" s="61"/>
      <c r="S519" s="61"/>
      <c r="T519" s="35"/>
      <c r="U519" s="187"/>
      <c r="V519" s="190"/>
      <c r="W519" s="190"/>
      <c r="X519" s="190"/>
      <c r="Y519" s="190"/>
      <c r="Z519" s="190"/>
      <c r="AA519" s="191"/>
      <c r="AB519" s="190"/>
      <c r="AC519" s="190"/>
      <c r="AD519" s="190"/>
      <c r="AE519" s="190"/>
      <c r="AF519" s="190"/>
      <c r="AG519" s="190"/>
      <c r="AH519" s="191"/>
      <c r="AI519" s="190"/>
      <c r="AJ519" s="190"/>
      <c r="AK519" s="190"/>
      <c r="AL519" s="190"/>
      <c r="AM519" s="190"/>
      <c r="AN519" s="191"/>
      <c r="AO519" s="190"/>
      <c r="AP519" s="190"/>
      <c r="AQ519" s="190"/>
      <c r="AR519" s="190"/>
      <c r="AS519" s="190"/>
      <c r="AT519" s="191"/>
      <c r="AU519" s="190"/>
      <c r="AV519" s="190"/>
      <c r="AW519" s="190"/>
      <c r="AX519" s="190"/>
      <c r="AY519" s="190"/>
      <c r="AZ519" s="191"/>
      <c r="BA519" s="183"/>
      <c r="BB519" s="183"/>
      <c r="BC519" s="183"/>
      <c r="BD519" s="183"/>
      <c r="BE519" s="183"/>
      <c r="BF519" s="184"/>
      <c r="BG519" s="183"/>
      <c r="BH519" s="183"/>
      <c r="BI519" s="183"/>
      <c r="BJ519" s="183"/>
      <c r="BK519" s="183"/>
      <c r="BL519" s="184"/>
      <c r="BM519" s="409"/>
      <c r="BN519" s="409"/>
    </row>
    <row r="520" spans="1:66" s="153" customFormat="1" x14ac:dyDescent="0.2">
      <c r="A520" s="61"/>
      <c r="B520" s="61"/>
      <c r="C520" s="61"/>
      <c r="D520" s="61"/>
      <c r="E520" s="61"/>
      <c r="F520" s="61"/>
      <c r="G520" s="61"/>
      <c r="H520" s="61"/>
      <c r="I520" s="61"/>
      <c r="J520" s="61"/>
      <c r="K520" s="61"/>
      <c r="L520" s="61"/>
      <c r="M520" s="61"/>
      <c r="N520" s="61"/>
      <c r="O520" s="61"/>
      <c r="P520" s="61"/>
      <c r="Q520" s="61"/>
      <c r="R520" s="61"/>
      <c r="S520" s="61"/>
      <c r="T520" s="35"/>
      <c r="U520" s="187"/>
      <c r="V520" s="190"/>
      <c r="W520" s="190"/>
      <c r="X520" s="190"/>
      <c r="Y520" s="190"/>
      <c r="Z520" s="190"/>
      <c r="AA520" s="191"/>
      <c r="AB520" s="190"/>
      <c r="AC520" s="190"/>
      <c r="AD520" s="190"/>
      <c r="AE520" s="190"/>
      <c r="AF520" s="190"/>
      <c r="AG520" s="190"/>
      <c r="AH520" s="191"/>
      <c r="AI520" s="190"/>
      <c r="AJ520" s="190"/>
      <c r="AK520" s="190"/>
      <c r="AL520" s="190"/>
      <c r="AM520" s="190"/>
      <c r="AN520" s="191"/>
      <c r="AO520" s="190"/>
      <c r="AP520" s="190"/>
      <c r="AQ520" s="190"/>
      <c r="AR520" s="190"/>
      <c r="AS520" s="190"/>
      <c r="AT520" s="191"/>
      <c r="AU520" s="190"/>
      <c r="AV520" s="190"/>
      <c r="AW520" s="190"/>
      <c r="AX520" s="190"/>
      <c r="AY520" s="190"/>
      <c r="AZ520" s="191"/>
      <c r="BA520" s="183"/>
      <c r="BB520" s="183"/>
      <c r="BC520" s="183"/>
      <c r="BD520" s="183"/>
      <c r="BE520" s="183"/>
      <c r="BF520" s="184"/>
      <c r="BG520" s="183"/>
      <c r="BH520" s="183"/>
      <c r="BI520" s="183"/>
      <c r="BJ520" s="183"/>
      <c r="BK520" s="183"/>
      <c r="BL520" s="184"/>
      <c r="BM520" s="409"/>
      <c r="BN520" s="409"/>
    </row>
    <row r="521" spans="1:66" s="153" customFormat="1" x14ac:dyDescent="0.2">
      <c r="A521" s="61"/>
      <c r="B521" s="61"/>
      <c r="C521" s="61"/>
      <c r="D521" s="61"/>
      <c r="E521" s="61"/>
      <c r="F521" s="61"/>
      <c r="G521" s="61"/>
      <c r="H521" s="61"/>
      <c r="I521" s="61"/>
      <c r="J521" s="61"/>
      <c r="K521" s="61"/>
      <c r="L521" s="61"/>
      <c r="M521" s="61"/>
      <c r="N521" s="61"/>
      <c r="O521" s="61"/>
      <c r="P521" s="61"/>
      <c r="Q521" s="61"/>
      <c r="R521" s="61"/>
      <c r="S521" s="61"/>
      <c r="T521" s="35"/>
      <c r="U521" s="187"/>
      <c r="V521" s="190"/>
      <c r="W521" s="190"/>
      <c r="X521" s="190"/>
      <c r="Y521" s="190"/>
      <c r="Z521" s="190"/>
      <c r="AA521" s="191"/>
      <c r="AB521" s="190"/>
      <c r="AC521" s="190"/>
      <c r="AD521" s="190"/>
      <c r="AE521" s="190"/>
      <c r="AF521" s="190"/>
      <c r="AG521" s="190"/>
      <c r="AH521" s="191"/>
      <c r="AI521" s="190"/>
      <c r="AJ521" s="190"/>
      <c r="AK521" s="190"/>
      <c r="AL521" s="190"/>
      <c r="AM521" s="190"/>
      <c r="AN521" s="191"/>
      <c r="AO521" s="190"/>
      <c r="AP521" s="190"/>
      <c r="AQ521" s="190"/>
      <c r="AR521" s="190"/>
      <c r="AS521" s="190"/>
      <c r="AT521" s="191"/>
      <c r="AU521" s="190"/>
      <c r="AV521" s="190"/>
      <c r="AW521" s="190"/>
      <c r="AX521" s="190"/>
      <c r="AY521" s="190"/>
      <c r="AZ521" s="191"/>
      <c r="BA521" s="183"/>
      <c r="BB521" s="183"/>
      <c r="BC521" s="183"/>
      <c r="BD521" s="183"/>
      <c r="BE521" s="183"/>
      <c r="BF521" s="184"/>
      <c r="BG521" s="183"/>
      <c r="BH521" s="183"/>
      <c r="BI521" s="183"/>
      <c r="BJ521" s="183"/>
      <c r="BK521" s="183"/>
      <c r="BL521" s="184"/>
      <c r="BM521" s="409"/>
      <c r="BN521" s="409"/>
    </row>
    <row r="522" spans="1:66" s="153" customFormat="1" x14ac:dyDescent="0.2">
      <c r="A522" s="61"/>
      <c r="B522" s="61"/>
      <c r="C522" s="61"/>
      <c r="D522" s="61"/>
      <c r="E522" s="61"/>
      <c r="F522" s="61"/>
      <c r="G522" s="61"/>
      <c r="H522" s="61"/>
      <c r="I522" s="61"/>
      <c r="J522" s="61"/>
      <c r="K522" s="61"/>
      <c r="L522" s="61"/>
      <c r="M522" s="61"/>
      <c r="N522" s="61"/>
      <c r="O522" s="61"/>
      <c r="P522" s="61"/>
      <c r="Q522" s="61"/>
      <c r="R522" s="61"/>
      <c r="S522" s="61"/>
      <c r="T522" s="35"/>
      <c r="U522" s="187"/>
      <c r="V522" s="190"/>
      <c r="W522" s="190"/>
      <c r="X522" s="190"/>
      <c r="Y522" s="190"/>
      <c r="Z522" s="190"/>
      <c r="AA522" s="191"/>
      <c r="AB522" s="190"/>
      <c r="AC522" s="190"/>
      <c r="AD522" s="190"/>
      <c r="AE522" s="190"/>
      <c r="AF522" s="190"/>
      <c r="AG522" s="190"/>
      <c r="AH522" s="191"/>
      <c r="AI522" s="190"/>
      <c r="AJ522" s="190"/>
      <c r="AK522" s="190"/>
      <c r="AL522" s="190"/>
      <c r="AM522" s="190"/>
      <c r="AN522" s="191"/>
      <c r="AO522" s="190"/>
      <c r="AP522" s="190"/>
      <c r="AQ522" s="190"/>
      <c r="AR522" s="190"/>
      <c r="AS522" s="190"/>
      <c r="AT522" s="191"/>
      <c r="AU522" s="190"/>
      <c r="AV522" s="190"/>
      <c r="AW522" s="190"/>
      <c r="AX522" s="190"/>
      <c r="AY522" s="190"/>
      <c r="AZ522" s="191"/>
      <c r="BA522" s="183"/>
      <c r="BB522" s="183"/>
      <c r="BC522" s="183"/>
      <c r="BD522" s="183"/>
      <c r="BE522" s="183"/>
      <c r="BF522" s="184"/>
      <c r="BG522" s="183"/>
      <c r="BH522" s="183"/>
      <c r="BI522" s="183"/>
      <c r="BJ522" s="183"/>
      <c r="BK522" s="183"/>
      <c r="BL522" s="184"/>
      <c r="BM522" s="409"/>
      <c r="BN522" s="409"/>
    </row>
    <row r="523" spans="1:66" s="153" customFormat="1" x14ac:dyDescent="0.2">
      <c r="A523" s="61"/>
      <c r="B523" s="61"/>
      <c r="C523" s="61"/>
      <c r="D523" s="61"/>
      <c r="E523" s="61"/>
      <c r="F523" s="61"/>
      <c r="G523" s="61"/>
      <c r="H523" s="61"/>
      <c r="I523" s="61"/>
      <c r="J523" s="61"/>
      <c r="K523" s="61"/>
      <c r="L523" s="61"/>
      <c r="M523" s="61"/>
      <c r="N523" s="61"/>
      <c r="O523" s="61"/>
      <c r="P523" s="61"/>
      <c r="Q523" s="61"/>
      <c r="R523" s="61"/>
      <c r="S523" s="61"/>
      <c r="T523" s="35"/>
      <c r="U523" s="187"/>
      <c r="V523" s="190"/>
      <c r="W523" s="190"/>
      <c r="X523" s="190"/>
      <c r="Y523" s="190"/>
      <c r="Z523" s="190"/>
      <c r="AA523" s="191"/>
      <c r="AB523" s="190"/>
      <c r="AC523" s="190"/>
      <c r="AD523" s="190"/>
      <c r="AE523" s="190"/>
      <c r="AF523" s="190"/>
      <c r="AG523" s="190"/>
      <c r="AH523" s="191"/>
      <c r="AI523" s="190"/>
      <c r="AJ523" s="190"/>
      <c r="AK523" s="190"/>
      <c r="AL523" s="190"/>
      <c r="AM523" s="190"/>
      <c r="AN523" s="191"/>
      <c r="AO523" s="190"/>
      <c r="AP523" s="190"/>
      <c r="AQ523" s="190"/>
      <c r="AR523" s="190"/>
      <c r="AS523" s="190"/>
      <c r="AT523" s="191"/>
      <c r="AU523" s="190"/>
      <c r="AV523" s="190"/>
      <c r="AW523" s="190"/>
      <c r="AX523" s="190"/>
      <c r="AY523" s="190"/>
      <c r="AZ523" s="191"/>
      <c r="BA523" s="183"/>
      <c r="BB523" s="183"/>
      <c r="BC523" s="183"/>
      <c r="BD523" s="183"/>
      <c r="BE523" s="183"/>
      <c r="BF523" s="184"/>
      <c r="BG523" s="183"/>
      <c r="BH523" s="183"/>
      <c r="BI523" s="183"/>
      <c r="BJ523" s="183"/>
      <c r="BK523" s="183"/>
      <c r="BL523" s="184"/>
      <c r="BM523" s="409"/>
      <c r="BN523" s="409"/>
    </row>
    <row r="524" spans="1:66" s="153" customFormat="1" x14ac:dyDescent="0.2">
      <c r="A524" s="61"/>
      <c r="B524" s="61"/>
      <c r="C524" s="61"/>
      <c r="D524" s="61"/>
      <c r="E524" s="61"/>
      <c r="F524" s="61"/>
      <c r="G524" s="61"/>
      <c r="H524" s="61"/>
      <c r="I524" s="61"/>
      <c r="J524" s="61"/>
      <c r="K524" s="61"/>
      <c r="L524" s="61"/>
      <c r="M524" s="61"/>
      <c r="N524" s="61"/>
      <c r="O524" s="61"/>
      <c r="P524" s="61"/>
      <c r="Q524" s="61"/>
      <c r="R524" s="61"/>
      <c r="S524" s="61"/>
      <c r="T524" s="35"/>
      <c r="U524" s="187"/>
      <c r="V524" s="190"/>
      <c r="W524" s="190"/>
      <c r="X524" s="190"/>
      <c r="Y524" s="190"/>
      <c r="Z524" s="190"/>
      <c r="AA524" s="191"/>
      <c r="AB524" s="190"/>
      <c r="AC524" s="190"/>
      <c r="AD524" s="190"/>
      <c r="AE524" s="190"/>
      <c r="AF524" s="190"/>
      <c r="AG524" s="190"/>
      <c r="AH524" s="191"/>
      <c r="AI524" s="190"/>
      <c r="AJ524" s="190"/>
      <c r="AK524" s="190"/>
      <c r="AL524" s="190"/>
      <c r="AM524" s="190"/>
      <c r="AN524" s="191"/>
      <c r="AO524" s="190"/>
      <c r="AP524" s="190"/>
      <c r="AQ524" s="190"/>
      <c r="AR524" s="190"/>
      <c r="AS524" s="190"/>
      <c r="AT524" s="191"/>
      <c r="AU524" s="190"/>
      <c r="AV524" s="190"/>
      <c r="AW524" s="190"/>
      <c r="AX524" s="190"/>
      <c r="AY524" s="190"/>
      <c r="AZ524" s="191"/>
      <c r="BA524" s="183"/>
      <c r="BB524" s="183"/>
      <c r="BC524" s="183"/>
      <c r="BD524" s="183"/>
      <c r="BE524" s="183"/>
      <c r="BF524" s="184"/>
      <c r="BG524" s="183"/>
      <c r="BH524" s="183"/>
      <c r="BI524" s="183"/>
      <c r="BJ524" s="183"/>
      <c r="BK524" s="183"/>
      <c r="BL524" s="184"/>
      <c r="BM524" s="409"/>
      <c r="BN524" s="409"/>
    </row>
    <row r="525" spans="1:66" s="153" customFormat="1" x14ac:dyDescent="0.2">
      <c r="A525" s="61"/>
      <c r="B525" s="61"/>
      <c r="C525" s="61"/>
      <c r="D525" s="61"/>
      <c r="E525" s="61"/>
      <c r="F525" s="61"/>
      <c r="G525" s="61"/>
      <c r="H525" s="61"/>
      <c r="I525" s="61"/>
      <c r="J525" s="61"/>
      <c r="K525" s="61"/>
      <c r="L525" s="61"/>
      <c r="M525" s="61"/>
      <c r="N525" s="61"/>
      <c r="O525" s="61"/>
      <c r="P525" s="61"/>
      <c r="Q525" s="61"/>
      <c r="R525" s="61"/>
      <c r="S525" s="61"/>
      <c r="T525" s="35"/>
      <c r="U525" s="187"/>
      <c r="V525" s="190"/>
      <c r="W525" s="190"/>
      <c r="X525" s="190"/>
      <c r="Y525" s="190"/>
      <c r="Z525" s="190"/>
      <c r="AA525" s="191"/>
      <c r="AB525" s="190"/>
      <c r="AC525" s="190"/>
      <c r="AD525" s="190"/>
      <c r="AE525" s="190"/>
      <c r="AF525" s="190"/>
      <c r="AG525" s="190"/>
      <c r="AH525" s="191"/>
      <c r="AI525" s="190"/>
      <c r="AJ525" s="190"/>
      <c r="AK525" s="190"/>
      <c r="AL525" s="190"/>
      <c r="AM525" s="190"/>
      <c r="AN525" s="191"/>
      <c r="AO525" s="190"/>
      <c r="AP525" s="190"/>
      <c r="AQ525" s="190"/>
      <c r="AR525" s="190"/>
      <c r="AS525" s="190"/>
      <c r="AT525" s="191"/>
      <c r="AU525" s="190"/>
      <c r="AV525" s="190"/>
      <c r="AW525" s="190"/>
      <c r="AX525" s="190"/>
      <c r="AY525" s="190"/>
      <c r="AZ525" s="191"/>
      <c r="BA525" s="183"/>
      <c r="BB525" s="183"/>
      <c r="BC525" s="183"/>
      <c r="BD525" s="183"/>
      <c r="BE525" s="183"/>
      <c r="BF525" s="184"/>
      <c r="BG525" s="183"/>
      <c r="BH525" s="183"/>
      <c r="BI525" s="183"/>
      <c r="BJ525" s="183"/>
      <c r="BK525" s="183"/>
      <c r="BL525" s="184"/>
      <c r="BM525" s="409"/>
      <c r="BN525" s="409"/>
    </row>
    <row r="526" spans="1:66" s="153" customFormat="1" x14ac:dyDescent="0.2">
      <c r="A526" s="61"/>
      <c r="B526" s="61"/>
      <c r="C526" s="61"/>
      <c r="D526" s="61"/>
      <c r="E526" s="61"/>
      <c r="F526" s="61"/>
      <c r="G526" s="61"/>
      <c r="H526" s="61"/>
      <c r="I526" s="61"/>
      <c r="J526" s="61"/>
      <c r="K526" s="61"/>
      <c r="L526" s="61"/>
      <c r="M526" s="61"/>
      <c r="N526" s="61"/>
      <c r="O526" s="61"/>
      <c r="P526" s="61"/>
      <c r="Q526" s="61"/>
      <c r="R526" s="61"/>
      <c r="S526" s="61"/>
      <c r="T526" s="35"/>
      <c r="U526" s="187"/>
      <c r="V526" s="190"/>
      <c r="W526" s="190"/>
      <c r="X526" s="190"/>
      <c r="Y526" s="190"/>
      <c r="Z526" s="190"/>
      <c r="AA526" s="191"/>
      <c r="AB526" s="190"/>
      <c r="AC526" s="190"/>
      <c r="AD526" s="190"/>
      <c r="AE526" s="190"/>
      <c r="AF526" s="190"/>
      <c r="AG526" s="190"/>
      <c r="AH526" s="191"/>
      <c r="AI526" s="190"/>
      <c r="AJ526" s="190"/>
      <c r="AK526" s="190"/>
      <c r="AL526" s="190"/>
      <c r="AM526" s="190"/>
      <c r="AN526" s="191"/>
      <c r="AO526" s="190"/>
      <c r="AP526" s="190"/>
      <c r="AQ526" s="190"/>
      <c r="AR526" s="190"/>
      <c r="AS526" s="190"/>
      <c r="AT526" s="191"/>
      <c r="AU526" s="190"/>
      <c r="AV526" s="190"/>
      <c r="AW526" s="190"/>
      <c r="AX526" s="190"/>
      <c r="AY526" s="190"/>
      <c r="AZ526" s="191"/>
      <c r="BA526" s="183"/>
      <c r="BB526" s="183"/>
      <c r="BC526" s="183"/>
      <c r="BD526" s="183"/>
      <c r="BE526" s="183"/>
      <c r="BF526" s="184"/>
      <c r="BG526" s="183"/>
      <c r="BH526" s="183"/>
      <c r="BI526" s="183"/>
      <c r="BJ526" s="183"/>
      <c r="BK526" s="183"/>
      <c r="BL526" s="184"/>
      <c r="BM526" s="409"/>
      <c r="BN526" s="409"/>
    </row>
    <row r="527" spans="1:66" s="153" customFormat="1" x14ac:dyDescent="0.2">
      <c r="A527" s="61"/>
      <c r="B527" s="61"/>
      <c r="C527" s="61"/>
      <c r="D527" s="61"/>
      <c r="E527" s="61"/>
      <c r="F527" s="61"/>
      <c r="G527" s="61"/>
      <c r="H527" s="61"/>
      <c r="I527" s="61"/>
      <c r="J527" s="61"/>
      <c r="K527" s="61"/>
      <c r="L527" s="61"/>
      <c r="M527" s="61"/>
      <c r="N527" s="61"/>
      <c r="O527" s="61"/>
      <c r="P527" s="61"/>
      <c r="Q527" s="61"/>
      <c r="R527" s="61"/>
      <c r="S527" s="61"/>
      <c r="T527" s="35"/>
      <c r="U527" s="187"/>
      <c r="V527" s="190"/>
      <c r="W527" s="190"/>
      <c r="X527" s="190"/>
      <c r="Y527" s="190"/>
      <c r="Z527" s="190"/>
      <c r="AA527" s="191"/>
      <c r="AB527" s="190"/>
      <c r="AC527" s="190"/>
      <c r="AD527" s="190"/>
      <c r="AE527" s="190"/>
      <c r="AF527" s="190"/>
      <c r="AG527" s="190"/>
      <c r="AH527" s="191"/>
      <c r="AI527" s="190"/>
      <c r="AJ527" s="190"/>
      <c r="AK527" s="190"/>
      <c r="AL527" s="190"/>
      <c r="AM527" s="190"/>
      <c r="AN527" s="191"/>
      <c r="AO527" s="190"/>
      <c r="AP527" s="190"/>
      <c r="AQ527" s="190"/>
      <c r="AR527" s="190"/>
      <c r="AS527" s="190"/>
      <c r="AT527" s="191"/>
      <c r="AU527" s="190"/>
      <c r="AV527" s="190"/>
      <c r="AW527" s="190"/>
      <c r="AX527" s="190"/>
      <c r="AY527" s="190"/>
      <c r="AZ527" s="191"/>
      <c r="BA527" s="183"/>
      <c r="BB527" s="183"/>
      <c r="BC527" s="183"/>
      <c r="BD527" s="183"/>
      <c r="BE527" s="183"/>
      <c r="BF527" s="184"/>
      <c r="BG527" s="183"/>
      <c r="BH527" s="183"/>
      <c r="BI527" s="183"/>
      <c r="BJ527" s="183"/>
      <c r="BK527" s="183"/>
      <c r="BL527" s="184"/>
      <c r="BM527" s="409"/>
      <c r="BN527" s="409"/>
    </row>
    <row r="528" spans="1:66" s="153" customFormat="1" x14ac:dyDescent="0.2">
      <c r="A528" s="61"/>
      <c r="B528" s="61"/>
      <c r="C528" s="61"/>
      <c r="D528" s="61"/>
      <c r="E528" s="61"/>
      <c r="F528" s="61"/>
      <c r="G528" s="61"/>
      <c r="H528" s="61"/>
      <c r="I528" s="61"/>
      <c r="J528" s="61"/>
      <c r="K528" s="61"/>
      <c r="L528" s="61"/>
      <c r="M528" s="61"/>
      <c r="N528" s="61"/>
      <c r="O528" s="61"/>
      <c r="P528" s="61"/>
      <c r="Q528" s="61"/>
      <c r="R528" s="61"/>
      <c r="S528" s="61"/>
      <c r="T528" s="35"/>
      <c r="U528" s="187"/>
      <c r="V528" s="190"/>
      <c r="W528" s="190"/>
      <c r="X528" s="190"/>
      <c r="Y528" s="190"/>
      <c r="Z528" s="190"/>
      <c r="AA528" s="191"/>
      <c r="AB528" s="190"/>
      <c r="AC528" s="190"/>
      <c r="AD528" s="190"/>
      <c r="AE528" s="190"/>
      <c r="AF528" s="190"/>
      <c r="AG528" s="190"/>
      <c r="AH528" s="191"/>
      <c r="AI528" s="190"/>
      <c r="AJ528" s="190"/>
      <c r="AK528" s="190"/>
      <c r="AL528" s="190"/>
      <c r="AM528" s="190"/>
      <c r="AN528" s="191"/>
      <c r="AO528" s="190"/>
      <c r="AP528" s="190"/>
      <c r="AQ528" s="190"/>
      <c r="AR528" s="190"/>
      <c r="AS528" s="190"/>
      <c r="AT528" s="191"/>
      <c r="AU528" s="190"/>
      <c r="AV528" s="190"/>
      <c r="AW528" s="190"/>
      <c r="AX528" s="190"/>
      <c r="AY528" s="190"/>
      <c r="AZ528" s="191"/>
      <c r="BA528" s="183"/>
      <c r="BB528" s="183"/>
      <c r="BC528" s="183"/>
      <c r="BD528" s="183"/>
      <c r="BE528" s="183"/>
      <c r="BF528" s="184"/>
      <c r="BG528" s="183"/>
      <c r="BH528" s="183"/>
      <c r="BI528" s="183"/>
      <c r="BJ528" s="183"/>
      <c r="BK528" s="183"/>
      <c r="BL528" s="184"/>
      <c r="BM528" s="409"/>
      <c r="BN528" s="409"/>
    </row>
    <row r="529" spans="1:66" s="153" customFormat="1" x14ac:dyDescent="0.2">
      <c r="A529" s="61"/>
      <c r="B529" s="61"/>
      <c r="C529" s="61"/>
      <c r="D529" s="61"/>
      <c r="E529" s="61"/>
      <c r="F529" s="61"/>
      <c r="G529" s="61"/>
      <c r="H529" s="61"/>
      <c r="I529" s="61"/>
      <c r="J529" s="61"/>
      <c r="K529" s="61"/>
      <c r="L529" s="61"/>
      <c r="M529" s="61"/>
      <c r="N529" s="61"/>
      <c r="O529" s="61"/>
      <c r="P529" s="61"/>
      <c r="Q529" s="61"/>
      <c r="R529" s="61"/>
      <c r="S529" s="61"/>
      <c r="T529" s="35"/>
      <c r="U529" s="187"/>
      <c r="V529" s="190"/>
      <c r="W529" s="190"/>
      <c r="X529" s="190"/>
      <c r="Y529" s="190"/>
      <c r="Z529" s="190"/>
      <c r="AA529" s="191"/>
      <c r="AB529" s="190"/>
      <c r="AC529" s="190"/>
      <c r="AD529" s="190"/>
      <c r="AE529" s="190"/>
      <c r="AF529" s="190"/>
      <c r="AG529" s="190"/>
      <c r="AH529" s="191"/>
      <c r="AI529" s="190"/>
      <c r="AJ529" s="190"/>
      <c r="AK529" s="190"/>
      <c r="AL529" s="190"/>
      <c r="AM529" s="190"/>
      <c r="AN529" s="191"/>
      <c r="AO529" s="190"/>
      <c r="AP529" s="190"/>
      <c r="AQ529" s="190"/>
      <c r="AR529" s="190"/>
      <c r="AS529" s="190"/>
      <c r="AT529" s="191"/>
      <c r="AU529" s="190"/>
      <c r="AV529" s="190"/>
      <c r="AW529" s="190"/>
      <c r="AX529" s="190"/>
      <c r="AY529" s="190"/>
      <c r="AZ529" s="191"/>
      <c r="BA529" s="183"/>
      <c r="BB529" s="183"/>
      <c r="BC529" s="183"/>
      <c r="BD529" s="183"/>
      <c r="BE529" s="183"/>
      <c r="BF529" s="184"/>
      <c r="BG529" s="183"/>
      <c r="BH529" s="183"/>
      <c r="BI529" s="183"/>
      <c r="BJ529" s="183"/>
      <c r="BK529" s="183"/>
      <c r="BL529" s="184"/>
      <c r="BM529" s="409"/>
      <c r="BN529" s="409"/>
    </row>
    <row r="530" spans="1:66" s="153" customFormat="1" x14ac:dyDescent="0.2">
      <c r="A530" s="61"/>
      <c r="B530" s="61"/>
      <c r="C530" s="61"/>
      <c r="D530" s="61"/>
      <c r="E530" s="61"/>
      <c r="F530" s="61"/>
      <c r="G530" s="61"/>
      <c r="H530" s="61"/>
      <c r="I530" s="61"/>
      <c r="J530" s="61"/>
      <c r="K530" s="61"/>
      <c r="L530" s="61"/>
      <c r="M530" s="61"/>
      <c r="N530" s="61"/>
      <c r="O530" s="61"/>
      <c r="P530" s="61"/>
      <c r="Q530" s="61"/>
      <c r="R530" s="61"/>
      <c r="S530" s="61"/>
      <c r="T530" s="35"/>
      <c r="U530" s="187"/>
      <c r="V530" s="190"/>
      <c r="W530" s="190"/>
      <c r="X530" s="190"/>
      <c r="Y530" s="190"/>
      <c r="Z530" s="190"/>
      <c r="AA530" s="191"/>
      <c r="AB530" s="190"/>
      <c r="AC530" s="190"/>
      <c r="AD530" s="190"/>
      <c r="AE530" s="190"/>
      <c r="AF530" s="190"/>
      <c r="AG530" s="190"/>
      <c r="AH530" s="191"/>
      <c r="AI530" s="190"/>
      <c r="AJ530" s="190"/>
      <c r="AK530" s="190"/>
      <c r="AL530" s="190"/>
      <c r="AM530" s="190"/>
      <c r="AN530" s="191"/>
      <c r="AO530" s="190"/>
      <c r="AP530" s="190"/>
      <c r="AQ530" s="190"/>
      <c r="AR530" s="190"/>
      <c r="AS530" s="190"/>
      <c r="AT530" s="191"/>
      <c r="AU530" s="190"/>
      <c r="AV530" s="190"/>
      <c r="AW530" s="190"/>
      <c r="AX530" s="190"/>
      <c r="AY530" s="190"/>
      <c r="AZ530" s="191"/>
      <c r="BA530" s="183"/>
      <c r="BB530" s="183"/>
      <c r="BC530" s="183"/>
      <c r="BD530" s="183"/>
      <c r="BE530" s="183"/>
      <c r="BF530" s="184"/>
      <c r="BG530" s="183"/>
      <c r="BH530" s="183"/>
      <c r="BI530" s="183"/>
      <c r="BJ530" s="183"/>
      <c r="BK530" s="183"/>
      <c r="BL530" s="184"/>
      <c r="BM530" s="409"/>
      <c r="BN530" s="409"/>
    </row>
    <row r="531" spans="1:66" s="153" customFormat="1" x14ac:dyDescent="0.2">
      <c r="A531" s="61"/>
      <c r="B531" s="61"/>
      <c r="C531" s="61"/>
      <c r="D531" s="61"/>
      <c r="E531" s="61"/>
      <c r="F531" s="61"/>
      <c r="G531" s="61"/>
      <c r="H531" s="61"/>
      <c r="I531" s="61"/>
      <c r="J531" s="61"/>
      <c r="K531" s="61"/>
      <c r="L531" s="61"/>
      <c r="M531" s="61"/>
      <c r="N531" s="61"/>
      <c r="O531" s="61"/>
      <c r="P531" s="61"/>
      <c r="Q531" s="61"/>
      <c r="R531" s="61"/>
      <c r="S531" s="61"/>
      <c r="T531" s="35"/>
      <c r="U531" s="187"/>
      <c r="V531" s="190"/>
      <c r="W531" s="190"/>
      <c r="X531" s="190"/>
      <c r="Y531" s="190"/>
      <c r="Z531" s="190"/>
      <c r="AA531" s="191"/>
      <c r="AB531" s="190"/>
      <c r="AC531" s="190"/>
      <c r="AD531" s="190"/>
      <c r="AE531" s="190"/>
      <c r="AF531" s="190"/>
      <c r="AG531" s="190"/>
      <c r="AH531" s="191"/>
      <c r="AI531" s="190"/>
      <c r="AJ531" s="190"/>
      <c r="AK531" s="190"/>
      <c r="AL531" s="190"/>
      <c r="AM531" s="190"/>
      <c r="AN531" s="191"/>
      <c r="AO531" s="190"/>
      <c r="AP531" s="190"/>
      <c r="AQ531" s="190"/>
      <c r="AR531" s="190"/>
      <c r="AS531" s="190"/>
      <c r="AT531" s="191"/>
      <c r="AU531" s="190"/>
      <c r="AV531" s="190"/>
      <c r="AW531" s="190"/>
      <c r="AX531" s="190"/>
      <c r="AY531" s="190"/>
      <c r="AZ531" s="191"/>
      <c r="BA531" s="183"/>
      <c r="BB531" s="183"/>
      <c r="BC531" s="183"/>
      <c r="BD531" s="183"/>
      <c r="BE531" s="183"/>
      <c r="BF531" s="184"/>
      <c r="BG531" s="183"/>
      <c r="BH531" s="183"/>
      <c r="BI531" s="183"/>
      <c r="BJ531" s="183"/>
      <c r="BK531" s="183"/>
      <c r="BL531" s="184"/>
      <c r="BM531" s="409"/>
      <c r="BN531" s="409"/>
    </row>
    <row r="532" spans="1:66" s="153" customFormat="1" x14ac:dyDescent="0.2">
      <c r="A532" s="61"/>
      <c r="B532" s="61"/>
      <c r="C532" s="61"/>
      <c r="D532" s="61"/>
      <c r="E532" s="61"/>
      <c r="F532" s="61"/>
      <c r="G532" s="61"/>
      <c r="H532" s="61"/>
      <c r="I532" s="61"/>
      <c r="J532" s="61"/>
      <c r="K532" s="61"/>
      <c r="L532" s="61"/>
      <c r="M532" s="61"/>
      <c r="N532" s="61"/>
      <c r="O532" s="61"/>
      <c r="P532" s="61"/>
      <c r="Q532" s="61"/>
      <c r="R532" s="61"/>
      <c r="S532" s="61"/>
      <c r="T532" s="35"/>
      <c r="U532" s="187"/>
      <c r="V532" s="190"/>
      <c r="W532" s="190"/>
      <c r="X532" s="190"/>
      <c r="Y532" s="190"/>
      <c r="Z532" s="190"/>
      <c r="AA532" s="191"/>
      <c r="AB532" s="190"/>
      <c r="AC532" s="190"/>
      <c r="AD532" s="190"/>
      <c r="AE532" s="190"/>
      <c r="AF532" s="190"/>
      <c r="AG532" s="190"/>
      <c r="AH532" s="191"/>
      <c r="AI532" s="190"/>
      <c r="AJ532" s="190"/>
      <c r="AK532" s="190"/>
      <c r="AL532" s="190"/>
      <c r="AM532" s="190"/>
      <c r="AN532" s="191"/>
      <c r="AO532" s="190"/>
      <c r="AP532" s="190"/>
      <c r="AQ532" s="190"/>
      <c r="AR532" s="190"/>
      <c r="AS532" s="190"/>
      <c r="AT532" s="191"/>
      <c r="AU532" s="190"/>
      <c r="AV532" s="190"/>
      <c r="AW532" s="190"/>
      <c r="AX532" s="190"/>
      <c r="AY532" s="190"/>
      <c r="AZ532" s="191"/>
      <c r="BA532" s="183"/>
      <c r="BB532" s="183"/>
      <c r="BC532" s="183"/>
      <c r="BD532" s="183"/>
      <c r="BE532" s="183"/>
      <c r="BF532" s="184"/>
      <c r="BG532" s="183"/>
      <c r="BH532" s="183"/>
      <c r="BI532" s="183"/>
      <c r="BJ532" s="183"/>
      <c r="BK532" s="183"/>
      <c r="BL532" s="184"/>
      <c r="BM532" s="409"/>
      <c r="BN532" s="409"/>
    </row>
    <row r="533" spans="1:66" s="153" customFormat="1" x14ac:dyDescent="0.2">
      <c r="A533" s="61"/>
      <c r="B533" s="61"/>
      <c r="C533" s="61"/>
      <c r="D533" s="61"/>
      <c r="E533" s="61"/>
      <c r="F533" s="61"/>
      <c r="G533" s="61"/>
      <c r="H533" s="61"/>
      <c r="I533" s="61"/>
      <c r="J533" s="61"/>
      <c r="K533" s="61"/>
      <c r="L533" s="61"/>
      <c r="M533" s="61"/>
      <c r="N533" s="61"/>
      <c r="O533" s="61"/>
      <c r="P533" s="61"/>
      <c r="Q533" s="61"/>
      <c r="R533" s="61"/>
      <c r="S533" s="61"/>
      <c r="T533" s="35"/>
      <c r="U533" s="187"/>
      <c r="V533" s="190"/>
      <c r="W533" s="190"/>
      <c r="X533" s="190"/>
      <c r="Y533" s="190"/>
      <c r="Z533" s="190"/>
      <c r="AA533" s="191"/>
      <c r="AB533" s="190"/>
      <c r="AC533" s="190"/>
      <c r="AD533" s="190"/>
      <c r="AE533" s="190"/>
      <c r="AF533" s="190"/>
      <c r="AG533" s="190"/>
      <c r="AH533" s="191"/>
      <c r="AI533" s="190"/>
      <c r="AJ533" s="190"/>
      <c r="AK533" s="190"/>
      <c r="AL533" s="190"/>
      <c r="AM533" s="190"/>
      <c r="AN533" s="191"/>
      <c r="AO533" s="190"/>
      <c r="AP533" s="190"/>
      <c r="AQ533" s="190"/>
      <c r="AR533" s="190"/>
      <c r="AS533" s="190"/>
      <c r="AT533" s="191"/>
      <c r="AU533" s="190"/>
      <c r="AV533" s="190"/>
      <c r="AW533" s="190"/>
      <c r="AX533" s="190"/>
      <c r="AY533" s="190"/>
      <c r="AZ533" s="191"/>
      <c r="BA533" s="183"/>
      <c r="BB533" s="183"/>
      <c r="BC533" s="183"/>
      <c r="BD533" s="183"/>
      <c r="BE533" s="183"/>
      <c r="BF533" s="184"/>
      <c r="BG533" s="183"/>
      <c r="BH533" s="183"/>
      <c r="BI533" s="183"/>
      <c r="BJ533" s="183"/>
      <c r="BK533" s="183"/>
      <c r="BL533" s="184"/>
      <c r="BM533" s="409"/>
      <c r="BN533" s="409"/>
    </row>
    <row r="534" spans="1:66" s="153" customFormat="1" x14ac:dyDescent="0.2">
      <c r="A534" s="61"/>
      <c r="B534" s="61"/>
      <c r="C534" s="61"/>
      <c r="D534" s="61"/>
      <c r="E534" s="61"/>
      <c r="F534" s="61"/>
      <c r="G534" s="61"/>
      <c r="H534" s="61"/>
      <c r="I534" s="61"/>
      <c r="J534" s="61"/>
      <c r="K534" s="61"/>
      <c r="L534" s="61"/>
      <c r="M534" s="61"/>
      <c r="N534" s="61"/>
      <c r="O534" s="61"/>
      <c r="P534" s="61"/>
      <c r="Q534" s="61"/>
      <c r="R534" s="61"/>
      <c r="S534" s="61"/>
      <c r="T534" s="35"/>
      <c r="U534" s="187"/>
      <c r="V534" s="190"/>
      <c r="W534" s="190"/>
      <c r="X534" s="190"/>
      <c r="Y534" s="190"/>
      <c r="Z534" s="190"/>
      <c r="AA534" s="191"/>
      <c r="AB534" s="190"/>
      <c r="AC534" s="190"/>
      <c r="AD534" s="190"/>
      <c r="AE534" s="190"/>
      <c r="AF534" s="190"/>
      <c r="AG534" s="190"/>
      <c r="AH534" s="191"/>
      <c r="AI534" s="190"/>
      <c r="AJ534" s="190"/>
      <c r="AK534" s="190"/>
      <c r="AL534" s="190"/>
      <c r="AM534" s="190"/>
      <c r="AN534" s="191"/>
      <c r="AO534" s="190"/>
      <c r="AP534" s="190"/>
      <c r="AQ534" s="190"/>
      <c r="AR534" s="190"/>
      <c r="AS534" s="190"/>
      <c r="AT534" s="191"/>
      <c r="AU534" s="190"/>
      <c r="AV534" s="190"/>
      <c r="AW534" s="190"/>
      <c r="AX534" s="190"/>
      <c r="AY534" s="190"/>
      <c r="AZ534" s="191"/>
      <c r="BA534" s="183"/>
      <c r="BB534" s="183"/>
      <c r="BC534" s="183"/>
      <c r="BD534" s="183"/>
      <c r="BE534" s="183"/>
      <c r="BF534" s="184"/>
      <c r="BG534" s="183"/>
      <c r="BH534" s="183"/>
      <c r="BI534" s="183"/>
      <c r="BJ534" s="183"/>
      <c r="BK534" s="183"/>
      <c r="BL534" s="184"/>
      <c r="BM534" s="409"/>
      <c r="BN534" s="409"/>
    </row>
    <row r="535" spans="1:66" s="153" customFormat="1" x14ac:dyDescent="0.2">
      <c r="A535" s="61"/>
      <c r="B535" s="61"/>
      <c r="C535" s="61"/>
      <c r="D535" s="61"/>
      <c r="E535" s="61"/>
      <c r="F535" s="61"/>
      <c r="G535" s="61"/>
      <c r="H535" s="61"/>
      <c r="I535" s="61"/>
      <c r="J535" s="61"/>
      <c r="K535" s="61"/>
      <c r="L535" s="61"/>
      <c r="M535" s="61"/>
      <c r="N535" s="61"/>
      <c r="O535" s="61"/>
      <c r="P535" s="61"/>
      <c r="Q535" s="61"/>
      <c r="R535" s="61"/>
      <c r="S535" s="61"/>
      <c r="T535" s="35"/>
      <c r="U535" s="187"/>
      <c r="V535" s="190"/>
      <c r="W535" s="190"/>
      <c r="X535" s="190"/>
      <c r="Y535" s="190"/>
      <c r="Z535" s="190"/>
      <c r="AA535" s="191"/>
      <c r="AB535" s="190"/>
      <c r="AC535" s="190"/>
      <c r="AD535" s="190"/>
      <c r="AE535" s="190"/>
      <c r="AF535" s="190"/>
      <c r="AG535" s="190"/>
      <c r="AH535" s="191"/>
      <c r="AI535" s="190"/>
      <c r="AJ535" s="190"/>
      <c r="AK535" s="190"/>
      <c r="AL535" s="190"/>
      <c r="AM535" s="190"/>
      <c r="AN535" s="191"/>
      <c r="AO535" s="190"/>
      <c r="AP535" s="190"/>
      <c r="AQ535" s="190"/>
      <c r="AR535" s="190"/>
      <c r="AS535" s="190"/>
      <c r="AT535" s="191"/>
      <c r="AU535" s="190"/>
      <c r="AV535" s="190"/>
      <c r="AW535" s="190"/>
      <c r="AX535" s="190"/>
      <c r="AY535" s="190"/>
      <c r="AZ535" s="191"/>
      <c r="BA535" s="183"/>
      <c r="BB535" s="183"/>
      <c r="BC535" s="183"/>
      <c r="BD535" s="183"/>
      <c r="BE535" s="183"/>
      <c r="BF535" s="184"/>
      <c r="BG535" s="183"/>
      <c r="BH535" s="183"/>
      <c r="BI535" s="183"/>
      <c r="BJ535" s="183"/>
      <c r="BK535" s="183"/>
      <c r="BL535" s="184"/>
      <c r="BM535" s="409"/>
      <c r="BN535" s="409"/>
    </row>
    <row r="536" spans="1:66" s="153" customFormat="1" x14ac:dyDescent="0.2">
      <c r="A536" s="61"/>
      <c r="B536" s="61"/>
      <c r="C536" s="61"/>
      <c r="D536" s="61"/>
      <c r="E536" s="61"/>
      <c r="F536" s="61"/>
      <c r="G536" s="61"/>
      <c r="H536" s="61"/>
      <c r="I536" s="61"/>
      <c r="J536" s="61"/>
      <c r="K536" s="61"/>
      <c r="L536" s="61"/>
      <c r="M536" s="61"/>
      <c r="N536" s="61"/>
      <c r="O536" s="61"/>
      <c r="P536" s="61"/>
      <c r="Q536" s="61"/>
      <c r="R536" s="61"/>
      <c r="S536" s="61"/>
      <c r="T536" s="35"/>
      <c r="U536" s="187"/>
      <c r="V536" s="190"/>
      <c r="W536" s="190"/>
      <c r="X536" s="190"/>
      <c r="Y536" s="190"/>
      <c r="Z536" s="190"/>
      <c r="AA536" s="191"/>
      <c r="AB536" s="190"/>
      <c r="AC536" s="190"/>
      <c r="AD536" s="190"/>
      <c r="AE536" s="190"/>
      <c r="AF536" s="190"/>
      <c r="AG536" s="190"/>
      <c r="AH536" s="191"/>
      <c r="AI536" s="190"/>
      <c r="AJ536" s="190"/>
      <c r="AK536" s="190"/>
      <c r="AL536" s="190"/>
      <c r="AM536" s="190"/>
      <c r="AN536" s="191"/>
      <c r="AO536" s="190"/>
      <c r="AP536" s="190"/>
      <c r="AQ536" s="190"/>
      <c r="AR536" s="190"/>
      <c r="AS536" s="190"/>
      <c r="AT536" s="191"/>
      <c r="AU536" s="190"/>
      <c r="AV536" s="190"/>
      <c r="AW536" s="190"/>
      <c r="AX536" s="190"/>
      <c r="AY536" s="190"/>
      <c r="AZ536" s="191"/>
      <c r="BA536" s="183"/>
      <c r="BB536" s="183"/>
      <c r="BC536" s="183"/>
      <c r="BD536" s="183"/>
      <c r="BE536" s="183"/>
      <c r="BF536" s="184"/>
      <c r="BG536" s="183"/>
      <c r="BH536" s="183"/>
      <c r="BI536" s="183"/>
      <c r="BJ536" s="183"/>
      <c r="BK536" s="183"/>
      <c r="BL536" s="184"/>
      <c r="BM536" s="409"/>
      <c r="BN536" s="409"/>
    </row>
    <row r="537" spans="1:66" s="153" customFormat="1" x14ac:dyDescent="0.2">
      <c r="A537" s="61"/>
      <c r="B537" s="61"/>
      <c r="C537" s="61"/>
      <c r="D537" s="61"/>
      <c r="E537" s="61"/>
      <c r="F537" s="61"/>
      <c r="G537" s="61"/>
      <c r="H537" s="61"/>
      <c r="I537" s="61"/>
      <c r="J537" s="61"/>
      <c r="K537" s="61"/>
      <c r="L537" s="61"/>
      <c r="M537" s="61"/>
      <c r="N537" s="61"/>
      <c r="O537" s="61"/>
      <c r="P537" s="61"/>
      <c r="Q537" s="61"/>
      <c r="R537" s="61"/>
      <c r="S537" s="61"/>
      <c r="T537" s="35"/>
      <c r="U537" s="187"/>
      <c r="V537" s="190"/>
      <c r="W537" s="190"/>
      <c r="X537" s="190"/>
      <c r="Y537" s="190"/>
      <c r="Z537" s="190"/>
      <c r="AA537" s="191"/>
      <c r="AB537" s="190"/>
      <c r="AC537" s="190"/>
      <c r="AD537" s="190"/>
      <c r="AE537" s="190"/>
      <c r="AF537" s="190"/>
      <c r="AG537" s="190"/>
      <c r="AH537" s="191"/>
      <c r="AI537" s="190"/>
      <c r="AJ537" s="190"/>
      <c r="AK537" s="190"/>
      <c r="AL537" s="190"/>
      <c r="AM537" s="190"/>
      <c r="AN537" s="191"/>
      <c r="AO537" s="190"/>
      <c r="AP537" s="190"/>
      <c r="AQ537" s="190"/>
      <c r="AR537" s="190"/>
      <c r="AS537" s="190"/>
      <c r="AT537" s="191"/>
      <c r="AU537" s="190"/>
      <c r="AV537" s="190"/>
      <c r="AW537" s="190"/>
      <c r="AX537" s="190"/>
      <c r="AY537" s="190"/>
      <c r="AZ537" s="191"/>
      <c r="BA537" s="183"/>
      <c r="BB537" s="183"/>
      <c r="BC537" s="183"/>
      <c r="BD537" s="183"/>
      <c r="BE537" s="183"/>
      <c r="BF537" s="184"/>
      <c r="BG537" s="183"/>
      <c r="BH537" s="183"/>
      <c r="BI537" s="183"/>
      <c r="BJ537" s="183"/>
      <c r="BK537" s="183"/>
      <c r="BL537" s="184"/>
      <c r="BM537" s="409"/>
      <c r="BN537" s="409"/>
    </row>
    <row r="538" spans="1:66" s="153" customFormat="1" x14ac:dyDescent="0.2">
      <c r="A538" s="61"/>
      <c r="B538" s="61"/>
      <c r="C538" s="61"/>
      <c r="D538" s="61"/>
      <c r="E538" s="61"/>
      <c r="F538" s="61"/>
      <c r="G538" s="61"/>
      <c r="H538" s="61"/>
      <c r="I538" s="61"/>
      <c r="J538" s="61"/>
      <c r="K538" s="61"/>
      <c r="L538" s="61"/>
      <c r="M538" s="61"/>
      <c r="N538" s="61"/>
      <c r="O538" s="61"/>
      <c r="P538" s="61"/>
      <c r="Q538" s="61"/>
      <c r="R538" s="61"/>
      <c r="S538" s="61"/>
      <c r="T538" s="35"/>
      <c r="U538" s="187"/>
      <c r="V538" s="190"/>
      <c r="W538" s="190"/>
      <c r="X538" s="190"/>
      <c r="Y538" s="190"/>
      <c r="Z538" s="190"/>
      <c r="AA538" s="191"/>
      <c r="AB538" s="190"/>
      <c r="AC538" s="190"/>
      <c r="AD538" s="190"/>
      <c r="AE538" s="190"/>
      <c r="AF538" s="190"/>
      <c r="AG538" s="190"/>
      <c r="AH538" s="191"/>
      <c r="AI538" s="190"/>
      <c r="AJ538" s="190"/>
      <c r="AK538" s="190"/>
      <c r="AL538" s="190"/>
      <c r="AM538" s="190"/>
      <c r="AN538" s="191"/>
      <c r="AO538" s="190"/>
      <c r="AP538" s="190"/>
      <c r="AQ538" s="190"/>
      <c r="AR538" s="190"/>
      <c r="AS538" s="190"/>
      <c r="AT538" s="191"/>
      <c r="AU538" s="190"/>
      <c r="AV538" s="190"/>
      <c r="AW538" s="190"/>
      <c r="AX538" s="190"/>
      <c r="AY538" s="190"/>
      <c r="AZ538" s="191"/>
      <c r="BA538" s="183"/>
      <c r="BB538" s="183"/>
      <c r="BC538" s="183"/>
      <c r="BD538" s="183"/>
      <c r="BE538" s="183"/>
      <c r="BF538" s="184"/>
      <c r="BG538" s="183"/>
      <c r="BH538" s="183"/>
      <c r="BI538" s="183"/>
      <c r="BJ538" s="183"/>
      <c r="BK538" s="183"/>
      <c r="BL538" s="184"/>
      <c r="BM538" s="409"/>
      <c r="BN538" s="409"/>
    </row>
    <row r="539" spans="1:66" s="153" customFormat="1" x14ac:dyDescent="0.2">
      <c r="A539" s="61"/>
      <c r="B539" s="61"/>
      <c r="C539" s="61"/>
      <c r="D539" s="61"/>
      <c r="E539" s="61"/>
      <c r="F539" s="61"/>
      <c r="G539" s="61"/>
      <c r="H539" s="61"/>
      <c r="I539" s="61"/>
      <c r="J539" s="61"/>
      <c r="K539" s="61"/>
      <c r="L539" s="61"/>
      <c r="M539" s="61"/>
      <c r="N539" s="61"/>
      <c r="O539" s="61"/>
      <c r="P539" s="61"/>
      <c r="Q539" s="61"/>
      <c r="R539" s="61"/>
      <c r="S539" s="61"/>
      <c r="T539" s="35"/>
      <c r="U539" s="187"/>
      <c r="V539" s="190"/>
      <c r="W539" s="190"/>
      <c r="X539" s="190"/>
      <c r="Y539" s="190"/>
      <c r="Z539" s="190"/>
      <c r="AA539" s="191"/>
      <c r="AB539" s="190"/>
      <c r="AC539" s="190"/>
      <c r="AD539" s="190"/>
      <c r="AE539" s="190"/>
      <c r="AF539" s="190"/>
      <c r="AG539" s="190"/>
      <c r="AH539" s="191"/>
      <c r="AI539" s="190"/>
      <c r="AJ539" s="190"/>
      <c r="AK539" s="190"/>
      <c r="AL539" s="190"/>
      <c r="AM539" s="190"/>
      <c r="AN539" s="191"/>
      <c r="AO539" s="190"/>
      <c r="AP539" s="190"/>
      <c r="AQ539" s="190"/>
      <c r="AR539" s="190"/>
      <c r="AS539" s="190"/>
      <c r="AT539" s="191"/>
      <c r="AU539" s="190"/>
      <c r="AV539" s="190"/>
      <c r="AW539" s="190"/>
      <c r="AX539" s="190"/>
      <c r="AY539" s="190"/>
      <c r="AZ539" s="191"/>
      <c r="BA539" s="183"/>
      <c r="BB539" s="183"/>
      <c r="BC539" s="183"/>
      <c r="BD539" s="183"/>
      <c r="BE539" s="183"/>
      <c r="BF539" s="184"/>
      <c r="BG539" s="183"/>
      <c r="BH539" s="183"/>
      <c r="BI539" s="183"/>
      <c r="BJ539" s="183"/>
      <c r="BK539" s="183"/>
      <c r="BL539" s="184"/>
      <c r="BM539" s="409"/>
      <c r="BN539" s="409"/>
    </row>
    <row r="540" spans="1:66" s="153" customFormat="1" x14ac:dyDescent="0.2">
      <c r="A540" s="61"/>
      <c r="B540" s="61"/>
      <c r="C540" s="61"/>
      <c r="D540" s="61"/>
      <c r="E540" s="61"/>
      <c r="F540" s="61"/>
      <c r="G540" s="61"/>
      <c r="H540" s="61"/>
      <c r="I540" s="61"/>
      <c r="J540" s="61"/>
      <c r="K540" s="61"/>
      <c r="L540" s="61"/>
      <c r="M540" s="61"/>
      <c r="N540" s="61"/>
      <c r="O540" s="61"/>
      <c r="P540" s="61"/>
      <c r="Q540" s="61"/>
      <c r="R540" s="61"/>
      <c r="S540" s="61"/>
      <c r="T540" s="35"/>
      <c r="U540" s="187"/>
      <c r="V540" s="190"/>
      <c r="W540" s="190"/>
      <c r="X540" s="190"/>
      <c r="Y540" s="190"/>
      <c r="Z540" s="190"/>
      <c r="AA540" s="191"/>
      <c r="AB540" s="190"/>
      <c r="AC540" s="190"/>
      <c r="AD540" s="190"/>
      <c r="AE540" s="190"/>
      <c r="AF540" s="190"/>
      <c r="AG540" s="190"/>
      <c r="AH540" s="191"/>
      <c r="AI540" s="190"/>
      <c r="AJ540" s="190"/>
      <c r="AK540" s="190"/>
      <c r="AL540" s="190"/>
      <c r="AM540" s="190"/>
      <c r="AN540" s="191"/>
      <c r="AO540" s="190"/>
      <c r="AP540" s="190"/>
      <c r="AQ540" s="190"/>
      <c r="AR540" s="190"/>
      <c r="AS540" s="190"/>
      <c r="AT540" s="191"/>
      <c r="AU540" s="190"/>
      <c r="AV540" s="190"/>
      <c r="AW540" s="190"/>
      <c r="AX540" s="190"/>
      <c r="AY540" s="190"/>
      <c r="AZ540" s="191"/>
      <c r="BA540" s="183"/>
      <c r="BB540" s="183"/>
      <c r="BC540" s="183"/>
      <c r="BD540" s="183"/>
      <c r="BE540" s="183"/>
      <c r="BF540" s="184"/>
      <c r="BG540" s="183"/>
      <c r="BH540" s="183"/>
      <c r="BI540" s="183"/>
      <c r="BJ540" s="183"/>
      <c r="BK540" s="183"/>
      <c r="BL540" s="184"/>
      <c r="BM540" s="409"/>
      <c r="BN540" s="409"/>
    </row>
    <row r="541" spans="1:66" s="153" customFormat="1" x14ac:dyDescent="0.2">
      <c r="A541" s="61"/>
      <c r="B541" s="61"/>
      <c r="C541" s="61"/>
      <c r="D541" s="61"/>
      <c r="E541" s="61"/>
      <c r="F541" s="61"/>
      <c r="G541" s="61"/>
      <c r="H541" s="61"/>
      <c r="I541" s="61"/>
      <c r="J541" s="61"/>
      <c r="K541" s="61"/>
      <c r="L541" s="61"/>
      <c r="M541" s="61"/>
      <c r="N541" s="61"/>
      <c r="O541" s="61"/>
      <c r="P541" s="61"/>
      <c r="Q541" s="61"/>
      <c r="R541" s="61"/>
      <c r="S541" s="61"/>
      <c r="T541" s="35"/>
      <c r="U541" s="187"/>
      <c r="V541" s="190"/>
      <c r="W541" s="190"/>
      <c r="X541" s="190"/>
      <c r="Y541" s="190"/>
      <c r="Z541" s="190"/>
      <c r="AA541" s="191"/>
      <c r="AB541" s="190"/>
      <c r="AC541" s="190"/>
      <c r="AD541" s="190"/>
      <c r="AE541" s="190"/>
      <c r="AF541" s="190"/>
      <c r="AG541" s="190"/>
      <c r="AH541" s="191"/>
      <c r="AI541" s="190"/>
      <c r="AJ541" s="190"/>
      <c r="AK541" s="190"/>
      <c r="AL541" s="190"/>
      <c r="AM541" s="190"/>
      <c r="AN541" s="191"/>
      <c r="AO541" s="190"/>
      <c r="AP541" s="190"/>
      <c r="AQ541" s="190"/>
      <c r="AR541" s="190"/>
      <c r="AS541" s="190"/>
      <c r="AT541" s="191"/>
      <c r="AU541" s="190"/>
      <c r="AV541" s="190"/>
      <c r="AW541" s="190"/>
      <c r="AX541" s="190"/>
      <c r="AY541" s="190"/>
      <c r="AZ541" s="191"/>
      <c r="BA541" s="183"/>
      <c r="BB541" s="183"/>
      <c r="BC541" s="183"/>
      <c r="BD541" s="183"/>
      <c r="BE541" s="183"/>
      <c r="BF541" s="184"/>
      <c r="BG541" s="183"/>
      <c r="BH541" s="183"/>
      <c r="BI541" s="183"/>
      <c r="BJ541" s="183"/>
      <c r="BK541" s="183"/>
      <c r="BL541" s="184"/>
      <c r="BM541" s="409"/>
      <c r="BN541" s="409"/>
    </row>
    <row r="542" spans="1:66" s="153" customFormat="1" x14ac:dyDescent="0.2">
      <c r="A542" s="61"/>
      <c r="B542" s="61"/>
      <c r="C542" s="61"/>
      <c r="D542" s="61"/>
      <c r="E542" s="61"/>
      <c r="F542" s="61"/>
      <c r="G542" s="61"/>
      <c r="H542" s="61"/>
      <c r="I542" s="61"/>
      <c r="J542" s="61"/>
      <c r="K542" s="61"/>
      <c r="L542" s="61"/>
      <c r="M542" s="61"/>
      <c r="N542" s="61"/>
      <c r="O542" s="61"/>
      <c r="P542" s="61"/>
      <c r="Q542" s="61"/>
      <c r="R542" s="61"/>
      <c r="S542" s="61"/>
      <c r="T542" s="35"/>
      <c r="U542" s="187"/>
      <c r="V542" s="190"/>
      <c r="W542" s="190"/>
      <c r="X542" s="190"/>
      <c r="Y542" s="190"/>
      <c r="Z542" s="190"/>
      <c r="AA542" s="191"/>
      <c r="AB542" s="190"/>
      <c r="AC542" s="190"/>
      <c r="AD542" s="190"/>
      <c r="AE542" s="190"/>
      <c r="AF542" s="190"/>
      <c r="AG542" s="190"/>
      <c r="AH542" s="191"/>
      <c r="AI542" s="190"/>
      <c r="AJ542" s="190"/>
      <c r="AK542" s="190"/>
      <c r="AL542" s="190"/>
      <c r="AM542" s="190"/>
      <c r="AN542" s="191"/>
      <c r="AO542" s="190"/>
      <c r="AP542" s="190"/>
      <c r="AQ542" s="190"/>
      <c r="AR542" s="190"/>
      <c r="AS542" s="190"/>
      <c r="AT542" s="191"/>
      <c r="AU542" s="190"/>
      <c r="AV542" s="190"/>
      <c r="AW542" s="190"/>
      <c r="AX542" s="190"/>
      <c r="AY542" s="190"/>
      <c r="AZ542" s="191"/>
      <c r="BA542" s="183"/>
      <c r="BB542" s="183"/>
      <c r="BC542" s="183"/>
      <c r="BD542" s="183"/>
      <c r="BE542" s="183"/>
      <c r="BF542" s="184"/>
      <c r="BG542" s="183"/>
      <c r="BH542" s="183"/>
      <c r="BI542" s="183"/>
      <c r="BJ542" s="183"/>
      <c r="BK542" s="183"/>
      <c r="BL542" s="184"/>
      <c r="BM542" s="409"/>
      <c r="BN542" s="409"/>
    </row>
    <row r="543" spans="1:66" s="153" customFormat="1" x14ac:dyDescent="0.2">
      <c r="A543" s="61"/>
      <c r="B543" s="61"/>
      <c r="C543" s="61"/>
      <c r="D543" s="61"/>
      <c r="E543" s="61"/>
      <c r="F543" s="61"/>
      <c r="G543" s="61"/>
      <c r="H543" s="61"/>
      <c r="I543" s="61"/>
      <c r="J543" s="61"/>
      <c r="K543" s="61"/>
      <c r="L543" s="61"/>
      <c r="M543" s="61"/>
      <c r="N543" s="61"/>
      <c r="O543" s="61"/>
      <c r="P543" s="61"/>
      <c r="Q543" s="61"/>
      <c r="R543" s="61"/>
      <c r="S543" s="61"/>
      <c r="T543" s="35"/>
      <c r="U543" s="187"/>
      <c r="V543" s="190"/>
      <c r="W543" s="190"/>
      <c r="X543" s="190"/>
      <c r="Y543" s="190"/>
      <c r="Z543" s="190"/>
      <c r="AA543" s="191"/>
      <c r="AB543" s="190"/>
      <c r="AC543" s="190"/>
      <c r="AD543" s="190"/>
      <c r="AE543" s="190"/>
      <c r="AF543" s="190"/>
      <c r="AG543" s="190"/>
      <c r="AH543" s="191"/>
      <c r="AI543" s="190"/>
      <c r="AJ543" s="190"/>
      <c r="AK543" s="190"/>
      <c r="AL543" s="190"/>
      <c r="AM543" s="190"/>
      <c r="AN543" s="191"/>
      <c r="AO543" s="190"/>
      <c r="AP543" s="190"/>
      <c r="AQ543" s="190"/>
      <c r="AR543" s="190"/>
      <c r="AS543" s="190"/>
      <c r="AT543" s="191"/>
      <c r="AU543" s="190"/>
      <c r="AV543" s="190"/>
      <c r="AW543" s="190"/>
      <c r="AX543" s="190"/>
      <c r="AY543" s="190"/>
      <c r="AZ543" s="191"/>
      <c r="BA543" s="183"/>
      <c r="BB543" s="183"/>
      <c r="BC543" s="183"/>
      <c r="BD543" s="183"/>
      <c r="BE543" s="183"/>
      <c r="BF543" s="184"/>
      <c r="BG543" s="183"/>
      <c r="BH543" s="183"/>
      <c r="BI543" s="183"/>
      <c r="BJ543" s="183"/>
      <c r="BK543" s="183"/>
      <c r="BL543" s="184"/>
      <c r="BM543" s="409"/>
      <c r="BN543" s="409"/>
    </row>
    <row r="544" spans="1:66" s="153" customFormat="1" x14ac:dyDescent="0.2">
      <c r="A544" s="61"/>
      <c r="B544" s="61"/>
      <c r="C544" s="61"/>
      <c r="D544" s="61"/>
      <c r="E544" s="61"/>
      <c r="F544" s="61"/>
      <c r="G544" s="61"/>
      <c r="H544" s="61"/>
      <c r="I544" s="61"/>
      <c r="J544" s="61"/>
      <c r="K544" s="61"/>
      <c r="L544" s="61"/>
      <c r="M544" s="61"/>
      <c r="N544" s="61"/>
      <c r="O544" s="61"/>
      <c r="P544" s="61"/>
      <c r="Q544" s="61"/>
      <c r="R544" s="61"/>
      <c r="S544" s="61"/>
      <c r="T544" s="35"/>
      <c r="U544" s="187"/>
      <c r="V544" s="190"/>
      <c r="W544" s="190"/>
      <c r="X544" s="190"/>
      <c r="Y544" s="190"/>
      <c r="Z544" s="190"/>
      <c r="AA544" s="191"/>
      <c r="AB544" s="190"/>
      <c r="AC544" s="190"/>
      <c r="AD544" s="190"/>
      <c r="AE544" s="190"/>
      <c r="AF544" s="190"/>
      <c r="AG544" s="190"/>
      <c r="AH544" s="191"/>
      <c r="AI544" s="190"/>
      <c r="AJ544" s="190"/>
      <c r="AK544" s="190"/>
      <c r="AL544" s="190"/>
      <c r="AM544" s="190"/>
      <c r="AN544" s="191"/>
      <c r="AO544" s="190"/>
      <c r="AP544" s="190"/>
      <c r="AQ544" s="190"/>
      <c r="AR544" s="190"/>
      <c r="AS544" s="190"/>
      <c r="AT544" s="191"/>
      <c r="AU544" s="190"/>
      <c r="AV544" s="190"/>
      <c r="AW544" s="190"/>
      <c r="AX544" s="190"/>
      <c r="AY544" s="190"/>
      <c r="AZ544" s="191"/>
      <c r="BA544" s="183"/>
      <c r="BB544" s="183"/>
      <c r="BC544" s="183"/>
      <c r="BD544" s="183"/>
      <c r="BE544" s="183"/>
      <c r="BF544" s="184"/>
      <c r="BG544" s="183"/>
      <c r="BH544" s="183"/>
      <c r="BI544" s="183"/>
      <c r="BJ544" s="183"/>
      <c r="BK544" s="183"/>
      <c r="BL544" s="184"/>
      <c r="BM544" s="409"/>
      <c r="BN544" s="409"/>
    </row>
    <row r="545" spans="1:66" s="153" customFormat="1" x14ac:dyDescent="0.2">
      <c r="A545" s="61"/>
      <c r="B545" s="61"/>
      <c r="C545" s="61"/>
      <c r="D545" s="61"/>
      <c r="E545" s="61"/>
      <c r="F545" s="61"/>
      <c r="G545" s="61"/>
      <c r="H545" s="61"/>
      <c r="I545" s="61"/>
      <c r="J545" s="61"/>
      <c r="K545" s="61"/>
      <c r="L545" s="61"/>
      <c r="M545" s="61"/>
      <c r="N545" s="61"/>
      <c r="O545" s="61"/>
      <c r="P545" s="61"/>
      <c r="Q545" s="61"/>
      <c r="R545" s="61"/>
      <c r="S545" s="61"/>
      <c r="T545" s="35"/>
      <c r="U545" s="187"/>
      <c r="V545" s="190"/>
      <c r="W545" s="190"/>
      <c r="X545" s="190"/>
      <c r="Y545" s="190"/>
      <c r="Z545" s="190"/>
      <c r="AA545" s="191"/>
      <c r="AB545" s="190"/>
      <c r="AC545" s="190"/>
      <c r="AD545" s="190"/>
      <c r="AE545" s="190"/>
      <c r="AF545" s="190"/>
      <c r="AG545" s="190"/>
      <c r="AH545" s="191"/>
      <c r="AI545" s="190"/>
      <c r="AJ545" s="190"/>
      <c r="AK545" s="190"/>
      <c r="AL545" s="190"/>
      <c r="AM545" s="190"/>
      <c r="AN545" s="191"/>
      <c r="AO545" s="190"/>
      <c r="AP545" s="190"/>
      <c r="AQ545" s="190"/>
      <c r="AR545" s="190"/>
      <c r="AS545" s="190"/>
      <c r="AT545" s="191"/>
      <c r="AU545" s="190"/>
      <c r="AV545" s="190"/>
      <c r="AW545" s="190"/>
      <c r="AX545" s="190"/>
      <c r="AY545" s="190"/>
      <c r="AZ545" s="191"/>
      <c r="BA545" s="183"/>
      <c r="BB545" s="183"/>
      <c r="BC545" s="183"/>
      <c r="BD545" s="183"/>
      <c r="BE545" s="183"/>
      <c r="BF545" s="184"/>
      <c r="BG545" s="183"/>
      <c r="BH545" s="183"/>
      <c r="BI545" s="183"/>
      <c r="BJ545" s="183"/>
      <c r="BK545" s="183"/>
      <c r="BL545" s="184"/>
      <c r="BM545" s="409"/>
      <c r="BN545" s="409"/>
    </row>
    <row r="546" spans="1:66" s="153" customFormat="1" x14ac:dyDescent="0.2">
      <c r="A546" s="61"/>
      <c r="B546" s="61"/>
      <c r="C546" s="61"/>
      <c r="D546" s="61"/>
      <c r="E546" s="61"/>
      <c r="F546" s="61"/>
      <c r="G546" s="61"/>
      <c r="H546" s="61"/>
      <c r="I546" s="61"/>
      <c r="J546" s="61"/>
      <c r="K546" s="61"/>
      <c r="L546" s="61"/>
      <c r="M546" s="61"/>
      <c r="N546" s="61"/>
      <c r="O546" s="61"/>
      <c r="P546" s="61"/>
      <c r="Q546" s="61"/>
      <c r="R546" s="61"/>
      <c r="S546" s="61"/>
      <c r="T546" s="35"/>
      <c r="U546" s="187"/>
      <c r="V546" s="190"/>
      <c r="W546" s="190"/>
      <c r="X546" s="190"/>
      <c r="Y546" s="190"/>
      <c r="Z546" s="190"/>
      <c r="AA546" s="191"/>
      <c r="AB546" s="190"/>
      <c r="AC546" s="190"/>
      <c r="AD546" s="190"/>
      <c r="AE546" s="190"/>
      <c r="AF546" s="190"/>
      <c r="AG546" s="190"/>
      <c r="AH546" s="191"/>
      <c r="AI546" s="190"/>
      <c r="AJ546" s="190"/>
      <c r="AK546" s="190"/>
      <c r="AL546" s="190"/>
      <c r="AM546" s="190"/>
      <c r="AN546" s="191"/>
      <c r="AO546" s="190"/>
      <c r="AP546" s="190"/>
      <c r="AQ546" s="190"/>
      <c r="AR546" s="190"/>
      <c r="AS546" s="190"/>
      <c r="AT546" s="191"/>
      <c r="AU546" s="190"/>
      <c r="AV546" s="190"/>
      <c r="AW546" s="190"/>
      <c r="AX546" s="190"/>
      <c r="AY546" s="190"/>
      <c r="AZ546" s="191"/>
      <c r="BA546" s="183"/>
      <c r="BB546" s="183"/>
      <c r="BC546" s="183"/>
      <c r="BD546" s="183"/>
      <c r="BE546" s="183"/>
      <c r="BF546" s="184"/>
      <c r="BG546" s="183"/>
      <c r="BH546" s="183"/>
      <c r="BI546" s="183"/>
      <c r="BJ546" s="183"/>
      <c r="BK546" s="183"/>
      <c r="BL546" s="184"/>
      <c r="BM546" s="409"/>
      <c r="BN546" s="409"/>
    </row>
    <row r="547" spans="1:66" s="153" customFormat="1" x14ac:dyDescent="0.2">
      <c r="A547" s="61"/>
      <c r="B547" s="61"/>
      <c r="C547" s="61"/>
      <c r="D547" s="61"/>
      <c r="E547" s="61"/>
      <c r="F547" s="61"/>
      <c r="G547" s="61"/>
      <c r="H547" s="61"/>
      <c r="I547" s="61"/>
      <c r="J547" s="61"/>
      <c r="K547" s="61"/>
      <c r="L547" s="61"/>
      <c r="M547" s="61"/>
      <c r="N547" s="61"/>
      <c r="O547" s="61"/>
      <c r="P547" s="61"/>
      <c r="Q547" s="61"/>
      <c r="R547" s="61"/>
      <c r="S547" s="61"/>
      <c r="T547" s="35"/>
      <c r="U547" s="187"/>
      <c r="V547" s="190"/>
      <c r="W547" s="190"/>
      <c r="X547" s="190"/>
      <c r="Y547" s="190"/>
      <c r="Z547" s="190"/>
      <c r="AA547" s="191"/>
      <c r="AB547" s="190"/>
      <c r="AC547" s="190"/>
      <c r="AD547" s="190"/>
      <c r="AE547" s="190"/>
      <c r="AF547" s="190"/>
      <c r="AG547" s="190"/>
      <c r="AH547" s="191"/>
      <c r="AI547" s="190"/>
      <c r="AJ547" s="190"/>
      <c r="AK547" s="190"/>
      <c r="AL547" s="190"/>
      <c r="AM547" s="190"/>
      <c r="AN547" s="191"/>
      <c r="AO547" s="190"/>
      <c r="AP547" s="190"/>
      <c r="AQ547" s="190"/>
      <c r="AR547" s="190"/>
      <c r="AS547" s="190"/>
      <c r="AT547" s="191"/>
      <c r="AU547" s="190"/>
      <c r="AV547" s="190"/>
      <c r="AW547" s="190"/>
      <c r="AX547" s="190"/>
      <c r="AY547" s="190"/>
      <c r="AZ547" s="191"/>
      <c r="BA547" s="183"/>
      <c r="BB547" s="183"/>
      <c r="BC547" s="183"/>
      <c r="BD547" s="183"/>
      <c r="BE547" s="183"/>
      <c r="BF547" s="184"/>
      <c r="BG547" s="183"/>
      <c r="BH547" s="183"/>
      <c r="BI547" s="183"/>
      <c r="BJ547" s="183"/>
      <c r="BK547" s="183"/>
      <c r="BL547" s="184"/>
      <c r="BM547" s="409"/>
      <c r="BN547" s="409"/>
    </row>
    <row r="548" spans="1:66" s="153" customFormat="1" x14ac:dyDescent="0.2">
      <c r="A548" s="61"/>
      <c r="B548" s="61"/>
      <c r="C548" s="61"/>
      <c r="D548" s="61"/>
      <c r="E548" s="61"/>
      <c r="F548" s="61"/>
      <c r="G548" s="61"/>
      <c r="H548" s="61"/>
      <c r="I548" s="61"/>
      <c r="J548" s="61"/>
      <c r="K548" s="61"/>
      <c r="L548" s="61"/>
      <c r="M548" s="61"/>
      <c r="N548" s="61"/>
      <c r="O548" s="61"/>
      <c r="P548" s="61"/>
      <c r="Q548" s="61"/>
      <c r="R548" s="61"/>
      <c r="S548" s="61"/>
      <c r="T548" s="35"/>
      <c r="U548" s="187"/>
      <c r="V548" s="190"/>
      <c r="W548" s="190"/>
      <c r="X548" s="190"/>
      <c r="Y548" s="190"/>
      <c r="Z548" s="190"/>
      <c r="AA548" s="191"/>
      <c r="AB548" s="190"/>
      <c r="AC548" s="190"/>
      <c r="AD548" s="190"/>
      <c r="AE548" s="190"/>
      <c r="AF548" s="190"/>
      <c r="AG548" s="190"/>
      <c r="AH548" s="191"/>
      <c r="AI548" s="190"/>
      <c r="AJ548" s="190"/>
      <c r="AK548" s="190"/>
      <c r="AL548" s="190"/>
      <c r="AM548" s="190"/>
      <c r="AN548" s="191"/>
      <c r="AO548" s="190"/>
      <c r="AP548" s="190"/>
      <c r="AQ548" s="190"/>
      <c r="AR548" s="190"/>
      <c r="AS548" s="190"/>
      <c r="AT548" s="191"/>
      <c r="AU548" s="190"/>
      <c r="AV548" s="190"/>
      <c r="AW548" s="190"/>
      <c r="AX548" s="190"/>
      <c r="AY548" s="190"/>
      <c r="AZ548" s="191"/>
      <c r="BA548" s="183"/>
      <c r="BB548" s="183"/>
      <c r="BC548" s="183"/>
      <c r="BD548" s="183"/>
      <c r="BE548" s="183"/>
      <c r="BF548" s="184"/>
      <c r="BG548" s="183"/>
      <c r="BH548" s="183"/>
      <c r="BI548" s="183"/>
      <c r="BJ548" s="183"/>
      <c r="BK548" s="183"/>
      <c r="BL548" s="184"/>
      <c r="BM548" s="409"/>
      <c r="BN548" s="409"/>
    </row>
    <row r="549" spans="1:66" s="153" customFormat="1" x14ac:dyDescent="0.2">
      <c r="A549" s="61"/>
      <c r="B549" s="61"/>
      <c r="C549" s="61"/>
      <c r="D549" s="61"/>
      <c r="E549" s="61"/>
      <c r="F549" s="61"/>
      <c r="G549" s="61"/>
      <c r="H549" s="61"/>
      <c r="I549" s="61"/>
      <c r="J549" s="61"/>
      <c r="K549" s="61"/>
      <c r="L549" s="61"/>
      <c r="M549" s="61"/>
      <c r="N549" s="61"/>
      <c r="O549" s="61"/>
      <c r="P549" s="61"/>
      <c r="Q549" s="61"/>
      <c r="R549" s="61"/>
      <c r="S549" s="61"/>
      <c r="T549" s="35"/>
      <c r="U549" s="187"/>
      <c r="V549" s="190"/>
      <c r="W549" s="190"/>
      <c r="X549" s="190"/>
      <c r="Y549" s="190"/>
      <c r="Z549" s="190"/>
      <c r="AA549" s="191"/>
      <c r="AB549" s="190"/>
      <c r="AC549" s="190"/>
      <c r="AD549" s="190"/>
      <c r="AE549" s="190"/>
      <c r="AF549" s="190"/>
      <c r="AG549" s="190"/>
      <c r="AH549" s="191"/>
      <c r="AI549" s="190"/>
      <c r="AJ549" s="190"/>
      <c r="AK549" s="190"/>
      <c r="AL549" s="190"/>
      <c r="AM549" s="190"/>
      <c r="AN549" s="191"/>
      <c r="AO549" s="190"/>
      <c r="AP549" s="190"/>
      <c r="AQ549" s="190"/>
      <c r="AR549" s="190"/>
      <c r="AS549" s="190"/>
      <c r="AT549" s="191"/>
      <c r="AU549" s="190"/>
      <c r="AV549" s="190"/>
      <c r="AW549" s="190"/>
      <c r="AX549" s="190"/>
      <c r="AY549" s="190"/>
      <c r="AZ549" s="191"/>
      <c r="BA549" s="183"/>
      <c r="BB549" s="183"/>
      <c r="BC549" s="183"/>
      <c r="BD549" s="183"/>
      <c r="BE549" s="183"/>
      <c r="BF549" s="184"/>
      <c r="BG549" s="183"/>
      <c r="BH549" s="183"/>
      <c r="BI549" s="183"/>
      <c r="BJ549" s="183"/>
      <c r="BK549" s="183"/>
      <c r="BL549" s="184"/>
      <c r="BM549" s="409"/>
      <c r="BN549" s="409"/>
    </row>
    <row r="550" spans="1:66" s="153" customFormat="1" x14ac:dyDescent="0.2">
      <c r="A550" s="61"/>
      <c r="B550" s="61"/>
      <c r="C550" s="61"/>
      <c r="D550" s="61"/>
      <c r="E550" s="61"/>
      <c r="F550" s="61"/>
      <c r="G550" s="61"/>
      <c r="H550" s="61"/>
      <c r="I550" s="61"/>
      <c r="J550" s="61"/>
      <c r="K550" s="61"/>
      <c r="L550" s="61"/>
      <c r="M550" s="61"/>
      <c r="N550" s="61"/>
      <c r="O550" s="61"/>
      <c r="P550" s="61"/>
      <c r="Q550" s="61"/>
      <c r="R550" s="61"/>
      <c r="S550" s="61"/>
      <c r="T550" s="35"/>
      <c r="U550" s="187"/>
      <c r="V550" s="190"/>
      <c r="W550" s="190"/>
      <c r="X550" s="190"/>
      <c r="Y550" s="190"/>
      <c r="Z550" s="190"/>
      <c r="AA550" s="191"/>
      <c r="AB550" s="190"/>
      <c r="AC550" s="190"/>
      <c r="AD550" s="190"/>
      <c r="AE550" s="190"/>
      <c r="AF550" s="190"/>
      <c r="AG550" s="190"/>
      <c r="AH550" s="191"/>
      <c r="AI550" s="190"/>
      <c r="AJ550" s="190"/>
      <c r="AK550" s="190"/>
      <c r="AL550" s="190"/>
      <c r="AM550" s="190"/>
      <c r="AN550" s="191"/>
      <c r="AO550" s="190"/>
      <c r="AP550" s="190"/>
      <c r="AQ550" s="190"/>
      <c r="AR550" s="190"/>
      <c r="AS550" s="190"/>
      <c r="AT550" s="191"/>
      <c r="AU550" s="190"/>
      <c r="AV550" s="190"/>
      <c r="AW550" s="190"/>
      <c r="AX550" s="190"/>
      <c r="AY550" s="190"/>
      <c r="AZ550" s="191"/>
      <c r="BA550" s="183"/>
      <c r="BB550" s="183"/>
      <c r="BC550" s="183"/>
      <c r="BD550" s="183"/>
      <c r="BE550" s="183"/>
      <c r="BF550" s="184"/>
      <c r="BG550" s="183"/>
      <c r="BH550" s="183"/>
      <c r="BI550" s="183"/>
      <c r="BJ550" s="183"/>
      <c r="BK550" s="183"/>
      <c r="BL550" s="184"/>
      <c r="BM550" s="409"/>
      <c r="BN550" s="409"/>
    </row>
    <row r="551" spans="1:66" s="153" customFormat="1" x14ac:dyDescent="0.2">
      <c r="A551" s="61"/>
      <c r="B551" s="61"/>
      <c r="C551" s="61"/>
      <c r="D551" s="61"/>
      <c r="E551" s="61"/>
      <c r="F551" s="61"/>
      <c r="G551" s="61"/>
      <c r="H551" s="61"/>
      <c r="I551" s="61"/>
      <c r="J551" s="61"/>
      <c r="K551" s="61"/>
      <c r="L551" s="61"/>
      <c r="M551" s="61"/>
      <c r="N551" s="61"/>
      <c r="O551" s="61"/>
      <c r="P551" s="61"/>
      <c r="Q551" s="61"/>
      <c r="R551" s="61"/>
      <c r="S551" s="61"/>
      <c r="T551" s="35"/>
      <c r="U551" s="187"/>
      <c r="V551" s="190"/>
      <c r="W551" s="190"/>
      <c r="X551" s="190"/>
      <c r="Y551" s="190"/>
      <c r="Z551" s="190"/>
      <c r="AA551" s="191"/>
      <c r="AB551" s="190"/>
      <c r="AC551" s="190"/>
      <c r="AD551" s="190"/>
      <c r="AE551" s="190"/>
      <c r="AF551" s="190"/>
      <c r="AG551" s="190"/>
      <c r="AH551" s="191"/>
      <c r="AI551" s="190"/>
      <c r="AJ551" s="190"/>
      <c r="AK551" s="190"/>
      <c r="AL551" s="190"/>
      <c r="AM551" s="190"/>
      <c r="AN551" s="191"/>
      <c r="AO551" s="190"/>
      <c r="AP551" s="190"/>
      <c r="AQ551" s="190"/>
      <c r="AR551" s="190"/>
      <c r="AS551" s="190"/>
      <c r="AT551" s="191"/>
      <c r="AU551" s="190"/>
      <c r="AV551" s="190"/>
      <c r="AW551" s="190"/>
      <c r="AX551" s="190"/>
      <c r="AY551" s="190"/>
      <c r="AZ551" s="191"/>
      <c r="BA551" s="183"/>
      <c r="BB551" s="183"/>
      <c r="BC551" s="183"/>
      <c r="BD551" s="183"/>
      <c r="BE551" s="183"/>
      <c r="BF551" s="184"/>
      <c r="BG551" s="183"/>
      <c r="BH551" s="183"/>
      <c r="BI551" s="183"/>
      <c r="BJ551" s="183"/>
      <c r="BK551" s="183"/>
      <c r="BL551" s="184"/>
      <c r="BM551" s="409"/>
      <c r="BN551" s="409"/>
    </row>
    <row r="552" spans="1:66" s="153" customFormat="1" x14ac:dyDescent="0.2">
      <c r="A552" s="61"/>
      <c r="B552" s="61"/>
      <c r="C552" s="61"/>
      <c r="D552" s="61"/>
      <c r="E552" s="61"/>
      <c r="F552" s="61"/>
      <c r="G552" s="61"/>
      <c r="H552" s="61"/>
      <c r="I552" s="61"/>
      <c r="J552" s="61"/>
      <c r="K552" s="61"/>
      <c r="L552" s="61"/>
      <c r="M552" s="61"/>
      <c r="N552" s="61"/>
      <c r="O552" s="61"/>
      <c r="P552" s="61"/>
      <c r="Q552" s="61"/>
      <c r="R552" s="61"/>
      <c r="S552" s="61"/>
      <c r="T552" s="35"/>
      <c r="U552" s="187"/>
      <c r="V552" s="190"/>
      <c r="W552" s="190"/>
      <c r="X552" s="190"/>
      <c r="Y552" s="190"/>
      <c r="Z552" s="190"/>
      <c r="AA552" s="191"/>
      <c r="AB552" s="190"/>
      <c r="AC552" s="190"/>
      <c r="AD552" s="190"/>
      <c r="AE552" s="190"/>
      <c r="AF552" s="190"/>
      <c r="AG552" s="190"/>
      <c r="AH552" s="191"/>
      <c r="AI552" s="190"/>
      <c r="AJ552" s="190"/>
      <c r="AK552" s="190"/>
      <c r="AL552" s="190"/>
      <c r="AM552" s="190"/>
      <c r="AN552" s="191"/>
      <c r="AO552" s="190"/>
      <c r="AP552" s="190"/>
      <c r="AQ552" s="190"/>
      <c r="AR552" s="190"/>
      <c r="AS552" s="190"/>
      <c r="AT552" s="191"/>
      <c r="AU552" s="190"/>
      <c r="AV552" s="190"/>
      <c r="AW552" s="190"/>
      <c r="AX552" s="190"/>
      <c r="AY552" s="190"/>
      <c r="AZ552" s="191"/>
      <c r="BA552" s="183"/>
      <c r="BB552" s="183"/>
      <c r="BC552" s="183"/>
      <c r="BD552" s="183"/>
      <c r="BE552" s="183"/>
      <c r="BF552" s="184"/>
      <c r="BG552" s="183"/>
      <c r="BH552" s="183"/>
      <c r="BI552" s="183"/>
      <c r="BJ552" s="183"/>
      <c r="BK552" s="183"/>
      <c r="BL552" s="184"/>
      <c r="BM552" s="409"/>
      <c r="BN552" s="409"/>
    </row>
    <row r="553" spans="1:66" s="153" customFormat="1" x14ac:dyDescent="0.2">
      <c r="A553" s="61"/>
      <c r="B553" s="61"/>
      <c r="C553" s="61"/>
      <c r="D553" s="61"/>
      <c r="E553" s="61"/>
      <c r="F553" s="61"/>
      <c r="G553" s="61"/>
      <c r="H553" s="61"/>
      <c r="I553" s="61"/>
      <c r="J553" s="61"/>
      <c r="K553" s="61"/>
      <c r="L553" s="61"/>
      <c r="M553" s="61"/>
      <c r="N553" s="61"/>
      <c r="O553" s="61"/>
      <c r="P553" s="61"/>
      <c r="Q553" s="61"/>
      <c r="R553" s="61"/>
      <c r="S553" s="61"/>
      <c r="T553" s="35"/>
      <c r="U553" s="187"/>
      <c r="V553" s="190"/>
      <c r="W553" s="190"/>
      <c r="X553" s="190"/>
      <c r="Y553" s="190"/>
      <c r="Z553" s="190"/>
      <c r="AA553" s="191"/>
      <c r="AB553" s="190"/>
      <c r="AC553" s="190"/>
      <c r="AD553" s="190"/>
      <c r="AE553" s="190"/>
      <c r="AF553" s="190"/>
      <c r="AG553" s="190"/>
      <c r="AH553" s="191"/>
      <c r="AI553" s="190"/>
      <c r="AJ553" s="190"/>
      <c r="AK553" s="190"/>
      <c r="AL553" s="190"/>
      <c r="AM553" s="190"/>
      <c r="AN553" s="191"/>
      <c r="AO553" s="190"/>
      <c r="AP553" s="190"/>
      <c r="AQ553" s="190"/>
      <c r="AR553" s="190"/>
      <c r="AS553" s="190"/>
      <c r="AT553" s="191"/>
      <c r="AU553" s="190"/>
      <c r="AV553" s="190"/>
      <c r="AW553" s="190"/>
      <c r="AX553" s="190"/>
      <c r="AY553" s="190"/>
      <c r="AZ553" s="191"/>
      <c r="BA553" s="183"/>
      <c r="BB553" s="183"/>
      <c r="BC553" s="183"/>
      <c r="BD553" s="183"/>
      <c r="BE553" s="183"/>
      <c r="BF553" s="184"/>
      <c r="BG553" s="183"/>
      <c r="BH553" s="183"/>
      <c r="BI553" s="183"/>
      <c r="BJ553" s="183"/>
      <c r="BK553" s="183"/>
      <c r="BL553" s="184"/>
      <c r="BM553" s="409"/>
      <c r="BN553" s="409"/>
    </row>
    <row r="554" spans="1:66" s="153" customFormat="1" x14ac:dyDescent="0.2">
      <c r="A554" s="61"/>
      <c r="B554" s="61"/>
      <c r="C554" s="61"/>
      <c r="D554" s="61"/>
      <c r="E554" s="61"/>
      <c r="F554" s="61"/>
      <c r="G554" s="61"/>
      <c r="H554" s="61"/>
      <c r="I554" s="61"/>
      <c r="J554" s="61"/>
      <c r="K554" s="61"/>
      <c r="L554" s="61"/>
      <c r="M554" s="61"/>
      <c r="N554" s="61"/>
      <c r="O554" s="61"/>
      <c r="P554" s="61"/>
      <c r="Q554" s="61"/>
      <c r="R554" s="61"/>
      <c r="S554" s="61"/>
      <c r="T554" s="35"/>
      <c r="U554" s="187"/>
      <c r="V554" s="190"/>
      <c r="W554" s="190"/>
      <c r="X554" s="190"/>
      <c r="Y554" s="190"/>
      <c r="Z554" s="190"/>
      <c r="AA554" s="191"/>
      <c r="AB554" s="190"/>
      <c r="AC554" s="190"/>
      <c r="AD554" s="190"/>
      <c r="AE554" s="190"/>
      <c r="AF554" s="190"/>
      <c r="AG554" s="190"/>
      <c r="AH554" s="191"/>
      <c r="AI554" s="190"/>
      <c r="AJ554" s="190"/>
      <c r="AK554" s="190"/>
      <c r="AL554" s="190"/>
      <c r="AM554" s="190"/>
      <c r="AN554" s="191"/>
      <c r="AO554" s="190"/>
      <c r="AP554" s="190"/>
      <c r="AQ554" s="190"/>
      <c r="AR554" s="190"/>
      <c r="AS554" s="190"/>
      <c r="AT554" s="191"/>
      <c r="AU554" s="190"/>
      <c r="AV554" s="190"/>
      <c r="AW554" s="190"/>
      <c r="AX554" s="190"/>
      <c r="AY554" s="190"/>
      <c r="AZ554" s="191"/>
      <c r="BA554" s="183"/>
      <c r="BB554" s="183"/>
      <c r="BC554" s="183"/>
      <c r="BD554" s="183"/>
      <c r="BE554" s="183"/>
      <c r="BF554" s="184"/>
      <c r="BG554" s="183"/>
      <c r="BH554" s="183"/>
      <c r="BI554" s="183"/>
      <c r="BJ554" s="183"/>
      <c r="BK554" s="183"/>
      <c r="BL554" s="184"/>
      <c r="BM554" s="409"/>
      <c r="BN554" s="409"/>
    </row>
    <row r="555" spans="1:66" s="153" customFormat="1" x14ac:dyDescent="0.2">
      <c r="A555" s="61"/>
      <c r="B555" s="61"/>
      <c r="C555" s="61"/>
      <c r="D555" s="61"/>
      <c r="E555" s="61"/>
      <c r="F555" s="61"/>
      <c r="G555" s="61"/>
      <c r="H555" s="61"/>
      <c r="I555" s="61"/>
      <c r="J555" s="61"/>
      <c r="K555" s="61"/>
      <c r="L555" s="61"/>
      <c r="M555" s="61"/>
      <c r="N555" s="61"/>
      <c r="O555" s="61"/>
      <c r="P555" s="61"/>
      <c r="Q555" s="61"/>
      <c r="R555" s="61"/>
      <c r="S555" s="61"/>
      <c r="T555" s="35"/>
      <c r="U555" s="187"/>
      <c r="V555" s="190"/>
      <c r="W555" s="190"/>
      <c r="X555" s="190"/>
      <c r="Y555" s="190"/>
      <c r="Z555" s="190"/>
      <c r="AA555" s="191"/>
      <c r="AB555" s="190"/>
      <c r="AC555" s="190"/>
      <c r="AD555" s="190"/>
      <c r="AE555" s="190"/>
      <c r="AF555" s="190"/>
      <c r="AG555" s="190"/>
      <c r="AH555" s="191"/>
      <c r="AI555" s="190"/>
      <c r="AJ555" s="190"/>
      <c r="AK555" s="190"/>
      <c r="AL555" s="190"/>
      <c r="AM555" s="190"/>
      <c r="AN555" s="191"/>
      <c r="AO555" s="190"/>
      <c r="AP555" s="190"/>
      <c r="AQ555" s="190"/>
      <c r="AR555" s="190"/>
      <c r="AS555" s="190"/>
      <c r="AT555" s="191"/>
      <c r="AU555" s="190"/>
      <c r="AV555" s="190"/>
      <c r="AW555" s="190"/>
      <c r="AX555" s="190"/>
      <c r="AY555" s="190"/>
      <c r="AZ555" s="191"/>
      <c r="BA555" s="183"/>
      <c r="BB555" s="183"/>
      <c r="BC555" s="183"/>
      <c r="BD555" s="183"/>
      <c r="BE555" s="183"/>
      <c r="BF555" s="184"/>
      <c r="BG555" s="183"/>
      <c r="BH555" s="183"/>
      <c r="BI555" s="183"/>
      <c r="BJ555" s="183"/>
      <c r="BK555" s="183"/>
      <c r="BL555" s="184"/>
      <c r="BM555" s="409"/>
      <c r="BN555" s="409"/>
    </row>
    <row r="556" spans="1:66" s="153" customFormat="1" x14ac:dyDescent="0.2">
      <c r="A556" s="61"/>
      <c r="B556" s="61"/>
      <c r="C556" s="61"/>
      <c r="D556" s="61"/>
      <c r="E556" s="61"/>
      <c r="F556" s="61"/>
      <c r="G556" s="61"/>
      <c r="H556" s="61"/>
      <c r="I556" s="61"/>
      <c r="J556" s="61"/>
      <c r="K556" s="61"/>
      <c r="L556" s="61"/>
      <c r="M556" s="61"/>
      <c r="N556" s="61"/>
      <c r="O556" s="61"/>
      <c r="P556" s="61"/>
      <c r="Q556" s="61"/>
      <c r="R556" s="61"/>
      <c r="S556" s="61"/>
      <c r="T556" s="35"/>
      <c r="U556" s="187"/>
      <c r="V556" s="190"/>
      <c r="W556" s="190"/>
      <c r="X556" s="190"/>
      <c r="Y556" s="190"/>
      <c r="Z556" s="190"/>
      <c r="AA556" s="191"/>
      <c r="AB556" s="190"/>
      <c r="AC556" s="190"/>
      <c r="AD556" s="190"/>
      <c r="AE556" s="190"/>
      <c r="AF556" s="190"/>
      <c r="AG556" s="190"/>
      <c r="AH556" s="191"/>
      <c r="AI556" s="190"/>
      <c r="AJ556" s="190"/>
      <c r="AK556" s="190"/>
      <c r="AL556" s="190"/>
      <c r="AM556" s="190"/>
      <c r="AN556" s="191"/>
      <c r="AO556" s="190"/>
      <c r="AP556" s="190"/>
      <c r="AQ556" s="190"/>
      <c r="AR556" s="190"/>
      <c r="AS556" s="190"/>
      <c r="AT556" s="191"/>
      <c r="AU556" s="190"/>
      <c r="AV556" s="190"/>
      <c r="AW556" s="190"/>
      <c r="AX556" s="190"/>
      <c r="AY556" s="190"/>
      <c r="AZ556" s="191"/>
      <c r="BA556" s="183"/>
      <c r="BB556" s="183"/>
      <c r="BC556" s="183"/>
      <c r="BD556" s="183"/>
      <c r="BE556" s="183"/>
      <c r="BF556" s="184"/>
      <c r="BG556" s="183"/>
      <c r="BH556" s="183"/>
      <c r="BI556" s="183"/>
      <c r="BJ556" s="183"/>
      <c r="BK556" s="183"/>
      <c r="BL556" s="184"/>
      <c r="BM556" s="409"/>
      <c r="BN556" s="409"/>
    </row>
    <row r="557" spans="1:66" s="153" customFormat="1" x14ac:dyDescent="0.2">
      <c r="A557" s="61"/>
      <c r="B557" s="61"/>
      <c r="C557" s="61"/>
      <c r="D557" s="61"/>
      <c r="E557" s="61"/>
      <c r="F557" s="61"/>
      <c r="G557" s="61"/>
      <c r="H557" s="61"/>
      <c r="I557" s="61"/>
      <c r="J557" s="61"/>
      <c r="K557" s="61"/>
      <c r="L557" s="61"/>
      <c r="M557" s="61"/>
      <c r="N557" s="61"/>
      <c r="O557" s="61"/>
      <c r="P557" s="61"/>
      <c r="Q557" s="61"/>
      <c r="R557" s="61"/>
      <c r="S557" s="61"/>
      <c r="T557" s="35"/>
      <c r="U557" s="187"/>
      <c r="V557" s="190"/>
      <c r="W557" s="190"/>
      <c r="X557" s="190"/>
      <c r="Y557" s="190"/>
      <c r="Z557" s="190"/>
      <c r="AA557" s="191"/>
      <c r="AB557" s="190"/>
      <c r="AC557" s="190"/>
      <c r="AD557" s="190"/>
      <c r="AE557" s="190"/>
      <c r="AF557" s="190"/>
      <c r="AG557" s="190"/>
      <c r="AH557" s="191"/>
      <c r="AI557" s="190"/>
      <c r="AJ557" s="190"/>
      <c r="AK557" s="190"/>
      <c r="AL557" s="190"/>
      <c r="AM557" s="190"/>
      <c r="AN557" s="191"/>
      <c r="AO557" s="190"/>
      <c r="AP557" s="190"/>
      <c r="AQ557" s="190"/>
      <c r="AR557" s="190"/>
      <c r="AS557" s="190"/>
      <c r="AT557" s="191"/>
      <c r="AU557" s="190"/>
      <c r="AV557" s="190"/>
      <c r="AW557" s="190"/>
      <c r="AX557" s="190"/>
      <c r="AY557" s="190"/>
      <c r="AZ557" s="191"/>
      <c r="BA557" s="183"/>
      <c r="BB557" s="183"/>
      <c r="BC557" s="183"/>
      <c r="BD557" s="183"/>
      <c r="BE557" s="183"/>
      <c r="BF557" s="184"/>
      <c r="BG557" s="183"/>
      <c r="BH557" s="183"/>
      <c r="BI557" s="183"/>
      <c r="BJ557" s="183"/>
      <c r="BK557" s="183"/>
      <c r="BL557" s="184"/>
      <c r="BM557" s="409"/>
      <c r="BN557" s="409"/>
    </row>
    <row r="558" spans="1:66" s="153" customFormat="1" x14ac:dyDescent="0.2">
      <c r="A558" s="61"/>
      <c r="B558" s="61"/>
      <c r="C558" s="61"/>
      <c r="D558" s="61"/>
      <c r="E558" s="61"/>
      <c r="F558" s="61"/>
      <c r="G558" s="61"/>
      <c r="H558" s="61"/>
      <c r="I558" s="61"/>
      <c r="J558" s="61"/>
      <c r="K558" s="61"/>
      <c r="L558" s="61"/>
      <c r="M558" s="61"/>
      <c r="N558" s="61"/>
      <c r="O558" s="61"/>
      <c r="P558" s="61"/>
      <c r="Q558" s="61"/>
      <c r="R558" s="61"/>
      <c r="S558" s="61"/>
      <c r="T558" s="35"/>
      <c r="U558" s="187"/>
      <c r="V558" s="190"/>
      <c r="W558" s="190"/>
      <c r="X558" s="190"/>
      <c r="Y558" s="190"/>
      <c r="Z558" s="190"/>
      <c r="AA558" s="191"/>
      <c r="AB558" s="190"/>
      <c r="AC558" s="190"/>
      <c r="AD558" s="190"/>
      <c r="AE558" s="190"/>
      <c r="AF558" s="190"/>
      <c r="AG558" s="190"/>
      <c r="AH558" s="191"/>
      <c r="AI558" s="190"/>
      <c r="AJ558" s="190"/>
      <c r="AK558" s="190"/>
      <c r="AL558" s="190"/>
      <c r="AM558" s="190"/>
      <c r="AN558" s="191"/>
      <c r="AO558" s="190"/>
      <c r="AP558" s="190"/>
      <c r="AQ558" s="190"/>
      <c r="AR558" s="190"/>
      <c r="AS558" s="190"/>
      <c r="AT558" s="191"/>
      <c r="AU558" s="190"/>
      <c r="AV558" s="190"/>
      <c r="AW558" s="190"/>
      <c r="AX558" s="190"/>
      <c r="AY558" s="190"/>
      <c r="AZ558" s="191"/>
      <c r="BA558" s="183"/>
      <c r="BB558" s="183"/>
      <c r="BC558" s="183"/>
      <c r="BD558" s="183"/>
      <c r="BE558" s="183"/>
      <c r="BF558" s="184"/>
      <c r="BG558" s="183"/>
      <c r="BH558" s="183"/>
      <c r="BI558" s="183"/>
      <c r="BJ558" s="183"/>
      <c r="BK558" s="183"/>
      <c r="BL558" s="184"/>
      <c r="BM558" s="409"/>
      <c r="BN558" s="409"/>
    </row>
    <row r="559" spans="1:66" s="153" customFormat="1" x14ac:dyDescent="0.2">
      <c r="A559" s="61"/>
      <c r="B559" s="61"/>
      <c r="C559" s="61"/>
      <c r="D559" s="61"/>
      <c r="E559" s="61"/>
      <c r="F559" s="61"/>
      <c r="G559" s="61"/>
      <c r="H559" s="61"/>
      <c r="I559" s="61"/>
      <c r="J559" s="61"/>
      <c r="K559" s="61"/>
      <c r="L559" s="61"/>
      <c r="M559" s="61"/>
      <c r="N559" s="61"/>
      <c r="O559" s="61"/>
      <c r="P559" s="61"/>
      <c r="Q559" s="61"/>
      <c r="R559" s="61"/>
      <c r="S559" s="61"/>
      <c r="T559" s="35"/>
      <c r="U559" s="187"/>
      <c r="V559" s="190"/>
      <c r="W559" s="190"/>
      <c r="X559" s="190"/>
      <c r="Y559" s="190"/>
      <c r="Z559" s="190"/>
      <c r="AA559" s="191"/>
      <c r="AB559" s="190"/>
      <c r="AC559" s="190"/>
      <c r="AD559" s="190"/>
      <c r="AE559" s="190"/>
      <c r="AF559" s="190"/>
      <c r="AG559" s="190"/>
      <c r="AH559" s="191"/>
      <c r="AI559" s="190"/>
      <c r="AJ559" s="190"/>
      <c r="AK559" s="190"/>
      <c r="AL559" s="190"/>
      <c r="AM559" s="190"/>
      <c r="AN559" s="191"/>
      <c r="AO559" s="190"/>
      <c r="AP559" s="190"/>
      <c r="AQ559" s="190"/>
      <c r="AR559" s="190"/>
      <c r="AS559" s="190"/>
      <c r="AT559" s="191"/>
      <c r="AU559" s="190"/>
      <c r="AV559" s="190"/>
      <c r="AW559" s="190"/>
      <c r="AX559" s="190"/>
      <c r="AY559" s="190"/>
      <c r="AZ559" s="191"/>
      <c r="BA559" s="183"/>
      <c r="BB559" s="183"/>
      <c r="BC559" s="183"/>
      <c r="BD559" s="183"/>
      <c r="BE559" s="183"/>
      <c r="BF559" s="184"/>
      <c r="BG559" s="183"/>
      <c r="BH559" s="183"/>
      <c r="BI559" s="183"/>
      <c r="BJ559" s="183"/>
      <c r="BK559" s="183"/>
      <c r="BL559" s="184"/>
      <c r="BM559" s="409"/>
      <c r="BN559" s="409"/>
    </row>
    <row r="560" spans="1:66" s="153" customFormat="1" x14ac:dyDescent="0.2">
      <c r="A560" s="61"/>
      <c r="B560" s="61"/>
      <c r="C560" s="61"/>
      <c r="D560" s="61"/>
      <c r="E560" s="61"/>
      <c r="F560" s="61"/>
      <c r="G560" s="61"/>
      <c r="H560" s="61"/>
      <c r="I560" s="61"/>
      <c r="J560" s="61"/>
      <c r="K560" s="61"/>
      <c r="L560" s="61"/>
      <c r="M560" s="61"/>
      <c r="N560" s="61"/>
      <c r="O560" s="61"/>
      <c r="P560" s="61"/>
      <c r="Q560" s="61"/>
      <c r="R560" s="61"/>
      <c r="S560" s="61"/>
      <c r="T560" s="35"/>
      <c r="U560" s="187"/>
      <c r="V560" s="190"/>
      <c r="W560" s="190"/>
      <c r="X560" s="190"/>
      <c r="Y560" s="190"/>
      <c r="Z560" s="190"/>
      <c r="AA560" s="191"/>
      <c r="AB560" s="190"/>
      <c r="AC560" s="190"/>
      <c r="AD560" s="190"/>
      <c r="AE560" s="190"/>
      <c r="AF560" s="190"/>
      <c r="AG560" s="190"/>
      <c r="AH560" s="191"/>
      <c r="AI560" s="190"/>
      <c r="AJ560" s="190"/>
      <c r="AK560" s="190"/>
      <c r="AL560" s="190"/>
      <c r="AM560" s="190"/>
      <c r="AN560" s="191"/>
      <c r="AO560" s="190"/>
      <c r="AP560" s="190"/>
      <c r="AQ560" s="190"/>
      <c r="AR560" s="190"/>
      <c r="AS560" s="190"/>
      <c r="AT560" s="191"/>
      <c r="AU560" s="190"/>
      <c r="AV560" s="190"/>
      <c r="AW560" s="190"/>
      <c r="AX560" s="190"/>
      <c r="AY560" s="190"/>
      <c r="AZ560" s="191"/>
      <c r="BA560" s="183"/>
      <c r="BB560" s="183"/>
      <c r="BC560" s="183"/>
      <c r="BD560" s="183"/>
      <c r="BE560" s="183"/>
      <c r="BF560" s="184"/>
      <c r="BG560" s="183"/>
      <c r="BH560" s="183"/>
      <c r="BI560" s="183"/>
      <c r="BJ560" s="183"/>
      <c r="BK560" s="183"/>
      <c r="BL560" s="184"/>
      <c r="BM560" s="409"/>
      <c r="BN560" s="409"/>
    </row>
    <row r="561" spans="1:66" s="153" customFormat="1" x14ac:dyDescent="0.2">
      <c r="A561" s="61"/>
      <c r="B561" s="61"/>
      <c r="C561" s="61"/>
      <c r="D561" s="61"/>
      <c r="E561" s="61"/>
      <c r="F561" s="61"/>
      <c r="G561" s="61"/>
      <c r="H561" s="61"/>
      <c r="I561" s="61"/>
      <c r="J561" s="61"/>
      <c r="K561" s="61"/>
      <c r="L561" s="61"/>
      <c r="M561" s="61"/>
      <c r="N561" s="61"/>
      <c r="O561" s="61"/>
      <c r="P561" s="61"/>
      <c r="Q561" s="61"/>
      <c r="R561" s="61"/>
      <c r="S561" s="61"/>
      <c r="T561" s="35"/>
      <c r="U561" s="187"/>
      <c r="V561" s="190"/>
      <c r="W561" s="190"/>
      <c r="X561" s="190"/>
      <c r="Y561" s="190"/>
      <c r="Z561" s="190"/>
      <c r="AA561" s="191"/>
      <c r="AB561" s="190"/>
      <c r="AC561" s="190"/>
      <c r="AD561" s="190"/>
      <c r="AE561" s="190"/>
      <c r="AF561" s="190"/>
      <c r="AG561" s="190"/>
      <c r="AH561" s="191"/>
      <c r="AI561" s="190"/>
      <c r="AJ561" s="190"/>
      <c r="AK561" s="190"/>
      <c r="AL561" s="190"/>
      <c r="AM561" s="190"/>
      <c r="AN561" s="191"/>
      <c r="AO561" s="190"/>
      <c r="AP561" s="190"/>
      <c r="AQ561" s="190"/>
      <c r="AR561" s="190"/>
      <c r="AS561" s="190"/>
      <c r="AT561" s="191"/>
      <c r="AU561" s="190"/>
      <c r="AV561" s="190"/>
      <c r="AW561" s="190"/>
      <c r="AX561" s="190"/>
      <c r="AY561" s="190"/>
      <c r="AZ561" s="191"/>
      <c r="BA561" s="183"/>
      <c r="BB561" s="183"/>
      <c r="BC561" s="183"/>
      <c r="BD561" s="183"/>
      <c r="BE561" s="183"/>
      <c r="BF561" s="184"/>
      <c r="BG561" s="183"/>
      <c r="BH561" s="183"/>
      <c r="BI561" s="183"/>
      <c r="BJ561" s="183"/>
      <c r="BK561" s="183"/>
      <c r="BL561" s="184"/>
      <c r="BM561" s="409"/>
      <c r="BN561" s="409"/>
    </row>
    <row r="562" spans="1:66" s="153" customFormat="1" x14ac:dyDescent="0.2">
      <c r="A562" s="61"/>
      <c r="B562" s="61"/>
      <c r="C562" s="61"/>
      <c r="D562" s="61"/>
      <c r="E562" s="61"/>
      <c r="F562" s="61"/>
      <c r="G562" s="61"/>
      <c r="H562" s="61"/>
      <c r="I562" s="61"/>
      <c r="J562" s="61"/>
      <c r="K562" s="61"/>
      <c r="L562" s="61"/>
      <c r="M562" s="61"/>
      <c r="N562" s="61"/>
      <c r="O562" s="61"/>
      <c r="P562" s="61"/>
      <c r="Q562" s="61"/>
      <c r="R562" s="61"/>
      <c r="S562" s="61"/>
      <c r="T562" s="35"/>
      <c r="U562" s="187"/>
      <c r="V562" s="190"/>
      <c r="W562" s="190"/>
      <c r="X562" s="190"/>
      <c r="Y562" s="190"/>
      <c r="Z562" s="190"/>
      <c r="AA562" s="191"/>
      <c r="AB562" s="190"/>
      <c r="AC562" s="190"/>
      <c r="AD562" s="190"/>
      <c r="AE562" s="190"/>
      <c r="AF562" s="190"/>
      <c r="AG562" s="190"/>
      <c r="AH562" s="191"/>
      <c r="AI562" s="190"/>
      <c r="AJ562" s="190"/>
      <c r="AK562" s="190"/>
      <c r="AL562" s="190"/>
      <c r="AM562" s="190"/>
      <c r="AN562" s="191"/>
      <c r="AO562" s="190"/>
      <c r="AP562" s="190"/>
      <c r="AQ562" s="190"/>
      <c r="AR562" s="190"/>
      <c r="AS562" s="190"/>
      <c r="AT562" s="191"/>
      <c r="AU562" s="190"/>
      <c r="AV562" s="190"/>
      <c r="AW562" s="190"/>
      <c r="AX562" s="190"/>
      <c r="AY562" s="190"/>
      <c r="AZ562" s="191"/>
      <c r="BA562" s="183"/>
      <c r="BB562" s="183"/>
      <c r="BC562" s="183"/>
      <c r="BD562" s="183"/>
      <c r="BE562" s="183"/>
      <c r="BF562" s="184"/>
      <c r="BG562" s="183"/>
      <c r="BH562" s="183"/>
      <c r="BI562" s="183"/>
      <c r="BJ562" s="183"/>
      <c r="BK562" s="183"/>
      <c r="BL562" s="184"/>
      <c r="BM562" s="409"/>
      <c r="BN562" s="409"/>
    </row>
    <row r="563" spans="1:66" s="153" customFormat="1" x14ac:dyDescent="0.2">
      <c r="A563" s="61"/>
      <c r="B563" s="61"/>
      <c r="C563" s="61"/>
      <c r="D563" s="61"/>
      <c r="E563" s="61"/>
      <c r="F563" s="61"/>
      <c r="G563" s="61"/>
      <c r="H563" s="61"/>
      <c r="I563" s="61"/>
      <c r="J563" s="61"/>
      <c r="K563" s="61"/>
      <c r="L563" s="61"/>
      <c r="M563" s="61"/>
      <c r="N563" s="61"/>
      <c r="O563" s="61"/>
      <c r="P563" s="61"/>
      <c r="Q563" s="61"/>
      <c r="R563" s="61"/>
      <c r="S563" s="61"/>
      <c r="T563" s="35"/>
      <c r="U563" s="187"/>
      <c r="V563" s="190"/>
      <c r="W563" s="190"/>
      <c r="X563" s="190"/>
      <c r="Y563" s="190"/>
      <c r="Z563" s="190"/>
      <c r="AA563" s="191"/>
      <c r="AB563" s="190"/>
      <c r="AC563" s="190"/>
      <c r="AD563" s="190"/>
      <c r="AE563" s="190"/>
      <c r="AF563" s="190"/>
      <c r="AG563" s="190"/>
      <c r="AH563" s="191"/>
      <c r="AI563" s="190"/>
      <c r="AJ563" s="190"/>
      <c r="AK563" s="190"/>
      <c r="AL563" s="190"/>
      <c r="AM563" s="190"/>
      <c r="AN563" s="191"/>
      <c r="AO563" s="190"/>
      <c r="AP563" s="190"/>
      <c r="AQ563" s="190"/>
      <c r="AR563" s="190"/>
      <c r="AS563" s="190"/>
      <c r="AT563" s="191"/>
      <c r="AU563" s="190"/>
      <c r="AV563" s="190"/>
      <c r="AW563" s="190"/>
      <c r="AX563" s="190"/>
      <c r="AY563" s="190"/>
      <c r="AZ563" s="191"/>
      <c r="BA563" s="183"/>
      <c r="BB563" s="183"/>
      <c r="BC563" s="183"/>
      <c r="BD563" s="183"/>
      <c r="BE563" s="183"/>
      <c r="BF563" s="184"/>
      <c r="BG563" s="183"/>
      <c r="BH563" s="183"/>
      <c r="BI563" s="183"/>
      <c r="BJ563" s="183"/>
      <c r="BK563" s="183"/>
      <c r="BL563" s="184"/>
      <c r="BM563" s="409"/>
      <c r="BN563" s="409"/>
    </row>
    <row r="564" spans="1:66" s="153" customFormat="1" x14ac:dyDescent="0.2">
      <c r="A564" s="61"/>
      <c r="B564" s="61"/>
      <c r="C564" s="61"/>
      <c r="D564" s="61"/>
      <c r="E564" s="61"/>
      <c r="F564" s="61"/>
      <c r="G564" s="61"/>
      <c r="H564" s="61"/>
      <c r="I564" s="61"/>
      <c r="J564" s="61"/>
      <c r="K564" s="61"/>
      <c r="L564" s="61"/>
      <c r="M564" s="61"/>
      <c r="N564" s="61"/>
      <c r="O564" s="61"/>
      <c r="P564" s="61"/>
      <c r="Q564" s="61"/>
      <c r="R564" s="61"/>
      <c r="S564" s="61"/>
      <c r="T564" s="35"/>
      <c r="U564" s="187"/>
      <c r="V564" s="190"/>
      <c r="W564" s="190"/>
      <c r="X564" s="190"/>
      <c r="Y564" s="190"/>
      <c r="Z564" s="190"/>
      <c r="AA564" s="191"/>
      <c r="AB564" s="190"/>
      <c r="AC564" s="190"/>
      <c r="AD564" s="190"/>
      <c r="AE564" s="190"/>
      <c r="AF564" s="190"/>
      <c r="AG564" s="190"/>
      <c r="AH564" s="191"/>
      <c r="AI564" s="190"/>
      <c r="AJ564" s="190"/>
      <c r="AK564" s="190"/>
      <c r="AL564" s="190"/>
      <c r="AM564" s="190"/>
      <c r="AN564" s="191"/>
      <c r="AO564" s="190"/>
      <c r="AP564" s="190"/>
      <c r="AQ564" s="190"/>
      <c r="AR564" s="190"/>
      <c r="AS564" s="190"/>
      <c r="AT564" s="191"/>
      <c r="AU564" s="190"/>
      <c r="AV564" s="190"/>
      <c r="AW564" s="190"/>
      <c r="AX564" s="190"/>
      <c r="AY564" s="190"/>
      <c r="AZ564" s="191"/>
      <c r="BA564" s="183"/>
      <c r="BB564" s="183"/>
      <c r="BC564" s="183"/>
      <c r="BD564" s="183"/>
      <c r="BE564" s="183"/>
      <c r="BF564" s="184"/>
      <c r="BG564" s="183"/>
      <c r="BH564" s="183"/>
      <c r="BI564" s="183"/>
      <c r="BJ564" s="183"/>
      <c r="BK564" s="183"/>
      <c r="BL564" s="184"/>
      <c r="BM564" s="409"/>
      <c r="BN564" s="409"/>
    </row>
    <row r="565" spans="1:66" s="153" customFormat="1" x14ac:dyDescent="0.2">
      <c r="A565" s="61"/>
      <c r="B565" s="61"/>
      <c r="C565" s="61"/>
      <c r="D565" s="61"/>
      <c r="E565" s="61"/>
      <c r="F565" s="61"/>
      <c r="G565" s="61"/>
      <c r="H565" s="61"/>
      <c r="I565" s="61"/>
      <c r="J565" s="61"/>
      <c r="K565" s="61"/>
      <c r="L565" s="61"/>
      <c r="M565" s="61"/>
      <c r="N565" s="61"/>
      <c r="O565" s="61"/>
      <c r="P565" s="61"/>
      <c r="Q565" s="61"/>
      <c r="R565" s="61"/>
      <c r="S565" s="61"/>
      <c r="T565" s="35"/>
      <c r="U565" s="187"/>
      <c r="V565" s="190"/>
      <c r="W565" s="190"/>
      <c r="X565" s="190"/>
      <c r="Y565" s="190"/>
      <c r="Z565" s="190"/>
      <c r="AA565" s="191"/>
      <c r="AB565" s="190"/>
      <c r="AC565" s="190"/>
      <c r="AD565" s="190"/>
      <c r="AE565" s="190"/>
      <c r="AF565" s="190"/>
      <c r="AG565" s="190"/>
      <c r="AH565" s="191"/>
      <c r="AI565" s="190"/>
      <c r="AJ565" s="190"/>
      <c r="AK565" s="190"/>
      <c r="AL565" s="190"/>
      <c r="AM565" s="190"/>
      <c r="AN565" s="191"/>
      <c r="AO565" s="190"/>
      <c r="AP565" s="190"/>
      <c r="AQ565" s="190"/>
      <c r="AR565" s="190"/>
      <c r="AS565" s="190"/>
      <c r="AT565" s="191"/>
      <c r="AU565" s="190"/>
      <c r="AV565" s="190"/>
      <c r="AW565" s="190"/>
      <c r="AX565" s="190"/>
      <c r="AY565" s="190"/>
      <c r="AZ565" s="191"/>
      <c r="BA565" s="183"/>
      <c r="BB565" s="183"/>
      <c r="BC565" s="183"/>
      <c r="BD565" s="183"/>
      <c r="BE565" s="183"/>
      <c r="BF565" s="184"/>
      <c r="BG565" s="183"/>
      <c r="BH565" s="183"/>
      <c r="BI565" s="183"/>
      <c r="BJ565" s="183"/>
      <c r="BK565" s="183"/>
      <c r="BL565" s="184"/>
      <c r="BM565" s="409"/>
      <c r="BN565" s="409"/>
    </row>
    <row r="566" spans="1:66" s="153" customFormat="1" x14ac:dyDescent="0.2">
      <c r="A566" s="61"/>
      <c r="B566" s="61"/>
      <c r="C566" s="61"/>
      <c r="D566" s="61"/>
      <c r="E566" s="61"/>
      <c r="F566" s="61"/>
      <c r="G566" s="61"/>
      <c r="H566" s="61"/>
      <c r="I566" s="61"/>
      <c r="J566" s="61"/>
      <c r="K566" s="61"/>
      <c r="L566" s="61"/>
      <c r="M566" s="61"/>
      <c r="N566" s="61"/>
      <c r="O566" s="61"/>
      <c r="P566" s="61"/>
      <c r="Q566" s="61"/>
      <c r="R566" s="61"/>
      <c r="S566" s="61"/>
      <c r="T566" s="35"/>
      <c r="U566" s="187"/>
      <c r="V566" s="190"/>
      <c r="W566" s="190"/>
      <c r="X566" s="190"/>
      <c r="Y566" s="190"/>
      <c r="Z566" s="190"/>
      <c r="AA566" s="191"/>
      <c r="AB566" s="190"/>
      <c r="AC566" s="190"/>
      <c r="AD566" s="190"/>
      <c r="AE566" s="190"/>
      <c r="AF566" s="190"/>
      <c r="AG566" s="190"/>
      <c r="AH566" s="191"/>
      <c r="AI566" s="190"/>
      <c r="AJ566" s="190"/>
      <c r="AK566" s="190"/>
      <c r="AL566" s="190"/>
      <c r="AM566" s="190"/>
      <c r="AN566" s="191"/>
      <c r="AO566" s="190"/>
      <c r="AP566" s="190"/>
      <c r="AQ566" s="190"/>
      <c r="AR566" s="190"/>
      <c r="AS566" s="190"/>
      <c r="AT566" s="191"/>
      <c r="AU566" s="190"/>
      <c r="AV566" s="190"/>
      <c r="AW566" s="190"/>
      <c r="AX566" s="190"/>
      <c r="AY566" s="190"/>
      <c r="AZ566" s="191"/>
      <c r="BA566" s="183"/>
      <c r="BB566" s="183"/>
      <c r="BC566" s="183"/>
      <c r="BD566" s="183"/>
      <c r="BE566" s="183"/>
      <c r="BF566" s="184"/>
      <c r="BG566" s="183"/>
      <c r="BH566" s="183"/>
      <c r="BI566" s="183"/>
      <c r="BJ566" s="183"/>
      <c r="BK566" s="183"/>
      <c r="BL566" s="184"/>
      <c r="BM566" s="409"/>
      <c r="BN566" s="409"/>
    </row>
    <row r="567" spans="1:66" s="153" customFormat="1" x14ac:dyDescent="0.2">
      <c r="A567" s="61"/>
      <c r="B567" s="61"/>
      <c r="C567" s="61"/>
      <c r="D567" s="61"/>
      <c r="E567" s="61"/>
      <c r="F567" s="61"/>
      <c r="G567" s="61"/>
      <c r="H567" s="61"/>
      <c r="I567" s="61"/>
      <c r="J567" s="61"/>
      <c r="K567" s="61"/>
      <c r="L567" s="61"/>
      <c r="M567" s="61"/>
      <c r="N567" s="61"/>
      <c r="O567" s="61"/>
      <c r="P567" s="61"/>
      <c r="Q567" s="61"/>
      <c r="R567" s="61"/>
      <c r="S567" s="61"/>
      <c r="T567" s="35"/>
      <c r="U567" s="187"/>
      <c r="V567" s="190"/>
      <c r="W567" s="190"/>
      <c r="X567" s="190"/>
      <c r="Y567" s="190"/>
      <c r="Z567" s="190"/>
      <c r="AA567" s="191"/>
      <c r="AB567" s="190"/>
      <c r="AC567" s="190"/>
      <c r="AD567" s="190"/>
      <c r="AE567" s="190"/>
      <c r="AF567" s="190"/>
      <c r="AG567" s="190"/>
      <c r="AH567" s="191"/>
      <c r="AI567" s="190"/>
      <c r="AJ567" s="190"/>
      <c r="AK567" s="190"/>
      <c r="AL567" s="190"/>
      <c r="AM567" s="190"/>
      <c r="AN567" s="191"/>
      <c r="AO567" s="190"/>
      <c r="AP567" s="190"/>
      <c r="AQ567" s="190"/>
      <c r="AR567" s="190"/>
      <c r="AS567" s="190"/>
      <c r="AT567" s="191"/>
      <c r="AU567" s="190"/>
      <c r="AV567" s="190"/>
      <c r="AW567" s="190"/>
      <c r="AX567" s="190"/>
      <c r="AY567" s="190"/>
      <c r="AZ567" s="191"/>
      <c r="BA567" s="183"/>
      <c r="BB567" s="183"/>
      <c r="BC567" s="183"/>
      <c r="BD567" s="183"/>
      <c r="BE567" s="183"/>
      <c r="BF567" s="184"/>
      <c r="BG567" s="183"/>
      <c r="BH567" s="183"/>
      <c r="BI567" s="183"/>
      <c r="BJ567" s="183"/>
      <c r="BK567" s="183"/>
      <c r="BL567" s="184"/>
      <c r="BM567" s="409"/>
      <c r="BN567" s="409"/>
    </row>
    <row r="568" spans="1:66" s="153" customFormat="1" x14ac:dyDescent="0.2">
      <c r="A568" s="61"/>
      <c r="B568" s="61"/>
      <c r="C568" s="61"/>
      <c r="D568" s="61"/>
      <c r="E568" s="61"/>
      <c r="F568" s="61"/>
      <c r="G568" s="61"/>
      <c r="H568" s="61"/>
      <c r="I568" s="61"/>
      <c r="J568" s="61"/>
      <c r="K568" s="61"/>
      <c r="L568" s="61"/>
      <c r="M568" s="61"/>
      <c r="N568" s="61"/>
      <c r="O568" s="61"/>
      <c r="P568" s="61"/>
      <c r="Q568" s="61"/>
      <c r="R568" s="61"/>
      <c r="S568" s="61"/>
      <c r="T568" s="35"/>
      <c r="U568" s="187"/>
      <c r="V568" s="190"/>
      <c r="W568" s="190"/>
      <c r="X568" s="190"/>
      <c r="Y568" s="190"/>
      <c r="Z568" s="190"/>
      <c r="AA568" s="191"/>
      <c r="AB568" s="190"/>
      <c r="AC568" s="190"/>
      <c r="AD568" s="190"/>
      <c r="AE568" s="190"/>
      <c r="AF568" s="190"/>
      <c r="AG568" s="190"/>
      <c r="AH568" s="191"/>
      <c r="AI568" s="190"/>
      <c r="AJ568" s="190"/>
      <c r="AK568" s="190"/>
      <c r="AL568" s="190"/>
      <c r="AM568" s="190"/>
      <c r="AN568" s="191"/>
      <c r="AO568" s="190"/>
      <c r="AP568" s="190"/>
      <c r="AQ568" s="190"/>
      <c r="AR568" s="190"/>
      <c r="AS568" s="190"/>
      <c r="AT568" s="191"/>
      <c r="AU568" s="190"/>
      <c r="AV568" s="190"/>
      <c r="AW568" s="190"/>
      <c r="AX568" s="190"/>
      <c r="AY568" s="190"/>
      <c r="AZ568" s="191"/>
      <c r="BA568" s="183"/>
      <c r="BB568" s="183"/>
      <c r="BC568" s="183"/>
      <c r="BD568" s="183"/>
      <c r="BE568" s="183"/>
      <c r="BF568" s="184"/>
      <c r="BG568" s="183"/>
      <c r="BH568" s="183"/>
      <c r="BI568" s="183"/>
      <c r="BJ568" s="183"/>
      <c r="BK568" s="183"/>
      <c r="BL568" s="184"/>
      <c r="BM568" s="409"/>
      <c r="BN568" s="409"/>
    </row>
    <row r="569" spans="1:66" s="153" customFormat="1" x14ac:dyDescent="0.2">
      <c r="A569" s="61"/>
      <c r="B569" s="61"/>
      <c r="C569" s="61"/>
      <c r="D569" s="61"/>
      <c r="E569" s="61"/>
      <c r="F569" s="61"/>
      <c r="G569" s="61"/>
      <c r="H569" s="61"/>
      <c r="I569" s="61"/>
      <c r="J569" s="61"/>
      <c r="K569" s="61"/>
      <c r="L569" s="61"/>
      <c r="M569" s="61"/>
      <c r="N569" s="61"/>
      <c r="O569" s="61"/>
      <c r="P569" s="61"/>
      <c r="Q569" s="61"/>
      <c r="R569" s="61"/>
      <c r="S569" s="61"/>
      <c r="T569" s="35"/>
      <c r="U569" s="187"/>
      <c r="V569" s="190"/>
      <c r="W569" s="190"/>
      <c r="X569" s="190"/>
      <c r="Y569" s="190"/>
      <c r="Z569" s="190"/>
      <c r="AA569" s="191"/>
      <c r="AB569" s="190"/>
      <c r="AC569" s="190"/>
      <c r="AD569" s="190"/>
      <c r="AE569" s="190"/>
      <c r="AF569" s="190"/>
      <c r="AG569" s="190"/>
      <c r="AH569" s="191"/>
      <c r="AI569" s="190"/>
      <c r="AJ569" s="190"/>
      <c r="AK569" s="190"/>
      <c r="AL569" s="190"/>
      <c r="AM569" s="190"/>
      <c r="AN569" s="191"/>
      <c r="AO569" s="190"/>
      <c r="AP569" s="190"/>
      <c r="AQ569" s="190"/>
      <c r="AR569" s="190"/>
      <c r="AS569" s="190"/>
      <c r="AT569" s="191"/>
      <c r="AU569" s="190"/>
      <c r="AV569" s="190"/>
      <c r="AW569" s="190"/>
      <c r="AX569" s="190"/>
      <c r="AY569" s="190"/>
      <c r="AZ569" s="191"/>
      <c r="BA569" s="183"/>
      <c r="BB569" s="183"/>
      <c r="BC569" s="183"/>
      <c r="BD569" s="183"/>
      <c r="BE569" s="183"/>
      <c r="BF569" s="184"/>
      <c r="BG569" s="183"/>
      <c r="BH569" s="183"/>
      <c r="BI569" s="183"/>
      <c r="BJ569" s="183"/>
      <c r="BK569" s="183"/>
      <c r="BL569" s="184"/>
      <c r="BM569" s="409"/>
      <c r="BN569" s="409"/>
    </row>
    <row r="570" spans="1:66" s="153" customFormat="1" x14ac:dyDescent="0.2">
      <c r="A570" s="61"/>
      <c r="B570" s="61"/>
      <c r="C570" s="61"/>
      <c r="D570" s="61"/>
      <c r="E570" s="61"/>
      <c r="F570" s="61"/>
      <c r="G570" s="61"/>
      <c r="H570" s="61"/>
      <c r="I570" s="61"/>
      <c r="J570" s="61"/>
      <c r="K570" s="61"/>
      <c r="L570" s="61"/>
      <c r="M570" s="61"/>
      <c r="N570" s="61"/>
      <c r="O570" s="61"/>
      <c r="P570" s="61"/>
      <c r="Q570" s="61"/>
      <c r="R570" s="61"/>
      <c r="S570" s="61"/>
      <c r="T570" s="35"/>
      <c r="U570" s="187"/>
      <c r="V570" s="190"/>
      <c r="W570" s="190"/>
      <c r="X570" s="190"/>
      <c r="Y570" s="190"/>
      <c r="Z570" s="190"/>
      <c r="AA570" s="191"/>
      <c r="AB570" s="190"/>
      <c r="AC570" s="190"/>
      <c r="AD570" s="190"/>
      <c r="AE570" s="190"/>
      <c r="AF570" s="190"/>
      <c r="AG570" s="190"/>
      <c r="AH570" s="191"/>
      <c r="AI570" s="190"/>
      <c r="AJ570" s="190"/>
      <c r="AK570" s="190"/>
      <c r="AL570" s="190"/>
      <c r="AM570" s="190"/>
      <c r="AN570" s="191"/>
      <c r="AO570" s="190"/>
      <c r="AP570" s="190"/>
      <c r="AQ570" s="190"/>
      <c r="AR570" s="190"/>
      <c r="AS570" s="190"/>
      <c r="AT570" s="191"/>
      <c r="AU570" s="190"/>
      <c r="AV570" s="190"/>
      <c r="AW570" s="190"/>
      <c r="AX570" s="190"/>
      <c r="AY570" s="190"/>
      <c r="AZ570" s="191"/>
      <c r="BA570" s="183"/>
      <c r="BB570" s="183"/>
      <c r="BC570" s="183"/>
      <c r="BD570" s="183"/>
      <c r="BE570" s="183"/>
      <c r="BF570" s="184"/>
      <c r="BG570" s="183"/>
      <c r="BH570" s="183"/>
      <c r="BI570" s="183"/>
      <c r="BJ570" s="183"/>
      <c r="BK570" s="183"/>
      <c r="BL570" s="184"/>
      <c r="BM570" s="409"/>
      <c r="BN570" s="409"/>
    </row>
    <row r="571" spans="1:66" s="153" customFormat="1" x14ac:dyDescent="0.2">
      <c r="A571" s="61"/>
      <c r="B571" s="61"/>
      <c r="C571" s="61"/>
      <c r="D571" s="61"/>
      <c r="E571" s="61"/>
      <c r="F571" s="61"/>
      <c r="G571" s="61"/>
      <c r="H571" s="61"/>
      <c r="I571" s="61"/>
      <c r="J571" s="61"/>
      <c r="K571" s="61"/>
      <c r="L571" s="61"/>
      <c r="M571" s="61"/>
      <c r="N571" s="61"/>
      <c r="O571" s="61"/>
      <c r="P571" s="61"/>
      <c r="Q571" s="61"/>
      <c r="R571" s="61"/>
      <c r="S571" s="61"/>
      <c r="T571" s="35"/>
      <c r="U571" s="187"/>
      <c r="V571" s="190"/>
      <c r="W571" s="190"/>
      <c r="X571" s="190"/>
      <c r="Y571" s="190"/>
      <c r="Z571" s="190"/>
      <c r="AA571" s="191"/>
      <c r="AB571" s="190"/>
      <c r="AC571" s="190"/>
      <c r="AD571" s="190"/>
      <c r="AE571" s="190"/>
      <c r="AF571" s="190"/>
      <c r="AG571" s="190"/>
      <c r="AH571" s="191"/>
      <c r="AI571" s="190"/>
      <c r="AJ571" s="190"/>
      <c r="AK571" s="190"/>
      <c r="AL571" s="190"/>
      <c r="AM571" s="190"/>
      <c r="AN571" s="191"/>
      <c r="AO571" s="190"/>
      <c r="AP571" s="190"/>
      <c r="AQ571" s="190"/>
      <c r="AR571" s="190"/>
      <c r="AS571" s="190"/>
      <c r="AT571" s="191"/>
      <c r="AU571" s="190"/>
      <c r="AV571" s="190"/>
      <c r="AW571" s="190"/>
      <c r="AX571" s="190"/>
      <c r="AY571" s="190"/>
      <c r="AZ571" s="191"/>
      <c r="BA571" s="183"/>
      <c r="BB571" s="183"/>
      <c r="BC571" s="183"/>
      <c r="BD571" s="183"/>
      <c r="BE571" s="183"/>
      <c r="BF571" s="184"/>
      <c r="BG571" s="183"/>
      <c r="BH571" s="183"/>
      <c r="BI571" s="183"/>
      <c r="BJ571" s="183"/>
      <c r="BK571" s="183"/>
      <c r="BL571" s="184"/>
      <c r="BM571" s="409"/>
      <c r="BN571" s="409"/>
    </row>
    <row r="572" spans="1:66" s="153" customFormat="1" x14ac:dyDescent="0.2">
      <c r="A572" s="61"/>
      <c r="B572" s="61"/>
      <c r="C572" s="61"/>
      <c r="D572" s="61"/>
      <c r="E572" s="61"/>
      <c r="F572" s="61"/>
      <c r="G572" s="61"/>
      <c r="H572" s="61"/>
      <c r="I572" s="61"/>
      <c r="J572" s="61"/>
      <c r="K572" s="61"/>
      <c r="L572" s="61"/>
      <c r="M572" s="61"/>
      <c r="N572" s="61"/>
      <c r="O572" s="61"/>
      <c r="P572" s="61"/>
      <c r="Q572" s="61"/>
      <c r="R572" s="61"/>
      <c r="S572" s="61"/>
      <c r="T572" s="35"/>
      <c r="U572" s="187"/>
      <c r="V572" s="190"/>
      <c r="W572" s="190"/>
      <c r="X572" s="190"/>
      <c r="Y572" s="190"/>
      <c r="Z572" s="190"/>
      <c r="AA572" s="191"/>
      <c r="AB572" s="190"/>
      <c r="AC572" s="190"/>
      <c r="AD572" s="190"/>
      <c r="AE572" s="190"/>
      <c r="AF572" s="190"/>
      <c r="AG572" s="190"/>
      <c r="AH572" s="191"/>
      <c r="AI572" s="190"/>
      <c r="AJ572" s="190"/>
      <c r="AK572" s="190"/>
      <c r="AL572" s="190"/>
      <c r="AM572" s="190"/>
      <c r="AN572" s="191"/>
      <c r="AO572" s="190"/>
      <c r="AP572" s="190"/>
      <c r="AQ572" s="190"/>
      <c r="AR572" s="190"/>
      <c r="AS572" s="190"/>
      <c r="AT572" s="191"/>
      <c r="AU572" s="190"/>
      <c r="AV572" s="190"/>
      <c r="AW572" s="190"/>
      <c r="AX572" s="190"/>
      <c r="AY572" s="190"/>
      <c r="AZ572" s="191"/>
      <c r="BA572" s="183"/>
      <c r="BB572" s="183"/>
      <c r="BC572" s="183"/>
      <c r="BD572" s="183"/>
      <c r="BE572" s="183"/>
      <c r="BF572" s="184"/>
      <c r="BG572" s="183"/>
      <c r="BH572" s="183"/>
      <c r="BI572" s="183"/>
      <c r="BJ572" s="183"/>
      <c r="BK572" s="183"/>
      <c r="BL572" s="184"/>
      <c r="BM572" s="409"/>
      <c r="BN572" s="409"/>
    </row>
    <row r="573" spans="1:66" s="153" customFormat="1" x14ac:dyDescent="0.2">
      <c r="A573" s="61"/>
      <c r="B573" s="61"/>
      <c r="C573" s="61"/>
      <c r="D573" s="61"/>
      <c r="E573" s="61"/>
      <c r="F573" s="61"/>
      <c r="G573" s="61"/>
      <c r="H573" s="61"/>
      <c r="I573" s="61"/>
      <c r="J573" s="61"/>
      <c r="K573" s="61"/>
      <c r="L573" s="61"/>
      <c r="M573" s="61"/>
      <c r="N573" s="61"/>
      <c r="O573" s="61"/>
      <c r="P573" s="61"/>
      <c r="Q573" s="61"/>
      <c r="R573" s="61"/>
      <c r="S573" s="61"/>
      <c r="T573" s="35"/>
      <c r="U573" s="187"/>
      <c r="V573" s="190"/>
      <c r="W573" s="190"/>
      <c r="X573" s="190"/>
      <c r="Y573" s="190"/>
      <c r="Z573" s="190"/>
      <c r="AA573" s="191"/>
      <c r="AB573" s="190"/>
      <c r="AC573" s="190"/>
      <c r="AD573" s="190"/>
      <c r="AE573" s="190"/>
      <c r="AF573" s="190"/>
      <c r="AG573" s="190"/>
      <c r="AH573" s="191"/>
      <c r="AI573" s="190"/>
      <c r="AJ573" s="190"/>
      <c r="AK573" s="190"/>
      <c r="AL573" s="190"/>
      <c r="AM573" s="190"/>
      <c r="AN573" s="191"/>
      <c r="AO573" s="190"/>
      <c r="AP573" s="190"/>
      <c r="AQ573" s="190"/>
      <c r="AR573" s="190"/>
      <c r="AS573" s="190"/>
      <c r="AT573" s="191"/>
      <c r="AU573" s="190"/>
      <c r="AV573" s="190"/>
      <c r="AW573" s="190"/>
      <c r="AX573" s="190"/>
      <c r="AY573" s="190"/>
      <c r="AZ573" s="191"/>
      <c r="BA573" s="183"/>
      <c r="BB573" s="183"/>
      <c r="BC573" s="183"/>
      <c r="BD573" s="183"/>
      <c r="BE573" s="183"/>
      <c r="BF573" s="184"/>
      <c r="BG573" s="183"/>
      <c r="BH573" s="183"/>
      <c r="BI573" s="183"/>
      <c r="BJ573" s="183"/>
      <c r="BK573" s="183"/>
      <c r="BL573" s="184"/>
      <c r="BM573" s="409"/>
      <c r="BN573" s="409"/>
    </row>
    <row r="574" spans="1:66" s="153" customFormat="1" x14ac:dyDescent="0.2">
      <c r="A574" s="61"/>
      <c r="B574" s="61"/>
      <c r="C574" s="61"/>
      <c r="D574" s="61"/>
      <c r="E574" s="61"/>
      <c r="F574" s="61"/>
      <c r="G574" s="61"/>
      <c r="H574" s="61"/>
      <c r="I574" s="61"/>
      <c r="J574" s="61"/>
      <c r="K574" s="61"/>
      <c r="L574" s="61"/>
      <c r="M574" s="61"/>
      <c r="N574" s="61"/>
      <c r="O574" s="61"/>
      <c r="P574" s="61"/>
      <c r="Q574" s="61"/>
      <c r="R574" s="61"/>
      <c r="S574" s="61"/>
      <c r="T574" s="35"/>
      <c r="U574" s="187"/>
      <c r="V574" s="190"/>
      <c r="W574" s="190"/>
      <c r="X574" s="190"/>
      <c r="Y574" s="190"/>
      <c r="Z574" s="190"/>
      <c r="AA574" s="191"/>
      <c r="AB574" s="190"/>
      <c r="AC574" s="190"/>
      <c r="AD574" s="190"/>
      <c r="AE574" s="190"/>
      <c r="AF574" s="190"/>
      <c r="AG574" s="190"/>
      <c r="AH574" s="191"/>
      <c r="AI574" s="190"/>
      <c r="AJ574" s="190"/>
      <c r="AK574" s="190"/>
      <c r="AL574" s="190"/>
      <c r="AM574" s="190"/>
      <c r="AN574" s="191"/>
      <c r="AO574" s="190"/>
      <c r="AP574" s="190"/>
      <c r="AQ574" s="190"/>
      <c r="AR574" s="190"/>
      <c r="AS574" s="190"/>
      <c r="AT574" s="191"/>
      <c r="AU574" s="190"/>
      <c r="AV574" s="190"/>
      <c r="AW574" s="190"/>
      <c r="AX574" s="190"/>
      <c r="AY574" s="190"/>
      <c r="AZ574" s="191"/>
      <c r="BA574" s="183"/>
      <c r="BB574" s="183"/>
      <c r="BC574" s="183"/>
      <c r="BD574" s="183"/>
      <c r="BE574" s="183"/>
      <c r="BF574" s="184"/>
      <c r="BG574" s="183"/>
      <c r="BH574" s="183"/>
      <c r="BI574" s="183"/>
      <c r="BJ574" s="183"/>
      <c r="BK574" s="183"/>
      <c r="BL574" s="184"/>
      <c r="BM574" s="409"/>
      <c r="BN574" s="409"/>
    </row>
    <row r="575" spans="1:66" s="153" customFormat="1" x14ac:dyDescent="0.2">
      <c r="A575" s="61"/>
      <c r="B575" s="61"/>
      <c r="C575" s="61"/>
      <c r="D575" s="61"/>
      <c r="E575" s="61"/>
      <c r="F575" s="61"/>
      <c r="G575" s="61"/>
      <c r="H575" s="61"/>
      <c r="I575" s="61"/>
      <c r="J575" s="61"/>
      <c r="K575" s="61"/>
      <c r="L575" s="61"/>
      <c r="M575" s="61"/>
      <c r="N575" s="61"/>
      <c r="O575" s="61"/>
      <c r="P575" s="61"/>
      <c r="Q575" s="61"/>
      <c r="R575" s="61"/>
      <c r="S575" s="61"/>
      <c r="T575" s="35"/>
      <c r="U575" s="187"/>
      <c r="V575" s="190"/>
      <c r="W575" s="190"/>
      <c r="X575" s="190"/>
      <c r="Y575" s="190"/>
      <c r="Z575" s="190"/>
      <c r="AA575" s="191"/>
      <c r="AB575" s="190"/>
      <c r="AC575" s="190"/>
      <c r="AD575" s="190"/>
      <c r="AE575" s="190"/>
      <c r="AF575" s="190"/>
      <c r="AG575" s="190"/>
      <c r="AH575" s="191"/>
      <c r="AI575" s="190"/>
      <c r="AJ575" s="190"/>
      <c r="AK575" s="190"/>
      <c r="AL575" s="190"/>
      <c r="AM575" s="190"/>
      <c r="AN575" s="191"/>
      <c r="AO575" s="190"/>
      <c r="AP575" s="190"/>
      <c r="AQ575" s="190"/>
      <c r="AR575" s="190"/>
      <c r="AS575" s="190"/>
      <c r="AT575" s="191"/>
      <c r="AU575" s="190"/>
      <c r="AV575" s="190"/>
      <c r="AW575" s="190"/>
      <c r="AX575" s="190"/>
      <c r="AY575" s="190"/>
      <c r="AZ575" s="191"/>
      <c r="BA575" s="183"/>
      <c r="BB575" s="183"/>
      <c r="BC575" s="183"/>
      <c r="BD575" s="183"/>
      <c r="BE575" s="183"/>
      <c r="BF575" s="184"/>
      <c r="BG575" s="183"/>
      <c r="BH575" s="183"/>
      <c r="BI575" s="183"/>
      <c r="BJ575" s="183"/>
      <c r="BK575" s="183"/>
      <c r="BL575" s="184"/>
      <c r="BM575" s="409"/>
      <c r="BN575" s="409"/>
    </row>
    <row r="576" spans="1:66" s="153" customFormat="1" x14ac:dyDescent="0.2">
      <c r="A576" s="61"/>
      <c r="B576" s="61"/>
      <c r="C576" s="61"/>
      <c r="D576" s="61"/>
      <c r="E576" s="61"/>
      <c r="F576" s="61"/>
      <c r="G576" s="61"/>
      <c r="H576" s="61"/>
      <c r="I576" s="61"/>
      <c r="J576" s="61"/>
      <c r="K576" s="61"/>
      <c r="L576" s="61"/>
      <c r="M576" s="61"/>
      <c r="N576" s="61"/>
      <c r="O576" s="61"/>
      <c r="P576" s="61"/>
      <c r="Q576" s="61"/>
      <c r="R576" s="61"/>
      <c r="S576" s="61"/>
      <c r="T576" s="35"/>
      <c r="U576" s="187"/>
      <c r="V576" s="190"/>
      <c r="W576" s="190"/>
      <c r="X576" s="190"/>
      <c r="Y576" s="190"/>
      <c r="Z576" s="190"/>
      <c r="AA576" s="191"/>
      <c r="AB576" s="190"/>
      <c r="AC576" s="190"/>
      <c r="AD576" s="190"/>
      <c r="AE576" s="190"/>
      <c r="AF576" s="190"/>
      <c r="AG576" s="190"/>
      <c r="AH576" s="191"/>
      <c r="AI576" s="190"/>
      <c r="AJ576" s="190"/>
      <c r="AK576" s="190"/>
      <c r="AL576" s="190"/>
      <c r="AM576" s="190"/>
      <c r="AN576" s="191"/>
      <c r="AO576" s="190"/>
      <c r="AP576" s="190"/>
      <c r="AQ576" s="190"/>
      <c r="AR576" s="190"/>
      <c r="AS576" s="190"/>
      <c r="AT576" s="191"/>
      <c r="AU576" s="190"/>
      <c r="AV576" s="190"/>
      <c r="AW576" s="190"/>
      <c r="AX576" s="190"/>
      <c r="AY576" s="190"/>
      <c r="AZ576" s="191"/>
      <c r="BA576" s="183"/>
      <c r="BB576" s="183"/>
      <c r="BC576" s="183"/>
      <c r="BD576" s="183"/>
      <c r="BE576" s="183"/>
      <c r="BF576" s="184"/>
      <c r="BG576" s="183"/>
      <c r="BH576" s="183"/>
      <c r="BI576" s="183"/>
      <c r="BJ576" s="183"/>
      <c r="BK576" s="183"/>
      <c r="BL576" s="184"/>
      <c r="BM576" s="409"/>
      <c r="BN576" s="409"/>
    </row>
    <row r="577" spans="1:66" s="153" customFormat="1" x14ac:dyDescent="0.2">
      <c r="A577" s="61"/>
      <c r="B577" s="61"/>
      <c r="C577" s="61"/>
      <c r="D577" s="61"/>
      <c r="E577" s="61"/>
      <c r="F577" s="61"/>
      <c r="G577" s="61"/>
      <c r="H577" s="61"/>
      <c r="I577" s="61"/>
      <c r="J577" s="61"/>
      <c r="K577" s="61"/>
      <c r="L577" s="61"/>
      <c r="M577" s="61"/>
      <c r="N577" s="61"/>
      <c r="O577" s="61"/>
      <c r="P577" s="61"/>
      <c r="Q577" s="61"/>
      <c r="R577" s="61"/>
      <c r="S577" s="61"/>
      <c r="T577" s="35"/>
      <c r="U577" s="187"/>
      <c r="V577" s="190"/>
      <c r="W577" s="190"/>
      <c r="X577" s="190"/>
      <c r="Y577" s="190"/>
      <c r="Z577" s="190"/>
      <c r="AA577" s="191"/>
      <c r="AB577" s="190"/>
      <c r="AC577" s="190"/>
      <c r="AD577" s="190"/>
      <c r="AE577" s="190"/>
      <c r="AF577" s="190"/>
      <c r="AG577" s="190"/>
      <c r="AH577" s="191"/>
      <c r="AI577" s="190"/>
      <c r="AJ577" s="190"/>
      <c r="AK577" s="190"/>
      <c r="AL577" s="190"/>
      <c r="AM577" s="190"/>
      <c r="AN577" s="191"/>
      <c r="AO577" s="190"/>
      <c r="AP577" s="190"/>
      <c r="AQ577" s="190"/>
      <c r="AR577" s="190"/>
      <c r="AS577" s="190"/>
      <c r="AT577" s="191"/>
      <c r="AU577" s="190"/>
      <c r="AV577" s="190"/>
      <c r="AW577" s="190"/>
      <c r="AX577" s="190"/>
      <c r="AY577" s="190"/>
      <c r="AZ577" s="191"/>
      <c r="BA577" s="183"/>
      <c r="BB577" s="183"/>
      <c r="BC577" s="183"/>
      <c r="BD577" s="183"/>
      <c r="BE577" s="183"/>
      <c r="BF577" s="184"/>
      <c r="BG577" s="183"/>
      <c r="BH577" s="183"/>
      <c r="BI577" s="183"/>
      <c r="BJ577" s="183"/>
      <c r="BK577" s="183"/>
      <c r="BL577" s="184"/>
      <c r="BM577" s="409"/>
      <c r="BN577" s="409"/>
    </row>
    <row r="578" spans="1:66" s="153" customFormat="1" x14ac:dyDescent="0.2">
      <c r="A578" s="61"/>
      <c r="B578" s="61"/>
      <c r="C578" s="61"/>
      <c r="D578" s="61"/>
      <c r="E578" s="61"/>
      <c r="F578" s="61"/>
      <c r="G578" s="61"/>
      <c r="H578" s="61"/>
      <c r="I578" s="61"/>
      <c r="J578" s="61"/>
      <c r="K578" s="61"/>
      <c r="L578" s="61"/>
      <c r="M578" s="61"/>
      <c r="N578" s="61"/>
      <c r="O578" s="61"/>
      <c r="P578" s="61"/>
      <c r="Q578" s="61"/>
      <c r="R578" s="61"/>
      <c r="S578" s="61"/>
      <c r="T578" s="35"/>
      <c r="U578" s="187"/>
      <c r="V578" s="190"/>
      <c r="W578" s="190"/>
      <c r="X578" s="190"/>
      <c r="Y578" s="190"/>
      <c r="Z578" s="190"/>
      <c r="AA578" s="191"/>
      <c r="AB578" s="190"/>
      <c r="AC578" s="190"/>
      <c r="AD578" s="190"/>
      <c r="AE578" s="190"/>
      <c r="AF578" s="190"/>
      <c r="AG578" s="190"/>
      <c r="AH578" s="191"/>
      <c r="AI578" s="190"/>
      <c r="AJ578" s="190"/>
      <c r="AK578" s="190"/>
      <c r="AL578" s="190"/>
      <c r="AM578" s="190"/>
      <c r="AN578" s="191"/>
      <c r="AO578" s="190"/>
      <c r="AP578" s="190"/>
      <c r="AQ578" s="190"/>
      <c r="AR578" s="190"/>
      <c r="AS578" s="190"/>
      <c r="AT578" s="191"/>
      <c r="AU578" s="190"/>
      <c r="AV578" s="190"/>
      <c r="AW578" s="190"/>
      <c r="AX578" s="190"/>
      <c r="AY578" s="190"/>
      <c r="AZ578" s="191"/>
      <c r="BA578" s="183"/>
      <c r="BB578" s="183"/>
      <c r="BC578" s="183"/>
      <c r="BD578" s="183"/>
      <c r="BE578" s="183"/>
      <c r="BF578" s="184"/>
      <c r="BG578" s="183"/>
      <c r="BH578" s="183"/>
      <c r="BI578" s="183"/>
      <c r="BJ578" s="183"/>
      <c r="BK578" s="183"/>
      <c r="BL578" s="184"/>
      <c r="BM578" s="409"/>
      <c r="BN578" s="409"/>
    </row>
    <row r="579" spans="1:66" s="153" customFormat="1" x14ac:dyDescent="0.2">
      <c r="A579" s="61"/>
      <c r="B579" s="61"/>
      <c r="C579" s="61"/>
      <c r="D579" s="61"/>
      <c r="E579" s="61"/>
      <c r="F579" s="61"/>
      <c r="G579" s="61"/>
      <c r="H579" s="61"/>
      <c r="I579" s="61"/>
      <c r="J579" s="61"/>
      <c r="K579" s="61"/>
      <c r="L579" s="61"/>
      <c r="M579" s="61"/>
      <c r="N579" s="61"/>
      <c r="O579" s="61"/>
      <c r="P579" s="61"/>
      <c r="Q579" s="61"/>
      <c r="R579" s="61"/>
      <c r="S579" s="61"/>
      <c r="T579" s="35"/>
      <c r="U579" s="187"/>
      <c r="V579" s="190"/>
      <c r="W579" s="190"/>
      <c r="X579" s="190"/>
      <c r="Y579" s="190"/>
      <c r="Z579" s="190"/>
      <c r="AA579" s="191"/>
      <c r="AB579" s="190"/>
      <c r="AC579" s="190"/>
      <c r="AD579" s="190"/>
      <c r="AE579" s="190"/>
      <c r="AF579" s="190"/>
      <c r="AG579" s="190"/>
      <c r="AH579" s="191"/>
      <c r="AI579" s="190"/>
      <c r="AJ579" s="190"/>
      <c r="AK579" s="190"/>
      <c r="AL579" s="190"/>
      <c r="AM579" s="190"/>
      <c r="AN579" s="191"/>
      <c r="AO579" s="190"/>
      <c r="AP579" s="190"/>
      <c r="AQ579" s="190"/>
      <c r="AR579" s="190"/>
      <c r="AS579" s="190"/>
      <c r="AT579" s="191"/>
      <c r="AU579" s="190"/>
      <c r="AV579" s="190"/>
      <c r="AW579" s="190"/>
      <c r="AX579" s="190"/>
      <c r="AY579" s="190"/>
      <c r="AZ579" s="191"/>
      <c r="BA579" s="183"/>
      <c r="BB579" s="183"/>
      <c r="BC579" s="183"/>
      <c r="BD579" s="183"/>
      <c r="BE579" s="183"/>
      <c r="BF579" s="184"/>
      <c r="BG579" s="183"/>
      <c r="BH579" s="183"/>
      <c r="BI579" s="183"/>
      <c r="BJ579" s="183"/>
      <c r="BK579" s="183"/>
      <c r="BL579" s="184"/>
      <c r="BM579" s="409"/>
      <c r="BN579" s="409"/>
    </row>
    <row r="580" spans="1:66" s="153" customFormat="1" x14ac:dyDescent="0.2">
      <c r="A580" s="61"/>
      <c r="B580" s="61"/>
      <c r="C580" s="61"/>
      <c r="D580" s="61"/>
      <c r="E580" s="61"/>
      <c r="F580" s="61"/>
      <c r="G580" s="61"/>
      <c r="H580" s="61"/>
      <c r="I580" s="61"/>
      <c r="J580" s="61"/>
      <c r="K580" s="61"/>
      <c r="L580" s="61"/>
      <c r="M580" s="61"/>
      <c r="N580" s="61"/>
      <c r="O580" s="61"/>
      <c r="P580" s="61"/>
      <c r="Q580" s="61"/>
      <c r="R580" s="61"/>
      <c r="S580" s="61"/>
      <c r="T580" s="35"/>
      <c r="U580" s="187"/>
      <c r="V580" s="190"/>
      <c r="W580" s="190"/>
      <c r="X580" s="190"/>
      <c r="Y580" s="190"/>
      <c r="Z580" s="190"/>
      <c r="AA580" s="191"/>
      <c r="AB580" s="190"/>
      <c r="AC580" s="190"/>
      <c r="AD580" s="190"/>
      <c r="AE580" s="190"/>
      <c r="AF580" s="190"/>
      <c r="AG580" s="190"/>
      <c r="AH580" s="191"/>
      <c r="AI580" s="190"/>
      <c r="AJ580" s="190"/>
      <c r="AK580" s="190"/>
      <c r="AL580" s="190"/>
      <c r="AM580" s="190"/>
      <c r="AN580" s="191"/>
      <c r="AO580" s="190"/>
      <c r="AP580" s="190"/>
      <c r="AQ580" s="190"/>
      <c r="AR580" s="190"/>
      <c r="AS580" s="190"/>
      <c r="AT580" s="191"/>
      <c r="AU580" s="190"/>
      <c r="AV580" s="190"/>
      <c r="AW580" s="190"/>
      <c r="AX580" s="190"/>
      <c r="AY580" s="190"/>
      <c r="AZ580" s="191"/>
      <c r="BA580" s="183"/>
      <c r="BB580" s="183"/>
      <c r="BC580" s="183"/>
      <c r="BD580" s="183"/>
      <c r="BE580" s="183"/>
      <c r="BF580" s="184"/>
      <c r="BG580" s="183"/>
      <c r="BH580" s="183"/>
      <c r="BI580" s="183"/>
      <c r="BJ580" s="183"/>
      <c r="BK580" s="183"/>
      <c r="BL580" s="184"/>
      <c r="BM580" s="409"/>
      <c r="BN580" s="409"/>
    </row>
    <row r="581" spans="1:66" s="153" customFormat="1" x14ac:dyDescent="0.2">
      <c r="A581" s="61"/>
      <c r="B581" s="61"/>
      <c r="C581" s="61"/>
      <c r="D581" s="61"/>
      <c r="E581" s="61"/>
      <c r="F581" s="61"/>
      <c r="G581" s="61"/>
      <c r="H581" s="61"/>
      <c r="I581" s="61"/>
      <c r="J581" s="61"/>
      <c r="K581" s="61"/>
      <c r="L581" s="61"/>
      <c r="M581" s="61"/>
      <c r="N581" s="61"/>
      <c r="O581" s="61"/>
      <c r="P581" s="61"/>
      <c r="Q581" s="61"/>
      <c r="R581" s="61"/>
      <c r="S581" s="61"/>
      <c r="T581" s="35"/>
      <c r="U581" s="187"/>
      <c r="V581" s="190"/>
      <c r="W581" s="190"/>
      <c r="X581" s="190"/>
      <c r="Y581" s="190"/>
      <c r="Z581" s="190"/>
      <c r="AA581" s="191"/>
      <c r="AB581" s="190"/>
      <c r="AC581" s="190"/>
      <c r="AD581" s="190"/>
      <c r="AE581" s="190"/>
      <c r="AF581" s="190"/>
      <c r="AG581" s="190"/>
      <c r="AH581" s="191"/>
      <c r="AI581" s="190"/>
      <c r="AJ581" s="190"/>
      <c r="AK581" s="190"/>
      <c r="AL581" s="190"/>
      <c r="AM581" s="190"/>
      <c r="AN581" s="191"/>
      <c r="AO581" s="190"/>
      <c r="AP581" s="190"/>
      <c r="AQ581" s="190"/>
      <c r="AR581" s="190"/>
      <c r="AS581" s="190"/>
      <c r="AT581" s="191"/>
      <c r="AU581" s="190"/>
      <c r="AV581" s="190"/>
      <c r="AW581" s="190"/>
      <c r="AX581" s="190"/>
      <c r="AY581" s="190"/>
      <c r="AZ581" s="191"/>
      <c r="BA581" s="183"/>
      <c r="BB581" s="183"/>
      <c r="BC581" s="183"/>
      <c r="BD581" s="183"/>
      <c r="BE581" s="183"/>
      <c r="BF581" s="184"/>
      <c r="BG581" s="183"/>
      <c r="BH581" s="183"/>
      <c r="BI581" s="183"/>
      <c r="BJ581" s="183"/>
      <c r="BK581" s="183"/>
      <c r="BL581" s="184"/>
      <c r="BM581" s="409"/>
      <c r="BN581" s="409"/>
    </row>
    <row r="582" spans="1:66" s="153" customFormat="1" x14ac:dyDescent="0.2">
      <c r="A582" s="61"/>
      <c r="B582" s="61"/>
      <c r="C582" s="61"/>
      <c r="D582" s="61"/>
      <c r="E582" s="61"/>
      <c r="F582" s="61"/>
      <c r="G582" s="61"/>
      <c r="H582" s="61"/>
      <c r="I582" s="61"/>
      <c r="J582" s="61"/>
      <c r="K582" s="61"/>
      <c r="L582" s="61"/>
      <c r="M582" s="61"/>
      <c r="N582" s="61"/>
      <c r="O582" s="61"/>
      <c r="P582" s="61"/>
      <c r="Q582" s="61"/>
      <c r="R582" s="61"/>
      <c r="S582" s="61"/>
      <c r="T582" s="35"/>
      <c r="U582" s="187"/>
      <c r="V582" s="190"/>
      <c r="W582" s="190"/>
      <c r="X582" s="190"/>
      <c r="Y582" s="190"/>
      <c r="Z582" s="190"/>
      <c r="AA582" s="191"/>
      <c r="AB582" s="190"/>
      <c r="AC582" s="190"/>
      <c r="AD582" s="190"/>
      <c r="AE582" s="190"/>
      <c r="AF582" s="190"/>
      <c r="AG582" s="190"/>
      <c r="AH582" s="191"/>
      <c r="AI582" s="190"/>
      <c r="AJ582" s="190"/>
      <c r="AK582" s="190"/>
      <c r="AL582" s="190"/>
      <c r="AM582" s="190"/>
      <c r="AN582" s="191"/>
      <c r="AO582" s="190"/>
      <c r="AP582" s="190"/>
      <c r="AQ582" s="190"/>
      <c r="AR582" s="190"/>
      <c r="AS582" s="190"/>
      <c r="AT582" s="191"/>
      <c r="AU582" s="190"/>
      <c r="AV582" s="190"/>
      <c r="AW582" s="190"/>
      <c r="AX582" s="190"/>
      <c r="AY582" s="190"/>
      <c r="AZ582" s="191"/>
      <c r="BA582" s="183"/>
      <c r="BB582" s="183"/>
      <c r="BC582" s="183"/>
      <c r="BD582" s="183"/>
      <c r="BE582" s="183"/>
      <c r="BF582" s="184"/>
      <c r="BG582" s="183"/>
      <c r="BH582" s="183"/>
      <c r="BI582" s="183"/>
      <c r="BJ582" s="183"/>
      <c r="BK582" s="183"/>
      <c r="BL582" s="184"/>
      <c r="BM582" s="409"/>
      <c r="BN582" s="409"/>
    </row>
    <row r="583" spans="1:66" s="153" customFormat="1" x14ac:dyDescent="0.2">
      <c r="A583" s="61"/>
      <c r="B583" s="61"/>
      <c r="C583" s="61"/>
      <c r="D583" s="61"/>
      <c r="E583" s="61"/>
      <c r="F583" s="61"/>
      <c r="G583" s="61"/>
      <c r="H583" s="61"/>
      <c r="I583" s="61"/>
      <c r="J583" s="61"/>
      <c r="K583" s="61"/>
      <c r="L583" s="61"/>
      <c r="M583" s="61"/>
      <c r="N583" s="61"/>
      <c r="O583" s="61"/>
      <c r="P583" s="61"/>
      <c r="Q583" s="61"/>
      <c r="R583" s="61"/>
      <c r="S583" s="61"/>
      <c r="T583" s="35"/>
      <c r="U583" s="187"/>
      <c r="V583" s="190"/>
      <c r="W583" s="190"/>
      <c r="X583" s="190"/>
      <c r="Y583" s="190"/>
      <c r="Z583" s="190"/>
      <c r="AA583" s="191"/>
      <c r="AB583" s="190"/>
      <c r="AC583" s="190"/>
      <c r="AD583" s="190"/>
      <c r="AE583" s="190"/>
      <c r="AF583" s="190"/>
      <c r="AG583" s="190"/>
      <c r="AH583" s="191"/>
      <c r="AI583" s="190"/>
      <c r="AJ583" s="190"/>
      <c r="AK583" s="190"/>
      <c r="AL583" s="190"/>
      <c r="AM583" s="190"/>
      <c r="AN583" s="191"/>
      <c r="AO583" s="190"/>
      <c r="AP583" s="190"/>
      <c r="AQ583" s="190"/>
      <c r="AR583" s="190"/>
      <c r="AS583" s="190"/>
      <c r="AT583" s="191"/>
      <c r="AU583" s="190"/>
      <c r="AV583" s="190"/>
      <c r="AW583" s="190"/>
      <c r="AX583" s="190"/>
      <c r="AY583" s="190"/>
      <c r="AZ583" s="191"/>
      <c r="BA583" s="183"/>
      <c r="BB583" s="183"/>
      <c r="BC583" s="183"/>
      <c r="BD583" s="183"/>
      <c r="BE583" s="183"/>
      <c r="BF583" s="184"/>
      <c r="BG583" s="183"/>
      <c r="BH583" s="183"/>
      <c r="BI583" s="183"/>
      <c r="BJ583" s="183"/>
      <c r="BK583" s="183"/>
      <c r="BL583" s="184"/>
      <c r="BM583" s="409"/>
      <c r="BN583" s="409"/>
    </row>
    <row r="584" spans="1:66" s="153" customFormat="1" x14ac:dyDescent="0.2">
      <c r="A584" s="61"/>
      <c r="B584" s="61"/>
      <c r="C584" s="61"/>
      <c r="D584" s="61"/>
      <c r="E584" s="61"/>
      <c r="F584" s="61"/>
      <c r="G584" s="61"/>
      <c r="H584" s="61"/>
      <c r="I584" s="61"/>
      <c r="J584" s="61"/>
      <c r="K584" s="61"/>
      <c r="L584" s="61"/>
      <c r="M584" s="61"/>
      <c r="N584" s="61"/>
      <c r="O584" s="61"/>
      <c r="P584" s="61"/>
      <c r="Q584" s="61"/>
      <c r="R584" s="61"/>
      <c r="S584" s="61"/>
      <c r="T584" s="35"/>
      <c r="U584" s="187"/>
      <c r="V584" s="190"/>
      <c r="W584" s="190"/>
      <c r="X584" s="190"/>
      <c r="Y584" s="190"/>
      <c r="Z584" s="190"/>
      <c r="AA584" s="191"/>
      <c r="AB584" s="190"/>
      <c r="AC584" s="190"/>
      <c r="AD584" s="190"/>
      <c r="AE584" s="190"/>
      <c r="AF584" s="190"/>
      <c r="AG584" s="190"/>
      <c r="AH584" s="191"/>
      <c r="AI584" s="190"/>
      <c r="AJ584" s="190"/>
      <c r="AK584" s="190"/>
      <c r="AL584" s="190"/>
      <c r="AM584" s="190"/>
      <c r="AN584" s="191"/>
      <c r="AO584" s="190"/>
      <c r="AP584" s="190"/>
      <c r="AQ584" s="190"/>
      <c r="AR584" s="190"/>
      <c r="AS584" s="190"/>
      <c r="AT584" s="191"/>
      <c r="AU584" s="190"/>
      <c r="AV584" s="190"/>
      <c r="AW584" s="190"/>
      <c r="AX584" s="190"/>
      <c r="AY584" s="190"/>
      <c r="AZ584" s="191"/>
      <c r="BA584" s="183"/>
      <c r="BB584" s="183"/>
      <c r="BC584" s="183"/>
      <c r="BD584" s="183"/>
      <c r="BE584" s="183"/>
      <c r="BF584" s="184"/>
      <c r="BG584" s="183"/>
      <c r="BH584" s="183"/>
      <c r="BI584" s="183"/>
      <c r="BJ584" s="183"/>
      <c r="BK584" s="183"/>
      <c r="BL584" s="184"/>
      <c r="BM584" s="409"/>
      <c r="BN584" s="409"/>
    </row>
    <row r="585" spans="1:66" s="153" customFormat="1" x14ac:dyDescent="0.2">
      <c r="A585" s="61"/>
      <c r="B585" s="61"/>
      <c r="C585" s="61"/>
      <c r="D585" s="61"/>
      <c r="E585" s="61"/>
      <c r="F585" s="61"/>
      <c r="G585" s="61"/>
      <c r="H585" s="61"/>
      <c r="I585" s="61"/>
      <c r="J585" s="61"/>
      <c r="K585" s="61"/>
      <c r="L585" s="61"/>
      <c r="M585" s="61"/>
      <c r="N585" s="61"/>
      <c r="O585" s="61"/>
      <c r="P585" s="61"/>
      <c r="Q585" s="61"/>
      <c r="R585" s="61"/>
      <c r="S585" s="61"/>
      <c r="T585" s="35"/>
      <c r="U585" s="187"/>
      <c r="V585" s="190"/>
      <c r="W585" s="190"/>
      <c r="X585" s="190"/>
      <c r="Y585" s="190"/>
      <c r="Z585" s="190"/>
      <c r="AA585" s="191"/>
      <c r="AB585" s="190"/>
      <c r="AC585" s="190"/>
      <c r="AD585" s="190"/>
      <c r="AE585" s="190"/>
      <c r="AF585" s="190"/>
      <c r="AG585" s="190"/>
      <c r="AH585" s="191"/>
      <c r="AI585" s="190"/>
      <c r="AJ585" s="190"/>
      <c r="AK585" s="190"/>
      <c r="AL585" s="190"/>
      <c r="AM585" s="190"/>
      <c r="AN585" s="191"/>
      <c r="AO585" s="190"/>
      <c r="AP585" s="190"/>
      <c r="AQ585" s="190"/>
      <c r="AR585" s="190"/>
      <c r="AS585" s="190"/>
      <c r="AT585" s="191"/>
      <c r="AU585" s="190"/>
      <c r="AV585" s="190"/>
      <c r="AW585" s="190"/>
      <c r="AX585" s="190"/>
      <c r="AY585" s="190"/>
      <c r="AZ585" s="191"/>
      <c r="BA585" s="183"/>
      <c r="BB585" s="183"/>
      <c r="BC585" s="183"/>
      <c r="BD585" s="183"/>
      <c r="BE585" s="183"/>
      <c r="BF585" s="184"/>
      <c r="BG585" s="183"/>
      <c r="BH585" s="183"/>
      <c r="BI585" s="183"/>
      <c r="BJ585" s="183"/>
      <c r="BK585" s="183"/>
      <c r="BL585" s="184"/>
      <c r="BM585" s="409"/>
      <c r="BN585" s="409"/>
    </row>
    <row r="586" spans="1:66" s="153" customFormat="1" x14ac:dyDescent="0.2">
      <c r="A586" s="61"/>
      <c r="B586" s="61"/>
      <c r="C586" s="61"/>
      <c r="D586" s="61"/>
      <c r="E586" s="61"/>
      <c r="F586" s="61"/>
      <c r="G586" s="61"/>
      <c r="H586" s="61"/>
      <c r="I586" s="61"/>
      <c r="J586" s="61"/>
      <c r="K586" s="61"/>
      <c r="L586" s="61"/>
      <c r="M586" s="61"/>
      <c r="N586" s="61"/>
      <c r="O586" s="61"/>
      <c r="P586" s="61"/>
      <c r="Q586" s="61"/>
      <c r="R586" s="61"/>
      <c r="S586" s="61"/>
      <c r="T586" s="35"/>
      <c r="U586" s="187"/>
      <c r="V586" s="190"/>
      <c r="W586" s="190"/>
      <c r="X586" s="190"/>
      <c r="Y586" s="190"/>
      <c r="Z586" s="190"/>
      <c r="AA586" s="191"/>
      <c r="AB586" s="190"/>
      <c r="AC586" s="190"/>
      <c r="AD586" s="190"/>
      <c r="AE586" s="190"/>
      <c r="AF586" s="190"/>
      <c r="AG586" s="190"/>
      <c r="AH586" s="191"/>
      <c r="AI586" s="190"/>
      <c r="AJ586" s="190"/>
      <c r="AK586" s="190"/>
      <c r="AL586" s="190"/>
      <c r="AM586" s="190"/>
      <c r="AN586" s="191"/>
      <c r="AO586" s="190"/>
      <c r="AP586" s="190"/>
      <c r="AQ586" s="190"/>
      <c r="AR586" s="190"/>
      <c r="AS586" s="190"/>
      <c r="AT586" s="191"/>
      <c r="AU586" s="190"/>
      <c r="AV586" s="190"/>
      <c r="AW586" s="190"/>
      <c r="AX586" s="190"/>
      <c r="AY586" s="190"/>
      <c r="AZ586" s="191"/>
      <c r="BA586" s="183"/>
      <c r="BB586" s="183"/>
      <c r="BC586" s="183"/>
      <c r="BD586" s="183"/>
      <c r="BE586" s="183"/>
      <c r="BF586" s="184"/>
      <c r="BG586" s="183"/>
      <c r="BH586" s="183"/>
      <c r="BI586" s="183"/>
      <c r="BJ586" s="183"/>
      <c r="BK586" s="183"/>
      <c r="BL586" s="184"/>
      <c r="BM586" s="409"/>
      <c r="BN586" s="409"/>
    </row>
    <row r="587" spans="1:66" s="153" customFormat="1" x14ac:dyDescent="0.2">
      <c r="A587" s="61"/>
      <c r="B587" s="61"/>
      <c r="C587" s="61"/>
      <c r="D587" s="61"/>
      <c r="E587" s="61"/>
      <c r="F587" s="61"/>
      <c r="G587" s="61"/>
      <c r="H587" s="61"/>
      <c r="I587" s="61"/>
      <c r="J587" s="61"/>
      <c r="K587" s="61"/>
      <c r="L587" s="61"/>
      <c r="M587" s="61"/>
      <c r="N587" s="61"/>
      <c r="O587" s="61"/>
      <c r="P587" s="61"/>
      <c r="Q587" s="61"/>
      <c r="R587" s="61"/>
      <c r="S587" s="61"/>
      <c r="T587" s="35"/>
      <c r="U587" s="187"/>
      <c r="V587" s="190"/>
      <c r="W587" s="190"/>
      <c r="X587" s="190"/>
      <c r="Y587" s="190"/>
      <c r="Z587" s="190"/>
      <c r="AA587" s="191"/>
      <c r="AB587" s="190"/>
      <c r="AC587" s="190"/>
      <c r="AD587" s="190"/>
      <c r="AE587" s="190"/>
      <c r="AF587" s="190"/>
      <c r="AG587" s="190"/>
      <c r="AH587" s="191"/>
      <c r="AI587" s="190"/>
      <c r="AJ587" s="190"/>
      <c r="AK587" s="190"/>
      <c r="AL587" s="190"/>
      <c r="AM587" s="190"/>
      <c r="AN587" s="191"/>
      <c r="AO587" s="190"/>
      <c r="AP587" s="190"/>
      <c r="AQ587" s="190"/>
      <c r="AR587" s="190"/>
      <c r="AS587" s="190"/>
      <c r="AT587" s="191"/>
      <c r="AU587" s="190"/>
      <c r="AV587" s="190"/>
      <c r="AW587" s="190"/>
      <c r="AX587" s="190"/>
      <c r="AY587" s="190"/>
      <c r="AZ587" s="191"/>
      <c r="BA587" s="183"/>
      <c r="BB587" s="183"/>
      <c r="BC587" s="183"/>
      <c r="BD587" s="183"/>
      <c r="BE587" s="183"/>
      <c r="BF587" s="184"/>
      <c r="BG587" s="183"/>
      <c r="BH587" s="183"/>
      <c r="BI587" s="183"/>
      <c r="BJ587" s="183"/>
      <c r="BK587" s="183"/>
      <c r="BL587" s="184"/>
      <c r="BM587" s="409"/>
      <c r="BN587" s="409"/>
    </row>
    <row r="588" spans="1:66" s="153" customFormat="1" x14ac:dyDescent="0.2">
      <c r="A588" s="61"/>
      <c r="B588" s="61"/>
      <c r="C588" s="61"/>
      <c r="D588" s="61"/>
      <c r="E588" s="61"/>
      <c r="F588" s="61"/>
      <c r="G588" s="61"/>
      <c r="H588" s="61"/>
      <c r="I588" s="61"/>
      <c r="J588" s="61"/>
      <c r="K588" s="61"/>
      <c r="L588" s="61"/>
      <c r="M588" s="61"/>
      <c r="N588" s="61"/>
      <c r="O588" s="61"/>
      <c r="P588" s="61"/>
      <c r="Q588" s="61"/>
      <c r="R588" s="61"/>
      <c r="S588" s="61"/>
      <c r="T588" s="35"/>
      <c r="U588" s="187"/>
      <c r="V588" s="190"/>
      <c r="W588" s="190"/>
      <c r="X588" s="190"/>
      <c r="Y588" s="190"/>
      <c r="Z588" s="190"/>
      <c r="AA588" s="191"/>
      <c r="AB588" s="190"/>
      <c r="AC588" s="190"/>
      <c r="AD588" s="190"/>
      <c r="AE588" s="190"/>
      <c r="AF588" s="190"/>
      <c r="AG588" s="190"/>
      <c r="AH588" s="191"/>
      <c r="AI588" s="190"/>
      <c r="AJ588" s="190"/>
      <c r="AK588" s="190"/>
      <c r="AL588" s="190"/>
      <c r="AM588" s="190"/>
      <c r="AN588" s="191"/>
      <c r="AO588" s="190"/>
      <c r="AP588" s="190"/>
      <c r="AQ588" s="190"/>
      <c r="AR588" s="190"/>
      <c r="AS588" s="190"/>
      <c r="AT588" s="191"/>
      <c r="AU588" s="190"/>
      <c r="AV588" s="190"/>
      <c r="AW588" s="190"/>
      <c r="AX588" s="190"/>
      <c r="AY588" s="190"/>
      <c r="AZ588" s="191"/>
      <c r="BA588" s="183"/>
      <c r="BB588" s="183"/>
      <c r="BC588" s="183"/>
      <c r="BD588" s="183"/>
      <c r="BE588" s="183"/>
      <c r="BF588" s="184"/>
      <c r="BG588" s="183"/>
      <c r="BH588" s="183"/>
      <c r="BI588" s="183"/>
      <c r="BJ588" s="183"/>
      <c r="BK588" s="183"/>
      <c r="BL588" s="184"/>
      <c r="BM588" s="409"/>
      <c r="BN588" s="409"/>
    </row>
    <row r="589" spans="1:66" s="153" customFormat="1" x14ac:dyDescent="0.2">
      <c r="A589" s="61"/>
      <c r="B589" s="61"/>
      <c r="C589" s="61"/>
      <c r="D589" s="61"/>
      <c r="E589" s="61"/>
      <c r="F589" s="61"/>
      <c r="G589" s="61"/>
      <c r="H589" s="61"/>
      <c r="I589" s="61"/>
      <c r="J589" s="61"/>
      <c r="K589" s="61"/>
      <c r="L589" s="61"/>
      <c r="M589" s="61"/>
      <c r="N589" s="61"/>
      <c r="O589" s="61"/>
      <c r="P589" s="61"/>
      <c r="Q589" s="61"/>
      <c r="R589" s="61"/>
      <c r="S589" s="61"/>
      <c r="T589" s="35"/>
      <c r="U589" s="187"/>
      <c r="V589" s="190"/>
      <c r="W589" s="190"/>
      <c r="X589" s="190"/>
      <c r="Y589" s="190"/>
      <c r="Z589" s="190"/>
      <c r="AA589" s="191"/>
      <c r="AB589" s="190"/>
      <c r="AC589" s="190"/>
      <c r="AD589" s="190"/>
      <c r="AE589" s="190"/>
      <c r="AF589" s="190"/>
      <c r="AG589" s="190"/>
      <c r="AH589" s="191"/>
      <c r="AI589" s="190"/>
      <c r="AJ589" s="190"/>
      <c r="AK589" s="190"/>
      <c r="AL589" s="190"/>
      <c r="AM589" s="190"/>
      <c r="AN589" s="191"/>
      <c r="AO589" s="190"/>
      <c r="AP589" s="190"/>
      <c r="AQ589" s="190"/>
      <c r="AR589" s="190"/>
      <c r="AS589" s="190"/>
      <c r="AT589" s="191"/>
      <c r="AU589" s="190"/>
      <c r="AV589" s="190"/>
      <c r="AW589" s="190"/>
      <c r="AX589" s="190"/>
      <c r="AY589" s="190"/>
      <c r="AZ589" s="191"/>
      <c r="BA589" s="183"/>
      <c r="BB589" s="183"/>
      <c r="BC589" s="183"/>
      <c r="BD589" s="183"/>
      <c r="BE589" s="183"/>
      <c r="BF589" s="184"/>
      <c r="BG589" s="183"/>
      <c r="BH589" s="183"/>
      <c r="BI589" s="183"/>
      <c r="BJ589" s="183"/>
      <c r="BK589" s="183"/>
      <c r="BL589" s="184"/>
      <c r="BM589" s="409"/>
      <c r="BN589" s="409"/>
    </row>
    <row r="590" spans="1:66" s="153" customFormat="1" x14ac:dyDescent="0.2">
      <c r="A590" s="61"/>
      <c r="B590" s="61"/>
      <c r="C590" s="61"/>
      <c r="D590" s="61"/>
      <c r="E590" s="61"/>
      <c r="F590" s="61"/>
      <c r="G590" s="61"/>
      <c r="H590" s="61"/>
      <c r="I590" s="61"/>
      <c r="J590" s="61"/>
      <c r="K590" s="61"/>
      <c r="L590" s="61"/>
      <c r="M590" s="61"/>
      <c r="N590" s="61"/>
      <c r="O590" s="61"/>
      <c r="P590" s="61"/>
      <c r="Q590" s="61"/>
      <c r="R590" s="61"/>
      <c r="S590" s="61"/>
      <c r="T590" s="35"/>
      <c r="U590" s="187"/>
      <c r="V590" s="190"/>
      <c r="W590" s="190"/>
      <c r="X590" s="190"/>
      <c r="Y590" s="190"/>
      <c r="Z590" s="190"/>
      <c r="AA590" s="191"/>
      <c r="AB590" s="190"/>
      <c r="AC590" s="190"/>
      <c r="AD590" s="190"/>
      <c r="AE590" s="190"/>
      <c r="AF590" s="190"/>
      <c r="AG590" s="190"/>
      <c r="AH590" s="191"/>
      <c r="AI590" s="190"/>
      <c r="AJ590" s="190"/>
      <c r="AK590" s="190"/>
      <c r="AL590" s="190"/>
      <c r="AM590" s="190"/>
      <c r="AN590" s="191"/>
      <c r="AO590" s="190"/>
      <c r="AP590" s="190"/>
      <c r="AQ590" s="190"/>
      <c r="AR590" s="190"/>
      <c r="AS590" s="190"/>
      <c r="AT590" s="191"/>
      <c r="AU590" s="190"/>
      <c r="AV590" s="190"/>
      <c r="AW590" s="190"/>
      <c r="AX590" s="190"/>
      <c r="AY590" s="190"/>
      <c r="AZ590" s="191"/>
      <c r="BA590" s="183"/>
      <c r="BB590" s="183"/>
      <c r="BC590" s="183"/>
      <c r="BD590" s="183"/>
      <c r="BE590" s="183"/>
      <c r="BF590" s="184"/>
      <c r="BG590" s="183"/>
      <c r="BH590" s="183"/>
      <c r="BI590" s="183"/>
      <c r="BJ590" s="183"/>
      <c r="BK590" s="183"/>
      <c r="BL590" s="184"/>
      <c r="BM590" s="409"/>
      <c r="BN590" s="409"/>
    </row>
    <row r="591" spans="1:66" s="153" customFormat="1" x14ac:dyDescent="0.2">
      <c r="A591" s="61"/>
      <c r="B591" s="61"/>
      <c r="C591" s="61"/>
      <c r="D591" s="61"/>
      <c r="E591" s="61"/>
      <c r="F591" s="61"/>
      <c r="G591" s="61"/>
      <c r="H591" s="61"/>
      <c r="I591" s="61"/>
      <c r="J591" s="61"/>
      <c r="K591" s="61"/>
      <c r="L591" s="61"/>
      <c r="M591" s="61"/>
      <c r="N591" s="61"/>
      <c r="O591" s="61"/>
      <c r="P591" s="61"/>
      <c r="Q591" s="61"/>
      <c r="R591" s="61"/>
      <c r="S591" s="61"/>
      <c r="T591" s="35"/>
      <c r="U591" s="187"/>
      <c r="V591" s="190"/>
      <c r="W591" s="190"/>
      <c r="X591" s="190"/>
      <c r="Y591" s="190"/>
      <c r="Z591" s="190"/>
      <c r="AA591" s="191"/>
      <c r="AB591" s="190"/>
      <c r="AC591" s="190"/>
      <c r="AD591" s="190"/>
      <c r="AE591" s="190"/>
      <c r="AF591" s="190"/>
      <c r="AG591" s="190"/>
      <c r="AH591" s="191"/>
      <c r="AI591" s="190"/>
      <c r="AJ591" s="190"/>
      <c r="AK591" s="190"/>
      <c r="AL591" s="190"/>
      <c r="AM591" s="190"/>
      <c r="AN591" s="191"/>
      <c r="AO591" s="190"/>
      <c r="AP591" s="190"/>
      <c r="AQ591" s="190"/>
      <c r="AR591" s="190"/>
      <c r="AS591" s="190"/>
      <c r="AT591" s="191"/>
      <c r="AU591" s="190"/>
      <c r="AV591" s="190"/>
      <c r="AW591" s="190"/>
      <c r="AX591" s="190"/>
      <c r="AY591" s="190"/>
      <c r="AZ591" s="191"/>
      <c r="BA591" s="183"/>
      <c r="BB591" s="183"/>
      <c r="BC591" s="183"/>
      <c r="BD591" s="183"/>
      <c r="BE591" s="183"/>
      <c r="BF591" s="184"/>
      <c r="BG591" s="183"/>
      <c r="BH591" s="183"/>
      <c r="BI591" s="183"/>
      <c r="BJ591" s="183"/>
      <c r="BK591" s="183"/>
      <c r="BL591" s="184"/>
      <c r="BM591" s="409"/>
      <c r="BN591" s="409"/>
    </row>
    <row r="592" spans="1:66" s="153" customFormat="1" x14ac:dyDescent="0.2">
      <c r="A592" s="61"/>
      <c r="B592" s="61"/>
      <c r="C592" s="61"/>
      <c r="D592" s="61"/>
      <c r="E592" s="61"/>
      <c r="F592" s="61"/>
      <c r="G592" s="61"/>
      <c r="H592" s="61"/>
      <c r="I592" s="61"/>
      <c r="J592" s="61"/>
      <c r="K592" s="61"/>
      <c r="L592" s="61"/>
      <c r="M592" s="61"/>
      <c r="N592" s="61"/>
      <c r="O592" s="61"/>
      <c r="P592" s="61"/>
      <c r="Q592" s="61"/>
      <c r="R592" s="61"/>
      <c r="S592" s="61"/>
      <c r="T592" s="35"/>
      <c r="U592" s="187"/>
      <c r="V592" s="190"/>
      <c r="W592" s="190"/>
      <c r="X592" s="190"/>
      <c r="Y592" s="190"/>
      <c r="Z592" s="190"/>
      <c r="AA592" s="191"/>
      <c r="AB592" s="190"/>
      <c r="AC592" s="190"/>
      <c r="AD592" s="190"/>
      <c r="AE592" s="190"/>
      <c r="AF592" s="190"/>
      <c r="AG592" s="190"/>
      <c r="AH592" s="191"/>
      <c r="AI592" s="190"/>
      <c r="AJ592" s="190"/>
      <c r="AK592" s="190"/>
      <c r="AL592" s="190"/>
      <c r="AM592" s="190"/>
      <c r="AN592" s="191"/>
      <c r="AO592" s="190"/>
      <c r="AP592" s="190"/>
      <c r="AQ592" s="190"/>
      <c r="AR592" s="190"/>
      <c r="AS592" s="190"/>
      <c r="AT592" s="191"/>
      <c r="AU592" s="190"/>
      <c r="AV592" s="190"/>
      <c r="AW592" s="190"/>
      <c r="AX592" s="190"/>
      <c r="AY592" s="190"/>
      <c r="AZ592" s="191"/>
      <c r="BA592" s="183"/>
      <c r="BB592" s="183"/>
      <c r="BC592" s="183"/>
      <c r="BD592" s="183"/>
      <c r="BE592" s="183"/>
      <c r="BF592" s="184"/>
      <c r="BG592" s="183"/>
      <c r="BH592" s="183"/>
      <c r="BI592" s="183"/>
      <c r="BJ592" s="183"/>
      <c r="BK592" s="183"/>
      <c r="BL592" s="184"/>
      <c r="BM592" s="409"/>
      <c r="BN592" s="409"/>
    </row>
    <row r="593" spans="1:66" s="153" customFormat="1" x14ac:dyDescent="0.2">
      <c r="A593" s="61"/>
      <c r="B593" s="61"/>
      <c r="C593" s="61"/>
      <c r="D593" s="61"/>
      <c r="E593" s="61"/>
      <c r="F593" s="61"/>
      <c r="G593" s="61"/>
      <c r="H593" s="61"/>
      <c r="I593" s="61"/>
      <c r="J593" s="61"/>
      <c r="K593" s="61"/>
      <c r="L593" s="61"/>
      <c r="M593" s="61"/>
      <c r="N593" s="61"/>
      <c r="O593" s="61"/>
      <c r="P593" s="61"/>
      <c r="Q593" s="61"/>
      <c r="R593" s="61"/>
      <c r="S593" s="61"/>
      <c r="T593" s="35"/>
      <c r="U593" s="187"/>
      <c r="V593" s="190"/>
      <c r="W593" s="190"/>
      <c r="X593" s="190"/>
      <c r="Y593" s="190"/>
      <c r="Z593" s="190"/>
      <c r="AA593" s="191"/>
      <c r="AB593" s="190"/>
      <c r="AC593" s="190"/>
      <c r="AD593" s="190"/>
      <c r="AE593" s="190"/>
      <c r="AF593" s="190"/>
      <c r="AG593" s="190"/>
      <c r="AH593" s="191"/>
      <c r="AI593" s="190"/>
      <c r="AJ593" s="190"/>
      <c r="AK593" s="190"/>
      <c r="AL593" s="190"/>
      <c r="AM593" s="190"/>
      <c r="AN593" s="191"/>
      <c r="AO593" s="190"/>
      <c r="AP593" s="190"/>
      <c r="AQ593" s="190"/>
      <c r="AR593" s="190"/>
      <c r="AS593" s="190"/>
      <c r="AT593" s="191"/>
      <c r="AU593" s="190"/>
      <c r="AV593" s="190"/>
      <c r="AW593" s="190"/>
      <c r="AX593" s="190"/>
      <c r="AY593" s="190"/>
      <c r="AZ593" s="191"/>
      <c r="BA593" s="183"/>
      <c r="BB593" s="183"/>
      <c r="BC593" s="183"/>
      <c r="BD593" s="183"/>
      <c r="BE593" s="183"/>
      <c r="BF593" s="184"/>
      <c r="BG593" s="183"/>
      <c r="BH593" s="183"/>
      <c r="BI593" s="183"/>
      <c r="BJ593" s="183"/>
      <c r="BK593" s="183"/>
      <c r="BL593" s="184"/>
      <c r="BM593" s="409"/>
      <c r="BN593" s="409"/>
    </row>
    <row r="594" spans="1:66" s="153" customFormat="1" x14ac:dyDescent="0.2">
      <c r="A594" s="61"/>
      <c r="B594" s="61"/>
      <c r="C594" s="61"/>
      <c r="D594" s="61"/>
      <c r="E594" s="61"/>
      <c r="F594" s="61"/>
      <c r="G594" s="61"/>
      <c r="H594" s="61"/>
      <c r="I594" s="61"/>
      <c r="J594" s="61"/>
      <c r="K594" s="61"/>
      <c r="L594" s="61"/>
      <c r="M594" s="61"/>
      <c r="N594" s="61"/>
      <c r="O594" s="61"/>
      <c r="P594" s="61"/>
      <c r="Q594" s="61"/>
      <c r="R594" s="61"/>
      <c r="S594" s="61"/>
      <c r="T594" s="35"/>
      <c r="U594" s="187"/>
      <c r="V594" s="190"/>
      <c r="W594" s="190"/>
      <c r="X594" s="190"/>
      <c r="Y594" s="190"/>
      <c r="Z594" s="190"/>
      <c r="AA594" s="191"/>
      <c r="AB594" s="190"/>
      <c r="AC594" s="190"/>
      <c r="AD594" s="190"/>
      <c r="AE594" s="190"/>
      <c r="AF594" s="190"/>
      <c r="AG594" s="190"/>
      <c r="AH594" s="191"/>
      <c r="AI594" s="190"/>
      <c r="AJ594" s="190"/>
      <c r="AK594" s="190"/>
      <c r="AL594" s="190"/>
      <c r="AM594" s="190"/>
      <c r="AN594" s="191"/>
      <c r="AO594" s="190"/>
      <c r="AP594" s="190"/>
      <c r="AQ594" s="190"/>
      <c r="AR594" s="190"/>
      <c r="AS594" s="190"/>
      <c r="AT594" s="191"/>
      <c r="AU594" s="190"/>
      <c r="AV594" s="190"/>
      <c r="AW594" s="190"/>
      <c r="AX594" s="190"/>
      <c r="AY594" s="190"/>
      <c r="AZ594" s="191"/>
      <c r="BA594" s="183"/>
      <c r="BB594" s="183"/>
      <c r="BC594" s="183"/>
      <c r="BD594" s="183"/>
      <c r="BE594" s="183"/>
      <c r="BF594" s="184"/>
      <c r="BG594" s="183"/>
      <c r="BH594" s="183"/>
      <c r="BI594" s="183"/>
      <c r="BJ594" s="183"/>
      <c r="BK594" s="183"/>
      <c r="BL594" s="184"/>
      <c r="BM594" s="409"/>
      <c r="BN594" s="409"/>
    </row>
    <row r="595" spans="1:66" s="153" customFormat="1" x14ac:dyDescent="0.2">
      <c r="A595" s="61"/>
      <c r="B595" s="61"/>
      <c r="C595" s="61"/>
      <c r="D595" s="61"/>
      <c r="E595" s="61"/>
      <c r="F595" s="61"/>
      <c r="G595" s="61"/>
      <c r="H595" s="61"/>
      <c r="I595" s="61"/>
      <c r="J595" s="61"/>
      <c r="K595" s="61"/>
      <c r="L595" s="61"/>
      <c r="M595" s="61"/>
      <c r="N595" s="61"/>
      <c r="O595" s="61"/>
      <c r="P595" s="61"/>
      <c r="Q595" s="61"/>
      <c r="R595" s="61"/>
      <c r="S595" s="61"/>
      <c r="T595" s="35"/>
      <c r="U595" s="187"/>
      <c r="V595" s="190"/>
      <c r="W595" s="190"/>
      <c r="X595" s="190"/>
      <c r="Y595" s="190"/>
      <c r="Z595" s="190"/>
      <c r="AA595" s="191"/>
      <c r="AB595" s="190"/>
      <c r="AC595" s="190"/>
      <c r="AD595" s="190"/>
      <c r="AE595" s="190"/>
      <c r="AF595" s="190"/>
      <c r="AG595" s="190"/>
      <c r="AH595" s="191"/>
      <c r="AI595" s="190"/>
      <c r="AJ595" s="190"/>
      <c r="AK595" s="190"/>
      <c r="AL595" s="190"/>
      <c r="AM595" s="190"/>
      <c r="AN595" s="191"/>
      <c r="AO595" s="190"/>
      <c r="AP595" s="190"/>
      <c r="AQ595" s="190"/>
      <c r="AR595" s="190"/>
      <c r="AS595" s="190"/>
      <c r="AT595" s="191"/>
      <c r="AU595" s="190"/>
      <c r="AV595" s="190"/>
      <c r="AW595" s="190"/>
      <c r="AX595" s="190"/>
      <c r="AY595" s="190"/>
      <c r="AZ595" s="191"/>
      <c r="BA595" s="183"/>
      <c r="BB595" s="183"/>
      <c r="BC595" s="183"/>
      <c r="BD595" s="183"/>
      <c r="BE595" s="183"/>
      <c r="BF595" s="184"/>
      <c r="BG595" s="183"/>
      <c r="BH595" s="183"/>
      <c r="BI595" s="183"/>
      <c r="BJ595" s="183"/>
      <c r="BK595" s="183"/>
      <c r="BL595" s="184"/>
      <c r="BM595" s="409"/>
      <c r="BN595" s="409"/>
    </row>
    <row r="596" spans="1:66" s="153" customFormat="1" x14ac:dyDescent="0.2">
      <c r="A596" s="61"/>
      <c r="B596" s="61"/>
      <c r="C596" s="61"/>
      <c r="D596" s="61"/>
      <c r="E596" s="61"/>
      <c r="F596" s="61"/>
      <c r="G596" s="61"/>
      <c r="H596" s="61"/>
      <c r="I596" s="61"/>
      <c r="J596" s="61"/>
      <c r="K596" s="61"/>
      <c r="L596" s="61"/>
      <c r="M596" s="61"/>
      <c r="N596" s="61"/>
      <c r="O596" s="61"/>
      <c r="P596" s="61"/>
      <c r="Q596" s="61"/>
      <c r="R596" s="61"/>
      <c r="S596" s="61"/>
      <c r="T596" s="35"/>
      <c r="U596" s="187"/>
      <c r="V596" s="190"/>
      <c r="W596" s="190"/>
      <c r="X596" s="190"/>
      <c r="Y596" s="190"/>
      <c r="Z596" s="190"/>
      <c r="AA596" s="191"/>
      <c r="AB596" s="190"/>
      <c r="AC596" s="190"/>
      <c r="AD596" s="190"/>
      <c r="AE596" s="190"/>
      <c r="AF596" s="190"/>
      <c r="AG596" s="190"/>
      <c r="AH596" s="191"/>
      <c r="AI596" s="190"/>
      <c r="AJ596" s="190"/>
      <c r="AK596" s="190"/>
      <c r="AL596" s="190"/>
      <c r="AM596" s="190"/>
      <c r="AN596" s="191"/>
      <c r="AO596" s="190"/>
      <c r="AP596" s="190"/>
      <c r="AQ596" s="190"/>
      <c r="AR596" s="190"/>
      <c r="AS596" s="190"/>
      <c r="AT596" s="191"/>
      <c r="AU596" s="190"/>
      <c r="AV596" s="190"/>
      <c r="AW596" s="190"/>
      <c r="AX596" s="190"/>
      <c r="AY596" s="190"/>
      <c r="AZ596" s="191"/>
      <c r="BA596" s="183"/>
      <c r="BB596" s="183"/>
      <c r="BC596" s="183"/>
      <c r="BD596" s="183"/>
      <c r="BE596" s="183"/>
      <c r="BF596" s="184"/>
      <c r="BG596" s="183"/>
      <c r="BH596" s="183"/>
      <c r="BI596" s="183"/>
      <c r="BJ596" s="183"/>
      <c r="BK596" s="183"/>
      <c r="BL596" s="184"/>
      <c r="BM596" s="409"/>
      <c r="BN596" s="409"/>
    </row>
    <row r="597" spans="1:66" s="153" customFormat="1" x14ac:dyDescent="0.2">
      <c r="A597" s="61"/>
      <c r="B597" s="61"/>
      <c r="C597" s="61"/>
      <c r="D597" s="61"/>
      <c r="E597" s="61"/>
      <c r="F597" s="61"/>
      <c r="G597" s="61"/>
      <c r="H597" s="61"/>
      <c r="I597" s="61"/>
      <c r="J597" s="61"/>
      <c r="K597" s="61"/>
      <c r="L597" s="61"/>
      <c r="M597" s="61"/>
      <c r="N597" s="61"/>
      <c r="O597" s="61"/>
      <c r="P597" s="61"/>
      <c r="Q597" s="61"/>
      <c r="R597" s="61"/>
      <c r="S597" s="61"/>
      <c r="T597" s="35"/>
      <c r="U597" s="187"/>
      <c r="V597" s="190"/>
      <c r="W597" s="190"/>
      <c r="X597" s="190"/>
      <c r="Y597" s="190"/>
      <c r="Z597" s="190"/>
      <c r="AA597" s="191"/>
      <c r="AB597" s="190"/>
      <c r="AC597" s="190"/>
      <c r="AD597" s="190"/>
      <c r="AE597" s="190"/>
      <c r="AF597" s="190"/>
      <c r="AG597" s="190"/>
      <c r="AH597" s="191"/>
      <c r="AI597" s="190"/>
      <c r="AJ597" s="190"/>
      <c r="AK597" s="190"/>
      <c r="AL597" s="190"/>
      <c r="AM597" s="190"/>
      <c r="AN597" s="191"/>
      <c r="AO597" s="190"/>
      <c r="AP597" s="190"/>
      <c r="AQ597" s="190"/>
      <c r="AR597" s="190"/>
      <c r="AS597" s="190"/>
      <c r="AT597" s="191"/>
      <c r="AU597" s="190"/>
      <c r="AV597" s="190"/>
      <c r="AW597" s="190"/>
      <c r="AX597" s="190"/>
      <c r="AY597" s="190"/>
      <c r="AZ597" s="191"/>
      <c r="BA597" s="183"/>
      <c r="BB597" s="183"/>
      <c r="BC597" s="183"/>
      <c r="BD597" s="183"/>
      <c r="BE597" s="183"/>
      <c r="BF597" s="184"/>
      <c r="BG597" s="183"/>
      <c r="BH597" s="183"/>
      <c r="BI597" s="183"/>
      <c r="BJ597" s="183"/>
      <c r="BK597" s="183"/>
      <c r="BL597" s="184"/>
      <c r="BM597" s="409"/>
      <c r="BN597" s="409"/>
    </row>
    <row r="598" spans="1:66" s="153" customFormat="1" x14ac:dyDescent="0.2">
      <c r="A598" s="61"/>
      <c r="B598" s="61"/>
      <c r="C598" s="61"/>
      <c r="D598" s="61"/>
      <c r="E598" s="61"/>
      <c r="F598" s="61"/>
      <c r="G598" s="61"/>
      <c r="H598" s="61"/>
      <c r="I598" s="61"/>
      <c r="J598" s="61"/>
      <c r="K598" s="61"/>
      <c r="L598" s="61"/>
      <c r="M598" s="61"/>
      <c r="N598" s="61"/>
      <c r="O598" s="61"/>
      <c r="P598" s="61"/>
      <c r="Q598" s="61"/>
      <c r="R598" s="61"/>
      <c r="S598" s="61"/>
      <c r="T598" s="35"/>
      <c r="U598" s="187"/>
      <c r="V598" s="190"/>
      <c r="W598" s="190"/>
      <c r="X598" s="190"/>
      <c r="Y598" s="190"/>
      <c r="Z598" s="190"/>
      <c r="AA598" s="191"/>
      <c r="AB598" s="190"/>
      <c r="AC598" s="190"/>
      <c r="AD598" s="190"/>
      <c r="AE598" s="190"/>
      <c r="AF598" s="190"/>
      <c r="AG598" s="190"/>
      <c r="AH598" s="191"/>
      <c r="AI598" s="190"/>
      <c r="AJ598" s="190"/>
      <c r="AK598" s="190"/>
      <c r="AL598" s="190"/>
      <c r="AM598" s="190"/>
      <c r="AN598" s="191"/>
      <c r="AO598" s="190"/>
      <c r="AP598" s="190"/>
      <c r="AQ598" s="190"/>
      <c r="AR598" s="190"/>
      <c r="AS598" s="190"/>
      <c r="AT598" s="191"/>
      <c r="AU598" s="190"/>
      <c r="AV598" s="190"/>
      <c r="AW598" s="190"/>
      <c r="AX598" s="190"/>
      <c r="AY598" s="190"/>
      <c r="AZ598" s="191"/>
      <c r="BA598" s="183"/>
      <c r="BB598" s="183"/>
      <c r="BC598" s="183"/>
      <c r="BD598" s="183"/>
      <c r="BE598" s="183"/>
      <c r="BF598" s="184"/>
      <c r="BG598" s="183"/>
      <c r="BH598" s="183"/>
      <c r="BI598" s="183"/>
      <c r="BJ598" s="183"/>
      <c r="BK598" s="183"/>
      <c r="BL598" s="184"/>
      <c r="BM598" s="409"/>
      <c r="BN598" s="409"/>
    </row>
    <row r="599" spans="1:66" s="153" customFormat="1" x14ac:dyDescent="0.2">
      <c r="A599" s="61"/>
      <c r="B599" s="61"/>
      <c r="C599" s="61"/>
      <c r="D599" s="61"/>
      <c r="E599" s="61"/>
      <c r="F599" s="61"/>
      <c r="G599" s="61"/>
      <c r="H599" s="61"/>
      <c r="I599" s="61"/>
      <c r="J599" s="61"/>
      <c r="K599" s="61"/>
      <c r="L599" s="61"/>
      <c r="M599" s="61"/>
      <c r="N599" s="61"/>
      <c r="O599" s="61"/>
      <c r="P599" s="61"/>
      <c r="Q599" s="61"/>
      <c r="R599" s="61"/>
      <c r="S599" s="61"/>
      <c r="T599" s="35"/>
      <c r="U599" s="187"/>
      <c r="V599" s="190"/>
      <c r="W599" s="190"/>
      <c r="X599" s="190"/>
      <c r="Y599" s="190"/>
      <c r="Z599" s="190"/>
      <c r="AA599" s="191"/>
      <c r="AB599" s="190"/>
      <c r="AC599" s="190"/>
      <c r="AD599" s="190"/>
      <c r="AE599" s="190"/>
      <c r="AF599" s="190"/>
      <c r="AG599" s="190"/>
      <c r="AH599" s="191"/>
      <c r="AI599" s="190"/>
      <c r="AJ599" s="190"/>
      <c r="AK599" s="190"/>
      <c r="AL599" s="190"/>
      <c r="AM599" s="190"/>
      <c r="AN599" s="191"/>
      <c r="AO599" s="190"/>
      <c r="AP599" s="190"/>
      <c r="AQ599" s="190"/>
      <c r="AR599" s="190"/>
      <c r="AS599" s="190"/>
      <c r="AT599" s="191"/>
      <c r="AU599" s="190"/>
      <c r="AV599" s="190"/>
      <c r="AW599" s="190"/>
      <c r="AX599" s="190"/>
      <c r="AY599" s="190"/>
      <c r="AZ599" s="191"/>
      <c r="BA599" s="183"/>
      <c r="BB599" s="183"/>
      <c r="BC599" s="183"/>
      <c r="BD599" s="183"/>
      <c r="BE599" s="183"/>
      <c r="BF599" s="184"/>
      <c r="BG599" s="183"/>
      <c r="BH599" s="183"/>
      <c r="BI599" s="183"/>
      <c r="BJ599" s="183"/>
      <c r="BK599" s="183"/>
      <c r="BL599" s="184"/>
      <c r="BM599" s="409"/>
      <c r="BN599" s="409"/>
    </row>
    <row r="600" spans="1:66" s="153" customFormat="1" x14ac:dyDescent="0.2">
      <c r="A600" s="61"/>
      <c r="B600" s="61"/>
      <c r="C600" s="61"/>
      <c r="D600" s="61"/>
      <c r="E600" s="61"/>
      <c r="F600" s="61"/>
      <c r="G600" s="61"/>
      <c r="H600" s="61"/>
      <c r="I600" s="61"/>
      <c r="J600" s="61"/>
      <c r="K600" s="61"/>
      <c r="L600" s="61"/>
      <c r="M600" s="61"/>
      <c r="N600" s="61"/>
      <c r="O600" s="61"/>
      <c r="P600" s="61"/>
      <c r="Q600" s="61"/>
      <c r="R600" s="61"/>
      <c r="S600" s="61"/>
      <c r="T600" s="35"/>
      <c r="U600" s="187"/>
      <c r="V600" s="190"/>
      <c r="W600" s="190"/>
      <c r="X600" s="190"/>
      <c r="Y600" s="190"/>
      <c r="Z600" s="190"/>
      <c r="AA600" s="191"/>
      <c r="AB600" s="190"/>
      <c r="AC600" s="190"/>
      <c r="AD600" s="190"/>
      <c r="AE600" s="190"/>
      <c r="AF600" s="190"/>
      <c r="AG600" s="190"/>
      <c r="AH600" s="191"/>
      <c r="AI600" s="190"/>
      <c r="AJ600" s="190"/>
      <c r="AK600" s="190"/>
      <c r="AL600" s="190"/>
      <c r="AM600" s="190"/>
      <c r="AN600" s="191"/>
      <c r="AO600" s="190"/>
      <c r="AP600" s="190"/>
      <c r="AQ600" s="190"/>
      <c r="AR600" s="190"/>
      <c r="AS600" s="190"/>
      <c r="AT600" s="191"/>
      <c r="AU600" s="190"/>
      <c r="AV600" s="190"/>
      <c r="AW600" s="190"/>
      <c r="AX600" s="190"/>
      <c r="AY600" s="190"/>
      <c r="AZ600" s="191"/>
      <c r="BA600" s="183"/>
      <c r="BB600" s="183"/>
      <c r="BC600" s="183"/>
      <c r="BD600" s="183"/>
      <c r="BE600" s="183"/>
      <c r="BF600" s="184"/>
      <c r="BG600" s="183"/>
      <c r="BH600" s="183"/>
      <c r="BI600" s="183"/>
      <c r="BJ600" s="183"/>
      <c r="BK600" s="183"/>
      <c r="BL600" s="184"/>
      <c r="BM600" s="409"/>
      <c r="BN600" s="409"/>
    </row>
    <row r="601" spans="1:66" s="153" customFormat="1" x14ac:dyDescent="0.2">
      <c r="A601" s="61"/>
      <c r="B601" s="61"/>
      <c r="C601" s="61"/>
      <c r="D601" s="61"/>
      <c r="E601" s="61"/>
      <c r="F601" s="61"/>
      <c r="G601" s="61"/>
      <c r="H601" s="61"/>
      <c r="I601" s="61"/>
      <c r="J601" s="61"/>
      <c r="K601" s="61"/>
      <c r="L601" s="61"/>
      <c r="M601" s="61"/>
      <c r="N601" s="61"/>
      <c r="O601" s="61"/>
      <c r="P601" s="61"/>
      <c r="Q601" s="61"/>
      <c r="R601" s="61"/>
      <c r="S601" s="61"/>
      <c r="T601" s="35"/>
      <c r="U601" s="187"/>
      <c r="V601" s="190"/>
      <c r="W601" s="190"/>
      <c r="X601" s="190"/>
      <c r="Y601" s="190"/>
      <c r="Z601" s="190"/>
      <c r="AA601" s="191"/>
      <c r="AB601" s="190"/>
      <c r="AC601" s="190"/>
      <c r="AD601" s="190"/>
      <c r="AE601" s="190"/>
      <c r="AF601" s="190"/>
      <c r="AG601" s="190"/>
      <c r="AH601" s="191"/>
      <c r="AI601" s="190"/>
      <c r="AJ601" s="190"/>
      <c r="AK601" s="190"/>
      <c r="AL601" s="190"/>
      <c r="AM601" s="190"/>
      <c r="AN601" s="191"/>
      <c r="AO601" s="190"/>
      <c r="AP601" s="190"/>
      <c r="AQ601" s="190"/>
      <c r="AR601" s="190"/>
      <c r="AS601" s="190"/>
      <c r="AT601" s="191"/>
      <c r="AU601" s="190"/>
      <c r="AV601" s="190"/>
      <c r="AW601" s="190"/>
      <c r="AX601" s="190"/>
      <c r="AY601" s="190"/>
      <c r="AZ601" s="191"/>
      <c r="BA601" s="183"/>
      <c r="BB601" s="183"/>
      <c r="BC601" s="183"/>
      <c r="BD601" s="183"/>
      <c r="BE601" s="183"/>
      <c r="BF601" s="184"/>
      <c r="BG601" s="183"/>
      <c r="BH601" s="183"/>
      <c r="BI601" s="183"/>
      <c r="BJ601" s="183"/>
      <c r="BK601" s="183"/>
      <c r="BL601" s="184"/>
      <c r="BM601" s="409"/>
      <c r="BN601" s="409"/>
    </row>
    <row r="602" spans="1:66" s="153" customFormat="1" x14ac:dyDescent="0.2">
      <c r="A602" s="61"/>
      <c r="B602" s="61"/>
      <c r="C602" s="61"/>
      <c r="D602" s="61"/>
      <c r="E602" s="61"/>
      <c r="F602" s="61"/>
      <c r="G602" s="61"/>
      <c r="H602" s="61"/>
      <c r="I602" s="61"/>
      <c r="J602" s="61"/>
      <c r="K602" s="61"/>
      <c r="L602" s="61"/>
      <c r="M602" s="61"/>
      <c r="N602" s="61"/>
      <c r="O602" s="61"/>
      <c r="P602" s="61"/>
      <c r="Q602" s="61"/>
      <c r="R602" s="61"/>
      <c r="S602" s="61"/>
      <c r="T602" s="35"/>
      <c r="U602" s="187"/>
      <c r="V602" s="190"/>
      <c r="W602" s="190"/>
      <c r="X602" s="190"/>
      <c r="Y602" s="190"/>
      <c r="Z602" s="190"/>
      <c r="AA602" s="191"/>
      <c r="AB602" s="190"/>
      <c r="AC602" s="190"/>
      <c r="AD602" s="190"/>
      <c r="AE602" s="190"/>
      <c r="AF602" s="190"/>
      <c r="AG602" s="190"/>
      <c r="AH602" s="191"/>
      <c r="AI602" s="190"/>
      <c r="AJ602" s="190"/>
      <c r="AK602" s="190"/>
      <c r="AL602" s="190"/>
      <c r="AM602" s="190"/>
      <c r="AN602" s="191"/>
      <c r="AO602" s="190"/>
      <c r="AP602" s="190"/>
      <c r="AQ602" s="190"/>
      <c r="AR602" s="190"/>
      <c r="AS602" s="190"/>
      <c r="AT602" s="191"/>
      <c r="AU602" s="190"/>
      <c r="AV602" s="190"/>
      <c r="AW602" s="190"/>
      <c r="AX602" s="190"/>
      <c r="AY602" s="190"/>
      <c r="AZ602" s="191"/>
      <c r="BA602" s="183"/>
      <c r="BB602" s="183"/>
      <c r="BC602" s="183"/>
      <c r="BD602" s="183"/>
      <c r="BE602" s="183"/>
      <c r="BF602" s="184"/>
      <c r="BG602" s="183"/>
      <c r="BH602" s="183"/>
      <c r="BI602" s="183"/>
      <c r="BJ602" s="183"/>
      <c r="BK602" s="183"/>
      <c r="BL602" s="184"/>
      <c r="BM602" s="409"/>
      <c r="BN602" s="409"/>
    </row>
    <row r="603" spans="1:66" s="153" customFormat="1" x14ac:dyDescent="0.2">
      <c r="A603" s="61"/>
      <c r="B603" s="61"/>
      <c r="C603" s="61"/>
      <c r="D603" s="61"/>
      <c r="E603" s="61"/>
      <c r="F603" s="61"/>
      <c r="G603" s="61"/>
      <c r="H603" s="61"/>
      <c r="I603" s="61"/>
      <c r="J603" s="61"/>
      <c r="K603" s="61"/>
      <c r="L603" s="61"/>
      <c r="M603" s="61"/>
      <c r="N603" s="61"/>
      <c r="O603" s="61"/>
      <c r="P603" s="61"/>
      <c r="Q603" s="61"/>
      <c r="R603" s="61"/>
      <c r="S603" s="61"/>
      <c r="T603" s="35"/>
      <c r="U603" s="187"/>
      <c r="V603" s="190"/>
      <c r="W603" s="190"/>
      <c r="X603" s="190"/>
      <c r="Y603" s="190"/>
      <c r="Z603" s="190"/>
      <c r="AA603" s="191"/>
      <c r="AB603" s="190"/>
      <c r="AC603" s="190"/>
      <c r="AD603" s="190"/>
      <c r="AE603" s="190"/>
      <c r="AF603" s="190"/>
      <c r="AG603" s="190"/>
      <c r="AH603" s="191"/>
      <c r="AI603" s="190"/>
      <c r="AJ603" s="190"/>
      <c r="AK603" s="190"/>
      <c r="AL603" s="190"/>
      <c r="AM603" s="190"/>
      <c r="AN603" s="191"/>
      <c r="AO603" s="190"/>
      <c r="AP603" s="190"/>
      <c r="AQ603" s="190"/>
      <c r="AR603" s="190"/>
      <c r="AS603" s="190"/>
      <c r="AT603" s="191"/>
      <c r="AU603" s="190"/>
      <c r="AV603" s="190"/>
      <c r="AW603" s="190"/>
      <c r="AX603" s="190"/>
      <c r="AY603" s="190"/>
      <c r="AZ603" s="191"/>
      <c r="BA603" s="183"/>
      <c r="BB603" s="183"/>
      <c r="BC603" s="183"/>
      <c r="BD603" s="183"/>
      <c r="BE603" s="183"/>
      <c r="BF603" s="184"/>
      <c r="BG603" s="183"/>
      <c r="BH603" s="183"/>
      <c r="BI603" s="183"/>
      <c r="BJ603" s="183"/>
      <c r="BK603" s="183"/>
      <c r="BL603" s="184"/>
      <c r="BM603" s="409"/>
      <c r="BN603" s="409"/>
    </row>
    <row r="604" spans="1:66" s="153" customFormat="1" x14ac:dyDescent="0.2">
      <c r="A604" s="61"/>
      <c r="B604" s="61"/>
      <c r="C604" s="61"/>
      <c r="D604" s="61"/>
      <c r="E604" s="61"/>
      <c r="F604" s="61"/>
      <c r="G604" s="61"/>
      <c r="H604" s="61"/>
      <c r="I604" s="61"/>
      <c r="J604" s="61"/>
      <c r="K604" s="61"/>
      <c r="L604" s="61"/>
      <c r="M604" s="61"/>
      <c r="N604" s="61"/>
      <c r="O604" s="61"/>
      <c r="P604" s="61"/>
      <c r="Q604" s="61"/>
      <c r="R604" s="61"/>
      <c r="S604" s="61"/>
      <c r="T604" s="35"/>
      <c r="U604" s="187"/>
      <c r="V604" s="190"/>
      <c r="W604" s="190"/>
      <c r="X604" s="190"/>
      <c r="Y604" s="190"/>
      <c r="Z604" s="190"/>
      <c r="AA604" s="191"/>
      <c r="AB604" s="190"/>
      <c r="AC604" s="190"/>
      <c r="AD604" s="190"/>
      <c r="AE604" s="190"/>
      <c r="AF604" s="190"/>
      <c r="AG604" s="190"/>
      <c r="AH604" s="191"/>
      <c r="AI604" s="190"/>
      <c r="AJ604" s="190"/>
      <c r="AK604" s="190"/>
      <c r="AL604" s="190"/>
      <c r="AM604" s="190"/>
      <c r="AN604" s="191"/>
      <c r="AO604" s="190"/>
      <c r="AP604" s="190"/>
      <c r="AQ604" s="190"/>
      <c r="AR604" s="190"/>
      <c r="AS604" s="190"/>
      <c r="AT604" s="191"/>
      <c r="AU604" s="190"/>
      <c r="AV604" s="190"/>
      <c r="AW604" s="190"/>
      <c r="AX604" s="190"/>
      <c r="AY604" s="190"/>
      <c r="AZ604" s="191"/>
      <c r="BA604" s="183"/>
      <c r="BB604" s="183"/>
      <c r="BC604" s="183"/>
      <c r="BD604" s="183"/>
      <c r="BE604" s="183"/>
      <c r="BF604" s="184"/>
      <c r="BG604" s="183"/>
      <c r="BH604" s="183"/>
      <c r="BI604" s="183"/>
      <c r="BJ604" s="183"/>
      <c r="BK604" s="183"/>
      <c r="BL604" s="184"/>
      <c r="BM604" s="409"/>
      <c r="BN604" s="409"/>
    </row>
    <row r="605" spans="1:66" s="153" customFormat="1" x14ac:dyDescent="0.2">
      <c r="A605" s="61"/>
      <c r="B605" s="61"/>
      <c r="C605" s="61"/>
      <c r="D605" s="61"/>
      <c r="E605" s="61"/>
      <c r="F605" s="61"/>
      <c r="G605" s="61"/>
      <c r="H605" s="61"/>
      <c r="I605" s="61"/>
      <c r="J605" s="61"/>
      <c r="K605" s="61"/>
      <c r="L605" s="61"/>
      <c r="M605" s="61"/>
      <c r="N605" s="61"/>
      <c r="O605" s="61"/>
      <c r="P605" s="61"/>
      <c r="Q605" s="61"/>
      <c r="R605" s="61"/>
      <c r="S605" s="61"/>
      <c r="T605" s="35"/>
      <c r="U605" s="187"/>
      <c r="V605" s="190"/>
      <c r="W605" s="190"/>
      <c r="X605" s="190"/>
      <c r="Y605" s="190"/>
      <c r="Z605" s="190"/>
      <c r="AA605" s="191"/>
      <c r="AB605" s="190"/>
      <c r="AC605" s="190"/>
      <c r="AD605" s="190"/>
      <c r="AE605" s="190"/>
      <c r="AF605" s="190"/>
      <c r="AG605" s="190"/>
      <c r="AH605" s="191"/>
      <c r="AI605" s="190"/>
      <c r="AJ605" s="190"/>
      <c r="AK605" s="190"/>
      <c r="AL605" s="190"/>
      <c r="AM605" s="190"/>
      <c r="AN605" s="191"/>
      <c r="AO605" s="190"/>
      <c r="AP605" s="190"/>
      <c r="AQ605" s="190"/>
      <c r="AR605" s="190"/>
      <c r="AS605" s="190"/>
      <c r="AT605" s="191"/>
      <c r="AU605" s="190"/>
      <c r="AV605" s="190"/>
      <c r="AW605" s="190"/>
      <c r="AX605" s="190"/>
      <c r="AY605" s="190"/>
      <c r="AZ605" s="191"/>
      <c r="BA605" s="183"/>
      <c r="BB605" s="183"/>
      <c r="BC605" s="183"/>
      <c r="BD605" s="183"/>
      <c r="BE605" s="183"/>
      <c r="BF605" s="184"/>
      <c r="BG605" s="183"/>
      <c r="BH605" s="183"/>
      <c r="BI605" s="183"/>
      <c r="BJ605" s="183"/>
      <c r="BK605" s="183"/>
      <c r="BL605" s="184"/>
      <c r="BM605" s="409"/>
      <c r="BN605" s="409"/>
    </row>
    <row r="606" spans="1:66" s="153" customFormat="1" x14ac:dyDescent="0.2">
      <c r="A606" s="61"/>
      <c r="B606" s="61"/>
      <c r="C606" s="61"/>
      <c r="D606" s="61"/>
      <c r="E606" s="61"/>
      <c r="F606" s="61"/>
      <c r="G606" s="61"/>
      <c r="H606" s="61"/>
      <c r="I606" s="61"/>
      <c r="J606" s="61"/>
      <c r="K606" s="61"/>
      <c r="L606" s="61"/>
      <c r="M606" s="61"/>
      <c r="N606" s="61"/>
      <c r="O606" s="61"/>
      <c r="P606" s="61"/>
      <c r="Q606" s="61"/>
      <c r="R606" s="61"/>
      <c r="S606" s="61"/>
      <c r="T606" s="35"/>
      <c r="U606" s="187"/>
      <c r="V606" s="190"/>
      <c r="W606" s="190"/>
      <c r="X606" s="190"/>
      <c r="Y606" s="190"/>
      <c r="Z606" s="190"/>
      <c r="AA606" s="191"/>
      <c r="AB606" s="190"/>
      <c r="AC606" s="190"/>
      <c r="AD606" s="190"/>
      <c r="AE606" s="190"/>
      <c r="AF606" s="190"/>
      <c r="AG606" s="190"/>
      <c r="AH606" s="191"/>
      <c r="AI606" s="190"/>
      <c r="AJ606" s="190"/>
      <c r="AK606" s="190"/>
      <c r="AL606" s="190"/>
      <c r="AM606" s="190"/>
      <c r="AN606" s="191"/>
      <c r="AO606" s="190"/>
      <c r="AP606" s="190"/>
      <c r="AQ606" s="190"/>
      <c r="AR606" s="190"/>
      <c r="AS606" s="190"/>
      <c r="AT606" s="191"/>
      <c r="AU606" s="190"/>
      <c r="AV606" s="190"/>
      <c r="AW606" s="190"/>
      <c r="AX606" s="190"/>
      <c r="AY606" s="190"/>
      <c r="AZ606" s="191"/>
      <c r="BA606" s="183"/>
      <c r="BB606" s="183"/>
      <c r="BC606" s="183"/>
      <c r="BD606" s="183"/>
      <c r="BE606" s="183"/>
      <c r="BF606" s="184"/>
      <c r="BG606" s="183"/>
      <c r="BH606" s="183"/>
      <c r="BI606" s="183"/>
      <c r="BJ606" s="183"/>
      <c r="BK606" s="183"/>
      <c r="BL606" s="184"/>
      <c r="BM606" s="409"/>
      <c r="BN606" s="409"/>
    </row>
    <row r="607" spans="1:66" s="153" customFormat="1" x14ac:dyDescent="0.2">
      <c r="A607" s="61"/>
      <c r="B607" s="61"/>
      <c r="C607" s="61"/>
      <c r="D607" s="61"/>
      <c r="E607" s="61"/>
      <c r="F607" s="61"/>
      <c r="G607" s="61"/>
      <c r="H607" s="61"/>
      <c r="I607" s="61"/>
      <c r="J607" s="61"/>
      <c r="K607" s="61"/>
      <c r="L607" s="61"/>
      <c r="M607" s="61"/>
      <c r="N607" s="61"/>
      <c r="O607" s="61"/>
      <c r="P607" s="61"/>
      <c r="Q607" s="61"/>
      <c r="R607" s="61"/>
      <c r="S607" s="61"/>
      <c r="T607" s="35"/>
      <c r="U607" s="187"/>
      <c r="V607" s="190"/>
      <c r="W607" s="190"/>
      <c r="X607" s="190"/>
      <c r="Y607" s="190"/>
      <c r="Z607" s="190"/>
      <c r="AA607" s="191"/>
      <c r="AB607" s="190"/>
      <c r="AC607" s="190"/>
      <c r="AD607" s="190"/>
      <c r="AE607" s="190"/>
      <c r="AF607" s="190"/>
      <c r="AG607" s="190"/>
      <c r="AH607" s="191"/>
      <c r="AI607" s="190"/>
      <c r="AJ607" s="190"/>
      <c r="AK607" s="190"/>
      <c r="AL607" s="190"/>
      <c r="AM607" s="190"/>
      <c r="AN607" s="191"/>
      <c r="AO607" s="190"/>
      <c r="AP607" s="190"/>
      <c r="AQ607" s="190"/>
      <c r="AR607" s="190"/>
      <c r="AS607" s="190"/>
      <c r="AT607" s="191"/>
      <c r="AU607" s="190"/>
      <c r="AV607" s="190"/>
      <c r="AW607" s="190"/>
      <c r="AX607" s="190"/>
      <c r="AY607" s="190"/>
      <c r="AZ607" s="191"/>
      <c r="BA607" s="183"/>
      <c r="BB607" s="183"/>
      <c r="BC607" s="183"/>
      <c r="BD607" s="183"/>
      <c r="BE607" s="183"/>
      <c r="BF607" s="184"/>
      <c r="BG607" s="183"/>
      <c r="BH607" s="183"/>
      <c r="BI607" s="183"/>
      <c r="BJ607" s="183"/>
      <c r="BK607" s="183"/>
      <c r="BL607" s="184"/>
      <c r="BM607" s="409"/>
      <c r="BN607" s="409"/>
    </row>
    <row r="608" spans="1:66" s="153" customFormat="1" x14ac:dyDescent="0.2">
      <c r="A608" s="61"/>
      <c r="B608" s="61"/>
      <c r="C608" s="61"/>
      <c r="D608" s="61"/>
      <c r="E608" s="61"/>
      <c r="F608" s="61"/>
      <c r="G608" s="61"/>
      <c r="H608" s="61"/>
      <c r="I608" s="61"/>
      <c r="J608" s="61"/>
      <c r="K608" s="61"/>
      <c r="L608" s="61"/>
      <c r="M608" s="61"/>
      <c r="N608" s="61"/>
      <c r="O608" s="61"/>
      <c r="P608" s="61"/>
      <c r="Q608" s="61"/>
      <c r="R608" s="61"/>
      <c r="S608" s="61"/>
      <c r="T608" s="35"/>
      <c r="U608" s="187"/>
      <c r="V608" s="190"/>
      <c r="W608" s="190"/>
      <c r="X608" s="190"/>
      <c r="Y608" s="190"/>
      <c r="Z608" s="190"/>
      <c r="AA608" s="191"/>
      <c r="AB608" s="190"/>
      <c r="AC608" s="190"/>
      <c r="AD608" s="190"/>
      <c r="AE608" s="190"/>
      <c r="AF608" s="190"/>
      <c r="AG608" s="190"/>
      <c r="AH608" s="191"/>
      <c r="AI608" s="190"/>
      <c r="AJ608" s="190"/>
      <c r="AK608" s="190"/>
      <c r="AL608" s="190"/>
      <c r="AM608" s="190"/>
      <c r="AN608" s="191"/>
      <c r="AO608" s="190"/>
      <c r="AP608" s="190"/>
      <c r="AQ608" s="190"/>
      <c r="AR608" s="190"/>
      <c r="AS608" s="190"/>
      <c r="AT608" s="191"/>
      <c r="AU608" s="190"/>
      <c r="AV608" s="190"/>
      <c r="AW608" s="190"/>
      <c r="AX608" s="190"/>
      <c r="AY608" s="190"/>
      <c r="AZ608" s="191"/>
      <c r="BA608" s="183"/>
      <c r="BB608" s="183"/>
      <c r="BC608" s="183"/>
      <c r="BD608" s="183"/>
      <c r="BE608" s="183"/>
      <c r="BF608" s="184"/>
      <c r="BG608" s="183"/>
      <c r="BH608" s="183"/>
      <c r="BI608" s="183"/>
      <c r="BJ608" s="183"/>
      <c r="BK608" s="183"/>
      <c r="BL608" s="184"/>
      <c r="BM608" s="409"/>
      <c r="BN608" s="409"/>
    </row>
    <row r="609" spans="1:66" s="153" customFormat="1" x14ac:dyDescent="0.2">
      <c r="A609" s="61"/>
      <c r="B609" s="61"/>
      <c r="C609" s="61"/>
      <c r="D609" s="61"/>
      <c r="E609" s="61"/>
      <c r="F609" s="61"/>
      <c r="G609" s="61"/>
      <c r="H609" s="61"/>
      <c r="I609" s="61"/>
      <c r="J609" s="61"/>
      <c r="K609" s="61"/>
      <c r="L609" s="61"/>
      <c r="M609" s="61"/>
      <c r="N609" s="61"/>
      <c r="O609" s="61"/>
      <c r="P609" s="61"/>
      <c r="Q609" s="61"/>
      <c r="R609" s="61"/>
      <c r="S609" s="61"/>
      <c r="T609" s="35"/>
      <c r="U609" s="187"/>
      <c r="V609" s="190"/>
      <c r="W609" s="190"/>
      <c r="X609" s="190"/>
      <c r="Y609" s="190"/>
      <c r="Z609" s="190"/>
      <c r="AA609" s="191"/>
      <c r="AB609" s="190"/>
      <c r="AC609" s="190"/>
      <c r="AD609" s="190"/>
      <c r="AE609" s="190"/>
      <c r="AF609" s="190"/>
      <c r="AG609" s="190"/>
      <c r="AH609" s="191"/>
      <c r="AI609" s="190"/>
      <c r="AJ609" s="190"/>
      <c r="AK609" s="190"/>
      <c r="AL609" s="190"/>
      <c r="AM609" s="190"/>
      <c r="AN609" s="191"/>
      <c r="AO609" s="190"/>
      <c r="AP609" s="190"/>
      <c r="AQ609" s="190"/>
      <c r="AR609" s="190"/>
      <c r="AS609" s="190"/>
      <c r="AT609" s="191"/>
      <c r="AU609" s="190"/>
      <c r="AV609" s="190"/>
      <c r="AW609" s="190"/>
      <c r="AX609" s="190"/>
      <c r="AY609" s="190"/>
      <c r="AZ609" s="191"/>
      <c r="BA609" s="183"/>
      <c r="BB609" s="183"/>
      <c r="BC609" s="183"/>
      <c r="BD609" s="183"/>
      <c r="BE609" s="183"/>
      <c r="BF609" s="184"/>
      <c r="BG609" s="183"/>
      <c r="BH609" s="183"/>
      <c r="BI609" s="183"/>
      <c r="BJ609" s="183"/>
      <c r="BK609" s="183"/>
      <c r="BL609" s="184"/>
      <c r="BM609" s="409"/>
      <c r="BN609" s="409"/>
    </row>
    <row r="610" spans="1:66" s="153" customFormat="1" x14ac:dyDescent="0.2">
      <c r="A610" s="61"/>
      <c r="B610" s="61"/>
      <c r="C610" s="61"/>
      <c r="D610" s="61"/>
      <c r="E610" s="61"/>
      <c r="F610" s="61"/>
      <c r="G610" s="61"/>
      <c r="H610" s="61"/>
      <c r="I610" s="61"/>
      <c r="J610" s="61"/>
      <c r="K610" s="61"/>
      <c r="L610" s="61"/>
      <c r="M610" s="61"/>
      <c r="N610" s="61"/>
      <c r="O610" s="61"/>
      <c r="P610" s="61"/>
      <c r="Q610" s="61"/>
      <c r="R610" s="61"/>
      <c r="S610" s="61"/>
      <c r="T610" s="35"/>
      <c r="U610" s="187"/>
      <c r="V610" s="190"/>
      <c r="W610" s="190"/>
      <c r="X610" s="190"/>
      <c r="Y610" s="190"/>
      <c r="Z610" s="190"/>
      <c r="AA610" s="191"/>
      <c r="AB610" s="190"/>
      <c r="AC610" s="190"/>
      <c r="AD610" s="190"/>
      <c r="AE610" s="190"/>
      <c r="AF610" s="190"/>
      <c r="AG610" s="190"/>
      <c r="AH610" s="191"/>
      <c r="AI610" s="190"/>
      <c r="AJ610" s="190"/>
      <c r="AK610" s="190"/>
      <c r="AL610" s="190"/>
      <c r="AM610" s="190"/>
      <c r="AN610" s="191"/>
      <c r="AO610" s="190"/>
      <c r="AP610" s="190"/>
      <c r="AQ610" s="190"/>
      <c r="AR610" s="190"/>
      <c r="AS610" s="190"/>
      <c r="AT610" s="191"/>
      <c r="AU610" s="190"/>
      <c r="AV610" s="190"/>
      <c r="AW610" s="190"/>
      <c r="AX610" s="190"/>
      <c r="AY610" s="190"/>
      <c r="AZ610" s="191"/>
      <c r="BA610" s="183"/>
      <c r="BB610" s="183"/>
      <c r="BC610" s="183"/>
      <c r="BD610" s="183"/>
      <c r="BE610" s="183"/>
      <c r="BF610" s="184"/>
      <c r="BG610" s="183"/>
      <c r="BH610" s="183"/>
      <c r="BI610" s="183"/>
      <c r="BJ610" s="183"/>
      <c r="BK610" s="183"/>
      <c r="BL610" s="184"/>
      <c r="BM610" s="409"/>
      <c r="BN610" s="409"/>
    </row>
    <row r="611" spans="1:66" s="153" customFormat="1" x14ac:dyDescent="0.2">
      <c r="A611" s="61"/>
      <c r="B611" s="61"/>
      <c r="C611" s="61"/>
      <c r="D611" s="61"/>
      <c r="E611" s="61"/>
      <c r="F611" s="61"/>
      <c r="G611" s="61"/>
      <c r="H611" s="61"/>
      <c r="I611" s="61"/>
      <c r="J611" s="61"/>
      <c r="K611" s="61"/>
      <c r="L611" s="61"/>
      <c r="M611" s="61"/>
      <c r="N611" s="61"/>
      <c r="O611" s="61"/>
      <c r="P611" s="61"/>
      <c r="Q611" s="61"/>
      <c r="R611" s="61"/>
      <c r="S611" s="61"/>
      <c r="T611" s="35"/>
      <c r="U611" s="187"/>
      <c r="V611" s="190"/>
      <c r="W611" s="190"/>
      <c r="X611" s="190"/>
      <c r="Y611" s="190"/>
      <c r="Z611" s="190"/>
      <c r="AA611" s="191"/>
      <c r="AB611" s="190"/>
      <c r="AC611" s="190"/>
      <c r="AD611" s="190"/>
      <c r="AE611" s="190"/>
      <c r="AF611" s="190"/>
      <c r="AG611" s="190"/>
      <c r="AH611" s="191"/>
      <c r="AI611" s="190"/>
      <c r="AJ611" s="190"/>
      <c r="AK611" s="190"/>
      <c r="AL611" s="190"/>
      <c r="AM611" s="190"/>
      <c r="AN611" s="191"/>
      <c r="AO611" s="190"/>
      <c r="AP611" s="190"/>
      <c r="AQ611" s="190"/>
      <c r="AR611" s="190"/>
      <c r="AS611" s="190"/>
      <c r="AT611" s="191"/>
      <c r="AU611" s="190"/>
      <c r="AV611" s="190"/>
      <c r="AW611" s="190"/>
      <c r="AX611" s="190"/>
      <c r="AY611" s="190"/>
      <c r="AZ611" s="191"/>
      <c r="BA611" s="183"/>
      <c r="BB611" s="183"/>
      <c r="BC611" s="183"/>
      <c r="BD611" s="183"/>
      <c r="BE611" s="183"/>
      <c r="BF611" s="184"/>
      <c r="BG611" s="183"/>
      <c r="BH611" s="183"/>
      <c r="BI611" s="183"/>
      <c r="BJ611" s="183"/>
      <c r="BK611" s="183"/>
      <c r="BL611" s="184"/>
      <c r="BM611" s="409"/>
      <c r="BN611" s="409"/>
    </row>
    <row r="612" spans="1:66" s="153" customFormat="1" x14ac:dyDescent="0.2">
      <c r="A612" s="61"/>
      <c r="B612" s="61"/>
      <c r="C612" s="61"/>
      <c r="D612" s="61"/>
      <c r="E612" s="61"/>
      <c r="F612" s="61"/>
      <c r="G612" s="61"/>
      <c r="H612" s="61"/>
      <c r="I612" s="61"/>
      <c r="J612" s="61"/>
      <c r="K612" s="61"/>
      <c r="L612" s="61"/>
      <c r="M612" s="61"/>
      <c r="N612" s="61"/>
      <c r="O612" s="61"/>
      <c r="P612" s="61"/>
      <c r="Q612" s="61"/>
      <c r="R612" s="61"/>
      <c r="S612" s="61"/>
      <c r="T612" s="35"/>
      <c r="U612" s="187"/>
      <c r="V612" s="190"/>
      <c r="W612" s="190"/>
      <c r="X612" s="190"/>
      <c r="Y612" s="190"/>
      <c r="Z612" s="190"/>
      <c r="AA612" s="191"/>
      <c r="AB612" s="190"/>
      <c r="AC612" s="190"/>
      <c r="AD612" s="190"/>
      <c r="AE612" s="190"/>
      <c r="AF612" s="190"/>
      <c r="AG612" s="190"/>
      <c r="AH612" s="191"/>
      <c r="AI612" s="190"/>
      <c r="AJ612" s="190"/>
      <c r="AK612" s="190"/>
      <c r="AL612" s="190"/>
      <c r="AM612" s="190"/>
      <c r="AN612" s="191"/>
      <c r="AO612" s="190"/>
      <c r="AP612" s="190"/>
      <c r="AQ612" s="190"/>
      <c r="AR612" s="190"/>
      <c r="AS612" s="190"/>
      <c r="AT612" s="191"/>
      <c r="AU612" s="190"/>
      <c r="AV612" s="190"/>
      <c r="AW612" s="190"/>
      <c r="AX612" s="190"/>
      <c r="AY612" s="190"/>
      <c r="AZ612" s="191"/>
      <c r="BA612" s="183"/>
      <c r="BB612" s="183"/>
      <c r="BC612" s="183"/>
      <c r="BD612" s="183"/>
      <c r="BE612" s="183"/>
      <c r="BF612" s="184"/>
      <c r="BG612" s="183"/>
      <c r="BH612" s="183"/>
      <c r="BI612" s="183"/>
      <c r="BJ612" s="183"/>
      <c r="BK612" s="183"/>
      <c r="BL612" s="184"/>
      <c r="BM612" s="409"/>
      <c r="BN612" s="409"/>
    </row>
    <row r="613" spans="1:66" s="153" customFormat="1" x14ac:dyDescent="0.2">
      <c r="A613" s="61"/>
      <c r="B613" s="61"/>
      <c r="C613" s="61"/>
      <c r="D613" s="61"/>
      <c r="E613" s="61"/>
      <c r="F613" s="61"/>
      <c r="G613" s="61"/>
      <c r="H613" s="61"/>
      <c r="I613" s="61"/>
      <c r="J613" s="61"/>
      <c r="K613" s="61"/>
      <c r="L613" s="61"/>
      <c r="M613" s="61"/>
      <c r="N613" s="61"/>
      <c r="O613" s="61"/>
      <c r="P613" s="61"/>
      <c r="Q613" s="61"/>
      <c r="R613" s="61"/>
      <c r="S613" s="61"/>
      <c r="T613" s="35"/>
      <c r="U613" s="187"/>
      <c r="V613" s="190"/>
      <c r="W613" s="190"/>
      <c r="X613" s="190"/>
      <c r="Y613" s="190"/>
      <c r="Z613" s="190"/>
      <c r="AA613" s="191"/>
      <c r="AB613" s="190"/>
      <c r="AC613" s="190"/>
      <c r="AD613" s="190"/>
      <c r="AE613" s="190"/>
      <c r="AF613" s="190"/>
      <c r="AG613" s="190"/>
      <c r="AH613" s="191"/>
      <c r="AI613" s="190"/>
      <c r="AJ613" s="190"/>
      <c r="AK613" s="190"/>
      <c r="AL613" s="190"/>
      <c r="AM613" s="190"/>
      <c r="AN613" s="191"/>
      <c r="AO613" s="190"/>
      <c r="AP613" s="190"/>
      <c r="AQ613" s="190"/>
      <c r="AR613" s="190"/>
      <c r="AS613" s="190"/>
      <c r="AT613" s="191"/>
      <c r="AU613" s="190"/>
      <c r="AV613" s="190"/>
      <c r="AW613" s="190"/>
      <c r="AX613" s="190"/>
      <c r="AY613" s="190"/>
      <c r="AZ613" s="191"/>
      <c r="BA613" s="183"/>
      <c r="BB613" s="183"/>
      <c r="BC613" s="183"/>
      <c r="BD613" s="183"/>
      <c r="BE613" s="183"/>
      <c r="BF613" s="184"/>
      <c r="BG613" s="183"/>
      <c r="BH613" s="183"/>
      <c r="BI613" s="183"/>
      <c r="BJ613" s="183"/>
      <c r="BK613" s="183"/>
      <c r="BL613" s="184"/>
      <c r="BM613" s="409"/>
      <c r="BN613" s="409"/>
    </row>
    <row r="614" spans="1:66" s="153" customFormat="1" x14ac:dyDescent="0.2">
      <c r="A614" s="61"/>
      <c r="B614" s="61"/>
      <c r="C614" s="61"/>
      <c r="D614" s="61"/>
      <c r="E614" s="61"/>
      <c r="F614" s="61"/>
      <c r="G614" s="61"/>
      <c r="H614" s="61"/>
      <c r="I614" s="61"/>
      <c r="J614" s="61"/>
      <c r="K614" s="61"/>
      <c r="L614" s="61"/>
      <c r="M614" s="61"/>
      <c r="N614" s="61"/>
      <c r="O614" s="61"/>
      <c r="P614" s="61"/>
      <c r="Q614" s="61"/>
      <c r="R614" s="61"/>
      <c r="S614" s="61"/>
      <c r="T614" s="35"/>
      <c r="U614" s="187"/>
      <c r="V614" s="190"/>
      <c r="W614" s="190"/>
      <c r="X614" s="190"/>
      <c r="Y614" s="190"/>
      <c r="Z614" s="190"/>
      <c r="AA614" s="191"/>
      <c r="AB614" s="190"/>
      <c r="AC614" s="190"/>
      <c r="AD614" s="190"/>
      <c r="AE614" s="190"/>
      <c r="AF614" s="190"/>
      <c r="AG614" s="190"/>
      <c r="AH614" s="191"/>
      <c r="AI614" s="190"/>
      <c r="AJ614" s="190"/>
      <c r="AK614" s="190"/>
      <c r="AL614" s="190"/>
      <c r="AM614" s="190"/>
      <c r="AN614" s="191"/>
      <c r="AO614" s="190"/>
      <c r="AP614" s="190"/>
      <c r="AQ614" s="190"/>
      <c r="AR614" s="190"/>
      <c r="AS614" s="190"/>
      <c r="AT614" s="191"/>
      <c r="AU614" s="190"/>
      <c r="AV614" s="190"/>
      <c r="AW614" s="190"/>
      <c r="AX614" s="190"/>
      <c r="AY614" s="190"/>
      <c r="AZ614" s="191"/>
      <c r="BA614" s="183"/>
      <c r="BB614" s="183"/>
      <c r="BC614" s="183"/>
      <c r="BD614" s="183"/>
      <c r="BE614" s="183"/>
      <c r="BF614" s="184"/>
      <c r="BG614" s="183"/>
      <c r="BH614" s="183"/>
      <c r="BI614" s="183"/>
      <c r="BJ614" s="183"/>
      <c r="BK614" s="183"/>
      <c r="BL614" s="184"/>
      <c r="BM614" s="409"/>
      <c r="BN614" s="409"/>
    </row>
    <row r="615" spans="1:66" s="153" customFormat="1" x14ac:dyDescent="0.2">
      <c r="A615" s="61"/>
      <c r="B615" s="61"/>
      <c r="C615" s="61"/>
      <c r="D615" s="61"/>
      <c r="E615" s="61"/>
      <c r="F615" s="61"/>
      <c r="G615" s="61"/>
      <c r="H615" s="61"/>
      <c r="I615" s="61"/>
      <c r="J615" s="61"/>
      <c r="K615" s="61"/>
      <c r="L615" s="61"/>
      <c r="M615" s="61"/>
      <c r="N615" s="61"/>
      <c r="O615" s="61"/>
      <c r="P615" s="61"/>
      <c r="Q615" s="61"/>
      <c r="R615" s="61"/>
      <c r="S615" s="61"/>
      <c r="T615" s="35"/>
      <c r="U615" s="187"/>
      <c r="V615" s="190"/>
      <c r="W615" s="190"/>
      <c r="X615" s="190"/>
      <c r="Y615" s="190"/>
      <c r="Z615" s="190"/>
      <c r="AA615" s="191"/>
      <c r="AB615" s="190"/>
      <c r="AC615" s="190"/>
      <c r="AD615" s="190"/>
      <c r="AE615" s="190"/>
      <c r="AF615" s="190"/>
      <c r="AG615" s="190"/>
      <c r="AH615" s="191"/>
      <c r="AI615" s="190"/>
      <c r="AJ615" s="190"/>
      <c r="AK615" s="190"/>
      <c r="AL615" s="190"/>
      <c r="AM615" s="190"/>
      <c r="AN615" s="191"/>
      <c r="AO615" s="190"/>
      <c r="AP615" s="190"/>
      <c r="AQ615" s="190"/>
      <c r="AR615" s="190"/>
      <c r="AS615" s="190"/>
      <c r="AT615" s="191"/>
      <c r="AU615" s="190"/>
      <c r="AV615" s="190"/>
      <c r="AW615" s="190"/>
      <c r="AX615" s="190"/>
      <c r="AY615" s="190"/>
      <c r="AZ615" s="191"/>
      <c r="BA615" s="183"/>
      <c r="BB615" s="183"/>
      <c r="BC615" s="183"/>
      <c r="BD615" s="183"/>
      <c r="BE615" s="183"/>
      <c r="BF615" s="184"/>
      <c r="BG615" s="183"/>
      <c r="BH615" s="183"/>
      <c r="BI615" s="183"/>
      <c r="BJ615" s="183"/>
      <c r="BK615" s="183"/>
      <c r="BL615" s="184"/>
      <c r="BM615" s="409"/>
      <c r="BN615" s="409"/>
    </row>
    <row r="616" spans="1:66" s="153" customFormat="1" x14ac:dyDescent="0.2">
      <c r="A616" s="61"/>
      <c r="B616" s="61"/>
      <c r="C616" s="61"/>
      <c r="D616" s="61"/>
      <c r="E616" s="61"/>
      <c r="F616" s="61"/>
      <c r="G616" s="61"/>
      <c r="H616" s="61"/>
      <c r="I616" s="61"/>
      <c r="J616" s="61"/>
      <c r="K616" s="61"/>
      <c r="L616" s="61"/>
      <c r="M616" s="61"/>
      <c r="N616" s="61"/>
      <c r="O616" s="61"/>
      <c r="P616" s="61"/>
      <c r="Q616" s="61"/>
      <c r="R616" s="61"/>
      <c r="S616" s="61"/>
      <c r="T616" s="35"/>
      <c r="U616" s="187"/>
      <c r="V616" s="190"/>
      <c r="W616" s="190"/>
      <c r="X616" s="190"/>
      <c r="Y616" s="190"/>
      <c r="Z616" s="190"/>
      <c r="AA616" s="191"/>
      <c r="AB616" s="190"/>
      <c r="AC616" s="190"/>
      <c r="AD616" s="190"/>
      <c r="AE616" s="190"/>
      <c r="AF616" s="190"/>
      <c r="AG616" s="190"/>
      <c r="AH616" s="191"/>
      <c r="AI616" s="190"/>
      <c r="AJ616" s="190"/>
      <c r="AK616" s="190"/>
      <c r="AL616" s="190"/>
      <c r="AM616" s="190"/>
      <c r="AN616" s="191"/>
      <c r="AO616" s="190"/>
      <c r="AP616" s="190"/>
      <c r="AQ616" s="190"/>
      <c r="AR616" s="190"/>
      <c r="AS616" s="190"/>
      <c r="AT616" s="191"/>
      <c r="AU616" s="190"/>
      <c r="AV616" s="190"/>
      <c r="AW616" s="190"/>
      <c r="AX616" s="190"/>
      <c r="AY616" s="190"/>
      <c r="AZ616" s="191"/>
      <c r="BA616" s="183"/>
      <c r="BB616" s="183"/>
      <c r="BC616" s="183"/>
      <c r="BD616" s="183"/>
      <c r="BE616" s="183"/>
      <c r="BF616" s="184"/>
      <c r="BG616" s="183"/>
      <c r="BH616" s="183"/>
      <c r="BI616" s="183"/>
      <c r="BJ616" s="183"/>
      <c r="BK616" s="183"/>
      <c r="BL616" s="184"/>
      <c r="BM616" s="409"/>
      <c r="BN616" s="409"/>
    </row>
    <row r="617" spans="1:66" s="153" customFormat="1" x14ac:dyDescent="0.2">
      <c r="A617" s="61"/>
      <c r="B617" s="61"/>
      <c r="C617" s="61"/>
      <c r="D617" s="61"/>
      <c r="E617" s="61"/>
      <c r="F617" s="61"/>
      <c r="G617" s="61"/>
      <c r="H617" s="61"/>
      <c r="I617" s="61"/>
      <c r="J617" s="61"/>
      <c r="K617" s="61"/>
      <c r="L617" s="61"/>
      <c r="M617" s="61"/>
      <c r="N617" s="61"/>
      <c r="O617" s="61"/>
      <c r="P617" s="61"/>
      <c r="Q617" s="61"/>
      <c r="R617" s="61"/>
      <c r="S617" s="61"/>
      <c r="T617" s="35"/>
      <c r="U617" s="187"/>
      <c r="V617" s="190"/>
      <c r="W617" s="190"/>
      <c r="X617" s="190"/>
      <c r="Y617" s="190"/>
      <c r="Z617" s="190"/>
      <c r="AA617" s="191"/>
      <c r="AB617" s="190"/>
      <c r="AC617" s="190"/>
      <c r="AD617" s="190"/>
      <c r="AE617" s="190"/>
      <c r="AF617" s="190"/>
      <c r="AG617" s="190"/>
      <c r="AH617" s="191"/>
      <c r="AI617" s="190"/>
      <c r="AJ617" s="190"/>
      <c r="AK617" s="190"/>
      <c r="AL617" s="190"/>
      <c r="AM617" s="190"/>
      <c r="AN617" s="191"/>
      <c r="AO617" s="190"/>
      <c r="AP617" s="190"/>
      <c r="AQ617" s="190"/>
      <c r="AR617" s="190"/>
      <c r="AS617" s="190"/>
      <c r="AT617" s="191"/>
      <c r="AU617" s="190"/>
      <c r="AV617" s="190"/>
      <c r="AW617" s="190"/>
      <c r="AX617" s="190"/>
      <c r="AY617" s="190"/>
      <c r="AZ617" s="191"/>
      <c r="BA617" s="183"/>
      <c r="BB617" s="183"/>
      <c r="BC617" s="183"/>
      <c r="BD617" s="183"/>
      <c r="BE617" s="183"/>
      <c r="BF617" s="184"/>
      <c r="BG617" s="183"/>
      <c r="BH617" s="183"/>
      <c r="BI617" s="183"/>
      <c r="BJ617" s="183"/>
      <c r="BK617" s="183"/>
      <c r="BL617" s="184"/>
      <c r="BM617" s="409"/>
      <c r="BN617" s="409"/>
    </row>
    <row r="618" spans="1:66" s="153" customFormat="1" x14ac:dyDescent="0.2">
      <c r="A618" s="61"/>
      <c r="B618" s="61"/>
      <c r="C618" s="61"/>
      <c r="D618" s="61"/>
      <c r="E618" s="61"/>
      <c r="F618" s="61"/>
      <c r="G618" s="61"/>
      <c r="H618" s="61"/>
      <c r="I618" s="61"/>
      <c r="J618" s="61"/>
      <c r="K618" s="61"/>
      <c r="L618" s="61"/>
      <c r="M618" s="61"/>
      <c r="N618" s="61"/>
      <c r="O618" s="61"/>
      <c r="P618" s="61"/>
      <c r="Q618" s="61"/>
      <c r="R618" s="61"/>
      <c r="S618" s="61"/>
      <c r="T618" s="35"/>
      <c r="U618" s="187"/>
      <c r="V618" s="190"/>
      <c r="W618" s="190"/>
      <c r="X618" s="190"/>
      <c r="Y618" s="190"/>
      <c r="Z618" s="190"/>
      <c r="AA618" s="191"/>
      <c r="AB618" s="190"/>
      <c r="AC618" s="190"/>
      <c r="AD618" s="190"/>
      <c r="AE618" s="190"/>
      <c r="AF618" s="190"/>
      <c r="AG618" s="190"/>
      <c r="AH618" s="191"/>
      <c r="AI618" s="190"/>
      <c r="AJ618" s="190"/>
      <c r="AK618" s="190"/>
      <c r="AL618" s="190"/>
      <c r="AM618" s="190"/>
      <c r="AN618" s="191"/>
      <c r="AO618" s="190"/>
      <c r="AP618" s="190"/>
      <c r="AQ618" s="190"/>
      <c r="AR618" s="190"/>
      <c r="AS618" s="190"/>
      <c r="AT618" s="191"/>
      <c r="AU618" s="190"/>
      <c r="AV618" s="190"/>
      <c r="AW618" s="190"/>
      <c r="AX618" s="190"/>
      <c r="AY618" s="190"/>
      <c r="AZ618" s="191"/>
      <c r="BA618" s="183"/>
      <c r="BB618" s="183"/>
      <c r="BC618" s="183"/>
      <c r="BD618" s="183"/>
      <c r="BE618" s="183"/>
      <c r="BF618" s="184"/>
      <c r="BG618" s="183"/>
      <c r="BH618" s="183"/>
      <c r="BI618" s="183"/>
      <c r="BJ618" s="183"/>
      <c r="BK618" s="183"/>
      <c r="BL618" s="184"/>
      <c r="BM618" s="409"/>
      <c r="BN618" s="409"/>
    </row>
    <row r="619" spans="1:66" s="153" customFormat="1" x14ac:dyDescent="0.2">
      <c r="A619" s="61"/>
      <c r="B619" s="61"/>
      <c r="C619" s="61"/>
      <c r="D619" s="61"/>
      <c r="E619" s="61"/>
      <c r="F619" s="61"/>
      <c r="G619" s="61"/>
      <c r="H619" s="61"/>
      <c r="I619" s="61"/>
      <c r="J619" s="61"/>
      <c r="K619" s="61"/>
      <c r="L619" s="61"/>
      <c r="M619" s="61"/>
      <c r="N619" s="61"/>
      <c r="O619" s="61"/>
      <c r="P619" s="61"/>
      <c r="Q619" s="61"/>
      <c r="R619" s="61"/>
      <c r="S619" s="61"/>
      <c r="T619" s="35"/>
      <c r="U619" s="187"/>
      <c r="V619" s="190"/>
      <c r="W619" s="190"/>
      <c r="X619" s="190"/>
      <c r="Y619" s="190"/>
      <c r="Z619" s="190"/>
      <c r="AA619" s="191"/>
      <c r="AB619" s="190"/>
      <c r="AC619" s="190"/>
      <c r="AD619" s="190"/>
      <c r="AE619" s="190"/>
      <c r="AF619" s="190"/>
      <c r="AG619" s="190"/>
      <c r="AH619" s="191"/>
      <c r="AI619" s="190"/>
      <c r="AJ619" s="190"/>
      <c r="AK619" s="190"/>
      <c r="AL619" s="190"/>
      <c r="AM619" s="190"/>
      <c r="AN619" s="191"/>
      <c r="AO619" s="190"/>
      <c r="AP619" s="190"/>
      <c r="AQ619" s="190"/>
      <c r="AR619" s="190"/>
      <c r="AS619" s="190"/>
      <c r="AT619" s="191"/>
      <c r="AU619" s="190"/>
      <c r="AV619" s="190"/>
      <c r="AW619" s="190"/>
      <c r="AX619" s="190"/>
      <c r="AY619" s="190"/>
      <c r="AZ619" s="191"/>
      <c r="BA619" s="183"/>
      <c r="BB619" s="183"/>
      <c r="BC619" s="183"/>
      <c r="BD619" s="183"/>
      <c r="BE619" s="183"/>
      <c r="BF619" s="184"/>
      <c r="BG619" s="183"/>
      <c r="BH619" s="183"/>
      <c r="BI619" s="183"/>
      <c r="BJ619" s="183"/>
      <c r="BK619" s="183"/>
      <c r="BL619" s="184"/>
      <c r="BM619" s="409"/>
      <c r="BN619" s="409"/>
    </row>
    <row r="620" spans="1:66" s="153" customFormat="1" x14ac:dyDescent="0.2">
      <c r="A620" s="61"/>
      <c r="B620" s="61"/>
      <c r="C620" s="61"/>
      <c r="D620" s="61"/>
      <c r="E620" s="61"/>
      <c r="F620" s="61"/>
      <c r="G620" s="61"/>
      <c r="H620" s="61"/>
      <c r="I620" s="61"/>
      <c r="J620" s="61"/>
      <c r="K620" s="61"/>
      <c r="L620" s="61"/>
      <c r="M620" s="61"/>
      <c r="N620" s="61"/>
      <c r="O620" s="61"/>
      <c r="P620" s="61"/>
      <c r="Q620" s="61"/>
      <c r="R620" s="61"/>
      <c r="S620" s="61"/>
      <c r="T620" s="35"/>
      <c r="U620" s="187"/>
      <c r="V620" s="190"/>
      <c r="W620" s="190"/>
      <c r="X620" s="190"/>
      <c r="Y620" s="190"/>
      <c r="Z620" s="190"/>
      <c r="AA620" s="191"/>
      <c r="AB620" s="190"/>
      <c r="AC620" s="190"/>
      <c r="AD620" s="190"/>
      <c r="AE620" s="190"/>
      <c r="AF620" s="190"/>
      <c r="AG620" s="190"/>
      <c r="AH620" s="191"/>
      <c r="AI620" s="190"/>
      <c r="AJ620" s="190"/>
      <c r="AK620" s="190"/>
      <c r="AL620" s="190"/>
      <c r="AM620" s="190"/>
      <c r="AN620" s="191"/>
      <c r="AO620" s="190"/>
      <c r="AP620" s="190"/>
      <c r="AQ620" s="190"/>
      <c r="AR620" s="190"/>
      <c r="AS620" s="190"/>
      <c r="AT620" s="191"/>
      <c r="AU620" s="190"/>
      <c r="AV620" s="190"/>
      <c r="AW620" s="190"/>
      <c r="AX620" s="190"/>
      <c r="AY620" s="190"/>
      <c r="AZ620" s="191"/>
      <c r="BA620" s="183"/>
      <c r="BB620" s="183"/>
      <c r="BC620" s="183"/>
      <c r="BD620" s="183"/>
      <c r="BE620" s="183"/>
      <c r="BF620" s="184"/>
      <c r="BG620" s="183"/>
      <c r="BH620" s="183"/>
      <c r="BI620" s="183"/>
      <c r="BJ620" s="183"/>
      <c r="BK620" s="183"/>
      <c r="BL620" s="184"/>
      <c r="BM620" s="409"/>
      <c r="BN620" s="409"/>
    </row>
    <row r="621" spans="1:66" s="153" customFormat="1" x14ac:dyDescent="0.2">
      <c r="A621" s="61"/>
      <c r="B621" s="61"/>
      <c r="C621" s="61"/>
      <c r="D621" s="61"/>
      <c r="E621" s="61"/>
      <c r="F621" s="61"/>
      <c r="G621" s="61"/>
      <c r="H621" s="61"/>
      <c r="I621" s="61"/>
      <c r="J621" s="61"/>
      <c r="K621" s="61"/>
      <c r="L621" s="61"/>
      <c r="M621" s="61"/>
      <c r="N621" s="61"/>
      <c r="O621" s="61"/>
      <c r="P621" s="61"/>
      <c r="Q621" s="61"/>
      <c r="R621" s="61"/>
      <c r="S621" s="61"/>
      <c r="T621" s="35"/>
      <c r="U621" s="187"/>
      <c r="V621" s="190"/>
      <c r="W621" s="190"/>
      <c r="X621" s="190"/>
      <c r="Y621" s="190"/>
      <c r="Z621" s="190"/>
      <c r="AA621" s="191"/>
      <c r="AB621" s="190"/>
      <c r="AC621" s="190"/>
      <c r="AD621" s="190"/>
      <c r="AE621" s="190"/>
      <c r="AF621" s="190"/>
      <c r="AG621" s="190"/>
      <c r="AH621" s="191"/>
      <c r="AI621" s="190"/>
      <c r="AJ621" s="190"/>
      <c r="AK621" s="190"/>
      <c r="AL621" s="190"/>
      <c r="AM621" s="190"/>
      <c r="AN621" s="191"/>
      <c r="AO621" s="190"/>
      <c r="AP621" s="190"/>
      <c r="AQ621" s="190"/>
      <c r="AR621" s="190"/>
      <c r="AS621" s="190"/>
      <c r="AT621" s="191"/>
      <c r="AU621" s="190"/>
      <c r="AV621" s="190"/>
      <c r="AW621" s="190"/>
      <c r="AX621" s="190"/>
      <c r="AY621" s="190"/>
      <c r="AZ621" s="191"/>
      <c r="BA621" s="183"/>
      <c r="BB621" s="183"/>
      <c r="BC621" s="183"/>
      <c r="BD621" s="183"/>
      <c r="BE621" s="183"/>
      <c r="BF621" s="184"/>
      <c r="BG621" s="183"/>
      <c r="BH621" s="183"/>
      <c r="BI621" s="183"/>
      <c r="BJ621" s="183"/>
      <c r="BK621" s="183"/>
      <c r="BL621" s="184"/>
      <c r="BM621" s="409"/>
      <c r="BN621" s="409"/>
    </row>
    <row r="622" spans="1:66" s="153" customFormat="1" x14ac:dyDescent="0.2">
      <c r="A622" s="61"/>
      <c r="B622" s="61"/>
      <c r="C622" s="61"/>
      <c r="D622" s="61"/>
      <c r="E622" s="61"/>
      <c r="F622" s="61"/>
      <c r="G622" s="61"/>
      <c r="H622" s="61"/>
      <c r="I622" s="61"/>
      <c r="J622" s="61"/>
      <c r="K622" s="61"/>
      <c r="L622" s="61"/>
      <c r="M622" s="61"/>
      <c r="N622" s="61"/>
      <c r="O622" s="61"/>
      <c r="P622" s="61"/>
      <c r="Q622" s="61"/>
      <c r="R622" s="61"/>
      <c r="S622" s="61"/>
      <c r="T622" s="35"/>
      <c r="U622" s="187"/>
      <c r="V622" s="190"/>
      <c r="W622" s="190"/>
      <c r="X622" s="190"/>
      <c r="Y622" s="190"/>
      <c r="Z622" s="190"/>
      <c r="AA622" s="191"/>
      <c r="AB622" s="190"/>
      <c r="AC622" s="190"/>
      <c r="AD622" s="190"/>
      <c r="AE622" s="190"/>
      <c r="AF622" s="190"/>
      <c r="AG622" s="190"/>
      <c r="AH622" s="191"/>
      <c r="AI622" s="190"/>
      <c r="AJ622" s="190"/>
      <c r="AK622" s="190"/>
      <c r="AL622" s="190"/>
      <c r="AM622" s="190"/>
      <c r="AN622" s="191"/>
      <c r="AO622" s="190"/>
      <c r="AP622" s="190"/>
      <c r="AQ622" s="190"/>
      <c r="AR622" s="190"/>
      <c r="AS622" s="190"/>
      <c r="AT622" s="191"/>
      <c r="AU622" s="190"/>
      <c r="AV622" s="190"/>
      <c r="AW622" s="190"/>
      <c r="AX622" s="190"/>
      <c r="AY622" s="190"/>
      <c r="AZ622" s="191"/>
      <c r="BA622" s="183"/>
      <c r="BB622" s="183"/>
      <c r="BC622" s="183"/>
      <c r="BD622" s="183"/>
      <c r="BE622" s="183"/>
      <c r="BF622" s="184"/>
      <c r="BG622" s="183"/>
      <c r="BH622" s="183"/>
      <c r="BI622" s="183"/>
      <c r="BJ622" s="183"/>
      <c r="BK622" s="183"/>
      <c r="BL622" s="184"/>
      <c r="BM622" s="409"/>
      <c r="BN622" s="409"/>
    </row>
    <row r="623" spans="1:66" s="153" customFormat="1" x14ac:dyDescent="0.2">
      <c r="A623" s="61"/>
      <c r="B623" s="61"/>
      <c r="C623" s="61"/>
      <c r="D623" s="61"/>
      <c r="E623" s="61"/>
      <c r="F623" s="61"/>
      <c r="G623" s="61"/>
      <c r="H623" s="61"/>
      <c r="I623" s="61"/>
      <c r="J623" s="61"/>
      <c r="K623" s="61"/>
      <c r="L623" s="61"/>
      <c r="M623" s="61"/>
      <c r="N623" s="61"/>
      <c r="O623" s="61"/>
      <c r="P623" s="61"/>
      <c r="Q623" s="61"/>
      <c r="R623" s="61"/>
      <c r="S623" s="61"/>
      <c r="T623" s="35"/>
      <c r="U623" s="187"/>
      <c r="V623" s="190"/>
      <c r="W623" s="190"/>
      <c r="X623" s="190"/>
      <c r="Y623" s="190"/>
      <c r="Z623" s="190"/>
      <c r="AA623" s="191"/>
      <c r="AB623" s="190"/>
      <c r="AC623" s="190"/>
      <c r="AD623" s="190"/>
      <c r="AE623" s="190"/>
      <c r="AF623" s="190"/>
      <c r="AG623" s="190"/>
      <c r="AH623" s="191"/>
      <c r="AI623" s="190"/>
      <c r="AJ623" s="190"/>
      <c r="AK623" s="190"/>
      <c r="AL623" s="190"/>
      <c r="AM623" s="190"/>
      <c r="AN623" s="191"/>
      <c r="AO623" s="190"/>
      <c r="AP623" s="190"/>
      <c r="AQ623" s="190"/>
      <c r="AR623" s="190"/>
      <c r="AS623" s="190"/>
      <c r="AT623" s="191"/>
      <c r="AU623" s="190"/>
      <c r="AV623" s="190"/>
      <c r="AW623" s="190"/>
      <c r="AX623" s="190"/>
      <c r="AY623" s="190"/>
      <c r="AZ623" s="191"/>
      <c r="BA623" s="183"/>
      <c r="BB623" s="183"/>
      <c r="BC623" s="183"/>
      <c r="BD623" s="183"/>
      <c r="BE623" s="183"/>
      <c r="BF623" s="184"/>
      <c r="BG623" s="183"/>
      <c r="BH623" s="183"/>
      <c r="BI623" s="183"/>
      <c r="BJ623" s="183"/>
      <c r="BK623" s="183"/>
      <c r="BL623" s="184"/>
      <c r="BM623" s="409"/>
      <c r="BN623" s="409"/>
    </row>
    <row r="624" spans="1:66" s="153" customFormat="1" x14ac:dyDescent="0.2">
      <c r="A624" s="61"/>
      <c r="B624" s="61"/>
      <c r="C624" s="61"/>
      <c r="D624" s="61"/>
      <c r="E624" s="61"/>
      <c r="F624" s="61"/>
      <c r="G624" s="61"/>
      <c r="H624" s="61"/>
      <c r="I624" s="61"/>
      <c r="J624" s="61"/>
      <c r="K624" s="61"/>
      <c r="L624" s="61"/>
      <c r="M624" s="61"/>
      <c r="N624" s="61"/>
      <c r="O624" s="61"/>
      <c r="P624" s="61"/>
      <c r="Q624" s="61"/>
      <c r="R624" s="61"/>
      <c r="S624" s="61"/>
      <c r="T624" s="35"/>
      <c r="U624" s="187"/>
      <c r="V624" s="190"/>
      <c r="W624" s="190"/>
      <c r="X624" s="190"/>
      <c r="Y624" s="190"/>
      <c r="Z624" s="190"/>
      <c r="AA624" s="191"/>
      <c r="AB624" s="190"/>
      <c r="AC624" s="190"/>
      <c r="AD624" s="190"/>
      <c r="AE624" s="190"/>
      <c r="AF624" s="190"/>
      <c r="AG624" s="190"/>
      <c r="AH624" s="191"/>
      <c r="AI624" s="190"/>
      <c r="AJ624" s="190"/>
      <c r="AK624" s="190"/>
      <c r="AL624" s="190"/>
      <c r="AM624" s="190"/>
      <c r="AN624" s="191"/>
      <c r="AO624" s="190"/>
      <c r="AP624" s="190"/>
      <c r="AQ624" s="190"/>
      <c r="AR624" s="190"/>
      <c r="AS624" s="190"/>
      <c r="AT624" s="191"/>
      <c r="AU624" s="190"/>
      <c r="AV624" s="190"/>
      <c r="AW624" s="190"/>
      <c r="AX624" s="190"/>
      <c r="AY624" s="190"/>
      <c r="AZ624" s="191"/>
      <c r="BA624" s="183"/>
      <c r="BB624" s="183"/>
      <c r="BC624" s="183"/>
      <c r="BD624" s="183"/>
      <c r="BE624" s="183"/>
      <c r="BF624" s="184"/>
      <c r="BG624" s="183"/>
      <c r="BH624" s="183"/>
      <c r="BI624" s="183"/>
      <c r="BJ624" s="183"/>
      <c r="BK624" s="183"/>
      <c r="BL624" s="184"/>
      <c r="BM624" s="409"/>
      <c r="BN624" s="409"/>
    </row>
    <row r="625" spans="1:66" s="153" customFormat="1" x14ac:dyDescent="0.2">
      <c r="A625" s="61"/>
      <c r="B625" s="61"/>
      <c r="C625" s="61"/>
      <c r="D625" s="61"/>
      <c r="E625" s="61"/>
      <c r="F625" s="61"/>
      <c r="G625" s="61"/>
      <c r="H625" s="61"/>
      <c r="I625" s="61"/>
      <c r="J625" s="61"/>
      <c r="K625" s="61"/>
      <c r="L625" s="61"/>
      <c r="M625" s="61"/>
      <c r="N625" s="61"/>
      <c r="O625" s="61"/>
      <c r="P625" s="61"/>
      <c r="Q625" s="61"/>
      <c r="R625" s="61"/>
      <c r="S625" s="61"/>
      <c r="T625" s="35"/>
      <c r="U625" s="187"/>
      <c r="V625" s="190"/>
      <c r="W625" s="190"/>
      <c r="X625" s="190"/>
      <c r="Y625" s="190"/>
      <c r="Z625" s="190"/>
      <c r="AA625" s="191"/>
      <c r="AB625" s="190"/>
      <c r="AC625" s="190"/>
      <c r="AD625" s="190"/>
      <c r="AE625" s="190"/>
      <c r="AF625" s="190"/>
      <c r="AG625" s="190"/>
      <c r="AH625" s="191"/>
      <c r="AI625" s="190"/>
      <c r="AJ625" s="190"/>
      <c r="AK625" s="190"/>
      <c r="AL625" s="190"/>
      <c r="AM625" s="190"/>
      <c r="AN625" s="191"/>
      <c r="AO625" s="190"/>
      <c r="AP625" s="190"/>
      <c r="AQ625" s="190"/>
      <c r="AR625" s="190"/>
      <c r="AS625" s="190"/>
      <c r="AT625" s="191"/>
      <c r="AU625" s="190"/>
      <c r="AV625" s="190"/>
      <c r="AW625" s="190"/>
      <c r="AX625" s="190"/>
      <c r="AY625" s="190"/>
      <c r="AZ625" s="191"/>
      <c r="BA625" s="183"/>
      <c r="BB625" s="183"/>
      <c r="BC625" s="183"/>
      <c r="BD625" s="183"/>
      <c r="BE625" s="183"/>
      <c r="BF625" s="184"/>
      <c r="BG625" s="183"/>
      <c r="BH625" s="183"/>
      <c r="BI625" s="183"/>
      <c r="BJ625" s="183"/>
      <c r="BK625" s="183"/>
      <c r="BL625" s="184"/>
      <c r="BM625" s="409"/>
      <c r="BN625" s="409"/>
    </row>
    <row r="626" spans="1:66" s="153" customFormat="1" x14ac:dyDescent="0.2">
      <c r="A626" s="61"/>
      <c r="B626" s="61"/>
      <c r="C626" s="61"/>
      <c r="D626" s="61"/>
      <c r="E626" s="61"/>
      <c r="F626" s="61"/>
      <c r="G626" s="61"/>
      <c r="H626" s="61"/>
      <c r="I626" s="61"/>
      <c r="J626" s="61"/>
      <c r="K626" s="61"/>
      <c r="L626" s="61"/>
      <c r="M626" s="61"/>
      <c r="N626" s="61"/>
      <c r="O626" s="61"/>
      <c r="P626" s="61"/>
      <c r="Q626" s="61"/>
      <c r="R626" s="61"/>
      <c r="S626" s="61"/>
      <c r="T626" s="35"/>
      <c r="U626" s="187"/>
      <c r="V626" s="190"/>
      <c r="W626" s="190"/>
      <c r="X626" s="190"/>
      <c r="Y626" s="190"/>
      <c r="Z626" s="190"/>
      <c r="AA626" s="191"/>
      <c r="AB626" s="190"/>
      <c r="AC626" s="190"/>
      <c r="AD626" s="190"/>
      <c r="AE626" s="190"/>
      <c r="AF626" s="190"/>
      <c r="AG626" s="190"/>
      <c r="AH626" s="191"/>
      <c r="AI626" s="190"/>
      <c r="AJ626" s="190"/>
      <c r="AK626" s="190"/>
      <c r="AL626" s="190"/>
      <c r="AM626" s="190"/>
      <c r="AN626" s="191"/>
      <c r="AO626" s="190"/>
      <c r="AP626" s="190"/>
      <c r="AQ626" s="190"/>
      <c r="AR626" s="190"/>
      <c r="AS626" s="190"/>
      <c r="AT626" s="191"/>
      <c r="AU626" s="190"/>
      <c r="AV626" s="190"/>
      <c r="AW626" s="190"/>
      <c r="AX626" s="190"/>
      <c r="AY626" s="190"/>
      <c r="AZ626" s="191"/>
      <c r="BA626" s="183"/>
      <c r="BB626" s="183"/>
      <c r="BC626" s="183"/>
      <c r="BD626" s="183"/>
      <c r="BE626" s="183"/>
      <c r="BF626" s="184"/>
      <c r="BG626" s="183"/>
      <c r="BH626" s="183"/>
      <c r="BI626" s="183"/>
      <c r="BJ626" s="183"/>
      <c r="BK626" s="183"/>
      <c r="BL626" s="184"/>
      <c r="BM626" s="409"/>
      <c r="BN626" s="409"/>
    </row>
    <row r="627" spans="1:66" s="153" customFormat="1" x14ac:dyDescent="0.2">
      <c r="A627" s="61"/>
      <c r="B627" s="61"/>
      <c r="C627" s="61"/>
      <c r="D627" s="61"/>
      <c r="E627" s="61"/>
      <c r="F627" s="61"/>
      <c r="G627" s="61"/>
      <c r="H627" s="61"/>
      <c r="I627" s="61"/>
      <c r="J627" s="61"/>
      <c r="K627" s="61"/>
      <c r="L627" s="61"/>
      <c r="M627" s="61"/>
      <c r="N627" s="61"/>
      <c r="O627" s="61"/>
      <c r="P627" s="61"/>
      <c r="Q627" s="61"/>
      <c r="R627" s="61"/>
      <c r="S627" s="61"/>
      <c r="T627" s="35"/>
      <c r="U627" s="187"/>
      <c r="V627" s="190"/>
      <c r="W627" s="190"/>
      <c r="X627" s="190"/>
      <c r="Y627" s="190"/>
      <c r="Z627" s="190"/>
      <c r="AA627" s="191"/>
      <c r="AB627" s="190"/>
      <c r="AC627" s="190"/>
      <c r="AD627" s="190"/>
      <c r="AE627" s="190"/>
      <c r="AF627" s="190"/>
      <c r="AG627" s="190"/>
      <c r="AH627" s="191"/>
      <c r="AI627" s="190"/>
      <c r="AJ627" s="190"/>
      <c r="AK627" s="190"/>
      <c r="AL627" s="190"/>
      <c r="AM627" s="190"/>
      <c r="AN627" s="191"/>
      <c r="AO627" s="190"/>
      <c r="AP627" s="190"/>
      <c r="AQ627" s="190"/>
      <c r="AR627" s="190"/>
      <c r="AS627" s="190"/>
      <c r="AT627" s="191"/>
      <c r="AU627" s="190"/>
      <c r="AV627" s="190"/>
      <c r="AW627" s="190"/>
      <c r="AX627" s="190"/>
      <c r="AY627" s="190"/>
      <c r="AZ627" s="191"/>
      <c r="BA627" s="183"/>
      <c r="BB627" s="183"/>
      <c r="BC627" s="183"/>
      <c r="BD627" s="183"/>
      <c r="BE627" s="183"/>
      <c r="BF627" s="184"/>
      <c r="BG627" s="183"/>
      <c r="BH627" s="183"/>
      <c r="BI627" s="183"/>
      <c r="BJ627" s="183"/>
      <c r="BK627" s="183"/>
      <c r="BL627" s="184"/>
      <c r="BM627" s="409"/>
      <c r="BN627" s="409"/>
    </row>
    <row r="628" spans="1:66" s="153" customFormat="1" x14ac:dyDescent="0.2">
      <c r="A628" s="61"/>
      <c r="B628" s="61"/>
      <c r="C628" s="61"/>
      <c r="D628" s="61"/>
      <c r="E628" s="61"/>
      <c r="F628" s="61"/>
      <c r="G628" s="61"/>
      <c r="H628" s="61"/>
      <c r="I628" s="61"/>
      <c r="J628" s="61"/>
      <c r="K628" s="61"/>
      <c r="L628" s="61"/>
      <c r="M628" s="61"/>
      <c r="N628" s="61"/>
      <c r="O628" s="61"/>
      <c r="P628" s="61"/>
      <c r="Q628" s="61"/>
      <c r="R628" s="61"/>
      <c r="S628" s="61"/>
      <c r="T628" s="35"/>
      <c r="U628" s="187"/>
      <c r="V628" s="190"/>
      <c r="W628" s="190"/>
      <c r="X628" s="190"/>
      <c r="Y628" s="190"/>
      <c r="Z628" s="190"/>
      <c r="AA628" s="191"/>
      <c r="AB628" s="190"/>
      <c r="AC628" s="190"/>
      <c r="AD628" s="190"/>
      <c r="AE628" s="190"/>
      <c r="AF628" s="190"/>
      <c r="AG628" s="190"/>
      <c r="AH628" s="191"/>
      <c r="AI628" s="190"/>
      <c r="AJ628" s="190"/>
      <c r="AK628" s="190"/>
      <c r="AL628" s="190"/>
      <c r="AM628" s="190"/>
      <c r="AN628" s="191"/>
      <c r="AO628" s="190"/>
      <c r="AP628" s="190"/>
      <c r="AQ628" s="190"/>
      <c r="AR628" s="190"/>
      <c r="AS628" s="190"/>
      <c r="AT628" s="191"/>
      <c r="AU628" s="190"/>
      <c r="AV628" s="190"/>
      <c r="AW628" s="190"/>
      <c r="AX628" s="190"/>
      <c r="AY628" s="190"/>
      <c r="AZ628" s="191"/>
      <c r="BA628" s="183"/>
      <c r="BB628" s="183"/>
      <c r="BC628" s="183"/>
      <c r="BD628" s="183"/>
      <c r="BE628" s="183"/>
      <c r="BF628" s="184"/>
      <c r="BG628" s="183"/>
      <c r="BH628" s="183"/>
      <c r="BI628" s="183"/>
      <c r="BJ628" s="183"/>
      <c r="BK628" s="183"/>
      <c r="BL628" s="184"/>
      <c r="BM628" s="409"/>
      <c r="BN628" s="409"/>
    </row>
    <row r="629" spans="1:66" s="153" customFormat="1" x14ac:dyDescent="0.2">
      <c r="A629" s="61"/>
      <c r="B629" s="61"/>
      <c r="C629" s="61"/>
      <c r="D629" s="61"/>
      <c r="E629" s="61"/>
      <c r="F629" s="61"/>
      <c r="G629" s="61"/>
      <c r="H629" s="61"/>
      <c r="I629" s="61"/>
      <c r="J629" s="61"/>
      <c r="K629" s="61"/>
      <c r="L629" s="61"/>
      <c r="M629" s="61"/>
      <c r="N629" s="61"/>
      <c r="O629" s="61"/>
      <c r="P629" s="61"/>
      <c r="Q629" s="61"/>
      <c r="R629" s="61"/>
      <c r="S629" s="61"/>
      <c r="T629" s="35"/>
      <c r="U629" s="187"/>
      <c r="V629" s="190"/>
      <c r="W629" s="190"/>
      <c r="X629" s="190"/>
      <c r="Y629" s="190"/>
      <c r="Z629" s="190"/>
      <c r="AA629" s="191"/>
      <c r="AB629" s="190"/>
      <c r="AC629" s="190"/>
      <c r="AD629" s="190"/>
      <c r="AE629" s="190"/>
      <c r="AF629" s="190"/>
      <c r="AG629" s="190"/>
      <c r="AH629" s="191"/>
      <c r="AI629" s="190"/>
      <c r="AJ629" s="190"/>
      <c r="AK629" s="190"/>
      <c r="AL629" s="190"/>
      <c r="AM629" s="190"/>
      <c r="AN629" s="191"/>
      <c r="AO629" s="190"/>
      <c r="AP629" s="190"/>
      <c r="AQ629" s="190"/>
      <c r="AR629" s="190"/>
      <c r="AS629" s="190"/>
      <c r="AT629" s="191"/>
      <c r="AU629" s="190"/>
      <c r="AV629" s="190"/>
      <c r="AW629" s="190"/>
      <c r="AX629" s="190"/>
      <c r="AY629" s="190"/>
      <c r="AZ629" s="191"/>
      <c r="BA629" s="183"/>
      <c r="BB629" s="183"/>
      <c r="BC629" s="183"/>
      <c r="BD629" s="183"/>
      <c r="BE629" s="183"/>
      <c r="BF629" s="184"/>
      <c r="BG629" s="183"/>
      <c r="BH629" s="183"/>
      <c r="BI629" s="183"/>
      <c r="BJ629" s="183"/>
      <c r="BK629" s="183"/>
      <c r="BL629" s="184"/>
      <c r="BM629" s="409"/>
      <c r="BN629" s="409"/>
    </row>
    <row r="630" spans="1:66" s="153" customFormat="1" x14ac:dyDescent="0.2">
      <c r="A630" s="61"/>
      <c r="B630" s="61"/>
      <c r="C630" s="61"/>
      <c r="D630" s="61"/>
      <c r="E630" s="61"/>
      <c r="F630" s="61"/>
      <c r="G630" s="61"/>
      <c r="H630" s="61"/>
      <c r="I630" s="61"/>
      <c r="J630" s="61"/>
      <c r="K630" s="61"/>
      <c r="L630" s="61"/>
      <c r="M630" s="61"/>
      <c r="N630" s="61"/>
      <c r="O630" s="61"/>
      <c r="P630" s="61"/>
      <c r="Q630" s="61"/>
      <c r="R630" s="61"/>
      <c r="S630" s="61"/>
      <c r="T630" s="35"/>
      <c r="U630" s="187"/>
      <c r="V630" s="190"/>
      <c r="W630" s="190"/>
      <c r="X630" s="190"/>
      <c r="Y630" s="190"/>
      <c r="Z630" s="190"/>
      <c r="AA630" s="191"/>
      <c r="AB630" s="190"/>
      <c r="AC630" s="190"/>
      <c r="AD630" s="190"/>
      <c r="AE630" s="190"/>
      <c r="AF630" s="190"/>
      <c r="AG630" s="190"/>
      <c r="AH630" s="191"/>
      <c r="AI630" s="190"/>
      <c r="AJ630" s="190"/>
      <c r="AK630" s="190"/>
      <c r="AL630" s="190"/>
      <c r="AM630" s="190"/>
      <c r="AN630" s="191"/>
      <c r="AO630" s="190"/>
      <c r="AP630" s="190"/>
      <c r="AQ630" s="190"/>
      <c r="AR630" s="190"/>
      <c r="AS630" s="190"/>
      <c r="AT630" s="191"/>
      <c r="AU630" s="190"/>
      <c r="AV630" s="190"/>
      <c r="AW630" s="190"/>
      <c r="AX630" s="190"/>
      <c r="AY630" s="190"/>
      <c r="AZ630" s="191"/>
      <c r="BA630" s="183"/>
      <c r="BB630" s="183"/>
      <c r="BC630" s="183"/>
      <c r="BD630" s="183"/>
      <c r="BE630" s="183"/>
      <c r="BF630" s="184"/>
      <c r="BG630" s="183"/>
      <c r="BH630" s="183"/>
      <c r="BI630" s="183"/>
      <c r="BJ630" s="183"/>
      <c r="BK630" s="183"/>
      <c r="BL630" s="184"/>
      <c r="BM630" s="409"/>
      <c r="BN630" s="409"/>
    </row>
    <row r="631" spans="1:66" s="153" customFormat="1" x14ac:dyDescent="0.2">
      <c r="A631" s="61"/>
      <c r="B631" s="61"/>
      <c r="C631" s="61"/>
      <c r="D631" s="61"/>
      <c r="E631" s="61"/>
      <c r="F631" s="61"/>
      <c r="G631" s="61"/>
      <c r="H631" s="61"/>
      <c r="I631" s="61"/>
      <c r="J631" s="61"/>
      <c r="K631" s="61"/>
      <c r="L631" s="61"/>
      <c r="M631" s="61"/>
      <c r="N631" s="61"/>
      <c r="O631" s="61"/>
      <c r="P631" s="61"/>
      <c r="Q631" s="61"/>
      <c r="R631" s="61"/>
      <c r="S631" s="61"/>
      <c r="T631" s="35"/>
      <c r="U631" s="187"/>
      <c r="V631" s="190"/>
      <c r="W631" s="190"/>
      <c r="X631" s="190"/>
      <c r="Y631" s="190"/>
      <c r="Z631" s="190"/>
      <c r="AA631" s="191"/>
      <c r="AB631" s="190"/>
      <c r="AC631" s="190"/>
      <c r="AD631" s="190"/>
      <c r="AE631" s="190"/>
      <c r="AF631" s="190"/>
      <c r="AG631" s="190"/>
      <c r="AH631" s="191"/>
      <c r="AI631" s="190"/>
      <c r="AJ631" s="190"/>
      <c r="AK631" s="190"/>
      <c r="AL631" s="190"/>
      <c r="AM631" s="190"/>
      <c r="AN631" s="191"/>
      <c r="AO631" s="190"/>
      <c r="AP631" s="190"/>
      <c r="AQ631" s="190"/>
      <c r="AR631" s="190"/>
      <c r="AS631" s="190"/>
      <c r="AT631" s="191"/>
      <c r="AU631" s="190"/>
      <c r="AV631" s="190"/>
      <c r="AW631" s="190"/>
      <c r="AX631" s="190"/>
      <c r="AY631" s="190"/>
      <c r="AZ631" s="191"/>
      <c r="BA631" s="183"/>
      <c r="BB631" s="183"/>
      <c r="BC631" s="183"/>
      <c r="BD631" s="183"/>
      <c r="BE631" s="183"/>
      <c r="BF631" s="184"/>
      <c r="BG631" s="183"/>
      <c r="BH631" s="183"/>
      <c r="BI631" s="183"/>
      <c r="BJ631" s="183"/>
      <c r="BK631" s="183"/>
      <c r="BL631" s="184"/>
      <c r="BM631" s="409"/>
      <c r="BN631" s="409"/>
    </row>
    <row r="632" spans="1:66" s="153" customFormat="1" x14ac:dyDescent="0.2">
      <c r="A632" s="61"/>
      <c r="B632" s="61"/>
      <c r="C632" s="61"/>
      <c r="D632" s="61"/>
      <c r="E632" s="61"/>
      <c r="F632" s="61"/>
      <c r="G632" s="61"/>
      <c r="H632" s="61"/>
      <c r="I632" s="61"/>
      <c r="J632" s="61"/>
      <c r="K632" s="61"/>
      <c r="L632" s="61"/>
      <c r="M632" s="61"/>
      <c r="N632" s="61"/>
      <c r="O632" s="61"/>
      <c r="P632" s="61"/>
      <c r="Q632" s="61"/>
      <c r="R632" s="61"/>
      <c r="S632" s="61"/>
      <c r="T632" s="35"/>
      <c r="U632" s="187"/>
      <c r="V632" s="190"/>
      <c r="W632" s="190"/>
      <c r="X632" s="190"/>
      <c r="Y632" s="190"/>
      <c r="Z632" s="190"/>
      <c r="AA632" s="191"/>
      <c r="AB632" s="190"/>
      <c r="AC632" s="190"/>
      <c r="AD632" s="190"/>
      <c r="AE632" s="190"/>
      <c r="AF632" s="190"/>
      <c r="AG632" s="190"/>
      <c r="AH632" s="191"/>
      <c r="AI632" s="190"/>
      <c r="AJ632" s="190"/>
      <c r="AK632" s="190"/>
      <c r="AL632" s="190"/>
      <c r="AM632" s="190"/>
      <c r="AN632" s="191"/>
      <c r="AO632" s="190"/>
      <c r="AP632" s="190"/>
      <c r="AQ632" s="190"/>
      <c r="AR632" s="190"/>
      <c r="AS632" s="190"/>
      <c r="AT632" s="191"/>
      <c r="AU632" s="190"/>
      <c r="AV632" s="190"/>
      <c r="AW632" s="190"/>
      <c r="AX632" s="190"/>
      <c r="AY632" s="190"/>
      <c r="AZ632" s="191"/>
      <c r="BA632" s="183"/>
      <c r="BB632" s="183"/>
      <c r="BC632" s="183"/>
      <c r="BD632" s="183"/>
      <c r="BE632" s="183"/>
      <c r="BF632" s="184"/>
      <c r="BG632" s="183"/>
      <c r="BH632" s="183"/>
      <c r="BI632" s="183"/>
      <c r="BJ632" s="183"/>
      <c r="BK632" s="183"/>
      <c r="BL632" s="184"/>
      <c r="BM632" s="409"/>
      <c r="BN632" s="409"/>
    </row>
    <row r="633" spans="1:66" s="153" customFormat="1" x14ac:dyDescent="0.2">
      <c r="A633" s="61"/>
      <c r="B633" s="61"/>
      <c r="C633" s="61"/>
      <c r="D633" s="61"/>
      <c r="E633" s="61"/>
      <c r="F633" s="61"/>
      <c r="G633" s="61"/>
      <c r="H633" s="61"/>
      <c r="I633" s="61"/>
      <c r="J633" s="61"/>
      <c r="K633" s="61"/>
      <c r="L633" s="61"/>
      <c r="M633" s="61"/>
      <c r="N633" s="61"/>
      <c r="O633" s="61"/>
      <c r="P633" s="61"/>
      <c r="Q633" s="61"/>
      <c r="R633" s="61"/>
      <c r="S633" s="61"/>
      <c r="T633" s="35"/>
      <c r="U633" s="187"/>
      <c r="V633" s="190"/>
      <c r="W633" s="190"/>
      <c r="X633" s="190"/>
      <c r="Y633" s="190"/>
      <c r="Z633" s="190"/>
      <c r="AA633" s="191"/>
      <c r="AB633" s="190"/>
      <c r="AC633" s="190"/>
      <c r="AD633" s="190"/>
      <c r="AE633" s="190"/>
      <c r="AF633" s="190"/>
      <c r="AG633" s="190"/>
      <c r="AH633" s="191"/>
      <c r="AI633" s="190"/>
      <c r="AJ633" s="190"/>
      <c r="AK633" s="190"/>
      <c r="AL633" s="190"/>
      <c r="AM633" s="190"/>
      <c r="AN633" s="191"/>
      <c r="AO633" s="190"/>
      <c r="AP633" s="190"/>
      <c r="AQ633" s="190"/>
      <c r="AR633" s="190"/>
      <c r="AS633" s="190"/>
      <c r="AT633" s="191"/>
      <c r="AU633" s="190"/>
      <c r="AV633" s="190"/>
      <c r="AW633" s="190"/>
      <c r="AX633" s="190"/>
      <c r="AY633" s="190"/>
      <c r="AZ633" s="191"/>
      <c r="BA633" s="183"/>
      <c r="BB633" s="183"/>
      <c r="BC633" s="183"/>
      <c r="BD633" s="183"/>
      <c r="BE633" s="183"/>
      <c r="BF633" s="184"/>
      <c r="BG633" s="183"/>
      <c r="BH633" s="183"/>
      <c r="BI633" s="183"/>
      <c r="BJ633" s="183"/>
      <c r="BK633" s="183"/>
      <c r="BL633" s="184"/>
      <c r="BM633" s="409"/>
      <c r="BN633" s="409"/>
    </row>
    <row r="634" spans="1:66" s="153" customFormat="1" x14ac:dyDescent="0.2">
      <c r="A634" s="61"/>
      <c r="B634" s="61"/>
      <c r="C634" s="61"/>
      <c r="D634" s="61"/>
      <c r="E634" s="61"/>
      <c r="F634" s="61"/>
      <c r="G634" s="61"/>
      <c r="H634" s="61"/>
      <c r="I634" s="61"/>
      <c r="J634" s="61"/>
      <c r="K634" s="61"/>
      <c r="L634" s="61"/>
      <c r="M634" s="61"/>
      <c r="N634" s="61"/>
      <c r="O634" s="61"/>
      <c r="P634" s="61"/>
      <c r="Q634" s="61"/>
      <c r="R634" s="61"/>
      <c r="S634" s="61"/>
      <c r="T634" s="35"/>
      <c r="U634" s="187"/>
      <c r="V634" s="190"/>
      <c r="W634" s="190"/>
      <c r="X634" s="190"/>
      <c r="Y634" s="190"/>
      <c r="Z634" s="190"/>
      <c r="AA634" s="191"/>
      <c r="AB634" s="190"/>
      <c r="AC634" s="190"/>
      <c r="AD634" s="190"/>
      <c r="AE634" s="190"/>
      <c r="AF634" s="190"/>
      <c r="AG634" s="190"/>
      <c r="AH634" s="191"/>
      <c r="AI634" s="190"/>
      <c r="AJ634" s="190"/>
      <c r="AK634" s="190"/>
      <c r="AL634" s="190"/>
      <c r="AM634" s="190"/>
      <c r="AN634" s="191"/>
      <c r="AO634" s="190"/>
      <c r="AP634" s="190"/>
      <c r="AQ634" s="190"/>
      <c r="AR634" s="190"/>
      <c r="AS634" s="190"/>
      <c r="AT634" s="191"/>
      <c r="AU634" s="190"/>
      <c r="AV634" s="190"/>
      <c r="AW634" s="190"/>
      <c r="AX634" s="190"/>
      <c r="AY634" s="190"/>
      <c r="AZ634" s="191"/>
      <c r="BA634" s="183"/>
      <c r="BB634" s="183"/>
      <c r="BC634" s="183"/>
      <c r="BD634" s="183"/>
      <c r="BE634" s="183"/>
      <c r="BF634" s="184"/>
      <c r="BG634" s="183"/>
      <c r="BH634" s="183"/>
      <c r="BI634" s="183"/>
      <c r="BJ634" s="183"/>
      <c r="BK634" s="183"/>
      <c r="BL634" s="184"/>
      <c r="BM634" s="409"/>
      <c r="BN634" s="409"/>
    </row>
    <row r="635" spans="1:66" s="153" customFormat="1" x14ac:dyDescent="0.2">
      <c r="A635" s="61"/>
      <c r="B635" s="61"/>
      <c r="C635" s="61"/>
      <c r="D635" s="61"/>
      <c r="E635" s="61"/>
      <c r="F635" s="61"/>
      <c r="G635" s="61"/>
      <c r="H635" s="61"/>
      <c r="I635" s="61"/>
      <c r="J635" s="61"/>
      <c r="K635" s="61"/>
      <c r="L635" s="61"/>
      <c r="M635" s="61"/>
      <c r="N635" s="61"/>
      <c r="O635" s="61"/>
      <c r="P635" s="61"/>
      <c r="Q635" s="61"/>
      <c r="R635" s="61"/>
      <c r="S635" s="61"/>
      <c r="T635" s="35"/>
      <c r="U635" s="187"/>
      <c r="V635" s="190"/>
      <c r="W635" s="190"/>
      <c r="X635" s="190"/>
      <c r="Y635" s="190"/>
      <c r="Z635" s="190"/>
      <c r="AA635" s="191"/>
      <c r="AB635" s="190"/>
      <c r="AC635" s="190"/>
      <c r="AD635" s="190"/>
      <c r="AE635" s="190"/>
      <c r="AF635" s="190"/>
      <c r="AG635" s="190"/>
      <c r="AH635" s="191"/>
      <c r="AI635" s="190"/>
      <c r="AJ635" s="190"/>
      <c r="AK635" s="190"/>
      <c r="AL635" s="190"/>
      <c r="AM635" s="190"/>
      <c r="AN635" s="191"/>
      <c r="AO635" s="190"/>
      <c r="AP635" s="190"/>
      <c r="AQ635" s="190"/>
      <c r="AR635" s="190"/>
      <c r="AS635" s="190"/>
      <c r="AT635" s="191"/>
      <c r="AU635" s="190"/>
      <c r="AV635" s="190"/>
      <c r="AW635" s="190"/>
      <c r="AX635" s="190"/>
      <c r="AY635" s="190"/>
      <c r="AZ635" s="191"/>
      <c r="BA635" s="183"/>
      <c r="BB635" s="183"/>
      <c r="BC635" s="183"/>
      <c r="BD635" s="183"/>
      <c r="BE635" s="183"/>
      <c r="BF635" s="184"/>
      <c r="BG635" s="183"/>
      <c r="BH635" s="183"/>
      <c r="BI635" s="183"/>
      <c r="BJ635" s="183"/>
      <c r="BK635" s="183"/>
      <c r="BL635" s="184"/>
      <c r="BM635" s="409"/>
      <c r="BN635" s="409"/>
    </row>
    <row r="636" spans="1:66" s="153" customFormat="1" x14ac:dyDescent="0.2">
      <c r="A636" s="61"/>
      <c r="B636" s="61"/>
      <c r="C636" s="61"/>
      <c r="D636" s="61"/>
      <c r="E636" s="61"/>
      <c r="F636" s="61"/>
      <c r="G636" s="61"/>
      <c r="H636" s="61"/>
      <c r="I636" s="61"/>
      <c r="J636" s="61"/>
      <c r="K636" s="61"/>
      <c r="L636" s="61"/>
      <c r="M636" s="61"/>
      <c r="N636" s="61"/>
      <c r="O636" s="61"/>
      <c r="P636" s="61"/>
      <c r="Q636" s="61"/>
      <c r="R636" s="61"/>
      <c r="S636" s="61"/>
      <c r="T636" s="35"/>
      <c r="U636" s="187"/>
      <c r="V636" s="190"/>
      <c r="W636" s="190"/>
      <c r="X636" s="190"/>
      <c r="Y636" s="190"/>
      <c r="Z636" s="190"/>
      <c r="AA636" s="191"/>
      <c r="AB636" s="190"/>
      <c r="AC636" s="190"/>
      <c r="AD636" s="190"/>
      <c r="AE636" s="190"/>
      <c r="AF636" s="190"/>
      <c r="AG636" s="190"/>
      <c r="AH636" s="191"/>
      <c r="AI636" s="190"/>
      <c r="AJ636" s="190"/>
      <c r="AK636" s="190"/>
      <c r="AL636" s="190"/>
      <c r="AM636" s="190"/>
      <c r="AN636" s="191"/>
      <c r="AO636" s="190"/>
      <c r="AP636" s="190"/>
      <c r="AQ636" s="190"/>
      <c r="AR636" s="190"/>
      <c r="AS636" s="190"/>
      <c r="AT636" s="191"/>
      <c r="AU636" s="190"/>
      <c r="AV636" s="190"/>
      <c r="AW636" s="190"/>
      <c r="AX636" s="190"/>
      <c r="AY636" s="190"/>
      <c r="AZ636" s="191"/>
      <c r="BA636" s="183"/>
      <c r="BB636" s="183"/>
      <c r="BC636" s="183"/>
      <c r="BD636" s="183"/>
      <c r="BE636" s="183"/>
      <c r="BF636" s="184"/>
      <c r="BG636" s="183"/>
      <c r="BH636" s="183"/>
      <c r="BI636" s="183"/>
      <c r="BJ636" s="183"/>
      <c r="BK636" s="183"/>
      <c r="BL636" s="184"/>
      <c r="BM636" s="409"/>
      <c r="BN636" s="409"/>
    </row>
    <row r="637" spans="1:66" s="153" customFormat="1" x14ac:dyDescent="0.2">
      <c r="A637" s="61"/>
      <c r="B637" s="61"/>
      <c r="C637" s="61"/>
      <c r="D637" s="61"/>
      <c r="E637" s="61"/>
      <c r="F637" s="61"/>
      <c r="G637" s="61"/>
      <c r="H637" s="61"/>
      <c r="I637" s="61"/>
      <c r="J637" s="61"/>
      <c r="K637" s="61"/>
      <c r="L637" s="61"/>
      <c r="M637" s="61"/>
      <c r="N637" s="61"/>
      <c r="O637" s="61"/>
      <c r="P637" s="61"/>
      <c r="Q637" s="61"/>
      <c r="R637" s="61"/>
      <c r="S637" s="61"/>
      <c r="T637" s="35"/>
      <c r="U637" s="187"/>
      <c r="V637" s="190"/>
      <c r="W637" s="190"/>
      <c r="X637" s="190"/>
      <c r="Y637" s="190"/>
      <c r="Z637" s="190"/>
      <c r="AA637" s="191"/>
      <c r="AB637" s="190"/>
      <c r="AC637" s="190"/>
      <c r="AD637" s="190"/>
      <c r="AE637" s="190"/>
      <c r="AF637" s="190"/>
      <c r="AG637" s="190"/>
      <c r="AH637" s="191"/>
      <c r="AI637" s="190"/>
      <c r="AJ637" s="190"/>
      <c r="AK637" s="190"/>
      <c r="AL637" s="190"/>
      <c r="AM637" s="190"/>
      <c r="AN637" s="191"/>
      <c r="AO637" s="190"/>
      <c r="AP637" s="190"/>
      <c r="AQ637" s="190"/>
      <c r="AR637" s="190"/>
      <c r="AS637" s="190"/>
      <c r="AT637" s="191"/>
      <c r="AU637" s="190"/>
      <c r="AV637" s="190"/>
      <c r="AW637" s="190"/>
      <c r="AX637" s="190"/>
      <c r="AY637" s="190"/>
      <c r="AZ637" s="191"/>
      <c r="BA637" s="183"/>
      <c r="BB637" s="183"/>
      <c r="BC637" s="183"/>
      <c r="BD637" s="183"/>
      <c r="BE637" s="183"/>
      <c r="BF637" s="184"/>
      <c r="BG637" s="183"/>
      <c r="BH637" s="183"/>
      <c r="BI637" s="183"/>
      <c r="BJ637" s="183"/>
      <c r="BK637" s="183"/>
      <c r="BL637" s="184"/>
      <c r="BM637" s="409"/>
      <c r="BN637" s="409"/>
    </row>
    <row r="638" spans="1:66" s="153" customFormat="1" x14ac:dyDescent="0.2">
      <c r="A638" s="61"/>
      <c r="B638" s="61"/>
      <c r="C638" s="61"/>
      <c r="D638" s="61"/>
      <c r="E638" s="61"/>
      <c r="F638" s="61"/>
      <c r="G638" s="61"/>
      <c r="H638" s="61"/>
      <c r="I638" s="61"/>
      <c r="J638" s="61"/>
      <c r="K638" s="61"/>
      <c r="L638" s="61"/>
      <c r="M638" s="61"/>
      <c r="N638" s="61"/>
      <c r="O638" s="61"/>
      <c r="P638" s="61"/>
      <c r="Q638" s="61"/>
      <c r="R638" s="61"/>
      <c r="S638" s="61"/>
      <c r="T638" s="35"/>
      <c r="U638" s="187"/>
      <c r="V638" s="190"/>
      <c r="W638" s="190"/>
      <c r="X638" s="190"/>
      <c r="Y638" s="190"/>
      <c r="Z638" s="190"/>
      <c r="AA638" s="191"/>
      <c r="AB638" s="190"/>
      <c r="AC638" s="190"/>
      <c r="AD638" s="190"/>
      <c r="AE638" s="190"/>
      <c r="AF638" s="190"/>
      <c r="AG638" s="190"/>
      <c r="AH638" s="191"/>
      <c r="AI638" s="190"/>
      <c r="AJ638" s="190"/>
      <c r="AK638" s="190"/>
      <c r="AL638" s="190"/>
      <c r="AM638" s="190"/>
      <c r="AN638" s="191"/>
      <c r="AO638" s="190"/>
      <c r="AP638" s="190"/>
      <c r="AQ638" s="190"/>
      <c r="AR638" s="190"/>
      <c r="AS638" s="190"/>
      <c r="AT638" s="191"/>
      <c r="AU638" s="190"/>
      <c r="AV638" s="190"/>
      <c r="AW638" s="190"/>
      <c r="AX638" s="190"/>
      <c r="AY638" s="190"/>
      <c r="AZ638" s="191"/>
      <c r="BA638" s="183"/>
      <c r="BB638" s="183"/>
      <c r="BC638" s="183"/>
      <c r="BD638" s="183"/>
      <c r="BE638" s="183"/>
      <c r="BF638" s="184"/>
      <c r="BG638" s="183"/>
      <c r="BH638" s="183"/>
      <c r="BI638" s="183"/>
      <c r="BJ638" s="183"/>
      <c r="BK638" s="183"/>
      <c r="BL638" s="184"/>
      <c r="BM638" s="409"/>
      <c r="BN638" s="409"/>
    </row>
    <row r="639" spans="1:66" s="153" customFormat="1" x14ac:dyDescent="0.2">
      <c r="A639" s="61"/>
      <c r="B639" s="61"/>
      <c r="C639" s="61"/>
      <c r="D639" s="61"/>
      <c r="E639" s="61"/>
      <c r="F639" s="61"/>
      <c r="G639" s="61"/>
      <c r="H639" s="61"/>
      <c r="I639" s="61"/>
      <c r="J639" s="61"/>
      <c r="K639" s="61"/>
      <c r="L639" s="61"/>
      <c r="M639" s="61"/>
      <c r="N639" s="61"/>
      <c r="O639" s="61"/>
      <c r="P639" s="61"/>
      <c r="Q639" s="61"/>
      <c r="R639" s="61"/>
      <c r="S639" s="61"/>
      <c r="T639" s="35"/>
      <c r="U639" s="187"/>
      <c r="V639" s="190"/>
      <c r="W639" s="190"/>
      <c r="X639" s="190"/>
      <c r="Y639" s="190"/>
      <c r="Z639" s="190"/>
      <c r="AA639" s="191"/>
      <c r="AB639" s="190"/>
      <c r="AC639" s="190"/>
      <c r="AD639" s="190"/>
      <c r="AE639" s="190"/>
      <c r="AF639" s="190"/>
      <c r="AG639" s="190"/>
      <c r="AH639" s="191"/>
      <c r="AI639" s="190"/>
      <c r="AJ639" s="190"/>
      <c r="AK639" s="190"/>
      <c r="AL639" s="190"/>
      <c r="AM639" s="190"/>
      <c r="AN639" s="191"/>
      <c r="AO639" s="190"/>
      <c r="AP639" s="190"/>
      <c r="AQ639" s="190"/>
      <c r="AR639" s="190"/>
      <c r="AS639" s="190"/>
      <c r="AT639" s="191"/>
      <c r="AU639" s="190"/>
      <c r="AV639" s="190"/>
      <c r="AW639" s="190"/>
      <c r="AX639" s="190"/>
      <c r="AY639" s="190"/>
      <c r="AZ639" s="191"/>
      <c r="BA639" s="183"/>
      <c r="BB639" s="183"/>
      <c r="BC639" s="183"/>
      <c r="BD639" s="183"/>
      <c r="BE639" s="183"/>
      <c r="BF639" s="184"/>
      <c r="BG639" s="183"/>
      <c r="BH639" s="183"/>
      <c r="BI639" s="183"/>
      <c r="BJ639" s="183"/>
      <c r="BK639" s="183"/>
      <c r="BL639" s="184"/>
      <c r="BM639" s="409"/>
      <c r="BN639" s="409"/>
    </row>
    <row r="640" spans="1:66" s="153" customFormat="1" x14ac:dyDescent="0.2">
      <c r="A640" s="61"/>
      <c r="B640" s="61"/>
      <c r="C640" s="61"/>
      <c r="D640" s="61"/>
      <c r="E640" s="61"/>
      <c r="F640" s="61"/>
      <c r="G640" s="61"/>
      <c r="H640" s="61"/>
      <c r="I640" s="61"/>
      <c r="J640" s="61"/>
      <c r="K640" s="61"/>
      <c r="L640" s="61"/>
      <c r="M640" s="61"/>
      <c r="N640" s="61"/>
      <c r="O640" s="61"/>
      <c r="P640" s="61"/>
      <c r="Q640" s="61"/>
      <c r="R640" s="61"/>
      <c r="S640" s="61"/>
      <c r="T640" s="35"/>
      <c r="U640" s="187"/>
      <c r="V640" s="190"/>
      <c r="W640" s="190"/>
      <c r="X640" s="190"/>
      <c r="Y640" s="190"/>
      <c r="Z640" s="190"/>
      <c r="AA640" s="191"/>
      <c r="AB640" s="190"/>
      <c r="AC640" s="190"/>
      <c r="AD640" s="190"/>
      <c r="AE640" s="190"/>
      <c r="AF640" s="190"/>
      <c r="AG640" s="190"/>
      <c r="AH640" s="191"/>
      <c r="AI640" s="190"/>
      <c r="AJ640" s="190"/>
      <c r="AK640" s="190"/>
      <c r="AL640" s="190"/>
      <c r="AM640" s="190"/>
      <c r="AN640" s="191"/>
      <c r="AO640" s="190"/>
      <c r="AP640" s="190"/>
      <c r="AQ640" s="190"/>
      <c r="AR640" s="190"/>
      <c r="AS640" s="190"/>
      <c r="AT640" s="191"/>
      <c r="AU640" s="190"/>
      <c r="AV640" s="190"/>
      <c r="AW640" s="190"/>
      <c r="AX640" s="190"/>
      <c r="AY640" s="190"/>
      <c r="AZ640" s="191"/>
      <c r="BA640" s="183"/>
      <c r="BB640" s="183"/>
      <c r="BC640" s="183"/>
      <c r="BD640" s="183"/>
      <c r="BE640" s="183"/>
      <c r="BF640" s="184"/>
      <c r="BG640" s="183"/>
      <c r="BH640" s="183"/>
      <c r="BI640" s="183"/>
      <c r="BJ640" s="183"/>
      <c r="BK640" s="183"/>
      <c r="BL640" s="184"/>
      <c r="BM640" s="409"/>
      <c r="BN640" s="409"/>
    </row>
    <row r="641" spans="1:66" s="153" customFormat="1" x14ac:dyDescent="0.2">
      <c r="A641" s="61"/>
      <c r="B641" s="61"/>
      <c r="C641" s="61"/>
      <c r="D641" s="61"/>
      <c r="E641" s="61"/>
      <c r="F641" s="61"/>
      <c r="G641" s="61"/>
      <c r="H641" s="61"/>
      <c r="I641" s="61"/>
      <c r="J641" s="61"/>
      <c r="K641" s="61"/>
      <c r="L641" s="61"/>
      <c r="M641" s="61"/>
      <c r="N641" s="61"/>
      <c r="O641" s="61"/>
      <c r="P641" s="61"/>
      <c r="Q641" s="61"/>
      <c r="R641" s="61"/>
      <c r="S641" s="61"/>
      <c r="T641" s="35"/>
      <c r="U641" s="187"/>
      <c r="V641" s="190"/>
      <c r="W641" s="190"/>
      <c r="X641" s="190"/>
      <c r="Y641" s="190"/>
      <c r="Z641" s="190"/>
      <c r="AA641" s="191"/>
      <c r="AB641" s="190"/>
      <c r="AC641" s="190"/>
      <c r="AD641" s="190"/>
      <c r="AE641" s="190"/>
      <c r="AF641" s="190"/>
      <c r="AG641" s="190"/>
      <c r="AH641" s="191"/>
      <c r="AI641" s="190"/>
      <c r="AJ641" s="190"/>
      <c r="AK641" s="190"/>
      <c r="AL641" s="190"/>
      <c r="AM641" s="190"/>
      <c r="AN641" s="191"/>
      <c r="AO641" s="190"/>
      <c r="AP641" s="190"/>
      <c r="AQ641" s="190"/>
      <c r="AR641" s="190"/>
      <c r="AS641" s="190"/>
      <c r="AT641" s="191"/>
      <c r="AU641" s="190"/>
      <c r="AV641" s="190"/>
      <c r="AW641" s="190"/>
      <c r="AX641" s="190"/>
      <c r="AY641" s="190"/>
      <c r="AZ641" s="191"/>
      <c r="BA641" s="183"/>
      <c r="BB641" s="183"/>
      <c r="BC641" s="183"/>
      <c r="BD641" s="183"/>
      <c r="BE641" s="183"/>
      <c r="BF641" s="184"/>
      <c r="BG641" s="183"/>
      <c r="BH641" s="183"/>
      <c r="BI641" s="183"/>
      <c r="BJ641" s="183"/>
      <c r="BK641" s="183"/>
      <c r="BL641" s="184"/>
      <c r="BM641" s="409"/>
      <c r="BN641" s="409"/>
    </row>
    <row r="642" spans="1:66" s="153" customFormat="1" x14ac:dyDescent="0.2">
      <c r="A642" s="61"/>
      <c r="B642" s="61"/>
      <c r="C642" s="61"/>
      <c r="D642" s="61"/>
      <c r="E642" s="61"/>
      <c r="F642" s="61"/>
      <c r="G642" s="61"/>
      <c r="H642" s="61"/>
      <c r="I642" s="61"/>
      <c r="J642" s="61"/>
      <c r="K642" s="61"/>
      <c r="L642" s="61"/>
      <c r="M642" s="61"/>
      <c r="N642" s="61"/>
      <c r="O642" s="61"/>
      <c r="P642" s="61"/>
      <c r="Q642" s="61"/>
      <c r="R642" s="61"/>
      <c r="S642" s="61"/>
      <c r="T642" s="35"/>
      <c r="U642" s="187"/>
      <c r="V642" s="190"/>
      <c r="W642" s="190"/>
      <c r="X642" s="190"/>
      <c r="Y642" s="190"/>
      <c r="Z642" s="190"/>
      <c r="AA642" s="191"/>
      <c r="AB642" s="190"/>
      <c r="AC642" s="190"/>
      <c r="AD642" s="190"/>
      <c r="AE642" s="190"/>
      <c r="AF642" s="190"/>
      <c r="AG642" s="190"/>
      <c r="AH642" s="191"/>
      <c r="AI642" s="190"/>
      <c r="AJ642" s="190"/>
      <c r="AK642" s="190"/>
      <c r="AL642" s="190"/>
      <c r="AM642" s="190"/>
      <c r="AN642" s="191"/>
      <c r="AO642" s="190"/>
      <c r="AP642" s="190"/>
      <c r="AQ642" s="190"/>
      <c r="AR642" s="190"/>
      <c r="AS642" s="190"/>
      <c r="AT642" s="191"/>
      <c r="AU642" s="190"/>
      <c r="AV642" s="190"/>
      <c r="AW642" s="190"/>
      <c r="AX642" s="190"/>
      <c r="AY642" s="190"/>
      <c r="AZ642" s="191"/>
      <c r="BA642" s="183"/>
      <c r="BB642" s="183"/>
      <c r="BC642" s="183"/>
      <c r="BD642" s="183"/>
      <c r="BE642" s="183"/>
      <c r="BF642" s="184"/>
      <c r="BG642" s="183"/>
      <c r="BH642" s="183"/>
      <c r="BI642" s="183"/>
      <c r="BJ642" s="183"/>
      <c r="BK642" s="183"/>
      <c r="BL642" s="184"/>
      <c r="BM642" s="409"/>
      <c r="BN642" s="409"/>
    </row>
    <row r="643" spans="1:66" s="153" customFormat="1" x14ac:dyDescent="0.2">
      <c r="A643" s="61"/>
      <c r="B643" s="61"/>
      <c r="C643" s="61"/>
      <c r="D643" s="61"/>
      <c r="E643" s="61"/>
      <c r="F643" s="61"/>
      <c r="G643" s="61"/>
      <c r="H643" s="61"/>
      <c r="I643" s="61"/>
      <c r="J643" s="61"/>
      <c r="K643" s="61"/>
      <c r="L643" s="61"/>
      <c r="M643" s="61"/>
      <c r="N643" s="61"/>
      <c r="O643" s="61"/>
      <c r="P643" s="61"/>
      <c r="Q643" s="61"/>
      <c r="R643" s="61"/>
      <c r="S643" s="61"/>
      <c r="T643" s="35"/>
      <c r="U643" s="187"/>
      <c r="V643" s="190"/>
      <c r="W643" s="190"/>
      <c r="X643" s="190"/>
      <c r="Y643" s="190"/>
      <c r="Z643" s="190"/>
      <c r="AA643" s="191"/>
      <c r="AB643" s="190"/>
      <c r="AC643" s="190"/>
      <c r="AD643" s="190"/>
      <c r="AE643" s="190"/>
      <c r="AF643" s="190"/>
      <c r="AG643" s="190"/>
      <c r="AH643" s="191"/>
      <c r="AI643" s="190"/>
      <c r="AJ643" s="190"/>
      <c r="AK643" s="190"/>
      <c r="AL643" s="190"/>
      <c r="AM643" s="190"/>
      <c r="AN643" s="191"/>
      <c r="AO643" s="190"/>
      <c r="AP643" s="190"/>
      <c r="AQ643" s="190"/>
      <c r="AR643" s="190"/>
      <c r="AS643" s="190"/>
      <c r="AT643" s="191"/>
      <c r="AU643" s="190"/>
      <c r="AV643" s="190"/>
      <c r="AW643" s="190"/>
      <c r="AX643" s="190"/>
      <c r="AY643" s="190"/>
      <c r="AZ643" s="191"/>
      <c r="BA643" s="183"/>
      <c r="BB643" s="183"/>
      <c r="BC643" s="183"/>
      <c r="BD643" s="183"/>
      <c r="BE643" s="183"/>
      <c r="BF643" s="184"/>
      <c r="BG643" s="183"/>
      <c r="BH643" s="183"/>
      <c r="BI643" s="183"/>
      <c r="BJ643" s="183"/>
      <c r="BK643" s="183"/>
      <c r="BL643" s="184"/>
      <c r="BM643" s="409"/>
      <c r="BN643" s="409"/>
    </row>
    <row r="644" spans="1:66" s="153" customFormat="1" x14ac:dyDescent="0.2">
      <c r="A644" s="61"/>
      <c r="B644" s="61"/>
      <c r="C644" s="61"/>
      <c r="D644" s="61"/>
      <c r="E644" s="61"/>
      <c r="F644" s="61"/>
      <c r="G644" s="61"/>
      <c r="H644" s="61"/>
      <c r="I644" s="61"/>
      <c r="J644" s="61"/>
      <c r="K644" s="61"/>
      <c r="L644" s="61"/>
      <c r="M644" s="61"/>
      <c r="N644" s="61"/>
      <c r="O644" s="61"/>
      <c r="P644" s="61"/>
      <c r="Q644" s="61"/>
      <c r="R644" s="61"/>
      <c r="S644" s="61"/>
      <c r="T644" s="35"/>
      <c r="U644" s="187"/>
      <c r="V644" s="190"/>
      <c r="W644" s="190"/>
      <c r="X644" s="190"/>
      <c r="Y644" s="190"/>
      <c r="Z644" s="190"/>
      <c r="AA644" s="191"/>
      <c r="AB644" s="190"/>
      <c r="AC644" s="190"/>
      <c r="AD644" s="190"/>
      <c r="AE644" s="190"/>
      <c r="AF644" s="190"/>
      <c r="AG644" s="190"/>
      <c r="AH644" s="191"/>
      <c r="AI644" s="190"/>
      <c r="AJ644" s="190"/>
      <c r="AK644" s="190"/>
      <c r="AL644" s="190"/>
      <c r="AM644" s="190"/>
      <c r="AN644" s="191"/>
      <c r="AO644" s="190"/>
      <c r="AP644" s="190"/>
      <c r="AQ644" s="190"/>
      <c r="AR644" s="190"/>
      <c r="AS644" s="190"/>
      <c r="AT644" s="191"/>
      <c r="AU644" s="190"/>
      <c r="AV644" s="190"/>
      <c r="AW644" s="190"/>
      <c r="AX644" s="190"/>
      <c r="AY644" s="190"/>
      <c r="AZ644" s="191"/>
      <c r="BA644" s="183"/>
      <c r="BB644" s="183"/>
      <c r="BC644" s="183"/>
      <c r="BD644" s="183"/>
      <c r="BE644" s="183"/>
      <c r="BF644" s="184"/>
      <c r="BG644" s="183"/>
      <c r="BH644" s="183"/>
      <c r="BI644" s="183"/>
      <c r="BJ644" s="183"/>
      <c r="BK644" s="183"/>
      <c r="BL644" s="184"/>
      <c r="BM644" s="409"/>
      <c r="BN644" s="409"/>
    </row>
    <row r="645" spans="1:66" s="153" customFormat="1" x14ac:dyDescent="0.2">
      <c r="A645" s="61"/>
      <c r="B645" s="61"/>
      <c r="C645" s="61"/>
      <c r="D645" s="61"/>
      <c r="E645" s="61"/>
      <c r="F645" s="61"/>
      <c r="G645" s="61"/>
      <c r="H645" s="61"/>
      <c r="I645" s="61"/>
      <c r="J645" s="61"/>
      <c r="K645" s="61"/>
      <c r="L645" s="61"/>
      <c r="M645" s="61"/>
      <c r="N645" s="61"/>
      <c r="O645" s="61"/>
      <c r="P645" s="61"/>
      <c r="Q645" s="61"/>
      <c r="R645" s="61"/>
      <c r="S645" s="61"/>
      <c r="T645" s="35"/>
      <c r="U645" s="187"/>
      <c r="V645" s="190"/>
      <c r="W645" s="190"/>
      <c r="X645" s="190"/>
      <c r="Y645" s="190"/>
      <c r="Z645" s="190"/>
      <c r="AA645" s="191"/>
      <c r="AB645" s="190"/>
      <c r="AC645" s="190"/>
      <c r="AD645" s="190"/>
      <c r="AE645" s="190"/>
      <c r="AF645" s="190"/>
      <c r="AG645" s="190"/>
      <c r="AH645" s="191"/>
      <c r="AI645" s="190"/>
      <c r="AJ645" s="190"/>
      <c r="AK645" s="190"/>
      <c r="AL645" s="190"/>
      <c r="AM645" s="190"/>
      <c r="AN645" s="191"/>
      <c r="AO645" s="190"/>
      <c r="AP645" s="190"/>
      <c r="AQ645" s="190"/>
      <c r="AR645" s="190"/>
      <c r="AS645" s="190"/>
      <c r="AT645" s="191"/>
      <c r="AU645" s="190"/>
      <c r="AV645" s="190"/>
      <c r="AW645" s="190"/>
      <c r="AX645" s="190"/>
      <c r="AY645" s="190"/>
      <c r="AZ645" s="191"/>
      <c r="BA645" s="183"/>
      <c r="BB645" s="183"/>
      <c r="BC645" s="183"/>
      <c r="BD645" s="183"/>
      <c r="BE645" s="183"/>
      <c r="BF645" s="184"/>
      <c r="BG645" s="183"/>
      <c r="BH645" s="183"/>
      <c r="BI645" s="183"/>
      <c r="BJ645" s="183"/>
      <c r="BK645" s="183"/>
      <c r="BL645" s="184"/>
      <c r="BM645" s="409"/>
      <c r="BN645" s="409"/>
    </row>
    <row r="646" spans="1:66" s="153" customFormat="1" x14ac:dyDescent="0.2">
      <c r="A646" s="61"/>
      <c r="B646" s="61"/>
      <c r="C646" s="61"/>
      <c r="D646" s="61"/>
      <c r="E646" s="61"/>
      <c r="F646" s="61"/>
      <c r="G646" s="61"/>
      <c r="H646" s="61"/>
      <c r="I646" s="61"/>
      <c r="J646" s="61"/>
      <c r="K646" s="61"/>
      <c r="L646" s="61"/>
      <c r="M646" s="61"/>
      <c r="N646" s="61"/>
      <c r="O646" s="61"/>
      <c r="P646" s="61"/>
      <c r="Q646" s="61"/>
      <c r="R646" s="61"/>
      <c r="S646" s="61"/>
      <c r="T646" s="35"/>
      <c r="U646" s="187"/>
      <c r="V646" s="190"/>
      <c r="W646" s="190"/>
      <c r="X646" s="190"/>
      <c r="Y646" s="190"/>
      <c r="Z646" s="190"/>
      <c r="AA646" s="191"/>
      <c r="AB646" s="190"/>
      <c r="AC646" s="190"/>
      <c r="AD646" s="190"/>
      <c r="AE646" s="190"/>
      <c r="AF646" s="190"/>
      <c r="AG646" s="190"/>
      <c r="AH646" s="191"/>
      <c r="AI646" s="190"/>
      <c r="AJ646" s="190"/>
      <c r="AK646" s="190"/>
      <c r="AL646" s="190"/>
      <c r="AM646" s="190"/>
      <c r="AN646" s="191"/>
      <c r="AO646" s="190"/>
      <c r="AP646" s="190"/>
      <c r="AQ646" s="190"/>
      <c r="AR646" s="190"/>
      <c r="AS646" s="190"/>
      <c r="AT646" s="191"/>
      <c r="AU646" s="190"/>
      <c r="AV646" s="190"/>
      <c r="AW646" s="190"/>
      <c r="AX646" s="190"/>
      <c r="AY646" s="190"/>
      <c r="AZ646" s="191"/>
      <c r="BA646" s="183"/>
      <c r="BB646" s="183"/>
      <c r="BC646" s="183"/>
      <c r="BD646" s="183"/>
      <c r="BE646" s="183"/>
      <c r="BF646" s="184"/>
      <c r="BG646" s="183"/>
      <c r="BH646" s="183"/>
      <c r="BI646" s="183"/>
      <c r="BJ646" s="183"/>
      <c r="BK646" s="183"/>
      <c r="BL646" s="184"/>
      <c r="BM646" s="409"/>
      <c r="BN646" s="409"/>
    </row>
    <row r="647" spans="1:66" s="153" customFormat="1" x14ac:dyDescent="0.2">
      <c r="A647" s="61"/>
      <c r="B647" s="61"/>
      <c r="C647" s="61"/>
      <c r="D647" s="61"/>
      <c r="E647" s="61"/>
      <c r="F647" s="61"/>
      <c r="G647" s="61"/>
      <c r="H647" s="61"/>
      <c r="I647" s="61"/>
      <c r="J647" s="61"/>
      <c r="K647" s="61"/>
      <c r="L647" s="61"/>
      <c r="M647" s="61"/>
      <c r="N647" s="61"/>
      <c r="O647" s="61"/>
      <c r="P647" s="61"/>
      <c r="Q647" s="61"/>
      <c r="R647" s="61"/>
      <c r="S647" s="61"/>
      <c r="T647" s="35"/>
      <c r="U647" s="187"/>
      <c r="V647" s="190"/>
      <c r="W647" s="190"/>
      <c r="X647" s="190"/>
      <c r="Y647" s="190"/>
      <c r="Z647" s="190"/>
      <c r="AA647" s="191"/>
      <c r="AB647" s="190"/>
      <c r="AC647" s="190"/>
      <c r="AD647" s="190"/>
      <c r="AE647" s="190"/>
      <c r="AF647" s="190"/>
      <c r="AG647" s="190"/>
      <c r="AH647" s="191"/>
      <c r="AI647" s="190"/>
      <c r="AJ647" s="190"/>
      <c r="AK647" s="190"/>
      <c r="AL647" s="190"/>
      <c r="AM647" s="190"/>
      <c r="AN647" s="191"/>
      <c r="AO647" s="190"/>
      <c r="AP647" s="190"/>
      <c r="AQ647" s="190"/>
      <c r="AR647" s="190"/>
      <c r="AS647" s="190"/>
      <c r="AT647" s="191"/>
      <c r="AU647" s="190"/>
      <c r="AV647" s="190"/>
      <c r="AW647" s="190"/>
      <c r="AX647" s="190"/>
      <c r="AY647" s="190"/>
      <c r="AZ647" s="191"/>
      <c r="BA647" s="183"/>
      <c r="BB647" s="183"/>
      <c r="BC647" s="183"/>
      <c r="BD647" s="183"/>
      <c r="BE647" s="183"/>
      <c r="BF647" s="184"/>
      <c r="BG647" s="183"/>
      <c r="BH647" s="183"/>
      <c r="BI647" s="183"/>
      <c r="BJ647" s="183"/>
      <c r="BK647" s="183"/>
      <c r="BL647" s="184"/>
      <c r="BM647" s="409"/>
      <c r="BN647" s="409"/>
    </row>
    <row r="648" spans="1:66" s="153" customFormat="1" x14ac:dyDescent="0.2">
      <c r="A648" s="61"/>
      <c r="B648" s="61"/>
      <c r="C648" s="61"/>
      <c r="D648" s="61"/>
      <c r="E648" s="61"/>
      <c r="F648" s="61"/>
      <c r="G648" s="61"/>
      <c r="H648" s="61"/>
      <c r="I648" s="61"/>
      <c r="J648" s="61"/>
      <c r="K648" s="61"/>
      <c r="L648" s="61"/>
      <c r="M648" s="61"/>
      <c r="N648" s="61"/>
      <c r="O648" s="61"/>
      <c r="P648" s="61"/>
      <c r="Q648" s="61"/>
      <c r="R648" s="61"/>
      <c r="S648" s="61"/>
      <c r="T648" s="35"/>
      <c r="U648" s="187"/>
      <c r="V648" s="190"/>
      <c r="W648" s="190"/>
      <c r="X648" s="190"/>
      <c r="Y648" s="190"/>
      <c r="Z648" s="190"/>
      <c r="AA648" s="191"/>
      <c r="AB648" s="190"/>
      <c r="AC648" s="190"/>
      <c r="AD648" s="190"/>
      <c r="AE648" s="190"/>
      <c r="AF648" s="190"/>
      <c r="AG648" s="190"/>
      <c r="AH648" s="191"/>
      <c r="AI648" s="190"/>
      <c r="AJ648" s="190"/>
      <c r="AK648" s="190"/>
      <c r="AL648" s="190"/>
      <c r="AM648" s="190"/>
      <c r="AN648" s="191"/>
      <c r="AO648" s="190"/>
      <c r="AP648" s="190"/>
      <c r="AQ648" s="190"/>
      <c r="AR648" s="190"/>
      <c r="AS648" s="190"/>
      <c r="AT648" s="191"/>
      <c r="AU648" s="190"/>
      <c r="AV648" s="190"/>
      <c r="AW648" s="190"/>
      <c r="AX648" s="190"/>
      <c r="AY648" s="190"/>
      <c r="AZ648" s="191"/>
      <c r="BA648" s="183"/>
      <c r="BB648" s="183"/>
      <c r="BC648" s="183"/>
      <c r="BD648" s="183"/>
      <c r="BE648" s="183"/>
      <c r="BF648" s="184"/>
      <c r="BG648" s="183"/>
      <c r="BH648" s="183"/>
      <c r="BI648" s="183"/>
      <c r="BJ648" s="183"/>
      <c r="BK648" s="183"/>
      <c r="BL648" s="184"/>
      <c r="BM648" s="409"/>
      <c r="BN648" s="409"/>
    </row>
    <row r="649" spans="1:66" s="153" customFormat="1" x14ac:dyDescent="0.2">
      <c r="A649" s="61"/>
      <c r="B649" s="61"/>
      <c r="C649" s="61"/>
      <c r="D649" s="61"/>
      <c r="E649" s="61"/>
      <c r="F649" s="61"/>
      <c r="G649" s="61"/>
      <c r="H649" s="61"/>
      <c r="I649" s="61"/>
      <c r="J649" s="61"/>
      <c r="K649" s="61"/>
      <c r="L649" s="61"/>
      <c r="M649" s="61"/>
      <c r="N649" s="61"/>
      <c r="O649" s="61"/>
      <c r="P649" s="61"/>
      <c r="Q649" s="61"/>
      <c r="R649" s="61"/>
      <c r="S649" s="61"/>
      <c r="T649" s="35"/>
      <c r="U649" s="187"/>
      <c r="V649" s="190"/>
      <c r="W649" s="190"/>
      <c r="X649" s="190"/>
      <c r="Y649" s="190"/>
      <c r="Z649" s="190"/>
      <c r="AA649" s="191"/>
      <c r="AB649" s="190"/>
      <c r="AC649" s="190"/>
      <c r="AD649" s="190"/>
      <c r="AE649" s="190"/>
      <c r="AF649" s="190"/>
      <c r="AG649" s="190"/>
      <c r="AH649" s="191"/>
      <c r="AI649" s="190"/>
      <c r="AJ649" s="190"/>
      <c r="AK649" s="190"/>
      <c r="AL649" s="190"/>
      <c r="AM649" s="190"/>
      <c r="AN649" s="191"/>
      <c r="AO649" s="190"/>
      <c r="AP649" s="190"/>
      <c r="AQ649" s="190"/>
      <c r="AR649" s="190"/>
      <c r="AS649" s="190"/>
      <c r="AT649" s="191"/>
      <c r="AU649" s="190"/>
      <c r="AV649" s="190"/>
      <c r="AW649" s="190"/>
      <c r="AX649" s="190"/>
      <c r="AY649" s="190"/>
      <c r="AZ649" s="191"/>
      <c r="BA649" s="183"/>
      <c r="BB649" s="183"/>
      <c r="BC649" s="183"/>
      <c r="BD649" s="183"/>
      <c r="BE649" s="183"/>
      <c r="BF649" s="184"/>
      <c r="BG649" s="183"/>
      <c r="BH649" s="183"/>
      <c r="BI649" s="183"/>
      <c r="BJ649" s="183"/>
      <c r="BK649" s="183"/>
      <c r="BL649" s="184"/>
      <c r="BM649" s="409"/>
      <c r="BN649" s="409"/>
    </row>
    <row r="650" spans="1:66" s="153" customFormat="1" x14ac:dyDescent="0.2">
      <c r="A650" s="61"/>
      <c r="B650" s="61"/>
      <c r="C650" s="61"/>
      <c r="D650" s="61"/>
      <c r="E650" s="61"/>
      <c r="F650" s="61"/>
      <c r="G650" s="61"/>
      <c r="H650" s="61"/>
      <c r="I650" s="61"/>
      <c r="J650" s="61"/>
      <c r="K650" s="61"/>
      <c r="L650" s="61"/>
      <c r="M650" s="61"/>
      <c r="N650" s="61"/>
      <c r="O650" s="61"/>
      <c r="P650" s="61"/>
      <c r="Q650" s="61"/>
      <c r="R650" s="61"/>
      <c r="S650" s="61"/>
      <c r="T650" s="35"/>
      <c r="U650" s="187"/>
      <c r="V650" s="190"/>
      <c r="W650" s="190"/>
      <c r="X650" s="190"/>
      <c r="Y650" s="190"/>
      <c r="Z650" s="190"/>
      <c r="AA650" s="191"/>
      <c r="AB650" s="190"/>
      <c r="AC650" s="190"/>
      <c r="AD650" s="190"/>
      <c r="AE650" s="190"/>
      <c r="AF650" s="190"/>
      <c r="AG650" s="190"/>
      <c r="AH650" s="191"/>
      <c r="AI650" s="190"/>
      <c r="AJ650" s="190"/>
      <c r="AK650" s="190"/>
      <c r="AL650" s="190"/>
      <c r="AM650" s="190"/>
      <c r="AN650" s="191"/>
      <c r="AO650" s="190"/>
      <c r="AP650" s="190"/>
      <c r="AQ650" s="190"/>
      <c r="AR650" s="190"/>
      <c r="AS650" s="190"/>
      <c r="AT650" s="191"/>
      <c r="AU650" s="190"/>
      <c r="AV650" s="190"/>
      <c r="AW650" s="190"/>
      <c r="AX650" s="190"/>
      <c r="AY650" s="190"/>
      <c r="AZ650" s="191"/>
      <c r="BA650" s="183"/>
      <c r="BB650" s="183"/>
      <c r="BC650" s="183"/>
      <c r="BD650" s="183"/>
      <c r="BE650" s="183"/>
      <c r="BF650" s="184"/>
      <c r="BG650" s="183"/>
      <c r="BH650" s="183"/>
      <c r="BI650" s="183"/>
      <c r="BJ650" s="183"/>
      <c r="BK650" s="183"/>
      <c r="BL650" s="184"/>
      <c r="BM650" s="409"/>
      <c r="BN650" s="409"/>
    </row>
    <row r="651" spans="1:66" s="153" customFormat="1" x14ac:dyDescent="0.2">
      <c r="A651" s="61"/>
      <c r="B651" s="61"/>
      <c r="C651" s="61"/>
      <c r="D651" s="61"/>
      <c r="E651" s="61"/>
      <c r="F651" s="61"/>
      <c r="G651" s="61"/>
      <c r="H651" s="61"/>
      <c r="I651" s="61"/>
      <c r="J651" s="61"/>
      <c r="K651" s="61"/>
      <c r="L651" s="61"/>
      <c r="M651" s="61"/>
      <c r="N651" s="61"/>
      <c r="O651" s="61"/>
      <c r="P651" s="61"/>
      <c r="Q651" s="61"/>
      <c r="R651" s="61"/>
      <c r="S651" s="61"/>
      <c r="T651" s="35"/>
      <c r="U651" s="187"/>
      <c r="V651" s="190"/>
      <c r="W651" s="190"/>
      <c r="X651" s="190"/>
      <c r="Y651" s="190"/>
      <c r="Z651" s="190"/>
      <c r="AA651" s="191"/>
      <c r="AB651" s="190"/>
      <c r="AC651" s="190"/>
      <c r="AD651" s="190"/>
      <c r="AE651" s="190"/>
      <c r="AF651" s="190"/>
      <c r="AG651" s="190"/>
      <c r="AH651" s="191"/>
      <c r="AI651" s="190"/>
      <c r="AJ651" s="190"/>
      <c r="AK651" s="190"/>
      <c r="AL651" s="190"/>
      <c r="AM651" s="190"/>
      <c r="AN651" s="191"/>
      <c r="AO651" s="190"/>
      <c r="AP651" s="190"/>
      <c r="AQ651" s="190"/>
      <c r="AR651" s="190"/>
      <c r="AS651" s="190"/>
      <c r="AT651" s="191"/>
      <c r="AU651" s="190"/>
      <c r="AV651" s="190"/>
      <c r="AW651" s="190"/>
      <c r="AX651" s="190"/>
      <c r="AY651" s="190"/>
      <c r="AZ651" s="191"/>
      <c r="BA651" s="183"/>
      <c r="BB651" s="183"/>
      <c r="BC651" s="183"/>
      <c r="BD651" s="183"/>
      <c r="BE651" s="183"/>
      <c r="BF651" s="184"/>
      <c r="BG651" s="183"/>
      <c r="BH651" s="183"/>
      <c r="BI651" s="183"/>
      <c r="BJ651" s="183"/>
      <c r="BK651" s="183"/>
      <c r="BL651" s="184"/>
      <c r="BM651" s="409"/>
      <c r="BN651" s="409"/>
    </row>
    <row r="652" spans="1:66" s="153" customFormat="1" x14ac:dyDescent="0.2">
      <c r="A652" s="61"/>
      <c r="B652" s="61"/>
      <c r="C652" s="61"/>
      <c r="D652" s="61"/>
      <c r="E652" s="61"/>
      <c r="F652" s="61"/>
      <c r="G652" s="61"/>
      <c r="H652" s="61"/>
      <c r="I652" s="61"/>
      <c r="J652" s="61"/>
      <c r="K652" s="61"/>
      <c r="L652" s="61"/>
      <c r="M652" s="61"/>
      <c r="N652" s="61"/>
      <c r="O652" s="61"/>
      <c r="P652" s="61"/>
      <c r="Q652" s="61"/>
      <c r="R652" s="61"/>
      <c r="S652" s="61"/>
      <c r="T652" s="35"/>
      <c r="U652" s="187"/>
      <c r="V652" s="190"/>
      <c r="W652" s="190"/>
      <c r="X652" s="190"/>
      <c r="Y652" s="190"/>
      <c r="Z652" s="190"/>
      <c r="AA652" s="191"/>
      <c r="AB652" s="190"/>
      <c r="AC652" s="190"/>
      <c r="AD652" s="190"/>
      <c r="AE652" s="190"/>
      <c r="AF652" s="190"/>
      <c r="AG652" s="190"/>
      <c r="AH652" s="191"/>
      <c r="AI652" s="190"/>
      <c r="AJ652" s="190"/>
      <c r="AK652" s="190"/>
      <c r="AL652" s="190"/>
      <c r="AM652" s="190"/>
      <c r="AN652" s="191"/>
      <c r="AO652" s="190"/>
      <c r="AP652" s="190"/>
      <c r="AQ652" s="190"/>
      <c r="AR652" s="190"/>
      <c r="AS652" s="190"/>
      <c r="AT652" s="191"/>
      <c r="AU652" s="190"/>
      <c r="AV652" s="190"/>
      <c r="AW652" s="190"/>
      <c r="AX652" s="190"/>
      <c r="AY652" s="190"/>
      <c r="AZ652" s="191"/>
      <c r="BA652" s="183"/>
      <c r="BB652" s="183"/>
      <c r="BC652" s="183"/>
      <c r="BD652" s="183"/>
      <c r="BE652" s="183"/>
      <c r="BF652" s="184"/>
      <c r="BG652" s="183"/>
      <c r="BH652" s="183"/>
      <c r="BI652" s="183"/>
      <c r="BJ652" s="183"/>
      <c r="BK652" s="183"/>
      <c r="BL652" s="184"/>
      <c r="BM652" s="409"/>
      <c r="BN652" s="409"/>
    </row>
    <row r="653" spans="1:66" s="153" customFormat="1" x14ac:dyDescent="0.2">
      <c r="A653" s="61"/>
      <c r="B653" s="61"/>
      <c r="C653" s="61"/>
      <c r="D653" s="61"/>
      <c r="E653" s="61"/>
      <c r="F653" s="61"/>
      <c r="G653" s="61"/>
      <c r="H653" s="61"/>
      <c r="I653" s="61"/>
      <c r="J653" s="61"/>
      <c r="K653" s="61"/>
      <c r="L653" s="61"/>
      <c r="M653" s="61"/>
      <c r="N653" s="61"/>
      <c r="O653" s="61"/>
      <c r="P653" s="61"/>
      <c r="Q653" s="61"/>
      <c r="R653" s="61"/>
      <c r="S653" s="61"/>
      <c r="T653" s="35"/>
      <c r="U653" s="187"/>
      <c r="V653" s="190"/>
      <c r="W653" s="190"/>
      <c r="X653" s="190"/>
      <c r="Y653" s="190"/>
      <c r="Z653" s="190"/>
      <c r="AA653" s="191"/>
      <c r="AB653" s="190"/>
      <c r="AC653" s="190"/>
      <c r="AD653" s="190"/>
      <c r="AE653" s="190"/>
      <c r="AF653" s="190"/>
      <c r="AG653" s="190"/>
      <c r="AH653" s="191"/>
      <c r="AI653" s="190"/>
      <c r="AJ653" s="190"/>
      <c r="AK653" s="190"/>
      <c r="AL653" s="190"/>
      <c r="AM653" s="190"/>
      <c r="AN653" s="191"/>
      <c r="AO653" s="190"/>
      <c r="AP653" s="190"/>
      <c r="AQ653" s="190"/>
      <c r="AR653" s="190"/>
      <c r="AS653" s="190"/>
      <c r="AT653" s="191"/>
      <c r="AU653" s="190"/>
      <c r="AV653" s="190"/>
      <c r="AW653" s="190"/>
      <c r="AX653" s="190"/>
      <c r="AY653" s="190"/>
      <c r="AZ653" s="191"/>
      <c r="BA653" s="183"/>
      <c r="BB653" s="183"/>
      <c r="BC653" s="183"/>
      <c r="BD653" s="183"/>
      <c r="BE653" s="183"/>
      <c r="BF653" s="184"/>
      <c r="BG653" s="183"/>
      <c r="BH653" s="183"/>
      <c r="BI653" s="183"/>
      <c r="BJ653" s="183"/>
      <c r="BK653" s="183"/>
      <c r="BL653" s="184"/>
      <c r="BM653" s="409"/>
      <c r="BN653" s="409"/>
    </row>
    <row r="654" spans="1:66" s="153" customFormat="1" x14ac:dyDescent="0.2">
      <c r="A654" s="61"/>
      <c r="B654" s="61"/>
      <c r="C654" s="61"/>
      <c r="D654" s="61"/>
      <c r="E654" s="61"/>
      <c r="F654" s="61"/>
      <c r="G654" s="61"/>
      <c r="H654" s="61"/>
      <c r="I654" s="61"/>
      <c r="J654" s="61"/>
      <c r="K654" s="61"/>
      <c r="L654" s="61"/>
      <c r="M654" s="61"/>
      <c r="N654" s="61"/>
      <c r="O654" s="61"/>
      <c r="P654" s="61"/>
      <c r="Q654" s="61"/>
      <c r="R654" s="61"/>
      <c r="S654" s="61"/>
      <c r="T654" s="35"/>
      <c r="U654" s="187"/>
      <c r="V654" s="190"/>
      <c r="W654" s="190"/>
      <c r="X654" s="190"/>
      <c r="Y654" s="190"/>
      <c r="Z654" s="190"/>
      <c r="AA654" s="191"/>
      <c r="AB654" s="190"/>
      <c r="AC654" s="190"/>
      <c r="AD654" s="190"/>
      <c r="AE654" s="190"/>
      <c r="AF654" s="190"/>
      <c r="AG654" s="190"/>
      <c r="AH654" s="191"/>
      <c r="AI654" s="190"/>
      <c r="AJ654" s="190"/>
      <c r="AK654" s="190"/>
      <c r="AL654" s="190"/>
      <c r="AM654" s="190"/>
      <c r="AN654" s="191"/>
      <c r="AO654" s="190"/>
      <c r="AP654" s="190"/>
      <c r="AQ654" s="190"/>
      <c r="AR654" s="190"/>
      <c r="AS654" s="190"/>
      <c r="AT654" s="191"/>
      <c r="AU654" s="190"/>
      <c r="AV654" s="190"/>
      <c r="AW654" s="190"/>
      <c r="AX654" s="190"/>
      <c r="AY654" s="190"/>
      <c r="AZ654" s="191"/>
      <c r="BA654" s="183"/>
      <c r="BB654" s="183"/>
      <c r="BC654" s="183"/>
      <c r="BD654" s="183"/>
      <c r="BE654" s="183"/>
      <c r="BF654" s="184"/>
      <c r="BG654" s="183"/>
      <c r="BH654" s="183"/>
      <c r="BI654" s="183"/>
      <c r="BJ654" s="183"/>
      <c r="BK654" s="183"/>
      <c r="BL654" s="184"/>
      <c r="BM654" s="409"/>
      <c r="BN654" s="409"/>
    </row>
    <row r="655" spans="1:66" s="153" customFormat="1" x14ac:dyDescent="0.2">
      <c r="A655" s="61"/>
      <c r="B655" s="61"/>
      <c r="C655" s="61"/>
      <c r="D655" s="61"/>
      <c r="E655" s="61"/>
      <c r="F655" s="61"/>
      <c r="G655" s="61"/>
      <c r="H655" s="61"/>
      <c r="I655" s="61"/>
      <c r="J655" s="61"/>
      <c r="K655" s="61"/>
      <c r="L655" s="61"/>
      <c r="M655" s="61"/>
      <c r="N655" s="61"/>
      <c r="O655" s="61"/>
      <c r="P655" s="61"/>
      <c r="Q655" s="61"/>
      <c r="R655" s="61"/>
      <c r="S655" s="61"/>
      <c r="T655" s="35"/>
      <c r="U655" s="187"/>
      <c r="V655" s="190"/>
      <c r="W655" s="190"/>
      <c r="X655" s="190"/>
      <c r="Y655" s="190"/>
      <c r="Z655" s="190"/>
      <c r="AA655" s="191"/>
      <c r="AB655" s="190"/>
      <c r="AC655" s="190"/>
      <c r="AD655" s="190"/>
      <c r="AE655" s="190"/>
      <c r="AF655" s="190"/>
      <c r="AG655" s="190"/>
      <c r="AH655" s="191"/>
      <c r="AI655" s="190"/>
      <c r="AJ655" s="190"/>
      <c r="AK655" s="190"/>
      <c r="AL655" s="190"/>
      <c r="AM655" s="190"/>
      <c r="AN655" s="191"/>
      <c r="AO655" s="190"/>
      <c r="AP655" s="190"/>
      <c r="AQ655" s="190"/>
      <c r="AR655" s="190"/>
      <c r="AS655" s="190"/>
      <c r="AT655" s="191"/>
      <c r="AU655" s="190"/>
      <c r="AV655" s="190"/>
      <c r="AW655" s="190"/>
      <c r="AX655" s="190"/>
      <c r="AY655" s="190"/>
      <c r="AZ655" s="191"/>
      <c r="BA655" s="183"/>
      <c r="BB655" s="183"/>
      <c r="BC655" s="183"/>
      <c r="BD655" s="183"/>
      <c r="BE655" s="183"/>
      <c r="BF655" s="184"/>
      <c r="BG655" s="183"/>
      <c r="BH655" s="183"/>
      <c r="BI655" s="183"/>
      <c r="BJ655" s="183"/>
      <c r="BK655" s="183"/>
      <c r="BL655" s="184"/>
      <c r="BM655" s="409"/>
      <c r="BN655" s="409"/>
    </row>
    <row r="656" spans="1:66" s="153" customFormat="1" x14ac:dyDescent="0.2">
      <c r="A656" s="61"/>
      <c r="B656" s="61"/>
      <c r="C656" s="61"/>
      <c r="D656" s="61"/>
      <c r="E656" s="61"/>
      <c r="F656" s="61"/>
      <c r="G656" s="61"/>
      <c r="H656" s="61"/>
      <c r="I656" s="61"/>
      <c r="J656" s="61"/>
      <c r="K656" s="61"/>
      <c r="L656" s="61"/>
      <c r="M656" s="61"/>
      <c r="N656" s="61"/>
      <c r="O656" s="61"/>
      <c r="P656" s="61"/>
      <c r="Q656" s="61"/>
      <c r="R656" s="61"/>
      <c r="S656" s="61"/>
      <c r="T656" s="35"/>
      <c r="U656" s="187"/>
      <c r="V656" s="190"/>
      <c r="W656" s="190"/>
      <c r="X656" s="190"/>
      <c r="Y656" s="190"/>
      <c r="Z656" s="190"/>
      <c r="AA656" s="191"/>
      <c r="AB656" s="190"/>
      <c r="AC656" s="190"/>
      <c r="AD656" s="190"/>
      <c r="AE656" s="190"/>
      <c r="AF656" s="190"/>
      <c r="AG656" s="190"/>
      <c r="AH656" s="191"/>
      <c r="AI656" s="190"/>
      <c r="AJ656" s="190"/>
      <c r="AK656" s="190"/>
      <c r="AL656" s="190"/>
      <c r="AM656" s="190"/>
      <c r="AN656" s="191"/>
      <c r="AO656" s="190"/>
      <c r="AP656" s="190"/>
      <c r="AQ656" s="190"/>
      <c r="AR656" s="190"/>
      <c r="AS656" s="190"/>
      <c r="AT656" s="191"/>
      <c r="AU656" s="190"/>
      <c r="AV656" s="190"/>
      <c r="AW656" s="190"/>
      <c r="AX656" s="190"/>
      <c r="AY656" s="190"/>
      <c r="AZ656" s="191"/>
      <c r="BA656" s="183"/>
      <c r="BB656" s="183"/>
      <c r="BC656" s="183"/>
      <c r="BD656" s="183"/>
      <c r="BE656" s="183"/>
      <c r="BF656" s="184"/>
      <c r="BG656" s="183"/>
      <c r="BH656" s="183"/>
      <c r="BI656" s="183"/>
      <c r="BJ656" s="183"/>
      <c r="BK656" s="183"/>
      <c r="BL656" s="184"/>
      <c r="BM656" s="409"/>
      <c r="BN656" s="409"/>
    </row>
    <row r="657" spans="1:66" s="153" customFormat="1" x14ac:dyDescent="0.2">
      <c r="A657" s="61"/>
      <c r="B657" s="61"/>
      <c r="C657" s="61"/>
      <c r="D657" s="61"/>
      <c r="E657" s="61"/>
      <c r="F657" s="61"/>
      <c r="G657" s="61"/>
      <c r="H657" s="61"/>
      <c r="I657" s="61"/>
      <c r="J657" s="61"/>
      <c r="K657" s="61"/>
      <c r="L657" s="61"/>
      <c r="M657" s="61"/>
      <c r="N657" s="61"/>
      <c r="O657" s="61"/>
      <c r="P657" s="61"/>
      <c r="Q657" s="61"/>
      <c r="R657" s="61"/>
      <c r="S657" s="61"/>
      <c r="T657" s="35"/>
      <c r="U657" s="187"/>
      <c r="V657" s="190"/>
      <c r="W657" s="190"/>
      <c r="X657" s="190"/>
      <c r="Y657" s="190"/>
      <c r="Z657" s="190"/>
      <c r="AA657" s="191"/>
      <c r="AB657" s="190"/>
      <c r="AC657" s="190"/>
      <c r="AD657" s="190"/>
      <c r="AE657" s="190"/>
      <c r="AF657" s="190"/>
      <c r="AG657" s="190"/>
      <c r="AH657" s="191"/>
      <c r="AI657" s="190"/>
      <c r="AJ657" s="190"/>
      <c r="AK657" s="190"/>
      <c r="AL657" s="190"/>
      <c r="AM657" s="190"/>
      <c r="AN657" s="191"/>
      <c r="AO657" s="190"/>
      <c r="AP657" s="190"/>
      <c r="AQ657" s="190"/>
      <c r="AR657" s="190"/>
      <c r="AS657" s="190"/>
      <c r="AT657" s="191"/>
      <c r="AU657" s="190"/>
      <c r="AV657" s="190"/>
      <c r="AW657" s="190"/>
      <c r="AX657" s="190"/>
      <c r="AY657" s="190"/>
      <c r="AZ657" s="191"/>
      <c r="BA657" s="183"/>
      <c r="BB657" s="183"/>
      <c r="BC657" s="183"/>
      <c r="BD657" s="183"/>
      <c r="BE657" s="183"/>
      <c r="BF657" s="184"/>
      <c r="BG657" s="183"/>
      <c r="BH657" s="183"/>
      <c r="BI657" s="183"/>
      <c r="BJ657" s="183"/>
      <c r="BK657" s="183"/>
      <c r="BL657" s="184"/>
      <c r="BM657" s="409"/>
      <c r="BN657" s="409"/>
    </row>
    <row r="658" spans="1:66" s="153" customFormat="1" x14ac:dyDescent="0.2">
      <c r="A658" s="61"/>
      <c r="B658" s="61"/>
      <c r="C658" s="61"/>
      <c r="D658" s="61"/>
      <c r="E658" s="61"/>
      <c r="F658" s="61"/>
      <c r="G658" s="61"/>
      <c r="H658" s="61"/>
      <c r="I658" s="61"/>
      <c r="J658" s="61"/>
      <c r="K658" s="61"/>
      <c r="L658" s="61"/>
      <c r="M658" s="61"/>
      <c r="N658" s="61"/>
      <c r="O658" s="61"/>
      <c r="P658" s="61"/>
      <c r="Q658" s="61"/>
      <c r="R658" s="61"/>
      <c r="S658" s="61"/>
      <c r="T658" s="35"/>
      <c r="U658" s="187"/>
      <c r="V658" s="190"/>
      <c r="W658" s="190"/>
      <c r="X658" s="190"/>
      <c r="Y658" s="190"/>
      <c r="Z658" s="190"/>
      <c r="AA658" s="191"/>
      <c r="AB658" s="190"/>
      <c r="AC658" s="190"/>
      <c r="AD658" s="190"/>
      <c r="AE658" s="190"/>
      <c r="AF658" s="190"/>
      <c r="AG658" s="190"/>
      <c r="AH658" s="191"/>
      <c r="AI658" s="190"/>
      <c r="AJ658" s="190"/>
      <c r="AK658" s="190"/>
      <c r="AL658" s="190"/>
      <c r="AM658" s="190"/>
      <c r="AN658" s="191"/>
      <c r="AO658" s="190"/>
      <c r="AP658" s="190"/>
      <c r="AQ658" s="190"/>
      <c r="AR658" s="190"/>
      <c r="AS658" s="190"/>
      <c r="AT658" s="191"/>
      <c r="AU658" s="190"/>
      <c r="AV658" s="190"/>
      <c r="AW658" s="190"/>
      <c r="AX658" s="190"/>
      <c r="AY658" s="190"/>
      <c r="AZ658" s="191"/>
      <c r="BA658" s="183"/>
      <c r="BB658" s="183"/>
      <c r="BC658" s="183"/>
      <c r="BD658" s="183"/>
      <c r="BE658" s="183"/>
      <c r="BF658" s="184"/>
      <c r="BG658" s="183"/>
      <c r="BH658" s="183"/>
      <c r="BI658" s="183"/>
      <c r="BJ658" s="183"/>
      <c r="BK658" s="183"/>
      <c r="BL658" s="184"/>
      <c r="BM658" s="409"/>
      <c r="BN658" s="409"/>
    </row>
    <row r="659" spans="1:66" s="153" customFormat="1" x14ac:dyDescent="0.2">
      <c r="A659" s="61"/>
      <c r="B659" s="61"/>
      <c r="C659" s="61"/>
      <c r="D659" s="61"/>
      <c r="E659" s="61"/>
      <c r="F659" s="61"/>
      <c r="G659" s="61"/>
      <c r="H659" s="61"/>
      <c r="I659" s="61"/>
      <c r="J659" s="61"/>
      <c r="K659" s="61"/>
      <c r="L659" s="61"/>
      <c r="M659" s="61"/>
      <c r="N659" s="61"/>
      <c r="O659" s="61"/>
      <c r="P659" s="61"/>
      <c r="Q659" s="61"/>
      <c r="R659" s="61"/>
      <c r="S659" s="61"/>
      <c r="T659" s="35"/>
      <c r="U659" s="187"/>
      <c r="V659" s="190"/>
      <c r="W659" s="190"/>
      <c r="X659" s="190"/>
      <c r="Y659" s="190"/>
      <c r="Z659" s="190"/>
      <c r="AA659" s="191"/>
      <c r="AB659" s="190"/>
      <c r="AC659" s="190"/>
      <c r="AD659" s="190"/>
      <c r="AE659" s="190"/>
      <c r="AF659" s="190"/>
      <c r="AG659" s="190"/>
      <c r="AH659" s="191"/>
      <c r="AI659" s="190"/>
      <c r="AJ659" s="190"/>
      <c r="AK659" s="190"/>
      <c r="AL659" s="190"/>
      <c r="AM659" s="190"/>
      <c r="AN659" s="191"/>
      <c r="AO659" s="190"/>
      <c r="AP659" s="190"/>
      <c r="AQ659" s="190"/>
      <c r="AR659" s="190"/>
      <c r="AS659" s="190"/>
      <c r="AT659" s="191"/>
      <c r="AU659" s="190"/>
      <c r="AV659" s="190"/>
      <c r="AW659" s="190"/>
      <c r="AX659" s="190"/>
      <c r="AY659" s="190"/>
      <c r="AZ659" s="191"/>
      <c r="BA659" s="183"/>
      <c r="BB659" s="183"/>
      <c r="BC659" s="183"/>
      <c r="BD659" s="183"/>
      <c r="BE659" s="183"/>
      <c r="BF659" s="184"/>
      <c r="BG659" s="183"/>
      <c r="BH659" s="183"/>
      <c r="BI659" s="183"/>
      <c r="BJ659" s="183"/>
      <c r="BK659" s="183"/>
      <c r="BL659" s="184"/>
      <c r="BM659" s="409"/>
      <c r="BN659" s="409"/>
    </row>
    <row r="660" spans="1:66" s="153" customFormat="1" x14ac:dyDescent="0.2">
      <c r="A660" s="61"/>
      <c r="B660" s="61"/>
      <c r="C660" s="61"/>
      <c r="D660" s="61"/>
      <c r="E660" s="61"/>
      <c r="F660" s="61"/>
      <c r="G660" s="61"/>
      <c r="H660" s="61"/>
      <c r="I660" s="61"/>
      <c r="J660" s="61"/>
      <c r="K660" s="61"/>
      <c r="L660" s="61"/>
      <c r="M660" s="61"/>
      <c r="N660" s="61"/>
      <c r="O660" s="61"/>
      <c r="P660" s="61"/>
      <c r="Q660" s="61"/>
      <c r="R660" s="61"/>
      <c r="S660" s="61"/>
      <c r="T660" s="35"/>
      <c r="U660" s="187"/>
      <c r="V660" s="190"/>
      <c r="W660" s="190"/>
      <c r="X660" s="190"/>
      <c r="Y660" s="190"/>
      <c r="Z660" s="190"/>
      <c r="AA660" s="191"/>
      <c r="AB660" s="190"/>
      <c r="AC660" s="190"/>
      <c r="AD660" s="190"/>
      <c r="AE660" s="190"/>
      <c r="AF660" s="190"/>
      <c r="AG660" s="190"/>
      <c r="AH660" s="191"/>
      <c r="AI660" s="190"/>
      <c r="AJ660" s="190"/>
      <c r="AK660" s="190"/>
      <c r="AL660" s="190"/>
      <c r="AM660" s="190"/>
      <c r="AN660" s="191"/>
      <c r="AO660" s="190"/>
      <c r="AP660" s="190"/>
      <c r="AQ660" s="190"/>
      <c r="AR660" s="190"/>
      <c r="AS660" s="190"/>
      <c r="AT660" s="191"/>
      <c r="AU660" s="190"/>
      <c r="AV660" s="190"/>
      <c r="AW660" s="190"/>
      <c r="AX660" s="190"/>
      <c r="AY660" s="190"/>
      <c r="AZ660" s="191"/>
      <c r="BA660" s="183"/>
      <c r="BB660" s="183"/>
      <c r="BC660" s="183"/>
      <c r="BD660" s="183"/>
      <c r="BE660" s="183"/>
      <c r="BF660" s="184"/>
      <c r="BG660" s="183"/>
      <c r="BH660" s="183"/>
      <c r="BI660" s="183"/>
      <c r="BJ660" s="183"/>
      <c r="BK660" s="183"/>
      <c r="BL660" s="184"/>
      <c r="BM660" s="409"/>
      <c r="BN660" s="409"/>
    </row>
    <row r="661" spans="1:66" s="153" customFormat="1" x14ac:dyDescent="0.2">
      <c r="A661" s="61"/>
      <c r="B661" s="61"/>
      <c r="C661" s="61"/>
      <c r="D661" s="61"/>
      <c r="E661" s="61"/>
      <c r="F661" s="61"/>
      <c r="G661" s="61"/>
      <c r="H661" s="61"/>
      <c r="I661" s="61"/>
      <c r="J661" s="61"/>
      <c r="K661" s="61"/>
      <c r="L661" s="61"/>
      <c r="M661" s="61"/>
      <c r="N661" s="61"/>
      <c r="O661" s="61"/>
      <c r="P661" s="61"/>
      <c r="Q661" s="61"/>
      <c r="R661" s="61"/>
      <c r="S661" s="61"/>
      <c r="T661" s="35"/>
      <c r="U661" s="187"/>
      <c r="V661" s="190"/>
      <c r="W661" s="190"/>
      <c r="X661" s="190"/>
      <c r="Y661" s="190"/>
      <c r="Z661" s="190"/>
      <c r="AA661" s="191"/>
      <c r="AB661" s="190"/>
      <c r="AC661" s="190"/>
      <c r="AD661" s="190"/>
      <c r="AE661" s="190"/>
      <c r="AF661" s="190"/>
      <c r="AG661" s="190"/>
      <c r="AH661" s="191"/>
      <c r="AI661" s="190"/>
      <c r="AJ661" s="190"/>
      <c r="AK661" s="190"/>
      <c r="AL661" s="190"/>
      <c r="AM661" s="190"/>
      <c r="AN661" s="191"/>
      <c r="AO661" s="190"/>
      <c r="AP661" s="190"/>
      <c r="AQ661" s="190"/>
      <c r="AR661" s="190"/>
      <c r="AS661" s="190"/>
      <c r="AT661" s="191"/>
      <c r="AU661" s="190"/>
      <c r="AV661" s="190"/>
      <c r="AW661" s="190"/>
      <c r="AX661" s="190"/>
      <c r="AY661" s="190"/>
      <c r="AZ661" s="191"/>
      <c r="BA661" s="183"/>
      <c r="BB661" s="183"/>
      <c r="BC661" s="183"/>
      <c r="BD661" s="183"/>
      <c r="BE661" s="183"/>
      <c r="BF661" s="184"/>
      <c r="BG661" s="183"/>
      <c r="BH661" s="183"/>
      <c r="BI661" s="183"/>
      <c r="BJ661" s="183"/>
      <c r="BK661" s="183"/>
      <c r="BL661" s="184"/>
      <c r="BM661" s="409"/>
      <c r="BN661" s="409"/>
    </row>
    <row r="662" spans="1:66" s="153" customFormat="1" x14ac:dyDescent="0.2">
      <c r="A662" s="61"/>
      <c r="B662" s="61"/>
      <c r="C662" s="61"/>
      <c r="D662" s="61"/>
      <c r="E662" s="61"/>
      <c r="F662" s="61"/>
      <c r="G662" s="61"/>
      <c r="H662" s="61"/>
      <c r="I662" s="61"/>
      <c r="J662" s="61"/>
      <c r="K662" s="61"/>
      <c r="L662" s="61"/>
      <c r="M662" s="61"/>
      <c r="N662" s="61"/>
      <c r="O662" s="61"/>
      <c r="P662" s="61"/>
      <c r="Q662" s="61"/>
      <c r="R662" s="61"/>
      <c r="S662" s="61"/>
      <c r="T662" s="35"/>
      <c r="U662" s="187"/>
      <c r="V662" s="190"/>
      <c r="W662" s="190"/>
      <c r="X662" s="190"/>
      <c r="Y662" s="190"/>
      <c r="Z662" s="190"/>
      <c r="AA662" s="191"/>
      <c r="AB662" s="190"/>
      <c r="AC662" s="190"/>
      <c r="AD662" s="190"/>
      <c r="AE662" s="190"/>
      <c r="AF662" s="190"/>
      <c r="AG662" s="190"/>
      <c r="AH662" s="191"/>
      <c r="AI662" s="190"/>
      <c r="AJ662" s="190"/>
      <c r="AK662" s="190"/>
      <c r="AL662" s="190"/>
      <c r="AM662" s="190"/>
      <c r="AN662" s="191"/>
      <c r="AO662" s="190"/>
      <c r="AP662" s="190"/>
      <c r="AQ662" s="190"/>
      <c r="AR662" s="190"/>
      <c r="AS662" s="190"/>
      <c r="AT662" s="191"/>
      <c r="AU662" s="190"/>
      <c r="AV662" s="190"/>
      <c r="AW662" s="190"/>
      <c r="AX662" s="190"/>
      <c r="AY662" s="190"/>
      <c r="AZ662" s="191"/>
      <c r="BA662" s="183"/>
      <c r="BB662" s="183"/>
      <c r="BC662" s="183"/>
      <c r="BD662" s="183"/>
      <c r="BE662" s="183"/>
      <c r="BF662" s="184"/>
      <c r="BG662" s="183"/>
      <c r="BH662" s="183"/>
      <c r="BI662" s="183"/>
      <c r="BJ662" s="183"/>
      <c r="BK662" s="183"/>
      <c r="BL662" s="184"/>
      <c r="BM662" s="409"/>
      <c r="BN662" s="409"/>
    </row>
    <row r="663" spans="1:66" s="153" customFormat="1" x14ac:dyDescent="0.2">
      <c r="A663" s="61"/>
      <c r="B663" s="61"/>
      <c r="C663" s="61"/>
      <c r="D663" s="61"/>
      <c r="E663" s="61"/>
      <c r="F663" s="61"/>
      <c r="G663" s="61"/>
      <c r="H663" s="61"/>
      <c r="I663" s="61"/>
      <c r="J663" s="61"/>
      <c r="K663" s="61"/>
      <c r="L663" s="61"/>
      <c r="M663" s="61"/>
      <c r="N663" s="61"/>
      <c r="O663" s="61"/>
      <c r="P663" s="61"/>
      <c r="Q663" s="61"/>
      <c r="R663" s="61"/>
      <c r="S663" s="61"/>
      <c r="T663" s="35"/>
      <c r="U663" s="187"/>
      <c r="V663" s="190"/>
      <c r="W663" s="190"/>
      <c r="X663" s="190"/>
      <c r="Y663" s="190"/>
      <c r="Z663" s="190"/>
      <c r="AA663" s="191"/>
      <c r="AB663" s="190"/>
      <c r="AC663" s="190"/>
      <c r="AD663" s="190"/>
      <c r="AE663" s="190"/>
      <c r="AF663" s="190"/>
      <c r="AG663" s="190"/>
      <c r="AH663" s="191"/>
      <c r="AI663" s="190"/>
      <c r="AJ663" s="190"/>
      <c r="AK663" s="190"/>
      <c r="AL663" s="190"/>
      <c r="AM663" s="190"/>
      <c r="AN663" s="191"/>
      <c r="AO663" s="190"/>
      <c r="AP663" s="190"/>
      <c r="AQ663" s="190"/>
      <c r="AR663" s="190"/>
      <c r="AS663" s="190"/>
      <c r="AT663" s="191"/>
      <c r="AU663" s="190"/>
      <c r="AV663" s="190"/>
      <c r="AW663" s="190"/>
      <c r="AX663" s="190"/>
      <c r="AY663" s="190"/>
      <c r="AZ663" s="191"/>
      <c r="BA663" s="183"/>
      <c r="BB663" s="183"/>
      <c r="BC663" s="183"/>
      <c r="BD663" s="183"/>
      <c r="BE663" s="183"/>
      <c r="BF663" s="184"/>
      <c r="BG663" s="183"/>
      <c r="BH663" s="183"/>
      <c r="BI663" s="183"/>
      <c r="BJ663" s="183"/>
      <c r="BK663" s="183"/>
      <c r="BL663" s="184"/>
      <c r="BM663" s="409"/>
      <c r="BN663" s="409"/>
    </row>
    <row r="664" spans="1:66" s="153" customFormat="1" x14ac:dyDescent="0.2">
      <c r="A664" s="61"/>
      <c r="B664" s="61"/>
      <c r="C664" s="61"/>
      <c r="D664" s="61"/>
      <c r="E664" s="61"/>
      <c r="F664" s="61"/>
      <c r="G664" s="61"/>
      <c r="H664" s="61"/>
      <c r="I664" s="61"/>
      <c r="J664" s="61"/>
      <c r="K664" s="61"/>
      <c r="L664" s="61"/>
      <c r="M664" s="61"/>
      <c r="N664" s="61"/>
      <c r="O664" s="61"/>
      <c r="P664" s="61"/>
      <c r="Q664" s="61"/>
      <c r="R664" s="61"/>
      <c r="S664" s="61"/>
      <c r="T664" s="35"/>
      <c r="U664" s="187"/>
      <c r="V664" s="190"/>
      <c r="W664" s="190"/>
      <c r="X664" s="190"/>
      <c r="Y664" s="190"/>
      <c r="Z664" s="190"/>
      <c r="AA664" s="191"/>
      <c r="AB664" s="190"/>
      <c r="AC664" s="190"/>
      <c r="AD664" s="190"/>
      <c r="AE664" s="190"/>
      <c r="AF664" s="190"/>
      <c r="AG664" s="190"/>
      <c r="AH664" s="191"/>
      <c r="AI664" s="190"/>
      <c r="AJ664" s="190"/>
      <c r="AK664" s="190"/>
      <c r="AL664" s="190"/>
      <c r="AM664" s="190"/>
      <c r="AN664" s="191"/>
      <c r="AO664" s="190"/>
      <c r="AP664" s="190"/>
      <c r="AQ664" s="190"/>
      <c r="AR664" s="190"/>
      <c r="AS664" s="190"/>
      <c r="AT664" s="191"/>
      <c r="AU664" s="190"/>
      <c r="AV664" s="190"/>
      <c r="AW664" s="190"/>
      <c r="AX664" s="190"/>
      <c r="AY664" s="190"/>
      <c r="AZ664" s="191"/>
      <c r="BA664" s="183"/>
      <c r="BB664" s="183"/>
      <c r="BC664" s="183"/>
      <c r="BD664" s="183"/>
      <c r="BE664" s="183"/>
      <c r="BF664" s="184"/>
      <c r="BG664" s="183"/>
      <c r="BH664" s="183"/>
      <c r="BI664" s="183"/>
      <c r="BJ664" s="183"/>
      <c r="BK664" s="183"/>
      <c r="BL664" s="184"/>
      <c r="BM664" s="409"/>
      <c r="BN664" s="409"/>
    </row>
    <row r="665" spans="1:66" s="153" customFormat="1" x14ac:dyDescent="0.2">
      <c r="A665" s="61"/>
      <c r="B665" s="61"/>
      <c r="C665" s="61"/>
      <c r="D665" s="61"/>
      <c r="E665" s="61"/>
      <c r="F665" s="61"/>
      <c r="G665" s="61"/>
      <c r="H665" s="61"/>
      <c r="I665" s="61"/>
      <c r="J665" s="61"/>
      <c r="K665" s="61"/>
      <c r="L665" s="61"/>
      <c r="M665" s="61"/>
      <c r="N665" s="61"/>
      <c r="O665" s="61"/>
      <c r="P665" s="61"/>
      <c r="Q665" s="61"/>
      <c r="R665" s="61"/>
      <c r="S665" s="61"/>
      <c r="T665" s="35"/>
      <c r="U665" s="187"/>
      <c r="V665" s="190"/>
      <c r="W665" s="190"/>
      <c r="X665" s="190"/>
      <c r="Y665" s="190"/>
      <c r="Z665" s="190"/>
      <c r="AA665" s="191"/>
      <c r="AB665" s="190"/>
      <c r="AC665" s="190"/>
      <c r="AD665" s="190"/>
      <c r="AE665" s="190"/>
      <c r="AF665" s="190"/>
      <c r="AG665" s="190"/>
      <c r="AH665" s="191"/>
      <c r="AI665" s="190"/>
      <c r="AJ665" s="190"/>
      <c r="AK665" s="190"/>
      <c r="AL665" s="190"/>
      <c r="AM665" s="190"/>
      <c r="AN665" s="191"/>
      <c r="AO665" s="190"/>
      <c r="AP665" s="190"/>
      <c r="AQ665" s="190"/>
      <c r="AR665" s="190"/>
      <c r="AS665" s="190"/>
      <c r="AT665" s="191"/>
      <c r="AU665" s="190"/>
      <c r="AV665" s="190"/>
      <c r="AW665" s="190"/>
      <c r="AX665" s="190"/>
      <c r="AY665" s="190"/>
      <c r="AZ665" s="191"/>
      <c r="BA665" s="183"/>
      <c r="BB665" s="183"/>
      <c r="BC665" s="183"/>
      <c r="BD665" s="183"/>
      <c r="BE665" s="183"/>
      <c r="BF665" s="184"/>
      <c r="BG665" s="183"/>
      <c r="BH665" s="183"/>
      <c r="BI665" s="183"/>
      <c r="BJ665" s="183"/>
      <c r="BK665" s="183"/>
      <c r="BL665" s="184"/>
      <c r="BM665" s="409"/>
      <c r="BN665" s="409"/>
    </row>
    <row r="666" spans="1:66" s="153" customFormat="1" x14ac:dyDescent="0.2">
      <c r="A666" s="61"/>
      <c r="B666" s="61"/>
      <c r="C666" s="61"/>
      <c r="D666" s="61"/>
      <c r="E666" s="61"/>
      <c r="F666" s="61"/>
      <c r="G666" s="61"/>
      <c r="H666" s="61"/>
      <c r="I666" s="61"/>
      <c r="J666" s="61"/>
      <c r="K666" s="61"/>
      <c r="L666" s="61"/>
      <c r="M666" s="61"/>
      <c r="N666" s="61"/>
      <c r="O666" s="61"/>
      <c r="P666" s="61"/>
      <c r="Q666" s="61"/>
      <c r="R666" s="61"/>
      <c r="S666" s="61"/>
      <c r="T666" s="35"/>
      <c r="U666" s="187"/>
      <c r="V666" s="190"/>
      <c r="W666" s="190"/>
      <c r="X666" s="190"/>
      <c r="Y666" s="190"/>
      <c r="Z666" s="190"/>
      <c r="AA666" s="191"/>
      <c r="AB666" s="190"/>
      <c r="AC666" s="190"/>
      <c r="AD666" s="190"/>
      <c r="AE666" s="190"/>
      <c r="AF666" s="190"/>
      <c r="AG666" s="190"/>
      <c r="AH666" s="191"/>
      <c r="AI666" s="190"/>
      <c r="AJ666" s="190"/>
      <c r="AK666" s="190"/>
      <c r="AL666" s="190"/>
      <c r="AM666" s="190"/>
      <c r="AN666" s="191"/>
      <c r="AO666" s="190"/>
      <c r="AP666" s="190"/>
      <c r="AQ666" s="190"/>
      <c r="AR666" s="190"/>
      <c r="AS666" s="190"/>
      <c r="AT666" s="191"/>
      <c r="AU666" s="190"/>
      <c r="AV666" s="190"/>
      <c r="AW666" s="190"/>
      <c r="AX666" s="190"/>
      <c r="AY666" s="190"/>
      <c r="AZ666" s="191"/>
      <c r="BA666" s="183"/>
      <c r="BB666" s="183"/>
      <c r="BC666" s="183"/>
      <c r="BD666" s="183"/>
      <c r="BE666" s="183"/>
      <c r="BF666" s="184"/>
      <c r="BG666" s="183"/>
      <c r="BH666" s="183"/>
      <c r="BI666" s="183"/>
      <c r="BJ666" s="183"/>
      <c r="BK666" s="183"/>
      <c r="BL666" s="184"/>
      <c r="BM666" s="409"/>
      <c r="BN666" s="409"/>
    </row>
    <row r="667" spans="1:66" s="153" customFormat="1" x14ac:dyDescent="0.2">
      <c r="A667" s="61"/>
      <c r="B667" s="61"/>
      <c r="C667" s="61"/>
      <c r="D667" s="61"/>
      <c r="E667" s="61"/>
      <c r="F667" s="61"/>
      <c r="G667" s="61"/>
      <c r="H667" s="61"/>
      <c r="I667" s="61"/>
      <c r="J667" s="61"/>
      <c r="K667" s="61"/>
      <c r="L667" s="61"/>
      <c r="M667" s="61"/>
      <c r="N667" s="61"/>
      <c r="O667" s="61"/>
      <c r="P667" s="61"/>
      <c r="Q667" s="61"/>
      <c r="R667" s="61"/>
      <c r="S667" s="61"/>
      <c r="T667" s="35"/>
      <c r="U667" s="187"/>
      <c r="V667" s="190"/>
      <c r="W667" s="190"/>
      <c r="X667" s="190"/>
      <c r="Y667" s="190"/>
      <c r="Z667" s="190"/>
      <c r="AA667" s="191"/>
      <c r="AB667" s="190"/>
      <c r="AC667" s="190"/>
      <c r="AD667" s="190"/>
      <c r="AE667" s="190"/>
      <c r="AF667" s="190"/>
      <c r="AG667" s="190"/>
      <c r="AH667" s="191"/>
      <c r="AI667" s="190"/>
      <c r="AJ667" s="190"/>
      <c r="AK667" s="190"/>
      <c r="AL667" s="190"/>
      <c r="AM667" s="190"/>
      <c r="AN667" s="191"/>
      <c r="AO667" s="190"/>
      <c r="AP667" s="190"/>
      <c r="AQ667" s="190"/>
      <c r="AR667" s="190"/>
      <c r="AS667" s="190"/>
      <c r="AT667" s="191"/>
      <c r="AU667" s="190"/>
      <c r="AV667" s="190"/>
      <c r="AW667" s="190"/>
      <c r="AX667" s="190"/>
      <c r="AY667" s="190"/>
      <c r="AZ667" s="191"/>
      <c r="BA667" s="183"/>
      <c r="BB667" s="183"/>
      <c r="BC667" s="183"/>
      <c r="BD667" s="183"/>
      <c r="BE667" s="183"/>
      <c r="BF667" s="184"/>
      <c r="BG667" s="183"/>
      <c r="BH667" s="183"/>
      <c r="BI667" s="183"/>
      <c r="BJ667" s="183"/>
      <c r="BK667" s="183"/>
      <c r="BL667" s="184"/>
      <c r="BM667" s="409"/>
      <c r="BN667" s="409"/>
    </row>
    <row r="668" spans="1:66" s="153" customFormat="1" x14ac:dyDescent="0.2">
      <c r="A668" s="61"/>
      <c r="B668" s="61"/>
      <c r="C668" s="61"/>
      <c r="D668" s="61"/>
      <c r="E668" s="61"/>
      <c r="F668" s="61"/>
      <c r="G668" s="61"/>
      <c r="H668" s="61"/>
      <c r="I668" s="61"/>
      <c r="J668" s="61"/>
      <c r="K668" s="61"/>
      <c r="L668" s="61"/>
      <c r="M668" s="61"/>
      <c r="N668" s="61"/>
      <c r="O668" s="61"/>
      <c r="P668" s="61"/>
      <c r="Q668" s="61"/>
      <c r="R668" s="61"/>
      <c r="S668" s="61"/>
      <c r="T668" s="35"/>
      <c r="U668" s="187"/>
      <c r="V668" s="190"/>
      <c r="W668" s="190"/>
      <c r="X668" s="190"/>
      <c r="Y668" s="190"/>
      <c r="Z668" s="190"/>
      <c r="AA668" s="191"/>
      <c r="AB668" s="190"/>
      <c r="AC668" s="190"/>
      <c r="AD668" s="190"/>
      <c r="AE668" s="190"/>
      <c r="AF668" s="190"/>
      <c r="AG668" s="190"/>
      <c r="AH668" s="191"/>
      <c r="AI668" s="190"/>
      <c r="AJ668" s="190"/>
      <c r="AK668" s="190"/>
      <c r="AL668" s="190"/>
      <c r="AM668" s="190"/>
      <c r="AN668" s="191"/>
      <c r="AO668" s="190"/>
      <c r="AP668" s="190"/>
      <c r="AQ668" s="190"/>
      <c r="AR668" s="190"/>
      <c r="AS668" s="190"/>
      <c r="AT668" s="191"/>
      <c r="AU668" s="190"/>
      <c r="AV668" s="190"/>
      <c r="AW668" s="190"/>
      <c r="AX668" s="190"/>
      <c r="AY668" s="190"/>
      <c r="AZ668" s="191"/>
      <c r="BA668" s="183"/>
      <c r="BB668" s="183"/>
      <c r="BC668" s="183"/>
      <c r="BD668" s="183"/>
      <c r="BE668" s="183"/>
      <c r="BF668" s="184"/>
      <c r="BG668" s="183"/>
      <c r="BH668" s="183"/>
      <c r="BI668" s="183"/>
      <c r="BJ668" s="183"/>
      <c r="BK668" s="183"/>
      <c r="BL668" s="184"/>
      <c r="BM668" s="409"/>
      <c r="BN668" s="409"/>
    </row>
    <row r="669" spans="1:66" s="153" customFormat="1" x14ac:dyDescent="0.2">
      <c r="A669" s="61"/>
      <c r="B669" s="61"/>
      <c r="C669" s="61"/>
      <c r="D669" s="61"/>
      <c r="E669" s="61"/>
      <c r="F669" s="61"/>
      <c r="G669" s="61"/>
      <c r="H669" s="61"/>
      <c r="I669" s="61"/>
      <c r="J669" s="61"/>
      <c r="K669" s="61"/>
      <c r="L669" s="61"/>
      <c r="M669" s="61"/>
      <c r="N669" s="61"/>
      <c r="O669" s="61"/>
      <c r="P669" s="61"/>
      <c r="Q669" s="61"/>
      <c r="R669" s="61"/>
      <c r="S669" s="61"/>
      <c r="T669" s="35"/>
      <c r="U669" s="187"/>
      <c r="V669" s="190"/>
      <c r="W669" s="190"/>
      <c r="X669" s="190"/>
      <c r="Y669" s="190"/>
      <c r="Z669" s="190"/>
      <c r="AA669" s="191"/>
      <c r="AB669" s="190"/>
      <c r="AC669" s="190"/>
      <c r="AD669" s="190"/>
      <c r="AE669" s="190"/>
      <c r="AF669" s="190"/>
      <c r="AG669" s="190"/>
      <c r="AH669" s="191"/>
      <c r="AI669" s="190"/>
      <c r="AJ669" s="190"/>
      <c r="AK669" s="190"/>
      <c r="AL669" s="190"/>
      <c r="AM669" s="190"/>
      <c r="AN669" s="191"/>
      <c r="AO669" s="190"/>
      <c r="AP669" s="190"/>
      <c r="AQ669" s="190"/>
      <c r="AR669" s="190"/>
      <c r="AS669" s="190"/>
      <c r="AT669" s="191"/>
      <c r="AU669" s="190"/>
      <c r="AV669" s="190"/>
      <c r="AW669" s="190"/>
      <c r="AX669" s="190"/>
      <c r="AY669" s="190"/>
      <c r="AZ669" s="191"/>
      <c r="BA669" s="183"/>
      <c r="BB669" s="183"/>
      <c r="BC669" s="183"/>
      <c r="BD669" s="183"/>
      <c r="BE669" s="183"/>
      <c r="BF669" s="184"/>
      <c r="BG669" s="183"/>
      <c r="BH669" s="183"/>
      <c r="BI669" s="183"/>
      <c r="BJ669" s="183"/>
      <c r="BK669" s="183"/>
      <c r="BL669" s="184"/>
      <c r="BM669" s="409"/>
      <c r="BN669" s="409"/>
    </row>
    <row r="670" spans="1:66" s="153" customFormat="1" x14ac:dyDescent="0.2">
      <c r="A670" s="61"/>
      <c r="B670" s="61"/>
      <c r="C670" s="61"/>
      <c r="D670" s="61"/>
      <c r="E670" s="61"/>
      <c r="F670" s="61"/>
      <c r="G670" s="61"/>
      <c r="H670" s="61"/>
      <c r="I670" s="61"/>
      <c r="J670" s="61"/>
      <c r="K670" s="61"/>
      <c r="L670" s="61"/>
      <c r="M670" s="61"/>
      <c r="N670" s="61"/>
      <c r="O670" s="61"/>
      <c r="P670" s="61"/>
      <c r="Q670" s="61"/>
      <c r="R670" s="61"/>
      <c r="S670" s="61"/>
      <c r="T670" s="35"/>
      <c r="U670" s="187"/>
      <c r="V670" s="190"/>
      <c r="W670" s="190"/>
      <c r="X670" s="190"/>
      <c r="Y670" s="190"/>
      <c r="Z670" s="190"/>
      <c r="AA670" s="191"/>
      <c r="AB670" s="190"/>
      <c r="AC670" s="190"/>
      <c r="AD670" s="190"/>
      <c r="AE670" s="190"/>
      <c r="AF670" s="190"/>
      <c r="AG670" s="190"/>
      <c r="AH670" s="191"/>
      <c r="AI670" s="190"/>
      <c r="AJ670" s="190"/>
      <c r="AK670" s="190"/>
      <c r="AL670" s="190"/>
      <c r="AM670" s="190"/>
      <c r="AN670" s="191"/>
      <c r="AO670" s="190"/>
      <c r="AP670" s="190"/>
      <c r="AQ670" s="190"/>
      <c r="AR670" s="190"/>
      <c r="AS670" s="190"/>
      <c r="AT670" s="191"/>
      <c r="AU670" s="190"/>
      <c r="AV670" s="190"/>
      <c r="AW670" s="190"/>
      <c r="AX670" s="190"/>
      <c r="AY670" s="190"/>
      <c r="AZ670" s="191"/>
      <c r="BA670" s="183"/>
      <c r="BB670" s="183"/>
      <c r="BC670" s="183"/>
      <c r="BD670" s="183"/>
      <c r="BE670" s="183"/>
      <c r="BF670" s="184"/>
      <c r="BG670" s="183"/>
      <c r="BH670" s="183"/>
      <c r="BI670" s="183"/>
      <c r="BJ670" s="183"/>
      <c r="BK670" s="183"/>
      <c r="BL670" s="184"/>
      <c r="BM670" s="409"/>
      <c r="BN670" s="409"/>
    </row>
    <row r="671" spans="1:66" s="153" customFormat="1" x14ac:dyDescent="0.2">
      <c r="A671" s="61"/>
      <c r="B671" s="61"/>
      <c r="C671" s="61"/>
      <c r="D671" s="61"/>
      <c r="E671" s="61"/>
      <c r="F671" s="61"/>
      <c r="G671" s="61"/>
      <c r="H671" s="61"/>
      <c r="I671" s="61"/>
      <c r="J671" s="61"/>
      <c r="K671" s="61"/>
      <c r="L671" s="61"/>
      <c r="M671" s="61"/>
      <c r="N671" s="61"/>
      <c r="O671" s="61"/>
      <c r="P671" s="61"/>
      <c r="Q671" s="61"/>
      <c r="R671" s="61"/>
      <c r="S671" s="61"/>
      <c r="T671" s="35"/>
      <c r="U671" s="187"/>
      <c r="V671" s="190"/>
      <c r="W671" s="190"/>
      <c r="X671" s="190"/>
      <c r="Y671" s="190"/>
      <c r="Z671" s="190"/>
      <c r="AA671" s="191"/>
      <c r="AB671" s="190"/>
      <c r="AC671" s="190"/>
      <c r="AD671" s="190"/>
      <c r="AE671" s="190"/>
      <c r="AF671" s="190"/>
      <c r="AG671" s="190"/>
      <c r="AH671" s="191"/>
      <c r="AI671" s="190"/>
      <c r="AJ671" s="190"/>
      <c r="AK671" s="190"/>
      <c r="AL671" s="190"/>
      <c r="AM671" s="190"/>
      <c r="AN671" s="191"/>
      <c r="AO671" s="190"/>
      <c r="AP671" s="190"/>
      <c r="AQ671" s="190"/>
      <c r="AR671" s="190"/>
      <c r="AS671" s="190"/>
      <c r="AT671" s="191"/>
      <c r="AU671" s="190"/>
      <c r="AV671" s="190"/>
      <c r="AW671" s="190"/>
      <c r="AX671" s="190"/>
      <c r="AY671" s="190"/>
      <c r="AZ671" s="191"/>
      <c r="BA671" s="183"/>
      <c r="BB671" s="183"/>
      <c r="BC671" s="183"/>
      <c r="BD671" s="183"/>
      <c r="BE671" s="183"/>
      <c r="BF671" s="184"/>
      <c r="BG671" s="183"/>
      <c r="BH671" s="183"/>
      <c r="BI671" s="183"/>
      <c r="BJ671" s="183"/>
      <c r="BK671" s="183"/>
      <c r="BL671" s="184"/>
      <c r="BM671" s="409"/>
      <c r="BN671" s="409"/>
    </row>
    <row r="672" spans="1:66" s="153" customFormat="1" x14ac:dyDescent="0.2">
      <c r="A672" s="61"/>
      <c r="B672" s="61"/>
      <c r="C672" s="61"/>
      <c r="D672" s="61"/>
      <c r="E672" s="61"/>
      <c r="F672" s="61"/>
      <c r="G672" s="61"/>
      <c r="H672" s="61"/>
      <c r="I672" s="61"/>
      <c r="J672" s="61"/>
      <c r="K672" s="61"/>
      <c r="L672" s="61"/>
      <c r="M672" s="61"/>
      <c r="N672" s="61"/>
      <c r="O672" s="61"/>
      <c r="P672" s="61"/>
      <c r="Q672" s="61"/>
      <c r="R672" s="61"/>
      <c r="S672" s="61"/>
      <c r="T672" s="35"/>
      <c r="U672" s="187"/>
      <c r="V672" s="190"/>
      <c r="W672" s="190"/>
      <c r="X672" s="190"/>
      <c r="Y672" s="190"/>
      <c r="Z672" s="190"/>
      <c r="AA672" s="191"/>
      <c r="AB672" s="190"/>
      <c r="AC672" s="190"/>
      <c r="AD672" s="190"/>
      <c r="AE672" s="190"/>
      <c r="AF672" s="190"/>
      <c r="AG672" s="190"/>
      <c r="AH672" s="191"/>
      <c r="AI672" s="190"/>
      <c r="AJ672" s="190"/>
      <c r="AK672" s="190"/>
      <c r="AL672" s="190"/>
      <c r="AM672" s="190"/>
      <c r="AN672" s="191"/>
      <c r="AO672" s="190"/>
      <c r="AP672" s="190"/>
      <c r="AQ672" s="190"/>
      <c r="AR672" s="190"/>
      <c r="AS672" s="190"/>
      <c r="AT672" s="191"/>
      <c r="AU672" s="190"/>
      <c r="AV672" s="190"/>
      <c r="AW672" s="190"/>
      <c r="AX672" s="190"/>
      <c r="AY672" s="190"/>
      <c r="AZ672" s="191"/>
      <c r="BA672" s="183"/>
      <c r="BB672" s="183"/>
      <c r="BC672" s="183"/>
      <c r="BD672" s="183"/>
      <c r="BE672" s="183"/>
      <c r="BF672" s="184"/>
      <c r="BG672" s="183"/>
      <c r="BH672" s="183"/>
      <c r="BI672" s="183"/>
      <c r="BJ672" s="183"/>
      <c r="BK672" s="183"/>
      <c r="BL672" s="184"/>
      <c r="BM672" s="409"/>
      <c r="BN672" s="409"/>
    </row>
    <row r="673" spans="1:66" s="153" customFormat="1" x14ac:dyDescent="0.2">
      <c r="A673" s="61"/>
      <c r="B673" s="61"/>
      <c r="C673" s="61"/>
      <c r="D673" s="61"/>
      <c r="E673" s="61"/>
      <c r="F673" s="61"/>
      <c r="G673" s="61"/>
      <c r="H673" s="61"/>
      <c r="I673" s="61"/>
      <c r="J673" s="61"/>
      <c r="K673" s="61"/>
      <c r="L673" s="61"/>
      <c r="M673" s="61"/>
      <c r="N673" s="61"/>
      <c r="O673" s="61"/>
      <c r="P673" s="61"/>
      <c r="Q673" s="61"/>
      <c r="R673" s="61"/>
      <c r="S673" s="61"/>
      <c r="T673" s="35"/>
      <c r="U673" s="187"/>
      <c r="V673" s="190"/>
      <c r="W673" s="190"/>
      <c r="X673" s="190"/>
      <c r="Y673" s="190"/>
      <c r="Z673" s="190"/>
      <c r="AA673" s="191"/>
      <c r="AB673" s="190"/>
      <c r="AC673" s="190"/>
      <c r="AD673" s="190"/>
      <c r="AE673" s="190"/>
      <c r="AF673" s="190"/>
      <c r="AG673" s="190"/>
      <c r="AH673" s="191"/>
      <c r="AI673" s="190"/>
      <c r="AJ673" s="190"/>
      <c r="AK673" s="190"/>
      <c r="AL673" s="190"/>
      <c r="AM673" s="190"/>
      <c r="AN673" s="191"/>
      <c r="AO673" s="190"/>
      <c r="AP673" s="190"/>
      <c r="AQ673" s="190"/>
      <c r="AR673" s="190"/>
      <c r="AS673" s="190"/>
      <c r="AT673" s="191"/>
      <c r="AU673" s="190"/>
      <c r="AV673" s="190"/>
      <c r="AW673" s="190"/>
      <c r="AX673" s="190"/>
      <c r="AY673" s="190"/>
      <c r="AZ673" s="191"/>
      <c r="BA673" s="183"/>
      <c r="BB673" s="183"/>
      <c r="BC673" s="183"/>
      <c r="BD673" s="183"/>
      <c r="BE673" s="183"/>
      <c r="BF673" s="184"/>
      <c r="BG673" s="183"/>
      <c r="BH673" s="183"/>
      <c r="BI673" s="183"/>
      <c r="BJ673" s="183"/>
      <c r="BK673" s="183"/>
      <c r="BL673" s="184"/>
      <c r="BM673" s="409"/>
      <c r="BN673" s="409"/>
    </row>
    <row r="674" spans="1:66" s="153" customFormat="1" x14ac:dyDescent="0.2">
      <c r="A674" s="61"/>
      <c r="B674" s="61"/>
      <c r="C674" s="61"/>
      <c r="D674" s="61"/>
      <c r="E674" s="61"/>
      <c r="F674" s="61"/>
      <c r="G674" s="61"/>
      <c r="H674" s="61"/>
      <c r="I674" s="61"/>
      <c r="J674" s="61"/>
      <c r="K674" s="61"/>
      <c r="L674" s="61"/>
      <c r="M674" s="61"/>
      <c r="N674" s="61"/>
      <c r="O674" s="61"/>
      <c r="P674" s="61"/>
      <c r="Q674" s="61"/>
      <c r="R674" s="61"/>
      <c r="S674" s="61"/>
      <c r="T674" s="35"/>
      <c r="U674" s="187"/>
      <c r="V674" s="190"/>
      <c r="W674" s="190"/>
      <c r="X674" s="190"/>
      <c r="Y674" s="190"/>
      <c r="Z674" s="190"/>
      <c r="AA674" s="191"/>
      <c r="AB674" s="190"/>
      <c r="AC674" s="190"/>
      <c r="AD674" s="190"/>
      <c r="AE674" s="190"/>
      <c r="AF674" s="190"/>
      <c r="AG674" s="190"/>
      <c r="AH674" s="191"/>
      <c r="AI674" s="190"/>
      <c r="AJ674" s="190"/>
      <c r="AK674" s="190"/>
      <c r="AL674" s="190"/>
      <c r="AM674" s="190"/>
      <c r="AN674" s="191"/>
      <c r="AO674" s="190"/>
      <c r="AP674" s="190"/>
      <c r="AQ674" s="190"/>
      <c r="AR674" s="190"/>
      <c r="AS674" s="190"/>
      <c r="AT674" s="191"/>
      <c r="AU674" s="190"/>
      <c r="AV674" s="190"/>
      <c r="AW674" s="190"/>
      <c r="AX674" s="190"/>
      <c r="AY674" s="190"/>
      <c r="AZ674" s="191"/>
      <c r="BA674" s="183"/>
      <c r="BB674" s="183"/>
      <c r="BC674" s="183"/>
      <c r="BD674" s="183"/>
      <c r="BE674" s="183"/>
      <c r="BF674" s="184"/>
      <c r="BG674" s="183"/>
      <c r="BH674" s="183"/>
      <c r="BI674" s="183"/>
      <c r="BJ674" s="183"/>
      <c r="BK674" s="183"/>
      <c r="BL674" s="184"/>
      <c r="BM674" s="409"/>
      <c r="BN674" s="409"/>
    </row>
    <row r="675" spans="1:66" s="153" customFormat="1" x14ac:dyDescent="0.2">
      <c r="A675" s="61"/>
      <c r="B675" s="61"/>
      <c r="C675" s="61"/>
      <c r="D675" s="61"/>
      <c r="E675" s="61"/>
      <c r="F675" s="61"/>
      <c r="G675" s="61"/>
      <c r="H675" s="61"/>
      <c r="I675" s="61"/>
      <c r="J675" s="61"/>
      <c r="K675" s="61"/>
      <c r="L675" s="61"/>
      <c r="M675" s="61"/>
      <c r="N675" s="61"/>
      <c r="O675" s="61"/>
      <c r="P675" s="61"/>
      <c r="Q675" s="61"/>
      <c r="R675" s="61"/>
      <c r="S675" s="61"/>
      <c r="T675" s="35"/>
      <c r="U675" s="187"/>
      <c r="V675" s="190"/>
      <c r="W675" s="190"/>
      <c r="X675" s="190"/>
      <c r="Y675" s="190"/>
      <c r="Z675" s="190"/>
      <c r="AA675" s="191"/>
      <c r="AB675" s="190"/>
      <c r="AC675" s="190"/>
      <c r="AD675" s="190"/>
      <c r="AE675" s="190"/>
      <c r="AF675" s="190"/>
      <c r="AG675" s="190"/>
      <c r="AH675" s="191"/>
      <c r="AI675" s="190"/>
      <c r="AJ675" s="190"/>
      <c r="AK675" s="190"/>
      <c r="AL675" s="190"/>
      <c r="AM675" s="190"/>
      <c r="AN675" s="191"/>
      <c r="AO675" s="190"/>
      <c r="AP675" s="190"/>
      <c r="AQ675" s="190"/>
      <c r="AR675" s="190"/>
      <c r="AS675" s="190"/>
      <c r="AT675" s="191"/>
      <c r="AU675" s="190"/>
      <c r="AV675" s="190"/>
      <c r="AW675" s="190"/>
      <c r="AX675" s="190"/>
      <c r="AY675" s="190"/>
      <c r="AZ675" s="191"/>
      <c r="BA675" s="183"/>
      <c r="BB675" s="183"/>
      <c r="BC675" s="183"/>
      <c r="BD675" s="183"/>
      <c r="BE675" s="183"/>
      <c r="BF675" s="184"/>
      <c r="BG675" s="183"/>
      <c r="BH675" s="183"/>
      <c r="BI675" s="183"/>
      <c r="BJ675" s="183"/>
      <c r="BK675" s="183"/>
      <c r="BL675" s="184"/>
      <c r="BM675" s="409"/>
      <c r="BN675" s="409"/>
    </row>
    <row r="676" spans="1:66" s="153" customFormat="1" x14ac:dyDescent="0.2">
      <c r="A676" s="61"/>
      <c r="B676" s="61"/>
      <c r="C676" s="61"/>
      <c r="D676" s="61"/>
      <c r="E676" s="61"/>
      <c r="F676" s="61"/>
      <c r="G676" s="61"/>
      <c r="H676" s="61"/>
      <c r="I676" s="61"/>
      <c r="J676" s="61"/>
      <c r="K676" s="61"/>
      <c r="L676" s="61"/>
      <c r="M676" s="61"/>
      <c r="N676" s="61"/>
      <c r="O676" s="61"/>
      <c r="P676" s="61"/>
      <c r="Q676" s="61"/>
      <c r="R676" s="61"/>
      <c r="S676" s="61"/>
      <c r="T676" s="35"/>
      <c r="U676" s="187"/>
      <c r="V676" s="190"/>
      <c r="W676" s="190"/>
      <c r="X676" s="190"/>
      <c r="Y676" s="190"/>
      <c r="Z676" s="190"/>
      <c r="AA676" s="191"/>
      <c r="AB676" s="190"/>
      <c r="AC676" s="190"/>
      <c r="AD676" s="190"/>
      <c r="AE676" s="190"/>
      <c r="AF676" s="190"/>
      <c r="AG676" s="190"/>
      <c r="AH676" s="191"/>
      <c r="AI676" s="190"/>
      <c r="AJ676" s="190"/>
      <c r="AK676" s="190"/>
      <c r="AL676" s="190"/>
      <c r="AM676" s="190"/>
      <c r="AN676" s="191"/>
      <c r="AO676" s="190"/>
      <c r="AP676" s="190"/>
      <c r="AQ676" s="190"/>
      <c r="AR676" s="190"/>
      <c r="AS676" s="190"/>
      <c r="AT676" s="191"/>
      <c r="AU676" s="190"/>
      <c r="AV676" s="190"/>
      <c r="AW676" s="190"/>
      <c r="AX676" s="190"/>
      <c r="AY676" s="190"/>
      <c r="AZ676" s="191"/>
      <c r="BA676" s="183"/>
      <c r="BB676" s="183"/>
      <c r="BC676" s="183"/>
      <c r="BD676" s="183"/>
      <c r="BE676" s="183"/>
      <c r="BF676" s="184"/>
      <c r="BG676" s="183"/>
      <c r="BH676" s="183"/>
      <c r="BI676" s="183"/>
      <c r="BJ676" s="183"/>
      <c r="BK676" s="183"/>
      <c r="BL676" s="184"/>
      <c r="BM676" s="409"/>
      <c r="BN676" s="409"/>
    </row>
    <row r="677" spans="1:66" s="153" customFormat="1" x14ac:dyDescent="0.2">
      <c r="A677" s="61"/>
      <c r="B677" s="61"/>
      <c r="C677" s="61"/>
      <c r="D677" s="61"/>
      <c r="E677" s="61"/>
      <c r="F677" s="61"/>
      <c r="G677" s="61"/>
      <c r="H677" s="61"/>
      <c r="I677" s="61"/>
      <c r="J677" s="61"/>
      <c r="K677" s="61"/>
      <c r="L677" s="61"/>
      <c r="M677" s="61"/>
      <c r="N677" s="61"/>
      <c r="O677" s="61"/>
      <c r="P677" s="61"/>
      <c r="Q677" s="61"/>
      <c r="R677" s="61"/>
      <c r="S677" s="61"/>
      <c r="T677" s="35"/>
      <c r="U677" s="187"/>
      <c r="V677" s="190"/>
      <c r="W677" s="190"/>
      <c r="X677" s="190"/>
      <c r="Y677" s="190"/>
      <c r="Z677" s="190"/>
      <c r="AA677" s="191"/>
      <c r="AB677" s="190"/>
      <c r="AC677" s="190"/>
      <c r="AD677" s="190"/>
      <c r="AE677" s="190"/>
      <c r="AF677" s="190"/>
      <c r="AG677" s="190"/>
      <c r="AH677" s="191"/>
      <c r="AI677" s="190"/>
      <c r="AJ677" s="190"/>
      <c r="AK677" s="190"/>
      <c r="AL677" s="190"/>
      <c r="AM677" s="190"/>
      <c r="AN677" s="191"/>
      <c r="AO677" s="190"/>
      <c r="AP677" s="190"/>
      <c r="AQ677" s="190"/>
      <c r="AR677" s="190"/>
      <c r="AS677" s="190"/>
      <c r="AT677" s="191"/>
      <c r="AU677" s="190"/>
      <c r="AV677" s="190"/>
      <c r="AW677" s="190"/>
      <c r="AX677" s="190"/>
      <c r="AY677" s="190"/>
      <c r="AZ677" s="191"/>
      <c r="BA677" s="183"/>
      <c r="BB677" s="183"/>
      <c r="BC677" s="183"/>
      <c r="BD677" s="183"/>
      <c r="BE677" s="183"/>
      <c r="BF677" s="184"/>
      <c r="BG677" s="183"/>
      <c r="BH677" s="183"/>
      <c r="BI677" s="183"/>
      <c r="BJ677" s="183"/>
      <c r="BK677" s="183"/>
      <c r="BL677" s="184"/>
      <c r="BM677" s="409"/>
      <c r="BN677" s="409"/>
    </row>
    <row r="678" spans="1:66" s="153" customFormat="1" x14ac:dyDescent="0.2">
      <c r="A678" s="61"/>
      <c r="B678" s="61"/>
      <c r="C678" s="61"/>
      <c r="D678" s="61"/>
      <c r="E678" s="61"/>
      <c r="F678" s="61"/>
      <c r="G678" s="61"/>
      <c r="H678" s="61"/>
      <c r="I678" s="61"/>
      <c r="J678" s="61"/>
      <c r="K678" s="61"/>
      <c r="L678" s="61"/>
      <c r="M678" s="61"/>
      <c r="N678" s="61"/>
      <c r="O678" s="61"/>
      <c r="P678" s="61"/>
      <c r="Q678" s="61"/>
      <c r="R678" s="61"/>
      <c r="S678" s="61"/>
      <c r="T678" s="35"/>
      <c r="U678" s="187"/>
      <c r="V678" s="190"/>
      <c r="W678" s="190"/>
      <c r="X678" s="190"/>
      <c r="Y678" s="190"/>
      <c r="Z678" s="190"/>
      <c r="AA678" s="191"/>
      <c r="AB678" s="190"/>
      <c r="AC678" s="190"/>
      <c r="AD678" s="190"/>
      <c r="AE678" s="190"/>
      <c r="AF678" s="190"/>
      <c r="AG678" s="190"/>
      <c r="AH678" s="191"/>
      <c r="AI678" s="190"/>
      <c r="AJ678" s="190"/>
      <c r="AK678" s="190"/>
      <c r="AL678" s="190"/>
      <c r="AM678" s="190"/>
      <c r="AN678" s="191"/>
      <c r="AO678" s="190"/>
      <c r="AP678" s="190"/>
      <c r="AQ678" s="190"/>
      <c r="AR678" s="190"/>
      <c r="AS678" s="190"/>
      <c r="AT678" s="191"/>
      <c r="AU678" s="190"/>
      <c r="AV678" s="190"/>
      <c r="AW678" s="190"/>
      <c r="AX678" s="190"/>
      <c r="AY678" s="190"/>
      <c r="AZ678" s="191"/>
      <c r="BA678" s="183"/>
      <c r="BB678" s="183"/>
      <c r="BC678" s="183"/>
      <c r="BD678" s="183"/>
      <c r="BE678" s="183"/>
      <c r="BF678" s="184"/>
      <c r="BG678" s="183"/>
      <c r="BH678" s="183"/>
      <c r="BI678" s="183"/>
      <c r="BJ678" s="183"/>
      <c r="BK678" s="183"/>
      <c r="BL678" s="184"/>
      <c r="BM678" s="409"/>
      <c r="BN678" s="409"/>
    </row>
    <row r="679" spans="1:66" s="153" customFormat="1" x14ac:dyDescent="0.2">
      <c r="A679" s="61"/>
      <c r="B679" s="61"/>
      <c r="C679" s="61"/>
      <c r="D679" s="61"/>
      <c r="E679" s="61"/>
      <c r="F679" s="61"/>
      <c r="G679" s="61"/>
      <c r="H679" s="61"/>
      <c r="I679" s="61"/>
      <c r="J679" s="61"/>
      <c r="K679" s="61"/>
      <c r="L679" s="61"/>
      <c r="M679" s="61"/>
      <c r="N679" s="61"/>
      <c r="O679" s="61"/>
      <c r="P679" s="61"/>
      <c r="Q679" s="61"/>
      <c r="R679" s="61"/>
      <c r="S679" s="61"/>
      <c r="T679" s="35"/>
      <c r="U679" s="187"/>
      <c r="V679" s="190"/>
      <c r="W679" s="190"/>
      <c r="X679" s="190"/>
      <c r="Y679" s="190"/>
      <c r="Z679" s="190"/>
      <c r="AA679" s="191"/>
      <c r="AB679" s="190"/>
      <c r="AC679" s="190"/>
      <c r="AD679" s="190"/>
      <c r="AE679" s="190"/>
      <c r="AF679" s="190"/>
      <c r="AG679" s="190"/>
      <c r="AH679" s="191"/>
      <c r="AI679" s="190"/>
      <c r="AJ679" s="190"/>
      <c r="AK679" s="190"/>
      <c r="AL679" s="190"/>
      <c r="AM679" s="190"/>
      <c r="AN679" s="191"/>
      <c r="AO679" s="190"/>
      <c r="AP679" s="190"/>
      <c r="AQ679" s="190"/>
      <c r="AR679" s="190"/>
      <c r="AS679" s="190"/>
      <c r="AT679" s="191"/>
      <c r="AU679" s="190"/>
      <c r="AV679" s="190"/>
      <c r="AW679" s="190"/>
      <c r="AX679" s="190"/>
      <c r="AY679" s="190"/>
      <c r="AZ679" s="191"/>
      <c r="BA679" s="183"/>
      <c r="BB679" s="183"/>
      <c r="BC679" s="183"/>
      <c r="BD679" s="183"/>
      <c r="BE679" s="183"/>
      <c r="BF679" s="184"/>
      <c r="BG679" s="183"/>
      <c r="BH679" s="183"/>
      <c r="BI679" s="183"/>
      <c r="BJ679" s="183"/>
      <c r="BK679" s="183"/>
      <c r="BL679" s="184"/>
      <c r="BM679" s="409"/>
      <c r="BN679" s="409"/>
    </row>
    <row r="680" spans="1:66" s="153" customFormat="1" x14ac:dyDescent="0.2">
      <c r="A680" s="61"/>
      <c r="B680" s="61"/>
      <c r="C680" s="61"/>
      <c r="D680" s="61"/>
      <c r="E680" s="61"/>
      <c r="F680" s="61"/>
      <c r="G680" s="61"/>
      <c r="H680" s="61"/>
      <c r="I680" s="61"/>
      <c r="J680" s="61"/>
      <c r="K680" s="61"/>
      <c r="L680" s="61"/>
      <c r="M680" s="61"/>
      <c r="N680" s="61"/>
      <c r="O680" s="61"/>
      <c r="P680" s="61"/>
      <c r="Q680" s="61"/>
      <c r="R680" s="61"/>
      <c r="S680" s="61"/>
      <c r="T680" s="35"/>
      <c r="U680" s="187"/>
      <c r="V680" s="190"/>
      <c r="W680" s="190"/>
      <c r="X680" s="190"/>
      <c r="Y680" s="190"/>
      <c r="Z680" s="190"/>
      <c r="AA680" s="191"/>
      <c r="AB680" s="190"/>
      <c r="AC680" s="190"/>
      <c r="AD680" s="190"/>
      <c r="AE680" s="190"/>
      <c r="AF680" s="190"/>
      <c r="AG680" s="190"/>
      <c r="AH680" s="191"/>
      <c r="AI680" s="190"/>
      <c r="AJ680" s="190"/>
      <c r="AK680" s="190"/>
      <c r="AL680" s="190"/>
      <c r="AM680" s="190"/>
      <c r="AN680" s="191"/>
      <c r="AO680" s="190"/>
      <c r="AP680" s="190"/>
      <c r="AQ680" s="190"/>
      <c r="AR680" s="190"/>
      <c r="AS680" s="190"/>
      <c r="AT680" s="191"/>
      <c r="AU680" s="190"/>
      <c r="AV680" s="190"/>
      <c r="AW680" s="190"/>
      <c r="AX680" s="190"/>
      <c r="AY680" s="190"/>
      <c r="AZ680" s="191"/>
      <c r="BA680" s="183"/>
      <c r="BB680" s="183"/>
      <c r="BC680" s="183"/>
      <c r="BD680" s="183"/>
      <c r="BE680" s="183"/>
      <c r="BF680" s="184"/>
      <c r="BG680" s="183"/>
      <c r="BH680" s="183"/>
      <c r="BI680" s="183"/>
      <c r="BJ680" s="183"/>
      <c r="BK680" s="183"/>
      <c r="BL680" s="184"/>
      <c r="BM680" s="409"/>
      <c r="BN680" s="409"/>
    </row>
    <row r="681" spans="1:66" s="153" customFormat="1" x14ac:dyDescent="0.2">
      <c r="A681" s="61"/>
      <c r="B681" s="61"/>
      <c r="C681" s="61"/>
      <c r="D681" s="61"/>
      <c r="E681" s="61"/>
      <c r="F681" s="61"/>
      <c r="G681" s="61"/>
      <c r="H681" s="61"/>
      <c r="I681" s="61"/>
      <c r="J681" s="61"/>
      <c r="K681" s="61"/>
      <c r="L681" s="61"/>
      <c r="M681" s="61"/>
      <c r="N681" s="61"/>
      <c r="O681" s="61"/>
      <c r="P681" s="61"/>
      <c r="Q681" s="61"/>
      <c r="R681" s="61"/>
      <c r="S681" s="61"/>
      <c r="T681" s="35"/>
      <c r="U681" s="187"/>
      <c r="V681" s="190"/>
      <c r="W681" s="190"/>
      <c r="X681" s="190"/>
      <c r="Y681" s="190"/>
      <c r="Z681" s="190"/>
      <c r="AA681" s="191"/>
      <c r="AB681" s="190"/>
      <c r="AC681" s="190"/>
      <c r="AD681" s="190"/>
      <c r="AE681" s="190"/>
      <c r="AF681" s="190"/>
      <c r="AG681" s="190"/>
      <c r="AH681" s="191"/>
      <c r="AI681" s="190"/>
      <c r="AJ681" s="190"/>
      <c r="AK681" s="190"/>
      <c r="AL681" s="190"/>
      <c r="AM681" s="190"/>
      <c r="AN681" s="191"/>
      <c r="AO681" s="190"/>
      <c r="AP681" s="190"/>
      <c r="AQ681" s="190"/>
      <c r="AR681" s="190"/>
      <c r="AS681" s="190"/>
      <c r="AT681" s="191"/>
      <c r="AU681" s="190"/>
      <c r="AV681" s="190"/>
      <c r="AW681" s="190"/>
      <c r="AX681" s="190"/>
      <c r="AY681" s="190"/>
      <c r="AZ681" s="191"/>
      <c r="BA681" s="183"/>
      <c r="BB681" s="183"/>
      <c r="BC681" s="183"/>
      <c r="BD681" s="183"/>
      <c r="BE681" s="183"/>
      <c r="BF681" s="184"/>
      <c r="BG681" s="183"/>
      <c r="BH681" s="183"/>
      <c r="BI681" s="183"/>
      <c r="BJ681" s="183"/>
      <c r="BK681" s="183"/>
      <c r="BL681" s="184"/>
      <c r="BM681" s="409"/>
      <c r="BN681" s="409"/>
    </row>
    <row r="682" spans="1:66" s="153" customFormat="1" x14ac:dyDescent="0.2">
      <c r="A682" s="61"/>
      <c r="B682" s="61"/>
      <c r="C682" s="61"/>
      <c r="D682" s="61"/>
      <c r="E682" s="61"/>
      <c r="F682" s="61"/>
      <c r="G682" s="61"/>
      <c r="H682" s="61"/>
      <c r="I682" s="61"/>
      <c r="J682" s="61"/>
      <c r="K682" s="61"/>
      <c r="L682" s="61"/>
      <c r="M682" s="61"/>
      <c r="N682" s="61"/>
      <c r="O682" s="61"/>
      <c r="P682" s="61"/>
      <c r="Q682" s="61"/>
      <c r="R682" s="61"/>
      <c r="S682" s="61"/>
      <c r="T682" s="35"/>
      <c r="U682" s="187"/>
      <c r="V682" s="190"/>
      <c r="W682" s="190"/>
      <c r="X682" s="190"/>
      <c r="Y682" s="190"/>
      <c r="Z682" s="190"/>
      <c r="AA682" s="191"/>
      <c r="AB682" s="190"/>
      <c r="AC682" s="190"/>
      <c r="AD682" s="190"/>
      <c r="AE682" s="190"/>
      <c r="AF682" s="190"/>
      <c r="AG682" s="190"/>
      <c r="AH682" s="191"/>
      <c r="AI682" s="190"/>
      <c r="AJ682" s="190"/>
      <c r="AK682" s="190"/>
      <c r="AL682" s="190"/>
      <c r="AM682" s="190"/>
      <c r="AN682" s="191"/>
      <c r="AO682" s="190"/>
      <c r="AP682" s="190"/>
      <c r="AQ682" s="190"/>
      <c r="AR682" s="190"/>
      <c r="AS682" s="190"/>
      <c r="AT682" s="191"/>
      <c r="AU682" s="190"/>
      <c r="AV682" s="190"/>
      <c r="AW682" s="190"/>
      <c r="AX682" s="190"/>
      <c r="AY682" s="190"/>
      <c r="AZ682" s="191"/>
      <c r="BA682" s="183"/>
      <c r="BB682" s="183"/>
      <c r="BC682" s="183"/>
      <c r="BD682" s="183"/>
      <c r="BE682" s="183"/>
      <c r="BF682" s="184"/>
      <c r="BG682" s="183"/>
      <c r="BH682" s="183"/>
      <c r="BI682" s="183"/>
      <c r="BJ682" s="183"/>
      <c r="BK682" s="183"/>
      <c r="BL682" s="184"/>
      <c r="BM682" s="409"/>
      <c r="BN682" s="409"/>
    </row>
    <row r="683" spans="1:66" s="153" customFormat="1" x14ac:dyDescent="0.2">
      <c r="A683" s="61"/>
      <c r="B683" s="61"/>
      <c r="C683" s="61"/>
      <c r="D683" s="61"/>
      <c r="E683" s="61"/>
      <c r="F683" s="61"/>
      <c r="G683" s="61"/>
      <c r="H683" s="61"/>
      <c r="I683" s="61"/>
      <c r="J683" s="61"/>
      <c r="K683" s="61"/>
      <c r="L683" s="61"/>
      <c r="M683" s="61"/>
      <c r="N683" s="61"/>
      <c r="O683" s="61"/>
      <c r="P683" s="61"/>
      <c r="Q683" s="61"/>
      <c r="R683" s="61"/>
      <c r="S683" s="61"/>
      <c r="T683" s="35"/>
      <c r="U683" s="187"/>
      <c r="V683" s="190"/>
      <c r="W683" s="190"/>
      <c r="X683" s="190"/>
      <c r="Y683" s="190"/>
      <c r="Z683" s="190"/>
      <c r="AA683" s="191"/>
      <c r="AB683" s="190"/>
      <c r="AC683" s="190"/>
      <c r="AD683" s="190"/>
      <c r="AE683" s="190"/>
      <c r="AF683" s="190"/>
      <c r="AG683" s="190"/>
      <c r="AH683" s="191"/>
      <c r="AI683" s="190"/>
      <c r="AJ683" s="190"/>
      <c r="AK683" s="190"/>
      <c r="AL683" s="190"/>
      <c r="AM683" s="190"/>
      <c r="AN683" s="191"/>
      <c r="AO683" s="190"/>
      <c r="AP683" s="190"/>
      <c r="AQ683" s="190"/>
      <c r="AR683" s="190"/>
      <c r="AS683" s="190"/>
      <c r="AT683" s="191"/>
      <c r="AU683" s="190"/>
      <c r="AV683" s="190"/>
      <c r="AW683" s="190"/>
      <c r="AX683" s="190"/>
      <c r="AY683" s="190"/>
      <c r="AZ683" s="191"/>
      <c r="BA683" s="183"/>
      <c r="BB683" s="183"/>
      <c r="BC683" s="183"/>
      <c r="BD683" s="183"/>
      <c r="BE683" s="183"/>
      <c r="BF683" s="184"/>
      <c r="BG683" s="183"/>
      <c r="BH683" s="183"/>
      <c r="BI683" s="183"/>
      <c r="BJ683" s="183"/>
      <c r="BK683" s="183"/>
      <c r="BL683" s="184"/>
      <c r="BM683" s="409"/>
      <c r="BN683" s="409"/>
    </row>
    <row r="684" spans="1:66" s="153" customFormat="1" x14ac:dyDescent="0.2">
      <c r="A684" s="61"/>
      <c r="B684" s="61"/>
      <c r="C684" s="61"/>
      <c r="D684" s="61"/>
      <c r="E684" s="61"/>
      <c r="F684" s="61"/>
      <c r="G684" s="61"/>
      <c r="H684" s="61"/>
      <c r="I684" s="61"/>
      <c r="J684" s="61"/>
      <c r="K684" s="61"/>
      <c r="L684" s="61"/>
      <c r="M684" s="61"/>
      <c r="N684" s="61"/>
      <c r="O684" s="61"/>
      <c r="P684" s="61"/>
      <c r="Q684" s="61"/>
      <c r="R684" s="61"/>
      <c r="S684" s="61"/>
      <c r="T684" s="35"/>
      <c r="U684" s="187"/>
      <c r="V684" s="190"/>
      <c r="W684" s="190"/>
      <c r="X684" s="190"/>
      <c r="Y684" s="190"/>
      <c r="Z684" s="190"/>
      <c r="AA684" s="191"/>
      <c r="AB684" s="190"/>
      <c r="AC684" s="190"/>
      <c r="AD684" s="190"/>
      <c r="AE684" s="190"/>
      <c r="AF684" s="190"/>
      <c r="AG684" s="190"/>
      <c r="AH684" s="191"/>
      <c r="AI684" s="190"/>
      <c r="AJ684" s="190"/>
      <c r="AK684" s="190"/>
      <c r="AL684" s="190"/>
      <c r="AM684" s="190"/>
      <c r="AN684" s="191"/>
      <c r="AO684" s="190"/>
      <c r="AP684" s="190"/>
      <c r="AQ684" s="190"/>
      <c r="AR684" s="190"/>
      <c r="AS684" s="190"/>
      <c r="AT684" s="191"/>
      <c r="AU684" s="190"/>
      <c r="AV684" s="190"/>
      <c r="AW684" s="190"/>
      <c r="AX684" s="190"/>
      <c r="AY684" s="190"/>
      <c r="AZ684" s="191"/>
      <c r="BA684" s="183"/>
      <c r="BB684" s="183"/>
      <c r="BC684" s="183"/>
      <c r="BD684" s="183"/>
      <c r="BE684" s="183"/>
      <c r="BF684" s="184"/>
      <c r="BG684" s="183"/>
      <c r="BH684" s="183"/>
      <c r="BI684" s="183"/>
      <c r="BJ684" s="183"/>
      <c r="BK684" s="183"/>
      <c r="BL684" s="184"/>
      <c r="BM684" s="409"/>
      <c r="BN684" s="409"/>
    </row>
    <row r="685" spans="1:66" s="153" customFormat="1" x14ac:dyDescent="0.2">
      <c r="A685" s="61"/>
      <c r="B685" s="61"/>
      <c r="C685" s="61"/>
      <c r="D685" s="61"/>
      <c r="E685" s="61"/>
      <c r="F685" s="61"/>
      <c r="G685" s="61"/>
      <c r="H685" s="61"/>
      <c r="I685" s="61"/>
      <c r="J685" s="61"/>
      <c r="K685" s="61"/>
      <c r="L685" s="61"/>
      <c r="M685" s="61"/>
      <c r="N685" s="61"/>
      <c r="O685" s="61"/>
      <c r="P685" s="61"/>
      <c r="Q685" s="61"/>
      <c r="R685" s="61"/>
      <c r="S685" s="61"/>
      <c r="T685" s="35"/>
      <c r="U685" s="187"/>
      <c r="V685" s="190"/>
      <c r="W685" s="190"/>
      <c r="X685" s="190"/>
      <c r="Y685" s="190"/>
      <c r="Z685" s="190"/>
      <c r="AA685" s="191"/>
      <c r="AB685" s="190"/>
      <c r="AC685" s="190"/>
      <c r="AD685" s="190"/>
      <c r="AE685" s="190"/>
      <c r="AF685" s="190"/>
      <c r="AG685" s="190"/>
      <c r="AH685" s="191"/>
      <c r="AI685" s="190"/>
      <c r="AJ685" s="190"/>
      <c r="AK685" s="190"/>
      <c r="AL685" s="190"/>
      <c r="AM685" s="190"/>
      <c r="AN685" s="191"/>
      <c r="AO685" s="190"/>
      <c r="AP685" s="190"/>
      <c r="AQ685" s="190"/>
      <c r="AR685" s="190"/>
      <c r="AS685" s="190"/>
      <c r="AT685" s="191"/>
      <c r="AU685" s="190"/>
      <c r="AV685" s="190"/>
      <c r="AW685" s="190"/>
      <c r="AX685" s="190"/>
      <c r="AY685" s="190"/>
      <c r="AZ685" s="191"/>
      <c r="BA685" s="183"/>
      <c r="BB685" s="183"/>
      <c r="BC685" s="183"/>
      <c r="BD685" s="183"/>
      <c r="BE685" s="183"/>
      <c r="BF685" s="184"/>
      <c r="BG685" s="183"/>
      <c r="BH685" s="183"/>
      <c r="BI685" s="183"/>
      <c r="BJ685" s="183"/>
      <c r="BK685" s="183"/>
      <c r="BL685" s="184"/>
      <c r="BM685" s="409"/>
      <c r="BN685" s="409"/>
    </row>
    <row r="686" spans="1:66" s="153" customFormat="1" x14ac:dyDescent="0.2">
      <c r="A686" s="61"/>
      <c r="B686" s="61"/>
      <c r="C686" s="61"/>
      <c r="D686" s="61"/>
      <c r="E686" s="61"/>
      <c r="F686" s="61"/>
      <c r="G686" s="61"/>
      <c r="H686" s="61"/>
      <c r="I686" s="61"/>
      <c r="J686" s="61"/>
      <c r="K686" s="61"/>
      <c r="L686" s="61"/>
      <c r="M686" s="61"/>
      <c r="N686" s="61"/>
      <c r="O686" s="61"/>
      <c r="P686" s="61"/>
      <c r="Q686" s="61"/>
      <c r="R686" s="61"/>
      <c r="S686" s="61"/>
      <c r="T686" s="35"/>
      <c r="U686" s="187"/>
      <c r="V686" s="190"/>
      <c r="W686" s="190"/>
      <c r="X686" s="190"/>
      <c r="Y686" s="190"/>
      <c r="Z686" s="190"/>
      <c r="AA686" s="191"/>
      <c r="AB686" s="190"/>
      <c r="AC686" s="190"/>
      <c r="AD686" s="190"/>
      <c r="AE686" s="190"/>
      <c r="AF686" s="190"/>
      <c r="AG686" s="190"/>
      <c r="AH686" s="191"/>
      <c r="AI686" s="190"/>
      <c r="AJ686" s="190"/>
      <c r="AK686" s="190"/>
      <c r="AL686" s="190"/>
      <c r="AM686" s="190"/>
      <c r="AN686" s="191"/>
      <c r="AO686" s="190"/>
      <c r="AP686" s="190"/>
      <c r="AQ686" s="190"/>
      <c r="AR686" s="190"/>
      <c r="AS686" s="190"/>
      <c r="AT686" s="191"/>
      <c r="AU686" s="190"/>
      <c r="AV686" s="190"/>
      <c r="AW686" s="190"/>
      <c r="AX686" s="190"/>
      <c r="AY686" s="190"/>
      <c r="AZ686" s="191"/>
      <c r="BA686" s="183"/>
      <c r="BB686" s="183"/>
      <c r="BC686" s="183"/>
      <c r="BD686" s="183"/>
      <c r="BE686" s="183"/>
      <c r="BF686" s="184"/>
      <c r="BG686" s="183"/>
      <c r="BH686" s="183"/>
      <c r="BI686" s="183"/>
      <c r="BJ686" s="183"/>
      <c r="BK686" s="183"/>
      <c r="BL686" s="184"/>
      <c r="BM686" s="409"/>
      <c r="BN686" s="409"/>
    </row>
    <row r="687" spans="1:66" s="153" customFormat="1" x14ac:dyDescent="0.2">
      <c r="A687" s="61"/>
      <c r="B687" s="61"/>
      <c r="C687" s="61"/>
      <c r="D687" s="61"/>
      <c r="E687" s="61"/>
      <c r="F687" s="61"/>
      <c r="G687" s="61"/>
      <c r="H687" s="61"/>
      <c r="I687" s="61"/>
      <c r="J687" s="61"/>
      <c r="K687" s="61"/>
      <c r="L687" s="61"/>
      <c r="M687" s="61"/>
      <c r="N687" s="61"/>
      <c r="O687" s="61"/>
      <c r="P687" s="61"/>
      <c r="Q687" s="61"/>
      <c r="R687" s="61"/>
      <c r="S687" s="61"/>
      <c r="T687" s="35"/>
      <c r="U687" s="187"/>
      <c r="V687" s="190"/>
      <c r="W687" s="190"/>
      <c r="X687" s="190"/>
      <c r="Y687" s="190"/>
      <c r="Z687" s="190"/>
      <c r="AA687" s="191"/>
      <c r="AB687" s="190"/>
      <c r="AC687" s="190"/>
      <c r="AD687" s="190"/>
      <c r="AE687" s="190"/>
      <c r="AF687" s="190"/>
      <c r="AG687" s="190"/>
      <c r="AH687" s="191"/>
      <c r="AI687" s="190"/>
      <c r="AJ687" s="190"/>
      <c r="AK687" s="190"/>
      <c r="AL687" s="190"/>
      <c r="AM687" s="190"/>
      <c r="AN687" s="191"/>
      <c r="AO687" s="190"/>
      <c r="AP687" s="190"/>
      <c r="AQ687" s="190"/>
      <c r="AR687" s="190"/>
      <c r="AS687" s="190"/>
      <c r="AT687" s="191"/>
      <c r="AU687" s="190"/>
      <c r="AV687" s="190"/>
      <c r="AW687" s="190"/>
      <c r="AX687" s="190"/>
      <c r="AY687" s="190"/>
      <c r="AZ687" s="191"/>
      <c r="BA687" s="183"/>
      <c r="BB687" s="183"/>
      <c r="BC687" s="183"/>
      <c r="BD687" s="183"/>
      <c r="BE687" s="183"/>
      <c r="BF687" s="184"/>
      <c r="BG687" s="183"/>
      <c r="BH687" s="183"/>
      <c r="BI687" s="183"/>
      <c r="BJ687" s="183"/>
      <c r="BK687" s="183"/>
      <c r="BL687" s="184"/>
      <c r="BM687" s="409"/>
      <c r="BN687" s="409"/>
    </row>
    <row r="688" spans="1:66" s="153" customFormat="1" x14ac:dyDescent="0.2">
      <c r="A688" s="61"/>
      <c r="B688" s="61"/>
      <c r="C688" s="61"/>
      <c r="D688" s="61"/>
      <c r="E688" s="61"/>
      <c r="F688" s="61"/>
      <c r="G688" s="61"/>
      <c r="H688" s="61"/>
      <c r="I688" s="61"/>
      <c r="J688" s="61"/>
      <c r="K688" s="61"/>
      <c r="L688" s="61"/>
      <c r="M688" s="61"/>
      <c r="N688" s="61"/>
      <c r="O688" s="61"/>
      <c r="P688" s="61"/>
      <c r="Q688" s="61"/>
      <c r="R688" s="61"/>
      <c r="S688" s="61"/>
      <c r="T688" s="35"/>
      <c r="U688" s="187"/>
      <c r="V688" s="190"/>
      <c r="W688" s="190"/>
      <c r="X688" s="190"/>
      <c r="Y688" s="190"/>
      <c r="Z688" s="190"/>
      <c r="AA688" s="191"/>
      <c r="AB688" s="190"/>
      <c r="AC688" s="190"/>
      <c r="AD688" s="190"/>
      <c r="AE688" s="190"/>
      <c r="AF688" s="190"/>
      <c r="AG688" s="190"/>
      <c r="AH688" s="191"/>
      <c r="AI688" s="190"/>
      <c r="AJ688" s="190"/>
      <c r="AK688" s="190"/>
      <c r="AL688" s="190"/>
      <c r="AM688" s="190"/>
      <c r="AN688" s="191"/>
      <c r="AO688" s="190"/>
      <c r="AP688" s="190"/>
      <c r="AQ688" s="190"/>
      <c r="AR688" s="190"/>
      <c r="AS688" s="190"/>
      <c r="AT688" s="191"/>
      <c r="AU688" s="190"/>
      <c r="AV688" s="190"/>
      <c r="AW688" s="190"/>
      <c r="AX688" s="190"/>
      <c r="AY688" s="190"/>
      <c r="AZ688" s="191"/>
      <c r="BA688" s="183"/>
      <c r="BB688" s="183"/>
      <c r="BC688" s="183"/>
      <c r="BD688" s="183"/>
      <c r="BE688" s="183"/>
      <c r="BF688" s="184"/>
      <c r="BG688" s="183"/>
      <c r="BH688" s="183"/>
      <c r="BI688" s="183"/>
      <c r="BJ688" s="183"/>
      <c r="BK688" s="183"/>
      <c r="BL688" s="184"/>
      <c r="BM688" s="409"/>
      <c r="BN688" s="409"/>
    </row>
    <row r="689" spans="1:66" s="153" customFormat="1" x14ac:dyDescent="0.2">
      <c r="A689" s="61"/>
      <c r="B689" s="61"/>
      <c r="C689" s="61"/>
      <c r="D689" s="61"/>
      <c r="E689" s="61"/>
      <c r="F689" s="61"/>
      <c r="G689" s="61"/>
      <c r="H689" s="61"/>
      <c r="I689" s="61"/>
      <c r="J689" s="61"/>
      <c r="K689" s="61"/>
      <c r="L689" s="61"/>
      <c r="M689" s="61"/>
      <c r="N689" s="61"/>
      <c r="O689" s="61"/>
      <c r="P689" s="61"/>
      <c r="Q689" s="61"/>
      <c r="R689" s="61"/>
      <c r="S689" s="61"/>
      <c r="T689" s="35"/>
      <c r="U689" s="187"/>
      <c r="V689" s="190"/>
      <c r="W689" s="190"/>
      <c r="X689" s="190"/>
      <c r="Y689" s="190"/>
      <c r="Z689" s="190"/>
      <c r="AA689" s="191"/>
      <c r="AB689" s="190"/>
      <c r="AC689" s="190"/>
      <c r="AD689" s="190"/>
      <c r="AE689" s="190"/>
      <c r="AF689" s="190"/>
      <c r="AG689" s="190"/>
      <c r="AH689" s="191"/>
      <c r="AI689" s="190"/>
      <c r="AJ689" s="190"/>
      <c r="AK689" s="190"/>
      <c r="AL689" s="190"/>
      <c r="AM689" s="190"/>
      <c r="AN689" s="191"/>
      <c r="AO689" s="190"/>
      <c r="AP689" s="190"/>
      <c r="AQ689" s="190"/>
      <c r="AR689" s="190"/>
      <c r="AS689" s="190"/>
      <c r="AT689" s="191"/>
      <c r="AU689" s="190"/>
      <c r="AV689" s="190"/>
      <c r="AW689" s="190"/>
      <c r="AX689" s="190"/>
      <c r="AY689" s="190"/>
      <c r="AZ689" s="191"/>
      <c r="BA689" s="183"/>
      <c r="BB689" s="183"/>
      <c r="BC689" s="183"/>
      <c r="BD689" s="183"/>
      <c r="BE689" s="183"/>
      <c r="BF689" s="184"/>
      <c r="BG689" s="183"/>
      <c r="BH689" s="183"/>
      <c r="BI689" s="183"/>
      <c r="BJ689" s="183"/>
      <c r="BK689" s="183"/>
      <c r="BL689" s="184"/>
      <c r="BM689" s="409"/>
      <c r="BN689" s="409"/>
    </row>
    <row r="690" spans="1:66" s="153" customFormat="1" x14ac:dyDescent="0.2">
      <c r="A690" s="61"/>
      <c r="B690" s="61"/>
      <c r="C690" s="61"/>
      <c r="D690" s="61"/>
      <c r="E690" s="61"/>
      <c r="F690" s="61"/>
      <c r="G690" s="61"/>
      <c r="H690" s="61"/>
      <c r="I690" s="61"/>
      <c r="J690" s="61"/>
      <c r="K690" s="61"/>
      <c r="L690" s="61"/>
      <c r="M690" s="61"/>
      <c r="N690" s="61"/>
      <c r="O690" s="61"/>
      <c r="P690" s="61"/>
      <c r="Q690" s="61"/>
      <c r="R690" s="61"/>
      <c r="S690" s="61"/>
      <c r="T690" s="35"/>
      <c r="U690" s="187"/>
      <c r="V690" s="190"/>
      <c r="W690" s="190"/>
      <c r="X690" s="190"/>
      <c r="Y690" s="190"/>
      <c r="Z690" s="190"/>
      <c r="AA690" s="191"/>
      <c r="AB690" s="190"/>
      <c r="AC690" s="190"/>
      <c r="AD690" s="190"/>
      <c r="AE690" s="190"/>
      <c r="AF690" s="190"/>
      <c r="AG690" s="190"/>
      <c r="AH690" s="191"/>
      <c r="AI690" s="190"/>
      <c r="AJ690" s="190"/>
      <c r="AK690" s="190"/>
      <c r="AL690" s="190"/>
      <c r="AM690" s="190"/>
      <c r="AN690" s="191"/>
      <c r="AO690" s="190"/>
      <c r="AP690" s="190"/>
      <c r="AQ690" s="190"/>
      <c r="AR690" s="190"/>
      <c r="AS690" s="190"/>
      <c r="AT690" s="191"/>
      <c r="AU690" s="190"/>
      <c r="AV690" s="190"/>
      <c r="AW690" s="190"/>
      <c r="AX690" s="190"/>
      <c r="AY690" s="190"/>
      <c r="AZ690" s="191"/>
      <c r="BA690" s="183"/>
      <c r="BB690" s="183"/>
      <c r="BC690" s="183"/>
      <c r="BD690" s="183"/>
      <c r="BE690" s="183"/>
      <c r="BF690" s="184"/>
      <c r="BG690" s="183"/>
      <c r="BH690" s="183"/>
      <c r="BI690" s="183"/>
      <c r="BJ690" s="183"/>
      <c r="BK690" s="183"/>
      <c r="BL690" s="184"/>
      <c r="BM690" s="409"/>
      <c r="BN690" s="409"/>
    </row>
    <row r="691" spans="1:66" s="153" customFormat="1" x14ac:dyDescent="0.2">
      <c r="A691" s="61"/>
      <c r="B691" s="61"/>
      <c r="C691" s="61"/>
      <c r="D691" s="61"/>
      <c r="E691" s="61"/>
      <c r="F691" s="61"/>
      <c r="G691" s="61"/>
      <c r="H691" s="61"/>
      <c r="I691" s="61"/>
      <c r="J691" s="61"/>
      <c r="K691" s="61"/>
      <c r="L691" s="61"/>
      <c r="M691" s="61"/>
      <c r="N691" s="61"/>
      <c r="O691" s="61"/>
      <c r="P691" s="61"/>
      <c r="Q691" s="61"/>
      <c r="R691" s="61"/>
      <c r="S691" s="61"/>
      <c r="T691" s="35"/>
      <c r="U691" s="187"/>
      <c r="V691" s="190"/>
      <c r="W691" s="190"/>
      <c r="X691" s="190"/>
      <c r="Y691" s="190"/>
      <c r="Z691" s="190"/>
      <c r="AA691" s="191"/>
      <c r="AB691" s="190"/>
      <c r="AC691" s="190"/>
      <c r="AD691" s="190"/>
      <c r="AE691" s="190"/>
      <c r="AF691" s="190"/>
      <c r="AG691" s="190"/>
      <c r="AH691" s="191"/>
      <c r="AI691" s="190"/>
      <c r="AJ691" s="190"/>
      <c r="AK691" s="190"/>
      <c r="AL691" s="190"/>
      <c r="AM691" s="190"/>
      <c r="AN691" s="191"/>
      <c r="AO691" s="190"/>
      <c r="AP691" s="190"/>
      <c r="AQ691" s="190"/>
      <c r="AR691" s="190"/>
      <c r="AS691" s="190"/>
      <c r="AT691" s="191"/>
      <c r="AU691" s="190"/>
      <c r="AV691" s="190"/>
      <c r="AW691" s="190"/>
      <c r="AX691" s="190"/>
      <c r="AY691" s="190"/>
      <c r="AZ691" s="191"/>
      <c r="BA691" s="183"/>
      <c r="BB691" s="183"/>
      <c r="BC691" s="183"/>
      <c r="BD691" s="183"/>
      <c r="BE691" s="183"/>
      <c r="BF691" s="184"/>
      <c r="BG691" s="183"/>
      <c r="BH691" s="183"/>
      <c r="BI691" s="183"/>
      <c r="BJ691" s="183"/>
      <c r="BK691" s="183"/>
      <c r="BL691" s="184"/>
      <c r="BM691" s="409"/>
      <c r="BN691" s="409"/>
    </row>
    <row r="692" spans="1:66" s="153" customFormat="1" x14ac:dyDescent="0.2">
      <c r="A692" s="61"/>
      <c r="B692" s="61"/>
      <c r="C692" s="61"/>
      <c r="D692" s="61"/>
      <c r="E692" s="61"/>
      <c r="F692" s="61"/>
      <c r="G692" s="61"/>
      <c r="H692" s="61"/>
      <c r="I692" s="61"/>
      <c r="J692" s="61"/>
      <c r="K692" s="61"/>
      <c r="L692" s="61"/>
      <c r="M692" s="61"/>
      <c r="N692" s="61"/>
      <c r="O692" s="61"/>
      <c r="P692" s="61"/>
      <c r="Q692" s="61"/>
      <c r="R692" s="61"/>
      <c r="S692" s="61"/>
      <c r="T692" s="35"/>
      <c r="U692" s="187"/>
      <c r="V692" s="190"/>
      <c r="W692" s="190"/>
      <c r="X692" s="190"/>
      <c r="Y692" s="190"/>
      <c r="Z692" s="190"/>
      <c r="AA692" s="191"/>
      <c r="AB692" s="190"/>
      <c r="AC692" s="190"/>
      <c r="AD692" s="190"/>
      <c r="AE692" s="190"/>
      <c r="AF692" s="190"/>
      <c r="AG692" s="190"/>
      <c r="AH692" s="191"/>
      <c r="AI692" s="190"/>
      <c r="AJ692" s="190"/>
      <c r="AK692" s="190"/>
      <c r="AL692" s="190"/>
      <c r="AM692" s="190"/>
      <c r="AN692" s="191"/>
      <c r="AO692" s="190"/>
      <c r="AP692" s="190"/>
      <c r="AQ692" s="190"/>
      <c r="AR692" s="190"/>
      <c r="AS692" s="190"/>
      <c r="AT692" s="191"/>
      <c r="AU692" s="190"/>
      <c r="AV692" s="190"/>
      <c r="AW692" s="190"/>
      <c r="AX692" s="190"/>
      <c r="AY692" s="190"/>
      <c r="AZ692" s="191"/>
      <c r="BA692" s="183"/>
      <c r="BB692" s="183"/>
      <c r="BC692" s="183"/>
      <c r="BD692" s="183"/>
      <c r="BE692" s="183"/>
      <c r="BF692" s="184"/>
      <c r="BG692" s="183"/>
      <c r="BH692" s="183"/>
      <c r="BI692" s="183"/>
      <c r="BJ692" s="183"/>
      <c r="BK692" s="183"/>
      <c r="BL692" s="184"/>
      <c r="BM692" s="409"/>
      <c r="BN692" s="409"/>
    </row>
    <row r="693" spans="1:66" s="153" customFormat="1" x14ac:dyDescent="0.2">
      <c r="A693" s="61"/>
      <c r="B693" s="61"/>
      <c r="C693" s="61"/>
      <c r="D693" s="61"/>
      <c r="E693" s="61"/>
      <c r="F693" s="61"/>
      <c r="G693" s="61"/>
      <c r="H693" s="61"/>
      <c r="I693" s="61"/>
      <c r="J693" s="61"/>
      <c r="K693" s="61"/>
      <c r="L693" s="61"/>
      <c r="M693" s="61"/>
      <c r="N693" s="61"/>
      <c r="O693" s="61"/>
      <c r="P693" s="61"/>
      <c r="Q693" s="61"/>
      <c r="R693" s="61"/>
      <c r="S693" s="61"/>
      <c r="T693" s="35"/>
      <c r="U693" s="187"/>
      <c r="V693" s="190"/>
      <c r="W693" s="190"/>
      <c r="X693" s="190"/>
      <c r="Y693" s="190"/>
      <c r="Z693" s="190"/>
      <c r="AA693" s="191"/>
      <c r="AB693" s="190"/>
      <c r="AC693" s="190"/>
      <c r="AD693" s="190"/>
      <c r="AE693" s="190"/>
      <c r="AF693" s="190"/>
      <c r="AG693" s="190"/>
      <c r="AH693" s="191"/>
      <c r="AI693" s="190"/>
      <c r="AJ693" s="190"/>
      <c r="AK693" s="190"/>
      <c r="AL693" s="190"/>
      <c r="AM693" s="190"/>
      <c r="AN693" s="191"/>
      <c r="AO693" s="190"/>
      <c r="AP693" s="190"/>
      <c r="AQ693" s="190"/>
      <c r="AR693" s="190"/>
      <c r="AS693" s="190"/>
      <c r="AT693" s="191"/>
      <c r="AU693" s="190"/>
      <c r="AV693" s="190"/>
      <c r="AW693" s="190"/>
      <c r="AX693" s="190"/>
      <c r="AY693" s="190"/>
      <c r="AZ693" s="191"/>
      <c r="BA693" s="183"/>
      <c r="BB693" s="183"/>
      <c r="BC693" s="183"/>
      <c r="BD693" s="183"/>
      <c r="BE693" s="183"/>
      <c r="BF693" s="184"/>
      <c r="BG693" s="183"/>
      <c r="BH693" s="183"/>
      <c r="BI693" s="183"/>
      <c r="BJ693" s="183"/>
      <c r="BK693" s="183"/>
      <c r="BL693" s="184"/>
      <c r="BM693" s="409"/>
      <c r="BN693" s="409"/>
    </row>
    <row r="694" spans="1:66" s="153" customFormat="1" x14ac:dyDescent="0.2">
      <c r="A694" s="61"/>
      <c r="B694" s="61"/>
      <c r="C694" s="61"/>
      <c r="D694" s="61"/>
      <c r="E694" s="61"/>
      <c r="F694" s="61"/>
      <c r="G694" s="61"/>
      <c r="H694" s="61"/>
      <c r="I694" s="61"/>
      <c r="J694" s="61"/>
      <c r="K694" s="61"/>
      <c r="L694" s="61"/>
      <c r="M694" s="61"/>
      <c r="N694" s="61"/>
      <c r="O694" s="61"/>
      <c r="P694" s="61"/>
      <c r="Q694" s="61"/>
      <c r="R694" s="61"/>
      <c r="S694" s="61"/>
      <c r="T694" s="35"/>
      <c r="U694" s="187"/>
      <c r="V694" s="190"/>
      <c r="W694" s="190"/>
      <c r="X694" s="190"/>
      <c r="Y694" s="190"/>
      <c r="Z694" s="190"/>
      <c r="AA694" s="191"/>
      <c r="AB694" s="190"/>
      <c r="AC694" s="190"/>
      <c r="AD694" s="190"/>
      <c r="AE694" s="190"/>
      <c r="AF694" s="190"/>
      <c r="AG694" s="190"/>
      <c r="AH694" s="191"/>
      <c r="AI694" s="190"/>
      <c r="AJ694" s="190"/>
      <c r="AK694" s="190"/>
      <c r="AL694" s="190"/>
      <c r="AM694" s="190"/>
      <c r="AN694" s="191"/>
      <c r="AO694" s="190"/>
      <c r="AP694" s="190"/>
      <c r="AQ694" s="190"/>
      <c r="AR694" s="190"/>
      <c r="AS694" s="190"/>
      <c r="AT694" s="191"/>
      <c r="AU694" s="190"/>
      <c r="AV694" s="190"/>
      <c r="AW694" s="190"/>
      <c r="AX694" s="190"/>
      <c r="AY694" s="190"/>
      <c r="AZ694" s="191"/>
      <c r="BA694" s="183"/>
      <c r="BB694" s="183"/>
      <c r="BC694" s="183"/>
      <c r="BD694" s="183"/>
      <c r="BE694" s="183"/>
      <c r="BF694" s="184"/>
      <c r="BG694" s="183"/>
      <c r="BH694" s="183"/>
      <c r="BI694" s="183"/>
      <c r="BJ694" s="183"/>
      <c r="BK694" s="183"/>
      <c r="BL694" s="184"/>
      <c r="BM694" s="409"/>
      <c r="BN694" s="409"/>
    </row>
    <row r="695" spans="1:66" s="153" customFormat="1" x14ac:dyDescent="0.2">
      <c r="A695" s="61"/>
      <c r="B695" s="61"/>
      <c r="C695" s="61"/>
      <c r="D695" s="61"/>
      <c r="E695" s="61"/>
      <c r="F695" s="61"/>
      <c r="G695" s="61"/>
      <c r="H695" s="61"/>
      <c r="I695" s="61"/>
      <c r="J695" s="61"/>
      <c r="K695" s="61"/>
      <c r="L695" s="61"/>
      <c r="M695" s="61"/>
      <c r="N695" s="61"/>
      <c r="O695" s="61"/>
      <c r="P695" s="61"/>
      <c r="Q695" s="61"/>
      <c r="R695" s="61"/>
      <c r="S695" s="61"/>
      <c r="T695" s="35"/>
      <c r="U695" s="187"/>
      <c r="V695" s="190"/>
      <c r="W695" s="190"/>
      <c r="X695" s="190"/>
      <c r="Y695" s="190"/>
      <c r="Z695" s="190"/>
      <c r="AA695" s="191"/>
      <c r="AB695" s="190"/>
      <c r="AC695" s="190"/>
      <c r="AD695" s="190"/>
      <c r="AE695" s="190"/>
      <c r="AF695" s="190"/>
      <c r="AG695" s="190"/>
      <c r="AH695" s="191"/>
      <c r="AI695" s="190"/>
      <c r="AJ695" s="190"/>
      <c r="AK695" s="190"/>
      <c r="AL695" s="190"/>
      <c r="AM695" s="190"/>
      <c r="AN695" s="191"/>
      <c r="AO695" s="190"/>
      <c r="AP695" s="190"/>
      <c r="AQ695" s="190"/>
      <c r="AR695" s="190"/>
      <c r="AS695" s="190"/>
      <c r="AT695" s="191"/>
      <c r="AU695" s="190"/>
      <c r="AV695" s="190"/>
      <c r="AW695" s="190"/>
      <c r="AX695" s="190"/>
      <c r="AY695" s="190"/>
      <c r="AZ695" s="191"/>
      <c r="BA695" s="183"/>
      <c r="BB695" s="183"/>
      <c r="BC695" s="183"/>
      <c r="BD695" s="183"/>
      <c r="BE695" s="183"/>
      <c r="BF695" s="184"/>
      <c r="BG695" s="183"/>
      <c r="BH695" s="183"/>
      <c r="BI695" s="183"/>
      <c r="BJ695" s="183"/>
      <c r="BK695" s="183"/>
      <c r="BL695" s="184"/>
      <c r="BM695" s="409"/>
      <c r="BN695" s="409"/>
    </row>
    <row r="696" spans="1:66" s="153" customFormat="1" x14ac:dyDescent="0.2">
      <c r="A696" s="61"/>
      <c r="B696" s="61"/>
      <c r="C696" s="61"/>
      <c r="D696" s="61"/>
      <c r="E696" s="61"/>
      <c r="F696" s="61"/>
      <c r="G696" s="61"/>
      <c r="H696" s="61"/>
      <c r="I696" s="61"/>
      <c r="J696" s="61"/>
      <c r="K696" s="61"/>
      <c r="L696" s="61"/>
      <c r="M696" s="61"/>
      <c r="N696" s="61"/>
      <c r="O696" s="61"/>
      <c r="P696" s="61"/>
      <c r="Q696" s="61"/>
      <c r="R696" s="61"/>
      <c r="S696" s="61"/>
      <c r="T696" s="35"/>
      <c r="U696" s="187"/>
      <c r="V696" s="190"/>
      <c r="W696" s="190"/>
      <c r="X696" s="190"/>
      <c r="Y696" s="190"/>
      <c r="Z696" s="190"/>
      <c r="AA696" s="191"/>
      <c r="AB696" s="190"/>
      <c r="AC696" s="190"/>
      <c r="AD696" s="190"/>
      <c r="AE696" s="190"/>
      <c r="AF696" s="190"/>
      <c r="AG696" s="190"/>
      <c r="AH696" s="191"/>
      <c r="AI696" s="190"/>
      <c r="AJ696" s="190"/>
      <c r="AK696" s="190"/>
      <c r="AL696" s="190"/>
      <c r="AM696" s="190"/>
      <c r="AN696" s="191"/>
      <c r="AO696" s="190"/>
      <c r="AP696" s="190"/>
      <c r="AQ696" s="190"/>
      <c r="AR696" s="190"/>
      <c r="AS696" s="190"/>
      <c r="AT696" s="191"/>
      <c r="AU696" s="190"/>
      <c r="AV696" s="190"/>
      <c r="AW696" s="190"/>
      <c r="AX696" s="190"/>
      <c r="AY696" s="190"/>
      <c r="AZ696" s="191"/>
      <c r="BA696" s="183"/>
      <c r="BB696" s="183"/>
      <c r="BC696" s="183"/>
      <c r="BD696" s="183"/>
      <c r="BE696" s="183"/>
      <c r="BF696" s="184"/>
      <c r="BG696" s="183"/>
      <c r="BH696" s="183"/>
      <c r="BI696" s="183"/>
      <c r="BJ696" s="183"/>
      <c r="BK696" s="183"/>
      <c r="BL696" s="184"/>
      <c r="BM696" s="409"/>
      <c r="BN696" s="409"/>
    </row>
    <row r="697" spans="1:66" s="153" customFormat="1" x14ac:dyDescent="0.2">
      <c r="A697" s="61"/>
      <c r="B697" s="61"/>
      <c r="C697" s="61"/>
      <c r="D697" s="61"/>
      <c r="E697" s="61"/>
      <c r="F697" s="61"/>
      <c r="G697" s="61"/>
      <c r="H697" s="61"/>
      <c r="I697" s="61"/>
      <c r="J697" s="61"/>
      <c r="K697" s="61"/>
      <c r="L697" s="61"/>
      <c r="M697" s="61"/>
      <c r="N697" s="61"/>
      <c r="O697" s="61"/>
      <c r="P697" s="61"/>
      <c r="Q697" s="61"/>
      <c r="R697" s="61"/>
      <c r="S697" s="61"/>
      <c r="T697" s="35"/>
      <c r="U697" s="187"/>
      <c r="V697" s="190"/>
      <c r="W697" s="190"/>
      <c r="X697" s="190"/>
      <c r="Y697" s="190"/>
      <c r="Z697" s="190"/>
      <c r="AA697" s="191"/>
      <c r="AB697" s="190"/>
      <c r="AC697" s="190"/>
      <c r="AD697" s="190"/>
      <c r="AE697" s="190"/>
      <c r="AF697" s="190"/>
      <c r="AG697" s="190"/>
      <c r="AH697" s="191"/>
      <c r="AI697" s="190"/>
      <c r="AJ697" s="190"/>
      <c r="AK697" s="190"/>
      <c r="AL697" s="190"/>
      <c r="AM697" s="190"/>
      <c r="AN697" s="191"/>
      <c r="AO697" s="190"/>
      <c r="AP697" s="190"/>
      <c r="AQ697" s="190"/>
      <c r="AR697" s="190"/>
      <c r="AS697" s="190"/>
      <c r="AT697" s="191"/>
      <c r="AU697" s="190"/>
      <c r="AV697" s="190"/>
      <c r="AW697" s="190"/>
      <c r="AX697" s="190"/>
      <c r="AY697" s="190"/>
      <c r="AZ697" s="191"/>
      <c r="BA697" s="183"/>
      <c r="BB697" s="183"/>
      <c r="BC697" s="183"/>
      <c r="BD697" s="183"/>
      <c r="BE697" s="183"/>
      <c r="BF697" s="184"/>
      <c r="BG697" s="183"/>
      <c r="BH697" s="183"/>
      <c r="BI697" s="183"/>
      <c r="BJ697" s="183"/>
      <c r="BK697" s="183"/>
      <c r="BL697" s="184"/>
      <c r="BM697" s="409"/>
      <c r="BN697" s="409"/>
    </row>
    <row r="698" spans="1:66" s="153" customFormat="1" x14ac:dyDescent="0.2">
      <c r="A698" s="61"/>
      <c r="B698" s="61"/>
      <c r="C698" s="61"/>
      <c r="D698" s="61"/>
      <c r="E698" s="61"/>
      <c r="F698" s="61"/>
      <c r="G698" s="61"/>
      <c r="H698" s="61"/>
      <c r="I698" s="61"/>
      <c r="J698" s="61"/>
      <c r="K698" s="61"/>
      <c r="L698" s="61"/>
      <c r="M698" s="61"/>
      <c r="N698" s="61"/>
      <c r="O698" s="61"/>
      <c r="P698" s="61"/>
      <c r="Q698" s="61"/>
      <c r="R698" s="61"/>
      <c r="S698" s="61"/>
      <c r="T698" s="35"/>
      <c r="U698" s="187"/>
      <c r="V698" s="190"/>
      <c r="W698" s="190"/>
      <c r="X698" s="190"/>
      <c r="Y698" s="190"/>
      <c r="Z698" s="190"/>
      <c r="AA698" s="191"/>
      <c r="AB698" s="190"/>
      <c r="AC698" s="190"/>
      <c r="AD698" s="190"/>
      <c r="AE698" s="190"/>
      <c r="AF698" s="190"/>
      <c r="AG698" s="190"/>
      <c r="AH698" s="191"/>
      <c r="AI698" s="190"/>
      <c r="AJ698" s="190"/>
      <c r="AK698" s="190"/>
      <c r="AL698" s="190"/>
      <c r="AM698" s="190"/>
      <c r="AN698" s="191"/>
      <c r="AO698" s="190"/>
      <c r="AP698" s="190"/>
      <c r="AQ698" s="190"/>
      <c r="AR698" s="190"/>
      <c r="AS698" s="190"/>
      <c r="AT698" s="191"/>
      <c r="AU698" s="190"/>
      <c r="AV698" s="190"/>
      <c r="AW698" s="190"/>
      <c r="AX698" s="190"/>
      <c r="AY698" s="190"/>
      <c r="AZ698" s="191"/>
      <c r="BA698" s="183"/>
      <c r="BB698" s="183"/>
      <c r="BC698" s="183"/>
      <c r="BD698" s="183"/>
      <c r="BE698" s="183"/>
      <c r="BF698" s="184"/>
      <c r="BG698" s="183"/>
      <c r="BH698" s="183"/>
      <c r="BI698" s="183"/>
      <c r="BJ698" s="183"/>
      <c r="BK698" s="183"/>
      <c r="BL698" s="184"/>
      <c r="BM698" s="409"/>
      <c r="BN698" s="409"/>
    </row>
    <row r="699" spans="1:66" s="153" customFormat="1" x14ac:dyDescent="0.2">
      <c r="A699" s="61"/>
      <c r="B699" s="61"/>
      <c r="C699" s="61"/>
      <c r="D699" s="61"/>
      <c r="E699" s="61"/>
      <c r="F699" s="61"/>
      <c r="G699" s="61"/>
      <c r="H699" s="61"/>
      <c r="I699" s="61"/>
      <c r="J699" s="61"/>
      <c r="K699" s="61"/>
      <c r="L699" s="61"/>
      <c r="M699" s="61"/>
      <c r="N699" s="61"/>
      <c r="O699" s="61"/>
      <c r="P699" s="61"/>
      <c r="Q699" s="61"/>
      <c r="R699" s="61"/>
      <c r="S699" s="61"/>
      <c r="T699" s="35"/>
      <c r="U699" s="187"/>
      <c r="V699" s="190"/>
      <c r="W699" s="190"/>
      <c r="X699" s="190"/>
      <c r="Y699" s="190"/>
      <c r="Z699" s="190"/>
      <c r="AA699" s="191"/>
      <c r="AB699" s="190"/>
      <c r="AC699" s="190"/>
      <c r="AD699" s="190"/>
      <c r="AE699" s="190"/>
      <c r="AF699" s="190"/>
      <c r="AG699" s="190"/>
      <c r="AH699" s="191"/>
      <c r="AI699" s="190"/>
      <c r="AJ699" s="190"/>
      <c r="AK699" s="190"/>
      <c r="AL699" s="190"/>
      <c r="AM699" s="190"/>
      <c r="AN699" s="191"/>
      <c r="AO699" s="190"/>
      <c r="AP699" s="190"/>
      <c r="AQ699" s="190"/>
      <c r="AR699" s="190"/>
      <c r="AS699" s="190"/>
      <c r="AT699" s="191"/>
      <c r="AU699" s="190"/>
      <c r="AV699" s="190"/>
      <c r="AW699" s="190"/>
      <c r="AX699" s="190"/>
      <c r="AY699" s="190"/>
      <c r="AZ699" s="191"/>
      <c r="BA699" s="183"/>
      <c r="BB699" s="183"/>
      <c r="BC699" s="183"/>
      <c r="BD699" s="183"/>
      <c r="BE699" s="183"/>
      <c r="BF699" s="184"/>
      <c r="BG699" s="183"/>
      <c r="BH699" s="183"/>
      <c r="BI699" s="183"/>
      <c r="BJ699" s="183"/>
      <c r="BK699" s="183"/>
      <c r="BL699" s="184"/>
      <c r="BM699" s="409"/>
      <c r="BN699" s="409"/>
    </row>
    <row r="700" spans="1:66" s="153" customFormat="1" x14ac:dyDescent="0.2">
      <c r="A700" s="61"/>
      <c r="B700" s="61"/>
      <c r="C700" s="61"/>
      <c r="D700" s="61"/>
      <c r="E700" s="61"/>
      <c r="F700" s="61"/>
      <c r="G700" s="61"/>
      <c r="H700" s="61"/>
      <c r="I700" s="61"/>
      <c r="J700" s="61"/>
      <c r="K700" s="61"/>
      <c r="L700" s="61"/>
      <c r="M700" s="61"/>
      <c r="N700" s="61"/>
      <c r="O700" s="61"/>
      <c r="P700" s="61"/>
      <c r="Q700" s="61"/>
      <c r="R700" s="61"/>
      <c r="S700" s="61"/>
      <c r="T700" s="35"/>
      <c r="U700" s="187"/>
      <c r="V700" s="190"/>
      <c r="W700" s="190"/>
      <c r="X700" s="190"/>
      <c r="Y700" s="190"/>
      <c r="Z700" s="190"/>
      <c r="AA700" s="191"/>
      <c r="AB700" s="190"/>
      <c r="AC700" s="190"/>
      <c r="AD700" s="190"/>
      <c r="AE700" s="190"/>
      <c r="AF700" s="190"/>
      <c r="AG700" s="190"/>
      <c r="AH700" s="191"/>
      <c r="AI700" s="190"/>
      <c r="AJ700" s="190"/>
      <c r="AK700" s="190"/>
      <c r="AL700" s="190"/>
      <c r="AM700" s="190"/>
      <c r="AN700" s="191"/>
      <c r="AO700" s="190"/>
      <c r="AP700" s="190"/>
      <c r="AQ700" s="190"/>
      <c r="AR700" s="190"/>
      <c r="AS700" s="190"/>
      <c r="AT700" s="191"/>
      <c r="AU700" s="190"/>
      <c r="AV700" s="190"/>
      <c r="AW700" s="190"/>
      <c r="AX700" s="190"/>
      <c r="AY700" s="190"/>
      <c r="AZ700" s="191"/>
      <c r="BA700" s="183"/>
      <c r="BB700" s="183"/>
      <c r="BC700" s="183"/>
      <c r="BD700" s="183"/>
      <c r="BE700" s="183"/>
      <c r="BF700" s="184"/>
      <c r="BG700" s="183"/>
      <c r="BH700" s="183"/>
      <c r="BI700" s="183"/>
      <c r="BJ700" s="183"/>
      <c r="BK700" s="183"/>
      <c r="BL700" s="184"/>
      <c r="BM700" s="409"/>
      <c r="BN700" s="409"/>
    </row>
    <row r="701" spans="1:66" s="153" customFormat="1" x14ac:dyDescent="0.2">
      <c r="A701" s="61"/>
      <c r="B701" s="61"/>
      <c r="C701" s="61"/>
      <c r="D701" s="61"/>
      <c r="E701" s="61"/>
      <c r="F701" s="61"/>
      <c r="G701" s="61"/>
      <c r="H701" s="61"/>
      <c r="I701" s="61"/>
      <c r="J701" s="61"/>
      <c r="K701" s="61"/>
      <c r="L701" s="61"/>
      <c r="M701" s="61"/>
      <c r="N701" s="61"/>
      <c r="O701" s="61"/>
      <c r="P701" s="61"/>
      <c r="Q701" s="61"/>
      <c r="R701" s="61"/>
      <c r="S701" s="61"/>
      <c r="T701" s="35"/>
      <c r="U701" s="187"/>
      <c r="V701" s="190"/>
      <c r="W701" s="190"/>
      <c r="X701" s="190"/>
      <c r="Y701" s="190"/>
      <c r="Z701" s="190"/>
      <c r="AA701" s="191"/>
      <c r="AB701" s="190"/>
      <c r="AC701" s="190"/>
      <c r="AD701" s="190"/>
      <c r="AE701" s="190"/>
      <c r="AF701" s="190"/>
      <c r="AG701" s="190"/>
      <c r="AH701" s="191"/>
      <c r="AI701" s="190"/>
      <c r="AJ701" s="190"/>
      <c r="AK701" s="190"/>
      <c r="AL701" s="190"/>
      <c r="AM701" s="190"/>
      <c r="AN701" s="191"/>
      <c r="AO701" s="190"/>
      <c r="AP701" s="190"/>
      <c r="AQ701" s="190"/>
      <c r="AR701" s="190"/>
      <c r="AS701" s="190"/>
      <c r="AT701" s="191"/>
      <c r="AU701" s="190"/>
      <c r="AV701" s="190"/>
      <c r="AW701" s="190"/>
      <c r="AX701" s="190"/>
      <c r="AY701" s="190"/>
      <c r="AZ701" s="191"/>
      <c r="BA701" s="183"/>
      <c r="BB701" s="183"/>
      <c r="BC701" s="183"/>
      <c r="BD701" s="183"/>
      <c r="BE701" s="183"/>
      <c r="BF701" s="184"/>
      <c r="BG701" s="183"/>
      <c r="BH701" s="183"/>
      <c r="BI701" s="183"/>
      <c r="BJ701" s="183"/>
      <c r="BK701" s="183"/>
      <c r="BL701" s="184"/>
      <c r="BM701" s="409"/>
      <c r="BN701" s="409"/>
    </row>
    <row r="702" spans="1:66" s="153" customFormat="1" x14ac:dyDescent="0.2">
      <c r="A702" s="61"/>
      <c r="B702" s="61"/>
      <c r="C702" s="61"/>
      <c r="D702" s="61"/>
      <c r="E702" s="61"/>
      <c r="F702" s="61"/>
      <c r="G702" s="61"/>
      <c r="H702" s="61"/>
      <c r="I702" s="61"/>
      <c r="J702" s="61"/>
      <c r="K702" s="61"/>
      <c r="L702" s="61"/>
      <c r="M702" s="61"/>
      <c r="N702" s="61"/>
      <c r="O702" s="61"/>
      <c r="P702" s="61"/>
      <c r="Q702" s="61"/>
      <c r="R702" s="61"/>
      <c r="S702" s="61"/>
      <c r="T702" s="35"/>
      <c r="U702" s="187"/>
      <c r="V702" s="190"/>
      <c r="W702" s="190"/>
      <c r="X702" s="190"/>
      <c r="Y702" s="190"/>
      <c r="Z702" s="190"/>
      <c r="AA702" s="191"/>
      <c r="AB702" s="190"/>
      <c r="AC702" s="190"/>
      <c r="AD702" s="190"/>
      <c r="AE702" s="190"/>
      <c r="AF702" s="190"/>
      <c r="AG702" s="190"/>
      <c r="AH702" s="191"/>
      <c r="AI702" s="190"/>
      <c r="AJ702" s="190"/>
      <c r="AK702" s="190"/>
      <c r="AL702" s="190"/>
      <c r="AM702" s="190"/>
      <c r="AN702" s="191"/>
      <c r="AO702" s="190"/>
      <c r="AP702" s="190"/>
      <c r="AQ702" s="190"/>
      <c r="AR702" s="190"/>
      <c r="AS702" s="190"/>
      <c r="AT702" s="191"/>
      <c r="AU702" s="190"/>
      <c r="AV702" s="190"/>
      <c r="AW702" s="190"/>
      <c r="AX702" s="190"/>
      <c r="AY702" s="190"/>
      <c r="AZ702" s="191"/>
      <c r="BA702" s="183"/>
      <c r="BB702" s="183"/>
      <c r="BC702" s="183"/>
      <c r="BD702" s="183"/>
      <c r="BE702" s="183"/>
      <c r="BF702" s="184"/>
      <c r="BG702" s="183"/>
      <c r="BH702" s="183"/>
      <c r="BI702" s="183"/>
      <c r="BJ702" s="183"/>
      <c r="BK702" s="183"/>
      <c r="BL702" s="184"/>
      <c r="BM702" s="409"/>
      <c r="BN702" s="409"/>
    </row>
    <row r="703" spans="1:66" s="153" customFormat="1" x14ac:dyDescent="0.2">
      <c r="A703" s="61"/>
      <c r="B703" s="61"/>
      <c r="C703" s="61"/>
      <c r="D703" s="61"/>
      <c r="E703" s="61"/>
      <c r="F703" s="61"/>
      <c r="G703" s="61"/>
      <c r="H703" s="61"/>
      <c r="I703" s="61"/>
      <c r="J703" s="61"/>
      <c r="K703" s="61"/>
      <c r="L703" s="61"/>
      <c r="M703" s="61"/>
      <c r="N703" s="61"/>
      <c r="O703" s="61"/>
      <c r="P703" s="61"/>
      <c r="Q703" s="61"/>
      <c r="R703" s="61"/>
      <c r="S703" s="61"/>
      <c r="T703" s="35"/>
      <c r="U703" s="187"/>
      <c r="V703" s="190"/>
      <c r="W703" s="190"/>
      <c r="X703" s="190"/>
      <c r="Y703" s="190"/>
      <c r="Z703" s="190"/>
      <c r="AA703" s="191"/>
      <c r="AB703" s="190"/>
      <c r="AC703" s="190"/>
      <c r="AD703" s="190"/>
      <c r="AE703" s="190"/>
      <c r="AF703" s="190"/>
      <c r="AG703" s="190"/>
      <c r="AH703" s="191"/>
      <c r="AI703" s="190"/>
      <c r="AJ703" s="190"/>
      <c r="AK703" s="190"/>
      <c r="AL703" s="190"/>
      <c r="AM703" s="190"/>
      <c r="AN703" s="191"/>
      <c r="AO703" s="190"/>
      <c r="AP703" s="190"/>
      <c r="AQ703" s="190"/>
      <c r="AR703" s="190"/>
      <c r="AS703" s="190"/>
      <c r="AT703" s="191"/>
      <c r="AU703" s="190"/>
      <c r="AV703" s="190"/>
      <c r="AW703" s="190"/>
      <c r="AX703" s="190"/>
      <c r="AY703" s="190"/>
      <c r="AZ703" s="191"/>
      <c r="BA703" s="183"/>
      <c r="BB703" s="183"/>
      <c r="BC703" s="183"/>
      <c r="BD703" s="183"/>
      <c r="BE703" s="183"/>
      <c r="BF703" s="184"/>
      <c r="BG703" s="183"/>
      <c r="BH703" s="183"/>
      <c r="BI703" s="183"/>
      <c r="BJ703" s="183"/>
      <c r="BK703" s="183"/>
      <c r="BL703" s="184"/>
      <c r="BM703" s="409"/>
      <c r="BN703" s="409"/>
    </row>
    <row r="704" spans="1:66" s="153" customFormat="1" x14ac:dyDescent="0.2">
      <c r="A704" s="61"/>
      <c r="B704" s="61"/>
      <c r="C704" s="61"/>
      <c r="D704" s="61"/>
      <c r="E704" s="61"/>
      <c r="F704" s="61"/>
      <c r="G704" s="61"/>
      <c r="H704" s="61"/>
      <c r="I704" s="61"/>
      <c r="J704" s="61"/>
      <c r="K704" s="61"/>
      <c r="L704" s="61"/>
      <c r="M704" s="61"/>
      <c r="N704" s="61"/>
      <c r="O704" s="61"/>
      <c r="P704" s="61"/>
      <c r="Q704" s="61"/>
      <c r="R704" s="61"/>
      <c r="S704" s="61"/>
      <c r="T704" s="35"/>
      <c r="U704" s="187"/>
      <c r="V704" s="190"/>
      <c r="W704" s="190"/>
      <c r="X704" s="190"/>
      <c r="Y704" s="190"/>
      <c r="Z704" s="190"/>
      <c r="AA704" s="191"/>
      <c r="AB704" s="190"/>
      <c r="AC704" s="190"/>
      <c r="AD704" s="190"/>
      <c r="AE704" s="190"/>
      <c r="AF704" s="190"/>
      <c r="AG704" s="190"/>
      <c r="AH704" s="191"/>
      <c r="AI704" s="190"/>
      <c r="AJ704" s="190"/>
      <c r="AK704" s="190"/>
      <c r="AL704" s="190"/>
      <c r="AM704" s="190"/>
      <c r="AN704" s="191"/>
      <c r="AO704" s="190"/>
      <c r="AP704" s="190"/>
      <c r="AQ704" s="190"/>
      <c r="AR704" s="190"/>
      <c r="AS704" s="190"/>
      <c r="AT704" s="191"/>
      <c r="AU704" s="190"/>
      <c r="AV704" s="190"/>
      <c r="AW704" s="190"/>
      <c r="AX704" s="190"/>
      <c r="AY704" s="190"/>
      <c r="AZ704" s="191"/>
      <c r="BA704" s="183"/>
      <c r="BB704" s="183"/>
      <c r="BC704" s="183"/>
      <c r="BD704" s="183"/>
      <c r="BE704" s="183"/>
      <c r="BF704" s="184"/>
      <c r="BG704" s="183"/>
      <c r="BH704" s="183"/>
      <c r="BI704" s="183"/>
      <c r="BJ704" s="183"/>
      <c r="BK704" s="183"/>
      <c r="BL704" s="184"/>
      <c r="BM704" s="409"/>
      <c r="BN704" s="409"/>
    </row>
    <row r="705" spans="1:66" s="153" customFormat="1" x14ac:dyDescent="0.2">
      <c r="A705" s="61"/>
      <c r="B705" s="61"/>
      <c r="C705" s="61"/>
      <c r="D705" s="61"/>
      <c r="E705" s="61"/>
      <c r="F705" s="61"/>
      <c r="G705" s="61"/>
      <c r="H705" s="61"/>
      <c r="I705" s="61"/>
      <c r="J705" s="61"/>
      <c r="K705" s="61"/>
      <c r="L705" s="61"/>
      <c r="M705" s="61"/>
      <c r="N705" s="61"/>
      <c r="O705" s="61"/>
      <c r="P705" s="61"/>
      <c r="Q705" s="61"/>
      <c r="R705" s="61"/>
      <c r="S705" s="61"/>
      <c r="T705" s="35"/>
      <c r="U705" s="187"/>
      <c r="V705" s="190"/>
      <c r="W705" s="190"/>
      <c r="X705" s="190"/>
      <c r="Y705" s="190"/>
      <c r="Z705" s="190"/>
      <c r="AA705" s="191"/>
      <c r="AB705" s="190"/>
      <c r="AC705" s="190"/>
      <c r="AD705" s="190"/>
      <c r="AE705" s="190"/>
      <c r="AF705" s="190"/>
      <c r="AG705" s="190"/>
      <c r="AH705" s="191"/>
      <c r="AI705" s="190"/>
      <c r="AJ705" s="190"/>
      <c r="AK705" s="190"/>
      <c r="AL705" s="190"/>
      <c r="AM705" s="190"/>
      <c r="AN705" s="191"/>
      <c r="AO705" s="190"/>
      <c r="AP705" s="190"/>
      <c r="AQ705" s="190"/>
      <c r="AR705" s="190"/>
      <c r="AS705" s="190"/>
      <c r="AT705" s="191"/>
      <c r="AU705" s="190"/>
      <c r="AV705" s="190"/>
      <c r="AW705" s="190"/>
      <c r="AX705" s="190"/>
      <c r="AY705" s="190"/>
      <c r="AZ705" s="191"/>
      <c r="BA705" s="183"/>
      <c r="BB705" s="183"/>
      <c r="BC705" s="183"/>
      <c r="BD705" s="183"/>
      <c r="BE705" s="183"/>
      <c r="BF705" s="184"/>
      <c r="BG705" s="183"/>
      <c r="BH705" s="183"/>
      <c r="BI705" s="183"/>
      <c r="BJ705" s="183"/>
      <c r="BK705" s="183"/>
      <c r="BL705" s="184"/>
      <c r="BM705" s="409"/>
      <c r="BN705" s="409"/>
    </row>
    <row r="706" spans="1:66" s="153" customFormat="1" x14ac:dyDescent="0.2">
      <c r="A706" s="61"/>
      <c r="B706" s="61"/>
      <c r="C706" s="61"/>
      <c r="D706" s="61"/>
      <c r="E706" s="61"/>
      <c r="F706" s="61"/>
      <c r="G706" s="61"/>
      <c r="H706" s="61"/>
      <c r="I706" s="61"/>
      <c r="J706" s="61"/>
      <c r="K706" s="61"/>
      <c r="L706" s="61"/>
      <c r="M706" s="61"/>
      <c r="N706" s="61"/>
      <c r="O706" s="61"/>
      <c r="P706" s="61"/>
      <c r="Q706" s="61"/>
      <c r="R706" s="61"/>
      <c r="S706" s="61"/>
      <c r="T706" s="35"/>
      <c r="U706" s="187"/>
      <c r="V706" s="190"/>
      <c r="W706" s="190"/>
      <c r="X706" s="190"/>
      <c r="Y706" s="190"/>
      <c r="Z706" s="190"/>
      <c r="AA706" s="191"/>
      <c r="AB706" s="190"/>
      <c r="AC706" s="190"/>
      <c r="AD706" s="190"/>
      <c r="AE706" s="190"/>
      <c r="AF706" s="190"/>
      <c r="AG706" s="190"/>
      <c r="AH706" s="191"/>
      <c r="AI706" s="190"/>
      <c r="AJ706" s="190"/>
      <c r="AK706" s="190"/>
      <c r="AL706" s="190"/>
      <c r="AM706" s="190"/>
      <c r="AN706" s="191"/>
      <c r="AO706" s="190"/>
      <c r="AP706" s="190"/>
      <c r="AQ706" s="190"/>
      <c r="AR706" s="190"/>
      <c r="AS706" s="190"/>
      <c r="AT706" s="191"/>
      <c r="AU706" s="190"/>
      <c r="AV706" s="190"/>
      <c r="AW706" s="190"/>
      <c r="AX706" s="190"/>
      <c r="AY706" s="190"/>
      <c r="AZ706" s="191"/>
      <c r="BA706" s="183"/>
      <c r="BB706" s="183"/>
      <c r="BC706" s="183"/>
      <c r="BD706" s="183"/>
      <c r="BE706" s="183"/>
      <c r="BF706" s="184"/>
      <c r="BG706" s="183"/>
      <c r="BH706" s="183"/>
      <c r="BI706" s="183"/>
      <c r="BJ706" s="183"/>
      <c r="BK706" s="183"/>
      <c r="BL706" s="184"/>
      <c r="BM706" s="409"/>
      <c r="BN706" s="409"/>
    </row>
    <row r="707" spans="1:66" s="153" customFormat="1" x14ac:dyDescent="0.2">
      <c r="A707" s="61"/>
      <c r="B707" s="61"/>
      <c r="C707" s="61"/>
      <c r="D707" s="61"/>
      <c r="E707" s="61"/>
      <c r="F707" s="61"/>
      <c r="G707" s="61"/>
      <c r="H707" s="61"/>
      <c r="I707" s="61"/>
      <c r="J707" s="61"/>
      <c r="K707" s="61"/>
      <c r="L707" s="61"/>
      <c r="M707" s="61"/>
      <c r="N707" s="61"/>
      <c r="O707" s="61"/>
      <c r="P707" s="61"/>
      <c r="Q707" s="61"/>
      <c r="R707" s="61"/>
      <c r="S707" s="61"/>
      <c r="T707" s="35"/>
      <c r="U707" s="187"/>
      <c r="V707" s="190"/>
      <c r="W707" s="190"/>
      <c r="X707" s="190"/>
      <c r="Y707" s="190"/>
      <c r="Z707" s="190"/>
      <c r="AA707" s="191"/>
      <c r="AB707" s="190"/>
      <c r="AC707" s="190"/>
      <c r="AD707" s="190"/>
      <c r="AE707" s="190"/>
      <c r="AF707" s="190"/>
      <c r="AG707" s="190"/>
      <c r="AH707" s="191"/>
      <c r="AI707" s="190"/>
      <c r="AJ707" s="190"/>
      <c r="AK707" s="190"/>
      <c r="AL707" s="190"/>
      <c r="AM707" s="190"/>
      <c r="AN707" s="191"/>
      <c r="AO707" s="190"/>
      <c r="AP707" s="190"/>
      <c r="AQ707" s="190"/>
      <c r="AR707" s="190"/>
      <c r="AS707" s="190"/>
      <c r="AT707" s="191"/>
      <c r="AU707" s="190"/>
      <c r="AV707" s="190"/>
      <c r="AW707" s="190"/>
      <c r="AX707" s="190"/>
      <c r="AY707" s="190"/>
      <c r="AZ707" s="191"/>
      <c r="BA707" s="183"/>
      <c r="BB707" s="183"/>
      <c r="BC707" s="183"/>
      <c r="BD707" s="183"/>
      <c r="BE707" s="183"/>
      <c r="BF707" s="184"/>
      <c r="BG707" s="183"/>
      <c r="BH707" s="183"/>
      <c r="BI707" s="183"/>
      <c r="BJ707" s="183"/>
      <c r="BK707" s="183"/>
      <c r="BL707" s="184"/>
      <c r="BM707" s="409"/>
      <c r="BN707" s="409"/>
    </row>
    <row r="708" spans="1:66" s="153" customFormat="1" x14ac:dyDescent="0.2">
      <c r="A708" s="61"/>
      <c r="B708" s="61"/>
      <c r="C708" s="61"/>
      <c r="D708" s="61"/>
      <c r="E708" s="61"/>
      <c r="F708" s="61"/>
      <c r="G708" s="61"/>
      <c r="H708" s="61"/>
      <c r="I708" s="61"/>
      <c r="J708" s="61"/>
      <c r="K708" s="61"/>
      <c r="L708" s="61"/>
      <c r="M708" s="61"/>
      <c r="N708" s="61"/>
      <c r="O708" s="61"/>
      <c r="P708" s="61"/>
      <c r="Q708" s="61"/>
      <c r="R708" s="61"/>
      <c r="S708" s="61"/>
      <c r="T708" s="35"/>
      <c r="U708" s="187"/>
      <c r="V708" s="190"/>
      <c r="W708" s="190"/>
      <c r="X708" s="190"/>
      <c r="Y708" s="190"/>
      <c r="Z708" s="190"/>
      <c r="AA708" s="191"/>
      <c r="AB708" s="190"/>
      <c r="AC708" s="190"/>
      <c r="AD708" s="190"/>
      <c r="AE708" s="190"/>
      <c r="AF708" s="190"/>
      <c r="AG708" s="190"/>
      <c r="AH708" s="191"/>
      <c r="AI708" s="190"/>
      <c r="AJ708" s="190"/>
      <c r="AK708" s="190"/>
      <c r="AL708" s="190"/>
      <c r="AM708" s="190"/>
      <c r="AN708" s="191"/>
      <c r="AO708" s="190"/>
      <c r="AP708" s="190"/>
      <c r="AQ708" s="190"/>
      <c r="AR708" s="190"/>
      <c r="AS708" s="190"/>
      <c r="AT708" s="191"/>
      <c r="AU708" s="190"/>
      <c r="AV708" s="190"/>
      <c r="AW708" s="190"/>
      <c r="AX708" s="190"/>
      <c r="AY708" s="190"/>
      <c r="AZ708" s="191"/>
      <c r="BA708" s="183"/>
      <c r="BB708" s="183"/>
      <c r="BC708" s="183"/>
      <c r="BD708" s="183"/>
      <c r="BE708" s="183"/>
      <c r="BF708" s="184"/>
      <c r="BG708" s="183"/>
      <c r="BH708" s="183"/>
      <c r="BI708" s="183"/>
      <c r="BJ708" s="183"/>
      <c r="BK708" s="183"/>
      <c r="BL708" s="184"/>
      <c r="BM708" s="409"/>
      <c r="BN708" s="409"/>
    </row>
    <row r="709" spans="1:66" s="153" customFormat="1" x14ac:dyDescent="0.2">
      <c r="A709" s="61"/>
      <c r="B709" s="61"/>
      <c r="C709" s="61"/>
      <c r="D709" s="61"/>
      <c r="E709" s="61"/>
      <c r="F709" s="61"/>
      <c r="G709" s="61"/>
      <c r="H709" s="61"/>
      <c r="I709" s="61"/>
      <c r="J709" s="61"/>
      <c r="K709" s="61"/>
      <c r="L709" s="61"/>
      <c r="M709" s="61"/>
      <c r="N709" s="61"/>
      <c r="O709" s="61"/>
      <c r="P709" s="61"/>
      <c r="Q709" s="61"/>
      <c r="R709" s="61"/>
      <c r="S709" s="61"/>
      <c r="T709" s="35"/>
      <c r="U709" s="187"/>
      <c r="V709" s="190"/>
      <c r="W709" s="190"/>
      <c r="X709" s="190"/>
      <c r="Y709" s="190"/>
      <c r="Z709" s="190"/>
      <c r="AA709" s="191"/>
      <c r="AB709" s="190"/>
      <c r="AC709" s="190"/>
      <c r="AD709" s="190"/>
      <c r="AE709" s="190"/>
      <c r="AF709" s="190"/>
      <c r="AG709" s="190"/>
      <c r="AH709" s="191"/>
      <c r="AI709" s="190"/>
      <c r="AJ709" s="190"/>
      <c r="AK709" s="190"/>
      <c r="AL709" s="190"/>
      <c r="AM709" s="190"/>
      <c r="AN709" s="191"/>
      <c r="AO709" s="190"/>
      <c r="AP709" s="190"/>
      <c r="AQ709" s="190"/>
      <c r="AR709" s="190"/>
      <c r="AS709" s="190"/>
      <c r="AT709" s="191"/>
      <c r="AU709" s="190"/>
      <c r="AV709" s="190"/>
      <c r="AW709" s="190"/>
      <c r="AX709" s="190"/>
      <c r="AY709" s="190"/>
      <c r="AZ709" s="191"/>
      <c r="BA709" s="183"/>
      <c r="BB709" s="183"/>
      <c r="BC709" s="183"/>
      <c r="BD709" s="183"/>
      <c r="BE709" s="183"/>
      <c r="BF709" s="184"/>
      <c r="BG709" s="183"/>
      <c r="BH709" s="183"/>
      <c r="BI709" s="183"/>
      <c r="BJ709" s="183"/>
      <c r="BK709" s="183"/>
      <c r="BL709" s="184"/>
      <c r="BM709" s="409"/>
      <c r="BN709" s="409"/>
    </row>
    <row r="710" spans="1:66" s="153" customFormat="1" x14ac:dyDescent="0.2">
      <c r="A710" s="61"/>
      <c r="B710" s="61"/>
      <c r="C710" s="61"/>
      <c r="D710" s="61"/>
      <c r="E710" s="61"/>
      <c r="F710" s="61"/>
      <c r="G710" s="61"/>
      <c r="H710" s="61"/>
      <c r="I710" s="61"/>
      <c r="J710" s="61"/>
      <c r="K710" s="61"/>
      <c r="L710" s="61"/>
      <c r="M710" s="61"/>
      <c r="N710" s="61"/>
      <c r="O710" s="61"/>
      <c r="P710" s="61"/>
      <c r="Q710" s="61"/>
      <c r="R710" s="61"/>
      <c r="S710" s="61"/>
      <c r="T710" s="35"/>
      <c r="U710" s="187"/>
      <c r="V710" s="190"/>
      <c r="W710" s="190"/>
      <c r="X710" s="190"/>
      <c r="Y710" s="190"/>
      <c r="Z710" s="190"/>
      <c r="AA710" s="191"/>
      <c r="AB710" s="190"/>
      <c r="AC710" s="190"/>
      <c r="AD710" s="190"/>
      <c r="AE710" s="190"/>
      <c r="AF710" s="190"/>
      <c r="AG710" s="190"/>
      <c r="AH710" s="191"/>
      <c r="AI710" s="190"/>
      <c r="AJ710" s="190"/>
      <c r="AK710" s="190"/>
      <c r="AL710" s="190"/>
      <c r="AM710" s="190"/>
      <c r="AN710" s="191"/>
      <c r="AO710" s="190"/>
      <c r="AP710" s="190"/>
      <c r="AQ710" s="190"/>
      <c r="AR710" s="190"/>
      <c r="AS710" s="190"/>
      <c r="AT710" s="191"/>
      <c r="AU710" s="190"/>
      <c r="AV710" s="190"/>
      <c r="AW710" s="190"/>
      <c r="AX710" s="190"/>
      <c r="AY710" s="190"/>
      <c r="AZ710" s="191"/>
      <c r="BA710" s="183"/>
      <c r="BB710" s="183"/>
      <c r="BC710" s="183"/>
      <c r="BD710" s="183"/>
      <c r="BE710" s="183"/>
      <c r="BF710" s="184"/>
      <c r="BG710" s="183"/>
      <c r="BH710" s="183"/>
      <c r="BI710" s="183"/>
      <c r="BJ710" s="183"/>
      <c r="BK710" s="183"/>
      <c r="BL710" s="184"/>
      <c r="BM710" s="409"/>
      <c r="BN710" s="409"/>
    </row>
    <row r="711" spans="1:66" s="153" customFormat="1" x14ac:dyDescent="0.2">
      <c r="A711" s="61"/>
      <c r="B711" s="61"/>
      <c r="C711" s="61"/>
      <c r="D711" s="61"/>
      <c r="E711" s="61"/>
      <c r="F711" s="61"/>
      <c r="G711" s="61"/>
      <c r="H711" s="61"/>
      <c r="I711" s="61"/>
      <c r="J711" s="61"/>
      <c r="K711" s="61"/>
      <c r="L711" s="61"/>
      <c r="M711" s="61"/>
      <c r="N711" s="61"/>
      <c r="O711" s="61"/>
      <c r="P711" s="61"/>
      <c r="Q711" s="61"/>
      <c r="R711" s="61"/>
      <c r="S711" s="61"/>
      <c r="T711" s="35"/>
      <c r="U711" s="187"/>
      <c r="V711" s="190"/>
      <c r="W711" s="190"/>
      <c r="X711" s="190"/>
      <c r="Y711" s="190"/>
      <c r="Z711" s="190"/>
      <c r="AA711" s="191"/>
      <c r="AB711" s="190"/>
      <c r="AC711" s="190"/>
      <c r="AD711" s="190"/>
      <c r="AE711" s="190"/>
      <c r="AF711" s="190"/>
      <c r="AG711" s="190"/>
      <c r="AH711" s="191"/>
      <c r="AI711" s="190"/>
      <c r="AJ711" s="190"/>
      <c r="AK711" s="190"/>
      <c r="AL711" s="190"/>
      <c r="AM711" s="190"/>
      <c r="AN711" s="191"/>
      <c r="AO711" s="190"/>
      <c r="AP711" s="190"/>
      <c r="AQ711" s="190"/>
      <c r="AR711" s="190"/>
      <c r="AS711" s="190"/>
      <c r="AT711" s="191"/>
      <c r="AU711" s="190"/>
      <c r="AV711" s="190"/>
      <c r="AW711" s="190"/>
      <c r="AX711" s="190"/>
      <c r="AY711" s="190"/>
      <c r="AZ711" s="191"/>
      <c r="BA711" s="183"/>
      <c r="BB711" s="183"/>
      <c r="BC711" s="183"/>
      <c r="BD711" s="183"/>
      <c r="BE711" s="183"/>
      <c r="BF711" s="184"/>
      <c r="BG711" s="183"/>
      <c r="BH711" s="183"/>
      <c r="BI711" s="183"/>
      <c r="BJ711" s="183"/>
      <c r="BK711" s="183"/>
      <c r="BL711" s="184"/>
      <c r="BM711" s="409"/>
      <c r="BN711" s="409"/>
    </row>
    <row r="712" spans="1:66" s="153" customFormat="1" x14ac:dyDescent="0.2">
      <c r="A712" s="61"/>
      <c r="B712" s="61"/>
      <c r="C712" s="61"/>
      <c r="D712" s="61"/>
      <c r="E712" s="61"/>
      <c r="F712" s="61"/>
      <c r="G712" s="61"/>
      <c r="H712" s="61"/>
      <c r="I712" s="61"/>
      <c r="J712" s="61"/>
      <c r="K712" s="61"/>
      <c r="L712" s="61"/>
      <c r="M712" s="61"/>
      <c r="N712" s="61"/>
      <c r="O712" s="61"/>
      <c r="P712" s="61"/>
      <c r="Q712" s="61"/>
      <c r="R712" s="61"/>
      <c r="S712" s="61"/>
      <c r="T712" s="35"/>
      <c r="U712" s="187"/>
      <c r="V712" s="190"/>
      <c r="W712" s="190"/>
      <c r="X712" s="190"/>
      <c r="Y712" s="190"/>
      <c r="Z712" s="190"/>
      <c r="AA712" s="191"/>
      <c r="AB712" s="190"/>
      <c r="AC712" s="190"/>
      <c r="AD712" s="190"/>
      <c r="AE712" s="190"/>
      <c r="AF712" s="190"/>
      <c r="AG712" s="190"/>
      <c r="AH712" s="191"/>
      <c r="AI712" s="190"/>
      <c r="AJ712" s="190"/>
      <c r="AK712" s="190"/>
      <c r="AL712" s="190"/>
      <c r="AM712" s="190"/>
      <c r="AN712" s="191"/>
      <c r="AO712" s="190"/>
      <c r="AP712" s="190"/>
      <c r="AQ712" s="190"/>
      <c r="AR712" s="190"/>
      <c r="AS712" s="190"/>
      <c r="AT712" s="191"/>
      <c r="AU712" s="190"/>
      <c r="AV712" s="190"/>
      <c r="AW712" s="190"/>
      <c r="AX712" s="190"/>
      <c r="AY712" s="190"/>
      <c r="AZ712" s="191"/>
      <c r="BA712" s="183"/>
      <c r="BB712" s="183"/>
      <c r="BC712" s="183"/>
      <c r="BD712" s="183"/>
      <c r="BE712" s="183"/>
      <c r="BF712" s="184"/>
      <c r="BG712" s="183"/>
      <c r="BH712" s="183"/>
      <c r="BI712" s="183"/>
      <c r="BJ712" s="183"/>
      <c r="BK712" s="183"/>
      <c r="BL712" s="184"/>
      <c r="BM712" s="409"/>
      <c r="BN712" s="409"/>
    </row>
    <row r="713" spans="1:66" s="153" customFormat="1" x14ac:dyDescent="0.2">
      <c r="A713" s="61"/>
      <c r="B713" s="61"/>
      <c r="C713" s="61"/>
      <c r="D713" s="61"/>
      <c r="E713" s="61"/>
      <c r="F713" s="61"/>
      <c r="G713" s="61"/>
      <c r="H713" s="61"/>
      <c r="I713" s="61"/>
      <c r="J713" s="61"/>
      <c r="K713" s="61"/>
      <c r="L713" s="61"/>
      <c r="M713" s="61"/>
      <c r="N713" s="61"/>
      <c r="O713" s="61"/>
      <c r="P713" s="61"/>
      <c r="Q713" s="61"/>
      <c r="R713" s="61"/>
      <c r="S713" s="61"/>
      <c r="T713" s="35"/>
      <c r="U713" s="187"/>
      <c r="V713" s="190"/>
      <c r="W713" s="190"/>
      <c r="X713" s="190"/>
      <c r="Y713" s="190"/>
      <c r="Z713" s="190"/>
      <c r="AA713" s="191"/>
      <c r="AB713" s="190"/>
      <c r="AC713" s="190"/>
      <c r="AD713" s="190"/>
      <c r="AE713" s="190"/>
      <c r="AF713" s="190"/>
      <c r="AG713" s="190"/>
      <c r="AH713" s="191"/>
      <c r="AI713" s="190"/>
      <c r="AJ713" s="190"/>
      <c r="AK713" s="190"/>
      <c r="AL713" s="190"/>
      <c r="AM713" s="190"/>
      <c r="AN713" s="191"/>
      <c r="AO713" s="190"/>
      <c r="AP713" s="190"/>
      <c r="AQ713" s="190"/>
      <c r="AR713" s="190"/>
      <c r="AS713" s="190"/>
      <c r="AT713" s="191"/>
      <c r="AU713" s="190"/>
      <c r="AV713" s="190"/>
      <c r="AW713" s="190"/>
      <c r="AX713" s="190"/>
      <c r="AY713" s="190"/>
      <c r="AZ713" s="191"/>
      <c r="BA713" s="183"/>
      <c r="BB713" s="183"/>
      <c r="BC713" s="183"/>
      <c r="BD713" s="183"/>
      <c r="BE713" s="183"/>
      <c r="BF713" s="184"/>
      <c r="BG713" s="183"/>
      <c r="BH713" s="183"/>
      <c r="BI713" s="183"/>
      <c r="BJ713" s="183"/>
      <c r="BK713" s="183"/>
      <c r="BL713" s="184"/>
      <c r="BM713" s="409"/>
      <c r="BN713" s="409"/>
    </row>
    <row r="714" spans="1:66" s="153" customFormat="1" x14ac:dyDescent="0.2">
      <c r="A714" s="61"/>
      <c r="B714" s="61"/>
      <c r="C714" s="61"/>
      <c r="D714" s="61"/>
      <c r="E714" s="61"/>
      <c r="F714" s="61"/>
      <c r="G714" s="61"/>
      <c r="H714" s="61"/>
      <c r="I714" s="61"/>
      <c r="J714" s="61"/>
      <c r="K714" s="61"/>
      <c r="L714" s="61"/>
      <c r="M714" s="61"/>
      <c r="N714" s="61"/>
      <c r="O714" s="61"/>
      <c r="P714" s="61"/>
      <c r="Q714" s="61"/>
      <c r="R714" s="61"/>
      <c r="S714" s="61"/>
      <c r="T714" s="35"/>
      <c r="U714" s="187"/>
      <c r="V714" s="190"/>
      <c r="W714" s="190"/>
      <c r="X714" s="190"/>
      <c r="Y714" s="190"/>
      <c r="Z714" s="190"/>
      <c r="AA714" s="191"/>
      <c r="AB714" s="190"/>
      <c r="AC714" s="190"/>
      <c r="AD714" s="190"/>
      <c r="AE714" s="190"/>
      <c r="AF714" s="190"/>
      <c r="AG714" s="190"/>
      <c r="AH714" s="191"/>
      <c r="AI714" s="190"/>
      <c r="AJ714" s="190"/>
      <c r="AK714" s="190"/>
      <c r="AL714" s="190"/>
      <c r="AM714" s="190"/>
      <c r="AN714" s="191"/>
      <c r="AO714" s="190"/>
      <c r="AP714" s="190"/>
      <c r="AQ714" s="190"/>
      <c r="AR714" s="190"/>
      <c r="AS714" s="190"/>
      <c r="AT714" s="191"/>
      <c r="AU714" s="190"/>
      <c r="AV714" s="190"/>
      <c r="AW714" s="190"/>
      <c r="AX714" s="190"/>
      <c r="AY714" s="190"/>
      <c r="AZ714" s="191"/>
      <c r="BA714" s="183"/>
      <c r="BB714" s="183"/>
      <c r="BC714" s="183"/>
      <c r="BD714" s="183"/>
      <c r="BE714" s="183"/>
      <c r="BF714" s="184"/>
      <c r="BG714" s="183"/>
      <c r="BH714" s="183"/>
      <c r="BI714" s="183"/>
      <c r="BJ714" s="183"/>
      <c r="BK714" s="183"/>
      <c r="BL714" s="184"/>
      <c r="BM714" s="409"/>
      <c r="BN714" s="409"/>
    </row>
    <row r="715" spans="1:66" s="153" customFormat="1" x14ac:dyDescent="0.2">
      <c r="A715" s="61"/>
      <c r="B715" s="61"/>
      <c r="C715" s="61"/>
      <c r="D715" s="61"/>
      <c r="E715" s="61"/>
      <c r="F715" s="61"/>
      <c r="G715" s="61"/>
      <c r="H715" s="61"/>
      <c r="I715" s="61"/>
      <c r="J715" s="61"/>
      <c r="K715" s="61"/>
      <c r="L715" s="61"/>
      <c r="M715" s="61"/>
      <c r="N715" s="61"/>
      <c r="O715" s="61"/>
      <c r="P715" s="61"/>
      <c r="Q715" s="61"/>
      <c r="R715" s="61"/>
      <c r="S715" s="61"/>
      <c r="T715" s="35"/>
      <c r="U715" s="187"/>
      <c r="V715" s="190"/>
      <c r="W715" s="190"/>
      <c r="X715" s="190"/>
      <c r="Y715" s="190"/>
      <c r="Z715" s="190"/>
      <c r="AA715" s="191"/>
      <c r="AB715" s="190"/>
      <c r="AC715" s="190"/>
      <c r="AD715" s="190"/>
      <c r="AE715" s="190"/>
      <c r="AF715" s="190"/>
      <c r="AG715" s="190"/>
      <c r="AH715" s="191"/>
      <c r="AI715" s="190"/>
      <c r="AJ715" s="190"/>
      <c r="AK715" s="190"/>
      <c r="AL715" s="190"/>
      <c r="AM715" s="190"/>
      <c r="AN715" s="191"/>
      <c r="AO715" s="190"/>
      <c r="AP715" s="190"/>
      <c r="AQ715" s="190"/>
      <c r="AR715" s="190"/>
      <c r="AS715" s="190"/>
      <c r="AT715" s="191"/>
      <c r="AU715" s="190"/>
      <c r="AV715" s="190"/>
      <c r="AW715" s="190"/>
      <c r="AX715" s="190"/>
      <c r="AY715" s="190"/>
      <c r="AZ715" s="191"/>
      <c r="BA715" s="183"/>
      <c r="BB715" s="183"/>
      <c r="BC715" s="183"/>
      <c r="BD715" s="183"/>
      <c r="BE715" s="183"/>
      <c r="BF715" s="184"/>
      <c r="BG715" s="183"/>
      <c r="BH715" s="183"/>
      <c r="BI715" s="183"/>
      <c r="BJ715" s="183"/>
      <c r="BK715" s="183"/>
      <c r="BL715" s="184"/>
      <c r="BM715" s="409"/>
      <c r="BN715" s="409"/>
    </row>
    <row r="716" spans="1:66" s="153" customFormat="1" x14ac:dyDescent="0.2">
      <c r="A716" s="61"/>
      <c r="B716" s="61"/>
      <c r="C716" s="61"/>
      <c r="D716" s="61"/>
      <c r="E716" s="61"/>
      <c r="F716" s="61"/>
      <c r="G716" s="61"/>
      <c r="H716" s="61"/>
      <c r="I716" s="61"/>
      <c r="J716" s="61"/>
      <c r="K716" s="61"/>
      <c r="L716" s="61"/>
      <c r="M716" s="61"/>
      <c r="N716" s="61"/>
      <c r="O716" s="61"/>
      <c r="P716" s="61"/>
      <c r="Q716" s="61"/>
      <c r="R716" s="61"/>
      <c r="S716" s="61"/>
      <c r="T716" s="35"/>
      <c r="U716" s="187"/>
      <c r="V716" s="190"/>
      <c r="W716" s="190"/>
      <c r="X716" s="190"/>
      <c r="Y716" s="190"/>
      <c r="Z716" s="190"/>
      <c r="AA716" s="191"/>
      <c r="AB716" s="190"/>
      <c r="AC716" s="190"/>
      <c r="AD716" s="190"/>
      <c r="AE716" s="190"/>
      <c r="AF716" s="190"/>
      <c r="AG716" s="190"/>
      <c r="AH716" s="191"/>
      <c r="AI716" s="190"/>
      <c r="AJ716" s="190"/>
      <c r="AK716" s="190"/>
      <c r="AL716" s="190"/>
      <c r="AM716" s="190"/>
      <c r="AN716" s="191"/>
      <c r="AO716" s="190"/>
      <c r="AP716" s="190"/>
      <c r="AQ716" s="190"/>
      <c r="AR716" s="190"/>
      <c r="AS716" s="190"/>
      <c r="AT716" s="191"/>
      <c r="AU716" s="190"/>
      <c r="AV716" s="190"/>
      <c r="AW716" s="190"/>
      <c r="AX716" s="190"/>
      <c r="AY716" s="190"/>
      <c r="AZ716" s="191"/>
      <c r="BA716" s="183"/>
      <c r="BB716" s="183"/>
      <c r="BC716" s="183"/>
      <c r="BD716" s="183"/>
      <c r="BE716" s="183"/>
      <c r="BF716" s="184"/>
      <c r="BG716" s="183"/>
      <c r="BH716" s="183"/>
      <c r="BI716" s="183"/>
      <c r="BJ716" s="183"/>
      <c r="BK716" s="183"/>
      <c r="BL716" s="184"/>
      <c r="BM716" s="409"/>
      <c r="BN716" s="409"/>
    </row>
    <row r="717" spans="1:66" s="153" customFormat="1" x14ac:dyDescent="0.2">
      <c r="A717" s="61"/>
      <c r="B717" s="61"/>
      <c r="C717" s="61"/>
      <c r="D717" s="61"/>
      <c r="E717" s="61"/>
      <c r="F717" s="61"/>
      <c r="G717" s="61"/>
      <c r="H717" s="61"/>
      <c r="I717" s="61"/>
      <c r="J717" s="61"/>
      <c r="K717" s="61"/>
      <c r="L717" s="61"/>
      <c r="M717" s="61"/>
      <c r="N717" s="61"/>
      <c r="O717" s="61"/>
      <c r="P717" s="61"/>
      <c r="Q717" s="61"/>
      <c r="R717" s="61"/>
      <c r="S717" s="61"/>
      <c r="T717" s="35"/>
      <c r="U717" s="187"/>
      <c r="V717" s="190"/>
      <c r="W717" s="190"/>
      <c r="X717" s="190"/>
      <c r="Y717" s="190"/>
      <c r="Z717" s="190"/>
      <c r="AA717" s="191"/>
      <c r="AB717" s="190"/>
      <c r="AC717" s="190"/>
      <c r="AD717" s="190"/>
      <c r="AE717" s="190"/>
      <c r="AF717" s="190"/>
      <c r="AG717" s="190"/>
      <c r="AH717" s="191"/>
      <c r="AI717" s="190"/>
      <c r="AJ717" s="190"/>
      <c r="AK717" s="190"/>
      <c r="AL717" s="190"/>
      <c r="AM717" s="190"/>
      <c r="AN717" s="191"/>
      <c r="AO717" s="190"/>
      <c r="AP717" s="190"/>
      <c r="AQ717" s="190"/>
      <c r="AR717" s="190"/>
      <c r="AS717" s="190"/>
      <c r="AT717" s="191"/>
      <c r="AU717" s="190"/>
      <c r="AV717" s="190"/>
      <c r="AW717" s="190"/>
      <c r="AX717" s="190"/>
      <c r="AY717" s="190"/>
      <c r="AZ717" s="191"/>
      <c r="BA717" s="183"/>
      <c r="BB717" s="183"/>
      <c r="BC717" s="183"/>
      <c r="BD717" s="183"/>
      <c r="BE717" s="183"/>
      <c r="BF717" s="184"/>
      <c r="BG717" s="183"/>
      <c r="BH717" s="183"/>
      <c r="BI717" s="183"/>
      <c r="BJ717" s="183"/>
      <c r="BK717" s="183"/>
      <c r="BL717" s="184"/>
      <c r="BM717" s="409"/>
      <c r="BN717" s="409"/>
    </row>
    <row r="718" spans="1:66" s="153" customFormat="1" x14ac:dyDescent="0.2">
      <c r="A718" s="61"/>
      <c r="B718" s="61"/>
      <c r="C718" s="61"/>
      <c r="D718" s="61"/>
      <c r="E718" s="61"/>
      <c r="F718" s="61"/>
      <c r="G718" s="61"/>
      <c r="H718" s="61"/>
      <c r="I718" s="61"/>
      <c r="J718" s="61"/>
      <c r="K718" s="61"/>
      <c r="L718" s="61"/>
      <c r="M718" s="61"/>
      <c r="N718" s="61"/>
      <c r="O718" s="61"/>
      <c r="P718" s="61"/>
      <c r="Q718" s="61"/>
      <c r="R718" s="61"/>
      <c r="S718" s="61"/>
      <c r="T718" s="35"/>
      <c r="U718" s="187"/>
      <c r="V718" s="190"/>
      <c r="W718" s="190"/>
      <c r="X718" s="190"/>
      <c r="Y718" s="190"/>
      <c r="Z718" s="190"/>
      <c r="AA718" s="191"/>
      <c r="AB718" s="190"/>
      <c r="AC718" s="190"/>
      <c r="AD718" s="190"/>
      <c r="AE718" s="190"/>
      <c r="AF718" s="190"/>
      <c r="AG718" s="190"/>
      <c r="AH718" s="191"/>
      <c r="AI718" s="190"/>
      <c r="AJ718" s="190"/>
      <c r="AK718" s="190"/>
      <c r="AL718" s="190"/>
      <c r="AM718" s="190"/>
      <c r="AN718" s="191"/>
      <c r="AO718" s="190"/>
      <c r="AP718" s="190"/>
      <c r="AQ718" s="190"/>
      <c r="AR718" s="190"/>
      <c r="AS718" s="190"/>
      <c r="AT718" s="191"/>
      <c r="AU718" s="190"/>
      <c r="AV718" s="190"/>
      <c r="AW718" s="190"/>
      <c r="AX718" s="190"/>
      <c r="AY718" s="190"/>
      <c r="AZ718" s="191"/>
      <c r="BA718" s="183"/>
      <c r="BB718" s="183"/>
      <c r="BC718" s="183"/>
      <c r="BD718" s="183"/>
      <c r="BE718" s="183"/>
      <c r="BF718" s="184"/>
      <c r="BG718" s="183"/>
      <c r="BH718" s="183"/>
      <c r="BI718" s="183"/>
      <c r="BJ718" s="183"/>
      <c r="BK718" s="183"/>
      <c r="BL718" s="184"/>
      <c r="BM718" s="409"/>
      <c r="BN718" s="409"/>
    </row>
    <row r="719" spans="1:66" s="153" customFormat="1" x14ac:dyDescent="0.2">
      <c r="A719" s="61"/>
      <c r="B719" s="61"/>
      <c r="C719" s="61"/>
      <c r="D719" s="61"/>
      <c r="E719" s="61"/>
      <c r="F719" s="61"/>
      <c r="G719" s="61"/>
      <c r="H719" s="61"/>
      <c r="I719" s="61"/>
      <c r="J719" s="61"/>
      <c r="K719" s="61"/>
      <c r="L719" s="61"/>
      <c r="M719" s="61"/>
      <c r="N719" s="61"/>
      <c r="O719" s="61"/>
      <c r="P719" s="61"/>
      <c r="Q719" s="61"/>
      <c r="R719" s="61"/>
      <c r="S719" s="61"/>
      <c r="T719" s="35"/>
      <c r="U719" s="187"/>
      <c r="V719" s="190"/>
      <c r="W719" s="190"/>
      <c r="X719" s="190"/>
      <c r="Y719" s="190"/>
      <c r="Z719" s="190"/>
      <c r="AA719" s="191"/>
      <c r="AB719" s="190"/>
      <c r="AC719" s="190"/>
      <c r="AD719" s="190"/>
      <c r="AE719" s="190"/>
      <c r="AF719" s="190"/>
      <c r="AG719" s="190"/>
      <c r="AH719" s="191"/>
      <c r="AI719" s="190"/>
      <c r="AJ719" s="190"/>
      <c r="AK719" s="190"/>
      <c r="AL719" s="190"/>
      <c r="AM719" s="190"/>
      <c r="AN719" s="191"/>
      <c r="AO719" s="190"/>
      <c r="AP719" s="190"/>
      <c r="AQ719" s="190"/>
      <c r="AR719" s="190"/>
      <c r="AS719" s="190"/>
      <c r="AT719" s="191"/>
      <c r="AU719" s="190"/>
      <c r="AV719" s="190"/>
      <c r="AW719" s="190"/>
      <c r="AX719" s="190"/>
      <c r="AY719" s="190"/>
      <c r="AZ719" s="191"/>
      <c r="BA719" s="183"/>
      <c r="BB719" s="183"/>
      <c r="BC719" s="183"/>
      <c r="BD719" s="183"/>
      <c r="BE719" s="183"/>
      <c r="BF719" s="184"/>
      <c r="BG719" s="183"/>
      <c r="BH719" s="183"/>
      <c r="BI719" s="183"/>
      <c r="BJ719" s="183"/>
      <c r="BK719" s="183"/>
      <c r="BL719" s="184"/>
      <c r="BM719" s="409"/>
      <c r="BN719" s="409"/>
    </row>
    <row r="720" spans="1:66" s="153" customFormat="1" x14ac:dyDescent="0.2">
      <c r="A720" s="61"/>
      <c r="B720" s="61"/>
      <c r="C720" s="61"/>
      <c r="D720" s="61"/>
      <c r="E720" s="61"/>
      <c r="F720" s="61"/>
      <c r="G720" s="61"/>
      <c r="H720" s="61"/>
      <c r="I720" s="61"/>
      <c r="J720" s="61"/>
      <c r="K720" s="61"/>
      <c r="L720" s="61"/>
      <c r="M720" s="61"/>
      <c r="N720" s="61"/>
      <c r="O720" s="61"/>
      <c r="P720" s="61"/>
      <c r="Q720" s="61"/>
      <c r="R720" s="61"/>
      <c r="S720" s="61"/>
      <c r="T720" s="35"/>
      <c r="U720" s="187"/>
      <c r="V720" s="190"/>
      <c r="W720" s="190"/>
      <c r="X720" s="190"/>
      <c r="Y720" s="190"/>
      <c r="Z720" s="190"/>
      <c r="AA720" s="191"/>
      <c r="AB720" s="190"/>
      <c r="AC720" s="190"/>
      <c r="AD720" s="190"/>
      <c r="AE720" s="190"/>
      <c r="AF720" s="190"/>
      <c r="AG720" s="190"/>
      <c r="AH720" s="191"/>
      <c r="AI720" s="190"/>
      <c r="AJ720" s="190"/>
      <c r="AK720" s="190"/>
      <c r="AL720" s="190"/>
      <c r="AM720" s="190"/>
      <c r="AN720" s="191"/>
      <c r="AO720" s="190"/>
      <c r="AP720" s="190"/>
      <c r="AQ720" s="190"/>
      <c r="AR720" s="190"/>
      <c r="AS720" s="190"/>
      <c r="AT720" s="191"/>
      <c r="AU720" s="190"/>
      <c r="AV720" s="190"/>
      <c r="AW720" s="190"/>
      <c r="AX720" s="190"/>
      <c r="AY720" s="190"/>
      <c r="AZ720" s="191"/>
      <c r="BA720" s="183"/>
      <c r="BB720" s="183"/>
      <c r="BC720" s="183"/>
      <c r="BD720" s="183"/>
      <c r="BE720" s="183"/>
      <c r="BF720" s="184"/>
      <c r="BG720" s="183"/>
      <c r="BH720" s="183"/>
      <c r="BI720" s="183"/>
      <c r="BJ720" s="183"/>
      <c r="BK720" s="183"/>
      <c r="BL720" s="184"/>
      <c r="BM720" s="409"/>
      <c r="BN720" s="409"/>
    </row>
    <row r="721" spans="1:66" s="153" customFormat="1" x14ac:dyDescent="0.2">
      <c r="A721" s="61"/>
      <c r="B721" s="61"/>
      <c r="C721" s="61"/>
      <c r="D721" s="61"/>
      <c r="E721" s="61"/>
      <c r="F721" s="61"/>
      <c r="G721" s="61"/>
      <c r="H721" s="61"/>
      <c r="I721" s="61"/>
      <c r="J721" s="61"/>
      <c r="K721" s="61"/>
      <c r="L721" s="61"/>
      <c r="M721" s="61"/>
      <c r="N721" s="61"/>
      <c r="O721" s="61"/>
      <c r="P721" s="61"/>
      <c r="Q721" s="61"/>
      <c r="R721" s="61"/>
      <c r="S721" s="61"/>
      <c r="T721" s="35"/>
      <c r="U721" s="187"/>
      <c r="V721" s="190"/>
      <c r="W721" s="190"/>
      <c r="X721" s="190"/>
      <c r="Y721" s="190"/>
      <c r="Z721" s="190"/>
      <c r="AA721" s="191"/>
      <c r="AB721" s="190"/>
      <c r="AC721" s="190"/>
      <c r="AD721" s="190"/>
      <c r="AE721" s="190"/>
      <c r="AF721" s="190"/>
      <c r="AG721" s="190"/>
      <c r="AH721" s="191"/>
      <c r="AI721" s="190"/>
      <c r="AJ721" s="190"/>
      <c r="AK721" s="190"/>
      <c r="AL721" s="190"/>
      <c r="AM721" s="190"/>
      <c r="AN721" s="191"/>
      <c r="AO721" s="190"/>
      <c r="AP721" s="190"/>
      <c r="AQ721" s="190"/>
      <c r="AR721" s="190"/>
      <c r="AS721" s="190"/>
      <c r="AT721" s="191"/>
      <c r="AU721" s="190"/>
      <c r="AV721" s="190"/>
      <c r="AW721" s="190"/>
      <c r="AX721" s="190"/>
      <c r="AY721" s="190"/>
      <c r="AZ721" s="191"/>
      <c r="BA721" s="183"/>
      <c r="BB721" s="183"/>
      <c r="BC721" s="183"/>
      <c r="BD721" s="183"/>
      <c r="BE721" s="183"/>
      <c r="BF721" s="184"/>
      <c r="BG721" s="183"/>
      <c r="BH721" s="183"/>
      <c r="BI721" s="183"/>
      <c r="BJ721" s="183"/>
      <c r="BK721" s="183"/>
      <c r="BL721" s="184"/>
      <c r="BM721" s="409"/>
      <c r="BN721" s="409"/>
    </row>
    <row r="722" spans="1:66" s="153" customFormat="1" x14ac:dyDescent="0.2">
      <c r="A722" s="61"/>
      <c r="B722" s="61"/>
      <c r="C722" s="61"/>
      <c r="D722" s="61"/>
      <c r="E722" s="61"/>
      <c r="F722" s="61"/>
      <c r="G722" s="61"/>
      <c r="H722" s="61"/>
      <c r="I722" s="61"/>
      <c r="J722" s="61"/>
      <c r="K722" s="61"/>
      <c r="L722" s="61"/>
      <c r="M722" s="61"/>
      <c r="N722" s="61"/>
      <c r="O722" s="61"/>
      <c r="P722" s="61"/>
      <c r="Q722" s="61"/>
      <c r="R722" s="61"/>
      <c r="S722" s="61"/>
      <c r="T722" s="35"/>
      <c r="U722" s="187"/>
      <c r="V722" s="190"/>
      <c r="W722" s="190"/>
      <c r="X722" s="190"/>
      <c r="Y722" s="190"/>
      <c r="Z722" s="190"/>
      <c r="AA722" s="191"/>
      <c r="AB722" s="190"/>
      <c r="AC722" s="190"/>
      <c r="AD722" s="190"/>
      <c r="AE722" s="190"/>
      <c r="AF722" s="190"/>
      <c r="AG722" s="190"/>
      <c r="AH722" s="191"/>
      <c r="AI722" s="190"/>
      <c r="AJ722" s="190"/>
      <c r="AK722" s="190"/>
      <c r="AL722" s="190"/>
      <c r="AM722" s="190"/>
      <c r="AN722" s="191"/>
      <c r="AO722" s="190"/>
      <c r="AP722" s="190"/>
      <c r="AQ722" s="190"/>
      <c r="AR722" s="190"/>
      <c r="AS722" s="190"/>
      <c r="AT722" s="191"/>
      <c r="AU722" s="190"/>
      <c r="AV722" s="190"/>
      <c r="AW722" s="190"/>
      <c r="AX722" s="190"/>
      <c r="AY722" s="190"/>
      <c r="AZ722" s="191"/>
      <c r="BA722" s="183"/>
      <c r="BB722" s="183"/>
      <c r="BC722" s="183"/>
      <c r="BD722" s="183"/>
      <c r="BE722" s="183"/>
      <c r="BF722" s="184"/>
      <c r="BG722" s="183"/>
      <c r="BH722" s="183"/>
      <c r="BI722" s="183"/>
      <c r="BJ722" s="183"/>
      <c r="BK722" s="183"/>
      <c r="BL722" s="184"/>
      <c r="BM722" s="409"/>
      <c r="BN722" s="409"/>
    </row>
    <row r="723" spans="1:66" s="153" customFormat="1" x14ac:dyDescent="0.2">
      <c r="A723" s="61"/>
      <c r="B723" s="61"/>
      <c r="C723" s="61"/>
      <c r="D723" s="61"/>
      <c r="E723" s="61"/>
      <c r="F723" s="61"/>
      <c r="G723" s="61"/>
      <c r="H723" s="61"/>
      <c r="I723" s="61"/>
      <c r="J723" s="61"/>
      <c r="K723" s="61"/>
      <c r="L723" s="61"/>
      <c r="M723" s="61"/>
      <c r="N723" s="61"/>
      <c r="O723" s="61"/>
      <c r="P723" s="61"/>
      <c r="Q723" s="61"/>
      <c r="R723" s="61"/>
      <c r="S723" s="61"/>
      <c r="T723" s="35"/>
      <c r="U723" s="187"/>
      <c r="V723" s="190"/>
      <c r="W723" s="190"/>
      <c r="X723" s="190"/>
      <c r="Y723" s="190"/>
      <c r="Z723" s="190"/>
      <c r="AA723" s="191"/>
      <c r="AB723" s="190"/>
      <c r="AC723" s="190"/>
      <c r="AD723" s="190"/>
      <c r="AE723" s="190"/>
      <c r="AF723" s="190"/>
      <c r="AG723" s="190"/>
      <c r="AH723" s="191"/>
      <c r="AI723" s="190"/>
      <c r="AJ723" s="190"/>
      <c r="AK723" s="190"/>
      <c r="AL723" s="190"/>
      <c r="AM723" s="190"/>
      <c r="AN723" s="191"/>
      <c r="AO723" s="190"/>
      <c r="AP723" s="190"/>
      <c r="AQ723" s="190"/>
      <c r="AR723" s="190"/>
      <c r="AS723" s="190"/>
      <c r="AT723" s="191"/>
      <c r="AU723" s="190"/>
      <c r="AV723" s="190"/>
      <c r="AW723" s="190"/>
      <c r="AX723" s="190"/>
      <c r="AY723" s="190"/>
      <c r="AZ723" s="191"/>
      <c r="BA723" s="183"/>
      <c r="BB723" s="183"/>
      <c r="BC723" s="183"/>
      <c r="BD723" s="183"/>
      <c r="BE723" s="183"/>
      <c r="BF723" s="184"/>
      <c r="BG723" s="183"/>
      <c r="BH723" s="183"/>
      <c r="BI723" s="183"/>
      <c r="BJ723" s="183"/>
      <c r="BK723" s="183"/>
      <c r="BL723" s="184"/>
      <c r="BM723" s="409"/>
      <c r="BN723" s="409"/>
    </row>
    <row r="724" spans="1:66" s="153" customFormat="1" x14ac:dyDescent="0.2">
      <c r="A724" s="61"/>
      <c r="B724" s="61"/>
      <c r="C724" s="61"/>
      <c r="D724" s="61"/>
      <c r="E724" s="61"/>
      <c r="F724" s="61"/>
      <c r="G724" s="61"/>
      <c r="H724" s="61"/>
      <c r="I724" s="61"/>
      <c r="J724" s="61"/>
      <c r="K724" s="61"/>
      <c r="L724" s="61"/>
      <c r="M724" s="61"/>
      <c r="N724" s="61"/>
      <c r="O724" s="61"/>
      <c r="P724" s="61"/>
      <c r="Q724" s="61"/>
      <c r="R724" s="61"/>
      <c r="S724" s="61"/>
      <c r="T724" s="35"/>
      <c r="U724" s="187"/>
      <c r="V724" s="190"/>
      <c r="W724" s="190"/>
      <c r="X724" s="190"/>
      <c r="Y724" s="190"/>
      <c r="Z724" s="190"/>
      <c r="AA724" s="191"/>
      <c r="AB724" s="190"/>
      <c r="AC724" s="190"/>
      <c r="AD724" s="190"/>
      <c r="AE724" s="190"/>
      <c r="AF724" s="190"/>
      <c r="AG724" s="190"/>
      <c r="AH724" s="191"/>
      <c r="AI724" s="190"/>
      <c r="AJ724" s="190"/>
      <c r="AK724" s="190"/>
      <c r="AL724" s="190"/>
      <c r="AM724" s="190"/>
      <c r="AN724" s="191"/>
      <c r="AO724" s="190"/>
      <c r="AP724" s="190"/>
      <c r="AQ724" s="190"/>
      <c r="AR724" s="190"/>
      <c r="AS724" s="190"/>
      <c r="AT724" s="191"/>
      <c r="AU724" s="190"/>
      <c r="AV724" s="190"/>
      <c r="AW724" s="190"/>
      <c r="AX724" s="190"/>
      <c r="AY724" s="190"/>
      <c r="AZ724" s="191"/>
      <c r="BA724" s="183"/>
      <c r="BB724" s="183"/>
      <c r="BC724" s="183"/>
      <c r="BD724" s="183"/>
      <c r="BE724" s="183"/>
      <c r="BF724" s="184"/>
      <c r="BG724" s="183"/>
      <c r="BH724" s="183"/>
      <c r="BI724" s="183"/>
      <c r="BJ724" s="183"/>
      <c r="BK724" s="183"/>
      <c r="BL724" s="184"/>
      <c r="BM724" s="409"/>
      <c r="BN724" s="409"/>
    </row>
    <row r="725" spans="1:66" s="153" customFormat="1" x14ac:dyDescent="0.2">
      <c r="A725" s="61"/>
      <c r="B725" s="61"/>
      <c r="C725" s="61"/>
      <c r="D725" s="61"/>
      <c r="E725" s="61"/>
      <c r="F725" s="61"/>
      <c r="G725" s="61"/>
      <c r="H725" s="61"/>
      <c r="I725" s="61"/>
      <c r="J725" s="61"/>
      <c r="K725" s="61"/>
      <c r="L725" s="61"/>
      <c r="M725" s="61"/>
      <c r="N725" s="61"/>
      <c r="O725" s="61"/>
      <c r="P725" s="61"/>
      <c r="Q725" s="61"/>
      <c r="R725" s="61"/>
      <c r="S725" s="61"/>
      <c r="T725" s="35"/>
      <c r="U725" s="187"/>
      <c r="V725" s="190"/>
      <c r="W725" s="190"/>
      <c r="X725" s="190"/>
      <c r="Y725" s="190"/>
      <c r="Z725" s="190"/>
      <c r="AA725" s="191"/>
      <c r="AB725" s="190"/>
      <c r="AC725" s="190"/>
      <c r="AD725" s="190"/>
      <c r="AE725" s="190"/>
      <c r="AF725" s="190"/>
      <c r="AG725" s="190"/>
      <c r="AH725" s="191"/>
      <c r="AI725" s="190"/>
      <c r="AJ725" s="190"/>
      <c r="AK725" s="190"/>
      <c r="AL725" s="190"/>
      <c r="AM725" s="190"/>
      <c r="AN725" s="191"/>
      <c r="AO725" s="190"/>
      <c r="AP725" s="190"/>
      <c r="AQ725" s="190"/>
      <c r="AR725" s="190"/>
      <c r="AS725" s="190"/>
      <c r="AT725" s="191"/>
      <c r="AU725" s="190"/>
      <c r="AV725" s="190"/>
      <c r="AW725" s="190"/>
      <c r="AX725" s="190"/>
      <c r="AY725" s="190"/>
      <c r="AZ725" s="191"/>
      <c r="BA725" s="183"/>
      <c r="BB725" s="183"/>
      <c r="BC725" s="183"/>
      <c r="BD725" s="183"/>
      <c r="BE725" s="183"/>
      <c r="BF725" s="184"/>
      <c r="BG725" s="183"/>
      <c r="BH725" s="183"/>
      <c r="BI725" s="183"/>
      <c r="BJ725" s="183"/>
      <c r="BK725" s="183"/>
      <c r="BL725" s="184"/>
      <c r="BM725" s="409"/>
      <c r="BN725" s="409"/>
    </row>
    <row r="726" spans="1:66" s="153" customFormat="1" x14ac:dyDescent="0.2">
      <c r="A726" s="61"/>
      <c r="B726" s="61"/>
      <c r="C726" s="61"/>
      <c r="D726" s="61"/>
      <c r="E726" s="61"/>
      <c r="F726" s="61"/>
      <c r="G726" s="61"/>
      <c r="H726" s="61"/>
      <c r="I726" s="61"/>
      <c r="J726" s="61"/>
      <c r="K726" s="61"/>
      <c r="L726" s="61"/>
      <c r="M726" s="61"/>
      <c r="N726" s="61"/>
      <c r="O726" s="61"/>
      <c r="P726" s="61"/>
      <c r="Q726" s="61"/>
      <c r="R726" s="61"/>
      <c r="S726" s="61"/>
      <c r="T726" s="35"/>
      <c r="U726" s="187"/>
      <c r="V726" s="190"/>
      <c r="W726" s="190"/>
      <c r="X726" s="190"/>
      <c r="Y726" s="190"/>
      <c r="Z726" s="190"/>
      <c r="AA726" s="191"/>
      <c r="AB726" s="190"/>
      <c r="AC726" s="190"/>
      <c r="AD726" s="190"/>
      <c r="AE726" s="190"/>
      <c r="AF726" s="190"/>
      <c r="AG726" s="190"/>
      <c r="AH726" s="191"/>
      <c r="AI726" s="190"/>
      <c r="AJ726" s="190"/>
      <c r="AK726" s="190"/>
      <c r="AL726" s="190"/>
      <c r="AM726" s="190"/>
      <c r="AN726" s="191"/>
      <c r="AO726" s="190"/>
      <c r="AP726" s="190"/>
      <c r="AQ726" s="190"/>
      <c r="AR726" s="190"/>
      <c r="AS726" s="190"/>
      <c r="AT726" s="191"/>
      <c r="AU726" s="190"/>
      <c r="AV726" s="190"/>
      <c r="AW726" s="190"/>
      <c r="AX726" s="190"/>
      <c r="AY726" s="190"/>
      <c r="AZ726" s="191"/>
      <c r="BA726" s="183"/>
      <c r="BB726" s="183"/>
      <c r="BC726" s="183"/>
      <c r="BD726" s="183"/>
      <c r="BE726" s="183"/>
      <c r="BF726" s="184"/>
      <c r="BG726" s="183"/>
      <c r="BH726" s="183"/>
      <c r="BI726" s="183"/>
      <c r="BJ726" s="183"/>
      <c r="BK726" s="183"/>
      <c r="BL726" s="184"/>
      <c r="BM726" s="409"/>
      <c r="BN726" s="409"/>
    </row>
    <row r="727" spans="1:66" s="153" customFormat="1" x14ac:dyDescent="0.2">
      <c r="A727" s="61"/>
      <c r="B727" s="61"/>
      <c r="C727" s="61"/>
      <c r="D727" s="61"/>
      <c r="E727" s="61"/>
      <c r="F727" s="61"/>
      <c r="G727" s="61"/>
      <c r="H727" s="61"/>
      <c r="I727" s="61"/>
      <c r="J727" s="61"/>
      <c r="K727" s="61"/>
      <c r="L727" s="61"/>
      <c r="M727" s="61"/>
      <c r="N727" s="61"/>
      <c r="O727" s="61"/>
      <c r="P727" s="61"/>
      <c r="Q727" s="61"/>
      <c r="R727" s="61"/>
      <c r="S727" s="61"/>
      <c r="T727" s="35"/>
      <c r="U727" s="187"/>
      <c r="V727" s="190"/>
      <c r="W727" s="190"/>
      <c r="X727" s="190"/>
      <c r="Y727" s="190"/>
      <c r="Z727" s="190"/>
      <c r="AA727" s="191"/>
      <c r="AB727" s="190"/>
      <c r="AC727" s="190"/>
      <c r="AD727" s="190"/>
      <c r="AE727" s="190"/>
      <c r="AF727" s="190"/>
      <c r="AG727" s="190"/>
      <c r="AH727" s="191"/>
      <c r="AI727" s="190"/>
      <c r="AJ727" s="190"/>
      <c r="AK727" s="190"/>
      <c r="AL727" s="190"/>
      <c r="AM727" s="190"/>
      <c r="AN727" s="191"/>
      <c r="AO727" s="190"/>
      <c r="AP727" s="190"/>
      <c r="AQ727" s="190"/>
      <c r="AR727" s="190"/>
      <c r="AS727" s="190"/>
      <c r="AT727" s="191"/>
      <c r="AU727" s="190"/>
      <c r="AV727" s="190"/>
      <c r="AW727" s="190"/>
      <c r="AX727" s="190"/>
      <c r="AY727" s="190"/>
      <c r="AZ727" s="191"/>
      <c r="BA727" s="183"/>
      <c r="BB727" s="183"/>
      <c r="BC727" s="183"/>
      <c r="BD727" s="183"/>
      <c r="BE727" s="183"/>
      <c r="BF727" s="184"/>
      <c r="BG727" s="183"/>
      <c r="BH727" s="183"/>
      <c r="BI727" s="183"/>
      <c r="BJ727" s="183"/>
      <c r="BK727" s="183"/>
      <c r="BL727" s="184"/>
      <c r="BM727" s="409"/>
      <c r="BN727" s="409"/>
    </row>
    <row r="728" spans="1:66" s="153" customFormat="1" x14ac:dyDescent="0.2">
      <c r="A728" s="61"/>
      <c r="B728" s="61"/>
      <c r="C728" s="61"/>
      <c r="D728" s="61"/>
      <c r="E728" s="61"/>
      <c r="F728" s="61"/>
      <c r="G728" s="61"/>
      <c r="H728" s="61"/>
      <c r="I728" s="61"/>
      <c r="J728" s="61"/>
      <c r="K728" s="61"/>
      <c r="L728" s="61"/>
      <c r="M728" s="61"/>
      <c r="N728" s="61"/>
      <c r="O728" s="61"/>
      <c r="P728" s="61"/>
      <c r="Q728" s="61"/>
      <c r="R728" s="61"/>
      <c r="S728" s="61"/>
      <c r="T728" s="35"/>
      <c r="U728" s="187"/>
      <c r="V728" s="190"/>
      <c r="W728" s="190"/>
      <c r="X728" s="190"/>
      <c r="Y728" s="190"/>
      <c r="Z728" s="190"/>
      <c r="AA728" s="191"/>
      <c r="AB728" s="190"/>
      <c r="AC728" s="190"/>
      <c r="AD728" s="190"/>
      <c r="AE728" s="190"/>
      <c r="AF728" s="190"/>
      <c r="AG728" s="190"/>
      <c r="AH728" s="191"/>
      <c r="AI728" s="190"/>
      <c r="AJ728" s="190"/>
      <c r="AK728" s="190"/>
      <c r="AL728" s="190"/>
      <c r="AM728" s="190"/>
      <c r="AN728" s="191"/>
      <c r="AO728" s="190"/>
      <c r="AP728" s="190"/>
      <c r="AQ728" s="190"/>
      <c r="AR728" s="190"/>
      <c r="AS728" s="190"/>
      <c r="AT728" s="191"/>
      <c r="AU728" s="190"/>
      <c r="AV728" s="190"/>
      <c r="AW728" s="190"/>
      <c r="AX728" s="190"/>
      <c r="AY728" s="190"/>
      <c r="AZ728" s="191"/>
      <c r="BA728" s="183"/>
      <c r="BB728" s="183"/>
      <c r="BC728" s="183"/>
      <c r="BD728" s="183"/>
      <c r="BE728" s="183"/>
      <c r="BF728" s="184"/>
      <c r="BG728" s="183"/>
      <c r="BH728" s="183"/>
      <c r="BI728" s="183"/>
      <c r="BJ728" s="183"/>
      <c r="BK728" s="183"/>
      <c r="BL728" s="184"/>
      <c r="BM728" s="409"/>
      <c r="BN728" s="409"/>
    </row>
    <row r="729" spans="1:66" s="153" customFormat="1" x14ac:dyDescent="0.2">
      <c r="A729" s="61"/>
      <c r="B729" s="61"/>
      <c r="C729" s="61"/>
      <c r="D729" s="61"/>
      <c r="E729" s="61"/>
      <c r="F729" s="61"/>
      <c r="G729" s="61"/>
      <c r="H729" s="61"/>
      <c r="I729" s="61"/>
      <c r="J729" s="61"/>
      <c r="K729" s="61"/>
      <c r="L729" s="61"/>
      <c r="M729" s="61"/>
      <c r="N729" s="61"/>
      <c r="O729" s="61"/>
      <c r="P729" s="61"/>
      <c r="Q729" s="61"/>
      <c r="R729" s="61"/>
      <c r="S729" s="61"/>
      <c r="T729" s="35"/>
      <c r="U729" s="187"/>
      <c r="V729" s="190"/>
      <c r="W729" s="190"/>
      <c r="X729" s="190"/>
      <c r="Y729" s="190"/>
      <c r="Z729" s="190"/>
      <c r="AA729" s="191"/>
      <c r="AB729" s="190"/>
      <c r="AC729" s="190"/>
      <c r="AD729" s="190"/>
      <c r="AE729" s="190"/>
      <c r="AF729" s="190"/>
      <c r="AG729" s="190"/>
      <c r="AH729" s="191"/>
      <c r="AI729" s="190"/>
      <c r="AJ729" s="190"/>
      <c r="AK729" s="190"/>
      <c r="AL729" s="190"/>
      <c r="AM729" s="190"/>
      <c r="AN729" s="191"/>
      <c r="AO729" s="190"/>
      <c r="AP729" s="190"/>
      <c r="AQ729" s="190"/>
      <c r="AR729" s="190"/>
      <c r="AS729" s="190"/>
      <c r="AT729" s="191"/>
      <c r="AU729" s="190"/>
      <c r="AV729" s="190"/>
      <c r="AW729" s="190"/>
      <c r="AX729" s="190"/>
      <c r="AY729" s="190"/>
      <c r="AZ729" s="191"/>
      <c r="BA729" s="183"/>
      <c r="BB729" s="183"/>
      <c r="BC729" s="183"/>
      <c r="BD729" s="183"/>
      <c r="BE729" s="183"/>
      <c r="BF729" s="184"/>
      <c r="BG729" s="183"/>
      <c r="BH729" s="183"/>
      <c r="BI729" s="183"/>
      <c r="BJ729" s="183"/>
      <c r="BK729" s="183"/>
      <c r="BL729" s="184"/>
      <c r="BM729" s="409"/>
      <c r="BN729" s="409"/>
    </row>
    <row r="730" spans="1:66" s="153" customFormat="1" x14ac:dyDescent="0.2">
      <c r="A730" s="61"/>
      <c r="B730" s="61"/>
      <c r="C730" s="61"/>
      <c r="D730" s="61"/>
      <c r="E730" s="61"/>
      <c r="F730" s="61"/>
      <c r="G730" s="61"/>
      <c r="H730" s="61"/>
      <c r="I730" s="61"/>
      <c r="J730" s="61"/>
      <c r="K730" s="61"/>
      <c r="L730" s="61"/>
      <c r="M730" s="61"/>
      <c r="N730" s="61"/>
      <c r="O730" s="61"/>
      <c r="P730" s="61"/>
      <c r="Q730" s="61"/>
      <c r="R730" s="61"/>
      <c r="S730" s="61"/>
      <c r="T730" s="35"/>
      <c r="U730" s="187"/>
      <c r="V730" s="190"/>
      <c r="W730" s="190"/>
      <c r="X730" s="190"/>
      <c r="Y730" s="190"/>
      <c r="Z730" s="190"/>
      <c r="AA730" s="191"/>
      <c r="AB730" s="190"/>
      <c r="AC730" s="190"/>
      <c r="AD730" s="190"/>
      <c r="AE730" s="190"/>
      <c r="AF730" s="190"/>
      <c r="AG730" s="190"/>
      <c r="AH730" s="191"/>
      <c r="AI730" s="190"/>
      <c r="AJ730" s="190"/>
      <c r="AK730" s="190"/>
      <c r="AL730" s="190"/>
      <c r="AM730" s="190"/>
      <c r="AN730" s="191"/>
      <c r="AO730" s="190"/>
      <c r="AP730" s="190"/>
      <c r="AQ730" s="190"/>
      <c r="AR730" s="190"/>
      <c r="AS730" s="190"/>
      <c r="AT730" s="191"/>
      <c r="AU730" s="190"/>
      <c r="AV730" s="190"/>
      <c r="AW730" s="190"/>
      <c r="AX730" s="190"/>
      <c r="AY730" s="190"/>
      <c r="AZ730" s="191"/>
      <c r="BA730" s="183"/>
      <c r="BB730" s="183"/>
      <c r="BC730" s="183"/>
      <c r="BD730" s="183"/>
      <c r="BE730" s="183"/>
      <c r="BF730" s="184"/>
      <c r="BG730" s="183"/>
      <c r="BH730" s="183"/>
      <c r="BI730" s="183"/>
      <c r="BJ730" s="183"/>
      <c r="BK730" s="183"/>
      <c r="BL730" s="184"/>
      <c r="BM730" s="409"/>
      <c r="BN730" s="409"/>
    </row>
    <row r="731" spans="1:66" s="153" customFormat="1" x14ac:dyDescent="0.2">
      <c r="A731" s="61"/>
      <c r="B731" s="61"/>
      <c r="C731" s="61"/>
      <c r="D731" s="61"/>
      <c r="E731" s="61"/>
      <c r="F731" s="61"/>
      <c r="G731" s="61"/>
      <c r="H731" s="61"/>
      <c r="I731" s="61"/>
      <c r="J731" s="61"/>
      <c r="K731" s="61"/>
      <c r="L731" s="61"/>
      <c r="M731" s="61"/>
      <c r="N731" s="61"/>
      <c r="O731" s="61"/>
      <c r="P731" s="61"/>
      <c r="Q731" s="61"/>
      <c r="R731" s="61"/>
      <c r="S731" s="61"/>
      <c r="T731" s="35"/>
      <c r="U731" s="187"/>
      <c r="V731" s="190"/>
      <c r="W731" s="190"/>
      <c r="X731" s="190"/>
      <c r="Y731" s="190"/>
      <c r="Z731" s="190"/>
      <c r="AA731" s="191"/>
      <c r="AB731" s="190"/>
      <c r="AC731" s="190"/>
      <c r="AD731" s="190"/>
      <c r="AE731" s="190"/>
      <c r="AF731" s="190"/>
      <c r="AG731" s="190"/>
      <c r="AH731" s="191"/>
      <c r="AI731" s="190"/>
      <c r="AJ731" s="190"/>
      <c r="AK731" s="190"/>
      <c r="AL731" s="190"/>
      <c r="AM731" s="190"/>
      <c r="AN731" s="191"/>
      <c r="AO731" s="190"/>
      <c r="AP731" s="190"/>
      <c r="AQ731" s="190"/>
      <c r="AR731" s="190"/>
      <c r="AS731" s="190"/>
      <c r="AT731" s="191"/>
      <c r="AU731" s="190"/>
      <c r="AV731" s="190"/>
      <c r="AW731" s="190"/>
      <c r="AX731" s="190"/>
      <c r="AY731" s="190"/>
      <c r="AZ731" s="191"/>
      <c r="BA731" s="183"/>
      <c r="BB731" s="183"/>
      <c r="BC731" s="183"/>
      <c r="BD731" s="183"/>
      <c r="BE731" s="183"/>
      <c r="BF731" s="184"/>
      <c r="BG731" s="183"/>
      <c r="BH731" s="183"/>
      <c r="BI731" s="183"/>
      <c r="BJ731" s="183"/>
      <c r="BK731" s="183"/>
      <c r="BL731" s="184"/>
      <c r="BM731" s="409"/>
      <c r="BN731" s="409"/>
    </row>
    <row r="732" spans="1:66" s="153" customFormat="1" x14ac:dyDescent="0.2">
      <c r="A732" s="61"/>
      <c r="B732" s="61"/>
      <c r="C732" s="61"/>
      <c r="D732" s="61"/>
      <c r="E732" s="61"/>
      <c r="F732" s="61"/>
      <c r="G732" s="61"/>
      <c r="H732" s="61"/>
      <c r="I732" s="61"/>
      <c r="J732" s="61"/>
      <c r="K732" s="61"/>
      <c r="L732" s="61"/>
      <c r="M732" s="61"/>
      <c r="N732" s="61"/>
      <c r="O732" s="61"/>
      <c r="P732" s="61"/>
      <c r="Q732" s="61"/>
      <c r="R732" s="61"/>
      <c r="S732" s="61"/>
      <c r="T732" s="35"/>
      <c r="U732" s="187"/>
      <c r="V732" s="190"/>
      <c r="W732" s="190"/>
      <c r="X732" s="190"/>
      <c r="Y732" s="190"/>
      <c r="Z732" s="190"/>
      <c r="AA732" s="191"/>
      <c r="AB732" s="190"/>
      <c r="AC732" s="190"/>
      <c r="AD732" s="190"/>
      <c r="AE732" s="190"/>
      <c r="AF732" s="190"/>
      <c r="AG732" s="190"/>
      <c r="AH732" s="191"/>
      <c r="AI732" s="190"/>
      <c r="AJ732" s="190"/>
      <c r="AK732" s="190"/>
      <c r="AL732" s="190"/>
      <c r="AM732" s="190"/>
      <c r="AN732" s="191"/>
      <c r="AO732" s="190"/>
      <c r="AP732" s="190"/>
      <c r="AQ732" s="190"/>
      <c r="AR732" s="190"/>
      <c r="AS732" s="190"/>
      <c r="AT732" s="191"/>
      <c r="AU732" s="190"/>
      <c r="AV732" s="190"/>
      <c r="AW732" s="190"/>
      <c r="AX732" s="190"/>
      <c r="AY732" s="190"/>
      <c r="AZ732" s="191"/>
      <c r="BA732" s="183"/>
      <c r="BB732" s="183"/>
      <c r="BC732" s="183"/>
      <c r="BD732" s="183"/>
      <c r="BE732" s="183"/>
      <c r="BF732" s="184"/>
      <c r="BG732" s="183"/>
      <c r="BH732" s="183"/>
      <c r="BI732" s="183"/>
      <c r="BJ732" s="183"/>
      <c r="BK732" s="183"/>
      <c r="BL732" s="184"/>
      <c r="BM732" s="409"/>
      <c r="BN732" s="409"/>
    </row>
    <row r="733" spans="1:66" s="153" customFormat="1" x14ac:dyDescent="0.2">
      <c r="A733" s="61"/>
      <c r="B733" s="61"/>
      <c r="C733" s="61"/>
      <c r="D733" s="61"/>
      <c r="E733" s="61"/>
      <c r="F733" s="61"/>
      <c r="G733" s="61"/>
      <c r="H733" s="61"/>
      <c r="I733" s="61"/>
      <c r="J733" s="61"/>
      <c r="K733" s="61"/>
      <c r="L733" s="61"/>
      <c r="M733" s="61"/>
      <c r="N733" s="61"/>
      <c r="O733" s="61"/>
      <c r="P733" s="61"/>
      <c r="Q733" s="61"/>
      <c r="R733" s="61"/>
      <c r="S733" s="61"/>
      <c r="T733" s="35"/>
      <c r="U733" s="187"/>
      <c r="V733" s="190"/>
      <c r="W733" s="190"/>
      <c r="X733" s="190"/>
      <c r="Y733" s="190"/>
      <c r="Z733" s="190"/>
      <c r="AA733" s="191"/>
      <c r="AB733" s="190"/>
      <c r="AC733" s="190"/>
      <c r="AD733" s="190"/>
      <c r="AE733" s="190"/>
      <c r="AF733" s="190"/>
      <c r="AG733" s="190"/>
      <c r="AH733" s="191"/>
      <c r="AI733" s="190"/>
      <c r="AJ733" s="190"/>
      <c r="AK733" s="190"/>
      <c r="AL733" s="190"/>
      <c r="AM733" s="190"/>
      <c r="AN733" s="191"/>
      <c r="AO733" s="190"/>
      <c r="AP733" s="190"/>
      <c r="AQ733" s="190"/>
      <c r="AR733" s="190"/>
      <c r="AS733" s="190"/>
      <c r="AT733" s="191"/>
      <c r="AU733" s="190"/>
      <c r="AV733" s="190"/>
      <c r="AW733" s="190"/>
      <c r="AX733" s="190"/>
      <c r="AY733" s="190"/>
      <c r="AZ733" s="191"/>
      <c r="BA733" s="183"/>
      <c r="BB733" s="183"/>
      <c r="BC733" s="183"/>
      <c r="BD733" s="183"/>
      <c r="BE733" s="183"/>
      <c r="BF733" s="184"/>
      <c r="BG733" s="183"/>
      <c r="BH733" s="183"/>
      <c r="BI733" s="183"/>
      <c r="BJ733" s="183"/>
      <c r="BK733" s="183"/>
      <c r="BL733" s="184"/>
      <c r="BM733" s="409"/>
      <c r="BN733" s="409"/>
    </row>
    <row r="734" spans="1:66" s="153" customFormat="1" x14ac:dyDescent="0.2">
      <c r="A734" s="61"/>
      <c r="B734" s="61"/>
      <c r="C734" s="61"/>
      <c r="D734" s="61"/>
      <c r="E734" s="61"/>
      <c r="F734" s="61"/>
      <c r="G734" s="61"/>
      <c r="H734" s="61"/>
      <c r="I734" s="61"/>
      <c r="J734" s="61"/>
      <c r="K734" s="61"/>
      <c r="L734" s="61"/>
      <c r="M734" s="61"/>
      <c r="N734" s="61"/>
      <c r="O734" s="61"/>
      <c r="P734" s="61"/>
      <c r="Q734" s="61"/>
      <c r="R734" s="61"/>
      <c r="S734" s="61"/>
      <c r="T734" s="35"/>
      <c r="U734" s="187"/>
      <c r="V734" s="190"/>
      <c r="W734" s="190"/>
      <c r="X734" s="190"/>
      <c r="Y734" s="190"/>
      <c r="Z734" s="190"/>
      <c r="AA734" s="191"/>
      <c r="AB734" s="190"/>
      <c r="AC734" s="190"/>
      <c r="AD734" s="190"/>
      <c r="AE734" s="190"/>
      <c r="AF734" s="190"/>
      <c r="AG734" s="190"/>
      <c r="AH734" s="191"/>
      <c r="AI734" s="190"/>
      <c r="AJ734" s="190"/>
      <c r="AK734" s="190"/>
      <c r="AL734" s="190"/>
      <c r="AM734" s="190"/>
      <c r="AN734" s="191"/>
      <c r="AO734" s="190"/>
      <c r="AP734" s="190"/>
      <c r="AQ734" s="190"/>
      <c r="AR734" s="190"/>
      <c r="AS734" s="190"/>
      <c r="AT734" s="191"/>
      <c r="AU734" s="190"/>
      <c r="AV734" s="190"/>
      <c r="AW734" s="190"/>
      <c r="AX734" s="190"/>
      <c r="AY734" s="190"/>
      <c r="AZ734" s="191"/>
      <c r="BA734" s="183"/>
      <c r="BB734" s="183"/>
      <c r="BC734" s="183"/>
      <c r="BD734" s="183"/>
      <c r="BE734" s="183"/>
      <c r="BF734" s="184"/>
      <c r="BG734" s="183"/>
      <c r="BH734" s="183"/>
      <c r="BI734" s="183"/>
      <c r="BJ734" s="183"/>
      <c r="BK734" s="183"/>
      <c r="BL734" s="184"/>
      <c r="BM734" s="409"/>
      <c r="BN734" s="409"/>
    </row>
    <row r="735" spans="1:66" s="153" customFormat="1" x14ac:dyDescent="0.2">
      <c r="A735" s="61"/>
      <c r="B735" s="61"/>
      <c r="C735" s="61"/>
      <c r="D735" s="61"/>
      <c r="E735" s="61"/>
      <c r="F735" s="61"/>
      <c r="G735" s="61"/>
      <c r="H735" s="61"/>
      <c r="I735" s="61"/>
      <c r="J735" s="61"/>
      <c r="K735" s="61"/>
      <c r="L735" s="61"/>
      <c r="M735" s="61"/>
      <c r="N735" s="61"/>
      <c r="O735" s="61"/>
      <c r="P735" s="61"/>
      <c r="Q735" s="61"/>
      <c r="R735" s="61"/>
      <c r="S735" s="61"/>
      <c r="T735" s="35"/>
      <c r="U735" s="187"/>
      <c r="V735" s="190"/>
      <c r="W735" s="190"/>
      <c r="X735" s="190"/>
      <c r="Y735" s="190"/>
      <c r="Z735" s="190"/>
      <c r="AA735" s="191"/>
      <c r="AB735" s="190"/>
      <c r="AC735" s="190"/>
      <c r="AD735" s="190"/>
      <c r="AE735" s="190"/>
      <c r="AF735" s="190"/>
      <c r="AG735" s="190"/>
      <c r="AH735" s="191"/>
      <c r="AI735" s="190"/>
      <c r="AJ735" s="190"/>
      <c r="AK735" s="190"/>
      <c r="AL735" s="190"/>
      <c r="AM735" s="190"/>
      <c r="AN735" s="191"/>
      <c r="AO735" s="190"/>
      <c r="AP735" s="190"/>
      <c r="AQ735" s="190"/>
      <c r="AR735" s="190"/>
      <c r="AS735" s="190"/>
      <c r="AT735" s="191"/>
      <c r="AU735" s="190"/>
      <c r="AV735" s="190"/>
      <c r="AW735" s="190"/>
      <c r="AX735" s="190"/>
      <c r="AY735" s="190"/>
      <c r="AZ735" s="191"/>
      <c r="BA735" s="183"/>
      <c r="BB735" s="183"/>
      <c r="BC735" s="183"/>
      <c r="BD735" s="183"/>
      <c r="BE735" s="183"/>
      <c r="BF735" s="184"/>
      <c r="BG735" s="183"/>
      <c r="BH735" s="183"/>
      <c r="BI735" s="183"/>
      <c r="BJ735" s="183"/>
      <c r="BK735" s="183"/>
      <c r="BL735" s="184"/>
      <c r="BM735" s="409"/>
      <c r="BN735" s="409"/>
    </row>
    <row r="736" spans="1:66" s="153" customFormat="1" x14ac:dyDescent="0.2">
      <c r="A736" s="61"/>
      <c r="B736" s="61"/>
      <c r="C736" s="61"/>
      <c r="D736" s="61"/>
      <c r="E736" s="61"/>
      <c r="F736" s="61"/>
      <c r="G736" s="61"/>
      <c r="H736" s="61"/>
      <c r="I736" s="61"/>
      <c r="J736" s="61"/>
      <c r="K736" s="61"/>
      <c r="L736" s="61"/>
      <c r="M736" s="61"/>
      <c r="N736" s="61"/>
      <c r="O736" s="61"/>
      <c r="P736" s="61"/>
      <c r="Q736" s="61"/>
      <c r="R736" s="61"/>
      <c r="S736" s="61"/>
      <c r="T736" s="35"/>
      <c r="U736" s="187"/>
      <c r="V736" s="190"/>
      <c r="W736" s="190"/>
      <c r="X736" s="190"/>
      <c r="Y736" s="190"/>
      <c r="Z736" s="190"/>
      <c r="AA736" s="191"/>
      <c r="AB736" s="190"/>
      <c r="AC736" s="190"/>
      <c r="AD736" s="190"/>
      <c r="AE736" s="190"/>
      <c r="AF736" s="190"/>
      <c r="AG736" s="190"/>
      <c r="AH736" s="191"/>
      <c r="AI736" s="190"/>
      <c r="AJ736" s="190"/>
      <c r="AK736" s="190"/>
      <c r="AL736" s="190"/>
      <c r="AM736" s="190"/>
      <c r="AN736" s="191"/>
      <c r="AO736" s="190"/>
      <c r="AP736" s="190"/>
      <c r="AQ736" s="190"/>
      <c r="AR736" s="190"/>
      <c r="AS736" s="190"/>
      <c r="AT736" s="191"/>
      <c r="AU736" s="190"/>
      <c r="AV736" s="190"/>
      <c r="AW736" s="190"/>
      <c r="AX736" s="190"/>
      <c r="AY736" s="190"/>
      <c r="AZ736" s="191"/>
      <c r="BA736" s="183"/>
      <c r="BB736" s="183"/>
      <c r="BC736" s="183"/>
      <c r="BD736" s="183"/>
      <c r="BE736" s="183"/>
      <c r="BF736" s="184"/>
      <c r="BG736" s="183"/>
      <c r="BH736" s="183"/>
      <c r="BI736" s="183"/>
      <c r="BJ736" s="183"/>
      <c r="BK736" s="183"/>
      <c r="BL736" s="184"/>
      <c r="BM736" s="409"/>
      <c r="BN736" s="409"/>
    </row>
    <row r="737" spans="1:66" s="153" customFormat="1" x14ac:dyDescent="0.2">
      <c r="A737" s="61"/>
      <c r="B737" s="61"/>
      <c r="C737" s="61"/>
      <c r="D737" s="61"/>
      <c r="E737" s="61"/>
      <c r="F737" s="61"/>
      <c r="G737" s="61"/>
      <c r="H737" s="61"/>
      <c r="I737" s="61"/>
      <c r="J737" s="61"/>
      <c r="K737" s="61"/>
      <c r="L737" s="61"/>
      <c r="M737" s="61"/>
      <c r="N737" s="61"/>
      <c r="O737" s="61"/>
      <c r="P737" s="61"/>
      <c r="Q737" s="61"/>
      <c r="R737" s="61"/>
      <c r="S737" s="61"/>
      <c r="T737" s="35"/>
      <c r="U737" s="187"/>
      <c r="V737" s="190"/>
      <c r="W737" s="190"/>
      <c r="X737" s="190"/>
      <c r="Y737" s="190"/>
      <c r="Z737" s="190"/>
      <c r="AA737" s="191"/>
      <c r="AB737" s="190"/>
      <c r="AC737" s="190"/>
      <c r="AD737" s="190"/>
      <c r="AE737" s="190"/>
      <c r="AF737" s="190"/>
      <c r="AG737" s="190"/>
      <c r="AH737" s="191"/>
      <c r="AI737" s="190"/>
      <c r="AJ737" s="190"/>
      <c r="AK737" s="190"/>
      <c r="AL737" s="190"/>
      <c r="AM737" s="190"/>
      <c r="AN737" s="191"/>
      <c r="AO737" s="190"/>
      <c r="AP737" s="190"/>
      <c r="AQ737" s="190"/>
      <c r="AR737" s="190"/>
      <c r="AS737" s="190"/>
      <c r="AT737" s="191"/>
      <c r="AU737" s="190"/>
      <c r="AV737" s="190"/>
      <c r="AW737" s="190"/>
      <c r="AX737" s="190"/>
      <c r="AY737" s="190"/>
      <c r="AZ737" s="191"/>
      <c r="BA737" s="183"/>
      <c r="BB737" s="183"/>
      <c r="BC737" s="183"/>
      <c r="BD737" s="183"/>
      <c r="BE737" s="183"/>
      <c r="BF737" s="184"/>
      <c r="BG737" s="183"/>
      <c r="BH737" s="183"/>
      <c r="BI737" s="183"/>
      <c r="BJ737" s="183"/>
      <c r="BK737" s="183"/>
      <c r="BL737" s="184"/>
      <c r="BM737" s="409"/>
      <c r="BN737" s="409"/>
    </row>
    <row r="738" spans="1:66" s="153" customFormat="1" x14ac:dyDescent="0.2">
      <c r="A738" s="61"/>
      <c r="B738" s="61"/>
      <c r="C738" s="61"/>
      <c r="D738" s="61"/>
      <c r="E738" s="61"/>
      <c r="F738" s="61"/>
      <c r="G738" s="61"/>
      <c r="H738" s="61"/>
      <c r="I738" s="61"/>
      <c r="J738" s="61"/>
      <c r="K738" s="61"/>
      <c r="L738" s="61"/>
      <c r="M738" s="61"/>
      <c r="N738" s="61"/>
      <c r="O738" s="61"/>
      <c r="P738" s="61"/>
      <c r="Q738" s="61"/>
      <c r="R738" s="61"/>
      <c r="S738" s="61"/>
      <c r="T738" s="35"/>
      <c r="U738" s="187"/>
      <c r="V738" s="190"/>
      <c r="W738" s="190"/>
      <c r="X738" s="190"/>
      <c r="Y738" s="190"/>
      <c r="Z738" s="190"/>
      <c r="AA738" s="191"/>
      <c r="AB738" s="190"/>
      <c r="AC738" s="190"/>
      <c r="AD738" s="190"/>
      <c r="AE738" s="190"/>
      <c r="AF738" s="190"/>
      <c r="AG738" s="190"/>
      <c r="AH738" s="191"/>
      <c r="AI738" s="190"/>
      <c r="AJ738" s="190"/>
      <c r="AK738" s="190"/>
      <c r="AL738" s="190"/>
      <c r="AM738" s="190"/>
      <c r="AN738" s="191"/>
      <c r="AO738" s="190"/>
      <c r="AP738" s="190"/>
      <c r="AQ738" s="190"/>
      <c r="AR738" s="190"/>
      <c r="AS738" s="190"/>
      <c r="AT738" s="191"/>
      <c r="AU738" s="190"/>
      <c r="AV738" s="190"/>
      <c r="AW738" s="190"/>
      <c r="AX738" s="190"/>
      <c r="AY738" s="190"/>
      <c r="AZ738" s="191"/>
      <c r="BA738" s="183"/>
      <c r="BB738" s="183"/>
      <c r="BC738" s="183"/>
      <c r="BD738" s="183"/>
      <c r="BE738" s="183"/>
      <c r="BF738" s="184"/>
      <c r="BG738" s="183"/>
      <c r="BH738" s="183"/>
      <c r="BI738" s="183"/>
      <c r="BJ738" s="183"/>
      <c r="BK738" s="183"/>
      <c r="BL738" s="184"/>
      <c r="BM738" s="409"/>
      <c r="BN738" s="409"/>
    </row>
    <row r="739" spans="1:66" s="153" customFormat="1" x14ac:dyDescent="0.2">
      <c r="A739" s="61"/>
      <c r="B739" s="61"/>
      <c r="C739" s="61"/>
      <c r="D739" s="61"/>
      <c r="E739" s="61"/>
      <c r="F739" s="61"/>
      <c r="G739" s="61"/>
      <c r="H739" s="61"/>
      <c r="I739" s="61"/>
      <c r="J739" s="61"/>
      <c r="K739" s="61"/>
      <c r="L739" s="61"/>
      <c r="M739" s="61"/>
      <c r="N739" s="61"/>
      <c r="O739" s="61"/>
      <c r="P739" s="61"/>
      <c r="Q739" s="61"/>
      <c r="R739" s="61"/>
      <c r="S739" s="61"/>
      <c r="T739" s="35"/>
      <c r="U739" s="187"/>
      <c r="V739" s="190"/>
      <c r="W739" s="190"/>
      <c r="X739" s="190"/>
      <c r="Y739" s="190"/>
      <c r="Z739" s="190"/>
      <c r="AA739" s="191"/>
      <c r="AB739" s="190"/>
      <c r="AC739" s="190"/>
      <c r="AD739" s="190"/>
      <c r="AE739" s="190"/>
      <c r="AF739" s="190"/>
      <c r="AG739" s="190"/>
      <c r="AH739" s="191"/>
      <c r="AI739" s="190"/>
      <c r="AJ739" s="190"/>
      <c r="AK739" s="190"/>
      <c r="AL739" s="190"/>
      <c r="AM739" s="190"/>
      <c r="AN739" s="191"/>
      <c r="AO739" s="190"/>
      <c r="AP739" s="190"/>
      <c r="AQ739" s="190"/>
      <c r="AR739" s="190"/>
      <c r="AS739" s="190"/>
      <c r="AT739" s="191"/>
      <c r="AU739" s="190"/>
      <c r="AV739" s="190"/>
      <c r="AW739" s="190"/>
      <c r="AX739" s="190"/>
      <c r="AY739" s="190"/>
      <c r="AZ739" s="191"/>
      <c r="BA739" s="183"/>
      <c r="BB739" s="183"/>
      <c r="BC739" s="183"/>
      <c r="BD739" s="183"/>
      <c r="BE739" s="183"/>
      <c r="BF739" s="184"/>
      <c r="BG739" s="183"/>
      <c r="BH739" s="183"/>
      <c r="BI739" s="183"/>
      <c r="BJ739" s="183"/>
      <c r="BK739" s="183"/>
      <c r="BL739" s="184"/>
      <c r="BM739" s="409"/>
      <c r="BN739" s="409"/>
    </row>
    <row r="740" spans="1:66" s="153" customFormat="1" x14ac:dyDescent="0.2">
      <c r="A740" s="61"/>
      <c r="B740" s="61"/>
      <c r="C740" s="61"/>
      <c r="D740" s="61"/>
      <c r="E740" s="61"/>
      <c r="F740" s="61"/>
      <c r="G740" s="61"/>
      <c r="H740" s="61"/>
      <c r="I740" s="61"/>
      <c r="J740" s="61"/>
      <c r="K740" s="61"/>
      <c r="L740" s="61"/>
      <c r="M740" s="61"/>
      <c r="N740" s="61"/>
      <c r="O740" s="61"/>
      <c r="P740" s="61"/>
      <c r="Q740" s="61"/>
      <c r="R740" s="61"/>
      <c r="S740" s="61"/>
      <c r="T740" s="35"/>
      <c r="U740" s="187"/>
      <c r="V740" s="190"/>
      <c r="W740" s="190"/>
      <c r="X740" s="190"/>
      <c r="Y740" s="190"/>
      <c r="Z740" s="190"/>
      <c r="AA740" s="191"/>
      <c r="AB740" s="190"/>
      <c r="AC740" s="190"/>
      <c r="AD740" s="190"/>
      <c r="AE740" s="190"/>
      <c r="AF740" s="190"/>
      <c r="AG740" s="190"/>
      <c r="AH740" s="191"/>
      <c r="AI740" s="190"/>
      <c r="AJ740" s="190"/>
      <c r="AK740" s="190"/>
      <c r="AL740" s="190"/>
      <c r="AM740" s="190"/>
      <c r="AN740" s="191"/>
      <c r="AO740" s="190"/>
      <c r="AP740" s="190"/>
      <c r="AQ740" s="190"/>
      <c r="AR740" s="190"/>
      <c r="AS740" s="190"/>
      <c r="AT740" s="191"/>
      <c r="AU740" s="190"/>
      <c r="AV740" s="190"/>
      <c r="AW740" s="190"/>
      <c r="AX740" s="190"/>
      <c r="AY740" s="190"/>
      <c r="AZ740" s="191"/>
      <c r="BA740" s="183"/>
      <c r="BB740" s="183"/>
      <c r="BC740" s="183"/>
      <c r="BD740" s="183"/>
      <c r="BE740" s="183"/>
      <c r="BF740" s="184"/>
      <c r="BG740" s="183"/>
      <c r="BH740" s="183"/>
      <c r="BI740" s="183"/>
      <c r="BJ740" s="183"/>
      <c r="BK740" s="183"/>
      <c r="BL740" s="184"/>
      <c r="BM740" s="409"/>
      <c r="BN740" s="409"/>
    </row>
    <row r="741" spans="1:66" s="153" customFormat="1" x14ac:dyDescent="0.2">
      <c r="A741" s="61"/>
      <c r="B741" s="61"/>
      <c r="C741" s="61"/>
      <c r="D741" s="61"/>
      <c r="E741" s="61"/>
      <c r="F741" s="61"/>
      <c r="G741" s="61"/>
      <c r="H741" s="61"/>
      <c r="I741" s="61"/>
      <c r="J741" s="61"/>
      <c r="K741" s="61"/>
      <c r="L741" s="61"/>
      <c r="M741" s="61"/>
      <c r="N741" s="61"/>
      <c r="O741" s="61"/>
      <c r="P741" s="61"/>
      <c r="Q741" s="61"/>
      <c r="R741" s="61"/>
      <c r="S741" s="61"/>
      <c r="T741" s="35"/>
      <c r="U741" s="187"/>
      <c r="V741" s="190"/>
      <c r="W741" s="190"/>
      <c r="X741" s="190"/>
      <c r="Y741" s="190"/>
      <c r="Z741" s="190"/>
      <c r="AA741" s="191"/>
      <c r="AB741" s="190"/>
      <c r="AC741" s="190"/>
      <c r="AD741" s="190"/>
      <c r="AE741" s="190"/>
      <c r="AF741" s="190"/>
      <c r="AG741" s="190"/>
      <c r="AH741" s="191"/>
      <c r="AI741" s="190"/>
      <c r="AJ741" s="190"/>
      <c r="AK741" s="190"/>
      <c r="AL741" s="190"/>
      <c r="AM741" s="190"/>
      <c r="AN741" s="191"/>
      <c r="AO741" s="190"/>
      <c r="AP741" s="190"/>
      <c r="AQ741" s="190"/>
      <c r="AR741" s="190"/>
      <c r="AS741" s="190"/>
      <c r="AT741" s="191"/>
      <c r="AU741" s="190"/>
      <c r="AV741" s="190"/>
      <c r="AW741" s="190"/>
      <c r="AX741" s="190"/>
      <c r="AY741" s="190"/>
      <c r="AZ741" s="191"/>
      <c r="BA741" s="183"/>
      <c r="BB741" s="183"/>
      <c r="BC741" s="183"/>
      <c r="BD741" s="183"/>
      <c r="BE741" s="183"/>
      <c r="BF741" s="184"/>
      <c r="BG741" s="183"/>
      <c r="BH741" s="183"/>
      <c r="BI741" s="183"/>
      <c r="BJ741" s="183"/>
      <c r="BK741" s="183"/>
      <c r="BL741" s="184"/>
      <c r="BM741" s="409"/>
      <c r="BN741" s="409"/>
    </row>
    <row r="742" spans="1:66" s="153" customFormat="1" x14ac:dyDescent="0.2">
      <c r="A742" s="61"/>
      <c r="B742" s="61"/>
      <c r="C742" s="61"/>
      <c r="D742" s="61"/>
      <c r="E742" s="61"/>
      <c r="F742" s="61"/>
      <c r="G742" s="61"/>
      <c r="H742" s="61"/>
      <c r="I742" s="61"/>
      <c r="J742" s="61"/>
      <c r="K742" s="61"/>
      <c r="L742" s="61"/>
      <c r="M742" s="61"/>
      <c r="N742" s="61"/>
      <c r="O742" s="61"/>
      <c r="P742" s="61"/>
      <c r="Q742" s="61"/>
      <c r="R742" s="61"/>
      <c r="S742" s="61"/>
      <c r="T742" s="35"/>
      <c r="U742" s="187"/>
      <c r="V742" s="190"/>
      <c r="W742" s="190"/>
      <c r="X742" s="190"/>
      <c r="Y742" s="190"/>
      <c r="Z742" s="190"/>
      <c r="AA742" s="191"/>
      <c r="AB742" s="190"/>
      <c r="AC742" s="190"/>
      <c r="AD742" s="190"/>
      <c r="AE742" s="190"/>
      <c r="AF742" s="190"/>
      <c r="AG742" s="190"/>
      <c r="AH742" s="191"/>
      <c r="AI742" s="190"/>
      <c r="AJ742" s="190"/>
      <c r="AK742" s="190"/>
      <c r="AL742" s="190"/>
      <c r="AM742" s="190"/>
      <c r="AN742" s="191"/>
      <c r="AO742" s="190"/>
      <c r="AP742" s="190"/>
      <c r="AQ742" s="190"/>
      <c r="AR742" s="190"/>
      <c r="AS742" s="190"/>
      <c r="AT742" s="191"/>
      <c r="AU742" s="190"/>
      <c r="AV742" s="190"/>
      <c r="AW742" s="190"/>
      <c r="AX742" s="190"/>
      <c r="AY742" s="190"/>
      <c r="AZ742" s="191"/>
      <c r="BA742" s="183"/>
      <c r="BB742" s="183"/>
      <c r="BC742" s="183"/>
      <c r="BD742" s="183"/>
      <c r="BE742" s="183"/>
      <c r="BF742" s="184"/>
      <c r="BG742" s="183"/>
      <c r="BH742" s="183"/>
      <c r="BI742" s="183"/>
      <c r="BJ742" s="183"/>
      <c r="BK742" s="183"/>
      <c r="BL742" s="184"/>
      <c r="BM742" s="409"/>
      <c r="BN742" s="409"/>
    </row>
    <row r="743" spans="1:66" s="153" customFormat="1" x14ac:dyDescent="0.2">
      <c r="A743" s="61"/>
      <c r="B743" s="61"/>
      <c r="C743" s="61"/>
      <c r="D743" s="61"/>
      <c r="E743" s="61"/>
      <c r="F743" s="61"/>
      <c r="G743" s="61"/>
      <c r="H743" s="61"/>
      <c r="I743" s="61"/>
      <c r="J743" s="61"/>
      <c r="K743" s="61"/>
      <c r="L743" s="61"/>
      <c r="M743" s="61"/>
      <c r="N743" s="61"/>
      <c r="O743" s="61"/>
      <c r="P743" s="61"/>
      <c r="Q743" s="61"/>
      <c r="R743" s="61"/>
      <c r="S743" s="61"/>
      <c r="T743" s="35"/>
      <c r="U743" s="187"/>
      <c r="V743" s="190"/>
      <c r="W743" s="190"/>
      <c r="X743" s="190"/>
      <c r="Y743" s="190"/>
      <c r="Z743" s="190"/>
      <c r="AA743" s="191"/>
      <c r="AB743" s="190"/>
      <c r="AC743" s="190"/>
      <c r="AD743" s="190"/>
      <c r="AE743" s="190"/>
      <c r="AF743" s="190"/>
      <c r="AG743" s="190"/>
      <c r="AH743" s="191"/>
      <c r="AI743" s="190"/>
      <c r="AJ743" s="190"/>
      <c r="AK743" s="190"/>
      <c r="AL743" s="190"/>
      <c r="AM743" s="190"/>
      <c r="AN743" s="191"/>
      <c r="AO743" s="190"/>
      <c r="AP743" s="190"/>
      <c r="AQ743" s="190"/>
      <c r="AR743" s="190"/>
      <c r="AS743" s="190"/>
      <c r="AT743" s="191"/>
      <c r="AU743" s="190"/>
      <c r="AV743" s="190"/>
      <c r="AW743" s="190"/>
      <c r="AX743" s="190"/>
      <c r="AY743" s="190"/>
      <c r="AZ743" s="191"/>
      <c r="BA743" s="183"/>
      <c r="BB743" s="183"/>
      <c r="BC743" s="183"/>
      <c r="BD743" s="183"/>
      <c r="BE743" s="183"/>
      <c r="BF743" s="184"/>
      <c r="BG743" s="183"/>
      <c r="BH743" s="183"/>
      <c r="BI743" s="183"/>
      <c r="BJ743" s="183"/>
      <c r="BK743" s="183"/>
      <c r="BL743" s="184"/>
      <c r="BM743" s="409"/>
      <c r="BN743" s="409"/>
    </row>
    <row r="744" spans="1:66" s="153" customFormat="1" x14ac:dyDescent="0.2">
      <c r="A744" s="61"/>
      <c r="B744" s="61"/>
      <c r="C744" s="61"/>
      <c r="D744" s="61"/>
      <c r="E744" s="61"/>
      <c r="F744" s="61"/>
      <c r="G744" s="61"/>
      <c r="H744" s="61"/>
      <c r="I744" s="61"/>
      <c r="J744" s="61"/>
      <c r="K744" s="61"/>
      <c r="L744" s="61"/>
      <c r="M744" s="61"/>
      <c r="N744" s="61"/>
      <c r="O744" s="61"/>
      <c r="P744" s="61"/>
      <c r="Q744" s="61"/>
      <c r="R744" s="61"/>
      <c r="S744" s="61"/>
      <c r="T744" s="35"/>
      <c r="U744" s="187"/>
      <c r="V744" s="190"/>
      <c r="W744" s="190"/>
      <c r="X744" s="190"/>
      <c r="Y744" s="190"/>
      <c r="Z744" s="190"/>
      <c r="AA744" s="191"/>
      <c r="AB744" s="190"/>
      <c r="AC744" s="190"/>
      <c r="AD744" s="190"/>
      <c r="AE744" s="190"/>
      <c r="AF744" s="190"/>
      <c r="AG744" s="190"/>
      <c r="AH744" s="191"/>
      <c r="AI744" s="190"/>
      <c r="AJ744" s="190"/>
      <c r="AK744" s="190"/>
      <c r="AL744" s="190"/>
      <c r="AM744" s="190"/>
      <c r="AN744" s="191"/>
      <c r="AO744" s="190"/>
      <c r="AP744" s="190"/>
      <c r="AQ744" s="190"/>
      <c r="AR744" s="190"/>
      <c r="AS744" s="190"/>
      <c r="AT744" s="191"/>
      <c r="AU744" s="190"/>
      <c r="AV744" s="190"/>
      <c r="AW744" s="190"/>
      <c r="AX744" s="190"/>
      <c r="AY744" s="190"/>
      <c r="AZ744" s="191"/>
      <c r="BA744" s="183"/>
      <c r="BB744" s="183"/>
      <c r="BC744" s="183"/>
      <c r="BD744" s="183"/>
      <c r="BE744" s="183"/>
      <c r="BF744" s="184"/>
      <c r="BG744" s="183"/>
      <c r="BH744" s="183"/>
      <c r="BI744" s="183"/>
      <c r="BJ744" s="183"/>
      <c r="BK744" s="183"/>
      <c r="BL744" s="184"/>
      <c r="BM744" s="409"/>
      <c r="BN744" s="409"/>
    </row>
    <row r="745" spans="1:66" s="153" customFormat="1" x14ac:dyDescent="0.2">
      <c r="A745" s="61"/>
      <c r="B745" s="61"/>
      <c r="C745" s="61"/>
      <c r="D745" s="61"/>
      <c r="E745" s="61"/>
      <c r="F745" s="61"/>
      <c r="G745" s="61"/>
      <c r="H745" s="61"/>
      <c r="I745" s="61"/>
      <c r="J745" s="61"/>
      <c r="K745" s="61"/>
      <c r="L745" s="61"/>
      <c r="M745" s="61"/>
      <c r="N745" s="61"/>
      <c r="O745" s="61"/>
      <c r="P745" s="61"/>
      <c r="Q745" s="61"/>
      <c r="R745" s="61"/>
      <c r="S745" s="61"/>
      <c r="T745" s="35"/>
      <c r="U745" s="187"/>
      <c r="V745" s="190"/>
      <c r="W745" s="190"/>
      <c r="X745" s="190"/>
      <c r="Y745" s="190"/>
      <c r="Z745" s="190"/>
      <c r="AA745" s="191"/>
      <c r="AB745" s="190"/>
      <c r="AC745" s="190"/>
      <c r="AD745" s="190"/>
      <c r="AE745" s="190"/>
      <c r="AF745" s="190"/>
      <c r="AG745" s="190"/>
      <c r="AH745" s="191"/>
      <c r="AI745" s="190"/>
      <c r="AJ745" s="190"/>
      <c r="AK745" s="190"/>
      <c r="AL745" s="190"/>
      <c r="AM745" s="190"/>
      <c r="AN745" s="191"/>
      <c r="AO745" s="190"/>
      <c r="AP745" s="190"/>
      <c r="AQ745" s="190"/>
      <c r="AR745" s="190"/>
      <c r="AS745" s="190"/>
      <c r="AT745" s="191"/>
      <c r="AU745" s="190"/>
      <c r="AV745" s="190"/>
      <c r="AW745" s="190"/>
      <c r="AX745" s="190"/>
      <c r="AY745" s="190"/>
      <c r="AZ745" s="191"/>
      <c r="BA745" s="183"/>
      <c r="BB745" s="183"/>
      <c r="BC745" s="183"/>
      <c r="BD745" s="183"/>
      <c r="BE745" s="183"/>
      <c r="BF745" s="184"/>
      <c r="BG745" s="183"/>
      <c r="BH745" s="183"/>
      <c r="BI745" s="183"/>
      <c r="BJ745" s="183"/>
      <c r="BK745" s="183"/>
      <c r="BL745" s="184"/>
      <c r="BM745" s="409"/>
      <c r="BN745" s="409"/>
    </row>
    <row r="746" spans="1:66" s="153" customFormat="1" x14ac:dyDescent="0.2">
      <c r="A746" s="61"/>
      <c r="B746" s="61"/>
      <c r="C746" s="61"/>
      <c r="D746" s="61"/>
      <c r="E746" s="61"/>
      <c r="F746" s="61"/>
      <c r="G746" s="61"/>
      <c r="H746" s="61"/>
      <c r="I746" s="61"/>
      <c r="J746" s="61"/>
      <c r="K746" s="61"/>
      <c r="L746" s="61"/>
      <c r="M746" s="61"/>
      <c r="N746" s="61"/>
      <c r="O746" s="61"/>
      <c r="P746" s="61"/>
      <c r="Q746" s="61"/>
      <c r="R746" s="61"/>
      <c r="S746" s="61"/>
      <c r="T746" s="35"/>
      <c r="U746" s="187"/>
      <c r="V746" s="190"/>
      <c r="W746" s="190"/>
      <c r="X746" s="190"/>
      <c r="Y746" s="190"/>
      <c r="Z746" s="190"/>
      <c r="AA746" s="191"/>
      <c r="AB746" s="190"/>
      <c r="AC746" s="190"/>
      <c r="AD746" s="190"/>
      <c r="AE746" s="190"/>
      <c r="AF746" s="190"/>
      <c r="AG746" s="190"/>
      <c r="AH746" s="191"/>
      <c r="AI746" s="190"/>
      <c r="AJ746" s="190"/>
      <c r="AK746" s="190"/>
      <c r="AL746" s="190"/>
      <c r="AM746" s="190"/>
      <c r="AN746" s="191"/>
      <c r="AO746" s="190"/>
      <c r="AP746" s="190"/>
      <c r="AQ746" s="190"/>
      <c r="AR746" s="190"/>
      <c r="AS746" s="190"/>
      <c r="AT746" s="191"/>
      <c r="AU746" s="190"/>
      <c r="AV746" s="190"/>
      <c r="AW746" s="190"/>
      <c r="AX746" s="190"/>
      <c r="AY746" s="190"/>
      <c r="AZ746" s="191"/>
      <c r="BA746" s="183"/>
      <c r="BB746" s="183"/>
      <c r="BC746" s="183"/>
      <c r="BD746" s="183"/>
      <c r="BE746" s="183"/>
      <c r="BF746" s="184"/>
      <c r="BG746" s="183"/>
      <c r="BH746" s="183"/>
      <c r="BI746" s="183"/>
      <c r="BJ746" s="183"/>
      <c r="BK746" s="183"/>
      <c r="BL746" s="184"/>
      <c r="BM746" s="409"/>
      <c r="BN746" s="409"/>
    </row>
    <row r="747" spans="1:66" s="153" customFormat="1" x14ac:dyDescent="0.2">
      <c r="A747" s="61"/>
      <c r="B747" s="61"/>
      <c r="C747" s="61"/>
      <c r="D747" s="61"/>
      <c r="E747" s="61"/>
      <c r="F747" s="61"/>
      <c r="G747" s="61"/>
      <c r="H747" s="61"/>
      <c r="I747" s="61"/>
      <c r="J747" s="61"/>
      <c r="K747" s="61"/>
      <c r="L747" s="61"/>
      <c r="M747" s="61"/>
      <c r="N747" s="61"/>
      <c r="O747" s="61"/>
      <c r="P747" s="61"/>
      <c r="Q747" s="61"/>
      <c r="R747" s="61"/>
      <c r="S747" s="61"/>
      <c r="T747" s="35"/>
      <c r="U747" s="187"/>
      <c r="V747" s="190"/>
      <c r="W747" s="190"/>
      <c r="X747" s="190"/>
      <c r="Y747" s="190"/>
      <c r="Z747" s="190"/>
      <c r="AA747" s="191"/>
      <c r="AB747" s="190"/>
      <c r="AC747" s="190"/>
      <c r="AD747" s="190"/>
      <c r="AE747" s="190"/>
      <c r="AF747" s="190"/>
      <c r="AG747" s="190"/>
      <c r="AH747" s="191"/>
      <c r="AI747" s="190"/>
      <c r="AJ747" s="190"/>
      <c r="AK747" s="190"/>
      <c r="AL747" s="190"/>
      <c r="AM747" s="190"/>
      <c r="AN747" s="191"/>
      <c r="AO747" s="190"/>
      <c r="AP747" s="190"/>
      <c r="AQ747" s="190"/>
      <c r="AR747" s="190"/>
      <c r="AS747" s="190"/>
      <c r="AT747" s="191"/>
      <c r="AU747" s="190"/>
      <c r="AV747" s="190"/>
      <c r="AW747" s="190"/>
      <c r="AX747" s="190"/>
      <c r="AY747" s="190"/>
      <c r="AZ747" s="191"/>
      <c r="BA747" s="183"/>
      <c r="BB747" s="183"/>
      <c r="BC747" s="183"/>
      <c r="BD747" s="183"/>
      <c r="BE747" s="183"/>
      <c r="BF747" s="184"/>
      <c r="BG747" s="183"/>
      <c r="BH747" s="183"/>
      <c r="BI747" s="183"/>
      <c r="BJ747" s="183"/>
      <c r="BK747" s="183"/>
      <c r="BL747" s="184"/>
      <c r="BM747" s="409"/>
      <c r="BN747" s="409"/>
    </row>
    <row r="748" spans="1:66" s="153" customFormat="1" x14ac:dyDescent="0.2">
      <c r="A748" s="61"/>
      <c r="B748" s="61"/>
      <c r="C748" s="61"/>
      <c r="D748" s="61"/>
      <c r="E748" s="61"/>
      <c r="F748" s="61"/>
      <c r="G748" s="61"/>
      <c r="H748" s="61"/>
      <c r="I748" s="61"/>
      <c r="J748" s="61"/>
      <c r="K748" s="61"/>
      <c r="L748" s="61"/>
      <c r="M748" s="61"/>
      <c r="N748" s="61"/>
      <c r="O748" s="61"/>
      <c r="P748" s="61"/>
      <c r="Q748" s="61"/>
      <c r="R748" s="61"/>
      <c r="S748" s="61"/>
      <c r="T748" s="35"/>
      <c r="U748" s="187"/>
      <c r="V748" s="190"/>
      <c r="W748" s="190"/>
      <c r="X748" s="190"/>
      <c r="Y748" s="190"/>
      <c r="Z748" s="190"/>
      <c r="AA748" s="191"/>
      <c r="AB748" s="190"/>
      <c r="AC748" s="190"/>
      <c r="AD748" s="190"/>
      <c r="AE748" s="190"/>
      <c r="AF748" s="190"/>
      <c r="AG748" s="190"/>
      <c r="AH748" s="191"/>
      <c r="AI748" s="190"/>
      <c r="AJ748" s="190"/>
      <c r="AK748" s="190"/>
      <c r="AL748" s="190"/>
      <c r="AM748" s="190"/>
      <c r="AN748" s="191"/>
      <c r="AO748" s="190"/>
      <c r="AP748" s="190"/>
      <c r="AQ748" s="190"/>
      <c r="AR748" s="190"/>
      <c r="AS748" s="190"/>
      <c r="AT748" s="191"/>
      <c r="AU748" s="190"/>
      <c r="AV748" s="190"/>
      <c r="AW748" s="190"/>
      <c r="AX748" s="190"/>
      <c r="AY748" s="190"/>
      <c r="AZ748" s="191"/>
      <c r="BA748" s="183"/>
      <c r="BB748" s="183"/>
      <c r="BC748" s="183"/>
      <c r="BD748" s="183"/>
      <c r="BE748" s="183"/>
      <c r="BF748" s="184"/>
      <c r="BG748" s="183"/>
      <c r="BH748" s="183"/>
      <c r="BI748" s="183"/>
      <c r="BJ748" s="183"/>
      <c r="BK748" s="183"/>
      <c r="BL748" s="184"/>
      <c r="BM748" s="409"/>
      <c r="BN748" s="409"/>
    </row>
    <row r="749" spans="1:66" s="153" customFormat="1" x14ac:dyDescent="0.2">
      <c r="A749" s="61"/>
      <c r="B749" s="61"/>
      <c r="C749" s="61"/>
      <c r="D749" s="61"/>
      <c r="E749" s="61"/>
      <c r="F749" s="61"/>
      <c r="G749" s="61"/>
      <c r="H749" s="61"/>
      <c r="I749" s="61"/>
      <c r="J749" s="61"/>
      <c r="K749" s="61"/>
      <c r="L749" s="61"/>
      <c r="M749" s="61"/>
      <c r="N749" s="61"/>
      <c r="O749" s="61"/>
      <c r="P749" s="61"/>
      <c r="Q749" s="61"/>
      <c r="R749" s="61"/>
      <c r="S749" s="61"/>
      <c r="T749" s="35"/>
      <c r="U749" s="187"/>
      <c r="V749" s="190"/>
      <c r="W749" s="190"/>
      <c r="X749" s="190"/>
      <c r="Y749" s="190"/>
      <c r="Z749" s="190"/>
      <c r="AA749" s="191"/>
      <c r="AB749" s="190"/>
      <c r="AC749" s="190"/>
      <c r="AD749" s="190"/>
      <c r="AE749" s="190"/>
      <c r="AF749" s="190"/>
      <c r="AG749" s="190"/>
      <c r="AH749" s="191"/>
      <c r="AI749" s="190"/>
      <c r="AJ749" s="190"/>
      <c r="AK749" s="190"/>
      <c r="AL749" s="190"/>
      <c r="AM749" s="190"/>
      <c r="AN749" s="191"/>
      <c r="AO749" s="190"/>
      <c r="AP749" s="190"/>
      <c r="AQ749" s="190"/>
      <c r="AR749" s="190"/>
      <c r="AS749" s="190"/>
      <c r="AT749" s="191"/>
      <c r="AU749" s="190"/>
      <c r="AV749" s="190"/>
      <c r="AW749" s="190"/>
      <c r="AX749" s="190"/>
      <c r="AY749" s="190"/>
      <c r="AZ749" s="191"/>
      <c r="BA749" s="183"/>
      <c r="BB749" s="183"/>
      <c r="BC749" s="183"/>
      <c r="BD749" s="183"/>
      <c r="BE749" s="183"/>
      <c r="BF749" s="184"/>
      <c r="BG749" s="183"/>
      <c r="BH749" s="183"/>
      <c r="BI749" s="183"/>
      <c r="BJ749" s="183"/>
      <c r="BK749" s="183"/>
      <c r="BL749" s="184"/>
      <c r="BM749" s="409"/>
      <c r="BN749" s="409"/>
    </row>
    <row r="750" spans="1:66" s="153" customFormat="1" x14ac:dyDescent="0.2">
      <c r="A750" s="61"/>
      <c r="B750" s="61"/>
      <c r="C750" s="61"/>
      <c r="D750" s="61"/>
      <c r="E750" s="61"/>
      <c r="F750" s="61"/>
      <c r="G750" s="61"/>
      <c r="H750" s="61"/>
      <c r="I750" s="61"/>
      <c r="J750" s="61"/>
      <c r="K750" s="61"/>
      <c r="L750" s="61"/>
      <c r="M750" s="61"/>
      <c r="N750" s="61"/>
      <c r="O750" s="61"/>
      <c r="P750" s="61"/>
      <c r="Q750" s="61"/>
      <c r="R750" s="61"/>
      <c r="S750" s="61"/>
      <c r="T750" s="35"/>
      <c r="U750" s="187"/>
      <c r="V750" s="190"/>
      <c r="W750" s="190"/>
      <c r="X750" s="190"/>
      <c r="Y750" s="190"/>
      <c r="Z750" s="190"/>
      <c r="AA750" s="191"/>
      <c r="AB750" s="190"/>
      <c r="AC750" s="190"/>
      <c r="AD750" s="190"/>
      <c r="AE750" s="190"/>
      <c r="AF750" s="190"/>
      <c r="AG750" s="190"/>
      <c r="AH750" s="191"/>
      <c r="AI750" s="190"/>
      <c r="AJ750" s="190"/>
      <c r="AK750" s="190"/>
      <c r="AL750" s="190"/>
      <c r="AM750" s="190"/>
      <c r="AN750" s="191"/>
      <c r="AO750" s="190"/>
      <c r="AP750" s="190"/>
      <c r="AQ750" s="190"/>
      <c r="AR750" s="190"/>
      <c r="AS750" s="190"/>
      <c r="AT750" s="191"/>
      <c r="AU750" s="190"/>
      <c r="AV750" s="190"/>
      <c r="AW750" s="190"/>
      <c r="AX750" s="190"/>
      <c r="AY750" s="190"/>
      <c r="AZ750" s="191"/>
      <c r="BA750" s="183"/>
      <c r="BB750" s="183"/>
      <c r="BC750" s="183"/>
      <c r="BD750" s="183"/>
      <c r="BE750" s="183"/>
      <c r="BF750" s="184"/>
      <c r="BG750" s="183"/>
      <c r="BH750" s="183"/>
      <c r="BI750" s="183"/>
      <c r="BJ750" s="183"/>
      <c r="BK750" s="183"/>
      <c r="BL750" s="184"/>
      <c r="BM750" s="409"/>
      <c r="BN750" s="409"/>
    </row>
    <row r="751" spans="1:66" s="153" customFormat="1" x14ac:dyDescent="0.2">
      <c r="A751" s="61"/>
      <c r="B751" s="61"/>
      <c r="C751" s="61"/>
      <c r="D751" s="61"/>
      <c r="E751" s="61"/>
      <c r="F751" s="61"/>
      <c r="G751" s="61"/>
      <c r="H751" s="61"/>
      <c r="I751" s="61"/>
      <c r="J751" s="61"/>
      <c r="K751" s="61"/>
      <c r="L751" s="61"/>
      <c r="M751" s="61"/>
      <c r="N751" s="61"/>
      <c r="O751" s="61"/>
      <c r="P751" s="61"/>
      <c r="Q751" s="61"/>
      <c r="R751" s="61"/>
      <c r="S751" s="61"/>
      <c r="T751" s="35"/>
      <c r="U751" s="187"/>
      <c r="V751" s="190"/>
      <c r="W751" s="190"/>
      <c r="X751" s="190"/>
      <c r="Y751" s="190"/>
      <c r="Z751" s="190"/>
      <c r="AA751" s="191"/>
      <c r="AB751" s="190"/>
      <c r="AC751" s="190"/>
      <c r="AD751" s="190"/>
      <c r="AE751" s="190"/>
      <c r="AF751" s="190"/>
      <c r="AG751" s="190"/>
      <c r="AH751" s="191"/>
      <c r="AI751" s="190"/>
      <c r="AJ751" s="190"/>
      <c r="AK751" s="190"/>
      <c r="AL751" s="190"/>
      <c r="AM751" s="190"/>
      <c r="AN751" s="191"/>
      <c r="AO751" s="190"/>
      <c r="AP751" s="190"/>
      <c r="AQ751" s="190"/>
      <c r="AR751" s="190"/>
      <c r="AS751" s="190"/>
      <c r="AT751" s="191"/>
      <c r="AU751" s="190"/>
      <c r="AV751" s="190"/>
      <c r="AW751" s="190"/>
      <c r="AX751" s="190"/>
      <c r="AY751" s="190"/>
      <c r="AZ751" s="191"/>
      <c r="BA751" s="183"/>
      <c r="BB751" s="183"/>
      <c r="BC751" s="183"/>
      <c r="BD751" s="183"/>
      <c r="BE751" s="183"/>
      <c r="BF751" s="184"/>
      <c r="BG751" s="183"/>
      <c r="BH751" s="183"/>
      <c r="BI751" s="183"/>
      <c r="BJ751" s="183"/>
      <c r="BK751" s="183"/>
      <c r="BL751" s="184"/>
      <c r="BM751" s="409"/>
      <c r="BN751" s="409"/>
    </row>
    <row r="752" spans="1:66" s="153" customFormat="1" x14ac:dyDescent="0.2">
      <c r="A752" s="61"/>
      <c r="B752" s="61"/>
      <c r="C752" s="61"/>
      <c r="D752" s="61"/>
      <c r="E752" s="61"/>
      <c r="F752" s="61"/>
      <c r="G752" s="61"/>
      <c r="H752" s="61"/>
      <c r="I752" s="61"/>
      <c r="J752" s="61"/>
      <c r="K752" s="61"/>
      <c r="L752" s="61"/>
      <c r="M752" s="61"/>
      <c r="N752" s="61"/>
      <c r="O752" s="61"/>
      <c r="P752" s="61"/>
      <c r="Q752" s="61"/>
      <c r="R752" s="61"/>
      <c r="S752" s="61"/>
      <c r="T752" s="35"/>
      <c r="U752" s="187"/>
      <c r="V752" s="190"/>
      <c r="W752" s="190"/>
      <c r="X752" s="190"/>
      <c r="Y752" s="190"/>
      <c r="Z752" s="190"/>
      <c r="AA752" s="191"/>
      <c r="AB752" s="190"/>
      <c r="AC752" s="190"/>
      <c r="AD752" s="190"/>
      <c r="AE752" s="190"/>
      <c r="AF752" s="190"/>
      <c r="AG752" s="190"/>
      <c r="AH752" s="191"/>
      <c r="AI752" s="190"/>
      <c r="AJ752" s="190"/>
      <c r="AK752" s="190"/>
      <c r="AL752" s="190"/>
      <c r="AM752" s="190"/>
      <c r="AN752" s="191"/>
      <c r="AO752" s="190"/>
      <c r="AP752" s="190"/>
      <c r="AQ752" s="190"/>
      <c r="AR752" s="190"/>
      <c r="AS752" s="190"/>
      <c r="AT752" s="191"/>
      <c r="AU752" s="190"/>
      <c r="AV752" s="190"/>
      <c r="AW752" s="190"/>
      <c r="AX752" s="190"/>
      <c r="AY752" s="190"/>
      <c r="AZ752" s="191"/>
      <c r="BA752" s="183"/>
      <c r="BB752" s="183"/>
      <c r="BC752" s="183"/>
      <c r="BD752" s="183"/>
      <c r="BE752" s="183"/>
      <c r="BF752" s="184"/>
      <c r="BG752" s="183"/>
      <c r="BH752" s="183"/>
      <c r="BI752" s="183"/>
      <c r="BJ752" s="183"/>
      <c r="BK752" s="183"/>
      <c r="BL752" s="184"/>
      <c r="BM752" s="409"/>
      <c r="BN752" s="409"/>
    </row>
    <row r="753" spans="1:66" s="153" customFormat="1" x14ac:dyDescent="0.2">
      <c r="A753" s="61"/>
      <c r="B753" s="61"/>
      <c r="C753" s="61"/>
      <c r="D753" s="61"/>
      <c r="E753" s="61"/>
      <c r="F753" s="61"/>
      <c r="G753" s="61"/>
      <c r="H753" s="61"/>
      <c r="I753" s="61"/>
      <c r="J753" s="61"/>
      <c r="K753" s="61"/>
      <c r="L753" s="61"/>
      <c r="M753" s="61"/>
      <c r="N753" s="61"/>
      <c r="O753" s="61"/>
      <c r="P753" s="61"/>
      <c r="Q753" s="61"/>
      <c r="R753" s="61"/>
      <c r="S753" s="61"/>
      <c r="T753" s="35"/>
      <c r="U753" s="187"/>
      <c r="V753" s="190"/>
      <c r="W753" s="190"/>
      <c r="X753" s="190"/>
      <c r="Y753" s="190"/>
      <c r="Z753" s="190"/>
      <c r="AA753" s="191"/>
      <c r="AB753" s="190"/>
      <c r="AC753" s="190"/>
      <c r="AD753" s="190"/>
      <c r="AE753" s="190"/>
      <c r="AF753" s="190"/>
      <c r="AG753" s="190"/>
      <c r="AH753" s="191"/>
      <c r="AI753" s="190"/>
      <c r="AJ753" s="190"/>
      <c r="AK753" s="190"/>
      <c r="AL753" s="190"/>
      <c r="AM753" s="190"/>
      <c r="AN753" s="191"/>
      <c r="AO753" s="190"/>
      <c r="AP753" s="190"/>
      <c r="AQ753" s="190"/>
      <c r="AR753" s="190"/>
      <c r="AS753" s="190"/>
      <c r="AT753" s="191"/>
      <c r="AU753" s="190"/>
      <c r="AV753" s="190"/>
      <c r="AW753" s="190"/>
      <c r="AX753" s="190"/>
      <c r="AY753" s="190"/>
      <c r="AZ753" s="191"/>
      <c r="BA753" s="183"/>
      <c r="BB753" s="183"/>
      <c r="BC753" s="183"/>
      <c r="BD753" s="183"/>
      <c r="BE753" s="183"/>
      <c r="BF753" s="184"/>
      <c r="BG753" s="183"/>
      <c r="BH753" s="183"/>
      <c r="BI753" s="183"/>
      <c r="BJ753" s="183"/>
      <c r="BK753" s="183"/>
      <c r="BL753" s="184"/>
      <c r="BM753" s="409"/>
      <c r="BN753" s="409"/>
    </row>
    <row r="754" spans="1:66" s="153" customFormat="1" x14ac:dyDescent="0.2">
      <c r="A754" s="61"/>
      <c r="B754" s="61"/>
      <c r="C754" s="61"/>
      <c r="D754" s="61"/>
      <c r="E754" s="61"/>
      <c r="F754" s="61"/>
      <c r="G754" s="61"/>
      <c r="H754" s="61"/>
      <c r="I754" s="61"/>
      <c r="J754" s="61"/>
      <c r="K754" s="61"/>
      <c r="L754" s="61"/>
      <c r="M754" s="61"/>
      <c r="N754" s="61"/>
      <c r="O754" s="61"/>
      <c r="P754" s="61"/>
      <c r="Q754" s="61"/>
      <c r="R754" s="61"/>
      <c r="S754" s="61"/>
      <c r="T754" s="35"/>
      <c r="U754" s="187"/>
      <c r="V754" s="190"/>
      <c r="W754" s="190"/>
      <c r="X754" s="190"/>
      <c r="Y754" s="190"/>
      <c r="Z754" s="190"/>
      <c r="AA754" s="191"/>
      <c r="AB754" s="190"/>
      <c r="AC754" s="190"/>
      <c r="AD754" s="190"/>
      <c r="AE754" s="190"/>
      <c r="AF754" s="190"/>
      <c r="AG754" s="190"/>
      <c r="AH754" s="191"/>
      <c r="AI754" s="190"/>
      <c r="AJ754" s="190"/>
      <c r="AK754" s="190"/>
      <c r="AL754" s="190"/>
      <c r="AM754" s="190"/>
      <c r="AN754" s="191"/>
      <c r="AO754" s="190"/>
      <c r="AP754" s="190"/>
      <c r="AQ754" s="190"/>
      <c r="AR754" s="190"/>
      <c r="AS754" s="190"/>
      <c r="AT754" s="191"/>
      <c r="AU754" s="190"/>
      <c r="AV754" s="190"/>
      <c r="AW754" s="190"/>
      <c r="AX754" s="190"/>
      <c r="AY754" s="190"/>
      <c r="AZ754" s="191"/>
      <c r="BA754" s="183"/>
      <c r="BB754" s="183"/>
      <c r="BC754" s="183"/>
      <c r="BD754" s="183"/>
      <c r="BE754" s="183"/>
      <c r="BF754" s="184"/>
      <c r="BG754" s="183"/>
      <c r="BH754" s="183"/>
      <c r="BI754" s="183"/>
      <c r="BJ754" s="183"/>
      <c r="BK754" s="183"/>
      <c r="BL754" s="184"/>
      <c r="BM754" s="409"/>
      <c r="BN754" s="409"/>
    </row>
    <row r="755" spans="1:66" s="153" customFormat="1" x14ac:dyDescent="0.2">
      <c r="A755" s="61"/>
      <c r="B755" s="61"/>
      <c r="C755" s="61"/>
      <c r="D755" s="61"/>
      <c r="E755" s="61"/>
      <c r="F755" s="61"/>
      <c r="G755" s="61"/>
      <c r="H755" s="61"/>
      <c r="I755" s="61"/>
      <c r="J755" s="61"/>
      <c r="K755" s="61"/>
      <c r="L755" s="61"/>
      <c r="M755" s="61"/>
      <c r="N755" s="61"/>
      <c r="O755" s="61"/>
      <c r="P755" s="61"/>
      <c r="Q755" s="61"/>
      <c r="R755" s="61"/>
      <c r="S755" s="61"/>
      <c r="T755" s="35"/>
      <c r="U755" s="187"/>
      <c r="V755" s="190"/>
      <c r="W755" s="190"/>
      <c r="X755" s="190"/>
      <c r="Y755" s="190"/>
      <c r="Z755" s="190"/>
      <c r="AA755" s="191"/>
      <c r="AB755" s="190"/>
      <c r="AC755" s="190"/>
      <c r="AD755" s="190"/>
      <c r="AE755" s="190"/>
      <c r="AF755" s="190"/>
      <c r="AG755" s="190"/>
      <c r="AH755" s="191"/>
      <c r="AI755" s="190"/>
      <c r="AJ755" s="190"/>
      <c r="AK755" s="190"/>
      <c r="AL755" s="190"/>
      <c r="AM755" s="190"/>
      <c r="AN755" s="191"/>
      <c r="AO755" s="190"/>
      <c r="AP755" s="190"/>
      <c r="AQ755" s="190"/>
      <c r="AR755" s="190"/>
      <c r="AS755" s="190"/>
      <c r="AT755" s="191"/>
      <c r="AU755" s="190"/>
      <c r="AV755" s="190"/>
      <c r="AW755" s="190"/>
      <c r="AX755" s="190"/>
      <c r="AY755" s="190"/>
      <c r="AZ755" s="191"/>
      <c r="BA755" s="183"/>
      <c r="BB755" s="183"/>
      <c r="BC755" s="183"/>
      <c r="BD755" s="183"/>
      <c r="BE755" s="183"/>
      <c r="BF755" s="184"/>
      <c r="BG755" s="183"/>
      <c r="BH755" s="183"/>
      <c r="BI755" s="183"/>
      <c r="BJ755" s="183"/>
      <c r="BK755" s="183"/>
      <c r="BL755" s="184"/>
      <c r="BM755" s="409"/>
      <c r="BN755" s="409"/>
    </row>
    <row r="756" spans="1:66" s="153" customFormat="1" x14ac:dyDescent="0.2">
      <c r="A756" s="61"/>
      <c r="B756" s="61"/>
      <c r="C756" s="61"/>
      <c r="D756" s="61"/>
      <c r="E756" s="61"/>
      <c r="F756" s="61"/>
      <c r="G756" s="61"/>
      <c r="H756" s="61"/>
      <c r="I756" s="61"/>
      <c r="J756" s="61"/>
      <c r="K756" s="61"/>
      <c r="L756" s="61"/>
      <c r="M756" s="61"/>
      <c r="N756" s="61"/>
      <c r="O756" s="61"/>
      <c r="P756" s="61"/>
      <c r="Q756" s="61"/>
      <c r="R756" s="61"/>
      <c r="S756" s="61"/>
      <c r="T756" s="35"/>
      <c r="U756" s="187"/>
      <c r="V756" s="190"/>
      <c r="W756" s="190"/>
      <c r="X756" s="190"/>
      <c r="Y756" s="190"/>
      <c r="Z756" s="190"/>
      <c r="AA756" s="191"/>
      <c r="AB756" s="190"/>
      <c r="AC756" s="190"/>
      <c r="AD756" s="190"/>
      <c r="AE756" s="190"/>
      <c r="AF756" s="190"/>
      <c r="AG756" s="190"/>
      <c r="AH756" s="191"/>
      <c r="AI756" s="190"/>
      <c r="AJ756" s="190"/>
      <c r="AK756" s="190"/>
      <c r="AL756" s="190"/>
      <c r="AM756" s="190"/>
      <c r="AN756" s="191"/>
      <c r="AO756" s="190"/>
      <c r="AP756" s="190"/>
      <c r="AQ756" s="190"/>
      <c r="AR756" s="190"/>
      <c r="AS756" s="190"/>
      <c r="AT756" s="191"/>
      <c r="AU756" s="190"/>
      <c r="AV756" s="190"/>
      <c r="AW756" s="190"/>
      <c r="AX756" s="190"/>
      <c r="AY756" s="190"/>
      <c r="AZ756" s="191"/>
      <c r="BA756" s="183"/>
      <c r="BB756" s="183"/>
      <c r="BC756" s="183"/>
      <c r="BD756" s="183"/>
      <c r="BE756" s="183"/>
      <c r="BF756" s="184"/>
      <c r="BG756" s="183"/>
      <c r="BH756" s="183"/>
      <c r="BI756" s="183"/>
      <c r="BJ756" s="183"/>
      <c r="BK756" s="183"/>
      <c r="BL756" s="184"/>
      <c r="BM756" s="409"/>
      <c r="BN756" s="409"/>
    </row>
    <row r="757" spans="1:66" s="153" customFormat="1" x14ac:dyDescent="0.2">
      <c r="A757" s="61"/>
      <c r="B757" s="61"/>
      <c r="C757" s="61"/>
      <c r="D757" s="61"/>
      <c r="E757" s="61"/>
      <c r="F757" s="61"/>
      <c r="G757" s="61"/>
      <c r="H757" s="61"/>
      <c r="I757" s="61"/>
      <c r="J757" s="61"/>
      <c r="K757" s="61"/>
      <c r="L757" s="61"/>
      <c r="M757" s="61"/>
      <c r="N757" s="61"/>
      <c r="O757" s="61"/>
      <c r="P757" s="61"/>
      <c r="Q757" s="61"/>
      <c r="R757" s="61"/>
      <c r="S757" s="61"/>
      <c r="T757" s="35"/>
      <c r="U757" s="187"/>
      <c r="V757" s="190"/>
      <c r="W757" s="190"/>
      <c r="X757" s="190"/>
      <c r="Y757" s="190"/>
      <c r="Z757" s="190"/>
      <c r="AA757" s="191"/>
      <c r="AB757" s="190"/>
      <c r="AC757" s="190"/>
      <c r="AD757" s="190"/>
      <c r="AE757" s="190"/>
      <c r="AF757" s="190"/>
      <c r="AG757" s="190"/>
      <c r="AH757" s="191"/>
      <c r="AI757" s="190"/>
      <c r="AJ757" s="190"/>
      <c r="AK757" s="190"/>
      <c r="AL757" s="190"/>
      <c r="AM757" s="190"/>
      <c r="AN757" s="191"/>
      <c r="AO757" s="190"/>
      <c r="AP757" s="190"/>
      <c r="AQ757" s="190"/>
      <c r="AR757" s="190"/>
      <c r="AS757" s="190"/>
      <c r="AT757" s="191"/>
      <c r="AU757" s="190"/>
      <c r="AV757" s="190"/>
      <c r="AW757" s="190"/>
      <c r="AX757" s="190"/>
      <c r="AY757" s="190"/>
      <c r="AZ757" s="191"/>
      <c r="BA757" s="183"/>
      <c r="BB757" s="183"/>
      <c r="BC757" s="183"/>
      <c r="BD757" s="183"/>
      <c r="BE757" s="183"/>
      <c r="BF757" s="184"/>
      <c r="BG757" s="183"/>
      <c r="BH757" s="183"/>
      <c r="BI757" s="183"/>
      <c r="BJ757" s="183"/>
      <c r="BK757" s="183"/>
      <c r="BL757" s="184"/>
      <c r="BM757" s="409"/>
      <c r="BN757" s="409"/>
    </row>
    <row r="758" spans="1:66" s="153" customFormat="1" x14ac:dyDescent="0.2">
      <c r="A758" s="61"/>
      <c r="B758" s="61"/>
      <c r="C758" s="61"/>
      <c r="D758" s="61"/>
      <c r="E758" s="61"/>
      <c r="F758" s="61"/>
      <c r="G758" s="61"/>
      <c r="H758" s="61"/>
      <c r="I758" s="61"/>
      <c r="J758" s="61"/>
      <c r="K758" s="61"/>
      <c r="L758" s="61"/>
      <c r="M758" s="61"/>
      <c r="N758" s="61"/>
      <c r="O758" s="61"/>
      <c r="P758" s="61"/>
      <c r="Q758" s="61"/>
      <c r="R758" s="61"/>
      <c r="S758" s="61"/>
      <c r="T758" s="35"/>
      <c r="U758" s="187"/>
      <c r="V758" s="190"/>
      <c r="W758" s="190"/>
      <c r="X758" s="190"/>
      <c r="Y758" s="190"/>
      <c r="Z758" s="190"/>
      <c r="AA758" s="191"/>
      <c r="AB758" s="190"/>
      <c r="AC758" s="190"/>
      <c r="AD758" s="190"/>
      <c r="AE758" s="190"/>
      <c r="AF758" s="190"/>
      <c r="AG758" s="190"/>
      <c r="AH758" s="191"/>
      <c r="AI758" s="190"/>
      <c r="AJ758" s="190"/>
      <c r="AK758" s="190"/>
      <c r="AL758" s="190"/>
      <c r="AM758" s="190"/>
      <c r="AN758" s="191"/>
      <c r="AO758" s="190"/>
      <c r="AP758" s="190"/>
      <c r="AQ758" s="190"/>
      <c r="AR758" s="190"/>
      <c r="AS758" s="190"/>
      <c r="AT758" s="191"/>
      <c r="AU758" s="190"/>
      <c r="AV758" s="190"/>
      <c r="AW758" s="190"/>
      <c r="AX758" s="190"/>
      <c r="AY758" s="190"/>
      <c r="AZ758" s="191"/>
      <c r="BA758" s="183"/>
      <c r="BB758" s="183"/>
      <c r="BC758" s="183"/>
      <c r="BD758" s="183"/>
      <c r="BE758" s="183"/>
      <c r="BF758" s="184"/>
      <c r="BG758" s="183"/>
      <c r="BH758" s="183"/>
      <c r="BI758" s="183"/>
      <c r="BJ758" s="183"/>
      <c r="BK758" s="183"/>
      <c r="BL758" s="184"/>
      <c r="BM758" s="409"/>
      <c r="BN758" s="409"/>
    </row>
    <row r="759" spans="1:66" s="153" customFormat="1" x14ac:dyDescent="0.2">
      <c r="A759" s="61"/>
      <c r="B759" s="61"/>
      <c r="C759" s="61"/>
      <c r="D759" s="61"/>
      <c r="E759" s="61"/>
      <c r="F759" s="61"/>
      <c r="G759" s="61"/>
      <c r="H759" s="61"/>
      <c r="I759" s="61"/>
      <c r="J759" s="61"/>
      <c r="K759" s="61"/>
      <c r="L759" s="61"/>
      <c r="M759" s="61"/>
      <c r="N759" s="61"/>
      <c r="O759" s="61"/>
      <c r="P759" s="61"/>
      <c r="Q759" s="61"/>
      <c r="R759" s="61"/>
      <c r="S759" s="61"/>
      <c r="T759" s="35"/>
      <c r="U759" s="187"/>
      <c r="V759" s="190"/>
      <c r="W759" s="190"/>
      <c r="X759" s="190"/>
      <c r="Y759" s="190"/>
      <c r="Z759" s="190"/>
      <c r="AA759" s="191"/>
      <c r="AB759" s="190"/>
      <c r="AC759" s="190"/>
      <c r="AD759" s="190"/>
      <c r="AE759" s="190"/>
      <c r="AF759" s="190"/>
      <c r="AG759" s="190"/>
      <c r="AH759" s="191"/>
      <c r="AI759" s="190"/>
      <c r="AJ759" s="190"/>
      <c r="AK759" s="190"/>
      <c r="AL759" s="190"/>
      <c r="AM759" s="190"/>
      <c r="AN759" s="191"/>
      <c r="AO759" s="190"/>
      <c r="AP759" s="190"/>
      <c r="AQ759" s="190"/>
      <c r="AR759" s="190"/>
      <c r="AS759" s="190"/>
      <c r="AT759" s="191"/>
      <c r="AU759" s="190"/>
      <c r="AV759" s="190"/>
      <c r="AW759" s="190"/>
      <c r="AX759" s="190"/>
      <c r="AY759" s="190"/>
      <c r="AZ759" s="191"/>
      <c r="BA759" s="183"/>
      <c r="BB759" s="183"/>
      <c r="BC759" s="183"/>
      <c r="BD759" s="183"/>
      <c r="BE759" s="183"/>
      <c r="BF759" s="184"/>
      <c r="BG759" s="183"/>
      <c r="BH759" s="183"/>
      <c r="BI759" s="183"/>
      <c r="BJ759" s="183"/>
      <c r="BK759" s="183"/>
      <c r="BL759" s="184"/>
      <c r="BM759" s="409"/>
      <c r="BN759" s="409"/>
    </row>
    <row r="760" spans="1:66" s="153" customFormat="1" x14ac:dyDescent="0.2">
      <c r="A760" s="61"/>
      <c r="B760" s="61"/>
      <c r="C760" s="61"/>
      <c r="D760" s="61"/>
      <c r="E760" s="61"/>
      <c r="F760" s="61"/>
      <c r="G760" s="61"/>
      <c r="H760" s="61"/>
      <c r="I760" s="61"/>
      <c r="J760" s="61"/>
      <c r="K760" s="61"/>
      <c r="L760" s="61"/>
      <c r="M760" s="61"/>
      <c r="N760" s="61"/>
      <c r="O760" s="61"/>
      <c r="P760" s="61"/>
      <c r="Q760" s="61"/>
      <c r="R760" s="61"/>
      <c r="S760" s="61"/>
      <c r="T760" s="35"/>
      <c r="U760" s="187"/>
      <c r="V760" s="190"/>
      <c r="W760" s="190"/>
      <c r="X760" s="190"/>
      <c r="Y760" s="190"/>
      <c r="Z760" s="190"/>
      <c r="AA760" s="191"/>
      <c r="AB760" s="190"/>
      <c r="AC760" s="190"/>
      <c r="AD760" s="190"/>
      <c r="AE760" s="190"/>
      <c r="AF760" s="190"/>
      <c r="AG760" s="190"/>
      <c r="AH760" s="191"/>
      <c r="AI760" s="190"/>
      <c r="AJ760" s="190"/>
      <c r="AK760" s="190"/>
      <c r="AL760" s="190"/>
      <c r="AM760" s="190"/>
      <c r="AN760" s="191"/>
      <c r="AO760" s="190"/>
      <c r="AP760" s="190"/>
      <c r="AQ760" s="190"/>
      <c r="AR760" s="190"/>
      <c r="AS760" s="190"/>
      <c r="AT760" s="191"/>
      <c r="AU760" s="190"/>
      <c r="AV760" s="190"/>
      <c r="AW760" s="190"/>
      <c r="AX760" s="190"/>
      <c r="AY760" s="190"/>
      <c r="AZ760" s="191"/>
      <c r="BA760" s="183"/>
      <c r="BB760" s="183"/>
      <c r="BC760" s="183"/>
      <c r="BD760" s="183"/>
      <c r="BE760" s="183"/>
      <c r="BF760" s="184"/>
      <c r="BG760" s="183"/>
      <c r="BH760" s="183"/>
      <c r="BI760" s="183"/>
      <c r="BJ760" s="183"/>
      <c r="BK760" s="183"/>
      <c r="BL760" s="184"/>
      <c r="BM760" s="409"/>
      <c r="BN760" s="409"/>
    </row>
    <row r="761" spans="1:66" s="153" customFormat="1" x14ac:dyDescent="0.2">
      <c r="A761" s="61"/>
      <c r="B761" s="61"/>
      <c r="C761" s="61"/>
      <c r="D761" s="61"/>
      <c r="E761" s="61"/>
      <c r="F761" s="61"/>
      <c r="G761" s="61"/>
      <c r="H761" s="61"/>
      <c r="I761" s="61"/>
      <c r="J761" s="61"/>
      <c r="K761" s="61"/>
      <c r="L761" s="61"/>
      <c r="M761" s="61"/>
      <c r="N761" s="61"/>
      <c r="O761" s="61"/>
      <c r="P761" s="61"/>
      <c r="Q761" s="61"/>
      <c r="R761" s="61"/>
      <c r="S761" s="61"/>
      <c r="T761" s="35"/>
      <c r="U761" s="187"/>
      <c r="V761" s="190"/>
      <c r="W761" s="190"/>
      <c r="X761" s="190"/>
      <c r="Y761" s="190"/>
      <c r="Z761" s="190"/>
      <c r="AA761" s="191"/>
      <c r="AB761" s="190"/>
      <c r="AC761" s="190"/>
      <c r="AD761" s="190"/>
      <c r="AE761" s="190"/>
      <c r="AF761" s="190"/>
      <c r="AG761" s="190"/>
      <c r="AH761" s="191"/>
      <c r="AI761" s="190"/>
      <c r="AJ761" s="190"/>
      <c r="AK761" s="190"/>
      <c r="AL761" s="190"/>
      <c r="AM761" s="190"/>
      <c r="AN761" s="191"/>
      <c r="AO761" s="190"/>
      <c r="AP761" s="190"/>
      <c r="AQ761" s="190"/>
      <c r="AR761" s="190"/>
      <c r="AS761" s="190"/>
      <c r="AT761" s="191"/>
      <c r="AU761" s="190"/>
      <c r="AV761" s="190"/>
      <c r="AW761" s="190"/>
      <c r="AX761" s="190"/>
      <c r="AY761" s="190"/>
      <c r="AZ761" s="191"/>
      <c r="BA761" s="183"/>
      <c r="BB761" s="183"/>
      <c r="BC761" s="183"/>
      <c r="BD761" s="183"/>
      <c r="BE761" s="183"/>
      <c r="BF761" s="184"/>
      <c r="BG761" s="183"/>
      <c r="BH761" s="183"/>
      <c r="BI761" s="183"/>
      <c r="BJ761" s="183"/>
      <c r="BK761" s="183"/>
      <c r="BL761" s="184"/>
      <c r="BM761" s="409"/>
      <c r="BN761" s="409"/>
    </row>
    <row r="762" spans="1:66" s="153" customFormat="1" x14ac:dyDescent="0.2">
      <c r="A762" s="61"/>
      <c r="B762" s="61"/>
      <c r="C762" s="61"/>
      <c r="D762" s="61"/>
      <c r="E762" s="61"/>
      <c r="F762" s="61"/>
      <c r="G762" s="61"/>
      <c r="H762" s="61"/>
      <c r="I762" s="61"/>
      <c r="J762" s="61"/>
      <c r="K762" s="61"/>
      <c r="L762" s="61"/>
      <c r="M762" s="61"/>
      <c r="N762" s="61"/>
      <c r="O762" s="61"/>
      <c r="P762" s="61"/>
      <c r="Q762" s="61"/>
      <c r="R762" s="61"/>
      <c r="S762" s="61"/>
      <c r="T762" s="35"/>
      <c r="U762" s="187"/>
      <c r="V762" s="190"/>
      <c r="W762" s="190"/>
      <c r="X762" s="190"/>
      <c r="Y762" s="190"/>
      <c r="Z762" s="190"/>
      <c r="AA762" s="191"/>
      <c r="AB762" s="190"/>
      <c r="AC762" s="190"/>
      <c r="AD762" s="190"/>
      <c r="AE762" s="190"/>
      <c r="AF762" s="190"/>
      <c r="AG762" s="190"/>
      <c r="AH762" s="191"/>
      <c r="AI762" s="190"/>
      <c r="AJ762" s="190"/>
      <c r="AK762" s="190"/>
      <c r="AL762" s="190"/>
      <c r="AM762" s="190"/>
      <c r="AN762" s="191"/>
      <c r="AO762" s="190"/>
      <c r="AP762" s="190"/>
      <c r="AQ762" s="190"/>
      <c r="AR762" s="190"/>
      <c r="AS762" s="190"/>
      <c r="AT762" s="191"/>
      <c r="AU762" s="190"/>
      <c r="AV762" s="190"/>
      <c r="AW762" s="190"/>
      <c r="AX762" s="190"/>
      <c r="AY762" s="190"/>
      <c r="AZ762" s="191"/>
      <c r="BA762" s="183"/>
      <c r="BB762" s="183"/>
      <c r="BC762" s="183"/>
      <c r="BD762" s="183"/>
      <c r="BE762" s="183"/>
      <c r="BF762" s="184"/>
      <c r="BG762" s="183"/>
      <c r="BH762" s="183"/>
      <c r="BI762" s="183"/>
      <c r="BJ762" s="183"/>
      <c r="BK762" s="183"/>
      <c r="BL762" s="184"/>
      <c r="BM762" s="409"/>
      <c r="BN762" s="409"/>
    </row>
    <row r="763" spans="1:66" s="153" customFormat="1" x14ac:dyDescent="0.2">
      <c r="A763" s="61"/>
      <c r="B763" s="61"/>
      <c r="C763" s="61"/>
      <c r="D763" s="61"/>
      <c r="E763" s="61"/>
      <c r="F763" s="61"/>
      <c r="G763" s="61"/>
      <c r="H763" s="61"/>
      <c r="I763" s="61"/>
      <c r="J763" s="61"/>
      <c r="K763" s="61"/>
      <c r="L763" s="61"/>
      <c r="M763" s="61"/>
      <c r="N763" s="61"/>
      <c r="O763" s="61"/>
      <c r="P763" s="61"/>
      <c r="Q763" s="61"/>
      <c r="R763" s="61"/>
      <c r="S763" s="61"/>
      <c r="T763" s="35"/>
      <c r="U763" s="187"/>
      <c r="V763" s="190"/>
      <c r="W763" s="190"/>
      <c r="X763" s="190"/>
      <c r="Y763" s="190"/>
      <c r="Z763" s="190"/>
      <c r="AA763" s="191"/>
      <c r="AB763" s="190"/>
      <c r="AC763" s="190"/>
      <c r="AD763" s="190"/>
      <c r="AE763" s="190"/>
      <c r="AF763" s="190"/>
      <c r="AG763" s="190"/>
      <c r="AH763" s="191"/>
      <c r="AI763" s="190"/>
      <c r="AJ763" s="190"/>
      <c r="AK763" s="190"/>
      <c r="AL763" s="190"/>
      <c r="AM763" s="190"/>
      <c r="AN763" s="191"/>
      <c r="AO763" s="190"/>
      <c r="AP763" s="190"/>
      <c r="AQ763" s="190"/>
      <c r="AR763" s="190"/>
      <c r="AS763" s="190"/>
      <c r="AT763" s="191"/>
      <c r="AU763" s="190"/>
      <c r="AV763" s="190"/>
      <c r="AW763" s="190"/>
      <c r="AX763" s="190"/>
      <c r="AY763" s="190"/>
      <c r="AZ763" s="191"/>
      <c r="BA763" s="183"/>
      <c r="BB763" s="183"/>
      <c r="BC763" s="183"/>
      <c r="BD763" s="183"/>
      <c r="BE763" s="183"/>
      <c r="BF763" s="184"/>
      <c r="BG763" s="183"/>
      <c r="BH763" s="183"/>
      <c r="BI763" s="183"/>
      <c r="BJ763" s="183"/>
      <c r="BK763" s="183"/>
      <c r="BL763" s="184"/>
      <c r="BM763" s="409"/>
      <c r="BN763" s="409"/>
    </row>
    <row r="764" spans="1:66" s="153" customFormat="1" x14ac:dyDescent="0.2">
      <c r="A764" s="61"/>
      <c r="B764" s="61"/>
      <c r="C764" s="61"/>
      <c r="D764" s="61"/>
      <c r="E764" s="61"/>
      <c r="F764" s="61"/>
      <c r="G764" s="61"/>
      <c r="H764" s="61"/>
      <c r="I764" s="61"/>
      <c r="J764" s="61"/>
      <c r="K764" s="61"/>
      <c r="L764" s="61"/>
      <c r="M764" s="61"/>
      <c r="N764" s="61"/>
      <c r="O764" s="61"/>
      <c r="P764" s="61"/>
      <c r="Q764" s="61"/>
      <c r="R764" s="61"/>
      <c r="S764" s="61"/>
      <c r="T764" s="35"/>
      <c r="U764" s="187"/>
      <c r="V764" s="190"/>
      <c r="W764" s="190"/>
      <c r="X764" s="190"/>
      <c r="Y764" s="190"/>
      <c r="Z764" s="190"/>
      <c r="AA764" s="191"/>
      <c r="AB764" s="190"/>
      <c r="AC764" s="190"/>
      <c r="AD764" s="190"/>
      <c r="AE764" s="190"/>
      <c r="AF764" s="190"/>
      <c r="AG764" s="190"/>
      <c r="AH764" s="191"/>
      <c r="AI764" s="190"/>
      <c r="AJ764" s="190"/>
      <c r="AK764" s="190"/>
      <c r="AL764" s="190"/>
      <c r="AM764" s="190"/>
      <c r="AN764" s="191"/>
      <c r="AO764" s="190"/>
      <c r="AP764" s="190"/>
      <c r="AQ764" s="190"/>
      <c r="AR764" s="190"/>
      <c r="AS764" s="190"/>
      <c r="AT764" s="191"/>
      <c r="AU764" s="190"/>
      <c r="AV764" s="190"/>
      <c r="AW764" s="190"/>
      <c r="AX764" s="190"/>
      <c r="AY764" s="190"/>
      <c r="AZ764" s="191"/>
      <c r="BA764" s="183"/>
      <c r="BB764" s="183"/>
      <c r="BC764" s="183"/>
      <c r="BD764" s="183"/>
      <c r="BE764" s="183"/>
      <c r="BF764" s="184"/>
      <c r="BG764" s="183"/>
      <c r="BH764" s="183"/>
      <c r="BI764" s="183"/>
      <c r="BJ764" s="183"/>
      <c r="BK764" s="183"/>
      <c r="BL764" s="184"/>
      <c r="BM764" s="409"/>
      <c r="BN764" s="409"/>
    </row>
    <row r="765" spans="1:66" s="153" customFormat="1" x14ac:dyDescent="0.2">
      <c r="A765" s="61"/>
      <c r="B765" s="61"/>
      <c r="C765" s="61"/>
      <c r="D765" s="61"/>
      <c r="E765" s="61"/>
      <c r="F765" s="61"/>
      <c r="G765" s="61"/>
      <c r="H765" s="61"/>
      <c r="I765" s="61"/>
      <c r="J765" s="61"/>
      <c r="K765" s="61"/>
      <c r="L765" s="61"/>
      <c r="M765" s="61"/>
      <c r="N765" s="61"/>
      <c r="O765" s="61"/>
      <c r="P765" s="61"/>
      <c r="Q765" s="61"/>
      <c r="R765" s="61"/>
      <c r="S765" s="61"/>
      <c r="T765" s="35"/>
      <c r="U765" s="187"/>
      <c r="V765" s="190"/>
      <c r="W765" s="190"/>
      <c r="X765" s="190"/>
      <c r="Y765" s="190"/>
      <c r="Z765" s="190"/>
      <c r="AA765" s="191"/>
      <c r="AB765" s="190"/>
      <c r="AC765" s="190"/>
      <c r="AD765" s="190"/>
      <c r="AE765" s="190"/>
      <c r="AF765" s="190"/>
      <c r="AG765" s="190"/>
      <c r="AH765" s="191"/>
      <c r="AI765" s="190"/>
      <c r="AJ765" s="190"/>
      <c r="AK765" s="190"/>
      <c r="AL765" s="190"/>
      <c r="AM765" s="190"/>
      <c r="AN765" s="191"/>
      <c r="AO765" s="190"/>
      <c r="AP765" s="190"/>
      <c r="AQ765" s="190"/>
      <c r="AR765" s="190"/>
      <c r="AS765" s="190"/>
      <c r="AT765" s="191"/>
      <c r="AU765" s="190"/>
      <c r="AV765" s="190"/>
      <c r="AW765" s="190"/>
      <c r="AX765" s="190"/>
      <c r="AY765" s="190"/>
      <c r="AZ765" s="191"/>
      <c r="BA765" s="183"/>
      <c r="BB765" s="183"/>
      <c r="BC765" s="183"/>
      <c r="BD765" s="183"/>
      <c r="BE765" s="183"/>
      <c r="BF765" s="184"/>
      <c r="BG765" s="183"/>
      <c r="BH765" s="183"/>
      <c r="BI765" s="183"/>
      <c r="BJ765" s="183"/>
      <c r="BK765" s="183"/>
      <c r="BL765" s="184"/>
      <c r="BM765" s="409"/>
      <c r="BN765" s="409"/>
    </row>
    <row r="766" spans="1:66" s="153" customFormat="1" x14ac:dyDescent="0.2">
      <c r="A766" s="61"/>
      <c r="B766" s="61"/>
      <c r="C766" s="61"/>
      <c r="D766" s="61"/>
      <c r="E766" s="61"/>
      <c r="F766" s="61"/>
      <c r="G766" s="61"/>
      <c r="H766" s="61"/>
      <c r="I766" s="61"/>
      <c r="J766" s="61"/>
      <c r="K766" s="61"/>
      <c r="L766" s="61"/>
      <c r="M766" s="61"/>
      <c r="N766" s="61"/>
      <c r="O766" s="61"/>
      <c r="P766" s="61"/>
      <c r="Q766" s="61"/>
      <c r="R766" s="61"/>
      <c r="S766" s="61"/>
      <c r="T766" s="35"/>
      <c r="U766" s="187"/>
      <c r="V766" s="190"/>
      <c r="W766" s="190"/>
      <c r="X766" s="190"/>
      <c r="Y766" s="190"/>
      <c r="Z766" s="190"/>
      <c r="AA766" s="191"/>
      <c r="AB766" s="190"/>
      <c r="AC766" s="190"/>
      <c r="AD766" s="190"/>
      <c r="AE766" s="190"/>
      <c r="AF766" s="190"/>
      <c r="AG766" s="190"/>
      <c r="AH766" s="191"/>
      <c r="AI766" s="190"/>
      <c r="AJ766" s="190"/>
      <c r="AK766" s="190"/>
      <c r="AL766" s="190"/>
      <c r="AM766" s="190"/>
      <c r="AN766" s="191"/>
      <c r="AO766" s="190"/>
      <c r="AP766" s="190"/>
      <c r="AQ766" s="190"/>
      <c r="AR766" s="190"/>
      <c r="AS766" s="190"/>
      <c r="AT766" s="191"/>
      <c r="AU766" s="190"/>
      <c r="AV766" s="190"/>
      <c r="AW766" s="190"/>
      <c r="AX766" s="190"/>
      <c r="AY766" s="190"/>
      <c r="AZ766" s="191"/>
      <c r="BA766" s="183"/>
      <c r="BB766" s="183"/>
      <c r="BC766" s="183"/>
      <c r="BD766" s="183"/>
      <c r="BE766" s="183"/>
      <c r="BF766" s="184"/>
      <c r="BG766" s="183"/>
      <c r="BH766" s="183"/>
      <c r="BI766" s="183"/>
      <c r="BJ766" s="183"/>
      <c r="BK766" s="183"/>
      <c r="BL766" s="184"/>
      <c r="BM766" s="409"/>
      <c r="BN766" s="409"/>
    </row>
    <row r="767" spans="1:66" s="153" customFormat="1" x14ac:dyDescent="0.2">
      <c r="A767" s="61"/>
      <c r="B767" s="61"/>
      <c r="C767" s="61"/>
      <c r="D767" s="61"/>
      <c r="E767" s="61"/>
      <c r="F767" s="61"/>
      <c r="G767" s="61"/>
      <c r="H767" s="61"/>
      <c r="I767" s="61"/>
      <c r="J767" s="61"/>
      <c r="K767" s="61"/>
      <c r="L767" s="61"/>
      <c r="M767" s="61"/>
      <c r="N767" s="61"/>
      <c r="O767" s="61"/>
      <c r="P767" s="61"/>
      <c r="Q767" s="61"/>
      <c r="R767" s="61"/>
      <c r="S767" s="61"/>
      <c r="T767" s="35"/>
      <c r="U767" s="187"/>
      <c r="V767" s="190"/>
      <c r="W767" s="190"/>
      <c r="X767" s="190"/>
      <c r="Y767" s="190"/>
      <c r="Z767" s="190"/>
      <c r="AA767" s="191"/>
      <c r="AB767" s="190"/>
      <c r="AC767" s="190"/>
      <c r="AD767" s="190"/>
      <c r="AE767" s="190"/>
      <c r="AF767" s="190"/>
      <c r="AG767" s="190"/>
      <c r="AH767" s="191"/>
      <c r="AI767" s="190"/>
      <c r="AJ767" s="190"/>
      <c r="AK767" s="190"/>
      <c r="AL767" s="190"/>
      <c r="AM767" s="190"/>
      <c r="AN767" s="191"/>
      <c r="AO767" s="190"/>
      <c r="AP767" s="190"/>
      <c r="AQ767" s="190"/>
      <c r="AR767" s="190"/>
      <c r="AS767" s="190"/>
      <c r="AT767" s="191"/>
      <c r="AU767" s="190"/>
      <c r="AV767" s="190"/>
      <c r="AW767" s="190"/>
      <c r="AX767" s="190"/>
      <c r="AY767" s="190"/>
      <c r="AZ767" s="191"/>
      <c r="BA767" s="183"/>
      <c r="BB767" s="183"/>
      <c r="BC767" s="183"/>
      <c r="BD767" s="183"/>
      <c r="BE767" s="183"/>
      <c r="BF767" s="184"/>
      <c r="BG767" s="183"/>
      <c r="BH767" s="183"/>
      <c r="BI767" s="183"/>
      <c r="BJ767" s="183"/>
      <c r="BK767" s="183"/>
      <c r="BL767" s="184"/>
      <c r="BM767" s="409"/>
      <c r="BN767" s="409"/>
    </row>
    <row r="768" spans="1:66" s="153" customFormat="1" x14ac:dyDescent="0.2">
      <c r="A768" s="61"/>
      <c r="B768" s="61"/>
      <c r="C768" s="61"/>
      <c r="D768" s="61"/>
      <c r="E768" s="61"/>
      <c r="F768" s="61"/>
      <c r="G768" s="61"/>
      <c r="H768" s="61"/>
      <c r="I768" s="61"/>
      <c r="J768" s="61"/>
      <c r="K768" s="61"/>
      <c r="L768" s="61"/>
      <c r="M768" s="61"/>
      <c r="N768" s="61"/>
      <c r="O768" s="61"/>
      <c r="P768" s="61"/>
      <c r="Q768" s="61"/>
      <c r="R768" s="61"/>
      <c r="S768" s="61"/>
      <c r="T768" s="35"/>
      <c r="U768" s="187"/>
      <c r="V768" s="190"/>
      <c r="W768" s="190"/>
      <c r="X768" s="190"/>
      <c r="Y768" s="190"/>
      <c r="Z768" s="190"/>
      <c r="AA768" s="191"/>
      <c r="AB768" s="190"/>
      <c r="AC768" s="190"/>
      <c r="AD768" s="190"/>
      <c r="AE768" s="190"/>
      <c r="AF768" s="190"/>
      <c r="AG768" s="190"/>
      <c r="AH768" s="191"/>
      <c r="AI768" s="190"/>
      <c r="AJ768" s="190"/>
      <c r="AK768" s="190"/>
      <c r="AL768" s="190"/>
      <c r="AM768" s="190"/>
      <c r="AN768" s="191"/>
      <c r="AO768" s="190"/>
      <c r="AP768" s="190"/>
      <c r="AQ768" s="190"/>
      <c r="AR768" s="190"/>
      <c r="AS768" s="190"/>
      <c r="AT768" s="191"/>
      <c r="AU768" s="190"/>
      <c r="AV768" s="190"/>
      <c r="AW768" s="190"/>
      <c r="AX768" s="190"/>
      <c r="AY768" s="190"/>
      <c r="AZ768" s="191"/>
      <c r="BA768" s="183"/>
      <c r="BB768" s="183"/>
      <c r="BC768" s="183"/>
      <c r="BD768" s="183"/>
      <c r="BE768" s="183"/>
      <c r="BF768" s="184"/>
      <c r="BG768" s="183"/>
      <c r="BH768" s="183"/>
      <c r="BI768" s="183"/>
      <c r="BJ768" s="183"/>
      <c r="BK768" s="183"/>
      <c r="BL768" s="184"/>
      <c r="BM768" s="409"/>
      <c r="BN768" s="409"/>
    </row>
    <row r="769" spans="1:66" s="153" customFormat="1" x14ac:dyDescent="0.2">
      <c r="A769" s="61"/>
      <c r="B769" s="61"/>
      <c r="C769" s="61"/>
      <c r="D769" s="61"/>
      <c r="E769" s="61"/>
      <c r="F769" s="61"/>
      <c r="G769" s="61"/>
      <c r="H769" s="61"/>
      <c r="I769" s="61"/>
      <c r="J769" s="61"/>
      <c r="K769" s="61"/>
      <c r="L769" s="61"/>
      <c r="M769" s="61"/>
      <c r="N769" s="61"/>
      <c r="O769" s="61"/>
      <c r="P769" s="61"/>
      <c r="Q769" s="61"/>
      <c r="R769" s="61"/>
      <c r="S769" s="61"/>
      <c r="T769" s="35"/>
      <c r="U769" s="187"/>
      <c r="V769" s="190"/>
      <c r="W769" s="190"/>
      <c r="X769" s="190"/>
      <c r="Y769" s="190"/>
      <c r="Z769" s="190"/>
      <c r="AA769" s="191"/>
      <c r="AB769" s="190"/>
      <c r="AC769" s="190"/>
      <c r="AD769" s="190"/>
      <c r="AE769" s="190"/>
      <c r="AF769" s="190"/>
      <c r="AG769" s="190"/>
      <c r="AH769" s="191"/>
      <c r="AI769" s="190"/>
      <c r="AJ769" s="190"/>
      <c r="AK769" s="190"/>
      <c r="AL769" s="190"/>
      <c r="AM769" s="190"/>
      <c r="AN769" s="191"/>
      <c r="AO769" s="190"/>
      <c r="AP769" s="190"/>
      <c r="AQ769" s="190"/>
      <c r="AR769" s="190"/>
      <c r="AS769" s="190"/>
      <c r="AT769" s="191"/>
      <c r="AU769" s="190"/>
      <c r="AV769" s="190"/>
      <c r="AW769" s="190"/>
      <c r="AX769" s="190"/>
      <c r="AY769" s="190"/>
      <c r="AZ769" s="191"/>
      <c r="BA769" s="183"/>
      <c r="BB769" s="183"/>
      <c r="BC769" s="183"/>
      <c r="BD769" s="183"/>
      <c r="BE769" s="183"/>
      <c r="BF769" s="184"/>
      <c r="BG769" s="183"/>
      <c r="BH769" s="183"/>
      <c r="BI769" s="183"/>
      <c r="BJ769" s="183"/>
      <c r="BK769" s="183"/>
      <c r="BL769" s="184"/>
      <c r="BM769" s="409"/>
      <c r="BN769" s="409"/>
    </row>
    <row r="770" spans="1:66" s="153" customFormat="1" x14ac:dyDescent="0.2">
      <c r="A770" s="61"/>
      <c r="B770" s="61"/>
      <c r="C770" s="61"/>
      <c r="D770" s="61"/>
      <c r="E770" s="61"/>
      <c r="F770" s="61"/>
      <c r="G770" s="61"/>
      <c r="H770" s="61"/>
      <c r="I770" s="61"/>
      <c r="J770" s="61"/>
      <c r="K770" s="61"/>
      <c r="L770" s="61"/>
      <c r="M770" s="61"/>
      <c r="N770" s="61"/>
      <c r="O770" s="61"/>
      <c r="P770" s="61"/>
      <c r="Q770" s="61"/>
      <c r="R770" s="61"/>
      <c r="S770" s="61"/>
      <c r="T770" s="35"/>
      <c r="U770" s="187"/>
      <c r="V770" s="190"/>
      <c r="W770" s="190"/>
      <c r="X770" s="190"/>
      <c r="Y770" s="190"/>
      <c r="Z770" s="190"/>
      <c r="AA770" s="191"/>
      <c r="AB770" s="190"/>
      <c r="AC770" s="190"/>
      <c r="AD770" s="190"/>
      <c r="AE770" s="190"/>
      <c r="AF770" s="190"/>
      <c r="AG770" s="190"/>
      <c r="AH770" s="191"/>
      <c r="AI770" s="190"/>
      <c r="AJ770" s="190"/>
      <c r="AK770" s="190"/>
      <c r="AL770" s="190"/>
      <c r="AM770" s="190"/>
      <c r="AN770" s="191"/>
      <c r="AO770" s="190"/>
      <c r="AP770" s="190"/>
      <c r="AQ770" s="190"/>
      <c r="AR770" s="190"/>
      <c r="AS770" s="190"/>
      <c r="AT770" s="191"/>
      <c r="AU770" s="190"/>
      <c r="AV770" s="190"/>
      <c r="AW770" s="190"/>
      <c r="AX770" s="190"/>
      <c r="AY770" s="190"/>
      <c r="AZ770" s="191"/>
      <c r="BA770" s="183"/>
      <c r="BB770" s="183"/>
      <c r="BC770" s="183"/>
      <c r="BD770" s="183"/>
      <c r="BE770" s="183"/>
      <c r="BF770" s="184"/>
      <c r="BG770" s="183"/>
      <c r="BH770" s="183"/>
      <c r="BI770" s="183"/>
      <c r="BJ770" s="183"/>
      <c r="BK770" s="183"/>
      <c r="BL770" s="184"/>
      <c r="BM770" s="409"/>
      <c r="BN770" s="409"/>
    </row>
    <row r="771" spans="1:66" s="153" customFormat="1" x14ac:dyDescent="0.2">
      <c r="A771" s="61"/>
      <c r="B771" s="61"/>
      <c r="C771" s="61"/>
      <c r="D771" s="61"/>
      <c r="E771" s="61"/>
      <c r="F771" s="61"/>
      <c r="G771" s="61"/>
      <c r="H771" s="61"/>
      <c r="I771" s="61"/>
      <c r="J771" s="61"/>
      <c r="K771" s="61"/>
      <c r="L771" s="61"/>
      <c r="M771" s="61"/>
      <c r="N771" s="61"/>
      <c r="O771" s="61"/>
      <c r="P771" s="61"/>
      <c r="Q771" s="61"/>
      <c r="R771" s="61"/>
      <c r="S771" s="61"/>
      <c r="T771" s="35"/>
      <c r="U771" s="187"/>
      <c r="V771" s="190"/>
      <c r="W771" s="190"/>
      <c r="X771" s="190"/>
      <c r="Y771" s="190"/>
      <c r="Z771" s="190"/>
      <c r="AA771" s="191"/>
      <c r="AB771" s="190"/>
      <c r="AC771" s="190"/>
      <c r="AD771" s="190"/>
      <c r="AE771" s="190"/>
      <c r="AF771" s="190"/>
      <c r="AG771" s="190"/>
      <c r="AH771" s="191"/>
      <c r="AI771" s="190"/>
      <c r="AJ771" s="190"/>
      <c r="AK771" s="190"/>
      <c r="AL771" s="190"/>
      <c r="AM771" s="190"/>
      <c r="AN771" s="191"/>
      <c r="AO771" s="190"/>
      <c r="AP771" s="190"/>
      <c r="AQ771" s="190"/>
      <c r="AR771" s="190"/>
      <c r="AS771" s="190"/>
      <c r="AT771" s="191"/>
      <c r="AU771" s="190"/>
      <c r="AV771" s="190"/>
      <c r="AW771" s="190"/>
      <c r="AX771" s="190"/>
      <c r="AY771" s="190"/>
      <c r="AZ771" s="191"/>
      <c r="BA771" s="183"/>
      <c r="BB771" s="183"/>
      <c r="BC771" s="183"/>
      <c r="BD771" s="183"/>
      <c r="BE771" s="183"/>
      <c r="BF771" s="184"/>
      <c r="BG771" s="183"/>
      <c r="BH771" s="183"/>
      <c r="BI771" s="183"/>
      <c r="BJ771" s="183"/>
      <c r="BK771" s="183"/>
      <c r="BL771" s="184"/>
      <c r="BM771" s="409"/>
      <c r="BN771" s="409"/>
    </row>
    <row r="772" spans="1:66" s="153" customFormat="1" x14ac:dyDescent="0.2">
      <c r="A772" s="61"/>
      <c r="B772" s="61"/>
      <c r="C772" s="61"/>
      <c r="D772" s="61"/>
      <c r="E772" s="61"/>
      <c r="F772" s="61"/>
      <c r="G772" s="61"/>
      <c r="H772" s="61"/>
      <c r="I772" s="61"/>
      <c r="J772" s="61"/>
      <c r="K772" s="61"/>
      <c r="L772" s="61"/>
      <c r="M772" s="61"/>
      <c r="N772" s="61"/>
      <c r="O772" s="61"/>
      <c r="P772" s="61"/>
      <c r="Q772" s="61"/>
      <c r="R772" s="61"/>
      <c r="S772" s="61"/>
      <c r="T772" s="35"/>
      <c r="U772" s="187"/>
      <c r="V772" s="190"/>
      <c r="W772" s="190"/>
      <c r="X772" s="190"/>
      <c r="Y772" s="190"/>
      <c r="Z772" s="190"/>
      <c r="AA772" s="191"/>
      <c r="AB772" s="190"/>
      <c r="AC772" s="190"/>
      <c r="AD772" s="190"/>
      <c r="AE772" s="190"/>
      <c r="AF772" s="190"/>
      <c r="AG772" s="190"/>
      <c r="AH772" s="191"/>
      <c r="AI772" s="190"/>
      <c r="AJ772" s="190"/>
      <c r="AK772" s="190"/>
      <c r="AL772" s="190"/>
      <c r="AM772" s="190"/>
      <c r="AN772" s="191"/>
      <c r="AO772" s="190"/>
      <c r="AP772" s="190"/>
      <c r="AQ772" s="190"/>
      <c r="AR772" s="190"/>
      <c r="AS772" s="190"/>
      <c r="AT772" s="191"/>
      <c r="AU772" s="190"/>
      <c r="AV772" s="190"/>
      <c r="AW772" s="190"/>
      <c r="AX772" s="190"/>
      <c r="AY772" s="190"/>
      <c r="AZ772" s="191"/>
      <c r="BA772" s="183"/>
      <c r="BB772" s="183"/>
      <c r="BC772" s="183"/>
      <c r="BD772" s="183"/>
      <c r="BE772" s="183"/>
      <c r="BF772" s="184"/>
      <c r="BG772" s="183"/>
      <c r="BH772" s="183"/>
      <c r="BI772" s="183"/>
      <c r="BJ772" s="183"/>
      <c r="BK772" s="183"/>
      <c r="BL772" s="184"/>
      <c r="BM772" s="409"/>
      <c r="BN772" s="409"/>
    </row>
    <row r="773" spans="1:66" s="153" customFormat="1" x14ac:dyDescent="0.2">
      <c r="A773" s="61"/>
      <c r="B773" s="61"/>
      <c r="C773" s="61"/>
      <c r="D773" s="61"/>
      <c r="E773" s="61"/>
      <c r="F773" s="61"/>
      <c r="G773" s="61"/>
      <c r="H773" s="61"/>
      <c r="I773" s="61"/>
      <c r="J773" s="61"/>
      <c r="K773" s="61"/>
      <c r="L773" s="61"/>
      <c r="M773" s="61"/>
      <c r="N773" s="61"/>
      <c r="O773" s="61"/>
      <c r="P773" s="61"/>
      <c r="Q773" s="61"/>
      <c r="R773" s="61"/>
      <c r="S773" s="61"/>
      <c r="T773" s="35"/>
      <c r="U773" s="187"/>
      <c r="V773" s="190"/>
      <c r="W773" s="190"/>
      <c r="X773" s="190"/>
      <c r="Y773" s="190"/>
      <c r="Z773" s="190"/>
      <c r="AA773" s="191"/>
      <c r="AB773" s="190"/>
      <c r="AC773" s="190"/>
      <c r="AD773" s="190"/>
      <c r="AE773" s="190"/>
      <c r="AF773" s="190"/>
      <c r="AG773" s="190"/>
      <c r="AH773" s="191"/>
      <c r="AI773" s="190"/>
      <c r="AJ773" s="190"/>
      <c r="AK773" s="190"/>
      <c r="AL773" s="190"/>
      <c r="AM773" s="190"/>
      <c r="AN773" s="191"/>
      <c r="AO773" s="190"/>
      <c r="AP773" s="190"/>
      <c r="AQ773" s="190"/>
      <c r="AR773" s="190"/>
      <c r="AS773" s="190"/>
      <c r="AT773" s="191"/>
      <c r="AU773" s="190"/>
      <c r="AV773" s="190"/>
      <c r="AW773" s="190"/>
      <c r="AX773" s="190"/>
      <c r="AY773" s="190"/>
      <c r="AZ773" s="191"/>
      <c r="BA773" s="183"/>
      <c r="BB773" s="183"/>
      <c r="BC773" s="183"/>
      <c r="BD773" s="183"/>
      <c r="BE773" s="183"/>
      <c r="BF773" s="184"/>
      <c r="BG773" s="183"/>
      <c r="BH773" s="183"/>
      <c r="BI773" s="183"/>
      <c r="BJ773" s="183"/>
      <c r="BK773" s="183"/>
      <c r="BL773" s="184"/>
      <c r="BM773" s="409"/>
      <c r="BN773" s="409"/>
    </row>
    <row r="774" spans="1:66" s="153" customFormat="1" x14ac:dyDescent="0.2">
      <c r="A774" s="61"/>
      <c r="B774" s="61"/>
      <c r="C774" s="61"/>
      <c r="D774" s="61"/>
      <c r="E774" s="61"/>
      <c r="F774" s="61"/>
      <c r="G774" s="61"/>
      <c r="H774" s="61"/>
      <c r="I774" s="61"/>
      <c r="J774" s="61"/>
      <c r="K774" s="61"/>
      <c r="L774" s="61"/>
      <c r="M774" s="61"/>
      <c r="N774" s="61"/>
      <c r="O774" s="61"/>
      <c r="P774" s="61"/>
      <c r="Q774" s="61"/>
      <c r="R774" s="61"/>
      <c r="S774" s="61"/>
      <c r="T774" s="35"/>
      <c r="U774" s="187"/>
      <c r="V774" s="190"/>
      <c r="W774" s="190"/>
      <c r="X774" s="190"/>
      <c r="Y774" s="190"/>
      <c r="Z774" s="190"/>
      <c r="AA774" s="191"/>
      <c r="AB774" s="190"/>
      <c r="AC774" s="190"/>
      <c r="AD774" s="190"/>
      <c r="AE774" s="190"/>
      <c r="AF774" s="190"/>
      <c r="AG774" s="190"/>
      <c r="AH774" s="191"/>
      <c r="AI774" s="190"/>
      <c r="AJ774" s="190"/>
      <c r="AK774" s="190"/>
      <c r="AL774" s="190"/>
      <c r="AM774" s="190"/>
      <c r="AN774" s="191"/>
      <c r="AO774" s="190"/>
      <c r="AP774" s="190"/>
      <c r="AQ774" s="190"/>
      <c r="AR774" s="190"/>
      <c r="AS774" s="190"/>
      <c r="AT774" s="191"/>
      <c r="AU774" s="190"/>
      <c r="AV774" s="190"/>
      <c r="AW774" s="190"/>
      <c r="AX774" s="190"/>
      <c r="AY774" s="190"/>
      <c r="AZ774" s="191"/>
      <c r="BA774" s="183"/>
      <c r="BB774" s="183"/>
      <c r="BC774" s="183"/>
      <c r="BD774" s="183"/>
      <c r="BE774" s="183"/>
      <c r="BF774" s="184"/>
      <c r="BG774" s="183"/>
      <c r="BH774" s="183"/>
      <c r="BI774" s="183"/>
      <c r="BJ774" s="183"/>
      <c r="BK774" s="183"/>
      <c r="BL774" s="184"/>
      <c r="BM774" s="409"/>
      <c r="BN774" s="409"/>
    </row>
    <row r="775" spans="1:66" s="153" customFormat="1" x14ac:dyDescent="0.2">
      <c r="A775" s="61"/>
      <c r="B775" s="61"/>
      <c r="C775" s="61"/>
      <c r="D775" s="61"/>
      <c r="E775" s="61"/>
      <c r="F775" s="61"/>
      <c r="G775" s="61"/>
      <c r="H775" s="61"/>
      <c r="I775" s="61"/>
      <c r="J775" s="61"/>
      <c r="K775" s="61"/>
      <c r="L775" s="61"/>
      <c r="M775" s="61"/>
      <c r="N775" s="61"/>
      <c r="O775" s="61"/>
      <c r="P775" s="61"/>
      <c r="Q775" s="61"/>
      <c r="R775" s="61"/>
      <c r="S775" s="61"/>
      <c r="T775" s="35"/>
      <c r="U775" s="187"/>
      <c r="V775" s="190"/>
      <c r="W775" s="190"/>
      <c r="X775" s="190"/>
      <c r="Y775" s="190"/>
      <c r="Z775" s="190"/>
      <c r="AA775" s="191"/>
      <c r="AB775" s="190"/>
      <c r="AC775" s="190"/>
      <c r="AD775" s="190"/>
      <c r="AE775" s="190"/>
      <c r="AF775" s="190"/>
      <c r="AG775" s="190"/>
      <c r="AH775" s="191"/>
      <c r="AI775" s="190"/>
      <c r="AJ775" s="190"/>
      <c r="AK775" s="190"/>
      <c r="AL775" s="190"/>
      <c r="AM775" s="190"/>
      <c r="AN775" s="191"/>
      <c r="AO775" s="190"/>
      <c r="AP775" s="190"/>
      <c r="AQ775" s="190"/>
      <c r="AR775" s="190"/>
      <c r="AS775" s="190"/>
      <c r="AT775" s="191"/>
      <c r="AU775" s="190"/>
      <c r="AV775" s="190"/>
      <c r="AW775" s="190"/>
      <c r="AX775" s="190"/>
      <c r="AY775" s="190"/>
      <c r="AZ775" s="191"/>
      <c r="BA775" s="183"/>
      <c r="BB775" s="183"/>
      <c r="BC775" s="183"/>
      <c r="BD775" s="183"/>
      <c r="BE775" s="183"/>
      <c r="BF775" s="184"/>
      <c r="BG775" s="183"/>
      <c r="BH775" s="183"/>
      <c r="BI775" s="183"/>
      <c r="BJ775" s="183"/>
      <c r="BK775" s="183"/>
      <c r="BL775" s="184"/>
      <c r="BM775" s="409"/>
      <c r="BN775" s="409"/>
    </row>
    <row r="776" spans="1:66" s="153" customFormat="1" x14ac:dyDescent="0.2">
      <c r="A776" s="61"/>
      <c r="B776" s="61"/>
      <c r="C776" s="61"/>
      <c r="D776" s="61"/>
      <c r="E776" s="61"/>
      <c r="F776" s="61"/>
      <c r="G776" s="61"/>
      <c r="H776" s="61"/>
      <c r="I776" s="61"/>
      <c r="J776" s="61"/>
      <c r="K776" s="61"/>
      <c r="L776" s="61"/>
      <c r="M776" s="61"/>
      <c r="N776" s="61"/>
      <c r="O776" s="61"/>
      <c r="P776" s="61"/>
      <c r="Q776" s="61"/>
      <c r="R776" s="61"/>
      <c r="S776" s="61"/>
      <c r="T776" s="35"/>
      <c r="U776" s="187"/>
      <c r="V776" s="190"/>
      <c r="W776" s="190"/>
      <c r="X776" s="190"/>
      <c r="Y776" s="190"/>
      <c r="Z776" s="190"/>
      <c r="AA776" s="191"/>
      <c r="AB776" s="190"/>
      <c r="AC776" s="190"/>
      <c r="AD776" s="190"/>
      <c r="AE776" s="190"/>
      <c r="AF776" s="190"/>
      <c r="AG776" s="190"/>
      <c r="AH776" s="191"/>
      <c r="AI776" s="190"/>
      <c r="AJ776" s="190"/>
      <c r="AK776" s="190"/>
      <c r="AL776" s="190"/>
      <c r="AM776" s="190"/>
      <c r="AN776" s="191"/>
      <c r="AO776" s="190"/>
      <c r="AP776" s="190"/>
      <c r="AQ776" s="190"/>
      <c r="AR776" s="190"/>
      <c r="AS776" s="190"/>
      <c r="AT776" s="191"/>
      <c r="AU776" s="190"/>
      <c r="AV776" s="190"/>
      <c r="AW776" s="190"/>
      <c r="AX776" s="190"/>
      <c r="AY776" s="190"/>
      <c r="AZ776" s="191"/>
      <c r="BA776" s="183"/>
      <c r="BB776" s="183"/>
      <c r="BC776" s="183"/>
      <c r="BD776" s="183"/>
      <c r="BE776" s="183"/>
      <c r="BF776" s="184"/>
      <c r="BG776" s="183"/>
      <c r="BH776" s="183"/>
      <c r="BI776" s="183"/>
      <c r="BJ776" s="183"/>
      <c r="BK776" s="183"/>
      <c r="BL776" s="184"/>
      <c r="BM776" s="409"/>
      <c r="BN776" s="409"/>
    </row>
    <row r="777" spans="1:66" s="153" customFormat="1" x14ac:dyDescent="0.2">
      <c r="A777" s="61"/>
      <c r="B777" s="61"/>
      <c r="C777" s="61"/>
      <c r="D777" s="61"/>
      <c r="E777" s="61"/>
      <c r="F777" s="61"/>
      <c r="G777" s="61"/>
      <c r="H777" s="61"/>
      <c r="I777" s="61"/>
      <c r="J777" s="61"/>
      <c r="K777" s="61"/>
      <c r="L777" s="61"/>
      <c r="M777" s="61"/>
      <c r="N777" s="61"/>
      <c r="O777" s="61"/>
      <c r="P777" s="61"/>
      <c r="Q777" s="61"/>
      <c r="R777" s="61"/>
      <c r="S777" s="61"/>
      <c r="T777" s="35"/>
      <c r="U777" s="187"/>
      <c r="V777" s="190"/>
      <c r="W777" s="190"/>
      <c r="X777" s="190"/>
      <c r="Y777" s="190"/>
      <c r="Z777" s="190"/>
      <c r="AA777" s="191"/>
      <c r="AB777" s="190"/>
      <c r="AC777" s="190"/>
      <c r="AD777" s="190"/>
      <c r="AE777" s="190"/>
      <c r="AF777" s="190"/>
      <c r="AG777" s="190"/>
      <c r="AH777" s="191"/>
      <c r="AI777" s="190"/>
      <c r="AJ777" s="190"/>
      <c r="AK777" s="190"/>
      <c r="AL777" s="190"/>
      <c r="AM777" s="190"/>
      <c r="AN777" s="191"/>
      <c r="AO777" s="190"/>
      <c r="AP777" s="190"/>
      <c r="AQ777" s="190"/>
      <c r="AR777" s="190"/>
      <c r="AS777" s="190"/>
      <c r="AT777" s="191"/>
      <c r="AU777" s="190"/>
      <c r="AV777" s="190"/>
      <c r="AW777" s="190"/>
      <c r="AX777" s="190"/>
      <c r="AY777" s="190"/>
      <c r="AZ777" s="191"/>
      <c r="BA777" s="183"/>
      <c r="BB777" s="183"/>
      <c r="BC777" s="183"/>
      <c r="BD777" s="183"/>
      <c r="BE777" s="183"/>
      <c r="BF777" s="184"/>
      <c r="BG777" s="183"/>
      <c r="BH777" s="183"/>
      <c r="BI777" s="183"/>
      <c r="BJ777" s="183"/>
      <c r="BK777" s="183"/>
      <c r="BL777" s="184"/>
      <c r="BM777" s="409"/>
      <c r="BN777" s="409"/>
    </row>
    <row r="778" spans="1:66" s="153" customFormat="1" x14ac:dyDescent="0.2">
      <c r="A778" s="61"/>
      <c r="B778" s="61"/>
      <c r="C778" s="61"/>
      <c r="D778" s="61"/>
      <c r="E778" s="61"/>
      <c r="F778" s="61"/>
      <c r="G778" s="61"/>
      <c r="H778" s="61"/>
      <c r="I778" s="61"/>
      <c r="J778" s="61"/>
      <c r="K778" s="61"/>
      <c r="L778" s="61"/>
      <c r="M778" s="61"/>
      <c r="N778" s="61"/>
      <c r="O778" s="61"/>
      <c r="P778" s="61"/>
      <c r="Q778" s="61"/>
      <c r="R778" s="61"/>
      <c r="S778" s="61"/>
      <c r="T778" s="35"/>
      <c r="U778" s="187"/>
      <c r="V778" s="190"/>
      <c r="W778" s="190"/>
      <c r="X778" s="190"/>
      <c r="Y778" s="190"/>
      <c r="Z778" s="190"/>
      <c r="AA778" s="191"/>
      <c r="AB778" s="190"/>
      <c r="AC778" s="190"/>
      <c r="AD778" s="190"/>
      <c r="AE778" s="190"/>
      <c r="AF778" s="190"/>
      <c r="AG778" s="190"/>
      <c r="AH778" s="191"/>
      <c r="AI778" s="190"/>
      <c r="AJ778" s="190"/>
      <c r="AK778" s="190"/>
      <c r="AL778" s="190"/>
      <c r="AM778" s="190"/>
      <c r="AN778" s="191"/>
      <c r="AO778" s="190"/>
      <c r="AP778" s="190"/>
      <c r="AQ778" s="190"/>
      <c r="AR778" s="190"/>
      <c r="AS778" s="190"/>
      <c r="AT778" s="191"/>
      <c r="AU778" s="190"/>
      <c r="AV778" s="190"/>
      <c r="AW778" s="190"/>
      <c r="AX778" s="190"/>
      <c r="AY778" s="190"/>
      <c r="AZ778" s="191"/>
      <c r="BA778" s="183"/>
      <c r="BB778" s="183"/>
      <c r="BC778" s="183"/>
      <c r="BD778" s="183"/>
      <c r="BE778" s="183"/>
      <c r="BF778" s="184"/>
      <c r="BG778" s="183"/>
      <c r="BH778" s="183"/>
      <c r="BI778" s="183"/>
      <c r="BJ778" s="183"/>
      <c r="BK778" s="183"/>
      <c r="BL778" s="184"/>
      <c r="BM778" s="409"/>
      <c r="BN778" s="409"/>
    </row>
    <row r="779" spans="1:66" s="153" customFormat="1" x14ac:dyDescent="0.2">
      <c r="A779" s="61"/>
      <c r="B779" s="61"/>
      <c r="C779" s="61"/>
      <c r="D779" s="61"/>
      <c r="E779" s="61"/>
      <c r="F779" s="61"/>
      <c r="G779" s="61"/>
      <c r="H779" s="61"/>
      <c r="I779" s="61"/>
      <c r="J779" s="61"/>
      <c r="K779" s="61"/>
      <c r="L779" s="61"/>
      <c r="M779" s="61"/>
      <c r="N779" s="61"/>
      <c r="O779" s="61"/>
      <c r="P779" s="61"/>
      <c r="Q779" s="61"/>
      <c r="R779" s="61"/>
      <c r="S779" s="61"/>
      <c r="T779" s="35"/>
      <c r="U779" s="187"/>
      <c r="V779" s="190"/>
      <c r="W779" s="190"/>
      <c r="X779" s="190"/>
      <c r="Y779" s="190"/>
      <c r="Z779" s="190"/>
      <c r="AA779" s="191"/>
      <c r="AB779" s="190"/>
      <c r="AC779" s="190"/>
      <c r="AD779" s="190"/>
      <c r="AE779" s="190"/>
      <c r="AF779" s="190"/>
      <c r="AG779" s="190"/>
      <c r="AH779" s="191"/>
      <c r="AI779" s="190"/>
      <c r="AJ779" s="190"/>
      <c r="AK779" s="190"/>
      <c r="AL779" s="190"/>
      <c r="AM779" s="190"/>
      <c r="AN779" s="191"/>
      <c r="AO779" s="190"/>
      <c r="AP779" s="190"/>
      <c r="AQ779" s="190"/>
      <c r="AR779" s="190"/>
      <c r="AS779" s="190"/>
      <c r="AT779" s="191"/>
      <c r="AU779" s="190"/>
      <c r="AV779" s="190"/>
      <c r="AW779" s="190"/>
      <c r="AX779" s="190"/>
      <c r="AY779" s="190"/>
      <c r="AZ779" s="191"/>
      <c r="BA779" s="183"/>
      <c r="BB779" s="183"/>
      <c r="BC779" s="183"/>
      <c r="BD779" s="183"/>
      <c r="BE779" s="183"/>
      <c r="BF779" s="184"/>
      <c r="BG779" s="183"/>
      <c r="BH779" s="183"/>
      <c r="BI779" s="183"/>
      <c r="BJ779" s="183"/>
      <c r="BK779" s="183"/>
      <c r="BL779" s="184"/>
      <c r="BM779" s="409"/>
      <c r="BN779" s="409"/>
    </row>
    <row r="780" spans="1:66" s="153" customFormat="1" x14ac:dyDescent="0.2">
      <c r="A780" s="61"/>
      <c r="B780" s="61"/>
      <c r="C780" s="61"/>
      <c r="D780" s="61"/>
      <c r="E780" s="61"/>
      <c r="F780" s="61"/>
      <c r="G780" s="61"/>
      <c r="H780" s="61"/>
      <c r="I780" s="61"/>
      <c r="J780" s="61"/>
      <c r="K780" s="61"/>
      <c r="L780" s="61"/>
      <c r="M780" s="61"/>
      <c r="N780" s="61"/>
      <c r="O780" s="61"/>
      <c r="P780" s="61"/>
      <c r="Q780" s="61"/>
      <c r="R780" s="61"/>
      <c r="S780" s="61"/>
      <c r="T780" s="35"/>
      <c r="U780" s="187"/>
      <c r="V780" s="190"/>
      <c r="W780" s="190"/>
      <c r="X780" s="190"/>
      <c r="Y780" s="190"/>
      <c r="Z780" s="190"/>
      <c r="AA780" s="191"/>
      <c r="AB780" s="190"/>
      <c r="AC780" s="190"/>
      <c r="AD780" s="190"/>
      <c r="AE780" s="190"/>
      <c r="AF780" s="190"/>
      <c r="AG780" s="190"/>
      <c r="AH780" s="191"/>
      <c r="AI780" s="190"/>
      <c r="AJ780" s="190"/>
      <c r="AK780" s="190"/>
      <c r="AL780" s="190"/>
      <c r="AM780" s="190"/>
      <c r="AN780" s="191"/>
      <c r="AO780" s="190"/>
      <c r="AP780" s="190"/>
      <c r="AQ780" s="190"/>
      <c r="AR780" s="190"/>
      <c r="AS780" s="190"/>
      <c r="AT780" s="191"/>
      <c r="AU780" s="190"/>
      <c r="AV780" s="190"/>
      <c r="AW780" s="190"/>
      <c r="AX780" s="190"/>
      <c r="AY780" s="190"/>
      <c r="AZ780" s="191"/>
      <c r="BA780" s="183"/>
      <c r="BB780" s="183"/>
      <c r="BC780" s="183"/>
      <c r="BD780" s="183"/>
      <c r="BE780" s="183"/>
      <c r="BF780" s="184"/>
      <c r="BG780" s="183"/>
      <c r="BH780" s="183"/>
      <c r="BI780" s="183"/>
      <c r="BJ780" s="183"/>
      <c r="BK780" s="183"/>
      <c r="BL780" s="184"/>
      <c r="BM780" s="409"/>
      <c r="BN780" s="409"/>
    </row>
    <row r="781" spans="1:66" s="153" customFormat="1" x14ac:dyDescent="0.2">
      <c r="A781" s="61"/>
      <c r="B781" s="61"/>
      <c r="C781" s="61"/>
      <c r="D781" s="61"/>
      <c r="E781" s="61"/>
      <c r="F781" s="61"/>
      <c r="G781" s="61"/>
      <c r="H781" s="61"/>
      <c r="I781" s="61"/>
      <c r="J781" s="61"/>
      <c r="K781" s="61"/>
      <c r="L781" s="61"/>
      <c r="M781" s="61"/>
      <c r="N781" s="61"/>
      <c r="O781" s="61"/>
      <c r="P781" s="61"/>
      <c r="Q781" s="61"/>
      <c r="R781" s="61"/>
      <c r="S781" s="61"/>
      <c r="T781" s="35"/>
      <c r="U781" s="187"/>
      <c r="V781" s="190"/>
      <c r="W781" s="190"/>
      <c r="X781" s="190"/>
      <c r="Y781" s="190"/>
      <c r="Z781" s="190"/>
      <c r="AA781" s="191"/>
      <c r="AB781" s="190"/>
      <c r="AC781" s="190"/>
      <c r="AD781" s="190"/>
      <c r="AE781" s="190"/>
      <c r="AF781" s="190"/>
      <c r="AG781" s="190"/>
      <c r="AH781" s="191"/>
      <c r="AI781" s="190"/>
      <c r="AJ781" s="190"/>
      <c r="AK781" s="190"/>
      <c r="AL781" s="190"/>
      <c r="AM781" s="190"/>
      <c r="AN781" s="191"/>
      <c r="AO781" s="190"/>
      <c r="AP781" s="190"/>
      <c r="AQ781" s="190"/>
      <c r="AR781" s="190"/>
      <c r="AS781" s="190"/>
      <c r="AT781" s="191"/>
      <c r="AU781" s="190"/>
      <c r="AV781" s="190"/>
      <c r="AW781" s="190"/>
      <c r="AX781" s="190"/>
      <c r="AY781" s="190"/>
      <c r="AZ781" s="191"/>
      <c r="BA781" s="183"/>
      <c r="BB781" s="183"/>
      <c r="BC781" s="183"/>
      <c r="BD781" s="183"/>
      <c r="BE781" s="183"/>
      <c r="BF781" s="184"/>
      <c r="BG781" s="183"/>
      <c r="BH781" s="183"/>
      <c r="BI781" s="183"/>
      <c r="BJ781" s="183"/>
      <c r="BK781" s="183"/>
      <c r="BL781" s="184"/>
      <c r="BM781" s="409"/>
      <c r="BN781" s="409"/>
    </row>
    <row r="782" spans="1:66" s="153" customFormat="1" x14ac:dyDescent="0.2">
      <c r="A782" s="61"/>
      <c r="B782" s="61"/>
      <c r="C782" s="61"/>
      <c r="D782" s="61"/>
      <c r="E782" s="61"/>
      <c r="F782" s="61"/>
      <c r="G782" s="61"/>
      <c r="H782" s="61"/>
      <c r="I782" s="61"/>
      <c r="J782" s="61"/>
      <c r="K782" s="61"/>
      <c r="L782" s="61"/>
      <c r="M782" s="61"/>
      <c r="N782" s="61"/>
      <c r="O782" s="61"/>
      <c r="P782" s="61"/>
      <c r="Q782" s="61"/>
      <c r="R782" s="61"/>
      <c r="S782" s="61"/>
      <c r="T782" s="35"/>
      <c r="U782" s="187"/>
      <c r="V782" s="190"/>
      <c r="W782" s="190"/>
      <c r="X782" s="190"/>
      <c r="Y782" s="190"/>
      <c r="Z782" s="190"/>
      <c r="AA782" s="191"/>
      <c r="AB782" s="190"/>
      <c r="AC782" s="190"/>
      <c r="AD782" s="190"/>
      <c r="AE782" s="190"/>
      <c r="AF782" s="190"/>
      <c r="AG782" s="190"/>
      <c r="AH782" s="191"/>
      <c r="AI782" s="190"/>
      <c r="AJ782" s="190"/>
      <c r="AK782" s="190"/>
      <c r="AL782" s="190"/>
      <c r="AM782" s="190"/>
      <c r="AN782" s="191"/>
      <c r="AO782" s="190"/>
      <c r="AP782" s="190"/>
      <c r="AQ782" s="190"/>
      <c r="AR782" s="190"/>
      <c r="AS782" s="190"/>
      <c r="AT782" s="191"/>
      <c r="AU782" s="190"/>
      <c r="AV782" s="190"/>
      <c r="AW782" s="190"/>
      <c r="AX782" s="190"/>
      <c r="AY782" s="190"/>
      <c r="AZ782" s="191"/>
      <c r="BA782" s="183"/>
      <c r="BB782" s="183"/>
      <c r="BC782" s="183"/>
      <c r="BD782" s="183"/>
      <c r="BE782" s="183"/>
      <c r="BF782" s="184"/>
      <c r="BG782" s="183"/>
      <c r="BH782" s="183"/>
      <c r="BI782" s="183"/>
      <c r="BJ782" s="183"/>
      <c r="BK782" s="183"/>
      <c r="BL782" s="184"/>
      <c r="BM782" s="409"/>
      <c r="BN782" s="409"/>
    </row>
    <row r="783" spans="1:66" s="153" customFormat="1" x14ac:dyDescent="0.2">
      <c r="A783" s="61"/>
      <c r="B783" s="61"/>
      <c r="C783" s="61"/>
      <c r="D783" s="61"/>
      <c r="E783" s="61"/>
      <c r="F783" s="61"/>
      <c r="G783" s="61"/>
      <c r="H783" s="61"/>
      <c r="I783" s="61"/>
      <c r="J783" s="61"/>
      <c r="K783" s="61"/>
      <c r="L783" s="61"/>
      <c r="M783" s="61"/>
      <c r="N783" s="61"/>
      <c r="O783" s="61"/>
      <c r="P783" s="61"/>
      <c r="Q783" s="61"/>
      <c r="R783" s="61"/>
      <c r="S783" s="61"/>
      <c r="T783" s="35"/>
      <c r="U783" s="187"/>
      <c r="V783" s="190"/>
      <c r="W783" s="190"/>
      <c r="X783" s="190"/>
      <c r="Y783" s="190"/>
      <c r="Z783" s="190"/>
      <c r="AA783" s="191"/>
      <c r="AB783" s="190"/>
      <c r="AC783" s="190"/>
      <c r="AD783" s="190"/>
      <c r="AE783" s="190"/>
      <c r="AF783" s="190"/>
      <c r="AG783" s="190"/>
      <c r="AH783" s="191"/>
      <c r="AI783" s="190"/>
      <c r="AJ783" s="190"/>
      <c r="AK783" s="190"/>
      <c r="AL783" s="190"/>
      <c r="AM783" s="190"/>
      <c r="AN783" s="191"/>
      <c r="AO783" s="190"/>
      <c r="AP783" s="190"/>
      <c r="AQ783" s="190"/>
      <c r="AR783" s="190"/>
      <c r="AS783" s="190"/>
      <c r="AT783" s="191"/>
      <c r="AU783" s="190"/>
      <c r="AV783" s="190"/>
      <c r="AW783" s="190"/>
      <c r="AX783" s="190"/>
      <c r="AY783" s="190"/>
      <c r="AZ783" s="191"/>
      <c r="BA783" s="183"/>
      <c r="BB783" s="183"/>
      <c r="BC783" s="183"/>
      <c r="BD783" s="183"/>
      <c r="BE783" s="183"/>
      <c r="BF783" s="184"/>
      <c r="BG783" s="183"/>
      <c r="BH783" s="183"/>
      <c r="BI783" s="183"/>
      <c r="BJ783" s="183"/>
      <c r="BK783" s="183"/>
      <c r="BL783" s="184"/>
      <c r="BM783" s="409"/>
      <c r="BN783" s="409"/>
    </row>
    <row r="784" spans="1:66" s="153" customFormat="1" x14ac:dyDescent="0.2">
      <c r="A784" s="61"/>
      <c r="B784" s="61"/>
      <c r="C784" s="61"/>
      <c r="D784" s="61"/>
      <c r="E784" s="61"/>
      <c r="F784" s="61"/>
      <c r="G784" s="61"/>
      <c r="H784" s="61"/>
      <c r="I784" s="61"/>
      <c r="J784" s="61"/>
      <c r="K784" s="61"/>
      <c r="L784" s="61"/>
      <c r="M784" s="61"/>
      <c r="N784" s="61"/>
      <c r="O784" s="61"/>
      <c r="P784" s="61"/>
      <c r="Q784" s="61"/>
      <c r="R784" s="61"/>
      <c r="S784" s="61"/>
      <c r="T784" s="35"/>
      <c r="U784" s="187"/>
      <c r="V784" s="190"/>
      <c r="W784" s="190"/>
      <c r="X784" s="190"/>
      <c r="Y784" s="190"/>
      <c r="Z784" s="190"/>
      <c r="AA784" s="191"/>
      <c r="AB784" s="190"/>
      <c r="AC784" s="190"/>
      <c r="AD784" s="190"/>
      <c r="AE784" s="190"/>
      <c r="AF784" s="190"/>
      <c r="AG784" s="190"/>
      <c r="AH784" s="191"/>
      <c r="AI784" s="190"/>
      <c r="AJ784" s="190"/>
      <c r="AK784" s="190"/>
      <c r="AL784" s="190"/>
      <c r="AM784" s="190"/>
      <c r="AN784" s="191"/>
      <c r="AO784" s="190"/>
      <c r="AP784" s="190"/>
      <c r="AQ784" s="190"/>
      <c r="AR784" s="190"/>
      <c r="AS784" s="190"/>
      <c r="AT784" s="191"/>
      <c r="AU784" s="190"/>
      <c r="AV784" s="190"/>
      <c r="AW784" s="190"/>
      <c r="AX784" s="190"/>
      <c r="AY784" s="190"/>
      <c r="AZ784" s="191"/>
      <c r="BA784" s="183"/>
      <c r="BB784" s="183"/>
      <c r="BC784" s="183"/>
      <c r="BD784" s="183"/>
      <c r="BE784" s="183"/>
      <c r="BF784" s="184"/>
      <c r="BG784" s="183"/>
      <c r="BH784" s="183"/>
      <c r="BI784" s="183"/>
      <c r="BJ784" s="183"/>
      <c r="BK784" s="183"/>
      <c r="BL784" s="184"/>
      <c r="BM784" s="409"/>
      <c r="BN784" s="409"/>
    </row>
    <row r="785" spans="1:66" s="153" customFormat="1" x14ac:dyDescent="0.2">
      <c r="A785" s="61"/>
      <c r="B785" s="61"/>
      <c r="C785" s="61"/>
      <c r="D785" s="61"/>
      <c r="E785" s="61"/>
      <c r="F785" s="61"/>
      <c r="G785" s="61"/>
      <c r="H785" s="61"/>
      <c r="I785" s="61"/>
      <c r="J785" s="61"/>
      <c r="K785" s="61"/>
      <c r="L785" s="61"/>
      <c r="M785" s="61"/>
      <c r="N785" s="61"/>
      <c r="O785" s="61"/>
      <c r="P785" s="61"/>
      <c r="Q785" s="61"/>
      <c r="R785" s="61"/>
      <c r="S785" s="61"/>
      <c r="T785" s="35"/>
      <c r="U785" s="187"/>
      <c r="V785" s="190"/>
      <c r="W785" s="190"/>
      <c r="X785" s="190"/>
      <c r="Y785" s="190"/>
      <c r="Z785" s="190"/>
      <c r="AA785" s="191"/>
      <c r="AB785" s="190"/>
      <c r="AC785" s="190"/>
      <c r="AD785" s="190"/>
      <c r="AE785" s="190"/>
      <c r="AF785" s="190"/>
      <c r="AG785" s="190"/>
      <c r="AH785" s="191"/>
      <c r="AI785" s="190"/>
      <c r="AJ785" s="190"/>
      <c r="AK785" s="190"/>
      <c r="AL785" s="190"/>
      <c r="AM785" s="190"/>
      <c r="AN785" s="191"/>
      <c r="AO785" s="190"/>
      <c r="AP785" s="190"/>
      <c r="AQ785" s="190"/>
      <c r="AR785" s="190"/>
      <c r="AS785" s="190"/>
      <c r="AT785" s="191"/>
      <c r="AU785" s="190"/>
      <c r="AV785" s="190"/>
      <c r="AW785" s="190"/>
      <c r="AX785" s="190"/>
      <c r="AY785" s="190"/>
      <c r="AZ785" s="191"/>
      <c r="BA785" s="183"/>
      <c r="BB785" s="183"/>
      <c r="BC785" s="183"/>
      <c r="BD785" s="183"/>
      <c r="BE785" s="183"/>
      <c r="BF785" s="184"/>
      <c r="BG785" s="183"/>
      <c r="BH785" s="183"/>
      <c r="BI785" s="183"/>
      <c r="BJ785" s="183"/>
      <c r="BK785" s="183"/>
      <c r="BL785" s="184"/>
      <c r="BM785" s="409"/>
      <c r="BN785" s="409"/>
    </row>
    <row r="786" spans="1:66" s="153" customFormat="1" x14ac:dyDescent="0.2">
      <c r="A786" s="61"/>
      <c r="B786" s="61"/>
      <c r="C786" s="61"/>
      <c r="D786" s="61"/>
      <c r="E786" s="61"/>
      <c r="F786" s="61"/>
      <c r="G786" s="61"/>
      <c r="H786" s="61"/>
      <c r="I786" s="61"/>
      <c r="J786" s="61"/>
      <c r="K786" s="61"/>
      <c r="L786" s="61"/>
      <c r="M786" s="61"/>
      <c r="N786" s="61"/>
      <c r="O786" s="61"/>
      <c r="P786" s="61"/>
      <c r="Q786" s="61"/>
      <c r="R786" s="61"/>
      <c r="S786" s="61"/>
      <c r="T786" s="35"/>
      <c r="U786" s="187"/>
      <c r="V786" s="190"/>
      <c r="W786" s="190"/>
      <c r="X786" s="190"/>
      <c r="Y786" s="190"/>
      <c r="Z786" s="190"/>
      <c r="AA786" s="191"/>
      <c r="AB786" s="190"/>
      <c r="AC786" s="190"/>
      <c r="AD786" s="190"/>
      <c r="AE786" s="190"/>
      <c r="AF786" s="190"/>
      <c r="AG786" s="190"/>
      <c r="AH786" s="191"/>
      <c r="AI786" s="190"/>
      <c r="AJ786" s="190"/>
      <c r="AK786" s="190"/>
      <c r="AL786" s="190"/>
      <c r="AM786" s="190"/>
      <c r="AN786" s="191"/>
      <c r="AO786" s="190"/>
      <c r="AP786" s="190"/>
      <c r="AQ786" s="190"/>
      <c r="AR786" s="190"/>
      <c r="AS786" s="190"/>
      <c r="AT786" s="191"/>
      <c r="AU786" s="190"/>
      <c r="AV786" s="190"/>
      <c r="AW786" s="190"/>
      <c r="AX786" s="190"/>
      <c r="AY786" s="190"/>
      <c r="AZ786" s="191"/>
      <c r="BA786" s="183"/>
      <c r="BB786" s="183"/>
      <c r="BC786" s="183"/>
      <c r="BD786" s="183"/>
      <c r="BE786" s="183"/>
      <c r="BF786" s="184"/>
      <c r="BG786" s="183"/>
      <c r="BH786" s="183"/>
      <c r="BI786" s="183"/>
      <c r="BJ786" s="183"/>
      <c r="BK786" s="183"/>
      <c r="BL786" s="184"/>
      <c r="BM786" s="409"/>
      <c r="BN786" s="409"/>
    </row>
    <row r="787" spans="1:66" s="153" customFormat="1" x14ac:dyDescent="0.2">
      <c r="A787" s="61"/>
      <c r="B787" s="61"/>
      <c r="C787" s="61"/>
      <c r="D787" s="61"/>
      <c r="E787" s="61"/>
      <c r="F787" s="61"/>
      <c r="G787" s="61"/>
      <c r="H787" s="61"/>
      <c r="I787" s="61"/>
      <c r="J787" s="61"/>
      <c r="K787" s="61"/>
      <c r="L787" s="61"/>
      <c r="M787" s="61"/>
      <c r="N787" s="61"/>
      <c r="O787" s="61"/>
      <c r="P787" s="61"/>
      <c r="Q787" s="61"/>
      <c r="R787" s="61"/>
      <c r="S787" s="61"/>
      <c r="T787" s="35"/>
      <c r="U787" s="187"/>
      <c r="V787" s="190"/>
      <c r="W787" s="190"/>
      <c r="X787" s="190"/>
      <c r="Y787" s="190"/>
      <c r="Z787" s="190"/>
      <c r="AA787" s="191"/>
      <c r="AB787" s="190"/>
      <c r="AC787" s="190"/>
      <c r="AD787" s="190"/>
      <c r="AE787" s="190"/>
      <c r="AF787" s="190"/>
      <c r="AG787" s="190"/>
      <c r="AH787" s="191"/>
      <c r="AI787" s="190"/>
      <c r="AJ787" s="190"/>
      <c r="AK787" s="190"/>
      <c r="AL787" s="190"/>
      <c r="AM787" s="190"/>
      <c r="AN787" s="191"/>
      <c r="AO787" s="190"/>
      <c r="AP787" s="190"/>
      <c r="AQ787" s="190"/>
      <c r="AR787" s="190"/>
      <c r="AS787" s="190"/>
      <c r="AT787" s="191"/>
      <c r="AU787" s="190"/>
      <c r="AV787" s="190"/>
      <c r="AW787" s="190"/>
      <c r="AX787" s="190"/>
      <c r="AY787" s="190"/>
      <c r="AZ787" s="191"/>
      <c r="BA787" s="183"/>
      <c r="BB787" s="183"/>
      <c r="BC787" s="183"/>
      <c r="BD787" s="183"/>
      <c r="BE787" s="183"/>
      <c r="BF787" s="184"/>
      <c r="BG787" s="183"/>
      <c r="BH787" s="183"/>
      <c r="BI787" s="183"/>
      <c r="BJ787" s="183"/>
      <c r="BK787" s="183"/>
      <c r="BL787" s="184"/>
      <c r="BM787" s="409"/>
      <c r="BN787" s="409"/>
    </row>
    <row r="788" spans="1:66" s="153" customFormat="1" x14ac:dyDescent="0.2">
      <c r="A788" s="61"/>
      <c r="B788" s="61"/>
      <c r="C788" s="61"/>
      <c r="D788" s="61"/>
      <c r="E788" s="61"/>
      <c r="F788" s="61"/>
      <c r="G788" s="61"/>
      <c r="H788" s="61"/>
      <c r="I788" s="61"/>
      <c r="J788" s="61"/>
      <c r="K788" s="61"/>
      <c r="L788" s="61"/>
      <c r="M788" s="61"/>
      <c r="N788" s="61"/>
      <c r="O788" s="61"/>
      <c r="P788" s="61"/>
      <c r="Q788" s="61"/>
      <c r="R788" s="61"/>
      <c r="S788" s="61"/>
      <c r="T788" s="35"/>
      <c r="U788" s="187"/>
      <c r="V788" s="190"/>
      <c r="W788" s="190"/>
      <c r="X788" s="190"/>
      <c r="Y788" s="190"/>
      <c r="Z788" s="190"/>
      <c r="AA788" s="191"/>
      <c r="AB788" s="190"/>
      <c r="AC788" s="190"/>
      <c r="AD788" s="190"/>
      <c r="AE788" s="190"/>
      <c r="AF788" s="190"/>
      <c r="AG788" s="190"/>
      <c r="AH788" s="191"/>
      <c r="AI788" s="190"/>
      <c r="AJ788" s="190"/>
      <c r="AK788" s="190"/>
      <c r="AL788" s="190"/>
      <c r="AM788" s="190"/>
      <c r="AN788" s="191"/>
      <c r="AO788" s="190"/>
      <c r="AP788" s="190"/>
      <c r="AQ788" s="190"/>
      <c r="AR788" s="190"/>
      <c r="AS788" s="190"/>
      <c r="AT788" s="191"/>
      <c r="AU788" s="190"/>
      <c r="AV788" s="190"/>
      <c r="AW788" s="190"/>
      <c r="AX788" s="190"/>
      <c r="AY788" s="190"/>
      <c r="AZ788" s="191"/>
      <c r="BA788" s="183"/>
      <c r="BB788" s="183"/>
      <c r="BC788" s="183"/>
      <c r="BD788" s="183"/>
      <c r="BE788" s="183"/>
      <c r="BF788" s="184"/>
      <c r="BG788" s="183"/>
      <c r="BH788" s="183"/>
      <c r="BI788" s="183"/>
      <c r="BJ788" s="183"/>
      <c r="BK788" s="183"/>
      <c r="BL788" s="184"/>
      <c r="BM788" s="409"/>
      <c r="BN788" s="409"/>
    </row>
    <row r="789" spans="1:66" s="153" customFormat="1" x14ac:dyDescent="0.2">
      <c r="A789" s="61"/>
      <c r="B789" s="61"/>
      <c r="C789" s="61"/>
      <c r="D789" s="61"/>
      <c r="E789" s="61"/>
      <c r="F789" s="61"/>
      <c r="G789" s="61"/>
      <c r="H789" s="61"/>
      <c r="I789" s="61"/>
      <c r="J789" s="61"/>
      <c r="K789" s="61"/>
      <c r="L789" s="61"/>
      <c r="M789" s="61"/>
      <c r="N789" s="61"/>
      <c r="O789" s="61"/>
      <c r="P789" s="61"/>
      <c r="Q789" s="61"/>
      <c r="R789" s="61"/>
      <c r="S789" s="61"/>
      <c r="T789" s="35"/>
      <c r="U789" s="187"/>
      <c r="V789" s="190"/>
      <c r="W789" s="190"/>
      <c r="X789" s="190"/>
      <c r="Y789" s="190"/>
      <c r="Z789" s="190"/>
      <c r="AA789" s="191"/>
      <c r="AB789" s="190"/>
      <c r="AC789" s="190"/>
      <c r="AD789" s="190"/>
      <c r="AE789" s="190"/>
      <c r="AF789" s="190"/>
      <c r="AG789" s="190"/>
      <c r="AH789" s="191"/>
      <c r="AI789" s="190"/>
      <c r="AJ789" s="190"/>
      <c r="AK789" s="190"/>
      <c r="AL789" s="190"/>
      <c r="AM789" s="190"/>
      <c r="AN789" s="191"/>
      <c r="AO789" s="190"/>
      <c r="AP789" s="190"/>
      <c r="AQ789" s="190"/>
      <c r="AR789" s="190"/>
      <c r="AS789" s="190"/>
      <c r="AT789" s="191"/>
      <c r="AU789" s="190"/>
      <c r="AV789" s="190"/>
      <c r="AW789" s="190"/>
      <c r="AX789" s="190"/>
      <c r="AY789" s="190"/>
      <c r="AZ789" s="191"/>
      <c r="BA789" s="183"/>
      <c r="BB789" s="183"/>
      <c r="BC789" s="183"/>
      <c r="BD789" s="183"/>
      <c r="BE789" s="183"/>
      <c r="BF789" s="184"/>
      <c r="BG789" s="183"/>
      <c r="BH789" s="183"/>
      <c r="BI789" s="183"/>
      <c r="BJ789" s="183"/>
      <c r="BK789" s="183"/>
      <c r="BL789" s="184"/>
      <c r="BM789" s="409"/>
      <c r="BN789" s="409"/>
    </row>
    <row r="790" spans="1:66" s="153" customFormat="1" x14ac:dyDescent="0.2">
      <c r="A790" s="61"/>
      <c r="B790" s="61"/>
      <c r="C790" s="61"/>
      <c r="D790" s="61"/>
      <c r="E790" s="61"/>
      <c r="F790" s="61"/>
      <c r="G790" s="61"/>
      <c r="H790" s="61"/>
      <c r="I790" s="61"/>
      <c r="J790" s="61"/>
      <c r="K790" s="61"/>
      <c r="L790" s="61"/>
      <c r="M790" s="61"/>
      <c r="N790" s="61"/>
      <c r="O790" s="61"/>
      <c r="P790" s="61"/>
      <c r="Q790" s="61"/>
      <c r="R790" s="61"/>
      <c r="S790" s="61"/>
      <c r="T790" s="35"/>
      <c r="U790" s="187"/>
      <c r="V790" s="190"/>
      <c r="W790" s="190"/>
      <c r="X790" s="190"/>
      <c r="Y790" s="190"/>
      <c r="Z790" s="190"/>
      <c r="AA790" s="191"/>
      <c r="AB790" s="190"/>
      <c r="AC790" s="190"/>
      <c r="AD790" s="190"/>
      <c r="AE790" s="190"/>
      <c r="AF790" s="190"/>
      <c r="AG790" s="190"/>
      <c r="AH790" s="191"/>
      <c r="AI790" s="190"/>
      <c r="AJ790" s="190"/>
      <c r="AK790" s="190"/>
      <c r="AL790" s="190"/>
      <c r="AM790" s="190"/>
      <c r="AN790" s="191"/>
      <c r="AO790" s="190"/>
      <c r="AP790" s="190"/>
      <c r="AQ790" s="190"/>
      <c r="AR790" s="190"/>
      <c r="AS790" s="190"/>
      <c r="AT790" s="191"/>
      <c r="AU790" s="190"/>
      <c r="AV790" s="190"/>
      <c r="AW790" s="190"/>
      <c r="AX790" s="190"/>
      <c r="AY790" s="190"/>
      <c r="AZ790" s="191"/>
      <c r="BA790" s="183"/>
      <c r="BB790" s="183"/>
      <c r="BC790" s="183"/>
      <c r="BD790" s="183"/>
      <c r="BE790" s="183"/>
      <c r="BF790" s="184"/>
      <c r="BG790" s="183"/>
      <c r="BH790" s="183"/>
      <c r="BI790" s="183"/>
      <c r="BJ790" s="183"/>
      <c r="BK790" s="183"/>
      <c r="BL790" s="184"/>
      <c r="BM790" s="409"/>
      <c r="BN790" s="409"/>
    </row>
    <row r="791" spans="1:66" s="153" customFormat="1" x14ac:dyDescent="0.2">
      <c r="A791" s="61"/>
      <c r="B791" s="61"/>
      <c r="C791" s="61"/>
      <c r="D791" s="61"/>
      <c r="E791" s="61"/>
      <c r="F791" s="61"/>
      <c r="G791" s="61"/>
      <c r="H791" s="61"/>
      <c r="I791" s="61"/>
      <c r="J791" s="61"/>
      <c r="K791" s="61"/>
      <c r="L791" s="61"/>
      <c r="M791" s="61"/>
      <c r="N791" s="61"/>
      <c r="O791" s="61"/>
      <c r="P791" s="61"/>
      <c r="Q791" s="61"/>
      <c r="R791" s="61"/>
      <c r="S791" s="61"/>
      <c r="T791" s="35"/>
      <c r="U791" s="187"/>
      <c r="V791" s="190"/>
      <c r="W791" s="190"/>
      <c r="X791" s="190"/>
      <c r="Y791" s="190"/>
      <c r="Z791" s="190"/>
      <c r="AA791" s="191"/>
      <c r="AB791" s="190"/>
      <c r="AC791" s="190"/>
      <c r="AD791" s="190"/>
      <c r="AE791" s="190"/>
      <c r="AF791" s="190"/>
      <c r="AG791" s="190"/>
      <c r="AH791" s="191"/>
      <c r="AI791" s="190"/>
      <c r="AJ791" s="190"/>
      <c r="AK791" s="190"/>
      <c r="AL791" s="190"/>
      <c r="AM791" s="190"/>
      <c r="AN791" s="191"/>
      <c r="AO791" s="190"/>
      <c r="AP791" s="190"/>
      <c r="AQ791" s="190"/>
      <c r="AR791" s="190"/>
      <c r="AS791" s="190"/>
      <c r="AT791" s="191"/>
      <c r="AU791" s="190"/>
      <c r="AV791" s="190"/>
      <c r="AW791" s="190"/>
      <c r="AX791" s="190"/>
      <c r="AY791" s="190"/>
      <c r="AZ791" s="191"/>
      <c r="BA791" s="183"/>
      <c r="BB791" s="183"/>
      <c r="BC791" s="183"/>
      <c r="BD791" s="183"/>
      <c r="BE791" s="183"/>
      <c r="BF791" s="184"/>
      <c r="BG791" s="183"/>
      <c r="BH791" s="183"/>
      <c r="BI791" s="183"/>
      <c r="BJ791" s="183"/>
      <c r="BK791" s="183"/>
      <c r="BL791" s="184"/>
      <c r="BM791" s="409"/>
      <c r="BN791" s="409"/>
    </row>
    <row r="792" spans="1:66" s="153" customFormat="1" x14ac:dyDescent="0.2">
      <c r="A792" s="61"/>
      <c r="B792" s="61"/>
      <c r="C792" s="61"/>
      <c r="D792" s="61"/>
      <c r="E792" s="61"/>
      <c r="F792" s="61"/>
      <c r="G792" s="61"/>
      <c r="H792" s="61"/>
      <c r="I792" s="61"/>
      <c r="J792" s="61"/>
      <c r="K792" s="61"/>
      <c r="L792" s="61"/>
      <c r="M792" s="61"/>
      <c r="N792" s="61"/>
      <c r="O792" s="61"/>
      <c r="P792" s="61"/>
      <c r="Q792" s="61"/>
      <c r="R792" s="61"/>
      <c r="S792" s="61"/>
      <c r="T792" s="35"/>
      <c r="U792" s="187"/>
      <c r="V792" s="190"/>
      <c r="W792" s="190"/>
      <c r="X792" s="190"/>
      <c r="Y792" s="190"/>
      <c r="Z792" s="190"/>
      <c r="AA792" s="191"/>
      <c r="AB792" s="190"/>
      <c r="AC792" s="190"/>
      <c r="AD792" s="190"/>
      <c r="AE792" s="190"/>
      <c r="AF792" s="190"/>
      <c r="AG792" s="190"/>
      <c r="AH792" s="191"/>
      <c r="AI792" s="190"/>
      <c r="AJ792" s="190"/>
      <c r="AK792" s="190"/>
      <c r="AL792" s="190"/>
      <c r="AM792" s="190"/>
      <c r="AN792" s="191"/>
      <c r="AO792" s="190"/>
      <c r="AP792" s="190"/>
      <c r="AQ792" s="190"/>
      <c r="AR792" s="190"/>
      <c r="AS792" s="190"/>
      <c r="AT792" s="191"/>
      <c r="AU792" s="190"/>
      <c r="AV792" s="190"/>
      <c r="AW792" s="190"/>
      <c r="AX792" s="190"/>
      <c r="AY792" s="190"/>
      <c r="AZ792" s="191"/>
      <c r="BA792" s="183"/>
      <c r="BB792" s="183"/>
      <c r="BC792" s="183"/>
      <c r="BD792" s="183"/>
      <c r="BE792" s="183"/>
      <c r="BF792" s="184"/>
      <c r="BG792" s="183"/>
      <c r="BH792" s="183"/>
      <c r="BI792" s="183"/>
      <c r="BJ792" s="183"/>
      <c r="BK792" s="183"/>
      <c r="BL792" s="184"/>
      <c r="BM792" s="409"/>
      <c r="BN792" s="409"/>
    </row>
    <row r="793" spans="1:66" s="153" customFormat="1" x14ac:dyDescent="0.2">
      <c r="A793" s="61"/>
      <c r="B793" s="61"/>
      <c r="C793" s="61"/>
      <c r="D793" s="61"/>
      <c r="E793" s="61"/>
      <c r="F793" s="61"/>
      <c r="G793" s="61"/>
      <c r="H793" s="61"/>
      <c r="I793" s="61"/>
      <c r="J793" s="61"/>
      <c r="K793" s="61"/>
      <c r="L793" s="61"/>
      <c r="M793" s="61"/>
      <c r="N793" s="61"/>
      <c r="O793" s="61"/>
      <c r="P793" s="61"/>
      <c r="Q793" s="61"/>
      <c r="R793" s="61"/>
      <c r="S793" s="61"/>
      <c r="T793" s="35"/>
      <c r="U793" s="187"/>
      <c r="V793" s="190"/>
      <c r="W793" s="190"/>
      <c r="X793" s="190"/>
      <c r="Y793" s="190"/>
      <c r="Z793" s="190"/>
      <c r="AA793" s="191"/>
      <c r="AB793" s="190"/>
      <c r="AC793" s="190"/>
      <c r="AD793" s="190"/>
      <c r="AE793" s="190"/>
      <c r="AF793" s="190"/>
      <c r="AG793" s="190"/>
      <c r="AH793" s="191"/>
      <c r="AI793" s="190"/>
      <c r="AJ793" s="190"/>
      <c r="AK793" s="190"/>
      <c r="AL793" s="190"/>
      <c r="AM793" s="190"/>
      <c r="AN793" s="191"/>
      <c r="AO793" s="190"/>
      <c r="AP793" s="190"/>
      <c r="AQ793" s="190"/>
      <c r="AR793" s="190"/>
      <c r="AS793" s="190"/>
      <c r="AT793" s="191"/>
      <c r="AU793" s="190"/>
      <c r="AV793" s="190"/>
      <c r="AW793" s="190"/>
      <c r="AX793" s="190"/>
      <c r="AY793" s="190"/>
      <c r="AZ793" s="191"/>
      <c r="BA793" s="183"/>
      <c r="BB793" s="183"/>
      <c r="BC793" s="183"/>
      <c r="BD793" s="183"/>
      <c r="BE793" s="183"/>
      <c r="BF793" s="184"/>
      <c r="BG793" s="183"/>
      <c r="BH793" s="183"/>
      <c r="BI793" s="183"/>
      <c r="BJ793" s="183"/>
      <c r="BK793" s="183"/>
      <c r="BL793" s="184"/>
      <c r="BM793" s="409"/>
      <c r="BN793" s="409"/>
    </row>
    <row r="794" spans="1:66" s="153" customFormat="1" x14ac:dyDescent="0.2">
      <c r="A794" s="61"/>
      <c r="B794" s="61"/>
      <c r="C794" s="61"/>
      <c r="D794" s="61"/>
      <c r="E794" s="61"/>
      <c r="F794" s="61"/>
      <c r="G794" s="61"/>
      <c r="H794" s="61"/>
      <c r="I794" s="61"/>
      <c r="J794" s="61"/>
      <c r="K794" s="61"/>
      <c r="L794" s="61"/>
      <c r="M794" s="61"/>
      <c r="N794" s="61"/>
      <c r="O794" s="61"/>
      <c r="P794" s="61"/>
      <c r="Q794" s="61"/>
      <c r="R794" s="61"/>
      <c r="S794" s="61"/>
      <c r="T794" s="35"/>
      <c r="U794" s="187"/>
      <c r="V794" s="190"/>
      <c r="W794" s="190"/>
      <c r="X794" s="190"/>
      <c r="Y794" s="190"/>
      <c r="Z794" s="190"/>
      <c r="AA794" s="191"/>
      <c r="AB794" s="190"/>
      <c r="AC794" s="190"/>
      <c r="AD794" s="190"/>
      <c r="AE794" s="190"/>
      <c r="AF794" s="190"/>
      <c r="AG794" s="190"/>
      <c r="AH794" s="191"/>
      <c r="AI794" s="190"/>
      <c r="AJ794" s="190"/>
      <c r="AK794" s="190"/>
      <c r="AL794" s="190"/>
      <c r="AM794" s="190"/>
      <c r="AN794" s="191"/>
      <c r="AO794" s="190"/>
      <c r="AP794" s="190"/>
      <c r="AQ794" s="190"/>
      <c r="AR794" s="190"/>
      <c r="AS794" s="190"/>
      <c r="AT794" s="191"/>
      <c r="AU794" s="190"/>
      <c r="AV794" s="190"/>
      <c r="AW794" s="190"/>
      <c r="AX794" s="190"/>
      <c r="AY794" s="190"/>
      <c r="AZ794" s="191"/>
      <c r="BA794" s="183"/>
      <c r="BB794" s="183"/>
      <c r="BC794" s="183"/>
      <c r="BD794" s="183"/>
      <c r="BE794" s="183"/>
      <c r="BF794" s="184"/>
      <c r="BG794" s="183"/>
      <c r="BH794" s="183"/>
      <c r="BI794" s="183"/>
      <c r="BJ794" s="183"/>
      <c r="BK794" s="183"/>
      <c r="BL794" s="184"/>
      <c r="BM794" s="409"/>
      <c r="BN794" s="409"/>
    </row>
    <row r="795" spans="1:66" s="153" customFormat="1" x14ac:dyDescent="0.2">
      <c r="A795" s="61"/>
      <c r="B795" s="61"/>
      <c r="C795" s="61"/>
      <c r="D795" s="61"/>
      <c r="E795" s="61"/>
      <c r="F795" s="61"/>
      <c r="G795" s="61"/>
      <c r="H795" s="61"/>
      <c r="I795" s="61"/>
      <c r="J795" s="61"/>
      <c r="K795" s="61"/>
      <c r="L795" s="61"/>
      <c r="M795" s="61"/>
      <c r="N795" s="61"/>
      <c r="O795" s="61"/>
      <c r="P795" s="61"/>
      <c r="Q795" s="61"/>
      <c r="R795" s="61"/>
      <c r="S795" s="61"/>
      <c r="T795" s="35"/>
      <c r="U795" s="187"/>
      <c r="V795" s="190"/>
      <c r="W795" s="190"/>
      <c r="X795" s="190"/>
      <c r="Y795" s="190"/>
      <c r="Z795" s="190"/>
      <c r="AA795" s="191"/>
      <c r="AB795" s="190"/>
      <c r="AC795" s="190"/>
      <c r="AD795" s="190"/>
      <c r="AE795" s="190"/>
      <c r="AF795" s="190"/>
      <c r="AG795" s="190"/>
      <c r="AH795" s="191"/>
      <c r="AI795" s="190"/>
      <c r="AJ795" s="190"/>
      <c r="AK795" s="190"/>
      <c r="AL795" s="190"/>
      <c r="AM795" s="190"/>
      <c r="AN795" s="191"/>
      <c r="AO795" s="190"/>
      <c r="AP795" s="190"/>
      <c r="AQ795" s="190"/>
      <c r="AR795" s="190"/>
      <c r="AS795" s="190"/>
      <c r="AT795" s="191"/>
      <c r="AU795" s="190"/>
      <c r="AV795" s="190"/>
      <c r="AW795" s="190"/>
      <c r="AX795" s="190"/>
      <c r="AY795" s="190"/>
      <c r="AZ795" s="191"/>
      <c r="BA795" s="183"/>
      <c r="BB795" s="183"/>
      <c r="BC795" s="183"/>
      <c r="BD795" s="183"/>
      <c r="BE795" s="183"/>
      <c r="BF795" s="184"/>
      <c r="BG795" s="183"/>
      <c r="BH795" s="183"/>
      <c r="BI795" s="183"/>
      <c r="BJ795" s="183"/>
      <c r="BK795" s="183"/>
      <c r="BL795" s="184"/>
      <c r="BM795" s="409"/>
      <c r="BN795" s="409"/>
    </row>
    <row r="796" spans="1:66" s="153" customFormat="1" x14ac:dyDescent="0.2">
      <c r="A796" s="61"/>
      <c r="B796" s="61"/>
      <c r="C796" s="61"/>
      <c r="D796" s="61"/>
      <c r="E796" s="61"/>
      <c r="F796" s="61"/>
      <c r="G796" s="61"/>
      <c r="H796" s="61"/>
      <c r="I796" s="61"/>
      <c r="J796" s="61"/>
      <c r="K796" s="61"/>
      <c r="L796" s="61"/>
      <c r="M796" s="61"/>
      <c r="N796" s="61"/>
      <c r="O796" s="61"/>
      <c r="P796" s="61"/>
      <c r="Q796" s="61"/>
      <c r="R796" s="61"/>
      <c r="S796" s="61"/>
      <c r="T796" s="35"/>
      <c r="U796" s="187"/>
      <c r="V796" s="190"/>
      <c r="W796" s="190"/>
      <c r="X796" s="190"/>
      <c r="Y796" s="190"/>
      <c r="Z796" s="190"/>
      <c r="AA796" s="191"/>
      <c r="AB796" s="190"/>
      <c r="AC796" s="190"/>
      <c r="AD796" s="190"/>
      <c r="AE796" s="190"/>
      <c r="AF796" s="190"/>
      <c r="AG796" s="190"/>
      <c r="AH796" s="191"/>
      <c r="AI796" s="190"/>
      <c r="AJ796" s="190"/>
      <c r="AK796" s="190"/>
      <c r="AL796" s="190"/>
      <c r="AM796" s="190"/>
      <c r="AN796" s="191"/>
      <c r="AO796" s="190"/>
      <c r="AP796" s="190"/>
      <c r="AQ796" s="190"/>
      <c r="AR796" s="190"/>
      <c r="AS796" s="190"/>
      <c r="AT796" s="191"/>
      <c r="AU796" s="190"/>
      <c r="AV796" s="190"/>
      <c r="AW796" s="190"/>
      <c r="AX796" s="190"/>
      <c r="AY796" s="190"/>
      <c r="AZ796" s="191"/>
      <c r="BA796" s="183"/>
      <c r="BB796" s="183"/>
      <c r="BC796" s="183"/>
      <c r="BD796" s="183"/>
      <c r="BE796" s="183"/>
      <c r="BF796" s="184"/>
      <c r="BG796" s="183"/>
      <c r="BH796" s="183"/>
      <c r="BI796" s="183"/>
      <c r="BJ796" s="183"/>
      <c r="BK796" s="183"/>
      <c r="BL796" s="184"/>
      <c r="BM796" s="409"/>
      <c r="BN796" s="409"/>
    </row>
    <row r="797" spans="1:66" s="153" customFormat="1" x14ac:dyDescent="0.2">
      <c r="A797" s="61"/>
      <c r="B797" s="61"/>
      <c r="C797" s="61"/>
      <c r="D797" s="61"/>
      <c r="E797" s="61"/>
      <c r="F797" s="61"/>
      <c r="G797" s="61"/>
      <c r="H797" s="61"/>
      <c r="I797" s="61"/>
      <c r="J797" s="61"/>
      <c r="K797" s="61"/>
      <c r="L797" s="61"/>
      <c r="M797" s="61"/>
      <c r="N797" s="61"/>
      <c r="O797" s="61"/>
      <c r="P797" s="61"/>
      <c r="Q797" s="61"/>
      <c r="R797" s="61"/>
      <c r="S797" s="61"/>
      <c r="T797" s="35"/>
      <c r="U797" s="187"/>
      <c r="V797" s="190"/>
      <c r="W797" s="190"/>
      <c r="X797" s="190"/>
      <c r="Y797" s="190"/>
      <c r="Z797" s="190"/>
      <c r="AA797" s="191"/>
      <c r="AB797" s="190"/>
      <c r="AC797" s="190"/>
      <c r="AD797" s="190"/>
      <c r="AE797" s="190"/>
      <c r="AF797" s="190"/>
      <c r="AG797" s="190"/>
      <c r="AH797" s="191"/>
      <c r="AI797" s="190"/>
      <c r="AJ797" s="190"/>
      <c r="AK797" s="190"/>
      <c r="AL797" s="190"/>
      <c r="AM797" s="190"/>
      <c r="AN797" s="191"/>
      <c r="AO797" s="190"/>
      <c r="AP797" s="190"/>
      <c r="AQ797" s="190"/>
      <c r="AR797" s="190"/>
      <c r="AS797" s="190"/>
      <c r="AT797" s="191"/>
      <c r="AU797" s="190"/>
      <c r="AV797" s="190"/>
      <c r="AW797" s="190"/>
      <c r="AX797" s="190"/>
      <c r="AY797" s="190"/>
      <c r="AZ797" s="191"/>
      <c r="BA797" s="183"/>
      <c r="BB797" s="183"/>
      <c r="BC797" s="183"/>
      <c r="BD797" s="183"/>
      <c r="BE797" s="183"/>
      <c r="BF797" s="184"/>
      <c r="BG797" s="183"/>
      <c r="BH797" s="183"/>
      <c r="BI797" s="183"/>
      <c r="BJ797" s="183"/>
      <c r="BK797" s="183"/>
      <c r="BL797" s="184"/>
      <c r="BM797" s="409"/>
      <c r="BN797" s="409"/>
    </row>
    <row r="798" spans="1:66" s="153" customFormat="1" x14ac:dyDescent="0.2">
      <c r="A798" s="61"/>
      <c r="B798" s="61"/>
      <c r="C798" s="61"/>
      <c r="D798" s="61"/>
      <c r="E798" s="61"/>
      <c r="F798" s="61"/>
      <c r="G798" s="61"/>
      <c r="H798" s="61"/>
      <c r="I798" s="61"/>
      <c r="J798" s="61"/>
      <c r="K798" s="61"/>
      <c r="L798" s="61"/>
      <c r="M798" s="61"/>
      <c r="N798" s="61"/>
      <c r="O798" s="61"/>
      <c r="P798" s="61"/>
      <c r="Q798" s="61"/>
      <c r="R798" s="61"/>
      <c r="S798" s="61"/>
      <c r="T798" s="35"/>
      <c r="U798" s="187"/>
      <c r="V798" s="190"/>
      <c r="W798" s="190"/>
      <c r="X798" s="190"/>
      <c r="Y798" s="190"/>
      <c r="Z798" s="190"/>
      <c r="AA798" s="191"/>
      <c r="AB798" s="190"/>
      <c r="AC798" s="190"/>
      <c r="AD798" s="190"/>
      <c r="AE798" s="190"/>
      <c r="AF798" s="190"/>
      <c r="AG798" s="190"/>
      <c r="AH798" s="191"/>
      <c r="AI798" s="190"/>
      <c r="AJ798" s="190"/>
      <c r="AK798" s="190"/>
      <c r="AL798" s="190"/>
      <c r="AM798" s="190"/>
      <c r="AN798" s="191"/>
      <c r="AO798" s="190"/>
      <c r="AP798" s="190"/>
      <c r="AQ798" s="190"/>
      <c r="AR798" s="190"/>
      <c r="AS798" s="190"/>
      <c r="AT798" s="191"/>
      <c r="AU798" s="190"/>
      <c r="AV798" s="190"/>
      <c r="AW798" s="190"/>
      <c r="AX798" s="190"/>
      <c r="AY798" s="190"/>
      <c r="AZ798" s="191"/>
      <c r="BA798" s="183"/>
      <c r="BB798" s="183"/>
      <c r="BC798" s="183"/>
      <c r="BD798" s="183"/>
      <c r="BE798" s="183"/>
      <c r="BF798" s="184"/>
      <c r="BG798" s="183"/>
      <c r="BH798" s="183"/>
      <c r="BI798" s="183"/>
      <c r="BJ798" s="183"/>
      <c r="BK798" s="183"/>
      <c r="BL798" s="184"/>
      <c r="BM798" s="409"/>
      <c r="BN798" s="409"/>
    </row>
    <row r="799" spans="1:66" s="153" customFormat="1" x14ac:dyDescent="0.2">
      <c r="A799" s="61"/>
      <c r="B799" s="61"/>
      <c r="C799" s="61"/>
      <c r="D799" s="61"/>
      <c r="E799" s="61"/>
      <c r="F799" s="61"/>
      <c r="G799" s="61"/>
      <c r="H799" s="61"/>
      <c r="I799" s="61"/>
      <c r="J799" s="61"/>
      <c r="K799" s="61"/>
      <c r="L799" s="61"/>
      <c r="M799" s="61"/>
      <c r="N799" s="61"/>
      <c r="O799" s="61"/>
      <c r="P799" s="61"/>
      <c r="Q799" s="61"/>
      <c r="R799" s="61"/>
      <c r="S799" s="61"/>
      <c r="T799" s="35"/>
      <c r="U799" s="187"/>
      <c r="V799" s="190"/>
      <c r="W799" s="190"/>
      <c r="X799" s="190"/>
      <c r="Y799" s="190"/>
      <c r="Z799" s="190"/>
      <c r="AA799" s="191"/>
      <c r="AB799" s="190"/>
      <c r="AC799" s="190"/>
      <c r="AD799" s="190"/>
      <c r="AE799" s="190"/>
      <c r="AF799" s="190"/>
      <c r="AG799" s="190"/>
      <c r="AH799" s="191"/>
      <c r="AI799" s="190"/>
      <c r="AJ799" s="190"/>
      <c r="AK799" s="190"/>
      <c r="AL799" s="190"/>
      <c r="AM799" s="190"/>
      <c r="AN799" s="191"/>
      <c r="AO799" s="190"/>
      <c r="AP799" s="190"/>
      <c r="AQ799" s="190"/>
      <c r="AR799" s="190"/>
      <c r="AS799" s="190"/>
      <c r="AT799" s="191"/>
      <c r="AU799" s="190"/>
      <c r="AV799" s="190"/>
      <c r="AW799" s="190"/>
      <c r="AX799" s="190"/>
      <c r="AY799" s="190"/>
      <c r="AZ799" s="191"/>
      <c r="BA799" s="183"/>
      <c r="BB799" s="183"/>
      <c r="BC799" s="183"/>
      <c r="BD799" s="183"/>
      <c r="BE799" s="183"/>
      <c r="BF799" s="184"/>
      <c r="BG799" s="183"/>
      <c r="BH799" s="183"/>
      <c r="BI799" s="183"/>
      <c r="BJ799" s="183"/>
      <c r="BK799" s="183"/>
      <c r="BL799" s="184"/>
      <c r="BM799" s="409"/>
      <c r="BN799" s="409"/>
    </row>
    <row r="800" spans="1:66" s="153" customFormat="1" x14ac:dyDescent="0.2">
      <c r="A800" s="61"/>
      <c r="B800" s="61"/>
      <c r="C800" s="61"/>
      <c r="D800" s="61"/>
      <c r="E800" s="61"/>
      <c r="F800" s="61"/>
      <c r="G800" s="61"/>
      <c r="H800" s="61"/>
      <c r="I800" s="61"/>
      <c r="J800" s="61"/>
      <c r="K800" s="61"/>
      <c r="L800" s="61"/>
      <c r="M800" s="61"/>
      <c r="N800" s="61"/>
      <c r="O800" s="61"/>
      <c r="P800" s="61"/>
      <c r="Q800" s="61"/>
      <c r="R800" s="61"/>
      <c r="S800" s="61"/>
      <c r="T800" s="35"/>
      <c r="U800" s="187"/>
      <c r="V800" s="190"/>
      <c r="W800" s="190"/>
      <c r="X800" s="190"/>
      <c r="Y800" s="190"/>
      <c r="Z800" s="190"/>
      <c r="AA800" s="191"/>
      <c r="AB800" s="190"/>
      <c r="AC800" s="190"/>
      <c r="AD800" s="190"/>
      <c r="AE800" s="190"/>
      <c r="AF800" s="190"/>
      <c r="AG800" s="190"/>
      <c r="AH800" s="191"/>
      <c r="AI800" s="190"/>
      <c r="AJ800" s="190"/>
      <c r="AK800" s="190"/>
      <c r="AL800" s="190"/>
      <c r="AM800" s="190"/>
      <c r="AN800" s="191"/>
      <c r="AO800" s="190"/>
      <c r="AP800" s="190"/>
      <c r="AQ800" s="190"/>
      <c r="AR800" s="190"/>
      <c r="AS800" s="190"/>
      <c r="AT800" s="191"/>
      <c r="AU800" s="190"/>
      <c r="AV800" s="190"/>
      <c r="AW800" s="190"/>
      <c r="AX800" s="190"/>
      <c r="AY800" s="190"/>
      <c r="AZ800" s="191"/>
      <c r="BA800" s="183"/>
      <c r="BB800" s="183"/>
      <c r="BC800" s="183"/>
      <c r="BD800" s="183"/>
      <c r="BE800" s="183"/>
      <c r="BF800" s="184"/>
      <c r="BG800" s="183"/>
      <c r="BH800" s="183"/>
      <c r="BI800" s="183"/>
      <c r="BJ800" s="183"/>
      <c r="BK800" s="183"/>
      <c r="BL800" s="184"/>
      <c r="BM800" s="409"/>
      <c r="BN800" s="409"/>
    </row>
    <row r="801" spans="1:66" s="153" customFormat="1" x14ac:dyDescent="0.2">
      <c r="A801" s="61"/>
      <c r="B801" s="61"/>
      <c r="C801" s="61"/>
      <c r="D801" s="61"/>
      <c r="E801" s="61"/>
      <c r="F801" s="61"/>
      <c r="G801" s="61"/>
      <c r="H801" s="61"/>
      <c r="I801" s="61"/>
      <c r="J801" s="61"/>
      <c r="K801" s="61"/>
      <c r="L801" s="61"/>
      <c r="M801" s="61"/>
      <c r="N801" s="61"/>
      <c r="O801" s="61"/>
      <c r="P801" s="61"/>
      <c r="Q801" s="61"/>
      <c r="R801" s="61"/>
      <c r="S801" s="61"/>
      <c r="T801" s="35"/>
      <c r="U801" s="187"/>
      <c r="V801" s="190"/>
      <c r="W801" s="190"/>
      <c r="X801" s="190"/>
      <c r="Y801" s="190"/>
      <c r="Z801" s="190"/>
      <c r="AA801" s="191"/>
      <c r="AB801" s="190"/>
      <c r="AC801" s="190"/>
      <c r="AD801" s="190"/>
      <c r="AE801" s="190"/>
      <c r="AF801" s="190"/>
      <c r="AG801" s="190"/>
      <c r="AH801" s="191"/>
      <c r="AI801" s="190"/>
      <c r="AJ801" s="190"/>
      <c r="AK801" s="190"/>
      <c r="AL801" s="190"/>
      <c r="AM801" s="190"/>
      <c r="AN801" s="191"/>
      <c r="AO801" s="190"/>
      <c r="AP801" s="190"/>
      <c r="AQ801" s="190"/>
      <c r="AR801" s="190"/>
      <c r="AS801" s="190"/>
      <c r="AT801" s="191"/>
      <c r="AU801" s="190"/>
      <c r="AV801" s="190"/>
      <c r="AW801" s="190"/>
      <c r="AX801" s="190"/>
      <c r="AY801" s="190"/>
      <c r="AZ801" s="191"/>
      <c r="BA801" s="183"/>
      <c r="BB801" s="183"/>
      <c r="BC801" s="183"/>
      <c r="BD801" s="183"/>
      <c r="BE801" s="183"/>
      <c r="BF801" s="184"/>
      <c r="BG801" s="183"/>
      <c r="BH801" s="183"/>
      <c r="BI801" s="183"/>
      <c r="BJ801" s="183"/>
      <c r="BK801" s="183"/>
      <c r="BL801" s="184"/>
      <c r="BM801" s="409"/>
      <c r="BN801" s="409"/>
    </row>
    <row r="802" spans="1:66" s="153" customFormat="1" x14ac:dyDescent="0.2">
      <c r="A802" s="61"/>
      <c r="B802" s="61"/>
      <c r="C802" s="61"/>
      <c r="D802" s="61"/>
      <c r="E802" s="61"/>
      <c r="F802" s="61"/>
      <c r="G802" s="61"/>
      <c r="H802" s="61"/>
      <c r="I802" s="61"/>
      <c r="J802" s="61"/>
      <c r="K802" s="61"/>
      <c r="L802" s="61"/>
      <c r="M802" s="61"/>
      <c r="N802" s="61"/>
      <c r="O802" s="61"/>
      <c r="P802" s="61"/>
      <c r="Q802" s="61"/>
      <c r="R802" s="61"/>
      <c r="S802" s="61"/>
      <c r="T802" s="35"/>
      <c r="U802" s="187"/>
      <c r="V802" s="190"/>
      <c r="W802" s="190"/>
      <c r="X802" s="190"/>
      <c r="Y802" s="190"/>
      <c r="Z802" s="190"/>
      <c r="AA802" s="191"/>
      <c r="AB802" s="190"/>
      <c r="AC802" s="190"/>
      <c r="AD802" s="190"/>
      <c r="AE802" s="190"/>
      <c r="AF802" s="190"/>
      <c r="AG802" s="190"/>
      <c r="AH802" s="191"/>
      <c r="AI802" s="190"/>
      <c r="AJ802" s="190"/>
      <c r="AK802" s="190"/>
      <c r="AL802" s="190"/>
      <c r="AM802" s="190"/>
      <c r="AN802" s="191"/>
      <c r="AO802" s="190"/>
      <c r="AP802" s="190"/>
      <c r="AQ802" s="190"/>
      <c r="AR802" s="190"/>
      <c r="AS802" s="190"/>
      <c r="AT802" s="191"/>
      <c r="AU802" s="190"/>
      <c r="AV802" s="190"/>
      <c r="AW802" s="190"/>
      <c r="AX802" s="190"/>
      <c r="AY802" s="190"/>
      <c r="AZ802" s="191"/>
      <c r="BA802" s="183"/>
      <c r="BB802" s="183"/>
      <c r="BC802" s="183"/>
      <c r="BD802" s="183"/>
      <c r="BE802" s="183"/>
      <c r="BF802" s="184"/>
      <c r="BG802" s="183"/>
      <c r="BH802" s="183"/>
      <c r="BI802" s="183"/>
      <c r="BJ802" s="183"/>
      <c r="BK802" s="183"/>
      <c r="BL802" s="184"/>
      <c r="BM802" s="409"/>
      <c r="BN802" s="409"/>
    </row>
    <row r="803" spans="1:66" s="153" customFormat="1" x14ac:dyDescent="0.2">
      <c r="A803" s="61"/>
      <c r="B803" s="61"/>
      <c r="C803" s="61"/>
      <c r="D803" s="61"/>
      <c r="E803" s="61"/>
      <c r="F803" s="61"/>
      <c r="G803" s="61"/>
      <c r="H803" s="61"/>
      <c r="I803" s="61"/>
      <c r="J803" s="61"/>
      <c r="K803" s="61"/>
      <c r="L803" s="61"/>
      <c r="M803" s="61"/>
      <c r="N803" s="61"/>
      <c r="O803" s="61"/>
      <c r="P803" s="61"/>
      <c r="Q803" s="61"/>
      <c r="R803" s="61"/>
      <c r="S803" s="61"/>
      <c r="T803" s="35"/>
      <c r="U803" s="187"/>
      <c r="V803" s="190"/>
      <c r="W803" s="190"/>
      <c r="X803" s="190"/>
      <c r="Y803" s="190"/>
      <c r="Z803" s="190"/>
      <c r="AA803" s="191"/>
      <c r="AB803" s="190"/>
      <c r="AC803" s="190"/>
      <c r="AD803" s="190"/>
      <c r="AE803" s="190"/>
      <c r="AF803" s="190"/>
      <c r="AG803" s="190"/>
      <c r="AH803" s="191"/>
      <c r="AI803" s="190"/>
      <c r="AJ803" s="190"/>
      <c r="AK803" s="190"/>
      <c r="AL803" s="190"/>
      <c r="AM803" s="190"/>
      <c r="AN803" s="191"/>
      <c r="AO803" s="190"/>
      <c r="AP803" s="190"/>
      <c r="AQ803" s="190"/>
      <c r="AR803" s="190"/>
      <c r="AS803" s="190"/>
      <c r="AT803" s="191"/>
      <c r="AU803" s="190"/>
      <c r="AV803" s="190"/>
      <c r="AW803" s="190"/>
      <c r="AX803" s="190"/>
      <c r="AY803" s="190"/>
      <c r="AZ803" s="191"/>
      <c r="BA803" s="183"/>
      <c r="BB803" s="183"/>
      <c r="BC803" s="183"/>
      <c r="BD803" s="183"/>
      <c r="BE803" s="183"/>
      <c r="BF803" s="184"/>
      <c r="BG803" s="183"/>
      <c r="BH803" s="183"/>
      <c r="BI803" s="183"/>
      <c r="BJ803" s="183"/>
      <c r="BK803" s="183"/>
      <c r="BL803" s="184"/>
      <c r="BM803" s="409"/>
      <c r="BN803" s="409"/>
    </row>
    <row r="804" spans="1:66" s="153" customFormat="1" x14ac:dyDescent="0.2">
      <c r="A804" s="61"/>
      <c r="B804" s="61"/>
      <c r="C804" s="61"/>
      <c r="D804" s="61"/>
      <c r="E804" s="61"/>
      <c r="F804" s="61"/>
      <c r="G804" s="61"/>
      <c r="H804" s="61"/>
      <c r="I804" s="61"/>
      <c r="J804" s="61"/>
      <c r="K804" s="61"/>
      <c r="L804" s="61"/>
      <c r="M804" s="61"/>
      <c r="N804" s="61"/>
      <c r="O804" s="61"/>
      <c r="P804" s="61"/>
      <c r="Q804" s="61"/>
      <c r="R804" s="61"/>
      <c r="S804" s="61"/>
      <c r="T804" s="35"/>
      <c r="U804" s="187"/>
      <c r="V804" s="190"/>
      <c r="W804" s="190"/>
      <c r="X804" s="190"/>
      <c r="Y804" s="190"/>
      <c r="Z804" s="190"/>
      <c r="AA804" s="191"/>
      <c r="AB804" s="190"/>
      <c r="AC804" s="190"/>
      <c r="AD804" s="190"/>
      <c r="AE804" s="190"/>
      <c r="AF804" s="190"/>
      <c r="AG804" s="190"/>
      <c r="AH804" s="191"/>
      <c r="AI804" s="190"/>
      <c r="AJ804" s="190"/>
      <c r="AK804" s="190"/>
      <c r="AL804" s="190"/>
      <c r="AM804" s="190"/>
      <c r="AN804" s="191"/>
      <c r="AO804" s="190"/>
      <c r="AP804" s="190"/>
      <c r="AQ804" s="190"/>
      <c r="AR804" s="190"/>
      <c r="AS804" s="190"/>
      <c r="AT804" s="191"/>
      <c r="AU804" s="190"/>
      <c r="AV804" s="190"/>
      <c r="AW804" s="190"/>
      <c r="AX804" s="190"/>
      <c r="AY804" s="190"/>
      <c r="AZ804" s="191"/>
      <c r="BA804" s="183"/>
      <c r="BB804" s="183"/>
      <c r="BC804" s="183"/>
      <c r="BD804" s="183"/>
      <c r="BE804" s="183"/>
      <c r="BF804" s="184"/>
      <c r="BG804" s="183"/>
      <c r="BH804" s="183"/>
      <c r="BI804" s="183"/>
      <c r="BJ804" s="183"/>
      <c r="BK804" s="183"/>
      <c r="BL804" s="184"/>
      <c r="BM804" s="409"/>
      <c r="BN804" s="409"/>
    </row>
    <row r="805" spans="1:66" s="153" customFormat="1" x14ac:dyDescent="0.2">
      <c r="A805" s="61"/>
      <c r="B805" s="61"/>
      <c r="C805" s="61"/>
      <c r="D805" s="61"/>
      <c r="E805" s="61"/>
      <c r="F805" s="61"/>
      <c r="G805" s="61"/>
      <c r="H805" s="61"/>
      <c r="I805" s="61"/>
      <c r="J805" s="61"/>
      <c r="K805" s="61"/>
      <c r="L805" s="61"/>
      <c r="M805" s="61"/>
      <c r="N805" s="61"/>
      <c r="O805" s="61"/>
      <c r="P805" s="61"/>
      <c r="Q805" s="61"/>
      <c r="R805" s="61"/>
      <c r="S805" s="61"/>
      <c r="T805" s="35"/>
      <c r="U805" s="187"/>
      <c r="V805" s="190"/>
      <c r="W805" s="190"/>
      <c r="X805" s="190"/>
      <c r="Y805" s="190"/>
      <c r="Z805" s="190"/>
      <c r="AA805" s="191"/>
      <c r="AB805" s="190"/>
      <c r="AC805" s="190"/>
      <c r="AD805" s="190"/>
      <c r="AE805" s="190"/>
      <c r="AF805" s="190"/>
      <c r="AG805" s="190"/>
      <c r="AH805" s="191"/>
      <c r="AI805" s="190"/>
      <c r="AJ805" s="190"/>
      <c r="AK805" s="190"/>
      <c r="AL805" s="190"/>
      <c r="AM805" s="190"/>
      <c r="AN805" s="191"/>
      <c r="AO805" s="190"/>
      <c r="AP805" s="190"/>
      <c r="AQ805" s="190"/>
      <c r="AR805" s="190"/>
      <c r="AS805" s="190"/>
      <c r="AT805" s="191"/>
      <c r="AU805" s="190"/>
      <c r="AV805" s="190"/>
      <c r="AW805" s="190"/>
      <c r="AX805" s="190"/>
      <c r="AY805" s="190"/>
      <c r="AZ805" s="191"/>
      <c r="BA805" s="183"/>
      <c r="BB805" s="183"/>
      <c r="BC805" s="183"/>
      <c r="BD805" s="183"/>
      <c r="BE805" s="183"/>
      <c r="BF805" s="184"/>
      <c r="BG805" s="183"/>
      <c r="BH805" s="183"/>
      <c r="BI805" s="183"/>
      <c r="BJ805" s="183"/>
      <c r="BK805" s="183"/>
      <c r="BL805" s="184"/>
      <c r="BM805" s="409"/>
      <c r="BN805" s="409"/>
    </row>
    <row r="806" spans="1:66" s="153" customFormat="1" x14ac:dyDescent="0.2">
      <c r="A806" s="61"/>
      <c r="B806" s="61"/>
      <c r="C806" s="61"/>
      <c r="D806" s="61"/>
      <c r="E806" s="61"/>
      <c r="F806" s="61"/>
      <c r="G806" s="61"/>
      <c r="H806" s="61"/>
      <c r="I806" s="61"/>
      <c r="J806" s="61"/>
      <c r="K806" s="61"/>
      <c r="L806" s="61"/>
      <c r="M806" s="61"/>
      <c r="N806" s="61"/>
      <c r="O806" s="61"/>
      <c r="P806" s="61"/>
      <c r="Q806" s="61"/>
      <c r="R806" s="61"/>
      <c r="S806" s="61"/>
      <c r="T806" s="35"/>
      <c r="U806" s="187"/>
      <c r="V806" s="190"/>
      <c r="W806" s="190"/>
      <c r="X806" s="190"/>
      <c r="Y806" s="190"/>
      <c r="Z806" s="190"/>
      <c r="AA806" s="191"/>
      <c r="AB806" s="190"/>
      <c r="AC806" s="190"/>
      <c r="AD806" s="190"/>
      <c r="AE806" s="190"/>
      <c r="AF806" s="190"/>
      <c r="AG806" s="190"/>
      <c r="AH806" s="191"/>
      <c r="AI806" s="190"/>
      <c r="AJ806" s="190"/>
      <c r="AK806" s="190"/>
      <c r="AL806" s="190"/>
      <c r="AM806" s="190"/>
      <c r="AN806" s="191"/>
      <c r="AO806" s="190"/>
      <c r="AP806" s="190"/>
      <c r="AQ806" s="190"/>
      <c r="AR806" s="190"/>
      <c r="AS806" s="190"/>
      <c r="AT806" s="191"/>
      <c r="AU806" s="190"/>
      <c r="AV806" s="190"/>
      <c r="AW806" s="190"/>
      <c r="AX806" s="190"/>
      <c r="AY806" s="190"/>
      <c r="AZ806" s="191"/>
      <c r="BA806" s="183"/>
      <c r="BB806" s="183"/>
      <c r="BC806" s="183"/>
      <c r="BD806" s="183"/>
      <c r="BE806" s="183"/>
      <c r="BF806" s="184"/>
      <c r="BG806" s="183"/>
      <c r="BH806" s="183"/>
      <c r="BI806" s="183"/>
      <c r="BJ806" s="183"/>
      <c r="BK806" s="183"/>
      <c r="BL806" s="184"/>
      <c r="BM806" s="409"/>
      <c r="BN806" s="409"/>
    </row>
    <row r="807" spans="1:66" s="153" customFormat="1" x14ac:dyDescent="0.2">
      <c r="A807" s="61"/>
      <c r="B807" s="61"/>
      <c r="C807" s="61"/>
      <c r="D807" s="61"/>
      <c r="E807" s="61"/>
      <c r="F807" s="61"/>
      <c r="G807" s="61"/>
      <c r="H807" s="61"/>
      <c r="I807" s="61"/>
      <c r="J807" s="61"/>
      <c r="K807" s="61"/>
      <c r="L807" s="61"/>
      <c r="M807" s="61"/>
      <c r="N807" s="61"/>
      <c r="O807" s="61"/>
      <c r="P807" s="61"/>
      <c r="Q807" s="61"/>
      <c r="R807" s="61"/>
      <c r="S807" s="61"/>
      <c r="T807" s="35"/>
      <c r="U807" s="187"/>
      <c r="V807" s="190"/>
      <c r="W807" s="190"/>
      <c r="X807" s="190"/>
      <c r="Y807" s="190"/>
      <c r="Z807" s="190"/>
      <c r="AA807" s="191"/>
      <c r="AB807" s="190"/>
      <c r="AC807" s="190"/>
      <c r="AD807" s="190"/>
      <c r="AE807" s="190"/>
      <c r="AF807" s="190"/>
      <c r="AG807" s="190"/>
      <c r="AH807" s="191"/>
      <c r="AI807" s="190"/>
      <c r="AJ807" s="190"/>
      <c r="AK807" s="190"/>
      <c r="AL807" s="190"/>
      <c r="AM807" s="190"/>
      <c r="AN807" s="191"/>
      <c r="AO807" s="190"/>
      <c r="AP807" s="190"/>
      <c r="AQ807" s="190"/>
      <c r="AR807" s="190"/>
      <c r="AS807" s="190"/>
      <c r="AT807" s="191"/>
      <c r="AU807" s="190"/>
      <c r="AV807" s="190"/>
      <c r="AW807" s="190"/>
      <c r="AX807" s="190"/>
      <c r="AY807" s="190"/>
      <c r="AZ807" s="191"/>
      <c r="BA807" s="183"/>
      <c r="BB807" s="183"/>
      <c r="BC807" s="183"/>
      <c r="BD807" s="183"/>
      <c r="BE807" s="183"/>
      <c r="BF807" s="184"/>
      <c r="BG807" s="183"/>
      <c r="BH807" s="183"/>
      <c r="BI807" s="183"/>
      <c r="BJ807" s="183"/>
      <c r="BK807" s="183"/>
      <c r="BL807" s="184"/>
      <c r="BM807" s="409"/>
      <c r="BN807" s="409"/>
    </row>
    <row r="808" spans="1:66" s="153" customFormat="1" x14ac:dyDescent="0.2">
      <c r="A808" s="61"/>
      <c r="B808" s="61"/>
      <c r="C808" s="61"/>
      <c r="D808" s="61"/>
      <c r="E808" s="61"/>
      <c r="F808" s="61"/>
      <c r="G808" s="61"/>
      <c r="H808" s="61"/>
      <c r="I808" s="61"/>
      <c r="J808" s="61"/>
      <c r="K808" s="61"/>
      <c r="L808" s="61"/>
      <c r="M808" s="61"/>
      <c r="N808" s="61"/>
      <c r="O808" s="61"/>
      <c r="P808" s="61"/>
      <c r="Q808" s="61"/>
      <c r="R808" s="61"/>
      <c r="S808" s="61"/>
      <c r="T808" s="35"/>
      <c r="U808" s="187"/>
      <c r="V808" s="190"/>
      <c r="W808" s="190"/>
      <c r="X808" s="190"/>
      <c r="Y808" s="190"/>
      <c r="Z808" s="190"/>
      <c r="AA808" s="191"/>
      <c r="AB808" s="190"/>
      <c r="AC808" s="190"/>
      <c r="AD808" s="190"/>
      <c r="AE808" s="190"/>
      <c r="AF808" s="190"/>
      <c r="AG808" s="190"/>
      <c r="AH808" s="191"/>
      <c r="AI808" s="190"/>
      <c r="AJ808" s="190"/>
      <c r="AK808" s="190"/>
      <c r="AL808" s="190"/>
      <c r="AM808" s="190"/>
      <c r="AN808" s="191"/>
      <c r="AO808" s="190"/>
      <c r="AP808" s="190"/>
      <c r="AQ808" s="190"/>
      <c r="AR808" s="190"/>
      <c r="AS808" s="190"/>
      <c r="AT808" s="191"/>
      <c r="AU808" s="190"/>
      <c r="AV808" s="190"/>
      <c r="AW808" s="190"/>
      <c r="AX808" s="190"/>
      <c r="AY808" s="190"/>
      <c r="AZ808" s="191"/>
      <c r="BA808" s="183"/>
      <c r="BB808" s="183"/>
      <c r="BC808" s="183"/>
      <c r="BD808" s="183"/>
      <c r="BE808" s="183"/>
      <c r="BF808" s="184"/>
      <c r="BG808" s="183"/>
      <c r="BH808" s="183"/>
      <c r="BI808" s="183"/>
      <c r="BJ808" s="183"/>
      <c r="BK808" s="183"/>
      <c r="BL808" s="184"/>
      <c r="BM808" s="409"/>
      <c r="BN808" s="409"/>
    </row>
    <row r="809" spans="1:66" s="153" customFormat="1" x14ac:dyDescent="0.2">
      <c r="A809" s="61"/>
      <c r="B809" s="61"/>
      <c r="C809" s="61"/>
      <c r="D809" s="61"/>
      <c r="E809" s="61"/>
      <c r="F809" s="61"/>
      <c r="G809" s="61"/>
      <c r="H809" s="61"/>
      <c r="I809" s="61"/>
      <c r="J809" s="61"/>
      <c r="K809" s="61"/>
      <c r="L809" s="61"/>
      <c r="M809" s="61"/>
      <c r="N809" s="61"/>
      <c r="O809" s="61"/>
      <c r="P809" s="61"/>
      <c r="Q809" s="61"/>
      <c r="R809" s="61"/>
      <c r="S809" s="61"/>
      <c r="T809" s="35"/>
      <c r="U809" s="187"/>
      <c r="V809" s="190"/>
      <c r="W809" s="190"/>
      <c r="X809" s="190"/>
      <c r="Y809" s="190"/>
      <c r="Z809" s="190"/>
      <c r="AA809" s="191"/>
      <c r="AB809" s="190"/>
      <c r="AC809" s="190"/>
      <c r="AD809" s="190"/>
      <c r="AE809" s="190"/>
      <c r="AF809" s="190"/>
      <c r="AG809" s="190"/>
      <c r="AH809" s="191"/>
      <c r="AI809" s="190"/>
      <c r="AJ809" s="190"/>
      <c r="AK809" s="190"/>
      <c r="AL809" s="190"/>
      <c r="AM809" s="190"/>
      <c r="AN809" s="191"/>
      <c r="AO809" s="190"/>
      <c r="AP809" s="190"/>
      <c r="AQ809" s="190"/>
      <c r="AR809" s="190"/>
      <c r="AS809" s="190"/>
      <c r="AT809" s="191"/>
      <c r="AU809" s="190"/>
      <c r="AV809" s="190"/>
      <c r="AW809" s="190"/>
      <c r="AX809" s="190"/>
      <c r="AY809" s="190"/>
      <c r="AZ809" s="191"/>
      <c r="BA809" s="183"/>
      <c r="BB809" s="183"/>
      <c r="BC809" s="183"/>
      <c r="BD809" s="183"/>
      <c r="BE809" s="183"/>
      <c r="BF809" s="184"/>
      <c r="BG809" s="183"/>
      <c r="BH809" s="183"/>
      <c r="BI809" s="183"/>
      <c r="BJ809" s="183"/>
      <c r="BK809" s="183"/>
      <c r="BL809" s="184"/>
      <c r="BM809" s="409"/>
      <c r="BN809" s="409"/>
    </row>
    <row r="810" spans="1:66" s="153" customFormat="1" x14ac:dyDescent="0.2">
      <c r="A810" s="61"/>
      <c r="B810" s="61"/>
      <c r="C810" s="61"/>
      <c r="D810" s="61"/>
      <c r="E810" s="61"/>
      <c r="F810" s="61"/>
      <c r="G810" s="61"/>
      <c r="H810" s="61"/>
      <c r="I810" s="61"/>
      <c r="J810" s="61"/>
      <c r="K810" s="61"/>
      <c r="L810" s="61"/>
      <c r="M810" s="61"/>
      <c r="N810" s="61"/>
      <c r="O810" s="61"/>
      <c r="P810" s="61"/>
      <c r="Q810" s="61"/>
      <c r="R810" s="61"/>
      <c r="S810" s="61"/>
      <c r="T810" s="35"/>
      <c r="U810" s="187"/>
      <c r="V810" s="190"/>
      <c r="W810" s="190"/>
      <c r="X810" s="190"/>
      <c r="Y810" s="190"/>
      <c r="Z810" s="190"/>
      <c r="AA810" s="191"/>
      <c r="AB810" s="190"/>
      <c r="AC810" s="190"/>
      <c r="AD810" s="190"/>
      <c r="AE810" s="190"/>
      <c r="AF810" s="190"/>
      <c r="AG810" s="190"/>
      <c r="AH810" s="191"/>
      <c r="AI810" s="190"/>
      <c r="AJ810" s="190"/>
      <c r="AK810" s="190"/>
      <c r="AL810" s="190"/>
      <c r="AM810" s="190"/>
      <c r="AN810" s="191"/>
      <c r="AO810" s="190"/>
      <c r="AP810" s="190"/>
      <c r="AQ810" s="190"/>
      <c r="AR810" s="190"/>
      <c r="AS810" s="190"/>
      <c r="AT810" s="191"/>
      <c r="AU810" s="190"/>
      <c r="AV810" s="190"/>
      <c r="AW810" s="190"/>
      <c r="AX810" s="190"/>
      <c r="AY810" s="190"/>
      <c r="AZ810" s="191"/>
      <c r="BA810" s="183"/>
      <c r="BB810" s="183"/>
      <c r="BC810" s="183"/>
      <c r="BD810" s="183"/>
      <c r="BE810" s="183"/>
      <c r="BF810" s="184"/>
      <c r="BG810" s="183"/>
      <c r="BH810" s="183"/>
      <c r="BI810" s="183"/>
      <c r="BJ810" s="183"/>
      <c r="BK810" s="183"/>
      <c r="BL810" s="184"/>
      <c r="BM810" s="409"/>
      <c r="BN810" s="409"/>
    </row>
    <row r="811" spans="1:66" s="153" customFormat="1" x14ac:dyDescent="0.2">
      <c r="A811" s="61"/>
      <c r="B811" s="61"/>
      <c r="C811" s="61"/>
      <c r="D811" s="61"/>
      <c r="E811" s="61"/>
      <c r="F811" s="61"/>
      <c r="G811" s="61"/>
      <c r="H811" s="61"/>
      <c r="I811" s="61"/>
      <c r="J811" s="61"/>
      <c r="K811" s="61"/>
      <c r="L811" s="61"/>
      <c r="M811" s="61"/>
      <c r="N811" s="61"/>
      <c r="O811" s="61"/>
      <c r="P811" s="61"/>
      <c r="Q811" s="61"/>
      <c r="R811" s="61"/>
      <c r="S811" s="61"/>
      <c r="T811" s="35"/>
      <c r="U811" s="187"/>
      <c r="V811" s="190"/>
      <c r="W811" s="190"/>
      <c r="X811" s="190"/>
      <c r="Y811" s="190"/>
      <c r="Z811" s="190"/>
      <c r="AA811" s="191"/>
      <c r="AB811" s="190"/>
      <c r="AC811" s="190"/>
      <c r="AD811" s="190"/>
      <c r="AE811" s="190"/>
      <c r="AF811" s="190"/>
      <c r="AG811" s="190"/>
      <c r="AH811" s="191"/>
      <c r="AI811" s="190"/>
      <c r="AJ811" s="190"/>
      <c r="AK811" s="190"/>
      <c r="AL811" s="190"/>
      <c r="AM811" s="190"/>
      <c r="AN811" s="191"/>
      <c r="AO811" s="190"/>
      <c r="AP811" s="190"/>
      <c r="AQ811" s="190"/>
      <c r="AR811" s="190"/>
      <c r="AS811" s="190"/>
      <c r="AT811" s="191"/>
      <c r="AU811" s="190"/>
      <c r="AV811" s="190"/>
      <c r="AW811" s="190"/>
      <c r="AX811" s="190"/>
      <c r="AY811" s="190"/>
      <c r="AZ811" s="191"/>
      <c r="BA811" s="183"/>
      <c r="BB811" s="183"/>
      <c r="BC811" s="183"/>
      <c r="BD811" s="183"/>
      <c r="BE811" s="183"/>
      <c r="BF811" s="184"/>
      <c r="BG811" s="183"/>
      <c r="BH811" s="183"/>
      <c r="BI811" s="183"/>
      <c r="BJ811" s="183"/>
      <c r="BK811" s="183"/>
      <c r="BL811" s="184"/>
      <c r="BM811" s="409"/>
      <c r="BN811" s="409"/>
    </row>
    <row r="812" spans="1:66" s="153" customFormat="1" x14ac:dyDescent="0.2">
      <c r="A812" s="61"/>
      <c r="B812" s="61"/>
      <c r="C812" s="61"/>
      <c r="D812" s="61"/>
      <c r="E812" s="61"/>
      <c r="F812" s="61"/>
      <c r="G812" s="61"/>
      <c r="H812" s="61"/>
      <c r="I812" s="61"/>
      <c r="J812" s="61"/>
      <c r="K812" s="61"/>
      <c r="L812" s="61"/>
      <c r="M812" s="61"/>
      <c r="N812" s="61"/>
      <c r="O812" s="61"/>
      <c r="P812" s="61"/>
      <c r="Q812" s="61"/>
      <c r="R812" s="61"/>
      <c r="S812" s="61"/>
      <c r="T812" s="35"/>
      <c r="U812" s="187"/>
      <c r="V812" s="190"/>
      <c r="W812" s="190"/>
      <c r="X812" s="190"/>
      <c r="Y812" s="190"/>
      <c r="Z812" s="190"/>
      <c r="AA812" s="191"/>
      <c r="AB812" s="190"/>
      <c r="AC812" s="190"/>
      <c r="AD812" s="190"/>
      <c r="AE812" s="190"/>
      <c r="AF812" s="190"/>
      <c r="AG812" s="190"/>
      <c r="AH812" s="191"/>
      <c r="AI812" s="190"/>
      <c r="AJ812" s="190"/>
      <c r="AK812" s="190"/>
      <c r="AL812" s="190"/>
      <c r="AM812" s="190"/>
      <c r="AN812" s="191"/>
      <c r="AO812" s="190"/>
      <c r="AP812" s="190"/>
      <c r="AQ812" s="190"/>
      <c r="AR812" s="190"/>
      <c r="AS812" s="190"/>
      <c r="AT812" s="191"/>
      <c r="AU812" s="190"/>
      <c r="AV812" s="190"/>
      <c r="AW812" s="190"/>
      <c r="AX812" s="190"/>
      <c r="AY812" s="190"/>
      <c r="AZ812" s="191"/>
      <c r="BA812" s="183"/>
      <c r="BB812" s="183"/>
      <c r="BC812" s="183"/>
      <c r="BD812" s="183"/>
      <c r="BE812" s="183"/>
      <c r="BF812" s="184"/>
      <c r="BG812" s="183"/>
      <c r="BH812" s="183"/>
      <c r="BI812" s="183"/>
      <c r="BJ812" s="183"/>
      <c r="BK812" s="183"/>
      <c r="BL812" s="184"/>
      <c r="BM812" s="409"/>
      <c r="BN812" s="409"/>
    </row>
    <row r="813" spans="1:66" s="153" customFormat="1" x14ac:dyDescent="0.2">
      <c r="A813" s="61"/>
      <c r="B813" s="61"/>
      <c r="C813" s="61"/>
      <c r="D813" s="61"/>
      <c r="E813" s="61"/>
      <c r="F813" s="61"/>
      <c r="G813" s="61"/>
      <c r="H813" s="61"/>
      <c r="I813" s="61"/>
      <c r="J813" s="61"/>
      <c r="K813" s="61"/>
      <c r="L813" s="61"/>
      <c r="M813" s="61"/>
      <c r="N813" s="61"/>
      <c r="O813" s="61"/>
      <c r="P813" s="61"/>
      <c r="Q813" s="61"/>
      <c r="R813" s="61"/>
      <c r="S813" s="61"/>
      <c r="T813" s="35"/>
      <c r="U813" s="187"/>
      <c r="V813" s="190"/>
      <c r="W813" s="190"/>
      <c r="X813" s="190"/>
      <c r="Y813" s="190"/>
      <c r="Z813" s="190"/>
      <c r="AA813" s="191"/>
      <c r="AB813" s="190"/>
      <c r="AC813" s="190"/>
      <c r="AD813" s="190"/>
      <c r="AE813" s="190"/>
      <c r="AF813" s="190"/>
      <c r="AG813" s="190"/>
      <c r="AH813" s="191"/>
      <c r="AI813" s="190"/>
      <c r="AJ813" s="190"/>
      <c r="AK813" s="190"/>
      <c r="AL813" s="190"/>
      <c r="AM813" s="190"/>
      <c r="AN813" s="191"/>
      <c r="AO813" s="190"/>
      <c r="AP813" s="190"/>
      <c r="AQ813" s="190"/>
      <c r="AR813" s="190"/>
      <c r="AS813" s="190"/>
      <c r="AT813" s="191"/>
      <c r="AU813" s="190"/>
      <c r="AV813" s="190"/>
      <c r="AW813" s="190"/>
      <c r="AX813" s="190"/>
      <c r="AY813" s="190"/>
      <c r="AZ813" s="191"/>
      <c r="BA813" s="183"/>
      <c r="BB813" s="183"/>
      <c r="BC813" s="183"/>
      <c r="BD813" s="183"/>
      <c r="BE813" s="183"/>
      <c r="BF813" s="184"/>
      <c r="BG813" s="183"/>
      <c r="BH813" s="183"/>
      <c r="BI813" s="183"/>
      <c r="BJ813" s="183"/>
      <c r="BK813" s="183"/>
      <c r="BL813" s="184"/>
      <c r="BM813" s="409"/>
      <c r="BN813" s="409"/>
    </row>
    <row r="814" spans="1:66" s="153" customFormat="1" x14ac:dyDescent="0.2">
      <c r="A814" s="61"/>
      <c r="B814" s="61"/>
      <c r="C814" s="61"/>
      <c r="D814" s="61"/>
      <c r="E814" s="61"/>
      <c r="F814" s="61"/>
      <c r="G814" s="61"/>
      <c r="H814" s="61"/>
      <c r="I814" s="61"/>
      <c r="J814" s="61"/>
      <c r="K814" s="61"/>
      <c r="L814" s="61"/>
      <c r="M814" s="61"/>
      <c r="N814" s="61"/>
      <c r="O814" s="61"/>
      <c r="P814" s="61"/>
      <c r="Q814" s="61"/>
      <c r="R814" s="61"/>
      <c r="S814" s="61"/>
      <c r="T814" s="35"/>
      <c r="U814" s="187"/>
      <c r="V814" s="190"/>
      <c r="W814" s="190"/>
      <c r="X814" s="190"/>
      <c r="Y814" s="190"/>
      <c r="Z814" s="190"/>
      <c r="AA814" s="191"/>
      <c r="AB814" s="190"/>
      <c r="AC814" s="190"/>
      <c r="AD814" s="190"/>
      <c r="AE814" s="190"/>
      <c r="AF814" s="190"/>
      <c r="AG814" s="190"/>
      <c r="AH814" s="191"/>
      <c r="AI814" s="190"/>
      <c r="AJ814" s="190"/>
      <c r="AK814" s="190"/>
      <c r="AL814" s="190"/>
      <c r="AM814" s="190"/>
      <c r="AN814" s="191"/>
      <c r="AO814" s="190"/>
      <c r="AP814" s="190"/>
      <c r="AQ814" s="190"/>
      <c r="AR814" s="190"/>
      <c r="AS814" s="190"/>
      <c r="AT814" s="191"/>
      <c r="AU814" s="190"/>
      <c r="AV814" s="190"/>
      <c r="AW814" s="190"/>
      <c r="AX814" s="190"/>
      <c r="AY814" s="190"/>
      <c r="AZ814" s="191"/>
      <c r="BA814" s="183"/>
      <c r="BB814" s="183"/>
      <c r="BC814" s="183"/>
      <c r="BD814" s="183"/>
      <c r="BE814" s="183"/>
      <c r="BF814" s="184"/>
      <c r="BG814" s="183"/>
      <c r="BH814" s="183"/>
      <c r="BI814" s="183"/>
      <c r="BJ814" s="183"/>
      <c r="BK814" s="183"/>
      <c r="BL814" s="184"/>
      <c r="BM814" s="409"/>
      <c r="BN814" s="409"/>
    </row>
    <row r="815" spans="1:66" s="153" customFormat="1" x14ac:dyDescent="0.2">
      <c r="A815" s="61"/>
      <c r="B815" s="61"/>
      <c r="C815" s="61"/>
      <c r="D815" s="61"/>
      <c r="E815" s="61"/>
      <c r="F815" s="61"/>
      <c r="G815" s="61"/>
      <c r="H815" s="61"/>
      <c r="I815" s="61"/>
      <c r="J815" s="61"/>
      <c r="K815" s="61"/>
      <c r="L815" s="61"/>
      <c r="M815" s="61"/>
      <c r="N815" s="61"/>
      <c r="O815" s="61"/>
      <c r="P815" s="61"/>
      <c r="Q815" s="61"/>
      <c r="R815" s="61"/>
      <c r="S815" s="61"/>
      <c r="T815" s="35"/>
      <c r="U815" s="187"/>
      <c r="V815" s="190"/>
      <c r="W815" s="190"/>
      <c r="X815" s="190"/>
      <c r="Y815" s="190"/>
      <c r="Z815" s="190"/>
      <c r="AA815" s="191"/>
      <c r="AB815" s="190"/>
      <c r="AC815" s="190"/>
      <c r="AD815" s="190"/>
      <c r="AE815" s="190"/>
      <c r="AF815" s="190"/>
      <c r="AG815" s="190"/>
      <c r="AH815" s="191"/>
      <c r="AI815" s="190"/>
      <c r="AJ815" s="190"/>
      <c r="AK815" s="190"/>
      <c r="AL815" s="190"/>
      <c r="AM815" s="190"/>
      <c r="AN815" s="191"/>
      <c r="AO815" s="190"/>
      <c r="AP815" s="190"/>
      <c r="AQ815" s="190"/>
      <c r="AR815" s="190"/>
      <c r="AS815" s="190"/>
      <c r="AT815" s="191"/>
      <c r="AU815" s="190"/>
      <c r="AV815" s="190"/>
      <c r="AW815" s="190"/>
      <c r="AX815" s="190"/>
      <c r="AY815" s="190"/>
      <c r="AZ815" s="191"/>
      <c r="BA815" s="183"/>
      <c r="BB815" s="183"/>
      <c r="BC815" s="183"/>
      <c r="BD815" s="183"/>
      <c r="BE815" s="183"/>
      <c r="BF815" s="184"/>
      <c r="BG815" s="183"/>
      <c r="BH815" s="183"/>
      <c r="BI815" s="183"/>
      <c r="BJ815" s="183"/>
      <c r="BK815" s="183"/>
      <c r="BL815" s="184"/>
      <c r="BM815" s="409"/>
      <c r="BN815" s="409"/>
    </row>
    <row r="816" spans="1:66" s="153" customFormat="1" x14ac:dyDescent="0.2">
      <c r="A816" s="61"/>
      <c r="B816" s="61"/>
      <c r="C816" s="61"/>
      <c r="D816" s="61"/>
      <c r="E816" s="61"/>
      <c r="F816" s="61"/>
      <c r="G816" s="61"/>
      <c r="H816" s="61"/>
      <c r="I816" s="61"/>
      <c r="J816" s="61"/>
      <c r="K816" s="61"/>
      <c r="L816" s="61"/>
      <c r="M816" s="61"/>
      <c r="N816" s="61"/>
      <c r="O816" s="61"/>
      <c r="P816" s="61"/>
      <c r="Q816" s="61"/>
      <c r="R816" s="61"/>
      <c r="S816" s="61"/>
      <c r="T816" s="35"/>
      <c r="U816" s="187"/>
      <c r="V816" s="190"/>
      <c r="W816" s="190"/>
      <c r="X816" s="190"/>
      <c r="Y816" s="190"/>
      <c r="Z816" s="190"/>
      <c r="AA816" s="191"/>
      <c r="AB816" s="190"/>
      <c r="AC816" s="190"/>
      <c r="AD816" s="190"/>
      <c r="AE816" s="190"/>
      <c r="AF816" s="190"/>
      <c r="AG816" s="190"/>
      <c r="AH816" s="191"/>
      <c r="AI816" s="190"/>
      <c r="AJ816" s="190"/>
      <c r="AK816" s="190"/>
      <c r="AL816" s="190"/>
      <c r="AM816" s="190"/>
      <c r="AN816" s="191"/>
      <c r="AO816" s="190"/>
      <c r="AP816" s="190"/>
      <c r="AQ816" s="190"/>
      <c r="AR816" s="190"/>
      <c r="AS816" s="190"/>
      <c r="AT816" s="191"/>
      <c r="AU816" s="190"/>
      <c r="AV816" s="190"/>
      <c r="AW816" s="190"/>
      <c r="AX816" s="190"/>
      <c r="AY816" s="190"/>
      <c r="AZ816" s="191"/>
      <c r="BA816" s="183"/>
      <c r="BB816" s="183"/>
      <c r="BC816" s="183"/>
      <c r="BD816" s="183"/>
      <c r="BE816" s="183"/>
      <c r="BF816" s="184"/>
      <c r="BG816" s="183"/>
      <c r="BH816" s="183"/>
      <c r="BI816" s="183"/>
      <c r="BJ816" s="183"/>
      <c r="BK816" s="183"/>
      <c r="BL816" s="184"/>
      <c r="BM816" s="409"/>
      <c r="BN816" s="409"/>
    </row>
    <row r="817" spans="1:66" s="153" customFormat="1" x14ac:dyDescent="0.2">
      <c r="A817" s="61"/>
      <c r="B817" s="61"/>
      <c r="C817" s="61"/>
      <c r="D817" s="61"/>
      <c r="E817" s="61"/>
      <c r="F817" s="61"/>
      <c r="G817" s="61"/>
      <c r="H817" s="61"/>
      <c r="I817" s="61"/>
      <c r="J817" s="61"/>
      <c r="K817" s="61"/>
      <c r="L817" s="61"/>
      <c r="M817" s="61"/>
      <c r="N817" s="61"/>
      <c r="O817" s="61"/>
      <c r="P817" s="61"/>
      <c r="Q817" s="61"/>
      <c r="R817" s="61"/>
      <c r="S817" s="61"/>
      <c r="T817" s="35"/>
      <c r="U817" s="187"/>
      <c r="V817" s="190"/>
      <c r="W817" s="190"/>
      <c r="X817" s="190"/>
      <c r="Y817" s="190"/>
      <c r="Z817" s="190"/>
      <c r="AA817" s="191"/>
      <c r="AB817" s="190"/>
      <c r="AC817" s="190"/>
      <c r="AD817" s="190"/>
      <c r="AE817" s="190"/>
      <c r="AF817" s="190"/>
      <c r="AG817" s="190"/>
      <c r="AH817" s="191"/>
      <c r="AI817" s="190"/>
      <c r="AJ817" s="190"/>
      <c r="AK817" s="190"/>
      <c r="AL817" s="190"/>
      <c r="AM817" s="190"/>
      <c r="AN817" s="191"/>
      <c r="AO817" s="190"/>
      <c r="AP817" s="190"/>
      <c r="AQ817" s="190"/>
      <c r="AR817" s="190"/>
      <c r="AS817" s="190"/>
      <c r="AT817" s="191"/>
      <c r="AU817" s="190"/>
      <c r="AV817" s="190"/>
      <c r="AW817" s="190"/>
      <c r="AX817" s="190"/>
      <c r="AY817" s="190"/>
      <c r="AZ817" s="191"/>
      <c r="BA817" s="183"/>
      <c r="BB817" s="183"/>
      <c r="BC817" s="183"/>
      <c r="BD817" s="183"/>
      <c r="BE817" s="183"/>
      <c r="BF817" s="184"/>
      <c r="BG817" s="183"/>
      <c r="BH817" s="183"/>
      <c r="BI817" s="183"/>
      <c r="BJ817" s="183"/>
      <c r="BK817" s="183"/>
      <c r="BL817" s="184"/>
      <c r="BM817" s="409"/>
      <c r="BN817" s="409"/>
    </row>
    <row r="818" spans="1:66" s="153" customFormat="1" x14ac:dyDescent="0.2">
      <c r="A818" s="61"/>
      <c r="B818" s="61"/>
      <c r="C818" s="61"/>
      <c r="D818" s="61"/>
      <c r="E818" s="61"/>
      <c r="F818" s="61"/>
      <c r="G818" s="61"/>
      <c r="H818" s="61"/>
      <c r="I818" s="61"/>
      <c r="J818" s="61"/>
      <c r="K818" s="61"/>
      <c r="L818" s="61"/>
      <c r="M818" s="61"/>
      <c r="N818" s="61"/>
      <c r="O818" s="61"/>
      <c r="P818" s="61"/>
      <c r="Q818" s="61"/>
      <c r="R818" s="61"/>
      <c r="S818" s="61"/>
      <c r="T818" s="35"/>
      <c r="U818" s="187"/>
      <c r="V818" s="190"/>
      <c r="W818" s="190"/>
      <c r="X818" s="190"/>
      <c r="Y818" s="190"/>
      <c r="Z818" s="190"/>
      <c r="AA818" s="191"/>
      <c r="AB818" s="190"/>
      <c r="AC818" s="190"/>
      <c r="AD818" s="190"/>
      <c r="AE818" s="190"/>
      <c r="AF818" s="190"/>
      <c r="AG818" s="190"/>
      <c r="AH818" s="191"/>
      <c r="AI818" s="190"/>
      <c r="AJ818" s="190"/>
      <c r="AK818" s="190"/>
      <c r="AL818" s="190"/>
      <c r="AM818" s="190"/>
      <c r="AN818" s="191"/>
      <c r="AO818" s="190"/>
      <c r="AP818" s="190"/>
      <c r="AQ818" s="190"/>
      <c r="AR818" s="190"/>
      <c r="AS818" s="190"/>
      <c r="AT818" s="191"/>
      <c r="AU818" s="190"/>
      <c r="AV818" s="190"/>
      <c r="AW818" s="190"/>
      <c r="AX818" s="190"/>
      <c r="AY818" s="190"/>
      <c r="AZ818" s="191"/>
      <c r="BA818" s="183"/>
      <c r="BB818" s="183"/>
      <c r="BC818" s="183"/>
      <c r="BD818" s="183"/>
      <c r="BE818" s="183"/>
      <c r="BF818" s="184"/>
      <c r="BG818" s="183"/>
      <c r="BH818" s="183"/>
      <c r="BI818" s="183"/>
      <c r="BJ818" s="183"/>
      <c r="BK818" s="183"/>
      <c r="BL818" s="184"/>
      <c r="BM818" s="409"/>
      <c r="BN818" s="409"/>
    </row>
    <row r="819" spans="1:66" s="153" customFormat="1" x14ac:dyDescent="0.2">
      <c r="A819" s="61"/>
      <c r="B819" s="61"/>
      <c r="C819" s="61"/>
      <c r="D819" s="61"/>
      <c r="E819" s="61"/>
      <c r="F819" s="61"/>
      <c r="G819" s="61"/>
      <c r="H819" s="61"/>
      <c r="I819" s="61"/>
      <c r="J819" s="61"/>
      <c r="K819" s="61"/>
      <c r="L819" s="61"/>
      <c r="M819" s="61"/>
      <c r="N819" s="61"/>
      <c r="O819" s="61"/>
      <c r="P819" s="61"/>
      <c r="Q819" s="61"/>
      <c r="R819" s="61"/>
      <c r="S819" s="61"/>
      <c r="T819" s="35"/>
      <c r="U819" s="187"/>
      <c r="V819" s="190"/>
      <c r="W819" s="190"/>
      <c r="X819" s="190"/>
      <c r="Y819" s="190"/>
      <c r="Z819" s="190"/>
      <c r="AA819" s="191"/>
      <c r="AB819" s="190"/>
      <c r="AC819" s="190"/>
      <c r="AD819" s="190"/>
      <c r="AE819" s="190"/>
      <c r="AF819" s="190"/>
      <c r="AG819" s="190"/>
      <c r="AH819" s="191"/>
      <c r="AI819" s="190"/>
      <c r="AJ819" s="190"/>
      <c r="AK819" s="190"/>
      <c r="AL819" s="190"/>
      <c r="AM819" s="190"/>
      <c r="AN819" s="191"/>
      <c r="AO819" s="190"/>
      <c r="AP819" s="190"/>
      <c r="AQ819" s="190"/>
      <c r="AR819" s="190"/>
      <c r="AS819" s="190"/>
      <c r="AT819" s="191"/>
      <c r="AU819" s="190"/>
      <c r="AV819" s="190"/>
      <c r="AW819" s="190"/>
      <c r="AX819" s="190"/>
      <c r="AY819" s="190"/>
      <c r="AZ819" s="191"/>
      <c r="BA819" s="183"/>
      <c r="BB819" s="183"/>
      <c r="BC819" s="183"/>
      <c r="BD819" s="183"/>
      <c r="BE819" s="183"/>
      <c r="BF819" s="184"/>
      <c r="BG819" s="183"/>
      <c r="BH819" s="183"/>
      <c r="BI819" s="183"/>
      <c r="BJ819" s="183"/>
      <c r="BK819" s="183"/>
      <c r="BL819" s="184"/>
      <c r="BM819" s="409"/>
      <c r="BN819" s="409"/>
    </row>
    <row r="820" spans="1:66" s="153" customFormat="1" x14ac:dyDescent="0.2">
      <c r="A820" s="61"/>
      <c r="B820" s="61"/>
      <c r="C820" s="61"/>
      <c r="D820" s="61"/>
      <c r="E820" s="61"/>
      <c r="F820" s="61"/>
      <c r="G820" s="61"/>
      <c r="H820" s="61"/>
      <c r="I820" s="61"/>
      <c r="J820" s="61"/>
      <c r="K820" s="61"/>
      <c r="L820" s="61"/>
      <c r="M820" s="61"/>
      <c r="N820" s="61"/>
      <c r="O820" s="61"/>
      <c r="P820" s="61"/>
      <c r="Q820" s="61"/>
      <c r="R820" s="61"/>
      <c r="S820" s="61"/>
      <c r="T820" s="35"/>
      <c r="U820" s="187"/>
      <c r="V820" s="190"/>
      <c r="W820" s="190"/>
      <c r="X820" s="190"/>
      <c r="Y820" s="190"/>
      <c r="Z820" s="190"/>
      <c r="AA820" s="191"/>
      <c r="AB820" s="190"/>
      <c r="AC820" s="190"/>
      <c r="AD820" s="190"/>
      <c r="AE820" s="190"/>
      <c r="AF820" s="190"/>
      <c r="AG820" s="190"/>
      <c r="AH820" s="191"/>
      <c r="AI820" s="190"/>
      <c r="AJ820" s="190"/>
      <c r="AK820" s="190"/>
      <c r="AL820" s="190"/>
      <c r="AM820" s="190"/>
      <c r="AN820" s="191"/>
      <c r="AO820" s="190"/>
      <c r="AP820" s="190"/>
      <c r="AQ820" s="190"/>
      <c r="AR820" s="190"/>
      <c r="AS820" s="190"/>
      <c r="AT820" s="191"/>
      <c r="AU820" s="190"/>
      <c r="AV820" s="190"/>
      <c r="AW820" s="190"/>
      <c r="AX820" s="190"/>
      <c r="AY820" s="190"/>
      <c r="AZ820" s="191"/>
      <c r="BA820" s="183"/>
      <c r="BB820" s="183"/>
      <c r="BC820" s="183"/>
      <c r="BD820" s="183"/>
      <c r="BE820" s="183"/>
      <c r="BF820" s="184"/>
      <c r="BG820" s="183"/>
      <c r="BH820" s="183"/>
      <c r="BI820" s="183"/>
      <c r="BJ820" s="183"/>
      <c r="BK820" s="183"/>
      <c r="BL820" s="184"/>
      <c r="BM820" s="409"/>
      <c r="BN820" s="409"/>
    </row>
    <row r="821" spans="1:66" s="153" customFormat="1" x14ac:dyDescent="0.2">
      <c r="A821" s="61"/>
      <c r="B821" s="61"/>
      <c r="C821" s="61"/>
      <c r="D821" s="61"/>
      <c r="E821" s="61"/>
      <c r="F821" s="61"/>
      <c r="G821" s="61"/>
      <c r="H821" s="61"/>
      <c r="I821" s="61"/>
      <c r="J821" s="61"/>
      <c r="K821" s="61"/>
      <c r="L821" s="61"/>
      <c r="M821" s="61"/>
      <c r="N821" s="61"/>
      <c r="O821" s="61"/>
      <c r="P821" s="61"/>
      <c r="Q821" s="61"/>
      <c r="R821" s="61"/>
      <c r="S821" s="61"/>
      <c r="T821" s="35"/>
      <c r="U821" s="187"/>
      <c r="V821" s="190"/>
      <c r="W821" s="190"/>
      <c r="X821" s="190"/>
      <c r="Y821" s="190"/>
      <c r="Z821" s="190"/>
      <c r="AA821" s="191"/>
      <c r="AB821" s="190"/>
      <c r="AC821" s="190"/>
      <c r="AD821" s="190"/>
      <c r="AE821" s="190"/>
      <c r="AF821" s="190"/>
      <c r="AG821" s="190"/>
      <c r="AH821" s="191"/>
      <c r="AI821" s="190"/>
      <c r="AJ821" s="190"/>
      <c r="AK821" s="190"/>
      <c r="AL821" s="190"/>
      <c r="AM821" s="190"/>
      <c r="AN821" s="191"/>
      <c r="AO821" s="190"/>
      <c r="AP821" s="190"/>
      <c r="AQ821" s="190"/>
      <c r="AR821" s="190"/>
      <c r="AS821" s="190"/>
      <c r="AT821" s="191"/>
      <c r="AU821" s="190"/>
      <c r="AV821" s="190"/>
      <c r="AW821" s="190"/>
      <c r="AX821" s="190"/>
      <c r="AY821" s="190"/>
      <c r="AZ821" s="191"/>
      <c r="BA821" s="183"/>
      <c r="BB821" s="183"/>
      <c r="BC821" s="183"/>
      <c r="BD821" s="183"/>
      <c r="BE821" s="183"/>
      <c r="BF821" s="184"/>
      <c r="BG821" s="183"/>
      <c r="BH821" s="183"/>
      <c r="BI821" s="183"/>
      <c r="BJ821" s="183"/>
      <c r="BK821" s="183"/>
      <c r="BL821" s="184"/>
      <c r="BM821" s="409"/>
      <c r="BN821" s="409"/>
    </row>
    <row r="822" spans="1:66" s="153" customFormat="1" x14ac:dyDescent="0.2">
      <c r="A822" s="61"/>
      <c r="B822" s="61"/>
      <c r="C822" s="61"/>
      <c r="D822" s="61"/>
      <c r="E822" s="61"/>
      <c r="F822" s="61"/>
      <c r="G822" s="61"/>
      <c r="H822" s="61"/>
      <c r="I822" s="61"/>
      <c r="J822" s="61"/>
      <c r="K822" s="61"/>
      <c r="L822" s="61"/>
      <c r="M822" s="61"/>
      <c r="N822" s="61"/>
      <c r="O822" s="61"/>
      <c r="P822" s="61"/>
      <c r="Q822" s="61"/>
      <c r="R822" s="61"/>
      <c r="S822" s="61"/>
      <c r="T822" s="35"/>
      <c r="U822" s="187"/>
      <c r="V822" s="190"/>
      <c r="W822" s="190"/>
      <c r="X822" s="190"/>
      <c r="Y822" s="190"/>
      <c r="Z822" s="190"/>
      <c r="AA822" s="191"/>
      <c r="AB822" s="190"/>
      <c r="AC822" s="190"/>
      <c r="AD822" s="190"/>
      <c r="AE822" s="190"/>
      <c r="AF822" s="190"/>
      <c r="AG822" s="190"/>
      <c r="AH822" s="191"/>
      <c r="AI822" s="190"/>
      <c r="AJ822" s="190"/>
      <c r="AK822" s="190"/>
      <c r="AL822" s="190"/>
      <c r="AM822" s="190"/>
      <c r="AN822" s="191"/>
      <c r="AO822" s="190"/>
      <c r="AP822" s="190"/>
      <c r="AQ822" s="190"/>
      <c r="AR822" s="190"/>
      <c r="AS822" s="190"/>
      <c r="AT822" s="191"/>
      <c r="AU822" s="190"/>
      <c r="AV822" s="190"/>
      <c r="AW822" s="190"/>
      <c r="AX822" s="190"/>
      <c r="AY822" s="190"/>
      <c r="AZ822" s="191"/>
      <c r="BA822" s="183"/>
      <c r="BB822" s="183"/>
      <c r="BC822" s="183"/>
      <c r="BD822" s="183"/>
      <c r="BE822" s="183"/>
      <c r="BF822" s="184"/>
      <c r="BG822" s="183"/>
      <c r="BH822" s="183"/>
      <c r="BI822" s="183"/>
      <c r="BJ822" s="183"/>
      <c r="BK822" s="183"/>
      <c r="BL822" s="184"/>
      <c r="BM822" s="409"/>
      <c r="BN822" s="409"/>
    </row>
    <row r="823" spans="1:66" s="153" customFormat="1" x14ac:dyDescent="0.2">
      <c r="A823" s="61"/>
      <c r="B823" s="61"/>
      <c r="C823" s="61"/>
      <c r="D823" s="61"/>
      <c r="E823" s="61"/>
      <c r="F823" s="61"/>
      <c r="G823" s="61"/>
      <c r="H823" s="61"/>
      <c r="I823" s="61"/>
      <c r="J823" s="61"/>
      <c r="K823" s="61"/>
      <c r="L823" s="61"/>
      <c r="M823" s="61"/>
      <c r="N823" s="61"/>
      <c r="O823" s="61"/>
      <c r="P823" s="61"/>
      <c r="Q823" s="61"/>
      <c r="R823" s="61"/>
      <c r="S823" s="61"/>
      <c r="T823" s="35"/>
      <c r="U823" s="187"/>
      <c r="V823" s="190"/>
      <c r="W823" s="190"/>
      <c r="X823" s="190"/>
      <c r="Y823" s="190"/>
      <c r="Z823" s="190"/>
      <c r="AA823" s="191"/>
      <c r="AB823" s="190"/>
      <c r="AC823" s="190"/>
      <c r="AD823" s="190"/>
      <c r="AE823" s="190"/>
      <c r="AF823" s="190"/>
      <c r="AG823" s="190"/>
      <c r="AH823" s="191"/>
      <c r="AI823" s="190"/>
      <c r="AJ823" s="190"/>
      <c r="AK823" s="190"/>
      <c r="AL823" s="190"/>
      <c r="AM823" s="190"/>
      <c r="AN823" s="191"/>
      <c r="AO823" s="190"/>
      <c r="AP823" s="190"/>
      <c r="AQ823" s="190"/>
      <c r="AR823" s="190"/>
      <c r="AS823" s="190"/>
      <c r="AT823" s="191"/>
      <c r="AU823" s="190"/>
      <c r="AV823" s="190"/>
      <c r="AW823" s="190"/>
      <c r="AX823" s="190"/>
      <c r="AY823" s="190"/>
      <c r="AZ823" s="191"/>
      <c r="BA823" s="183"/>
      <c r="BB823" s="183"/>
      <c r="BC823" s="183"/>
      <c r="BD823" s="183"/>
      <c r="BE823" s="183"/>
      <c r="BF823" s="184"/>
      <c r="BG823" s="183"/>
      <c r="BH823" s="183"/>
      <c r="BI823" s="183"/>
      <c r="BJ823" s="183"/>
      <c r="BK823" s="183"/>
      <c r="BL823" s="184"/>
      <c r="BM823" s="409"/>
      <c r="BN823" s="409"/>
    </row>
    <row r="824" spans="1:66" s="153" customFormat="1" x14ac:dyDescent="0.2">
      <c r="A824" s="61"/>
      <c r="B824" s="61"/>
      <c r="C824" s="61"/>
      <c r="D824" s="61"/>
      <c r="E824" s="61"/>
      <c r="F824" s="61"/>
      <c r="G824" s="61"/>
      <c r="H824" s="61"/>
      <c r="I824" s="61"/>
      <c r="J824" s="61"/>
      <c r="K824" s="61"/>
      <c r="L824" s="61"/>
      <c r="M824" s="61"/>
      <c r="N824" s="61"/>
      <c r="O824" s="61"/>
      <c r="P824" s="61"/>
      <c r="Q824" s="61"/>
      <c r="R824" s="61"/>
      <c r="S824" s="61"/>
      <c r="T824" s="35"/>
      <c r="U824" s="187"/>
      <c r="V824" s="190"/>
      <c r="W824" s="190"/>
      <c r="X824" s="190"/>
      <c r="Y824" s="190"/>
      <c r="Z824" s="190"/>
      <c r="AA824" s="191"/>
      <c r="AB824" s="190"/>
      <c r="AC824" s="190"/>
      <c r="AD824" s="190"/>
      <c r="AE824" s="190"/>
      <c r="AF824" s="190"/>
      <c r="AG824" s="190"/>
      <c r="AH824" s="191"/>
      <c r="AI824" s="190"/>
      <c r="AJ824" s="190"/>
      <c r="AK824" s="190"/>
      <c r="AL824" s="190"/>
      <c r="AM824" s="190"/>
      <c r="AN824" s="191"/>
      <c r="AO824" s="190"/>
      <c r="AP824" s="190"/>
      <c r="AQ824" s="190"/>
      <c r="AR824" s="190"/>
      <c r="AS824" s="190"/>
      <c r="AT824" s="191"/>
      <c r="AU824" s="190"/>
      <c r="AV824" s="190"/>
      <c r="AW824" s="190"/>
      <c r="AX824" s="190"/>
      <c r="AY824" s="190"/>
      <c r="AZ824" s="191"/>
      <c r="BA824" s="183"/>
      <c r="BB824" s="183"/>
      <c r="BC824" s="183"/>
      <c r="BD824" s="183"/>
      <c r="BE824" s="183"/>
      <c r="BF824" s="184"/>
      <c r="BG824" s="183"/>
      <c r="BH824" s="183"/>
      <c r="BI824" s="183"/>
      <c r="BJ824" s="183"/>
      <c r="BK824" s="183"/>
      <c r="BL824" s="184"/>
      <c r="BM824" s="409"/>
      <c r="BN824" s="409"/>
    </row>
    <row r="825" spans="1:66" s="153" customFormat="1" x14ac:dyDescent="0.2">
      <c r="A825" s="61"/>
      <c r="B825" s="61"/>
      <c r="C825" s="61"/>
      <c r="D825" s="61"/>
      <c r="E825" s="61"/>
      <c r="F825" s="61"/>
      <c r="G825" s="61"/>
      <c r="H825" s="61"/>
      <c r="I825" s="61"/>
      <c r="J825" s="61"/>
      <c r="K825" s="61"/>
      <c r="L825" s="61"/>
      <c r="M825" s="61"/>
      <c r="N825" s="61"/>
      <c r="O825" s="61"/>
      <c r="P825" s="61"/>
      <c r="Q825" s="61"/>
      <c r="R825" s="61"/>
      <c r="S825" s="61"/>
      <c r="T825" s="35"/>
      <c r="U825" s="187"/>
      <c r="V825" s="190"/>
      <c r="W825" s="190"/>
      <c r="X825" s="190"/>
      <c r="Y825" s="190"/>
      <c r="Z825" s="190"/>
      <c r="AA825" s="191"/>
      <c r="AB825" s="190"/>
      <c r="AC825" s="190"/>
      <c r="AD825" s="190"/>
      <c r="AE825" s="190"/>
      <c r="AF825" s="190"/>
      <c r="AG825" s="190"/>
      <c r="AH825" s="191"/>
      <c r="AI825" s="190"/>
      <c r="AJ825" s="190"/>
      <c r="AK825" s="190"/>
      <c r="AL825" s="190"/>
      <c r="AM825" s="190"/>
      <c r="AN825" s="191"/>
      <c r="AO825" s="190"/>
      <c r="AP825" s="190"/>
      <c r="AQ825" s="190"/>
      <c r="AR825" s="190"/>
      <c r="AS825" s="190"/>
      <c r="AT825" s="191"/>
      <c r="AU825" s="190"/>
      <c r="AV825" s="190"/>
      <c r="AW825" s="190"/>
      <c r="AX825" s="190"/>
      <c r="AY825" s="190"/>
      <c r="AZ825" s="191"/>
      <c r="BA825" s="183"/>
      <c r="BB825" s="183"/>
      <c r="BC825" s="183"/>
      <c r="BD825" s="183"/>
      <c r="BE825" s="183"/>
      <c r="BF825" s="184"/>
      <c r="BG825" s="183"/>
      <c r="BH825" s="183"/>
      <c r="BI825" s="183"/>
      <c r="BJ825" s="183"/>
      <c r="BK825" s="183"/>
      <c r="BL825" s="184"/>
      <c r="BM825" s="409"/>
      <c r="BN825" s="409"/>
    </row>
    <row r="826" spans="1:66" s="153" customFormat="1" x14ac:dyDescent="0.2">
      <c r="A826" s="61"/>
      <c r="B826" s="61"/>
      <c r="C826" s="61"/>
      <c r="D826" s="61"/>
      <c r="E826" s="61"/>
      <c r="F826" s="61"/>
      <c r="G826" s="61"/>
      <c r="H826" s="61"/>
      <c r="I826" s="61"/>
      <c r="J826" s="61"/>
      <c r="K826" s="61"/>
      <c r="L826" s="61"/>
      <c r="M826" s="61"/>
      <c r="N826" s="61"/>
      <c r="O826" s="61"/>
      <c r="P826" s="61"/>
      <c r="Q826" s="61"/>
      <c r="R826" s="61"/>
      <c r="S826" s="61"/>
      <c r="T826" s="35"/>
      <c r="U826" s="187"/>
      <c r="V826" s="190"/>
      <c r="W826" s="190"/>
      <c r="X826" s="190"/>
      <c r="Y826" s="190"/>
      <c r="Z826" s="190"/>
      <c r="AA826" s="191"/>
      <c r="AB826" s="190"/>
      <c r="AC826" s="190"/>
      <c r="AD826" s="190"/>
      <c r="AE826" s="190"/>
      <c r="AF826" s="190"/>
      <c r="AG826" s="190"/>
      <c r="AH826" s="191"/>
      <c r="AI826" s="190"/>
      <c r="AJ826" s="190"/>
      <c r="AK826" s="190"/>
      <c r="AL826" s="190"/>
      <c r="AM826" s="190"/>
      <c r="AN826" s="191"/>
      <c r="AO826" s="190"/>
      <c r="AP826" s="190"/>
      <c r="AQ826" s="190"/>
      <c r="AR826" s="190"/>
      <c r="AS826" s="190"/>
      <c r="AT826" s="191"/>
      <c r="AU826" s="190"/>
      <c r="AV826" s="190"/>
      <c r="AW826" s="190"/>
      <c r="AX826" s="190"/>
      <c r="AY826" s="190"/>
      <c r="AZ826" s="191"/>
      <c r="BA826" s="183"/>
      <c r="BB826" s="183"/>
      <c r="BC826" s="183"/>
      <c r="BD826" s="183"/>
      <c r="BE826" s="183"/>
      <c r="BF826" s="184"/>
      <c r="BG826" s="183"/>
      <c r="BH826" s="183"/>
      <c r="BI826" s="183"/>
      <c r="BJ826" s="183"/>
      <c r="BK826" s="183"/>
      <c r="BL826" s="184"/>
      <c r="BM826" s="409"/>
      <c r="BN826" s="409"/>
    </row>
    <row r="827" spans="1:66" s="153" customFormat="1" x14ac:dyDescent="0.2">
      <c r="A827" s="61"/>
      <c r="B827" s="61"/>
      <c r="C827" s="61"/>
      <c r="D827" s="61"/>
      <c r="E827" s="61"/>
      <c r="F827" s="61"/>
      <c r="G827" s="61"/>
      <c r="H827" s="61"/>
      <c r="I827" s="61"/>
      <c r="J827" s="61"/>
      <c r="K827" s="61"/>
      <c r="L827" s="61"/>
      <c r="M827" s="61"/>
      <c r="N827" s="61"/>
      <c r="O827" s="61"/>
      <c r="P827" s="61"/>
      <c r="Q827" s="61"/>
      <c r="R827" s="61"/>
      <c r="S827" s="61"/>
      <c r="T827" s="35"/>
      <c r="U827" s="187"/>
      <c r="V827" s="190"/>
      <c r="W827" s="190"/>
      <c r="X827" s="190"/>
      <c r="Y827" s="190"/>
      <c r="Z827" s="190"/>
      <c r="AA827" s="191"/>
      <c r="AB827" s="190"/>
      <c r="AC827" s="190"/>
      <c r="AD827" s="190"/>
      <c r="AE827" s="190"/>
      <c r="AF827" s="190"/>
      <c r="AG827" s="190"/>
      <c r="AH827" s="191"/>
      <c r="AI827" s="190"/>
      <c r="AJ827" s="190"/>
      <c r="AK827" s="190"/>
      <c r="AL827" s="190"/>
      <c r="AM827" s="190"/>
      <c r="AN827" s="191"/>
      <c r="AO827" s="190"/>
      <c r="AP827" s="190"/>
      <c r="AQ827" s="190"/>
      <c r="AR827" s="190"/>
      <c r="AS827" s="190"/>
      <c r="AT827" s="191"/>
      <c r="AU827" s="190"/>
      <c r="AV827" s="190"/>
      <c r="AW827" s="190"/>
      <c r="AX827" s="190"/>
      <c r="AY827" s="190"/>
      <c r="AZ827" s="191"/>
      <c r="BA827" s="183"/>
      <c r="BB827" s="183"/>
      <c r="BC827" s="183"/>
      <c r="BD827" s="183"/>
      <c r="BE827" s="183"/>
      <c r="BF827" s="184"/>
      <c r="BG827" s="183"/>
      <c r="BH827" s="183"/>
      <c r="BI827" s="183"/>
      <c r="BJ827" s="183"/>
      <c r="BK827" s="183"/>
      <c r="BL827" s="184"/>
      <c r="BM827" s="409"/>
      <c r="BN827" s="409"/>
    </row>
    <row r="828" spans="1:66" s="153" customFormat="1" x14ac:dyDescent="0.2">
      <c r="A828" s="61"/>
      <c r="B828" s="61"/>
      <c r="C828" s="61"/>
      <c r="D828" s="61"/>
      <c r="E828" s="61"/>
      <c r="F828" s="61"/>
      <c r="G828" s="61"/>
      <c r="H828" s="61"/>
      <c r="I828" s="61"/>
      <c r="J828" s="61"/>
      <c r="K828" s="61"/>
      <c r="L828" s="61"/>
      <c r="M828" s="61"/>
      <c r="N828" s="61"/>
      <c r="O828" s="61"/>
      <c r="P828" s="61"/>
      <c r="Q828" s="61"/>
      <c r="R828" s="61"/>
      <c r="S828" s="61"/>
      <c r="T828" s="35"/>
      <c r="U828" s="187"/>
      <c r="V828" s="190"/>
      <c r="W828" s="190"/>
      <c r="X828" s="190"/>
      <c r="Y828" s="190"/>
      <c r="Z828" s="190"/>
      <c r="AA828" s="191"/>
      <c r="AB828" s="190"/>
      <c r="AC828" s="190"/>
      <c r="AD828" s="190"/>
      <c r="AE828" s="190"/>
      <c r="AF828" s="190"/>
      <c r="AG828" s="190"/>
      <c r="AH828" s="191"/>
      <c r="AI828" s="190"/>
      <c r="AJ828" s="190"/>
      <c r="AK828" s="190"/>
      <c r="AL828" s="190"/>
      <c r="AM828" s="190"/>
      <c r="AN828" s="191"/>
      <c r="AO828" s="190"/>
      <c r="AP828" s="190"/>
      <c r="AQ828" s="190"/>
      <c r="AR828" s="190"/>
      <c r="AS828" s="190"/>
      <c r="AT828" s="191"/>
      <c r="AU828" s="190"/>
      <c r="AV828" s="190"/>
      <c r="AW828" s="190"/>
      <c r="AX828" s="190"/>
      <c r="AY828" s="190"/>
      <c r="AZ828" s="191"/>
      <c r="BA828" s="183"/>
      <c r="BB828" s="183"/>
      <c r="BC828" s="183"/>
      <c r="BD828" s="183"/>
      <c r="BE828" s="183"/>
      <c r="BF828" s="184"/>
      <c r="BG828" s="183"/>
      <c r="BH828" s="183"/>
      <c r="BI828" s="183"/>
      <c r="BJ828" s="183"/>
      <c r="BK828" s="183"/>
      <c r="BL828" s="184"/>
      <c r="BM828" s="409"/>
      <c r="BN828" s="409"/>
    </row>
    <row r="829" spans="1:66" s="153" customFormat="1" x14ac:dyDescent="0.2">
      <c r="A829" s="61"/>
      <c r="B829" s="61"/>
      <c r="C829" s="61"/>
      <c r="D829" s="61"/>
      <c r="E829" s="61"/>
      <c r="F829" s="61"/>
      <c r="G829" s="61"/>
      <c r="H829" s="61"/>
      <c r="I829" s="61"/>
      <c r="J829" s="61"/>
      <c r="K829" s="61"/>
      <c r="L829" s="61"/>
      <c r="M829" s="61"/>
      <c r="N829" s="61"/>
      <c r="O829" s="61"/>
      <c r="P829" s="61"/>
      <c r="Q829" s="61"/>
      <c r="R829" s="61"/>
      <c r="S829" s="61"/>
      <c r="T829" s="35"/>
      <c r="U829" s="187"/>
      <c r="V829" s="190"/>
      <c r="W829" s="190"/>
      <c r="X829" s="190"/>
      <c r="Y829" s="190"/>
      <c r="Z829" s="190"/>
      <c r="AA829" s="191"/>
      <c r="AB829" s="190"/>
      <c r="AC829" s="190"/>
      <c r="AD829" s="190"/>
      <c r="AE829" s="190"/>
      <c r="AF829" s="190"/>
      <c r="AG829" s="190"/>
      <c r="AH829" s="191"/>
      <c r="AI829" s="190"/>
      <c r="AJ829" s="190"/>
      <c r="AK829" s="190"/>
      <c r="AL829" s="190"/>
      <c r="AM829" s="190"/>
      <c r="AN829" s="191"/>
      <c r="AO829" s="190"/>
      <c r="AP829" s="190"/>
      <c r="AQ829" s="190"/>
      <c r="AR829" s="190"/>
      <c r="AS829" s="190"/>
      <c r="AT829" s="191"/>
      <c r="AU829" s="190"/>
      <c r="AV829" s="190"/>
      <c r="AW829" s="190"/>
      <c r="AX829" s="190"/>
      <c r="AY829" s="190"/>
      <c r="AZ829" s="191"/>
      <c r="BA829" s="183"/>
      <c r="BB829" s="183"/>
      <c r="BC829" s="183"/>
      <c r="BD829" s="183"/>
      <c r="BE829" s="183"/>
      <c r="BF829" s="184"/>
      <c r="BG829" s="183"/>
      <c r="BH829" s="183"/>
      <c r="BI829" s="183"/>
      <c r="BJ829" s="183"/>
      <c r="BK829" s="183"/>
      <c r="BL829" s="184"/>
      <c r="BM829" s="409"/>
      <c r="BN829" s="409"/>
    </row>
    <row r="830" spans="1:66" s="153" customFormat="1" x14ac:dyDescent="0.2">
      <c r="A830" s="61"/>
      <c r="B830" s="61"/>
      <c r="C830" s="61"/>
      <c r="D830" s="61"/>
      <c r="E830" s="61"/>
      <c r="F830" s="61"/>
      <c r="G830" s="61"/>
      <c r="H830" s="61"/>
      <c r="I830" s="61"/>
      <c r="J830" s="61"/>
      <c r="K830" s="61"/>
      <c r="L830" s="61"/>
      <c r="M830" s="61"/>
      <c r="N830" s="61"/>
      <c r="O830" s="61"/>
      <c r="P830" s="61"/>
      <c r="Q830" s="61"/>
      <c r="R830" s="61"/>
      <c r="S830" s="61"/>
      <c r="T830" s="35"/>
      <c r="U830" s="187"/>
      <c r="V830" s="190"/>
      <c r="W830" s="190"/>
      <c r="X830" s="190"/>
      <c r="Y830" s="190"/>
      <c r="Z830" s="190"/>
      <c r="AA830" s="191"/>
      <c r="AB830" s="190"/>
      <c r="AC830" s="190"/>
      <c r="AD830" s="190"/>
      <c r="AE830" s="190"/>
      <c r="AF830" s="190"/>
      <c r="AG830" s="190"/>
      <c r="AH830" s="191"/>
      <c r="AI830" s="190"/>
      <c r="AJ830" s="190"/>
      <c r="AK830" s="190"/>
      <c r="AL830" s="190"/>
      <c r="AM830" s="190"/>
      <c r="AN830" s="191"/>
      <c r="AO830" s="190"/>
      <c r="AP830" s="190"/>
      <c r="AQ830" s="190"/>
      <c r="AR830" s="190"/>
      <c r="AS830" s="190"/>
      <c r="AT830" s="191"/>
      <c r="AU830" s="190"/>
      <c r="AV830" s="190"/>
      <c r="AW830" s="190"/>
      <c r="AX830" s="190"/>
      <c r="AY830" s="190"/>
      <c r="AZ830" s="191"/>
      <c r="BA830" s="183"/>
      <c r="BB830" s="183"/>
      <c r="BC830" s="183"/>
      <c r="BD830" s="183"/>
      <c r="BE830" s="183"/>
      <c r="BF830" s="184"/>
      <c r="BG830" s="183"/>
      <c r="BH830" s="183"/>
      <c r="BI830" s="183"/>
      <c r="BJ830" s="183"/>
      <c r="BK830" s="183"/>
      <c r="BL830" s="184"/>
      <c r="BM830" s="409"/>
      <c r="BN830" s="409"/>
    </row>
    <row r="831" spans="1:66" s="153" customFormat="1" x14ac:dyDescent="0.2">
      <c r="A831" s="61"/>
      <c r="B831" s="61"/>
      <c r="C831" s="61"/>
      <c r="D831" s="61"/>
      <c r="E831" s="61"/>
      <c r="F831" s="61"/>
      <c r="G831" s="61"/>
      <c r="H831" s="61"/>
      <c r="I831" s="61"/>
      <c r="J831" s="61"/>
      <c r="K831" s="61"/>
      <c r="L831" s="61"/>
      <c r="M831" s="61"/>
      <c r="N831" s="61"/>
      <c r="O831" s="61"/>
      <c r="P831" s="61"/>
      <c r="Q831" s="61"/>
      <c r="R831" s="61"/>
      <c r="S831" s="61"/>
      <c r="T831" s="35"/>
      <c r="U831" s="187"/>
      <c r="V831" s="190"/>
      <c r="W831" s="190"/>
      <c r="X831" s="190"/>
      <c r="Y831" s="190"/>
      <c r="Z831" s="190"/>
      <c r="AA831" s="191"/>
      <c r="AB831" s="190"/>
      <c r="AC831" s="190"/>
      <c r="AD831" s="190"/>
      <c r="AE831" s="190"/>
      <c r="AF831" s="190"/>
      <c r="AG831" s="190"/>
      <c r="AH831" s="191"/>
      <c r="AI831" s="190"/>
      <c r="AJ831" s="190"/>
      <c r="AK831" s="190"/>
      <c r="AL831" s="190"/>
      <c r="AM831" s="190"/>
      <c r="AN831" s="191"/>
      <c r="AO831" s="190"/>
      <c r="AP831" s="190"/>
      <c r="AQ831" s="190"/>
      <c r="AR831" s="190"/>
      <c r="AS831" s="190"/>
      <c r="AT831" s="191"/>
      <c r="AU831" s="190"/>
      <c r="AV831" s="190"/>
      <c r="AW831" s="190"/>
      <c r="AX831" s="190"/>
      <c r="AY831" s="190"/>
      <c r="AZ831" s="191"/>
      <c r="BA831" s="183"/>
      <c r="BB831" s="183"/>
      <c r="BC831" s="183"/>
      <c r="BD831" s="183"/>
      <c r="BE831" s="183"/>
      <c r="BF831" s="184"/>
      <c r="BG831" s="183"/>
      <c r="BH831" s="183"/>
      <c r="BI831" s="183"/>
      <c r="BJ831" s="183"/>
      <c r="BK831" s="183"/>
      <c r="BL831" s="184"/>
      <c r="BM831" s="409"/>
      <c r="BN831" s="409"/>
    </row>
    <row r="832" spans="1:66" s="153" customFormat="1" x14ac:dyDescent="0.2">
      <c r="A832" s="61"/>
      <c r="B832" s="61"/>
      <c r="C832" s="61"/>
      <c r="D832" s="61"/>
      <c r="E832" s="61"/>
      <c r="F832" s="61"/>
      <c r="G832" s="61"/>
      <c r="H832" s="61"/>
      <c r="I832" s="61"/>
      <c r="J832" s="61"/>
      <c r="K832" s="61"/>
      <c r="L832" s="61"/>
      <c r="M832" s="61"/>
      <c r="N832" s="61"/>
      <c r="O832" s="61"/>
      <c r="P832" s="61"/>
      <c r="Q832" s="61"/>
      <c r="R832" s="61"/>
      <c r="S832" s="61"/>
      <c r="T832" s="35"/>
      <c r="U832" s="187"/>
      <c r="V832" s="190"/>
      <c r="W832" s="190"/>
      <c r="X832" s="190"/>
      <c r="Y832" s="190"/>
      <c r="Z832" s="190"/>
      <c r="AA832" s="191"/>
      <c r="AB832" s="190"/>
      <c r="AC832" s="190"/>
      <c r="AD832" s="190"/>
      <c r="AE832" s="190"/>
      <c r="AF832" s="190"/>
      <c r="AG832" s="190"/>
      <c r="AH832" s="191"/>
      <c r="AI832" s="190"/>
      <c r="AJ832" s="190"/>
      <c r="AK832" s="190"/>
      <c r="AL832" s="190"/>
      <c r="AM832" s="190"/>
      <c r="AN832" s="191"/>
      <c r="AO832" s="190"/>
      <c r="AP832" s="190"/>
      <c r="AQ832" s="190"/>
      <c r="AR832" s="190"/>
      <c r="AS832" s="190"/>
      <c r="AT832" s="191"/>
      <c r="AU832" s="190"/>
      <c r="AV832" s="190"/>
      <c r="AW832" s="190"/>
      <c r="AX832" s="190"/>
      <c r="AY832" s="190"/>
      <c r="AZ832" s="191"/>
      <c r="BA832" s="183"/>
      <c r="BB832" s="183"/>
      <c r="BC832" s="183"/>
      <c r="BD832" s="183"/>
      <c r="BE832" s="183"/>
      <c r="BF832" s="184"/>
      <c r="BG832" s="183"/>
      <c r="BH832" s="183"/>
      <c r="BI832" s="183"/>
      <c r="BJ832" s="183"/>
      <c r="BK832" s="183"/>
      <c r="BL832" s="184"/>
      <c r="BM832" s="409"/>
      <c r="BN832" s="409"/>
    </row>
    <row r="833" spans="1:66" s="153" customFormat="1" x14ac:dyDescent="0.2">
      <c r="A833" s="61"/>
      <c r="B833" s="61"/>
      <c r="C833" s="61"/>
      <c r="D833" s="61"/>
      <c r="E833" s="61"/>
      <c r="F833" s="61"/>
      <c r="G833" s="61"/>
      <c r="H833" s="61"/>
      <c r="I833" s="61"/>
      <c r="J833" s="61"/>
      <c r="K833" s="61"/>
      <c r="L833" s="61"/>
      <c r="M833" s="61"/>
      <c r="N833" s="61"/>
      <c r="O833" s="61"/>
      <c r="P833" s="61"/>
      <c r="Q833" s="61"/>
      <c r="R833" s="61"/>
      <c r="S833" s="61"/>
      <c r="T833" s="35"/>
      <c r="U833" s="187"/>
      <c r="V833" s="190"/>
      <c r="W833" s="190"/>
      <c r="X833" s="190"/>
      <c r="Y833" s="190"/>
      <c r="Z833" s="190"/>
      <c r="AA833" s="191"/>
      <c r="AB833" s="190"/>
      <c r="AC833" s="190"/>
      <c r="AD833" s="190"/>
      <c r="AE833" s="190"/>
      <c r="AF833" s="190"/>
      <c r="AG833" s="190"/>
      <c r="AH833" s="191"/>
      <c r="AI833" s="190"/>
      <c r="AJ833" s="190"/>
      <c r="AK833" s="190"/>
      <c r="AL833" s="190"/>
      <c r="AM833" s="190"/>
      <c r="AN833" s="191"/>
      <c r="AO833" s="190"/>
      <c r="AP833" s="190"/>
      <c r="AQ833" s="190"/>
      <c r="AR833" s="190"/>
      <c r="AS833" s="190"/>
      <c r="AT833" s="191"/>
      <c r="AU833" s="190"/>
      <c r="AV833" s="190"/>
      <c r="AW833" s="190"/>
      <c r="AX833" s="190"/>
      <c r="AY833" s="190"/>
      <c r="AZ833" s="191"/>
      <c r="BA833" s="183"/>
      <c r="BB833" s="183"/>
      <c r="BC833" s="183"/>
      <c r="BD833" s="183"/>
      <c r="BE833" s="183"/>
      <c r="BF833" s="184"/>
      <c r="BG833" s="183"/>
      <c r="BH833" s="183"/>
      <c r="BI833" s="183"/>
      <c r="BJ833" s="183"/>
      <c r="BK833" s="183"/>
      <c r="BL833" s="184"/>
      <c r="BM833" s="409"/>
      <c r="BN833" s="409"/>
    </row>
    <row r="834" spans="1:66" s="153" customFormat="1" x14ac:dyDescent="0.2">
      <c r="A834" s="61"/>
      <c r="B834" s="61"/>
      <c r="C834" s="61"/>
      <c r="D834" s="61"/>
      <c r="E834" s="61"/>
      <c r="F834" s="61"/>
      <c r="G834" s="61"/>
      <c r="H834" s="61"/>
      <c r="I834" s="61"/>
      <c r="J834" s="61"/>
      <c r="K834" s="61"/>
      <c r="L834" s="61"/>
      <c r="M834" s="61"/>
      <c r="N834" s="61"/>
      <c r="O834" s="61"/>
      <c r="P834" s="61"/>
      <c r="Q834" s="61"/>
      <c r="R834" s="61"/>
      <c r="S834" s="61"/>
      <c r="T834" s="35"/>
      <c r="U834" s="187"/>
      <c r="V834" s="190"/>
      <c r="W834" s="190"/>
      <c r="X834" s="190"/>
      <c r="Y834" s="190"/>
      <c r="Z834" s="190"/>
      <c r="AA834" s="191"/>
      <c r="AB834" s="190"/>
      <c r="AC834" s="190"/>
      <c r="AD834" s="190"/>
      <c r="AE834" s="190"/>
      <c r="AF834" s="190"/>
      <c r="AG834" s="190"/>
      <c r="AH834" s="191"/>
      <c r="AI834" s="190"/>
      <c r="AJ834" s="190"/>
      <c r="AK834" s="190"/>
      <c r="AL834" s="190"/>
      <c r="AM834" s="190"/>
      <c r="AN834" s="191"/>
      <c r="AO834" s="190"/>
      <c r="AP834" s="190"/>
      <c r="AQ834" s="190"/>
      <c r="AR834" s="190"/>
      <c r="AS834" s="190"/>
      <c r="AT834" s="191"/>
      <c r="AU834" s="190"/>
      <c r="AV834" s="190"/>
      <c r="AW834" s="190"/>
      <c r="AX834" s="190"/>
      <c r="AY834" s="190"/>
      <c r="AZ834" s="191"/>
      <c r="BA834" s="183"/>
      <c r="BB834" s="183"/>
      <c r="BC834" s="183"/>
      <c r="BD834" s="183"/>
      <c r="BE834" s="183"/>
      <c r="BF834" s="184"/>
      <c r="BG834" s="183"/>
      <c r="BH834" s="183"/>
      <c r="BI834" s="183"/>
      <c r="BJ834" s="183"/>
      <c r="BK834" s="183"/>
      <c r="BL834" s="184"/>
      <c r="BM834" s="409"/>
      <c r="BN834" s="409"/>
    </row>
    <row r="835" spans="1:66" s="153" customFormat="1" x14ac:dyDescent="0.2">
      <c r="A835" s="61"/>
      <c r="B835" s="61"/>
      <c r="C835" s="61"/>
      <c r="D835" s="61"/>
      <c r="E835" s="61"/>
      <c r="F835" s="61"/>
      <c r="G835" s="61"/>
      <c r="H835" s="61"/>
      <c r="I835" s="61"/>
      <c r="J835" s="61"/>
      <c r="K835" s="61"/>
      <c r="L835" s="61"/>
      <c r="M835" s="61"/>
      <c r="N835" s="61"/>
      <c r="O835" s="61"/>
      <c r="P835" s="61"/>
      <c r="Q835" s="61"/>
      <c r="R835" s="61"/>
      <c r="S835" s="61"/>
      <c r="T835" s="35"/>
      <c r="U835" s="187"/>
      <c r="V835" s="190"/>
      <c r="W835" s="190"/>
      <c r="X835" s="190"/>
      <c r="Y835" s="190"/>
      <c r="Z835" s="190"/>
      <c r="AA835" s="191"/>
      <c r="AB835" s="190"/>
      <c r="AC835" s="190"/>
      <c r="AD835" s="190"/>
      <c r="AE835" s="190"/>
      <c r="AF835" s="190"/>
      <c r="AG835" s="190"/>
      <c r="AH835" s="191"/>
      <c r="AI835" s="190"/>
      <c r="AJ835" s="190"/>
      <c r="AK835" s="190"/>
      <c r="AL835" s="190"/>
      <c r="AM835" s="190"/>
      <c r="AN835" s="191"/>
      <c r="AO835" s="190"/>
      <c r="AP835" s="190"/>
      <c r="AQ835" s="190"/>
      <c r="AR835" s="190"/>
      <c r="AS835" s="190"/>
      <c r="AT835" s="191"/>
      <c r="AU835" s="190"/>
      <c r="AV835" s="190"/>
      <c r="AW835" s="190"/>
      <c r="AX835" s="190"/>
      <c r="AY835" s="190"/>
      <c r="AZ835" s="191"/>
      <c r="BA835" s="183"/>
      <c r="BB835" s="183"/>
      <c r="BC835" s="183"/>
      <c r="BD835" s="183"/>
      <c r="BE835" s="183"/>
      <c r="BF835" s="184"/>
      <c r="BG835" s="183"/>
      <c r="BH835" s="183"/>
      <c r="BI835" s="183"/>
      <c r="BJ835" s="183"/>
      <c r="BK835" s="183"/>
      <c r="BL835" s="184"/>
      <c r="BM835" s="409"/>
      <c r="BN835" s="409"/>
    </row>
    <row r="836" spans="1:66" s="153" customFormat="1" x14ac:dyDescent="0.2">
      <c r="A836" s="61"/>
      <c r="B836" s="61"/>
      <c r="C836" s="61"/>
      <c r="D836" s="61"/>
      <c r="E836" s="61"/>
      <c r="F836" s="61"/>
      <c r="G836" s="61"/>
      <c r="H836" s="61"/>
      <c r="I836" s="61"/>
      <c r="J836" s="61"/>
      <c r="K836" s="61"/>
      <c r="L836" s="61"/>
      <c r="M836" s="61"/>
      <c r="N836" s="61"/>
      <c r="O836" s="61"/>
      <c r="P836" s="61"/>
      <c r="Q836" s="61"/>
      <c r="R836" s="61"/>
      <c r="S836" s="61"/>
      <c r="T836" s="35"/>
      <c r="U836" s="187"/>
      <c r="V836" s="190"/>
      <c r="W836" s="190"/>
      <c r="X836" s="190"/>
      <c r="Y836" s="190"/>
      <c r="Z836" s="190"/>
      <c r="AA836" s="191"/>
      <c r="AB836" s="190"/>
      <c r="AC836" s="190"/>
      <c r="AD836" s="190"/>
      <c r="AE836" s="190"/>
      <c r="AF836" s="190"/>
      <c r="AG836" s="190"/>
      <c r="AH836" s="191"/>
      <c r="AI836" s="190"/>
      <c r="AJ836" s="190"/>
      <c r="AK836" s="190"/>
      <c r="AL836" s="190"/>
      <c r="AM836" s="190"/>
      <c r="AN836" s="191"/>
      <c r="AO836" s="190"/>
      <c r="AP836" s="190"/>
      <c r="AQ836" s="190"/>
      <c r="AR836" s="190"/>
      <c r="AS836" s="190"/>
      <c r="AT836" s="191"/>
      <c r="AU836" s="190"/>
      <c r="AV836" s="190"/>
      <c r="AW836" s="190"/>
      <c r="AX836" s="190"/>
      <c r="AY836" s="190"/>
      <c r="AZ836" s="191"/>
      <c r="BA836" s="183"/>
      <c r="BB836" s="183"/>
      <c r="BC836" s="183"/>
      <c r="BD836" s="183"/>
      <c r="BE836" s="183"/>
      <c r="BF836" s="184"/>
      <c r="BG836" s="183"/>
      <c r="BH836" s="183"/>
      <c r="BI836" s="183"/>
      <c r="BJ836" s="183"/>
      <c r="BK836" s="183"/>
      <c r="BL836" s="184"/>
      <c r="BM836" s="409"/>
      <c r="BN836" s="409"/>
    </row>
    <row r="837" spans="1:66" s="153" customFormat="1" x14ac:dyDescent="0.2">
      <c r="A837" s="61"/>
      <c r="B837" s="61"/>
      <c r="C837" s="61"/>
      <c r="D837" s="61"/>
      <c r="E837" s="61"/>
      <c r="F837" s="61"/>
      <c r="G837" s="61"/>
      <c r="H837" s="61"/>
      <c r="I837" s="61"/>
      <c r="J837" s="61"/>
      <c r="K837" s="61"/>
      <c r="L837" s="61"/>
      <c r="M837" s="61"/>
      <c r="N837" s="61"/>
      <c r="O837" s="61"/>
      <c r="P837" s="61"/>
      <c r="Q837" s="61"/>
      <c r="R837" s="61"/>
      <c r="S837" s="61"/>
      <c r="T837" s="35"/>
      <c r="U837" s="187"/>
      <c r="V837" s="190"/>
      <c r="W837" s="190"/>
      <c r="X837" s="190"/>
      <c r="Y837" s="190"/>
      <c r="Z837" s="190"/>
      <c r="AA837" s="191"/>
      <c r="AB837" s="190"/>
      <c r="AC837" s="190"/>
      <c r="AD837" s="190"/>
      <c r="AE837" s="190"/>
      <c r="AF837" s="190"/>
      <c r="AG837" s="190"/>
      <c r="AH837" s="191"/>
      <c r="AI837" s="190"/>
      <c r="AJ837" s="190"/>
      <c r="AK837" s="190"/>
      <c r="AL837" s="190"/>
      <c r="AM837" s="190"/>
      <c r="AN837" s="191"/>
      <c r="AO837" s="190"/>
      <c r="AP837" s="190"/>
      <c r="AQ837" s="190"/>
      <c r="AR837" s="190"/>
      <c r="AS837" s="190"/>
      <c r="AT837" s="191"/>
      <c r="AU837" s="190"/>
      <c r="AV837" s="190"/>
      <c r="AW837" s="190"/>
      <c r="AX837" s="190"/>
      <c r="AY837" s="190"/>
      <c r="AZ837" s="191"/>
      <c r="BA837" s="183"/>
      <c r="BB837" s="183"/>
      <c r="BC837" s="183"/>
      <c r="BD837" s="183"/>
      <c r="BE837" s="183"/>
      <c r="BF837" s="184"/>
      <c r="BG837" s="183"/>
      <c r="BH837" s="183"/>
      <c r="BI837" s="183"/>
      <c r="BJ837" s="183"/>
      <c r="BK837" s="183"/>
      <c r="BL837" s="184"/>
      <c r="BM837" s="409"/>
      <c r="BN837" s="409"/>
    </row>
    <row r="838" spans="1:66" s="153" customFormat="1" x14ac:dyDescent="0.2">
      <c r="A838" s="61"/>
      <c r="B838" s="61"/>
      <c r="C838" s="61"/>
      <c r="D838" s="61"/>
      <c r="E838" s="61"/>
      <c r="F838" s="61"/>
      <c r="G838" s="61"/>
      <c r="H838" s="61"/>
      <c r="I838" s="61"/>
      <c r="J838" s="61"/>
      <c r="K838" s="61"/>
      <c r="L838" s="61"/>
      <c r="M838" s="61"/>
      <c r="N838" s="61"/>
      <c r="O838" s="61"/>
      <c r="P838" s="61"/>
      <c r="Q838" s="61"/>
      <c r="R838" s="61"/>
      <c r="S838" s="61"/>
      <c r="T838" s="35"/>
      <c r="U838" s="187"/>
      <c r="V838" s="190"/>
      <c r="W838" s="190"/>
      <c r="X838" s="190"/>
      <c r="Y838" s="190"/>
      <c r="Z838" s="190"/>
      <c r="AA838" s="191"/>
      <c r="AB838" s="190"/>
      <c r="AC838" s="190"/>
      <c r="AD838" s="190"/>
      <c r="AE838" s="190"/>
      <c r="AF838" s="190"/>
      <c r="AG838" s="190"/>
      <c r="AH838" s="191"/>
      <c r="AI838" s="190"/>
      <c r="AJ838" s="190"/>
      <c r="AK838" s="190"/>
      <c r="AL838" s="190"/>
      <c r="AM838" s="190"/>
      <c r="AN838" s="191"/>
      <c r="AO838" s="190"/>
      <c r="AP838" s="190"/>
      <c r="AQ838" s="190"/>
      <c r="AR838" s="190"/>
      <c r="AS838" s="190"/>
      <c r="AT838" s="191"/>
      <c r="AU838" s="190"/>
      <c r="AV838" s="190"/>
      <c r="AW838" s="190"/>
      <c r="AX838" s="190"/>
      <c r="AY838" s="190"/>
      <c r="AZ838" s="191"/>
      <c r="BA838" s="183"/>
      <c r="BB838" s="183"/>
      <c r="BC838" s="183"/>
      <c r="BD838" s="183"/>
      <c r="BE838" s="183"/>
      <c r="BF838" s="184"/>
      <c r="BG838" s="183"/>
      <c r="BH838" s="183"/>
      <c r="BI838" s="183"/>
      <c r="BJ838" s="183"/>
      <c r="BK838" s="183"/>
      <c r="BL838" s="184"/>
      <c r="BM838" s="409"/>
      <c r="BN838" s="409"/>
    </row>
    <row r="839" spans="1:66" s="153" customFormat="1" x14ac:dyDescent="0.2">
      <c r="A839" s="61"/>
      <c r="B839" s="61"/>
      <c r="C839" s="61"/>
      <c r="D839" s="61"/>
      <c r="E839" s="61"/>
      <c r="F839" s="61"/>
      <c r="G839" s="61"/>
      <c r="H839" s="61"/>
      <c r="I839" s="61"/>
      <c r="J839" s="61"/>
      <c r="K839" s="61"/>
      <c r="L839" s="61"/>
      <c r="M839" s="61"/>
      <c r="N839" s="61"/>
      <c r="O839" s="61"/>
      <c r="P839" s="61"/>
      <c r="Q839" s="61"/>
      <c r="R839" s="61"/>
      <c r="S839" s="61"/>
      <c r="T839" s="35"/>
      <c r="U839" s="187"/>
      <c r="V839" s="190"/>
      <c r="W839" s="190"/>
      <c r="X839" s="190"/>
      <c r="Y839" s="190"/>
      <c r="Z839" s="190"/>
      <c r="AA839" s="191"/>
      <c r="AB839" s="190"/>
      <c r="AC839" s="190"/>
      <c r="AD839" s="190"/>
      <c r="AE839" s="190"/>
      <c r="AF839" s="190"/>
      <c r="AG839" s="190"/>
      <c r="AH839" s="191"/>
      <c r="AI839" s="190"/>
      <c r="AJ839" s="190"/>
      <c r="AK839" s="190"/>
      <c r="AL839" s="190"/>
      <c r="AM839" s="190"/>
      <c r="AN839" s="191"/>
      <c r="AO839" s="190"/>
      <c r="AP839" s="190"/>
      <c r="AQ839" s="190"/>
      <c r="AR839" s="190"/>
      <c r="AS839" s="190"/>
      <c r="AT839" s="191"/>
      <c r="AU839" s="190"/>
      <c r="AV839" s="190"/>
      <c r="AW839" s="190"/>
      <c r="AX839" s="190"/>
      <c r="AY839" s="190"/>
      <c r="AZ839" s="191"/>
      <c r="BA839" s="183"/>
      <c r="BB839" s="183"/>
      <c r="BC839" s="183"/>
      <c r="BD839" s="183"/>
      <c r="BE839" s="183"/>
      <c r="BF839" s="184"/>
      <c r="BG839" s="183"/>
      <c r="BH839" s="183"/>
      <c r="BI839" s="183"/>
      <c r="BJ839" s="183"/>
      <c r="BK839" s="183"/>
      <c r="BL839" s="184"/>
      <c r="BM839" s="409"/>
      <c r="BN839" s="409"/>
    </row>
    <row r="840" spans="1:66" s="153" customFormat="1" x14ac:dyDescent="0.2">
      <c r="A840" s="61"/>
      <c r="B840" s="61"/>
      <c r="C840" s="61"/>
      <c r="D840" s="61"/>
      <c r="E840" s="61"/>
      <c r="F840" s="61"/>
      <c r="G840" s="61"/>
      <c r="H840" s="61"/>
      <c r="I840" s="61"/>
      <c r="J840" s="61"/>
      <c r="K840" s="61"/>
      <c r="L840" s="61"/>
      <c r="M840" s="61"/>
      <c r="N840" s="61"/>
      <c r="O840" s="61"/>
      <c r="P840" s="61"/>
      <c r="Q840" s="61"/>
      <c r="R840" s="61"/>
      <c r="S840" s="61"/>
      <c r="T840" s="35"/>
      <c r="U840" s="187"/>
      <c r="V840" s="190"/>
      <c r="W840" s="190"/>
      <c r="X840" s="190"/>
      <c r="Y840" s="190"/>
      <c r="Z840" s="190"/>
      <c r="AA840" s="191"/>
      <c r="AB840" s="190"/>
      <c r="AC840" s="190"/>
      <c r="AD840" s="190"/>
      <c r="AE840" s="190"/>
      <c r="AF840" s="190"/>
      <c r="AG840" s="190"/>
      <c r="AH840" s="191"/>
      <c r="AI840" s="190"/>
      <c r="AJ840" s="190"/>
      <c r="AK840" s="190"/>
      <c r="AL840" s="190"/>
      <c r="AM840" s="190"/>
      <c r="AN840" s="191"/>
      <c r="AO840" s="190"/>
      <c r="AP840" s="190"/>
      <c r="AQ840" s="190"/>
      <c r="AR840" s="190"/>
      <c r="AS840" s="190"/>
      <c r="AT840" s="191"/>
      <c r="AU840" s="190"/>
      <c r="AV840" s="190"/>
      <c r="AW840" s="190"/>
      <c r="AX840" s="190"/>
      <c r="AY840" s="190"/>
      <c r="AZ840" s="191"/>
      <c r="BA840" s="183"/>
      <c r="BB840" s="183"/>
      <c r="BC840" s="183"/>
      <c r="BD840" s="183"/>
      <c r="BE840" s="183"/>
      <c r="BF840" s="184"/>
      <c r="BG840" s="183"/>
      <c r="BH840" s="183"/>
      <c r="BI840" s="183"/>
      <c r="BJ840" s="183"/>
      <c r="BK840" s="183"/>
      <c r="BL840" s="184"/>
      <c r="BM840" s="409"/>
      <c r="BN840" s="409"/>
    </row>
    <row r="841" spans="1:66" s="153" customFormat="1" x14ac:dyDescent="0.2">
      <c r="A841" s="61"/>
      <c r="B841" s="61"/>
      <c r="C841" s="61"/>
      <c r="D841" s="61"/>
      <c r="E841" s="61"/>
      <c r="F841" s="61"/>
      <c r="G841" s="61"/>
      <c r="H841" s="61"/>
      <c r="I841" s="61"/>
      <c r="J841" s="61"/>
      <c r="K841" s="61"/>
      <c r="L841" s="61"/>
      <c r="M841" s="61"/>
      <c r="N841" s="61"/>
      <c r="O841" s="61"/>
      <c r="P841" s="61"/>
      <c r="Q841" s="61"/>
      <c r="R841" s="61"/>
      <c r="S841" s="61"/>
      <c r="T841" s="35"/>
      <c r="U841" s="187"/>
      <c r="V841" s="190"/>
      <c r="W841" s="190"/>
      <c r="X841" s="190"/>
      <c r="Y841" s="190"/>
      <c r="Z841" s="190"/>
      <c r="AA841" s="191"/>
      <c r="AB841" s="190"/>
      <c r="AC841" s="190"/>
      <c r="AD841" s="190"/>
      <c r="AE841" s="190"/>
      <c r="AF841" s="190"/>
      <c r="AG841" s="190"/>
      <c r="AH841" s="191"/>
      <c r="AI841" s="190"/>
      <c r="AJ841" s="190"/>
      <c r="AK841" s="190"/>
      <c r="AL841" s="190"/>
      <c r="AM841" s="190"/>
      <c r="AN841" s="191"/>
      <c r="AO841" s="190"/>
      <c r="AP841" s="190"/>
      <c r="AQ841" s="190"/>
      <c r="AR841" s="190"/>
      <c r="AS841" s="190"/>
      <c r="AT841" s="191"/>
      <c r="AU841" s="190"/>
      <c r="AV841" s="190"/>
      <c r="AW841" s="190"/>
      <c r="AX841" s="190"/>
      <c r="AY841" s="190"/>
      <c r="AZ841" s="191"/>
      <c r="BA841" s="183"/>
      <c r="BB841" s="183"/>
      <c r="BC841" s="183"/>
      <c r="BD841" s="183"/>
      <c r="BE841" s="183"/>
      <c r="BF841" s="184"/>
      <c r="BG841" s="183"/>
      <c r="BH841" s="183"/>
      <c r="BI841" s="183"/>
      <c r="BJ841" s="183"/>
      <c r="BK841" s="183"/>
      <c r="BL841" s="184"/>
      <c r="BM841" s="409"/>
      <c r="BN841" s="409"/>
    </row>
    <row r="842" spans="1:66" s="153" customFormat="1" x14ac:dyDescent="0.2">
      <c r="A842" s="61"/>
      <c r="B842" s="61"/>
      <c r="C842" s="61"/>
      <c r="D842" s="61"/>
      <c r="E842" s="61"/>
      <c r="F842" s="61"/>
      <c r="G842" s="61"/>
      <c r="H842" s="61"/>
      <c r="I842" s="61"/>
      <c r="J842" s="61"/>
      <c r="K842" s="61"/>
      <c r="L842" s="61"/>
      <c r="M842" s="61"/>
      <c r="N842" s="61"/>
      <c r="O842" s="61"/>
      <c r="P842" s="61"/>
      <c r="Q842" s="61"/>
      <c r="R842" s="61"/>
      <c r="S842" s="61"/>
      <c r="T842" s="35"/>
      <c r="U842" s="187"/>
      <c r="V842" s="190"/>
      <c r="W842" s="190"/>
      <c r="X842" s="190"/>
      <c r="Y842" s="190"/>
      <c r="Z842" s="190"/>
      <c r="AA842" s="191"/>
      <c r="AB842" s="190"/>
      <c r="AC842" s="190"/>
      <c r="AD842" s="190"/>
      <c r="AE842" s="190"/>
      <c r="AF842" s="190"/>
      <c r="AG842" s="190"/>
      <c r="AH842" s="191"/>
      <c r="AI842" s="190"/>
      <c r="AJ842" s="190"/>
      <c r="AK842" s="190"/>
      <c r="AL842" s="190"/>
      <c r="AM842" s="190"/>
      <c r="AN842" s="191"/>
      <c r="AO842" s="190"/>
      <c r="AP842" s="190"/>
      <c r="AQ842" s="190"/>
      <c r="AR842" s="190"/>
      <c r="AS842" s="190"/>
      <c r="AT842" s="191"/>
      <c r="AU842" s="190"/>
      <c r="AV842" s="190"/>
      <c r="AW842" s="190"/>
      <c r="AX842" s="190"/>
      <c r="AY842" s="190"/>
      <c r="AZ842" s="191"/>
      <c r="BA842" s="183"/>
      <c r="BB842" s="183"/>
      <c r="BC842" s="183"/>
      <c r="BD842" s="183"/>
      <c r="BE842" s="183"/>
      <c r="BF842" s="184"/>
      <c r="BG842" s="183"/>
      <c r="BH842" s="183"/>
      <c r="BI842" s="183"/>
      <c r="BJ842" s="183"/>
      <c r="BK842" s="183"/>
      <c r="BL842" s="184"/>
      <c r="BM842" s="409"/>
      <c r="BN842" s="409"/>
    </row>
    <row r="843" spans="1:66" s="153" customFormat="1" x14ac:dyDescent="0.2">
      <c r="A843" s="61"/>
      <c r="B843" s="61"/>
      <c r="C843" s="61"/>
      <c r="D843" s="61"/>
      <c r="E843" s="61"/>
      <c r="F843" s="61"/>
      <c r="G843" s="61"/>
      <c r="H843" s="61"/>
      <c r="I843" s="61"/>
      <c r="J843" s="61"/>
      <c r="K843" s="61"/>
      <c r="L843" s="61"/>
      <c r="M843" s="61"/>
      <c r="N843" s="61"/>
      <c r="O843" s="61"/>
      <c r="P843" s="61"/>
      <c r="Q843" s="61"/>
      <c r="R843" s="61"/>
      <c r="S843" s="61"/>
      <c r="T843" s="35"/>
      <c r="U843" s="187"/>
      <c r="V843" s="190"/>
      <c r="W843" s="190"/>
      <c r="X843" s="190"/>
      <c r="Y843" s="190"/>
      <c r="Z843" s="190"/>
      <c r="AA843" s="191"/>
      <c r="AB843" s="190"/>
      <c r="AC843" s="190"/>
      <c r="AD843" s="190"/>
      <c r="AE843" s="190"/>
      <c r="AF843" s="190"/>
      <c r="AG843" s="190"/>
      <c r="AH843" s="191"/>
      <c r="AI843" s="190"/>
      <c r="AJ843" s="190"/>
      <c r="AK843" s="190"/>
      <c r="AL843" s="190"/>
      <c r="AM843" s="190"/>
      <c r="AN843" s="191"/>
      <c r="AO843" s="190"/>
      <c r="AP843" s="190"/>
      <c r="AQ843" s="190"/>
      <c r="AR843" s="190"/>
      <c r="AS843" s="190"/>
      <c r="AT843" s="191"/>
      <c r="AU843" s="190"/>
      <c r="AV843" s="190"/>
      <c r="AW843" s="190"/>
      <c r="AX843" s="190"/>
      <c r="AY843" s="190"/>
      <c r="AZ843" s="191"/>
      <c r="BA843" s="183"/>
      <c r="BB843" s="183"/>
      <c r="BC843" s="183"/>
      <c r="BD843" s="183"/>
      <c r="BE843" s="183"/>
      <c r="BF843" s="184"/>
      <c r="BG843" s="183"/>
      <c r="BH843" s="183"/>
      <c r="BI843" s="183"/>
      <c r="BJ843" s="183"/>
      <c r="BK843" s="183"/>
      <c r="BL843" s="184"/>
      <c r="BM843" s="409"/>
      <c r="BN843" s="409"/>
    </row>
    <row r="844" spans="1:66" s="153" customFormat="1" x14ac:dyDescent="0.2">
      <c r="A844" s="61"/>
      <c r="B844" s="61"/>
      <c r="C844" s="61"/>
      <c r="D844" s="61"/>
      <c r="E844" s="61"/>
      <c r="F844" s="61"/>
      <c r="G844" s="61"/>
      <c r="H844" s="61"/>
      <c r="I844" s="61"/>
      <c r="J844" s="61"/>
      <c r="K844" s="61"/>
      <c r="L844" s="61"/>
      <c r="M844" s="61"/>
      <c r="N844" s="61"/>
      <c r="O844" s="61"/>
      <c r="P844" s="61"/>
      <c r="Q844" s="61"/>
      <c r="R844" s="61"/>
      <c r="S844" s="61"/>
      <c r="T844" s="35"/>
      <c r="U844" s="187"/>
      <c r="V844" s="190"/>
      <c r="W844" s="190"/>
      <c r="X844" s="190"/>
      <c r="Y844" s="190"/>
      <c r="Z844" s="190"/>
      <c r="AA844" s="191"/>
      <c r="AB844" s="190"/>
      <c r="AC844" s="190"/>
      <c r="AD844" s="190"/>
      <c r="AE844" s="190"/>
      <c r="AF844" s="190"/>
      <c r="AG844" s="190"/>
      <c r="AH844" s="191"/>
      <c r="AI844" s="190"/>
      <c r="AJ844" s="190"/>
      <c r="AK844" s="190"/>
      <c r="AL844" s="190"/>
      <c r="AM844" s="190"/>
      <c r="AN844" s="191"/>
      <c r="AO844" s="190"/>
      <c r="AP844" s="190"/>
      <c r="AQ844" s="190"/>
      <c r="AR844" s="190"/>
      <c r="AS844" s="190"/>
      <c r="AT844" s="191"/>
      <c r="AU844" s="190"/>
      <c r="AV844" s="190"/>
      <c r="AW844" s="190"/>
      <c r="AX844" s="190"/>
      <c r="AY844" s="190"/>
      <c r="AZ844" s="191"/>
      <c r="BA844" s="183"/>
      <c r="BB844" s="183"/>
      <c r="BC844" s="183"/>
      <c r="BD844" s="183"/>
      <c r="BE844" s="183"/>
      <c r="BF844" s="184"/>
      <c r="BG844" s="183"/>
      <c r="BH844" s="183"/>
      <c r="BI844" s="183"/>
      <c r="BJ844" s="183"/>
      <c r="BK844" s="183"/>
      <c r="BL844" s="184"/>
      <c r="BM844" s="409"/>
      <c r="BN844" s="409"/>
    </row>
    <row r="845" spans="1:66" s="153" customFormat="1" x14ac:dyDescent="0.2">
      <c r="A845" s="61"/>
      <c r="B845" s="61"/>
      <c r="C845" s="61"/>
      <c r="D845" s="61"/>
      <c r="E845" s="61"/>
      <c r="F845" s="61"/>
      <c r="G845" s="61"/>
      <c r="H845" s="61"/>
      <c r="I845" s="61"/>
      <c r="J845" s="61"/>
      <c r="K845" s="61"/>
      <c r="L845" s="61"/>
      <c r="M845" s="61"/>
      <c r="N845" s="61"/>
      <c r="O845" s="61"/>
      <c r="P845" s="61"/>
      <c r="Q845" s="61"/>
      <c r="R845" s="61"/>
      <c r="S845" s="61"/>
      <c r="T845" s="35"/>
      <c r="U845" s="187"/>
      <c r="V845" s="190"/>
      <c r="W845" s="190"/>
      <c r="X845" s="190"/>
      <c r="Y845" s="190"/>
      <c r="Z845" s="190"/>
      <c r="AA845" s="191"/>
      <c r="AB845" s="190"/>
      <c r="AC845" s="190"/>
      <c r="AD845" s="190"/>
      <c r="AE845" s="190"/>
      <c r="AF845" s="190"/>
      <c r="AG845" s="190"/>
      <c r="AH845" s="191"/>
      <c r="AI845" s="190"/>
      <c r="AJ845" s="190"/>
      <c r="AK845" s="190"/>
      <c r="AL845" s="190"/>
      <c r="AM845" s="190"/>
      <c r="AN845" s="191"/>
      <c r="AO845" s="190"/>
      <c r="AP845" s="190"/>
      <c r="AQ845" s="190"/>
      <c r="AR845" s="190"/>
      <c r="AS845" s="190"/>
      <c r="AT845" s="191"/>
      <c r="AU845" s="190"/>
      <c r="AV845" s="190"/>
      <c r="AW845" s="190"/>
      <c r="AX845" s="190"/>
      <c r="AY845" s="190"/>
      <c r="AZ845" s="191"/>
      <c r="BA845" s="183"/>
      <c r="BB845" s="183"/>
      <c r="BC845" s="183"/>
      <c r="BD845" s="183"/>
      <c r="BE845" s="183"/>
      <c r="BF845" s="184"/>
      <c r="BG845" s="183"/>
      <c r="BH845" s="183"/>
      <c r="BI845" s="183"/>
      <c r="BJ845" s="183"/>
      <c r="BK845" s="183"/>
      <c r="BL845" s="184"/>
      <c r="BM845" s="409"/>
      <c r="BN845" s="409"/>
    </row>
    <row r="846" spans="1:66" s="153" customFormat="1" x14ac:dyDescent="0.2">
      <c r="A846" s="61"/>
      <c r="B846" s="61"/>
      <c r="C846" s="61"/>
      <c r="D846" s="61"/>
      <c r="E846" s="61"/>
      <c r="F846" s="61"/>
      <c r="G846" s="61"/>
      <c r="H846" s="61"/>
      <c r="I846" s="61"/>
      <c r="J846" s="61"/>
      <c r="K846" s="61"/>
      <c r="L846" s="61"/>
      <c r="M846" s="61"/>
      <c r="N846" s="61"/>
      <c r="O846" s="61"/>
      <c r="P846" s="61"/>
      <c r="Q846" s="61"/>
      <c r="R846" s="61"/>
      <c r="S846" s="61"/>
      <c r="T846" s="35"/>
      <c r="U846" s="187"/>
      <c r="V846" s="190"/>
      <c r="W846" s="190"/>
      <c r="X846" s="190"/>
      <c r="Y846" s="190"/>
      <c r="Z846" s="190"/>
      <c r="AA846" s="191"/>
      <c r="AB846" s="190"/>
      <c r="AC846" s="190"/>
      <c r="AD846" s="190"/>
      <c r="AE846" s="190"/>
      <c r="AF846" s="190"/>
      <c r="AG846" s="190"/>
      <c r="AH846" s="191"/>
      <c r="AI846" s="190"/>
      <c r="AJ846" s="190"/>
      <c r="AK846" s="190"/>
      <c r="AL846" s="190"/>
      <c r="AM846" s="190"/>
      <c r="AN846" s="191"/>
      <c r="AO846" s="190"/>
      <c r="AP846" s="190"/>
      <c r="AQ846" s="190"/>
      <c r="AR846" s="190"/>
      <c r="AS846" s="190"/>
      <c r="AT846" s="191"/>
      <c r="AU846" s="190"/>
      <c r="AV846" s="190"/>
      <c r="AW846" s="190"/>
      <c r="AX846" s="190"/>
      <c r="AY846" s="190"/>
      <c r="AZ846" s="191"/>
      <c r="BA846" s="183"/>
      <c r="BB846" s="183"/>
      <c r="BC846" s="183"/>
      <c r="BD846" s="183"/>
      <c r="BE846" s="183"/>
      <c r="BF846" s="184"/>
      <c r="BG846" s="183"/>
      <c r="BH846" s="183"/>
      <c r="BI846" s="183"/>
      <c r="BJ846" s="183"/>
      <c r="BK846" s="183"/>
      <c r="BL846" s="184"/>
      <c r="BM846" s="409"/>
      <c r="BN846" s="409"/>
    </row>
    <row r="847" spans="1:66" s="153" customFormat="1" x14ac:dyDescent="0.2">
      <c r="A847" s="61"/>
      <c r="B847" s="61"/>
      <c r="C847" s="61"/>
      <c r="D847" s="61"/>
      <c r="E847" s="61"/>
      <c r="F847" s="61"/>
      <c r="G847" s="61"/>
      <c r="H847" s="61"/>
      <c r="I847" s="61"/>
      <c r="J847" s="61"/>
      <c r="K847" s="61"/>
      <c r="L847" s="61"/>
      <c r="M847" s="61"/>
      <c r="N847" s="61"/>
      <c r="O847" s="61"/>
      <c r="P847" s="61"/>
      <c r="Q847" s="61"/>
      <c r="R847" s="61"/>
      <c r="S847" s="61"/>
      <c r="T847" s="35"/>
      <c r="U847" s="187"/>
      <c r="V847" s="190"/>
      <c r="W847" s="190"/>
      <c r="X847" s="190"/>
      <c r="Y847" s="190"/>
      <c r="Z847" s="190"/>
      <c r="AA847" s="191"/>
      <c r="AB847" s="190"/>
      <c r="AC847" s="190"/>
      <c r="AD847" s="190"/>
      <c r="AE847" s="190"/>
      <c r="AF847" s="190"/>
      <c r="AG847" s="190"/>
      <c r="AH847" s="191"/>
      <c r="AI847" s="190"/>
      <c r="AJ847" s="190"/>
      <c r="AK847" s="190"/>
      <c r="AL847" s="190"/>
      <c r="AM847" s="190"/>
      <c r="AN847" s="191"/>
      <c r="AO847" s="190"/>
      <c r="AP847" s="190"/>
      <c r="AQ847" s="190"/>
      <c r="AR847" s="190"/>
      <c r="AS847" s="190"/>
      <c r="AT847" s="191"/>
      <c r="AU847" s="190"/>
      <c r="AV847" s="190"/>
      <c r="AW847" s="190"/>
      <c r="AX847" s="190"/>
      <c r="AY847" s="190"/>
      <c r="AZ847" s="191"/>
      <c r="BA847" s="183"/>
      <c r="BB847" s="183"/>
      <c r="BC847" s="183"/>
      <c r="BD847" s="183"/>
      <c r="BE847" s="183"/>
      <c r="BF847" s="184"/>
      <c r="BG847" s="183"/>
      <c r="BH847" s="183"/>
      <c r="BI847" s="183"/>
      <c r="BJ847" s="183"/>
      <c r="BK847" s="183"/>
      <c r="BL847" s="184"/>
      <c r="BM847" s="409"/>
      <c r="BN847" s="409"/>
    </row>
    <row r="848" spans="1:66" s="153" customFormat="1" x14ac:dyDescent="0.2">
      <c r="A848" s="61"/>
      <c r="B848" s="61"/>
      <c r="C848" s="61"/>
      <c r="D848" s="61"/>
      <c r="E848" s="61"/>
      <c r="F848" s="61"/>
      <c r="G848" s="61"/>
      <c r="H848" s="61"/>
      <c r="I848" s="61"/>
      <c r="J848" s="61"/>
      <c r="K848" s="61"/>
      <c r="L848" s="61"/>
      <c r="M848" s="61"/>
      <c r="N848" s="61"/>
      <c r="O848" s="61"/>
      <c r="P848" s="61"/>
      <c r="Q848" s="61"/>
      <c r="R848" s="61"/>
      <c r="S848" s="61"/>
      <c r="T848" s="35"/>
      <c r="U848" s="187"/>
      <c r="V848" s="190"/>
      <c r="W848" s="190"/>
      <c r="X848" s="190"/>
      <c r="Y848" s="190"/>
      <c r="Z848" s="190"/>
      <c r="AA848" s="191"/>
      <c r="AB848" s="190"/>
      <c r="AC848" s="190"/>
      <c r="AD848" s="190"/>
      <c r="AE848" s="190"/>
      <c r="AF848" s="190"/>
      <c r="AG848" s="190"/>
      <c r="AH848" s="191"/>
      <c r="AI848" s="190"/>
      <c r="AJ848" s="190"/>
      <c r="AK848" s="190"/>
      <c r="AL848" s="190"/>
      <c r="AM848" s="190"/>
      <c r="AN848" s="191"/>
      <c r="AO848" s="190"/>
      <c r="AP848" s="190"/>
      <c r="AQ848" s="190"/>
      <c r="AR848" s="190"/>
      <c r="AS848" s="190"/>
      <c r="AT848" s="191"/>
      <c r="AU848" s="190"/>
      <c r="AV848" s="190"/>
      <c r="AW848" s="190"/>
      <c r="AX848" s="190"/>
      <c r="AY848" s="190"/>
      <c r="AZ848" s="191"/>
      <c r="BA848" s="183"/>
      <c r="BB848" s="183"/>
      <c r="BC848" s="183"/>
      <c r="BD848" s="183"/>
      <c r="BE848" s="183"/>
      <c r="BF848" s="184"/>
      <c r="BG848" s="183"/>
      <c r="BH848" s="183"/>
      <c r="BI848" s="183"/>
      <c r="BJ848" s="183"/>
      <c r="BK848" s="183"/>
      <c r="BL848" s="184"/>
      <c r="BM848" s="409"/>
      <c r="BN848" s="409"/>
    </row>
    <row r="849" spans="1:66" s="153" customFormat="1" x14ac:dyDescent="0.2">
      <c r="A849" s="61"/>
      <c r="B849" s="61"/>
      <c r="C849" s="61"/>
      <c r="D849" s="61"/>
      <c r="E849" s="61"/>
      <c r="F849" s="61"/>
      <c r="G849" s="61"/>
      <c r="H849" s="61"/>
      <c r="I849" s="61"/>
      <c r="J849" s="61"/>
      <c r="K849" s="61"/>
      <c r="L849" s="61"/>
      <c r="M849" s="61"/>
      <c r="N849" s="61"/>
      <c r="O849" s="61"/>
      <c r="P849" s="61"/>
      <c r="Q849" s="61"/>
      <c r="R849" s="61"/>
      <c r="S849" s="61"/>
      <c r="T849" s="35"/>
      <c r="U849" s="187"/>
      <c r="V849" s="190"/>
      <c r="W849" s="190"/>
      <c r="X849" s="190"/>
      <c r="Y849" s="190"/>
      <c r="Z849" s="190"/>
      <c r="AA849" s="191"/>
      <c r="AB849" s="190"/>
      <c r="AC849" s="190"/>
      <c r="AD849" s="190"/>
      <c r="AE849" s="190"/>
      <c r="AF849" s="190"/>
      <c r="AG849" s="190"/>
      <c r="AH849" s="191"/>
      <c r="AI849" s="190"/>
      <c r="AJ849" s="190"/>
      <c r="AK849" s="190"/>
      <c r="AL849" s="190"/>
      <c r="AM849" s="190"/>
      <c r="AN849" s="191"/>
      <c r="AO849" s="190"/>
      <c r="AP849" s="190"/>
      <c r="AQ849" s="190"/>
      <c r="AR849" s="190"/>
      <c r="AS849" s="190"/>
      <c r="AT849" s="191"/>
      <c r="AU849" s="190"/>
      <c r="AV849" s="190"/>
      <c r="AW849" s="190"/>
      <c r="AX849" s="190"/>
      <c r="AY849" s="190"/>
      <c r="AZ849" s="191"/>
      <c r="BA849" s="183"/>
      <c r="BB849" s="183"/>
      <c r="BC849" s="183"/>
      <c r="BD849" s="183"/>
      <c r="BE849" s="183"/>
      <c r="BF849" s="184"/>
      <c r="BG849" s="183"/>
      <c r="BH849" s="183"/>
      <c r="BI849" s="183"/>
      <c r="BJ849" s="183"/>
      <c r="BK849" s="183"/>
      <c r="BL849" s="184"/>
      <c r="BM849" s="409"/>
      <c r="BN849" s="409"/>
    </row>
    <row r="850" spans="1:66" s="153" customFormat="1" x14ac:dyDescent="0.2">
      <c r="A850" s="61"/>
      <c r="B850" s="61"/>
      <c r="C850" s="61"/>
      <c r="D850" s="61"/>
      <c r="E850" s="61"/>
      <c r="F850" s="61"/>
      <c r="G850" s="61"/>
      <c r="H850" s="61"/>
      <c r="I850" s="61"/>
      <c r="J850" s="61"/>
      <c r="K850" s="61"/>
      <c r="L850" s="61"/>
      <c r="M850" s="61"/>
      <c r="N850" s="61"/>
      <c r="O850" s="61"/>
      <c r="P850" s="61"/>
      <c r="Q850" s="61"/>
      <c r="R850" s="61"/>
      <c r="S850" s="61"/>
      <c r="T850" s="35"/>
      <c r="U850" s="187"/>
      <c r="V850" s="190"/>
      <c r="W850" s="190"/>
      <c r="X850" s="190"/>
      <c r="Y850" s="190"/>
      <c r="Z850" s="190"/>
      <c r="AA850" s="191"/>
      <c r="AB850" s="190"/>
      <c r="AC850" s="190"/>
      <c r="AD850" s="190"/>
      <c r="AE850" s="190"/>
      <c r="AF850" s="190"/>
      <c r="AG850" s="190"/>
      <c r="AH850" s="191"/>
      <c r="AI850" s="190"/>
      <c r="AJ850" s="190"/>
      <c r="AK850" s="190"/>
      <c r="AL850" s="190"/>
      <c r="AM850" s="190"/>
      <c r="AN850" s="191"/>
      <c r="AO850" s="190"/>
      <c r="AP850" s="190"/>
      <c r="AQ850" s="190"/>
      <c r="AR850" s="190"/>
      <c r="AS850" s="190"/>
      <c r="AT850" s="191"/>
      <c r="AU850" s="190"/>
      <c r="AV850" s="190"/>
      <c r="AW850" s="190"/>
      <c r="AX850" s="190"/>
      <c r="AY850" s="190"/>
      <c r="AZ850" s="191"/>
      <c r="BA850" s="183"/>
      <c r="BB850" s="183"/>
      <c r="BC850" s="183"/>
      <c r="BD850" s="183"/>
      <c r="BE850" s="183"/>
      <c r="BF850" s="184"/>
      <c r="BG850" s="183"/>
      <c r="BH850" s="183"/>
      <c r="BI850" s="183"/>
      <c r="BJ850" s="183"/>
      <c r="BK850" s="183"/>
      <c r="BL850" s="184"/>
      <c r="BM850" s="409"/>
      <c r="BN850" s="409"/>
    </row>
    <row r="851" spans="1:66" s="153" customFormat="1" x14ac:dyDescent="0.2">
      <c r="A851" s="61"/>
      <c r="B851" s="61"/>
      <c r="C851" s="61"/>
      <c r="D851" s="61"/>
      <c r="E851" s="61"/>
      <c r="F851" s="61"/>
      <c r="G851" s="61"/>
      <c r="H851" s="61"/>
      <c r="I851" s="61"/>
      <c r="J851" s="61"/>
      <c r="K851" s="61"/>
      <c r="L851" s="61"/>
      <c r="M851" s="61"/>
      <c r="N851" s="61"/>
      <c r="O851" s="61"/>
      <c r="P851" s="61"/>
      <c r="Q851" s="61"/>
      <c r="R851" s="61"/>
      <c r="S851" s="61"/>
      <c r="T851" s="35"/>
      <c r="U851" s="187"/>
      <c r="V851" s="190"/>
      <c r="W851" s="190"/>
      <c r="X851" s="190"/>
      <c r="Y851" s="190"/>
      <c r="Z851" s="190"/>
      <c r="AA851" s="191"/>
      <c r="AB851" s="190"/>
      <c r="AC851" s="190"/>
      <c r="AD851" s="190"/>
      <c r="AE851" s="190"/>
      <c r="AF851" s="190"/>
      <c r="AG851" s="190"/>
      <c r="AH851" s="191"/>
      <c r="AI851" s="190"/>
      <c r="AJ851" s="190"/>
      <c r="AK851" s="190"/>
      <c r="AL851" s="190"/>
      <c r="AM851" s="190"/>
      <c r="AN851" s="191"/>
      <c r="AO851" s="190"/>
      <c r="AP851" s="190"/>
      <c r="AQ851" s="190"/>
      <c r="AR851" s="190"/>
      <c r="AS851" s="190"/>
      <c r="AT851" s="191"/>
      <c r="AU851" s="190"/>
      <c r="AV851" s="190"/>
      <c r="AW851" s="190"/>
      <c r="AX851" s="190"/>
      <c r="AY851" s="190"/>
      <c r="AZ851" s="191"/>
      <c r="BA851" s="183"/>
      <c r="BB851" s="183"/>
      <c r="BC851" s="183"/>
      <c r="BD851" s="183"/>
      <c r="BE851" s="183"/>
      <c r="BF851" s="184"/>
      <c r="BG851" s="183"/>
      <c r="BH851" s="183"/>
      <c r="BI851" s="183"/>
      <c r="BJ851" s="183"/>
      <c r="BK851" s="183"/>
      <c r="BL851" s="184"/>
      <c r="BM851" s="409"/>
      <c r="BN851" s="409"/>
    </row>
    <row r="852" spans="1:66" s="153" customFormat="1" x14ac:dyDescent="0.2">
      <c r="A852" s="61"/>
      <c r="B852" s="61"/>
      <c r="C852" s="61"/>
      <c r="D852" s="61"/>
      <c r="E852" s="61"/>
      <c r="F852" s="61"/>
      <c r="G852" s="61"/>
      <c r="H852" s="61"/>
      <c r="I852" s="61"/>
      <c r="J852" s="61"/>
      <c r="K852" s="61"/>
      <c r="L852" s="61"/>
      <c r="M852" s="61"/>
      <c r="N852" s="61"/>
      <c r="O852" s="61"/>
      <c r="P852" s="61"/>
      <c r="Q852" s="61"/>
      <c r="R852" s="61"/>
      <c r="S852" s="61"/>
      <c r="T852" s="35"/>
      <c r="U852" s="187"/>
      <c r="V852" s="190"/>
      <c r="W852" s="190"/>
      <c r="X852" s="190"/>
      <c r="Y852" s="190"/>
      <c r="Z852" s="190"/>
      <c r="AA852" s="191"/>
      <c r="AB852" s="190"/>
      <c r="AC852" s="190"/>
      <c r="AD852" s="190"/>
      <c r="AE852" s="190"/>
      <c r="AF852" s="190"/>
      <c r="AG852" s="190"/>
      <c r="AH852" s="191"/>
      <c r="AI852" s="190"/>
      <c r="AJ852" s="190"/>
      <c r="AK852" s="190"/>
      <c r="AL852" s="190"/>
      <c r="AM852" s="190"/>
      <c r="AN852" s="191"/>
      <c r="AO852" s="190"/>
      <c r="AP852" s="190"/>
      <c r="AQ852" s="190"/>
      <c r="AR852" s="190"/>
      <c r="AS852" s="190"/>
      <c r="AT852" s="191"/>
      <c r="AU852" s="190"/>
      <c r="AV852" s="190"/>
      <c r="AW852" s="190"/>
      <c r="AX852" s="190"/>
      <c r="AY852" s="190"/>
      <c r="AZ852" s="191"/>
      <c r="BA852" s="183"/>
      <c r="BB852" s="183"/>
      <c r="BC852" s="183"/>
      <c r="BD852" s="183"/>
      <c r="BE852" s="183"/>
      <c r="BF852" s="184"/>
      <c r="BG852" s="183"/>
      <c r="BH852" s="183"/>
      <c r="BI852" s="183"/>
      <c r="BJ852" s="183"/>
      <c r="BK852" s="183"/>
      <c r="BL852" s="184"/>
      <c r="BM852" s="409"/>
      <c r="BN852" s="409"/>
    </row>
    <row r="853" spans="1:66" s="153" customFormat="1" x14ac:dyDescent="0.2">
      <c r="A853" s="61"/>
      <c r="B853" s="61"/>
      <c r="C853" s="61"/>
      <c r="D853" s="61"/>
      <c r="E853" s="61"/>
      <c r="F853" s="61"/>
      <c r="G853" s="61"/>
      <c r="H853" s="61"/>
      <c r="I853" s="61"/>
      <c r="J853" s="61"/>
      <c r="K853" s="61"/>
      <c r="L853" s="61"/>
      <c r="M853" s="61"/>
      <c r="N853" s="61"/>
      <c r="O853" s="61"/>
      <c r="P853" s="61"/>
      <c r="Q853" s="61"/>
      <c r="R853" s="61"/>
      <c r="S853" s="61"/>
      <c r="T853" s="35"/>
      <c r="U853" s="187"/>
      <c r="V853" s="190"/>
      <c r="W853" s="190"/>
      <c r="X853" s="190"/>
      <c r="Y853" s="190"/>
      <c r="Z853" s="190"/>
      <c r="AA853" s="191"/>
      <c r="AB853" s="190"/>
      <c r="AC853" s="190"/>
      <c r="AD853" s="190"/>
      <c r="AE853" s="190"/>
      <c r="AF853" s="190"/>
      <c r="AG853" s="190"/>
      <c r="AH853" s="191"/>
      <c r="AI853" s="190"/>
      <c r="AJ853" s="190"/>
      <c r="AK853" s="190"/>
      <c r="AL853" s="190"/>
      <c r="AM853" s="190"/>
      <c r="AN853" s="191"/>
      <c r="AO853" s="190"/>
      <c r="AP853" s="190"/>
      <c r="AQ853" s="190"/>
      <c r="AR853" s="190"/>
      <c r="AS853" s="190"/>
      <c r="AT853" s="191"/>
      <c r="AU853" s="190"/>
      <c r="AV853" s="190"/>
      <c r="AW853" s="190"/>
      <c r="AX853" s="190"/>
      <c r="AY853" s="190"/>
      <c r="AZ853" s="191"/>
      <c r="BA853" s="183"/>
      <c r="BB853" s="183"/>
      <c r="BC853" s="183"/>
      <c r="BD853" s="183"/>
      <c r="BE853" s="183"/>
      <c r="BF853" s="184"/>
      <c r="BG853" s="183"/>
      <c r="BH853" s="183"/>
      <c r="BI853" s="183"/>
      <c r="BJ853" s="183"/>
      <c r="BK853" s="183"/>
      <c r="BL853" s="184"/>
      <c r="BM853" s="409"/>
      <c r="BN853" s="409"/>
    </row>
    <row r="854" spans="1:66" s="153" customFormat="1" x14ac:dyDescent="0.2">
      <c r="A854" s="61"/>
      <c r="B854" s="61"/>
      <c r="C854" s="61"/>
      <c r="D854" s="61"/>
      <c r="E854" s="61"/>
      <c r="F854" s="61"/>
      <c r="G854" s="61"/>
      <c r="H854" s="61"/>
      <c r="I854" s="61"/>
      <c r="J854" s="61"/>
      <c r="K854" s="61"/>
      <c r="L854" s="61"/>
      <c r="M854" s="61"/>
      <c r="N854" s="61"/>
      <c r="O854" s="61"/>
      <c r="P854" s="61"/>
      <c r="Q854" s="61"/>
      <c r="R854" s="61"/>
      <c r="S854" s="61"/>
      <c r="T854" s="35"/>
      <c r="U854" s="187"/>
      <c r="V854" s="190"/>
      <c r="W854" s="190"/>
      <c r="X854" s="190"/>
      <c r="Y854" s="190"/>
      <c r="Z854" s="190"/>
      <c r="AA854" s="191"/>
      <c r="AB854" s="190"/>
      <c r="AC854" s="190"/>
      <c r="AD854" s="190"/>
      <c r="AE854" s="190"/>
      <c r="AF854" s="190"/>
      <c r="AG854" s="190"/>
      <c r="AH854" s="191"/>
      <c r="AI854" s="190"/>
      <c r="AJ854" s="190"/>
      <c r="AK854" s="190"/>
      <c r="AL854" s="190"/>
      <c r="AM854" s="190"/>
      <c r="AN854" s="191"/>
      <c r="AO854" s="190"/>
      <c r="AP854" s="190"/>
      <c r="AQ854" s="190"/>
      <c r="AR854" s="190"/>
      <c r="AS854" s="190"/>
      <c r="AT854" s="191"/>
      <c r="AU854" s="190"/>
      <c r="AV854" s="190"/>
      <c r="AW854" s="190"/>
      <c r="AX854" s="190"/>
      <c r="AY854" s="190"/>
      <c r="AZ854" s="191"/>
      <c r="BA854" s="183"/>
      <c r="BB854" s="183"/>
      <c r="BC854" s="183"/>
      <c r="BD854" s="183"/>
      <c r="BE854" s="183"/>
      <c r="BF854" s="184"/>
      <c r="BG854" s="183"/>
      <c r="BH854" s="183"/>
      <c r="BI854" s="183"/>
      <c r="BJ854" s="183"/>
      <c r="BK854" s="183"/>
      <c r="BL854" s="184"/>
      <c r="BM854" s="409"/>
      <c r="BN854" s="409"/>
    </row>
    <row r="855" spans="1:66" s="153" customFormat="1" x14ac:dyDescent="0.2">
      <c r="A855" s="61"/>
      <c r="B855" s="61"/>
      <c r="C855" s="61"/>
      <c r="D855" s="61"/>
      <c r="E855" s="61"/>
      <c r="F855" s="61"/>
      <c r="G855" s="61"/>
      <c r="H855" s="61"/>
      <c r="I855" s="61"/>
      <c r="J855" s="61"/>
      <c r="K855" s="61"/>
      <c r="L855" s="61"/>
      <c r="M855" s="61"/>
      <c r="N855" s="61"/>
      <c r="O855" s="61"/>
      <c r="P855" s="61"/>
      <c r="Q855" s="61"/>
      <c r="R855" s="61"/>
      <c r="S855" s="61"/>
      <c r="T855" s="35"/>
      <c r="U855" s="187"/>
      <c r="V855" s="190"/>
      <c r="W855" s="190"/>
      <c r="X855" s="190"/>
      <c r="Y855" s="190"/>
      <c r="Z855" s="190"/>
      <c r="AA855" s="191"/>
      <c r="AB855" s="190"/>
      <c r="AC855" s="190"/>
      <c r="AD855" s="190"/>
      <c r="AE855" s="190"/>
      <c r="AF855" s="190"/>
      <c r="AG855" s="190"/>
      <c r="AH855" s="191"/>
      <c r="AI855" s="190"/>
      <c r="AJ855" s="190"/>
      <c r="AK855" s="190"/>
      <c r="AL855" s="190"/>
      <c r="AM855" s="190"/>
      <c r="AN855" s="191"/>
      <c r="AO855" s="190"/>
      <c r="AP855" s="190"/>
      <c r="AQ855" s="190"/>
      <c r="AR855" s="190"/>
      <c r="AS855" s="190"/>
      <c r="AT855" s="191"/>
      <c r="AU855" s="190"/>
      <c r="AV855" s="190"/>
      <c r="AW855" s="190"/>
      <c r="AX855" s="190"/>
      <c r="AY855" s="190"/>
      <c r="AZ855" s="191"/>
      <c r="BA855" s="183"/>
      <c r="BB855" s="183"/>
      <c r="BC855" s="183"/>
      <c r="BD855" s="183"/>
      <c r="BE855" s="183"/>
      <c r="BF855" s="184"/>
      <c r="BG855" s="183"/>
      <c r="BH855" s="183"/>
      <c r="BI855" s="183"/>
      <c r="BJ855" s="183"/>
      <c r="BK855" s="183"/>
      <c r="BL855" s="184"/>
      <c r="BM855" s="409"/>
      <c r="BN855" s="409"/>
    </row>
    <row r="856" spans="1:66" s="153" customFormat="1" x14ac:dyDescent="0.2">
      <c r="A856" s="61"/>
      <c r="B856" s="61"/>
      <c r="C856" s="61"/>
      <c r="D856" s="61"/>
      <c r="E856" s="61"/>
      <c r="F856" s="61"/>
      <c r="G856" s="61"/>
      <c r="H856" s="61"/>
      <c r="I856" s="61"/>
      <c r="J856" s="61"/>
      <c r="K856" s="61"/>
      <c r="L856" s="61"/>
      <c r="M856" s="61"/>
      <c r="N856" s="61"/>
      <c r="O856" s="61"/>
      <c r="P856" s="61"/>
      <c r="Q856" s="61"/>
      <c r="R856" s="61"/>
      <c r="S856" s="61"/>
      <c r="T856" s="35"/>
      <c r="U856" s="187"/>
      <c r="V856" s="190"/>
      <c r="W856" s="190"/>
      <c r="X856" s="190"/>
      <c r="Y856" s="190"/>
      <c r="Z856" s="190"/>
      <c r="AA856" s="191"/>
      <c r="AB856" s="190"/>
      <c r="AC856" s="190"/>
      <c r="AD856" s="190"/>
      <c r="AE856" s="190"/>
      <c r="AF856" s="190"/>
      <c r="AG856" s="190"/>
      <c r="AH856" s="191"/>
      <c r="AI856" s="190"/>
      <c r="AJ856" s="190"/>
      <c r="AK856" s="190"/>
      <c r="AL856" s="190"/>
      <c r="AM856" s="190"/>
      <c r="AN856" s="191"/>
      <c r="AO856" s="190"/>
      <c r="AP856" s="190"/>
      <c r="AQ856" s="190"/>
      <c r="AR856" s="190"/>
      <c r="AS856" s="190"/>
      <c r="AT856" s="191"/>
      <c r="AU856" s="190"/>
      <c r="AV856" s="190"/>
      <c r="AW856" s="190"/>
      <c r="AX856" s="190"/>
      <c r="AY856" s="190"/>
      <c r="AZ856" s="191"/>
      <c r="BA856" s="183"/>
      <c r="BB856" s="183"/>
      <c r="BC856" s="183"/>
      <c r="BD856" s="183"/>
      <c r="BE856" s="183"/>
      <c r="BF856" s="184"/>
      <c r="BG856" s="183"/>
      <c r="BH856" s="183"/>
      <c r="BI856" s="183"/>
      <c r="BJ856" s="183"/>
      <c r="BK856" s="183"/>
      <c r="BL856" s="184"/>
      <c r="BM856" s="409"/>
      <c r="BN856" s="409"/>
    </row>
    <row r="857" spans="1:66" s="153" customFormat="1" x14ac:dyDescent="0.2">
      <c r="A857" s="61"/>
      <c r="B857" s="61"/>
      <c r="C857" s="61"/>
      <c r="D857" s="61"/>
      <c r="E857" s="61"/>
      <c r="F857" s="61"/>
      <c r="G857" s="61"/>
      <c r="H857" s="61"/>
      <c r="I857" s="61"/>
      <c r="J857" s="61"/>
      <c r="K857" s="61"/>
      <c r="L857" s="61"/>
      <c r="M857" s="61"/>
      <c r="N857" s="61"/>
      <c r="O857" s="61"/>
      <c r="P857" s="61"/>
      <c r="Q857" s="61"/>
      <c r="R857" s="61"/>
      <c r="S857" s="61"/>
      <c r="T857" s="35"/>
      <c r="U857" s="187"/>
      <c r="V857" s="190"/>
      <c r="W857" s="190"/>
      <c r="X857" s="190"/>
      <c r="Y857" s="190"/>
      <c r="Z857" s="190"/>
      <c r="AA857" s="191"/>
      <c r="AB857" s="190"/>
      <c r="AC857" s="190"/>
      <c r="AD857" s="190"/>
      <c r="AE857" s="190"/>
      <c r="AF857" s="190"/>
      <c r="AG857" s="190"/>
      <c r="AH857" s="191"/>
      <c r="AI857" s="190"/>
      <c r="AJ857" s="190"/>
      <c r="AK857" s="190"/>
      <c r="AL857" s="190"/>
      <c r="AM857" s="190"/>
      <c r="AN857" s="191"/>
      <c r="AO857" s="190"/>
      <c r="AP857" s="190"/>
      <c r="AQ857" s="190"/>
      <c r="AR857" s="190"/>
      <c r="AS857" s="190"/>
      <c r="AT857" s="191"/>
      <c r="AU857" s="190"/>
      <c r="AV857" s="190"/>
      <c r="AW857" s="190"/>
      <c r="AX857" s="190"/>
      <c r="AY857" s="190"/>
      <c r="AZ857" s="191"/>
      <c r="BA857" s="183"/>
      <c r="BB857" s="183"/>
      <c r="BC857" s="183"/>
      <c r="BD857" s="183"/>
      <c r="BE857" s="183"/>
      <c r="BF857" s="184"/>
      <c r="BG857" s="183"/>
      <c r="BH857" s="183"/>
      <c r="BI857" s="183"/>
      <c r="BJ857" s="183"/>
      <c r="BK857" s="183"/>
      <c r="BL857" s="184"/>
      <c r="BM857" s="409"/>
      <c r="BN857" s="409"/>
    </row>
    <row r="858" spans="1:66" s="153" customFormat="1" x14ac:dyDescent="0.2">
      <c r="A858" s="61"/>
      <c r="B858" s="61"/>
      <c r="C858" s="61"/>
      <c r="D858" s="61"/>
      <c r="E858" s="61"/>
      <c r="F858" s="61"/>
      <c r="G858" s="61"/>
      <c r="H858" s="61"/>
      <c r="I858" s="61"/>
      <c r="J858" s="61"/>
      <c r="K858" s="61"/>
      <c r="L858" s="61"/>
      <c r="M858" s="61"/>
      <c r="N858" s="61"/>
      <c r="O858" s="61"/>
      <c r="P858" s="61"/>
      <c r="Q858" s="61"/>
      <c r="R858" s="61"/>
      <c r="S858" s="61"/>
      <c r="T858" s="35"/>
      <c r="U858" s="187"/>
      <c r="V858" s="190"/>
      <c r="W858" s="190"/>
      <c r="X858" s="190"/>
      <c r="Y858" s="190"/>
      <c r="Z858" s="190"/>
      <c r="AA858" s="191"/>
      <c r="AB858" s="190"/>
      <c r="AC858" s="190"/>
      <c r="AD858" s="190"/>
      <c r="AE858" s="190"/>
      <c r="AF858" s="190"/>
      <c r="AG858" s="190"/>
      <c r="AH858" s="191"/>
      <c r="AI858" s="190"/>
      <c r="AJ858" s="190"/>
      <c r="AK858" s="190"/>
      <c r="AL858" s="190"/>
      <c r="AM858" s="190"/>
      <c r="AN858" s="191"/>
      <c r="AO858" s="190"/>
      <c r="AP858" s="190"/>
      <c r="AQ858" s="190"/>
      <c r="AR858" s="190"/>
      <c r="AS858" s="190"/>
      <c r="AT858" s="191"/>
      <c r="AU858" s="190"/>
      <c r="AV858" s="190"/>
      <c r="AW858" s="190"/>
      <c r="AX858" s="190"/>
      <c r="AY858" s="190"/>
      <c r="AZ858" s="191"/>
      <c r="BA858" s="183"/>
      <c r="BB858" s="183"/>
      <c r="BC858" s="183"/>
      <c r="BD858" s="183"/>
      <c r="BE858" s="183"/>
      <c r="BF858" s="184"/>
      <c r="BG858" s="183"/>
      <c r="BH858" s="183"/>
      <c r="BI858" s="183"/>
      <c r="BJ858" s="183"/>
      <c r="BK858" s="183"/>
      <c r="BL858" s="184"/>
      <c r="BM858" s="409"/>
      <c r="BN858" s="409"/>
    </row>
    <row r="859" spans="1:66" s="153" customFormat="1" x14ac:dyDescent="0.2">
      <c r="A859" s="61"/>
      <c r="B859" s="61"/>
      <c r="C859" s="61"/>
      <c r="D859" s="61"/>
      <c r="E859" s="61"/>
      <c r="F859" s="61"/>
      <c r="G859" s="61"/>
      <c r="H859" s="61"/>
      <c r="I859" s="61"/>
      <c r="J859" s="61"/>
      <c r="K859" s="61"/>
      <c r="L859" s="61"/>
      <c r="M859" s="61"/>
      <c r="N859" s="61"/>
      <c r="O859" s="61"/>
      <c r="P859" s="61"/>
      <c r="Q859" s="61"/>
      <c r="R859" s="61"/>
      <c r="S859" s="61"/>
      <c r="T859" s="35"/>
      <c r="U859" s="187"/>
      <c r="V859" s="190"/>
      <c r="W859" s="190"/>
      <c r="X859" s="190"/>
      <c r="Y859" s="190"/>
      <c r="Z859" s="190"/>
      <c r="AA859" s="191"/>
      <c r="AB859" s="190"/>
      <c r="AC859" s="190"/>
      <c r="AD859" s="190"/>
      <c r="AE859" s="190"/>
      <c r="AF859" s="190"/>
      <c r="AG859" s="190"/>
      <c r="AH859" s="191"/>
      <c r="AI859" s="190"/>
      <c r="AJ859" s="190"/>
      <c r="AK859" s="190"/>
      <c r="AL859" s="190"/>
      <c r="AM859" s="190"/>
      <c r="AN859" s="191"/>
      <c r="AO859" s="190"/>
      <c r="AP859" s="190"/>
      <c r="AQ859" s="190"/>
      <c r="AR859" s="190"/>
      <c r="AS859" s="190"/>
      <c r="AT859" s="191"/>
      <c r="AU859" s="190"/>
      <c r="AV859" s="190"/>
      <c r="AW859" s="190"/>
      <c r="AX859" s="190"/>
      <c r="AY859" s="190"/>
      <c r="AZ859" s="191"/>
      <c r="BA859" s="183"/>
      <c r="BB859" s="183"/>
      <c r="BC859" s="183"/>
      <c r="BD859" s="183"/>
      <c r="BE859" s="183"/>
      <c r="BF859" s="184"/>
      <c r="BG859" s="183"/>
      <c r="BH859" s="183"/>
      <c r="BI859" s="183"/>
      <c r="BJ859" s="183"/>
      <c r="BK859" s="183"/>
      <c r="BL859" s="184"/>
      <c r="BM859" s="409"/>
      <c r="BN859" s="409"/>
    </row>
    <row r="860" spans="1:66" s="153" customFormat="1" x14ac:dyDescent="0.2">
      <c r="A860" s="61"/>
      <c r="B860" s="61"/>
      <c r="C860" s="61"/>
      <c r="D860" s="61"/>
      <c r="E860" s="61"/>
      <c r="F860" s="61"/>
      <c r="G860" s="61"/>
      <c r="H860" s="61"/>
      <c r="I860" s="61"/>
      <c r="J860" s="61"/>
      <c r="K860" s="61"/>
      <c r="L860" s="61"/>
      <c r="M860" s="61"/>
      <c r="N860" s="61"/>
      <c r="O860" s="61"/>
      <c r="P860" s="61"/>
      <c r="Q860" s="61"/>
      <c r="R860" s="61"/>
      <c r="S860" s="61"/>
      <c r="T860" s="35"/>
      <c r="U860" s="187"/>
      <c r="V860" s="190"/>
      <c r="W860" s="190"/>
      <c r="X860" s="190"/>
      <c r="Y860" s="190"/>
      <c r="Z860" s="190"/>
      <c r="AA860" s="191"/>
      <c r="AB860" s="190"/>
      <c r="AC860" s="190"/>
      <c r="AD860" s="190"/>
      <c r="AE860" s="190"/>
      <c r="AF860" s="190"/>
      <c r="AG860" s="190"/>
      <c r="AH860" s="191"/>
      <c r="AI860" s="190"/>
      <c r="AJ860" s="190"/>
      <c r="AK860" s="190"/>
      <c r="AL860" s="190"/>
      <c r="AM860" s="190"/>
      <c r="AN860" s="191"/>
      <c r="AO860" s="190"/>
      <c r="AP860" s="190"/>
      <c r="AQ860" s="190"/>
      <c r="AR860" s="190"/>
      <c r="AS860" s="190"/>
      <c r="AT860" s="191"/>
      <c r="AU860" s="190"/>
      <c r="AV860" s="190"/>
      <c r="AW860" s="190"/>
      <c r="AX860" s="190"/>
      <c r="AY860" s="190"/>
      <c r="AZ860" s="191"/>
      <c r="BA860" s="183"/>
      <c r="BB860" s="183"/>
      <c r="BC860" s="183"/>
      <c r="BD860" s="183"/>
      <c r="BE860" s="183"/>
      <c r="BF860" s="184"/>
      <c r="BG860" s="183"/>
      <c r="BH860" s="183"/>
      <c r="BI860" s="183"/>
      <c r="BJ860" s="183"/>
      <c r="BK860" s="183"/>
      <c r="BL860" s="184"/>
      <c r="BM860" s="409"/>
      <c r="BN860" s="409"/>
    </row>
    <row r="861" spans="1:66" s="153" customFormat="1" x14ac:dyDescent="0.2">
      <c r="A861" s="61"/>
      <c r="B861" s="61"/>
      <c r="C861" s="61"/>
      <c r="D861" s="61"/>
      <c r="E861" s="61"/>
      <c r="F861" s="61"/>
      <c r="G861" s="61"/>
      <c r="H861" s="61"/>
      <c r="I861" s="61"/>
      <c r="J861" s="61"/>
      <c r="K861" s="61"/>
      <c r="L861" s="61"/>
      <c r="M861" s="61"/>
      <c r="N861" s="61"/>
      <c r="O861" s="61"/>
      <c r="P861" s="61"/>
      <c r="Q861" s="61"/>
      <c r="R861" s="61"/>
      <c r="S861" s="61"/>
      <c r="T861" s="35"/>
      <c r="U861" s="187"/>
      <c r="V861" s="190"/>
      <c r="W861" s="190"/>
      <c r="X861" s="190"/>
      <c r="Y861" s="190"/>
      <c r="Z861" s="190"/>
      <c r="AA861" s="191"/>
      <c r="AB861" s="190"/>
      <c r="AC861" s="190"/>
      <c r="AD861" s="190"/>
      <c r="AE861" s="190"/>
      <c r="AF861" s="190"/>
      <c r="AG861" s="190"/>
      <c r="AH861" s="191"/>
      <c r="AI861" s="190"/>
      <c r="AJ861" s="190"/>
      <c r="AK861" s="190"/>
      <c r="AL861" s="190"/>
      <c r="AM861" s="190"/>
      <c r="AN861" s="191"/>
      <c r="AO861" s="190"/>
      <c r="AP861" s="190"/>
      <c r="AQ861" s="190"/>
      <c r="AR861" s="190"/>
      <c r="AS861" s="190"/>
      <c r="AT861" s="191"/>
      <c r="AU861" s="190"/>
      <c r="AV861" s="190"/>
      <c r="AW861" s="190"/>
      <c r="AX861" s="190"/>
      <c r="AY861" s="190"/>
      <c r="AZ861" s="191"/>
      <c r="BA861" s="183"/>
      <c r="BB861" s="183"/>
      <c r="BC861" s="183"/>
      <c r="BD861" s="183"/>
      <c r="BE861" s="183"/>
      <c r="BF861" s="184"/>
      <c r="BG861" s="183"/>
      <c r="BH861" s="183"/>
      <c r="BI861" s="183"/>
      <c r="BJ861" s="183"/>
      <c r="BK861" s="183"/>
      <c r="BL861" s="184"/>
      <c r="BM861" s="409"/>
      <c r="BN861" s="409"/>
    </row>
    <row r="862" spans="1:66" s="153" customFormat="1" x14ac:dyDescent="0.2">
      <c r="A862" s="61"/>
      <c r="B862" s="61"/>
      <c r="C862" s="61"/>
      <c r="D862" s="61"/>
      <c r="E862" s="61"/>
      <c r="F862" s="61"/>
      <c r="G862" s="61"/>
      <c r="H862" s="61"/>
      <c r="I862" s="61"/>
      <c r="J862" s="61"/>
      <c r="K862" s="61"/>
      <c r="L862" s="61"/>
      <c r="M862" s="61"/>
      <c r="N862" s="61"/>
      <c r="O862" s="61"/>
      <c r="P862" s="61"/>
      <c r="Q862" s="61"/>
      <c r="R862" s="61"/>
      <c r="S862" s="61"/>
      <c r="T862" s="35"/>
      <c r="U862" s="187"/>
      <c r="V862" s="190"/>
      <c r="W862" s="190"/>
      <c r="X862" s="190"/>
      <c r="Y862" s="190"/>
      <c r="Z862" s="190"/>
      <c r="AA862" s="191"/>
      <c r="AB862" s="190"/>
      <c r="AC862" s="190"/>
      <c r="AD862" s="190"/>
      <c r="AE862" s="190"/>
      <c r="AF862" s="190"/>
      <c r="AG862" s="190"/>
      <c r="AH862" s="191"/>
      <c r="AI862" s="190"/>
      <c r="AJ862" s="190"/>
      <c r="AK862" s="190"/>
      <c r="AL862" s="190"/>
      <c r="AM862" s="190"/>
      <c r="AN862" s="191"/>
      <c r="AO862" s="190"/>
      <c r="AP862" s="190"/>
      <c r="AQ862" s="190"/>
      <c r="AR862" s="190"/>
      <c r="AS862" s="190"/>
      <c r="AT862" s="191"/>
      <c r="AU862" s="190"/>
      <c r="AV862" s="190"/>
      <c r="AW862" s="190"/>
      <c r="AX862" s="190"/>
      <c r="AY862" s="190"/>
      <c r="AZ862" s="191"/>
      <c r="BA862" s="183"/>
      <c r="BB862" s="183"/>
      <c r="BC862" s="183"/>
      <c r="BD862" s="183"/>
      <c r="BE862" s="183"/>
      <c r="BF862" s="184"/>
      <c r="BG862" s="183"/>
      <c r="BH862" s="183"/>
      <c r="BI862" s="183"/>
      <c r="BJ862" s="183"/>
      <c r="BK862" s="183"/>
      <c r="BL862" s="184"/>
      <c r="BM862" s="409"/>
      <c r="BN862" s="409"/>
    </row>
    <row r="863" spans="1:66" s="153" customFormat="1" x14ac:dyDescent="0.2">
      <c r="A863" s="61"/>
      <c r="B863" s="61"/>
      <c r="C863" s="61"/>
      <c r="D863" s="61"/>
      <c r="E863" s="61"/>
      <c r="F863" s="61"/>
      <c r="G863" s="61"/>
      <c r="H863" s="61"/>
      <c r="I863" s="61"/>
      <c r="J863" s="61"/>
      <c r="K863" s="61"/>
      <c r="L863" s="61"/>
      <c r="M863" s="61"/>
      <c r="N863" s="61"/>
      <c r="O863" s="61"/>
      <c r="P863" s="61"/>
      <c r="Q863" s="61"/>
      <c r="R863" s="61"/>
      <c r="S863" s="61"/>
      <c r="T863" s="35"/>
      <c r="U863" s="187"/>
      <c r="V863" s="190"/>
      <c r="W863" s="190"/>
      <c r="X863" s="190"/>
      <c r="Y863" s="190"/>
      <c r="Z863" s="190"/>
      <c r="AA863" s="191"/>
      <c r="AB863" s="190"/>
      <c r="AC863" s="190"/>
      <c r="AD863" s="190"/>
      <c r="AE863" s="190"/>
      <c r="AF863" s="190"/>
      <c r="AG863" s="190"/>
      <c r="AH863" s="191"/>
      <c r="AI863" s="190"/>
      <c r="AJ863" s="190"/>
      <c r="AK863" s="190"/>
      <c r="AL863" s="190"/>
      <c r="AM863" s="190"/>
      <c r="AN863" s="191"/>
      <c r="AO863" s="190"/>
      <c r="AP863" s="190"/>
      <c r="AQ863" s="190"/>
      <c r="AR863" s="190"/>
      <c r="AS863" s="190"/>
      <c r="AT863" s="191"/>
      <c r="AU863" s="190"/>
      <c r="AV863" s="190"/>
      <c r="AW863" s="190"/>
      <c r="AX863" s="190"/>
      <c r="AY863" s="190"/>
      <c r="AZ863" s="191"/>
      <c r="BA863" s="183"/>
      <c r="BB863" s="183"/>
      <c r="BC863" s="183"/>
      <c r="BD863" s="183"/>
      <c r="BE863" s="183"/>
      <c r="BF863" s="184"/>
      <c r="BG863" s="183"/>
      <c r="BH863" s="183"/>
      <c r="BI863" s="183"/>
      <c r="BJ863" s="183"/>
      <c r="BK863" s="183"/>
      <c r="BL863" s="184"/>
      <c r="BM863" s="409"/>
      <c r="BN863" s="409"/>
    </row>
    <row r="864" spans="1:66" s="153" customFormat="1" x14ac:dyDescent="0.2">
      <c r="A864" s="61"/>
      <c r="B864" s="61"/>
      <c r="C864" s="61"/>
      <c r="D864" s="61"/>
      <c r="E864" s="61"/>
      <c r="F864" s="61"/>
      <c r="G864" s="61"/>
      <c r="H864" s="61"/>
      <c r="I864" s="61"/>
      <c r="J864" s="61"/>
      <c r="K864" s="61"/>
      <c r="L864" s="61"/>
      <c r="M864" s="61"/>
      <c r="N864" s="61"/>
      <c r="O864" s="61"/>
      <c r="P864" s="61"/>
      <c r="Q864" s="61"/>
      <c r="R864" s="61"/>
      <c r="S864" s="61"/>
      <c r="T864" s="35"/>
      <c r="U864" s="187"/>
      <c r="V864" s="190"/>
      <c r="W864" s="190"/>
      <c r="X864" s="190"/>
      <c r="Y864" s="190"/>
      <c r="Z864" s="190"/>
      <c r="AA864" s="191"/>
      <c r="AB864" s="190"/>
      <c r="AC864" s="190"/>
      <c r="AD864" s="190"/>
      <c r="AE864" s="190"/>
      <c r="AF864" s="190"/>
      <c r="AG864" s="190"/>
      <c r="AH864" s="191"/>
      <c r="AI864" s="190"/>
      <c r="AJ864" s="190"/>
      <c r="AK864" s="190"/>
      <c r="AL864" s="190"/>
      <c r="AM864" s="190"/>
      <c r="AN864" s="191"/>
      <c r="AO864" s="190"/>
      <c r="AP864" s="190"/>
      <c r="AQ864" s="190"/>
      <c r="AR864" s="190"/>
      <c r="AS864" s="190"/>
      <c r="AT864" s="191"/>
      <c r="AU864" s="190"/>
      <c r="AV864" s="190"/>
      <c r="AW864" s="190"/>
      <c r="AX864" s="190"/>
      <c r="AY864" s="190"/>
      <c r="AZ864" s="191"/>
      <c r="BA864" s="183"/>
      <c r="BB864" s="183"/>
      <c r="BC864" s="183"/>
      <c r="BD864" s="183"/>
      <c r="BE864" s="183"/>
      <c r="BF864" s="184"/>
      <c r="BG864" s="183"/>
      <c r="BH864" s="183"/>
      <c r="BI864" s="183"/>
      <c r="BJ864" s="183"/>
      <c r="BK864" s="183"/>
      <c r="BL864" s="184"/>
      <c r="BM864" s="409"/>
      <c r="BN864" s="409"/>
    </row>
    <row r="865" spans="1:66" s="153" customFormat="1" x14ac:dyDescent="0.2">
      <c r="A865" s="61"/>
      <c r="B865" s="61"/>
      <c r="C865" s="61"/>
      <c r="D865" s="61"/>
      <c r="E865" s="61"/>
      <c r="F865" s="61"/>
      <c r="G865" s="61"/>
      <c r="H865" s="61"/>
      <c r="I865" s="61"/>
      <c r="J865" s="61"/>
      <c r="K865" s="61"/>
      <c r="L865" s="61"/>
      <c r="M865" s="61"/>
      <c r="N865" s="61"/>
      <c r="O865" s="61"/>
      <c r="P865" s="61"/>
      <c r="Q865" s="61"/>
      <c r="R865" s="61"/>
      <c r="S865" s="61"/>
      <c r="T865" s="35"/>
      <c r="U865" s="187"/>
      <c r="V865" s="190"/>
      <c r="W865" s="190"/>
      <c r="X865" s="190"/>
      <c r="Y865" s="190"/>
      <c r="Z865" s="190"/>
      <c r="AA865" s="191"/>
      <c r="AB865" s="190"/>
      <c r="AC865" s="190"/>
      <c r="AD865" s="190"/>
      <c r="AE865" s="190"/>
      <c r="AF865" s="190"/>
      <c r="AG865" s="190"/>
      <c r="AH865" s="191"/>
      <c r="AI865" s="190"/>
      <c r="AJ865" s="190"/>
      <c r="AK865" s="190"/>
      <c r="AL865" s="190"/>
      <c r="AM865" s="190"/>
      <c r="AN865" s="191"/>
      <c r="AO865" s="190"/>
      <c r="AP865" s="190"/>
      <c r="AQ865" s="190"/>
      <c r="AR865" s="190"/>
      <c r="AS865" s="190"/>
      <c r="AT865" s="191"/>
      <c r="AU865" s="190"/>
      <c r="AV865" s="190"/>
      <c r="AW865" s="190"/>
      <c r="AX865" s="190"/>
      <c r="AY865" s="190"/>
      <c r="AZ865" s="191"/>
      <c r="BA865" s="183"/>
      <c r="BB865" s="183"/>
      <c r="BC865" s="183"/>
      <c r="BD865" s="183"/>
      <c r="BE865" s="183"/>
      <c r="BF865" s="184"/>
      <c r="BG865" s="183"/>
      <c r="BH865" s="183"/>
      <c r="BI865" s="183"/>
      <c r="BJ865" s="183"/>
      <c r="BK865" s="183"/>
      <c r="BL865" s="184"/>
      <c r="BM865" s="409"/>
      <c r="BN865" s="409"/>
    </row>
    <row r="866" spans="1:66" s="153" customFormat="1" x14ac:dyDescent="0.2">
      <c r="A866" s="61"/>
      <c r="B866" s="61"/>
      <c r="C866" s="61"/>
      <c r="D866" s="61"/>
      <c r="E866" s="61"/>
      <c r="F866" s="61"/>
      <c r="G866" s="61"/>
      <c r="H866" s="61"/>
      <c r="I866" s="61"/>
      <c r="J866" s="61"/>
      <c r="K866" s="61"/>
      <c r="L866" s="61"/>
      <c r="M866" s="61"/>
      <c r="N866" s="61"/>
      <c r="O866" s="61"/>
      <c r="P866" s="61"/>
      <c r="Q866" s="61"/>
      <c r="R866" s="61"/>
      <c r="S866" s="61"/>
      <c r="T866" s="35"/>
      <c r="U866" s="187"/>
      <c r="V866" s="190"/>
      <c r="W866" s="190"/>
      <c r="X866" s="190"/>
      <c r="Y866" s="190"/>
      <c r="Z866" s="190"/>
      <c r="AA866" s="191"/>
      <c r="AB866" s="190"/>
      <c r="AC866" s="190"/>
      <c r="AD866" s="190"/>
      <c r="AE866" s="190"/>
      <c r="AF866" s="190"/>
      <c r="AG866" s="190"/>
      <c r="AH866" s="191"/>
      <c r="AI866" s="190"/>
      <c r="AJ866" s="190"/>
      <c r="AK866" s="190"/>
      <c r="AL866" s="190"/>
      <c r="AM866" s="190"/>
      <c r="AN866" s="191"/>
      <c r="AO866" s="190"/>
      <c r="AP866" s="190"/>
      <c r="AQ866" s="190"/>
      <c r="AR866" s="190"/>
      <c r="AS866" s="190"/>
      <c r="AT866" s="191"/>
      <c r="AU866" s="190"/>
      <c r="AV866" s="190"/>
      <c r="AW866" s="190"/>
      <c r="AX866" s="190"/>
      <c r="AY866" s="190"/>
      <c r="AZ866" s="191"/>
      <c r="BA866" s="183"/>
      <c r="BB866" s="183"/>
      <c r="BC866" s="183"/>
      <c r="BD866" s="183"/>
      <c r="BE866" s="183"/>
      <c r="BF866" s="184"/>
      <c r="BG866" s="183"/>
      <c r="BH866" s="183"/>
      <c r="BI866" s="183"/>
      <c r="BJ866" s="183"/>
      <c r="BK866" s="183"/>
      <c r="BL866" s="184"/>
      <c r="BM866" s="409"/>
      <c r="BN866" s="409"/>
    </row>
    <row r="867" spans="1:66" s="153" customFormat="1" x14ac:dyDescent="0.2">
      <c r="A867" s="61"/>
      <c r="B867" s="61"/>
      <c r="C867" s="61"/>
      <c r="D867" s="61"/>
      <c r="E867" s="61"/>
      <c r="F867" s="61"/>
      <c r="G867" s="61"/>
      <c r="H867" s="61"/>
      <c r="I867" s="61"/>
      <c r="J867" s="61"/>
      <c r="K867" s="61"/>
      <c r="L867" s="61"/>
      <c r="M867" s="61"/>
      <c r="N867" s="61"/>
      <c r="O867" s="61"/>
      <c r="P867" s="61"/>
      <c r="Q867" s="61"/>
      <c r="R867" s="61"/>
      <c r="S867" s="61"/>
      <c r="T867" s="35"/>
      <c r="U867" s="187"/>
      <c r="V867" s="190"/>
      <c r="W867" s="190"/>
      <c r="X867" s="190"/>
      <c r="Y867" s="190"/>
      <c r="Z867" s="190"/>
      <c r="AA867" s="191"/>
      <c r="AB867" s="190"/>
      <c r="AC867" s="190"/>
      <c r="AD867" s="190"/>
      <c r="AE867" s="190"/>
      <c r="AF867" s="190"/>
      <c r="AG867" s="190"/>
      <c r="AH867" s="191"/>
      <c r="AI867" s="190"/>
      <c r="AJ867" s="190"/>
      <c r="AK867" s="190"/>
      <c r="AL867" s="190"/>
      <c r="AM867" s="190"/>
      <c r="AN867" s="191"/>
      <c r="AO867" s="190"/>
      <c r="AP867" s="190"/>
      <c r="AQ867" s="190"/>
      <c r="AR867" s="190"/>
      <c r="AS867" s="190"/>
      <c r="AT867" s="191"/>
      <c r="AU867" s="190"/>
      <c r="AV867" s="190"/>
      <c r="AW867" s="190"/>
      <c r="AX867" s="190"/>
      <c r="AY867" s="190"/>
      <c r="AZ867" s="191"/>
      <c r="BA867" s="183"/>
      <c r="BB867" s="183"/>
      <c r="BC867" s="183"/>
      <c r="BD867" s="183"/>
      <c r="BE867" s="183"/>
      <c r="BF867" s="184"/>
      <c r="BG867" s="183"/>
      <c r="BH867" s="183"/>
      <c r="BI867" s="183"/>
      <c r="BJ867" s="183"/>
      <c r="BK867" s="183"/>
      <c r="BL867" s="184"/>
      <c r="BM867" s="409"/>
      <c r="BN867" s="409"/>
    </row>
    <row r="868" spans="1:66" s="153" customFormat="1" x14ac:dyDescent="0.2">
      <c r="A868" s="61"/>
      <c r="B868" s="61"/>
      <c r="C868" s="61"/>
      <c r="D868" s="61"/>
      <c r="E868" s="61"/>
      <c r="F868" s="61"/>
      <c r="G868" s="61"/>
      <c r="H868" s="61"/>
      <c r="I868" s="61"/>
      <c r="J868" s="61"/>
      <c r="K868" s="61"/>
      <c r="L868" s="61"/>
      <c r="M868" s="61"/>
      <c r="N868" s="61"/>
      <c r="O868" s="61"/>
      <c r="P868" s="61"/>
      <c r="Q868" s="61"/>
      <c r="R868" s="61"/>
      <c r="S868" s="61"/>
      <c r="T868" s="35"/>
      <c r="U868" s="187"/>
      <c r="V868" s="190"/>
      <c r="W868" s="190"/>
      <c r="X868" s="190"/>
      <c r="Y868" s="190"/>
      <c r="Z868" s="190"/>
      <c r="AA868" s="191"/>
      <c r="AB868" s="190"/>
      <c r="AC868" s="190"/>
      <c r="AD868" s="190"/>
      <c r="AE868" s="190"/>
      <c r="AF868" s="190"/>
      <c r="AG868" s="190"/>
      <c r="AH868" s="191"/>
      <c r="AI868" s="190"/>
      <c r="AJ868" s="190"/>
      <c r="AK868" s="190"/>
      <c r="AL868" s="190"/>
      <c r="AM868" s="190"/>
      <c r="AN868" s="191"/>
      <c r="AO868" s="190"/>
      <c r="AP868" s="190"/>
      <c r="AQ868" s="190"/>
      <c r="AR868" s="190"/>
      <c r="AS868" s="190"/>
      <c r="AT868" s="191"/>
      <c r="AU868" s="190"/>
      <c r="AV868" s="190"/>
      <c r="AW868" s="190"/>
      <c r="AX868" s="190"/>
      <c r="AY868" s="190"/>
      <c r="AZ868" s="191"/>
      <c r="BA868" s="183"/>
      <c r="BB868" s="183"/>
      <c r="BC868" s="183"/>
      <c r="BD868" s="183"/>
      <c r="BE868" s="183"/>
      <c r="BF868" s="184"/>
      <c r="BG868" s="183"/>
      <c r="BH868" s="183"/>
      <c r="BI868" s="183"/>
      <c r="BJ868" s="183"/>
      <c r="BK868" s="183"/>
      <c r="BL868" s="184"/>
      <c r="BM868" s="409"/>
      <c r="BN868" s="409"/>
    </row>
    <row r="869" spans="1:66" s="153" customFormat="1" x14ac:dyDescent="0.2">
      <c r="A869" s="61"/>
      <c r="B869" s="61"/>
      <c r="C869" s="61"/>
      <c r="D869" s="61"/>
      <c r="E869" s="61"/>
      <c r="F869" s="61"/>
      <c r="G869" s="61"/>
      <c r="H869" s="61"/>
      <c r="I869" s="61"/>
      <c r="J869" s="61"/>
      <c r="K869" s="61"/>
      <c r="L869" s="61"/>
      <c r="M869" s="61"/>
      <c r="N869" s="61"/>
      <c r="O869" s="61"/>
      <c r="P869" s="61"/>
      <c r="Q869" s="61"/>
      <c r="R869" s="61"/>
      <c r="S869" s="61"/>
      <c r="T869" s="35"/>
      <c r="U869" s="187"/>
      <c r="V869" s="190"/>
      <c r="W869" s="190"/>
      <c r="X869" s="190"/>
      <c r="Y869" s="190"/>
      <c r="Z869" s="190"/>
      <c r="AA869" s="191"/>
      <c r="AB869" s="190"/>
      <c r="AC869" s="190"/>
      <c r="AD869" s="190"/>
      <c r="AE869" s="190"/>
      <c r="AF869" s="190"/>
      <c r="AG869" s="190"/>
      <c r="AH869" s="191"/>
      <c r="AI869" s="190"/>
      <c r="AJ869" s="190"/>
      <c r="AK869" s="190"/>
      <c r="AL869" s="190"/>
      <c r="AM869" s="190"/>
      <c r="AN869" s="191"/>
      <c r="AO869" s="190"/>
      <c r="AP869" s="190"/>
      <c r="AQ869" s="190"/>
      <c r="AR869" s="190"/>
      <c r="AS869" s="190"/>
      <c r="AT869" s="191"/>
      <c r="AU869" s="190"/>
      <c r="AV869" s="190"/>
      <c r="AW869" s="190"/>
      <c r="AX869" s="190"/>
      <c r="AY869" s="190"/>
      <c r="AZ869" s="191"/>
      <c r="BA869" s="183"/>
      <c r="BB869" s="183"/>
      <c r="BC869" s="183"/>
      <c r="BD869" s="183"/>
      <c r="BE869" s="183"/>
      <c r="BF869" s="184"/>
      <c r="BG869" s="183"/>
      <c r="BH869" s="183"/>
      <c r="BI869" s="183"/>
      <c r="BJ869" s="183"/>
      <c r="BK869" s="183"/>
      <c r="BL869" s="184"/>
      <c r="BM869" s="409"/>
      <c r="BN869" s="409"/>
    </row>
    <row r="870" spans="1:66" s="153" customFormat="1" x14ac:dyDescent="0.2">
      <c r="A870" s="61"/>
      <c r="B870" s="61"/>
      <c r="C870" s="61"/>
      <c r="D870" s="61"/>
      <c r="E870" s="61"/>
      <c r="F870" s="61"/>
      <c r="G870" s="61"/>
      <c r="H870" s="61"/>
      <c r="I870" s="61"/>
      <c r="J870" s="61"/>
      <c r="K870" s="61"/>
      <c r="L870" s="61"/>
      <c r="M870" s="61"/>
      <c r="N870" s="61"/>
      <c r="O870" s="61"/>
      <c r="P870" s="61"/>
      <c r="Q870" s="61"/>
      <c r="R870" s="61"/>
      <c r="S870" s="61"/>
      <c r="T870" s="35"/>
      <c r="U870" s="187"/>
      <c r="V870" s="190"/>
      <c r="W870" s="190"/>
      <c r="X870" s="190"/>
      <c r="Y870" s="190"/>
      <c r="Z870" s="190"/>
      <c r="AA870" s="191"/>
      <c r="AB870" s="190"/>
      <c r="AC870" s="190"/>
      <c r="AD870" s="190"/>
      <c r="AE870" s="190"/>
      <c r="AF870" s="190"/>
      <c r="AG870" s="190"/>
      <c r="AH870" s="191"/>
      <c r="AI870" s="190"/>
      <c r="AJ870" s="190"/>
      <c r="AK870" s="190"/>
      <c r="AL870" s="190"/>
      <c r="AM870" s="190"/>
      <c r="AN870" s="191"/>
      <c r="AO870" s="190"/>
      <c r="AP870" s="190"/>
      <c r="AQ870" s="190"/>
      <c r="AR870" s="190"/>
      <c r="AS870" s="190"/>
      <c r="AT870" s="191"/>
      <c r="AU870" s="190"/>
      <c r="AV870" s="190"/>
      <c r="AW870" s="190"/>
      <c r="AX870" s="190"/>
      <c r="AY870" s="190"/>
      <c r="AZ870" s="191"/>
      <c r="BA870" s="183"/>
      <c r="BB870" s="183"/>
      <c r="BC870" s="183"/>
      <c r="BD870" s="183"/>
      <c r="BE870" s="183"/>
      <c r="BF870" s="184"/>
      <c r="BG870" s="183"/>
      <c r="BH870" s="183"/>
      <c r="BI870" s="183"/>
      <c r="BJ870" s="183"/>
      <c r="BK870" s="183"/>
      <c r="BL870" s="184"/>
      <c r="BM870" s="409"/>
      <c r="BN870" s="409"/>
    </row>
    <row r="871" spans="1:66" s="153" customFormat="1" x14ac:dyDescent="0.2">
      <c r="A871" s="61"/>
      <c r="B871" s="61"/>
      <c r="C871" s="61"/>
      <c r="D871" s="61"/>
      <c r="E871" s="61"/>
      <c r="F871" s="61"/>
      <c r="G871" s="61"/>
      <c r="H871" s="61"/>
      <c r="I871" s="61"/>
      <c r="J871" s="61"/>
      <c r="K871" s="61"/>
      <c r="L871" s="61"/>
      <c r="M871" s="61"/>
      <c r="N871" s="61"/>
      <c r="O871" s="61"/>
      <c r="P871" s="61"/>
      <c r="Q871" s="61"/>
      <c r="R871" s="61"/>
      <c r="S871" s="61"/>
      <c r="T871" s="35"/>
      <c r="U871" s="187"/>
      <c r="V871" s="190"/>
      <c r="W871" s="190"/>
      <c r="X871" s="190"/>
      <c r="Y871" s="190"/>
      <c r="Z871" s="190"/>
      <c r="AA871" s="191"/>
      <c r="AB871" s="190"/>
      <c r="AC871" s="190"/>
      <c r="AD871" s="190"/>
      <c r="AE871" s="190"/>
      <c r="AF871" s="190"/>
      <c r="AG871" s="190"/>
      <c r="AH871" s="191"/>
      <c r="AI871" s="190"/>
      <c r="AJ871" s="190"/>
      <c r="AK871" s="190"/>
      <c r="AL871" s="190"/>
      <c r="AM871" s="190"/>
      <c r="AN871" s="191"/>
      <c r="AO871" s="190"/>
      <c r="AP871" s="190"/>
      <c r="AQ871" s="190"/>
      <c r="AR871" s="190"/>
      <c r="AS871" s="190"/>
      <c r="AT871" s="191"/>
      <c r="AU871" s="190"/>
      <c r="AV871" s="190"/>
      <c r="AW871" s="190"/>
      <c r="AX871" s="190"/>
      <c r="AY871" s="190"/>
      <c r="AZ871" s="191"/>
      <c r="BA871" s="183"/>
      <c r="BB871" s="183"/>
      <c r="BC871" s="183"/>
      <c r="BD871" s="183"/>
      <c r="BE871" s="183"/>
      <c r="BF871" s="184"/>
      <c r="BG871" s="183"/>
      <c r="BH871" s="183"/>
      <c r="BI871" s="183"/>
      <c r="BJ871" s="183"/>
      <c r="BK871" s="183"/>
      <c r="BL871" s="184"/>
      <c r="BM871" s="409"/>
      <c r="BN871" s="409"/>
    </row>
    <row r="872" spans="1:66" s="153" customFormat="1" x14ac:dyDescent="0.2">
      <c r="A872" s="61"/>
      <c r="B872" s="61"/>
      <c r="C872" s="61"/>
      <c r="D872" s="61"/>
      <c r="E872" s="61"/>
      <c r="F872" s="61"/>
      <c r="G872" s="61"/>
      <c r="H872" s="61"/>
      <c r="I872" s="61"/>
      <c r="J872" s="61"/>
      <c r="K872" s="61"/>
      <c r="L872" s="61"/>
      <c r="M872" s="61"/>
      <c r="N872" s="61"/>
      <c r="O872" s="61"/>
      <c r="P872" s="61"/>
      <c r="Q872" s="61"/>
      <c r="R872" s="61"/>
      <c r="S872" s="61"/>
      <c r="T872" s="35"/>
      <c r="U872" s="187"/>
      <c r="V872" s="190"/>
      <c r="W872" s="190"/>
      <c r="X872" s="190"/>
      <c r="Y872" s="190"/>
      <c r="Z872" s="190"/>
      <c r="AA872" s="191"/>
      <c r="AB872" s="190"/>
      <c r="AC872" s="190"/>
      <c r="AD872" s="190"/>
      <c r="AE872" s="190"/>
      <c r="AF872" s="190"/>
      <c r="AG872" s="190"/>
      <c r="AH872" s="191"/>
      <c r="AI872" s="190"/>
      <c r="AJ872" s="190"/>
      <c r="AK872" s="190"/>
      <c r="AL872" s="190"/>
      <c r="AM872" s="190"/>
      <c r="AN872" s="191"/>
      <c r="AO872" s="190"/>
      <c r="AP872" s="190"/>
      <c r="AQ872" s="190"/>
      <c r="AR872" s="190"/>
      <c r="AS872" s="190"/>
      <c r="AT872" s="191"/>
      <c r="AU872" s="190"/>
      <c r="AV872" s="190"/>
      <c r="AW872" s="190"/>
      <c r="AX872" s="190"/>
      <c r="AY872" s="190"/>
      <c r="AZ872" s="191"/>
      <c r="BA872" s="183"/>
      <c r="BB872" s="183"/>
      <c r="BC872" s="183"/>
      <c r="BD872" s="183"/>
      <c r="BE872" s="183"/>
      <c r="BF872" s="184"/>
      <c r="BG872" s="183"/>
      <c r="BH872" s="183"/>
      <c r="BI872" s="183"/>
      <c r="BJ872" s="183"/>
      <c r="BK872" s="183"/>
      <c r="BL872" s="184"/>
      <c r="BM872" s="409"/>
      <c r="BN872" s="409"/>
    </row>
    <row r="873" spans="1:66" s="153" customFormat="1" x14ac:dyDescent="0.2">
      <c r="A873" s="61"/>
      <c r="B873" s="61"/>
      <c r="C873" s="61"/>
      <c r="D873" s="61"/>
      <c r="E873" s="61"/>
      <c r="F873" s="61"/>
      <c r="G873" s="61"/>
      <c r="H873" s="61"/>
      <c r="I873" s="61"/>
      <c r="J873" s="61"/>
      <c r="K873" s="61"/>
      <c r="L873" s="61"/>
      <c r="M873" s="61"/>
      <c r="N873" s="61"/>
      <c r="O873" s="61"/>
      <c r="P873" s="61"/>
      <c r="Q873" s="61"/>
      <c r="R873" s="61"/>
      <c r="S873" s="61"/>
      <c r="T873" s="35"/>
      <c r="U873" s="187"/>
      <c r="V873" s="190"/>
      <c r="W873" s="190"/>
      <c r="X873" s="190"/>
      <c r="Y873" s="190"/>
      <c r="Z873" s="190"/>
      <c r="AA873" s="191"/>
      <c r="AB873" s="190"/>
      <c r="AC873" s="190"/>
      <c r="AD873" s="190"/>
      <c r="AE873" s="190"/>
      <c r="AF873" s="190"/>
      <c r="AG873" s="190"/>
      <c r="AH873" s="191"/>
      <c r="AI873" s="190"/>
      <c r="AJ873" s="190"/>
      <c r="AK873" s="190"/>
      <c r="AL873" s="190"/>
      <c r="AM873" s="190"/>
      <c r="AN873" s="191"/>
      <c r="AO873" s="190"/>
      <c r="AP873" s="190"/>
      <c r="AQ873" s="190"/>
      <c r="AR873" s="190"/>
      <c r="AS873" s="190"/>
      <c r="AT873" s="191"/>
      <c r="AU873" s="190"/>
      <c r="AV873" s="190"/>
      <c r="AW873" s="190"/>
      <c r="AX873" s="190"/>
      <c r="AY873" s="190"/>
      <c r="AZ873" s="191"/>
      <c r="BA873" s="183"/>
      <c r="BB873" s="183"/>
      <c r="BC873" s="183"/>
      <c r="BD873" s="183"/>
      <c r="BE873" s="183"/>
      <c r="BF873" s="184"/>
      <c r="BG873" s="183"/>
      <c r="BH873" s="183"/>
      <c r="BI873" s="183"/>
      <c r="BJ873" s="183"/>
      <c r="BK873" s="183"/>
      <c r="BL873" s="184"/>
      <c r="BM873" s="409"/>
      <c r="BN873" s="409"/>
    </row>
    <row r="874" spans="1:66" s="153" customFormat="1" x14ac:dyDescent="0.2">
      <c r="A874" s="61"/>
      <c r="B874" s="61"/>
      <c r="C874" s="61"/>
      <c r="D874" s="61"/>
      <c r="E874" s="61"/>
      <c r="F874" s="61"/>
      <c r="G874" s="61"/>
      <c r="H874" s="61"/>
      <c r="I874" s="61"/>
      <c r="J874" s="61"/>
      <c r="K874" s="61"/>
      <c r="L874" s="61"/>
      <c r="M874" s="61"/>
      <c r="N874" s="61"/>
      <c r="O874" s="61"/>
      <c r="P874" s="61"/>
      <c r="Q874" s="61"/>
      <c r="R874" s="61"/>
      <c r="S874" s="61"/>
      <c r="T874" s="35"/>
      <c r="U874" s="187"/>
      <c r="V874" s="190"/>
      <c r="W874" s="190"/>
      <c r="X874" s="190"/>
      <c r="Y874" s="190"/>
      <c r="Z874" s="190"/>
      <c r="AA874" s="191"/>
      <c r="AB874" s="190"/>
      <c r="AC874" s="190"/>
      <c r="AD874" s="190"/>
      <c r="AE874" s="190"/>
      <c r="AF874" s="190"/>
      <c r="AG874" s="190"/>
      <c r="AH874" s="191"/>
      <c r="AI874" s="190"/>
      <c r="AJ874" s="190"/>
      <c r="AK874" s="190"/>
      <c r="AL874" s="190"/>
      <c r="AM874" s="190"/>
      <c r="AN874" s="191"/>
      <c r="AO874" s="190"/>
      <c r="AP874" s="190"/>
      <c r="AQ874" s="190"/>
      <c r="AR874" s="190"/>
      <c r="AS874" s="190"/>
      <c r="AT874" s="191"/>
      <c r="AU874" s="190"/>
      <c r="AV874" s="190"/>
      <c r="AW874" s="190"/>
      <c r="AX874" s="190"/>
      <c r="AY874" s="190"/>
      <c r="AZ874" s="191"/>
      <c r="BA874" s="183"/>
      <c r="BB874" s="183"/>
      <c r="BC874" s="183"/>
      <c r="BD874" s="183"/>
      <c r="BE874" s="183"/>
      <c r="BF874" s="184"/>
      <c r="BG874" s="183"/>
      <c r="BH874" s="183"/>
      <c r="BI874" s="183"/>
      <c r="BJ874" s="183"/>
      <c r="BK874" s="183"/>
      <c r="BL874" s="184"/>
      <c r="BM874" s="409"/>
      <c r="BN874" s="409"/>
    </row>
    <row r="875" spans="1:66" s="153" customFormat="1" x14ac:dyDescent="0.2">
      <c r="A875" s="61"/>
      <c r="B875" s="61"/>
      <c r="C875" s="61"/>
      <c r="D875" s="61"/>
      <c r="E875" s="61"/>
      <c r="F875" s="61"/>
      <c r="G875" s="61"/>
      <c r="H875" s="61"/>
      <c r="I875" s="61"/>
      <c r="J875" s="61"/>
      <c r="K875" s="61"/>
      <c r="L875" s="61"/>
      <c r="M875" s="61"/>
      <c r="N875" s="61"/>
      <c r="O875" s="61"/>
      <c r="P875" s="61"/>
      <c r="Q875" s="61"/>
      <c r="R875" s="61"/>
      <c r="S875" s="61"/>
      <c r="T875" s="35"/>
      <c r="U875" s="187"/>
      <c r="V875" s="190"/>
      <c r="W875" s="190"/>
      <c r="X875" s="190"/>
      <c r="Y875" s="190"/>
      <c r="Z875" s="190"/>
      <c r="AA875" s="191"/>
      <c r="AB875" s="190"/>
      <c r="AC875" s="190"/>
      <c r="AD875" s="190"/>
      <c r="AE875" s="190"/>
      <c r="AF875" s="190"/>
      <c r="AG875" s="190"/>
      <c r="AH875" s="191"/>
      <c r="AI875" s="190"/>
      <c r="AJ875" s="190"/>
      <c r="AK875" s="190"/>
      <c r="AL875" s="190"/>
      <c r="AM875" s="190"/>
      <c r="AN875" s="191"/>
      <c r="AO875" s="190"/>
      <c r="AP875" s="190"/>
      <c r="AQ875" s="190"/>
      <c r="AR875" s="190"/>
      <c r="AS875" s="190"/>
      <c r="AT875" s="191"/>
      <c r="AU875" s="190"/>
      <c r="AV875" s="190"/>
      <c r="AW875" s="190"/>
      <c r="AX875" s="190"/>
      <c r="AY875" s="190"/>
      <c r="AZ875" s="191"/>
      <c r="BA875" s="183"/>
      <c r="BB875" s="183"/>
      <c r="BC875" s="183"/>
      <c r="BD875" s="183"/>
      <c r="BE875" s="183"/>
      <c r="BF875" s="184"/>
      <c r="BG875" s="183"/>
      <c r="BH875" s="183"/>
      <c r="BI875" s="183"/>
      <c r="BJ875" s="183"/>
      <c r="BK875" s="183"/>
      <c r="BL875" s="184"/>
      <c r="BM875" s="409"/>
      <c r="BN875" s="409"/>
    </row>
    <row r="876" spans="1:66" s="153" customFormat="1" x14ac:dyDescent="0.2">
      <c r="A876" s="61"/>
      <c r="B876" s="61"/>
      <c r="C876" s="61"/>
      <c r="D876" s="61"/>
      <c r="E876" s="61"/>
      <c r="F876" s="61"/>
      <c r="G876" s="61"/>
      <c r="H876" s="61"/>
      <c r="I876" s="61"/>
      <c r="J876" s="61"/>
      <c r="K876" s="61"/>
      <c r="L876" s="61"/>
      <c r="M876" s="61"/>
      <c r="N876" s="61"/>
      <c r="O876" s="61"/>
      <c r="P876" s="61"/>
      <c r="Q876" s="61"/>
      <c r="R876" s="61"/>
      <c r="S876" s="61"/>
      <c r="T876" s="35"/>
      <c r="U876" s="187"/>
      <c r="V876" s="190"/>
      <c r="W876" s="190"/>
      <c r="X876" s="190"/>
      <c r="Y876" s="190"/>
      <c r="Z876" s="190"/>
      <c r="AA876" s="191"/>
      <c r="AB876" s="190"/>
      <c r="AC876" s="190"/>
      <c r="AD876" s="190"/>
      <c r="AE876" s="190"/>
      <c r="AF876" s="190"/>
      <c r="AG876" s="190"/>
      <c r="AH876" s="191"/>
      <c r="AI876" s="190"/>
      <c r="AJ876" s="190"/>
      <c r="AK876" s="190"/>
      <c r="AL876" s="190"/>
      <c r="AM876" s="190"/>
      <c r="AN876" s="191"/>
      <c r="AO876" s="190"/>
      <c r="AP876" s="190"/>
      <c r="AQ876" s="190"/>
      <c r="AR876" s="190"/>
      <c r="AS876" s="190"/>
      <c r="AT876" s="191"/>
      <c r="AU876" s="190"/>
      <c r="AV876" s="190"/>
      <c r="AW876" s="190"/>
      <c r="AX876" s="190"/>
      <c r="AY876" s="190"/>
      <c r="AZ876" s="191"/>
      <c r="BA876" s="183"/>
      <c r="BB876" s="183"/>
      <c r="BC876" s="183"/>
      <c r="BD876" s="183"/>
      <c r="BE876" s="183"/>
      <c r="BF876" s="184"/>
      <c r="BG876" s="183"/>
      <c r="BH876" s="183"/>
      <c r="BI876" s="183"/>
      <c r="BJ876" s="183"/>
      <c r="BK876" s="183"/>
      <c r="BL876" s="184"/>
      <c r="BM876" s="409"/>
      <c r="BN876" s="409"/>
    </row>
    <row r="877" spans="1:66" s="153" customFormat="1" x14ac:dyDescent="0.2">
      <c r="A877" s="61"/>
      <c r="B877" s="61"/>
      <c r="C877" s="61"/>
      <c r="D877" s="61"/>
      <c r="E877" s="61"/>
      <c r="F877" s="61"/>
      <c r="G877" s="61"/>
      <c r="H877" s="61"/>
      <c r="I877" s="61"/>
      <c r="J877" s="61"/>
      <c r="K877" s="61"/>
      <c r="L877" s="61"/>
      <c r="M877" s="61"/>
      <c r="N877" s="61"/>
      <c r="O877" s="61"/>
      <c r="P877" s="61"/>
      <c r="Q877" s="61"/>
      <c r="R877" s="61"/>
      <c r="S877" s="61"/>
      <c r="T877" s="35"/>
      <c r="U877" s="187"/>
      <c r="V877" s="190"/>
      <c r="W877" s="190"/>
      <c r="X877" s="190"/>
      <c r="Y877" s="190"/>
      <c r="Z877" s="190"/>
      <c r="AA877" s="191"/>
      <c r="AB877" s="190"/>
      <c r="AC877" s="190"/>
      <c r="AD877" s="190"/>
      <c r="AE877" s="190"/>
      <c r="AF877" s="190"/>
      <c r="AG877" s="190"/>
      <c r="AH877" s="191"/>
      <c r="AI877" s="190"/>
      <c r="AJ877" s="190"/>
      <c r="AK877" s="190"/>
      <c r="AL877" s="190"/>
      <c r="AM877" s="190"/>
      <c r="AN877" s="191"/>
      <c r="AO877" s="190"/>
      <c r="AP877" s="190"/>
      <c r="AQ877" s="190"/>
      <c r="AR877" s="190"/>
      <c r="AS877" s="190"/>
      <c r="AT877" s="191"/>
      <c r="AU877" s="190"/>
      <c r="AV877" s="190"/>
      <c r="AW877" s="190"/>
      <c r="AX877" s="190"/>
      <c r="AY877" s="190"/>
      <c r="AZ877" s="191"/>
      <c r="BA877" s="183"/>
      <c r="BB877" s="183"/>
      <c r="BC877" s="183"/>
      <c r="BD877" s="183"/>
      <c r="BE877" s="183"/>
      <c r="BF877" s="184"/>
      <c r="BG877" s="183"/>
      <c r="BH877" s="183"/>
      <c r="BI877" s="183"/>
      <c r="BJ877" s="183"/>
      <c r="BK877" s="183"/>
      <c r="BL877" s="184"/>
      <c r="BM877" s="409"/>
      <c r="BN877" s="409"/>
    </row>
    <row r="878" spans="1:66" s="153" customFormat="1" x14ac:dyDescent="0.2">
      <c r="A878" s="61"/>
      <c r="B878" s="61"/>
      <c r="C878" s="61"/>
      <c r="D878" s="61"/>
      <c r="E878" s="61"/>
      <c r="F878" s="61"/>
      <c r="G878" s="61"/>
      <c r="H878" s="61"/>
      <c r="I878" s="61"/>
      <c r="J878" s="61"/>
      <c r="K878" s="61"/>
      <c r="L878" s="61"/>
      <c r="M878" s="61"/>
      <c r="N878" s="61"/>
      <c r="O878" s="61"/>
      <c r="P878" s="61"/>
      <c r="Q878" s="61"/>
      <c r="R878" s="61"/>
      <c r="S878" s="61"/>
      <c r="T878" s="35"/>
      <c r="U878" s="187"/>
      <c r="V878" s="190"/>
      <c r="W878" s="190"/>
      <c r="X878" s="190"/>
      <c r="Y878" s="190"/>
      <c r="Z878" s="190"/>
      <c r="AA878" s="191"/>
      <c r="AB878" s="190"/>
      <c r="AC878" s="190"/>
      <c r="AD878" s="190"/>
      <c r="AE878" s="190"/>
      <c r="AF878" s="190"/>
      <c r="AG878" s="190"/>
      <c r="AH878" s="191"/>
      <c r="AI878" s="190"/>
      <c r="AJ878" s="190"/>
      <c r="AK878" s="190"/>
      <c r="AL878" s="190"/>
      <c r="AM878" s="190"/>
      <c r="AN878" s="191"/>
      <c r="AO878" s="190"/>
      <c r="AP878" s="190"/>
      <c r="AQ878" s="190"/>
      <c r="AR878" s="190"/>
      <c r="AS878" s="190"/>
      <c r="AT878" s="191"/>
      <c r="AU878" s="190"/>
      <c r="AV878" s="190"/>
      <c r="AW878" s="190"/>
      <c r="AX878" s="190"/>
      <c r="AY878" s="190"/>
      <c r="AZ878" s="191"/>
      <c r="BA878" s="183"/>
      <c r="BB878" s="183"/>
      <c r="BC878" s="183"/>
      <c r="BD878" s="183"/>
      <c r="BE878" s="183"/>
      <c r="BF878" s="184"/>
      <c r="BG878" s="183"/>
      <c r="BH878" s="183"/>
      <c r="BI878" s="183"/>
      <c r="BJ878" s="183"/>
      <c r="BK878" s="183"/>
      <c r="BL878" s="184"/>
      <c r="BM878" s="409"/>
      <c r="BN878" s="409"/>
    </row>
    <row r="879" spans="1:66" s="153" customFormat="1" x14ac:dyDescent="0.2">
      <c r="A879" s="61"/>
      <c r="B879" s="61"/>
      <c r="C879" s="61"/>
      <c r="D879" s="61"/>
      <c r="E879" s="61"/>
      <c r="F879" s="61"/>
      <c r="G879" s="61"/>
      <c r="H879" s="61"/>
      <c r="I879" s="61"/>
      <c r="J879" s="61"/>
      <c r="K879" s="61"/>
      <c r="L879" s="61"/>
      <c r="M879" s="61"/>
      <c r="N879" s="61"/>
      <c r="O879" s="61"/>
      <c r="P879" s="61"/>
      <c r="Q879" s="61"/>
      <c r="R879" s="61"/>
      <c r="S879" s="61"/>
      <c r="T879" s="35"/>
      <c r="U879" s="187"/>
      <c r="V879" s="190"/>
      <c r="W879" s="190"/>
      <c r="X879" s="190"/>
      <c r="Y879" s="190"/>
      <c r="Z879" s="190"/>
      <c r="AA879" s="191"/>
      <c r="AB879" s="190"/>
      <c r="AC879" s="190"/>
      <c r="AD879" s="190"/>
      <c r="AE879" s="190"/>
      <c r="AF879" s="190"/>
      <c r="AG879" s="190"/>
      <c r="AH879" s="191"/>
      <c r="AI879" s="190"/>
      <c r="AJ879" s="190"/>
      <c r="AK879" s="190"/>
      <c r="AL879" s="190"/>
      <c r="AM879" s="190"/>
      <c r="AN879" s="191"/>
      <c r="AO879" s="190"/>
      <c r="AP879" s="190"/>
      <c r="AQ879" s="190"/>
      <c r="AR879" s="190"/>
      <c r="AS879" s="190"/>
      <c r="AT879" s="191"/>
      <c r="AU879" s="190"/>
      <c r="AV879" s="190"/>
      <c r="AW879" s="190"/>
      <c r="AX879" s="190"/>
      <c r="AY879" s="190"/>
      <c r="AZ879" s="191"/>
      <c r="BA879" s="183"/>
      <c r="BB879" s="183"/>
      <c r="BC879" s="183"/>
      <c r="BD879" s="183"/>
      <c r="BE879" s="183"/>
      <c r="BF879" s="184"/>
      <c r="BG879" s="183"/>
      <c r="BH879" s="183"/>
      <c r="BI879" s="183"/>
      <c r="BJ879" s="183"/>
      <c r="BK879" s="183"/>
      <c r="BL879" s="184"/>
      <c r="BM879" s="409"/>
      <c r="BN879" s="409"/>
    </row>
    <row r="880" spans="1:66" s="153" customFormat="1" x14ac:dyDescent="0.2">
      <c r="A880" s="61"/>
      <c r="B880" s="61"/>
      <c r="C880" s="61"/>
      <c r="D880" s="61"/>
      <c r="E880" s="61"/>
      <c r="F880" s="61"/>
      <c r="G880" s="61"/>
      <c r="H880" s="61"/>
      <c r="I880" s="61"/>
      <c r="J880" s="61"/>
      <c r="K880" s="61"/>
      <c r="L880" s="61"/>
      <c r="M880" s="61"/>
      <c r="N880" s="61"/>
      <c r="O880" s="61"/>
      <c r="P880" s="61"/>
      <c r="Q880" s="61"/>
      <c r="R880" s="61"/>
      <c r="S880" s="61"/>
      <c r="T880" s="35"/>
      <c r="U880" s="187"/>
      <c r="V880" s="190"/>
      <c r="W880" s="190"/>
      <c r="X880" s="190"/>
      <c r="Y880" s="190"/>
      <c r="Z880" s="190"/>
      <c r="AA880" s="191"/>
      <c r="AB880" s="190"/>
      <c r="AC880" s="190"/>
      <c r="AD880" s="190"/>
      <c r="AE880" s="190"/>
      <c r="AF880" s="190"/>
      <c r="AG880" s="190"/>
      <c r="AH880" s="191"/>
      <c r="AI880" s="190"/>
      <c r="AJ880" s="190"/>
      <c r="AK880" s="190"/>
      <c r="AL880" s="190"/>
      <c r="AM880" s="190"/>
      <c r="AN880" s="191"/>
      <c r="AO880" s="190"/>
      <c r="AP880" s="190"/>
      <c r="AQ880" s="190"/>
      <c r="AR880" s="190"/>
      <c r="AS880" s="190"/>
      <c r="AT880" s="191"/>
      <c r="AU880" s="190"/>
      <c r="AV880" s="190"/>
      <c r="AW880" s="190"/>
      <c r="AX880" s="190"/>
      <c r="AY880" s="190"/>
      <c r="AZ880" s="191"/>
      <c r="BA880" s="183"/>
      <c r="BB880" s="183"/>
      <c r="BC880" s="183"/>
      <c r="BD880" s="183"/>
      <c r="BE880" s="183"/>
      <c r="BF880" s="184"/>
      <c r="BG880" s="183"/>
      <c r="BH880" s="183"/>
      <c r="BI880" s="183"/>
      <c r="BJ880" s="183"/>
      <c r="BK880" s="183"/>
      <c r="BL880" s="184"/>
      <c r="BM880" s="409"/>
      <c r="BN880" s="409"/>
    </row>
    <row r="881" spans="1:66" s="153" customFormat="1" x14ac:dyDescent="0.2">
      <c r="A881" s="61"/>
      <c r="B881" s="61"/>
      <c r="C881" s="61"/>
      <c r="D881" s="61"/>
      <c r="E881" s="61"/>
      <c r="F881" s="61"/>
      <c r="G881" s="61"/>
      <c r="H881" s="61"/>
      <c r="I881" s="61"/>
      <c r="J881" s="61"/>
      <c r="K881" s="61"/>
      <c r="L881" s="61"/>
      <c r="M881" s="61"/>
      <c r="N881" s="61"/>
      <c r="O881" s="61"/>
      <c r="P881" s="61"/>
      <c r="Q881" s="61"/>
      <c r="R881" s="61"/>
      <c r="S881" s="61"/>
      <c r="T881" s="35"/>
      <c r="U881" s="187"/>
      <c r="V881" s="190"/>
      <c r="W881" s="190"/>
      <c r="X881" s="190"/>
      <c r="Y881" s="190"/>
      <c r="Z881" s="190"/>
      <c r="AA881" s="191"/>
      <c r="AB881" s="190"/>
      <c r="AC881" s="190"/>
      <c r="AD881" s="190"/>
      <c r="AE881" s="190"/>
      <c r="AF881" s="190"/>
      <c r="AG881" s="190"/>
      <c r="AH881" s="191"/>
      <c r="AI881" s="190"/>
      <c r="AJ881" s="190"/>
      <c r="AK881" s="190"/>
      <c r="AL881" s="190"/>
      <c r="AM881" s="190"/>
      <c r="AN881" s="191"/>
      <c r="AO881" s="190"/>
      <c r="AP881" s="190"/>
      <c r="AQ881" s="190"/>
      <c r="AR881" s="190"/>
      <c r="AS881" s="190"/>
      <c r="AT881" s="191"/>
      <c r="AU881" s="190"/>
      <c r="AV881" s="190"/>
      <c r="AW881" s="190"/>
      <c r="AX881" s="190"/>
      <c r="AY881" s="190"/>
      <c r="AZ881" s="191"/>
      <c r="BA881" s="183"/>
      <c r="BB881" s="183"/>
      <c r="BC881" s="183"/>
      <c r="BD881" s="183"/>
      <c r="BE881" s="183"/>
      <c r="BF881" s="184"/>
      <c r="BG881" s="183"/>
      <c r="BH881" s="183"/>
      <c r="BI881" s="183"/>
      <c r="BJ881" s="183"/>
      <c r="BK881" s="183"/>
      <c r="BL881" s="184"/>
      <c r="BM881" s="409"/>
      <c r="BN881" s="409"/>
    </row>
    <row r="882" spans="1:66" s="153" customFormat="1" x14ac:dyDescent="0.2">
      <c r="A882" s="61"/>
      <c r="B882" s="61"/>
      <c r="C882" s="61"/>
      <c r="D882" s="61"/>
      <c r="E882" s="61"/>
      <c r="F882" s="61"/>
      <c r="G882" s="61"/>
      <c r="H882" s="61"/>
      <c r="I882" s="61"/>
      <c r="J882" s="61"/>
      <c r="K882" s="61"/>
      <c r="L882" s="61"/>
      <c r="M882" s="61"/>
      <c r="N882" s="61"/>
      <c r="O882" s="61"/>
      <c r="P882" s="61"/>
      <c r="Q882" s="61"/>
      <c r="R882" s="61"/>
      <c r="S882" s="61"/>
      <c r="T882" s="35"/>
      <c r="U882" s="187"/>
      <c r="V882" s="190"/>
      <c r="W882" s="190"/>
      <c r="X882" s="190"/>
      <c r="Y882" s="190"/>
      <c r="Z882" s="190"/>
      <c r="AA882" s="191"/>
      <c r="AB882" s="190"/>
      <c r="AC882" s="190"/>
      <c r="AD882" s="190"/>
      <c r="AE882" s="190"/>
      <c r="AF882" s="190"/>
      <c r="AG882" s="190"/>
      <c r="AH882" s="191"/>
      <c r="AI882" s="190"/>
      <c r="AJ882" s="190"/>
      <c r="AK882" s="190"/>
      <c r="AL882" s="190"/>
      <c r="AM882" s="190"/>
      <c r="AN882" s="191"/>
      <c r="AO882" s="190"/>
      <c r="AP882" s="190"/>
      <c r="AQ882" s="190"/>
      <c r="AR882" s="190"/>
      <c r="AS882" s="190"/>
      <c r="AT882" s="191"/>
      <c r="AU882" s="190"/>
      <c r="AV882" s="190"/>
      <c r="AW882" s="190"/>
      <c r="AX882" s="190"/>
      <c r="AY882" s="190"/>
      <c r="AZ882" s="191"/>
      <c r="BA882" s="183"/>
      <c r="BB882" s="183"/>
      <c r="BC882" s="183"/>
      <c r="BD882" s="183"/>
      <c r="BE882" s="183"/>
      <c r="BF882" s="184"/>
      <c r="BG882" s="183"/>
      <c r="BH882" s="183"/>
      <c r="BI882" s="183"/>
      <c r="BJ882" s="183"/>
      <c r="BK882" s="183"/>
      <c r="BL882" s="184"/>
      <c r="BM882" s="409"/>
      <c r="BN882" s="409"/>
    </row>
    <row r="883" spans="1:66" s="153" customFormat="1" x14ac:dyDescent="0.2">
      <c r="A883" s="61"/>
      <c r="B883" s="61"/>
      <c r="C883" s="61"/>
      <c r="D883" s="61"/>
      <c r="E883" s="61"/>
      <c r="F883" s="61"/>
      <c r="G883" s="61"/>
      <c r="H883" s="61"/>
      <c r="I883" s="61"/>
      <c r="J883" s="61"/>
      <c r="K883" s="61"/>
      <c r="L883" s="61"/>
      <c r="M883" s="61"/>
      <c r="N883" s="61"/>
      <c r="O883" s="61"/>
      <c r="P883" s="61"/>
      <c r="Q883" s="61"/>
      <c r="R883" s="61"/>
      <c r="S883" s="61"/>
      <c r="T883" s="35"/>
      <c r="U883" s="187"/>
      <c r="V883" s="190"/>
      <c r="W883" s="190"/>
      <c r="X883" s="190"/>
      <c r="Y883" s="190"/>
      <c r="Z883" s="190"/>
      <c r="AA883" s="191"/>
      <c r="AB883" s="190"/>
      <c r="AC883" s="190"/>
      <c r="AD883" s="190"/>
      <c r="AE883" s="190"/>
      <c r="AF883" s="190"/>
      <c r="AG883" s="190"/>
      <c r="AH883" s="191"/>
      <c r="AI883" s="190"/>
      <c r="AJ883" s="190"/>
      <c r="AK883" s="190"/>
      <c r="AL883" s="190"/>
      <c r="AM883" s="190"/>
      <c r="AN883" s="191"/>
      <c r="AO883" s="190"/>
      <c r="AP883" s="190"/>
      <c r="AQ883" s="190"/>
      <c r="AR883" s="190"/>
      <c r="AS883" s="190"/>
      <c r="AT883" s="191"/>
      <c r="AU883" s="190"/>
      <c r="AV883" s="190"/>
      <c r="AW883" s="190"/>
      <c r="AX883" s="190"/>
      <c r="AY883" s="190"/>
      <c r="AZ883" s="191"/>
      <c r="BA883" s="183"/>
      <c r="BB883" s="183"/>
      <c r="BC883" s="183"/>
      <c r="BD883" s="183"/>
      <c r="BE883" s="183"/>
      <c r="BF883" s="184"/>
      <c r="BG883" s="183"/>
      <c r="BH883" s="183"/>
      <c r="BI883" s="183"/>
      <c r="BJ883" s="183"/>
      <c r="BK883" s="183"/>
      <c r="BL883" s="184"/>
      <c r="BM883" s="409"/>
      <c r="BN883" s="409"/>
    </row>
    <row r="884" spans="1:66" s="153" customFormat="1" x14ac:dyDescent="0.2">
      <c r="A884" s="61"/>
      <c r="B884" s="61"/>
      <c r="C884" s="61"/>
      <c r="D884" s="61"/>
      <c r="E884" s="61"/>
      <c r="F884" s="61"/>
      <c r="G884" s="61"/>
      <c r="H884" s="61"/>
      <c r="I884" s="61"/>
      <c r="J884" s="61"/>
      <c r="K884" s="61"/>
      <c r="L884" s="61"/>
      <c r="M884" s="61"/>
      <c r="N884" s="61"/>
      <c r="O884" s="61"/>
      <c r="P884" s="61"/>
      <c r="Q884" s="61"/>
      <c r="R884" s="61"/>
      <c r="S884" s="61"/>
      <c r="T884" s="35"/>
      <c r="U884" s="187"/>
      <c r="V884" s="190"/>
      <c r="W884" s="190"/>
      <c r="X884" s="190"/>
      <c r="Y884" s="190"/>
      <c r="Z884" s="190"/>
      <c r="AA884" s="191"/>
      <c r="AB884" s="190"/>
      <c r="AC884" s="190"/>
      <c r="AD884" s="190"/>
      <c r="AE884" s="190"/>
      <c r="AF884" s="190"/>
      <c r="AG884" s="190"/>
      <c r="AH884" s="191"/>
      <c r="AI884" s="190"/>
      <c r="AJ884" s="190"/>
      <c r="AK884" s="190"/>
      <c r="AL884" s="190"/>
      <c r="AM884" s="190"/>
      <c r="AN884" s="191"/>
      <c r="AO884" s="190"/>
      <c r="AP884" s="190"/>
      <c r="AQ884" s="190"/>
      <c r="AR884" s="190"/>
      <c r="AS884" s="190"/>
      <c r="AT884" s="191"/>
      <c r="AU884" s="190"/>
      <c r="AV884" s="190"/>
      <c r="AW884" s="190"/>
      <c r="AX884" s="190"/>
      <c r="AY884" s="190"/>
      <c r="AZ884" s="191"/>
      <c r="BA884" s="183"/>
      <c r="BB884" s="183"/>
      <c r="BC884" s="183"/>
      <c r="BD884" s="183"/>
      <c r="BE884" s="183"/>
      <c r="BF884" s="184"/>
      <c r="BG884" s="183"/>
      <c r="BH884" s="183"/>
      <c r="BI884" s="183"/>
      <c r="BJ884" s="183"/>
      <c r="BK884" s="183"/>
      <c r="BL884" s="184"/>
      <c r="BM884" s="409"/>
      <c r="BN884" s="409"/>
    </row>
    <row r="885" spans="1:66" s="153" customFormat="1" x14ac:dyDescent="0.2">
      <c r="A885" s="61"/>
      <c r="B885" s="61"/>
      <c r="C885" s="61"/>
      <c r="D885" s="61"/>
      <c r="E885" s="61"/>
      <c r="F885" s="61"/>
      <c r="G885" s="61"/>
      <c r="H885" s="61"/>
      <c r="I885" s="61"/>
      <c r="J885" s="61"/>
      <c r="K885" s="61"/>
      <c r="L885" s="61"/>
      <c r="M885" s="61"/>
      <c r="N885" s="61"/>
      <c r="O885" s="61"/>
      <c r="P885" s="61"/>
      <c r="Q885" s="61"/>
      <c r="R885" s="61"/>
      <c r="S885" s="61"/>
      <c r="T885" s="35"/>
      <c r="U885" s="187"/>
      <c r="V885" s="190"/>
      <c r="W885" s="190"/>
      <c r="X885" s="190"/>
      <c r="Y885" s="190"/>
      <c r="Z885" s="190"/>
      <c r="AA885" s="191"/>
      <c r="AB885" s="190"/>
      <c r="AC885" s="190"/>
      <c r="AD885" s="190"/>
      <c r="AE885" s="190"/>
      <c r="AF885" s="190"/>
      <c r="AG885" s="190"/>
      <c r="AH885" s="191"/>
      <c r="AI885" s="190"/>
      <c r="AJ885" s="190"/>
      <c r="AK885" s="190"/>
      <c r="AL885" s="190"/>
      <c r="AM885" s="190"/>
      <c r="AN885" s="191"/>
      <c r="AO885" s="190"/>
      <c r="AP885" s="190"/>
      <c r="AQ885" s="190"/>
      <c r="AR885" s="190"/>
      <c r="AS885" s="190"/>
      <c r="AT885" s="191"/>
      <c r="AU885" s="190"/>
      <c r="AV885" s="190"/>
      <c r="AW885" s="190"/>
      <c r="AX885" s="190"/>
      <c r="AY885" s="190"/>
      <c r="AZ885" s="191"/>
      <c r="BA885" s="183"/>
      <c r="BB885" s="183"/>
      <c r="BC885" s="183"/>
      <c r="BD885" s="183"/>
      <c r="BE885" s="183"/>
      <c r="BF885" s="184"/>
      <c r="BG885" s="183"/>
      <c r="BH885" s="183"/>
      <c r="BI885" s="183"/>
      <c r="BJ885" s="183"/>
      <c r="BK885" s="183"/>
      <c r="BL885" s="184"/>
      <c r="BM885" s="409"/>
      <c r="BN885" s="409"/>
    </row>
    <row r="886" spans="1:66" s="153" customFormat="1" x14ac:dyDescent="0.2">
      <c r="A886" s="61"/>
      <c r="B886" s="61"/>
      <c r="C886" s="61"/>
      <c r="D886" s="61"/>
      <c r="E886" s="61"/>
      <c r="F886" s="61"/>
      <c r="G886" s="61"/>
      <c r="H886" s="61"/>
      <c r="I886" s="61"/>
      <c r="J886" s="61"/>
      <c r="K886" s="61"/>
      <c r="L886" s="61"/>
      <c r="M886" s="61"/>
      <c r="N886" s="61"/>
      <c r="O886" s="61"/>
      <c r="P886" s="61"/>
      <c r="Q886" s="61"/>
      <c r="R886" s="61"/>
      <c r="S886" s="61"/>
      <c r="T886" s="35"/>
      <c r="U886" s="187"/>
      <c r="V886" s="190"/>
      <c r="W886" s="190"/>
      <c r="X886" s="190"/>
      <c r="Y886" s="190"/>
      <c r="Z886" s="190"/>
      <c r="AA886" s="191"/>
      <c r="AB886" s="190"/>
      <c r="AC886" s="190"/>
      <c r="AD886" s="190"/>
      <c r="AE886" s="190"/>
      <c r="AF886" s="190"/>
      <c r="AG886" s="190"/>
      <c r="AH886" s="191"/>
      <c r="AI886" s="190"/>
      <c r="AJ886" s="190"/>
      <c r="AK886" s="190"/>
      <c r="AL886" s="190"/>
      <c r="AM886" s="190"/>
      <c r="AN886" s="191"/>
      <c r="AO886" s="190"/>
      <c r="AP886" s="190"/>
      <c r="AQ886" s="190"/>
      <c r="AR886" s="190"/>
      <c r="AS886" s="190"/>
      <c r="AT886" s="191"/>
      <c r="AU886" s="190"/>
      <c r="AV886" s="190"/>
      <c r="AW886" s="190"/>
      <c r="AX886" s="190"/>
      <c r="AY886" s="190"/>
      <c r="AZ886" s="191"/>
      <c r="BA886" s="183"/>
      <c r="BB886" s="183"/>
      <c r="BC886" s="183"/>
      <c r="BD886" s="183"/>
      <c r="BE886" s="183"/>
      <c r="BF886" s="184"/>
      <c r="BG886" s="183"/>
      <c r="BH886" s="183"/>
      <c r="BI886" s="183"/>
      <c r="BJ886" s="183"/>
      <c r="BK886" s="183"/>
      <c r="BL886" s="184"/>
      <c r="BM886" s="409"/>
      <c r="BN886" s="409"/>
    </row>
    <row r="887" spans="1:66" s="153" customFormat="1" x14ac:dyDescent="0.2">
      <c r="A887" s="61"/>
      <c r="B887" s="61"/>
      <c r="C887" s="61"/>
      <c r="D887" s="61"/>
      <c r="E887" s="61"/>
      <c r="F887" s="61"/>
      <c r="G887" s="61"/>
      <c r="H887" s="61"/>
      <c r="I887" s="61"/>
      <c r="J887" s="61"/>
      <c r="K887" s="61"/>
      <c r="L887" s="61"/>
      <c r="M887" s="61"/>
      <c r="N887" s="61"/>
      <c r="O887" s="61"/>
      <c r="P887" s="61"/>
      <c r="Q887" s="61"/>
      <c r="R887" s="61"/>
      <c r="S887" s="61"/>
      <c r="T887" s="35"/>
      <c r="U887" s="187"/>
      <c r="V887" s="190"/>
      <c r="W887" s="190"/>
      <c r="X887" s="190"/>
      <c r="Y887" s="190"/>
      <c r="Z887" s="190"/>
      <c r="AA887" s="191"/>
      <c r="AB887" s="190"/>
      <c r="AC887" s="190"/>
      <c r="AD887" s="190"/>
      <c r="AE887" s="190"/>
      <c r="AF887" s="190"/>
      <c r="AG887" s="190"/>
      <c r="AH887" s="191"/>
      <c r="AI887" s="190"/>
      <c r="AJ887" s="190"/>
      <c r="AK887" s="190"/>
      <c r="AL887" s="190"/>
      <c r="AM887" s="190"/>
      <c r="AN887" s="191"/>
      <c r="AO887" s="190"/>
      <c r="AP887" s="190"/>
      <c r="AQ887" s="190"/>
      <c r="AR887" s="190"/>
      <c r="AS887" s="190"/>
      <c r="AT887" s="191"/>
      <c r="AU887" s="190"/>
      <c r="AV887" s="190"/>
      <c r="AW887" s="190"/>
      <c r="AX887" s="190"/>
      <c r="AY887" s="190"/>
      <c r="AZ887" s="191"/>
      <c r="BA887" s="183"/>
      <c r="BB887" s="183"/>
      <c r="BC887" s="183"/>
      <c r="BD887" s="183"/>
      <c r="BE887" s="183"/>
      <c r="BF887" s="184"/>
      <c r="BG887" s="183"/>
      <c r="BH887" s="183"/>
      <c r="BI887" s="183"/>
      <c r="BJ887" s="183"/>
      <c r="BK887" s="183"/>
      <c r="BL887" s="184"/>
      <c r="BM887" s="409"/>
      <c r="BN887" s="409"/>
    </row>
    <row r="888" spans="1:66" s="153" customFormat="1" x14ac:dyDescent="0.2">
      <c r="A888" s="61"/>
      <c r="B888" s="61"/>
      <c r="C888" s="61"/>
      <c r="D888" s="61"/>
      <c r="E888" s="61"/>
      <c r="F888" s="61"/>
      <c r="G888" s="61"/>
      <c r="H888" s="61"/>
      <c r="I888" s="61"/>
      <c r="J888" s="61"/>
      <c r="K888" s="61"/>
      <c r="L888" s="61"/>
      <c r="M888" s="61"/>
      <c r="N888" s="61"/>
      <c r="O888" s="61"/>
      <c r="P888" s="61"/>
      <c r="Q888" s="61"/>
      <c r="R888" s="61"/>
      <c r="S888" s="61"/>
      <c r="T888" s="35"/>
      <c r="U888" s="187"/>
      <c r="V888" s="190"/>
      <c r="W888" s="190"/>
      <c r="X888" s="190"/>
      <c r="Y888" s="190"/>
      <c r="Z888" s="190"/>
      <c r="AA888" s="191"/>
      <c r="AB888" s="190"/>
      <c r="AC888" s="190"/>
      <c r="AD888" s="190"/>
      <c r="AE888" s="190"/>
      <c r="AF888" s="190"/>
      <c r="AG888" s="190"/>
      <c r="AH888" s="191"/>
      <c r="AI888" s="190"/>
      <c r="AJ888" s="190"/>
      <c r="AK888" s="190"/>
      <c r="AL888" s="190"/>
      <c r="AM888" s="190"/>
      <c r="AN888" s="191"/>
      <c r="AO888" s="190"/>
      <c r="AP888" s="190"/>
      <c r="AQ888" s="190"/>
      <c r="AR888" s="190"/>
      <c r="AS888" s="190"/>
      <c r="AT888" s="191"/>
      <c r="AU888" s="190"/>
      <c r="AV888" s="190"/>
      <c r="AW888" s="190"/>
      <c r="AX888" s="190"/>
      <c r="AY888" s="190"/>
      <c r="AZ888" s="191"/>
      <c r="BA888" s="183"/>
      <c r="BB888" s="183"/>
      <c r="BC888" s="183"/>
      <c r="BD888" s="183"/>
      <c r="BE888" s="183"/>
      <c r="BF888" s="184"/>
      <c r="BG888" s="183"/>
      <c r="BH888" s="183"/>
      <c r="BI888" s="183"/>
      <c r="BJ888" s="183"/>
      <c r="BK888" s="183"/>
      <c r="BL888" s="184"/>
      <c r="BM888" s="409"/>
      <c r="BN888" s="409"/>
    </row>
    <row r="889" spans="1:66" s="153" customFormat="1" x14ac:dyDescent="0.2">
      <c r="A889" s="61"/>
      <c r="B889" s="61"/>
      <c r="C889" s="61"/>
      <c r="D889" s="61"/>
      <c r="E889" s="61"/>
      <c r="F889" s="61"/>
      <c r="G889" s="61"/>
      <c r="H889" s="61"/>
      <c r="I889" s="61"/>
      <c r="J889" s="61"/>
      <c r="K889" s="61"/>
      <c r="L889" s="61"/>
      <c r="M889" s="61"/>
      <c r="N889" s="61"/>
      <c r="O889" s="61"/>
      <c r="P889" s="61"/>
      <c r="Q889" s="61"/>
      <c r="R889" s="61"/>
      <c r="S889" s="61"/>
      <c r="T889" s="35"/>
      <c r="U889" s="187"/>
      <c r="V889" s="190"/>
      <c r="W889" s="190"/>
      <c r="X889" s="190"/>
      <c r="Y889" s="190"/>
      <c r="Z889" s="190"/>
      <c r="AA889" s="191"/>
      <c r="AB889" s="190"/>
      <c r="AC889" s="190"/>
      <c r="AD889" s="190"/>
      <c r="AE889" s="190"/>
      <c r="AF889" s="190"/>
      <c r="AG889" s="190"/>
      <c r="AH889" s="191"/>
      <c r="AI889" s="190"/>
      <c r="AJ889" s="190"/>
      <c r="AK889" s="190"/>
      <c r="AL889" s="190"/>
      <c r="AM889" s="190"/>
      <c r="AN889" s="191"/>
      <c r="AO889" s="190"/>
      <c r="AP889" s="190"/>
      <c r="AQ889" s="190"/>
      <c r="AR889" s="190"/>
      <c r="AS889" s="190"/>
      <c r="AT889" s="191"/>
      <c r="AU889" s="190"/>
      <c r="AV889" s="190"/>
      <c r="AW889" s="190"/>
      <c r="AX889" s="190"/>
      <c r="AY889" s="190"/>
      <c r="AZ889" s="191"/>
      <c r="BA889" s="183"/>
      <c r="BB889" s="183"/>
      <c r="BC889" s="183"/>
      <c r="BD889" s="183"/>
      <c r="BE889" s="183"/>
      <c r="BF889" s="184"/>
      <c r="BG889" s="183"/>
      <c r="BH889" s="183"/>
      <c r="BI889" s="183"/>
      <c r="BJ889" s="183"/>
      <c r="BK889" s="183"/>
      <c r="BL889" s="184"/>
      <c r="BM889" s="409"/>
      <c r="BN889" s="409"/>
    </row>
    <row r="890" spans="1:66" s="153" customFormat="1" x14ac:dyDescent="0.2">
      <c r="A890" s="61"/>
      <c r="B890" s="61"/>
      <c r="C890" s="61"/>
      <c r="D890" s="61"/>
      <c r="E890" s="61"/>
      <c r="F890" s="61"/>
      <c r="G890" s="61"/>
      <c r="H890" s="61"/>
      <c r="I890" s="61"/>
      <c r="J890" s="61"/>
      <c r="K890" s="61"/>
      <c r="L890" s="61"/>
      <c r="M890" s="61"/>
      <c r="N890" s="61"/>
      <c r="O890" s="61"/>
      <c r="P890" s="61"/>
      <c r="Q890" s="61"/>
      <c r="R890" s="61"/>
      <c r="S890" s="61"/>
      <c r="T890" s="35"/>
      <c r="U890" s="187"/>
      <c r="V890" s="190"/>
      <c r="W890" s="190"/>
      <c r="X890" s="190"/>
      <c r="Y890" s="190"/>
      <c r="Z890" s="190"/>
      <c r="AA890" s="191"/>
      <c r="AB890" s="190"/>
      <c r="AC890" s="190"/>
      <c r="AD890" s="190"/>
      <c r="AE890" s="190"/>
      <c r="AF890" s="190"/>
      <c r="AG890" s="190"/>
      <c r="AH890" s="191"/>
      <c r="AI890" s="190"/>
      <c r="AJ890" s="190"/>
      <c r="AK890" s="190"/>
      <c r="AL890" s="190"/>
      <c r="AM890" s="190"/>
      <c r="AN890" s="191"/>
      <c r="AO890" s="190"/>
      <c r="AP890" s="190"/>
      <c r="AQ890" s="190"/>
      <c r="AR890" s="190"/>
      <c r="AS890" s="190"/>
      <c r="AT890" s="191"/>
      <c r="AU890" s="190"/>
      <c r="AV890" s="190"/>
      <c r="AW890" s="190"/>
      <c r="AX890" s="190"/>
      <c r="AY890" s="190"/>
      <c r="AZ890" s="191"/>
      <c r="BA890" s="183"/>
      <c r="BB890" s="183"/>
      <c r="BC890" s="183"/>
      <c r="BD890" s="183"/>
      <c r="BE890" s="183"/>
      <c r="BF890" s="184"/>
      <c r="BG890" s="183"/>
      <c r="BH890" s="183"/>
      <c r="BI890" s="183"/>
      <c r="BJ890" s="183"/>
      <c r="BK890" s="183"/>
      <c r="BL890" s="184"/>
      <c r="BM890" s="409"/>
      <c r="BN890" s="409"/>
    </row>
    <row r="891" spans="1:66" s="153" customFormat="1" x14ac:dyDescent="0.2">
      <c r="A891" s="61"/>
      <c r="B891" s="61"/>
      <c r="C891" s="61"/>
      <c r="D891" s="61"/>
      <c r="E891" s="61"/>
      <c r="F891" s="61"/>
      <c r="G891" s="61"/>
      <c r="H891" s="61"/>
      <c r="I891" s="61"/>
      <c r="J891" s="61"/>
      <c r="K891" s="61"/>
      <c r="L891" s="61"/>
      <c r="M891" s="61"/>
      <c r="N891" s="61"/>
      <c r="O891" s="61"/>
      <c r="P891" s="61"/>
      <c r="Q891" s="61"/>
      <c r="R891" s="61"/>
      <c r="S891" s="61"/>
      <c r="T891" s="35"/>
      <c r="U891" s="187"/>
      <c r="V891" s="190"/>
      <c r="W891" s="190"/>
      <c r="X891" s="190"/>
      <c r="Y891" s="190"/>
      <c r="Z891" s="190"/>
      <c r="AA891" s="191"/>
      <c r="AB891" s="190"/>
      <c r="AC891" s="190"/>
      <c r="AD891" s="190"/>
      <c r="AE891" s="190"/>
      <c r="AF891" s="190"/>
      <c r="AG891" s="190"/>
      <c r="AH891" s="191"/>
      <c r="AI891" s="190"/>
      <c r="AJ891" s="190"/>
      <c r="AK891" s="190"/>
      <c r="AL891" s="190"/>
      <c r="AM891" s="190"/>
      <c r="AN891" s="191"/>
      <c r="AO891" s="190"/>
      <c r="AP891" s="190"/>
      <c r="AQ891" s="190"/>
      <c r="AR891" s="190"/>
      <c r="AS891" s="190"/>
      <c r="AT891" s="191"/>
      <c r="AU891" s="190"/>
      <c r="AV891" s="190"/>
      <c r="AW891" s="190"/>
      <c r="AX891" s="190"/>
      <c r="AY891" s="190"/>
      <c r="AZ891" s="191"/>
      <c r="BA891" s="183"/>
      <c r="BB891" s="183"/>
      <c r="BC891" s="183"/>
      <c r="BD891" s="183"/>
      <c r="BE891" s="183"/>
      <c r="BF891" s="184"/>
      <c r="BG891" s="183"/>
      <c r="BH891" s="183"/>
      <c r="BI891" s="183"/>
      <c r="BJ891" s="183"/>
      <c r="BK891" s="183"/>
      <c r="BL891" s="184"/>
      <c r="BM891" s="409"/>
      <c r="BN891" s="409"/>
    </row>
    <row r="892" spans="1:66" s="153" customFormat="1" x14ac:dyDescent="0.2">
      <c r="A892" s="61"/>
      <c r="B892" s="61"/>
      <c r="C892" s="61"/>
      <c r="D892" s="61"/>
      <c r="E892" s="61"/>
      <c r="F892" s="61"/>
      <c r="G892" s="61"/>
      <c r="H892" s="61"/>
      <c r="I892" s="61"/>
      <c r="J892" s="61"/>
      <c r="K892" s="61"/>
      <c r="L892" s="61"/>
      <c r="M892" s="61"/>
      <c r="N892" s="61"/>
      <c r="O892" s="61"/>
      <c r="P892" s="61"/>
      <c r="Q892" s="61"/>
      <c r="R892" s="61"/>
      <c r="S892" s="61"/>
      <c r="T892" s="35"/>
      <c r="U892" s="187"/>
      <c r="V892" s="190"/>
      <c r="W892" s="190"/>
      <c r="X892" s="190"/>
      <c r="Y892" s="190"/>
      <c r="Z892" s="190"/>
      <c r="AA892" s="191"/>
      <c r="AB892" s="190"/>
      <c r="AC892" s="190"/>
      <c r="AD892" s="190"/>
      <c r="AE892" s="190"/>
      <c r="AF892" s="190"/>
      <c r="AG892" s="190"/>
      <c r="AH892" s="191"/>
      <c r="AI892" s="190"/>
      <c r="AJ892" s="190"/>
      <c r="AK892" s="190"/>
      <c r="AL892" s="190"/>
      <c r="AM892" s="190"/>
      <c r="AN892" s="191"/>
      <c r="AO892" s="190"/>
      <c r="AP892" s="190"/>
      <c r="AQ892" s="190"/>
      <c r="AR892" s="190"/>
      <c r="AS892" s="190"/>
      <c r="AT892" s="191"/>
      <c r="AU892" s="190"/>
      <c r="AV892" s="190"/>
      <c r="AW892" s="190"/>
      <c r="AX892" s="190"/>
      <c r="AY892" s="190"/>
      <c r="AZ892" s="191"/>
      <c r="BA892" s="183"/>
      <c r="BB892" s="183"/>
      <c r="BC892" s="183"/>
      <c r="BD892" s="183"/>
      <c r="BE892" s="183"/>
      <c r="BF892" s="184"/>
      <c r="BG892" s="183"/>
      <c r="BH892" s="183"/>
      <c r="BI892" s="183"/>
      <c r="BJ892" s="183"/>
      <c r="BK892" s="183"/>
      <c r="BL892" s="184"/>
      <c r="BM892" s="409"/>
      <c r="BN892" s="409"/>
    </row>
    <row r="893" spans="1:66" s="153" customFormat="1" x14ac:dyDescent="0.2">
      <c r="A893" s="61"/>
      <c r="B893" s="61"/>
      <c r="C893" s="61"/>
      <c r="D893" s="61"/>
      <c r="E893" s="61"/>
      <c r="F893" s="61"/>
      <c r="G893" s="61"/>
      <c r="H893" s="61"/>
      <c r="I893" s="61"/>
      <c r="J893" s="61"/>
      <c r="K893" s="61"/>
      <c r="L893" s="61"/>
      <c r="M893" s="61"/>
      <c r="N893" s="61"/>
      <c r="O893" s="61"/>
      <c r="P893" s="61"/>
      <c r="Q893" s="61"/>
      <c r="R893" s="61"/>
      <c r="S893" s="61"/>
      <c r="T893" s="35"/>
      <c r="U893" s="187"/>
      <c r="V893" s="190"/>
      <c r="W893" s="190"/>
      <c r="X893" s="190"/>
      <c r="Y893" s="190"/>
      <c r="Z893" s="190"/>
      <c r="AA893" s="191"/>
      <c r="AB893" s="190"/>
      <c r="AC893" s="190"/>
      <c r="AD893" s="190"/>
      <c r="AE893" s="190"/>
      <c r="AF893" s="190"/>
      <c r="AG893" s="190"/>
      <c r="AH893" s="191"/>
      <c r="AI893" s="190"/>
      <c r="AJ893" s="190"/>
      <c r="AK893" s="190"/>
      <c r="AL893" s="190"/>
      <c r="AM893" s="190"/>
      <c r="AN893" s="191"/>
      <c r="AO893" s="190"/>
      <c r="AP893" s="190"/>
      <c r="AQ893" s="190"/>
      <c r="AR893" s="190"/>
      <c r="AS893" s="190"/>
      <c r="AT893" s="191"/>
      <c r="AU893" s="190"/>
      <c r="AV893" s="190"/>
      <c r="AW893" s="190"/>
      <c r="AX893" s="190"/>
      <c r="AY893" s="190"/>
      <c r="AZ893" s="191"/>
      <c r="BA893" s="183"/>
      <c r="BB893" s="183"/>
      <c r="BC893" s="183"/>
      <c r="BD893" s="183"/>
      <c r="BE893" s="183"/>
      <c r="BF893" s="184"/>
      <c r="BG893" s="183"/>
      <c r="BH893" s="183"/>
      <c r="BI893" s="183"/>
      <c r="BJ893" s="183"/>
      <c r="BK893" s="183"/>
      <c r="BL893" s="184"/>
      <c r="BM893" s="409"/>
      <c r="BN893" s="409"/>
    </row>
    <row r="894" spans="1:66" s="153" customFormat="1" x14ac:dyDescent="0.2">
      <c r="A894" s="61"/>
      <c r="B894" s="61"/>
      <c r="C894" s="61"/>
      <c r="D894" s="61"/>
      <c r="E894" s="61"/>
      <c r="F894" s="61"/>
      <c r="G894" s="61"/>
      <c r="H894" s="61"/>
      <c r="I894" s="61"/>
      <c r="J894" s="61"/>
      <c r="K894" s="61"/>
      <c r="L894" s="61"/>
      <c r="M894" s="61"/>
      <c r="N894" s="61"/>
      <c r="O894" s="61"/>
      <c r="P894" s="61"/>
      <c r="Q894" s="61"/>
      <c r="R894" s="61"/>
      <c r="S894" s="61"/>
      <c r="T894" s="35"/>
      <c r="U894" s="187"/>
      <c r="V894" s="190"/>
      <c r="W894" s="190"/>
      <c r="X894" s="190"/>
      <c r="Y894" s="190"/>
      <c r="Z894" s="190"/>
      <c r="AA894" s="191"/>
      <c r="AB894" s="190"/>
      <c r="AC894" s="190"/>
      <c r="AD894" s="190"/>
      <c r="AE894" s="190"/>
      <c r="AF894" s="190"/>
      <c r="AG894" s="190"/>
      <c r="AH894" s="191"/>
      <c r="AI894" s="190"/>
      <c r="AJ894" s="190"/>
      <c r="AK894" s="190"/>
      <c r="AL894" s="190"/>
      <c r="AM894" s="190"/>
      <c r="AN894" s="191"/>
      <c r="AO894" s="190"/>
      <c r="AP894" s="190"/>
      <c r="AQ894" s="190"/>
      <c r="AR894" s="190"/>
      <c r="AS894" s="190"/>
      <c r="AT894" s="191"/>
      <c r="AU894" s="190"/>
      <c r="AV894" s="190"/>
      <c r="AW894" s="190"/>
      <c r="AX894" s="190"/>
      <c r="AY894" s="190"/>
      <c r="AZ894" s="191"/>
      <c r="BA894" s="183"/>
      <c r="BB894" s="183"/>
      <c r="BC894" s="183"/>
      <c r="BD894" s="183"/>
      <c r="BE894" s="183"/>
      <c r="BF894" s="184"/>
      <c r="BG894" s="183"/>
      <c r="BH894" s="183"/>
      <c r="BI894" s="183"/>
      <c r="BJ894" s="183"/>
      <c r="BK894" s="183"/>
      <c r="BL894" s="184"/>
      <c r="BM894" s="409"/>
      <c r="BN894" s="409"/>
    </row>
    <row r="895" spans="1:66" s="153" customFormat="1" x14ac:dyDescent="0.2">
      <c r="A895" s="61"/>
      <c r="B895" s="61"/>
      <c r="C895" s="61"/>
      <c r="D895" s="61"/>
      <c r="E895" s="61"/>
      <c r="F895" s="61"/>
      <c r="G895" s="61"/>
      <c r="H895" s="61"/>
      <c r="I895" s="61"/>
      <c r="J895" s="61"/>
      <c r="K895" s="61"/>
      <c r="L895" s="61"/>
      <c r="M895" s="61"/>
      <c r="N895" s="61"/>
      <c r="O895" s="61"/>
      <c r="P895" s="61"/>
      <c r="Q895" s="61"/>
      <c r="R895" s="61"/>
      <c r="S895" s="61"/>
      <c r="T895" s="35"/>
      <c r="U895" s="187"/>
      <c r="V895" s="190"/>
      <c r="W895" s="190"/>
      <c r="X895" s="190"/>
      <c r="Y895" s="190"/>
      <c r="Z895" s="190"/>
      <c r="AA895" s="191"/>
      <c r="AB895" s="190"/>
      <c r="AC895" s="190"/>
      <c r="AD895" s="190"/>
      <c r="AE895" s="190"/>
      <c r="AF895" s="190"/>
      <c r="AG895" s="190"/>
      <c r="AH895" s="191"/>
      <c r="AI895" s="190"/>
      <c r="AJ895" s="190"/>
      <c r="AK895" s="190"/>
      <c r="AL895" s="190"/>
      <c r="AM895" s="190"/>
      <c r="AN895" s="191"/>
      <c r="AO895" s="190"/>
      <c r="AP895" s="190"/>
      <c r="AQ895" s="190"/>
      <c r="AR895" s="190"/>
      <c r="AS895" s="190"/>
      <c r="AT895" s="191"/>
      <c r="AU895" s="190"/>
      <c r="AV895" s="190"/>
      <c r="AW895" s="190"/>
      <c r="AX895" s="190"/>
      <c r="AY895" s="190"/>
      <c r="AZ895" s="191"/>
      <c r="BA895" s="183"/>
      <c r="BB895" s="183"/>
      <c r="BC895" s="183"/>
      <c r="BD895" s="183"/>
      <c r="BE895" s="183"/>
      <c r="BF895" s="184"/>
      <c r="BG895" s="183"/>
      <c r="BH895" s="183"/>
      <c r="BI895" s="183"/>
      <c r="BJ895" s="183"/>
      <c r="BK895" s="183"/>
      <c r="BL895" s="184"/>
      <c r="BM895" s="409"/>
      <c r="BN895" s="409"/>
    </row>
    <row r="896" spans="1:66" s="153" customFormat="1" x14ac:dyDescent="0.2">
      <c r="A896" s="61"/>
      <c r="B896" s="61"/>
      <c r="C896" s="61"/>
      <c r="D896" s="61"/>
      <c r="E896" s="61"/>
      <c r="F896" s="61"/>
      <c r="G896" s="61"/>
      <c r="H896" s="61"/>
      <c r="I896" s="61"/>
      <c r="J896" s="61"/>
      <c r="K896" s="61"/>
      <c r="L896" s="61"/>
      <c r="M896" s="61"/>
      <c r="N896" s="61"/>
      <c r="O896" s="61"/>
      <c r="P896" s="61"/>
      <c r="Q896" s="61"/>
      <c r="R896" s="61"/>
      <c r="S896" s="61"/>
      <c r="T896" s="35"/>
      <c r="U896" s="187"/>
      <c r="V896" s="190"/>
      <c r="W896" s="190"/>
      <c r="X896" s="190"/>
      <c r="Y896" s="190"/>
      <c r="Z896" s="190"/>
      <c r="AA896" s="191"/>
      <c r="AB896" s="190"/>
      <c r="AC896" s="190"/>
      <c r="AD896" s="190"/>
      <c r="AE896" s="190"/>
      <c r="AF896" s="190"/>
      <c r="AG896" s="190"/>
      <c r="AH896" s="191"/>
      <c r="AI896" s="190"/>
      <c r="AJ896" s="190"/>
      <c r="AK896" s="190"/>
      <c r="AL896" s="190"/>
      <c r="AM896" s="190"/>
      <c r="AN896" s="191"/>
      <c r="AO896" s="190"/>
      <c r="AP896" s="190"/>
      <c r="AQ896" s="190"/>
      <c r="AR896" s="190"/>
      <c r="AS896" s="190"/>
      <c r="AT896" s="191"/>
      <c r="AU896" s="190"/>
      <c r="AV896" s="190"/>
      <c r="AW896" s="190"/>
      <c r="AX896" s="190"/>
      <c r="AY896" s="190"/>
      <c r="AZ896" s="191"/>
      <c r="BA896" s="183"/>
      <c r="BB896" s="183"/>
      <c r="BC896" s="183"/>
      <c r="BD896" s="183"/>
      <c r="BE896" s="183"/>
      <c r="BF896" s="184"/>
      <c r="BG896" s="183"/>
      <c r="BH896" s="183"/>
      <c r="BI896" s="183"/>
      <c r="BJ896" s="183"/>
      <c r="BK896" s="183"/>
      <c r="BL896" s="184"/>
      <c r="BM896" s="409"/>
      <c r="BN896" s="409"/>
    </row>
    <row r="897" spans="1:66" s="153" customFormat="1" x14ac:dyDescent="0.2">
      <c r="A897" s="61"/>
      <c r="B897" s="61"/>
      <c r="C897" s="61"/>
      <c r="D897" s="61"/>
      <c r="E897" s="61"/>
      <c r="F897" s="61"/>
      <c r="G897" s="61"/>
      <c r="H897" s="61"/>
      <c r="I897" s="61"/>
      <c r="J897" s="61"/>
      <c r="K897" s="61"/>
      <c r="L897" s="61"/>
      <c r="M897" s="61"/>
      <c r="N897" s="61"/>
      <c r="O897" s="61"/>
      <c r="P897" s="61"/>
      <c r="Q897" s="61"/>
      <c r="R897" s="61"/>
      <c r="S897" s="61"/>
      <c r="T897" s="35"/>
      <c r="U897" s="187"/>
      <c r="V897" s="190"/>
      <c r="W897" s="190"/>
      <c r="X897" s="190"/>
      <c r="Y897" s="190"/>
      <c r="Z897" s="190"/>
      <c r="AA897" s="191"/>
      <c r="AB897" s="190"/>
      <c r="AC897" s="190"/>
      <c r="AD897" s="190"/>
      <c r="AE897" s="190"/>
      <c r="AF897" s="190"/>
      <c r="AG897" s="190"/>
      <c r="AH897" s="191"/>
      <c r="AI897" s="190"/>
      <c r="AJ897" s="190"/>
      <c r="AK897" s="190"/>
      <c r="AL897" s="190"/>
      <c r="AM897" s="190"/>
      <c r="AN897" s="191"/>
      <c r="AO897" s="190"/>
      <c r="AP897" s="190"/>
      <c r="AQ897" s="190"/>
      <c r="AR897" s="190"/>
      <c r="AS897" s="190"/>
      <c r="AT897" s="191"/>
      <c r="AU897" s="190"/>
      <c r="AV897" s="190"/>
      <c r="AW897" s="190"/>
      <c r="AX897" s="190"/>
      <c r="AY897" s="190"/>
      <c r="AZ897" s="191"/>
      <c r="BA897" s="183"/>
      <c r="BB897" s="183"/>
      <c r="BC897" s="183"/>
      <c r="BD897" s="183"/>
      <c r="BE897" s="183"/>
      <c r="BF897" s="184"/>
      <c r="BG897" s="183"/>
      <c r="BH897" s="183"/>
      <c r="BI897" s="183"/>
      <c r="BJ897" s="183"/>
      <c r="BK897" s="183"/>
      <c r="BL897" s="184"/>
      <c r="BM897" s="409"/>
      <c r="BN897" s="409"/>
    </row>
    <row r="898" spans="1:66" s="153" customFormat="1" x14ac:dyDescent="0.2">
      <c r="A898" s="61"/>
      <c r="B898" s="61"/>
      <c r="C898" s="61"/>
      <c r="D898" s="61"/>
      <c r="E898" s="61"/>
      <c r="F898" s="61"/>
      <c r="G898" s="61"/>
      <c r="H898" s="61"/>
      <c r="I898" s="61"/>
      <c r="J898" s="61"/>
      <c r="K898" s="61"/>
      <c r="L898" s="61"/>
      <c r="M898" s="61"/>
      <c r="N898" s="61"/>
      <c r="O898" s="61"/>
      <c r="P898" s="61"/>
      <c r="Q898" s="61"/>
      <c r="R898" s="61"/>
      <c r="S898" s="61"/>
      <c r="T898" s="35"/>
      <c r="U898" s="187"/>
      <c r="V898" s="190"/>
      <c r="W898" s="190"/>
      <c r="X898" s="190"/>
      <c r="Y898" s="190"/>
      <c r="Z898" s="190"/>
      <c r="AA898" s="191"/>
      <c r="AB898" s="190"/>
      <c r="AC898" s="190"/>
      <c r="AD898" s="190"/>
      <c r="AE898" s="190"/>
      <c r="AF898" s="190"/>
      <c r="AG898" s="190"/>
      <c r="AH898" s="191"/>
      <c r="AI898" s="190"/>
      <c r="AJ898" s="190"/>
      <c r="AK898" s="190"/>
      <c r="AL898" s="190"/>
      <c r="AM898" s="190"/>
      <c r="AN898" s="191"/>
      <c r="AO898" s="190"/>
      <c r="AP898" s="190"/>
      <c r="AQ898" s="190"/>
      <c r="AR898" s="190"/>
      <c r="AS898" s="190"/>
      <c r="AT898" s="191"/>
      <c r="AU898" s="190"/>
      <c r="AV898" s="190"/>
      <c r="AW898" s="190"/>
      <c r="AX898" s="190"/>
      <c r="AY898" s="190"/>
      <c r="AZ898" s="191"/>
      <c r="BA898" s="183"/>
      <c r="BB898" s="183"/>
      <c r="BC898" s="183"/>
      <c r="BD898" s="183"/>
      <c r="BE898" s="183"/>
      <c r="BF898" s="184"/>
      <c r="BG898" s="183"/>
      <c r="BH898" s="183"/>
      <c r="BI898" s="183"/>
      <c r="BJ898" s="183"/>
      <c r="BK898" s="183"/>
      <c r="BL898" s="184"/>
      <c r="BM898" s="409"/>
      <c r="BN898" s="409"/>
    </row>
    <row r="899" spans="1:66" s="153" customFormat="1" x14ac:dyDescent="0.2">
      <c r="A899" s="61"/>
      <c r="B899" s="61"/>
      <c r="C899" s="61"/>
      <c r="D899" s="61"/>
      <c r="E899" s="61"/>
      <c r="F899" s="61"/>
      <c r="G899" s="61"/>
      <c r="H899" s="61"/>
      <c r="I899" s="61"/>
      <c r="J899" s="61"/>
      <c r="K899" s="61"/>
      <c r="L899" s="61"/>
      <c r="M899" s="61"/>
      <c r="N899" s="61"/>
      <c r="O899" s="61"/>
      <c r="P899" s="61"/>
      <c r="Q899" s="61"/>
      <c r="R899" s="61"/>
      <c r="S899" s="61"/>
      <c r="T899" s="35"/>
      <c r="U899" s="187"/>
      <c r="V899" s="190"/>
      <c r="W899" s="190"/>
      <c r="X899" s="190"/>
      <c r="Y899" s="190"/>
      <c r="Z899" s="190"/>
      <c r="AA899" s="191"/>
      <c r="AB899" s="190"/>
      <c r="AC899" s="190"/>
      <c r="AD899" s="190"/>
      <c r="AE899" s="190"/>
      <c r="AF899" s="190"/>
      <c r="AG899" s="190"/>
      <c r="AH899" s="191"/>
      <c r="AI899" s="190"/>
      <c r="AJ899" s="190"/>
      <c r="AK899" s="190"/>
      <c r="AL899" s="190"/>
      <c r="AM899" s="190"/>
      <c r="AN899" s="191"/>
      <c r="AO899" s="190"/>
      <c r="AP899" s="190"/>
      <c r="AQ899" s="190"/>
      <c r="AR899" s="190"/>
      <c r="AS899" s="190"/>
      <c r="AT899" s="191"/>
      <c r="AU899" s="190"/>
      <c r="AV899" s="190"/>
      <c r="AW899" s="190"/>
      <c r="AX899" s="190"/>
      <c r="AY899" s="190"/>
      <c r="AZ899" s="191"/>
      <c r="BA899" s="183"/>
      <c r="BB899" s="183"/>
      <c r="BC899" s="183"/>
      <c r="BD899" s="183"/>
      <c r="BE899" s="183"/>
      <c r="BF899" s="184"/>
      <c r="BG899" s="183"/>
      <c r="BH899" s="183"/>
      <c r="BI899" s="183"/>
      <c r="BJ899" s="183"/>
      <c r="BK899" s="183"/>
      <c r="BL899" s="184"/>
      <c r="BM899" s="409"/>
      <c r="BN899" s="409"/>
    </row>
    <row r="900" spans="1:66" s="153" customFormat="1" x14ac:dyDescent="0.2">
      <c r="A900" s="61"/>
      <c r="B900" s="61"/>
      <c r="C900" s="61"/>
      <c r="D900" s="61"/>
      <c r="E900" s="61"/>
      <c r="F900" s="61"/>
      <c r="G900" s="61"/>
      <c r="H900" s="61"/>
      <c r="I900" s="61"/>
      <c r="J900" s="61"/>
      <c r="K900" s="61"/>
      <c r="L900" s="61"/>
      <c r="M900" s="61"/>
      <c r="N900" s="61"/>
      <c r="O900" s="61"/>
      <c r="P900" s="61"/>
      <c r="Q900" s="61"/>
      <c r="R900" s="61"/>
      <c r="S900" s="61"/>
      <c r="T900" s="35"/>
      <c r="U900" s="187"/>
      <c r="V900" s="190"/>
      <c r="W900" s="190"/>
      <c r="X900" s="190"/>
      <c r="Y900" s="190"/>
      <c r="Z900" s="190"/>
      <c r="AA900" s="191"/>
      <c r="AB900" s="190"/>
      <c r="AC900" s="190"/>
      <c r="AD900" s="190"/>
      <c r="AE900" s="190"/>
      <c r="AF900" s="190"/>
      <c r="AG900" s="190"/>
      <c r="AH900" s="191"/>
      <c r="AI900" s="190"/>
      <c r="AJ900" s="190"/>
      <c r="AK900" s="190"/>
      <c r="AL900" s="190"/>
      <c r="AM900" s="190"/>
      <c r="AN900" s="191"/>
      <c r="AO900" s="190"/>
      <c r="AP900" s="190"/>
      <c r="AQ900" s="190"/>
      <c r="AR900" s="190"/>
      <c r="AS900" s="190"/>
      <c r="AT900" s="191"/>
      <c r="AU900" s="190"/>
      <c r="AV900" s="190"/>
      <c r="AW900" s="190"/>
      <c r="AX900" s="190"/>
      <c r="AY900" s="190"/>
      <c r="AZ900" s="191"/>
      <c r="BA900" s="183"/>
      <c r="BB900" s="183"/>
      <c r="BC900" s="183"/>
      <c r="BD900" s="183"/>
      <c r="BE900" s="183"/>
      <c r="BF900" s="184"/>
      <c r="BG900" s="183"/>
      <c r="BH900" s="183"/>
      <c r="BI900" s="183"/>
      <c r="BJ900" s="183"/>
      <c r="BK900" s="183"/>
      <c r="BL900" s="184"/>
      <c r="BM900" s="409"/>
      <c r="BN900" s="409"/>
    </row>
    <row r="901" spans="1:66" s="153" customFormat="1" x14ac:dyDescent="0.2">
      <c r="A901" s="61"/>
      <c r="B901" s="61"/>
      <c r="C901" s="61"/>
      <c r="D901" s="61"/>
      <c r="E901" s="61"/>
      <c r="F901" s="61"/>
      <c r="G901" s="61"/>
      <c r="H901" s="61"/>
      <c r="I901" s="61"/>
      <c r="J901" s="61"/>
      <c r="K901" s="61"/>
      <c r="L901" s="61"/>
      <c r="M901" s="61"/>
      <c r="N901" s="61"/>
      <c r="O901" s="61"/>
      <c r="P901" s="61"/>
      <c r="Q901" s="61"/>
      <c r="R901" s="61"/>
      <c r="S901" s="61"/>
      <c r="T901" s="35"/>
      <c r="U901" s="187"/>
      <c r="V901" s="190"/>
      <c r="W901" s="190"/>
      <c r="X901" s="190"/>
      <c r="Y901" s="190"/>
      <c r="Z901" s="190"/>
      <c r="AA901" s="191"/>
      <c r="AB901" s="190"/>
      <c r="AC901" s="190"/>
      <c r="AD901" s="190"/>
      <c r="AE901" s="190"/>
      <c r="AF901" s="190"/>
      <c r="AG901" s="190"/>
      <c r="AH901" s="191"/>
      <c r="AI901" s="190"/>
      <c r="AJ901" s="190"/>
      <c r="AK901" s="190"/>
      <c r="AL901" s="190"/>
      <c r="AM901" s="190"/>
      <c r="AN901" s="191"/>
      <c r="AO901" s="190"/>
      <c r="AP901" s="190"/>
      <c r="AQ901" s="190"/>
      <c r="AR901" s="190"/>
      <c r="AS901" s="190"/>
      <c r="AT901" s="191"/>
      <c r="AU901" s="190"/>
      <c r="AV901" s="190"/>
      <c r="AW901" s="190"/>
      <c r="AX901" s="190"/>
      <c r="AY901" s="190"/>
      <c r="AZ901" s="191"/>
      <c r="BA901" s="183"/>
      <c r="BB901" s="183"/>
      <c r="BC901" s="183"/>
      <c r="BD901" s="183"/>
      <c r="BE901" s="183"/>
      <c r="BF901" s="184"/>
      <c r="BG901" s="183"/>
      <c r="BH901" s="183"/>
      <c r="BI901" s="183"/>
      <c r="BJ901" s="183"/>
      <c r="BK901" s="183"/>
      <c r="BL901" s="184"/>
      <c r="BM901" s="409"/>
      <c r="BN901" s="409"/>
    </row>
    <row r="902" spans="1:66" s="153" customFormat="1" x14ac:dyDescent="0.2">
      <c r="A902" s="61"/>
      <c r="B902" s="61"/>
      <c r="C902" s="61"/>
      <c r="D902" s="61"/>
      <c r="E902" s="61"/>
      <c r="F902" s="61"/>
      <c r="G902" s="61"/>
      <c r="H902" s="61"/>
      <c r="I902" s="61"/>
      <c r="J902" s="61"/>
      <c r="K902" s="61"/>
      <c r="L902" s="61"/>
      <c r="M902" s="61"/>
      <c r="N902" s="61"/>
      <c r="O902" s="61"/>
      <c r="P902" s="61"/>
      <c r="Q902" s="61"/>
      <c r="R902" s="61"/>
      <c r="S902" s="61"/>
      <c r="T902" s="35"/>
      <c r="U902" s="187"/>
      <c r="V902" s="190"/>
      <c r="W902" s="190"/>
      <c r="X902" s="190"/>
      <c r="Y902" s="190"/>
      <c r="Z902" s="190"/>
      <c r="AA902" s="191"/>
      <c r="AB902" s="190"/>
      <c r="AC902" s="190"/>
      <c r="AD902" s="190"/>
      <c r="AE902" s="190"/>
      <c r="AF902" s="190"/>
      <c r="AG902" s="190"/>
      <c r="AH902" s="191"/>
      <c r="AI902" s="190"/>
      <c r="AJ902" s="190"/>
      <c r="AK902" s="190"/>
      <c r="AL902" s="190"/>
      <c r="AM902" s="190"/>
      <c r="AN902" s="191"/>
      <c r="AO902" s="190"/>
      <c r="AP902" s="190"/>
      <c r="AQ902" s="190"/>
      <c r="AR902" s="190"/>
      <c r="AS902" s="190"/>
      <c r="AT902" s="191"/>
      <c r="AU902" s="190"/>
      <c r="AV902" s="190"/>
      <c r="AW902" s="190"/>
      <c r="AX902" s="190"/>
      <c r="AY902" s="190"/>
      <c r="AZ902" s="191"/>
      <c r="BA902" s="183"/>
      <c r="BB902" s="183"/>
      <c r="BC902" s="183"/>
      <c r="BD902" s="183"/>
      <c r="BE902" s="183"/>
      <c r="BF902" s="184"/>
      <c r="BG902" s="183"/>
      <c r="BH902" s="183"/>
      <c r="BI902" s="183"/>
      <c r="BJ902" s="183"/>
      <c r="BK902" s="183"/>
      <c r="BL902" s="184"/>
      <c r="BM902" s="409"/>
      <c r="BN902" s="409"/>
    </row>
    <row r="903" spans="1:66" s="153" customFormat="1" x14ac:dyDescent="0.2">
      <c r="A903" s="61"/>
      <c r="B903" s="61"/>
      <c r="C903" s="61"/>
      <c r="D903" s="61"/>
      <c r="E903" s="61"/>
      <c r="F903" s="61"/>
      <c r="G903" s="61"/>
      <c r="H903" s="61"/>
      <c r="I903" s="61"/>
      <c r="J903" s="61"/>
      <c r="K903" s="61"/>
      <c r="L903" s="61"/>
      <c r="M903" s="61"/>
      <c r="N903" s="61"/>
      <c r="O903" s="61"/>
      <c r="P903" s="61"/>
      <c r="Q903" s="61"/>
      <c r="R903" s="61"/>
      <c r="S903" s="61"/>
      <c r="T903" s="35"/>
      <c r="U903" s="187"/>
      <c r="V903" s="190"/>
      <c r="W903" s="190"/>
      <c r="X903" s="190"/>
      <c r="Y903" s="190"/>
      <c r="Z903" s="190"/>
      <c r="AA903" s="191"/>
      <c r="AB903" s="190"/>
      <c r="AC903" s="190"/>
      <c r="AD903" s="190"/>
      <c r="AE903" s="190"/>
      <c r="AF903" s="190"/>
      <c r="AG903" s="190"/>
      <c r="AH903" s="191"/>
      <c r="AI903" s="190"/>
      <c r="AJ903" s="190"/>
      <c r="AK903" s="190"/>
      <c r="AL903" s="190"/>
      <c r="AM903" s="190"/>
      <c r="AN903" s="191"/>
      <c r="AO903" s="190"/>
      <c r="AP903" s="190"/>
      <c r="AQ903" s="190"/>
      <c r="AR903" s="190"/>
      <c r="AS903" s="190"/>
      <c r="AT903" s="191"/>
      <c r="AU903" s="190"/>
      <c r="AV903" s="190"/>
      <c r="AW903" s="190"/>
      <c r="AX903" s="190"/>
      <c r="AY903" s="190"/>
      <c r="AZ903" s="191"/>
      <c r="BA903" s="183"/>
      <c r="BB903" s="183"/>
      <c r="BC903" s="183"/>
      <c r="BD903" s="183"/>
      <c r="BE903" s="183"/>
      <c r="BF903" s="184"/>
      <c r="BG903" s="183"/>
      <c r="BH903" s="183"/>
      <c r="BI903" s="183"/>
      <c r="BJ903" s="183"/>
      <c r="BK903" s="183"/>
      <c r="BL903" s="184"/>
      <c r="BM903" s="409"/>
      <c r="BN903" s="409"/>
    </row>
    <row r="904" spans="1:66" s="153" customFormat="1" x14ac:dyDescent="0.2">
      <c r="A904" s="61"/>
      <c r="B904" s="61"/>
      <c r="C904" s="61"/>
      <c r="D904" s="61"/>
      <c r="E904" s="61"/>
      <c r="F904" s="61"/>
      <c r="G904" s="61"/>
      <c r="H904" s="61"/>
      <c r="I904" s="61"/>
      <c r="J904" s="61"/>
      <c r="K904" s="61"/>
      <c r="L904" s="61"/>
      <c r="M904" s="61"/>
      <c r="N904" s="61"/>
      <c r="O904" s="61"/>
      <c r="P904" s="61"/>
      <c r="Q904" s="61"/>
      <c r="R904" s="61"/>
      <c r="S904" s="61"/>
      <c r="T904" s="35"/>
      <c r="U904" s="187"/>
      <c r="V904" s="190"/>
      <c r="W904" s="190"/>
      <c r="X904" s="190"/>
      <c r="Y904" s="190"/>
      <c r="Z904" s="190"/>
      <c r="AA904" s="191"/>
      <c r="AB904" s="190"/>
      <c r="AC904" s="190"/>
      <c r="AD904" s="190"/>
      <c r="AE904" s="190"/>
      <c r="AF904" s="190"/>
      <c r="AG904" s="190"/>
      <c r="AH904" s="191"/>
      <c r="AI904" s="190"/>
      <c r="AJ904" s="190"/>
      <c r="AK904" s="190"/>
      <c r="AL904" s="190"/>
      <c r="AM904" s="190"/>
      <c r="AN904" s="191"/>
      <c r="AO904" s="190"/>
      <c r="AP904" s="190"/>
      <c r="AQ904" s="190"/>
      <c r="AR904" s="190"/>
      <c r="AS904" s="190"/>
      <c r="AT904" s="191"/>
      <c r="AU904" s="190"/>
      <c r="AV904" s="190"/>
      <c r="AW904" s="190"/>
      <c r="AX904" s="190"/>
      <c r="AY904" s="190"/>
      <c r="AZ904" s="191"/>
      <c r="BA904" s="183"/>
      <c r="BB904" s="183"/>
      <c r="BC904" s="183"/>
      <c r="BD904" s="183"/>
      <c r="BE904" s="183"/>
      <c r="BF904" s="184"/>
      <c r="BG904" s="183"/>
      <c r="BH904" s="183"/>
      <c r="BI904" s="183"/>
      <c r="BJ904" s="183"/>
      <c r="BK904" s="183"/>
      <c r="BL904" s="184"/>
      <c r="BM904" s="409"/>
      <c r="BN904" s="409"/>
    </row>
    <row r="905" spans="1:66" s="153" customFormat="1" x14ac:dyDescent="0.2">
      <c r="A905" s="61"/>
      <c r="B905" s="61"/>
      <c r="C905" s="61"/>
      <c r="D905" s="61"/>
      <c r="E905" s="61"/>
      <c r="F905" s="61"/>
      <c r="G905" s="61"/>
      <c r="H905" s="61"/>
      <c r="I905" s="61"/>
      <c r="J905" s="61"/>
      <c r="K905" s="61"/>
      <c r="L905" s="61"/>
      <c r="M905" s="61"/>
      <c r="N905" s="61"/>
      <c r="O905" s="61"/>
      <c r="P905" s="61"/>
      <c r="Q905" s="61"/>
      <c r="R905" s="61"/>
      <c r="S905" s="61"/>
      <c r="T905" s="35"/>
      <c r="U905" s="187"/>
      <c r="V905" s="190"/>
      <c r="W905" s="190"/>
      <c r="X905" s="190"/>
      <c r="Y905" s="190"/>
      <c r="Z905" s="190"/>
      <c r="AA905" s="191"/>
      <c r="AB905" s="190"/>
      <c r="AC905" s="190"/>
      <c r="AD905" s="190"/>
      <c r="AE905" s="190"/>
      <c r="AF905" s="190"/>
      <c r="AG905" s="190"/>
      <c r="AH905" s="191"/>
      <c r="AI905" s="190"/>
      <c r="AJ905" s="190"/>
      <c r="AK905" s="190"/>
      <c r="AL905" s="190"/>
      <c r="AM905" s="190"/>
      <c r="AN905" s="191"/>
      <c r="AO905" s="190"/>
      <c r="AP905" s="190"/>
      <c r="AQ905" s="190"/>
      <c r="AR905" s="190"/>
      <c r="AS905" s="190"/>
      <c r="AT905" s="191"/>
      <c r="AU905" s="190"/>
      <c r="AV905" s="190"/>
      <c r="AW905" s="190"/>
      <c r="AX905" s="190"/>
      <c r="AY905" s="190"/>
      <c r="AZ905" s="191"/>
      <c r="BA905" s="183"/>
      <c r="BB905" s="183"/>
      <c r="BC905" s="183"/>
      <c r="BD905" s="183"/>
      <c r="BE905" s="183"/>
      <c r="BF905" s="184"/>
      <c r="BG905" s="183"/>
      <c r="BH905" s="183"/>
      <c r="BI905" s="183"/>
      <c r="BJ905" s="183"/>
      <c r="BK905" s="183"/>
      <c r="BL905" s="184"/>
      <c r="BM905" s="409"/>
      <c r="BN905" s="409"/>
    </row>
    <row r="906" spans="1:66" s="153" customFormat="1" x14ac:dyDescent="0.2">
      <c r="A906" s="61"/>
      <c r="B906" s="61"/>
      <c r="C906" s="61"/>
      <c r="D906" s="61"/>
      <c r="E906" s="61"/>
      <c r="F906" s="61"/>
      <c r="G906" s="61"/>
      <c r="H906" s="61"/>
      <c r="I906" s="61"/>
      <c r="J906" s="61"/>
      <c r="K906" s="61"/>
      <c r="L906" s="61"/>
      <c r="M906" s="61"/>
      <c r="N906" s="61"/>
      <c r="O906" s="61"/>
      <c r="P906" s="61"/>
      <c r="Q906" s="61"/>
      <c r="R906" s="61"/>
      <c r="S906" s="61"/>
      <c r="T906" s="35"/>
      <c r="U906" s="187"/>
      <c r="V906" s="190"/>
      <c r="W906" s="190"/>
      <c r="X906" s="190"/>
      <c r="Y906" s="190"/>
      <c r="Z906" s="190"/>
      <c r="AA906" s="191"/>
      <c r="AB906" s="190"/>
      <c r="AC906" s="190"/>
      <c r="AD906" s="190"/>
      <c r="AE906" s="190"/>
      <c r="AF906" s="190"/>
      <c r="AG906" s="190"/>
      <c r="AH906" s="191"/>
      <c r="AI906" s="190"/>
      <c r="AJ906" s="190"/>
      <c r="AK906" s="190"/>
      <c r="AL906" s="190"/>
      <c r="AM906" s="190"/>
      <c r="AN906" s="191"/>
      <c r="AO906" s="190"/>
      <c r="AP906" s="190"/>
      <c r="AQ906" s="190"/>
      <c r="AR906" s="190"/>
      <c r="AS906" s="190"/>
      <c r="AT906" s="191"/>
      <c r="AU906" s="190"/>
      <c r="AV906" s="190"/>
      <c r="AW906" s="190"/>
      <c r="AX906" s="190"/>
      <c r="AY906" s="190"/>
      <c r="AZ906" s="191"/>
      <c r="BA906" s="183"/>
      <c r="BB906" s="183"/>
      <c r="BC906" s="183"/>
      <c r="BD906" s="183"/>
      <c r="BE906" s="183"/>
      <c r="BF906" s="184"/>
      <c r="BG906" s="183"/>
      <c r="BH906" s="183"/>
      <c r="BI906" s="183"/>
      <c r="BJ906" s="183"/>
      <c r="BK906" s="183"/>
      <c r="BL906" s="184"/>
      <c r="BM906" s="409"/>
      <c r="BN906" s="409"/>
    </row>
    <row r="907" spans="1:66" s="153" customFormat="1" x14ac:dyDescent="0.2">
      <c r="A907" s="61"/>
      <c r="B907" s="61"/>
      <c r="C907" s="61"/>
      <c r="D907" s="61"/>
      <c r="E907" s="61"/>
      <c r="F907" s="61"/>
      <c r="G907" s="61"/>
      <c r="H907" s="61"/>
      <c r="I907" s="61"/>
      <c r="J907" s="61"/>
      <c r="K907" s="61"/>
      <c r="L907" s="61"/>
      <c r="M907" s="61"/>
      <c r="N907" s="61"/>
      <c r="O907" s="61"/>
      <c r="P907" s="61"/>
      <c r="Q907" s="61"/>
      <c r="R907" s="61"/>
      <c r="S907" s="61"/>
      <c r="T907" s="35"/>
      <c r="U907" s="187"/>
      <c r="V907" s="190"/>
      <c r="W907" s="190"/>
      <c r="X907" s="190"/>
      <c r="Y907" s="190"/>
      <c r="Z907" s="190"/>
      <c r="AA907" s="191"/>
      <c r="AB907" s="190"/>
      <c r="AC907" s="190"/>
      <c r="AD907" s="190"/>
      <c r="AE907" s="190"/>
      <c r="AF907" s="190"/>
      <c r="AG907" s="190"/>
      <c r="AH907" s="191"/>
      <c r="AI907" s="190"/>
      <c r="AJ907" s="190"/>
      <c r="AK907" s="190"/>
      <c r="AL907" s="190"/>
      <c r="AM907" s="190"/>
      <c r="AN907" s="191"/>
      <c r="AO907" s="190"/>
      <c r="AP907" s="190"/>
      <c r="AQ907" s="190"/>
      <c r="AR907" s="190"/>
      <c r="AS907" s="190"/>
      <c r="AT907" s="191"/>
      <c r="AU907" s="190"/>
      <c r="AV907" s="190"/>
      <c r="AW907" s="190"/>
      <c r="AX907" s="190"/>
      <c r="AY907" s="190"/>
      <c r="AZ907" s="191"/>
      <c r="BA907" s="183"/>
      <c r="BB907" s="183"/>
      <c r="BC907" s="183"/>
      <c r="BD907" s="183"/>
      <c r="BE907" s="183"/>
      <c r="BF907" s="184"/>
      <c r="BG907" s="183"/>
      <c r="BH907" s="183"/>
      <c r="BI907" s="183"/>
      <c r="BJ907" s="183"/>
      <c r="BK907" s="183"/>
      <c r="BL907" s="184"/>
      <c r="BM907" s="409"/>
      <c r="BN907" s="409"/>
    </row>
    <row r="908" spans="1:66" s="153" customFormat="1" x14ac:dyDescent="0.2">
      <c r="A908" s="61"/>
      <c r="B908" s="61"/>
      <c r="C908" s="61"/>
      <c r="D908" s="61"/>
      <c r="E908" s="61"/>
      <c r="F908" s="61"/>
      <c r="G908" s="61"/>
      <c r="H908" s="61"/>
      <c r="I908" s="61"/>
      <c r="J908" s="61"/>
      <c r="K908" s="61"/>
      <c r="L908" s="61"/>
      <c r="M908" s="61"/>
      <c r="N908" s="61"/>
      <c r="O908" s="61"/>
      <c r="P908" s="61"/>
      <c r="Q908" s="61"/>
      <c r="R908" s="61"/>
      <c r="S908" s="61"/>
      <c r="T908" s="35"/>
      <c r="U908" s="187"/>
      <c r="V908" s="190"/>
      <c r="W908" s="190"/>
      <c r="X908" s="190"/>
      <c r="Y908" s="190"/>
      <c r="Z908" s="190"/>
      <c r="AA908" s="191"/>
      <c r="AB908" s="190"/>
      <c r="AC908" s="190"/>
      <c r="AD908" s="190"/>
      <c r="AE908" s="190"/>
      <c r="AF908" s="190"/>
      <c r="AG908" s="190"/>
      <c r="AH908" s="191"/>
      <c r="AI908" s="190"/>
      <c r="AJ908" s="190"/>
      <c r="AK908" s="190"/>
      <c r="AL908" s="190"/>
      <c r="AM908" s="190"/>
      <c r="AN908" s="191"/>
      <c r="AO908" s="190"/>
      <c r="AP908" s="190"/>
      <c r="AQ908" s="190"/>
      <c r="AR908" s="190"/>
      <c r="AS908" s="190"/>
      <c r="AT908" s="191"/>
      <c r="AU908" s="190"/>
      <c r="AV908" s="190"/>
      <c r="AW908" s="190"/>
      <c r="AX908" s="190"/>
      <c r="AY908" s="190"/>
      <c r="AZ908" s="191"/>
      <c r="BA908" s="183"/>
      <c r="BB908" s="183"/>
      <c r="BC908" s="183"/>
      <c r="BD908" s="183"/>
      <c r="BE908" s="183"/>
      <c r="BF908" s="184"/>
      <c r="BG908" s="183"/>
      <c r="BH908" s="183"/>
      <c r="BI908" s="183"/>
      <c r="BJ908" s="183"/>
      <c r="BK908" s="183"/>
      <c r="BL908" s="184"/>
      <c r="BM908" s="409"/>
      <c r="BN908" s="409"/>
    </row>
    <row r="909" spans="1:66" s="153" customFormat="1" x14ac:dyDescent="0.2">
      <c r="A909" s="61"/>
      <c r="B909" s="61"/>
      <c r="C909" s="61"/>
      <c r="D909" s="61"/>
      <c r="E909" s="61"/>
      <c r="F909" s="61"/>
      <c r="G909" s="61"/>
      <c r="H909" s="61"/>
      <c r="I909" s="61"/>
      <c r="J909" s="61"/>
      <c r="K909" s="61"/>
      <c r="L909" s="61"/>
      <c r="M909" s="61"/>
      <c r="N909" s="61"/>
      <c r="O909" s="61"/>
      <c r="P909" s="61"/>
      <c r="Q909" s="61"/>
      <c r="R909" s="61"/>
      <c r="S909" s="61"/>
      <c r="T909" s="35"/>
      <c r="U909" s="187"/>
      <c r="V909" s="190"/>
      <c r="W909" s="190"/>
      <c r="X909" s="190"/>
      <c r="Y909" s="190"/>
      <c r="Z909" s="190"/>
      <c r="AA909" s="191"/>
      <c r="AB909" s="190"/>
      <c r="AC909" s="190"/>
      <c r="AD909" s="190"/>
      <c r="AE909" s="190"/>
      <c r="AF909" s="190"/>
      <c r="AG909" s="190"/>
      <c r="AH909" s="191"/>
      <c r="AI909" s="190"/>
      <c r="AJ909" s="190"/>
      <c r="AK909" s="190"/>
      <c r="AL909" s="190"/>
      <c r="AM909" s="190"/>
      <c r="AN909" s="191"/>
      <c r="AO909" s="190"/>
      <c r="AP909" s="190"/>
      <c r="AQ909" s="190"/>
      <c r="AR909" s="190"/>
      <c r="AS909" s="190"/>
      <c r="AT909" s="191"/>
      <c r="AU909" s="190"/>
      <c r="AV909" s="190"/>
      <c r="AW909" s="190"/>
      <c r="AX909" s="190"/>
      <c r="AY909" s="190"/>
      <c r="AZ909" s="191"/>
      <c r="BA909" s="183"/>
      <c r="BB909" s="183"/>
      <c r="BC909" s="183"/>
      <c r="BD909" s="183"/>
      <c r="BE909" s="183"/>
      <c r="BF909" s="184"/>
      <c r="BG909" s="183"/>
      <c r="BH909" s="183"/>
      <c r="BI909" s="183"/>
      <c r="BJ909" s="183"/>
      <c r="BK909" s="183"/>
      <c r="BL909" s="184"/>
      <c r="BM909" s="409"/>
      <c r="BN909" s="409"/>
    </row>
    <row r="910" spans="1:66" s="153" customFormat="1" x14ac:dyDescent="0.2">
      <c r="A910" s="61"/>
      <c r="B910" s="61"/>
      <c r="C910" s="61"/>
      <c r="D910" s="61"/>
      <c r="E910" s="61"/>
      <c r="F910" s="61"/>
      <c r="G910" s="61"/>
      <c r="H910" s="61"/>
      <c r="I910" s="61"/>
      <c r="J910" s="61"/>
      <c r="K910" s="61"/>
      <c r="L910" s="61"/>
      <c r="M910" s="61"/>
      <c r="N910" s="61"/>
      <c r="O910" s="61"/>
      <c r="P910" s="61"/>
      <c r="Q910" s="61"/>
      <c r="R910" s="61"/>
      <c r="S910" s="61"/>
      <c r="T910" s="35"/>
      <c r="U910" s="187"/>
      <c r="V910" s="190"/>
      <c r="W910" s="190"/>
      <c r="X910" s="190"/>
      <c r="Y910" s="190"/>
      <c r="Z910" s="190"/>
      <c r="AA910" s="191"/>
      <c r="AB910" s="190"/>
      <c r="AC910" s="190"/>
      <c r="AD910" s="190"/>
      <c r="AE910" s="190"/>
      <c r="AF910" s="190"/>
      <c r="AG910" s="190"/>
      <c r="AH910" s="191"/>
      <c r="AI910" s="190"/>
      <c r="AJ910" s="190"/>
      <c r="AK910" s="190"/>
      <c r="AL910" s="190"/>
      <c r="AM910" s="190"/>
      <c r="AN910" s="191"/>
      <c r="AO910" s="190"/>
      <c r="AP910" s="190"/>
      <c r="AQ910" s="190"/>
      <c r="AR910" s="190"/>
      <c r="AS910" s="190"/>
      <c r="AT910" s="191"/>
      <c r="AU910" s="190"/>
      <c r="AV910" s="190"/>
      <c r="AW910" s="190"/>
      <c r="AX910" s="190"/>
      <c r="AY910" s="190"/>
      <c r="AZ910" s="191"/>
      <c r="BA910" s="183"/>
      <c r="BB910" s="183"/>
      <c r="BC910" s="183"/>
      <c r="BD910" s="183"/>
      <c r="BE910" s="183"/>
      <c r="BF910" s="184"/>
      <c r="BG910" s="183"/>
      <c r="BH910" s="183"/>
      <c r="BI910" s="183"/>
      <c r="BJ910" s="183"/>
      <c r="BK910" s="183"/>
      <c r="BL910" s="184"/>
      <c r="BM910" s="409"/>
      <c r="BN910" s="409"/>
    </row>
    <row r="911" spans="1:66" s="153" customFormat="1" x14ac:dyDescent="0.2">
      <c r="A911" s="61"/>
      <c r="B911" s="61"/>
      <c r="C911" s="61"/>
      <c r="D911" s="61"/>
      <c r="E911" s="61"/>
      <c r="F911" s="61"/>
      <c r="G911" s="61"/>
      <c r="H911" s="61"/>
      <c r="I911" s="61"/>
      <c r="J911" s="61"/>
      <c r="K911" s="61"/>
      <c r="L911" s="61"/>
      <c r="M911" s="61"/>
      <c r="N911" s="61"/>
      <c r="O911" s="61"/>
      <c r="P911" s="61"/>
      <c r="Q911" s="61"/>
      <c r="R911" s="61"/>
      <c r="S911" s="61"/>
      <c r="T911" s="35"/>
      <c r="U911" s="187"/>
      <c r="V911" s="190"/>
      <c r="W911" s="190"/>
      <c r="X911" s="190"/>
      <c r="Y911" s="190"/>
      <c r="Z911" s="190"/>
      <c r="AA911" s="191"/>
      <c r="AB911" s="190"/>
      <c r="AC911" s="190"/>
      <c r="AD911" s="190"/>
      <c r="AE911" s="190"/>
      <c r="AF911" s="190"/>
      <c r="AG911" s="190"/>
      <c r="AH911" s="191"/>
      <c r="AI911" s="190"/>
      <c r="AJ911" s="190"/>
      <c r="AK911" s="190"/>
      <c r="AL911" s="190"/>
      <c r="AM911" s="190"/>
      <c r="AN911" s="191"/>
      <c r="AO911" s="190"/>
      <c r="AP911" s="190"/>
      <c r="AQ911" s="190"/>
      <c r="AR911" s="190"/>
      <c r="AS911" s="190"/>
      <c r="AT911" s="191"/>
      <c r="AU911" s="190"/>
      <c r="AV911" s="190"/>
      <c r="AW911" s="190"/>
      <c r="AX911" s="190"/>
      <c r="AY911" s="190"/>
      <c r="AZ911" s="191"/>
      <c r="BA911" s="183"/>
      <c r="BB911" s="183"/>
      <c r="BC911" s="183"/>
      <c r="BD911" s="183"/>
      <c r="BE911" s="183"/>
      <c r="BF911" s="184"/>
      <c r="BG911" s="183"/>
      <c r="BH911" s="183"/>
      <c r="BI911" s="183"/>
      <c r="BJ911" s="183"/>
      <c r="BK911" s="183"/>
      <c r="BL911" s="184"/>
      <c r="BM911" s="409"/>
      <c r="BN911" s="409"/>
    </row>
    <row r="912" spans="1:66" s="153" customFormat="1" x14ac:dyDescent="0.2">
      <c r="A912" s="61"/>
      <c r="B912" s="61"/>
      <c r="C912" s="61"/>
      <c r="D912" s="61"/>
      <c r="E912" s="61"/>
      <c r="F912" s="61"/>
      <c r="G912" s="61"/>
      <c r="H912" s="61"/>
      <c r="I912" s="61"/>
      <c r="J912" s="61"/>
      <c r="K912" s="61"/>
      <c r="L912" s="61"/>
      <c r="M912" s="61"/>
      <c r="N912" s="61"/>
      <c r="O912" s="61"/>
      <c r="P912" s="61"/>
      <c r="Q912" s="61"/>
      <c r="R912" s="61"/>
      <c r="S912" s="61"/>
      <c r="T912" s="35"/>
      <c r="U912" s="187"/>
      <c r="V912" s="190"/>
      <c r="W912" s="190"/>
      <c r="X912" s="190"/>
      <c r="Y912" s="190"/>
      <c r="Z912" s="190"/>
      <c r="AA912" s="191"/>
      <c r="AB912" s="190"/>
      <c r="AC912" s="190"/>
      <c r="AD912" s="190"/>
      <c r="AE912" s="190"/>
      <c r="AF912" s="190"/>
      <c r="AG912" s="190"/>
      <c r="AH912" s="191"/>
      <c r="AI912" s="190"/>
      <c r="AJ912" s="190"/>
      <c r="AK912" s="190"/>
      <c r="AL912" s="190"/>
      <c r="AM912" s="190"/>
      <c r="AN912" s="191"/>
      <c r="AO912" s="190"/>
      <c r="AP912" s="190"/>
      <c r="AQ912" s="190"/>
      <c r="AR912" s="190"/>
      <c r="AS912" s="190"/>
      <c r="AT912" s="191"/>
      <c r="AU912" s="190"/>
      <c r="AV912" s="190"/>
      <c r="AW912" s="190"/>
      <c r="AX912" s="190"/>
      <c r="AY912" s="190"/>
      <c r="AZ912" s="191"/>
      <c r="BA912" s="183"/>
      <c r="BB912" s="183"/>
      <c r="BC912" s="183"/>
      <c r="BD912" s="183"/>
      <c r="BE912" s="183"/>
      <c r="BF912" s="184"/>
      <c r="BG912" s="183"/>
      <c r="BH912" s="183"/>
      <c r="BI912" s="183"/>
      <c r="BJ912" s="183"/>
      <c r="BK912" s="183"/>
      <c r="BL912" s="184"/>
      <c r="BM912" s="409"/>
      <c r="BN912" s="409"/>
    </row>
    <row r="913" spans="1:66" s="153" customFormat="1" x14ac:dyDescent="0.2">
      <c r="A913" s="61"/>
      <c r="B913" s="61"/>
      <c r="C913" s="61"/>
      <c r="D913" s="61"/>
      <c r="E913" s="61"/>
      <c r="F913" s="61"/>
      <c r="G913" s="61"/>
      <c r="H913" s="61"/>
      <c r="I913" s="61"/>
      <c r="J913" s="61"/>
      <c r="K913" s="61"/>
      <c r="L913" s="61"/>
      <c r="M913" s="61"/>
      <c r="N913" s="61"/>
      <c r="O913" s="61"/>
      <c r="P913" s="61"/>
      <c r="Q913" s="61"/>
      <c r="R913" s="61"/>
      <c r="S913" s="61"/>
      <c r="T913" s="35"/>
      <c r="U913" s="187"/>
      <c r="V913" s="190"/>
      <c r="W913" s="190"/>
      <c r="X913" s="190"/>
      <c r="Y913" s="190"/>
      <c r="Z913" s="190"/>
      <c r="AA913" s="191"/>
      <c r="AB913" s="190"/>
      <c r="AC913" s="190"/>
      <c r="AD913" s="190"/>
      <c r="AE913" s="190"/>
      <c r="AF913" s="190"/>
      <c r="AG913" s="190"/>
      <c r="AH913" s="191"/>
      <c r="AI913" s="190"/>
      <c r="AJ913" s="190"/>
      <c r="AK913" s="190"/>
      <c r="AL913" s="190"/>
      <c r="AM913" s="190"/>
      <c r="AN913" s="191"/>
      <c r="AO913" s="190"/>
      <c r="AP913" s="190"/>
      <c r="AQ913" s="190"/>
      <c r="AR913" s="190"/>
      <c r="AS913" s="190"/>
      <c r="AT913" s="191"/>
      <c r="AU913" s="190"/>
      <c r="AV913" s="190"/>
      <c r="AW913" s="190"/>
      <c r="AX913" s="190"/>
      <c r="AY913" s="190"/>
      <c r="AZ913" s="191"/>
      <c r="BA913" s="183"/>
      <c r="BB913" s="183"/>
      <c r="BC913" s="183"/>
      <c r="BD913" s="183"/>
      <c r="BE913" s="183"/>
      <c r="BF913" s="184"/>
      <c r="BG913" s="183"/>
      <c r="BH913" s="183"/>
      <c r="BI913" s="183"/>
      <c r="BJ913" s="183"/>
      <c r="BK913" s="183"/>
      <c r="BL913" s="184"/>
      <c r="BM913" s="409"/>
      <c r="BN913" s="409"/>
    </row>
    <row r="914" spans="1:66" s="153" customFormat="1" x14ac:dyDescent="0.2">
      <c r="A914" s="61"/>
      <c r="B914" s="61"/>
      <c r="C914" s="61"/>
      <c r="D914" s="61"/>
      <c r="E914" s="61"/>
      <c r="F914" s="61"/>
      <c r="G914" s="61"/>
      <c r="H914" s="61"/>
      <c r="I914" s="61"/>
      <c r="J914" s="61"/>
      <c r="K914" s="61"/>
      <c r="L914" s="61"/>
      <c r="M914" s="61"/>
      <c r="N914" s="61"/>
      <c r="O914" s="61"/>
      <c r="P914" s="61"/>
      <c r="Q914" s="61"/>
      <c r="R914" s="61"/>
      <c r="S914" s="61"/>
      <c r="T914" s="35"/>
      <c r="U914" s="187"/>
      <c r="V914" s="190"/>
      <c r="W914" s="190"/>
      <c r="X914" s="190"/>
      <c r="Y914" s="190"/>
      <c r="Z914" s="190"/>
      <c r="AA914" s="191"/>
      <c r="AB914" s="190"/>
      <c r="AC914" s="190"/>
      <c r="AD914" s="190"/>
      <c r="AE914" s="190"/>
      <c r="AF914" s="190"/>
      <c r="AG914" s="190"/>
      <c r="AH914" s="191"/>
      <c r="AI914" s="190"/>
      <c r="AJ914" s="190"/>
      <c r="AK914" s="190"/>
      <c r="AL914" s="190"/>
      <c r="AM914" s="190"/>
      <c r="AN914" s="191"/>
      <c r="AO914" s="190"/>
      <c r="AP914" s="190"/>
      <c r="AQ914" s="190"/>
      <c r="AR914" s="190"/>
      <c r="AS914" s="190"/>
      <c r="AT914" s="191"/>
      <c r="AU914" s="190"/>
      <c r="AV914" s="190"/>
      <c r="AW914" s="190"/>
      <c r="AX914" s="190"/>
      <c r="AY914" s="190"/>
      <c r="AZ914" s="191"/>
      <c r="BA914" s="183"/>
      <c r="BB914" s="183"/>
      <c r="BC914" s="183"/>
      <c r="BD914" s="183"/>
      <c r="BE914" s="183"/>
      <c r="BF914" s="184"/>
      <c r="BG914" s="183"/>
      <c r="BH914" s="183"/>
      <c r="BI914" s="183"/>
      <c r="BJ914" s="183"/>
      <c r="BK914" s="183"/>
      <c r="BL914" s="184"/>
      <c r="BM914" s="409"/>
      <c r="BN914" s="409"/>
    </row>
    <row r="915" spans="1:66" s="153" customFormat="1" x14ac:dyDescent="0.2">
      <c r="A915" s="61"/>
      <c r="B915" s="61"/>
      <c r="C915" s="61"/>
      <c r="D915" s="61"/>
      <c r="E915" s="61"/>
      <c r="F915" s="61"/>
      <c r="G915" s="61"/>
      <c r="H915" s="61"/>
      <c r="I915" s="61"/>
      <c r="J915" s="61"/>
      <c r="K915" s="61"/>
      <c r="L915" s="61"/>
      <c r="M915" s="61"/>
      <c r="N915" s="61"/>
      <c r="O915" s="61"/>
      <c r="P915" s="61"/>
      <c r="Q915" s="61"/>
      <c r="R915" s="61"/>
      <c r="S915" s="61"/>
      <c r="T915" s="35"/>
      <c r="U915" s="187"/>
      <c r="V915" s="190"/>
      <c r="W915" s="190"/>
      <c r="X915" s="190"/>
      <c r="Y915" s="190"/>
      <c r="Z915" s="190"/>
      <c r="AA915" s="191"/>
      <c r="AB915" s="190"/>
      <c r="AC915" s="190"/>
      <c r="AD915" s="190"/>
      <c r="AE915" s="190"/>
      <c r="AF915" s="190"/>
      <c r="AG915" s="190"/>
      <c r="AH915" s="191"/>
      <c r="AI915" s="190"/>
      <c r="AJ915" s="190"/>
      <c r="AK915" s="190"/>
      <c r="AL915" s="190"/>
      <c r="AM915" s="190"/>
      <c r="AN915" s="191"/>
      <c r="AO915" s="190"/>
      <c r="AP915" s="190"/>
      <c r="AQ915" s="190"/>
      <c r="AR915" s="190"/>
      <c r="AS915" s="190"/>
      <c r="AT915" s="191"/>
      <c r="AU915" s="190"/>
      <c r="AV915" s="190"/>
      <c r="AW915" s="190"/>
      <c r="AX915" s="190"/>
      <c r="AY915" s="190"/>
      <c r="AZ915" s="191"/>
      <c r="BA915" s="183"/>
      <c r="BB915" s="183"/>
      <c r="BC915" s="183"/>
      <c r="BD915" s="183"/>
      <c r="BE915" s="183"/>
      <c r="BF915" s="184"/>
      <c r="BG915" s="183"/>
      <c r="BH915" s="183"/>
      <c r="BI915" s="183"/>
      <c r="BJ915" s="183"/>
      <c r="BK915" s="183"/>
      <c r="BL915" s="184"/>
      <c r="BM915" s="409"/>
      <c r="BN915" s="409"/>
    </row>
    <row r="916" spans="1:66" s="153" customFormat="1" x14ac:dyDescent="0.2">
      <c r="A916" s="61"/>
      <c r="B916" s="61"/>
      <c r="C916" s="61"/>
      <c r="D916" s="61"/>
      <c r="E916" s="61"/>
      <c r="F916" s="61"/>
      <c r="G916" s="61"/>
      <c r="H916" s="61"/>
      <c r="I916" s="61"/>
      <c r="J916" s="61"/>
      <c r="K916" s="61"/>
      <c r="L916" s="61"/>
      <c r="M916" s="61"/>
      <c r="N916" s="61"/>
      <c r="O916" s="61"/>
      <c r="P916" s="61"/>
      <c r="Q916" s="61"/>
      <c r="R916" s="61"/>
      <c r="S916" s="61"/>
      <c r="T916" s="35"/>
      <c r="U916" s="187"/>
      <c r="V916" s="190"/>
      <c r="W916" s="190"/>
      <c r="X916" s="190"/>
      <c r="Y916" s="190"/>
      <c r="Z916" s="190"/>
      <c r="AA916" s="191"/>
      <c r="AB916" s="190"/>
      <c r="AC916" s="190"/>
      <c r="AD916" s="190"/>
      <c r="AE916" s="190"/>
      <c r="AF916" s="190"/>
      <c r="AG916" s="190"/>
      <c r="AH916" s="191"/>
      <c r="AI916" s="190"/>
      <c r="AJ916" s="190"/>
      <c r="AK916" s="190"/>
      <c r="AL916" s="190"/>
      <c r="AM916" s="190"/>
      <c r="AN916" s="191"/>
      <c r="AO916" s="190"/>
      <c r="AP916" s="190"/>
      <c r="AQ916" s="190"/>
      <c r="AR916" s="190"/>
      <c r="AS916" s="190"/>
      <c r="AT916" s="191"/>
      <c r="AU916" s="190"/>
      <c r="AV916" s="190"/>
      <c r="AW916" s="190"/>
      <c r="AX916" s="190"/>
      <c r="AY916" s="190"/>
      <c r="AZ916" s="191"/>
      <c r="BA916" s="183"/>
      <c r="BB916" s="183"/>
      <c r="BC916" s="183"/>
      <c r="BD916" s="183"/>
      <c r="BE916" s="183"/>
      <c r="BF916" s="184"/>
      <c r="BG916" s="183"/>
      <c r="BH916" s="183"/>
      <c r="BI916" s="183"/>
      <c r="BJ916" s="183"/>
      <c r="BK916" s="183"/>
      <c r="BL916" s="184"/>
      <c r="BM916" s="409"/>
      <c r="BN916" s="409"/>
    </row>
    <row r="917" spans="1:66" s="153" customFormat="1" x14ac:dyDescent="0.2">
      <c r="A917" s="61"/>
      <c r="B917" s="61"/>
      <c r="C917" s="61"/>
      <c r="D917" s="61"/>
      <c r="E917" s="61"/>
      <c r="F917" s="61"/>
      <c r="G917" s="61"/>
      <c r="H917" s="61"/>
      <c r="I917" s="61"/>
      <c r="J917" s="61"/>
      <c r="K917" s="61"/>
      <c r="L917" s="61"/>
      <c r="M917" s="61"/>
      <c r="N917" s="61"/>
      <c r="O917" s="61"/>
      <c r="P917" s="61"/>
      <c r="Q917" s="61"/>
      <c r="R917" s="61"/>
      <c r="S917" s="61"/>
      <c r="T917" s="35"/>
      <c r="U917" s="187"/>
      <c r="V917" s="190"/>
      <c r="W917" s="190"/>
      <c r="X917" s="190"/>
      <c r="Y917" s="190"/>
      <c r="Z917" s="190"/>
      <c r="AA917" s="191"/>
      <c r="AB917" s="190"/>
      <c r="AC917" s="190"/>
      <c r="AD917" s="190"/>
      <c r="AE917" s="190"/>
      <c r="AF917" s="190"/>
      <c r="AG917" s="190"/>
      <c r="AH917" s="191"/>
      <c r="AI917" s="190"/>
      <c r="AJ917" s="190"/>
      <c r="AK917" s="190"/>
      <c r="AL917" s="190"/>
      <c r="AM917" s="190"/>
      <c r="AN917" s="191"/>
      <c r="AO917" s="190"/>
      <c r="AP917" s="190"/>
      <c r="AQ917" s="190"/>
      <c r="AR917" s="190"/>
      <c r="AS917" s="190"/>
      <c r="AT917" s="191"/>
      <c r="AU917" s="190"/>
      <c r="AV917" s="190"/>
      <c r="AW917" s="190"/>
      <c r="AX917" s="190"/>
      <c r="AY917" s="190"/>
      <c r="AZ917" s="191"/>
      <c r="BA917" s="183"/>
      <c r="BB917" s="183"/>
      <c r="BC917" s="183"/>
      <c r="BD917" s="183"/>
      <c r="BE917" s="183"/>
      <c r="BF917" s="184"/>
      <c r="BG917" s="183"/>
      <c r="BH917" s="183"/>
      <c r="BI917" s="183"/>
      <c r="BJ917" s="183"/>
      <c r="BK917" s="183"/>
      <c r="BL917" s="184"/>
      <c r="BM917" s="409"/>
      <c r="BN917" s="409"/>
    </row>
    <row r="918" spans="1:66" s="153" customFormat="1" x14ac:dyDescent="0.2">
      <c r="A918" s="61"/>
      <c r="B918" s="61"/>
      <c r="C918" s="61"/>
      <c r="D918" s="61"/>
      <c r="E918" s="61"/>
      <c r="F918" s="61"/>
      <c r="G918" s="61"/>
      <c r="H918" s="61"/>
      <c r="I918" s="61"/>
      <c r="J918" s="61"/>
      <c r="K918" s="61"/>
      <c r="L918" s="61"/>
      <c r="M918" s="61"/>
      <c r="N918" s="61"/>
      <c r="O918" s="61"/>
      <c r="P918" s="61"/>
      <c r="Q918" s="61"/>
      <c r="R918" s="61"/>
      <c r="S918" s="61"/>
      <c r="T918" s="35"/>
      <c r="U918" s="187"/>
      <c r="V918" s="190"/>
      <c r="W918" s="190"/>
      <c r="X918" s="190"/>
      <c r="Y918" s="190"/>
      <c r="Z918" s="190"/>
      <c r="AA918" s="191"/>
      <c r="AB918" s="190"/>
      <c r="AC918" s="190"/>
      <c r="AD918" s="190"/>
      <c r="AE918" s="190"/>
      <c r="AF918" s="190"/>
      <c r="AG918" s="190"/>
      <c r="AH918" s="191"/>
      <c r="AI918" s="190"/>
      <c r="AJ918" s="190"/>
      <c r="AK918" s="190"/>
      <c r="AL918" s="190"/>
      <c r="AM918" s="190"/>
      <c r="AN918" s="191"/>
      <c r="AO918" s="190"/>
      <c r="AP918" s="190"/>
      <c r="AQ918" s="190"/>
      <c r="AR918" s="190"/>
      <c r="AS918" s="190"/>
      <c r="AT918" s="191"/>
      <c r="AU918" s="190"/>
      <c r="AV918" s="190"/>
      <c r="AW918" s="190"/>
      <c r="AX918" s="190"/>
      <c r="AY918" s="190"/>
      <c r="AZ918" s="191"/>
      <c r="BA918" s="183"/>
      <c r="BB918" s="183"/>
      <c r="BC918" s="183"/>
      <c r="BD918" s="183"/>
      <c r="BE918" s="183"/>
      <c r="BF918" s="184"/>
      <c r="BG918" s="183"/>
      <c r="BH918" s="183"/>
      <c r="BI918" s="183"/>
      <c r="BJ918" s="183"/>
      <c r="BK918" s="183"/>
      <c r="BL918" s="184"/>
      <c r="BM918" s="409"/>
      <c r="BN918" s="409"/>
    </row>
    <row r="919" spans="1:66" s="153" customFormat="1" x14ac:dyDescent="0.2">
      <c r="A919" s="61"/>
      <c r="B919" s="61"/>
      <c r="C919" s="61"/>
      <c r="D919" s="61"/>
      <c r="E919" s="61"/>
      <c r="F919" s="61"/>
      <c r="G919" s="61"/>
      <c r="H919" s="61"/>
      <c r="I919" s="61"/>
      <c r="J919" s="61"/>
      <c r="K919" s="61"/>
      <c r="L919" s="61"/>
      <c r="M919" s="61"/>
      <c r="N919" s="61"/>
      <c r="O919" s="61"/>
      <c r="P919" s="61"/>
      <c r="Q919" s="61"/>
      <c r="R919" s="61"/>
      <c r="S919" s="61"/>
      <c r="T919" s="35"/>
      <c r="U919" s="187"/>
      <c r="V919" s="190"/>
      <c r="W919" s="190"/>
      <c r="X919" s="190"/>
      <c r="Y919" s="190"/>
      <c r="Z919" s="190"/>
      <c r="AA919" s="191"/>
      <c r="AB919" s="190"/>
      <c r="AC919" s="190"/>
      <c r="AD919" s="190"/>
      <c r="AE919" s="190"/>
      <c r="AF919" s="190"/>
      <c r="AG919" s="190"/>
      <c r="AH919" s="191"/>
      <c r="AI919" s="190"/>
      <c r="AJ919" s="190"/>
      <c r="AK919" s="190"/>
      <c r="AL919" s="190"/>
      <c r="AM919" s="190"/>
      <c r="AN919" s="191"/>
      <c r="AO919" s="190"/>
      <c r="AP919" s="190"/>
      <c r="AQ919" s="190"/>
      <c r="AR919" s="190"/>
      <c r="AS919" s="190"/>
      <c r="AT919" s="191"/>
      <c r="AU919" s="190"/>
      <c r="AV919" s="190"/>
      <c r="AW919" s="190"/>
      <c r="AX919" s="190"/>
      <c r="AY919" s="190"/>
      <c r="AZ919" s="191"/>
      <c r="BA919" s="183"/>
      <c r="BB919" s="183"/>
      <c r="BC919" s="183"/>
      <c r="BD919" s="183"/>
      <c r="BE919" s="183"/>
      <c r="BF919" s="184"/>
      <c r="BG919" s="183"/>
      <c r="BH919" s="183"/>
      <c r="BI919" s="183"/>
      <c r="BJ919" s="183"/>
      <c r="BK919" s="183"/>
      <c r="BL919" s="184"/>
      <c r="BM919" s="409"/>
      <c r="BN919" s="409"/>
    </row>
    <row r="920" spans="1:66" s="153" customFormat="1" x14ac:dyDescent="0.2">
      <c r="A920" s="61"/>
      <c r="B920" s="61"/>
      <c r="C920" s="61"/>
      <c r="D920" s="61"/>
      <c r="E920" s="61"/>
      <c r="F920" s="61"/>
      <c r="G920" s="61"/>
      <c r="H920" s="61"/>
      <c r="I920" s="61"/>
      <c r="J920" s="61"/>
      <c r="K920" s="61"/>
      <c r="L920" s="61"/>
      <c r="M920" s="61"/>
      <c r="N920" s="61"/>
      <c r="O920" s="61"/>
      <c r="P920" s="61"/>
      <c r="Q920" s="61"/>
      <c r="R920" s="61"/>
      <c r="S920" s="61"/>
      <c r="T920" s="35"/>
      <c r="U920" s="187"/>
      <c r="V920" s="190"/>
      <c r="W920" s="190"/>
      <c r="X920" s="190"/>
      <c r="Y920" s="190"/>
      <c r="Z920" s="190"/>
      <c r="AA920" s="191"/>
      <c r="AB920" s="190"/>
      <c r="AC920" s="190"/>
      <c r="AD920" s="190"/>
      <c r="AE920" s="190"/>
      <c r="AF920" s="190"/>
      <c r="AG920" s="190"/>
      <c r="AH920" s="191"/>
      <c r="AI920" s="190"/>
      <c r="AJ920" s="190"/>
      <c r="AK920" s="190"/>
      <c r="AL920" s="190"/>
      <c r="AM920" s="190"/>
      <c r="AN920" s="191"/>
      <c r="AO920" s="190"/>
      <c r="AP920" s="190"/>
      <c r="AQ920" s="190"/>
      <c r="AR920" s="190"/>
      <c r="AS920" s="190"/>
      <c r="AT920" s="191"/>
      <c r="AU920" s="190"/>
      <c r="AV920" s="190"/>
      <c r="AW920" s="190"/>
      <c r="AX920" s="190"/>
      <c r="AY920" s="190"/>
      <c r="AZ920" s="191"/>
      <c r="BA920" s="183"/>
      <c r="BB920" s="183"/>
      <c r="BC920" s="183"/>
      <c r="BD920" s="183"/>
      <c r="BE920" s="183"/>
      <c r="BF920" s="184"/>
      <c r="BG920" s="183"/>
      <c r="BH920" s="183"/>
      <c r="BI920" s="183"/>
      <c r="BJ920" s="183"/>
      <c r="BK920" s="183"/>
      <c r="BL920" s="184"/>
      <c r="BM920" s="409"/>
      <c r="BN920" s="409"/>
    </row>
    <row r="921" spans="1:66" s="153" customFormat="1" x14ac:dyDescent="0.2">
      <c r="A921" s="61"/>
      <c r="B921" s="61"/>
      <c r="C921" s="61"/>
      <c r="D921" s="61"/>
      <c r="E921" s="61"/>
      <c r="F921" s="61"/>
      <c r="G921" s="61"/>
      <c r="H921" s="61"/>
      <c r="I921" s="61"/>
      <c r="J921" s="61"/>
      <c r="K921" s="61"/>
      <c r="L921" s="61"/>
      <c r="M921" s="61"/>
      <c r="N921" s="61"/>
      <c r="O921" s="61"/>
      <c r="P921" s="61"/>
      <c r="Q921" s="61"/>
      <c r="R921" s="61"/>
      <c r="S921" s="61"/>
      <c r="T921" s="35"/>
      <c r="U921" s="187"/>
      <c r="V921" s="190"/>
      <c r="W921" s="190"/>
      <c r="X921" s="190"/>
      <c r="Y921" s="190"/>
      <c r="Z921" s="190"/>
      <c r="AA921" s="191"/>
      <c r="AB921" s="190"/>
      <c r="AC921" s="190"/>
      <c r="AD921" s="190"/>
      <c r="AE921" s="190"/>
      <c r="AF921" s="190"/>
      <c r="AG921" s="190"/>
      <c r="AH921" s="191"/>
      <c r="AI921" s="190"/>
      <c r="AJ921" s="190"/>
      <c r="AK921" s="190"/>
      <c r="AL921" s="190"/>
      <c r="AM921" s="190"/>
      <c r="AN921" s="191"/>
      <c r="AO921" s="190"/>
      <c r="AP921" s="190"/>
      <c r="AQ921" s="190"/>
      <c r="AR921" s="190"/>
      <c r="AS921" s="190"/>
      <c r="AT921" s="191"/>
      <c r="AU921" s="190"/>
      <c r="AV921" s="190"/>
      <c r="AW921" s="190"/>
      <c r="AX921" s="190"/>
      <c r="AY921" s="190"/>
      <c r="AZ921" s="191"/>
      <c r="BA921" s="183"/>
      <c r="BB921" s="183"/>
      <c r="BC921" s="183"/>
      <c r="BD921" s="183"/>
      <c r="BE921" s="183"/>
      <c r="BF921" s="184"/>
      <c r="BG921" s="183"/>
      <c r="BH921" s="183"/>
      <c r="BI921" s="183"/>
      <c r="BJ921" s="183"/>
      <c r="BK921" s="183"/>
      <c r="BL921" s="184"/>
      <c r="BM921" s="409"/>
      <c r="BN921" s="409"/>
    </row>
    <row r="922" spans="1:66" s="153" customFormat="1" x14ac:dyDescent="0.2">
      <c r="A922" s="61"/>
      <c r="B922" s="61"/>
      <c r="C922" s="61"/>
      <c r="D922" s="61"/>
      <c r="E922" s="61"/>
      <c r="F922" s="61"/>
      <c r="G922" s="61"/>
      <c r="H922" s="61"/>
      <c r="I922" s="61"/>
      <c r="J922" s="61"/>
      <c r="K922" s="61"/>
      <c r="L922" s="61"/>
      <c r="M922" s="61"/>
      <c r="N922" s="61"/>
      <c r="O922" s="61"/>
      <c r="P922" s="61"/>
      <c r="Q922" s="61"/>
      <c r="R922" s="61"/>
      <c r="S922" s="61"/>
      <c r="T922" s="35"/>
      <c r="U922" s="187"/>
      <c r="V922" s="190"/>
      <c r="W922" s="190"/>
      <c r="X922" s="190"/>
      <c r="Y922" s="190"/>
      <c r="Z922" s="190"/>
      <c r="AA922" s="191"/>
      <c r="AB922" s="190"/>
      <c r="AC922" s="190"/>
      <c r="AD922" s="190"/>
      <c r="AE922" s="190"/>
      <c r="AF922" s="190"/>
      <c r="AG922" s="190"/>
      <c r="AH922" s="191"/>
      <c r="AI922" s="190"/>
      <c r="AJ922" s="190"/>
      <c r="AK922" s="190"/>
      <c r="AL922" s="190"/>
      <c r="AM922" s="190"/>
      <c r="AN922" s="191"/>
      <c r="AO922" s="190"/>
      <c r="AP922" s="190"/>
      <c r="AQ922" s="190"/>
      <c r="AR922" s="190"/>
      <c r="AS922" s="190"/>
      <c r="AT922" s="191"/>
      <c r="AU922" s="190"/>
      <c r="AV922" s="190"/>
      <c r="AW922" s="190"/>
      <c r="AX922" s="190"/>
      <c r="AY922" s="190"/>
      <c r="AZ922" s="191"/>
      <c r="BA922" s="183"/>
      <c r="BB922" s="183"/>
      <c r="BC922" s="183"/>
      <c r="BD922" s="183"/>
      <c r="BE922" s="183"/>
      <c r="BF922" s="184"/>
      <c r="BG922" s="183"/>
      <c r="BH922" s="183"/>
      <c r="BI922" s="183"/>
      <c r="BJ922" s="183"/>
      <c r="BK922" s="183"/>
      <c r="BL922" s="184"/>
      <c r="BM922" s="409"/>
      <c r="BN922" s="409"/>
    </row>
    <row r="923" spans="1:66" s="153" customFormat="1" x14ac:dyDescent="0.2">
      <c r="A923" s="61"/>
      <c r="B923" s="61"/>
      <c r="C923" s="61"/>
      <c r="D923" s="61"/>
      <c r="E923" s="61"/>
      <c r="F923" s="61"/>
      <c r="G923" s="61"/>
      <c r="H923" s="61"/>
      <c r="I923" s="61"/>
      <c r="J923" s="61"/>
      <c r="K923" s="61"/>
      <c r="L923" s="61"/>
      <c r="M923" s="61"/>
      <c r="N923" s="61"/>
      <c r="O923" s="61"/>
      <c r="P923" s="61"/>
      <c r="Q923" s="61"/>
      <c r="R923" s="61"/>
      <c r="S923" s="61"/>
      <c r="T923" s="35"/>
      <c r="U923" s="187"/>
      <c r="V923" s="190"/>
      <c r="W923" s="190"/>
      <c r="X923" s="190"/>
      <c r="Y923" s="190"/>
      <c r="Z923" s="190"/>
      <c r="AA923" s="191"/>
      <c r="AB923" s="190"/>
      <c r="AC923" s="190"/>
      <c r="AD923" s="190"/>
      <c r="AE923" s="190"/>
      <c r="AF923" s="190"/>
      <c r="AG923" s="190"/>
      <c r="AH923" s="191"/>
      <c r="AI923" s="190"/>
      <c r="AJ923" s="190"/>
      <c r="AK923" s="190"/>
      <c r="AL923" s="190"/>
      <c r="AM923" s="190"/>
      <c r="AN923" s="191"/>
      <c r="AO923" s="190"/>
      <c r="AP923" s="190"/>
      <c r="AQ923" s="190"/>
      <c r="AR923" s="190"/>
      <c r="AS923" s="190"/>
      <c r="AT923" s="191"/>
      <c r="AU923" s="190"/>
      <c r="AV923" s="190"/>
      <c r="AW923" s="190"/>
      <c r="AX923" s="190"/>
      <c r="AY923" s="190"/>
      <c r="AZ923" s="191"/>
      <c r="BA923" s="183"/>
      <c r="BB923" s="183"/>
      <c r="BC923" s="183"/>
      <c r="BD923" s="183"/>
      <c r="BE923" s="183"/>
      <c r="BF923" s="184"/>
      <c r="BG923" s="183"/>
      <c r="BH923" s="183"/>
      <c r="BI923" s="183"/>
      <c r="BJ923" s="183"/>
      <c r="BK923" s="183"/>
      <c r="BL923" s="184"/>
      <c r="BM923" s="409"/>
      <c r="BN923" s="409"/>
    </row>
    <row r="924" spans="1:66" s="153" customFormat="1" x14ac:dyDescent="0.2">
      <c r="A924" s="61"/>
      <c r="B924" s="61"/>
      <c r="C924" s="61"/>
      <c r="D924" s="61"/>
      <c r="E924" s="61"/>
      <c r="F924" s="61"/>
      <c r="G924" s="61"/>
      <c r="H924" s="61"/>
      <c r="I924" s="61"/>
      <c r="J924" s="61"/>
      <c r="K924" s="61"/>
      <c r="L924" s="61"/>
      <c r="M924" s="61"/>
      <c r="N924" s="61"/>
      <c r="O924" s="61"/>
      <c r="P924" s="61"/>
      <c r="Q924" s="61"/>
      <c r="R924" s="61"/>
      <c r="S924" s="61"/>
      <c r="T924" s="35"/>
      <c r="U924" s="187"/>
      <c r="V924" s="190"/>
      <c r="W924" s="190"/>
      <c r="X924" s="190"/>
      <c r="Y924" s="190"/>
      <c r="Z924" s="190"/>
      <c r="AA924" s="191"/>
      <c r="AB924" s="190"/>
      <c r="AC924" s="190"/>
      <c r="AD924" s="190"/>
      <c r="AE924" s="190"/>
      <c r="AF924" s="190"/>
      <c r="AG924" s="190"/>
      <c r="AH924" s="191"/>
      <c r="AI924" s="190"/>
      <c r="AJ924" s="190"/>
      <c r="AK924" s="190"/>
      <c r="AL924" s="190"/>
      <c r="AM924" s="190"/>
      <c r="AN924" s="191"/>
      <c r="AO924" s="190"/>
      <c r="AP924" s="190"/>
      <c r="AQ924" s="190"/>
      <c r="AR924" s="190"/>
      <c r="AS924" s="190"/>
      <c r="AT924" s="191"/>
      <c r="AU924" s="190"/>
      <c r="AV924" s="190"/>
      <c r="AW924" s="190"/>
      <c r="AX924" s="190"/>
      <c r="AY924" s="190"/>
      <c r="AZ924" s="191"/>
      <c r="BA924" s="183"/>
      <c r="BB924" s="183"/>
      <c r="BC924" s="183"/>
      <c r="BD924" s="183"/>
      <c r="BE924" s="183"/>
      <c r="BF924" s="184"/>
      <c r="BG924" s="183"/>
      <c r="BH924" s="183"/>
      <c r="BI924" s="183"/>
      <c r="BJ924" s="183"/>
      <c r="BK924" s="183"/>
      <c r="BL924" s="184"/>
      <c r="BM924" s="409"/>
      <c r="BN924" s="409"/>
    </row>
    <row r="925" spans="1:66" s="153" customFormat="1" x14ac:dyDescent="0.2">
      <c r="A925" s="61"/>
      <c r="B925" s="61"/>
      <c r="C925" s="61"/>
      <c r="D925" s="61"/>
      <c r="E925" s="61"/>
      <c r="F925" s="61"/>
      <c r="G925" s="61"/>
      <c r="H925" s="61"/>
      <c r="I925" s="61"/>
      <c r="J925" s="61"/>
      <c r="K925" s="61"/>
      <c r="L925" s="61"/>
      <c r="M925" s="61"/>
      <c r="N925" s="61"/>
      <c r="O925" s="61"/>
      <c r="P925" s="61"/>
      <c r="Q925" s="61"/>
      <c r="R925" s="61"/>
      <c r="S925" s="61"/>
      <c r="T925" s="35"/>
      <c r="U925" s="187"/>
      <c r="V925" s="190"/>
      <c r="W925" s="190"/>
      <c r="X925" s="190"/>
      <c r="Y925" s="190"/>
      <c r="Z925" s="190"/>
      <c r="AA925" s="191"/>
      <c r="AB925" s="190"/>
      <c r="AC925" s="190"/>
      <c r="AD925" s="190"/>
      <c r="AE925" s="190"/>
      <c r="AF925" s="190"/>
      <c r="AG925" s="190"/>
      <c r="AH925" s="191"/>
      <c r="AI925" s="190"/>
      <c r="AJ925" s="190"/>
      <c r="AK925" s="190"/>
      <c r="AL925" s="190"/>
      <c r="AM925" s="190"/>
      <c r="AN925" s="191"/>
      <c r="AO925" s="190"/>
      <c r="AP925" s="190"/>
      <c r="AQ925" s="190"/>
      <c r="AR925" s="190"/>
      <c r="AS925" s="190"/>
      <c r="AT925" s="191"/>
      <c r="AU925" s="190"/>
      <c r="AV925" s="190"/>
      <c r="AW925" s="190"/>
      <c r="AX925" s="190"/>
      <c r="AY925" s="190"/>
      <c r="AZ925" s="191"/>
      <c r="BA925" s="183"/>
      <c r="BB925" s="183"/>
      <c r="BC925" s="183"/>
      <c r="BD925" s="183"/>
      <c r="BE925" s="183"/>
      <c r="BF925" s="184"/>
      <c r="BG925" s="183"/>
      <c r="BH925" s="183"/>
      <c r="BI925" s="183"/>
      <c r="BJ925" s="183"/>
      <c r="BK925" s="183"/>
      <c r="BL925" s="184"/>
      <c r="BM925" s="409"/>
      <c r="BN925" s="409"/>
    </row>
    <row r="926" spans="1:66" s="153" customFormat="1" x14ac:dyDescent="0.2">
      <c r="A926" s="61"/>
      <c r="B926" s="61"/>
      <c r="C926" s="61"/>
      <c r="D926" s="61"/>
      <c r="E926" s="61"/>
      <c r="F926" s="61"/>
      <c r="G926" s="61"/>
      <c r="H926" s="61"/>
      <c r="I926" s="61"/>
      <c r="J926" s="61"/>
      <c r="K926" s="61"/>
      <c r="L926" s="61"/>
      <c r="M926" s="61"/>
      <c r="N926" s="61"/>
      <c r="O926" s="61"/>
      <c r="P926" s="61"/>
      <c r="Q926" s="61"/>
      <c r="R926" s="61"/>
      <c r="S926" s="61"/>
      <c r="T926" s="35"/>
      <c r="U926" s="187"/>
      <c r="V926" s="190"/>
      <c r="W926" s="190"/>
      <c r="X926" s="190"/>
      <c r="Y926" s="190"/>
      <c r="Z926" s="190"/>
      <c r="AA926" s="191"/>
      <c r="AB926" s="190"/>
      <c r="AC926" s="190"/>
      <c r="AD926" s="190"/>
      <c r="AE926" s="190"/>
      <c r="AF926" s="190"/>
      <c r="AG926" s="190"/>
      <c r="AH926" s="191"/>
      <c r="AI926" s="190"/>
      <c r="AJ926" s="190"/>
      <c r="AK926" s="190"/>
      <c r="AL926" s="190"/>
      <c r="AM926" s="190"/>
      <c r="AN926" s="191"/>
      <c r="AO926" s="190"/>
      <c r="AP926" s="190"/>
      <c r="AQ926" s="190"/>
      <c r="AR926" s="190"/>
      <c r="AS926" s="190"/>
      <c r="AT926" s="191"/>
      <c r="AU926" s="190"/>
      <c r="AV926" s="190"/>
      <c r="AW926" s="190"/>
      <c r="AX926" s="190"/>
      <c r="AY926" s="190"/>
      <c r="AZ926" s="191"/>
      <c r="BA926" s="183"/>
      <c r="BB926" s="183"/>
      <c r="BC926" s="183"/>
      <c r="BD926" s="183"/>
      <c r="BE926" s="183"/>
      <c r="BF926" s="184"/>
      <c r="BG926" s="183"/>
      <c r="BH926" s="183"/>
      <c r="BI926" s="183"/>
      <c r="BJ926" s="183"/>
      <c r="BK926" s="183"/>
      <c r="BL926" s="184"/>
      <c r="BM926" s="409"/>
      <c r="BN926" s="409"/>
    </row>
    <row r="927" spans="1:66" s="153" customFormat="1" x14ac:dyDescent="0.2">
      <c r="A927" s="61"/>
      <c r="B927" s="61"/>
      <c r="C927" s="61"/>
      <c r="D927" s="61"/>
      <c r="E927" s="61"/>
      <c r="F927" s="61"/>
      <c r="G927" s="61"/>
      <c r="H927" s="61"/>
      <c r="I927" s="61"/>
      <c r="J927" s="61"/>
      <c r="K927" s="61"/>
      <c r="L927" s="61"/>
      <c r="M927" s="61"/>
      <c r="N927" s="61"/>
      <c r="O927" s="61"/>
      <c r="P927" s="61"/>
      <c r="Q927" s="61"/>
      <c r="R927" s="61"/>
      <c r="S927" s="61"/>
      <c r="T927" s="35"/>
      <c r="U927" s="187"/>
      <c r="V927" s="190"/>
      <c r="W927" s="190"/>
      <c r="X927" s="190"/>
      <c r="Y927" s="190"/>
      <c r="Z927" s="190"/>
      <c r="AA927" s="191"/>
      <c r="AB927" s="190"/>
      <c r="AC927" s="190"/>
      <c r="AD927" s="190"/>
      <c r="AE927" s="190"/>
      <c r="AF927" s="190"/>
      <c r="AG927" s="190"/>
      <c r="AH927" s="191"/>
      <c r="AI927" s="190"/>
      <c r="AJ927" s="190"/>
      <c r="AK927" s="190"/>
      <c r="AL927" s="190"/>
      <c r="AM927" s="190"/>
      <c r="AN927" s="191"/>
      <c r="AO927" s="190"/>
      <c r="AP927" s="190"/>
      <c r="AQ927" s="190"/>
      <c r="AR927" s="190"/>
      <c r="AS927" s="190"/>
      <c r="AT927" s="191"/>
      <c r="AU927" s="190"/>
      <c r="AV927" s="190"/>
      <c r="AW927" s="190"/>
      <c r="AX927" s="190"/>
      <c r="AY927" s="190"/>
      <c r="AZ927" s="191"/>
      <c r="BA927" s="183"/>
      <c r="BB927" s="183"/>
      <c r="BC927" s="183"/>
      <c r="BD927" s="183"/>
      <c r="BE927" s="183"/>
      <c r="BF927" s="184"/>
      <c r="BG927" s="183"/>
      <c r="BH927" s="183"/>
      <c r="BI927" s="183"/>
      <c r="BJ927" s="183"/>
      <c r="BK927" s="183"/>
      <c r="BL927" s="184"/>
      <c r="BM927" s="409"/>
      <c r="BN927" s="409"/>
    </row>
    <row r="928" spans="1:66" s="153" customFormat="1" x14ac:dyDescent="0.2">
      <c r="A928" s="61"/>
      <c r="B928" s="61"/>
      <c r="C928" s="61"/>
      <c r="D928" s="61"/>
      <c r="E928" s="61"/>
      <c r="F928" s="61"/>
      <c r="G928" s="61"/>
      <c r="H928" s="61"/>
      <c r="I928" s="61"/>
      <c r="J928" s="61"/>
      <c r="K928" s="61"/>
      <c r="L928" s="61"/>
      <c r="M928" s="61"/>
      <c r="N928" s="61"/>
      <c r="O928" s="61"/>
      <c r="P928" s="61"/>
      <c r="Q928" s="61"/>
      <c r="R928" s="61"/>
      <c r="S928" s="61"/>
      <c r="T928" s="35"/>
      <c r="U928" s="187"/>
      <c r="V928" s="190"/>
      <c r="W928" s="190"/>
      <c r="X928" s="190"/>
      <c r="Y928" s="190"/>
      <c r="Z928" s="190"/>
      <c r="AA928" s="191"/>
      <c r="AB928" s="190"/>
      <c r="AC928" s="190"/>
      <c r="AD928" s="190"/>
      <c r="AE928" s="190"/>
      <c r="AF928" s="190"/>
      <c r="AG928" s="190"/>
      <c r="AH928" s="191"/>
      <c r="AI928" s="190"/>
      <c r="AJ928" s="190"/>
      <c r="AK928" s="190"/>
      <c r="AL928" s="190"/>
      <c r="AM928" s="190"/>
      <c r="AN928" s="191"/>
      <c r="AO928" s="190"/>
      <c r="AP928" s="190"/>
      <c r="AQ928" s="190"/>
      <c r="AR928" s="190"/>
      <c r="AS928" s="190"/>
      <c r="AT928" s="191"/>
      <c r="AU928" s="190"/>
      <c r="AV928" s="190"/>
      <c r="AW928" s="190"/>
      <c r="AX928" s="190"/>
      <c r="AY928" s="190"/>
      <c r="AZ928" s="191"/>
      <c r="BA928" s="183"/>
      <c r="BB928" s="183"/>
      <c r="BC928" s="183"/>
      <c r="BD928" s="183"/>
      <c r="BE928" s="183"/>
      <c r="BF928" s="184"/>
      <c r="BG928" s="183"/>
      <c r="BH928" s="183"/>
      <c r="BI928" s="183"/>
      <c r="BJ928" s="183"/>
      <c r="BK928" s="183"/>
      <c r="BL928" s="184"/>
      <c r="BM928" s="409"/>
      <c r="BN928" s="409"/>
    </row>
    <row r="929" spans="1:66" s="153" customFormat="1" x14ac:dyDescent="0.2">
      <c r="A929" s="61"/>
      <c r="B929" s="61"/>
      <c r="C929" s="61"/>
      <c r="D929" s="61"/>
      <c r="E929" s="61"/>
      <c r="F929" s="61"/>
      <c r="G929" s="61"/>
      <c r="H929" s="61"/>
      <c r="I929" s="61"/>
      <c r="J929" s="61"/>
      <c r="K929" s="61"/>
      <c r="L929" s="61"/>
      <c r="M929" s="61"/>
      <c r="N929" s="61"/>
      <c r="O929" s="61"/>
      <c r="P929" s="61"/>
      <c r="Q929" s="61"/>
      <c r="R929" s="61"/>
      <c r="S929" s="61"/>
      <c r="T929" s="35"/>
      <c r="U929" s="187"/>
      <c r="V929" s="190"/>
      <c r="W929" s="190"/>
      <c r="X929" s="190"/>
      <c r="Y929" s="190"/>
      <c r="Z929" s="190"/>
      <c r="AA929" s="191"/>
      <c r="AB929" s="190"/>
      <c r="AC929" s="190"/>
      <c r="AD929" s="190"/>
      <c r="AE929" s="190"/>
      <c r="AF929" s="190"/>
      <c r="AG929" s="190"/>
      <c r="AH929" s="191"/>
      <c r="AI929" s="190"/>
      <c r="AJ929" s="190"/>
      <c r="AK929" s="190"/>
      <c r="AL929" s="190"/>
      <c r="AM929" s="190"/>
      <c r="AN929" s="191"/>
      <c r="AO929" s="190"/>
      <c r="AP929" s="190"/>
      <c r="AQ929" s="190"/>
      <c r="AR929" s="190"/>
      <c r="AS929" s="190"/>
      <c r="AT929" s="191"/>
      <c r="AU929" s="190"/>
      <c r="AV929" s="190"/>
      <c r="AW929" s="190"/>
      <c r="AX929" s="190"/>
      <c r="AY929" s="190"/>
      <c r="AZ929" s="191"/>
      <c r="BA929" s="183"/>
      <c r="BB929" s="183"/>
      <c r="BC929" s="183"/>
      <c r="BD929" s="183"/>
      <c r="BE929" s="183"/>
      <c r="BF929" s="184"/>
      <c r="BG929" s="183"/>
      <c r="BH929" s="183"/>
      <c r="BI929" s="183"/>
      <c r="BJ929" s="183"/>
      <c r="BK929" s="183"/>
      <c r="BL929" s="184"/>
      <c r="BM929" s="409"/>
      <c r="BN929" s="409"/>
    </row>
    <row r="930" spans="1:66" s="153" customFormat="1" x14ac:dyDescent="0.2">
      <c r="A930" s="61"/>
      <c r="B930" s="61"/>
      <c r="C930" s="61"/>
      <c r="D930" s="61"/>
      <c r="E930" s="61"/>
      <c r="F930" s="61"/>
      <c r="G930" s="61"/>
      <c r="H930" s="61"/>
      <c r="I930" s="61"/>
      <c r="J930" s="61"/>
      <c r="K930" s="61"/>
      <c r="L930" s="61"/>
      <c r="M930" s="61"/>
      <c r="N930" s="61"/>
      <c r="O930" s="61"/>
      <c r="P930" s="61"/>
      <c r="Q930" s="61"/>
      <c r="R930" s="61"/>
      <c r="S930" s="61"/>
      <c r="T930" s="35"/>
      <c r="U930" s="187"/>
      <c r="V930" s="190"/>
      <c r="W930" s="190"/>
      <c r="X930" s="190"/>
      <c r="Y930" s="190"/>
      <c r="Z930" s="190"/>
      <c r="AA930" s="191"/>
      <c r="AB930" s="190"/>
      <c r="AC930" s="190"/>
      <c r="AD930" s="190"/>
      <c r="AE930" s="190"/>
      <c r="AF930" s="190"/>
      <c r="AG930" s="190"/>
      <c r="AH930" s="191"/>
      <c r="AI930" s="190"/>
      <c r="AJ930" s="190"/>
      <c r="AK930" s="190"/>
      <c r="AL930" s="190"/>
      <c r="AM930" s="190"/>
      <c r="AN930" s="191"/>
      <c r="AO930" s="190"/>
      <c r="AP930" s="190"/>
      <c r="AQ930" s="190"/>
      <c r="AR930" s="190"/>
      <c r="AS930" s="190"/>
      <c r="AT930" s="191"/>
      <c r="AU930" s="190"/>
      <c r="AV930" s="190"/>
      <c r="AW930" s="190"/>
      <c r="AX930" s="190"/>
      <c r="AY930" s="190"/>
      <c r="AZ930" s="191"/>
      <c r="BA930" s="183"/>
      <c r="BB930" s="183"/>
      <c r="BC930" s="183"/>
      <c r="BD930" s="183"/>
      <c r="BE930" s="183"/>
      <c r="BF930" s="184"/>
      <c r="BG930" s="183"/>
      <c r="BH930" s="183"/>
      <c r="BI930" s="183"/>
      <c r="BJ930" s="183"/>
      <c r="BK930" s="183"/>
      <c r="BL930" s="184"/>
      <c r="BM930" s="409"/>
      <c r="BN930" s="409"/>
    </row>
    <row r="931" spans="1:66" s="153" customFormat="1" x14ac:dyDescent="0.2">
      <c r="A931" s="61"/>
      <c r="B931" s="61"/>
      <c r="C931" s="61"/>
      <c r="D931" s="61"/>
      <c r="E931" s="61"/>
      <c r="F931" s="61"/>
      <c r="G931" s="61"/>
      <c r="H931" s="61"/>
      <c r="I931" s="61"/>
      <c r="J931" s="61"/>
      <c r="K931" s="61"/>
      <c r="L931" s="61"/>
      <c r="M931" s="61"/>
      <c r="N931" s="61"/>
      <c r="O931" s="61"/>
      <c r="P931" s="61"/>
      <c r="Q931" s="61"/>
      <c r="R931" s="61"/>
      <c r="S931" s="61"/>
      <c r="T931" s="35"/>
      <c r="U931" s="187"/>
      <c r="V931" s="190"/>
      <c r="W931" s="190"/>
      <c r="X931" s="190"/>
      <c r="Y931" s="190"/>
      <c r="Z931" s="190"/>
      <c r="AA931" s="191"/>
      <c r="AB931" s="190"/>
      <c r="AC931" s="190"/>
      <c r="AD931" s="190"/>
      <c r="AE931" s="190"/>
      <c r="AF931" s="190"/>
      <c r="AG931" s="190"/>
      <c r="AH931" s="191"/>
      <c r="AI931" s="190"/>
      <c r="AJ931" s="190"/>
      <c r="AK931" s="190"/>
      <c r="AL931" s="190"/>
      <c r="AM931" s="190"/>
      <c r="AN931" s="191"/>
      <c r="AO931" s="190"/>
      <c r="AP931" s="190"/>
      <c r="AQ931" s="190"/>
      <c r="AR931" s="190"/>
      <c r="AS931" s="190"/>
      <c r="AT931" s="191"/>
      <c r="AU931" s="190"/>
      <c r="AV931" s="190"/>
      <c r="AW931" s="190"/>
      <c r="AX931" s="190"/>
      <c r="AY931" s="190"/>
      <c r="AZ931" s="191"/>
      <c r="BA931" s="183"/>
      <c r="BB931" s="183"/>
      <c r="BC931" s="183"/>
      <c r="BD931" s="183"/>
      <c r="BE931" s="183"/>
      <c r="BF931" s="184"/>
      <c r="BG931" s="183"/>
      <c r="BH931" s="183"/>
      <c r="BI931" s="183"/>
      <c r="BJ931" s="183"/>
      <c r="BK931" s="183"/>
      <c r="BL931" s="184"/>
      <c r="BM931" s="409"/>
      <c r="BN931" s="409"/>
    </row>
    <row r="932" spans="1:66" s="153" customFormat="1" x14ac:dyDescent="0.2">
      <c r="A932" s="61"/>
      <c r="B932" s="61"/>
      <c r="C932" s="61"/>
      <c r="D932" s="61"/>
      <c r="E932" s="61"/>
      <c r="F932" s="61"/>
      <c r="G932" s="61"/>
      <c r="H932" s="61"/>
      <c r="I932" s="61"/>
      <c r="J932" s="61"/>
      <c r="K932" s="61"/>
      <c r="L932" s="61"/>
      <c r="M932" s="61"/>
      <c r="N932" s="61"/>
      <c r="O932" s="61"/>
      <c r="P932" s="61"/>
      <c r="Q932" s="61"/>
      <c r="R932" s="61"/>
      <c r="S932" s="61"/>
      <c r="T932" s="35"/>
      <c r="U932" s="187"/>
      <c r="V932" s="190"/>
      <c r="W932" s="190"/>
      <c r="X932" s="190"/>
      <c r="Y932" s="190"/>
      <c r="Z932" s="190"/>
      <c r="AA932" s="191"/>
      <c r="AB932" s="190"/>
      <c r="AC932" s="190"/>
      <c r="AD932" s="190"/>
      <c r="AE932" s="190"/>
      <c r="AF932" s="190"/>
      <c r="AG932" s="190"/>
      <c r="AH932" s="191"/>
      <c r="AI932" s="190"/>
      <c r="AJ932" s="190"/>
      <c r="AK932" s="190"/>
      <c r="AL932" s="190"/>
      <c r="AM932" s="190"/>
      <c r="AN932" s="191"/>
      <c r="AO932" s="190"/>
      <c r="AP932" s="190"/>
      <c r="AQ932" s="190"/>
      <c r="AR932" s="190"/>
      <c r="AS932" s="190"/>
      <c r="AT932" s="191"/>
      <c r="AU932" s="190"/>
      <c r="AV932" s="190"/>
      <c r="AW932" s="190"/>
      <c r="AX932" s="190"/>
      <c r="AY932" s="190"/>
      <c r="AZ932" s="191"/>
      <c r="BA932" s="183"/>
      <c r="BB932" s="183"/>
      <c r="BC932" s="183"/>
      <c r="BD932" s="183"/>
      <c r="BE932" s="183"/>
      <c r="BF932" s="184"/>
      <c r="BG932" s="183"/>
      <c r="BH932" s="183"/>
      <c r="BI932" s="183"/>
      <c r="BJ932" s="183"/>
      <c r="BK932" s="183"/>
      <c r="BL932" s="184"/>
      <c r="BM932" s="409"/>
      <c r="BN932" s="409"/>
    </row>
    <row r="933" spans="1:66" s="153" customFormat="1" x14ac:dyDescent="0.2">
      <c r="A933" s="61"/>
      <c r="B933" s="61"/>
      <c r="C933" s="61"/>
      <c r="D933" s="61"/>
      <c r="E933" s="61"/>
      <c r="F933" s="61"/>
      <c r="G933" s="61"/>
      <c r="H933" s="61"/>
      <c r="I933" s="61"/>
      <c r="J933" s="61"/>
      <c r="K933" s="61"/>
      <c r="L933" s="61"/>
      <c r="M933" s="61"/>
      <c r="N933" s="61"/>
      <c r="O933" s="61"/>
      <c r="P933" s="61"/>
      <c r="Q933" s="61"/>
      <c r="R933" s="61"/>
      <c r="S933" s="61"/>
      <c r="T933" s="35"/>
      <c r="U933" s="187"/>
      <c r="V933" s="190"/>
      <c r="W933" s="190"/>
      <c r="X933" s="190"/>
      <c r="Y933" s="190"/>
      <c r="Z933" s="190"/>
      <c r="AA933" s="191"/>
      <c r="AB933" s="190"/>
      <c r="AC933" s="190"/>
      <c r="AD933" s="190"/>
      <c r="AE933" s="190"/>
      <c r="AF933" s="190"/>
      <c r="AG933" s="190"/>
      <c r="AH933" s="191"/>
      <c r="AI933" s="190"/>
      <c r="AJ933" s="190"/>
      <c r="AK933" s="190"/>
      <c r="AL933" s="190"/>
      <c r="AM933" s="190"/>
      <c r="AN933" s="191"/>
      <c r="AO933" s="190"/>
      <c r="AP933" s="190"/>
      <c r="AQ933" s="190"/>
      <c r="AR933" s="190"/>
      <c r="AS933" s="190"/>
      <c r="AT933" s="191"/>
      <c r="AU933" s="190"/>
      <c r="AV933" s="190"/>
      <c r="AW933" s="190"/>
      <c r="AX933" s="190"/>
      <c r="AY933" s="190"/>
      <c r="AZ933" s="191"/>
      <c r="BA933" s="183"/>
      <c r="BB933" s="183"/>
      <c r="BC933" s="183"/>
      <c r="BD933" s="183"/>
      <c r="BE933" s="183"/>
      <c r="BF933" s="184"/>
      <c r="BG933" s="183"/>
      <c r="BH933" s="183"/>
      <c r="BI933" s="183"/>
      <c r="BJ933" s="183"/>
      <c r="BK933" s="183"/>
      <c r="BL933" s="184"/>
      <c r="BM933" s="409"/>
      <c r="BN933" s="409"/>
    </row>
    <row r="934" spans="1:66" s="153" customFormat="1" x14ac:dyDescent="0.2">
      <c r="A934" s="61"/>
      <c r="B934" s="61"/>
      <c r="C934" s="61"/>
      <c r="D934" s="61"/>
      <c r="E934" s="61"/>
      <c r="F934" s="61"/>
      <c r="G934" s="61"/>
      <c r="H934" s="61"/>
      <c r="I934" s="61"/>
      <c r="J934" s="61"/>
      <c r="K934" s="61"/>
      <c r="L934" s="61"/>
      <c r="M934" s="61"/>
      <c r="N934" s="61"/>
      <c r="O934" s="61"/>
      <c r="P934" s="61"/>
      <c r="Q934" s="61"/>
      <c r="R934" s="61"/>
      <c r="S934" s="61"/>
      <c r="T934" s="35"/>
      <c r="U934" s="187"/>
      <c r="V934" s="190"/>
      <c r="W934" s="190"/>
      <c r="X934" s="190"/>
      <c r="Y934" s="190"/>
      <c r="Z934" s="190"/>
      <c r="AA934" s="191"/>
      <c r="AB934" s="190"/>
      <c r="AC934" s="190"/>
      <c r="AD934" s="190"/>
      <c r="AE934" s="190"/>
      <c r="AF934" s="190"/>
      <c r="AG934" s="190"/>
      <c r="AH934" s="191"/>
      <c r="AI934" s="190"/>
      <c r="AJ934" s="190"/>
      <c r="AK934" s="190"/>
      <c r="AL934" s="190"/>
      <c r="AM934" s="190"/>
      <c r="AN934" s="191"/>
      <c r="AO934" s="190"/>
      <c r="AP934" s="190"/>
      <c r="AQ934" s="190"/>
      <c r="AR934" s="190"/>
      <c r="AS934" s="190"/>
      <c r="AT934" s="191"/>
      <c r="AU934" s="190"/>
      <c r="AV934" s="190"/>
      <c r="AW934" s="190"/>
      <c r="AX934" s="190"/>
      <c r="AY934" s="190"/>
      <c r="AZ934" s="191"/>
      <c r="BA934" s="183"/>
      <c r="BB934" s="183"/>
      <c r="BC934" s="183"/>
      <c r="BD934" s="183"/>
      <c r="BE934" s="183"/>
      <c r="BF934" s="184"/>
      <c r="BG934" s="183"/>
      <c r="BH934" s="183"/>
      <c r="BI934" s="183"/>
      <c r="BJ934" s="183"/>
      <c r="BK934" s="183"/>
      <c r="BL934" s="184"/>
      <c r="BM934" s="409"/>
      <c r="BN934" s="409"/>
    </row>
    <row r="935" spans="1:66" s="153" customFormat="1" x14ac:dyDescent="0.2">
      <c r="A935" s="61"/>
      <c r="B935" s="61"/>
      <c r="C935" s="61"/>
      <c r="D935" s="61"/>
      <c r="E935" s="61"/>
      <c r="F935" s="61"/>
      <c r="G935" s="61"/>
      <c r="H935" s="61"/>
      <c r="I935" s="61"/>
      <c r="J935" s="61"/>
      <c r="K935" s="61"/>
      <c r="L935" s="61"/>
      <c r="M935" s="61"/>
      <c r="N935" s="61"/>
      <c r="O935" s="61"/>
      <c r="P935" s="61"/>
      <c r="Q935" s="61"/>
      <c r="R935" s="61"/>
      <c r="S935" s="61"/>
      <c r="T935" s="35"/>
      <c r="U935" s="187"/>
      <c r="V935" s="190"/>
      <c r="W935" s="190"/>
      <c r="X935" s="190"/>
      <c r="Y935" s="190"/>
      <c r="Z935" s="190"/>
      <c r="AA935" s="191"/>
      <c r="AB935" s="190"/>
      <c r="AC935" s="190"/>
      <c r="AD935" s="190"/>
      <c r="AE935" s="190"/>
      <c r="AF935" s="190"/>
      <c r="AG935" s="190"/>
      <c r="AH935" s="191"/>
      <c r="AI935" s="190"/>
      <c r="AJ935" s="190"/>
      <c r="AK935" s="190"/>
      <c r="AL935" s="190"/>
      <c r="AM935" s="190"/>
      <c r="AN935" s="191"/>
      <c r="AO935" s="190"/>
      <c r="AP935" s="190"/>
      <c r="AQ935" s="190"/>
      <c r="AR935" s="190"/>
      <c r="AS935" s="190"/>
      <c r="AT935" s="191"/>
      <c r="AU935" s="190"/>
      <c r="AV935" s="190"/>
      <c r="AW935" s="190"/>
      <c r="AX935" s="190"/>
      <c r="AY935" s="190"/>
      <c r="AZ935" s="191"/>
      <c r="BA935" s="183"/>
      <c r="BB935" s="183"/>
      <c r="BC935" s="183"/>
      <c r="BD935" s="183"/>
      <c r="BE935" s="183"/>
      <c r="BF935" s="184"/>
      <c r="BG935" s="183"/>
      <c r="BH935" s="183"/>
      <c r="BI935" s="183"/>
      <c r="BJ935" s="183"/>
      <c r="BK935" s="183"/>
      <c r="BL935" s="184"/>
      <c r="BM935" s="409"/>
      <c r="BN935" s="409"/>
    </row>
    <row r="936" spans="1:66" s="153" customFormat="1" x14ac:dyDescent="0.2">
      <c r="A936" s="61"/>
      <c r="B936" s="61"/>
      <c r="C936" s="61"/>
      <c r="D936" s="61"/>
      <c r="E936" s="61"/>
      <c r="F936" s="61"/>
      <c r="G936" s="61"/>
      <c r="H936" s="61"/>
      <c r="I936" s="61"/>
      <c r="J936" s="61"/>
      <c r="K936" s="61"/>
      <c r="L936" s="61"/>
      <c r="M936" s="61"/>
      <c r="N936" s="61"/>
      <c r="O936" s="61"/>
      <c r="P936" s="61"/>
      <c r="Q936" s="61"/>
      <c r="R936" s="61"/>
      <c r="S936" s="61"/>
      <c r="T936" s="35"/>
      <c r="U936" s="187"/>
      <c r="V936" s="190"/>
      <c r="W936" s="190"/>
      <c r="X936" s="190"/>
      <c r="Y936" s="190"/>
      <c r="Z936" s="190"/>
      <c r="AA936" s="191"/>
      <c r="AB936" s="190"/>
      <c r="AC936" s="190"/>
      <c r="AD936" s="190"/>
      <c r="AE936" s="190"/>
      <c r="AF936" s="190"/>
      <c r="AG936" s="190"/>
      <c r="AH936" s="191"/>
      <c r="AI936" s="190"/>
      <c r="AJ936" s="190"/>
      <c r="AK936" s="190"/>
      <c r="AL936" s="190"/>
      <c r="AM936" s="190"/>
      <c r="AN936" s="191"/>
      <c r="AO936" s="190"/>
      <c r="AP936" s="190"/>
      <c r="AQ936" s="190"/>
      <c r="AR936" s="190"/>
      <c r="AS936" s="190"/>
      <c r="AT936" s="191"/>
      <c r="AU936" s="190"/>
      <c r="AV936" s="190"/>
      <c r="AW936" s="190"/>
      <c r="AX936" s="190"/>
      <c r="AY936" s="190"/>
      <c r="AZ936" s="191"/>
      <c r="BA936" s="183"/>
      <c r="BB936" s="183"/>
      <c r="BC936" s="183"/>
      <c r="BD936" s="183"/>
      <c r="BE936" s="183"/>
      <c r="BF936" s="184"/>
      <c r="BG936" s="183"/>
      <c r="BH936" s="183"/>
      <c r="BI936" s="183"/>
      <c r="BJ936" s="183"/>
      <c r="BK936" s="183"/>
      <c r="BL936" s="184"/>
      <c r="BM936" s="409"/>
      <c r="BN936" s="409"/>
    </row>
    <row r="937" spans="1:66" s="153" customFormat="1" x14ac:dyDescent="0.2">
      <c r="A937" s="61"/>
      <c r="B937" s="61"/>
      <c r="C937" s="61"/>
      <c r="D937" s="61"/>
      <c r="E937" s="61"/>
      <c r="F937" s="61"/>
      <c r="G937" s="61"/>
      <c r="H937" s="61"/>
      <c r="I937" s="61"/>
      <c r="J937" s="61"/>
      <c r="K937" s="61"/>
      <c r="L937" s="61"/>
      <c r="M937" s="61"/>
      <c r="N937" s="61"/>
      <c r="O937" s="61"/>
      <c r="P937" s="61"/>
      <c r="Q937" s="61"/>
      <c r="R937" s="61"/>
      <c r="S937" s="61"/>
      <c r="T937" s="35"/>
      <c r="U937" s="187"/>
      <c r="V937" s="190"/>
      <c r="W937" s="190"/>
      <c r="X937" s="190"/>
      <c r="Y937" s="190"/>
      <c r="Z937" s="190"/>
      <c r="AA937" s="191"/>
      <c r="AB937" s="190"/>
      <c r="AC937" s="190"/>
      <c r="AD937" s="190"/>
      <c r="AE937" s="190"/>
      <c r="AF937" s="190"/>
      <c r="AG937" s="190"/>
      <c r="AH937" s="191"/>
      <c r="AI937" s="190"/>
      <c r="AJ937" s="190"/>
      <c r="AK937" s="190"/>
      <c r="AL937" s="190"/>
      <c r="AM937" s="190"/>
      <c r="AN937" s="191"/>
      <c r="AO937" s="190"/>
      <c r="AP937" s="190"/>
      <c r="AQ937" s="190"/>
      <c r="AR937" s="190"/>
      <c r="AS937" s="190"/>
      <c r="AT937" s="191"/>
      <c r="AU937" s="190"/>
      <c r="AV937" s="190"/>
      <c r="AW937" s="190"/>
      <c r="AX937" s="190"/>
      <c r="AY937" s="190"/>
      <c r="AZ937" s="191"/>
      <c r="BA937" s="183"/>
      <c r="BB937" s="183"/>
      <c r="BC937" s="183"/>
      <c r="BD937" s="183"/>
      <c r="BE937" s="183"/>
      <c r="BF937" s="184"/>
      <c r="BG937" s="183"/>
      <c r="BH937" s="183"/>
      <c r="BI937" s="183"/>
      <c r="BJ937" s="183"/>
      <c r="BK937" s="183"/>
      <c r="BL937" s="184"/>
      <c r="BM937" s="409"/>
      <c r="BN937" s="409"/>
    </row>
    <row r="938" spans="1:66" s="153" customFormat="1" x14ac:dyDescent="0.2">
      <c r="A938" s="61"/>
      <c r="B938" s="61"/>
      <c r="C938" s="61"/>
      <c r="D938" s="61"/>
      <c r="E938" s="61"/>
      <c r="F938" s="61"/>
      <c r="G938" s="61"/>
      <c r="H938" s="61"/>
      <c r="I938" s="61"/>
      <c r="J938" s="61"/>
      <c r="K938" s="61"/>
      <c r="L938" s="61"/>
      <c r="M938" s="61"/>
      <c r="N938" s="61"/>
      <c r="O938" s="61"/>
      <c r="P938" s="61"/>
      <c r="Q938" s="61"/>
      <c r="R938" s="61"/>
      <c r="S938" s="61"/>
      <c r="T938" s="35"/>
      <c r="U938" s="187"/>
      <c r="V938" s="190"/>
      <c r="W938" s="190"/>
      <c r="X938" s="190"/>
      <c r="Y938" s="190"/>
      <c r="Z938" s="190"/>
      <c r="AA938" s="191"/>
      <c r="AB938" s="190"/>
      <c r="AC938" s="190"/>
      <c r="AD938" s="190"/>
      <c r="AE938" s="190"/>
      <c r="AF938" s="190"/>
      <c r="AG938" s="190"/>
      <c r="AH938" s="191"/>
      <c r="AI938" s="190"/>
      <c r="AJ938" s="190"/>
      <c r="AK938" s="190"/>
      <c r="AL938" s="190"/>
      <c r="AM938" s="190"/>
      <c r="AN938" s="191"/>
      <c r="AO938" s="190"/>
      <c r="AP938" s="190"/>
      <c r="AQ938" s="190"/>
      <c r="AR938" s="190"/>
      <c r="AS938" s="190"/>
      <c r="AT938" s="191"/>
      <c r="AU938" s="190"/>
      <c r="AV938" s="190"/>
      <c r="AW938" s="190"/>
      <c r="AX938" s="190"/>
      <c r="AY938" s="190"/>
      <c r="AZ938" s="191"/>
      <c r="BA938" s="183"/>
      <c r="BB938" s="183"/>
      <c r="BC938" s="183"/>
      <c r="BD938" s="183"/>
      <c r="BE938" s="183"/>
      <c r="BF938" s="184"/>
      <c r="BG938" s="183"/>
      <c r="BH938" s="183"/>
      <c r="BI938" s="183"/>
      <c r="BJ938" s="183"/>
      <c r="BK938" s="183"/>
      <c r="BL938" s="184"/>
      <c r="BM938" s="409"/>
      <c r="BN938" s="409"/>
    </row>
    <row r="939" spans="1:66" s="153" customFormat="1" x14ac:dyDescent="0.2">
      <c r="A939" s="61"/>
      <c r="B939" s="61"/>
      <c r="C939" s="61"/>
      <c r="D939" s="61"/>
      <c r="E939" s="61"/>
      <c r="F939" s="61"/>
      <c r="G939" s="61"/>
      <c r="H939" s="61"/>
      <c r="I939" s="61"/>
      <c r="J939" s="61"/>
      <c r="K939" s="61"/>
      <c r="L939" s="61"/>
      <c r="M939" s="61"/>
      <c r="N939" s="61"/>
      <c r="O939" s="61"/>
      <c r="P939" s="61"/>
      <c r="Q939" s="61"/>
      <c r="R939" s="61"/>
      <c r="S939" s="61"/>
      <c r="T939" s="35"/>
      <c r="U939" s="187"/>
      <c r="V939" s="190"/>
      <c r="W939" s="190"/>
      <c r="X939" s="190"/>
      <c r="Y939" s="190"/>
      <c r="Z939" s="190"/>
      <c r="AA939" s="191"/>
      <c r="AB939" s="190"/>
      <c r="AC939" s="190"/>
      <c r="AD939" s="190"/>
      <c r="AE939" s="190"/>
      <c r="AF939" s="190"/>
      <c r="AG939" s="190"/>
      <c r="AH939" s="191"/>
      <c r="AI939" s="190"/>
      <c r="AJ939" s="190"/>
      <c r="AK939" s="190"/>
      <c r="AL939" s="190"/>
      <c r="AM939" s="190"/>
      <c r="AN939" s="191"/>
      <c r="AO939" s="190"/>
      <c r="AP939" s="190"/>
      <c r="AQ939" s="190"/>
      <c r="AR939" s="190"/>
      <c r="AS939" s="190"/>
      <c r="AT939" s="191"/>
      <c r="AU939" s="190"/>
      <c r="AV939" s="190"/>
      <c r="AW939" s="190"/>
      <c r="AX939" s="190"/>
      <c r="AY939" s="190"/>
      <c r="AZ939" s="191"/>
      <c r="BA939" s="183"/>
      <c r="BB939" s="183"/>
      <c r="BC939" s="183"/>
      <c r="BD939" s="183"/>
      <c r="BE939" s="183"/>
      <c r="BF939" s="184"/>
      <c r="BG939" s="183"/>
      <c r="BH939" s="183"/>
      <c r="BI939" s="183"/>
      <c r="BJ939" s="183"/>
      <c r="BK939" s="183"/>
      <c r="BL939" s="184"/>
      <c r="BM939" s="409"/>
      <c r="BN939" s="409"/>
    </row>
    <row r="940" spans="1:66" s="153" customFormat="1" x14ac:dyDescent="0.2">
      <c r="A940" s="61"/>
      <c r="B940" s="61"/>
      <c r="C940" s="61"/>
      <c r="D940" s="61"/>
      <c r="E940" s="61"/>
      <c r="F940" s="61"/>
      <c r="G940" s="61"/>
      <c r="H940" s="61"/>
      <c r="I940" s="61"/>
      <c r="J940" s="61"/>
      <c r="K940" s="61"/>
      <c r="L940" s="61"/>
      <c r="M940" s="61"/>
      <c r="N940" s="61"/>
      <c r="O940" s="61"/>
      <c r="P940" s="61"/>
      <c r="Q940" s="61"/>
      <c r="R940" s="61"/>
      <c r="S940" s="61"/>
      <c r="T940" s="35"/>
      <c r="U940" s="187"/>
      <c r="V940" s="190"/>
      <c r="W940" s="190"/>
      <c r="X940" s="190"/>
      <c r="Y940" s="190"/>
      <c r="Z940" s="190"/>
      <c r="AA940" s="191"/>
      <c r="AB940" s="190"/>
      <c r="AC940" s="190"/>
      <c r="AD940" s="190"/>
      <c r="AE940" s="190"/>
      <c r="AF940" s="190"/>
      <c r="AG940" s="190"/>
      <c r="AH940" s="191"/>
      <c r="AI940" s="190"/>
      <c r="AJ940" s="190"/>
      <c r="AK940" s="190"/>
      <c r="AL940" s="190"/>
      <c r="AM940" s="190"/>
      <c r="AN940" s="191"/>
      <c r="AO940" s="190"/>
      <c r="AP940" s="190"/>
      <c r="AQ940" s="190"/>
      <c r="AR940" s="190"/>
      <c r="AS940" s="190"/>
      <c r="AT940" s="191"/>
      <c r="AU940" s="190"/>
      <c r="AV940" s="190"/>
      <c r="AW940" s="190"/>
      <c r="AX940" s="190"/>
      <c r="AY940" s="190"/>
      <c r="AZ940" s="191"/>
      <c r="BA940" s="183"/>
      <c r="BB940" s="183"/>
      <c r="BC940" s="183"/>
      <c r="BD940" s="183"/>
      <c r="BE940" s="183"/>
      <c r="BF940" s="184"/>
      <c r="BG940" s="183"/>
      <c r="BH940" s="183"/>
      <c r="BI940" s="183"/>
      <c r="BJ940" s="183"/>
      <c r="BK940" s="183"/>
      <c r="BL940" s="184"/>
      <c r="BM940" s="409"/>
      <c r="BN940" s="409"/>
    </row>
    <row r="941" spans="1:66" s="153" customFormat="1" x14ac:dyDescent="0.2">
      <c r="A941" s="61"/>
      <c r="B941" s="61"/>
      <c r="C941" s="61"/>
      <c r="D941" s="61"/>
      <c r="E941" s="61"/>
      <c r="F941" s="61"/>
      <c r="G941" s="61"/>
      <c r="H941" s="61"/>
      <c r="I941" s="61"/>
      <c r="J941" s="61"/>
      <c r="K941" s="61"/>
      <c r="L941" s="61"/>
      <c r="M941" s="61"/>
      <c r="N941" s="61"/>
      <c r="O941" s="61"/>
      <c r="P941" s="61"/>
      <c r="Q941" s="61"/>
      <c r="R941" s="61"/>
      <c r="S941" s="61"/>
      <c r="T941" s="35"/>
      <c r="U941" s="187"/>
      <c r="V941" s="190"/>
      <c r="W941" s="190"/>
      <c r="X941" s="190"/>
      <c r="Y941" s="190"/>
      <c r="Z941" s="190"/>
      <c r="AA941" s="191"/>
      <c r="AB941" s="190"/>
      <c r="AC941" s="190"/>
      <c r="AD941" s="190"/>
      <c r="AE941" s="190"/>
      <c r="AF941" s="190"/>
      <c r="AG941" s="190"/>
      <c r="AH941" s="191"/>
      <c r="AI941" s="190"/>
      <c r="AJ941" s="190"/>
      <c r="AK941" s="190"/>
      <c r="AL941" s="190"/>
      <c r="AM941" s="190"/>
      <c r="AN941" s="191"/>
      <c r="AO941" s="190"/>
      <c r="AP941" s="190"/>
      <c r="AQ941" s="190"/>
      <c r="AR941" s="190"/>
      <c r="AS941" s="190"/>
      <c r="AT941" s="191"/>
      <c r="AU941" s="190"/>
      <c r="AV941" s="190"/>
      <c r="AW941" s="190"/>
      <c r="AX941" s="190"/>
      <c r="AY941" s="190"/>
      <c r="AZ941" s="191"/>
      <c r="BA941" s="183"/>
      <c r="BB941" s="183"/>
      <c r="BC941" s="183"/>
      <c r="BD941" s="183"/>
      <c r="BE941" s="183"/>
      <c r="BF941" s="184"/>
      <c r="BG941" s="183"/>
      <c r="BH941" s="183"/>
      <c r="BI941" s="183"/>
      <c r="BJ941" s="183"/>
      <c r="BK941" s="183"/>
      <c r="BL941" s="184"/>
      <c r="BM941" s="409"/>
      <c r="BN941" s="409"/>
    </row>
    <row r="942" spans="1:66" s="153" customFormat="1" x14ac:dyDescent="0.2">
      <c r="A942" s="61"/>
      <c r="B942" s="61"/>
      <c r="C942" s="61"/>
      <c r="D942" s="61"/>
      <c r="E942" s="61"/>
      <c r="F942" s="61"/>
      <c r="G942" s="61"/>
      <c r="H942" s="61"/>
      <c r="I942" s="61"/>
      <c r="J942" s="61"/>
      <c r="K942" s="61"/>
      <c r="L942" s="61"/>
      <c r="M942" s="61"/>
      <c r="N942" s="61"/>
      <c r="O942" s="61"/>
      <c r="P942" s="61"/>
      <c r="Q942" s="61"/>
      <c r="R942" s="61"/>
      <c r="S942" s="61"/>
      <c r="T942" s="35"/>
      <c r="U942" s="187"/>
      <c r="V942" s="190"/>
      <c r="W942" s="190"/>
      <c r="X942" s="190"/>
      <c r="Y942" s="190"/>
      <c r="Z942" s="190"/>
      <c r="AA942" s="191"/>
      <c r="AB942" s="190"/>
      <c r="AC942" s="190"/>
      <c r="AD942" s="190"/>
      <c r="AE942" s="190"/>
      <c r="AF942" s="190"/>
      <c r="AG942" s="190"/>
      <c r="AH942" s="191"/>
      <c r="AI942" s="190"/>
      <c r="AJ942" s="190"/>
      <c r="AK942" s="190"/>
      <c r="AL942" s="190"/>
      <c r="AM942" s="190"/>
      <c r="AN942" s="191"/>
      <c r="AO942" s="190"/>
      <c r="AP942" s="190"/>
      <c r="AQ942" s="190"/>
      <c r="AR942" s="190"/>
      <c r="AS942" s="190"/>
      <c r="AT942" s="191"/>
      <c r="AU942" s="190"/>
      <c r="AV942" s="190"/>
      <c r="AW942" s="190"/>
      <c r="AX942" s="190"/>
      <c r="AY942" s="190"/>
      <c r="AZ942" s="191"/>
      <c r="BA942" s="183"/>
      <c r="BB942" s="183"/>
      <c r="BC942" s="183"/>
      <c r="BD942" s="183"/>
      <c r="BE942" s="183"/>
      <c r="BF942" s="184"/>
      <c r="BG942" s="183"/>
      <c r="BH942" s="183"/>
      <c r="BI942" s="183"/>
      <c r="BJ942" s="183"/>
      <c r="BK942" s="183"/>
      <c r="BL942" s="184"/>
      <c r="BM942" s="409"/>
      <c r="BN942" s="409"/>
    </row>
    <row r="943" spans="1:66" s="153" customFormat="1" x14ac:dyDescent="0.2">
      <c r="A943" s="61"/>
      <c r="B943" s="61"/>
      <c r="C943" s="61"/>
      <c r="D943" s="61"/>
      <c r="E943" s="61"/>
      <c r="F943" s="61"/>
      <c r="G943" s="61"/>
      <c r="H943" s="61"/>
      <c r="I943" s="61"/>
      <c r="J943" s="61"/>
      <c r="K943" s="61"/>
      <c r="L943" s="61"/>
      <c r="M943" s="61"/>
      <c r="N943" s="61"/>
      <c r="O943" s="61"/>
      <c r="P943" s="61"/>
      <c r="Q943" s="61"/>
      <c r="R943" s="61"/>
      <c r="S943" s="61"/>
      <c r="T943" s="35"/>
      <c r="U943" s="187"/>
      <c r="V943" s="190"/>
      <c r="W943" s="190"/>
      <c r="X943" s="190"/>
      <c r="Y943" s="190"/>
      <c r="Z943" s="190"/>
      <c r="AA943" s="191"/>
      <c r="AB943" s="190"/>
      <c r="AC943" s="190"/>
      <c r="AD943" s="190"/>
      <c r="AE943" s="190"/>
      <c r="AF943" s="190"/>
      <c r="AG943" s="190"/>
      <c r="AH943" s="191"/>
      <c r="AI943" s="190"/>
      <c r="AJ943" s="190"/>
      <c r="AK943" s="190"/>
      <c r="AL943" s="190"/>
      <c r="AM943" s="190"/>
      <c r="AN943" s="191"/>
      <c r="AO943" s="190"/>
      <c r="AP943" s="190"/>
      <c r="AQ943" s="190"/>
      <c r="AR943" s="190"/>
      <c r="AS943" s="190"/>
      <c r="AT943" s="191"/>
      <c r="AU943" s="190"/>
      <c r="AV943" s="190"/>
      <c r="AW943" s="190"/>
      <c r="AX943" s="190"/>
      <c r="AY943" s="190"/>
      <c r="AZ943" s="191"/>
      <c r="BA943" s="183"/>
      <c r="BB943" s="183"/>
      <c r="BC943" s="183"/>
      <c r="BD943" s="183"/>
      <c r="BE943" s="183"/>
      <c r="BF943" s="184"/>
      <c r="BG943" s="183"/>
      <c r="BH943" s="183"/>
      <c r="BI943" s="183"/>
      <c r="BJ943" s="183"/>
      <c r="BK943" s="183"/>
      <c r="BL943" s="184"/>
      <c r="BM943" s="409"/>
      <c r="BN943" s="409"/>
    </row>
    <row r="944" spans="1:66" s="153" customFormat="1" x14ac:dyDescent="0.2">
      <c r="A944" s="61"/>
      <c r="B944" s="61"/>
      <c r="C944" s="61"/>
      <c r="D944" s="61"/>
      <c r="E944" s="61"/>
      <c r="F944" s="61"/>
      <c r="G944" s="61"/>
      <c r="H944" s="61"/>
      <c r="I944" s="61"/>
      <c r="J944" s="61"/>
      <c r="K944" s="61"/>
      <c r="L944" s="61"/>
      <c r="M944" s="61"/>
      <c r="N944" s="61"/>
      <c r="O944" s="61"/>
      <c r="P944" s="61"/>
      <c r="Q944" s="61"/>
      <c r="R944" s="61"/>
      <c r="S944" s="61"/>
      <c r="T944" s="35"/>
      <c r="U944" s="187"/>
      <c r="V944" s="190"/>
      <c r="W944" s="190"/>
      <c r="X944" s="190"/>
      <c r="Y944" s="190"/>
      <c r="Z944" s="190"/>
      <c r="AA944" s="191"/>
      <c r="AB944" s="190"/>
      <c r="AC944" s="190"/>
      <c r="AD944" s="190"/>
      <c r="AE944" s="190"/>
      <c r="AF944" s="190"/>
      <c r="AG944" s="190"/>
      <c r="AH944" s="191"/>
      <c r="AI944" s="190"/>
      <c r="AJ944" s="190"/>
      <c r="AK944" s="190"/>
      <c r="AL944" s="190"/>
      <c r="AM944" s="190"/>
      <c r="AN944" s="191"/>
      <c r="AO944" s="190"/>
      <c r="AP944" s="190"/>
      <c r="AQ944" s="190"/>
      <c r="AR944" s="190"/>
      <c r="AS944" s="190"/>
      <c r="AT944" s="191"/>
      <c r="AU944" s="190"/>
      <c r="AV944" s="190"/>
      <c r="AW944" s="190"/>
      <c r="AX944" s="190"/>
      <c r="AY944" s="190"/>
      <c r="AZ944" s="191"/>
      <c r="BA944" s="183"/>
      <c r="BB944" s="183"/>
      <c r="BC944" s="183"/>
      <c r="BD944" s="183"/>
      <c r="BE944" s="183"/>
      <c r="BF944" s="184"/>
      <c r="BG944" s="183"/>
      <c r="BH944" s="183"/>
      <c r="BI944" s="183"/>
      <c r="BJ944" s="183"/>
      <c r="BK944" s="183"/>
      <c r="BL944" s="184"/>
      <c r="BM944" s="409"/>
      <c r="BN944" s="409"/>
    </row>
    <row r="945" spans="1:66" s="153" customFormat="1" x14ac:dyDescent="0.2">
      <c r="A945" s="61"/>
      <c r="B945" s="61"/>
      <c r="C945" s="61"/>
      <c r="D945" s="61"/>
      <c r="E945" s="61"/>
      <c r="F945" s="61"/>
      <c r="G945" s="61"/>
      <c r="H945" s="61"/>
      <c r="I945" s="61"/>
      <c r="J945" s="61"/>
      <c r="K945" s="61"/>
      <c r="L945" s="61"/>
      <c r="M945" s="61"/>
      <c r="N945" s="61"/>
      <c r="O945" s="61"/>
      <c r="P945" s="61"/>
      <c r="Q945" s="61"/>
      <c r="R945" s="61"/>
      <c r="S945" s="61"/>
      <c r="T945" s="35"/>
      <c r="U945" s="187"/>
      <c r="V945" s="190"/>
      <c r="W945" s="190"/>
      <c r="X945" s="190"/>
      <c r="Y945" s="190"/>
      <c r="Z945" s="190"/>
      <c r="AA945" s="191"/>
      <c r="AB945" s="190"/>
      <c r="AC945" s="190"/>
      <c r="AD945" s="190"/>
      <c r="AE945" s="190"/>
      <c r="AF945" s="190"/>
      <c r="AG945" s="190"/>
      <c r="AH945" s="191"/>
      <c r="AI945" s="190"/>
      <c r="AJ945" s="190"/>
      <c r="AK945" s="190"/>
      <c r="AL945" s="190"/>
      <c r="AM945" s="190"/>
      <c r="AN945" s="191"/>
      <c r="AO945" s="190"/>
      <c r="AP945" s="190"/>
      <c r="AQ945" s="190"/>
      <c r="AR945" s="190"/>
      <c r="AS945" s="190"/>
      <c r="AT945" s="191"/>
      <c r="AU945" s="190"/>
      <c r="AV945" s="190"/>
      <c r="AW945" s="190"/>
      <c r="AX945" s="190"/>
      <c r="AY945" s="190"/>
      <c r="AZ945" s="191"/>
      <c r="BA945" s="183"/>
      <c r="BB945" s="183"/>
      <c r="BC945" s="183"/>
      <c r="BD945" s="183"/>
      <c r="BE945" s="183"/>
      <c r="BF945" s="184"/>
      <c r="BG945" s="183"/>
      <c r="BH945" s="183"/>
      <c r="BI945" s="183"/>
      <c r="BJ945" s="183"/>
      <c r="BK945" s="183"/>
      <c r="BL945" s="184"/>
      <c r="BM945" s="409"/>
      <c r="BN945" s="409"/>
    </row>
    <row r="946" spans="1:66" s="153" customFormat="1" x14ac:dyDescent="0.2">
      <c r="A946" s="61"/>
      <c r="B946" s="61"/>
      <c r="C946" s="61"/>
      <c r="D946" s="61"/>
      <c r="E946" s="61"/>
      <c r="F946" s="61"/>
      <c r="G946" s="61"/>
      <c r="H946" s="61"/>
      <c r="I946" s="61"/>
      <c r="J946" s="61"/>
      <c r="K946" s="61"/>
      <c r="L946" s="61"/>
      <c r="M946" s="61"/>
      <c r="N946" s="61"/>
      <c r="O946" s="61"/>
      <c r="P946" s="61"/>
      <c r="Q946" s="61"/>
      <c r="R946" s="61"/>
      <c r="S946" s="61"/>
      <c r="T946" s="35"/>
      <c r="U946" s="187"/>
      <c r="V946" s="190"/>
      <c r="W946" s="190"/>
      <c r="X946" s="190"/>
      <c r="Y946" s="190"/>
      <c r="Z946" s="190"/>
      <c r="AA946" s="191"/>
      <c r="AB946" s="190"/>
      <c r="AC946" s="190"/>
      <c r="AD946" s="190"/>
      <c r="AE946" s="190"/>
      <c r="AF946" s="190"/>
      <c r="AG946" s="190"/>
      <c r="AH946" s="191"/>
      <c r="AI946" s="190"/>
      <c r="AJ946" s="190"/>
      <c r="AK946" s="190"/>
      <c r="AL946" s="190"/>
      <c r="AM946" s="190"/>
      <c r="AN946" s="191"/>
      <c r="AO946" s="190"/>
      <c r="AP946" s="190"/>
      <c r="AQ946" s="190"/>
      <c r="AR946" s="190"/>
      <c r="AS946" s="190"/>
      <c r="AT946" s="191"/>
      <c r="AU946" s="190"/>
      <c r="AV946" s="190"/>
      <c r="AW946" s="190"/>
      <c r="AX946" s="190"/>
      <c r="AY946" s="190"/>
      <c r="AZ946" s="191"/>
      <c r="BA946" s="183"/>
      <c r="BB946" s="183"/>
      <c r="BC946" s="183"/>
      <c r="BD946" s="183"/>
      <c r="BE946" s="183"/>
      <c r="BF946" s="184"/>
      <c r="BG946" s="183"/>
      <c r="BH946" s="183"/>
      <c r="BI946" s="183"/>
      <c r="BJ946" s="183"/>
      <c r="BK946" s="183"/>
      <c r="BL946" s="184"/>
      <c r="BM946" s="409"/>
      <c r="BN946" s="409"/>
    </row>
    <row r="947" spans="1:66" s="153" customFormat="1" x14ac:dyDescent="0.2">
      <c r="A947" s="61"/>
      <c r="B947" s="61"/>
      <c r="C947" s="61"/>
      <c r="D947" s="61"/>
      <c r="E947" s="61"/>
      <c r="F947" s="61"/>
      <c r="G947" s="61"/>
      <c r="H947" s="61"/>
      <c r="I947" s="61"/>
      <c r="J947" s="61"/>
      <c r="K947" s="61"/>
      <c r="L947" s="61"/>
      <c r="M947" s="61"/>
      <c r="N947" s="61"/>
      <c r="O947" s="61"/>
      <c r="P947" s="61"/>
      <c r="Q947" s="61"/>
      <c r="R947" s="61"/>
      <c r="S947" s="61"/>
      <c r="T947" s="35"/>
      <c r="U947" s="187"/>
      <c r="V947" s="190"/>
      <c r="W947" s="190"/>
      <c r="X947" s="190"/>
      <c r="Y947" s="190"/>
      <c r="Z947" s="190"/>
      <c r="AA947" s="191"/>
      <c r="AB947" s="190"/>
      <c r="AC947" s="190"/>
      <c r="AD947" s="190"/>
      <c r="AE947" s="190"/>
      <c r="AF947" s="190"/>
      <c r="AG947" s="190"/>
      <c r="AH947" s="191"/>
      <c r="AI947" s="190"/>
      <c r="AJ947" s="190"/>
      <c r="AK947" s="190"/>
      <c r="AL947" s="190"/>
      <c r="AM947" s="190"/>
      <c r="AN947" s="191"/>
      <c r="AO947" s="190"/>
      <c r="AP947" s="190"/>
      <c r="AQ947" s="190"/>
      <c r="AR947" s="190"/>
      <c r="AS947" s="190"/>
      <c r="AT947" s="191"/>
      <c r="AU947" s="190"/>
      <c r="AV947" s="190"/>
      <c r="AW947" s="190"/>
      <c r="AX947" s="190"/>
      <c r="AY947" s="190"/>
      <c r="AZ947" s="191"/>
      <c r="BA947" s="183"/>
      <c r="BB947" s="183"/>
      <c r="BC947" s="183"/>
      <c r="BD947" s="183"/>
      <c r="BE947" s="183"/>
      <c r="BF947" s="184"/>
      <c r="BG947" s="183"/>
      <c r="BH947" s="183"/>
      <c r="BI947" s="183"/>
      <c r="BJ947" s="183"/>
      <c r="BK947" s="183"/>
      <c r="BL947" s="184"/>
      <c r="BM947" s="409"/>
      <c r="BN947" s="409"/>
    </row>
    <row r="948" spans="1:66" s="153" customFormat="1" x14ac:dyDescent="0.2">
      <c r="A948" s="61"/>
      <c r="B948" s="61"/>
      <c r="C948" s="61"/>
      <c r="D948" s="61"/>
      <c r="E948" s="61"/>
      <c r="F948" s="61"/>
      <c r="G948" s="61"/>
      <c r="H948" s="61"/>
      <c r="I948" s="61"/>
      <c r="J948" s="61"/>
      <c r="K948" s="61"/>
      <c r="L948" s="61"/>
      <c r="M948" s="61"/>
      <c r="N948" s="61"/>
      <c r="O948" s="61"/>
      <c r="P948" s="61"/>
      <c r="Q948" s="61"/>
      <c r="R948" s="61"/>
      <c r="S948" s="61"/>
      <c r="T948" s="35"/>
      <c r="U948" s="187"/>
      <c r="V948" s="190"/>
      <c r="W948" s="190"/>
      <c r="X948" s="190"/>
      <c r="Y948" s="190"/>
      <c r="Z948" s="190"/>
      <c r="AA948" s="191"/>
      <c r="AB948" s="190"/>
      <c r="AC948" s="190"/>
      <c r="AD948" s="190"/>
      <c r="AE948" s="190"/>
      <c r="AF948" s="190"/>
      <c r="AG948" s="190"/>
      <c r="AH948" s="191"/>
      <c r="AI948" s="190"/>
      <c r="AJ948" s="190"/>
      <c r="AK948" s="190"/>
      <c r="AL948" s="190"/>
      <c r="AM948" s="190"/>
      <c r="AN948" s="191"/>
      <c r="AO948" s="190"/>
      <c r="AP948" s="190"/>
      <c r="AQ948" s="190"/>
      <c r="AR948" s="190"/>
      <c r="AS948" s="190"/>
      <c r="AT948" s="191"/>
      <c r="AU948" s="190"/>
      <c r="AV948" s="190"/>
      <c r="AW948" s="190"/>
      <c r="AX948" s="190"/>
      <c r="AY948" s="190"/>
      <c r="AZ948" s="191"/>
      <c r="BA948" s="183"/>
      <c r="BB948" s="183"/>
      <c r="BC948" s="183"/>
      <c r="BD948" s="183"/>
      <c r="BE948" s="183"/>
      <c r="BF948" s="184"/>
      <c r="BG948" s="183"/>
      <c r="BH948" s="183"/>
      <c r="BI948" s="183"/>
      <c r="BJ948" s="183"/>
      <c r="BK948" s="183"/>
      <c r="BL948" s="184"/>
      <c r="BM948" s="409"/>
      <c r="BN948" s="409"/>
    </row>
    <row r="949" spans="1:66" s="153" customFormat="1" x14ac:dyDescent="0.2">
      <c r="A949" s="61"/>
      <c r="B949" s="61"/>
      <c r="C949" s="61"/>
      <c r="D949" s="61"/>
      <c r="E949" s="61"/>
      <c r="F949" s="61"/>
      <c r="G949" s="61"/>
      <c r="H949" s="61"/>
      <c r="I949" s="61"/>
      <c r="J949" s="61"/>
      <c r="K949" s="61"/>
      <c r="L949" s="61"/>
      <c r="M949" s="61"/>
      <c r="N949" s="61"/>
      <c r="O949" s="61"/>
      <c r="P949" s="61"/>
      <c r="Q949" s="61"/>
      <c r="R949" s="61"/>
      <c r="S949" s="61"/>
      <c r="T949" s="35"/>
      <c r="U949" s="187"/>
      <c r="V949" s="190"/>
      <c r="W949" s="190"/>
      <c r="X949" s="190"/>
      <c r="Y949" s="190"/>
      <c r="Z949" s="190"/>
      <c r="AA949" s="191"/>
      <c r="AB949" s="190"/>
      <c r="AC949" s="190"/>
      <c r="AD949" s="190"/>
      <c r="AE949" s="190"/>
      <c r="AF949" s="190"/>
      <c r="AG949" s="190"/>
      <c r="AH949" s="191"/>
      <c r="AI949" s="190"/>
      <c r="AJ949" s="190"/>
      <c r="AK949" s="190"/>
      <c r="AL949" s="190"/>
      <c r="AM949" s="190"/>
      <c r="AN949" s="191"/>
      <c r="AO949" s="190"/>
      <c r="AP949" s="190"/>
      <c r="AQ949" s="190"/>
      <c r="AR949" s="190"/>
      <c r="AS949" s="190"/>
      <c r="AT949" s="191"/>
      <c r="AU949" s="190"/>
      <c r="AV949" s="190"/>
      <c r="AW949" s="190"/>
      <c r="AX949" s="190"/>
      <c r="AY949" s="190"/>
      <c r="AZ949" s="191"/>
      <c r="BA949" s="183"/>
      <c r="BB949" s="183"/>
      <c r="BC949" s="183"/>
      <c r="BD949" s="183"/>
      <c r="BE949" s="183"/>
      <c r="BF949" s="184"/>
      <c r="BG949" s="183"/>
      <c r="BH949" s="183"/>
      <c r="BI949" s="183"/>
      <c r="BJ949" s="183"/>
      <c r="BK949" s="183"/>
      <c r="BL949" s="184"/>
      <c r="BM949" s="409"/>
      <c r="BN949" s="409"/>
    </row>
    <row r="950" spans="1:66" s="153" customFormat="1" x14ac:dyDescent="0.2">
      <c r="A950" s="61"/>
      <c r="B950" s="61"/>
      <c r="C950" s="61"/>
      <c r="D950" s="61"/>
      <c r="E950" s="61"/>
      <c r="F950" s="61"/>
      <c r="G950" s="61"/>
      <c r="H950" s="61"/>
      <c r="I950" s="61"/>
      <c r="J950" s="61"/>
      <c r="K950" s="61"/>
      <c r="L950" s="61"/>
      <c r="M950" s="61"/>
      <c r="N950" s="61"/>
      <c r="O950" s="61"/>
      <c r="P950" s="61"/>
      <c r="Q950" s="61"/>
      <c r="R950" s="61"/>
      <c r="S950" s="61"/>
      <c r="T950" s="35"/>
      <c r="U950" s="187"/>
      <c r="V950" s="190"/>
      <c r="W950" s="190"/>
      <c r="X950" s="190"/>
      <c r="Y950" s="190"/>
      <c r="Z950" s="190"/>
      <c r="AA950" s="191"/>
      <c r="AB950" s="190"/>
      <c r="AC950" s="190"/>
      <c r="AD950" s="190"/>
      <c r="AE950" s="190"/>
      <c r="AF950" s="190"/>
      <c r="AG950" s="190"/>
      <c r="AH950" s="191"/>
      <c r="AI950" s="190"/>
      <c r="AJ950" s="190"/>
      <c r="AK950" s="190"/>
      <c r="AL950" s="190"/>
      <c r="AM950" s="190"/>
      <c r="AN950" s="191"/>
      <c r="AO950" s="190"/>
      <c r="AP950" s="190"/>
      <c r="AQ950" s="190"/>
      <c r="AR950" s="190"/>
      <c r="AS950" s="190"/>
      <c r="AT950" s="191"/>
      <c r="AU950" s="190"/>
      <c r="AV950" s="190"/>
      <c r="AW950" s="190"/>
      <c r="AX950" s="190"/>
      <c r="AY950" s="190"/>
      <c r="AZ950" s="191"/>
      <c r="BA950" s="183"/>
      <c r="BB950" s="183"/>
      <c r="BC950" s="183"/>
      <c r="BD950" s="183"/>
      <c r="BE950" s="183"/>
      <c r="BF950" s="184"/>
      <c r="BG950" s="183"/>
      <c r="BH950" s="183"/>
      <c r="BI950" s="183"/>
      <c r="BJ950" s="183"/>
      <c r="BK950" s="183"/>
      <c r="BL950" s="184"/>
      <c r="BM950" s="409"/>
      <c r="BN950" s="409"/>
    </row>
    <row r="951" spans="1:66" s="153" customFormat="1" x14ac:dyDescent="0.2">
      <c r="A951" s="61"/>
      <c r="B951" s="61"/>
      <c r="C951" s="61"/>
      <c r="D951" s="61"/>
      <c r="E951" s="61"/>
      <c r="F951" s="61"/>
      <c r="G951" s="61"/>
      <c r="H951" s="61"/>
      <c r="I951" s="61"/>
      <c r="J951" s="61"/>
      <c r="K951" s="61"/>
      <c r="L951" s="61"/>
      <c r="M951" s="61"/>
      <c r="N951" s="61"/>
      <c r="O951" s="61"/>
      <c r="P951" s="61"/>
      <c r="Q951" s="61"/>
      <c r="R951" s="61"/>
      <c r="S951" s="61"/>
      <c r="T951" s="35"/>
      <c r="U951" s="187"/>
      <c r="V951" s="190"/>
      <c r="W951" s="190"/>
      <c r="X951" s="190"/>
      <c r="Y951" s="190"/>
      <c r="Z951" s="190"/>
      <c r="AA951" s="191"/>
      <c r="AB951" s="190"/>
      <c r="AC951" s="190"/>
      <c r="AD951" s="190"/>
      <c r="AE951" s="190"/>
      <c r="AF951" s="190"/>
      <c r="AG951" s="190"/>
      <c r="AH951" s="191"/>
      <c r="AI951" s="190"/>
      <c r="AJ951" s="190"/>
      <c r="AK951" s="190"/>
      <c r="AL951" s="190"/>
      <c r="AM951" s="190"/>
      <c r="AN951" s="191"/>
      <c r="AO951" s="190"/>
      <c r="AP951" s="190"/>
      <c r="AQ951" s="190"/>
      <c r="AR951" s="190"/>
      <c r="AS951" s="190"/>
      <c r="AT951" s="191"/>
      <c r="AU951" s="190"/>
      <c r="AV951" s="190"/>
      <c r="AW951" s="190"/>
      <c r="AX951" s="190"/>
      <c r="AY951" s="190"/>
      <c r="AZ951" s="191"/>
      <c r="BA951" s="183"/>
      <c r="BB951" s="183"/>
      <c r="BC951" s="183"/>
      <c r="BD951" s="183"/>
      <c r="BE951" s="183"/>
      <c r="BF951" s="184"/>
      <c r="BG951" s="183"/>
      <c r="BH951" s="183"/>
      <c r="BI951" s="183"/>
      <c r="BJ951" s="183"/>
      <c r="BK951" s="183"/>
      <c r="BL951" s="184"/>
      <c r="BM951" s="409"/>
      <c r="BN951" s="409"/>
    </row>
    <row r="952" spans="1:66" s="153" customFormat="1" x14ac:dyDescent="0.2">
      <c r="A952" s="61"/>
      <c r="B952" s="61"/>
      <c r="C952" s="61"/>
      <c r="D952" s="61"/>
      <c r="E952" s="61"/>
      <c r="F952" s="61"/>
      <c r="G952" s="61"/>
      <c r="H952" s="61"/>
      <c r="I952" s="61"/>
      <c r="J952" s="61"/>
      <c r="K952" s="61"/>
      <c r="L952" s="61"/>
      <c r="M952" s="61"/>
      <c r="N952" s="61"/>
      <c r="O952" s="61"/>
      <c r="P952" s="61"/>
      <c r="Q952" s="61"/>
      <c r="R952" s="61"/>
      <c r="S952" s="61"/>
      <c r="T952" s="35"/>
      <c r="U952" s="187"/>
      <c r="V952" s="190"/>
      <c r="W952" s="190"/>
      <c r="X952" s="190"/>
      <c r="Y952" s="190"/>
      <c r="Z952" s="190"/>
      <c r="AA952" s="191"/>
      <c r="AB952" s="190"/>
      <c r="AC952" s="190"/>
      <c r="AD952" s="190"/>
      <c r="AE952" s="190"/>
      <c r="AF952" s="190"/>
      <c r="AG952" s="190"/>
      <c r="AH952" s="191"/>
      <c r="AI952" s="190"/>
      <c r="AJ952" s="190"/>
      <c r="AK952" s="190"/>
      <c r="AL952" s="190"/>
      <c r="AM952" s="190"/>
      <c r="AN952" s="191"/>
      <c r="AO952" s="190"/>
      <c r="AP952" s="190"/>
      <c r="AQ952" s="190"/>
      <c r="AR952" s="190"/>
      <c r="AS952" s="190"/>
      <c r="AT952" s="191"/>
      <c r="AU952" s="190"/>
      <c r="AV952" s="190"/>
      <c r="AW952" s="190"/>
      <c r="AX952" s="190"/>
      <c r="AY952" s="190"/>
      <c r="AZ952" s="191"/>
      <c r="BA952" s="183"/>
      <c r="BB952" s="183"/>
      <c r="BC952" s="183"/>
      <c r="BD952" s="183"/>
      <c r="BE952" s="183"/>
      <c r="BF952" s="184"/>
      <c r="BG952" s="183"/>
      <c r="BH952" s="183"/>
      <c r="BI952" s="183"/>
      <c r="BJ952" s="183"/>
      <c r="BK952" s="183"/>
      <c r="BL952" s="184"/>
      <c r="BM952" s="409"/>
      <c r="BN952" s="409"/>
    </row>
    <row r="953" spans="1:66" s="153" customFormat="1" x14ac:dyDescent="0.2">
      <c r="A953" s="61"/>
      <c r="B953" s="61"/>
      <c r="C953" s="61"/>
      <c r="D953" s="61"/>
      <c r="E953" s="61"/>
      <c r="F953" s="61"/>
      <c r="G953" s="61"/>
      <c r="H953" s="61"/>
      <c r="I953" s="61"/>
      <c r="J953" s="61"/>
      <c r="K953" s="61"/>
      <c r="L953" s="61"/>
      <c r="M953" s="61"/>
      <c r="N953" s="61"/>
      <c r="O953" s="61"/>
      <c r="P953" s="61"/>
      <c r="Q953" s="61"/>
      <c r="R953" s="61"/>
      <c r="S953" s="61"/>
      <c r="T953" s="35"/>
      <c r="U953" s="187"/>
      <c r="V953" s="190"/>
      <c r="W953" s="190"/>
      <c r="X953" s="190"/>
      <c r="Y953" s="190"/>
      <c r="Z953" s="190"/>
      <c r="AA953" s="191"/>
      <c r="AB953" s="190"/>
      <c r="AC953" s="190"/>
      <c r="AD953" s="190"/>
      <c r="AE953" s="190"/>
      <c r="AF953" s="190"/>
      <c r="AG953" s="190"/>
      <c r="AH953" s="191"/>
      <c r="AI953" s="190"/>
      <c r="AJ953" s="190"/>
      <c r="AK953" s="190"/>
      <c r="AL953" s="190"/>
      <c r="AM953" s="190"/>
      <c r="AN953" s="191"/>
      <c r="AO953" s="190"/>
      <c r="AP953" s="190"/>
      <c r="AQ953" s="190"/>
      <c r="AR953" s="190"/>
      <c r="AS953" s="190"/>
      <c r="AT953" s="191"/>
      <c r="AU953" s="190"/>
      <c r="AV953" s="190"/>
      <c r="AW953" s="190"/>
      <c r="AX953" s="190"/>
      <c r="AY953" s="190"/>
      <c r="AZ953" s="191"/>
      <c r="BA953" s="183"/>
      <c r="BB953" s="183"/>
      <c r="BC953" s="183"/>
      <c r="BD953" s="183"/>
      <c r="BE953" s="183"/>
      <c r="BF953" s="184"/>
      <c r="BG953" s="183"/>
      <c r="BH953" s="183"/>
      <c r="BI953" s="183"/>
      <c r="BJ953" s="183"/>
      <c r="BK953" s="183"/>
      <c r="BL953" s="184"/>
      <c r="BM953" s="409"/>
      <c r="BN953" s="409"/>
    </row>
    <row r="954" spans="1:66" s="153" customFormat="1" x14ac:dyDescent="0.2">
      <c r="A954" s="61"/>
      <c r="B954" s="61"/>
      <c r="C954" s="61"/>
      <c r="D954" s="61"/>
      <c r="E954" s="61"/>
      <c r="F954" s="61"/>
      <c r="G954" s="61"/>
      <c r="H954" s="61"/>
      <c r="I954" s="61"/>
      <c r="J954" s="61"/>
      <c r="K954" s="61"/>
      <c r="L954" s="61"/>
      <c r="M954" s="61"/>
      <c r="N954" s="61"/>
      <c r="O954" s="61"/>
      <c r="P954" s="61"/>
      <c r="Q954" s="61"/>
      <c r="R954" s="61"/>
      <c r="S954" s="61"/>
      <c r="T954" s="35"/>
      <c r="U954" s="187"/>
      <c r="V954" s="190"/>
      <c r="W954" s="190"/>
      <c r="X954" s="190"/>
      <c r="Y954" s="190"/>
      <c r="Z954" s="190"/>
      <c r="AA954" s="191"/>
      <c r="AB954" s="190"/>
      <c r="AC954" s="190"/>
      <c r="AD954" s="190"/>
      <c r="AE954" s="190"/>
      <c r="AF954" s="190"/>
      <c r="AG954" s="190"/>
      <c r="AH954" s="191"/>
      <c r="AI954" s="190"/>
      <c r="AJ954" s="190"/>
      <c r="AK954" s="190"/>
      <c r="AL954" s="190"/>
      <c r="AM954" s="190"/>
      <c r="AN954" s="191"/>
      <c r="AO954" s="190"/>
      <c r="AP954" s="190"/>
      <c r="AQ954" s="190"/>
      <c r="AR954" s="190"/>
      <c r="AS954" s="190"/>
      <c r="AT954" s="191"/>
      <c r="AU954" s="190"/>
      <c r="AV954" s="190"/>
      <c r="AW954" s="190"/>
      <c r="AX954" s="190"/>
      <c r="AY954" s="190"/>
      <c r="AZ954" s="191"/>
      <c r="BA954" s="183"/>
      <c r="BB954" s="183"/>
      <c r="BC954" s="183"/>
      <c r="BD954" s="183"/>
      <c r="BE954" s="183"/>
      <c r="BF954" s="184"/>
      <c r="BG954" s="183"/>
      <c r="BH954" s="183"/>
      <c r="BI954" s="183"/>
      <c r="BJ954" s="183"/>
      <c r="BK954" s="183"/>
      <c r="BL954" s="184"/>
      <c r="BM954" s="409"/>
      <c r="BN954" s="409"/>
    </row>
    <row r="955" spans="1:66" s="153" customFormat="1" x14ac:dyDescent="0.2">
      <c r="A955" s="61"/>
      <c r="B955" s="61"/>
      <c r="C955" s="61"/>
      <c r="D955" s="61"/>
      <c r="E955" s="61"/>
      <c r="F955" s="61"/>
      <c r="G955" s="61"/>
      <c r="H955" s="61"/>
      <c r="I955" s="61"/>
      <c r="J955" s="61"/>
      <c r="K955" s="61"/>
      <c r="L955" s="61"/>
      <c r="M955" s="61"/>
      <c r="N955" s="61"/>
      <c r="O955" s="61"/>
      <c r="P955" s="61"/>
      <c r="Q955" s="61"/>
      <c r="R955" s="61"/>
      <c r="S955" s="61"/>
      <c r="T955" s="35"/>
      <c r="U955" s="187"/>
      <c r="V955" s="190"/>
      <c r="W955" s="190"/>
      <c r="X955" s="190"/>
      <c r="Y955" s="190"/>
      <c r="Z955" s="190"/>
      <c r="AA955" s="191"/>
      <c r="AB955" s="190"/>
      <c r="AC955" s="190"/>
      <c r="AD955" s="190"/>
      <c r="AE955" s="190"/>
      <c r="AF955" s="190"/>
      <c r="AG955" s="190"/>
      <c r="AH955" s="191"/>
      <c r="AI955" s="190"/>
      <c r="AJ955" s="190"/>
      <c r="AK955" s="190"/>
      <c r="AL955" s="190"/>
      <c r="AM955" s="190"/>
      <c r="AN955" s="191"/>
      <c r="AO955" s="190"/>
      <c r="AP955" s="190"/>
      <c r="AQ955" s="190"/>
      <c r="AR955" s="190"/>
      <c r="AS955" s="190"/>
      <c r="AT955" s="191"/>
      <c r="AU955" s="190"/>
      <c r="AV955" s="190"/>
      <c r="AW955" s="190"/>
      <c r="AX955" s="190"/>
      <c r="AY955" s="190"/>
      <c r="AZ955" s="191"/>
      <c r="BA955" s="183"/>
      <c r="BB955" s="183"/>
      <c r="BC955" s="183"/>
      <c r="BD955" s="183"/>
      <c r="BE955" s="183"/>
      <c r="BF955" s="184"/>
      <c r="BG955" s="183"/>
      <c r="BH955" s="183"/>
      <c r="BI955" s="183"/>
      <c r="BJ955" s="183"/>
      <c r="BK955" s="183"/>
      <c r="BL955" s="184"/>
      <c r="BM955" s="409"/>
      <c r="BN955" s="409"/>
    </row>
    <row r="956" spans="1:66" s="153" customFormat="1" x14ac:dyDescent="0.2">
      <c r="A956" s="61"/>
      <c r="B956" s="61"/>
      <c r="C956" s="61"/>
      <c r="D956" s="61"/>
      <c r="E956" s="61"/>
      <c r="F956" s="61"/>
      <c r="G956" s="61"/>
      <c r="H956" s="61"/>
      <c r="I956" s="61"/>
      <c r="J956" s="61"/>
      <c r="K956" s="61"/>
      <c r="L956" s="61"/>
      <c r="M956" s="61"/>
      <c r="N956" s="61"/>
      <c r="O956" s="61"/>
      <c r="P956" s="61"/>
      <c r="Q956" s="61"/>
      <c r="R956" s="61"/>
      <c r="S956" s="61"/>
      <c r="T956" s="35"/>
      <c r="U956" s="187"/>
      <c r="V956" s="190"/>
      <c r="W956" s="190"/>
      <c r="X956" s="190"/>
      <c r="Y956" s="190"/>
      <c r="Z956" s="190"/>
      <c r="AA956" s="191"/>
      <c r="AB956" s="190"/>
      <c r="AC956" s="190"/>
      <c r="AD956" s="190"/>
      <c r="AE956" s="190"/>
      <c r="AF956" s="190"/>
      <c r="AG956" s="190"/>
      <c r="AH956" s="191"/>
      <c r="AI956" s="190"/>
      <c r="AJ956" s="190"/>
      <c r="AK956" s="190"/>
      <c r="AL956" s="190"/>
      <c r="AM956" s="190"/>
      <c r="AN956" s="191"/>
      <c r="AO956" s="190"/>
      <c r="AP956" s="190"/>
      <c r="AQ956" s="190"/>
      <c r="AR956" s="190"/>
      <c r="AS956" s="190"/>
      <c r="AT956" s="191"/>
      <c r="AU956" s="190"/>
      <c r="AV956" s="190"/>
      <c r="AW956" s="190"/>
      <c r="AX956" s="190"/>
      <c r="AY956" s="190"/>
      <c r="AZ956" s="191"/>
      <c r="BA956" s="183"/>
      <c r="BB956" s="183"/>
      <c r="BC956" s="183"/>
      <c r="BD956" s="183"/>
      <c r="BE956" s="183"/>
      <c r="BF956" s="184"/>
      <c r="BG956" s="183"/>
      <c r="BH956" s="183"/>
      <c r="BI956" s="183"/>
      <c r="BJ956" s="183"/>
      <c r="BK956" s="183"/>
      <c r="BL956" s="184"/>
      <c r="BM956" s="409"/>
      <c r="BN956" s="409"/>
    </row>
    <row r="957" spans="1:66" s="153" customFormat="1" x14ac:dyDescent="0.2">
      <c r="A957" s="61"/>
      <c r="B957" s="61"/>
      <c r="C957" s="61"/>
      <c r="D957" s="61"/>
      <c r="E957" s="61"/>
      <c r="F957" s="61"/>
      <c r="G957" s="61"/>
      <c r="H957" s="61"/>
      <c r="I957" s="61"/>
      <c r="J957" s="61"/>
      <c r="K957" s="61"/>
      <c r="L957" s="61"/>
      <c r="M957" s="61"/>
      <c r="N957" s="61"/>
      <c r="O957" s="61"/>
      <c r="P957" s="61"/>
      <c r="Q957" s="61"/>
      <c r="R957" s="61"/>
      <c r="S957" s="61"/>
      <c r="T957" s="35"/>
      <c r="U957" s="187"/>
      <c r="V957" s="190"/>
      <c r="W957" s="190"/>
      <c r="X957" s="190"/>
      <c r="Y957" s="190"/>
      <c r="Z957" s="190"/>
      <c r="AA957" s="191"/>
      <c r="AB957" s="190"/>
      <c r="AC957" s="190"/>
      <c r="AD957" s="190"/>
      <c r="AE957" s="190"/>
      <c r="AF957" s="190"/>
      <c r="AG957" s="190"/>
      <c r="AH957" s="191"/>
      <c r="AI957" s="190"/>
      <c r="AJ957" s="190"/>
      <c r="AK957" s="190"/>
      <c r="AL957" s="190"/>
      <c r="AM957" s="190"/>
      <c r="AN957" s="191"/>
      <c r="AO957" s="190"/>
      <c r="AP957" s="190"/>
      <c r="AQ957" s="190"/>
      <c r="AR957" s="190"/>
      <c r="AS957" s="190"/>
      <c r="AT957" s="191"/>
      <c r="AU957" s="190"/>
      <c r="AV957" s="190"/>
      <c r="AW957" s="190"/>
      <c r="AX957" s="190"/>
      <c r="AY957" s="190"/>
      <c r="AZ957" s="191"/>
      <c r="BA957" s="183"/>
      <c r="BB957" s="183"/>
      <c r="BC957" s="183"/>
      <c r="BD957" s="183"/>
      <c r="BE957" s="183"/>
      <c r="BF957" s="184"/>
      <c r="BG957" s="183"/>
      <c r="BH957" s="183"/>
      <c r="BI957" s="183"/>
      <c r="BJ957" s="183"/>
      <c r="BK957" s="183"/>
      <c r="BL957" s="184"/>
      <c r="BM957" s="409"/>
      <c r="BN957" s="409"/>
    </row>
    <row r="958" spans="1:66" s="153" customFormat="1" x14ac:dyDescent="0.2">
      <c r="A958" s="61"/>
      <c r="B958" s="61"/>
      <c r="C958" s="61"/>
      <c r="D958" s="61"/>
      <c r="E958" s="61"/>
      <c r="F958" s="61"/>
      <c r="G958" s="61"/>
      <c r="H958" s="61"/>
      <c r="I958" s="61"/>
      <c r="J958" s="61"/>
      <c r="K958" s="61"/>
      <c r="L958" s="61"/>
      <c r="M958" s="61"/>
      <c r="N958" s="61"/>
      <c r="O958" s="61"/>
      <c r="P958" s="61"/>
      <c r="Q958" s="61"/>
      <c r="R958" s="61"/>
      <c r="S958" s="61"/>
      <c r="T958" s="35"/>
      <c r="U958" s="187"/>
      <c r="V958" s="190"/>
      <c r="W958" s="190"/>
      <c r="X958" s="190"/>
      <c r="Y958" s="190"/>
      <c r="Z958" s="190"/>
      <c r="AA958" s="191"/>
      <c r="AB958" s="190"/>
      <c r="AC958" s="190"/>
      <c r="AD958" s="190"/>
      <c r="AE958" s="190"/>
      <c r="AF958" s="190"/>
      <c r="AG958" s="190"/>
      <c r="AH958" s="191"/>
      <c r="AI958" s="190"/>
      <c r="AJ958" s="190"/>
      <c r="AK958" s="190"/>
      <c r="AL958" s="190"/>
      <c r="AM958" s="190"/>
      <c r="AN958" s="191"/>
      <c r="AO958" s="190"/>
      <c r="AP958" s="190"/>
      <c r="AQ958" s="190"/>
      <c r="AR958" s="190"/>
      <c r="AS958" s="190"/>
      <c r="AT958" s="191"/>
      <c r="AU958" s="190"/>
      <c r="AV958" s="190"/>
      <c r="AW958" s="190"/>
      <c r="AX958" s="190"/>
      <c r="AY958" s="190"/>
      <c r="AZ958" s="191"/>
      <c r="BA958" s="183"/>
      <c r="BB958" s="183"/>
      <c r="BC958" s="183"/>
      <c r="BD958" s="183"/>
      <c r="BE958" s="183"/>
      <c r="BF958" s="184"/>
      <c r="BG958" s="183"/>
      <c r="BH958" s="183"/>
      <c r="BI958" s="183"/>
      <c r="BJ958" s="183"/>
      <c r="BK958" s="183"/>
      <c r="BL958" s="184"/>
      <c r="BM958" s="409"/>
      <c r="BN958" s="409"/>
    </row>
    <row r="959" spans="1:66" s="153" customFormat="1" x14ac:dyDescent="0.2">
      <c r="A959" s="61"/>
      <c r="B959" s="61"/>
      <c r="C959" s="61"/>
      <c r="D959" s="61"/>
      <c r="E959" s="61"/>
      <c r="F959" s="61"/>
      <c r="G959" s="61"/>
      <c r="H959" s="61"/>
      <c r="I959" s="61"/>
      <c r="J959" s="61"/>
      <c r="K959" s="61"/>
      <c r="L959" s="61"/>
      <c r="M959" s="61"/>
      <c r="N959" s="61"/>
      <c r="O959" s="61"/>
      <c r="P959" s="61"/>
      <c r="Q959" s="61"/>
      <c r="R959" s="61"/>
      <c r="S959" s="61"/>
      <c r="T959" s="35"/>
      <c r="U959" s="187"/>
      <c r="V959" s="190"/>
      <c r="W959" s="190"/>
      <c r="X959" s="190"/>
      <c r="Y959" s="190"/>
      <c r="Z959" s="190"/>
      <c r="AA959" s="191"/>
      <c r="AB959" s="190"/>
      <c r="AC959" s="190"/>
      <c r="AD959" s="190"/>
      <c r="AE959" s="190"/>
      <c r="AF959" s="190"/>
      <c r="AG959" s="190"/>
      <c r="AH959" s="191"/>
      <c r="AI959" s="190"/>
      <c r="AJ959" s="190"/>
      <c r="AK959" s="190"/>
      <c r="AL959" s="190"/>
      <c r="AM959" s="190"/>
      <c r="AN959" s="191"/>
      <c r="AO959" s="190"/>
      <c r="AP959" s="190"/>
      <c r="AQ959" s="190"/>
      <c r="AR959" s="190"/>
      <c r="AS959" s="190"/>
      <c r="AT959" s="191"/>
      <c r="AU959" s="190"/>
      <c r="AV959" s="190"/>
      <c r="AW959" s="190"/>
      <c r="AX959" s="190"/>
      <c r="AY959" s="190"/>
      <c r="AZ959" s="191"/>
      <c r="BA959" s="183"/>
      <c r="BB959" s="183"/>
      <c r="BC959" s="183"/>
      <c r="BD959" s="183"/>
      <c r="BE959" s="183"/>
      <c r="BF959" s="184"/>
      <c r="BG959" s="183"/>
      <c r="BH959" s="183"/>
      <c r="BI959" s="183"/>
      <c r="BJ959" s="183"/>
      <c r="BK959" s="183"/>
      <c r="BL959" s="184"/>
      <c r="BM959" s="409"/>
      <c r="BN959" s="409"/>
    </row>
    <row r="960" spans="1:66" s="153" customFormat="1" x14ac:dyDescent="0.2">
      <c r="A960" s="61"/>
      <c r="B960" s="61"/>
      <c r="C960" s="61"/>
      <c r="D960" s="61"/>
      <c r="E960" s="61"/>
      <c r="F960" s="61"/>
      <c r="G960" s="61"/>
      <c r="H960" s="61"/>
      <c r="I960" s="61"/>
      <c r="J960" s="61"/>
      <c r="K960" s="61"/>
      <c r="L960" s="61"/>
      <c r="M960" s="61"/>
      <c r="N960" s="61"/>
      <c r="O960" s="61"/>
      <c r="P960" s="61"/>
      <c r="Q960" s="61"/>
      <c r="R960" s="61"/>
      <c r="S960" s="61"/>
      <c r="T960" s="35"/>
      <c r="U960" s="187"/>
      <c r="V960" s="190"/>
      <c r="W960" s="190"/>
      <c r="X960" s="190"/>
      <c r="Y960" s="190"/>
      <c r="Z960" s="190"/>
      <c r="AA960" s="191"/>
      <c r="AB960" s="190"/>
      <c r="AC960" s="190"/>
      <c r="AD960" s="190"/>
      <c r="AE960" s="190"/>
      <c r="AF960" s="190"/>
      <c r="AG960" s="190"/>
      <c r="AH960" s="191"/>
      <c r="AI960" s="190"/>
      <c r="AJ960" s="190"/>
      <c r="AK960" s="190"/>
      <c r="AL960" s="190"/>
      <c r="AM960" s="190"/>
      <c r="AN960" s="191"/>
      <c r="AO960" s="190"/>
      <c r="AP960" s="190"/>
      <c r="AQ960" s="190"/>
      <c r="AR960" s="190"/>
      <c r="AS960" s="190"/>
      <c r="AT960" s="191"/>
      <c r="AU960" s="190"/>
      <c r="AV960" s="190"/>
      <c r="AW960" s="190"/>
      <c r="AX960" s="190"/>
      <c r="AY960" s="190"/>
      <c r="AZ960" s="191"/>
      <c r="BA960" s="183"/>
      <c r="BB960" s="183"/>
      <c r="BC960" s="183"/>
      <c r="BD960" s="183"/>
      <c r="BE960" s="183"/>
      <c r="BF960" s="184"/>
      <c r="BG960" s="183"/>
      <c r="BH960" s="183"/>
      <c r="BI960" s="183"/>
      <c r="BJ960" s="183"/>
      <c r="BK960" s="183"/>
      <c r="BL960" s="184"/>
      <c r="BM960" s="409"/>
      <c r="BN960" s="409"/>
    </row>
    <row r="961" spans="1:66" s="153" customFormat="1" x14ac:dyDescent="0.2">
      <c r="A961" s="61"/>
      <c r="B961" s="61"/>
      <c r="C961" s="61"/>
      <c r="D961" s="61"/>
      <c r="E961" s="61"/>
      <c r="F961" s="61"/>
      <c r="G961" s="61"/>
      <c r="H961" s="61"/>
      <c r="I961" s="61"/>
      <c r="J961" s="61"/>
      <c r="K961" s="61"/>
      <c r="L961" s="61"/>
      <c r="M961" s="61"/>
      <c r="N961" s="61"/>
      <c r="O961" s="61"/>
      <c r="P961" s="61"/>
      <c r="Q961" s="61"/>
      <c r="R961" s="61"/>
      <c r="S961" s="61"/>
      <c r="T961" s="35"/>
      <c r="U961" s="187"/>
      <c r="V961" s="190"/>
      <c r="W961" s="190"/>
      <c r="X961" s="190"/>
      <c r="Y961" s="190"/>
      <c r="Z961" s="190"/>
      <c r="AA961" s="191"/>
      <c r="AB961" s="190"/>
      <c r="AC961" s="190"/>
      <c r="AD961" s="190"/>
      <c r="AE961" s="190"/>
      <c r="AF961" s="190"/>
      <c r="AG961" s="190"/>
      <c r="AH961" s="191"/>
      <c r="AI961" s="190"/>
      <c r="AJ961" s="190"/>
      <c r="AK961" s="190"/>
      <c r="AL961" s="190"/>
      <c r="AM961" s="190"/>
      <c r="AN961" s="191"/>
      <c r="AO961" s="190"/>
      <c r="AP961" s="190"/>
      <c r="AQ961" s="190"/>
      <c r="AR961" s="190"/>
      <c r="AS961" s="190"/>
      <c r="AT961" s="191"/>
      <c r="AU961" s="190"/>
      <c r="AV961" s="190"/>
      <c r="AW961" s="190"/>
      <c r="AX961" s="190"/>
      <c r="AY961" s="190"/>
      <c r="AZ961" s="191"/>
      <c r="BA961" s="183"/>
      <c r="BB961" s="183"/>
      <c r="BC961" s="183"/>
      <c r="BD961" s="183"/>
      <c r="BE961" s="183"/>
      <c r="BF961" s="184"/>
      <c r="BG961" s="183"/>
      <c r="BH961" s="183"/>
      <c r="BI961" s="183"/>
      <c r="BJ961" s="183"/>
      <c r="BK961" s="183"/>
      <c r="BL961" s="184"/>
      <c r="BM961" s="409"/>
      <c r="BN961" s="409"/>
    </row>
    <row r="962" spans="1:66" s="153" customFormat="1" x14ac:dyDescent="0.2">
      <c r="A962" s="61"/>
      <c r="B962" s="61"/>
      <c r="C962" s="61"/>
      <c r="D962" s="61"/>
      <c r="E962" s="61"/>
      <c r="F962" s="61"/>
      <c r="G962" s="61"/>
      <c r="H962" s="61"/>
      <c r="I962" s="61"/>
      <c r="J962" s="61"/>
      <c r="K962" s="61"/>
      <c r="L962" s="61"/>
      <c r="M962" s="61"/>
      <c r="N962" s="61"/>
      <c r="O962" s="61"/>
      <c r="P962" s="61"/>
      <c r="Q962" s="61"/>
      <c r="R962" s="61"/>
      <c r="S962" s="61"/>
      <c r="T962" s="35"/>
      <c r="U962" s="187"/>
      <c r="V962" s="190"/>
      <c r="W962" s="190"/>
      <c r="X962" s="190"/>
      <c r="Y962" s="190"/>
      <c r="Z962" s="190"/>
      <c r="AA962" s="191"/>
      <c r="AB962" s="190"/>
      <c r="AC962" s="190"/>
      <c r="AD962" s="190"/>
      <c r="AE962" s="190"/>
      <c r="AF962" s="190"/>
      <c r="AG962" s="190"/>
      <c r="AH962" s="191"/>
      <c r="AI962" s="190"/>
      <c r="AJ962" s="190"/>
      <c r="AK962" s="190"/>
      <c r="AL962" s="190"/>
      <c r="AM962" s="190"/>
      <c r="AN962" s="191"/>
      <c r="AO962" s="190"/>
      <c r="AP962" s="190"/>
      <c r="AQ962" s="190"/>
      <c r="AR962" s="190"/>
      <c r="AS962" s="190"/>
      <c r="AT962" s="191"/>
      <c r="AU962" s="190"/>
      <c r="AV962" s="190"/>
      <c r="AW962" s="190"/>
      <c r="AX962" s="190"/>
      <c r="AY962" s="190"/>
      <c r="AZ962" s="191"/>
      <c r="BA962" s="183"/>
      <c r="BB962" s="183"/>
      <c r="BC962" s="183"/>
      <c r="BD962" s="183"/>
      <c r="BE962" s="183"/>
      <c r="BF962" s="184"/>
      <c r="BG962" s="183"/>
      <c r="BH962" s="183"/>
      <c r="BI962" s="183"/>
      <c r="BJ962" s="183"/>
      <c r="BK962" s="183"/>
      <c r="BL962" s="184"/>
      <c r="BM962" s="409"/>
      <c r="BN962" s="409"/>
    </row>
    <row r="963" spans="1:66" s="153" customFormat="1" x14ac:dyDescent="0.2">
      <c r="A963" s="61"/>
      <c r="B963" s="61"/>
      <c r="C963" s="61"/>
      <c r="D963" s="61"/>
      <c r="E963" s="61"/>
      <c r="F963" s="61"/>
      <c r="G963" s="61"/>
      <c r="H963" s="61"/>
      <c r="I963" s="61"/>
      <c r="J963" s="61"/>
      <c r="K963" s="61"/>
      <c r="L963" s="61"/>
      <c r="M963" s="61"/>
      <c r="N963" s="61"/>
      <c r="O963" s="61"/>
      <c r="P963" s="61"/>
      <c r="Q963" s="61"/>
      <c r="R963" s="61"/>
      <c r="S963" s="61"/>
      <c r="T963" s="35"/>
      <c r="U963" s="187"/>
      <c r="V963" s="190"/>
      <c r="W963" s="190"/>
      <c r="X963" s="190"/>
      <c r="Y963" s="190"/>
      <c r="Z963" s="190"/>
      <c r="AA963" s="191"/>
      <c r="AB963" s="190"/>
      <c r="AC963" s="190"/>
      <c r="AD963" s="190"/>
      <c r="AE963" s="190"/>
      <c r="AF963" s="190"/>
      <c r="AG963" s="190"/>
      <c r="AH963" s="191"/>
      <c r="AI963" s="190"/>
      <c r="AJ963" s="190"/>
      <c r="AK963" s="190"/>
      <c r="AL963" s="190"/>
      <c r="AM963" s="190"/>
      <c r="AN963" s="191"/>
      <c r="AO963" s="190"/>
      <c r="AP963" s="190"/>
      <c r="AQ963" s="190"/>
      <c r="AR963" s="190"/>
      <c r="AS963" s="190"/>
      <c r="AT963" s="191"/>
      <c r="AU963" s="190"/>
      <c r="AV963" s="190"/>
      <c r="AW963" s="190"/>
      <c r="AX963" s="190"/>
      <c r="AY963" s="190"/>
      <c r="AZ963" s="191"/>
      <c r="BA963" s="183"/>
      <c r="BB963" s="183"/>
      <c r="BC963" s="183"/>
      <c r="BD963" s="183"/>
      <c r="BE963" s="183"/>
      <c r="BF963" s="184"/>
      <c r="BG963" s="183"/>
      <c r="BH963" s="183"/>
      <c r="BI963" s="183"/>
      <c r="BJ963" s="183"/>
      <c r="BK963" s="183"/>
      <c r="BL963" s="184"/>
      <c r="BM963" s="409"/>
      <c r="BN963" s="409"/>
    </row>
    <row r="964" spans="1:66" s="153" customFormat="1" x14ac:dyDescent="0.2">
      <c r="A964" s="61"/>
      <c r="B964" s="61"/>
      <c r="C964" s="61"/>
      <c r="D964" s="61"/>
      <c r="E964" s="61"/>
      <c r="F964" s="61"/>
      <c r="G964" s="61"/>
      <c r="H964" s="61"/>
      <c r="I964" s="61"/>
      <c r="J964" s="61"/>
      <c r="K964" s="61"/>
      <c r="L964" s="61"/>
      <c r="M964" s="61"/>
      <c r="N964" s="61"/>
      <c r="O964" s="61"/>
      <c r="P964" s="61"/>
      <c r="Q964" s="61"/>
      <c r="R964" s="61"/>
      <c r="S964" s="61"/>
      <c r="T964" s="35"/>
      <c r="U964" s="187"/>
      <c r="V964" s="190"/>
      <c r="W964" s="190"/>
      <c r="X964" s="190"/>
      <c r="Y964" s="190"/>
      <c r="Z964" s="190"/>
      <c r="AA964" s="191"/>
      <c r="AB964" s="190"/>
      <c r="AC964" s="190"/>
      <c r="AD964" s="190"/>
      <c r="AE964" s="190"/>
      <c r="AF964" s="190"/>
      <c r="AG964" s="190"/>
      <c r="AH964" s="191"/>
      <c r="AI964" s="190"/>
      <c r="AJ964" s="190"/>
      <c r="AK964" s="190"/>
      <c r="AL964" s="190"/>
      <c r="AM964" s="190"/>
      <c r="AN964" s="191"/>
      <c r="AO964" s="190"/>
      <c r="AP964" s="190"/>
      <c r="AQ964" s="190"/>
      <c r="AR964" s="190"/>
      <c r="AS964" s="190"/>
      <c r="AT964" s="191"/>
      <c r="AU964" s="190"/>
      <c r="AV964" s="190"/>
      <c r="AW964" s="190"/>
      <c r="AX964" s="190"/>
      <c r="AY964" s="190"/>
      <c r="AZ964" s="191"/>
      <c r="BA964" s="183"/>
      <c r="BB964" s="183"/>
      <c r="BC964" s="183"/>
      <c r="BD964" s="183"/>
      <c r="BE964" s="183"/>
      <c r="BF964" s="184"/>
      <c r="BG964" s="183"/>
      <c r="BH964" s="183"/>
      <c r="BI964" s="183"/>
      <c r="BJ964" s="183"/>
      <c r="BK964" s="183"/>
      <c r="BL964" s="184"/>
      <c r="BM964" s="409"/>
      <c r="BN964" s="409"/>
    </row>
    <row r="965" spans="1:66" s="153" customFormat="1" x14ac:dyDescent="0.2">
      <c r="A965" s="61"/>
      <c r="B965" s="61"/>
      <c r="C965" s="61"/>
      <c r="D965" s="61"/>
      <c r="E965" s="61"/>
      <c r="F965" s="61"/>
      <c r="G965" s="61"/>
      <c r="H965" s="61"/>
      <c r="I965" s="61"/>
      <c r="J965" s="61"/>
      <c r="K965" s="61"/>
      <c r="L965" s="61"/>
      <c r="M965" s="61"/>
      <c r="N965" s="61"/>
      <c r="O965" s="61"/>
      <c r="P965" s="61"/>
      <c r="Q965" s="61"/>
      <c r="R965" s="61"/>
      <c r="S965" s="61"/>
      <c r="T965" s="35"/>
      <c r="U965" s="187"/>
      <c r="V965" s="190"/>
      <c r="W965" s="190"/>
      <c r="X965" s="190"/>
      <c r="Y965" s="190"/>
      <c r="Z965" s="190"/>
      <c r="AA965" s="191"/>
      <c r="AB965" s="190"/>
      <c r="AC965" s="190"/>
      <c r="AD965" s="190"/>
      <c r="AE965" s="190"/>
      <c r="AF965" s="190"/>
      <c r="AG965" s="190"/>
      <c r="AH965" s="191"/>
      <c r="AI965" s="190"/>
      <c r="AJ965" s="190"/>
      <c r="AK965" s="190"/>
      <c r="AL965" s="190"/>
      <c r="AM965" s="190"/>
      <c r="AN965" s="191"/>
      <c r="AO965" s="190"/>
      <c r="AP965" s="190"/>
      <c r="AQ965" s="190"/>
      <c r="AR965" s="190"/>
      <c r="AS965" s="190"/>
      <c r="AT965" s="191"/>
      <c r="AU965" s="190"/>
      <c r="AV965" s="190"/>
      <c r="AW965" s="190"/>
      <c r="AX965" s="190"/>
      <c r="AY965" s="190"/>
      <c r="AZ965" s="191"/>
      <c r="BA965" s="183"/>
      <c r="BB965" s="183"/>
      <c r="BC965" s="183"/>
      <c r="BD965" s="183"/>
      <c r="BE965" s="183"/>
      <c r="BF965" s="184"/>
      <c r="BG965" s="183"/>
      <c r="BH965" s="183"/>
      <c r="BI965" s="183"/>
      <c r="BJ965" s="183"/>
      <c r="BK965" s="183"/>
      <c r="BL965" s="184"/>
      <c r="BM965" s="409"/>
      <c r="BN965" s="409"/>
    </row>
    <row r="966" spans="1:66" s="153" customFormat="1" x14ac:dyDescent="0.2">
      <c r="A966" s="61"/>
      <c r="B966" s="61"/>
      <c r="C966" s="61"/>
      <c r="D966" s="61"/>
      <c r="E966" s="61"/>
      <c r="F966" s="61"/>
      <c r="G966" s="61"/>
      <c r="H966" s="61"/>
      <c r="I966" s="61"/>
      <c r="J966" s="61"/>
      <c r="K966" s="61"/>
      <c r="L966" s="61"/>
      <c r="M966" s="61"/>
      <c r="N966" s="61"/>
      <c r="O966" s="61"/>
      <c r="P966" s="61"/>
      <c r="Q966" s="61"/>
      <c r="R966" s="61"/>
      <c r="S966" s="61"/>
      <c r="T966" s="35"/>
      <c r="U966" s="187"/>
      <c r="V966" s="190"/>
      <c r="W966" s="190"/>
      <c r="X966" s="190"/>
      <c r="Y966" s="190"/>
      <c r="Z966" s="190"/>
      <c r="AA966" s="191"/>
      <c r="AB966" s="190"/>
      <c r="AC966" s="190"/>
      <c r="AD966" s="190"/>
      <c r="AE966" s="190"/>
      <c r="AF966" s="190"/>
      <c r="AG966" s="190"/>
      <c r="AH966" s="191"/>
      <c r="AI966" s="190"/>
      <c r="AJ966" s="190"/>
      <c r="AK966" s="190"/>
      <c r="AL966" s="190"/>
      <c r="AM966" s="190"/>
      <c r="AN966" s="191"/>
      <c r="AO966" s="190"/>
      <c r="AP966" s="190"/>
      <c r="AQ966" s="190"/>
      <c r="AR966" s="190"/>
      <c r="AS966" s="190"/>
      <c r="AT966" s="191"/>
      <c r="AU966" s="190"/>
      <c r="AV966" s="190"/>
      <c r="AW966" s="190"/>
      <c r="AX966" s="190"/>
      <c r="AY966" s="190"/>
      <c r="AZ966" s="191"/>
      <c r="BA966" s="183"/>
      <c r="BB966" s="183"/>
      <c r="BC966" s="183"/>
      <c r="BD966" s="183"/>
      <c r="BE966" s="183"/>
      <c r="BF966" s="184"/>
      <c r="BG966" s="183"/>
      <c r="BH966" s="183"/>
      <c r="BI966" s="183"/>
      <c r="BJ966" s="183"/>
      <c r="BK966" s="183"/>
      <c r="BL966" s="184"/>
      <c r="BM966" s="409"/>
      <c r="BN966" s="409"/>
    </row>
    <row r="967" spans="1:66" s="153" customFormat="1" x14ac:dyDescent="0.2">
      <c r="A967" s="61"/>
      <c r="B967" s="61"/>
      <c r="C967" s="61"/>
      <c r="D967" s="61"/>
      <c r="E967" s="61"/>
      <c r="F967" s="61"/>
      <c r="G967" s="61"/>
      <c r="H967" s="61"/>
      <c r="I967" s="61"/>
      <c r="J967" s="61"/>
      <c r="K967" s="61"/>
      <c r="L967" s="61"/>
      <c r="M967" s="61"/>
      <c r="N967" s="61"/>
      <c r="O967" s="61"/>
      <c r="P967" s="61"/>
      <c r="Q967" s="61"/>
      <c r="R967" s="61"/>
      <c r="S967" s="61"/>
      <c r="T967" s="35"/>
      <c r="U967" s="187"/>
      <c r="V967" s="190"/>
      <c r="W967" s="190"/>
      <c r="X967" s="190"/>
      <c r="Y967" s="190"/>
      <c r="Z967" s="190"/>
      <c r="AA967" s="191"/>
      <c r="AB967" s="190"/>
      <c r="AC967" s="190"/>
      <c r="AD967" s="190"/>
      <c r="AE967" s="190"/>
      <c r="AF967" s="190"/>
      <c r="AG967" s="190"/>
      <c r="AH967" s="191"/>
      <c r="AI967" s="190"/>
      <c r="AJ967" s="190"/>
      <c r="AK967" s="190"/>
      <c r="AL967" s="190"/>
      <c r="AM967" s="190"/>
      <c r="AN967" s="191"/>
      <c r="AO967" s="190"/>
      <c r="AP967" s="190"/>
      <c r="AQ967" s="190"/>
      <c r="AR967" s="190"/>
      <c r="AS967" s="190"/>
      <c r="AT967" s="191"/>
      <c r="AU967" s="190"/>
      <c r="AV967" s="190"/>
      <c r="AW967" s="190"/>
      <c r="AX967" s="190"/>
      <c r="AY967" s="190"/>
      <c r="AZ967" s="191"/>
      <c r="BA967" s="183"/>
      <c r="BB967" s="183"/>
      <c r="BC967" s="183"/>
      <c r="BD967" s="183"/>
      <c r="BE967" s="183"/>
      <c r="BF967" s="184"/>
      <c r="BG967" s="183"/>
      <c r="BH967" s="183"/>
      <c r="BI967" s="183"/>
      <c r="BJ967" s="183"/>
      <c r="BK967" s="183"/>
      <c r="BL967" s="184"/>
      <c r="BM967" s="409"/>
      <c r="BN967" s="409"/>
    </row>
    <row r="968" spans="1:66" s="153" customFormat="1" x14ac:dyDescent="0.2">
      <c r="A968" s="61"/>
      <c r="B968" s="61"/>
      <c r="C968" s="61"/>
      <c r="D968" s="61"/>
      <c r="E968" s="61"/>
      <c r="F968" s="61"/>
      <c r="G968" s="61"/>
      <c r="H968" s="61"/>
      <c r="I968" s="61"/>
      <c r="J968" s="61"/>
      <c r="K968" s="61"/>
      <c r="L968" s="61"/>
      <c r="M968" s="61"/>
      <c r="N968" s="61"/>
      <c r="O968" s="61"/>
      <c r="P968" s="61"/>
      <c r="Q968" s="61"/>
      <c r="R968" s="61"/>
      <c r="S968" s="61"/>
      <c r="T968" s="35"/>
      <c r="U968" s="187"/>
      <c r="V968" s="190"/>
      <c r="W968" s="190"/>
      <c r="X968" s="190"/>
      <c r="Y968" s="190"/>
      <c r="Z968" s="190"/>
      <c r="AA968" s="191"/>
      <c r="AB968" s="190"/>
      <c r="AC968" s="190"/>
      <c r="AD968" s="190"/>
      <c r="AE968" s="190"/>
      <c r="AF968" s="190"/>
      <c r="AG968" s="190"/>
      <c r="AH968" s="191"/>
      <c r="AI968" s="190"/>
      <c r="AJ968" s="190"/>
      <c r="AK968" s="190"/>
      <c r="AL968" s="190"/>
      <c r="AM968" s="190"/>
      <c r="AN968" s="191"/>
      <c r="AO968" s="190"/>
      <c r="AP968" s="190"/>
      <c r="AQ968" s="190"/>
      <c r="AR968" s="190"/>
      <c r="AS968" s="190"/>
      <c r="AT968" s="191"/>
      <c r="AU968" s="190"/>
      <c r="AV968" s="190"/>
      <c r="AW968" s="190"/>
      <c r="AX968" s="190"/>
      <c r="AY968" s="190"/>
      <c r="AZ968" s="191"/>
      <c r="BA968" s="183"/>
      <c r="BB968" s="183"/>
      <c r="BC968" s="183"/>
      <c r="BD968" s="183"/>
      <c r="BE968" s="183"/>
      <c r="BF968" s="184"/>
      <c r="BG968" s="183"/>
      <c r="BH968" s="183"/>
      <c r="BI968" s="183"/>
      <c r="BJ968" s="183"/>
      <c r="BK968" s="183"/>
      <c r="BL968" s="184"/>
      <c r="BM968" s="409"/>
      <c r="BN968" s="409"/>
    </row>
    <row r="969" spans="1:66" s="153" customFormat="1" x14ac:dyDescent="0.2">
      <c r="A969" s="61"/>
      <c r="B969" s="61"/>
      <c r="C969" s="61"/>
      <c r="D969" s="61"/>
      <c r="E969" s="61"/>
      <c r="F969" s="61"/>
      <c r="G969" s="61"/>
      <c r="H969" s="61"/>
      <c r="I969" s="61"/>
      <c r="J969" s="61"/>
      <c r="K969" s="61"/>
      <c r="L969" s="61"/>
      <c r="M969" s="61"/>
      <c r="N969" s="61"/>
      <c r="O969" s="61"/>
      <c r="P969" s="61"/>
      <c r="Q969" s="61"/>
      <c r="R969" s="61"/>
      <c r="S969" s="61"/>
      <c r="T969" s="35"/>
      <c r="U969" s="187"/>
      <c r="V969" s="190"/>
      <c r="W969" s="190"/>
      <c r="X969" s="190"/>
      <c r="Y969" s="190"/>
      <c r="Z969" s="190"/>
      <c r="AA969" s="191"/>
      <c r="AB969" s="190"/>
      <c r="AC969" s="190"/>
      <c r="AD969" s="190"/>
      <c r="AE969" s="190"/>
      <c r="AF969" s="190"/>
      <c r="AG969" s="190"/>
      <c r="AH969" s="191"/>
      <c r="AI969" s="190"/>
      <c r="AJ969" s="190"/>
      <c r="AK969" s="190"/>
      <c r="AL969" s="190"/>
      <c r="AM969" s="190"/>
      <c r="AN969" s="191"/>
      <c r="AO969" s="190"/>
      <c r="AP969" s="190"/>
      <c r="AQ969" s="190"/>
      <c r="AR969" s="190"/>
      <c r="AS969" s="190"/>
      <c r="AT969" s="191"/>
      <c r="AU969" s="190"/>
      <c r="AV969" s="190"/>
      <c r="AW969" s="190"/>
      <c r="AX969" s="190"/>
      <c r="AY969" s="190"/>
      <c r="AZ969" s="191"/>
      <c r="BA969" s="183"/>
      <c r="BB969" s="183"/>
      <c r="BC969" s="183"/>
      <c r="BD969" s="183"/>
      <c r="BE969" s="183"/>
      <c r="BF969" s="184"/>
      <c r="BG969" s="183"/>
      <c r="BH969" s="183"/>
      <c r="BI969" s="183"/>
      <c r="BJ969" s="183"/>
      <c r="BK969" s="183"/>
      <c r="BL969" s="184"/>
      <c r="BM969" s="409"/>
      <c r="BN969" s="409"/>
    </row>
    <row r="970" spans="1:66" s="153" customFormat="1" x14ac:dyDescent="0.2">
      <c r="A970" s="61"/>
      <c r="B970" s="61"/>
      <c r="C970" s="61"/>
      <c r="D970" s="61"/>
      <c r="E970" s="61"/>
      <c r="F970" s="61"/>
      <c r="G970" s="61"/>
      <c r="H970" s="61"/>
      <c r="I970" s="61"/>
      <c r="J970" s="61"/>
      <c r="K970" s="61"/>
      <c r="L970" s="61"/>
      <c r="M970" s="61"/>
      <c r="N970" s="61"/>
      <c r="O970" s="61"/>
      <c r="P970" s="61"/>
      <c r="Q970" s="61"/>
      <c r="R970" s="61"/>
      <c r="S970" s="61"/>
      <c r="T970" s="35"/>
      <c r="U970" s="187"/>
      <c r="V970" s="190"/>
      <c r="W970" s="190"/>
      <c r="X970" s="190"/>
      <c r="Y970" s="190"/>
      <c r="Z970" s="190"/>
      <c r="AA970" s="191"/>
      <c r="AB970" s="190"/>
      <c r="AC970" s="190"/>
      <c r="AD970" s="190"/>
      <c r="AE970" s="190"/>
      <c r="AF970" s="190"/>
      <c r="AG970" s="190"/>
      <c r="AH970" s="191"/>
      <c r="AI970" s="190"/>
      <c r="AJ970" s="190"/>
      <c r="AK970" s="190"/>
      <c r="AL970" s="190"/>
      <c r="AM970" s="190"/>
      <c r="AN970" s="191"/>
      <c r="AO970" s="190"/>
      <c r="AP970" s="190"/>
      <c r="AQ970" s="190"/>
      <c r="AR970" s="190"/>
      <c r="AS970" s="190"/>
      <c r="AT970" s="191"/>
      <c r="AU970" s="190"/>
      <c r="AV970" s="190"/>
      <c r="AW970" s="190"/>
      <c r="AX970" s="190"/>
      <c r="AY970" s="190"/>
      <c r="AZ970" s="191"/>
      <c r="BA970" s="183"/>
      <c r="BB970" s="183"/>
      <c r="BC970" s="183"/>
      <c r="BD970" s="183"/>
      <c r="BE970" s="183"/>
      <c r="BF970" s="184"/>
      <c r="BG970" s="183"/>
      <c r="BH970" s="183"/>
      <c r="BI970" s="183"/>
      <c r="BJ970" s="183"/>
      <c r="BK970" s="183"/>
      <c r="BL970" s="184"/>
      <c r="BM970" s="409"/>
      <c r="BN970" s="409"/>
    </row>
    <row r="971" spans="1:66" s="153" customFormat="1" x14ac:dyDescent="0.2">
      <c r="A971" s="61"/>
      <c r="B971" s="61"/>
      <c r="C971" s="61"/>
      <c r="D971" s="61"/>
      <c r="E971" s="61"/>
      <c r="F971" s="61"/>
      <c r="G971" s="61"/>
      <c r="H971" s="61"/>
      <c r="I971" s="61"/>
      <c r="J971" s="61"/>
      <c r="K971" s="61"/>
      <c r="L971" s="61"/>
      <c r="M971" s="61"/>
      <c r="N971" s="61"/>
      <c r="O971" s="61"/>
      <c r="P971" s="61"/>
      <c r="Q971" s="61"/>
      <c r="R971" s="61"/>
      <c r="S971" s="61"/>
      <c r="T971" s="35"/>
      <c r="U971" s="187"/>
      <c r="V971" s="190"/>
      <c r="W971" s="190"/>
      <c r="X971" s="190"/>
      <c r="Y971" s="190"/>
      <c r="Z971" s="190"/>
      <c r="AA971" s="191"/>
      <c r="AB971" s="190"/>
      <c r="AC971" s="190"/>
      <c r="AD971" s="190"/>
      <c r="AE971" s="190"/>
      <c r="AF971" s="190"/>
      <c r="AG971" s="190"/>
      <c r="AH971" s="191"/>
      <c r="AI971" s="190"/>
      <c r="AJ971" s="190"/>
      <c r="AK971" s="190"/>
      <c r="AL971" s="190"/>
      <c r="AM971" s="190"/>
      <c r="AN971" s="191"/>
      <c r="AO971" s="190"/>
      <c r="AP971" s="190"/>
      <c r="AQ971" s="190"/>
      <c r="AR971" s="190"/>
      <c r="AS971" s="190"/>
      <c r="AT971" s="191"/>
      <c r="AU971" s="190"/>
      <c r="AV971" s="190"/>
      <c r="AW971" s="190"/>
      <c r="AX971" s="190"/>
      <c r="AY971" s="190"/>
      <c r="AZ971" s="191"/>
      <c r="BA971" s="183"/>
      <c r="BB971" s="183"/>
      <c r="BC971" s="183"/>
      <c r="BD971" s="183"/>
      <c r="BE971" s="183"/>
      <c r="BF971" s="184"/>
      <c r="BG971" s="183"/>
      <c r="BH971" s="183"/>
      <c r="BI971" s="183"/>
      <c r="BJ971" s="183"/>
      <c r="BK971" s="183"/>
      <c r="BL971" s="184"/>
      <c r="BM971" s="409"/>
      <c r="BN971" s="409"/>
    </row>
    <row r="972" spans="1:66" s="153" customFormat="1" x14ac:dyDescent="0.2">
      <c r="A972" s="61"/>
      <c r="B972" s="61"/>
      <c r="C972" s="61"/>
      <c r="D972" s="61"/>
      <c r="E972" s="61"/>
      <c r="F972" s="61"/>
      <c r="G972" s="61"/>
      <c r="H972" s="61"/>
      <c r="I972" s="61"/>
      <c r="J972" s="61"/>
      <c r="K972" s="61"/>
      <c r="L972" s="61"/>
      <c r="M972" s="61"/>
      <c r="N972" s="61"/>
      <c r="O972" s="61"/>
      <c r="P972" s="61"/>
      <c r="Q972" s="61"/>
      <c r="R972" s="61"/>
      <c r="S972" s="61"/>
      <c r="T972" s="35"/>
      <c r="U972" s="187"/>
      <c r="V972" s="190"/>
      <c r="W972" s="190"/>
      <c r="X972" s="190"/>
      <c r="Y972" s="190"/>
      <c r="Z972" s="190"/>
      <c r="AA972" s="191"/>
      <c r="AB972" s="190"/>
      <c r="AC972" s="190"/>
      <c r="AD972" s="190"/>
      <c r="AE972" s="190"/>
      <c r="AF972" s="190"/>
      <c r="AG972" s="190"/>
      <c r="AH972" s="191"/>
      <c r="AI972" s="190"/>
      <c r="AJ972" s="190"/>
      <c r="AK972" s="190"/>
      <c r="AL972" s="190"/>
      <c r="AM972" s="190"/>
      <c r="AN972" s="191"/>
      <c r="AO972" s="190"/>
      <c r="AP972" s="190"/>
      <c r="AQ972" s="190"/>
      <c r="AR972" s="190"/>
      <c r="AS972" s="190"/>
      <c r="AT972" s="191"/>
      <c r="AU972" s="190"/>
      <c r="AV972" s="190"/>
      <c r="AW972" s="190"/>
      <c r="AX972" s="190"/>
      <c r="AY972" s="190"/>
      <c r="AZ972" s="191"/>
      <c r="BA972" s="183"/>
      <c r="BB972" s="183"/>
      <c r="BC972" s="183"/>
      <c r="BD972" s="183"/>
      <c r="BE972" s="183"/>
      <c r="BF972" s="184"/>
      <c r="BG972" s="183"/>
      <c r="BH972" s="183"/>
      <c r="BI972" s="183"/>
      <c r="BJ972" s="183"/>
      <c r="BK972" s="183"/>
      <c r="BL972" s="184"/>
      <c r="BM972" s="409"/>
      <c r="BN972" s="409"/>
    </row>
    <row r="973" spans="1:66" s="153" customFormat="1" x14ac:dyDescent="0.2">
      <c r="A973" s="61"/>
      <c r="B973" s="61"/>
      <c r="C973" s="61"/>
      <c r="D973" s="61"/>
      <c r="E973" s="61"/>
      <c r="F973" s="61"/>
      <c r="G973" s="61"/>
      <c r="H973" s="61"/>
      <c r="I973" s="61"/>
      <c r="J973" s="61"/>
      <c r="K973" s="61"/>
      <c r="L973" s="61"/>
      <c r="M973" s="61"/>
      <c r="N973" s="61"/>
      <c r="O973" s="61"/>
      <c r="P973" s="61"/>
      <c r="Q973" s="61"/>
      <c r="R973" s="61"/>
      <c r="S973" s="61"/>
      <c r="T973" s="35"/>
      <c r="U973" s="187"/>
      <c r="V973" s="190"/>
      <c r="W973" s="190"/>
      <c r="X973" s="190"/>
      <c r="Y973" s="190"/>
      <c r="Z973" s="190"/>
      <c r="AA973" s="191"/>
      <c r="AB973" s="190"/>
      <c r="AC973" s="190"/>
      <c r="AD973" s="190"/>
      <c r="AE973" s="190"/>
      <c r="AF973" s="190"/>
      <c r="AG973" s="190"/>
      <c r="AH973" s="191"/>
      <c r="AI973" s="190"/>
      <c r="AJ973" s="190"/>
      <c r="AK973" s="190"/>
      <c r="AL973" s="190"/>
      <c r="AM973" s="190"/>
      <c r="AN973" s="191"/>
      <c r="AO973" s="190"/>
      <c r="AP973" s="190"/>
      <c r="AQ973" s="190"/>
      <c r="AR973" s="190"/>
      <c r="AS973" s="190"/>
      <c r="AT973" s="191"/>
      <c r="AU973" s="190"/>
      <c r="AV973" s="190"/>
      <c r="AW973" s="190"/>
      <c r="AX973" s="190"/>
      <c r="AY973" s="190"/>
      <c r="AZ973" s="191"/>
      <c r="BA973" s="183"/>
      <c r="BB973" s="183"/>
      <c r="BC973" s="183"/>
      <c r="BD973" s="183"/>
      <c r="BE973" s="183"/>
      <c r="BF973" s="184"/>
      <c r="BG973" s="183"/>
      <c r="BH973" s="183"/>
      <c r="BI973" s="183"/>
      <c r="BJ973" s="183"/>
      <c r="BK973" s="183"/>
      <c r="BL973" s="184"/>
      <c r="BM973" s="409"/>
      <c r="BN973" s="409"/>
    </row>
    <row r="974" spans="1:66" s="153" customFormat="1" x14ac:dyDescent="0.2">
      <c r="A974" s="61"/>
      <c r="B974" s="61"/>
      <c r="C974" s="61"/>
      <c r="D974" s="61"/>
      <c r="E974" s="61"/>
      <c r="F974" s="61"/>
      <c r="G974" s="61"/>
      <c r="H974" s="61"/>
      <c r="I974" s="61"/>
      <c r="J974" s="61"/>
      <c r="K974" s="61"/>
      <c r="L974" s="61"/>
      <c r="M974" s="61"/>
      <c r="N974" s="61"/>
      <c r="O974" s="61"/>
      <c r="P974" s="61"/>
      <c r="Q974" s="61"/>
      <c r="R974" s="61"/>
      <c r="S974" s="61"/>
      <c r="T974" s="35"/>
      <c r="U974" s="187"/>
      <c r="V974" s="190"/>
      <c r="W974" s="190"/>
      <c r="X974" s="190"/>
      <c r="Y974" s="190"/>
      <c r="Z974" s="190"/>
      <c r="AA974" s="191"/>
      <c r="AB974" s="190"/>
      <c r="AC974" s="190"/>
      <c r="AD974" s="190"/>
      <c r="AE974" s="190"/>
      <c r="AF974" s="190"/>
      <c r="AG974" s="190"/>
      <c r="AH974" s="191"/>
      <c r="AI974" s="190"/>
      <c r="AJ974" s="190"/>
      <c r="AK974" s="190"/>
      <c r="AL974" s="190"/>
      <c r="AM974" s="190"/>
      <c r="AN974" s="191"/>
      <c r="AO974" s="190"/>
      <c r="AP974" s="190"/>
      <c r="AQ974" s="190"/>
      <c r="AR974" s="190"/>
      <c r="AS974" s="190"/>
      <c r="AT974" s="191"/>
      <c r="AU974" s="190"/>
      <c r="AV974" s="190"/>
      <c r="AW974" s="190"/>
      <c r="AX974" s="190"/>
      <c r="AY974" s="190"/>
      <c r="AZ974" s="191"/>
      <c r="BA974" s="183"/>
      <c r="BB974" s="183"/>
      <c r="BC974" s="183"/>
      <c r="BD974" s="183"/>
      <c r="BE974" s="183"/>
      <c r="BF974" s="184"/>
      <c r="BG974" s="183"/>
      <c r="BH974" s="183"/>
      <c r="BI974" s="183"/>
      <c r="BJ974" s="183"/>
      <c r="BK974" s="183"/>
      <c r="BL974" s="184"/>
      <c r="BM974" s="409"/>
      <c r="BN974" s="409"/>
    </row>
    <row r="975" spans="1:66" s="153" customFormat="1" x14ac:dyDescent="0.2">
      <c r="A975" s="61"/>
      <c r="B975" s="61"/>
      <c r="C975" s="61"/>
      <c r="D975" s="61"/>
      <c r="E975" s="61"/>
      <c r="F975" s="61"/>
      <c r="G975" s="61"/>
      <c r="H975" s="61"/>
      <c r="I975" s="61"/>
      <c r="J975" s="61"/>
      <c r="K975" s="61"/>
      <c r="L975" s="61"/>
      <c r="M975" s="61"/>
      <c r="N975" s="61"/>
      <c r="O975" s="61"/>
      <c r="P975" s="61"/>
      <c r="Q975" s="61"/>
      <c r="R975" s="61"/>
      <c r="S975" s="61"/>
      <c r="T975" s="35"/>
      <c r="U975" s="187"/>
      <c r="V975" s="190"/>
      <c r="W975" s="190"/>
      <c r="X975" s="190"/>
      <c r="Y975" s="190"/>
      <c r="Z975" s="190"/>
      <c r="AA975" s="191"/>
      <c r="AB975" s="190"/>
      <c r="AC975" s="190"/>
      <c r="AD975" s="190"/>
      <c r="AE975" s="190"/>
      <c r="AF975" s="190"/>
      <c r="AG975" s="190"/>
      <c r="AH975" s="191"/>
      <c r="AI975" s="190"/>
      <c r="AJ975" s="190"/>
      <c r="AK975" s="190"/>
      <c r="AL975" s="190"/>
      <c r="AM975" s="190"/>
      <c r="AN975" s="191"/>
      <c r="AO975" s="190"/>
      <c r="AP975" s="190"/>
      <c r="AQ975" s="190"/>
      <c r="AR975" s="190"/>
      <c r="AS975" s="190"/>
      <c r="AT975" s="191"/>
      <c r="AU975" s="190"/>
      <c r="AV975" s="190"/>
      <c r="AW975" s="190"/>
      <c r="AX975" s="190"/>
      <c r="AY975" s="190"/>
      <c r="AZ975" s="191"/>
      <c r="BA975" s="183"/>
      <c r="BB975" s="183"/>
      <c r="BC975" s="183"/>
      <c r="BD975" s="183"/>
      <c r="BE975" s="183"/>
      <c r="BF975" s="184"/>
      <c r="BG975" s="183"/>
      <c r="BH975" s="183"/>
      <c r="BI975" s="183"/>
      <c r="BJ975" s="183"/>
      <c r="BK975" s="183"/>
      <c r="BL975" s="184"/>
      <c r="BM975" s="409"/>
      <c r="BN975" s="409"/>
    </row>
    <row r="976" spans="1:66" s="153" customFormat="1" x14ac:dyDescent="0.2">
      <c r="A976" s="61"/>
      <c r="B976" s="61"/>
      <c r="C976" s="61"/>
      <c r="D976" s="61"/>
      <c r="E976" s="61"/>
      <c r="F976" s="61"/>
      <c r="G976" s="61"/>
      <c r="H976" s="61"/>
      <c r="I976" s="61"/>
      <c r="J976" s="61"/>
      <c r="K976" s="61"/>
      <c r="L976" s="61"/>
      <c r="M976" s="61"/>
      <c r="N976" s="61"/>
      <c r="O976" s="61"/>
      <c r="P976" s="61"/>
      <c r="Q976" s="61"/>
      <c r="R976" s="61"/>
      <c r="S976" s="61"/>
      <c r="T976" s="35"/>
      <c r="U976" s="187"/>
      <c r="V976" s="190"/>
      <c r="W976" s="190"/>
      <c r="X976" s="190"/>
      <c r="Y976" s="190"/>
      <c r="Z976" s="190"/>
      <c r="AA976" s="191"/>
      <c r="AB976" s="190"/>
      <c r="AC976" s="190"/>
      <c r="AD976" s="190"/>
      <c r="AE976" s="190"/>
      <c r="AF976" s="190"/>
      <c r="AG976" s="190"/>
      <c r="AH976" s="191"/>
      <c r="AI976" s="190"/>
      <c r="AJ976" s="190"/>
      <c r="AK976" s="190"/>
      <c r="AL976" s="190"/>
      <c r="AM976" s="190"/>
      <c r="AN976" s="191"/>
      <c r="AO976" s="190"/>
      <c r="AP976" s="190"/>
      <c r="AQ976" s="190"/>
      <c r="AR976" s="190"/>
      <c r="AS976" s="190"/>
      <c r="AT976" s="191"/>
      <c r="AU976" s="190"/>
      <c r="AV976" s="190"/>
      <c r="AW976" s="190"/>
      <c r="AX976" s="190"/>
      <c r="AY976" s="190"/>
      <c r="AZ976" s="191"/>
      <c r="BA976" s="183"/>
      <c r="BB976" s="183"/>
      <c r="BC976" s="183"/>
      <c r="BD976" s="183"/>
      <c r="BE976" s="183"/>
      <c r="BF976" s="184"/>
      <c r="BG976" s="183"/>
      <c r="BH976" s="183"/>
      <c r="BI976" s="183"/>
      <c r="BJ976" s="183"/>
      <c r="BK976" s="183"/>
      <c r="BL976" s="184"/>
      <c r="BM976" s="409"/>
      <c r="BN976" s="409"/>
    </row>
    <row r="977" spans="1:66" s="153" customFormat="1" x14ac:dyDescent="0.2">
      <c r="A977" s="61"/>
      <c r="B977" s="61"/>
      <c r="C977" s="61"/>
      <c r="D977" s="61"/>
      <c r="E977" s="61"/>
      <c r="F977" s="61"/>
      <c r="G977" s="61"/>
      <c r="H977" s="61"/>
      <c r="I977" s="61"/>
      <c r="J977" s="61"/>
      <c r="K977" s="61"/>
      <c r="L977" s="61"/>
      <c r="M977" s="61"/>
      <c r="N977" s="61"/>
      <c r="O977" s="61"/>
      <c r="P977" s="61"/>
      <c r="Q977" s="61"/>
      <c r="R977" s="61"/>
      <c r="S977" s="61"/>
      <c r="T977" s="35"/>
      <c r="U977" s="187"/>
      <c r="V977" s="190"/>
      <c r="W977" s="190"/>
      <c r="X977" s="190"/>
      <c r="Y977" s="190"/>
      <c r="Z977" s="190"/>
      <c r="AA977" s="191"/>
      <c r="AB977" s="190"/>
      <c r="AC977" s="190"/>
      <c r="AD977" s="190"/>
      <c r="AE977" s="190"/>
      <c r="AF977" s="190"/>
      <c r="AG977" s="190"/>
      <c r="AH977" s="191"/>
      <c r="AI977" s="190"/>
      <c r="AJ977" s="190"/>
      <c r="AK977" s="190"/>
      <c r="AL977" s="190"/>
      <c r="AM977" s="190"/>
      <c r="AN977" s="191"/>
      <c r="AO977" s="190"/>
      <c r="AP977" s="190"/>
      <c r="AQ977" s="190"/>
      <c r="AR977" s="190"/>
      <c r="AS977" s="190"/>
      <c r="AT977" s="191"/>
      <c r="AU977" s="190"/>
      <c r="AV977" s="190"/>
      <c r="AW977" s="190"/>
      <c r="AX977" s="190"/>
      <c r="AY977" s="190"/>
      <c r="AZ977" s="191"/>
      <c r="BA977" s="183"/>
      <c r="BB977" s="183"/>
      <c r="BC977" s="183"/>
      <c r="BD977" s="183"/>
      <c r="BE977" s="183"/>
      <c r="BF977" s="184"/>
      <c r="BG977" s="183"/>
      <c r="BH977" s="183"/>
      <c r="BI977" s="183"/>
      <c r="BJ977" s="183"/>
      <c r="BK977" s="183"/>
      <c r="BL977" s="184"/>
      <c r="BM977" s="409"/>
      <c r="BN977" s="409"/>
    </row>
    <row r="978" spans="1:66" s="153" customFormat="1" x14ac:dyDescent="0.2">
      <c r="A978" s="61"/>
      <c r="B978" s="61"/>
      <c r="C978" s="61"/>
      <c r="D978" s="61"/>
      <c r="E978" s="61"/>
      <c r="F978" s="61"/>
      <c r="G978" s="61"/>
      <c r="H978" s="61"/>
      <c r="I978" s="61"/>
      <c r="J978" s="61"/>
      <c r="K978" s="61"/>
      <c r="L978" s="61"/>
      <c r="M978" s="61"/>
      <c r="N978" s="61"/>
      <c r="O978" s="61"/>
      <c r="P978" s="61"/>
      <c r="Q978" s="61"/>
      <c r="R978" s="61"/>
      <c r="S978" s="61"/>
      <c r="T978" s="35"/>
      <c r="U978" s="187"/>
      <c r="V978" s="190"/>
      <c r="W978" s="190"/>
      <c r="X978" s="190"/>
      <c r="Y978" s="190"/>
      <c r="Z978" s="190"/>
      <c r="AA978" s="191"/>
      <c r="AB978" s="190"/>
      <c r="AC978" s="190"/>
      <c r="AD978" s="190"/>
      <c r="AE978" s="190"/>
      <c r="AF978" s="190"/>
      <c r="AG978" s="190"/>
      <c r="AH978" s="191"/>
      <c r="AI978" s="190"/>
      <c r="AJ978" s="190"/>
      <c r="AK978" s="190"/>
      <c r="AL978" s="190"/>
      <c r="AM978" s="190"/>
      <c r="AN978" s="191"/>
      <c r="AO978" s="190"/>
      <c r="AP978" s="190"/>
      <c r="AQ978" s="190"/>
      <c r="AR978" s="190"/>
      <c r="AS978" s="190"/>
      <c r="AT978" s="191"/>
      <c r="AU978" s="190"/>
      <c r="AV978" s="190"/>
      <c r="AW978" s="190"/>
      <c r="AX978" s="190"/>
      <c r="AY978" s="190"/>
      <c r="AZ978" s="191"/>
      <c r="BA978" s="183"/>
      <c r="BB978" s="183"/>
      <c r="BC978" s="183"/>
      <c r="BD978" s="183"/>
      <c r="BE978" s="183"/>
      <c r="BF978" s="184"/>
      <c r="BG978" s="183"/>
      <c r="BH978" s="183"/>
      <c r="BI978" s="183"/>
      <c r="BJ978" s="183"/>
      <c r="BK978" s="183"/>
      <c r="BL978" s="184"/>
      <c r="BM978" s="409"/>
      <c r="BN978" s="409"/>
    </row>
    <row r="979" spans="1:66" s="153" customFormat="1" x14ac:dyDescent="0.2">
      <c r="A979" s="61"/>
      <c r="B979" s="61"/>
      <c r="C979" s="61"/>
      <c r="D979" s="61"/>
      <c r="E979" s="61"/>
      <c r="F979" s="61"/>
      <c r="G979" s="61"/>
      <c r="H979" s="61"/>
      <c r="I979" s="61"/>
      <c r="J979" s="61"/>
      <c r="K979" s="61"/>
      <c r="L979" s="61"/>
      <c r="M979" s="61"/>
      <c r="N979" s="61"/>
      <c r="O979" s="61"/>
      <c r="P979" s="61"/>
      <c r="Q979" s="61"/>
      <c r="R979" s="61"/>
      <c r="S979" s="61"/>
      <c r="T979" s="35"/>
      <c r="U979" s="187"/>
      <c r="V979" s="190"/>
      <c r="W979" s="190"/>
      <c r="X979" s="190"/>
      <c r="Y979" s="190"/>
      <c r="Z979" s="190"/>
      <c r="AA979" s="191"/>
      <c r="AB979" s="190"/>
      <c r="AC979" s="190"/>
      <c r="AD979" s="190"/>
      <c r="AE979" s="190"/>
      <c r="AF979" s="190"/>
      <c r="AG979" s="190"/>
      <c r="AH979" s="191"/>
      <c r="AI979" s="190"/>
      <c r="AJ979" s="190"/>
      <c r="AK979" s="190"/>
      <c r="AL979" s="190"/>
      <c r="AM979" s="190"/>
      <c r="AN979" s="191"/>
      <c r="AO979" s="190"/>
      <c r="AP979" s="190"/>
      <c r="AQ979" s="190"/>
      <c r="AR979" s="190"/>
      <c r="AS979" s="190"/>
      <c r="AT979" s="191"/>
      <c r="AU979" s="190"/>
      <c r="AV979" s="190"/>
      <c r="AW979" s="190"/>
      <c r="AX979" s="190"/>
      <c r="AY979" s="190"/>
      <c r="AZ979" s="191"/>
      <c r="BA979" s="183"/>
      <c r="BB979" s="183"/>
      <c r="BC979" s="183"/>
      <c r="BD979" s="183"/>
      <c r="BE979" s="183"/>
      <c r="BF979" s="184"/>
      <c r="BG979" s="183"/>
      <c r="BH979" s="183"/>
      <c r="BI979" s="183"/>
      <c r="BJ979" s="183"/>
      <c r="BK979" s="183"/>
      <c r="BL979" s="184"/>
      <c r="BM979" s="409"/>
      <c r="BN979" s="409"/>
    </row>
    <row r="980" spans="1:66" s="153" customFormat="1" x14ac:dyDescent="0.2">
      <c r="A980" s="61"/>
      <c r="B980" s="61"/>
      <c r="C980" s="61"/>
      <c r="D980" s="61"/>
      <c r="E980" s="61"/>
      <c r="F980" s="61"/>
      <c r="G980" s="61"/>
      <c r="H980" s="61"/>
      <c r="I980" s="61"/>
      <c r="J980" s="61"/>
      <c r="K980" s="61"/>
      <c r="L980" s="61"/>
      <c r="M980" s="61"/>
      <c r="N980" s="61"/>
      <c r="O980" s="61"/>
      <c r="P980" s="61"/>
      <c r="Q980" s="61"/>
      <c r="R980" s="61"/>
      <c r="S980" s="61"/>
      <c r="T980" s="35"/>
      <c r="U980" s="187"/>
      <c r="V980" s="190"/>
      <c r="W980" s="190"/>
      <c r="X980" s="190"/>
      <c r="Y980" s="190"/>
      <c r="Z980" s="190"/>
      <c r="AA980" s="191"/>
      <c r="AB980" s="190"/>
      <c r="AC980" s="190"/>
      <c r="AD980" s="190"/>
      <c r="AE980" s="190"/>
      <c r="AF980" s="190"/>
      <c r="AG980" s="190"/>
      <c r="AH980" s="191"/>
      <c r="AI980" s="190"/>
      <c r="AJ980" s="190"/>
      <c r="AK980" s="190"/>
      <c r="AL980" s="190"/>
      <c r="AM980" s="190"/>
      <c r="AN980" s="191"/>
      <c r="AO980" s="190"/>
      <c r="AP980" s="190"/>
      <c r="AQ980" s="190"/>
      <c r="AR980" s="190"/>
      <c r="AS980" s="190"/>
      <c r="AT980" s="191"/>
      <c r="AU980" s="190"/>
      <c r="AV980" s="190"/>
      <c r="AW980" s="190"/>
      <c r="AX980" s="190"/>
      <c r="AY980" s="190"/>
      <c r="AZ980" s="191"/>
      <c r="BA980" s="183"/>
      <c r="BB980" s="183"/>
      <c r="BC980" s="183"/>
      <c r="BD980" s="183"/>
      <c r="BE980" s="183"/>
      <c r="BF980" s="184"/>
      <c r="BG980" s="183"/>
      <c r="BH980" s="183"/>
      <c r="BI980" s="183"/>
      <c r="BJ980" s="183"/>
      <c r="BK980" s="183"/>
      <c r="BL980" s="184"/>
      <c r="BM980" s="409"/>
      <c r="BN980" s="409"/>
    </row>
    <row r="981" spans="1:66" s="153" customFormat="1" x14ac:dyDescent="0.2">
      <c r="A981" s="61"/>
      <c r="B981" s="61"/>
      <c r="C981" s="61"/>
      <c r="D981" s="61"/>
      <c r="E981" s="61"/>
      <c r="F981" s="61"/>
      <c r="G981" s="61"/>
      <c r="H981" s="61"/>
      <c r="I981" s="61"/>
      <c r="J981" s="61"/>
      <c r="K981" s="61"/>
      <c r="L981" s="61"/>
      <c r="M981" s="61"/>
      <c r="N981" s="61"/>
      <c r="O981" s="61"/>
      <c r="P981" s="61"/>
      <c r="Q981" s="61"/>
      <c r="R981" s="61"/>
      <c r="S981" s="61"/>
      <c r="T981" s="35"/>
      <c r="U981" s="187"/>
      <c r="V981" s="190"/>
      <c r="W981" s="190"/>
      <c r="X981" s="190"/>
      <c r="Y981" s="190"/>
      <c r="Z981" s="190"/>
      <c r="AA981" s="191"/>
      <c r="AB981" s="190"/>
      <c r="AC981" s="190"/>
      <c r="AD981" s="190"/>
      <c r="AE981" s="190"/>
      <c r="AF981" s="190"/>
      <c r="AG981" s="190"/>
      <c r="AH981" s="191"/>
      <c r="AI981" s="190"/>
      <c r="AJ981" s="190"/>
      <c r="AK981" s="190"/>
      <c r="AL981" s="190"/>
      <c r="AM981" s="190"/>
      <c r="AN981" s="191"/>
      <c r="AO981" s="190"/>
      <c r="AP981" s="190"/>
      <c r="AQ981" s="190"/>
      <c r="AR981" s="190"/>
      <c r="AS981" s="190"/>
      <c r="AT981" s="191"/>
      <c r="AU981" s="190"/>
      <c r="AV981" s="190"/>
      <c r="AW981" s="190"/>
      <c r="AX981" s="190"/>
      <c r="AY981" s="190"/>
      <c r="AZ981" s="191"/>
      <c r="BA981" s="183"/>
      <c r="BB981" s="183"/>
      <c r="BC981" s="183"/>
      <c r="BD981" s="183"/>
      <c r="BE981" s="183"/>
      <c r="BF981" s="184"/>
      <c r="BG981" s="183"/>
      <c r="BH981" s="183"/>
      <c r="BI981" s="183"/>
      <c r="BJ981" s="183"/>
      <c r="BK981" s="183"/>
      <c r="BL981" s="184"/>
      <c r="BM981" s="409"/>
      <c r="BN981" s="409"/>
    </row>
    <row r="982" spans="1:66" s="153" customFormat="1" x14ac:dyDescent="0.2">
      <c r="A982" s="61"/>
      <c r="B982" s="61"/>
      <c r="C982" s="61"/>
      <c r="D982" s="61"/>
      <c r="E982" s="61"/>
      <c r="F982" s="61"/>
      <c r="G982" s="61"/>
      <c r="H982" s="61"/>
      <c r="I982" s="61"/>
      <c r="J982" s="61"/>
      <c r="K982" s="61"/>
      <c r="L982" s="61"/>
      <c r="M982" s="61"/>
      <c r="N982" s="61"/>
      <c r="O982" s="61"/>
      <c r="P982" s="61"/>
      <c r="Q982" s="61"/>
      <c r="R982" s="61"/>
      <c r="S982" s="61"/>
      <c r="T982" s="35"/>
      <c r="U982" s="187"/>
      <c r="V982" s="190"/>
      <c r="W982" s="190"/>
      <c r="X982" s="190"/>
      <c r="Y982" s="190"/>
      <c r="Z982" s="190"/>
      <c r="AA982" s="191"/>
      <c r="AB982" s="190"/>
      <c r="AC982" s="190"/>
      <c r="AD982" s="190"/>
      <c r="AE982" s="190"/>
      <c r="AF982" s="190"/>
      <c r="AG982" s="190"/>
      <c r="AH982" s="191"/>
      <c r="AI982" s="190"/>
      <c r="AJ982" s="190"/>
      <c r="AK982" s="190"/>
      <c r="AL982" s="190"/>
      <c r="AM982" s="190"/>
      <c r="AN982" s="191"/>
      <c r="AO982" s="190"/>
      <c r="AP982" s="190"/>
      <c r="AQ982" s="190"/>
      <c r="AR982" s="190"/>
      <c r="AS982" s="190"/>
      <c r="AT982" s="191"/>
      <c r="AU982" s="190"/>
      <c r="AV982" s="190"/>
      <c r="AW982" s="190"/>
      <c r="AX982" s="190"/>
      <c r="AY982" s="190"/>
      <c r="AZ982" s="191"/>
      <c r="BA982" s="183"/>
      <c r="BB982" s="183"/>
      <c r="BC982" s="183"/>
      <c r="BD982" s="183"/>
      <c r="BE982" s="183"/>
      <c r="BF982" s="184"/>
      <c r="BG982" s="183"/>
      <c r="BH982" s="183"/>
      <c r="BI982" s="183"/>
      <c r="BJ982" s="183"/>
      <c r="BK982" s="183"/>
      <c r="BL982" s="184"/>
      <c r="BM982" s="409"/>
      <c r="BN982" s="409"/>
    </row>
    <row r="983" spans="1:66" s="153" customFormat="1" x14ac:dyDescent="0.2">
      <c r="A983" s="61"/>
      <c r="B983" s="61"/>
      <c r="C983" s="61"/>
      <c r="D983" s="61"/>
      <c r="E983" s="61"/>
      <c r="F983" s="61"/>
      <c r="G983" s="61"/>
      <c r="H983" s="61"/>
      <c r="I983" s="61"/>
      <c r="J983" s="61"/>
      <c r="K983" s="61"/>
      <c r="L983" s="61"/>
      <c r="M983" s="61"/>
      <c r="N983" s="61"/>
      <c r="O983" s="61"/>
      <c r="P983" s="61"/>
      <c r="Q983" s="61"/>
      <c r="R983" s="61"/>
      <c r="S983" s="61"/>
      <c r="T983" s="35"/>
      <c r="U983" s="187"/>
      <c r="V983" s="190"/>
      <c r="W983" s="190"/>
      <c r="X983" s="190"/>
      <c r="Y983" s="190"/>
      <c r="Z983" s="190"/>
      <c r="AA983" s="191"/>
      <c r="AB983" s="190"/>
      <c r="AC983" s="190"/>
      <c r="AD983" s="190"/>
      <c r="AE983" s="190"/>
      <c r="AF983" s="190"/>
      <c r="AG983" s="190"/>
      <c r="AH983" s="191"/>
      <c r="AI983" s="190"/>
      <c r="AJ983" s="190"/>
      <c r="AK983" s="190"/>
      <c r="AL983" s="190"/>
      <c r="AM983" s="190"/>
      <c r="AN983" s="191"/>
      <c r="AO983" s="190"/>
      <c r="AP983" s="190"/>
      <c r="AQ983" s="190"/>
      <c r="AR983" s="190"/>
      <c r="AS983" s="190"/>
      <c r="AT983" s="191"/>
      <c r="AU983" s="190"/>
      <c r="AV983" s="190"/>
      <c r="AW983" s="190"/>
      <c r="AX983" s="190"/>
      <c r="AY983" s="190"/>
      <c r="AZ983" s="191"/>
      <c r="BA983" s="183"/>
      <c r="BB983" s="183"/>
      <c r="BC983" s="183"/>
      <c r="BD983" s="183"/>
      <c r="BE983" s="183"/>
      <c r="BF983" s="184"/>
      <c r="BG983" s="183"/>
      <c r="BH983" s="183"/>
      <c r="BI983" s="183"/>
      <c r="BJ983" s="183"/>
      <c r="BK983" s="183"/>
      <c r="BL983" s="184"/>
      <c r="BM983" s="409"/>
      <c r="BN983" s="409"/>
    </row>
    <row r="984" spans="1:66" s="153" customFormat="1" x14ac:dyDescent="0.2">
      <c r="A984" s="61"/>
      <c r="B984" s="61"/>
      <c r="C984" s="61"/>
      <c r="D984" s="61"/>
      <c r="E984" s="61"/>
      <c r="F984" s="61"/>
      <c r="G984" s="61"/>
      <c r="H984" s="61"/>
      <c r="I984" s="61"/>
      <c r="J984" s="61"/>
      <c r="K984" s="61"/>
      <c r="L984" s="61"/>
      <c r="M984" s="61"/>
      <c r="N984" s="61"/>
      <c r="O984" s="61"/>
      <c r="P984" s="61"/>
      <c r="Q984" s="61"/>
      <c r="R984" s="61"/>
      <c r="S984" s="61"/>
      <c r="T984" s="35"/>
      <c r="U984" s="187"/>
      <c r="V984" s="190"/>
      <c r="W984" s="190"/>
      <c r="X984" s="190"/>
      <c r="Y984" s="190"/>
      <c r="Z984" s="190"/>
      <c r="AA984" s="191"/>
      <c r="AB984" s="190"/>
      <c r="AC984" s="190"/>
      <c r="AD984" s="190"/>
      <c r="AE984" s="190"/>
      <c r="AF984" s="190"/>
      <c r="AG984" s="190"/>
      <c r="AH984" s="191"/>
      <c r="AI984" s="190"/>
      <c r="AJ984" s="190"/>
      <c r="AK984" s="190"/>
      <c r="AL984" s="190"/>
      <c r="AM984" s="190"/>
      <c r="AN984" s="191"/>
      <c r="AO984" s="190"/>
      <c r="AP984" s="190"/>
      <c r="AQ984" s="190"/>
      <c r="AR984" s="190"/>
      <c r="AS984" s="190"/>
      <c r="AT984" s="191"/>
      <c r="AU984" s="190"/>
      <c r="AV984" s="190"/>
      <c r="AW984" s="190"/>
      <c r="AX984" s="190"/>
      <c r="AY984" s="190"/>
      <c r="AZ984" s="191"/>
      <c r="BA984" s="183"/>
      <c r="BB984" s="183"/>
      <c r="BC984" s="183"/>
      <c r="BD984" s="183"/>
      <c r="BE984" s="183"/>
      <c r="BF984" s="184"/>
      <c r="BG984" s="183"/>
      <c r="BH984" s="183"/>
      <c r="BI984" s="183"/>
      <c r="BJ984" s="183"/>
      <c r="BK984" s="183"/>
      <c r="BL984" s="184"/>
      <c r="BM984" s="409"/>
      <c r="BN984" s="409"/>
    </row>
    <row r="985" spans="1:66" s="153" customFormat="1" x14ac:dyDescent="0.2">
      <c r="A985" s="61"/>
      <c r="B985" s="61"/>
      <c r="C985" s="61"/>
      <c r="D985" s="61"/>
      <c r="E985" s="61"/>
      <c r="F985" s="61"/>
      <c r="G985" s="61"/>
      <c r="H985" s="61"/>
      <c r="I985" s="61"/>
      <c r="J985" s="61"/>
      <c r="K985" s="61"/>
      <c r="L985" s="61"/>
      <c r="M985" s="61"/>
      <c r="N985" s="61"/>
      <c r="O985" s="61"/>
      <c r="P985" s="61"/>
      <c r="Q985" s="61"/>
      <c r="R985" s="61"/>
      <c r="S985" s="61"/>
      <c r="T985" s="35"/>
      <c r="U985" s="187"/>
      <c r="V985" s="190"/>
      <c r="W985" s="190"/>
      <c r="X985" s="190"/>
      <c r="Y985" s="190"/>
      <c r="Z985" s="190"/>
      <c r="AA985" s="191"/>
      <c r="AB985" s="190"/>
      <c r="AC985" s="190"/>
      <c r="AD985" s="190"/>
      <c r="AE985" s="190"/>
      <c r="AF985" s="190"/>
      <c r="AG985" s="190"/>
      <c r="AH985" s="191"/>
      <c r="AI985" s="190"/>
      <c r="AJ985" s="190"/>
      <c r="AK985" s="190"/>
      <c r="AL985" s="190"/>
      <c r="AM985" s="190"/>
      <c r="AN985" s="191"/>
      <c r="AO985" s="190"/>
      <c r="AP985" s="190"/>
      <c r="AQ985" s="190"/>
      <c r="AR985" s="190"/>
      <c r="AS985" s="190"/>
      <c r="AT985" s="191"/>
      <c r="AU985" s="190"/>
      <c r="AV985" s="190"/>
      <c r="AW985" s="190"/>
      <c r="AX985" s="190"/>
      <c r="AY985" s="190"/>
      <c r="AZ985" s="191"/>
      <c r="BA985" s="183"/>
      <c r="BB985" s="183"/>
      <c r="BC985" s="183"/>
      <c r="BD985" s="183"/>
      <c r="BE985" s="183"/>
      <c r="BF985" s="184"/>
      <c r="BG985" s="183"/>
      <c r="BH985" s="183"/>
      <c r="BI985" s="183"/>
      <c r="BJ985" s="183"/>
      <c r="BK985" s="183"/>
      <c r="BL985" s="184"/>
      <c r="BM985" s="409"/>
      <c r="BN985" s="409"/>
    </row>
    <row r="986" spans="1:66" s="153" customFormat="1" x14ac:dyDescent="0.2">
      <c r="A986" s="61"/>
      <c r="B986" s="61"/>
      <c r="C986" s="61"/>
      <c r="D986" s="61"/>
      <c r="E986" s="61"/>
      <c r="F986" s="61"/>
      <c r="G986" s="61"/>
      <c r="H986" s="61"/>
      <c r="I986" s="61"/>
      <c r="J986" s="61"/>
      <c r="K986" s="61"/>
      <c r="L986" s="61"/>
      <c r="M986" s="61"/>
      <c r="N986" s="61"/>
      <c r="O986" s="61"/>
      <c r="P986" s="61"/>
      <c r="Q986" s="61"/>
      <c r="R986" s="61"/>
      <c r="S986" s="61"/>
      <c r="T986" s="35"/>
      <c r="U986" s="187"/>
      <c r="V986" s="190"/>
      <c r="W986" s="190"/>
      <c r="X986" s="190"/>
      <c r="Y986" s="190"/>
      <c r="Z986" s="190"/>
      <c r="AA986" s="191"/>
      <c r="AB986" s="190"/>
      <c r="AC986" s="190"/>
      <c r="AD986" s="190"/>
      <c r="AE986" s="190"/>
      <c r="AF986" s="190"/>
      <c r="AG986" s="190"/>
      <c r="AH986" s="191"/>
      <c r="AI986" s="190"/>
      <c r="AJ986" s="190"/>
      <c r="AK986" s="190"/>
      <c r="AL986" s="190"/>
      <c r="AM986" s="190"/>
      <c r="AN986" s="191"/>
      <c r="AO986" s="190"/>
      <c r="AP986" s="190"/>
      <c r="AQ986" s="190"/>
      <c r="AR986" s="190"/>
      <c r="AS986" s="190"/>
      <c r="AT986" s="191"/>
      <c r="AU986" s="190"/>
      <c r="AV986" s="190"/>
      <c r="AW986" s="190"/>
      <c r="AX986" s="190"/>
      <c r="AY986" s="190"/>
      <c r="AZ986" s="191"/>
      <c r="BA986" s="183"/>
      <c r="BB986" s="183"/>
      <c r="BC986" s="183"/>
      <c r="BD986" s="183"/>
      <c r="BE986" s="183"/>
      <c r="BF986" s="184"/>
      <c r="BG986" s="183"/>
      <c r="BH986" s="183"/>
      <c r="BI986" s="183"/>
      <c r="BJ986" s="183"/>
      <c r="BK986" s="183"/>
      <c r="BL986" s="184"/>
      <c r="BM986" s="409"/>
      <c r="BN986" s="409"/>
    </row>
    <row r="987" spans="1:66" s="153" customFormat="1" x14ac:dyDescent="0.2">
      <c r="A987" s="61"/>
      <c r="B987" s="61"/>
      <c r="C987" s="61"/>
      <c r="D987" s="61"/>
      <c r="E987" s="61"/>
      <c r="F987" s="61"/>
      <c r="G987" s="61"/>
      <c r="H987" s="61"/>
      <c r="I987" s="61"/>
      <c r="J987" s="61"/>
      <c r="K987" s="61"/>
      <c r="L987" s="61"/>
      <c r="M987" s="61"/>
      <c r="N987" s="61"/>
      <c r="O987" s="61"/>
      <c r="P987" s="61"/>
      <c r="Q987" s="61"/>
      <c r="R987" s="61"/>
      <c r="S987" s="61"/>
      <c r="T987" s="35"/>
      <c r="U987" s="187"/>
      <c r="V987" s="190"/>
      <c r="W987" s="190"/>
      <c r="X987" s="190"/>
      <c r="Y987" s="190"/>
      <c r="Z987" s="190"/>
      <c r="AA987" s="191"/>
      <c r="AB987" s="190"/>
      <c r="AC987" s="190"/>
      <c r="AD987" s="190"/>
      <c r="AE987" s="190"/>
      <c r="AF987" s="190"/>
      <c r="AG987" s="190"/>
      <c r="AH987" s="191"/>
      <c r="AI987" s="190"/>
      <c r="AJ987" s="190"/>
      <c r="AK987" s="190"/>
      <c r="AL987" s="190"/>
      <c r="AM987" s="190"/>
      <c r="AN987" s="191"/>
      <c r="AO987" s="190"/>
      <c r="AP987" s="190"/>
      <c r="AQ987" s="190"/>
      <c r="AR987" s="190"/>
      <c r="AS987" s="190"/>
      <c r="AT987" s="191"/>
      <c r="AU987" s="190"/>
      <c r="AV987" s="190"/>
      <c r="AW987" s="190"/>
      <c r="AX987" s="190"/>
      <c r="AY987" s="190"/>
      <c r="AZ987" s="191"/>
      <c r="BA987" s="183"/>
      <c r="BB987" s="183"/>
      <c r="BC987" s="183"/>
      <c r="BD987" s="183"/>
      <c r="BE987" s="183"/>
      <c r="BF987" s="184"/>
      <c r="BG987" s="183"/>
      <c r="BH987" s="183"/>
      <c r="BI987" s="183"/>
      <c r="BJ987" s="183"/>
      <c r="BK987" s="183"/>
      <c r="BL987" s="184"/>
      <c r="BM987" s="409"/>
      <c r="BN987" s="409"/>
    </row>
    <row r="988" spans="1:66" s="153" customFormat="1" x14ac:dyDescent="0.2">
      <c r="A988" s="61"/>
      <c r="B988" s="61"/>
      <c r="C988" s="61"/>
      <c r="D988" s="61"/>
      <c r="E988" s="61"/>
      <c r="F988" s="61"/>
      <c r="G988" s="61"/>
      <c r="H988" s="61"/>
      <c r="I988" s="61"/>
      <c r="J988" s="61"/>
      <c r="K988" s="61"/>
      <c r="L988" s="61"/>
      <c r="M988" s="61"/>
      <c r="N988" s="61"/>
      <c r="O988" s="61"/>
      <c r="P988" s="61"/>
      <c r="Q988" s="61"/>
      <c r="R988" s="61"/>
      <c r="S988" s="61"/>
      <c r="T988" s="35"/>
      <c r="U988" s="187"/>
      <c r="V988" s="190"/>
      <c r="W988" s="190"/>
      <c r="X988" s="190"/>
      <c r="Y988" s="190"/>
      <c r="Z988" s="190"/>
      <c r="AA988" s="191"/>
      <c r="AB988" s="190"/>
      <c r="AC988" s="190"/>
      <c r="AD988" s="190"/>
      <c r="AE988" s="190"/>
      <c r="AF988" s="190"/>
      <c r="AG988" s="190"/>
      <c r="AH988" s="191"/>
      <c r="AI988" s="190"/>
      <c r="AJ988" s="190"/>
      <c r="AK988" s="190"/>
      <c r="AL988" s="190"/>
      <c r="AM988" s="190"/>
      <c r="AN988" s="191"/>
      <c r="AO988" s="190"/>
      <c r="AP988" s="190"/>
      <c r="AQ988" s="190"/>
      <c r="AR988" s="190"/>
      <c r="AS988" s="190"/>
      <c r="AT988" s="191"/>
      <c r="AU988" s="190"/>
      <c r="AV988" s="190"/>
      <c r="AW988" s="190"/>
      <c r="AX988" s="190"/>
      <c r="AY988" s="190"/>
      <c r="AZ988" s="191"/>
      <c r="BA988" s="183"/>
      <c r="BB988" s="183"/>
      <c r="BC988" s="183"/>
      <c r="BD988" s="183"/>
      <c r="BE988" s="183"/>
      <c r="BF988" s="184"/>
      <c r="BG988" s="183"/>
      <c r="BH988" s="183"/>
      <c r="BI988" s="183"/>
      <c r="BJ988" s="183"/>
      <c r="BK988" s="183"/>
      <c r="BL988" s="184"/>
      <c r="BM988" s="409"/>
      <c r="BN988" s="409"/>
    </row>
    <row r="989" spans="1:66" s="153" customFormat="1" x14ac:dyDescent="0.2">
      <c r="A989" s="61"/>
      <c r="B989" s="61"/>
      <c r="C989" s="61"/>
      <c r="D989" s="61"/>
      <c r="E989" s="61"/>
      <c r="F989" s="61"/>
      <c r="G989" s="61"/>
      <c r="H989" s="61"/>
      <c r="I989" s="61"/>
      <c r="J989" s="61"/>
      <c r="K989" s="61"/>
      <c r="L989" s="61"/>
      <c r="M989" s="61"/>
      <c r="N989" s="61"/>
      <c r="O989" s="61"/>
      <c r="P989" s="61"/>
      <c r="Q989" s="61"/>
      <c r="R989" s="61"/>
      <c r="S989" s="61"/>
      <c r="T989" s="35"/>
      <c r="U989" s="187"/>
      <c r="V989" s="190"/>
      <c r="W989" s="190"/>
      <c r="X989" s="190"/>
      <c r="Y989" s="190"/>
      <c r="Z989" s="190"/>
      <c r="AA989" s="191"/>
      <c r="AB989" s="190"/>
      <c r="AC989" s="190"/>
      <c r="AD989" s="190"/>
      <c r="AE989" s="190"/>
      <c r="AF989" s="190"/>
      <c r="AG989" s="190"/>
      <c r="AH989" s="191"/>
      <c r="AI989" s="190"/>
      <c r="AJ989" s="190"/>
      <c r="AK989" s="190"/>
      <c r="AL989" s="190"/>
      <c r="AM989" s="190"/>
      <c r="AN989" s="191"/>
      <c r="AO989" s="190"/>
      <c r="AP989" s="190"/>
      <c r="AQ989" s="190"/>
      <c r="AR989" s="190"/>
      <c r="AS989" s="190"/>
      <c r="AT989" s="191"/>
      <c r="AU989" s="190"/>
      <c r="AV989" s="190"/>
      <c r="AW989" s="190"/>
      <c r="AX989" s="190"/>
      <c r="AY989" s="190"/>
      <c r="AZ989" s="191"/>
      <c r="BA989" s="183"/>
      <c r="BB989" s="183"/>
      <c r="BC989" s="183"/>
      <c r="BD989" s="183"/>
      <c r="BE989" s="183"/>
      <c r="BF989" s="184"/>
      <c r="BG989" s="183"/>
      <c r="BH989" s="183"/>
      <c r="BI989" s="183"/>
      <c r="BJ989" s="183"/>
      <c r="BK989" s="183"/>
      <c r="BL989" s="184"/>
      <c r="BM989" s="409"/>
      <c r="BN989" s="409"/>
    </row>
    <row r="990" spans="1:66" s="153" customFormat="1" x14ac:dyDescent="0.2">
      <c r="A990" s="61"/>
      <c r="B990" s="61"/>
      <c r="C990" s="61"/>
      <c r="D990" s="61"/>
      <c r="E990" s="61"/>
      <c r="F990" s="61"/>
      <c r="G990" s="61"/>
      <c r="H990" s="61"/>
      <c r="I990" s="61"/>
      <c r="J990" s="61"/>
      <c r="K990" s="61"/>
      <c r="L990" s="61"/>
      <c r="M990" s="61"/>
      <c r="N990" s="61"/>
      <c r="O990" s="61"/>
      <c r="P990" s="61"/>
      <c r="Q990" s="61"/>
      <c r="R990" s="61"/>
      <c r="S990" s="61"/>
      <c r="T990" s="35"/>
      <c r="U990" s="187"/>
      <c r="V990" s="190"/>
      <c r="W990" s="190"/>
      <c r="X990" s="190"/>
      <c r="Y990" s="190"/>
      <c r="Z990" s="190"/>
      <c r="AA990" s="191"/>
      <c r="AB990" s="190"/>
      <c r="AC990" s="190"/>
      <c r="AD990" s="190"/>
      <c r="AE990" s="190"/>
      <c r="AF990" s="190"/>
      <c r="AG990" s="190"/>
      <c r="AH990" s="191"/>
      <c r="AI990" s="190"/>
      <c r="AJ990" s="190"/>
      <c r="AK990" s="190"/>
      <c r="AL990" s="190"/>
      <c r="AM990" s="190"/>
      <c r="AN990" s="191"/>
      <c r="AO990" s="190"/>
      <c r="AP990" s="190"/>
      <c r="AQ990" s="190"/>
      <c r="AR990" s="190"/>
      <c r="AS990" s="190"/>
      <c r="AT990" s="191"/>
      <c r="AU990" s="190"/>
      <c r="AV990" s="190"/>
      <c r="AW990" s="190"/>
      <c r="AX990" s="190"/>
      <c r="AY990" s="190"/>
      <c r="AZ990" s="191"/>
      <c r="BA990" s="183"/>
      <c r="BB990" s="183"/>
      <c r="BC990" s="183"/>
      <c r="BD990" s="183"/>
      <c r="BE990" s="183"/>
      <c r="BF990" s="184"/>
      <c r="BG990" s="183"/>
      <c r="BH990" s="183"/>
      <c r="BI990" s="183"/>
      <c r="BJ990" s="183"/>
      <c r="BK990" s="183"/>
      <c r="BL990" s="184"/>
      <c r="BM990" s="409"/>
      <c r="BN990" s="409"/>
    </row>
    <row r="991" spans="1:66" s="153" customFormat="1" x14ac:dyDescent="0.2">
      <c r="A991" s="61"/>
      <c r="B991" s="61"/>
      <c r="C991" s="61"/>
      <c r="D991" s="61"/>
      <c r="E991" s="61"/>
      <c r="F991" s="61"/>
      <c r="G991" s="61"/>
      <c r="H991" s="61"/>
      <c r="I991" s="61"/>
      <c r="J991" s="61"/>
      <c r="K991" s="61"/>
      <c r="L991" s="61"/>
      <c r="M991" s="61"/>
      <c r="N991" s="61"/>
      <c r="O991" s="61"/>
      <c r="P991" s="61"/>
      <c r="Q991" s="61"/>
      <c r="R991" s="61"/>
      <c r="S991" s="61"/>
      <c r="T991" s="35"/>
      <c r="U991" s="187"/>
      <c r="V991" s="190"/>
      <c r="W991" s="190"/>
      <c r="X991" s="190"/>
      <c r="Y991" s="190"/>
      <c r="Z991" s="190"/>
      <c r="AA991" s="191"/>
      <c r="AB991" s="190"/>
      <c r="AC991" s="190"/>
      <c r="AD991" s="190"/>
      <c r="AE991" s="190"/>
      <c r="AF991" s="190"/>
      <c r="AG991" s="190"/>
      <c r="AH991" s="191"/>
      <c r="AI991" s="190"/>
      <c r="AJ991" s="190"/>
      <c r="AK991" s="190"/>
      <c r="AL991" s="190"/>
      <c r="AM991" s="190"/>
      <c r="AN991" s="191"/>
      <c r="AO991" s="190"/>
      <c r="AP991" s="190"/>
      <c r="AQ991" s="190"/>
      <c r="AR991" s="190"/>
      <c r="AS991" s="190"/>
      <c r="AT991" s="191"/>
      <c r="AU991" s="190"/>
      <c r="AV991" s="190"/>
      <c r="AW991" s="190"/>
      <c r="AX991" s="190"/>
      <c r="AY991" s="190"/>
      <c r="AZ991" s="191"/>
      <c r="BA991" s="183"/>
      <c r="BB991" s="183"/>
      <c r="BC991" s="183"/>
      <c r="BD991" s="183"/>
      <c r="BE991" s="183"/>
      <c r="BF991" s="184"/>
      <c r="BG991" s="183"/>
      <c r="BH991" s="183"/>
      <c r="BI991" s="183"/>
      <c r="BJ991" s="183"/>
      <c r="BK991" s="183"/>
      <c r="BL991" s="184"/>
      <c r="BM991" s="409"/>
      <c r="BN991" s="409"/>
    </row>
    <row r="992" spans="1:66" s="153" customFormat="1" x14ac:dyDescent="0.2">
      <c r="A992" s="61"/>
      <c r="B992" s="61"/>
      <c r="C992" s="61"/>
      <c r="D992" s="61"/>
      <c r="E992" s="61"/>
      <c r="F992" s="61"/>
      <c r="G992" s="61"/>
      <c r="H992" s="61"/>
      <c r="I992" s="61"/>
      <c r="J992" s="61"/>
      <c r="K992" s="61"/>
      <c r="L992" s="61"/>
      <c r="M992" s="61"/>
      <c r="N992" s="61"/>
      <c r="O992" s="61"/>
      <c r="P992" s="61"/>
      <c r="Q992" s="61"/>
      <c r="R992" s="61"/>
      <c r="S992" s="61"/>
      <c r="T992" s="35"/>
      <c r="U992" s="187"/>
      <c r="V992" s="190"/>
      <c r="W992" s="190"/>
      <c r="X992" s="190"/>
      <c r="Y992" s="190"/>
      <c r="Z992" s="190"/>
      <c r="AA992" s="191"/>
      <c r="AB992" s="190"/>
      <c r="AC992" s="190"/>
      <c r="AD992" s="190"/>
      <c r="AE992" s="190"/>
      <c r="AF992" s="190"/>
      <c r="AG992" s="190"/>
      <c r="AH992" s="191"/>
      <c r="AI992" s="190"/>
      <c r="AJ992" s="190"/>
      <c r="AK992" s="190"/>
      <c r="AL992" s="190"/>
      <c r="AM992" s="190"/>
      <c r="AN992" s="191"/>
      <c r="AO992" s="190"/>
      <c r="AP992" s="190"/>
      <c r="AQ992" s="190"/>
      <c r="AR992" s="190"/>
      <c r="AS992" s="190"/>
      <c r="AT992" s="191"/>
      <c r="AU992" s="190"/>
      <c r="AV992" s="190"/>
      <c r="AW992" s="190"/>
      <c r="AX992" s="190"/>
      <c r="AY992" s="190"/>
      <c r="AZ992" s="191"/>
      <c r="BA992" s="183"/>
      <c r="BB992" s="183"/>
      <c r="BC992" s="183"/>
      <c r="BD992" s="183"/>
      <c r="BE992" s="183"/>
      <c r="BF992" s="184"/>
      <c r="BG992" s="183"/>
      <c r="BH992" s="183"/>
      <c r="BI992" s="183"/>
      <c r="BJ992" s="183"/>
      <c r="BK992" s="183"/>
      <c r="BL992" s="184"/>
      <c r="BM992" s="409"/>
      <c r="BN992" s="409"/>
    </row>
    <row r="993" spans="1:66" s="153" customFormat="1" x14ac:dyDescent="0.2">
      <c r="A993" s="61"/>
      <c r="B993" s="61"/>
      <c r="C993" s="61"/>
      <c r="D993" s="61"/>
      <c r="E993" s="61"/>
      <c r="F993" s="61"/>
      <c r="G993" s="61"/>
      <c r="H993" s="61"/>
      <c r="I993" s="61"/>
      <c r="J993" s="61"/>
      <c r="K993" s="61"/>
      <c r="L993" s="61"/>
      <c r="M993" s="61"/>
      <c r="N993" s="61"/>
      <c r="O993" s="61"/>
      <c r="P993" s="61"/>
      <c r="Q993" s="61"/>
      <c r="R993" s="61"/>
      <c r="S993" s="61"/>
      <c r="T993" s="35"/>
      <c r="U993" s="187"/>
      <c r="V993" s="190"/>
      <c r="W993" s="190"/>
      <c r="X993" s="190"/>
      <c r="Y993" s="190"/>
      <c r="Z993" s="190"/>
      <c r="AA993" s="191"/>
      <c r="AB993" s="190"/>
      <c r="AC993" s="190"/>
      <c r="AD993" s="190"/>
      <c r="AE993" s="190"/>
      <c r="AF993" s="190"/>
      <c r="AG993" s="190"/>
      <c r="AH993" s="191"/>
      <c r="AI993" s="190"/>
      <c r="AJ993" s="190"/>
      <c r="AK993" s="190"/>
      <c r="AL993" s="190"/>
      <c r="AM993" s="190"/>
      <c r="AN993" s="191"/>
      <c r="AO993" s="190"/>
      <c r="AP993" s="190"/>
      <c r="AQ993" s="190"/>
      <c r="AR993" s="190"/>
      <c r="AS993" s="190"/>
      <c r="AT993" s="191"/>
      <c r="AU993" s="190"/>
      <c r="AV993" s="190"/>
      <c r="AW993" s="190"/>
      <c r="AX993" s="190"/>
      <c r="AY993" s="190"/>
      <c r="AZ993" s="191"/>
      <c r="BA993" s="183"/>
      <c r="BB993" s="183"/>
      <c r="BC993" s="183"/>
      <c r="BD993" s="183"/>
      <c r="BE993" s="183"/>
      <c r="BF993" s="184"/>
      <c r="BG993" s="183"/>
      <c r="BH993" s="183"/>
      <c r="BI993" s="183"/>
      <c r="BJ993" s="183"/>
      <c r="BK993" s="183"/>
      <c r="BL993" s="184"/>
      <c r="BM993" s="409"/>
      <c r="BN993" s="409"/>
    </row>
    <row r="994" spans="1:66" s="153" customFormat="1" x14ac:dyDescent="0.2">
      <c r="A994" s="61"/>
      <c r="B994" s="61"/>
      <c r="C994" s="61"/>
      <c r="D994" s="61"/>
      <c r="E994" s="61"/>
      <c r="F994" s="61"/>
      <c r="G994" s="61"/>
      <c r="H994" s="61"/>
      <c r="I994" s="61"/>
      <c r="J994" s="61"/>
      <c r="K994" s="61"/>
      <c r="L994" s="61"/>
      <c r="M994" s="61"/>
      <c r="N994" s="61"/>
      <c r="O994" s="61"/>
      <c r="P994" s="61"/>
      <c r="Q994" s="61"/>
      <c r="R994" s="61"/>
      <c r="S994" s="61"/>
      <c r="T994" s="35"/>
      <c r="U994" s="187"/>
      <c r="V994" s="190"/>
      <c r="W994" s="190"/>
      <c r="X994" s="190"/>
      <c r="Y994" s="190"/>
      <c r="Z994" s="190"/>
      <c r="AA994" s="191"/>
      <c r="AB994" s="190"/>
      <c r="AC994" s="190"/>
      <c r="AD994" s="190"/>
      <c r="AE994" s="190"/>
      <c r="AF994" s="190"/>
      <c r="AG994" s="190"/>
      <c r="AH994" s="191"/>
      <c r="AI994" s="190"/>
      <c r="AJ994" s="190"/>
      <c r="AK994" s="190"/>
      <c r="AL994" s="190"/>
      <c r="AM994" s="190"/>
      <c r="AN994" s="191"/>
      <c r="AO994" s="190"/>
      <c r="AP994" s="190"/>
      <c r="AQ994" s="190"/>
      <c r="AR994" s="190"/>
      <c r="AS994" s="190"/>
      <c r="AT994" s="191"/>
      <c r="AU994" s="190"/>
      <c r="AV994" s="190"/>
      <c r="AW994" s="190"/>
      <c r="AX994" s="190"/>
      <c r="AY994" s="190"/>
      <c r="AZ994" s="191"/>
      <c r="BA994" s="183"/>
      <c r="BB994" s="183"/>
      <c r="BC994" s="183"/>
      <c r="BD994" s="183"/>
      <c r="BE994" s="183"/>
      <c r="BF994" s="184"/>
      <c r="BG994" s="183"/>
      <c r="BH994" s="183"/>
      <c r="BI994" s="183"/>
      <c r="BJ994" s="183"/>
      <c r="BK994" s="183"/>
      <c r="BL994" s="184"/>
      <c r="BM994" s="409"/>
      <c r="BN994" s="409"/>
    </row>
    <row r="995" spans="1:66" s="153" customFormat="1" x14ac:dyDescent="0.2">
      <c r="A995" s="61"/>
      <c r="B995" s="61"/>
      <c r="C995" s="61"/>
      <c r="D995" s="61"/>
      <c r="E995" s="61"/>
      <c r="F995" s="61"/>
      <c r="G995" s="61"/>
      <c r="H995" s="61"/>
      <c r="I995" s="61"/>
      <c r="J995" s="61"/>
      <c r="K995" s="61"/>
      <c r="L995" s="61"/>
      <c r="M995" s="61"/>
      <c r="N995" s="61"/>
      <c r="O995" s="61"/>
      <c r="P995" s="61"/>
      <c r="Q995" s="61"/>
      <c r="R995" s="61"/>
      <c r="S995" s="61"/>
      <c r="T995" s="35"/>
      <c r="U995" s="187"/>
      <c r="V995" s="190"/>
      <c r="W995" s="190"/>
      <c r="X995" s="190"/>
      <c r="Y995" s="190"/>
      <c r="Z995" s="190"/>
      <c r="AA995" s="191"/>
      <c r="AB995" s="190"/>
      <c r="AC995" s="190"/>
      <c r="AD995" s="190"/>
      <c r="AE995" s="190"/>
      <c r="AF995" s="190"/>
      <c r="AG995" s="190"/>
      <c r="AH995" s="191"/>
      <c r="AI995" s="190"/>
      <c r="AJ995" s="190"/>
      <c r="AK995" s="190"/>
      <c r="AL995" s="190"/>
      <c r="AM995" s="190"/>
      <c r="AN995" s="191"/>
      <c r="AO995" s="190"/>
      <c r="AP995" s="190"/>
      <c r="AQ995" s="190"/>
      <c r="AR995" s="190"/>
      <c r="AS995" s="190"/>
      <c r="AT995" s="191"/>
      <c r="AU995" s="190"/>
      <c r="AV995" s="190"/>
      <c r="AW995" s="190"/>
      <c r="AX995" s="190"/>
      <c r="AY995" s="190"/>
      <c r="AZ995" s="191"/>
      <c r="BA995" s="183"/>
      <c r="BB995" s="183"/>
      <c r="BC995" s="183"/>
      <c r="BD995" s="183"/>
      <c r="BE995" s="183"/>
      <c r="BF995" s="184"/>
      <c r="BG995" s="183"/>
      <c r="BH995" s="183"/>
      <c r="BI995" s="183"/>
      <c r="BJ995" s="183"/>
      <c r="BK995" s="183"/>
      <c r="BL995" s="184"/>
      <c r="BM995" s="409"/>
      <c r="BN995" s="409"/>
    </row>
    <row r="996" spans="1:66" s="153" customFormat="1" x14ac:dyDescent="0.2">
      <c r="A996" s="61"/>
      <c r="B996" s="61"/>
      <c r="C996" s="61"/>
      <c r="D996" s="61"/>
      <c r="E996" s="61"/>
      <c r="F996" s="61"/>
      <c r="G996" s="61"/>
      <c r="H996" s="61"/>
      <c r="I996" s="61"/>
      <c r="J996" s="61"/>
      <c r="K996" s="61"/>
      <c r="L996" s="61"/>
      <c r="M996" s="61"/>
      <c r="N996" s="61"/>
      <c r="O996" s="61"/>
      <c r="P996" s="61"/>
      <c r="Q996" s="61"/>
      <c r="R996" s="61"/>
      <c r="S996" s="61"/>
      <c r="T996" s="35"/>
      <c r="U996" s="187"/>
      <c r="V996" s="190"/>
      <c r="W996" s="190"/>
      <c r="X996" s="190"/>
      <c r="Y996" s="190"/>
      <c r="Z996" s="190"/>
      <c r="AA996" s="191"/>
      <c r="AB996" s="190"/>
      <c r="AC996" s="190"/>
      <c r="AD996" s="190"/>
      <c r="AE996" s="190"/>
      <c r="AF996" s="190"/>
      <c r="AG996" s="190"/>
      <c r="AH996" s="191"/>
      <c r="AI996" s="190"/>
      <c r="AJ996" s="190"/>
      <c r="AK996" s="190"/>
      <c r="AL996" s="190"/>
      <c r="AM996" s="190"/>
      <c r="AN996" s="191"/>
      <c r="AO996" s="190"/>
      <c r="AP996" s="190"/>
      <c r="AQ996" s="190"/>
      <c r="AR996" s="190"/>
      <c r="AS996" s="190"/>
      <c r="AT996" s="191"/>
      <c r="AU996" s="190"/>
      <c r="AV996" s="190"/>
      <c r="AW996" s="190"/>
      <c r="AX996" s="190"/>
      <c r="AY996" s="190"/>
      <c r="AZ996" s="191"/>
      <c r="BA996" s="183"/>
      <c r="BB996" s="183"/>
      <c r="BC996" s="183"/>
      <c r="BD996" s="183"/>
      <c r="BE996" s="183"/>
      <c r="BF996" s="184"/>
      <c r="BG996" s="183"/>
      <c r="BH996" s="183"/>
      <c r="BI996" s="183"/>
      <c r="BJ996" s="183"/>
      <c r="BK996" s="183"/>
      <c r="BL996" s="184"/>
      <c r="BM996" s="409"/>
      <c r="BN996" s="409"/>
    </row>
    <row r="997" spans="1:66" s="153" customFormat="1" x14ac:dyDescent="0.2">
      <c r="A997" s="61"/>
      <c r="B997" s="61"/>
      <c r="C997" s="61"/>
      <c r="D997" s="61"/>
      <c r="E997" s="61"/>
      <c r="F997" s="61"/>
      <c r="G997" s="61"/>
      <c r="H997" s="61"/>
      <c r="I997" s="61"/>
      <c r="J997" s="61"/>
      <c r="K997" s="61"/>
      <c r="L997" s="61"/>
      <c r="M997" s="61"/>
      <c r="N997" s="61"/>
      <c r="O997" s="61"/>
      <c r="P997" s="61"/>
      <c r="Q997" s="61"/>
      <c r="R997" s="61"/>
      <c r="S997" s="61"/>
      <c r="T997" s="35"/>
      <c r="U997" s="187"/>
      <c r="V997" s="190"/>
      <c r="W997" s="190"/>
      <c r="X997" s="190"/>
      <c r="Y997" s="190"/>
      <c r="Z997" s="190"/>
      <c r="AA997" s="191"/>
      <c r="AB997" s="190"/>
      <c r="AC997" s="190"/>
      <c r="AD997" s="190"/>
      <c r="AE997" s="190"/>
      <c r="AF997" s="190"/>
      <c r="AG997" s="190"/>
      <c r="AH997" s="191"/>
      <c r="AI997" s="190"/>
      <c r="AJ997" s="190"/>
      <c r="AK997" s="190"/>
      <c r="AL997" s="190"/>
      <c r="AM997" s="190"/>
      <c r="AN997" s="191"/>
      <c r="AO997" s="190"/>
      <c r="AP997" s="190"/>
      <c r="AQ997" s="190"/>
      <c r="AR997" s="190"/>
      <c r="AS997" s="190"/>
      <c r="AT997" s="191"/>
      <c r="AU997" s="190"/>
      <c r="AV997" s="190"/>
      <c r="AW997" s="190"/>
      <c r="AX997" s="190"/>
      <c r="AY997" s="190"/>
      <c r="AZ997" s="191"/>
      <c r="BA997" s="183"/>
      <c r="BB997" s="183"/>
      <c r="BC997" s="183"/>
      <c r="BD997" s="183"/>
      <c r="BE997" s="183"/>
      <c r="BF997" s="184"/>
      <c r="BG997" s="183"/>
      <c r="BH997" s="183"/>
      <c r="BI997" s="183"/>
      <c r="BJ997" s="183"/>
      <c r="BK997" s="183"/>
      <c r="BL997" s="184"/>
      <c r="BM997" s="409"/>
      <c r="BN997" s="409"/>
    </row>
    <row r="998" spans="1:66" s="153" customFormat="1" x14ac:dyDescent="0.2">
      <c r="A998" s="61"/>
      <c r="B998" s="61"/>
      <c r="C998" s="61"/>
      <c r="D998" s="61"/>
      <c r="E998" s="61"/>
      <c r="F998" s="61"/>
      <c r="G998" s="61"/>
      <c r="H998" s="61"/>
      <c r="I998" s="61"/>
      <c r="J998" s="61"/>
      <c r="K998" s="61"/>
      <c r="L998" s="61"/>
      <c r="M998" s="61"/>
      <c r="N998" s="61"/>
      <c r="O998" s="61"/>
      <c r="P998" s="61"/>
      <c r="Q998" s="61"/>
      <c r="R998" s="61"/>
      <c r="S998" s="61"/>
      <c r="T998" s="35"/>
      <c r="U998" s="187"/>
      <c r="V998" s="190"/>
      <c r="W998" s="190"/>
      <c r="X998" s="190"/>
      <c r="Y998" s="190"/>
      <c r="Z998" s="190"/>
      <c r="AA998" s="191"/>
      <c r="AB998" s="190"/>
      <c r="AC998" s="190"/>
      <c r="AD998" s="190"/>
      <c r="AE998" s="190"/>
      <c r="AF998" s="190"/>
      <c r="AG998" s="190"/>
      <c r="AH998" s="191"/>
      <c r="AI998" s="190"/>
      <c r="AJ998" s="190"/>
      <c r="AK998" s="190"/>
      <c r="AL998" s="190"/>
      <c r="AM998" s="190"/>
      <c r="AN998" s="191"/>
      <c r="AO998" s="190"/>
      <c r="AP998" s="190"/>
      <c r="AQ998" s="190"/>
      <c r="AR998" s="190"/>
      <c r="AS998" s="190"/>
      <c r="AT998" s="191"/>
      <c r="AU998" s="190"/>
      <c r="AV998" s="190"/>
      <c r="AW998" s="190"/>
      <c r="AX998" s="190"/>
      <c r="AY998" s="190"/>
      <c r="AZ998" s="191"/>
      <c r="BA998" s="183"/>
      <c r="BB998" s="183"/>
      <c r="BC998" s="183"/>
      <c r="BD998" s="183"/>
      <c r="BE998" s="183"/>
      <c r="BF998" s="184"/>
      <c r="BG998" s="183"/>
      <c r="BH998" s="183"/>
      <c r="BI998" s="183"/>
      <c r="BJ998" s="183"/>
      <c r="BK998" s="183"/>
      <c r="BL998" s="184"/>
      <c r="BM998" s="409"/>
      <c r="BN998" s="409"/>
    </row>
    <row r="999" spans="1:66" s="153" customFormat="1" x14ac:dyDescent="0.2">
      <c r="A999" s="61"/>
      <c r="B999" s="61"/>
      <c r="C999" s="61"/>
      <c r="D999" s="61"/>
      <c r="E999" s="61"/>
      <c r="F999" s="61"/>
      <c r="G999" s="61"/>
      <c r="H999" s="61"/>
      <c r="I999" s="61"/>
      <c r="J999" s="61"/>
      <c r="K999" s="61"/>
      <c r="L999" s="61"/>
      <c r="M999" s="61"/>
      <c r="N999" s="61"/>
      <c r="O999" s="61"/>
      <c r="P999" s="61"/>
      <c r="Q999" s="61"/>
      <c r="R999" s="61"/>
      <c r="S999" s="61"/>
      <c r="T999" s="35"/>
      <c r="U999" s="187"/>
      <c r="V999" s="190"/>
      <c r="W999" s="190"/>
      <c r="X999" s="190"/>
      <c r="Y999" s="190"/>
      <c r="Z999" s="190"/>
      <c r="AA999" s="191"/>
      <c r="AB999" s="190"/>
      <c r="AC999" s="190"/>
      <c r="AD999" s="190"/>
      <c r="AE999" s="190"/>
      <c r="AF999" s="190"/>
      <c r="AG999" s="190"/>
      <c r="AH999" s="191"/>
      <c r="AI999" s="190"/>
      <c r="AJ999" s="190"/>
      <c r="AK999" s="190"/>
      <c r="AL999" s="190"/>
      <c r="AM999" s="190"/>
      <c r="AN999" s="191"/>
      <c r="AO999" s="190"/>
      <c r="AP999" s="190"/>
      <c r="AQ999" s="190"/>
      <c r="AR999" s="190"/>
      <c r="AS999" s="190"/>
      <c r="AT999" s="191"/>
      <c r="AU999" s="190"/>
      <c r="AV999" s="190"/>
      <c r="AW999" s="190"/>
      <c r="AX999" s="190"/>
      <c r="AY999" s="190"/>
      <c r="AZ999" s="191"/>
      <c r="BA999" s="183"/>
      <c r="BB999" s="183"/>
      <c r="BC999" s="183"/>
      <c r="BD999" s="183"/>
      <c r="BE999" s="183"/>
      <c r="BF999" s="184"/>
      <c r="BG999" s="183"/>
      <c r="BH999" s="183"/>
      <c r="BI999" s="183"/>
      <c r="BJ999" s="183"/>
      <c r="BK999" s="183"/>
      <c r="BL999" s="184"/>
      <c r="BM999" s="409"/>
      <c r="BN999" s="409"/>
    </row>
    <row r="1000" spans="1:66" s="153" customFormat="1" x14ac:dyDescent="0.2">
      <c r="A1000" s="61"/>
      <c r="B1000" s="61"/>
      <c r="C1000" s="61"/>
      <c r="D1000" s="61"/>
      <c r="E1000" s="61"/>
      <c r="F1000" s="61"/>
      <c r="G1000" s="61"/>
      <c r="H1000" s="61"/>
      <c r="I1000" s="61"/>
      <c r="J1000" s="61"/>
      <c r="K1000" s="61"/>
      <c r="L1000" s="61"/>
      <c r="M1000" s="61"/>
      <c r="N1000" s="61"/>
      <c r="O1000" s="61"/>
      <c r="P1000" s="61"/>
      <c r="Q1000" s="61"/>
      <c r="R1000" s="61"/>
      <c r="S1000" s="61"/>
      <c r="T1000" s="35"/>
      <c r="U1000" s="187"/>
      <c r="V1000" s="190"/>
      <c r="W1000" s="190"/>
      <c r="X1000" s="190"/>
      <c r="Y1000" s="190"/>
      <c r="Z1000" s="190"/>
      <c r="AA1000" s="191"/>
      <c r="AB1000" s="190"/>
      <c r="AC1000" s="190"/>
      <c r="AD1000" s="190"/>
      <c r="AE1000" s="190"/>
      <c r="AF1000" s="190"/>
      <c r="AG1000" s="190"/>
      <c r="AH1000" s="191"/>
      <c r="AI1000" s="190"/>
      <c r="AJ1000" s="190"/>
      <c r="AK1000" s="190"/>
      <c r="AL1000" s="190"/>
      <c r="AM1000" s="190"/>
      <c r="AN1000" s="191"/>
      <c r="AO1000" s="190"/>
      <c r="AP1000" s="190"/>
      <c r="AQ1000" s="190"/>
      <c r="AR1000" s="190"/>
      <c r="AS1000" s="190"/>
      <c r="AT1000" s="191"/>
      <c r="AU1000" s="190"/>
      <c r="AV1000" s="190"/>
      <c r="AW1000" s="190"/>
      <c r="AX1000" s="190"/>
      <c r="AY1000" s="190"/>
      <c r="AZ1000" s="191"/>
      <c r="BA1000" s="183"/>
      <c r="BB1000" s="183"/>
      <c r="BC1000" s="183"/>
      <c r="BD1000" s="183"/>
      <c r="BE1000" s="183"/>
      <c r="BF1000" s="184"/>
      <c r="BG1000" s="183"/>
      <c r="BH1000" s="183"/>
      <c r="BI1000" s="183"/>
      <c r="BJ1000" s="183"/>
      <c r="BK1000" s="183"/>
      <c r="BL1000" s="184"/>
      <c r="BM1000" s="409"/>
      <c r="BN1000" s="409"/>
    </row>
    <row r="1001" spans="1:66" s="153" customFormat="1" x14ac:dyDescent="0.2">
      <c r="A1001" s="61"/>
      <c r="B1001" s="61"/>
      <c r="C1001" s="61"/>
      <c r="D1001" s="61"/>
      <c r="E1001" s="61"/>
      <c r="F1001" s="61"/>
      <c r="G1001" s="61"/>
      <c r="H1001" s="61"/>
      <c r="I1001" s="61"/>
      <c r="J1001" s="61"/>
      <c r="K1001" s="61"/>
      <c r="L1001" s="61"/>
      <c r="M1001" s="61"/>
      <c r="N1001" s="61"/>
      <c r="O1001" s="61"/>
      <c r="P1001" s="61"/>
      <c r="Q1001" s="61"/>
      <c r="R1001" s="61"/>
      <c r="S1001" s="61"/>
      <c r="T1001" s="35"/>
      <c r="U1001" s="187"/>
      <c r="V1001" s="190"/>
      <c r="W1001" s="190"/>
      <c r="X1001" s="190"/>
      <c r="Y1001" s="190"/>
      <c r="Z1001" s="190"/>
      <c r="AA1001" s="191"/>
      <c r="AB1001" s="190"/>
      <c r="AC1001" s="190"/>
      <c r="AD1001" s="190"/>
      <c r="AE1001" s="190"/>
      <c r="AF1001" s="190"/>
      <c r="AG1001" s="190"/>
      <c r="AH1001" s="191"/>
      <c r="AI1001" s="190"/>
      <c r="AJ1001" s="190"/>
      <c r="AK1001" s="190"/>
      <c r="AL1001" s="190"/>
      <c r="AM1001" s="190"/>
      <c r="AN1001" s="191"/>
      <c r="AO1001" s="190"/>
      <c r="AP1001" s="190"/>
      <c r="AQ1001" s="190"/>
      <c r="AR1001" s="190"/>
      <c r="AS1001" s="190"/>
      <c r="AT1001" s="191"/>
      <c r="AU1001" s="190"/>
      <c r="AV1001" s="190"/>
      <c r="AW1001" s="190"/>
      <c r="AX1001" s="190"/>
      <c r="AY1001" s="190"/>
      <c r="AZ1001" s="191"/>
      <c r="BA1001" s="183"/>
      <c r="BB1001" s="183"/>
      <c r="BC1001" s="183"/>
      <c r="BD1001" s="183"/>
      <c r="BE1001" s="183"/>
      <c r="BF1001" s="184"/>
      <c r="BG1001" s="183"/>
      <c r="BH1001" s="183"/>
      <c r="BI1001" s="183"/>
      <c r="BJ1001" s="183"/>
      <c r="BK1001" s="183"/>
      <c r="BL1001" s="184"/>
      <c r="BM1001" s="409"/>
      <c r="BN1001" s="409"/>
    </row>
    <row r="1002" spans="1:66" s="153" customFormat="1" x14ac:dyDescent="0.2">
      <c r="A1002" s="61"/>
      <c r="B1002" s="61"/>
      <c r="C1002" s="61"/>
      <c r="D1002" s="61"/>
      <c r="E1002" s="61"/>
      <c r="F1002" s="61"/>
      <c r="G1002" s="61"/>
      <c r="H1002" s="61"/>
      <c r="I1002" s="61"/>
      <c r="J1002" s="61"/>
      <c r="K1002" s="61"/>
      <c r="L1002" s="61"/>
      <c r="M1002" s="61"/>
      <c r="N1002" s="61"/>
      <c r="O1002" s="61"/>
      <c r="P1002" s="61"/>
      <c r="Q1002" s="61"/>
      <c r="R1002" s="61"/>
      <c r="S1002" s="61"/>
      <c r="T1002" s="35"/>
      <c r="U1002" s="187"/>
      <c r="V1002" s="190"/>
      <c r="W1002" s="190"/>
      <c r="X1002" s="190"/>
      <c r="Y1002" s="190"/>
      <c r="Z1002" s="190"/>
      <c r="AA1002" s="191"/>
      <c r="AB1002" s="190"/>
      <c r="AC1002" s="190"/>
      <c r="AD1002" s="190"/>
      <c r="AE1002" s="190"/>
      <c r="AF1002" s="190"/>
      <c r="AG1002" s="190"/>
      <c r="AH1002" s="191"/>
      <c r="AI1002" s="190"/>
      <c r="AJ1002" s="190"/>
      <c r="AK1002" s="190"/>
      <c r="AL1002" s="190"/>
      <c r="AM1002" s="190"/>
      <c r="AN1002" s="191"/>
      <c r="AO1002" s="190"/>
      <c r="AP1002" s="190"/>
      <c r="AQ1002" s="190"/>
      <c r="AR1002" s="190"/>
      <c r="AS1002" s="190"/>
      <c r="AT1002" s="191"/>
      <c r="AU1002" s="190"/>
      <c r="AV1002" s="190"/>
      <c r="AW1002" s="190"/>
      <c r="AX1002" s="190"/>
      <c r="AY1002" s="190"/>
      <c r="AZ1002" s="191"/>
      <c r="BA1002" s="183"/>
      <c r="BB1002" s="183"/>
      <c r="BC1002" s="183"/>
      <c r="BD1002" s="183"/>
      <c r="BE1002" s="183"/>
      <c r="BF1002" s="184"/>
      <c r="BG1002" s="183"/>
      <c r="BH1002" s="183"/>
      <c r="BI1002" s="183"/>
      <c r="BJ1002" s="183"/>
      <c r="BK1002" s="183"/>
      <c r="BL1002" s="184"/>
      <c r="BM1002" s="409"/>
      <c r="BN1002" s="409"/>
    </row>
    <row r="1003" spans="1:66" s="153" customFormat="1" x14ac:dyDescent="0.2">
      <c r="A1003" s="61"/>
      <c r="B1003" s="61"/>
      <c r="C1003" s="61"/>
      <c r="D1003" s="61"/>
      <c r="E1003" s="61"/>
      <c r="F1003" s="61"/>
      <c r="G1003" s="61"/>
      <c r="H1003" s="61"/>
      <c r="I1003" s="61"/>
      <c r="J1003" s="61"/>
      <c r="K1003" s="61"/>
      <c r="L1003" s="61"/>
      <c r="M1003" s="61"/>
      <c r="N1003" s="61"/>
      <c r="O1003" s="61"/>
      <c r="P1003" s="61"/>
      <c r="Q1003" s="61"/>
      <c r="R1003" s="61"/>
      <c r="S1003" s="61"/>
      <c r="T1003" s="35"/>
      <c r="U1003" s="187"/>
      <c r="V1003" s="190"/>
      <c r="W1003" s="190"/>
      <c r="X1003" s="190"/>
      <c r="Y1003" s="190"/>
      <c r="Z1003" s="190"/>
      <c r="AA1003" s="191"/>
      <c r="AB1003" s="190"/>
      <c r="AC1003" s="190"/>
      <c r="AD1003" s="190"/>
      <c r="AE1003" s="190"/>
      <c r="AF1003" s="190"/>
      <c r="AG1003" s="190"/>
      <c r="AH1003" s="191"/>
      <c r="AI1003" s="190"/>
      <c r="AJ1003" s="190"/>
      <c r="AK1003" s="190"/>
      <c r="AL1003" s="190"/>
      <c r="AM1003" s="190"/>
      <c r="AN1003" s="191"/>
      <c r="AO1003" s="190"/>
      <c r="AP1003" s="190"/>
      <c r="AQ1003" s="190"/>
      <c r="AR1003" s="190"/>
      <c r="AS1003" s="190"/>
      <c r="AT1003" s="191"/>
      <c r="AU1003" s="190"/>
      <c r="AV1003" s="190"/>
      <c r="AW1003" s="190"/>
      <c r="AX1003" s="190"/>
      <c r="AY1003" s="190"/>
      <c r="AZ1003" s="191"/>
      <c r="BA1003" s="183"/>
      <c r="BB1003" s="183"/>
      <c r="BC1003" s="183"/>
      <c r="BD1003" s="183"/>
      <c r="BE1003" s="183"/>
      <c r="BF1003" s="184"/>
      <c r="BG1003" s="183"/>
      <c r="BH1003" s="183"/>
      <c r="BI1003" s="183"/>
      <c r="BJ1003" s="183"/>
      <c r="BK1003" s="183"/>
      <c r="BL1003" s="184"/>
      <c r="BM1003" s="409"/>
      <c r="BN1003" s="409"/>
    </row>
    <row r="1004" spans="1:66" s="153" customFormat="1" x14ac:dyDescent="0.2">
      <c r="A1004" s="61"/>
      <c r="B1004" s="61"/>
      <c r="C1004" s="61"/>
      <c r="D1004" s="61"/>
      <c r="E1004" s="61"/>
      <c r="F1004" s="61"/>
      <c r="G1004" s="61"/>
      <c r="H1004" s="61"/>
      <c r="I1004" s="61"/>
      <c r="J1004" s="61"/>
      <c r="K1004" s="61"/>
      <c r="L1004" s="61"/>
      <c r="M1004" s="61"/>
      <c r="N1004" s="61"/>
      <c r="O1004" s="61"/>
      <c r="P1004" s="61"/>
      <c r="Q1004" s="61"/>
      <c r="R1004" s="61"/>
      <c r="S1004" s="61"/>
      <c r="T1004" s="35"/>
      <c r="U1004" s="187"/>
      <c r="V1004" s="190"/>
      <c r="W1004" s="190"/>
      <c r="X1004" s="190"/>
      <c r="Y1004" s="190"/>
      <c r="Z1004" s="190"/>
      <c r="AA1004" s="191"/>
      <c r="AB1004" s="190"/>
      <c r="AC1004" s="190"/>
      <c r="AD1004" s="190"/>
      <c r="AE1004" s="190"/>
      <c r="AF1004" s="190"/>
      <c r="AG1004" s="190"/>
      <c r="AH1004" s="191"/>
      <c r="AI1004" s="190"/>
      <c r="AJ1004" s="190"/>
      <c r="AK1004" s="190"/>
      <c r="AL1004" s="190"/>
      <c r="AM1004" s="190"/>
      <c r="AN1004" s="191"/>
      <c r="AO1004" s="190"/>
      <c r="AP1004" s="190"/>
      <c r="AQ1004" s="190"/>
      <c r="AR1004" s="190"/>
      <c r="AS1004" s="190"/>
      <c r="AT1004" s="191"/>
      <c r="AU1004" s="190"/>
      <c r="AV1004" s="190"/>
      <c r="AW1004" s="190"/>
      <c r="AX1004" s="190"/>
      <c r="AY1004" s="190"/>
      <c r="AZ1004" s="191"/>
      <c r="BA1004" s="183"/>
      <c r="BB1004" s="183"/>
      <c r="BC1004" s="183"/>
      <c r="BD1004" s="183"/>
      <c r="BE1004" s="183"/>
      <c r="BF1004" s="184"/>
      <c r="BG1004" s="183"/>
      <c r="BH1004" s="183"/>
      <c r="BI1004" s="183"/>
      <c r="BJ1004" s="183"/>
      <c r="BK1004" s="183"/>
      <c r="BL1004" s="184"/>
      <c r="BM1004" s="409"/>
      <c r="BN1004" s="409"/>
    </row>
    <row r="1005" spans="1:66" s="153" customFormat="1" x14ac:dyDescent="0.2">
      <c r="A1005" s="61"/>
      <c r="B1005" s="61"/>
      <c r="C1005" s="61"/>
      <c r="D1005" s="61"/>
      <c r="E1005" s="61"/>
      <c r="F1005" s="61"/>
      <c r="G1005" s="61"/>
      <c r="H1005" s="61"/>
      <c r="I1005" s="61"/>
      <c r="J1005" s="61"/>
      <c r="K1005" s="61"/>
      <c r="L1005" s="61"/>
      <c r="M1005" s="61"/>
      <c r="N1005" s="61"/>
      <c r="O1005" s="61"/>
      <c r="P1005" s="61"/>
      <c r="Q1005" s="61"/>
      <c r="R1005" s="61"/>
      <c r="S1005" s="61"/>
      <c r="T1005" s="35"/>
      <c r="U1005" s="187"/>
      <c r="V1005" s="190"/>
      <c r="W1005" s="190"/>
      <c r="X1005" s="190"/>
      <c r="Y1005" s="190"/>
      <c r="Z1005" s="190"/>
      <c r="AA1005" s="191"/>
      <c r="AB1005" s="190"/>
      <c r="AC1005" s="190"/>
      <c r="AD1005" s="190"/>
      <c r="AE1005" s="190"/>
      <c r="AF1005" s="190"/>
      <c r="AG1005" s="190"/>
      <c r="AH1005" s="191"/>
      <c r="AI1005" s="190"/>
      <c r="AJ1005" s="190"/>
      <c r="AK1005" s="190"/>
      <c r="AL1005" s="190"/>
      <c r="AM1005" s="190"/>
      <c r="AN1005" s="191"/>
      <c r="AO1005" s="190"/>
      <c r="AP1005" s="190"/>
      <c r="AQ1005" s="190"/>
      <c r="AR1005" s="190"/>
      <c r="AS1005" s="190"/>
      <c r="AT1005" s="191"/>
      <c r="AU1005" s="190"/>
      <c r="AV1005" s="190"/>
      <c r="AW1005" s="190"/>
      <c r="AX1005" s="190"/>
      <c r="AY1005" s="190"/>
      <c r="AZ1005" s="191"/>
      <c r="BA1005" s="183"/>
      <c r="BB1005" s="183"/>
      <c r="BC1005" s="183"/>
      <c r="BD1005" s="183"/>
      <c r="BE1005" s="183"/>
      <c r="BF1005" s="184"/>
      <c r="BG1005" s="183"/>
      <c r="BH1005" s="183"/>
      <c r="BI1005" s="183"/>
      <c r="BJ1005" s="183"/>
      <c r="BK1005" s="183"/>
      <c r="BL1005" s="184"/>
      <c r="BM1005" s="409"/>
      <c r="BN1005" s="409"/>
    </row>
    <row r="1006" spans="1:66" s="153" customFormat="1" x14ac:dyDescent="0.2">
      <c r="A1006" s="61"/>
      <c r="B1006" s="61"/>
      <c r="C1006" s="61"/>
      <c r="D1006" s="61"/>
      <c r="E1006" s="61"/>
      <c r="F1006" s="61"/>
      <c r="G1006" s="61"/>
      <c r="H1006" s="61"/>
      <c r="I1006" s="61"/>
      <c r="J1006" s="61"/>
      <c r="K1006" s="61"/>
      <c r="L1006" s="61"/>
      <c r="M1006" s="61"/>
      <c r="N1006" s="61"/>
      <c r="O1006" s="61"/>
      <c r="P1006" s="61"/>
      <c r="Q1006" s="61"/>
      <c r="R1006" s="61"/>
      <c r="S1006" s="61"/>
      <c r="T1006" s="35"/>
      <c r="U1006" s="187"/>
      <c r="V1006" s="190"/>
      <c r="W1006" s="190"/>
      <c r="X1006" s="190"/>
      <c r="Y1006" s="190"/>
      <c r="Z1006" s="190"/>
      <c r="AA1006" s="191"/>
      <c r="AB1006" s="190"/>
      <c r="AC1006" s="190"/>
      <c r="AD1006" s="190"/>
      <c r="AE1006" s="190"/>
      <c r="AF1006" s="190"/>
      <c r="AG1006" s="190"/>
      <c r="AH1006" s="191"/>
      <c r="AI1006" s="190"/>
      <c r="AJ1006" s="190"/>
      <c r="AK1006" s="190"/>
      <c r="AL1006" s="190"/>
      <c r="AM1006" s="190"/>
      <c r="AN1006" s="191"/>
      <c r="AO1006" s="190"/>
      <c r="AP1006" s="190"/>
      <c r="AQ1006" s="190"/>
      <c r="AR1006" s="190"/>
      <c r="AS1006" s="190"/>
      <c r="AT1006" s="191"/>
      <c r="AU1006" s="190"/>
      <c r="AV1006" s="190"/>
      <c r="AW1006" s="190"/>
      <c r="AX1006" s="190"/>
      <c r="AY1006" s="190"/>
      <c r="AZ1006" s="191"/>
      <c r="BA1006" s="183"/>
      <c r="BB1006" s="183"/>
      <c r="BC1006" s="183"/>
      <c r="BD1006" s="183"/>
      <c r="BE1006" s="183"/>
      <c r="BF1006" s="184"/>
      <c r="BG1006" s="183"/>
      <c r="BH1006" s="183"/>
      <c r="BI1006" s="183"/>
      <c r="BJ1006" s="183"/>
      <c r="BK1006" s="183"/>
      <c r="BL1006" s="184"/>
      <c r="BM1006" s="409"/>
      <c r="BN1006" s="409"/>
    </row>
    <row r="1007" spans="1:66" s="153" customFormat="1" x14ac:dyDescent="0.2">
      <c r="A1007" s="61"/>
      <c r="B1007" s="61"/>
      <c r="C1007" s="61"/>
      <c r="D1007" s="61"/>
      <c r="E1007" s="61"/>
      <c r="F1007" s="61"/>
      <c r="G1007" s="61"/>
      <c r="H1007" s="61"/>
      <c r="I1007" s="61"/>
      <c r="J1007" s="61"/>
      <c r="K1007" s="61"/>
      <c r="L1007" s="61"/>
      <c r="M1007" s="61"/>
      <c r="N1007" s="61"/>
      <c r="O1007" s="61"/>
      <c r="P1007" s="61"/>
      <c r="Q1007" s="61"/>
      <c r="R1007" s="61"/>
      <c r="S1007" s="61"/>
      <c r="T1007" s="35"/>
      <c r="U1007" s="187"/>
      <c r="V1007" s="190"/>
      <c r="W1007" s="190"/>
      <c r="X1007" s="190"/>
      <c r="Y1007" s="190"/>
      <c r="Z1007" s="190"/>
      <c r="AA1007" s="191"/>
      <c r="AB1007" s="190"/>
      <c r="AC1007" s="190"/>
      <c r="AD1007" s="190"/>
      <c r="AE1007" s="190"/>
      <c r="AF1007" s="190"/>
      <c r="AG1007" s="190"/>
      <c r="AH1007" s="191"/>
      <c r="AI1007" s="190"/>
      <c r="AJ1007" s="190"/>
      <c r="AK1007" s="190"/>
      <c r="AL1007" s="190"/>
      <c r="AM1007" s="190"/>
      <c r="AN1007" s="191"/>
      <c r="AO1007" s="190"/>
      <c r="AP1007" s="190"/>
      <c r="AQ1007" s="190"/>
      <c r="AR1007" s="190"/>
      <c r="AS1007" s="190"/>
      <c r="AT1007" s="191"/>
      <c r="AU1007" s="190"/>
      <c r="AV1007" s="190"/>
      <c r="AW1007" s="190"/>
      <c r="AX1007" s="190"/>
      <c r="AY1007" s="190"/>
      <c r="AZ1007" s="191"/>
      <c r="BA1007" s="183"/>
      <c r="BB1007" s="183"/>
      <c r="BC1007" s="183"/>
      <c r="BD1007" s="183"/>
      <c r="BE1007" s="183"/>
      <c r="BF1007" s="184"/>
      <c r="BG1007" s="183"/>
      <c r="BH1007" s="183"/>
      <c r="BI1007" s="183"/>
      <c r="BJ1007" s="183"/>
      <c r="BK1007" s="183"/>
      <c r="BL1007" s="184"/>
      <c r="BM1007" s="409"/>
      <c r="BN1007" s="409"/>
    </row>
    <row r="1008" spans="1:66" s="153" customFormat="1" x14ac:dyDescent="0.2">
      <c r="A1008" s="61"/>
      <c r="B1008" s="61"/>
      <c r="C1008" s="61"/>
      <c r="D1008" s="61"/>
      <c r="E1008" s="61"/>
      <c r="F1008" s="61"/>
      <c r="G1008" s="61"/>
      <c r="H1008" s="61"/>
      <c r="I1008" s="61"/>
      <c r="J1008" s="61"/>
      <c r="K1008" s="61"/>
      <c r="L1008" s="61"/>
      <c r="M1008" s="61"/>
      <c r="N1008" s="61"/>
      <c r="O1008" s="61"/>
      <c r="P1008" s="61"/>
      <c r="Q1008" s="61"/>
      <c r="R1008" s="61"/>
      <c r="S1008" s="61"/>
      <c r="T1008" s="35"/>
      <c r="U1008" s="187"/>
      <c r="V1008" s="190"/>
      <c r="W1008" s="190"/>
      <c r="X1008" s="190"/>
      <c r="Y1008" s="190"/>
      <c r="Z1008" s="190"/>
      <c r="AA1008" s="191"/>
      <c r="AB1008" s="190"/>
      <c r="AC1008" s="190"/>
      <c r="AD1008" s="190"/>
      <c r="AE1008" s="190"/>
      <c r="AF1008" s="190"/>
      <c r="AG1008" s="190"/>
      <c r="AH1008" s="191"/>
      <c r="AI1008" s="190"/>
      <c r="AJ1008" s="190"/>
      <c r="AK1008" s="190"/>
      <c r="AL1008" s="190"/>
      <c r="AM1008" s="190"/>
      <c r="AN1008" s="191"/>
      <c r="AO1008" s="190"/>
      <c r="AP1008" s="190"/>
      <c r="AQ1008" s="190"/>
      <c r="AR1008" s="190"/>
      <c r="AS1008" s="190"/>
      <c r="AT1008" s="191"/>
      <c r="AU1008" s="190"/>
      <c r="AV1008" s="190"/>
      <c r="AW1008" s="190"/>
      <c r="AX1008" s="190"/>
      <c r="AY1008" s="190"/>
      <c r="AZ1008" s="191"/>
      <c r="BA1008" s="183"/>
      <c r="BB1008" s="183"/>
      <c r="BC1008" s="183"/>
      <c r="BD1008" s="183"/>
      <c r="BE1008" s="183"/>
      <c r="BF1008" s="184"/>
      <c r="BG1008" s="183"/>
      <c r="BH1008" s="183"/>
      <c r="BI1008" s="183"/>
      <c r="BJ1008" s="183"/>
      <c r="BK1008" s="183"/>
      <c r="BL1008" s="184"/>
      <c r="BM1008" s="409"/>
      <c r="BN1008" s="409"/>
    </row>
    <row r="1009" spans="1:66" s="153" customFormat="1" x14ac:dyDescent="0.2">
      <c r="A1009" s="61"/>
      <c r="B1009" s="61"/>
      <c r="C1009" s="61"/>
      <c r="D1009" s="61"/>
      <c r="E1009" s="61"/>
      <c r="F1009" s="61"/>
      <c r="G1009" s="61"/>
      <c r="H1009" s="61"/>
      <c r="I1009" s="61"/>
      <c r="J1009" s="61"/>
      <c r="K1009" s="61"/>
      <c r="L1009" s="61"/>
      <c r="M1009" s="61"/>
      <c r="N1009" s="61"/>
      <c r="O1009" s="61"/>
      <c r="P1009" s="61"/>
      <c r="Q1009" s="61"/>
      <c r="R1009" s="61"/>
      <c r="S1009" s="61"/>
      <c r="T1009" s="35"/>
      <c r="U1009" s="187"/>
      <c r="V1009" s="190"/>
      <c r="W1009" s="190"/>
      <c r="X1009" s="190"/>
      <c r="Y1009" s="190"/>
      <c r="Z1009" s="190"/>
      <c r="AA1009" s="191"/>
      <c r="AB1009" s="190"/>
      <c r="AC1009" s="190"/>
      <c r="AD1009" s="190"/>
      <c r="AE1009" s="190"/>
      <c r="AF1009" s="190"/>
      <c r="AG1009" s="190"/>
      <c r="AH1009" s="191"/>
      <c r="AI1009" s="190"/>
      <c r="AJ1009" s="190"/>
      <c r="AK1009" s="190"/>
      <c r="AL1009" s="190"/>
      <c r="AM1009" s="190"/>
      <c r="AN1009" s="191"/>
      <c r="AO1009" s="190"/>
      <c r="AP1009" s="190"/>
      <c r="AQ1009" s="190"/>
      <c r="AR1009" s="190"/>
      <c r="AS1009" s="190"/>
      <c r="AT1009" s="191"/>
      <c r="AU1009" s="190"/>
      <c r="AV1009" s="190"/>
      <c r="AW1009" s="190"/>
      <c r="AX1009" s="190"/>
      <c r="AY1009" s="190"/>
      <c r="AZ1009" s="191"/>
      <c r="BA1009" s="183"/>
      <c r="BB1009" s="183"/>
      <c r="BC1009" s="183"/>
      <c r="BD1009" s="183"/>
      <c r="BE1009" s="183"/>
      <c r="BF1009" s="184"/>
      <c r="BG1009" s="183"/>
      <c r="BH1009" s="183"/>
      <c r="BI1009" s="183"/>
      <c r="BJ1009" s="183"/>
      <c r="BK1009" s="183"/>
      <c r="BL1009" s="184"/>
      <c r="BM1009" s="409"/>
      <c r="BN1009" s="409"/>
    </row>
    <row r="1010" spans="1:66" s="153" customFormat="1" x14ac:dyDescent="0.2">
      <c r="A1010" s="61"/>
      <c r="B1010" s="61"/>
      <c r="C1010" s="61"/>
      <c r="D1010" s="61"/>
      <c r="E1010" s="61"/>
      <c r="F1010" s="61"/>
      <c r="G1010" s="61"/>
      <c r="H1010" s="61"/>
      <c r="I1010" s="61"/>
      <c r="J1010" s="61"/>
      <c r="K1010" s="61"/>
      <c r="L1010" s="61"/>
      <c r="M1010" s="61"/>
      <c r="N1010" s="61"/>
      <c r="O1010" s="61"/>
      <c r="P1010" s="61"/>
      <c r="Q1010" s="61"/>
      <c r="R1010" s="61"/>
      <c r="S1010" s="61"/>
      <c r="T1010" s="35"/>
      <c r="U1010" s="187"/>
      <c r="V1010" s="190"/>
      <c r="W1010" s="190"/>
      <c r="X1010" s="190"/>
      <c r="Y1010" s="190"/>
      <c r="Z1010" s="190"/>
      <c r="AA1010" s="191"/>
      <c r="AB1010" s="190"/>
      <c r="AC1010" s="190"/>
      <c r="AD1010" s="190"/>
      <c r="AE1010" s="190"/>
      <c r="AF1010" s="190"/>
      <c r="AG1010" s="190"/>
      <c r="AH1010" s="191"/>
      <c r="AI1010" s="190"/>
      <c r="AJ1010" s="190"/>
      <c r="AK1010" s="190"/>
      <c r="AL1010" s="190"/>
      <c r="AM1010" s="190"/>
      <c r="AN1010" s="191"/>
      <c r="AO1010" s="190"/>
      <c r="AP1010" s="190"/>
      <c r="AQ1010" s="190"/>
      <c r="AR1010" s="190"/>
      <c r="AS1010" s="190"/>
      <c r="AT1010" s="191"/>
      <c r="AU1010" s="190"/>
      <c r="AV1010" s="190"/>
      <c r="AW1010" s="190"/>
      <c r="AX1010" s="190"/>
      <c r="AY1010" s="190"/>
      <c r="AZ1010" s="191"/>
      <c r="BA1010" s="183"/>
      <c r="BB1010" s="183"/>
      <c r="BC1010" s="183"/>
      <c r="BD1010" s="183"/>
      <c r="BE1010" s="183"/>
      <c r="BF1010" s="184"/>
      <c r="BG1010" s="183"/>
      <c r="BH1010" s="183"/>
      <c r="BI1010" s="183"/>
      <c r="BJ1010" s="183"/>
      <c r="BK1010" s="183"/>
      <c r="BL1010" s="184"/>
      <c r="BM1010" s="409"/>
      <c r="BN1010" s="409"/>
    </row>
    <row r="1011" spans="1:66" s="153" customFormat="1" x14ac:dyDescent="0.2">
      <c r="A1011" s="61"/>
      <c r="B1011" s="61"/>
      <c r="C1011" s="61"/>
      <c r="D1011" s="61"/>
      <c r="E1011" s="61"/>
      <c r="F1011" s="61"/>
      <c r="G1011" s="61"/>
      <c r="H1011" s="61"/>
      <c r="I1011" s="61"/>
      <c r="J1011" s="61"/>
      <c r="K1011" s="61"/>
      <c r="L1011" s="61"/>
      <c r="M1011" s="61"/>
      <c r="N1011" s="61"/>
      <c r="O1011" s="61"/>
      <c r="P1011" s="61"/>
      <c r="Q1011" s="61"/>
      <c r="R1011" s="61"/>
      <c r="S1011" s="61"/>
      <c r="T1011" s="35"/>
      <c r="U1011" s="187"/>
      <c r="V1011" s="190"/>
      <c r="W1011" s="190"/>
      <c r="X1011" s="190"/>
      <c r="Y1011" s="190"/>
      <c r="Z1011" s="190"/>
      <c r="AA1011" s="191"/>
      <c r="AB1011" s="190"/>
      <c r="AC1011" s="190"/>
      <c r="AD1011" s="190"/>
      <c r="AE1011" s="190"/>
      <c r="AF1011" s="190"/>
      <c r="AG1011" s="190"/>
      <c r="AH1011" s="191"/>
      <c r="AI1011" s="190"/>
      <c r="AJ1011" s="190"/>
      <c r="AK1011" s="190"/>
      <c r="AL1011" s="190"/>
      <c r="AM1011" s="190"/>
      <c r="AN1011" s="191"/>
      <c r="AO1011" s="190"/>
      <c r="AP1011" s="190"/>
      <c r="AQ1011" s="190"/>
      <c r="AR1011" s="190"/>
      <c r="AS1011" s="190"/>
      <c r="AT1011" s="191"/>
      <c r="AU1011" s="190"/>
      <c r="AV1011" s="190"/>
      <c r="AW1011" s="190"/>
      <c r="AX1011" s="190"/>
      <c r="AY1011" s="190"/>
      <c r="AZ1011" s="191"/>
      <c r="BA1011" s="183"/>
      <c r="BB1011" s="183"/>
      <c r="BC1011" s="183"/>
      <c r="BD1011" s="183"/>
      <c r="BE1011" s="183"/>
      <c r="BF1011" s="184"/>
      <c r="BG1011" s="183"/>
      <c r="BH1011" s="183"/>
      <c r="BI1011" s="183"/>
      <c r="BJ1011" s="183"/>
      <c r="BK1011" s="183"/>
      <c r="BL1011" s="184"/>
      <c r="BM1011" s="409"/>
      <c r="BN1011" s="409"/>
    </row>
    <row r="1012" spans="1:66" s="153" customFormat="1" x14ac:dyDescent="0.2">
      <c r="A1012" s="61"/>
      <c r="B1012" s="61"/>
      <c r="C1012" s="61"/>
      <c r="D1012" s="61"/>
      <c r="E1012" s="61"/>
      <c r="F1012" s="61"/>
      <c r="G1012" s="61"/>
      <c r="H1012" s="61"/>
      <c r="I1012" s="61"/>
      <c r="J1012" s="61"/>
      <c r="K1012" s="61"/>
      <c r="L1012" s="61"/>
      <c r="M1012" s="61"/>
      <c r="N1012" s="61"/>
      <c r="O1012" s="61"/>
      <c r="P1012" s="61"/>
      <c r="Q1012" s="61"/>
      <c r="R1012" s="61"/>
      <c r="S1012" s="61"/>
      <c r="T1012" s="35"/>
      <c r="U1012" s="187"/>
      <c r="V1012" s="190"/>
      <c r="W1012" s="190"/>
      <c r="X1012" s="190"/>
      <c r="Y1012" s="190"/>
      <c r="Z1012" s="190"/>
      <c r="AA1012" s="191"/>
      <c r="AB1012" s="190"/>
      <c r="AC1012" s="190"/>
      <c r="AD1012" s="190"/>
      <c r="AE1012" s="190"/>
      <c r="AF1012" s="190"/>
      <c r="AG1012" s="190"/>
      <c r="AH1012" s="191"/>
      <c r="AI1012" s="190"/>
      <c r="AJ1012" s="190"/>
      <c r="AK1012" s="190"/>
      <c r="AL1012" s="190"/>
      <c r="AM1012" s="190"/>
      <c r="AN1012" s="191"/>
      <c r="AO1012" s="190"/>
      <c r="AP1012" s="190"/>
      <c r="AQ1012" s="190"/>
      <c r="AR1012" s="190"/>
      <c r="AS1012" s="190"/>
      <c r="AT1012" s="191"/>
      <c r="AU1012" s="190"/>
      <c r="AV1012" s="190"/>
      <c r="AW1012" s="190"/>
      <c r="AX1012" s="190"/>
      <c r="AY1012" s="190"/>
      <c r="AZ1012" s="191"/>
      <c r="BA1012" s="183"/>
      <c r="BB1012" s="183"/>
      <c r="BC1012" s="183"/>
      <c r="BD1012" s="183"/>
      <c r="BE1012" s="183"/>
      <c r="BF1012" s="184"/>
      <c r="BG1012" s="183"/>
      <c r="BH1012" s="183"/>
      <c r="BI1012" s="183"/>
      <c r="BJ1012" s="183"/>
      <c r="BK1012" s="183"/>
      <c r="BL1012" s="184"/>
      <c r="BM1012" s="409"/>
      <c r="BN1012" s="409"/>
    </row>
    <row r="1013" spans="1:66" s="153" customFormat="1" x14ac:dyDescent="0.2">
      <c r="A1013" s="61"/>
      <c r="B1013" s="61"/>
      <c r="C1013" s="61"/>
      <c r="D1013" s="61"/>
      <c r="E1013" s="61"/>
      <c r="F1013" s="61"/>
      <c r="G1013" s="61"/>
      <c r="H1013" s="61"/>
      <c r="I1013" s="61"/>
      <c r="J1013" s="61"/>
      <c r="K1013" s="61"/>
      <c r="L1013" s="61"/>
      <c r="M1013" s="61"/>
      <c r="N1013" s="61"/>
      <c r="O1013" s="61"/>
      <c r="P1013" s="61"/>
      <c r="Q1013" s="61"/>
      <c r="R1013" s="61"/>
      <c r="S1013" s="61"/>
      <c r="T1013" s="35"/>
      <c r="U1013" s="187"/>
      <c r="V1013" s="190"/>
      <c r="W1013" s="190"/>
      <c r="X1013" s="190"/>
      <c r="Y1013" s="190"/>
      <c r="Z1013" s="190"/>
      <c r="AA1013" s="191"/>
      <c r="AB1013" s="190"/>
      <c r="AC1013" s="190"/>
      <c r="AD1013" s="190"/>
      <c r="AE1013" s="190"/>
      <c r="AF1013" s="190"/>
      <c r="AG1013" s="190"/>
      <c r="AH1013" s="191"/>
      <c r="AI1013" s="190"/>
      <c r="AJ1013" s="190"/>
      <c r="AK1013" s="190"/>
      <c r="AL1013" s="190"/>
      <c r="AM1013" s="190"/>
      <c r="AN1013" s="191"/>
      <c r="AO1013" s="190"/>
      <c r="AP1013" s="190"/>
      <c r="AQ1013" s="190"/>
      <c r="AR1013" s="190"/>
      <c r="AS1013" s="190"/>
      <c r="AT1013" s="191"/>
      <c r="AU1013" s="190"/>
      <c r="AV1013" s="190"/>
      <c r="AW1013" s="190"/>
      <c r="AX1013" s="190"/>
      <c r="AY1013" s="190"/>
      <c r="AZ1013" s="191"/>
      <c r="BA1013" s="183"/>
      <c r="BB1013" s="183"/>
      <c r="BC1013" s="183"/>
      <c r="BD1013" s="183"/>
      <c r="BE1013" s="183"/>
      <c r="BF1013" s="184"/>
      <c r="BG1013" s="183"/>
      <c r="BH1013" s="183"/>
      <c r="BI1013" s="183"/>
      <c r="BJ1013" s="183"/>
      <c r="BK1013" s="183"/>
      <c r="BL1013" s="184"/>
      <c r="BM1013" s="409"/>
      <c r="BN1013" s="409"/>
    </row>
    <row r="1014" spans="1:66" s="153" customFormat="1" x14ac:dyDescent="0.2">
      <c r="A1014" s="61"/>
      <c r="B1014" s="61"/>
      <c r="C1014" s="61"/>
      <c r="D1014" s="61"/>
      <c r="E1014" s="61"/>
      <c r="F1014" s="61"/>
      <c r="G1014" s="61"/>
      <c r="H1014" s="61"/>
      <c r="I1014" s="61"/>
      <c r="J1014" s="61"/>
      <c r="K1014" s="61"/>
      <c r="L1014" s="61"/>
      <c r="M1014" s="61"/>
      <c r="N1014" s="61"/>
      <c r="O1014" s="61"/>
      <c r="P1014" s="61"/>
      <c r="Q1014" s="61"/>
      <c r="R1014" s="61"/>
      <c r="S1014" s="61"/>
      <c r="T1014" s="35"/>
      <c r="U1014" s="187"/>
      <c r="V1014" s="190"/>
      <c r="W1014" s="190"/>
      <c r="X1014" s="190"/>
      <c r="Y1014" s="190"/>
      <c r="Z1014" s="190"/>
      <c r="AA1014" s="191"/>
      <c r="AB1014" s="190"/>
      <c r="AC1014" s="190"/>
      <c r="AD1014" s="190"/>
      <c r="AE1014" s="190"/>
      <c r="AF1014" s="190"/>
      <c r="AG1014" s="190"/>
      <c r="AH1014" s="191"/>
      <c r="AI1014" s="190"/>
      <c r="AJ1014" s="190"/>
      <c r="AK1014" s="190"/>
      <c r="AL1014" s="190"/>
      <c r="AM1014" s="190"/>
      <c r="AN1014" s="191"/>
      <c r="AO1014" s="190"/>
      <c r="AP1014" s="190"/>
      <c r="AQ1014" s="190"/>
      <c r="AR1014" s="190"/>
      <c r="AS1014" s="190"/>
      <c r="AT1014" s="191"/>
      <c r="AU1014" s="190"/>
      <c r="AV1014" s="190"/>
      <c r="AW1014" s="190"/>
      <c r="AX1014" s="190"/>
      <c r="AY1014" s="190"/>
      <c r="AZ1014" s="191"/>
      <c r="BA1014" s="183"/>
      <c r="BB1014" s="183"/>
      <c r="BC1014" s="183"/>
      <c r="BD1014" s="183"/>
      <c r="BE1014" s="183"/>
      <c r="BF1014" s="184"/>
      <c r="BG1014" s="183"/>
      <c r="BH1014" s="183"/>
      <c r="BI1014" s="183"/>
      <c r="BJ1014" s="183"/>
      <c r="BK1014" s="183"/>
      <c r="BL1014" s="184"/>
      <c r="BM1014" s="409"/>
      <c r="BN1014" s="409"/>
    </row>
    <row r="1015" spans="1:66" s="153" customFormat="1" x14ac:dyDescent="0.2">
      <c r="A1015" s="61"/>
      <c r="B1015" s="61"/>
      <c r="C1015" s="61"/>
      <c r="D1015" s="61"/>
      <c r="E1015" s="61"/>
      <c r="F1015" s="61"/>
      <c r="G1015" s="61"/>
      <c r="H1015" s="61"/>
      <c r="I1015" s="61"/>
      <c r="J1015" s="61"/>
      <c r="K1015" s="61"/>
      <c r="L1015" s="61"/>
      <c r="M1015" s="61"/>
      <c r="N1015" s="61"/>
      <c r="O1015" s="61"/>
      <c r="P1015" s="61"/>
      <c r="Q1015" s="61"/>
      <c r="R1015" s="61"/>
      <c r="S1015" s="61"/>
      <c r="T1015" s="35"/>
      <c r="U1015" s="187"/>
      <c r="V1015" s="190"/>
      <c r="W1015" s="190"/>
      <c r="X1015" s="190"/>
      <c r="Y1015" s="190"/>
      <c r="Z1015" s="190"/>
      <c r="AA1015" s="191"/>
      <c r="AB1015" s="190"/>
      <c r="AC1015" s="190"/>
      <c r="AD1015" s="190"/>
      <c r="AE1015" s="190"/>
      <c r="AF1015" s="190"/>
      <c r="AG1015" s="190"/>
      <c r="AH1015" s="191"/>
      <c r="AI1015" s="190"/>
      <c r="AJ1015" s="190"/>
      <c r="AK1015" s="190"/>
      <c r="AL1015" s="190"/>
      <c r="AM1015" s="190"/>
      <c r="AN1015" s="191"/>
      <c r="AO1015" s="190"/>
      <c r="AP1015" s="190"/>
      <c r="AQ1015" s="190"/>
      <c r="AR1015" s="190"/>
      <c r="AS1015" s="190"/>
      <c r="AT1015" s="191"/>
      <c r="AU1015" s="190"/>
      <c r="AV1015" s="190"/>
      <c r="AW1015" s="190"/>
      <c r="AX1015" s="190"/>
      <c r="AY1015" s="190"/>
      <c r="AZ1015" s="191"/>
      <c r="BA1015" s="183"/>
      <c r="BB1015" s="183"/>
      <c r="BC1015" s="183"/>
      <c r="BD1015" s="183"/>
      <c r="BE1015" s="183"/>
      <c r="BF1015" s="184"/>
      <c r="BG1015" s="183"/>
      <c r="BH1015" s="183"/>
      <c r="BI1015" s="183"/>
      <c r="BJ1015" s="183"/>
      <c r="BK1015" s="183"/>
      <c r="BL1015" s="184"/>
      <c r="BM1015" s="409"/>
      <c r="BN1015" s="409"/>
    </row>
    <row r="1016" spans="1:66" s="153" customFormat="1" x14ac:dyDescent="0.2">
      <c r="A1016" s="61"/>
      <c r="B1016" s="61"/>
      <c r="C1016" s="61"/>
      <c r="D1016" s="61"/>
      <c r="E1016" s="61"/>
      <c r="F1016" s="61"/>
      <c r="G1016" s="61"/>
      <c r="H1016" s="61"/>
      <c r="I1016" s="61"/>
      <c r="J1016" s="61"/>
      <c r="K1016" s="61"/>
      <c r="L1016" s="61"/>
      <c r="M1016" s="61"/>
      <c r="N1016" s="61"/>
      <c r="O1016" s="61"/>
      <c r="P1016" s="61"/>
      <c r="Q1016" s="61"/>
      <c r="R1016" s="61"/>
      <c r="S1016" s="61"/>
      <c r="T1016" s="35"/>
      <c r="U1016" s="187"/>
      <c r="V1016" s="190"/>
      <c r="W1016" s="190"/>
      <c r="X1016" s="190"/>
      <c r="Y1016" s="190"/>
      <c r="Z1016" s="190"/>
      <c r="AA1016" s="191"/>
      <c r="AB1016" s="190"/>
      <c r="AC1016" s="190"/>
      <c r="AD1016" s="190"/>
      <c r="AE1016" s="190"/>
      <c r="AF1016" s="190"/>
      <c r="AG1016" s="190"/>
      <c r="AH1016" s="191"/>
      <c r="AI1016" s="190"/>
      <c r="AJ1016" s="190"/>
      <c r="AK1016" s="190"/>
      <c r="AL1016" s="190"/>
      <c r="AM1016" s="190"/>
      <c r="AN1016" s="191"/>
      <c r="AO1016" s="190"/>
      <c r="AP1016" s="190"/>
      <c r="AQ1016" s="190"/>
      <c r="AR1016" s="190"/>
      <c r="AS1016" s="190"/>
      <c r="AT1016" s="191"/>
      <c r="AU1016" s="190"/>
      <c r="AV1016" s="190"/>
      <c r="AW1016" s="190"/>
      <c r="AX1016" s="190"/>
      <c r="AY1016" s="190"/>
      <c r="AZ1016" s="191"/>
      <c r="BA1016" s="183"/>
      <c r="BB1016" s="183"/>
      <c r="BC1016" s="183"/>
      <c r="BD1016" s="183"/>
      <c r="BE1016" s="183"/>
      <c r="BF1016" s="184"/>
      <c r="BG1016" s="183"/>
      <c r="BH1016" s="183"/>
      <c r="BI1016" s="183"/>
      <c r="BJ1016" s="183"/>
      <c r="BK1016" s="183"/>
      <c r="BL1016" s="184"/>
      <c r="BM1016" s="409"/>
      <c r="BN1016" s="409"/>
    </row>
    <row r="1017" spans="1:66" s="153" customFormat="1" x14ac:dyDescent="0.2">
      <c r="A1017" s="61"/>
      <c r="B1017" s="61"/>
      <c r="C1017" s="61"/>
      <c r="D1017" s="61"/>
      <c r="E1017" s="61"/>
      <c r="F1017" s="61"/>
      <c r="G1017" s="61"/>
      <c r="H1017" s="61"/>
      <c r="I1017" s="61"/>
      <c r="J1017" s="61"/>
      <c r="K1017" s="61"/>
      <c r="L1017" s="61"/>
      <c r="M1017" s="61"/>
      <c r="N1017" s="61"/>
      <c r="O1017" s="61"/>
      <c r="P1017" s="61"/>
      <c r="Q1017" s="61"/>
      <c r="R1017" s="61"/>
      <c r="S1017" s="61"/>
      <c r="T1017" s="35"/>
      <c r="U1017" s="187"/>
      <c r="V1017" s="190"/>
      <c r="W1017" s="190"/>
      <c r="X1017" s="190"/>
      <c r="Y1017" s="190"/>
      <c r="Z1017" s="190"/>
      <c r="AA1017" s="191"/>
      <c r="AB1017" s="190"/>
      <c r="AC1017" s="190"/>
      <c r="AD1017" s="190"/>
      <c r="AE1017" s="190"/>
      <c r="AF1017" s="190"/>
      <c r="AG1017" s="190"/>
      <c r="AH1017" s="191"/>
      <c r="AI1017" s="190"/>
      <c r="AJ1017" s="190"/>
      <c r="AK1017" s="190"/>
      <c r="AL1017" s="190"/>
      <c r="AM1017" s="190"/>
      <c r="AN1017" s="191"/>
      <c r="AO1017" s="190"/>
      <c r="AP1017" s="190"/>
      <c r="AQ1017" s="190"/>
      <c r="AR1017" s="190"/>
      <c r="AS1017" s="190"/>
      <c r="AT1017" s="191"/>
      <c r="AU1017" s="190"/>
      <c r="AV1017" s="190"/>
      <c r="AW1017" s="190"/>
      <c r="AX1017" s="190"/>
      <c r="AY1017" s="190"/>
      <c r="AZ1017" s="191"/>
      <c r="BA1017" s="183"/>
      <c r="BB1017" s="183"/>
      <c r="BC1017" s="183"/>
      <c r="BD1017" s="183"/>
      <c r="BE1017" s="183"/>
      <c r="BF1017" s="184"/>
      <c r="BG1017" s="183"/>
      <c r="BH1017" s="183"/>
      <c r="BI1017" s="183"/>
      <c r="BJ1017" s="183"/>
      <c r="BK1017" s="183"/>
      <c r="BL1017" s="184"/>
      <c r="BM1017" s="409"/>
      <c r="BN1017" s="409"/>
    </row>
    <row r="1018" spans="1:66" s="153" customFormat="1" x14ac:dyDescent="0.2">
      <c r="A1018" s="61"/>
      <c r="B1018" s="61"/>
      <c r="C1018" s="61"/>
      <c r="D1018" s="61"/>
      <c r="E1018" s="61"/>
      <c r="F1018" s="61"/>
      <c r="G1018" s="61"/>
      <c r="H1018" s="61"/>
      <c r="I1018" s="61"/>
      <c r="J1018" s="61"/>
      <c r="K1018" s="61"/>
      <c r="L1018" s="61"/>
      <c r="M1018" s="61"/>
      <c r="N1018" s="61"/>
      <c r="O1018" s="61"/>
      <c r="P1018" s="61"/>
      <c r="Q1018" s="61"/>
      <c r="R1018" s="61"/>
      <c r="S1018" s="61"/>
      <c r="T1018" s="35"/>
      <c r="U1018" s="187"/>
      <c r="V1018" s="190"/>
      <c r="W1018" s="190"/>
      <c r="X1018" s="190"/>
      <c r="Y1018" s="190"/>
      <c r="Z1018" s="190"/>
      <c r="AA1018" s="191"/>
      <c r="AB1018" s="190"/>
      <c r="AC1018" s="190"/>
      <c r="AD1018" s="190"/>
      <c r="AE1018" s="190"/>
      <c r="AF1018" s="190"/>
      <c r="AG1018" s="190"/>
      <c r="AH1018" s="191"/>
      <c r="AI1018" s="190"/>
      <c r="AJ1018" s="190"/>
      <c r="AK1018" s="190"/>
      <c r="AL1018" s="190"/>
      <c r="AM1018" s="190"/>
      <c r="AN1018" s="191"/>
      <c r="AO1018" s="190"/>
      <c r="AP1018" s="190"/>
      <c r="AQ1018" s="190"/>
      <c r="AR1018" s="190"/>
      <c r="AS1018" s="190"/>
      <c r="AT1018" s="191"/>
      <c r="AU1018" s="190"/>
      <c r="AV1018" s="190"/>
      <c r="AW1018" s="190"/>
      <c r="AX1018" s="190"/>
      <c r="AY1018" s="190"/>
      <c r="AZ1018" s="191"/>
      <c r="BA1018" s="183"/>
      <c r="BB1018" s="183"/>
      <c r="BC1018" s="183"/>
      <c r="BD1018" s="183"/>
      <c r="BE1018" s="183"/>
      <c r="BF1018" s="184"/>
      <c r="BG1018" s="183"/>
      <c r="BH1018" s="183"/>
      <c r="BI1018" s="183"/>
      <c r="BJ1018" s="183"/>
      <c r="BK1018" s="183"/>
      <c r="BL1018" s="184"/>
      <c r="BM1018" s="409"/>
      <c r="BN1018" s="409"/>
    </row>
    <row r="1019" spans="1:66" s="153" customFormat="1" x14ac:dyDescent="0.2">
      <c r="A1019" s="61"/>
      <c r="B1019" s="61"/>
      <c r="C1019" s="61"/>
      <c r="D1019" s="61"/>
      <c r="E1019" s="61"/>
      <c r="F1019" s="61"/>
      <c r="G1019" s="61"/>
      <c r="H1019" s="61"/>
      <c r="I1019" s="61"/>
      <c r="J1019" s="61"/>
      <c r="K1019" s="61"/>
      <c r="L1019" s="61"/>
      <c r="M1019" s="61"/>
      <c r="N1019" s="61"/>
      <c r="O1019" s="61"/>
      <c r="P1019" s="61"/>
      <c r="Q1019" s="61"/>
      <c r="R1019" s="61"/>
      <c r="S1019" s="61"/>
      <c r="T1019" s="35"/>
      <c r="U1019" s="187"/>
      <c r="V1019" s="190"/>
      <c r="W1019" s="190"/>
      <c r="X1019" s="190"/>
      <c r="Y1019" s="190"/>
      <c r="Z1019" s="190"/>
      <c r="AA1019" s="191"/>
      <c r="AB1019" s="190"/>
      <c r="AC1019" s="190"/>
      <c r="AD1019" s="190"/>
      <c r="AE1019" s="190"/>
      <c r="AF1019" s="190"/>
      <c r="AG1019" s="190"/>
      <c r="AH1019" s="191"/>
      <c r="AI1019" s="190"/>
      <c r="AJ1019" s="190"/>
      <c r="AK1019" s="190"/>
      <c r="AL1019" s="190"/>
      <c r="AM1019" s="190"/>
      <c r="AN1019" s="191"/>
      <c r="AO1019" s="190"/>
      <c r="AP1019" s="190"/>
      <c r="AQ1019" s="190"/>
      <c r="AR1019" s="190"/>
      <c r="AS1019" s="190"/>
      <c r="AT1019" s="191"/>
      <c r="AU1019" s="190"/>
      <c r="AV1019" s="190"/>
      <c r="AW1019" s="190"/>
      <c r="AX1019" s="190"/>
      <c r="AY1019" s="190"/>
      <c r="AZ1019" s="191"/>
      <c r="BA1019" s="183"/>
      <c r="BB1019" s="183"/>
      <c r="BC1019" s="183"/>
      <c r="BD1019" s="183"/>
      <c r="BE1019" s="183"/>
      <c r="BF1019" s="184"/>
      <c r="BG1019" s="183"/>
      <c r="BH1019" s="183"/>
      <c r="BI1019" s="183"/>
      <c r="BJ1019" s="183"/>
      <c r="BK1019" s="183"/>
      <c r="BL1019" s="184"/>
      <c r="BM1019" s="409"/>
      <c r="BN1019" s="409"/>
    </row>
    <row r="1020" spans="1:66" s="153" customFormat="1" x14ac:dyDescent="0.2">
      <c r="A1020" s="61"/>
      <c r="B1020" s="61"/>
      <c r="C1020" s="61"/>
      <c r="D1020" s="61"/>
      <c r="E1020" s="61"/>
      <c r="F1020" s="61"/>
      <c r="G1020" s="61"/>
      <c r="H1020" s="61"/>
      <c r="I1020" s="61"/>
      <c r="J1020" s="61"/>
      <c r="K1020" s="61"/>
      <c r="L1020" s="61"/>
      <c r="M1020" s="61"/>
      <c r="N1020" s="61"/>
      <c r="O1020" s="61"/>
      <c r="P1020" s="61"/>
      <c r="Q1020" s="61"/>
      <c r="R1020" s="61"/>
      <c r="S1020" s="61"/>
      <c r="T1020" s="35"/>
      <c r="U1020" s="187"/>
      <c r="V1020" s="190"/>
      <c r="W1020" s="190"/>
      <c r="X1020" s="190"/>
      <c r="Y1020" s="190"/>
      <c r="Z1020" s="190"/>
      <c r="AA1020" s="191"/>
      <c r="AB1020" s="190"/>
      <c r="AC1020" s="190"/>
      <c r="AD1020" s="190"/>
      <c r="AE1020" s="190"/>
      <c r="AF1020" s="190"/>
      <c r="AG1020" s="190"/>
      <c r="AH1020" s="191"/>
      <c r="AI1020" s="190"/>
      <c r="AJ1020" s="190"/>
      <c r="AK1020" s="190"/>
      <c r="AL1020" s="190"/>
      <c r="AM1020" s="190"/>
      <c r="AN1020" s="191"/>
      <c r="AO1020" s="190"/>
      <c r="AP1020" s="190"/>
      <c r="AQ1020" s="190"/>
      <c r="AR1020" s="190"/>
      <c r="AS1020" s="190"/>
      <c r="AT1020" s="191"/>
      <c r="AU1020" s="190"/>
      <c r="AV1020" s="190"/>
      <c r="AW1020" s="190"/>
      <c r="AX1020" s="190"/>
      <c r="AY1020" s="190"/>
      <c r="AZ1020" s="191"/>
      <c r="BA1020" s="183"/>
      <c r="BB1020" s="183"/>
      <c r="BC1020" s="183"/>
      <c r="BD1020" s="183"/>
      <c r="BE1020" s="183"/>
      <c r="BF1020" s="184"/>
      <c r="BG1020" s="183"/>
      <c r="BH1020" s="183"/>
      <c r="BI1020" s="183"/>
      <c r="BJ1020" s="183"/>
      <c r="BK1020" s="183"/>
      <c r="BL1020" s="184"/>
      <c r="BM1020" s="409"/>
      <c r="BN1020" s="409"/>
    </row>
    <row r="1021" spans="1:66" s="153" customFormat="1" x14ac:dyDescent="0.2">
      <c r="A1021" s="61"/>
      <c r="B1021" s="61"/>
      <c r="C1021" s="61"/>
      <c r="D1021" s="61"/>
      <c r="E1021" s="61"/>
      <c r="F1021" s="61"/>
      <c r="G1021" s="61"/>
      <c r="H1021" s="61"/>
      <c r="I1021" s="61"/>
      <c r="J1021" s="61"/>
      <c r="K1021" s="61"/>
      <c r="L1021" s="61"/>
      <c r="M1021" s="61"/>
      <c r="N1021" s="61"/>
      <c r="O1021" s="61"/>
      <c r="P1021" s="61"/>
      <c r="Q1021" s="61"/>
      <c r="R1021" s="61"/>
      <c r="S1021" s="61"/>
      <c r="T1021" s="35"/>
      <c r="U1021" s="187"/>
      <c r="V1021" s="190"/>
      <c r="W1021" s="190"/>
      <c r="X1021" s="190"/>
      <c r="Y1021" s="190"/>
      <c r="Z1021" s="190"/>
      <c r="AA1021" s="191"/>
      <c r="AB1021" s="190"/>
      <c r="AC1021" s="190"/>
      <c r="AD1021" s="190"/>
      <c r="AE1021" s="190"/>
      <c r="AF1021" s="190"/>
      <c r="AG1021" s="190"/>
      <c r="AH1021" s="191"/>
      <c r="AI1021" s="190"/>
      <c r="AJ1021" s="190"/>
      <c r="AK1021" s="190"/>
      <c r="AL1021" s="190"/>
      <c r="AM1021" s="190"/>
      <c r="AN1021" s="191"/>
      <c r="AO1021" s="190"/>
      <c r="AP1021" s="190"/>
      <c r="AQ1021" s="190"/>
      <c r="AR1021" s="190"/>
      <c r="AS1021" s="190"/>
      <c r="AT1021" s="191"/>
      <c r="AU1021" s="190"/>
      <c r="AV1021" s="190"/>
      <c r="AW1021" s="190"/>
      <c r="AX1021" s="190"/>
      <c r="AY1021" s="190"/>
      <c r="AZ1021" s="191"/>
      <c r="BA1021" s="183"/>
      <c r="BB1021" s="183"/>
      <c r="BC1021" s="183"/>
      <c r="BD1021" s="183"/>
      <c r="BE1021" s="183"/>
      <c r="BF1021" s="184"/>
      <c r="BG1021" s="183"/>
      <c r="BH1021" s="183"/>
      <c r="BI1021" s="183"/>
      <c r="BJ1021" s="183"/>
      <c r="BK1021" s="183"/>
      <c r="BL1021" s="184"/>
      <c r="BM1021" s="409"/>
      <c r="BN1021" s="409"/>
    </row>
    <row r="1022" spans="1:66" s="153" customFormat="1" x14ac:dyDescent="0.2">
      <c r="A1022" s="61"/>
      <c r="B1022" s="61"/>
      <c r="C1022" s="61"/>
      <c r="D1022" s="61"/>
      <c r="E1022" s="61"/>
      <c r="F1022" s="61"/>
      <c r="G1022" s="61"/>
      <c r="H1022" s="61"/>
      <c r="I1022" s="61"/>
      <c r="J1022" s="61"/>
      <c r="K1022" s="61"/>
      <c r="L1022" s="61"/>
      <c r="M1022" s="61"/>
      <c r="N1022" s="61"/>
      <c r="O1022" s="61"/>
      <c r="P1022" s="61"/>
      <c r="Q1022" s="61"/>
      <c r="R1022" s="61"/>
      <c r="S1022" s="61"/>
      <c r="T1022" s="35"/>
      <c r="U1022" s="187"/>
      <c r="V1022" s="190"/>
      <c r="W1022" s="190"/>
      <c r="X1022" s="190"/>
      <c r="Y1022" s="190"/>
      <c r="Z1022" s="190"/>
      <c r="AA1022" s="191"/>
      <c r="AB1022" s="190"/>
      <c r="AC1022" s="190"/>
      <c r="AD1022" s="190"/>
      <c r="AE1022" s="190"/>
      <c r="AF1022" s="190"/>
      <c r="AG1022" s="190"/>
      <c r="AH1022" s="191"/>
      <c r="AI1022" s="190"/>
      <c r="AJ1022" s="190"/>
      <c r="AK1022" s="190"/>
      <c r="AL1022" s="190"/>
      <c r="AM1022" s="190"/>
      <c r="AN1022" s="191"/>
      <c r="AO1022" s="190"/>
      <c r="AP1022" s="190"/>
      <c r="AQ1022" s="190"/>
      <c r="AR1022" s="190"/>
      <c r="AS1022" s="190"/>
      <c r="AT1022" s="191"/>
      <c r="AU1022" s="190"/>
      <c r="AV1022" s="190"/>
      <c r="AW1022" s="190"/>
      <c r="AX1022" s="190"/>
      <c r="AY1022" s="190"/>
      <c r="AZ1022" s="191"/>
      <c r="BA1022" s="183"/>
      <c r="BB1022" s="183"/>
      <c r="BC1022" s="183"/>
      <c r="BD1022" s="183"/>
      <c r="BE1022" s="183"/>
      <c r="BF1022" s="184"/>
      <c r="BG1022" s="183"/>
      <c r="BH1022" s="183"/>
      <c r="BI1022" s="183"/>
      <c r="BJ1022" s="183"/>
      <c r="BK1022" s="183"/>
      <c r="BL1022" s="184"/>
      <c r="BM1022" s="409"/>
      <c r="BN1022" s="409"/>
    </row>
    <row r="1023" spans="1:66" s="153" customFormat="1" x14ac:dyDescent="0.2">
      <c r="A1023" s="61"/>
      <c r="B1023" s="61"/>
      <c r="C1023" s="61"/>
      <c r="D1023" s="61"/>
      <c r="E1023" s="61"/>
      <c r="F1023" s="61"/>
      <c r="G1023" s="61"/>
      <c r="H1023" s="61"/>
      <c r="I1023" s="61"/>
      <c r="J1023" s="61"/>
      <c r="K1023" s="61"/>
      <c r="L1023" s="61"/>
      <c r="M1023" s="61"/>
      <c r="N1023" s="61"/>
      <c r="O1023" s="61"/>
      <c r="P1023" s="61"/>
      <c r="Q1023" s="61"/>
      <c r="R1023" s="61"/>
      <c r="S1023" s="61"/>
      <c r="T1023" s="35"/>
      <c r="U1023" s="187"/>
      <c r="V1023" s="190"/>
      <c r="W1023" s="190"/>
      <c r="X1023" s="190"/>
      <c r="Y1023" s="190"/>
      <c r="Z1023" s="190"/>
      <c r="AA1023" s="191"/>
      <c r="AB1023" s="190"/>
      <c r="AC1023" s="190"/>
      <c r="AD1023" s="190"/>
      <c r="AE1023" s="190"/>
      <c r="AF1023" s="190"/>
      <c r="AG1023" s="190"/>
      <c r="AH1023" s="191"/>
      <c r="AI1023" s="190"/>
      <c r="AJ1023" s="190"/>
      <c r="AK1023" s="190"/>
      <c r="AL1023" s="190"/>
      <c r="AM1023" s="190"/>
      <c r="AN1023" s="191"/>
      <c r="AO1023" s="190"/>
      <c r="AP1023" s="190"/>
      <c r="AQ1023" s="190"/>
      <c r="AR1023" s="190"/>
      <c r="AS1023" s="190"/>
      <c r="AT1023" s="191"/>
      <c r="AU1023" s="190"/>
      <c r="AV1023" s="190"/>
      <c r="AW1023" s="190"/>
      <c r="AX1023" s="190"/>
      <c r="AY1023" s="190"/>
      <c r="AZ1023" s="191"/>
      <c r="BA1023" s="183"/>
      <c r="BB1023" s="183"/>
      <c r="BC1023" s="183"/>
      <c r="BD1023" s="183"/>
      <c r="BE1023" s="183"/>
      <c r="BF1023" s="184"/>
      <c r="BG1023" s="183"/>
      <c r="BH1023" s="183"/>
      <c r="BI1023" s="183"/>
      <c r="BJ1023" s="183"/>
      <c r="BK1023" s="183"/>
      <c r="BL1023" s="184"/>
      <c r="BM1023" s="409"/>
      <c r="BN1023" s="409"/>
    </row>
    <row r="1024" spans="1:66" s="153" customFormat="1" x14ac:dyDescent="0.2">
      <c r="A1024" s="61"/>
      <c r="B1024" s="61"/>
      <c r="C1024" s="61"/>
      <c r="D1024" s="61"/>
      <c r="E1024" s="61"/>
      <c r="F1024" s="61"/>
      <c r="G1024" s="61"/>
      <c r="H1024" s="61"/>
      <c r="I1024" s="61"/>
      <c r="J1024" s="61"/>
      <c r="K1024" s="61"/>
      <c r="L1024" s="61"/>
      <c r="M1024" s="61"/>
      <c r="N1024" s="61"/>
      <c r="O1024" s="61"/>
      <c r="P1024" s="61"/>
      <c r="Q1024" s="61"/>
      <c r="R1024" s="61"/>
      <c r="S1024" s="61"/>
      <c r="T1024" s="35"/>
      <c r="U1024" s="187"/>
      <c r="V1024" s="190"/>
      <c r="W1024" s="190"/>
      <c r="X1024" s="190"/>
      <c r="Y1024" s="190"/>
      <c r="Z1024" s="190"/>
      <c r="AA1024" s="191"/>
      <c r="AB1024" s="190"/>
      <c r="AC1024" s="190"/>
      <c r="AD1024" s="190"/>
      <c r="AE1024" s="190"/>
      <c r="AF1024" s="190"/>
      <c r="AG1024" s="190"/>
      <c r="AH1024" s="191"/>
      <c r="AI1024" s="190"/>
      <c r="AJ1024" s="190"/>
      <c r="AK1024" s="190"/>
      <c r="AL1024" s="190"/>
      <c r="AM1024" s="190"/>
      <c r="AN1024" s="191"/>
      <c r="AO1024" s="190"/>
      <c r="AP1024" s="190"/>
      <c r="AQ1024" s="190"/>
      <c r="AR1024" s="190"/>
      <c r="AS1024" s="190"/>
      <c r="AT1024" s="191"/>
      <c r="AU1024" s="190"/>
      <c r="AV1024" s="190"/>
      <c r="AW1024" s="190"/>
      <c r="AX1024" s="190"/>
      <c r="AY1024" s="190"/>
      <c r="AZ1024" s="191"/>
      <c r="BA1024" s="183"/>
      <c r="BB1024" s="183"/>
      <c r="BC1024" s="183"/>
      <c r="BD1024" s="183"/>
      <c r="BE1024" s="183"/>
      <c r="BF1024" s="184"/>
      <c r="BG1024" s="183"/>
      <c r="BH1024" s="183"/>
      <c r="BI1024" s="183"/>
      <c r="BJ1024" s="183"/>
      <c r="BK1024" s="183"/>
      <c r="BL1024" s="184"/>
      <c r="BM1024" s="409"/>
      <c r="BN1024" s="409"/>
    </row>
    <row r="1025" spans="1:66" s="153" customFormat="1" x14ac:dyDescent="0.2">
      <c r="A1025" s="61"/>
      <c r="B1025" s="61"/>
      <c r="C1025" s="61"/>
      <c r="D1025" s="61"/>
      <c r="E1025" s="61"/>
      <c r="F1025" s="61"/>
      <c r="G1025" s="61"/>
      <c r="H1025" s="61"/>
      <c r="I1025" s="61"/>
      <c r="J1025" s="61"/>
      <c r="K1025" s="61"/>
      <c r="L1025" s="61"/>
      <c r="M1025" s="61"/>
      <c r="N1025" s="61"/>
      <c r="O1025" s="61"/>
      <c r="P1025" s="61"/>
      <c r="Q1025" s="61"/>
      <c r="R1025" s="61"/>
      <c r="S1025" s="61"/>
      <c r="T1025" s="35"/>
      <c r="U1025" s="187"/>
      <c r="V1025" s="190"/>
      <c r="W1025" s="190"/>
      <c r="X1025" s="190"/>
      <c r="Y1025" s="190"/>
      <c r="Z1025" s="190"/>
      <c r="AA1025" s="191"/>
      <c r="AB1025" s="190"/>
      <c r="AC1025" s="190"/>
      <c r="AD1025" s="190"/>
      <c r="AE1025" s="190"/>
      <c r="AF1025" s="190"/>
      <c r="AG1025" s="190"/>
      <c r="AH1025" s="191"/>
      <c r="AI1025" s="190"/>
      <c r="AJ1025" s="190"/>
      <c r="AK1025" s="190"/>
      <c r="AL1025" s="190"/>
      <c r="AM1025" s="190"/>
      <c r="AN1025" s="191"/>
      <c r="AO1025" s="190"/>
      <c r="AP1025" s="190"/>
      <c r="AQ1025" s="190"/>
      <c r="AR1025" s="190"/>
      <c r="AS1025" s="190"/>
      <c r="AT1025" s="191"/>
      <c r="AU1025" s="190"/>
      <c r="AV1025" s="190"/>
      <c r="AW1025" s="190"/>
      <c r="AX1025" s="190"/>
      <c r="AY1025" s="190"/>
      <c r="AZ1025" s="191"/>
      <c r="BA1025" s="183"/>
      <c r="BB1025" s="183"/>
      <c r="BC1025" s="183"/>
      <c r="BD1025" s="183"/>
      <c r="BE1025" s="183"/>
      <c r="BF1025" s="184"/>
      <c r="BG1025" s="183"/>
      <c r="BH1025" s="183"/>
      <c r="BI1025" s="183"/>
      <c r="BJ1025" s="183"/>
      <c r="BK1025" s="183"/>
      <c r="BL1025" s="184"/>
      <c r="BM1025" s="409"/>
      <c r="BN1025" s="409"/>
    </row>
    <row r="1026" spans="1:66" s="153" customFormat="1" x14ac:dyDescent="0.2">
      <c r="A1026" s="61"/>
      <c r="B1026" s="61"/>
      <c r="C1026" s="61"/>
      <c r="D1026" s="61"/>
      <c r="E1026" s="61"/>
      <c r="F1026" s="61"/>
      <c r="G1026" s="61"/>
      <c r="H1026" s="61"/>
      <c r="I1026" s="61"/>
      <c r="J1026" s="61"/>
      <c r="K1026" s="61"/>
      <c r="L1026" s="61"/>
      <c r="M1026" s="61"/>
      <c r="N1026" s="61"/>
      <c r="O1026" s="61"/>
      <c r="P1026" s="61"/>
      <c r="Q1026" s="61"/>
      <c r="R1026" s="61"/>
      <c r="S1026" s="61"/>
      <c r="T1026" s="35"/>
      <c r="U1026" s="187"/>
      <c r="V1026" s="190"/>
      <c r="W1026" s="190"/>
      <c r="X1026" s="190"/>
      <c r="Y1026" s="190"/>
      <c r="Z1026" s="190"/>
      <c r="AA1026" s="191"/>
      <c r="AB1026" s="190"/>
      <c r="AC1026" s="190"/>
      <c r="AD1026" s="190"/>
      <c r="AE1026" s="190"/>
      <c r="AF1026" s="190"/>
      <c r="AG1026" s="190"/>
      <c r="AH1026" s="191"/>
      <c r="AI1026" s="190"/>
      <c r="AJ1026" s="190"/>
      <c r="AK1026" s="190"/>
      <c r="AL1026" s="190"/>
      <c r="AM1026" s="190"/>
      <c r="AN1026" s="191"/>
      <c r="AO1026" s="190"/>
      <c r="AP1026" s="190"/>
      <c r="AQ1026" s="190"/>
      <c r="AR1026" s="190"/>
      <c r="AS1026" s="190"/>
      <c r="AT1026" s="191"/>
      <c r="AU1026" s="190"/>
      <c r="AV1026" s="190"/>
      <c r="AW1026" s="190"/>
      <c r="AX1026" s="190"/>
      <c r="AY1026" s="190"/>
      <c r="AZ1026" s="191"/>
      <c r="BA1026" s="183"/>
      <c r="BB1026" s="183"/>
      <c r="BC1026" s="183"/>
      <c r="BD1026" s="183"/>
      <c r="BE1026" s="183"/>
      <c r="BF1026" s="184"/>
      <c r="BG1026" s="183"/>
      <c r="BH1026" s="183"/>
      <c r="BI1026" s="183"/>
      <c r="BJ1026" s="183"/>
      <c r="BK1026" s="183"/>
      <c r="BL1026" s="184"/>
      <c r="BM1026" s="409"/>
      <c r="BN1026" s="409"/>
    </row>
    <row r="1027" spans="1:66" s="153" customFormat="1" x14ac:dyDescent="0.2">
      <c r="A1027" s="61"/>
      <c r="B1027" s="61"/>
      <c r="C1027" s="61"/>
      <c r="D1027" s="61"/>
      <c r="E1027" s="61"/>
      <c r="F1027" s="61"/>
      <c r="G1027" s="61"/>
      <c r="H1027" s="61"/>
      <c r="I1027" s="61"/>
      <c r="J1027" s="61"/>
      <c r="K1027" s="61"/>
      <c r="L1027" s="61"/>
      <c r="M1027" s="61"/>
      <c r="N1027" s="61"/>
      <c r="O1027" s="61"/>
      <c r="P1027" s="61"/>
      <c r="Q1027" s="61"/>
      <c r="R1027" s="61"/>
      <c r="S1027" s="61"/>
      <c r="T1027" s="35"/>
      <c r="U1027" s="187"/>
      <c r="V1027" s="190"/>
      <c r="W1027" s="190"/>
      <c r="X1027" s="190"/>
      <c r="Y1027" s="190"/>
      <c r="Z1027" s="190"/>
      <c r="AA1027" s="191"/>
      <c r="AB1027" s="190"/>
      <c r="AC1027" s="190"/>
      <c r="AD1027" s="190"/>
      <c r="AE1027" s="190"/>
      <c r="AF1027" s="190"/>
      <c r="AG1027" s="190"/>
      <c r="AH1027" s="191"/>
      <c r="AI1027" s="190"/>
      <c r="AJ1027" s="190"/>
      <c r="AK1027" s="190"/>
      <c r="AL1027" s="190"/>
      <c r="AM1027" s="190"/>
      <c r="AN1027" s="191"/>
      <c r="AO1027" s="190"/>
      <c r="AP1027" s="190"/>
      <c r="AQ1027" s="190"/>
      <c r="AR1027" s="190"/>
      <c r="AS1027" s="190"/>
      <c r="AT1027" s="191"/>
      <c r="AU1027" s="190"/>
      <c r="AV1027" s="190"/>
      <c r="AW1027" s="190"/>
      <c r="AX1027" s="190"/>
      <c r="AY1027" s="190"/>
      <c r="AZ1027" s="191"/>
      <c r="BA1027" s="183"/>
      <c r="BB1027" s="183"/>
      <c r="BC1027" s="183"/>
      <c r="BD1027" s="183"/>
      <c r="BE1027" s="183"/>
      <c r="BF1027" s="184"/>
      <c r="BG1027" s="183"/>
      <c r="BH1027" s="183"/>
      <c r="BI1027" s="183"/>
      <c r="BJ1027" s="183"/>
      <c r="BK1027" s="183"/>
      <c r="BL1027" s="184"/>
      <c r="BM1027" s="409"/>
      <c r="BN1027" s="409"/>
    </row>
    <row r="1028" spans="1:66" s="153" customFormat="1" x14ac:dyDescent="0.2">
      <c r="A1028" s="61"/>
      <c r="B1028" s="61"/>
      <c r="C1028" s="61"/>
      <c r="D1028" s="61"/>
      <c r="E1028" s="61"/>
      <c r="F1028" s="61"/>
      <c r="G1028" s="61"/>
      <c r="H1028" s="61"/>
      <c r="I1028" s="61"/>
      <c r="J1028" s="61"/>
      <c r="K1028" s="61"/>
      <c r="L1028" s="61"/>
      <c r="M1028" s="61"/>
      <c r="N1028" s="61"/>
      <c r="O1028" s="61"/>
      <c r="P1028" s="61"/>
      <c r="Q1028" s="61"/>
      <c r="R1028" s="61"/>
      <c r="S1028" s="61"/>
      <c r="T1028" s="35"/>
      <c r="U1028" s="187"/>
      <c r="V1028" s="190"/>
      <c r="W1028" s="190"/>
      <c r="X1028" s="190"/>
      <c r="Y1028" s="190"/>
      <c r="Z1028" s="190"/>
      <c r="AA1028" s="191"/>
      <c r="AB1028" s="190"/>
      <c r="AC1028" s="190"/>
      <c r="AD1028" s="190"/>
      <c r="AE1028" s="190"/>
      <c r="AF1028" s="190"/>
      <c r="AG1028" s="190"/>
      <c r="AH1028" s="191"/>
      <c r="AI1028" s="190"/>
      <c r="AJ1028" s="190"/>
      <c r="AK1028" s="190"/>
      <c r="AL1028" s="190"/>
      <c r="AM1028" s="190"/>
      <c r="AN1028" s="191"/>
      <c r="AO1028" s="190"/>
      <c r="AP1028" s="190"/>
      <c r="AQ1028" s="190"/>
      <c r="AR1028" s="190"/>
      <c r="AS1028" s="190"/>
      <c r="AT1028" s="191"/>
      <c r="AU1028" s="190"/>
      <c r="AV1028" s="190"/>
      <c r="AW1028" s="190"/>
      <c r="AX1028" s="190"/>
      <c r="AY1028" s="190"/>
      <c r="AZ1028" s="191"/>
      <c r="BA1028" s="183"/>
      <c r="BB1028" s="183"/>
      <c r="BC1028" s="183"/>
      <c r="BD1028" s="183"/>
      <c r="BE1028" s="183"/>
      <c r="BF1028" s="184"/>
      <c r="BG1028" s="183"/>
      <c r="BH1028" s="183"/>
      <c r="BI1028" s="183"/>
      <c r="BJ1028" s="183"/>
      <c r="BK1028" s="183"/>
      <c r="BL1028" s="184"/>
      <c r="BM1028" s="409"/>
      <c r="BN1028" s="409"/>
    </row>
    <row r="1029" spans="1:66" s="153" customFormat="1" x14ac:dyDescent="0.2">
      <c r="A1029" s="61"/>
      <c r="B1029" s="61"/>
      <c r="C1029" s="61"/>
      <c r="D1029" s="61"/>
      <c r="E1029" s="61"/>
      <c r="F1029" s="61"/>
      <c r="G1029" s="61"/>
      <c r="H1029" s="61"/>
      <c r="I1029" s="61"/>
      <c r="J1029" s="61"/>
      <c r="K1029" s="61"/>
      <c r="L1029" s="61"/>
      <c r="M1029" s="61"/>
      <c r="N1029" s="61"/>
      <c r="O1029" s="61"/>
      <c r="P1029" s="61"/>
      <c r="Q1029" s="61"/>
      <c r="R1029" s="61"/>
      <c r="S1029" s="61"/>
      <c r="T1029" s="35"/>
      <c r="U1029" s="187"/>
      <c r="V1029" s="190"/>
      <c r="W1029" s="190"/>
      <c r="X1029" s="190"/>
      <c r="Y1029" s="190"/>
      <c r="Z1029" s="190"/>
      <c r="AA1029" s="191"/>
      <c r="AB1029" s="190"/>
      <c r="AC1029" s="190"/>
      <c r="AD1029" s="190"/>
      <c r="AE1029" s="190"/>
      <c r="AF1029" s="190"/>
      <c r="AG1029" s="190"/>
      <c r="AH1029" s="191"/>
      <c r="AI1029" s="190"/>
      <c r="AJ1029" s="190"/>
      <c r="AK1029" s="190"/>
      <c r="AL1029" s="190"/>
      <c r="AM1029" s="190"/>
      <c r="AN1029" s="191"/>
      <c r="AO1029" s="190"/>
      <c r="AP1029" s="190"/>
      <c r="AQ1029" s="190"/>
      <c r="AR1029" s="190"/>
      <c r="AS1029" s="190"/>
      <c r="AT1029" s="191"/>
      <c r="AU1029" s="190"/>
      <c r="AV1029" s="190"/>
      <c r="AW1029" s="190"/>
      <c r="AX1029" s="190"/>
      <c r="AY1029" s="190"/>
      <c r="AZ1029" s="191"/>
      <c r="BA1029" s="183"/>
      <c r="BB1029" s="183"/>
      <c r="BC1029" s="183"/>
      <c r="BD1029" s="183"/>
      <c r="BE1029" s="183"/>
      <c r="BF1029" s="184"/>
      <c r="BG1029" s="183"/>
      <c r="BH1029" s="183"/>
      <c r="BI1029" s="183"/>
      <c r="BJ1029" s="183"/>
      <c r="BK1029" s="183"/>
      <c r="BL1029" s="184"/>
      <c r="BM1029" s="409"/>
      <c r="BN1029" s="409"/>
    </row>
    <row r="1030" spans="1:66" s="153" customFormat="1" x14ac:dyDescent="0.2">
      <c r="A1030" s="61"/>
      <c r="B1030" s="61"/>
      <c r="C1030" s="61"/>
      <c r="D1030" s="61"/>
      <c r="E1030" s="61"/>
      <c r="F1030" s="61"/>
      <c r="G1030" s="61"/>
      <c r="H1030" s="61"/>
      <c r="I1030" s="61"/>
      <c r="J1030" s="61"/>
      <c r="K1030" s="61"/>
      <c r="L1030" s="61"/>
      <c r="M1030" s="61"/>
      <c r="N1030" s="61"/>
      <c r="O1030" s="61"/>
      <c r="P1030" s="61"/>
      <c r="Q1030" s="61"/>
      <c r="R1030" s="61"/>
      <c r="S1030" s="61"/>
      <c r="T1030" s="35"/>
      <c r="U1030" s="187"/>
      <c r="V1030" s="190"/>
      <c r="W1030" s="190"/>
      <c r="X1030" s="190"/>
      <c r="Y1030" s="190"/>
      <c r="Z1030" s="190"/>
      <c r="AA1030" s="191"/>
      <c r="AB1030" s="190"/>
      <c r="AC1030" s="190"/>
      <c r="AD1030" s="190"/>
      <c r="AE1030" s="190"/>
      <c r="AF1030" s="190"/>
      <c r="AG1030" s="190"/>
      <c r="AH1030" s="191"/>
      <c r="AI1030" s="190"/>
      <c r="AJ1030" s="190"/>
      <c r="AK1030" s="190"/>
      <c r="AL1030" s="190"/>
      <c r="AM1030" s="190"/>
      <c r="AN1030" s="191"/>
      <c r="AO1030" s="190"/>
      <c r="AP1030" s="190"/>
      <c r="AQ1030" s="190"/>
      <c r="AR1030" s="190"/>
      <c r="AS1030" s="190"/>
      <c r="AT1030" s="191"/>
      <c r="AU1030" s="190"/>
      <c r="AV1030" s="190"/>
      <c r="AW1030" s="190"/>
      <c r="AX1030" s="190"/>
      <c r="AY1030" s="190"/>
      <c r="AZ1030" s="191"/>
      <c r="BA1030" s="183"/>
      <c r="BB1030" s="183"/>
      <c r="BC1030" s="183"/>
      <c r="BD1030" s="183"/>
      <c r="BE1030" s="183"/>
      <c r="BF1030" s="184"/>
      <c r="BG1030" s="183"/>
      <c r="BH1030" s="183"/>
      <c r="BI1030" s="183"/>
      <c r="BJ1030" s="183"/>
      <c r="BK1030" s="183"/>
      <c r="BL1030" s="184"/>
      <c r="BM1030" s="409"/>
      <c r="BN1030" s="409"/>
    </row>
    <row r="1031" spans="1:66" s="153" customFormat="1" x14ac:dyDescent="0.2">
      <c r="A1031" s="61"/>
      <c r="B1031" s="61"/>
      <c r="C1031" s="61"/>
      <c r="D1031" s="61"/>
      <c r="E1031" s="61"/>
      <c r="F1031" s="61"/>
      <c r="G1031" s="61"/>
      <c r="H1031" s="61"/>
      <c r="I1031" s="61"/>
      <c r="J1031" s="61"/>
      <c r="K1031" s="61"/>
      <c r="L1031" s="61"/>
      <c r="M1031" s="61"/>
      <c r="N1031" s="61"/>
      <c r="O1031" s="61"/>
      <c r="P1031" s="61"/>
      <c r="Q1031" s="61"/>
      <c r="R1031" s="61"/>
      <c r="S1031" s="61"/>
      <c r="T1031" s="35"/>
      <c r="U1031" s="187"/>
      <c r="V1031" s="190"/>
      <c r="W1031" s="190"/>
      <c r="X1031" s="190"/>
      <c r="Y1031" s="190"/>
      <c r="Z1031" s="190"/>
      <c r="AA1031" s="191"/>
      <c r="AB1031" s="190"/>
      <c r="AC1031" s="190"/>
      <c r="AD1031" s="190"/>
      <c r="AE1031" s="190"/>
      <c r="AF1031" s="190"/>
      <c r="AG1031" s="190"/>
      <c r="AH1031" s="191"/>
      <c r="AI1031" s="190"/>
      <c r="AJ1031" s="190"/>
      <c r="AK1031" s="190"/>
      <c r="AL1031" s="190"/>
      <c r="AM1031" s="190"/>
      <c r="AN1031" s="191"/>
      <c r="AO1031" s="190"/>
      <c r="AP1031" s="190"/>
      <c r="AQ1031" s="190"/>
      <c r="AR1031" s="190"/>
      <c r="AS1031" s="190"/>
      <c r="AT1031" s="191"/>
      <c r="AU1031" s="190"/>
      <c r="AV1031" s="190"/>
      <c r="AW1031" s="190"/>
      <c r="AX1031" s="190"/>
      <c r="AY1031" s="190"/>
      <c r="AZ1031" s="191"/>
      <c r="BA1031" s="183"/>
      <c r="BB1031" s="183"/>
      <c r="BC1031" s="183"/>
      <c r="BD1031" s="183"/>
      <c r="BE1031" s="183"/>
      <c r="BF1031" s="184"/>
      <c r="BG1031" s="183"/>
      <c r="BH1031" s="183"/>
      <c r="BI1031" s="183"/>
      <c r="BJ1031" s="183"/>
      <c r="BK1031" s="183"/>
      <c r="BL1031" s="184"/>
      <c r="BM1031" s="409"/>
      <c r="BN1031" s="409"/>
    </row>
    <row r="1032" spans="1:66" s="153" customFormat="1" x14ac:dyDescent="0.2">
      <c r="A1032" s="61"/>
      <c r="B1032" s="61"/>
      <c r="C1032" s="61"/>
      <c r="D1032" s="61"/>
      <c r="E1032" s="61"/>
      <c r="F1032" s="61"/>
      <c r="G1032" s="61"/>
      <c r="H1032" s="61"/>
      <c r="I1032" s="61"/>
      <c r="J1032" s="61"/>
      <c r="K1032" s="61"/>
      <c r="L1032" s="61"/>
      <c r="M1032" s="61"/>
      <c r="N1032" s="61"/>
      <c r="O1032" s="61"/>
      <c r="P1032" s="61"/>
      <c r="Q1032" s="61"/>
      <c r="R1032" s="61"/>
      <c r="S1032" s="61"/>
      <c r="T1032" s="35"/>
      <c r="U1032" s="187"/>
      <c r="V1032" s="190"/>
      <c r="W1032" s="190"/>
      <c r="X1032" s="190"/>
      <c r="Y1032" s="190"/>
      <c r="Z1032" s="190"/>
      <c r="AA1032" s="191"/>
      <c r="AB1032" s="190"/>
      <c r="AC1032" s="190"/>
      <c r="AD1032" s="190"/>
      <c r="AE1032" s="190"/>
      <c r="AF1032" s="190"/>
      <c r="AG1032" s="190"/>
      <c r="AH1032" s="191"/>
      <c r="AI1032" s="190"/>
      <c r="AJ1032" s="190"/>
      <c r="AK1032" s="190"/>
      <c r="AL1032" s="190"/>
      <c r="AM1032" s="190"/>
      <c r="AN1032" s="191"/>
      <c r="AO1032" s="190"/>
      <c r="AP1032" s="190"/>
      <c r="AQ1032" s="190"/>
      <c r="AR1032" s="190"/>
      <c r="AS1032" s="190"/>
      <c r="AT1032" s="191"/>
      <c r="AU1032" s="190"/>
      <c r="AV1032" s="190"/>
      <c r="AW1032" s="190"/>
      <c r="AX1032" s="190"/>
      <c r="AY1032" s="190"/>
      <c r="AZ1032" s="191"/>
      <c r="BA1032" s="183"/>
      <c r="BB1032" s="183"/>
      <c r="BC1032" s="183"/>
      <c r="BD1032" s="183"/>
      <c r="BE1032" s="183"/>
      <c r="BF1032" s="184"/>
      <c r="BG1032" s="183"/>
      <c r="BH1032" s="183"/>
      <c r="BI1032" s="183"/>
      <c r="BJ1032" s="183"/>
      <c r="BK1032" s="183"/>
      <c r="BL1032" s="184"/>
      <c r="BM1032" s="409"/>
      <c r="BN1032" s="409"/>
    </row>
    <row r="1033" spans="1:66" s="153" customFormat="1" x14ac:dyDescent="0.2">
      <c r="A1033" s="61"/>
      <c r="B1033" s="61"/>
      <c r="C1033" s="61"/>
      <c r="D1033" s="61"/>
      <c r="E1033" s="61"/>
      <c r="F1033" s="61"/>
      <c r="G1033" s="61"/>
      <c r="H1033" s="61"/>
      <c r="I1033" s="61"/>
      <c r="J1033" s="61"/>
      <c r="K1033" s="61"/>
      <c r="L1033" s="61"/>
      <c r="M1033" s="61"/>
      <c r="N1033" s="61"/>
      <c r="O1033" s="61"/>
      <c r="P1033" s="61"/>
      <c r="Q1033" s="61"/>
      <c r="R1033" s="61"/>
      <c r="S1033" s="61"/>
      <c r="T1033" s="35"/>
      <c r="U1033" s="187"/>
      <c r="V1033" s="190"/>
      <c r="W1033" s="190"/>
      <c r="X1033" s="190"/>
      <c r="Y1033" s="190"/>
      <c r="Z1033" s="190"/>
      <c r="AA1033" s="191"/>
      <c r="AB1033" s="190"/>
      <c r="AC1033" s="190"/>
      <c r="AD1033" s="190"/>
      <c r="AE1033" s="190"/>
      <c r="AF1033" s="190"/>
      <c r="AG1033" s="190"/>
      <c r="AH1033" s="191"/>
      <c r="AI1033" s="190"/>
      <c r="AJ1033" s="190"/>
      <c r="AK1033" s="190"/>
      <c r="AL1033" s="190"/>
      <c r="AM1033" s="190"/>
      <c r="AN1033" s="191"/>
      <c r="AO1033" s="190"/>
      <c r="AP1033" s="190"/>
      <c r="AQ1033" s="190"/>
      <c r="AR1033" s="190"/>
      <c r="AS1033" s="190"/>
      <c r="AT1033" s="191"/>
      <c r="AU1033" s="190"/>
      <c r="AV1033" s="190"/>
      <c r="AW1033" s="190"/>
      <c r="AX1033" s="190"/>
      <c r="AY1033" s="190"/>
      <c r="AZ1033" s="191"/>
      <c r="BA1033" s="183"/>
      <c r="BB1033" s="183"/>
      <c r="BC1033" s="183"/>
      <c r="BD1033" s="183"/>
      <c r="BE1033" s="183"/>
      <c r="BF1033" s="184"/>
      <c r="BG1033" s="183"/>
      <c r="BH1033" s="183"/>
      <c r="BI1033" s="183"/>
      <c r="BJ1033" s="183"/>
      <c r="BK1033" s="183"/>
      <c r="BL1033" s="184"/>
      <c r="BM1033" s="409"/>
      <c r="BN1033" s="409"/>
    </row>
    <row r="1034" spans="1:66" s="153" customFormat="1" x14ac:dyDescent="0.2">
      <c r="A1034" s="61"/>
      <c r="B1034" s="61"/>
      <c r="C1034" s="61"/>
      <c r="D1034" s="61"/>
      <c r="E1034" s="61"/>
      <c r="F1034" s="61"/>
      <c r="G1034" s="61"/>
      <c r="H1034" s="61"/>
      <c r="I1034" s="61"/>
      <c r="J1034" s="61"/>
      <c r="K1034" s="61"/>
      <c r="L1034" s="61"/>
      <c r="M1034" s="61"/>
      <c r="N1034" s="61"/>
      <c r="O1034" s="61"/>
      <c r="P1034" s="61"/>
      <c r="Q1034" s="61"/>
      <c r="R1034" s="61"/>
      <c r="S1034" s="61"/>
      <c r="T1034" s="35"/>
      <c r="U1034" s="187"/>
      <c r="V1034" s="190"/>
      <c r="W1034" s="190"/>
      <c r="X1034" s="190"/>
      <c r="Y1034" s="190"/>
      <c r="Z1034" s="190"/>
      <c r="AA1034" s="191"/>
      <c r="AB1034" s="190"/>
      <c r="AC1034" s="190"/>
      <c r="AD1034" s="190"/>
      <c r="AE1034" s="190"/>
      <c r="AF1034" s="190"/>
      <c r="AG1034" s="190"/>
      <c r="AH1034" s="191"/>
      <c r="AI1034" s="190"/>
      <c r="AJ1034" s="190"/>
      <c r="AK1034" s="190"/>
      <c r="AL1034" s="190"/>
      <c r="AM1034" s="190"/>
      <c r="AN1034" s="191"/>
      <c r="AO1034" s="190"/>
      <c r="AP1034" s="190"/>
      <c r="AQ1034" s="190"/>
      <c r="AR1034" s="190"/>
      <c r="AS1034" s="190"/>
      <c r="AT1034" s="191"/>
      <c r="AU1034" s="190"/>
      <c r="AV1034" s="190"/>
      <c r="AW1034" s="190"/>
      <c r="AX1034" s="190"/>
      <c r="AY1034" s="190"/>
      <c r="AZ1034" s="191"/>
      <c r="BA1034" s="183"/>
      <c r="BB1034" s="183"/>
      <c r="BC1034" s="183"/>
      <c r="BD1034" s="183"/>
      <c r="BE1034" s="183"/>
      <c r="BF1034" s="184"/>
      <c r="BG1034" s="183"/>
      <c r="BH1034" s="183"/>
      <c r="BI1034" s="183"/>
      <c r="BJ1034" s="183"/>
      <c r="BK1034" s="183"/>
      <c r="BL1034" s="184"/>
      <c r="BM1034" s="409"/>
      <c r="BN1034" s="409"/>
    </row>
    <row r="1035" spans="1:66" s="153" customFormat="1" x14ac:dyDescent="0.2">
      <c r="A1035" s="61"/>
      <c r="B1035" s="61"/>
      <c r="C1035" s="61"/>
      <c r="D1035" s="61"/>
      <c r="E1035" s="61"/>
      <c r="F1035" s="61"/>
      <c r="G1035" s="61"/>
      <c r="H1035" s="61"/>
      <c r="I1035" s="61"/>
      <c r="J1035" s="61"/>
      <c r="K1035" s="61"/>
      <c r="L1035" s="61"/>
      <c r="M1035" s="61"/>
      <c r="N1035" s="61"/>
      <c r="O1035" s="61"/>
      <c r="P1035" s="61"/>
      <c r="Q1035" s="61"/>
      <c r="R1035" s="61"/>
      <c r="S1035" s="61"/>
      <c r="T1035" s="35"/>
      <c r="U1035" s="187"/>
      <c r="V1035" s="190"/>
      <c r="W1035" s="190"/>
      <c r="X1035" s="190"/>
      <c r="Y1035" s="190"/>
      <c r="Z1035" s="190"/>
      <c r="AA1035" s="191"/>
      <c r="AB1035" s="190"/>
      <c r="AC1035" s="190"/>
      <c r="AD1035" s="190"/>
      <c r="AE1035" s="190"/>
      <c r="AF1035" s="190"/>
      <c r="AG1035" s="190"/>
      <c r="AH1035" s="191"/>
      <c r="AI1035" s="190"/>
      <c r="AJ1035" s="190"/>
      <c r="AK1035" s="190"/>
      <c r="AL1035" s="190"/>
      <c r="AM1035" s="190"/>
      <c r="AN1035" s="191"/>
      <c r="AO1035" s="190"/>
      <c r="AP1035" s="190"/>
      <c r="AQ1035" s="190"/>
      <c r="AR1035" s="190"/>
      <c r="AS1035" s="190"/>
      <c r="AT1035" s="191"/>
      <c r="AU1035" s="190"/>
      <c r="AV1035" s="190"/>
      <c r="AW1035" s="190"/>
      <c r="AX1035" s="190"/>
      <c r="AY1035" s="190"/>
      <c r="AZ1035" s="191"/>
      <c r="BA1035" s="183"/>
      <c r="BB1035" s="183"/>
      <c r="BC1035" s="183"/>
      <c r="BD1035" s="183"/>
      <c r="BE1035" s="183"/>
      <c r="BF1035" s="184"/>
      <c r="BG1035" s="183"/>
      <c r="BH1035" s="183"/>
      <c r="BI1035" s="183"/>
      <c r="BJ1035" s="183"/>
      <c r="BK1035" s="183"/>
      <c r="BL1035" s="184"/>
      <c r="BM1035" s="409"/>
      <c r="BN1035" s="409"/>
    </row>
    <row r="1036" spans="1:66" s="153" customFormat="1" x14ac:dyDescent="0.2">
      <c r="A1036" s="61"/>
      <c r="B1036" s="61"/>
      <c r="C1036" s="61"/>
      <c r="D1036" s="61"/>
      <c r="E1036" s="61"/>
      <c r="F1036" s="61"/>
      <c r="G1036" s="61"/>
      <c r="H1036" s="61"/>
      <c r="I1036" s="61"/>
      <c r="J1036" s="61"/>
      <c r="K1036" s="61"/>
      <c r="L1036" s="61"/>
      <c r="M1036" s="61"/>
      <c r="N1036" s="61"/>
      <c r="O1036" s="61"/>
      <c r="P1036" s="61"/>
      <c r="Q1036" s="61"/>
      <c r="R1036" s="61"/>
      <c r="S1036" s="61"/>
      <c r="T1036" s="35"/>
      <c r="U1036" s="187"/>
      <c r="V1036" s="190"/>
      <c r="W1036" s="190"/>
      <c r="X1036" s="190"/>
      <c r="Y1036" s="190"/>
      <c r="Z1036" s="190"/>
      <c r="AA1036" s="191"/>
      <c r="AB1036" s="190"/>
      <c r="AC1036" s="190"/>
      <c r="AD1036" s="190"/>
      <c r="AE1036" s="190"/>
      <c r="AF1036" s="190"/>
      <c r="AG1036" s="190"/>
      <c r="AH1036" s="191"/>
      <c r="AI1036" s="190"/>
      <c r="AJ1036" s="190"/>
      <c r="AK1036" s="190"/>
      <c r="AL1036" s="190"/>
      <c r="AM1036" s="190"/>
      <c r="AN1036" s="191"/>
      <c r="AO1036" s="190"/>
      <c r="AP1036" s="190"/>
      <c r="AQ1036" s="190"/>
      <c r="AR1036" s="190"/>
      <c r="AS1036" s="190"/>
      <c r="AT1036" s="191"/>
      <c r="AU1036" s="190"/>
      <c r="AV1036" s="190"/>
      <c r="AW1036" s="190"/>
      <c r="AX1036" s="190"/>
      <c r="AY1036" s="190"/>
      <c r="AZ1036" s="191"/>
      <c r="BA1036" s="183"/>
      <c r="BB1036" s="183"/>
      <c r="BC1036" s="183"/>
      <c r="BD1036" s="183"/>
      <c r="BE1036" s="183"/>
      <c r="BF1036" s="184"/>
      <c r="BG1036" s="183"/>
      <c r="BH1036" s="183"/>
      <c r="BI1036" s="183"/>
      <c r="BJ1036" s="183"/>
      <c r="BK1036" s="183"/>
      <c r="BL1036" s="184"/>
      <c r="BM1036" s="409"/>
      <c r="BN1036" s="409"/>
    </row>
    <row r="1037" spans="1:66" s="153" customFormat="1" x14ac:dyDescent="0.2">
      <c r="A1037" s="61"/>
      <c r="B1037" s="61"/>
      <c r="C1037" s="61"/>
      <c r="D1037" s="61"/>
      <c r="E1037" s="61"/>
      <c r="F1037" s="61"/>
      <c r="G1037" s="61"/>
      <c r="H1037" s="61"/>
      <c r="I1037" s="61"/>
      <c r="J1037" s="61"/>
      <c r="K1037" s="61"/>
      <c r="L1037" s="61"/>
      <c r="M1037" s="61"/>
      <c r="N1037" s="61"/>
      <c r="O1037" s="61"/>
      <c r="P1037" s="61"/>
      <c r="Q1037" s="61"/>
      <c r="R1037" s="61"/>
      <c r="S1037" s="61"/>
      <c r="T1037" s="35"/>
      <c r="U1037" s="187"/>
      <c r="V1037" s="190"/>
      <c r="W1037" s="190"/>
      <c r="X1037" s="190"/>
      <c r="Y1037" s="190"/>
      <c r="Z1037" s="190"/>
      <c r="AA1037" s="191"/>
      <c r="AB1037" s="190"/>
      <c r="AC1037" s="190"/>
      <c r="AD1037" s="190"/>
      <c r="AE1037" s="190"/>
      <c r="AF1037" s="190"/>
      <c r="AG1037" s="190"/>
      <c r="AH1037" s="191"/>
      <c r="AI1037" s="190"/>
      <c r="AJ1037" s="190"/>
      <c r="AK1037" s="190"/>
      <c r="AL1037" s="190"/>
      <c r="AM1037" s="190"/>
      <c r="AN1037" s="191"/>
      <c r="AO1037" s="190"/>
      <c r="AP1037" s="190"/>
      <c r="AQ1037" s="190"/>
      <c r="AR1037" s="190"/>
      <c r="AS1037" s="190"/>
      <c r="AT1037" s="191"/>
      <c r="AU1037" s="190"/>
      <c r="AV1037" s="190"/>
      <c r="AW1037" s="190"/>
      <c r="AX1037" s="190"/>
      <c r="AY1037" s="190"/>
      <c r="AZ1037" s="191"/>
      <c r="BA1037" s="183"/>
      <c r="BB1037" s="183"/>
      <c r="BC1037" s="183"/>
      <c r="BD1037" s="183"/>
      <c r="BE1037" s="183"/>
      <c r="BF1037" s="184"/>
      <c r="BG1037" s="183"/>
      <c r="BH1037" s="183"/>
      <c r="BI1037" s="183"/>
      <c r="BJ1037" s="183"/>
      <c r="BK1037" s="183"/>
      <c r="BL1037" s="184"/>
      <c r="BM1037" s="409"/>
      <c r="BN1037" s="409"/>
    </row>
    <row r="1038" spans="1:66" s="153" customFormat="1" x14ac:dyDescent="0.2">
      <c r="A1038" s="61"/>
      <c r="B1038" s="61"/>
      <c r="C1038" s="61"/>
      <c r="D1038" s="61"/>
      <c r="E1038" s="61"/>
      <c r="F1038" s="61"/>
      <c r="G1038" s="61"/>
      <c r="H1038" s="61"/>
      <c r="I1038" s="61"/>
      <c r="J1038" s="61"/>
      <c r="K1038" s="61"/>
      <c r="L1038" s="61"/>
      <c r="M1038" s="61"/>
      <c r="N1038" s="61"/>
      <c r="O1038" s="61"/>
      <c r="P1038" s="61"/>
      <c r="Q1038" s="61"/>
      <c r="R1038" s="61"/>
      <c r="S1038" s="61"/>
      <c r="T1038" s="35"/>
      <c r="U1038" s="187"/>
      <c r="V1038" s="190"/>
      <c r="W1038" s="190"/>
      <c r="X1038" s="190"/>
      <c r="Y1038" s="190"/>
      <c r="Z1038" s="190"/>
      <c r="AA1038" s="191"/>
      <c r="AB1038" s="190"/>
      <c r="AC1038" s="190"/>
      <c r="AD1038" s="190"/>
      <c r="AE1038" s="190"/>
      <c r="AF1038" s="190"/>
      <c r="AG1038" s="190"/>
      <c r="AH1038" s="191"/>
      <c r="AI1038" s="190"/>
      <c r="AJ1038" s="190"/>
      <c r="AK1038" s="190"/>
      <c r="AL1038" s="190"/>
      <c r="AM1038" s="190"/>
      <c r="AN1038" s="191"/>
      <c r="AO1038" s="190"/>
      <c r="AP1038" s="190"/>
      <c r="AQ1038" s="190"/>
      <c r="AR1038" s="190"/>
      <c r="AS1038" s="190"/>
      <c r="AT1038" s="191"/>
      <c r="AU1038" s="190"/>
      <c r="AV1038" s="190"/>
      <c r="AW1038" s="190"/>
      <c r="AX1038" s="190"/>
      <c r="AY1038" s="190"/>
      <c r="AZ1038" s="191"/>
      <c r="BA1038" s="183"/>
      <c r="BB1038" s="183"/>
      <c r="BC1038" s="183"/>
      <c r="BD1038" s="183"/>
      <c r="BE1038" s="183"/>
      <c r="BF1038" s="184"/>
      <c r="BG1038" s="183"/>
      <c r="BH1038" s="183"/>
      <c r="BI1038" s="183"/>
      <c r="BJ1038" s="183"/>
      <c r="BK1038" s="183"/>
      <c r="BL1038" s="184"/>
      <c r="BM1038" s="409"/>
      <c r="BN1038" s="409"/>
    </row>
    <row r="1039" spans="1:66" s="153" customFormat="1" x14ac:dyDescent="0.2">
      <c r="A1039" s="61"/>
      <c r="B1039" s="61"/>
      <c r="C1039" s="61"/>
      <c r="D1039" s="61"/>
      <c r="E1039" s="61"/>
      <c r="F1039" s="61"/>
      <c r="G1039" s="61"/>
      <c r="H1039" s="61"/>
      <c r="I1039" s="61"/>
      <c r="J1039" s="61"/>
      <c r="K1039" s="61"/>
      <c r="L1039" s="61"/>
      <c r="M1039" s="61"/>
      <c r="N1039" s="61"/>
      <c r="O1039" s="61"/>
      <c r="P1039" s="61"/>
      <c r="Q1039" s="61"/>
      <c r="R1039" s="61"/>
      <c r="S1039" s="61"/>
      <c r="T1039" s="35"/>
      <c r="U1039" s="187"/>
      <c r="V1039" s="190"/>
      <c r="W1039" s="190"/>
      <c r="X1039" s="190"/>
      <c r="Y1039" s="190"/>
      <c r="Z1039" s="190"/>
      <c r="AA1039" s="191"/>
      <c r="AB1039" s="190"/>
      <c r="AC1039" s="190"/>
      <c r="AD1039" s="190"/>
      <c r="AE1039" s="190"/>
      <c r="AF1039" s="190"/>
      <c r="AG1039" s="190"/>
      <c r="AH1039" s="191"/>
      <c r="AI1039" s="190"/>
      <c r="AJ1039" s="190"/>
      <c r="AK1039" s="190"/>
      <c r="AL1039" s="190"/>
      <c r="AM1039" s="190"/>
      <c r="AN1039" s="191"/>
      <c r="AO1039" s="190"/>
      <c r="AP1039" s="190"/>
      <c r="AQ1039" s="190"/>
      <c r="AR1039" s="190"/>
      <c r="AS1039" s="190"/>
      <c r="AT1039" s="191"/>
      <c r="AU1039" s="190"/>
      <c r="AV1039" s="190"/>
      <c r="AW1039" s="190"/>
      <c r="AX1039" s="190"/>
      <c r="AY1039" s="190"/>
      <c r="AZ1039" s="191"/>
      <c r="BA1039" s="183"/>
      <c r="BB1039" s="183"/>
      <c r="BC1039" s="183"/>
      <c r="BD1039" s="183"/>
      <c r="BE1039" s="183"/>
      <c r="BF1039" s="184"/>
      <c r="BG1039" s="183"/>
      <c r="BH1039" s="183"/>
      <c r="BI1039" s="183"/>
      <c r="BJ1039" s="183"/>
      <c r="BK1039" s="183"/>
      <c r="BL1039" s="184"/>
      <c r="BM1039" s="409"/>
      <c r="BN1039" s="409"/>
    </row>
    <row r="1040" spans="1:66" s="153" customFormat="1" x14ac:dyDescent="0.2">
      <c r="A1040" s="61"/>
      <c r="B1040" s="61"/>
      <c r="C1040" s="61"/>
      <c r="D1040" s="61"/>
      <c r="E1040" s="61"/>
      <c r="F1040" s="61"/>
      <c r="G1040" s="61"/>
      <c r="H1040" s="61"/>
      <c r="I1040" s="61"/>
      <c r="J1040" s="61"/>
      <c r="K1040" s="61"/>
      <c r="L1040" s="61"/>
      <c r="M1040" s="61"/>
      <c r="N1040" s="61"/>
      <c r="O1040" s="61"/>
      <c r="P1040" s="61"/>
      <c r="Q1040" s="61"/>
      <c r="R1040" s="61"/>
      <c r="S1040" s="61"/>
      <c r="T1040" s="35"/>
      <c r="U1040" s="187"/>
      <c r="V1040" s="190"/>
      <c r="W1040" s="190"/>
      <c r="X1040" s="190"/>
      <c r="Y1040" s="190"/>
      <c r="Z1040" s="190"/>
      <c r="AA1040" s="191"/>
      <c r="AB1040" s="190"/>
      <c r="AC1040" s="190"/>
      <c r="AD1040" s="190"/>
      <c r="AE1040" s="190"/>
      <c r="AF1040" s="190"/>
      <c r="AG1040" s="190"/>
      <c r="AH1040" s="191"/>
      <c r="AI1040" s="190"/>
      <c r="AJ1040" s="190"/>
      <c r="AK1040" s="190"/>
      <c r="AL1040" s="190"/>
      <c r="AM1040" s="190"/>
      <c r="AN1040" s="191"/>
      <c r="AO1040" s="190"/>
      <c r="AP1040" s="190"/>
      <c r="AQ1040" s="190"/>
      <c r="AR1040" s="190"/>
      <c r="AS1040" s="190"/>
      <c r="AT1040" s="191"/>
      <c r="AU1040" s="190"/>
      <c r="AV1040" s="190"/>
      <c r="AW1040" s="190"/>
      <c r="AX1040" s="190"/>
      <c r="AY1040" s="190"/>
      <c r="AZ1040" s="191"/>
      <c r="BA1040" s="183"/>
      <c r="BB1040" s="183"/>
      <c r="BC1040" s="183"/>
      <c r="BD1040" s="183"/>
      <c r="BE1040" s="183"/>
      <c r="BF1040" s="184"/>
      <c r="BG1040" s="183"/>
      <c r="BH1040" s="183"/>
      <c r="BI1040" s="183"/>
      <c r="BJ1040" s="183"/>
      <c r="BK1040" s="183"/>
      <c r="BL1040" s="184"/>
      <c r="BM1040" s="409"/>
      <c r="BN1040" s="409"/>
    </row>
    <row r="1041" spans="1:66" s="153" customFormat="1" x14ac:dyDescent="0.2">
      <c r="A1041" s="61"/>
      <c r="B1041" s="61"/>
      <c r="C1041" s="61"/>
      <c r="D1041" s="61"/>
      <c r="E1041" s="61"/>
      <c r="F1041" s="61"/>
      <c r="G1041" s="61"/>
      <c r="H1041" s="61"/>
      <c r="I1041" s="61"/>
      <c r="J1041" s="61"/>
      <c r="K1041" s="61"/>
      <c r="L1041" s="61"/>
      <c r="M1041" s="61"/>
      <c r="N1041" s="61"/>
      <c r="O1041" s="61"/>
      <c r="P1041" s="61"/>
      <c r="Q1041" s="61"/>
      <c r="R1041" s="61"/>
      <c r="S1041" s="61"/>
      <c r="T1041" s="35"/>
      <c r="U1041" s="187"/>
      <c r="V1041" s="190"/>
      <c r="W1041" s="190"/>
      <c r="X1041" s="190"/>
      <c r="Y1041" s="190"/>
      <c r="Z1041" s="190"/>
      <c r="AA1041" s="191"/>
      <c r="AB1041" s="190"/>
      <c r="AC1041" s="190"/>
      <c r="AD1041" s="190"/>
      <c r="AE1041" s="190"/>
      <c r="AF1041" s="190"/>
      <c r="AG1041" s="190"/>
      <c r="AH1041" s="191"/>
      <c r="AI1041" s="190"/>
      <c r="AJ1041" s="190"/>
      <c r="AK1041" s="190"/>
      <c r="AL1041" s="190"/>
      <c r="AM1041" s="190"/>
      <c r="AN1041" s="191"/>
      <c r="AO1041" s="190"/>
      <c r="AP1041" s="190"/>
      <c r="AQ1041" s="190"/>
      <c r="AR1041" s="190"/>
      <c r="AS1041" s="190"/>
      <c r="AT1041" s="191"/>
      <c r="AU1041" s="190"/>
      <c r="AV1041" s="190"/>
      <c r="AW1041" s="190"/>
      <c r="AX1041" s="190"/>
      <c r="AY1041" s="190"/>
      <c r="AZ1041" s="191"/>
      <c r="BA1041" s="183"/>
      <c r="BB1041" s="183"/>
      <c r="BC1041" s="183"/>
      <c r="BD1041" s="183"/>
      <c r="BE1041" s="183"/>
      <c r="BF1041" s="184"/>
      <c r="BG1041" s="183"/>
      <c r="BH1041" s="183"/>
      <c r="BI1041" s="183"/>
      <c r="BJ1041" s="183"/>
      <c r="BK1041" s="183"/>
      <c r="BL1041" s="184"/>
      <c r="BM1041" s="409"/>
      <c r="BN1041" s="409"/>
    </row>
    <row r="1042" spans="1:66" s="153" customFormat="1" x14ac:dyDescent="0.2">
      <c r="A1042" s="61"/>
      <c r="B1042" s="61"/>
      <c r="C1042" s="61"/>
      <c r="D1042" s="61"/>
      <c r="E1042" s="61"/>
      <c r="F1042" s="61"/>
      <c r="G1042" s="61"/>
      <c r="H1042" s="61"/>
      <c r="I1042" s="61"/>
      <c r="J1042" s="61"/>
      <c r="K1042" s="61"/>
      <c r="L1042" s="61"/>
      <c r="M1042" s="61"/>
      <c r="N1042" s="61"/>
      <c r="O1042" s="61"/>
      <c r="P1042" s="61"/>
      <c r="Q1042" s="61"/>
      <c r="R1042" s="61"/>
      <c r="S1042" s="61"/>
      <c r="T1042" s="35"/>
      <c r="U1042" s="187"/>
      <c r="V1042" s="190"/>
      <c r="W1042" s="190"/>
      <c r="X1042" s="190"/>
      <c r="Y1042" s="190"/>
      <c r="Z1042" s="190"/>
      <c r="AA1042" s="191"/>
      <c r="AB1042" s="190"/>
      <c r="AC1042" s="190"/>
      <c r="AD1042" s="190"/>
      <c r="AE1042" s="190"/>
      <c r="AF1042" s="190"/>
      <c r="AG1042" s="190"/>
      <c r="AH1042" s="191"/>
      <c r="AI1042" s="190"/>
      <c r="AJ1042" s="190"/>
      <c r="AK1042" s="190"/>
      <c r="AL1042" s="190"/>
      <c r="AM1042" s="190"/>
      <c r="AN1042" s="191"/>
      <c r="AO1042" s="190"/>
      <c r="AP1042" s="190"/>
      <c r="AQ1042" s="190"/>
      <c r="AR1042" s="190"/>
      <c r="AS1042" s="190"/>
      <c r="AT1042" s="191"/>
      <c r="AU1042" s="190"/>
      <c r="AV1042" s="190"/>
      <c r="AW1042" s="190"/>
      <c r="AX1042" s="190"/>
      <c r="AY1042" s="190"/>
      <c r="AZ1042" s="191"/>
      <c r="BA1042" s="183"/>
      <c r="BB1042" s="183"/>
      <c r="BC1042" s="183"/>
      <c r="BD1042" s="183"/>
      <c r="BE1042" s="183"/>
      <c r="BF1042" s="184"/>
      <c r="BG1042" s="183"/>
      <c r="BH1042" s="183"/>
      <c r="BI1042" s="183"/>
      <c r="BJ1042" s="183"/>
      <c r="BK1042" s="183"/>
      <c r="BL1042" s="184"/>
      <c r="BM1042" s="409"/>
      <c r="BN1042" s="409"/>
    </row>
    <row r="1043" spans="1:66" s="153" customFormat="1" x14ac:dyDescent="0.2">
      <c r="A1043" s="61"/>
      <c r="B1043" s="61"/>
      <c r="C1043" s="61"/>
      <c r="D1043" s="61"/>
      <c r="E1043" s="61"/>
      <c r="F1043" s="61"/>
      <c r="G1043" s="61"/>
      <c r="H1043" s="61"/>
      <c r="I1043" s="61"/>
      <c r="J1043" s="61"/>
      <c r="K1043" s="61"/>
      <c r="L1043" s="61"/>
      <c r="M1043" s="61"/>
      <c r="N1043" s="61"/>
      <c r="O1043" s="61"/>
      <c r="P1043" s="61"/>
      <c r="Q1043" s="61"/>
      <c r="R1043" s="61"/>
      <c r="S1043" s="61"/>
      <c r="T1043" s="35"/>
      <c r="U1043" s="187"/>
      <c r="V1043" s="190"/>
      <c r="W1043" s="190"/>
      <c r="X1043" s="190"/>
      <c r="Y1043" s="190"/>
      <c r="Z1043" s="190"/>
      <c r="AA1043" s="191"/>
      <c r="AB1043" s="190"/>
      <c r="AC1043" s="190"/>
      <c r="AD1043" s="190"/>
      <c r="AE1043" s="190"/>
      <c r="AF1043" s="190"/>
      <c r="AG1043" s="190"/>
      <c r="AH1043" s="191"/>
      <c r="AI1043" s="190"/>
      <c r="AJ1043" s="190"/>
      <c r="AK1043" s="190"/>
      <c r="AL1043" s="190"/>
      <c r="AM1043" s="190"/>
      <c r="AN1043" s="191"/>
      <c r="AO1043" s="190"/>
      <c r="AP1043" s="190"/>
      <c r="AQ1043" s="190"/>
      <c r="AR1043" s="190"/>
      <c r="AS1043" s="190"/>
      <c r="AT1043" s="191"/>
      <c r="AU1043" s="190"/>
      <c r="AV1043" s="190"/>
      <c r="AW1043" s="190"/>
      <c r="AX1043" s="190"/>
      <c r="AY1043" s="190"/>
      <c r="AZ1043" s="191"/>
      <c r="BA1043" s="183"/>
      <c r="BB1043" s="183"/>
      <c r="BC1043" s="183"/>
      <c r="BD1043" s="183"/>
      <c r="BE1043" s="183"/>
      <c r="BF1043" s="184"/>
      <c r="BG1043" s="183"/>
      <c r="BH1043" s="183"/>
      <c r="BI1043" s="183"/>
      <c r="BJ1043" s="183"/>
      <c r="BK1043" s="183"/>
      <c r="BL1043" s="184"/>
      <c r="BM1043" s="409"/>
      <c r="BN1043" s="409"/>
    </row>
    <row r="1044" spans="1:66" s="153" customFormat="1" x14ac:dyDescent="0.2">
      <c r="A1044" s="61"/>
      <c r="B1044" s="61"/>
      <c r="C1044" s="61"/>
      <c r="D1044" s="61"/>
      <c r="E1044" s="61"/>
      <c r="F1044" s="61"/>
      <c r="G1044" s="61"/>
      <c r="H1044" s="61"/>
      <c r="I1044" s="61"/>
      <c r="J1044" s="61"/>
      <c r="K1044" s="61"/>
      <c r="L1044" s="61"/>
      <c r="M1044" s="61"/>
      <c r="N1044" s="61"/>
      <c r="O1044" s="61"/>
      <c r="P1044" s="61"/>
      <c r="Q1044" s="61"/>
      <c r="R1044" s="61"/>
      <c r="S1044" s="61"/>
      <c r="T1044" s="35"/>
      <c r="U1044" s="187"/>
      <c r="V1044" s="190"/>
      <c r="W1044" s="190"/>
      <c r="X1044" s="190"/>
      <c r="Y1044" s="190"/>
      <c r="Z1044" s="190"/>
      <c r="AA1044" s="191"/>
      <c r="AB1044" s="190"/>
      <c r="AC1044" s="190"/>
      <c r="AD1044" s="190"/>
      <c r="AE1044" s="190"/>
      <c r="AF1044" s="190"/>
      <c r="AG1044" s="190"/>
      <c r="AH1044" s="191"/>
      <c r="AI1044" s="190"/>
      <c r="AJ1044" s="190"/>
      <c r="AK1044" s="190"/>
      <c r="AL1044" s="190"/>
      <c r="AM1044" s="190"/>
      <c r="AN1044" s="191"/>
      <c r="AO1044" s="190"/>
      <c r="AP1044" s="190"/>
      <c r="AQ1044" s="190"/>
      <c r="AR1044" s="190"/>
      <c r="AS1044" s="190"/>
      <c r="AT1044" s="191"/>
      <c r="AU1044" s="190"/>
      <c r="AV1044" s="190"/>
      <c r="AW1044" s="190"/>
      <c r="AX1044" s="190"/>
      <c r="AY1044" s="190"/>
      <c r="AZ1044" s="191"/>
      <c r="BA1044" s="183"/>
      <c r="BB1044" s="183"/>
      <c r="BC1044" s="183"/>
      <c r="BD1044" s="183"/>
      <c r="BE1044" s="183"/>
      <c r="BF1044" s="184"/>
      <c r="BG1044" s="183"/>
      <c r="BH1044" s="183"/>
      <c r="BI1044" s="183"/>
      <c r="BJ1044" s="183"/>
      <c r="BK1044" s="183"/>
      <c r="BL1044" s="184"/>
      <c r="BM1044" s="409"/>
      <c r="BN1044" s="409"/>
    </row>
    <row r="1045" spans="1:66" s="153" customFormat="1" x14ac:dyDescent="0.2">
      <c r="A1045" s="61"/>
      <c r="B1045" s="61"/>
      <c r="C1045" s="61"/>
      <c r="D1045" s="61"/>
      <c r="E1045" s="61"/>
      <c r="F1045" s="61"/>
      <c r="G1045" s="61"/>
      <c r="H1045" s="61"/>
      <c r="I1045" s="61"/>
      <c r="J1045" s="61"/>
      <c r="K1045" s="61"/>
      <c r="L1045" s="61"/>
      <c r="M1045" s="61"/>
      <c r="N1045" s="61"/>
      <c r="O1045" s="61"/>
      <c r="P1045" s="61"/>
      <c r="Q1045" s="61"/>
      <c r="R1045" s="61"/>
      <c r="S1045" s="61"/>
      <c r="T1045" s="35"/>
      <c r="U1045" s="187"/>
      <c r="V1045" s="190"/>
      <c r="W1045" s="190"/>
      <c r="X1045" s="190"/>
      <c r="Y1045" s="190"/>
      <c r="Z1045" s="190"/>
      <c r="AA1045" s="191"/>
      <c r="AB1045" s="190"/>
      <c r="AC1045" s="190"/>
      <c r="AD1045" s="190"/>
      <c r="AE1045" s="190"/>
      <c r="AF1045" s="190"/>
      <c r="AG1045" s="190"/>
      <c r="AH1045" s="191"/>
      <c r="AI1045" s="190"/>
      <c r="AJ1045" s="190"/>
      <c r="AK1045" s="190"/>
      <c r="AL1045" s="190"/>
      <c r="AM1045" s="190"/>
      <c r="AN1045" s="191"/>
      <c r="AO1045" s="190"/>
      <c r="AP1045" s="190"/>
      <c r="AQ1045" s="190"/>
      <c r="AR1045" s="190"/>
      <c r="AS1045" s="190"/>
      <c r="AT1045" s="191"/>
      <c r="AU1045" s="190"/>
      <c r="AV1045" s="190"/>
      <c r="AW1045" s="190"/>
      <c r="AX1045" s="190"/>
      <c r="AY1045" s="190"/>
      <c r="AZ1045" s="191"/>
      <c r="BA1045" s="183"/>
      <c r="BB1045" s="183"/>
      <c r="BC1045" s="183"/>
      <c r="BD1045" s="183"/>
      <c r="BE1045" s="183"/>
      <c r="BF1045" s="184"/>
      <c r="BG1045" s="183"/>
      <c r="BH1045" s="183"/>
      <c r="BI1045" s="183"/>
      <c r="BJ1045" s="183"/>
      <c r="BK1045" s="183"/>
      <c r="BL1045" s="184"/>
      <c r="BM1045" s="409"/>
      <c r="BN1045" s="409"/>
    </row>
    <row r="1046" spans="1:66" s="153" customFormat="1" x14ac:dyDescent="0.2">
      <c r="A1046" s="61"/>
      <c r="B1046" s="61"/>
      <c r="C1046" s="61"/>
      <c r="D1046" s="61"/>
      <c r="E1046" s="61"/>
      <c r="F1046" s="61"/>
      <c r="G1046" s="61"/>
      <c r="H1046" s="61"/>
      <c r="I1046" s="61"/>
      <c r="J1046" s="61"/>
      <c r="K1046" s="61"/>
      <c r="L1046" s="61"/>
      <c r="M1046" s="61"/>
      <c r="N1046" s="61"/>
      <c r="O1046" s="61"/>
      <c r="P1046" s="61"/>
      <c r="Q1046" s="61"/>
      <c r="R1046" s="61"/>
      <c r="S1046" s="61"/>
      <c r="T1046" s="35"/>
      <c r="U1046" s="187"/>
      <c r="V1046" s="190"/>
      <c r="W1046" s="190"/>
      <c r="X1046" s="190"/>
      <c r="Y1046" s="190"/>
      <c r="Z1046" s="190"/>
      <c r="AA1046" s="191"/>
      <c r="AB1046" s="190"/>
      <c r="AC1046" s="190"/>
      <c r="AD1046" s="190"/>
      <c r="AE1046" s="190"/>
      <c r="AF1046" s="190"/>
      <c r="AG1046" s="190"/>
      <c r="AH1046" s="191"/>
      <c r="AI1046" s="190"/>
      <c r="AJ1046" s="190"/>
      <c r="AK1046" s="190"/>
      <c r="AL1046" s="190"/>
      <c r="AM1046" s="190"/>
      <c r="AN1046" s="191"/>
      <c r="AO1046" s="190"/>
      <c r="AP1046" s="190"/>
      <c r="AQ1046" s="190"/>
      <c r="AR1046" s="190"/>
      <c r="AS1046" s="190"/>
      <c r="AT1046" s="191"/>
      <c r="AU1046" s="190"/>
      <c r="AV1046" s="190"/>
      <c r="AW1046" s="190"/>
      <c r="AX1046" s="190"/>
      <c r="AY1046" s="190"/>
      <c r="AZ1046" s="191"/>
      <c r="BA1046" s="183"/>
      <c r="BB1046" s="183"/>
      <c r="BC1046" s="183"/>
      <c r="BD1046" s="183"/>
      <c r="BE1046" s="183"/>
      <c r="BF1046" s="184"/>
      <c r="BG1046" s="183"/>
      <c r="BH1046" s="183"/>
      <c r="BI1046" s="183"/>
      <c r="BJ1046" s="183"/>
      <c r="BK1046" s="183"/>
      <c r="BL1046" s="184"/>
      <c r="BM1046" s="409"/>
      <c r="BN1046" s="409"/>
    </row>
    <row r="1047" spans="1:66" s="153" customFormat="1" x14ac:dyDescent="0.2">
      <c r="A1047" s="61"/>
      <c r="B1047" s="61"/>
      <c r="C1047" s="61"/>
      <c r="D1047" s="61"/>
      <c r="E1047" s="61"/>
      <c r="F1047" s="61"/>
      <c r="G1047" s="61"/>
      <c r="H1047" s="61"/>
      <c r="I1047" s="61"/>
      <c r="J1047" s="61"/>
      <c r="K1047" s="61"/>
      <c r="L1047" s="61"/>
      <c r="M1047" s="61"/>
      <c r="N1047" s="61"/>
      <c r="O1047" s="61"/>
      <c r="P1047" s="61"/>
      <c r="Q1047" s="61"/>
      <c r="R1047" s="61"/>
      <c r="S1047" s="61"/>
      <c r="T1047" s="35"/>
      <c r="U1047" s="187"/>
      <c r="V1047" s="190"/>
      <c r="W1047" s="190"/>
      <c r="X1047" s="190"/>
      <c r="Y1047" s="190"/>
      <c r="Z1047" s="190"/>
      <c r="AA1047" s="191"/>
      <c r="AB1047" s="190"/>
      <c r="AC1047" s="190"/>
      <c r="AD1047" s="190"/>
      <c r="AE1047" s="190"/>
      <c r="AF1047" s="190"/>
      <c r="AG1047" s="190"/>
      <c r="AH1047" s="191"/>
      <c r="AI1047" s="190"/>
      <c r="AJ1047" s="190"/>
      <c r="AK1047" s="190"/>
      <c r="AL1047" s="190"/>
      <c r="AM1047" s="190"/>
      <c r="AN1047" s="191"/>
      <c r="AO1047" s="190"/>
      <c r="AP1047" s="190"/>
      <c r="AQ1047" s="190"/>
      <c r="AR1047" s="190"/>
      <c r="AS1047" s="190"/>
      <c r="AT1047" s="191"/>
      <c r="AU1047" s="190"/>
      <c r="AV1047" s="190"/>
      <c r="AW1047" s="190"/>
      <c r="AX1047" s="190"/>
      <c r="AY1047" s="190"/>
      <c r="AZ1047" s="191"/>
      <c r="BA1047" s="183"/>
      <c r="BB1047" s="183"/>
      <c r="BC1047" s="183"/>
      <c r="BD1047" s="183"/>
      <c r="BE1047" s="183"/>
      <c r="BF1047" s="184"/>
      <c r="BG1047" s="183"/>
      <c r="BH1047" s="183"/>
      <c r="BI1047" s="183"/>
      <c r="BJ1047" s="183"/>
      <c r="BK1047" s="183"/>
      <c r="BL1047" s="184"/>
      <c r="BM1047" s="409"/>
      <c r="BN1047" s="409"/>
    </row>
    <row r="1048" spans="1:66" s="153" customFormat="1" x14ac:dyDescent="0.2">
      <c r="A1048" s="61"/>
      <c r="B1048" s="61"/>
      <c r="C1048" s="61"/>
      <c r="D1048" s="61"/>
      <c r="E1048" s="61"/>
      <c r="F1048" s="61"/>
      <c r="G1048" s="61"/>
      <c r="H1048" s="61"/>
      <c r="I1048" s="61"/>
      <c r="J1048" s="61"/>
      <c r="K1048" s="61"/>
      <c r="L1048" s="61"/>
      <c r="M1048" s="61"/>
      <c r="N1048" s="61"/>
      <c r="O1048" s="61"/>
      <c r="P1048" s="61"/>
      <c r="Q1048" s="61"/>
      <c r="R1048" s="61"/>
      <c r="S1048" s="61"/>
      <c r="T1048" s="35"/>
      <c r="U1048" s="187"/>
      <c r="V1048" s="190"/>
      <c r="W1048" s="190"/>
      <c r="X1048" s="190"/>
      <c r="Y1048" s="190"/>
      <c r="Z1048" s="190"/>
      <c r="AA1048" s="191"/>
      <c r="AB1048" s="190"/>
      <c r="AC1048" s="190"/>
      <c r="AD1048" s="190"/>
      <c r="AE1048" s="190"/>
      <c r="AF1048" s="190"/>
      <c r="AG1048" s="190"/>
      <c r="AH1048" s="191"/>
      <c r="AI1048" s="190"/>
      <c r="AJ1048" s="190"/>
      <c r="AK1048" s="190"/>
      <c r="AL1048" s="190"/>
      <c r="AM1048" s="190"/>
      <c r="AN1048" s="191"/>
      <c r="AO1048" s="190"/>
      <c r="AP1048" s="190"/>
      <c r="AQ1048" s="190"/>
      <c r="AR1048" s="190"/>
      <c r="AS1048" s="190"/>
      <c r="AT1048" s="191"/>
      <c r="AU1048" s="190"/>
      <c r="AV1048" s="190"/>
      <c r="AW1048" s="190"/>
      <c r="AX1048" s="190"/>
      <c r="AY1048" s="190"/>
      <c r="AZ1048" s="191"/>
      <c r="BA1048" s="183"/>
      <c r="BB1048" s="183"/>
      <c r="BC1048" s="183"/>
      <c r="BD1048" s="183"/>
      <c r="BE1048" s="183"/>
      <c r="BF1048" s="184"/>
      <c r="BG1048" s="183"/>
      <c r="BH1048" s="183"/>
      <c r="BI1048" s="183"/>
      <c r="BJ1048" s="183"/>
      <c r="BK1048" s="183"/>
      <c r="BL1048" s="184"/>
      <c r="BM1048" s="409"/>
      <c r="BN1048" s="409"/>
    </row>
    <row r="1049" spans="1:66" s="153" customFormat="1" x14ac:dyDescent="0.2">
      <c r="A1049" s="61"/>
      <c r="B1049" s="61"/>
      <c r="C1049" s="61"/>
      <c r="D1049" s="61"/>
      <c r="E1049" s="61"/>
      <c r="F1049" s="61"/>
      <c r="G1049" s="61"/>
      <c r="H1049" s="61"/>
      <c r="I1049" s="61"/>
      <c r="J1049" s="61"/>
      <c r="K1049" s="61"/>
      <c r="L1049" s="61"/>
      <c r="M1049" s="61"/>
      <c r="N1049" s="61"/>
      <c r="O1049" s="61"/>
      <c r="P1049" s="61"/>
      <c r="Q1049" s="61"/>
      <c r="R1049" s="61"/>
      <c r="S1049" s="61"/>
      <c r="T1049" s="35"/>
      <c r="U1049" s="187"/>
      <c r="V1049" s="190"/>
      <c r="W1049" s="190"/>
      <c r="X1049" s="190"/>
      <c r="Y1049" s="190"/>
      <c r="Z1049" s="190"/>
      <c r="AA1049" s="191"/>
      <c r="AB1049" s="190"/>
      <c r="AC1049" s="190"/>
      <c r="AD1049" s="190"/>
      <c r="AE1049" s="190"/>
      <c r="AF1049" s="190"/>
      <c r="AG1049" s="190"/>
      <c r="AH1049" s="191"/>
      <c r="AI1049" s="190"/>
      <c r="AJ1049" s="190"/>
      <c r="AK1049" s="190"/>
      <c r="AL1049" s="190"/>
      <c r="AM1049" s="190"/>
      <c r="AN1049" s="191"/>
      <c r="AO1049" s="190"/>
      <c r="AP1049" s="190"/>
      <c r="AQ1049" s="190"/>
      <c r="AR1049" s="190"/>
      <c r="AS1049" s="190"/>
      <c r="AT1049" s="191"/>
      <c r="AU1049" s="190"/>
      <c r="AV1049" s="190"/>
      <c r="AW1049" s="190"/>
      <c r="AX1049" s="190"/>
      <c r="AY1049" s="190"/>
      <c r="AZ1049" s="191"/>
      <c r="BA1049" s="183"/>
      <c r="BB1049" s="183"/>
      <c r="BC1049" s="183"/>
      <c r="BD1049" s="183"/>
      <c r="BE1049" s="183"/>
      <c r="BF1049" s="184"/>
      <c r="BG1049" s="183"/>
      <c r="BH1049" s="183"/>
      <c r="BI1049" s="183"/>
      <c r="BJ1049" s="183"/>
      <c r="BK1049" s="183"/>
      <c r="BL1049" s="184"/>
      <c r="BM1049" s="409"/>
      <c r="BN1049" s="409"/>
    </row>
    <row r="1050" spans="1:66" s="153" customFormat="1" x14ac:dyDescent="0.2">
      <c r="A1050" s="61"/>
      <c r="B1050" s="61"/>
      <c r="C1050" s="61"/>
      <c r="D1050" s="61"/>
      <c r="E1050" s="61"/>
      <c r="F1050" s="61"/>
      <c r="G1050" s="61"/>
      <c r="H1050" s="61"/>
      <c r="I1050" s="61"/>
      <c r="J1050" s="61"/>
      <c r="K1050" s="61"/>
      <c r="L1050" s="61"/>
      <c r="M1050" s="61"/>
      <c r="N1050" s="61"/>
      <c r="O1050" s="61"/>
      <c r="P1050" s="61"/>
      <c r="Q1050" s="61"/>
      <c r="R1050" s="61"/>
      <c r="S1050" s="61"/>
      <c r="T1050" s="35"/>
      <c r="U1050" s="187"/>
      <c r="V1050" s="190"/>
      <c r="W1050" s="190"/>
      <c r="X1050" s="190"/>
      <c r="Y1050" s="190"/>
      <c r="Z1050" s="190"/>
      <c r="AA1050" s="191"/>
      <c r="AB1050" s="190"/>
      <c r="AC1050" s="190"/>
      <c r="AD1050" s="190"/>
      <c r="AE1050" s="190"/>
      <c r="AF1050" s="190"/>
      <c r="AG1050" s="190"/>
      <c r="AH1050" s="191"/>
      <c r="AI1050" s="190"/>
      <c r="AJ1050" s="190"/>
      <c r="AK1050" s="190"/>
      <c r="AL1050" s="190"/>
      <c r="AM1050" s="190"/>
      <c r="AN1050" s="191"/>
      <c r="AO1050" s="190"/>
      <c r="AP1050" s="190"/>
      <c r="AQ1050" s="190"/>
      <c r="AR1050" s="190"/>
      <c r="AS1050" s="190"/>
      <c r="AT1050" s="191"/>
      <c r="AU1050" s="190"/>
      <c r="AV1050" s="190"/>
      <c r="AW1050" s="190"/>
      <c r="AX1050" s="190"/>
      <c r="AY1050" s="190"/>
      <c r="AZ1050" s="191"/>
      <c r="BA1050" s="183"/>
      <c r="BB1050" s="183"/>
      <c r="BC1050" s="183"/>
      <c r="BD1050" s="183"/>
      <c r="BE1050" s="183"/>
      <c r="BF1050" s="184"/>
      <c r="BG1050" s="183"/>
      <c r="BH1050" s="183"/>
      <c r="BI1050" s="183"/>
      <c r="BJ1050" s="183"/>
      <c r="BK1050" s="183"/>
      <c r="BL1050" s="184"/>
      <c r="BM1050" s="409"/>
      <c r="BN1050" s="409"/>
    </row>
    <row r="1051" spans="1:66" s="153" customFormat="1" x14ac:dyDescent="0.2">
      <c r="A1051" s="61"/>
      <c r="B1051" s="61"/>
      <c r="C1051" s="61"/>
      <c r="D1051" s="61"/>
      <c r="E1051" s="61"/>
      <c r="F1051" s="61"/>
      <c r="G1051" s="61"/>
      <c r="H1051" s="61"/>
      <c r="I1051" s="61"/>
      <c r="J1051" s="61"/>
      <c r="K1051" s="61"/>
      <c r="L1051" s="61"/>
      <c r="M1051" s="61"/>
      <c r="N1051" s="61"/>
      <c r="O1051" s="61"/>
      <c r="P1051" s="61"/>
      <c r="Q1051" s="61"/>
      <c r="R1051" s="61"/>
      <c r="S1051" s="61"/>
      <c r="T1051" s="35"/>
      <c r="U1051" s="187"/>
      <c r="V1051" s="190"/>
      <c r="W1051" s="190"/>
      <c r="X1051" s="190"/>
      <c r="Y1051" s="190"/>
      <c r="Z1051" s="190"/>
      <c r="AA1051" s="191"/>
      <c r="AB1051" s="190"/>
      <c r="AC1051" s="190"/>
      <c r="AD1051" s="190"/>
      <c r="AE1051" s="190"/>
      <c r="AF1051" s="190"/>
      <c r="AG1051" s="190"/>
      <c r="AH1051" s="191"/>
      <c r="AI1051" s="190"/>
      <c r="AJ1051" s="190"/>
      <c r="AK1051" s="190"/>
      <c r="AL1051" s="190"/>
      <c r="AM1051" s="190"/>
      <c r="AN1051" s="191"/>
      <c r="AO1051" s="190"/>
      <c r="AP1051" s="190"/>
      <c r="AQ1051" s="190"/>
      <c r="AR1051" s="190"/>
      <c r="AS1051" s="190"/>
      <c r="AT1051" s="191"/>
      <c r="AU1051" s="190"/>
      <c r="AV1051" s="190"/>
      <c r="AW1051" s="190"/>
      <c r="AX1051" s="190"/>
      <c r="AY1051" s="190"/>
      <c r="AZ1051" s="191"/>
      <c r="BA1051" s="183"/>
      <c r="BB1051" s="183"/>
      <c r="BC1051" s="183"/>
      <c r="BD1051" s="183"/>
      <c r="BE1051" s="183"/>
      <c r="BF1051" s="184"/>
      <c r="BG1051" s="183"/>
      <c r="BH1051" s="183"/>
      <c r="BI1051" s="183"/>
      <c r="BJ1051" s="183"/>
      <c r="BK1051" s="183"/>
      <c r="BL1051" s="184"/>
      <c r="BM1051" s="409"/>
      <c r="BN1051" s="409"/>
    </row>
    <row r="1052" spans="1:66" s="153" customFormat="1" x14ac:dyDescent="0.2">
      <c r="A1052" s="61"/>
      <c r="B1052" s="61"/>
      <c r="C1052" s="61"/>
      <c r="D1052" s="61"/>
      <c r="E1052" s="61"/>
      <c r="F1052" s="61"/>
      <c r="G1052" s="61"/>
      <c r="H1052" s="61"/>
      <c r="I1052" s="61"/>
      <c r="J1052" s="61"/>
      <c r="K1052" s="61"/>
      <c r="L1052" s="61"/>
      <c r="M1052" s="61"/>
      <c r="N1052" s="61"/>
      <c r="O1052" s="61"/>
      <c r="P1052" s="61"/>
      <c r="Q1052" s="61"/>
      <c r="R1052" s="61"/>
      <c r="S1052" s="61"/>
      <c r="T1052" s="35"/>
      <c r="U1052" s="187"/>
      <c r="V1052" s="190"/>
      <c r="W1052" s="190"/>
      <c r="X1052" s="190"/>
      <c r="Y1052" s="190"/>
      <c r="Z1052" s="190"/>
      <c r="AA1052" s="191"/>
      <c r="AB1052" s="190"/>
      <c r="AC1052" s="190"/>
      <c r="AD1052" s="190"/>
      <c r="AE1052" s="190"/>
      <c r="AF1052" s="190"/>
      <c r="AG1052" s="190"/>
      <c r="AH1052" s="191"/>
      <c r="AI1052" s="190"/>
      <c r="AJ1052" s="190"/>
      <c r="AK1052" s="190"/>
      <c r="AL1052" s="190"/>
      <c r="AM1052" s="190"/>
      <c r="AN1052" s="191"/>
      <c r="AO1052" s="190"/>
      <c r="AP1052" s="190"/>
      <c r="AQ1052" s="190"/>
      <c r="AR1052" s="190"/>
      <c r="AS1052" s="190"/>
      <c r="AT1052" s="191"/>
      <c r="AU1052" s="190"/>
      <c r="AV1052" s="190"/>
      <c r="AW1052" s="190"/>
      <c r="AX1052" s="190"/>
      <c r="AY1052" s="190"/>
      <c r="AZ1052" s="191"/>
      <c r="BA1052" s="183"/>
      <c r="BB1052" s="183"/>
      <c r="BC1052" s="183"/>
      <c r="BD1052" s="183"/>
      <c r="BE1052" s="183"/>
      <c r="BF1052" s="184"/>
      <c r="BG1052" s="183"/>
      <c r="BH1052" s="183"/>
      <c r="BI1052" s="183"/>
      <c r="BJ1052" s="183"/>
      <c r="BK1052" s="183"/>
      <c r="BL1052" s="184"/>
      <c r="BM1052" s="409"/>
      <c r="BN1052" s="409"/>
    </row>
    <row r="1053" spans="1:66" s="153" customFormat="1" x14ac:dyDescent="0.2">
      <c r="A1053" s="61"/>
      <c r="B1053" s="61"/>
      <c r="C1053" s="61"/>
      <c r="D1053" s="61"/>
      <c r="E1053" s="61"/>
      <c r="F1053" s="61"/>
      <c r="G1053" s="61"/>
      <c r="H1053" s="61"/>
      <c r="I1053" s="61"/>
      <c r="J1053" s="61"/>
      <c r="K1053" s="61"/>
      <c r="L1053" s="61"/>
      <c r="M1053" s="61"/>
      <c r="N1053" s="61"/>
      <c r="O1053" s="61"/>
      <c r="P1053" s="61"/>
      <c r="Q1053" s="61"/>
      <c r="R1053" s="61"/>
      <c r="S1053" s="61"/>
      <c r="T1053" s="35"/>
      <c r="U1053" s="187"/>
      <c r="V1053" s="190"/>
      <c r="W1053" s="190"/>
      <c r="X1053" s="190"/>
      <c r="Y1053" s="190"/>
      <c r="Z1053" s="190"/>
      <c r="AA1053" s="191"/>
      <c r="AB1053" s="190"/>
      <c r="AC1053" s="190"/>
      <c r="AD1053" s="190"/>
      <c r="AE1053" s="190"/>
      <c r="AF1053" s="190"/>
      <c r="AG1053" s="190"/>
      <c r="AH1053" s="191"/>
      <c r="AI1053" s="190"/>
      <c r="AJ1053" s="190"/>
      <c r="AK1053" s="190"/>
      <c r="AL1053" s="190"/>
      <c r="AM1053" s="190"/>
      <c r="AN1053" s="191"/>
      <c r="AO1053" s="190"/>
      <c r="AP1053" s="190"/>
      <c r="AQ1053" s="190"/>
      <c r="AR1053" s="190"/>
      <c r="AS1053" s="190"/>
      <c r="AT1053" s="191"/>
      <c r="AU1053" s="190"/>
      <c r="AV1053" s="190"/>
      <c r="AW1053" s="190"/>
      <c r="AX1053" s="190"/>
      <c r="AY1053" s="190"/>
      <c r="AZ1053" s="191"/>
      <c r="BA1053" s="183"/>
      <c r="BB1053" s="183"/>
      <c r="BC1053" s="183"/>
      <c r="BD1053" s="183"/>
      <c r="BE1053" s="183"/>
      <c r="BF1053" s="184"/>
      <c r="BG1053" s="183"/>
      <c r="BH1053" s="183"/>
      <c r="BI1053" s="183"/>
      <c r="BJ1053" s="183"/>
      <c r="BK1053" s="183"/>
      <c r="BL1053" s="184"/>
      <c r="BM1053" s="409"/>
      <c r="BN1053" s="409"/>
    </row>
    <row r="1054" spans="1:66" s="153" customFormat="1" x14ac:dyDescent="0.2">
      <c r="A1054" s="61"/>
      <c r="B1054" s="61"/>
      <c r="C1054" s="61"/>
      <c r="D1054" s="61"/>
      <c r="E1054" s="61"/>
      <c r="F1054" s="61"/>
      <c r="G1054" s="61"/>
      <c r="H1054" s="61"/>
      <c r="I1054" s="61"/>
      <c r="J1054" s="61"/>
      <c r="K1054" s="61"/>
      <c r="L1054" s="61"/>
      <c r="M1054" s="61"/>
      <c r="N1054" s="61"/>
      <c r="O1054" s="61"/>
      <c r="P1054" s="61"/>
      <c r="Q1054" s="61"/>
      <c r="R1054" s="61"/>
      <c r="S1054" s="61"/>
      <c r="T1054" s="35"/>
      <c r="U1054" s="187"/>
      <c r="V1054" s="190"/>
      <c r="W1054" s="190"/>
      <c r="X1054" s="190"/>
      <c r="Y1054" s="190"/>
      <c r="Z1054" s="190"/>
      <c r="AA1054" s="191"/>
      <c r="AB1054" s="190"/>
      <c r="AC1054" s="190"/>
      <c r="AD1054" s="190"/>
      <c r="AE1054" s="190"/>
      <c r="AF1054" s="190"/>
      <c r="AG1054" s="190"/>
      <c r="AH1054" s="191"/>
      <c r="AI1054" s="190"/>
      <c r="AJ1054" s="190"/>
      <c r="AK1054" s="190"/>
      <c r="AL1054" s="190"/>
      <c r="AM1054" s="190"/>
      <c r="AN1054" s="191"/>
      <c r="AO1054" s="190"/>
      <c r="AP1054" s="190"/>
      <c r="AQ1054" s="190"/>
      <c r="AR1054" s="190"/>
      <c r="AS1054" s="190"/>
      <c r="AT1054" s="191"/>
      <c r="AU1054" s="190"/>
      <c r="AV1054" s="190"/>
      <c r="AW1054" s="190"/>
      <c r="AX1054" s="190"/>
      <c r="AY1054" s="190"/>
      <c r="AZ1054" s="191"/>
      <c r="BA1054" s="183"/>
      <c r="BB1054" s="183"/>
      <c r="BC1054" s="183"/>
      <c r="BD1054" s="183"/>
      <c r="BE1054" s="183"/>
      <c r="BF1054" s="184"/>
      <c r="BG1054" s="183"/>
      <c r="BH1054" s="183"/>
      <c r="BI1054" s="183"/>
      <c r="BJ1054" s="183"/>
      <c r="BK1054" s="183"/>
      <c r="BL1054" s="184"/>
      <c r="BM1054" s="409"/>
      <c r="BN1054" s="409"/>
    </row>
    <row r="1055" spans="1:66" s="153" customFormat="1" x14ac:dyDescent="0.2">
      <c r="A1055" s="61"/>
      <c r="B1055" s="61"/>
      <c r="C1055" s="61"/>
      <c r="D1055" s="61"/>
      <c r="E1055" s="61"/>
      <c r="F1055" s="61"/>
      <c r="G1055" s="61"/>
      <c r="H1055" s="61"/>
      <c r="I1055" s="61"/>
      <c r="J1055" s="61"/>
      <c r="K1055" s="61"/>
      <c r="L1055" s="61"/>
      <c r="M1055" s="61"/>
      <c r="N1055" s="61"/>
      <c r="O1055" s="61"/>
      <c r="P1055" s="61"/>
      <c r="Q1055" s="61"/>
      <c r="R1055" s="61"/>
      <c r="S1055" s="61"/>
      <c r="T1055" s="35"/>
      <c r="U1055" s="187"/>
      <c r="V1055" s="190"/>
      <c r="W1055" s="190"/>
      <c r="X1055" s="190"/>
      <c r="Y1055" s="190"/>
      <c r="Z1055" s="190"/>
      <c r="AA1055" s="191"/>
      <c r="AB1055" s="190"/>
      <c r="AC1055" s="190"/>
      <c r="AD1055" s="190"/>
      <c r="AE1055" s="190"/>
      <c r="AF1055" s="190"/>
      <c r="AG1055" s="190"/>
      <c r="AH1055" s="191"/>
      <c r="AI1055" s="190"/>
      <c r="AJ1055" s="190"/>
      <c r="AK1055" s="190"/>
      <c r="AL1055" s="190"/>
      <c r="AM1055" s="190"/>
      <c r="AN1055" s="191"/>
      <c r="AO1055" s="190"/>
      <c r="AP1055" s="190"/>
      <c r="AQ1055" s="190"/>
      <c r="AR1055" s="190"/>
      <c r="AS1055" s="190"/>
      <c r="AT1055" s="191"/>
      <c r="AU1055" s="190"/>
      <c r="AV1055" s="190"/>
      <c r="AW1055" s="190"/>
      <c r="AX1055" s="190"/>
      <c r="AY1055" s="190"/>
      <c r="AZ1055" s="191"/>
      <c r="BA1055" s="183"/>
      <c r="BB1055" s="183"/>
      <c r="BC1055" s="183"/>
      <c r="BD1055" s="183"/>
      <c r="BE1055" s="183"/>
      <c r="BF1055" s="184"/>
      <c r="BG1055" s="183"/>
      <c r="BH1055" s="183"/>
      <c r="BI1055" s="183"/>
      <c r="BJ1055" s="183"/>
      <c r="BK1055" s="183"/>
      <c r="BL1055" s="184"/>
      <c r="BM1055" s="409"/>
      <c r="BN1055" s="409"/>
    </row>
    <row r="1056" spans="1:66" s="153" customFormat="1" x14ac:dyDescent="0.2">
      <c r="A1056" s="61"/>
      <c r="B1056" s="61"/>
      <c r="C1056" s="61"/>
      <c r="D1056" s="61"/>
      <c r="E1056" s="61"/>
      <c r="F1056" s="61"/>
      <c r="G1056" s="61"/>
      <c r="H1056" s="61"/>
      <c r="I1056" s="61"/>
      <c r="J1056" s="61"/>
      <c r="K1056" s="61"/>
      <c r="L1056" s="61"/>
      <c r="M1056" s="61"/>
      <c r="N1056" s="61"/>
      <c r="O1056" s="61"/>
      <c r="P1056" s="61"/>
      <c r="Q1056" s="61"/>
      <c r="R1056" s="61"/>
      <c r="S1056" s="61"/>
      <c r="T1056" s="35"/>
      <c r="U1056" s="187"/>
      <c r="V1056" s="190"/>
      <c r="W1056" s="190"/>
      <c r="X1056" s="190"/>
      <c r="Y1056" s="190"/>
      <c r="Z1056" s="190"/>
      <c r="AA1056" s="191"/>
      <c r="AB1056" s="190"/>
      <c r="AC1056" s="190"/>
      <c r="AD1056" s="190"/>
      <c r="AE1056" s="190"/>
      <c r="AF1056" s="190"/>
      <c r="AG1056" s="190"/>
      <c r="AH1056" s="191"/>
      <c r="AI1056" s="190"/>
      <c r="AJ1056" s="190"/>
      <c r="AK1056" s="190"/>
      <c r="AL1056" s="190"/>
      <c r="AM1056" s="190"/>
      <c r="AN1056" s="191"/>
      <c r="AO1056" s="190"/>
      <c r="AP1056" s="190"/>
      <c r="AQ1056" s="190"/>
      <c r="AR1056" s="190"/>
      <c r="AS1056" s="190"/>
      <c r="AT1056" s="191"/>
      <c r="AU1056" s="190"/>
      <c r="AV1056" s="190"/>
      <c r="AW1056" s="190"/>
      <c r="AX1056" s="190"/>
      <c r="AY1056" s="190"/>
      <c r="AZ1056" s="191"/>
      <c r="BA1056" s="183"/>
      <c r="BB1056" s="183"/>
      <c r="BC1056" s="183"/>
      <c r="BD1056" s="183"/>
      <c r="BE1056" s="183"/>
      <c r="BF1056" s="184"/>
      <c r="BG1056" s="183"/>
      <c r="BH1056" s="183"/>
      <c r="BI1056" s="183"/>
      <c r="BJ1056" s="183"/>
      <c r="BK1056" s="183"/>
      <c r="BL1056" s="184"/>
      <c r="BM1056" s="409"/>
      <c r="BN1056" s="409"/>
    </row>
    <row r="1057" spans="1:66" s="153" customFormat="1" x14ac:dyDescent="0.2">
      <c r="A1057" s="61"/>
      <c r="B1057" s="61"/>
      <c r="C1057" s="61"/>
      <c r="D1057" s="61"/>
      <c r="E1057" s="61"/>
      <c r="F1057" s="61"/>
      <c r="G1057" s="61"/>
      <c r="H1057" s="61"/>
      <c r="I1057" s="61"/>
      <c r="J1057" s="61"/>
      <c r="K1057" s="61"/>
      <c r="L1057" s="61"/>
      <c r="M1057" s="61"/>
      <c r="N1057" s="61"/>
      <c r="O1057" s="61"/>
      <c r="P1057" s="61"/>
      <c r="Q1057" s="61"/>
      <c r="R1057" s="61"/>
      <c r="S1057" s="61"/>
      <c r="T1057" s="35"/>
      <c r="U1057" s="187"/>
      <c r="V1057" s="190"/>
      <c r="W1057" s="190"/>
      <c r="X1057" s="190"/>
      <c r="Y1057" s="190"/>
      <c r="Z1057" s="190"/>
      <c r="AA1057" s="191"/>
      <c r="AB1057" s="190"/>
      <c r="AC1057" s="190"/>
      <c r="AD1057" s="190"/>
      <c r="AE1057" s="190"/>
      <c r="AF1057" s="190"/>
      <c r="AG1057" s="190"/>
      <c r="AH1057" s="191"/>
      <c r="AI1057" s="190"/>
      <c r="AJ1057" s="190"/>
      <c r="AK1057" s="190"/>
      <c r="AL1057" s="190"/>
      <c r="AM1057" s="190"/>
      <c r="AN1057" s="191"/>
      <c r="AO1057" s="190"/>
      <c r="AP1057" s="190"/>
      <c r="AQ1057" s="190"/>
      <c r="AR1057" s="190"/>
      <c r="AS1057" s="190"/>
      <c r="AT1057" s="191"/>
      <c r="AU1057" s="190"/>
      <c r="AV1057" s="190"/>
      <c r="AW1057" s="190"/>
      <c r="AX1057" s="190"/>
      <c r="AY1057" s="190"/>
      <c r="AZ1057" s="191"/>
      <c r="BA1057" s="183"/>
      <c r="BB1057" s="183"/>
      <c r="BC1057" s="183"/>
      <c r="BD1057" s="183"/>
      <c r="BE1057" s="183"/>
      <c r="BF1057" s="184"/>
      <c r="BG1057" s="183"/>
      <c r="BH1057" s="183"/>
      <c r="BI1057" s="183"/>
      <c r="BJ1057" s="183"/>
      <c r="BK1057" s="183"/>
      <c r="BL1057" s="184"/>
      <c r="BM1057" s="409"/>
      <c r="BN1057" s="409"/>
    </row>
    <row r="1058" spans="1:66" s="153" customFormat="1" x14ac:dyDescent="0.2">
      <c r="A1058" s="61"/>
      <c r="B1058" s="61"/>
      <c r="C1058" s="61"/>
      <c r="D1058" s="61"/>
      <c r="E1058" s="61"/>
      <c r="F1058" s="61"/>
      <c r="G1058" s="61"/>
      <c r="H1058" s="61"/>
      <c r="I1058" s="61"/>
      <c r="J1058" s="61"/>
      <c r="K1058" s="61"/>
      <c r="L1058" s="61"/>
      <c r="M1058" s="61"/>
      <c r="N1058" s="61"/>
      <c r="O1058" s="61"/>
      <c r="P1058" s="61"/>
      <c r="Q1058" s="61"/>
      <c r="R1058" s="61"/>
      <c r="S1058" s="61"/>
      <c r="T1058" s="35"/>
      <c r="U1058" s="187"/>
      <c r="V1058" s="190"/>
      <c r="W1058" s="190"/>
      <c r="X1058" s="190"/>
      <c r="Y1058" s="190"/>
      <c r="Z1058" s="190"/>
      <c r="AA1058" s="191"/>
      <c r="AB1058" s="190"/>
      <c r="AC1058" s="190"/>
      <c r="AD1058" s="190"/>
      <c r="AE1058" s="190"/>
      <c r="AF1058" s="190"/>
      <c r="AG1058" s="190"/>
      <c r="AH1058" s="191"/>
      <c r="AI1058" s="190"/>
      <c r="AJ1058" s="190"/>
      <c r="AK1058" s="190"/>
      <c r="AL1058" s="190"/>
      <c r="AM1058" s="190"/>
      <c r="AN1058" s="191"/>
      <c r="AO1058" s="190"/>
      <c r="AP1058" s="190"/>
      <c r="AQ1058" s="190"/>
      <c r="AR1058" s="190"/>
      <c r="AS1058" s="190"/>
      <c r="AT1058" s="191"/>
      <c r="AU1058" s="190"/>
      <c r="AV1058" s="190"/>
      <c r="AW1058" s="190"/>
      <c r="AX1058" s="190"/>
      <c r="AY1058" s="190"/>
      <c r="AZ1058" s="191"/>
      <c r="BA1058" s="183"/>
      <c r="BB1058" s="183"/>
      <c r="BC1058" s="183"/>
      <c r="BD1058" s="183"/>
      <c r="BE1058" s="183"/>
      <c r="BF1058" s="184"/>
      <c r="BG1058" s="183"/>
      <c r="BH1058" s="183"/>
      <c r="BI1058" s="183"/>
      <c r="BJ1058" s="183"/>
      <c r="BK1058" s="183"/>
      <c r="BL1058" s="184"/>
      <c r="BM1058" s="409"/>
      <c r="BN1058" s="409"/>
    </row>
    <row r="1059" spans="1:66" s="153" customFormat="1" x14ac:dyDescent="0.2">
      <c r="A1059" s="61"/>
      <c r="B1059" s="61"/>
      <c r="C1059" s="61"/>
      <c r="D1059" s="61"/>
      <c r="E1059" s="61"/>
      <c r="F1059" s="61"/>
      <c r="G1059" s="61"/>
      <c r="H1059" s="61"/>
      <c r="I1059" s="61"/>
      <c r="J1059" s="61"/>
      <c r="K1059" s="61"/>
      <c r="L1059" s="61"/>
      <c r="M1059" s="61"/>
      <c r="N1059" s="61"/>
      <c r="O1059" s="61"/>
      <c r="P1059" s="61"/>
      <c r="Q1059" s="61"/>
      <c r="R1059" s="61"/>
      <c r="S1059" s="61"/>
      <c r="T1059" s="35"/>
      <c r="U1059" s="187"/>
      <c r="V1059" s="190"/>
      <c r="W1059" s="190"/>
      <c r="X1059" s="190"/>
      <c r="Y1059" s="190"/>
      <c r="Z1059" s="190"/>
      <c r="AA1059" s="191"/>
      <c r="AB1059" s="190"/>
      <c r="AC1059" s="190"/>
      <c r="AD1059" s="190"/>
      <c r="AE1059" s="190"/>
      <c r="AF1059" s="190"/>
      <c r="AG1059" s="190"/>
      <c r="AH1059" s="191"/>
      <c r="AI1059" s="190"/>
      <c r="AJ1059" s="190"/>
      <c r="AK1059" s="190"/>
      <c r="AL1059" s="190"/>
      <c r="AM1059" s="190"/>
      <c r="AN1059" s="191"/>
      <c r="AO1059" s="190"/>
      <c r="AP1059" s="190"/>
      <c r="AQ1059" s="190"/>
      <c r="AR1059" s="190"/>
      <c r="AS1059" s="190"/>
      <c r="AT1059" s="191"/>
      <c r="AU1059" s="190"/>
      <c r="AV1059" s="190"/>
      <c r="AW1059" s="190"/>
      <c r="AX1059" s="190"/>
      <c r="AY1059" s="190"/>
      <c r="AZ1059" s="191"/>
      <c r="BA1059" s="183"/>
      <c r="BB1059" s="183"/>
      <c r="BC1059" s="183"/>
      <c r="BD1059" s="183"/>
      <c r="BE1059" s="183"/>
      <c r="BF1059" s="184"/>
      <c r="BG1059" s="183"/>
      <c r="BH1059" s="183"/>
      <c r="BI1059" s="183"/>
      <c r="BJ1059" s="183"/>
      <c r="BK1059" s="183"/>
      <c r="BL1059" s="184"/>
      <c r="BM1059" s="409"/>
      <c r="BN1059" s="409"/>
    </row>
    <row r="1060" spans="1:66" s="153" customFormat="1" x14ac:dyDescent="0.2">
      <c r="A1060" s="61"/>
      <c r="B1060" s="61"/>
      <c r="C1060" s="61"/>
      <c r="D1060" s="61"/>
      <c r="E1060" s="61"/>
      <c r="F1060" s="61"/>
      <c r="G1060" s="61"/>
      <c r="H1060" s="61"/>
      <c r="I1060" s="61"/>
      <c r="J1060" s="61"/>
      <c r="K1060" s="61"/>
      <c r="L1060" s="61"/>
      <c r="M1060" s="61"/>
      <c r="N1060" s="61"/>
      <c r="O1060" s="61"/>
      <c r="P1060" s="61"/>
      <c r="Q1060" s="61"/>
      <c r="R1060" s="61"/>
      <c r="S1060" s="61"/>
      <c r="T1060" s="35"/>
      <c r="U1060" s="187"/>
      <c r="V1060" s="190"/>
      <c r="W1060" s="190"/>
      <c r="X1060" s="190"/>
      <c r="Y1060" s="190"/>
      <c r="Z1060" s="190"/>
      <c r="AA1060" s="191"/>
      <c r="AB1060" s="190"/>
      <c r="AC1060" s="190"/>
      <c r="AD1060" s="190"/>
      <c r="AE1060" s="190"/>
      <c r="AF1060" s="190"/>
      <c r="AG1060" s="190"/>
      <c r="AH1060" s="191"/>
      <c r="AI1060" s="190"/>
      <c r="AJ1060" s="190"/>
      <c r="AK1060" s="190"/>
      <c r="AL1060" s="190"/>
      <c r="AM1060" s="190"/>
      <c r="AN1060" s="191"/>
      <c r="AO1060" s="190"/>
      <c r="AP1060" s="190"/>
      <c r="AQ1060" s="190"/>
      <c r="AR1060" s="190"/>
      <c r="AS1060" s="190"/>
      <c r="AT1060" s="191"/>
      <c r="AU1060" s="190"/>
      <c r="AV1060" s="190"/>
      <c r="AW1060" s="190"/>
      <c r="AX1060" s="190"/>
      <c r="AY1060" s="190"/>
      <c r="AZ1060" s="191"/>
      <c r="BA1060" s="183"/>
      <c r="BB1060" s="183"/>
      <c r="BC1060" s="183"/>
      <c r="BD1060" s="183"/>
      <c r="BE1060" s="183"/>
      <c r="BF1060" s="184"/>
      <c r="BG1060" s="183"/>
      <c r="BH1060" s="183"/>
      <c r="BI1060" s="183"/>
      <c r="BJ1060" s="183"/>
      <c r="BK1060" s="183"/>
      <c r="BL1060" s="184"/>
      <c r="BM1060" s="409"/>
      <c r="BN1060" s="409"/>
    </row>
    <row r="1061" spans="1:66" s="153" customFormat="1" x14ac:dyDescent="0.2">
      <c r="A1061" s="61"/>
      <c r="B1061" s="61"/>
      <c r="C1061" s="61"/>
      <c r="D1061" s="61"/>
      <c r="E1061" s="61"/>
      <c r="F1061" s="61"/>
      <c r="G1061" s="61"/>
      <c r="H1061" s="61"/>
      <c r="I1061" s="61"/>
      <c r="J1061" s="61"/>
      <c r="K1061" s="61"/>
      <c r="L1061" s="61"/>
      <c r="M1061" s="61"/>
      <c r="N1061" s="61"/>
      <c r="O1061" s="61"/>
      <c r="P1061" s="61"/>
      <c r="Q1061" s="61"/>
      <c r="R1061" s="61"/>
      <c r="S1061" s="61"/>
      <c r="T1061" s="35"/>
      <c r="U1061" s="187"/>
      <c r="V1061" s="190"/>
      <c r="W1061" s="190"/>
      <c r="X1061" s="190"/>
      <c r="Y1061" s="190"/>
      <c r="Z1061" s="190"/>
      <c r="AA1061" s="191"/>
      <c r="AB1061" s="190"/>
      <c r="AC1061" s="190"/>
      <c r="AD1061" s="190"/>
      <c r="AE1061" s="190"/>
      <c r="AF1061" s="190"/>
      <c r="AG1061" s="190"/>
      <c r="AH1061" s="191"/>
      <c r="AI1061" s="190"/>
      <c r="AJ1061" s="190"/>
      <c r="AK1061" s="190"/>
      <c r="AL1061" s="190"/>
      <c r="AM1061" s="190"/>
      <c r="AN1061" s="191"/>
      <c r="AO1061" s="190"/>
      <c r="AP1061" s="190"/>
      <c r="AQ1061" s="190"/>
      <c r="AR1061" s="190"/>
      <c r="AS1061" s="190"/>
      <c r="AT1061" s="191"/>
      <c r="AU1061" s="190"/>
      <c r="AV1061" s="190"/>
      <c r="AW1061" s="190"/>
      <c r="AX1061" s="190"/>
      <c r="AY1061" s="190"/>
      <c r="AZ1061" s="191"/>
      <c r="BA1061" s="183"/>
      <c r="BB1061" s="183"/>
      <c r="BC1061" s="183"/>
      <c r="BD1061" s="183"/>
      <c r="BE1061" s="183"/>
      <c r="BF1061" s="184"/>
      <c r="BG1061" s="183"/>
      <c r="BH1061" s="183"/>
      <c r="BI1061" s="183"/>
      <c r="BJ1061" s="183"/>
      <c r="BK1061" s="183"/>
      <c r="BL1061" s="184"/>
      <c r="BM1061" s="409"/>
      <c r="BN1061" s="409"/>
    </row>
    <row r="1062" spans="1:66" s="153" customFormat="1" x14ac:dyDescent="0.2">
      <c r="A1062" s="61"/>
      <c r="B1062" s="61"/>
      <c r="C1062" s="61"/>
      <c r="D1062" s="61"/>
      <c r="E1062" s="61"/>
      <c r="F1062" s="61"/>
      <c r="G1062" s="61"/>
      <c r="H1062" s="61"/>
      <c r="I1062" s="61"/>
      <c r="J1062" s="61"/>
      <c r="K1062" s="61"/>
      <c r="L1062" s="61"/>
      <c r="M1062" s="61"/>
      <c r="N1062" s="61"/>
      <c r="O1062" s="61"/>
      <c r="P1062" s="61"/>
      <c r="Q1062" s="61"/>
      <c r="R1062" s="61"/>
      <c r="S1062" s="61"/>
      <c r="T1062" s="35"/>
      <c r="U1062" s="187"/>
      <c r="V1062" s="190"/>
      <c r="W1062" s="190"/>
      <c r="X1062" s="190"/>
      <c r="Y1062" s="190"/>
      <c r="Z1062" s="190"/>
      <c r="AA1062" s="191"/>
      <c r="AB1062" s="190"/>
      <c r="AC1062" s="190"/>
      <c r="AD1062" s="190"/>
      <c r="AE1062" s="190"/>
      <c r="AF1062" s="190"/>
      <c r="AG1062" s="190"/>
      <c r="AH1062" s="191"/>
      <c r="AI1062" s="190"/>
      <c r="AJ1062" s="190"/>
      <c r="AK1062" s="190"/>
      <c r="AL1062" s="190"/>
      <c r="AM1062" s="190"/>
      <c r="AN1062" s="191"/>
      <c r="AO1062" s="190"/>
      <c r="AP1062" s="190"/>
      <c r="AQ1062" s="190"/>
      <c r="AR1062" s="190"/>
      <c r="AS1062" s="190"/>
      <c r="AT1062" s="191"/>
      <c r="AU1062" s="190"/>
      <c r="AV1062" s="190"/>
      <c r="AW1062" s="190"/>
      <c r="AX1062" s="190"/>
      <c r="AY1062" s="190"/>
      <c r="AZ1062" s="191"/>
      <c r="BA1062" s="183"/>
      <c r="BB1062" s="183"/>
      <c r="BC1062" s="183"/>
      <c r="BD1062" s="183"/>
      <c r="BE1062" s="183"/>
      <c r="BF1062" s="184"/>
      <c r="BG1062" s="183"/>
      <c r="BH1062" s="183"/>
      <c r="BI1062" s="183"/>
      <c r="BJ1062" s="183"/>
      <c r="BK1062" s="183"/>
      <c r="BL1062" s="184"/>
      <c r="BM1062" s="409"/>
      <c r="BN1062" s="409"/>
    </row>
    <row r="1063" spans="1:66" s="153" customFormat="1" x14ac:dyDescent="0.2">
      <c r="A1063" s="61"/>
      <c r="B1063" s="61"/>
      <c r="C1063" s="61"/>
      <c r="D1063" s="61"/>
      <c r="E1063" s="61"/>
      <c r="F1063" s="61"/>
      <c r="G1063" s="61"/>
      <c r="H1063" s="61"/>
      <c r="I1063" s="61"/>
      <c r="J1063" s="61"/>
      <c r="K1063" s="61"/>
      <c r="L1063" s="61"/>
      <c r="M1063" s="61"/>
      <c r="N1063" s="61"/>
      <c r="O1063" s="61"/>
      <c r="P1063" s="61"/>
      <c r="Q1063" s="61"/>
      <c r="R1063" s="61"/>
      <c r="S1063" s="61"/>
      <c r="T1063" s="35"/>
      <c r="U1063" s="187"/>
      <c r="V1063" s="190"/>
      <c r="W1063" s="190"/>
      <c r="X1063" s="190"/>
      <c r="Y1063" s="190"/>
      <c r="Z1063" s="190"/>
      <c r="AA1063" s="191"/>
      <c r="AB1063" s="190"/>
      <c r="AC1063" s="190"/>
      <c r="AD1063" s="190"/>
      <c r="AE1063" s="190"/>
      <c r="AF1063" s="190"/>
      <c r="AG1063" s="190"/>
      <c r="AH1063" s="191"/>
      <c r="AI1063" s="190"/>
      <c r="AJ1063" s="190"/>
      <c r="AK1063" s="190"/>
      <c r="AL1063" s="190"/>
      <c r="AM1063" s="190"/>
      <c r="AN1063" s="191"/>
      <c r="AO1063" s="190"/>
      <c r="AP1063" s="190"/>
      <c r="AQ1063" s="190"/>
      <c r="AR1063" s="190"/>
      <c r="AS1063" s="190"/>
      <c r="AT1063" s="191"/>
      <c r="AU1063" s="190"/>
      <c r="AV1063" s="190"/>
      <c r="AW1063" s="190"/>
      <c r="AX1063" s="190"/>
      <c r="AY1063" s="190"/>
      <c r="AZ1063" s="191"/>
      <c r="BA1063" s="183"/>
      <c r="BB1063" s="183"/>
      <c r="BC1063" s="183"/>
      <c r="BD1063" s="183"/>
      <c r="BE1063" s="183"/>
      <c r="BF1063" s="184"/>
      <c r="BG1063" s="183"/>
      <c r="BH1063" s="183"/>
      <c r="BI1063" s="183"/>
      <c r="BJ1063" s="183"/>
      <c r="BK1063" s="183"/>
      <c r="BL1063" s="184"/>
      <c r="BM1063" s="409"/>
      <c r="BN1063" s="409"/>
    </row>
    <row r="1064" spans="1:66" s="153" customFormat="1" x14ac:dyDescent="0.2">
      <c r="A1064" s="61"/>
      <c r="B1064" s="61"/>
      <c r="C1064" s="61"/>
      <c r="D1064" s="61"/>
      <c r="E1064" s="61"/>
      <c r="F1064" s="61"/>
      <c r="G1064" s="61"/>
      <c r="H1064" s="61"/>
      <c r="I1064" s="61"/>
      <c r="J1064" s="61"/>
      <c r="K1064" s="61"/>
      <c r="L1064" s="61"/>
      <c r="M1064" s="61"/>
      <c r="N1064" s="61"/>
      <c r="O1064" s="61"/>
      <c r="P1064" s="61"/>
      <c r="Q1064" s="61"/>
      <c r="R1064" s="61"/>
      <c r="S1064" s="61"/>
      <c r="T1064" s="35"/>
      <c r="U1064" s="187"/>
      <c r="V1064" s="190"/>
      <c r="W1064" s="190"/>
      <c r="X1064" s="190"/>
      <c r="Y1064" s="190"/>
      <c r="Z1064" s="190"/>
      <c r="AA1064" s="191"/>
      <c r="AB1064" s="190"/>
      <c r="AC1064" s="190"/>
      <c r="AD1064" s="190"/>
      <c r="AE1064" s="190"/>
      <c r="AF1064" s="190"/>
      <c r="AG1064" s="190"/>
      <c r="AH1064" s="191"/>
      <c r="AI1064" s="190"/>
      <c r="AJ1064" s="190"/>
      <c r="AK1064" s="190"/>
      <c r="AL1064" s="190"/>
      <c r="AM1064" s="190"/>
      <c r="AN1064" s="191"/>
      <c r="AO1064" s="190"/>
      <c r="AP1064" s="190"/>
      <c r="AQ1064" s="190"/>
      <c r="AR1064" s="190"/>
      <c r="AS1064" s="190"/>
      <c r="AT1064" s="191"/>
      <c r="AU1064" s="190"/>
      <c r="AV1064" s="190"/>
      <c r="AW1064" s="190"/>
      <c r="AX1064" s="190"/>
      <c r="AY1064" s="190"/>
      <c r="AZ1064" s="191"/>
      <c r="BA1064" s="183"/>
      <c r="BB1064" s="183"/>
      <c r="BC1064" s="183"/>
      <c r="BD1064" s="183"/>
      <c r="BE1064" s="183"/>
      <c r="BF1064" s="184"/>
      <c r="BG1064" s="183"/>
      <c r="BH1064" s="183"/>
      <c r="BI1064" s="183"/>
      <c r="BJ1064" s="183"/>
      <c r="BK1064" s="183"/>
      <c r="BL1064" s="184"/>
      <c r="BM1064" s="409"/>
      <c r="BN1064" s="409"/>
    </row>
    <row r="1065" spans="1:66" s="153" customFormat="1" x14ac:dyDescent="0.2">
      <c r="A1065" s="61"/>
      <c r="B1065" s="61"/>
      <c r="C1065" s="61"/>
      <c r="D1065" s="61"/>
      <c r="E1065" s="61"/>
      <c r="F1065" s="61"/>
      <c r="G1065" s="61"/>
      <c r="H1065" s="61"/>
      <c r="I1065" s="61"/>
      <c r="J1065" s="61"/>
      <c r="K1065" s="61"/>
      <c r="L1065" s="61"/>
      <c r="M1065" s="61"/>
      <c r="N1065" s="61"/>
      <c r="O1065" s="61"/>
      <c r="P1065" s="61"/>
      <c r="Q1065" s="61"/>
      <c r="R1065" s="61"/>
      <c r="S1065" s="61"/>
      <c r="T1065" s="35"/>
      <c r="U1065" s="187"/>
      <c r="V1065" s="190"/>
      <c r="W1065" s="190"/>
      <c r="X1065" s="190"/>
      <c r="Y1065" s="190"/>
      <c r="Z1065" s="190"/>
      <c r="AA1065" s="191"/>
      <c r="AB1065" s="190"/>
      <c r="AC1065" s="190"/>
      <c r="AD1065" s="190"/>
      <c r="AE1065" s="190"/>
      <c r="AF1065" s="190"/>
      <c r="AG1065" s="190"/>
      <c r="AH1065" s="191"/>
      <c r="AI1065" s="190"/>
      <c r="AJ1065" s="190"/>
      <c r="AK1065" s="190"/>
      <c r="AL1065" s="190"/>
      <c r="AM1065" s="190"/>
      <c r="AN1065" s="191"/>
      <c r="AO1065" s="190"/>
      <c r="AP1065" s="190"/>
      <c r="AQ1065" s="190"/>
      <c r="AR1065" s="190"/>
      <c r="AS1065" s="190"/>
      <c r="AT1065" s="191"/>
      <c r="AU1065" s="190"/>
      <c r="AV1065" s="190"/>
      <c r="AW1065" s="190"/>
      <c r="AX1065" s="190"/>
      <c r="AY1065" s="190"/>
      <c r="AZ1065" s="191"/>
      <c r="BA1065" s="183"/>
      <c r="BB1065" s="183"/>
      <c r="BC1065" s="183"/>
      <c r="BD1065" s="183"/>
      <c r="BE1065" s="183"/>
      <c r="BF1065" s="184"/>
      <c r="BG1065" s="183"/>
      <c r="BH1065" s="183"/>
      <c r="BI1065" s="183"/>
      <c r="BJ1065" s="183"/>
      <c r="BK1065" s="183"/>
      <c r="BL1065" s="184"/>
      <c r="BM1065" s="409"/>
      <c r="BN1065" s="409"/>
    </row>
    <row r="1066" spans="1:66" s="153" customFormat="1" x14ac:dyDescent="0.2">
      <c r="A1066" s="61"/>
      <c r="B1066" s="61"/>
      <c r="C1066" s="61"/>
      <c r="D1066" s="61"/>
      <c r="E1066" s="61"/>
      <c r="F1066" s="61"/>
      <c r="G1066" s="61"/>
      <c r="H1066" s="61"/>
      <c r="I1066" s="61"/>
      <c r="J1066" s="61"/>
      <c r="K1066" s="61"/>
      <c r="L1066" s="61"/>
      <c r="M1066" s="61"/>
      <c r="N1066" s="61"/>
      <c r="O1066" s="61"/>
      <c r="P1066" s="61"/>
      <c r="Q1066" s="61"/>
      <c r="R1066" s="61"/>
      <c r="S1066" s="61"/>
      <c r="T1066" s="35"/>
      <c r="U1066" s="187"/>
      <c r="V1066" s="190"/>
      <c r="W1066" s="190"/>
      <c r="X1066" s="190"/>
      <c r="Y1066" s="190"/>
      <c r="Z1066" s="190"/>
      <c r="AA1066" s="191"/>
      <c r="AB1066" s="190"/>
      <c r="AC1066" s="190"/>
      <c r="AD1066" s="190"/>
      <c r="AE1066" s="190"/>
      <c r="AF1066" s="190"/>
      <c r="AG1066" s="190"/>
      <c r="AH1066" s="191"/>
      <c r="AI1066" s="190"/>
      <c r="AJ1066" s="190"/>
      <c r="AK1066" s="190"/>
      <c r="AL1066" s="190"/>
      <c r="AM1066" s="190"/>
      <c r="AN1066" s="191"/>
      <c r="AO1066" s="190"/>
      <c r="AP1066" s="190"/>
      <c r="AQ1066" s="190"/>
      <c r="AR1066" s="190"/>
      <c r="AS1066" s="190"/>
      <c r="AT1066" s="191"/>
      <c r="AU1066" s="190"/>
      <c r="AV1066" s="190"/>
      <c r="AW1066" s="190"/>
      <c r="AX1066" s="190"/>
      <c r="AY1066" s="190"/>
      <c r="AZ1066" s="191"/>
      <c r="BA1066" s="183"/>
      <c r="BB1066" s="183"/>
      <c r="BC1066" s="183"/>
      <c r="BD1066" s="183"/>
      <c r="BE1066" s="183"/>
      <c r="BF1066" s="184"/>
      <c r="BG1066" s="183"/>
      <c r="BH1066" s="183"/>
      <c r="BI1066" s="183"/>
      <c r="BJ1066" s="183"/>
      <c r="BK1066" s="183"/>
      <c r="BL1066" s="184"/>
      <c r="BM1066" s="409"/>
      <c r="BN1066" s="409"/>
    </row>
    <row r="1067" spans="1:66" s="153" customFormat="1" x14ac:dyDescent="0.2">
      <c r="A1067" s="61"/>
      <c r="B1067" s="61"/>
      <c r="C1067" s="61"/>
      <c r="D1067" s="61"/>
      <c r="E1067" s="61"/>
      <c r="F1067" s="61"/>
      <c r="G1067" s="61"/>
      <c r="H1067" s="61"/>
      <c r="I1067" s="61"/>
      <c r="J1067" s="61"/>
      <c r="K1067" s="61"/>
      <c r="L1067" s="61"/>
      <c r="M1067" s="61"/>
      <c r="N1067" s="61"/>
      <c r="O1067" s="61"/>
      <c r="P1067" s="61"/>
      <c r="Q1067" s="61"/>
      <c r="R1067" s="61"/>
      <c r="S1067" s="61"/>
      <c r="T1067" s="35"/>
      <c r="U1067" s="187"/>
      <c r="V1067" s="190"/>
      <c r="W1067" s="190"/>
      <c r="X1067" s="190"/>
      <c r="Y1067" s="190"/>
      <c r="Z1067" s="190"/>
      <c r="AA1067" s="191"/>
      <c r="AB1067" s="190"/>
      <c r="AC1067" s="190"/>
      <c r="AD1067" s="190"/>
      <c r="AE1067" s="190"/>
      <c r="AF1067" s="190"/>
      <c r="AG1067" s="190"/>
      <c r="AH1067" s="191"/>
      <c r="AI1067" s="190"/>
      <c r="AJ1067" s="190"/>
      <c r="AK1067" s="190"/>
      <c r="AL1067" s="190"/>
      <c r="AM1067" s="190"/>
      <c r="AN1067" s="191"/>
      <c r="AO1067" s="190"/>
      <c r="AP1067" s="190"/>
      <c r="AQ1067" s="190"/>
      <c r="AR1067" s="190"/>
      <c r="AS1067" s="190"/>
      <c r="AT1067" s="191"/>
      <c r="AU1067" s="190"/>
      <c r="AV1067" s="190"/>
      <c r="AW1067" s="190"/>
      <c r="AX1067" s="190"/>
      <c r="AY1067" s="190"/>
      <c r="AZ1067" s="191"/>
      <c r="BA1067" s="183"/>
      <c r="BB1067" s="183"/>
      <c r="BC1067" s="183"/>
      <c r="BD1067" s="183"/>
      <c r="BE1067" s="183"/>
      <c r="BF1067" s="184"/>
      <c r="BG1067" s="183"/>
      <c r="BH1067" s="183"/>
      <c r="BI1067" s="183"/>
      <c r="BJ1067" s="183"/>
      <c r="BK1067" s="183"/>
      <c r="BL1067" s="184"/>
      <c r="BM1067" s="409"/>
      <c r="BN1067" s="409"/>
    </row>
    <row r="1068" spans="1:66" s="153" customFormat="1" x14ac:dyDescent="0.2">
      <c r="A1068" s="61"/>
      <c r="B1068" s="61"/>
      <c r="C1068" s="61"/>
      <c r="D1068" s="61"/>
      <c r="E1068" s="61"/>
      <c r="F1068" s="61"/>
      <c r="G1068" s="61"/>
      <c r="H1068" s="61"/>
      <c r="I1068" s="61"/>
      <c r="J1068" s="61"/>
      <c r="K1068" s="61"/>
      <c r="L1068" s="61"/>
      <c r="M1068" s="61"/>
      <c r="N1068" s="61"/>
      <c r="O1068" s="61"/>
      <c r="P1068" s="61"/>
      <c r="Q1068" s="61"/>
      <c r="R1068" s="61"/>
      <c r="S1068" s="61"/>
      <c r="T1068" s="35"/>
      <c r="U1068" s="187"/>
      <c r="V1068" s="190"/>
      <c r="W1068" s="190"/>
      <c r="X1068" s="190"/>
      <c r="Y1068" s="190"/>
      <c r="Z1068" s="190"/>
      <c r="AA1068" s="191"/>
      <c r="AB1068" s="190"/>
      <c r="AC1068" s="190"/>
      <c r="AD1068" s="190"/>
      <c r="AE1068" s="190"/>
      <c r="AF1068" s="190"/>
      <c r="AG1068" s="190"/>
      <c r="AH1068" s="191"/>
      <c r="AI1068" s="190"/>
      <c r="AJ1068" s="190"/>
      <c r="AK1068" s="190"/>
      <c r="AL1068" s="190"/>
      <c r="AM1068" s="190"/>
      <c r="AN1068" s="191"/>
      <c r="AO1068" s="190"/>
      <c r="AP1068" s="190"/>
      <c r="AQ1068" s="190"/>
      <c r="AR1068" s="190"/>
      <c r="AS1068" s="190"/>
      <c r="AT1068" s="191"/>
      <c r="AU1068" s="190"/>
      <c r="AV1068" s="190"/>
      <c r="AW1068" s="190"/>
      <c r="AX1068" s="190"/>
      <c r="AY1068" s="190"/>
      <c r="AZ1068" s="191"/>
      <c r="BA1068" s="183"/>
      <c r="BB1068" s="183"/>
      <c r="BC1068" s="183"/>
      <c r="BD1068" s="183"/>
      <c r="BE1068" s="183"/>
      <c r="BF1068" s="184"/>
      <c r="BG1068" s="183"/>
      <c r="BH1068" s="183"/>
      <c r="BI1068" s="183"/>
      <c r="BJ1068" s="183"/>
      <c r="BK1068" s="183"/>
      <c r="BL1068" s="184"/>
      <c r="BM1068" s="409"/>
      <c r="BN1068" s="409"/>
    </row>
    <row r="1069" spans="1:66" s="153" customFormat="1" x14ac:dyDescent="0.2">
      <c r="A1069" s="61"/>
      <c r="B1069" s="61"/>
      <c r="C1069" s="61"/>
      <c r="D1069" s="61"/>
      <c r="E1069" s="61"/>
      <c r="F1069" s="61"/>
      <c r="G1069" s="61"/>
      <c r="H1069" s="61"/>
      <c r="I1069" s="61"/>
      <c r="J1069" s="61"/>
      <c r="K1069" s="61"/>
      <c r="L1069" s="61"/>
      <c r="M1069" s="61"/>
      <c r="N1069" s="61"/>
      <c r="O1069" s="61"/>
      <c r="P1069" s="61"/>
      <c r="Q1069" s="61"/>
      <c r="R1069" s="61"/>
      <c r="S1069" s="61"/>
      <c r="T1069" s="35"/>
      <c r="U1069" s="187"/>
      <c r="V1069" s="190"/>
      <c r="W1069" s="190"/>
      <c r="X1069" s="190"/>
      <c r="Y1069" s="190"/>
      <c r="Z1069" s="190"/>
      <c r="AA1069" s="191"/>
      <c r="AB1069" s="190"/>
      <c r="AC1069" s="190"/>
      <c r="AD1069" s="190"/>
      <c r="AE1069" s="190"/>
      <c r="AF1069" s="190"/>
      <c r="AG1069" s="190"/>
      <c r="AH1069" s="191"/>
      <c r="AI1069" s="190"/>
      <c r="AJ1069" s="190"/>
      <c r="AK1069" s="190"/>
      <c r="AL1069" s="190"/>
      <c r="AM1069" s="190"/>
      <c r="AN1069" s="191"/>
      <c r="AO1069" s="190"/>
      <c r="AP1069" s="190"/>
      <c r="AQ1069" s="190"/>
      <c r="AR1069" s="190"/>
      <c r="AS1069" s="190"/>
      <c r="AT1069" s="191"/>
      <c r="AU1069" s="190"/>
      <c r="AV1069" s="190"/>
      <c r="AW1069" s="190"/>
      <c r="AX1069" s="190"/>
      <c r="AY1069" s="190"/>
      <c r="AZ1069" s="191"/>
      <c r="BA1069" s="183"/>
      <c r="BB1069" s="183"/>
      <c r="BC1069" s="183"/>
      <c r="BD1069" s="183"/>
      <c r="BE1069" s="183"/>
      <c r="BF1069" s="184"/>
      <c r="BG1069" s="183"/>
      <c r="BH1069" s="183"/>
      <c r="BI1069" s="183"/>
      <c r="BJ1069" s="183"/>
      <c r="BK1069" s="183"/>
      <c r="BL1069" s="184"/>
      <c r="BM1069" s="409"/>
      <c r="BN1069" s="409"/>
    </row>
    <row r="1070" spans="1:66" s="153" customFormat="1" x14ac:dyDescent="0.2">
      <c r="A1070" s="61"/>
      <c r="B1070" s="61"/>
      <c r="C1070" s="61"/>
      <c r="D1070" s="61"/>
      <c r="E1070" s="61"/>
      <c r="F1070" s="61"/>
      <c r="G1070" s="61"/>
      <c r="H1070" s="61"/>
      <c r="I1070" s="61"/>
      <c r="J1070" s="61"/>
      <c r="K1070" s="61"/>
      <c r="L1070" s="61"/>
      <c r="M1070" s="61"/>
      <c r="N1070" s="61"/>
      <c r="O1070" s="61"/>
      <c r="P1070" s="61"/>
      <c r="Q1070" s="61"/>
      <c r="R1070" s="61"/>
      <c r="S1070" s="61"/>
      <c r="T1070" s="35"/>
      <c r="U1070" s="187"/>
      <c r="V1070" s="190"/>
      <c r="W1070" s="190"/>
      <c r="X1070" s="190"/>
      <c r="Y1070" s="190"/>
      <c r="Z1070" s="190"/>
      <c r="AA1070" s="191"/>
      <c r="AB1070" s="190"/>
      <c r="AC1070" s="190"/>
      <c r="AD1070" s="190"/>
      <c r="AE1070" s="190"/>
      <c r="AF1070" s="190"/>
      <c r="AG1070" s="190"/>
      <c r="AH1070" s="191"/>
      <c r="AI1070" s="190"/>
      <c r="AJ1070" s="190"/>
      <c r="AK1070" s="190"/>
      <c r="AL1070" s="190"/>
      <c r="AM1070" s="190"/>
      <c r="AN1070" s="191"/>
      <c r="AO1070" s="190"/>
      <c r="AP1070" s="190"/>
      <c r="AQ1070" s="190"/>
      <c r="AR1070" s="190"/>
      <c r="AS1070" s="190"/>
      <c r="AT1070" s="191"/>
      <c r="AU1070" s="190"/>
      <c r="AV1070" s="190"/>
      <c r="AW1070" s="190"/>
      <c r="AX1070" s="190"/>
      <c r="AY1070" s="190"/>
      <c r="AZ1070" s="191"/>
      <c r="BA1070" s="183"/>
      <c r="BB1070" s="183"/>
      <c r="BC1070" s="183"/>
      <c r="BD1070" s="183"/>
      <c r="BE1070" s="183"/>
      <c r="BF1070" s="184"/>
      <c r="BG1070" s="183"/>
      <c r="BH1070" s="183"/>
      <c r="BI1070" s="183"/>
      <c r="BJ1070" s="183"/>
      <c r="BK1070" s="183"/>
      <c r="BL1070" s="184"/>
      <c r="BM1070" s="409"/>
      <c r="BN1070" s="409"/>
    </row>
    <row r="1071" spans="1:66" s="153" customFormat="1" x14ac:dyDescent="0.2">
      <c r="A1071" s="61"/>
      <c r="B1071" s="61"/>
      <c r="C1071" s="61"/>
      <c r="D1071" s="61"/>
      <c r="E1071" s="61"/>
      <c r="F1071" s="61"/>
      <c r="G1071" s="61"/>
      <c r="H1071" s="61"/>
      <c r="I1071" s="61"/>
      <c r="J1071" s="61"/>
      <c r="K1071" s="61"/>
      <c r="L1071" s="61"/>
      <c r="M1071" s="61"/>
      <c r="N1071" s="61"/>
      <c r="O1071" s="61"/>
      <c r="P1071" s="61"/>
      <c r="Q1071" s="61"/>
      <c r="R1071" s="61"/>
      <c r="S1071" s="61"/>
      <c r="T1071" s="35"/>
      <c r="U1071" s="187"/>
      <c r="V1071" s="190"/>
      <c r="W1071" s="190"/>
      <c r="X1071" s="190"/>
      <c r="Y1071" s="190"/>
      <c r="Z1071" s="190"/>
      <c r="AA1071" s="191"/>
      <c r="AB1071" s="190"/>
      <c r="AC1071" s="190"/>
      <c r="AD1071" s="190"/>
      <c r="AE1071" s="190"/>
      <c r="AF1071" s="190"/>
      <c r="AG1071" s="190"/>
      <c r="AH1071" s="191"/>
      <c r="AI1071" s="190"/>
      <c r="AJ1071" s="190"/>
      <c r="AK1071" s="190"/>
      <c r="AL1071" s="190"/>
      <c r="AM1071" s="190"/>
      <c r="AN1071" s="191"/>
      <c r="AO1071" s="190"/>
      <c r="AP1071" s="190"/>
      <c r="AQ1071" s="190"/>
      <c r="AR1071" s="190"/>
      <c r="AS1071" s="190"/>
      <c r="AT1071" s="191"/>
      <c r="AU1071" s="190"/>
      <c r="AV1071" s="190"/>
      <c r="AW1071" s="190"/>
      <c r="AX1071" s="190"/>
      <c r="AY1071" s="190"/>
      <c r="AZ1071" s="191"/>
      <c r="BA1071" s="183"/>
      <c r="BB1071" s="183"/>
      <c r="BC1071" s="183"/>
      <c r="BD1071" s="183"/>
      <c r="BE1071" s="183"/>
      <c r="BF1071" s="184"/>
      <c r="BG1071" s="183"/>
      <c r="BH1071" s="183"/>
      <c r="BI1071" s="183"/>
      <c r="BJ1071" s="183"/>
      <c r="BK1071" s="183"/>
      <c r="BL1071" s="184"/>
      <c r="BM1071" s="409"/>
      <c r="BN1071" s="409"/>
    </row>
    <row r="1072" spans="1:66" s="153" customFormat="1" x14ac:dyDescent="0.2">
      <c r="A1072" s="61"/>
      <c r="B1072" s="61"/>
      <c r="C1072" s="61"/>
      <c r="D1072" s="61"/>
      <c r="E1072" s="61"/>
      <c r="F1072" s="61"/>
      <c r="G1072" s="61"/>
      <c r="H1072" s="61"/>
      <c r="I1072" s="61"/>
      <c r="J1072" s="61"/>
      <c r="K1072" s="61"/>
      <c r="L1072" s="61"/>
      <c r="M1072" s="61"/>
      <c r="N1072" s="61"/>
      <c r="O1072" s="61"/>
      <c r="P1072" s="61"/>
      <c r="Q1072" s="61"/>
      <c r="R1072" s="61"/>
      <c r="S1072" s="61"/>
      <c r="T1072" s="35"/>
      <c r="U1072" s="187"/>
      <c r="V1072" s="190"/>
      <c r="W1072" s="190"/>
      <c r="X1072" s="190"/>
      <c r="Y1072" s="190"/>
      <c r="Z1072" s="190"/>
      <c r="AA1072" s="191"/>
      <c r="AB1072" s="190"/>
      <c r="AC1072" s="190"/>
      <c r="AD1072" s="190"/>
      <c r="AE1072" s="190"/>
      <c r="AF1072" s="190"/>
      <c r="AG1072" s="190"/>
      <c r="AH1072" s="191"/>
      <c r="AI1072" s="190"/>
      <c r="AJ1072" s="190"/>
      <c r="AK1072" s="190"/>
      <c r="AL1072" s="190"/>
      <c r="AM1072" s="190"/>
      <c r="AN1072" s="191"/>
      <c r="AO1072" s="190"/>
      <c r="AP1072" s="190"/>
      <c r="AQ1072" s="190"/>
      <c r="AR1072" s="190"/>
      <c r="AS1072" s="190"/>
      <c r="AT1072" s="191"/>
      <c r="AU1072" s="190"/>
      <c r="AV1072" s="190"/>
      <c r="AW1072" s="190"/>
      <c r="AX1072" s="190"/>
      <c r="AY1072" s="190"/>
      <c r="AZ1072" s="191"/>
      <c r="BA1072" s="183"/>
      <c r="BB1072" s="183"/>
      <c r="BC1072" s="183"/>
      <c r="BD1072" s="183"/>
      <c r="BE1072" s="183"/>
      <c r="BF1072" s="184"/>
      <c r="BG1072" s="183"/>
      <c r="BH1072" s="183"/>
      <c r="BI1072" s="183"/>
      <c r="BJ1072" s="183"/>
      <c r="BK1072" s="183"/>
      <c r="BL1072" s="184"/>
      <c r="BM1072" s="409"/>
      <c r="BN1072" s="409"/>
    </row>
    <row r="1073" spans="1:66" s="153" customFormat="1" x14ac:dyDescent="0.2">
      <c r="A1073" s="61"/>
      <c r="B1073" s="61"/>
      <c r="C1073" s="61"/>
      <c r="D1073" s="61"/>
      <c r="E1073" s="61"/>
      <c r="F1073" s="61"/>
      <c r="G1073" s="61"/>
      <c r="H1073" s="61"/>
      <c r="I1073" s="61"/>
      <c r="J1073" s="61"/>
      <c r="K1073" s="61"/>
      <c r="L1073" s="61"/>
      <c r="M1073" s="61"/>
      <c r="N1073" s="61"/>
      <c r="O1073" s="61"/>
      <c r="P1073" s="61"/>
      <c r="Q1073" s="61"/>
      <c r="R1073" s="61"/>
      <c r="S1073" s="61"/>
      <c r="T1073" s="35"/>
      <c r="U1073" s="187"/>
      <c r="V1073" s="190"/>
      <c r="W1073" s="190"/>
      <c r="X1073" s="190"/>
      <c r="Y1073" s="190"/>
      <c r="Z1073" s="190"/>
      <c r="AA1073" s="191"/>
      <c r="AB1073" s="190"/>
      <c r="AC1073" s="190"/>
      <c r="AD1073" s="190"/>
      <c r="AE1073" s="190"/>
      <c r="AF1073" s="190"/>
      <c r="AG1073" s="190"/>
      <c r="AH1073" s="191"/>
      <c r="AI1073" s="190"/>
      <c r="AJ1073" s="190"/>
      <c r="AK1073" s="190"/>
      <c r="AL1073" s="190"/>
      <c r="AM1073" s="190"/>
      <c r="AN1073" s="191"/>
      <c r="AO1073" s="190"/>
      <c r="AP1073" s="190"/>
      <c r="AQ1073" s="190"/>
      <c r="AR1073" s="190"/>
      <c r="AS1073" s="190"/>
      <c r="AT1073" s="191"/>
      <c r="AU1073" s="190"/>
      <c r="AV1073" s="190"/>
      <c r="AW1073" s="190"/>
      <c r="AX1073" s="190"/>
      <c r="AY1073" s="190"/>
      <c r="AZ1073" s="191"/>
      <c r="BA1073" s="183"/>
      <c r="BB1073" s="183"/>
      <c r="BC1073" s="183"/>
      <c r="BD1073" s="183"/>
      <c r="BE1073" s="183"/>
      <c r="BF1073" s="184"/>
      <c r="BG1073" s="183"/>
      <c r="BH1073" s="183"/>
      <c r="BI1073" s="183"/>
      <c r="BJ1073" s="183"/>
      <c r="BK1073" s="183"/>
      <c r="BL1073" s="184"/>
      <c r="BM1073" s="409"/>
      <c r="BN1073" s="409"/>
    </row>
    <row r="1074" spans="1:66" s="153" customFormat="1" x14ac:dyDescent="0.2">
      <c r="A1074" s="61"/>
      <c r="B1074" s="61"/>
      <c r="C1074" s="61"/>
      <c r="D1074" s="61"/>
      <c r="E1074" s="61"/>
      <c r="F1074" s="61"/>
      <c r="G1074" s="61"/>
      <c r="H1074" s="61"/>
      <c r="I1074" s="61"/>
      <c r="J1074" s="61"/>
      <c r="K1074" s="61"/>
      <c r="L1074" s="61"/>
      <c r="M1074" s="61"/>
      <c r="N1074" s="61"/>
      <c r="O1074" s="61"/>
      <c r="P1074" s="61"/>
      <c r="Q1074" s="61"/>
      <c r="R1074" s="61"/>
      <c r="S1074" s="61"/>
      <c r="T1074" s="35"/>
      <c r="U1074" s="187"/>
      <c r="V1074" s="190"/>
      <c r="W1074" s="190"/>
      <c r="X1074" s="190"/>
      <c r="Y1074" s="190"/>
      <c r="Z1074" s="190"/>
      <c r="AA1074" s="191"/>
      <c r="AB1074" s="190"/>
      <c r="AC1074" s="190"/>
      <c r="AD1074" s="190"/>
      <c r="AE1074" s="190"/>
      <c r="AF1074" s="190"/>
      <c r="AG1074" s="190"/>
      <c r="AH1074" s="191"/>
      <c r="AI1074" s="190"/>
      <c r="AJ1074" s="190"/>
      <c r="AK1074" s="190"/>
      <c r="AL1074" s="190"/>
      <c r="AM1074" s="190"/>
      <c r="AN1074" s="191"/>
      <c r="AO1074" s="190"/>
      <c r="AP1074" s="190"/>
      <c r="AQ1074" s="190"/>
      <c r="AR1074" s="190"/>
      <c r="AS1074" s="190"/>
      <c r="AT1074" s="191"/>
      <c r="AU1074" s="190"/>
      <c r="AV1074" s="190"/>
      <c r="AW1074" s="190"/>
      <c r="AX1074" s="190"/>
      <c r="AY1074" s="190"/>
      <c r="AZ1074" s="191"/>
      <c r="BA1074" s="183"/>
      <c r="BB1074" s="183"/>
      <c r="BC1074" s="183"/>
      <c r="BD1074" s="183"/>
      <c r="BE1074" s="183"/>
      <c r="BF1074" s="184"/>
      <c r="BG1074" s="183"/>
      <c r="BH1074" s="183"/>
      <c r="BI1074" s="183"/>
      <c r="BJ1074" s="183"/>
      <c r="BK1074" s="183"/>
      <c r="BL1074" s="184"/>
      <c r="BM1074" s="409"/>
      <c r="BN1074" s="409"/>
    </row>
    <row r="1075" spans="1:66" s="153" customFormat="1" x14ac:dyDescent="0.2">
      <c r="A1075" s="61"/>
      <c r="B1075" s="61"/>
      <c r="C1075" s="61"/>
      <c r="D1075" s="61"/>
      <c r="E1075" s="61"/>
      <c r="F1075" s="61"/>
      <c r="G1075" s="61"/>
      <c r="H1075" s="61"/>
      <c r="I1075" s="61"/>
      <c r="J1075" s="61"/>
      <c r="K1075" s="61"/>
      <c r="L1075" s="61"/>
      <c r="M1075" s="61"/>
      <c r="N1075" s="61"/>
      <c r="O1075" s="61"/>
      <c r="P1075" s="61"/>
      <c r="Q1075" s="61"/>
      <c r="R1075" s="61"/>
      <c r="S1075" s="61"/>
      <c r="T1075" s="35"/>
      <c r="U1075" s="187"/>
      <c r="V1075" s="190"/>
      <c r="W1075" s="190"/>
      <c r="X1075" s="190"/>
      <c r="Y1075" s="190"/>
      <c r="Z1075" s="190"/>
      <c r="AA1075" s="191"/>
      <c r="AB1075" s="190"/>
      <c r="AC1075" s="190"/>
      <c r="AD1075" s="190"/>
      <c r="AE1075" s="190"/>
      <c r="AF1075" s="190"/>
      <c r="AG1075" s="190"/>
      <c r="AH1075" s="191"/>
      <c r="AI1075" s="190"/>
      <c r="AJ1075" s="190"/>
      <c r="AK1075" s="190"/>
      <c r="AL1075" s="190"/>
      <c r="AM1075" s="190"/>
      <c r="AN1075" s="191"/>
      <c r="AO1075" s="190"/>
      <c r="AP1075" s="190"/>
      <c r="AQ1075" s="190"/>
      <c r="AR1075" s="190"/>
      <c r="AS1075" s="190"/>
      <c r="AT1075" s="191"/>
      <c r="AU1075" s="190"/>
      <c r="AV1075" s="190"/>
      <c r="AW1075" s="190"/>
      <c r="AX1075" s="190"/>
      <c r="AY1075" s="190"/>
      <c r="AZ1075" s="191"/>
      <c r="BA1075" s="183"/>
      <c r="BB1075" s="183"/>
      <c r="BC1075" s="183"/>
      <c r="BD1075" s="183"/>
      <c r="BE1075" s="183"/>
      <c r="BF1075" s="184"/>
      <c r="BG1075" s="183"/>
      <c r="BH1075" s="183"/>
      <c r="BI1075" s="183"/>
      <c r="BJ1075" s="183"/>
      <c r="BK1075" s="183"/>
      <c r="BL1075" s="184"/>
      <c r="BM1075" s="409"/>
      <c r="BN1075" s="409"/>
    </row>
    <row r="1076" spans="1:66" s="153" customFormat="1" x14ac:dyDescent="0.2">
      <c r="A1076" s="61"/>
      <c r="B1076" s="61"/>
      <c r="C1076" s="61"/>
      <c r="D1076" s="61"/>
      <c r="E1076" s="61"/>
      <c r="F1076" s="61"/>
      <c r="G1076" s="61"/>
      <c r="H1076" s="61"/>
      <c r="I1076" s="61"/>
      <c r="J1076" s="61"/>
      <c r="K1076" s="61"/>
      <c r="L1076" s="61"/>
      <c r="M1076" s="61"/>
      <c r="N1076" s="61"/>
      <c r="O1076" s="61"/>
      <c r="P1076" s="61"/>
      <c r="Q1076" s="61"/>
      <c r="R1076" s="61"/>
      <c r="S1076" s="61"/>
      <c r="T1076" s="35"/>
      <c r="U1076" s="187"/>
      <c r="V1076" s="190"/>
      <c r="W1076" s="190"/>
      <c r="X1076" s="190"/>
      <c r="Y1076" s="190"/>
      <c r="Z1076" s="190"/>
      <c r="AA1076" s="191"/>
      <c r="AB1076" s="190"/>
      <c r="AC1076" s="190"/>
      <c r="AD1076" s="190"/>
      <c r="AE1076" s="190"/>
      <c r="AF1076" s="190"/>
      <c r="AG1076" s="190"/>
      <c r="AH1076" s="191"/>
      <c r="AI1076" s="190"/>
      <c r="AJ1076" s="190"/>
      <c r="AK1076" s="190"/>
      <c r="AL1076" s="190"/>
      <c r="AM1076" s="190"/>
      <c r="AN1076" s="191"/>
      <c r="AO1076" s="190"/>
      <c r="AP1076" s="190"/>
      <c r="AQ1076" s="190"/>
      <c r="AR1076" s="190"/>
      <c r="AS1076" s="190"/>
      <c r="AT1076" s="191"/>
      <c r="AU1076" s="190"/>
      <c r="AV1076" s="190"/>
      <c r="AW1076" s="190"/>
      <c r="AX1076" s="190"/>
      <c r="AY1076" s="190"/>
      <c r="AZ1076" s="191"/>
      <c r="BA1076" s="183"/>
      <c r="BB1076" s="183"/>
      <c r="BC1076" s="183"/>
      <c r="BD1076" s="183"/>
      <c r="BE1076" s="183"/>
      <c r="BF1076" s="184"/>
      <c r="BG1076" s="183"/>
      <c r="BH1076" s="183"/>
      <c r="BI1076" s="183"/>
      <c r="BJ1076" s="183"/>
      <c r="BK1076" s="183"/>
      <c r="BL1076" s="184"/>
      <c r="BM1076" s="409"/>
      <c r="BN1076" s="409"/>
    </row>
    <row r="1077" spans="1:66" s="153" customFormat="1" x14ac:dyDescent="0.2">
      <c r="A1077" s="61"/>
      <c r="B1077" s="61"/>
      <c r="C1077" s="61"/>
      <c r="D1077" s="61"/>
      <c r="E1077" s="61"/>
      <c r="F1077" s="61"/>
      <c r="G1077" s="61"/>
      <c r="H1077" s="61"/>
      <c r="I1077" s="61"/>
      <c r="J1077" s="61"/>
      <c r="K1077" s="61"/>
      <c r="L1077" s="61"/>
      <c r="M1077" s="61"/>
      <c r="N1077" s="61"/>
      <c r="O1077" s="61"/>
      <c r="P1077" s="61"/>
      <c r="Q1077" s="61"/>
      <c r="R1077" s="61"/>
      <c r="S1077" s="61"/>
      <c r="T1077" s="35"/>
      <c r="U1077" s="187"/>
      <c r="V1077" s="190"/>
      <c r="W1077" s="190"/>
      <c r="X1077" s="190"/>
      <c r="Y1077" s="190"/>
      <c r="Z1077" s="190"/>
      <c r="AA1077" s="191"/>
      <c r="AB1077" s="190"/>
      <c r="AC1077" s="190"/>
      <c r="AD1077" s="190"/>
      <c r="AE1077" s="190"/>
      <c r="AF1077" s="190"/>
      <c r="AG1077" s="190"/>
      <c r="AH1077" s="191"/>
      <c r="AI1077" s="190"/>
      <c r="AJ1077" s="190"/>
      <c r="AK1077" s="190"/>
      <c r="AL1077" s="190"/>
      <c r="AM1077" s="190"/>
      <c r="AN1077" s="191"/>
      <c r="AO1077" s="190"/>
      <c r="AP1077" s="190"/>
      <c r="AQ1077" s="190"/>
      <c r="AR1077" s="190"/>
      <c r="AS1077" s="190"/>
      <c r="AT1077" s="191"/>
      <c r="AU1077" s="190"/>
      <c r="AV1077" s="190"/>
      <c r="AW1077" s="190"/>
      <c r="AX1077" s="190"/>
      <c r="AY1077" s="190"/>
      <c r="AZ1077" s="191"/>
      <c r="BA1077" s="183"/>
      <c r="BB1077" s="183"/>
      <c r="BC1077" s="183"/>
      <c r="BD1077" s="183"/>
      <c r="BE1077" s="183"/>
      <c r="BF1077" s="184"/>
      <c r="BG1077" s="183"/>
      <c r="BH1077" s="183"/>
      <c r="BI1077" s="183"/>
      <c r="BJ1077" s="183"/>
      <c r="BK1077" s="183"/>
      <c r="BL1077" s="184"/>
      <c r="BM1077" s="409"/>
      <c r="BN1077" s="409"/>
    </row>
    <row r="1078" spans="1:66" s="153" customFormat="1" x14ac:dyDescent="0.2">
      <c r="A1078" s="61"/>
      <c r="B1078" s="61"/>
      <c r="C1078" s="61"/>
      <c r="D1078" s="61"/>
      <c r="E1078" s="61"/>
      <c r="F1078" s="61"/>
      <c r="G1078" s="61"/>
      <c r="H1078" s="61"/>
      <c r="I1078" s="61"/>
      <c r="J1078" s="61"/>
      <c r="K1078" s="61"/>
      <c r="L1078" s="61"/>
      <c r="M1078" s="61"/>
      <c r="N1078" s="61"/>
      <c r="O1078" s="61"/>
      <c r="P1078" s="61"/>
      <c r="Q1078" s="61"/>
      <c r="R1078" s="61"/>
      <c r="S1078" s="61"/>
      <c r="T1078" s="35"/>
      <c r="U1078" s="187"/>
      <c r="V1078" s="190"/>
      <c r="W1078" s="190"/>
      <c r="X1078" s="190"/>
      <c r="Y1078" s="190"/>
      <c r="Z1078" s="190"/>
      <c r="AA1078" s="191"/>
      <c r="AB1078" s="190"/>
      <c r="AC1078" s="190"/>
      <c r="AD1078" s="190"/>
      <c r="AE1078" s="190"/>
      <c r="AF1078" s="190"/>
      <c r="AG1078" s="190"/>
      <c r="AH1078" s="191"/>
      <c r="AI1078" s="190"/>
      <c r="AJ1078" s="190"/>
      <c r="AK1078" s="190"/>
      <c r="AL1078" s="190"/>
      <c r="AM1078" s="190"/>
      <c r="AN1078" s="191"/>
      <c r="AO1078" s="190"/>
      <c r="AP1078" s="190"/>
      <c r="AQ1078" s="190"/>
      <c r="AR1078" s="190"/>
      <c r="AS1078" s="190"/>
      <c r="AT1078" s="191"/>
      <c r="AU1078" s="190"/>
      <c r="AV1078" s="190"/>
      <c r="AW1078" s="190"/>
      <c r="AX1078" s="190"/>
      <c r="AY1078" s="190"/>
      <c r="AZ1078" s="191"/>
      <c r="BA1078" s="183"/>
      <c r="BB1078" s="183"/>
      <c r="BC1078" s="183"/>
      <c r="BD1078" s="183"/>
      <c r="BE1078" s="183"/>
      <c r="BF1078" s="184"/>
      <c r="BG1078" s="183"/>
      <c r="BH1078" s="183"/>
      <c r="BI1078" s="183"/>
      <c r="BJ1078" s="183"/>
      <c r="BK1078" s="183"/>
      <c r="BL1078" s="184"/>
      <c r="BM1078" s="409"/>
      <c r="BN1078" s="409"/>
    </row>
    <row r="1079" spans="1:66" s="153" customFormat="1" x14ac:dyDescent="0.2">
      <c r="A1079" s="61"/>
      <c r="B1079" s="61"/>
      <c r="C1079" s="61"/>
      <c r="D1079" s="61"/>
      <c r="E1079" s="61"/>
      <c r="F1079" s="61"/>
      <c r="G1079" s="61"/>
      <c r="H1079" s="61"/>
      <c r="I1079" s="61"/>
      <c r="J1079" s="61"/>
      <c r="K1079" s="61"/>
      <c r="L1079" s="61"/>
      <c r="M1079" s="61"/>
      <c r="N1079" s="61"/>
      <c r="O1079" s="61"/>
      <c r="P1079" s="61"/>
      <c r="Q1079" s="61"/>
      <c r="R1079" s="61"/>
      <c r="S1079" s="61"/>
      <c r="T1079" s="35"/>
      <c r="U1079" s="187"/>
      <c r="V1079" s="190"/>
      <c r="W1079" s="190"/>
      <c r="X1079" s="190"/>
      <c r="Y1079" s="190"/>
      <c r="Z1079" s="190"/>
      <c r="AA1079" s="191"/>
      <c r="AB1079" s="190"/>
      <c r="AC1079" s="190"/>
      <c r="AD1079" s="190"/>
      <c r="AE1079" s="190"/>
      <c r="AF1079" s="190"/>
      <c r="AG1079" s="190"/>
      <c r="AH1079" s="191"/>
      <c r="AI1079" s="190"/>
      <c r="AJ1079" s="190"/>
      <c r="AK1079" s="190"/>
      <c r="AL1079" s="190"/>
      <c r="AM1079" s="190"/>
      <c r="AN1079" s="191"/>
      <c r="AO1079" s="190"/>
      <c r="AP1079" s="190"/>
      <c r="AQ1079" s="190"/>
      <c r="AR1079" s="190"/>
      <c r="AS1079" s="190"/>
      <c r="AT1079" s="191"/>
      <c r="AU1079" s="190"/>
      <c r="AV1079" s="190"/>
      <c r="AW1079" s="190"/>
      <c r="AX1079" s="190"/>
      <c r="AY1079" s="190"/>
      <c r="AZ1079" s="191"/>
      <c r="BA1079" s="183"/>
      <c r="BB1079" s="183"/>
      <c r="BC1079" s="183"/>
      <c r="BD1079" s="183"/>
      <c r="BE1079" s="183"/>
      <c r="BF1079" s="184"/>
      <c r="BG1079" s="183"/>
      <c r="BH1079" s="183"/>
      <c r="BI1079" s="183"/>
      <c r="BJ1079" s="183"/>
      <c r="BK1079" s="183"/>
      <c r="BL1079" s="184"/>
      <c r="BM1079" s="409"/>
      <c r="BN1079" s="409"/>
    </row>
    <row r="1080" spans="1:66" s="153" customFormat="1" x14ac:dyDescent="0.2">
      <c r="A1080" s="61"/>
      <c r="B1080" s="61"/>
      <c r="C1080" s="61"/>
      <c r="D1080" s="61"/>
      <c r="E1080" s="61"/>
      <c r="F1080" s="61"/>
      <c r="G1080" s="61"/>
      <c r="H1080" s="61"/>
      <c r="I1080" s="61"/>
      <c r="J1080" s="61"/>
      <c r="K1080" s="61"/>
      <c r="L1080" s="61"/>
      <c r="M1080" s="61"/>
      <c r="N1080" s="61"/>
      <c r="O1080" s="61"/>
      <c r="P1080" s="61"/>
      <c r="Q1080" s="61"/>
      <c r="R1080" s="61"/>
      <c r="S1080" s="61"/>
      <c r="T1080" s="35"/>
      <c r="U1080" s="187"/>
      <c r="V1080" s="190"/>
      <c r="W1080" s="190"/>
      <c r="X1080" s="190"/>
      <c r="Y1080" s="190"/>
      <c r="Z1080" s="190"/>
      <c r="AA1080" s="191"/>
      <c r="AB1080" s="190"/>
      <c r="AC1080" s="190"/>
      <c r="AD1080" s="190"/>
      <c r="AE1080" s="190"/>
      <c r="AF1080" s="190"/>
      <c r="AG1080" s="190"/>
      <c r="AH1080" s="191"/>
      <c r="AI1080" s="190"/>
      <c r="AJ1080" s="190"/>
      <c r="AK1080" s="190"/>
      <c r="AL1080" s="190"/>
      <c r="AM1080" s="190"/>
      <c r="AN1080" s="191"/>
      <c r="AO1080" s="190"/>
      <c r="AP1080" s="190"/>
      <c r="AQ1080" s="190"/>
      <c r="AR1080" s="190"/>
      <c r="AS1080" s="190"/>
      <c r="AT1080" s="191"/>
      <c r="AU1080" s="190"/>
      <c r="AV1080" s="190"/>
      <c r="AW1080" s="190"/>
      <c r="AX1080" s="190"/>
      <c r="AY1080" s="190"/>
      <c r="AZ1080" s="191"/>
      <c r="BA1080" s="183"/>
      <c r="BB1080" s="183"/>
      <c r="BC1080" s="183"/>
      <c r="BD1080" s="183"/>
      <c r="BE1080" s="183"/>
      <c r="BF1080" s="184"/>
      <c r="BG1080" s="183"/>
      <c r="BH1080" s="183"/>
      <c r="BI1080" s="183"/>
      <c r="BJ1080" s="183"/>
      <c r="BK1080" s="183"/>
      <c r="BL1080" s="184"/>
      <c r="BM1080" s="409"/>
      <c r="BN1080" s="409"/>
    </row>
    <row r="1081" spans="1:66" s="153" customFormat="1" x14ac:dyDescent="0.2">
      <c r="A1081" s="61"/>
      <c r="B1081" s="61"/>
      <c r="C1081" s="61"/>
      <c r="D1081" s="61"/>
      <c r="E1081" s="61"/>
      <c r="F1081" s="61"/>
      <c r="G1081" s="61"/>
      <c r="H1081" s="61"/>
      <c r="I1081" s="61"/>
      <c r="J1081" s="61"/>
      <c r="K1081" s="61"/>
      <c r="L1081" s="61"/>
      <c r="M1081" s="61"/>
      <c r="N1081" s="61"/>
      <c r="O1081" s="61"/>
      <c r="P1081" s="61"/>
      <c r="Q1081" s="61"/>
      <c r="R1081" s="61"/>
      <c r="S1081" s="61"/>
      <c r="T1081" s="35"/>
      <c r="U1081" s="187"/>
      <c r="V1081" s="190"/>
      <c r="W1081" s="190"/>
      <c r="X1081" s="190"/>
      <c r="Y1081" s="190"/>
      <c r="Z1081" s="190"/>
      <c r="AA1081" s="191"/>
      <c r="AB1081" s="190"/>
      <c r="AC1081" s="190"/>
      <c r="AD1081" s="190"/>
      <c r="AE1081" s="190"/>
      <c r="AF1081" s="190"/>
      <c r="AG1081" s="190"/>
      <c r="AH1081" s="191"/>
      <c r="AI1081" s="190"/>
      <c r="AJ1081" s="190"/>
      <c r="AK1081" s="190"/>
      <c r="AL1081" s="190"/>
      <c r="AM1081" s="190"/>
      <c r="AN1081" s="191"/>
      <c r="AO1081" s="190"/>
      <c r="AP1081" s="190"/>
      <c r="AQ1081" s="190"/>
      <c r="AR1081" s="190"/>
      <c r="AS1081" s="190"/>
      <c r="AT1081" s="191"/>
      <c r="AU1081" s="190"/>
      <c r="AV1081" s="190"/>
      <c r="AW1081" s="190"/>
      <c r="AX1081" s="190"/>
      <c r="AY1081" s="190"/>
      <c r="AZ1081" s="191"/>
      <c r="BA1081" s="183"/>
      <c r="BB1081" s="183"/>
      <c r="BC1081" s="183"/>
      <c r="BD1081" s="183"/>
      <c r="BE1081" s="183"/>
      <c r="BF1081" s="184"/>
      <c r="BG1081" s="183"/>
      <c r="BH1081" s="183"/>
      <c r="BI1081" s="183"/>
      <c r="BJ1081" s="183"/>
      <c r="BK1081" s="183"/>
      <c r="BL1081" s="184"/>
      <c r="BM1081" s="409"/>
      <c r="BN1081" s="409"/>
    </row>
    <row r="1082" spans="1:66" s="153" customFormat="1" x14ac:dyDescent="0.2">
      <c r="A1082" s="61"/>
      <c r="B1082" s="61"/>
      <c r="C1082" s="61"/>
      <c r="D1082" s="61"/>
      <c r="E1082" s="61"/>
      <c r="F1082" s="61"/>
      <c r="G1082" s="61"/>
      <c r="H1082" s="61"/>
      <c r="I1082" s="61"/>
      <c r="J1082" s="61"/>
      <c r="K1082" s="61"/>
      <c r="L1082" s="61"/>
      <c r="M1082" s="61"/>
      <c r="N1082" s="61"/>
      <c r="O1082" s="61"/>
      <c r="P1082" s="61"/>
      <c r="Q1082" s="61"/>
      <c r="R1082" s="61"/>
      <c r="S1082" s="61"/>
      <c r="T1082" s="35"/>
      <c r="U1082" s="187"/>
      <c r="V1082" s="190"/>
      <c r="W1082" s="190"/>
      <c r="X1082" s="190"/>
      <c r="Y1082" s="190"/>
      <c r="Z1082" s="190"/>
      <c r="AA1082" s="191"/>
      <c r="AB1082" s="190"/>
      <c r="AC1082" s="190"/>
      <c r="AD1082" s="190"/>
      <c r="AE1082" s="190"/>
      <c r="AF1082" s="190"/>
      <c r="AG1082" s="190"/>
      <c r="AH1082" s="191"/>
      <c r="AI1082" s="190"/>
      <c r="AJ1082" s="190"/>
      <c r="AK1082" s="190"/>
      <c r="AL1082" s="190"/>
      <c r="AM1082" s="190"/>
      <c r="AN1082" s="191"/>
      <c r="AO1082" s="190"/>
      <c r="AP1082" s="190"/>
      <c r="AQ1082" s="190"/>
      <c r="AR1082" s="190"/>
      <c r="AS1082" s="190"/>
      <c r="AT1082" s="191"/>
      <c r="AU1082" s="190"/>
      <c r="AV1082" s="190"/>
      <c r="AW1082" s="190"/>
      <c r="AX1082" s="190"/>
      <c r="AY1082" s="190"/>
      <c r="AZ1082" s="191"/>
      <c r="BA1082" s="183"/>
      <c r="BB1082" s="183"/>
      <c r="BC1082" s="183"/>
      <c r="BD1082" s="183"/>
      <c r="BE1082" s="183"/>
      <c r="BF1082" s="184"/>
      <c r="BG1082" s="183"/>
      <c r="BH1082" s="183"/>
      <c r="BI1082" s="183"/>
      <c r="BJ1082" s="183"/>
      <c r="BK1082" s="183"/>
      <c r="BL1082" s="184"/>
      <c r="BM1082" s="409"/>
      <c r="BN1082" s="409"/>
    </row>
    <row r="1083" spans="1:66" s="153" customFormat="1" x14ac:dyDescent="0.2">
      <c r="A1083" s="61"/>
      <c r="B1083" s="61"/>
      <c r="C1083" s="61"/>
      <c r="D1083" s="61"/>
      <c r="E1083" s="61"/>
      <c r="F1083" s="61"/>
      <c r="G1083" s="61"/>
      <c r="H1083" s="61"/>
      <c r="I1083" s="61"/>
      <c r="J1083" s="61"/>
      <c r="K1083" s="61"/>
      <c r="L1083" s="61"/>
      <c r="M1083" s="61"/>
      <c r="N1083" s="61"/>
      <c r="O1083" s="61"/>
      <c r="P1083" s="61"/>
      <c r="Q1083" s="61"/>
      <c r="R1083" s="61"/>
      <c r="S1083" s="61"/>
      <c r="T1083" s="35"/>
      <c r="U1083" s="187"/>
      <c r="V1083" s="190"/>
      <c r="W1083" s="190"/>
      <c r="X1083" s="190"/>
      <c r="Y1083" s="190"/>
      <c r="Z1083" s="190"/>
      <c r="AA1083" s="191"/>
      <c r="AB1083" s="190"/>
      <c r="AC1083" s="190"/>
      <c r="AD1083" s="190"/>
      <c r="AE1083" s="190"/>
      <c r="AF1083" s="190"/>
      <c r="AG1083" s="190"/>
      <c r="AH1083" s="191"/>
      <c r="AI1083" s="190"/>
      <c r="AJ1083" s="190"/>
      <c r="AK1083" s="190"/>
      <c r="AL1083" s="190"/>
      <c r="AM1083" s="190"/>
      <c r="AN1083" s="191"/>
      <c r="AO1083" s="190"/>
      <c r="AP1083" s="190"/>
      <c r="AQ1083" s="190"/>
      <c r="AR1083" s="190"/>
      <c r="AS1083" s="190"/>
      <c r="AT1083" s="191"/>
      <c r="AU1083" s="190"/>
      <c r="AV1083" s="190"/>
      <c r="AW1083" s="190"/>
      <c r="AX1083" s="190"/>
      <c r="AY1083" s="190"/>
      <c r="AZ1083" s="191"/>
      <c r="BA1083" s="183"/>
      <c r="BB1083" s="183"/>
      <c r="BC1083" s="183"/>
      <c r="BD1083" s="183"/>
      <c r="BE1083" s="183"/>
      <c r="BF1083" s="184"/>
      <c r="BG1083" s="183"/>
      <c r="BH1083" s="183"/>
      <c r="BI1083" s="183"/>
      <c r="BJ1083" s="183"/>
      <c r="BK1083" s="183"/>
      <c r="BL1083" s="184"/>
      <c r="BM1083" s="409"/>
      <c r="BN1083" s="409"/>
    </row>
    <row r="1084" spans="1:66" s="153" customFormat="1" x14ac:dyDescent="0.2">
      <c r="A1084" s="61"/>
      <c r="B1084" s="61"/>
      <c r="C1084" s="61"/>
      <c r="D1084" s="61"/>
      <c r="E1084" s="61"/>
      <c r="F1084" s="61"/>
      <c r="G1084" s="61"/>
      <c r="H1084" s="61"/>
      <c r="I1084" s="61"/>
      <c r="J1084" s="61"/>
      <c r="K1084" s="61"/>
      <c r="L1084" s="61"/>
      <c r="M1084" s="61"/>
      <c r="N1084" s="61"/>
      <c r="O1084" s="61"/>
      <c r="P1084" s="61"/>
      <c r="Q1084" s="61"/>
      <c r="R1084" s="61"/>
      <c r="S1084" s="61"/>
      <c r="T1084" s="35"/>
      <c r="U1084" s="187"/>
      <c r="V1084" s="190"/>
      <c r="W1084" s="190"/>
      <c r="X1084" s="190"/>
      <c r="Y1084" s="190"/>
      <c r="Z1084" s="190"/>
      <c r="AA1084" s="191"/>
      <c r="AB1084" s="190"/>
      <c r="AC1084" s="190"/>
      <c r="AD1084" s="190"/>
      <c r="AE1084" s="190"/>
      <c r="AF1084" s="190"/>
      <c r="AG1084" s="190"/>
      <c r="AH1084" s="191"/>
      <c r="AI1084" s="190"/>
      <c r="AJ1084" s="190"/>
      <c r="AK1084" s="190"/>
      <c r="AL1084" s="190"/>
      <c r="AM1084" s="190"/>
      <c r="AN1084" s="191"/>
      <c r="AO1084" s="190"/>
      <c r="AP1084" s="190"/>
      <c r="AQ1084" s="190"/>
      <c r="AR1084" s="190"/>
      <c r="AS1084" s="190"/>
      <c r="AT1084" s="191"/>
      <c r="AU1084" s="190"/>
      <c r="AV1084" s="190"/>
      <c r="AW1084" s="190"/>
      <c r="AX1084" s="190"/>
      <c r="AY1084" s="190"/>
      <c r="AZ1084" s="191"/>
      <c r="BA1084" s="183"/>
      <c r="BB1084" s="183"/>
      <c r="BC1084" s="183"/>
      <c r="BD1084" s="183"/>
      <c r="BE1084" s="183"/>
      <c r="BF1084" s="184"/>
      <c r="BG1084" s="183"/>
      <c r="BH1084" s="183"/>
      <c r="BI1084" s="183"/>
      <c r="BJ1084" s="183"/>
      <c r="BK1084" s="183"/>
      <c r="BL1084" s="184"/>
      <c r="BM1084" s="409"/>
      <c r="BN1084" s="409"/>
    </row>
    <row r="1085" spans="1:66" s="153" customFormat="1" x14ac:dyDescent="0.2">
      <c r="A1085" s="61"/>
      <c r="B1085" s="61"/>
      <c r="C1085" s="61"/>
      <c r="D1085" s="61"/>
      <c r="E1085" s="61"/>
      <c r="F1085" s="61"/>
      <c r="G1085" s="61"/>
      <c r="H1085" s="61"/>
      <c r="I1085" s="61"/>
      <c r="J1085" s="61"/>
      <c r="K1085" s="61"/>
      <c r="L1085" s="61"/>
      <c r="M1085" s="61"/>
      <c r="N1085" s="61"/>
      <c r="O1085" s="61"/>
      <c r="P1085" s="61"/>
      <c r="Q1085" s="61"/>
      <c r="R1085" s="61"/>
      <c r="S1085" s="61"/>
      <c r="T1085" s="35"/>
      <c r="U1085" s="187"/>
      <c r="V1085" s="190"/>
      <c r="W1085" s="190"/>
      <c r="X1085" s="190"/>
      <c r="Y1085" s="190"/>
      <c r="Z1085" s="190"/>
      <c r="AA1085" s="191"/>
      <c r="AB1085" s="190"/>
      <c r="AC1085" s="190"/>
      <c r="AD1085" s="190"/>
      <c r="AE1085" s="190"/>
      <c r="AF1085" s="190"/>
      <c r="AG1085" s="190"/>
      <c r="AH1085" s="191"/>
      <c r="AI1085" s="190"/>
      <c r="AJ1085" s="190"/>
      <c r="AK1085" s="190"/>
      <c r="AL1085" s="190"/>
      <c r="AM1085" s="190"/>
      <c r="AN1085" s="191"/>
      <c r="AO1085" s="190"/>
      <c r="AP1085" s="190"/>
      <c r="AQ1085" s="190"/>
      <c r="AR1085" s="190"/>
      <c r="AS1085" s="190"/>
      <c r="AT1085" s="191"/>
      <c r="AU1085" s="190"/>
      <c r="AV1085" s="190"/>
      <c r="AW1085" s="190"/>
      <c r="AX1085" s="190"/>
      <c r="AY1085" s="190"/>
      <c r="AZ1085" s="191"/>
      <c r="BA1085" s="183"/>
      <c r="BB1085" s="183"/>
      <c r="BC1085" s="183"/>
      <c r="BD1085" s="183"/>
      <c r="BE1085" s="183"/>
      <c r="BF1085" s="184"/>
      <c r="BG1085" s="183"/>
      <c r="BH1085" s="183"/>
      <c r="BI1085" s="183"/>
      <c r="BJ1085" s="183"/>
      <c r="BK1085" s="183"/>
      <c r="BL1085" s="184"/>
      <c r="BM1085" s="409"/>
      <c r="BN1085" s="409"/>
    </row>
    <row r="1086" spans="1:66" s="153" customFormat="1" x14ac:dyDescent="0.2">
      <c r="A1086" s="61"/>
      <c r="B1086" s="61"/>
      <c r="C1086" s="61"/>
      <c r="D1086" s="61"/>
      <c r="E1086" s="61"/>
      <c r="F1086" s="61"/>
      <c r="G1086" s="61"/>
      <c r="H1086" s="61"/>
      <c r="I1086" s="61"/>
      <c r="J1086" s="61"/>
      <c r="K1086" s="61"/>
      <c r="L1086" s="61"/>
      <c r="M1086" s="61"/>
      <c r="N1086" s="61"/>
      <c r="O1086" s="61"/>
      <c r="P1086" s="61"/>
      <c r="Q1086" s="61"/>
      <c r="R1086" s="61"/>
      <c r="S1086" s="61"/>
      <c r="T1086" s="35"/>
      <c r="U1086" s="187"/>
      <c r="V1086" s="190"/>
      <c r="W1086" s="190"/>
      <c r="X1086" s="190"/>
      <c r="Y1086" s="190"/>
      <c r="Z1086" s="190"/>
      <c r="AA1086" s="191"/>
      <c r="AB1086" s="190"/>
      <c r="AC1086" s="190"/>
      <c r="AD1086" s="190"/>
      <c r="AE1086" s="190"/>
      <c r="AF1086" s="190"/>
      <c r="AG1086" s="190"/>
      <c r="AH1086" s="191"/>
      <c r="AI1086" s="190"/>
      <c r="AJ1086" s="190"/>
      <c r="AK1086" s="190"/>
      <c r="AL1086" s="190"/>
      <c r="AM1086" s="190"/>
      <c r="AN1086" s="191"/>
      <c r="AO1086" s="190"/>
      <c r="AP1086" s="190"/>
      <c r="AQ1086" s="190"/>
      <c r="AR1086" s="190"/>
      <c r="AS1086" s="190"/>
      <c r="AT1086" s="191"/>
      <c r="AU1086" s="190"/>
      <c r="AV1086" s="190"/>
      <c r="AW1086" s="190"/>
      <c r="AX1086" s="190"/>
      <c r="AY1086" s="190"/>
      <c r="AZ1086" s="191"/>
      <c r="BA1086" s="183"/>
      <c r="BB1086" s="183"/>
      <c r="BC1086" s="183"/>
      <c r="BD1086" s="183"/>
      <c r="BE1086" s="183"/>
      <c r="BF1086" s="184"/>
      <c r="BG1086" s="183"/>
      <c r="BH1086" s="183"/>
      <c r="BI1086" s="183"/>
      <c r="BJ1086" s="183"/>
      <c r="BK1086" s="183"/>
      <c r="BL1086" s="184"/>
      <c r="BM1086" s="409"/>
      <c r="BN1086" s="409"/>
    </row>
    <row r="1087" spans="1:66" s="153" customFormat="1" x14ac:dyDescent="0.2">
      <c r="A1087" s="61"/>
      <c r="B1087" s="61"/>
      <c r="C1087" s="61"/>
      <c r="D1087" s="61"/>
      <c r="E1087" s="61"/>
      <c r="F1087" s="61"/>
      <c r="G1087" s="61"/>
      <c r="H1087" s="61"/>
      <c r="I1087" s="61"/>
      <c r="J1087" s="61"/>
      <c r="K1087" s="61"/>
      <c r="L1087" s="61"/>
      <c r="M1087" s="61"/>
      <c r="N1087" s="61"/>
      <c r="O1087" s="61"/>
      <c r="P1087" s="61"/>
      <c r="Q1087" s="61"/>
      <c r="R1087" s="61"/>
      <c r="S1087" s="61"/>
      <c r="T1087" s="35"/>
      <c r="U1087" s="187"/>
      <c r="V1087" s="190"/>
      <c r="W1087" s="190"/>
      <c r="X1087" s="190"/>
      <c r="Y1087" s="190"/>
      <c r="Z1087" s="190"/>
      <c r="AA1087" s="191"/>
      <c r="AB1087" s="190"/>
      <c r="AC1087" s="190"/>
      <c r="AD1087" s="190"/>
      <c r="AE1087" s="190"/>
      <c r="AF1087" s="190"/>
      <c r="AG1087" s="190"/>
      <c r="AH1087" s="191"/>
      <c r="AI1087" s="190"/>
      <c r="AJ1087" s="190"/>
      <c r="AK1087" s="190"/>
      <c r="AL1087" s="190"/>
      <c r="AM1087" s="190"/>
      <c r="AN1087" s="191"/>
      <c r="AO1087" s="190"/>
      <c r="AP1087" s="190"/>
      <c r="AQ1087" s="190"/>
      <c r="AR1087" s="190"/>
      <c r="AS1087" s="190"/>
      <c r="AT1087" s="191"/>
      <c r="AU1087" s="190"/>
      <c r="AV1087" s="190"/>
      <c r="AW1087" s="190"/>
      <c r="AX1087" s="190"/>
      <c r="AY1087" s="190"/>
      <c r="AZ1087" s="191"/>
      <c r="BA1087" s="183"/>
      <c r="BB1087" s="183"/>
      <c r="BC1087" s="183"/>
      <c r="BD1087" s="183"/>
      <c r="BE1087" s="183"/>
      <c r="BF1087" s="184"/>
      <c r="BG1087" s="183"/>
      <c r="BH1087" s="183"/>
      <c r="BI1087" s="183"/>
      <c r="BJ1087" s="183"/>
      <c r="BK1087" s="183"/>
      <c r="BL1087" s="184"/>
      <c r="BM1087" s="409"/>
      <c r="BN1087" s="409"/>
    </row>
    <row r="1088" spans="1:66" s="153" customFormat="1" x14ac:dyDescent="0.2">
      <c r="A1088" s="61"/>
      <c r="B1088" s="61"/>
      <c r="C1088" s="61"/>
      <c r="D1088" s="61"/>
      <c r="E1088" s="61"/>
      <c r="F1088" s="61"/>
      <c r="G1088" s="61"/>
      <c r="H1088" s="61"/>
      <c r="I1088" s="61"/>
      <c r="J1088" s="61"/>
      <c r="K1088" s="61"/>
      <c r="L1088" s="61"/>
      <c r="M1088" s="61"/>
      <c r="N1088" s="61"/>
      <c r="O1088" s="61"/>
      <c r="P1088" s="61"/>
      <c r="Q1088" s="61"/>
      <c r="R1088" s="61"/>
      <c r="S1088" s="61"/>
      <c r="T1088" s="35"/>
      <c r="U1088" s="187"/>
      <c r="V1088" s="190"/>
      <c r="W1088" s="190"/>
      <c r="X1088" s="190"/>
      <c r="Y1088" s="190"/>
      <c r="Z1088" s="190"/>
      <c r="AA1088" s="191"/>
      <c r="AB1088" s="190"/>
      <c r="AC1088" s="190"/>
      <c r="AD1088" s="190"/>
      <c r="AE1088" s="190"/>
      <c r="AF1088" s="190"/>
      <c r="AG1088" s="190"/>
      <c r="AH1088" s="191"/>
      <c r="AI1088" s="190"/>
      <c r="AJ1088" s="190"/>
      <c r="AK1088" s="190"/>
      <c r="AL1088" s="190"/>
      <c r="AM1088" s="190"/>
      <c r="AN1088" s="191"/>
      <c r="AO1088" s="190"/>
      <c r="AP1088" s="190"/>
      <c r="AQ1088" s="190"/>
      <c r="AR1088" s="190"/>
      <c r="AS1088" s="190"/>
      <c r="AT1088" s="191"/>
      <c r="AU1088" s="190"/>
      <c r="AV1088" s="190"/>
      <c r="AW1088" s="190"/>
      <c r="AX1088" s="190"/>
      <c r="AY1088" s="190"/>
      <c r="AZ1088" s="191"/>
      <c r="BA1088" s="183"/>
      <c r="BB1088" s="183"/>
      <c r="BC1088" s="183"/>
      <c r="BD1088" s="183"/>
      <c r="BE1088" s="183"/>
      <c r="BF1088" s="184"/>
      <c r="BG1088" s="183"/>
      <c r="BH1088" s="183"/>
      <c r="BI1088" s="183"/>
      <c r="BJ1088" s="183"/>
      <c r="BK1088" s="183"/>
      <c r="BL1088" s="184"/>
      <c r="BM1088" s="409"/>
      <c r="BN1088" s="409"/>
    </row>
    <row r="1089" spans="1:66" s="153" customFormat="1" x14ac:dyDescent="0.2">
      <c r="A1089" s="61"/>
      <c r="B1089" s="61"/>
      <c r="C1089" s="61"/>
      <c r="D1089" s="61"/>
      <c r="E1089" s="61"/>
      <c r="F1089" s="61"/>
      <c r="G1089" s="61"/>
      <c r="H1089" s="61"/>
      <c r="I1089" s="61"/>
      <c r="J1089" s="61"/>
      <c r="K1089" s="61"/>
      <c r="L1089" s="61"/>
      <c r="M1089" s="61"/>
      <c r="N1089" s="61"/>
      <c r="O1089" s="61"/>
      <c r="P1089" s="61"/>
      <c r="Q1089" s="61"/>
      <c r="R1089" s="61"/>
      <c r="S1089" s="61"/>
      <c r="T1089" s="35"/>
      <c r="U1089" s="187"/>
      <c r="V1089" s="190"/>
      <c r="W1089" s="190"/>
      <c r="X1089" s="190"/>
      <c r="Y1089" s="190"/>
      <c r="Z1089" s="190"/>
      <c r="AA1089" s="191"/>
      <c r="AB1089" s="190"/>
      <c r="AC1089" s="190"/>
      <c r="AD1089" s="190"/>
      <c r="AE1089" s="190"/>
      <c r="AF1089" s="190"/>
      <c r="AG1089" s="190"/>
      <c r="AH1089" s="191"/>
      <c r="AI1089" s="190"/>
      <c r="AJ1089" s="190"/>
      <c r="AK1089" s="190"/>
      <c r="AL1089" s="190"/>
      <c r="AM1089" s="190"/>
      <c r="AN1089" s="191"/>
      <c r="AO1089" s="190"/>
      <c r="AP1089" s="190"/>
      <c r="AQ1089" s="190"/>
      <c r="AR1089" s="190"/>
      <c r="AS1089" s="190"/>
      <c r="AT1089" s="191"/>
      <c r="AU1089" s="190"/>
      <c r="AV1089" s="190"/>
      <c r="AW1089" s="190"/>
      <c r="AX1089" s="190"/>
      <c r="AY1089" s="190"/>
      <c r="AZ1089" s="191"/>
      <c r="BA1089" s="183"/>
      <c r="BB1089" s="183"/>
      <c r="BC1089" s="183"/>
      <c r="BD1089" s="183"/>
      <c r="BE1089" s="183"/>
      <c r="BF1089" s="184"/>
      <c r="BG1089" s="183"/>
      <c r="BH1089" s="183"/>
      <c r="BI1089" s="183"/>
      <c r="BJ1089" s="183"/>
      <c r="BK1089" s="183"/>
      <c r="BL1089" s="184"/>
      <c r="BM1089" s="409"/>
      <c r="BN1089" s="409"/>
    </row>
    <row r="1090" spans="1:66" s="153" customFormat="1" x14ac:dyDescent="0.2">
      <c r="A1090" s="61"/>
      <c r="B1090" s="61"/>
      <c r="C1090" s="61"/>
      <c r="D1090" s="61"/>
      <c r="E1090" s="61"/>
      <c r="F1090" s="61"/>
      <c r="G1090" s="61"/>
      <c r="H1090" s="61"/>
      <c r="I1090" s="61"/>
      <c r="J1090" s="61"/>
      <c r="K1090" s="61"/>
      <c r="L1090" s="61"/>
      <c r="M1090" s="61"/>
      <c r="N1090" s="61"/>
      <c r="O1090" s="61"/>
      <c r="P1090" s="61"/>
      <c r="Q1090" s="61"/>
      <c r="R1090" s="61"/>
      <c r="S1090" s="61"/>
      <c r="T1090" s="35"/>
      <c r="U1090" s="187"/>
      <c r="V1090" s="190"/>
      <c r="W1090" s="190"/>
      <c r="X1090" s="190"/>
      <c r="Y1090" s="190"/>
      <c r="Z1090" s="190"/>
      <c r="AA1090" s="191"/>
      <c r="AB1090" s="190"/>
      <c r="AC1090" s="190"/>
      <c r="AD1090" s="190"/>
      <c r="AE1090" s="190"/>
      <c r="AF1090" s="190"/>
      <c r="AG1090" s="190"/>
      <c r="AH1090" s="191"/>
      <c r="AI1090" s="190"/>
      <c r="AJ1090" s="190"/>
      <c r="AK1090" s="190"/>
      <c r="AL1090" s="190"/>
      <c r="AM1090" s="190"/>
      <c r="AN1090" s="191"/>
      <c r="AO1090" s="190"/>
      <c r="AP1090" s="190"/>
      <c r="AQ1090" s="190"/>
      <c r="AR1090" s="190"/>
      <c r="AS1090" s="190"/>
      <c r="AT1090" s="191"/>
      <c r="AU1090" s="190"/>
      <c r="AV1090" s="190"/>
      <c r="AW1090" s="190"/>
      <c r="AX1090" s="190"/>
      <c r="AY1090" s="190"/>
      <c r="AZ1090" s="191"/>
      <c r="BA1090" s="183"/>
      <c r="BB1090" s="183"/>
      <c r="BC1090" s="183"/>
      <c r="BD1090" s="183"/>
      <c r="BE1090" s="183"/>
      <c r="BF1090" s="184"/>
      <c r="BG1090" s="183"/>
      <c r="BH1090" s="183"/>
      <c r="BI1090" s="183"/>
      <c r="BJ1090" s="183"/>
      <c r="BK1090" s="183"/>
      <c r="BL1090" s="184"/>
      <c r="BM1090" s="409"/>
      <c r="BN1090" s="409"/>
    </row>
    <row r="1091" spans="1:66" s="153" customFormat="1" x14ac:dyDescent="0.2">
      <c r="A1091" s="61"/>
      <c r="B1091" s="61"/>
      <c r="C1091" s="61"/>
      <c r="D1091" s="61"/>
      <c r="E1091" s="61"/>
      <c r="F1091" s="61"/>
      <c r="G1091" s="61"/>
      <c r="H1091" s="61"/>
      <c r="I1091" s="61"/>
      <c r="J1091" s="61"/>
      <c r="K1091" s="61"/>
      <c r="L1091" s="61"/>
      <c r="M1091" s="61"/>
      <c r="N1091" s="61"/>
      <c r="O1091" s="61"/>
      <c r="P1091" s="61"/>
      <c r="Q1091" s="61"/>
      <c r="R1091" s="61"/>
      <c r="S1091" s="61"/>
      <c r="T1091" s="35"/>
      <c r="U1091" s="187"/>
      <c r="V1091" s="190"/>
      <c r="W1091" s="190"/>
      <c r="X1091" s="190"/>
      <c r="Y1091" s="190"/>
      <c r="Z1091" s="190"/>
      <c r="AA1091" s="191"/>
      <c r="AB1091" s="190"/>
      <c r="AC1091" s="190"/>
      <c r="AD1091" s="190"/>
      <c r="AE1091" s="190"/>
      <c r="AF1091" s="190"/>
      <c r="AG1091" s="190"/>
      <c r="AH1091" s="191"/>
      <c r="AI1091" s="190"/>
      <c r="AJ1091" s="190"/>
      <c r="AK1091" s="190"/>
      <c r="AL1091" s="190"/>
      <c r="AM1091" s="190"/>
      <c r="AN1091" s="191"/>
      <c r="AO1091" s="190"/>
      <c r="AP1091" s="190"/>
      <c r="AQ1091" s="190"/>
      <c r="AR1091" s="190"/>
      <c r="AS1091" s="190"/>
      <c r="AT1091" s="191"/>
      <c r="AU1091" s="190"/>
      <c r="AV1091" s="190"/>
      <c r="AW1091" s="190"/>
      <c r="AX1091" s="190"/>
      <c r="AY1091" s="190"/>
      <c r="AZ1091" s="191"/>
      <c r="BA1091" s="183"/>
      <c r="BB1091" s="183"/>
      <c r="BC1091" s="183"/>
      <c r="BD1091" s="183"/>
      <c r="BE1091" s="183"/>
      <c r="BF1091" s="184"/>
      <c r="BG1091" s="183"/>
      <c r="BH1091" s="183"/>
      <c r="BI1091" s="183"/>
      <c r="BJ1091" s="183"/>
      <c r="BK1091" s="183"/>
      <c r="BL1091" s="184"/>
      <c r="BM1091" s="409"/>
      <c r="BN1091" s="409"/>
    </row>
    <row r="1092" spans="1:66" s="153" customFormat="1" x14ac:dyDescent="0.2">
      <c r="A1092" s="61"/>
      <c r="B1092" s="61"/>
      <c r="C1092" s="61"/>
      <c r="D1092" s="61"/>
      <c r="E1092" s="61"/>
      <c r="F1092" s="61"/>
      <c r="G1092" s="61"/>
      <c r="H1092" s="61"/>
      <c r="I1092" s="61"/>
      <c r="J1092" s="61"/>
      <c r="K1092" s="61"/>
      <c r="L1092" s="61"/>
      <c r="M1092" s="61"/>
      <c r="N1092" s="61"/>
      <c r="O1092" s="61"/>
      <c r="P1092" s="61"/>
      <c r="Q1092" s="61"/>
      <c r="R1092" s="61"/>
      <c r="S1092" s="61"/>
      <c r="T1092" s="35"/>
      <c r="U1092" s="187"/>
      <c r="V1092" s="190"/>
      <c r="W1092" s="190"/>
      <c r="X1092" s="190"/>
      <c r="Y1092" s="190"/>
      <c r="Z1092" s="190"/>
      <c r="AA1092" s="191"/>
      <c r="AB1092" s="190"/>
      <c r="AC1092" s="190"/>
      <c r="AD1092" s="190"/>
      <c r="AE1092" s="190"/>
      <c r="AF1092" s="190"/>
      <c r="AG1092" s="190"/>
      <c r="AH1092" s="191"/>
      <c r="AI1092" s="190"/>
      <c r="AJ1092" s="190"/>
      <c r="AK1092" s="190"/>
      <c r="AL1092" s="190"/>
      <c r="AM1092" s="190"/>
      <c r="AN1092" s="191"/>
      <c r="AO1092" s="190"/>
      <c r="AP1092" s="190"/>
      <c r="AQ1092" s="190"/>
      <c r="AR1092" s="190"/>
      <c r="AS1092" s="190"/>
      <c r="AT1092" s="191"/>
      <c r="AU1092" s="190"/>
      <c r="AV1092" s="190"/>
      <c r="AW1092" s="190"/>
      <c r="AX1092" s="190"/>
      <c r="AY1092" s="190"/>
      <c r="AZ1092" s="191"/>
      <c r="BA1092" s="183"/>
      <c r="BB1092" s="183"/>
      <c r="BC1092" s="183"/>
      <c r="BD1092" s="183"/>
      <c r="BE1092" s="183"/>
      <c r="BF1092" s="184"/>
      <c r="BG1092" s="183"/>
      <c r="BH1092" s="183"/>
      <c r="BI1092" s="183"/>
      <c r="BJ1092" s="183"/>
      <c r="BK1092" s="183"/>
      <c r="BL1092" s="184"/>
      <c r="BM1092" s="409"/>
      <c r="BN1092" s="409"/>
    </row>
    <row r="1093" spans="1:66" s="153" customFormat="1" x14ac:dyDescent="0.2">
      <c r="A1093" s="61"/>
      <c r="B1093" s="61"/>
      <c r="C1093" s="61"/>
      <c r="D1093" s="61"/>
      <c r="E1093" s="61"/>
      <c r="F1093" s="61"/>
      <c r="G1093" s="61"/>
      <c r="H1093" s="61"/>
      <c r="I1093" s="61"/>
      <c r="J1093" s="61"/>
      <c r="K1093" s="61"/>
      <c r="L1093" s="61"/>
      <c r="M1093" s="61"/>
      <c r="N1093" s="61"/>
      <c r="O1093" s="61"/>
      <c r="P1093" s="61"/>
      <c r="Q1093" s="61"/>
      <c r="R1093" s="61"/>
      <c r="S1093" s="61"/>
      <c r="T1093" s="35"/>
      <c r="U1093" s="187"/>
      <c r="V1093" s="190"/>
      <c r="W1093" s="190"/>
      <c r="X1093" s="190"/>
      <c r="Y1093" s="190"/>
      <c r="Z1093" s="190"/>
      <c r="AA1093" s="191"/>
      <c r="AB1093" s="190"/>
      <c r="AC1093" s="190"/>
      <c r="AD1093" s="190"/>
      <c r="AE1093" s="190"/>
      <c r="AF1093" s="190"/>
      <c r="AG1093" s="190"/>
      <c r="AH1093" s="191"/>
      <c r="AI1093" s="190"/>
      <c r="AJ1093" s="190"/>
      <c r="AK1093" s="190"/>
      <c r="AL1093" s="190"/>
      <c r="AM1093" s="190"/>
      <c r="AN1093" s="191"/>
      <c r="AO1093" s="190"/>
      <c r="AP1093" s="190"/>
      <c r="AQ1093" s="190"/>
      <c r="AR1093" s="190"/>
      <c r="AS1093" s="190"/>
      <c r="AT1093" s="191"/>
      <c r="AU1093" s="190"/>
      <c r="AV1093" s="190"/>
      <c r="AW1093" s="190"/>
      <c r="AX1093" s="190"/>
      <c r="AY1093" s="190"/>
      <c r="AZ1093" s="191"/>
      <c r="BA1093" s="183"/>
      <c r="BB1093" s="183"/>
      <c r="BC1093" s="183"/>
      <c r="BD1093" s="183"/>
      <c r="BE1093" s="183"/>
      <c r="BF1093" s="184"/>
      <c r="BG1093" s="183"/>
      <c r="BH1093" s="183"/>
      <c r="BI1093" s="183"/>
      <c r="BJ1093" s="183"/>
      <c r="BK1093" s="183"/>
      <c r="BL1093" s="184"/>
      <c r="BM1093" s="409"/>
      <c r="BN1093" s="409"/>
    </row>
    <row r="1094" spans="1:66" s="153" customFormat="1" x14ac:dyDescent="0.2">
      <c r="A1094" s="61"/>
      <c r="B1094" s="61"/>
      <c r="C1094" s="61"/>
      <c r="D1094" s="61"/>
      <c r="E1094" s="61"/>
      <c r="F1094" s="61"/>
      <c r="G1094" s="61"/>
      <c r="H1094" s="61"/>
      <c r="I1094" s="61"/>
      <c r="J1094" s="61"/>
      <c r="K1094" s="61"/>
      <c r="L1094" s="61"/>
      <c r="M1094" s="61"/>
      <c r="N1094" s="61"/>
      <c r="O1094" s="61"/>
      <c r="P1094" s="61"/>
      <c r="Q1094" s="61"/>
      <c r="R1094" s="61"/>
      <c r="S1094" s="61"/>
      <c r="T1094" s="35"/>
      <c r="U1094" s="187"/>
      <c r="V1094" s="190"/>
      <c r="W1094" s="190"/>
      <c r="X1094" s="190"/>
      <c r="Y1094" s="190"/>
      <c r="Z1094" s="190"/>
      <c r="AA1094" s="191"/>
      <c r="AB1094" s="190"/>
      <c r="AC1094" s="190"/>
      <c r="AD1094" s="190"/>
      <c r="AE1094" s="190"/>
      <c r="AF1094" s="190"/>
      <c r="AG1094" s="190"/>
      <c r="AH1094" s="191"/>
      <c r="AI1094" s="190"/>
      <c r="AJ1094" s="190"/>
      <c r="AK1094" s="190"/>
      <c r="AL1094" s="190"/>
      <c r="AM1094" s="190"/>
      <c r="AN1094" s="191"/>
      <c r="AO1094" s="190"/>
      <c r="AP1094" s="190"/>
      <c r="AQ1094" s="190"/>
      <c r="AR1094" s="190"/>
      <c r="AS1094" s="190"/>
      <c r="AT1094" s="191"/>
      <c r="AU1094" s="190"/>
      <c r="AV1094" s="190"/>
      <c r="AW1094" s="190"/>
      <c r="AX1094" s="190"/>
      <c r="AY1094" s="190"/>
      <c r="AZ1094" s="191"/>
      <c r="BA1094" s="183"/>
      <c r="BB1094" s="183"/>
      <c r="BC1094" s="183"/>
      <c r="BD1094" s="183"/>
      <c r="BE1094" s="183"/>
      <c r="BF1094" s="184"/>
      <c r="BG1094" s="183"/>
      <c r="BH1094" s="183"/>
      <c r="BI1094" s="183"/>
      <c r="BJ1094" s="183"/>
      <c r="BK1094" s="183"/>
      <c r="BL1094" s="184"/>
      <c r="BM1094" s="409"/>
      <c r="BN1094" s="409"/>
    </row>
    <row r="1095" spans="1:66" s="153" customFormat="1" x14ac:dyDescent="0.2">
      <c r="A1095" s="61"/>
      <c r="B1095" s="61"/>
      <c r="C1095" s="61"/>
      <c r="D1095" s="61"/>
      <c r="E1095" s="61"/>
      <c r="F1095" s="61"/>
      <c r="G1095" s="61"/>
      <c r="H1095" s="61"/>
      <c r="I1095" s="61"/>
      <c r="J1095" s="61"/>
      <c r="K1095" s="61"/>
      <c r="L1095" s="61"/>
      <c r="M1095" s="61"/>
      <c r="N1095" s="61"/>
      <c r="O1095" s="61"/>
      <c r="P1095" s="61"/>
      <c r="Q1095" s="61"/>
      <c r="R1095" s="61"/>
      <c r="S1095" s="61"/>
      <c r="T1095" s="35"/>
      <c r="U1095" s="187"/>
      <c r="V1095" s="190"/>
      <c r="W1095" s="190"/>
      <c r="X1095" s="190"/>
      <c r="Y1095" s="190"/>
      <c r="Z1095" s="190"/>
      <c r="AA1095" s="191"/>
      <c r="AB1095" s="190"/>
      <c r="AC1095" s="190"/>
      <c r="AD1095" s="190"/>
      <c r="AE1095" s="190"/>
      <c r="AF1095" s="190"/>
      <c r="AG1095" s="190"/>
      <c r="AH1095" s="191"/>
      <c r="AI1095" s="190"/>
      <c r="AJ1095" s="190"/>
      <c r="AK1095" s="190"/>
      <c r="AL1095" s="190"/>
      <c r="AM1095" s="190"/>
      <c r="AN1095" s="191"/>
      <c r="AO1095" s="190"/>
      <c r="AP1095" s="190"/>
      <c r="AQ1095" s="190"/>
      <c r="AR1095" s="190"/>
      <c r="AS1095" s="190"/>
      <c r="AT1095" s="191"/>
      <c r="AU1095" s="190"/>
      <c r="AV1095" s="190"/>
      <c r="AW1095" s="190"/>
      <c r="AX1095" s="190"/>
      <c r="AY1095" s="190"/>
      <c r="AZ1095" s="191"/>
      <c r="BA1095" s="183"/>
      <c r="BB1095" s="183"/>
      <c r="BC1095" s="183"/>
      <c r="BD1095" s="183"/>
      <c r="BE1095" s="183"/>
      <c r="BF1095" s="184"/>
      <c r="BG1095" s="183"/>
      <c r="BH1095" s="183"/>
      <c r="BI1095" s="183"/>
      <c r="BJ1095" s="183"/>
      <c r="BK1095" s="183"/>
      <c r="BL1095" s="184"/>
      <c r="BM1095" s="409"/>
      <c r="BN1095" s="409"/>
    </row>
    <row r="1096" spans="1:66" s="153" customFormat="1" x14ac:dyDescent="0.2">
      <c r="A1096" s="61"/>
      <c r="B1096" s="61"/>
      <c r="C1096" s="61"/>
      <c r="D1096" s="61"/>
      <c r="E1096" s="61"/>
      <c r="F1096" s="61"/>
      <c r="G1096" s="61"/>
      <c r="H1096" s="61"/>
      <c r="I1096" s="61"/>
      <c r="J1096" s="61"/>
      <c r="K1096" s="61"/>
      <c r="L1096" s="61"/>
      <c r="M1096" s="61"/>
      <c r="N1096" s="61"/>
      <c r="O1096" s="61"/>
      <c r="P1096" s="61"/>
      <c r="Q1096" s="61"/>
      <c r="R1096" s="61"/>
      <c r="S1096" s="61"/>
      <c r="T1096" s="35"/>
      <c r="U1096" s="187"/>
      <c r="V1096" s="190"/>
      <c r="W1096" s="190"/>
      <c r="X1096" s="190"/>
      <c r="Y1096" s="190"/>
      <c r="Z1096" s="190"/>
      <c r="AA1096" s="191"/>
      <c r="AB1096" s="190"/>
      <c r="AC1096" s="190"/>
      <c r="AD1096" s="190"/>
      <c r="AE1096" s="190"/>
      <c r="AF1096" s="190"/>
      <c r="AG1096" s="190"/>
      <c r="AH1096" s="191"/>
      <c r="AI1096" s="190"/>
      <c r="AJ1096" s="190"/>
      <c r="AK1096" s="190"/>
      <c r="AL1096" s="190"/>
      <c r="AM1096" s="190"/>
      <c r="AN1096" s="191"/>
      <c r="AO1096" s="190"/>
      <c r="AP1096" s="190"/>
      <c r="AQ1096" s="190"/>
      <c r="AR1096" s="190"/>
      <c r="AS1096" s="190"/>
      <c r="AT1096" s="191"/>
      <c r="AU1096" s="190"/>
      <c r="AV1096" s="190"/>
      <c r="AW1096" s="190"/>
      <c r="AX1096" s="190"/>
      <c r="AY1096" s="190"/>
      <c r="AZ1096" s="191"/>
      <c r="BA1096" s="183"/>
      <c r="BB1096" s="183"/>
      <c r="BC1096" s="183"/>
      <c r="BD1096" s="183"/>
      <c r="BE1096" s="183"/>
      <c r="BF1096" s="184"/>
      <c r="BG1096" s="183"/>
      <c r="BH1096" s="183"/>
      <c r="BI1096" s="183"/>
      <c r="BJ1096" s="183"/>
      <c r="BK1096" s="183"/>
      <c r="BL1096" s="184"/>
      <c r="BM1096" s="409"/>
      <c r="BN1096" s="409"/>
    </row>
    <row r="1097" spans="1:66" s="153" customFormat="1" x14ac:dyDescent="0.2">
      <c r="A1097" s="61"/>
      <c r="B1097" s="61"/>
      <c r="C1097" s="61"/>
      <c r="D1097" s="61"/>
      <c r="E1097" s="61"/>
      <c r="F1097" s="61"/>
      <c r="G1097" s="61"/>
      <c r="H1097" s="61"/>
      <c r="I1097" s="61"/>
      <c r="J1097" s="61"/>
      <c r="K1097" s="61"/>
      <c r="L1097" s="61"/>
      <c r="M1097" s="61"/>
      <c r="N1097" s="61"/>
      <c r="O1097" s="61"/>
      <c r="P1097" s="61"/>
      <c r="Q1097" s="61"/>
      <c r="R1097" s="61"/>
      <c r="S1097" s="61"/>
      <c r="T1097" s="35"/>
      <c r="U1097" s="187"/>
      <c r="V1097" s="190"/>
      <c r="W1097" s="190"/>
      <c r="X1097" s="190"/>
      <c r="Y1097" s="190"/>
      <c r="Z1097" s="190"/>
      <c r="AA1097" s="191"/>
      <c r="AB1097" s="190"/>
      <c r="AC1097" s="190"/>
      <c r="AD1097" s="190"/>
      <c r="AE1097" s="190"/>
      <c r="AF1097" s="190"/>
      <c r="AG1097" s="190"/>
      <c r="AH1097" s="191"/>
      <c r="AI1097" s="190"/>
      <c r="AJ1097" s="190"/>
      <c r="AK1097" s="190"/>
      <c r="AL1097" s="190"/>
      <c r="AM1097" s="190"/>
      <c r="AN1097" s="191"/>
      <c r="AO1097" s="190"/>
      <c r="AP1097" s="190"/>
      <c r="AQ1097" s="190"/>
      <c r="AR1097" s="190"/>
      <c r="AS1097" s="190"/>
      <c r="AT1097" s="191"/>
      <c r="AU1097" s="190"/>
      <c r="AV1097" s="190"/>
      <c r="AW1097" s="190"/>
      <c r="AX1097" s="190"/>
      <c r="AY1097" s="190"/>
      <c r="AZ1097" s="191"/>
      <c r="BA1097" s="183"/>
      <c r="BB1097" s="183"/>
      <c r="BC1097" s="183"/>
      <c r="BD1097" s="183"/>
      <c r="BE1097" s="183"/>
      <c r="BF1097" s="184"/>
      <c r="BG1097" s="183"/>
      <c r="BH1097" s="183"/>
      <c r="BI1097" s="183"/>
      <c r="BJ1097" s="183"/>
      <c r="BK1097" s="183"/>
      <c r="BL1097" s="184"/>
      <c r="BM1097" s="409"/>
      <c r="BN1097" s="409"/>
    </row>
    <row r="1098" spans="1:66" s="153" customFormat="1" x14ac:dyDescent="0.2">
      <c r="A1098" s="61"/>
      <c r="B1098" s="61"/>
      <c r="C1098" s="61"/>
      <c r="D1098" s="61"/>
      <c r="E1098" s="61"/>
      <c r="F1098" s="61"/>
      <c r="G1098" s="61"/>
      <c r="H1098" s="61"/>
      <c r="I1098" s="61"/>
      <c r="J1098" s="61"/>
      <c r="K1098" s="61"/>
      <c r="L1098" s="61"/>
      <c r="M1098" s="61"/>
      <c r="N1098" s="61"/>
      <c r="O1098" s="61"/>
      <c r="P1098" s="61"/>
      <c r="Q1098" s="61"/>
      <c r="R1098" s="61"/>
      <c r="S1098" s="61"/>
      <c r="T1098" s="35"/>
      <c r="U1098" s="187"/>
      <c r="V1098" s="190"/>
      <c r="W1098" s="190"/>
      <c r="X1098" s="190"/>
      <c r="Y1098" s="190"/>
      <c r="Z1098" s="190"/>
      <c r="AA1098" s="191"/>
      <c r="AB1098" s="190"/>
      <c r="AC1098" s="190"/>
      <c r="AD1098" s="190"/>
      <c r="AE1098" s="190"/>
      <c r="AF1098" s="190"/>
      <c r="AG1098" s="190"/>
      <c r="AH1098" s="191"/>
      <c r="AI1098" s="190"/>
      <c r="AJ1098" s="190"/>
      <c r="AK1098" s="190"/>
      <c r="AL1098" s="190"/>
      <c r="AM1098" s="190"/>
      <c r="AN1098" s="191"/>
      <c r="AO1098" s="190"/>
      <c r="AP1098" s="190"/>
      <c r="AQ1098" s="190"/>
      <c r="AR1098" s="190"/>
      <c r="AS1098" s="190"/>
      <c r="AT1098" s="191"/>
      <c r="AU1098" s="190"/>
      <c r="AV1098" s="190"/>
      <c r="AW1098" s="190"/>
      <c r="AX1098" s="190"/>
      <c r="AY1098" s="190"/>
      <c r="AZ1098" s="191"/>
      <c r="BA1098" s="183"/>
      <c r="BB1098" s="183"/>
      <c r="BC1098" s="183"/>
      <c r="BD1098" s="183"/>
      <c r="BE1098" s="183"/>
      <c r="BF1098" s="184"/>
      <c r="BG1098" s="183"/>
      <c r="BH1098" s="183"/>
      <c r="BI1098" s="183"/>
      <c r="BJ1098" s="183"/>
      <c r="BK1098" s="183"/>
      <c r="BL1098" s="184"/>
      <c r="BM1098" s="409"/>
      <c r="BN1098" s="409"/>
    </row>
    <row r="1099" spans="1:66" s="153" customFormat="1" x14ac:dyDescent="0.2">
      <c r="A1099" s="61"/>
      <c r="B1099" s="61"/>
      <c r="C1099" s="61"/>
      <c r="D1099" s="61"/>
      <c r="E1099" s="61"/>
      <c r="F1099" s="61"/>
      <c r="G1099" s="61"/>
      <c r="H1099" s="61"/>
      <c r="I1099" s="61"/>
      <c r="J1099" s="61"/>
      <c r="K1099" s="61"/>
      <c r="L1099" s="61"/>
      <c r="M1099" s="61"/>
      <c r="N1099" s="61"/>
      <c r="O1099" s="61"/>
      <c r="P1099" s="61"/>
      <c r="Q1099" s="61"/>
      <c r="R1099" s="61"/>
      <c r="S1099" s="61"/>
      <c r="T1099" s="35"/>
      <c r="U1099" s="187"/>
      <c r="V1099" s="190"/>
      <c r="W1099" s="190"/>
      <c r="X1099" s="190"/>
      <c r="Y1099" s="190"/>
      <c r="Z1099" s="190"/>
      <c r="AA1099" s="191"/>
      <c r="AB1099" s="190"/>
      <c r="AC1099" s="190"/>
      <c r="AD1099" s="190"/>
      <c r="AE1099" s="190"/>
      <c r="AF1099" s="190"/>
      <c r="AG1099" s="190"/>
      <c r="AH1099" s="191"/>
      <c r="AI1099" s="190"/>
      <c r="AJ1099" s="190"/>
      <c r="AK1099" s="190"/>
      <c r="AL1099" s="190"/>
      <c r="AM1099" s="190"/>
      <c r="AN1099" s="191"/>
      <c r="AO1099" s="190"/>
      <c r="AP1099" s="190"/>
      <c r="AQ1099" s="190"/>
      <c r="AR1099" s="190"/>
      <c r="AS1099" s="190"/>
      <c r="AT1099" s="191"/>
      <c r="AU1099" s="190"/>
      <c r="AV1099" s="190"/>
      <c r="AW1099" s="190"/>
      <c r="AX1099" s="190"/>
      <c r="AY1099" s="190"/>
      <c r="AZ1099" s="191"/>
      <c r="BA1099" s="183"/>
      <c r="BB1099" s="183"/>
      <c r="BC1099" s="183"/>
      <c r="BD1099" s="183"/>
      <c r="BE1099" s="183"/>
      <c r="BF1099" s="184"/>
      <c r="BG1099" s="183"/>
      <c r="BH1099" s="183"/>
      <c r="BI1099" s="183"/>
      <c r="BJ1099" s="183"/>
      <c r="BK1099" s="183"/>
      <c r="BL1099" s="184"/>
      <c r="BM1099" s="409"/>
      <c r="BN1099" s="409"/>
    </row>
    <row r="1100" spans="1:66" s="153" customFormat="1" x14ac:dyDescent="0.2">
      <c r="A1100" s="61"/>
      <c r="B1100" s="61"/>
      <c r="C1100" s="61"/>
      <c r="D1100" s="61"/>
      <c r="E1100" s="61"/>
      <c r="F1100" s="61"/>
      <c r="G1100" s="61"/>
      <c r="H1100" s="61"/>
      <c r="I1100" s="61"/>
      <c r="J1100" s="61"/>
      <c r="K1100" s="61"/>
      <c r="L1100" s="61"/>
      <c r="M1100" s="61"/>
      <c r="N1100" s="61"/>
      <c r="O1100" s="61"/>
      <c r="P1100" s="61"/>
      <c r="Q1100" s="61"/>
      <c r="R1100" s="61"/>
      <c r="S1100" s="61"/>
      <c r="T1100" s="35"/>
      <c r="U1100" s="187"/>
      <c r="V1100" s="190"/>
      <c r="W1100" s="190"/>
      <c r="X1100" s="190"/>
      <c r="Y1100" s="190"/>
      <c r="Z1100" s="190"/>
      <c r="AA1100" s="191"/>
      <c r="AB1100" s="190"/>
      <c r="AC1100" s="190"/>
      <c r="AD1100" s="190"/>
      <c r="AE1100" s="190"/>
      <c r="AF1100" s="190"/>
      <c r="AG1100" s="190"/>
      <c r="AH1100" s="191"/>
      <c r="AI1100" s="190"/>
      <c r="AJ1100" s="190"/>
      <c r="AK1100" s="190"/>
      <c r="AL1100" s="190"/>
      <c r="AM1100" s="190"/>
      <c r="AN1100" s="191"/>
      <c r="AO1100" s="190"/>
      <c r="AP1100" s="190"/>
      <c r="AQ1100" s="190"/>
      <c r="AR1100" s="190"/>
      <c r="AS1100" s="190"/>
      <c r="AT1100" s="191"/>
      <c r="AU1100" s="190"/>
      <c r="AV1100" s="190"/>
      <c r="AW1100" s="190"/>
      <c r="AX1100" s="190"/>
      <c r="AY1100" s="190"/>
      <c r="AZ1100" s="191"/>
      <c r="BA1100" s="183"/>
      <c r="BB1100" s="183"/>
      <c r="BC1100" s="183"/>
      <c r="BD1100" s="183"/>
      <c r="BE1100" s="183"/>
      <c r="BF1100" s="184"/>
      <c r="BG1100" s="183"/>
      <c r="BH1100" s="183"/>
      <c r="BI1100" s="183"/>
      <c r="BJ1100" s="183"/>
      <c r="BK1100" s="183"/>
      <c r="BL1100" s="184"/>
      <c r="BM1100" s="409"/>
      <c r="BN1100" s="409"/>
    </row>
    <row r="1101" spans="1:66" s="153" customFormat="1" x14ac:dyDescent="0.2">
      <c r="A1101" s="61"/>
      <c r="B1101" s="61"/>
      <c r="C1101" s="61"/>
      <c r="D1101" s="61"/>
      <c r="E1101" s="61"/>
      <c r="F1101" s="61"/>
      <c r="G1101" s="61"/>
      <c r="H1101" s="61"/>
      <c r="I1101" s="61"/>
      <c r="J1101" s="61"/>
      <c r="K1101" s="61"/>
      <c r="L1101" s="61"/>
      <c r="M1101" s="61"/>
      <c r="N1101" s="61"/>
      <c r="O1101" s="61"/>
      <c r="P1101" s="61"/>
      <c r="Q1101" s="61"/>
      <c r="R1101" s="61"/>
      <c r="S1101" s="61"/>
      <c r="T1101" s="35"/>
      <c r="U1101" s="187"/>
      <c r="V1101" s="190"/>
      <c r="W1101" s="190"/>
      <c r="X1101" s="190"/>
      <c r="Y1101" s="190"/>
      <c r="Z1101" s="190"/>
      <c r="AA1101" s="191"/>
      <c r="AB1101" s="190"/>
      <c r="AC1101" s="190"/>
      <c r="AD1101" s="190"/>
      <c r="AE1101" s="190"/>
      <c r="AF1101" s="190"/>
      <c r="AG1101" s="190"/>
      <c r="AH1101" s="191"/>
      <c r="AI1101" s="190"/>
      <c r="AJ1101" s="190"/>
      <c r="AK1101" s="190"/>
      <c r="AL1101" s="190"/>
      <c r="AM1101" s="190"/>
      <c r="AN1101" s="191"/>
      <c r="AO1101" s="190"/>
      <c r="AP1101" s="190"/>
      <c r="AQ1101" s="190"/>
      <c r="AR1101" s="190"/>
      <c r="AS1101" s="190"/>
      <c r="AT1101" s="191"/>
      <c r="AU1101" s="190"/>
      <c r="AV1101" s="190"/>
      <c r="AW1101" s="190"/>
      <c r="AX1101" s="190"/>
      <c r="AY1101" s="190"/>
      <c r="AZ1101" s="191"/>
      <c r="BA1101" s="183"/>
      <c r="BB1101" s="183"/>
      <c r="BC1101" s="183"/>
      <c r="BD1101" s="183"/>
      <c r="BE1101" s="183"/>
      <c r="BF1101" s="184"/>
      <c r="BG1101" s="183"/>
      <c r="BH1101" s="183"/>
      <c r="BI1101" s="183"/>
      <c r="BJ1101" s="183"/>
      <c r="BK1101" s="183"/>
      <c r="BL1101" s="184"/>
      <c r="BM1101" s="409"/>
      <c r="BN1101" s="409"/>
    </row>
    <row r="1102" spans="1:66" s="153" customFormat="1" x14ac:dyDescent="0.2">
      <c r="A1102" s="61"/>
      <c r="B1102" s="61"/>
      <c r="C1102" s="61"/>
      <c r="D1102" s="61"/>
      <c r="E1102" s="61"/>
      <c r="F1102" s="61"/>
      <c r="G1102" s="61"/>
      <c r="H1102" s="61"/>
      <c r="I1102" s="61"/>
      <c r="J1102" s="61"/>
      <c r="K1102" s="61"/>
      <c r="L1102" s="61"/>
      <c r="M1102" s="61"/>
      <c r="N1102" s="61"/>
      <c r="O1102" s="61"/>
      <c r="P1102" s="61"/>
      <c r="Q1102" s="61"/>
      <c r="R1102" s="61"/>
      <c r="S1102" s="61"/>
      <c r="T1102" s="35"/>
      <c r="U1102" s="187"/>
      <c r="V1102" s="190"/>
      <c r="W1102" s="190"/>
      <c r="X1102" s="190"/>
      <c r="Y1102" s="190"/>
      <c r="Z1102" s="190"/>
      <c r="AA1102" s="191"/>
      <c r="AB1102" s="190"/>
      <c r="AC1102" s="190"/>
      <c r="AD1102" s="190"/>
      <c r="AE1102" s="190"/>
      <c r="AF1102" s="190"/>
      <c r="AG1102" s="190"/>
      <c r="AH1102" s="191"/>
      <c r="AI1102" s="190"/>
      <c r="AJ1102" s="190"/>
      <c r="AK1102" s="190"/>
      <c r="AL1102" s="190"/>
      <c r="AM1102" s="190"/>
      <c r="AN1102" s="191"/>
      <c r="AO1102" s="190"/>
      <c r="AP1102" s="190"/>
      <c r="AQ1102" s="190"/>
      <c r="AR1102" s="190"/>
      <c r="AS1102" s="190"/>
      <c r="AT1102" s="191"/>
      <c r="AU1102" s="190"/>
      <c r="AV1102" s="190"/>
      <c r="AW1102" s="190"/>
      <c r="AX1102" s="190"/>
      <c r="AY1102" s="190"/>
      <c r="AZ1102" s="191"/>
      <c r="BA1102" s="183"/>
      <c r="BB1102" s="183"/>
      <c r="BC1102" s="183"/>
      <c r="BD1102" s="183"/>
      <c r="BE1102" s="183"/>
      <c r="BF1102" s="184"/>
      <c r="BG1102" s="183"/>
      <c r="BH1102" s="183"/>
      <c r="BI1102" s="183"/>
      <c r="BJ1102" s="183"/>
      <c r="BK1102" s="183"/>
      <c r="BL1102" s="184"/>
      <c r="BM1102" s="409"/>
      <c r="BN1102" s="409"/>
    </row>
    <row r="1103" spans="1:66" s="153" customFormat="1" x14ac:dyDescent="0.2">
      <c r="A1103" s="61"/>
      <c r="B1103" s="61"/>
      <c r="C1103" s="61"/>
      <c r="D1103" s="61"/>
      <c r="E1103" s="61"/>
      <c r="F1103" s="61"/>
      <c r="G1103" s="61"/>
      <c r="H1103" s="61"/>
      <c r="I1103" s="61"/>
      <c r="J1103" s="61"/>
      <c r="K1103" s="61"/>
      <c r="L1103" s="61"/>
      <c r="M1103" s="61"/>
      <c r="N1103" s="61"/>
      <c r="O1103" s="61"/>
      <c r="P1103" s="61"/>
      <c r="Q1103" s="61"/>
      <c r="R1103" s="61"/>
      <c r="S1103" s="61"/>
      <c r="T1103" s="35"/>
      <c r="U1103" s="187"/>
      <c r="V1103" s="190"/>
      <c r="W1103" s="190"/>
      <c r="X1103" s="190"/>
      <c r="Y1103" s="190"/>
      <c r="Z1103" s="190"/>
      <c r="AA1103" s="191"/>
      <c r="AB1103" s="190"/>
      <c r="AC1103" s="190"/>
      <c r="AD1103" s="190"/>
      <c r="AE1103" s="190"/>
      <c r="AF1103" s="190"/>
      <c r="AG1103" s="190"/>
      <c r="AH1103" s="191"/>
      <c r="AI1103" s="190"/>
      <c r="AJ1103" s="190"/>
      <c r="AK1103" s="190"/>
      <c r="AL1103" s="190"/>
      <c r="AM1103" s="190"/>
      <c r="AN1103" s="191"/>
      <c r="AO1103" s="190"/>
      <c r="AP1103" s="190"/>
      <c r="AQ1103" s="190"/>
      <c r="AR1103" s="190"/>
      <c r="AS1103" s="190"/>
      <c r="AT1103" s="191"/>
      <c r="AU1103" s="190"/>
      <c r="AV1103" s="190"/>
      <c r="AW1103" s="190"/>
      <c r="AX1103" s="190"/>
      <c r="AY1103" s="190"/>
      <c r="AZ1103" s="191"/>
      <c r="BA1103" s="183"/>
      <c r="BB1103" s="183"/>
      <c r="BC1103" s="183"/>
      <c r="BD1103" s="183"/>
      <c r="BE1103" s="183"/>
      <c r="BF1103" s="184"/>
      <c r="BG1103" s="183"/>
      <c r="BH1103" s="183"/>
      <c r="BI1103" s="183"/>
      <c r="BJ1103" s="183"/>
      <c r="BK1103" s="183"/>
      <c r="BL1103" s="184"/>
      <c r="BM1103" s="409"/>
      <c r="BN1103" s="409"/>
    </row>
    <row r="1104" spans="1:66" s="153" customFormat="1" x14ac:dyDescent="0.2">
      <c r="A1104" s="61"/>
      <c r="B1104" s="61"/>
      <c r="C1104" s="61"/>
      <c r="D1104" s="61"/>
      <c r="E1104" s="61"/>
      <c r="F1104" s="61"/>
      <c r="G1104" s="61"/>
      <c r="H1104" s="61"/>
      <c r="I1104" s="61"/>
      <c r="J1104" s="61"/>
      <c r="K1104" s="61"/>
      <c r="L1104" s="61"/>
      <c r="M1104" s="61"/>
      <c r="N1104" s="61"/>
      <c r="O1104" s="61"/>
      <c r="P1104" s="61"/>
      <c r="Q1104" s="61"/>
      <c r="R1104" s="61"/>
      <c r="S1104" s="61"/>
      <c r="T1104" s="35"/>
      <c r="U1104" s="187"/>
      <c r="V1104" s="190"/>
      <c r="W1104" s="190"/>
      <c r="X1104" s="190"/>
      <c r="Y1104" s="190"/>
      <c r="Z1104" s="190"/>
      <c r="AA1104" s="191"/>
      <c r="AB1104" s="190"/>
      <c r="AC1104" s="190"/>
      <c r="AD1104" s="190"/>
      <c r="AE1104" s="190"/>
      <c r="AF1104" s="190"/>
      <c r="AG1104" s="190"/>
      <c r="AH1104" s="191"/>
      <c r="AI1104" s="190"/>
      <c r="AJ1104" s="190"/>
      <c r="AK1104" s="190"/>
      <c r="AL1104" s="190"/>
      <c r="AM1104" s="190"/>
      <c r="AN1104" s="191"/>
      <c r="AO1104" s="190"/>
      <c r="AP1104" s="190"/>
      <c r="AQ1104" s="190"/>
      <c r="AR1104" s="190"/>
      <c r="AS1104" s="190"/>
      <c r="AT1104" s="191"/>
      <c r="AU1104" s="190"/>
      <c r="AV1104" s="190"/>
      <c r="AW1104" s="190"/>
      <c r="AX1104" s="190"/>
      <c r="AY1104" s="190"/>
      <c r="AZ1104" s="191"/>
      <c r="BA1104" s="183"/>
      <c r="BB1104" s="183"/>
      <c r="BC1104" s="183"/>
      <c r="BD1104" s="183"/>
      <c r="BE1104" s="183"/>
      <c r="BF1104" s="184"/>
      <c r="BG1104" s="183"/>
      <c r="BH1104" s="183"/>
      <c r="BI1104" s="183"/>
      <c r="BJ1104" s="183"/>
      <c r="BK1104" s="183"/>
      <c r="BL1104" s="184"/>
      <c r="BM1104" s="409"/>
      <c r="BN1104" s="409"/>
    </row>
    <row r="1105" spans="1:66" s="153" customFormat="1" x14ac:dyDescent="0.2">
      <c r="A1105" s="61"/>
      <c r="B1105" s="61"/>
      <c r="C1105" s="61"/>
      <c r="D1105" s="61"/>
      <c r="E1105" s="61"/>
      <c r="F1105" s="61"/>
      <c r="G1105" s="61"/>
      <c r="H1105" s="61"/>
      <c r="I1105" s="61"/>
      <c r="J1105" s="61"/>
      <c r="K1105" s="61"/>
      <c r="L1105" s="61"/>
      <c r="M1105" s="61"/>
      <c r="N1105" s="61"/>
      <c r="O1105" s="61"/>
      <c r="P1105" s="61"/>
      <c r="Q1105" s="61"/>
      <c r="R1105" s="61"/>
      <c r="S1105" s="61"/>
      <c r="T1105" s="35"/>
      <c r="U1105" s="187"/>
      <c r="V1105" s="190"/>
      <c r="W1105" s="190"/>
      <c r="X1105" s="190"/>
      <c r="Y1105" s="190"/>
      <c r="Z1105" s="190"/>
      <c r="AA1105" s="191"/>
      <c r="AB1105" s="190"/>
      <c r="AC1105" s="190"/>
      <c r="AD1105" s="190"/>
      <c r="AE1105" s="190"/>
      <c r="AF1105" s="190"/>
      <c r="AG1105" s="190"/>
      <c r="AH1105" s="191"/>
      <c r="AI1105" s="190"/>
      <c r="AJ1105" s="190"/>
      <c r="AK1105" s="190"/>
      <c r="AL1105" s="190"/>
      <c r="AM1105" s="190"/>
      <c r="AN1105" s="191"/>
      <c r="AO1105" s="190"/>
      <c r="AP1105" s="190"/>
      <c r="AQ1105" s="190"/>
      <c r="AR1105" s="190"/>
      <c r="AS1105" s="190"/>
      <c r="AT1105" s="191"/>
      <c r="AU1105" s="190"/>
      <c r="AV1105" s="190"/>
      <c r="AW1105" s="190"/>
      <c r="AX1105" s="190"/>
      <c r="AY1105" s="190"/>
      <c r="AZ1105" s="191"/>
      <c r="BA1105" s="183"/>
      <c r="BB1105" s="183"/>
      <c r="BC1105" s="183"/>
      <c r="BD1105" s="183"/>
      <c r="BE1105" s="183"/>
      <c r="BF1105" s="184"/>
      <c r="BG1105" s="183"/>
      <c r="BH1105" s="183"/>
      <c r="BI1105" s="183"/>
      <c r="BJ1105" s="183"/>
      <c r="BK1105" s="183"/>
      <c r="BL1105" s="184"/>
      <c r="BM1105" s="409"/>
      <c r="BN1105" s="409"/>
    </row>
    <row r="1106" spans="1:66" s="153" customFormat="1" x14ac:dyDescent="0.2">
      <c r="A1106" s="61"/>
      <c r="B1106" s="61"/>
      <c r="C1106" s="61"/>
      <c r="D1106" s="61"/>
      <c r="E1106" s="61"/>
      <c r="F1106" s="61"/>
      <c r="G1106" s="61"/>
      <c r="H1106" s="61"/>
      <c r="I1106" s="61"/>
      <c r="J1106" s="61"/>
      <c r="K1106" s="61"/>
      <c r="L1106" s="61"/>
      <c r="M1106" s="61"/>
      <c r="N1106" s="61"/>
      <c r="O1106" s="61"/>
      <c r="P1106" s="61"/>
      <c r="Q1106" s="61"/>
      <c r="R1106" s="61"/>
      <c r="S1106" s="61"/>
      <c r="T1106" s="35"/>
      <c r="U1106" s="187"/>
      <c r="V1106" s="190"/>
      <c r="W1106" s="190"/>
      <c r="X1106" s="190"/>
      <c r="Y1106" s="190"/>
      <c r="Z1106" s="190"/>
      <c r="AA1106" s="191"/>
      <c r="AB1106" s="190"/>
      <c r="AC1106" s="190"/>
      <c r="AD1106" s="190"/>
      <c r="AE1106" s="190"/>
      <c r="AF1106" s="190"/>
      <c r="AG1106" s="190"/>
      <c r="AH1106" s="191"/>
      <c r="AI1106" s="190"/>
      <c r="AJ1106" s="190"/>
      <c r="AK1106" s="190"/>
      <c r="AL1106" s="190"/>
      <c r="AM1106" s="190"/>
      <c r="AN1106" s="191"/>
      <c r="AO1106" s="190"/>
      <c r="AP1106" s="190"/>
      <c r="AQ1106" s="190"/>
      <c r="AR1106" s="190"/>
      <c r="AS1106" s="190"/>
      <c r="AT1106" s="191"/>
      <c r="AU1106" s="190"/>
      <c r="AV1106" s="190"/>
      <c r="AW1106" s="190"/>
      <c r="AX1106" s="190"/>
      <c r="AY1106" s="190"/>
      <c r="AZ1106" s="191"/>
      <c r="BA1106" s="183"/>
      <c r="BB1106" s="183"/>
      <c r="BC1106" s="183"/>
      <c r="BD1106" s="183"/>
      <c r="BE1106" s="183"/>
      <c r="BF1106" s="184"/>
      <c r="BG1106" s="183"/>
      <c r="BH1106" s="183"/>
      <c r="BI1106" s="183"/>
      <c r="BJ1106" s="183"/>
      <c r="BK1106" s="183"/>
      <c r="BL1106" s="184"/>
      <c r="BM1106" s="409"/>
      <c r="BN1106" s="409"/>
    </row>
    <row r="1107" spans="1:66" s="153" customFormat="1" x14ac:dyDescent="0.2">
      <c r="A1107" s="61"/>
      <c r="B1107" s="61"/>
      <c r="C1107" s="61"/>
      <c r="D1107" s="61"/>
      <c r="E1107" s="61"/>
      <c r="F1107" s="61"/>
      <c r="G1107" s="61"/>
      <c r="H1107" s="61"/>
      <c r="I1107" s="61"/>
      <c r="J1107" s="61"/>
      <c r="K1107" s="61"/>
      <c r="L1107" s="61"/>
      <c r="M1107" s="61"/>
      <c r="N1107" s="61"/>
      <c r="O1107" s="61"/>
      <c r="P1107" s="61"/>
      <c r="Q1107" s="61"/>
      <c r="R1107" s="61"/>
      <c r="S1107" s="61"/>
      <c r="T1107" s="35"/>
      <c r="U1107" s="187"/>
      <c r="V1107" s="190"/>
      <c r="W1107" s="190"/>
      <c r="X1107" s="190"/>
      <c r="Y1107" s="190"/>
      <c r="Z1107" s="190"/>
      <c r="AA1107" s="191"/>
      <c r="AB1107" s="190"/>
      <c r="AC1107" s="190"/>
      <c r="AD1107" s="190"/>
      <c r="AE1107" s="190"/>
      <c r="AF1107" s="190"/>
      <c r="AG1107" s="190"/>
      <c r="AH1107" s="191"/>
      <c r="AI1107" s="190"/>
      <c r="AJ1107" s="190"/>
      <c r="AK1107" s="190"/>
      <c r="AL1107" s="190"/>
      <c r="AM1107" s="190"/>
      <c r="AN1107" s="191"/>
      <c r="AO1107" s="190"/>
      <c r="AP1107" s="190"/>
      <c r="AQ1107" s="190"/>
      <c r="AR1107" s="190"/>
      <c r="AS1107" s="190"/>
      <c r="AT1107" s="191"/>
      <c r="AU1107" s="190"/>
      <c r="AV1107" s="190"/>
      <c r="AW1107" s="190"/>
      <c r="AX1107" s="190"/>
      <c r="AY1107" s="190"/>
      <c r="AZ1107" s="191"/>
      <c r="BA1107" s="183"/>
      <c r="BB1107" s="183"/>
      <c r="BC1107" s="183"/>
      <c r="BD1107" s="183"/>
      <c r="BE1107" s="183"/>
      <c r="BF1107" s="184"/>
      <c r="BG1107" s="183"/>
      <c r="BH1107" s="183"/>
      <c r="BI1107" s="183"/>
      <c r="BJ1107" s="183"/>
      <c r="BK1107" s="183"/>
      <c r="BL1107" s="184"/>
      <c r="BM1107" s="409"/>
      <c r="BN1107" s="409"/>
    </row>
    <row r="1108" spans="1:66" s="153" customFormat="1" x14ac:dyDescent="0.2">
      <c r="A1108" s="61"/>
      <c r="B1108" s="61"/>
      <c r="C1108" s="61"/>
      <c r="D1108" s="61"/>
      <c r="E1108" s="61"/>
      <c r="F1108" s="61"/>
      <c r="G1108" s="61"/>
      <c r="H1108" s="61"/>
      <c r="I1108" s="61"/>
      <c r="J1108" s="61"/>
      <c r="K1108" s="61"/>
      <c r="L1108" s="61"/>
      <c r="M1108" s="61"/>
      <c r="N1108" s="61"/>
      <c r="O1108" s="61"/>
      <c r="P1108" s="61"/>
      <c r="Q1108" s="61"/>
      <c r="R1108" s="61"/>
      <c r="S1108" s="61"/>
      <c r="T1108" s="35"/>
      <c r="U1108" s="187"/>
      <c r="V1108" s="190"/>
      <c r="W1108" s="190"/>
      <c r="X1108" s="190"/>
      <c r="Y1108" s="190"/>
      <c r="Z1108" s="190"/>
      <c r="AA1108" s="191"/>
      <c r="AB1108" s="190"/>
      <c r="AC1108" s="190"/>
      <c r="AD1108" s="190"/>
      <c r="AE1108" s="190"/>
      <c r="AF1108" s="190"/>
      <c r="AG1108" s="190"/>
      <c r="AH1108" s="191"/>
      <c r="AI1108" s="190"/>
      <c r="AJ1108" s="190"/>
      <c r="AK1108" s="190"/>
      <c r="AL1108" s="190"/>
      <c r="AM1108" s="190"/>
      <c r="AN1108" s="191"/>
      <c r="AO1108" s="190"/>
      <c r="AP1108" s="190"/>
      <c r="AQ1108" s="190"/>
      <c r="AR1108" s="190"/>
      <c r="AS1108" s="190"/>
      <c r="AT1108" s="191"/>
      <c r="AU1108" s="190"/>
      <c r="AV1108" s="190"/>
      <c r="AW1108" s="190"/>
      <c r="AX1108" s="190"/>
      <c r="AY1108" s="190"/>
      <c r="AZ1108" s="191"/>
      <c r="BA1108" s="183"/>
      <c r="BB1108" s="183"/>
      <c r="BC1108" s="183"/>
      <c r="BD1108" s="183"/>
      <c r="BE1108" s="183"/>
      <c r="BF1108" s="184"/>
      <c r="BG1108" s="183"/>
      <c r="BH1108" s="183"/>
      <c r="BI1108" s="183"/>
      <c r="BJ1108" s="183"/>
      <c r="BK1108" s="183"/>
      <c r="BL1108" s="184"/>
      <c r="BM1108" s="409"/>
      <c r="BN1108" s="409"/>
    </row>
    <row r="1109" spans="1:66" s="153" customFormat="1" x14ac:dyDescent="0.2">
      <c r="A1109" s="61"/>
      <c r="B1109" s="61"/>
      <c r="C1109" s="61"/>
      <c r="D1109" s="61"/>
      <c r="E1109" s="61"/>
      <c r="F1109" s="61"/>
      <c r="G1109" s="61"/>
      <c r="H1109" s="61"/>
      <c r="I1109" s="61"/>
      <c r="J1109" s="61"/>
      <c r="K1109" s="61"/>
      <c r="L1109" s="61"/>
      <c r="M1109" s="61"/>
      <c r="N1109" s="61"/>
      <c r="O1109" s="61"/>
      <c r="P1109" s="61"/>
      <c r="Q1109" s="61"/>
      <c r="R1109" s="61"/>
      <c r="S1109" s="61"/>
      <c r="T1109" s="35"/>
      <c r="U1109" s="187"/>
      <c r="V1109" s="190"/>
      <c r="W1109" s="190"/>
      <c r="X1109" s="190"/>
      <c r="Y1109" s="190"/>
      <c r="Z1109" s="190"/>
      <c r="AA1109" s="191"/>
      <c r="AB1109" s="190"/>
      <c r="AC1109" s="190"/>
      <c r="AD1109" s="190"/>
      <c r="AE1109" s="190"/>
      <c r="AF1109" s="190"/>
      <c r="AG1109" s="190"/>
      <c r="AH1109" s="191"/>
      <c r="AI1109" s="190"/>
      <c r="AJ1109" s="190"/>
      <c r="AK1109" s="190"/>
      <c r="AL1109" s="190"/>
      <c r="AM1109" s="190"/>
      <c r="AN1109" s="191"/>
      <c r="AO1109" s="190"/>
      <c r="AP1109" s="190"/>
      <c r="AQ1109" s="190"/>
      <c r="AR1109" s="190"/>
      <c r="AS1109" s="190"/>
      <c r="AT1109" s="191"/>
      <c r="AU1109" s="190"/>
      <c r="AV1109" s="190"/>
      <c r="AW1109" s="190"/>
      <c r="AX1109" s="190"/>
      <c r="AY1109" s="190"/>
      <c r="AZ1109" s="191"/>
      <c r="BA1109" s="183"/>
      <c r="BB1109" s="183"/>
      <c r="BC1109" s="183"/>
      <c r="BD1109" s="183"/>
      <c r="BE1109" s="183"/>
      <c r="BF1109" s="184"/>
      <c r="BG1109" s="183"/>
      <c r="BH1109" s="183"/>
      <c r="BI1109" s="183"/>
      <c r="BJ1109" s="183"/>
      <c r="BK1109" s="183"/>
      <c r="BL1109" s="184"/>
      <c r="BM1109" s="409"/>
      <c r="BN1109" s="409"/>
    </row>
    <row r="1110" spans="1:66" s="153" customFormat="1" x14ac:dyDescent="0.2">
      <c r="A1110" s="61"/>
      <c r="B1110" s="61"/>
      <c r="C1110" s="61"/>
      <c r="D1110" s="61"/>
      <c r="E1110" s="61"/>
      <c r="F1110" s="61"/>
      <c r="G1110" s="61"/>
      <c r="H1110" s="61"/>
      <c r="I1110" s="61"/>
      <c r="J1110" s="61"/>
      <c r="K1110" s="61"/>
      <c r="L1110" s="61"/>
      <c r="M1110" s="61"/>
      <c r="N1110" s="61"/>
      <c r="O1110" s="61"/>
      <c r="P1110" s="61"/>
      <c r="Q1110" s="61"/>
      <c r="R1110" s="61"/>
      <c r="S1110" s="61"/>
      <c r="T1110" s="35"/>
      <c r="U1110" s="187"/>
      <c r="V1110" s="190"/>
      <c r="W1110" s="190"/>
      <c r="X1110" s="190"/>
      <c r="Y1110" s="190"/>
      <c r="Z1110" s="190"/>
      <c r="AA1110" s="191"/>
      <c r="AB1110" s="190"/>
      <c r="AC1110" s="190"/>
      <c r="AD1110" s="190"/>
      <c r="AE1110" s="190"/>
      <c r="AF1110" s="190"/>
      <c r="AG1110" s="190"/>
      <c r="AH1110" s="191"/>
      <c r="AI1110" s="190"/>
      <c r="AJ1110" s="190"/>
      <c r="AK1110" s="190"/>
      <c r="AL1110" s="190"/>
      <c r="AM1110" s="190"/>
      <c r="AN1110" s="191"/>
      <c r="AO1110" s="190"/>
      <c r="AP1110" s="190"/>
      <c r="AQ1110" s="190"/>
      <c r="AR1110" s="190"/>
      <c r="AS1110" s="190"/>
      <c r="AT1110" s="191"/>
      <c r="AU1110" s="190"/>
      <c r="AV1110" s="190"/>
      <c r="AW1110" s="190"/>
      <c r="AX1110" s="190"/>
      <c r="AY1110" s="190"/>
      <c r="AZ1110" s="191"/>
      <c r="BA1110" s="183"/>
      <c r="BB1110" s="183"/>
      <c r="BC1110" s="183"/>
      <c r="BD1110" s="183"/>
      <c r="BE1110" s="183"/>
      <c r="BF1110" s="184"/>
      <c r="BG1110" s="183"/>
      <c r="BH1110" s="183"/>
      <c r="BI1110" s="183"/>
      <c r="BJ1110" s="183"/>
      <c r="BK1110" s="183"/>
      <c r="BL1110" s="184"/>
      <c r="BM1110" s="409"/>
      <c r="BN1110" s="409"/>
    </row>
    <row r="1111" spans="1:66" s="153" customFormat="1" x14ac:dyDescent="0.2">
      <c r="A1111" s="61"/>
      <c r="B1111" s="61"/>
      <c r="C1111" s="61"/>
      <c r="D1111" s="61"/>
      <c r="E1111" s="61"/>
      <c r="F1111" s="61"/>
      <c r="G1111" s="61"/>
      <c r="H1111" s="61"/>
      <c r="I1111" s="61"/>
      <c r="J1111" s="61"/>
      <c r="K1111" s="61"/>
      <c r="L1111" s="61"/>
      <c r="M1111" s="61"/>
      <c r="N1111" s="61"/>
      <c r="O1111" s="61"/>
      <c r="P1111" s="61"/>
      <c r="Q1111" s="61"/>
      <c r="R1111" s="61"/>
      <c r="S1111" s="61"/>
      <c r="T1111" s="35"/>
      <c r="U1111" s="187"/>
      <c r="V1111" s="190"/>
      <c r="W1111" s="190"/>
      <c r="X1111" s="190"/>
      <c r="Y1111" s="190"/>
      <c r="Z1111" s="190"/>
      <c r="AA1111" s="191"/>
      <c r="AB1111" s="190"/>
      <c r="AC1111" s="190"/>
      <c r="AD1111" s="190"/>
      <c r="AE1111" s="190"/>
      <c r="AF1111" s="190"/>
      <c r="AG1111" s="190"/>
      <c r="AH1111" s="191"/>
      <c r="AI1111" s="190"/>
      <c r="AJ1111" s="190"/>
      <c r="AK1111" s="190"/>
      <c r="AL1111" s="190"/>
      <c r="AM1111" s="190"/>
      <c r="AN1111" s="191"/>
      <c r="AO1111" s="190"/>
      <c r="AP1111" s="190"/>
      <c r="AQ1111" s="190"/>
      <c r="AR1111" s="190"/>
      <c r="AS1111" s="190"/>
      <c r="AT1111" s="191"/>
      <c r="AU1111" s="190"/>
      <c r="AV1111" s="190"/>
      <c r="AW1111" s="190"/>
      <c r="AX1111" s="190"/>
      <c r="AY1111" s="190"/>
      <c r="AZ1111" s="191"/>
      <c r="BA1111" s="183"/>
      <c r="BB1111" s="183"/>
      <c r="BC1111" s="183"/>
      <c r="BD1111" s="183"/>
      <c r="BE1111" s="183"/>
      <c r="BF1111" s="184"/>
      <c r="BG1111" s="183"/>
      <c r="BH1111" s="183"/>
      <c r="BI1111" s="183"/>
      <c r="BJ1111" s="183"/>
      <c r="BK1111" s="183"/>
      <c r="BL1111" s="184"/>
      <c r="BM1111" s="409"/>
      <c r="BN1111" s="409"/>
    </row>
    <row r="1112" spans="1:66" s="153" customFormat="1" x14ac:dyDescent="0.2">
      <c r="A1112" s="61"/>
      <c r="B1112" s="61"/>
      <c r="C1112" s="61"/>
      <c r="D1112" s="61"/>
      <c r="E1112" s="61"/>
      <c r="F1112" s="61"/>
      <c r="G1112" s="61"/>
      <c r="H1112" s="61"/>
      <c r="I1112" s="61"/>
      <c r="J1112" s="61"/>
      <c r="K1112" s="61"/>
      <c r="L1112" s="61"/>
      <c r="M1112" s="61"/>
      <c r="N1112" s="61"/>
      <c r="O1112" s="61"/>
      <c r="P1112" s="61"/>
      <c r="Q1112" s="61"/>
      <c r="R1112" s="61"/>
      <c r="S1112" s="61"/>
      <c r="T1112" s="35"/>
      <c r="U1112" s="187"/>
      <c r="V1112" s="190"/>
      <c r="W1112" s="190"/>
      <c r="X1112" s="190"/>
      <c r="Y1112" s="190"/>
      <c r="Z1112" s="190"/>
      <c r="AA1112" s="191"/>
      <c r="AB1112" s="190"/>
      <c r="AC1112" s="190"/>
      <c r="AD1112" s="190"/>
      <c r="AE1112" s="190"/>
      <c r="AF1112" s="190"/>
      <c r="AG1112" s="190"/>
      <c r="AH1112" s="191"/>
      <c r="AI1112" s="190"/>
      <c r="AJ1112" s="190"/>
      <c r="AK1112" s="190"/>
      <c r="AL1112" s="190"/>
      <c r="AM1112" s="190"/>
      <c r="AN1112" s="191"/>
      <c r="AO1112" s="190"/>
      <c r="AP1112" s="190"/>
      <c r="AQ1112" s="190"/>
      <c r="AR1112" s="190"/>
      <c r="AS1112" s="190"/>
      <c r="AT1112" s="191"/>
      <c r="AU1112" s="190"/>
      <c r="AV1112" s="190"/>
      <c r="AW1112" s="190"/>
      <c r="AX1112" s="190"/>
      <c r="AY1112" s="190"/>
      <c r="AZ1112" s="191"/>
      <c r="BA1112" s="183"/>
      <c r="BB1112" s="183"/>
      <c r="BC1112" s="183"/>
      <c r="BD1112" s="183"/>
      <c r="BE1112" s="183"/>
      <c r="BF1112" s="184"/>
      <c r="BG1112" s="183"/>
      <c r="BH1112" s="183"/>
      <c r="BI1112" s="183"/>
      <c r="BJ1112" s="183"/>
      <c r="BK1112" s="183"/>
      <c r="BL1112" s="184"/>
      <c r="BM1112" s="409"/>
      <c r="BN1112" s="409"/>
    </row>
    <row r="1113" spans="1:66" s="153" customFormat="1" x14ac:dyDescent="0.2">
      <c r="A1113" s="61"/>
      <c r="B1113" s="61"/>
      <c r="C1113" s="61"/>
      <c r="D1113" s="61"/>
      <c r="E1113" s="61"/>
      <c r="F1113" s="61"/>
      <c r="G1113" s="61"/>
      <c r="H1113" s="61"/>
      <c r="I1113" s="61"/>
      <c r="J1113" s="61"/>
      <c r="K1113" s="61"/>
      <c r="L1113" s="61"/>
      <c r="M1113" s="61"/>
      <c r="N1113" s="61"/>
      <c r="O1113" s="61"/>
      <c r="P1113" s="61"/>
      <c r="Q1113" s="61"/>
      <c r="R1113" s="61"/>
      <c r="S1113" s="61"/>
      <c r="T1113" s="35"/>
      <c r="U1113" s="187"/>
      <c r="V1113" s="190"/>
      <c r="W1113" s="190"/>
      <c r="X1113" s="190"/>
      <c r="Y1113" s="190"/>
      <c r="Z1113" s="190"/>
      <c r="AA1113" s="191"/>
      <c r="AB1113" s="190"/>
      <c r="AC1113" s="190"/>
      <c r="AD1113" s="190"/>
      <c r="AE1113" s="190"/>
      <c r="AF1113" s="190"/>
      <c r="AG1113" s="190"/>
      <c r="AH1113" s="191"/>
      <c r="AI1113" s="190"/>
      <c r="AJ1113" s="190"/>
      <c r="AK1113" s="190"/>
      <c r="AL1113" s="190"/>
      <c r="AM1113" s="190"/>
      <c r="AN1113" s="191"/>
      <c r="AO1113" s="190"/>
      <c r="AP1113" s="190"/>
      <c r="AQ1113" s="190"/>
      <c r="AR1113" s="190"/>
      <c r="AS1113" s="190"/>
      <c r="AT1113" s="191"/>
      <c r="AU1113" s="190"/>
      <c r="AV1113" s="190"/>
      <c r="AW1113" s="190"/>
      <c r="AX1113" s="190"/>
      <c r="AY1113" s="190"/>
      <c r="AZ1113" s="191"/>
      <c r="BA1113" s="183"/>
      <c r="BB1113" s="183"/>
      <c r="BC1113" s="183"/>
      <c r="BD1113" s="183"/>
      <c r="BE1113" s="183"/>
      <c r="BF1113" s="184"/>
      <c r="BG1113" s="183"/>
      <c r="BH1113" s="183"/>
      <c r="BI1113" s="183"/>
      <c r="BJ1113" s="183"/>
      <c r="BK1113" s="183"/>
      <c r="BL1113" s="184"/>
      <c r="BM1113" s="409"/>
      <c r="BN1113" s="409"/>
    </row>
    <row r="1114" spans="1:66" s="153" customFormat="1" x14ac:dyDescent="0.2">
      <c r="A1114" s="61"/>
      <c r="B1114" s="61"/>
      <c r="C1114" s="61"/>
      <c r="D1114" s="61"/>
      <c r="E1114" s="61"/>
      <c r="F1114" s="61"/>
      <c r="G1114" s="61"/>
      <c r="H1114" s="61"/>
      <c r="I1114" s="61"/>
      <c r="J1114" s="61"/>
      <c r="K1114" s="61"/>
      <c r="L1114" s="61"/>
      <c r="M1114" s="61"/>
      <c r="N1114" s="61"/>
      <c r="O1114" s="61"/>
      <c r="P1114" s="61"/>
      <c r="Q1114" s="61"/>
      <c r="R1114" s="61"/>
      <c r="S1114" s="61"/>
      <c r="T1114" s="35"/>
      <c r="U1114" s="187"/>
      <c r="V1114" s="190"/>
      <c r="W1114" s="190"/>
      <c r="X1114" s="190"/>
      <c r="Y1114" s="190"/>
      <c r="Z1114" s="190"/>
      <c r="AA1114" s="191"/>
      <c r="AB1114" s="190"/>
      <c r="AC1114" s="190"/>
      <c r="AD1114" s="190"/>
      <c r="AE1114" s="190"/>
      <c r="AF1114" s="190"/>
      <c r="AG1114" s="190"/>
      <c r="AH1114" s="191"/>
      <c r="AI1114" s="190"/>
      <c r="AJ1114" s="190"/>
      <c r="AK1114" s="190"/>
      <c r="AL1114" s="190"/>
      <c r="AM1114" s="190"/>
      <c r="AN1114" s="191"/>
      <c r="AO1114" s="190"/>
      <c r="AP1114" s="190"/>
      <c r="AQ1114" s="190"/>
      <c r="AR1114" s="190"/>
      <c r="AS1114" s="190"/>
      <c r="AT1114" s="191"/>
      <c r="AU1114" s="190"/>
      <c r="AV1114" s="190"/>
      <c r="AW1114" s="190"/>
      <c r="AX1114" s="190"/>
      <c r="AY1114" s="190"/>
      <c r="AZ1114" s="191"/>
      <c r="BA1114" s="183"/>
      <c r="BB1114" s="183"/>
      <c r="BC1114" s="183"/>
      <c r="BD1114" s="183"/>
      <c r="BE1114" s="183"/>
      <c r="BF1114" s="184"/>
      <c r="BG1114" s="183"/>
      <c r="BH1114" s="183"/>
      <c r="BI1114" s="183"/>
      <c r="BJ1114" s="183"/>
      <c r="BK1114" s="183"/>
      <c r="BL1114" s="184"/>
      <c r="BM1114" s="409"/>
      <c r="BN1114" s="409"/>
    </row>
    <row r="1115" spans="1:66" s="153" customFormat="1" x14ac:dyDescent="0.2">
      <c r="A1115" s="61"/>
      <c r="B1115" s="61"/>
      <c r="C1115" s="61"/>
      <c r="D1115" s="61"/>
      <c r="E1115" s="61"/>
      <c r="F1115" s="61"/>
      <c r="G1115" s="61"/>
      <c r="H1115" s="61"/>
      <c r="I1115" s="61"/>
      <c r="J1115" s="61"/>
      <c r="K1115" s="61"/>
      <c r="L1115" s="61"/>
      <c r="M1115" s="61"/>
      <c r="N1115" s="61"/>
      <c r="O1115" s="61"/>
      <c r="P1115" s="61"/>
      <c r="Q1115" s="61"/>
      <c r="R1115" s="61"/>
      <c r="S1115" s="61"/>
      <c r="T1115" s="35"/>
      <c r="U1115" s="187"/>
      <c r="V1115" s="190"/>
      <c r="W1115" s="190"/>
      <c r="X1115" s="190"/>
      <c r="Y1115" s="190"/>
      <c r="Z1115" s="190"/>
      <c r="AA1115" s="191"/>
      <c r="AB1115" s="190"/>
      <c r="AC1115" s="190"/>
      <c r="AD1115" s="190"/>
      <c r="AE1115" s="190"/>
      <c r="AF1115" s="190"/>
      <c r="AG1115" s="190"/>
      <c r="AH1115" s="191"/>
      <c r="AI1115" s="190"/>
      <c r="AJ1115" s="190"/>
      <c r="AK1115" s="190"/>
      <c r="AL1115" s="190"/>
      <c r="AM1115" s="190"/>
      <c r="AN1115" s="191"/>
      <c r="AO1115" s="190"/>
      <c r="AP1115" s="190"/>
      <c r="AQ1115" s="190"/>
      <c r="AR1115" s="190"/>
      <c r="AS1115" s="190"/>
      <c r="AT1115" s="191"/>
      <c r="AU1115" s="190"/>
      <c r="AV1115" s="190"/>
      <c r="AW1115" s="190"/>
      <c r="AX1115" s="190"/>
      <c r="AY1115" s="190"/>
      <c r="AZ1115" s="191"/>
      <c r="BA1115" s="183"/>
      <c r="BB1115" s="183"/>
      <c r="BC1115" s="183"/>
      <c r="BD1115" s="183"/>
      <c r="BE1115" s="183"/>
      <c r="BF1115" s="184"/>
      <c r="BG1115" s="183"/>
      <c r="BH1115" s="183"/>
      <c r="BI1115" s="183"/>
      <c r="BJ1115" s="183"/>
      <c r="BK1115" s="183"/>
      <c r="BL1115" s="184"/>
      <c r="BM1115" s="409"/>
      <c r="BN1115" s="409"/>
    </row>
    <row r="1116" spans="1:66" s="153" customFormat="1" x14ac:dyDescent="0.2">
      <c r="A1116" s="61"/>
      <c r="B1116" s="61"/>
      <c r="C1116" s="61"/>
      <c r="D1116" s="61"/>
      <c r="E1116" s="61"/>
      <c r="F1116" s="61"/>
      <c r="G1116" s="61"/>
      <c r="H1116" s="61"/>
      <c r="I1116" s="61"/>
      <c r="J1116" s="61"/>
      <c r="K1116" s="61"/>
      <c r="L1116" s="61"/>
      <c r="M1116" s="61"/>
      <c r="N1116" s="61"/>
      <c r="O1116" s="61"/>
      <c r="P1116" s="61"/>
      <c r="Q1116" s="61"/>
      <c r="R1116" s="61"/>
      <c r="S1116" s="61"/>
      <c r="T1116" s="35"/>
      <c r="U1116" s="187"/>
      <c r="V1116" s="190"/>
      <c r="W1116" s="190"/>
      <c r="X1116" s="190"/>
      <c r="Y1116" s="190"/>
      <c r="Z1116" s="190"/>
      <c r="AA1116" s="191"/>
      <c r="AB1116" s="190"/>
      <c r="AC1116" s="190"/>
      <c r="AD1116" s="190"/>
      <c r="AE1116" s="190"/>
      <c r="AF1116" s="190"/>
      <c r="AG1116" s="190"/>
      <c r="AH1116" s="191"/>
      <c r="AI1116" s="190"/>
      <c r="AJ1116" s="190"/>
      <c r="AK1116" s="190"/>
      <c r="AL1116" s="190"/>
      <c r="AM1116" s="190"/>
      <c r="AN1116" s="191"/>
      <c r="AO1116" s="190"/>
      <c r="AP1116" s="190"/>
      <c r="AQ1116" s="190"/>
      <c r="AR1116" s="190"/>
      <c r="AS1116" s="190"/>
      <c r="AT1116" s="191"/>
      <c r="AU1116" s="190"/>
      <c r="AV1116" s="190"/>
      <c r="AW1116" s="190"/>
      <c r="AX1116" s="190"/>
      <c r="AY1116" s="190"/>
      <c r="AZ1116" s="191"/>
      <c r="BA1116" s="183"/>
      <c r="BB1116" s="183"/>
      <c r="BC1116" s="183"/>
      <c r="BD1116" s="183"/>
      <c r="BE1116" s="183"/>
      <c r="BF1116" s="184"/>
      <c r="BG1116" s="183"/>
      <c r="BH1116" s="183"/>
      <c r="BI1116" s="183"/>
      <c r="BJ1116" s="183"/>
      <c r="BK1116" s="183"/>
      <c r="BL1116" s="184"/>
      <c r="BM1116" s="409"/>
      <c r="BN1116" s="409"/>
    </row>
    <row r="1117" spans="1:66" s="153" customFormat="1" x14ac:dyDescent="0.2">
      <c r="A1117" s="61"/>
      <c r="B1117" s="61"/>
      <c r="C1117" s="61"/>
      <c r="D1117" s="61"/>
      <c r="E1117" s="61"/>
      <c r="F1117" s="61"/>
      <c r="G1117" s="61"/>
      <c r="H1117" s="61"/>
      <c r="I1117" s="61"/>
      <c r="J1117" s="61"/>
      <c r="K1117" s="61"/>
      <c r="L1117" s="61"/>
      <c r="M1117" s="61"/>
      <c r="N1117" s="61"/>
      <c r="O1117" s="61"/>
      <c r="P1117" s="61"/>
      <c r="Q1117" s="61"/>
      <c r="R1117" s="61"/>
      <c r="S1117" s="61"/>
      <c r="T1117" s="35"/>
      <c r="U1117" s="187"/>
      <c r="V1117" s="190"/>
      <c r="W1117" s="190"/>
      <c r="X1117" s="190"/>
      <c r="Y1117" s="190"/>
      <c r="Z1117" s="190"/>
      <c r="AA1117" s="191"/>
      <c r="AB1117" s="190"/>
      <c r="AC1117" s="190"/>
      <c r="AD1117" s="190"/>
      <c r="AE1117" s="190"/>
      <c r="AF1117" s="190"/>
      <c r="AG1117" s="190"/>
      <c r="AH1117" s="191"/>
      <c r="AI1117" s="190"/>
      <c r="AJ1117" s="190"/>
      <c r="AK1117" s="190"/>
      <c r="AL1117" s="190"/>
      <c r="AM1117" s="190"/>
      <c r="AN1117" s="191"/>
      <c r="AO1117" s="190"/>
      <c r="AP1117" s="190"/>
      <c r="AQ1117" s="190"/>
      <c r="AR1117" s="190"/>
      <c r="AS1117" s="190"/>
      <c r="AT1117" s="191"/>
      <c r="AU1117" s="190"/>
      <c r="AV1117" s="190"/>
      <c r="AW1117" s="190"/>
      <c r="AX1117" s="190"/>
      <c r="AY1117" s="190"/>
      <c r="AZ1117" s="191"/>
      <c r="BA1117" s="183"/>
      <c r="BB1117" s="183"/>
      <c r="BC1117" s="183"/>
      <c r="BD1117" s="183"/>
      <c r="BE1117" s="183"/>
      <c r="BF1117" s="184"/>
      <c r="BG1117" s="183"/>
      <c r="BH1117" s="183"/>
      <c r="BI1117" s="183"/>
      <c r="BJ1117" s="183"/>
      <c r="BK1117" s="183"/>
      <c r="BL1117" s="184"/>
      <c r="BM1117" s="409"/>
      <c r="BN1117" s="409"/>
    </row>
    <row r="1118" spans="1:66" s="153" customFormat="1" x14ac:dyDescent="0.2">
      <c r="A1118" s="61"/>
      <c r="B1118" s="61"/>
      <c r="C1118" s="61"/>
      <c r="D1118" s="61"/>
      <c r="E1118" s="61"/>
      <c r="F1118" s="61"/>
      <c r="G1118" s="61"/>
      <c r="H1118" s="61"/>
      <c r="I1118" s="61"/>
      <c r="J1118" s="61"/>
      <c r="K1118" s="61"/>
      <c r="L1118" s="61"/>
      <c r="M1118" s="61"/>
      <c r="N1118" s="61"/>
      <c r="O1118" s="61"/>
      <c r="P1118" s="61"/>
      <c r="Q1118" s="61"/>
      <c r="R1118" s="61"/>
      <c r="S1118" s="61"/>
      <c r="T1118" s="35"/>
      <c r="U1118" s="187"/>
      <c r="V1118" s="190"/>
      <c r="W1118" s="190"/>
      <c r="X1118" s="190"/>
      <c r="Y1118" s="190"/>
      <c r="Z1118" s="190"/>
      <c r="AA1118" s="191"/>
      <c r="AB1118" s="190"/>
      <c r="AC1118" s="190"/>
      <c r="AD1118" s="190"/>
      <c r="AE1118" s="190"/>
      <c r="AF1118" s="190"/>
      <c r="AG1118" s="190"/>
      <c r="AH1118" s="191"/>
      <c r="AI1118" s="190"/>
      <c r="AJ1118" s="190"/>
      <c r="AK1118" s="190"/>
      <c r="AL1118" s="190"/>
      <c r="AM1118" s="190"/>
      <c r="AN1118" s="191"/>
      <c r="AO1118" s="190"/>
      <c r="AP1118" s="190"/>
      <c r="AQ1118" s="190"/>
      <c r="AR1118" s="190"/>
      <c r="AS1118" s="190"/>
      <c r="AT1118" s="191"/>
      <c r="AU1118" s="190"/>
      <c r="AV1118" s="190"/>
      <c r="AW1118" s="190"/>
      <c r="AX1118" s="190"/>
      <c r="AY1118" s="190"/>
      <c r="AZ1118" s="191"/>
      <c r="BA1118" s="183"/>
      <c r="BB1118" s="183"/>
      <c r="BC1118" s="183"/>
      <c r="BD1118" s="183"/>
      <c r="BE1118" s="183"/>
      <c r="BF1118" s="184"/>
      <c r="BG1118" s="183"/>
      <c r="BH1118" s="183"/>
      <c r="BI1118" s="183"/>
      <c r="BJ1118" s="183"/>
      <c r="BK1118" s="183"/>
      <c r="BL1118" s="184"/>
      <c r="BM1118" s="409"/>
      <c r="BN1118" s="409"/>
    </row>
    <row r="1119" spans="1:66" s="153" customFormat="1" x14ac:dyDescent="0.2">
      <c r="A1119" s="61"/>
      <c r="B1119" s="61"/>
      <c r="C1119" s="61"/>
      <c r="D1119" s="61"/>
      <c r="E1119" s="61"/>
      <c r="F1119" s="61"/>
      <c r="G1119" s="61"/>
      <c r="H1119" s="61"/>
      <c r="I1119" s="61"/>
      <c r="J1119" s="61"/>
      <c r="K1119" s="61"/>
      <c r="L1119" s="61"/>
      <c r="M1119" s="61"/>
      <c r="N1119" s="61"/>
      <c r="O1119" s="61"/>
      <c r="P1119" s="61"/>
      <c r="Q1119" s="61"/>
      <c r="R1119" s="61"/>
      <c r="S1119" s="61"/>
      <c r="T1119" s="35"/>
      <c r="U1119" s="187"/>
      <c r="V1119" s="190"/>
      <c r="W1119" s="190"/>
      <c r="X1119" s="190"/>
      <c r="Y1119" s="190"/>
      <c r="Z1119" s="190"/>
      <c r="AA1119" s="191"/>
      <c r="AB1119" s="190"/>
      <c r="AC1119" s="190"/>
      <c r="AD1119" s="190"/>
      <c r="AE1119" s="190"/>
      <c r="AF1119" s="190"/>
      <c r="AG1119" s="190"/>
      <c r="AH1119" s="191"/>
      <c r="AI1119" s="190"/>
      <c r="AJ1119" s="190"/>
      <c r="AK1119" s="190"/>
      <c r="AL1119" s="190"/>
      <c r="AM1119" s="190"/>
      <c r="AN1119" s="191"/>
      <c r="AO1119" s="190"/>
      <c r="AP1119" s="190"/>
      <c r="AQ1119" s="190"/>
      <c r="AR1119" s="190"/>
      <c r="AS1119" s="190"/>
      <c r="AT1119" s="191"/>
      <c r="AU1119" s="190"/>
      <c r="AV1119" s="190"/>
      <c r="AW1119" s="190"/>
      <c r="AX1119" s="190"/>
      <c r="AY1119" s="190"/>
      <c r="AZ1119" s="191"/>
      <c r="BA1119" s="183"/>
      <c r="BB1119" s="183"/>
      <c r="BC1119" s="183"/>
      <c r="BD1119" s="183"/>
      <c r="BE1119" s="183"/>
      <c r="BF1119" s="184"/>
      <c r="BG1119" s="183"/>
      <c r="BH1119" s="183"/>
      <c r="BI1119" s="183"/>
      <c r="BJ1119" s="183"/>
      <c r="BK1119" s="183"/>
      <c r="BL1119" s="184"/>
      <c r="BM1119" s="409"/>
      <c r="BN1119" s="409"/>
    </row>
    <row r="1120" spans="1:66" s="153" customFormat="1" x14ac:dyDescent="0.2">
      <c r="A1120" s="61"/>
      <c r="B1120" s="61"/>
      <c r="C1120" s="61"/>
      <c r="D1120" s="61"/>
      <c r="E1120" s="61"/>
      <c r="F1120" s="61"/>
      <c r="G1120" s="61"/>
      <c r="H1120" s="61"/>
      <c r="I1120" s="61"/>
      <c r="J1120" s="61"/>
      <c r="K1120" s="61"/>
      <c r="L1120" s="61"/>
      <c r="M1120" s="61"/>
      <c r="N1120" s="61"/>
      <c r="O1120" s="61"/>
      <c r="P1120" s="61"/>
      <c r="Q1120" s="61"/>
      <c r="R1120" s="61"/>
      <c r="S1120" s="61"/>
      <c r="T1120" s="35"/>
      <c r="U1120" s="187"/>
      <c r="V1120" s="190"/>
      <c r="W1120" s="190"/>
      <c r="X1120" s="190"/>
      <c r="Y1120" s="190"/>
      <c r="Z1120" s="190"/>
      <c r="AA1120" s="191"/>
      <c r="AB1120" s="190"/>
      <c r="AC1120" s="190"/>
      <c r="AD1120" s="190"/>
      <c r="AE1120" s="190"/>
      <c r="AF1120" s="190"/>
      <c r="AG1120" s="190"/>
      <c r="AH1120" s="191"/>
      <c r="AI1120" s="190"/>
      <c r="AJ1120" s="190"/>
      <c r="AK1120" s="190"/>
      <c r="AL1120" s="190"/>
      <c r="AM1120" s="190"/>
      <c r="AN1120" s="191"/>
      <c r="AO1120" s="190"/>
      <c r="AP1120" s="190"/>
      <c r="AQ1120" s="190"/>
      <c r="AR1120" s="190"/>
      <c r="AS1120" s="190"/>
      <c r="AT1120" s="191"/>
      <c r="AU1120" s="190"/>
      <c r="AV1120" s="190"/>
      <c r="AW1120" s="190"/>
      <c r="AX1120" s="190"/>
      <c r="AY1120" s="190"/>
      <c r="AZ1120" s="191"/>
      <c r="BA1120" s="183"/>
      <c r="BB1120" s="183"/>
      <c r="BC1120" s="183"/>
      <c r="BD1120" s="183"/>
      <c r="BE1120" s="183"/>
      <c r="BF1120" s="184"/>
      <c r="BG1120" s="183"/>
      <c r="BH1120" s="183"/>
      <c r="BI1120" s="183"/>
      <c r="BJ1120" s="183"/>
      <c r="BK1120" s="183"/>
      <c r="BL1120" s="184"/>
      <c r="BM1120" s="409"/>
      <c r="BN1120" s="409"/>
    </row>
    <row r="1121" spans="1:66" s="153" customFormat="1" x14ac:dyDescent="0.2">
      <c r="A1121" s="61"/>
      <c r="B1121" s="61"/>
      <c r="C1121" s="61"/>
      <c r="D1121" s="61"/>
      <c r="E1121" s="61"/>
      <c r="F1121" s="61"/>
      <c r="G1121" s="61"/>
      <c r="H1121" s="61"/>
      <c r="I1121" s="61"/>
      <c r="J1121" s="61"/>
      <c r="K1121" s="61"/>
      <c r="L1121" s="61"/>
      <c r="M1121" s="61"/>
      <c r="N1121" s="61"/>
      <c r="O1121" s="61"/>
      <c r="P1121" s="61"/>
      <c r="Q1121" s="61"/>
      <c r="R1121" s="61"/>
      <c r="S1121" s="61"/>
      <c r="T1121" s="35"/>
      <c r="U1121" s="187"/>
      <c r="V1121" s="190"/>
      <c r="W1121" s="190"/>
      <c r="X1121" s="190"/>
      <c r="Y1121" s="190"/>
      <c r="Z1121" s="190"/>
      <c r="AA1121" s="191"/>
      <c r="AB1121" s="190"/>
      <c r="AC1121" s="190"/>
      <c r="AD1121" s="190"/>
      <c r="AE1121" s="190"/>
      <c r="AF1121" s="190"/>
      <c r="AG1121" s="190"/>
      <c r="AH1121" s="191"/>
      <c r="AI1121" s="190"/>
      <c r="AJ1121" s="190"/>
      <c r="AK1121" s="190"/>
      <c r="AL1121" s="190"/>
      <c r="AM1121" s="190"/>
      <c r="AN1121" s="191"/>
      <c r="AO1121" s="190"/>
      <c r="AP1121" s="190"/>
      <c r="AQ1121" s="190"/>
      <c r="AR1121" s="190"/>
      <c r="AS1121" s="190"/>
      <c r="AT1121" s="191"/>
      <c r="AU1121" s="190"/>
      <c r="AV1121" s="190"/>
      <c r="AW1121" s="190"/>
      <c r="AX1121" s="190"/>
      <c r="AY1121" s="190"/>
      <c r="AZ1121" s="191"/>
      <c r="BA1121" s="183"/>
      <c r="BB1121" s="183"/>
      <c r="BC1121" s="183"/>
      <c r="BD1121" s="183"/>
      <c r="BE1121" s="183"/>
      <c r="BF1121" s="184"/>
      <c r="BG1121" s="183"/>
      <c r="BH1121" s="183"/>
      <c r="BI1121" s="183"/>
      <c r="BJ1121" s="183"/>
      <c r="BK1121" s="183"/>
      <c r="BL1121" s="184"/>
      <c r="BM1121" s="409"/>
      <c r="BN1121" s="409"/>
    </row>
    <row r="1122" spans="1:66" s="153" customFormat="1" x14ac:dyDescent="0.2">
      <c r="A1122" s="61"/>
      <c r="B1122" s="61"/>
      <c r="C1122" s="61"/>
      <c r="D1122" s="61"/>
      <c r="E1122" s="61"/>
      <c r="F1122" s="61"/>
      <c r="G1122" s="61"/>
      <c r="H1122" s="61"/>
      <c r="I1122" s="61"/>
      <c r="J1122" s="61"/>
      <c r="K1122" s="61"/>
      <c r="L1122" s="61"/>
      <c r="M1122" s="61"/>
      <c r="N1122" s="61"/>
      <c r="O1122" s="61"/>
      <c r="P1122" s="61"/>
      <c r="Q1122" s="61"/>
      <c r="R1122" s="61"/>
      <c r="S1122" s="61"/>
      <c r="T1122" s="35"/>
      <c r="U1122" s="187"/>
      <c r="V1122" s="190"/>
      <c r="W1122" s="190"/>
      <c r="X1122" s="190"/>
      <c r="Y1122" s="190"/>
      <c r="Z1122" s="190"/>
      <c r="AA1122" s="191"/>
      <c r="AB1122" s="190"/>
      <c r="AC1122" s="190"/>
      <c r="AD1122" s="190"/>
      <c r="AE1122" s="190"/>
      <c r="AF1122" s="190"/>
      <c r="AG1122" s="190"/>
      <c r="AH1122" s="191"/>
      <c r="AI1122" s="190"/>
      <c r="AJ1122" s="190"/>
      <c r="AK1122" s="190"/>
      <c r="AL1122" s="190"/>
      <c r="AM1122" s="190"/>
      <c r="AN1122" s="191"/>
      <c r="AO1122" s="190"/>
      <c r="AP1122" s="190"/>
      <c r="AQ1122" s="190"/>
      <c r="AR1122" s="190"/>
      <c r="AS1122" s="190"/>
      <c r="AT1122" s="191"/>
      <c r="AU1122" s="190"/>
      <c r="AV1122" s="190"/>
      <c r="AW1122" s="190"/>
      <c r="AX1122" s="190"/>
      <c r="AY1122" s="190"/>
      <c r="AZ1122" s="191"/>
      <c r="BA1122" s="183"/>
      <c r="BB1122" s="183"/>
      <c r="BC1122" s="183"/>
      <c r="BD1122" s="183"/>
      <c r="BE1122" s="183"/>
      <c r="BF1122" s="184"/>
      <c r="BG1122" s="183"/>
      <c r="BH1122" s="183"/>
      <c r="BI1122" s="183"/>
      <c r="BJ1122" s="183"/>
      <c r="BK1122" s="183"/>
      <c r="BL1122" s="184"/>
      <c r="BM1122" s="409"/>
      <c r="BN1122" s="409"/>
    </row>
    <row r="1123" spans="1:66" s="153" customFormat="1" x14ac:dyDescent="0.2">
      <c r="A1123" s="61"/>
      <c r="B1123" s="61"/>
      <c r="C1123" s="61"/>
      <c r="D1123" s="61"/>
      <c r="E1123" s="61"/>
      <c r="F1123" s="61"/>
      <c r="G1123" s="61"/>
      <c r="H1123" s="61"/>
      <c r="I1123" s="61"/>
      <c r="J1123" s="61"/>
      <c r="K1123" s="61"/>
      <c r="L1123" s="61"/>
      <c r="M1123" s="61"/>
      <c r="N1123" s="61"/>
      <c r="O1123" s="61"/>
      <c r="P1123" s="61"/>
      <c r="Q1123" s="61"/>
      <c r="R1123" s="61"/>
      <c r="S1123" s="61"/>
      <c r="T1123" s="35"/>
      <c r="U1123" s="187"/>
      <c r="V1123" s="190"/>
      <c r="W1123" s="190"/>
      <c r="X1123" s="190"/>
      <c r="Y1123" s="190"/>
      <c r="Z1123" s="190"/>
      <c r="AA1123" s="191"/>
      <c r="AB1123" s="190"/>
      <c r="AC1123" s="190"/>
      <c r="AD1123" s="190"/>
      <c r="AE1123" s="190"/>
      <c r="AF1123" s="190"/>
      <c r="AG1123" s="190"/>
      <c r="AH1123" s="191"/>
      <c r="AI1123" s="190"/>
      <c r="AJ1123" s="190"/>
      <c r="AK1123" s="190"/>
      <c r="AL1123" s="190"/>
      <c r="AM1123" s="190"/>
      <c r="AN1123" s="191"/>
      <c r="AO1123" s="190"/>
      <c r="AP1123" s="190"/>
      <c r="AQ1123" s="190"/>
      <c r="AR1123" s="190"/>
      <c r="AS1123" s="190"/>
      <c r="AT1123" s="191"/>
      <c r="AU1123" s="190"/>
      <c r="AV1123" s="190"/>
      <c r="AW1123" s="190"/>
      <c r="AX1123" s="190"/>
      <c r="AY1123" s="190"/>
      <c r="AZ1123" s="191"/>
      <c r="BA1123" s="183"/>
      <c r="BB1123" s="183"/>
      <c r="BC1123" s="183"/>
      <c r="BD1123" s="183"/>
      <c r="BE1123" s="183"/>
      <c r="BF1123" s="184"/>
      <c r="BG1123" s="183"/>
      <c r="BH1123" s="183"/>
      <c r="BI1123" s="183"/>
      <c r="BJ1123" s="183"/>
      <c r="BK1123" s="183"/>
      <c r="BL1123" s="184"/>
      <c r="BM1123" s="409"/>
      <c r="BN1123" s="409"/>
    </row>
    <row r="1124" spans="1:66" s="153" customFormat="1" x14ac:dyDescent="0.2">
      <c r="A1124" s="61"/>
      <c r="B1124" s="61"/>
      <c r="C1124" s="61"/>
      <c r="D1124" s="61"/>
      <c r="E1124" s="61"/>
      <c r="F1124" s="61"/>
      <c r="G1124" s="61"/>
      <c r="H1124" s="61"/>
      <c r="I1124" s="61"/>
      <c r="J1124" s="61"/>
      <c r="K1124" s="61"/>
      <c r="L1124" s="61"/>
      <c r="M1124" s="61"/>
      <c r="N1124" s="61"/>
      <c r="O1124" s="61"/>
      <c r="P1124" s="61"/>
      <c r="Q1124" s="61"/>
      <c r="R1124" s="61"/>
      <c r="S1124" s="61"/>
      <c r="T1124" s="35"/>
      <c r="U1124" s="187"/>
      <c r="V1124" s="190"/>
      <c r="W1124" s="190"/>
      <c r="X1124" s="190"/>
      <c r="Y1124" s="190"/>
      <c r="Z1124" s="190"/>
      <c r="AA1124" s="191"/>
      <c r="AB1124" s="190"/>
      <c r="AC1124" s="190"/>
      <c r="AD1124" s="190"/>
      <c r="AE1124" s="190"/>
      <c r="AF1124" s="190"/>
      <c r="AG1124" s="190"/>
      <c r="AH1124" s="191"/>
      <c r="AI1124" s="190"/>
      <c r="AJ1124" s="190"/>
      <c r="AK1124" s="190"/>
      <c r="AL1124" s="190"/>
      <c r="AM1124" s="190"/>
      <c r="AN1124" s="191"/>
      <c r="AO1124" s="190"/>
      <c r="AP1124" s="190"/>
      <c r="AQ1124" s="190"/>
      <c r="AR1124" s="190"/>
      <c r="AS1124" s="190"/>
      <c r="AT1124" s="191"/>
      <c r="AU1124" s="190"/>
      <c r="AV1124" s="190"/>
      <c r="AW1124" s="190"/>
      <c r="AX1124" s="190"/>
      <c r="AY1124" s="190"/>
      <c r="AZ1124" s="191"/>
      <c r="BA1124" s="183"/>
      <c r="BB1124" s="183"/>
      <c r="BC1124" s="183"/>
      <c r="BD1124" s="183"/>
      <c r="BE1124" s="183"/>
      <c r="BF1124" s="184"/>
      <c r="BG1124" s="183"/>
      <c r="BH1124" s="183"/>
      <c r="BI1124" s="183"/>
      <c r="BJ1124" s="183"/>
      <c r="BK1124" s="183"/>
      <c r="BL1124" s="184"/>
      <c r="BM1124" s="409"/>
      <c r="BN1124" s="409"/>
    </row>
    <row r="1125" spans="1:66" s="153" customFormat="1" x14ac:dyDescent="0.2">
      <c r="A1125" s="61"/>
      <c r="B1125" s="61"/>
      <c r="C1125" s="61"/>
      <c r="D1125" s="61"/>
      <c r="E1125" s="61"/>
      <c r="F1125" s="61"/>
      <c r="G1125" s="61"/>
      <c r="H1125" s="61"/>
      <c r="I1125" s="61"/>
      <c r="J1125" s="61"/>
      <c r="K1125" s="61"/>
      <c r="L1125" s="61"/>
      <c r="M1125" s="61"/>
      <c r="N1125" s="61"/>
      <c r="O1125" s="61"/>
      <c r="P1125" s="61"/>
      <c r="Q1125" s="61"/>
      <c r="R1125" s="61"/>
      <c r="S1125" s="61"/>
      <c r="T1125" s="35"/>
      <c r="U1125" s="187"/>
      <c r="V1125" s="190"/>
      <c r="W1125" s="190"/>
      <c r="X1125" s="190"/>
      <c r="Y1125" s="190"/>
      <c r="Z1125" s="190"/>
      <c r="AA1125" s="191"/>
      <c r="AB1125" s="190"/>
      <c r="AC1125" s="190"/>
      <c r="AD1125" s="190"/>
      <c r="AE1125" s="190"/>
      <c r="AF1125" s="190"/>
      <c r="AG1125" s="190"/>
      <c r="AH1125" s="191"/>
      <c r="AI1125" s="190"/>
      <c r="AJ1125" s="190"/>
      <c r="AK1125" s="190"/>
      <c r="AL1125" s="190"/>
      <c r="AM1125" s="190"/>
      <c r="AN1125" s="191"/>
      <c r="AO1125" s="190"/>
      <c r="AP1125" s="190"/>
      <c r="AQ1125" s="190"/>
      <c r="AR1125" s="190"/>
      <c r="AS1125" s="190"/>
      <c r="AT1125" s="191"/>
      <c r="AU1125" s="190"/>
      <c r="AV1125" s="190"/>
      <c r="AW1125" s="190"/>
      <c r="AX1125" s="190"/>
      <c r="AY1125" s="190"/>
      <c r="AZ1125" s="191"/>
      <c r="BA1125" s="183"/>
      <c r="BB1125" s="183"/>
      <c r="BC1125" s="183"/>
      <c r="BD1125" s="183"/>
      <c r="BE1125" s="183"/>
      <c r="BF1125" s="184"/>
      <c r="BG1125" s="183"/>
      <c r="BH1125" s="183"/>
      <c r="BI1125" s="183"/>
      <c r="BJ1125" s="183"/>
      <c r="BK1125" s="183"/>
      <c r="BL1125" s="184"/>
      <c r="BM1125" s="409"/>
      <c r="BN1125" s="409"/>
    </row>
    <row r="1126" spans="1:66" s="153" customFormat="1" x14ac:dyDescent="0.2">
      <c r="A1126" s="61"/>
      <c r="B1126" s="61"/>
      <c r="C1126" s="61"/>
      <c r="D1126" s="61"/>
      <c r="E1126" s="61"/>
      <c r="F1126" s="61"/>
      <c r="G1126" s="61"/>
      <c r="H1126" s="61"/>
      <c r="I1126" s="61"/>
      <c r="J1126" s="61"/>
      <c r="K1126" s="61"/>
      <c r="L1126" s="61"/>
      <c r="M1126" s="61"/>
      <c r="N1126" s="61"/>
      <c r="O1126" s="61"/>
      <c r="P1126" s="61"/>
      <c r="Q1126" s="61"/>
      <c r="R1126" s="61"/>
      <c r="S1126" s="61"/>
      <c r="T1126" s="35"/>
      <c r="U1126" s="187"/>
      <c r="V1126" s="190"/>
      <c r="W1126" s="190"/>
      <c r="X1126" s="190"/>
      <c r="Y1126" s="190"/>
      <c r="Z1126" s="190"/>
      <c r="AA1126" s="191"/>
      <c r="AB1126" s="190"/>
      <c r="AC1126" s="190"/>
      <c r="AD1126" s="190"/>
      <c r="AE1126" s="190"/>
      <c r="AF1126" s="190"/>
      <c r="AG1126" s="190"/>
      <c r="AH1126" s="191"/>
      <c r="AI1126" s="190"/>
      <c r="AJ1126" s="190"/>
      <c r="AK1126" s="190"/>
      <c r="AL1126" s="190"/>
      <c r="AM1126" s="190"/>
      <c r="AN1126" s="191"/>
      <c r="AO1126" s="190"/>
      <c r="AP1126" s="190"/>
      <c r="AQ1126" s="190"/>
      <c r="AR1126" s="190"/>
      <c r="AS1126" s="190"/>
      <c r="AT1126" s="191"/>
      <c r="AU1126" s="190"/>
      <c r="AV1126" s="190"/>
      <c r="AW1126" s="190"/>
      <c r="AX1126" s="190"/>
      <c r="AY1126" s="190"/>
      <c r="AZ1126" s="191"/>
      <c r="BA1126" s="183"/>
      <c r="BB1126" s="183"/>
      <c r="BC1126" s="183"/>
      <c r="BD1126" s="183"/>
      <c r="BE1126" s="183"/>
      <c r="BF1126" s="184"/>
      <c r="BG1126" s="183"/>
      <c r="BH1126" s="183"/>
      <c r="BI1126" s="183"/>
      <c r="BJ1126" s="183"/>
      <c r="BK1126" s="183"/>
      <c r="BL1126" s="184"/>
      <c r="BM1126" s="409"/>
      <c r="BN1126" s="409"/>
    </row>
    <row r="1127" spans="1:66" s="153" customFormat="1" x14ac:dyDescent="0.2">
      <c r="A1127" s="61"/>
      <c r="B1127" s="61"/>
      <c r="C1127" s="61"/>
      <c r="D1127" s="61"/>
      <c r="E1127" s="61"/>
      <c r="F1127" s="61"/>
      <c r="G1127" s="61"/>
      <c r="H1127" s="61"/>
      <c r="I1127" s="61"/>
      <c r="J1127" s="61"/>
      <c r="K1127" s="61"/>
      <c r="L1127" s="61"/>
      <c r="M1127" s="61"/>
      <c r="N1127" s="61"/>
      <c r="O1127" s="61"/>
      <c r="P1127" s="61"/>
      <c r="Q1127" s="61"/>
      <c r="R1127" s="61"/>
      <c r="S1127" s="61"/>
      <c r="T1127" s="35"/>
      <c r="U1127" s="187"/>
      <c r="V1127" s="190"/>
      <c r="W1127" s="190"/>
      <c r="X1127" s="190"/>
      <c r="Y1127" s="190"/>
      <c r="Z1127" s="190"/>
      <c r="AA1127" s="191"/>
      <c r="AB1127" s="190"/>
      <c r="AC1127" s="190"/>
      <c r="AD1127" s="190"/>
      <c r="AE1127" s="190"/>
      <c r="AF1127" s="190"/>
      <c r="AG1127" s="190"/>
      <c r="AH1127" s="191"/>
      <c r="AI1127" s="190"/>
      <c r="AJ1127" s="190"/>
      <c r="AK1127" s="190"/>
      <c r="AL1127" s="190"/>
      <c r="AM1127" s="190"/>
      <c r="AN1127" s="191"/>
      <c r="AO1127" s="190"/>
      <c r="AP1127" s="190"/>
      <c r="AQ1127" s="190"/>
      <c r="AR1127" s="190"/>
      <c r="AS1127" s="190"/>
      <c r="AT1127" s="191"/>
      <c r="AU1127" s="190"/>
      <c r="AV1127" s="190"/>
      <c r="AW1127" s="190"/>
      <c r="AX1127" s="190"/>
      <c r="AY1127" s="190"/>
      <c r="AZ1127" s="191"/>
      <c r="BA1127" s="183"/>
      <c r="BB1127" s="183"/>
      <c r="BC1127" s="183"/>
      <c r="BD1127" s="183"/>
      <c r="BE1127" s="183"/>
      <c r="BF1127" s="184"/>
      <c r="BG1127" s="183"/>
      <c r="BH1127" s="183"/>
      <c r="BI1127" s="183"/>
      <c r="BJ1127" s="183"/>
      <c r="BK1127" s="183"/>
      <c r="BL1127" s="184"/>
      <c r="BM1127" s="409"/>
      <c r="BN1127" s="409"/>
    </row>
    <row r="1128" spans="1:66" s="153" customFormat="1" x14ac:dyDescent="0.2">
      <c r="A1128" s="61"/>
      <c r="B1128" s="61"/>
      <c r="C1128" s="61"/>
      <c r="D1128" s="61"/>
      <c r="E1128" s="61"/>
      <c r="F1128" s="61"/>
      <c r="G1128" s="61"/>
      <c r="H1128" s="61"/>
      <c r="I1128" s="61"/>
      <c r="J1128" s="61"/>
      <c r="K1128" s="61"/>
      <c r="L1128" s="61"/>
      <c r="M1128" s="61"/>
      <c r="N1128" s="61"/>
      <c r="O1128" s="61"/>
      <c r="P1128" s="61"/>
      <c r="Q1128" s="61"/>
      <c r="R1128" s="61"/>
      <c r="S1128" s="61"/>
      <c r="T1128" s="35"/>
      <c r="U1128" s="187"/>
      <c r="V1128" s="190"/>
      <c r="W1128" s="190"/>
      <c r="X1128" s="190"/>
      <c r="Y1128" s="190"/>
      <c r="Z1128" s="190"/>
      <c r="AA1128" s="191"/>
      <c r="AB1128" s="190"/>
      <c r="AC1128" s="190"/>
      <c r="AD1128" s="190"/>
      <c r="AE1128" s="190"/>
      <c r="AF1128" s="190"/>
      <c r="AG1128" s="190"/>
      <c r="AH1128" s="191"/>
      <c r="AI1128" s="190"/>
      <c r="AJ1128" s="190"/>
      <c r="AK1128" s="190"/>
      <c r="AL1128" s="190"/>
      <c r="AM1128" s="190"/>
      <c r="AN1128" s="191"/>
      <c r="AO1128" s="190"/>
      <c r="AP1128" s="190"/>
      <c r="AQ1128" s="190"/>
      <c r="AR1128" s="190"/>
      <c r="AS1128" s="190"/>
      <c r="AT1128" s="191"/>
      <c r="AU1128" s="190"/>
      <c r="AV1128" s="190"/>
      <c r="AW1128" s="190"/>
      <c r="AX1128" s="190"/>
      <c r="AY1128" s="190"/>
      <c r="AZ1128" s="191"/>
      <c r="BA1128" s="183"/>
      <c r="BB1128" s="183"/>
      <c r="BC1128" s="183"/>
      <c r="BD1128" s="183"/>
      <c r="BE1128" s="183"/>
      <c r="BF1128" s="184"/>
      <c r="BG1128" s="183"/>
      <c r="BH1128" s="183"/>
      <c r="BI1128" s="183"/>
      <c r="BJ1128" s="183"/>
      <c r="BK1128" s="183"/>
      <c r="BL1128" s="184"/>
      <c r="BM1128" s="409"/>
      <c r="BN1128" s="409"/>
    </row>
    <row r="1129" spans="1:66" s="153" customFormat="1" x14ac:dyDescent="0.2">
      <c r="A1129" s="61"/>
      <c r="B1129" s="61"/>
      <c r="C1129" s="61"/>
      <c r="D1129" s="61"/>
      <c r="E1129" s="61"/>
      <c r="F1129" s="61"/>
      <c r="G1129" s="61"/>
      <c r="H1129" s="61"/>
      <c r="I1129" s="61"/>
      <c r="J1129" s="61"/>
      <c r="K1129" s="61"/>
      <c r="L1129" s="61"/>
      <c r="M1129" s="61"/>
      <c r="N1129" s="61"/>
      <c r="O1129" s="61"/>
      <c r="P1129" s="61"/>
      <c r="Q1129" s="61"/>
      <c r="R1129" s="61"/>
      <c r="S1129" s="61"/>
      <c r="T1129" s="35"/>
      <c r="U1129" s="187"/>
      <c r="V1129" s="190"/>
      <c r="W1129" s="190"/>
      <c r="X1129" s="190"/>
      <c r="Y1129" s="190"/>
      <c r="Z1129" s="190"/>
      <c r="AA1129" s="191"/>
      <c r="AB1129" s="190"/>
      <c r="AC1129" s="190"/>
      <c r="AD1129" s="190"/>
      <c r="AE1129" s="190"/>
      <c r="AF1129" s="190"/>
      <c r="AG1129" s="190"/>
      <c r="AH1129" s="191"/>
      <c r="AI1129" s="190"/>
      <c r="AJ1129" s="190"/>
      <c r="AK1129" s="190"/>
      <c r="AL1129" s="190"/>
      <c r="AM1129" s="190"/>
      <c r="AN1129" s="191"/>
      <c r="AO1129" s="190"/>
      <c r="AP1129" s="190"/>
      <c r="AQ1129" s="190"/>
      <c r="AR1129" s="190"/>
      <c r="AS1129" s="190"/>
      <c r="AT1129" s="191"/>
      <c r="AU1129" s="190"/>
      <c r="AV1129" s="190"/>
      <c r="AW1129" s="190"/>
      <c r="AX1129" s="190"/>
      <c r="AY1129" s="190"/>
      <c r="AZ1129" s="191"/>
      <c r="BA1129" s="183"/>
      <c r="BB1129" s="183"/>
      <c r="BC1129" s="183"/>
      <c r="BD1129" s="183"/>
      <c r="BE1129" s="183"/>
      <c r="BF1129" s="184"/>
      <c r="BG1129" s="183"/>
      <c r="BH1129" s="183"/>
      <c r="BI1129" s="183"/>
      <c r="BJ1129" s="183"/>
      <c r="BK1129" s="183"/>
      <c r="BL1129" s="184"/>
      <c r="BM1129" s="409"/>
      <c r="BN1129" s="409"/>
    </row>
    <row r="1130" spans="1:66" s="153" customFormat="1" x14ac:dyDescent="0.2">
      <c r="A1130" s="61"/>
      <c r="B1130" s="61"/>
      <c r="C1130" s="61"/>
      <c r="D1130" s="61"/>
      <c r="E1130" s="61"/>
      <c r="F1130" s="61"/>
      <c r="G1130" s="61"/>
      <c r="H1130" s="61"/>
      <c r="I1130" s="61"/>
      <c r="J1130" s="61"/>
      <c r="K1130" s="61"/>
      <c r="L1130" s="61"/>
      <c r="M1130" s="61"/>
      <c r="N1130" s="61"/>
      <c r="O1130" s="61"/>
      <c r="P1130" s="61"/>
      <c r="Q1130" s="61"/>
      <c r="R1130" s="61"/>
      <c r="S1130" s="61"/>
      <c r="T1130" s="35"/>
      <c r="U1130" s="187"/>
      <c r="V1130" s="190"/>
      <c r="W1130" s="190"/>
      <c r="X1130" s="190"/>
      <c r="Y1130" s="190"/>
      <c r="Z1130" s="190"/>
      <c r="AA1130" s="191"/>
      <c r="AB1130" s="190"/>
      <c r="AC1130" s="190"/>
      <c r="AD1130" s="190"/>
      <c r="AE1130" s="190"/>
      <c r="AF1130" s="190"/>
      <c r="AG1130" s="190"/>
      <c r="AH1130" s="191"/>
      <c r="AI1130" s="190"/>
      <c r="AJ1130" s="190"/>
      <c r="AK1130" s="190"/>
      <c r="AL1130" s="190"/>
      <c r="AM1130" s="190"/>
      <c r="AN1130" s="191"/>
      <c r="AO1130" s="190"/>
      <c r="AP1130" s="190"/>
      <c r="AQ1130" s="190"/>
      <c r="AR1130" s="190"/>
      <c r="AS1130" s="190"/>
      <c r="AT1130" s="191"/>
      <c r="AU1130" s="190"/>
      <c r="AV1130" s="190"/>
      <c r="AW1130" s="190"/>
      <c r="AX1130" s="190"/>
      <c r="AY1130" s="190"/>
      <c r="AZ1130" s="191"/>
      <c r="BA1130" s="183"/>
      <c r="BB1130" s="183"/>
      <c r="BC1130" s="183"/>
      <c r="BD1130" s="183"/>
      <c r="BE1130" s="183"/>
      <c r="BF1130" s="184"/>
      <c r="BG1130" s="183"/>
      <c r="BH1130" s="183"/>
      <c r="BI1130" s="183"/>
      <c r="BJ1130" s="183"/>
      <c r="BK1130" s="183"/>
      <c r="BL1130" s="184"/>
      <c r="BM1130" s="409"/>
      <c r="BN1130" s="409"/>
    </row>
    <row r="1131" spans="1:66" s="153" customFormat="1" x14ac:dyDescent="0.2">
      <c r="A1131" s="61"/>
      <c r="B1131" s="61"/>
      <c r="C1131" s="61"/>
      <c r="D1131" s="61"/>
      <c r="E1131" s="61"/>
      <c r="F1131" s="61"/>
      <c r="G1131" s="61"/>
      <c r="H1131" s="61"/>
      <c r="I1131" s="61"/>
      <c r="J1131" s="61"/>
      <c r="K1131" s="61"/>
      <c r="L1131" s="61"/>
      <c r="M1131" s="61"/>
      <c r="N1131" s="61"/>
      <c r="O1131" s="61"/>
      <c r="P1131" s="61"/>
      <c r="Q1131" s="61"/>
      <c r="R1131" s="61"/>
      <c r="S1131" s="61"/>
      <c r="T1131" s="35"/>
      <c r="U1131" s="187"/>
      <c r="V1131" s="190"/>
      <c r="W1131" s="190"/>
      <c r="X1131" s="190"/>
      <c r="Y1131" s="190"/>
      <c r="Z1131" s="190"/>
      <c r="AA1131" s="191"/>
      <c r="AB1131" s="190"/>
      <c r="AC1131" s="190"/>
      <c r="AD1131" s="190"/>
      <c r="AE1131" s="190"/>
      <c r="AF1131" s="190"/>
      <c r="AG1131" s="190"/>
      <c r="AH1131" s="191"/>
      <c r="AI1131" s="190"/>
      <c r="AJ1131" s="190"/>
      <c r="AK1131" s="190"/>
      <c r="AL1131" s="190"/>
      <c r="AM1131" s="190"/>
      <c r="AN1131" s="191"/>
      <c r="AO1131" s="190"/>
      <c r="AP1131" s="190"/>
      <c r="AQ1131" s="190"/>
      <c r="AR1131" s="190"/>
      <c r="AS1131" s="190"/>
      <c r="AT1131" s="191"/>
      <c r="AU1131" s="190"/>
      <c r="AV1131" s="190"/>
      <c r="AW1131" s="190"/>
      <c r="AX1131" s="190"/>
      <c r="AY1131" s="190"/>
      <c r="AZ1131" s="191"/>
      <c r="BA1131" s="183"/>
      <c r="BB1131" s="183"/>
      <c r="BC1131" s="183"/>
      <c r="BD1131" s="183"/>
      <c r="BE1131" s="183"/>
      <c r="BF1131" s="184"/>
      <c r="BG1131" s="183"/>
      <c r="BH1131" s="183"/>
      <c r="BI1131" s="183"/>
      <c r="BJ1131" s="183"/>
      <c r="BK1131" s="183"/>
      <c r="BL1131" s="184"/>
      <c r="BM1131" s="409"/>
      <c r="BN1131" s="409"/>
    </row>
    <row r="1132" spans="1:66" s="153" customFormat="1" x14ac:dyDescent="0.2">
      <c r="A1132" s="61"/>
      <c r="B1132" s="61"/>
      <c r="C1132" s="61"/>
      <c r="D1132" s="61"/>
      <c r="E1132" s="61"/>
      <c r="F1132" s="61"/>
      <c r="G1132" s="61"/>
      <c r="H1132" s="61"/>
      <c r="I1132" s="61"/>
      <c r="J1132" s="61"/>
      <c r="K1132" s="61"/>
      <c r="L1132" s="61"/>
      <c r="M1132" s="61"/>
      <c r="N1132" s="61"/>
      <c r="O1132" s="61"/>
      <c r="P1132" s="61"/>
      <c r="Q1132" s="61"/>
      <c r="R1132" s="61"/>
      <c r="S1132" s="61"/>
      <c r="T1132" s="35"/>
      <c r="U1132" s="187"/>
      <c r="V1132" s="190"/>
      <c r="W1132" s="190"/>
      <c r="X1132" s="190"/>
      <c r="Y1132" s="190"/>
      <c r="Z1132" s="190"/>
      <c r="AA1132" s="191"/>
      <c r="AB1132" s="190"/>
      <c r="AC1132" s="190"/>
      <c r="AD1132" s="190"/>
      <c r="AE1132" s="190"/>
      <c r="AF1132" s="190"/>
      <c r="AG1132" s="190"/>
      <c r="AH1132" s="191"/>
      <c r="AI1132" s="190"/>
      <c r="AJ1132" s="190"/>
      <c r="AK1132" s="190"/>
      <c r="AL1132" s="190"/>
      <c r="AM1132" s="190"/>
      <c r="AN1132" s="191"/>
      <c r="AO1132" s="190"/>
      <c r="AP1132" s="190"/>
      <c r="AQ1132" s="190"/>
      <c r="AR1132" s="190"/>
      <c r="AS1132" s="190"/>
      <c r="AT1132" s="191"/>
      <c r="AU1132" s="190"/>
      <c r="AV1132" s="190"/>
      <c r="AW1132" s="190"/>
      <c r="AX1132" s="190"/>
      <c r="AY1132" s="190"/>
      <c r="AZ1132" s="191"/>
      <c r="BA1132" s="183"/>
      <c r="BB1132" s="183"/>
      <c r="BC1132" s="183"/>
      <c r="BD1132" s="183"/>
      <c r="BE1132" s="183"/>
      <c r="BF1132" s="184"/>
      <c r="BG1132" s="183"/>
      <c r="BH1132" s="183"/>
      <c r="BI1132" s="183"/>
      <c r="BJ1132" s="183"/>
      <c r="BK1132" s="183"/>
      <c r="BL1132" s="184"/>
      <c r="BM1132" s="409"/>
      <c r="BN1132" s="409"/>
    </row>
    <row r="1133" spans="1:66" s="153" customFormat="1" x14ac:dyDescent="0.2">
      <c r="A1133" s="61"/>
      <c r="B1133" s="61"/>
      <c r="C1133" s="61"/>
      <c r="D1133" s="61"/>
      <c r="E1133" s="61"/>
      <c r="F1133" s="61"/>
      <c r="G1133" s="61"/>
      <c r="H1133" s="61"/>
      <c r="I1133" s="61"/>
      <c r="J1133" s="61"/>
      <c r="K1133" s="61"/>
      <c r="L1133" s="61"/>
      <c r="M1133" s="61"/>
      <c r="N1133" s="61"/>
      <c r="O1133" s="61"/>
      <c r="P1133" s="61"/>
      <c r="Q1133" s="61"/>
      <c r="R1133" s="61"/>
      <c r="S1133" s="61"/>
      <c r="T1133" s="35"/>
      <c r="U1133" s="187"/>
      <c r="V1133" s="190"/>
      <c r="W1133" s="190"/>
      <c r="X1133" s="190"/>
      <c r="Y1133" s="190"/>
      <c r="Z1133" s="190"/>
      <c r="AA1133" s="191"/>
      <c r="AB1133" s="190"/>
      <c r="AC1133" s="190"/>
      <c r="AD1133" s="190"/>
      <c r="AE1133" s="190"/>
      <c r="AF1133" s="190"/>
      <c r="AG1133" s="190"/>
      <c r="AH1133" s="191"/>
      <c r="AI1133" s="190"/>
      <c r="AJ1133" s="190"/>
      <c r="AK1133" s="190"/>
      <c r="AL1133" s="190"/>
      <c r="AM1133" s="190"/>
      <c r="AN1133" s="191"/>
      <c r="AO1133" s="190"/>
      <c r="AP1133" s="190"/>
      <c r="AQ1133" s="190"/>
      <c r="AR1133" s="190"/>
      <c r="AS1133" s="190"/>
      <c r="AT1133" s="191"/>
      <c r="AU1133" s="190"/>
      <c r="AV1133" s="190"/>
      <c r="AW1133" s="190"/>
      <c r="AX1133" s="190"/>
      <c r="AY1133" s="190"/>
      <c r="AZ1133" s="191"/>
      <c r="BA1133" s="183"/>
      <c r="BB1133" s="183"/>
      <c r="BC1133" s="183"/>
      <c r="BD1133" s="183"/>
      <c r="BE1133" s="183"/>
      <c r="BF1133" s="184"/>
      <c r="BG1133" s="183"/>
      <c r="BH1133" s="183"/>
      <c r="BI1133" s="183"/>
      <c r="BJ1133" s="183"/>
      <c r="BK1133" s="183"/>
      <c r="BL1133" s="184"/>
      <c r="BM1133" s="409"/>
      <c r="BN1133" s="409"/>
    </row>
    <row r="1134" spans="1:66" s="153" customFormat="1" x14ac:dyDescent="0.2">
      <c r="A1134" s="61"/>
      <c r="B1134" s="61"/>
      <c r="C1134" s="61"/>
      <c r="D1134" s="61"/>
      <c r="E1134" s="61"/>
      <c r="F1134" s="61"/>
      <c r="G1134" s="61"/>
      <c r="H1134" s="61"/>
      <c r="I1134" s="61"/>
      <c r="J1134" s="61"/>
      <c r="K1134" s="61"/>
      <c r="L1134" s="61"/>
      <c r="M1134" s="61"/>
      <c r="N1134" s="61"/>
      <c r="O1134" s="61"/>
      <c r="P1134" s="61"/>
      <c r="Q1134" s="61"/>
      <c r="R1134" s="61"/>
      <c r="S1134" s="61"/>
      <c r="T1134" s="35"/>
      <c r="U1134" s="187"/>
      <c r="V1134" s="190"/>
      <c r="W1134" s="190"/>
      <c r="X1134" s="190"/>
      <c r="Y1134" s="190"/>
      <c r="Z1134" s="190"/>
      <c r="AA1134" s="191"/>
      <c r="AB1134" s="190"/>
      <c r="AC1134" s="190"/>
      <c r="AD1134" s="190"/>
      <c r="AE1134" s="190"/>
      <c r="AF1134" s="190"/>
      <c r="AG1134" s="190"/>
      <c r="AH1134" s="191"/>
      <c r="AI1134" s="190"/>
      <c r="AJ1134" s="190"/>
      <c r="AK1134" s="190"/>
      <c r="AL1134" s="190"/>
      <c r="AM1134" s="190"/>
      <c r="AN1134" s="191"/>
      <c r="AO1134" s="190"/>
      <c r="AP1134" s="190"/>
      <c r="AQ1134" s="190"/>
      <c r="AR1134" s="190"/>
      <c r="AS1134" s="190"/>
      <c r="AT1134" s="191"/>
      <c r="AU1134" s="190"/>
      <c r="AV1134" s="190"/>
      <c r="AW1134" s="190"/>
      <c r="AX1134" s="190"/>
      <c r="AY1134" s="190"/>
      <c r="AZ1134" s="191"/>
      <c r="BA1134" s="183"/>
      <c r="BB1134" s="183"/>
      <c r="BC1134" s="183"/>
      <c r="BD1134" s="183"/>
      <c r="BE1134" s="183"/>
      <c r="BF1134" s="184"/>
      <c r="BG1134" s="183"/>
      <c r="BH1134" s="183"/>
      <c r="BI1134" s="183"/>
      <c r="BJ1134" s="183"/>
      <c r="BK1134" s="183"/>
      <c r="BL1134" s="184"/>
      <c r="BM1134" s="409"/>
      <c r="BN1134" s="409"/>
    </row>
    <row r="1135" spans="1:66" s="153" customFormat="1" x14ac:dyDescent="0.2">
      <c r="A1135" s="61"/>
      <c r="B1135" s="61"/>
      <c r="C1135" s="61"/>
      <c r="D1135" s="61"/>
      <c r="E1135" s="61"/>
      <c r="F1135" s="61"/>
      <c r="G1135" s="61"/>
      <c r="H1135" s="61"/>
      <c r="I1135" s="61"/>
      <c r="J1135" s="61"/>
      <c r="K1135" s="61"/>
      <c r="L1135" s="61"/>
      <c r="M1135" s="61"/>
      <c r="N1135" s="61"/>
      <c r="O1135" s="61"/>
      <c r="P1135" s="61"/>
      <c r="Q1135" s="61"/>
      <c r="R1135" s="61"/>
      <c r="S1135" s="61"/>
      <c r="T1135" s="35"/>
      <c r="U1135" s="187"/>
      <c r="V1135" s="190"/>
      <c r="W1135" s="190"/>
      <c r="X1135" s="190"/>
      <c r="Y1135" s="190"/>
      <c r="Z1135" s="190"/>
      <c r="AA1135" s="191"/>
      <c r="AB1135" s="190"/>
      <c r="AC1135" s="190"/>
      <c r="AD1135" s="190"/>
      <c r="AE1135" s="190"/>
      <c r="AF1135" s="190"/>
      <c r="AG1135" s="190"/>
      <c r="AH1135" s="191"/>
      <c r="AI1135" s="190"/>
      <c r="AJ1135" s="190"/>
      <c r="AK1135" s="190"/>
      <c r="AL1135" s="190"/>
      <c r="AM1135" s="190"/>
      <c r="AN1135" s="191"/>
      <c r="AO1135" s="190"/>
      <c r="AP1135" s="190"/>
      <c r="AQ1135" s="190"/>
      <c r="AR1135" s="190"/>
      <c r="AS1135" s="190"/>
      <c r="AT1135" s="191"/>
      <c r="AU1135" s="190"/>
      <c r="AV1135" s="190"/>
      <c r="AW1135" s="190"/>
      <c r="AX1135" s="190"/>
      <c r="AY1135" s="190"/>
      <c r="AZ1135" s="191"/>
      <c r="BA1135" s="183"/>
      <c r="BB1135" s="183"/>
      <c r="BC1135" s="183"/>
      <c r="BD1135" s="183"/>
      <c r="BE1135" s="183"/>
      <c r="BF1135" s="184"/>
      <c r="BG1135" s="183"/>
      <c r="BH1135" s="183"/>
      <c r="BI1135" s="183"/>
      <c r="BJ1135" s="183"/>
      <c r="BK1135" s="183"/>
      <c r="BL1135" s="184"/>
      <c r="BM1135" s="409"/>
      <c r="BN1135" s="409"/>
    </row>
    <row r="1136" spans="1:66" s="153" customFormat="1" x14ac:dyDescent="0.2">
      <c r="A1136" s="61"/>
      <c r="B1136" s="61"/>
      <c r="C1136" s="61"/>
      <c r="D1136" s="61"/>
      <c r="E1136" s="61"/>
      <c r="F1136" s="61"/>
      <c r="G1136" s="61"/>
      <c r="H1136" s="61"/>
      <c r="I1136" s="61"/>
      <c r="J1136" s="61"/>
      <c r="K1136" s="61"/>
      <c r="L1136" s="61"/>
      <c r="M1136" s="61"/>
      <c r="N1136" s="61"/>
      <c r="O1136" s="61"/>
      <c r="P1136" s="61"/>
      <c r="Q1136" s="61"/>
      <c r="R1136" s="61"/>
      <c r="S1136" s="61"/>
      <c r="T1136" s="35"/>
      <c r="U1136" s="187"/>
      <c r="V1136" s="190"/>
      <c r="W1136" s="190"/>
      <c r="X1136" s="190"/>
      <c r="Y1136" s="190"/>
      <c r="Z1136" s="190"/>
      <c r="AA1136" s="191"/>
      <c r="AB1136" s="190"/>
      <c r="AC1136" s="190"/>
      <c r="AD1136" s="190"/>
      <c r="AE1136" s="190"/>
      <c r="AF1136" s="190"/>
      <c r="AG1136" s="190"/>
      <c r="AH1136" s="191"/>
      <c r="AI1136" s="190"/>
      <c r="AJ1136" s="190"/>
      <c r="AK1136" s="190"/>
      <c r="AL1136" s="190"/>
      <c r="AM1136" s="190"/>
      <c r="AN1136" s="191"/>
      <c r="AO1136" s="190"/>
      <c r="AP1136" s="190"/>
      <c r="AQ1136" s="190"/>
      <c r="AR1136" s="190"/>
      <c r="AS1136" s="190"/>
      <c r="AT1136" s="191"/>
      <c r="AU1136" s="190"/>
      <c r="AV1136" s="190"/>
      <c r="AW1136" s="190"/>
      <c r="AX1136" s="190"/>
      <c r="AY1136" s="190"/>
      <c r="AZ1136" s="191"/>
      <c r="BA1136" s="183"/>
      <c r="BB1136" s="183"/>
      <c r="BC1136" s="183"/>
      <c r="BD1136" s="183"/>
      <c r="BE1136" s="183"/>
      <c r="BF1136" s="184"/>
      <c r="BG1136" s="183"/>
      <c r="BH1136" s="183"/>
      <c r="BI1136" s="183"/>
      <c r="BJ1136" s="183"/>
      <c r="BK1136" s="183"/>
      <c r="BL1136" s="184"/>
      <c r="BM1136" s="409"/>
      <c r="BN1136" s="409"/>
    </row>
    <row r="1137" spans="1:66" s="153" customFormat="1" x14ac:dyDescent="0.2">
      <c r="A1137" s="61"/>
      <c r="B1137" s="61"/>
      <c r="C1137" s="61"/>
      <c r="D1137" s="61"/>
      <c r="E1137" s="61"/>
      <c r="F1137" s="61"/>
      <c r="G1137" s="61"/>
      <c r="H1137" s="61"/>
      <c r="I1137" s="61"/>
      <c r="J1137" s="61"/>
      <c r="K1137" s="61"/>
      <c r="L1137" s="61"/>
      <c r="M1137" s="61"/>
      <c r="N1137" s="61"/>
      <c r="O1137" s="61"/>
      <c r="P1137" s="61"/>
      <c r="Q1137" s="61"/>
      <c r="R1137" s="61"/>
      <c r="S1137" s="61"/>
      <c r="T1137" s="35"/>
      <c r="U1137" s="187"/>
      <c r="V1137" s="190"/>
      <c r="W1137" s="190"/>
      <c r="X1137" s="190"/>
      <c r="Y1137" s="190"/>
      <c r="Z1137" s="190"/>
      <c r="AA1137" s="191"/>
      <c r="AB1137" s="190"/>
      <c r="AC1137" s="190"/>
      <c r="AD1137" s="190"/>
      <c r="AE1137" s="190"/>
      <c r="AF1137" s="190"/>
      <c r="AG1137" s="190"/>
      <c r="AH1137" s="191"/>
      <c r="AI1137" s="190"/>
      <c r="AJ1137" s="190"/>
      <c r="AK1137" s="190"/>
      <c r="AL1137" s="190"/>
      <c r="AM1137" s="190"/>
      <c r="AN1137" s="191"/>
      <c r="AO1137" s="190"/>
      <c r="AP1137" s="190"/>
      <c r="AQ1137" s="190"/>
      <c r="AR1137" s="190"/>
      <c r="AS1137" s="190"/>
      <c r="AT1137" s="191"/>
      <c r="AU1137" s="190"/>
      <c r="AV1137" s="190"/>
      <c r="AW1137" s="190"/>
      <c r="AX1137" s="190"/>
      <c r="AY1137" s="190"/>
      <c r="AZ1137" s="191"/>
      <c r="BA1137" s="183"/>
      <c r="BB1137" s="183"/>
      <c r="BC1137" s="183"/>
      <c r="BD1137" s="183"/>
      <c r="BE1137" s="183"/>
      <c r="BF1137" s="184"/>
      <c r="BG1137" s="183"/>
      <c r="BH1137" s="183"/>
      <c r="BI1137" s="183"/>
      <c r="BJ1137" s="183"/>
      <c r="BK1137" s="183"/>
      <c r="BL1137" s="184"/>
      <c r="BM1137" s="409"/>
      <c r="BN1137" s="409"/>
    </row>
    <row r="1138" spans="1:66" s="153" customFormat="1" x14ac:dyDescent="0.2">
      <c r="A1138" s="61"/>
      <c r="B1138" s="61"/>
      <c r="C1138" s="61"/>
      <c r="D1138" s="61"/>
      <c r="E1138" s="61"/>
      <c r="F1138" s="61"/>
      <c r="G1138" s="61"/>
      <c r="H1138" s="61"/>
      <c r="I1138" s="61"/>
      <c r="J1138" s="61"/>
      <c r="K1138" s="61"/>
      <c r="L1138" s="61"/>
      <c r="M1138" s="61"/>
      <c r="N1138" s="61"/>
      <c r="O1138" s="61"/>
      <c r="P1138" s="61"/>
      <c r="Q1138" s="61"/>
      <c r="R1138" s="61"/>
      <c r="S1138" s="61"/>
      <c r="T1138" s="35"/>
      <c r="U1138" s="187"/>
      <c r="V1138" s="190"/>
      <c r="W1138" s="190"/>
      <c r="X1138" s="190"/>
      <c r="Y1138" s="190"/>
      <c r="Z1138" s="190"/>
      <c r="AA1138" s="191"/>
      <c r="AB1138" s="190"/>
      <c r="AC1138" s="190"/>
      <c r="AD1138" s="190"/>
      <c r="AE1138" s="190"/>
      <c r="AF1138" s="190"/>
      <c r="AG1138" s="190"/>
      <c r="AH1138" s="191"/>
      <c r="AI1138" s="190"/>
      <c r="AJ1138" s="190"/>
      <c r="AK1138" s="190"/>
      <c r="AL1138" s="190"/>
      <c r="AM1138" s="190"/>
      <c r="AN1138" s="191"/>
      <c r="AO1138" s="190"/>
      <c r="AP1138" s="190"/>
      <c r="AQ1138" s="190"/>
      <c r="AR1138" s="190"/>
      <c r="AS1138" s="190"/>
      <c r="AT1138" s="191"/>
      <c r="AU1138" s="190"/>
      <c r="AV1138" s="190"/>
      <c r="AW1138" s="190"/>
      <c r="AX1138" s="190"/>
      <c r="AY1138" s="190"/>
      <c r="AZ1138" s="191"/>
      <c r="BA1138" s="183"/>
      <c r="BB1138" s="183"/>
      <c r="BC1138" s="183"/>
      <c r="BD1138" s="183"/>
      <c r="BE1138" s="183"/>
      <c r="BF1138" s="184"/>
      <c r="BG1138" s="183"/>
      <c r="BH1138" s="183"/>
      <c r="BI1138" s="183"/>
      <c r="BJ1138" s="183"/>
      <c r="BK1138" s="183"/>
      <c r="BL1138" s="184"/>
      <c r="BM1138" s="409"/>
      <c r="BN1138" s="409"/>
    </row>
    <row r="1139" spans="1:66" s="153" customFormat="1" x14ac:dyDescent="0.2">
      <c r="A1139" s="61"/>
      <c r="B1139" s="61"/>
      <c r="C1139" s="61"/>
      <c r="D1139" s="61"/>
      <c r="E1139" s="61"/>
      <c r="F1139" s="61"/>
      <c r="G1139" s="61"/>
      <c r="H1139" s="61"/>
      <c r="I1139" s="61"/>
      <c r="J1139" s="61"/>
      <c r="K1139" s="61"/>
      <c r="L1139" s="61"/>
      <c r="M1139" s="61"/>
      <c r="N1139" s="61"/>
      <c r="O1139" s="61"/>
      <c r="P1139" s="61"/>
      <c r="Q1139" s="61"/>
      <c r="R1139" s="61"/>
      <c r="S1139" s="61"/>
      <c r="T1139" s="35"/>
      <c r="U1139" s="187"/>
      <c r="V1139" s="190"/>
      <c r="W1139" s="190"/>
      <c r="X1139" s="190"/>
      <c r="Y1139" s="190"/>
      <c r="Z1139" s="190"/>
      <c r="AA1139" s="191"/>
      <c r="AB1139" s="190"/>
      <c r="AC1139" s="190"/>
      <c r="AD1139" s="190"/>
      <c r="AE1139" s="190"/>
      <c r="AF1139" s="190"/>
      <c r="AG1139" s="190"/>
      <c r="AH1139" s="191"/>
      <c r="AI1139" s="190"/>
      <c r="AJ1139" s="190"/>
      <c r="AK1139" s="190"/>
      <c r="AL1139" s="190"/>
      <c r="AM1139" s="190"/>
      <c r="AN1139" s="191"/>
      <c r="AO1139" s="190"/>
      <c r="AP1139" s="190"/>
      <c r="AQ1139" s="190"/>
      <c r="AR1139" s="190"/>
      <c r="AS1139" s="190"/>
      <c r="AT1139" s="191"/>
      <c r="AU1139" s="190"/>
      <c r="AV1139" s="190"/>
      <c r="AW1139" s="190"/>
      <c r="AX1139" s="190"/>
      <c r="AY1139" s="190"/>
      <c r="AZ1139" s="191"/>
      <c r="BA1139" s="183"/>
      <c r="BB1139" s="183"/>
      <c r="BC1139" s="183"/>
      <c r="BD1139" s="183"/>
      <c r="BE1139" s="183"/>
      <c r="BF1139" s="184"/>
      <c r="BG1139" s="183"/>
      <c r="BH1139" s="183"/>
      <c r="BI1139" s="183"/>
      <c r="BJ1139" s="183"/>
      <c r="BK1139" s="183"/>
      <c r="BL1139" s="184"/>
      <c r="BM1139" s="409"/>
      <c r="BN1139" s="409"/>
    </row>
    <row r="1140" spans="1:66" s="153" customFormat="1" x14ac:dyDescent="0.2">
      <c r="A1140" s="61"/>
      <c r="B1140" s="61"/>
      <c r="C1140" s="61"/>
      <c r="D1140" s="61"/>
      <c r="E1140" s="61"/>
      <c r="F1140" s="61"/>
      <c r="G1140" s="61"/>
      <c r="H1140" s="61"/>
      <c r="I1140" s="61"/>
      <c r="J1140" s="61"/>
      <c r="K1140" s="61"/>
      <c r="L1140" s="61"/>
      <c r="M1140" s="61"/>
      <c r="N1140" s="61"/>
      <c r="O1140" s="61"/>
      <c r="P1140" s="61"/>
      <c r="Q1140" s="61"/>
      <c r="R1140" s="61"/>
      <c r="S1140" s="61"/>
      <c r="T1140" s="35"/>
      <c r="U1140" s="187"/>
      <c r="V1140" s="190"/>
      <c r="W1140" s="190"/>
      <c r="X1140" s="190"/>
      <c r="Y1140" s="190"/>
      <c r="Z1140" s="190"/>
      <c r="AA1140" s="191"/>
      <c r="AB1140" s="190"/>
      <c r="AC1140" s="190"/>
      <c r="AD1140" s="190"/>
      <c r="AE1140" s="190"/>
      <c r="AF1140" s="190"/>
      <c r="AG1140" s="190"/>
      <c r="AH1140" s="191"/>
      <c r="AI1140" s="190"/>
      <c r="AJ1140" s="190"/>
      <c r="AK1140" s="190"/>
      <c r="AL1140" s="190"/>
      <c r="AM1140" s="190"/>
      <c r="AN1140" s="191"/>
      <c r="AO1140" s="190"/>
      <c r="AP1140" s="190"/>
      <c r="AQ1140" s="190"/>
      <c r="AR1140" s="190"/>
      <c r="AS1140" s="190"/>
      <c r="AT1140" s="191"/>
      <c r="AU1140" s="190"/>
      <c r="AV1140" s="190"/>
      <c r="AW1140" s="190"/>
      <c r="AX1140" s="190"/>
      <c r="AY1140" s="190"/>
      <c r="AZ1140" s="191"/>
      <c r="BA1140" s="183"/>
      <c r="BB1140" s="183"/>
      <c r="BC1140" s="183"/>
      <c r="BD1140" s="183"/>
      <c r="BE1140" s="183"/>
      <c r="BF1140" s="184"/>
      <c r="BG1140" s="183"/>
      <c r="BH1140" s="183"/>
      <c r="BI1140" s="183"/>
      <c r="BJ1140" s="183"/>
      <c r="BK1140" s="183"/>
      <c r="BL1140" s="184"/>
      <c r="BM1140" s="409"/>
      <c r="BN1140" s="409"/>
    </row>
    <row r="1141" spans="1:66" s="153" customFormat="1" x14ac:dyDescent="0.2">
      <c r="A1141" s="61"/>
      <c r="B1141" s="61"/>
      <c r="C1141" s="61"/>
      <c r="D1141" s="61"/>
      <c r="E1141" s="61"/>
      <c r="F1141" s="61"/>
      <c r="G1141" s="61"/>
      <c r="H1141" s="61"/>
      <c r="I1141" s="61"/>
      <c r="J1141" s="61"/>
      <c r="K1141" s="61"/>
      <c r="L1141" s="61"/>
      <c r="M1141" s="61"/>
      <c r="N1141" s="61"/>
      <c r="O1141" s="61"/>
      <c r="P1141" s="61"/>
      <c r="Q1141" s="61"/>
      <c r="R1141" s="61"/>
      <c r="S1141" s="61"/>
      <c r="T1141" s="35"/>
      <c r="U1141" s="187"/>
      <c r="V1141" s="190"/>
      <c r="W1141" s="190"/>
      <c r="X1141" s="190"/>
      <c r="Y1141" s="190"/>
      <c r="Z1141" s="190"/>
      <c r="AA1141" s="191"/>
      <c r="AB1141" s="190"/>
      <c r="AC1141" s="190"/>
      <c r="AD1141" s="190"/>
      <c r="AE1141" s="190"/>
      <c r="AF1141" s="190"/>
      <c r="AG1141" s="190"/>
      <c r="AH1141" s="191"/>
      <c r="AI1141" s="190"/>
      <c r="AJ1141" s="190"/>
      <c r="AK1141" s="190"/>
      <c r="AL1141" s="190"/>
      <c r="AM1141" s="190"/>
      <c r="AN1141" s="191"/>
      <c r="AO1141" s="190"/>
      <c r="AP1141" s="190"/>
      <c r="AQ1141" s="190"/>
      <c r="AR1141" s="190"/>
      <c r="AS1141" s="190"/>
      <c r="AT1141" s="191"/>
      <c r="AU1141" s="190"/>
      <c r="AV1141" s="190"/>
      <c r="AW1141" s="190"/>
      <c r="AX1141" s="190"/>
      <c r="AY1141" s="190"/>
      <c r="AZ1141" s="191"/>
      <c r="BA1141" s="183"/>
      <c r="BB1141" s="183"/>
      <c r="BC1141" s="183"/>
      <c r="BD1141" s="183"/>
      <c r="BE1141" s="183"/>
      <c r="BF1141" s="184"/>
      <c r="BG1141" s="183"/>
      <c r="BH1141" s="183"/>
      <c r="BI1141" s="183"/>
      <c r="BJ1141" s="183"/>
      <c r="BK1141" s="183"/>
      <c r="BL1141" s="184"/>
      <c r="BM1141" s="409"/>
      <c r="BN1141" s="409"/>
    </row>
    <row r="1142" spans="1:66" s="153" customFormat="1" x14ac:dyDescent="0.2">
      <c r="A1142" s="61"/>
      <c r="B1142" s="61"/>
      <c r="C1142" s="61"/>
      <c r="D1142" s="61"/>
      <c r="E1142" s="61"/>
      <c r="F1142" s="61"/>
      <c r="G1142" s="61"/>
      <c r="H1142" s="61"/>
      <c r="I1142" s="61"/>
      <c r="J1142" s="61"/>
      <c r="K1142" s="61"/>
      <c r="L1142" s="61"/>
      <c r="M1142" s="61"/>
      <c r="N1142" s="61"/>
      <c r="O1142" s="61"/>
      <c r="P1142" s="61"/>
      <c r="Q1142" s="61"/>
      <c r="R1142" s="61"/>
      <c r="S1142" s="61"/>
      <c r="T1142" s="35"/>
      <c r="U1142" s="187"/>
      <c r="V1142" s="190"/>
      <c r="W1142" s="190"/>
      <c r="X1142" s="190"/>
      <c r="Y1142" s="190"/>
      <c r="Z1142" s="190"/>
      <c r="AA1142" s="191"/>
      <c r="AB1142" s="190"/>
      <c r="AC1142" s="190"/>
      <c r="AD1142" s="190"/>
      <c r="AE1142" s="190"/>
      <c r="AF1142" s="190"/>
      <c r="AG1142" s="190"/>
      <c r="AH1142" s="191"/>
      <c r="AI1142" s="190"/>
      <c r="AJ1142" s="190"/>
      <c r="AK1142" s="190"/>
      <c r="AL1142" s="190"/>
      <c r="AM1142" s="190"/>
      <c r="AN1142" s="191"/>
      <c r="AO1142" s="190"/>
      <c r="AP1142" s="190"/>
      <c r="AQ1142" s="190"/>
      <c r="AR1142" s="190"/>
      <c r="AS1142" s="190"/>
      <c r="AT1142" s="191"/>
      <c r="AU1142" s="190"/>
      <c r="AV1142" s="190"/>
      <c r="AW1142" s="190"/>
      <c r="AX1142" s="190"/>
      <c r="AY1142" s="190"/>
      <c r="AZ1142" s="191"/>
      <c r="BA1142" s="183"/>
      <c r="BB1142" s="183"/>
      <c r="BC1142" s="183"/>
      <c r="BD1142" s="183"/>
      <c r="BE1142" s="183"/>
      <c r="BF1142" s="184"/>
      <c r="BG1142" s="183"/>
      <c r="BH1142" s="183"/>
      <c r="BI1142" s="183"/>
      <c r="BJ1142" s="183"/>
      <c r="BK1142" s="183"/>
      <c r="BL1142" s="184"/>
      <c r="BM1142" s="409"/>
      <c r="BN1142" s="409"/>
    </row>
    <row r="1143" spans="1:66" s="153" customFormat="1" x14ac:dyDescent="0.2">
      <c r="A1143" s="61"/>
      <c r="B1143" s="61"/>
      <c r="C1143" s="61"/>
      <c r="D1143" s="61"/>
      <c r="E1143" s="61"/>
      <c r="F1143" s="61"/>
      <c r="G1143" s="61"/>
      <c r="H1143" s="61"/>
      <c r="I1143" s="61"/>
      <c r="J1143" s="61"/>
      <c r="K1143" s="61"/>
      <c r="L1143" s="61"/>
      <c r="M1143" s="61"/>
      <c r="N1143" s="61"/>
      <c r="O1143" s="61"/>
      <c r="P1143" s="61"/>
      <c r="Q1143" s="61"/>
      <c r="R1143" s="61"/>
      <c r="S1143" s="61"/>
      <c r="T1143" s="35"/>
      <c r="U1143" s="187"/>
      <c r="V1143" s="190"/>
      <c r="W1143" s="190"/>
      <c r="X1143" s="190"/>
      <c r="Y1143" s="190"/>
      <c r="Z1143" s="190"/>
      <c r="AA1143" s="191"/>
      <c r="AB1143" s="190"/>
      <c r="AC1143" s="190"/>
      <c r="AD1143" s="190"/>
      <c r="AE1143" s="190"/>
      <c r="AF1143" s="190"/>
      <c r="AG1143" s="190"/>
      <c r="AH1143" s="191"/>
      <c r="AI1143" s="190"/>
      <c r="AJ1143" s="190"/>
      <c r="AK1143" s="190"/>
      <c r="AL1143" s="190"/>
      <c r="AM1143" s="190"/>
      <c r="AN1143" s="191"/>
      <c r="AO1143" s="190"/>
      <c r="AP1143" s="190"/>
      <c r="AQ1143" s="190"/>
      <c r="AR1143" s="190"/>
      <c r="AS1143" s="190"/>
      <c r="AT1143" s="191"/>
      <c r="AU1143" s="190"/>
      <c r="AV1143" s="190"/>
      <c r="AW1143" s="190"/>
      <c r="AX1143" s="190"/>
      <c r="AY1143" s="190"/>
      <c r="AZ1143" s="191"/>
      <c r="BA1143" s="183"/>
      <c r="BB1143" s="183"/>
      <c r="BC1143" s="183"/>
      <c r="BD1143" s="183"/>
      <c r="BE1143" s="183"/>
      <c r="BF1143" s="184"/>
      <c r="BG1143" s="183"/>
      <c r="BH1143" s="183"/>
      <c r="BI1143" s="183"/>
      <c r="BJ1143" s="183"/>
      <c r="BK1143" s="183"/>
      <c r="BL1143" s="184"/>
      <c r="BM1143" s="409"/>
      <c r="BN1143" s="409"/>
    </row>
    <row r="1144" spans="1:66" s="153" customFormat="1" x14ac:dyDescent="0.2">
      <c r="A1144" s="61"/>
      <c r="B1144" s="61"/>
      <c r="C1144" s="61"/>
      <c r="D1144" s="61"/>
      <c r="E1144" s="61"/>
      <c r="F1144" s="61"/>
      <c r="G1144" s="61"/>
      <c r="H1144" s="61"/>
      <c r="I1144" s="61"/>
      <c r="J1144" s="61"/>
      <c r="K1144" s="61"/>
      <c r="L1144" s="61"/>
      <c r="M1144" s="61"/>
      <c r="N1144" s="61"/>
      <c r="O1144" s="61"/>
      <c r="P1144" s="61"/>
      <c r="Q1144" s="61"/>
      <c r="R1144" s="61"/>
      <c r="S1144" s="61"/>
      <c r="T1144" s="35"/>
      <c r="U1144" s="187"/>
      <c r="V1144" s="190"/>
      <c r="W1144" s="190"/>
      <c r="X1144" s="190"/>
      <c r="Y1144" s="190"/>
      <c r="Z1144" s="190"/>
      <c r="AA1144" s="191"/>
      <c r="AB1144" s="190"/>
      <c r="AC1144" s="190"/>
      <c r="AD1144" s="190"/>
      <c r="AE1144" s="190"/>
      <c r="AF1144" s="190"/>
      <c r="AG1144" s="190"/>
      <c r="AH1144" s="191"/>
      <c r="AI1144" s="190"/>
      <c r="AJ1144" s="190"/>
      <c r="AK1144" s="190"/>
      <c r="AL1144" s="190"/>
      <c r="AM1144" s="190"/>
      <c r="AN1144" s="191"/>
      <c r="AO1144" s="190"/>
      <c r="AP1144" s="190"/>
      <c r="AQ1144" s="190"/>
      <c r="AR1144" s="190"/>
      <c r="AS1144" s="190"/>
      <c r="AT1144" s="191"/>
      <c r="AU1144" s="190"/>
      <c r="AV1144" s="190"/>
      <c r="AW1144" s="190"/>
      <c r="AX1144" s="190"/>
      <c r="AY1144" s="190"/>
      <c r="AZ1144" s="191"/>
      <c r="BA1144" s="183"/>
      <c r="BB1144" s="183"/>
      <c r="BC1144" s="183"/>
      <c r="BD1144" s="183"/>
      <c r="BE1144" s="183"/>
      <c r="BF1144" s="184"/>
      <c r="BG1144" s="183"/>
      <c r="BH1144" s="183"/>
      <c r="BI1144" s="183"/>
      <c r="BJ1144" s="183"/>
      <c r="BK1144" s="183"/>
      <c r="BL1144" s="184"/>
      <c r="BM1144" s="409"/>
      <c r="BN1144" s="409"/>
    </row>
    <row r="1145" spans="1:66" s="153" customFormat="1" x14ac:dyDescent="0.2">
      <c r="A1145" s="61"/>
      <c r="B1145" s="61"/>
      <c r="C1145" s="61"/>
      <c r="D1145" s="61"/>
      <c r="E1145" s="61"/>
      <c r="F1145" s="61"/>
      <c r="G1145" s="61"/>
      <c r="H1145" s="61"/>
      <c r="I1145" s="61"/>
      <c r="J1145" s="61"/>
      <c r="K1145" s="61"/>
      <c r="L1145" s="61"/>
      <c r="M1145" s="61"/>
      <c r="N1145" s="61"/>
      <c r="O1145" s="61"/>
      <c r="P1145" s="61"/>
      <c r="Q1145" s="61"/>
      <c r="R1145" s="61"/>
      <c r="S1145" s="61"/>
      <c r="T1145" s="35"/>
      <c r="U1145" s="187"/>
      <c r="V1145" s="190"/>
      <c r="W1145" s="190"/>
      <c r="X1145" s="190"/>
      <c r="Y1145" s="190"/>
      <c r="Z1145" s="190"/>
      <c r="AA1145" s="191"/>
      <c r="AB1145" s="190"/>
      <c r="AC1145" s="190"/>
      <c r="AD1145" s="190"/>
      <c r="AE1145" s="190"/>
      <c r="AF1145" s="190"/>
      <c r="AG1145" s="190"/>
      <c r="AH1145" s="191"/>
      <c r="AI1145" s="190"/>
      <c r="AJ1145" s="190"/>
      <c r="AK1145" s="190"/>
      <c r="AL1145" s="190"/>
      <c r="AM1145" s="190"/>
      <c r="AN1145" s="191"/>
      <c r="AO1145" s="190"/>
      <c r="AP1145" s="190"/>
      <c r="AQ1145" s="190"/>
      <c r="AR1145" s="190"/>
      <c r="AS1145" s="190"/>
      <c r="AT1145" s="191"/>
      <c r="AU1145" s="190"/>
      <c r="AV1145" s="190"/>
      <c r="AW1145" s="190"/>
      <c r="AX1145" s="190"/>
      <c r="AY1145" s="190"/>
      <c r="AZ1145" s="191"/>
      <c r="BA1145" s="183"/>
      <c r="BB1145" s="183"/>
      <c r="BC1145" s="183"/>
      <c r="BD1145" s="183"/>
      <c r="BE1145" s="183"/>
      <c r="BF1145" s="184"/>
      <c r="BG1145" s="183"/>
      <c r="BH1145" s="183"/>
      <c r="BI1145" s="183"/>
      <c r="BJ1145" s="183"/>
      <c r="BK1145" s="183"/>
      <c r="BL1145" s="184"/>
      <c r="BM1145" s="409"/>
      <c r="BN1145" s="409"/>
    </row>
    <row r="1146" spans="1:66" s="153" customFormat="1" x14ac:dyDescent="0.2">
      <c r="A1146" s="61"/>
      <c r="B1146" s="61"/>
      <c r="C1146" s="61"/>
      <c r="D1146" s="61"/>
      <c r="E1146" s="61"/>
      <c r="F1146" s="61"/>
      <c r="G1146" s="61"/>
      <c r="H1146" s="61"/>
      <c r="I1146" s="61"/>
      <c r="J1146" s="61"/>
      <c r="K1146" s="61"/>
      <c r="L1146" s="61"/>
      <c r="M1146" s="61"/>
      <c r="N1146" s="61"/>
      <c r="O1146" s="61"/>
      <c r="P1146" s="61"/>
      <c r="Q1146" s="61"/>
      <c r="R1146" s="61"/>
      <c r="S1146" s="61"/>
      <c r="T1146" s="35"/>
      <c r="U1146" s="187"/>
      <c r="V1146" s="190"/>
      <c r="W1146" s="190"/>
      <c r="X1146" s="190"/>
      <c r="Y1146" s="190"/>
      <c r="Z1146" s="190"/>
      <c r="AA1146" s="191"/>
      <c r="AB1146" s="190"/>
      <c r="AC1146" s="190"/>
      <c r="AD1146" s="190"/>
      <c r="AE1146" s="190"/>
      <c r="AF1146" s="190"/>
      <c r="AG1146" s="190"/>
      <c r="AH1146" s="191"/>
      <c r="AI1146" s="190"/>
      <c r="AJ1146" s="190"/>
      <c r="AK1146" s="190"/>
      <c r="AL1146" s="190"/>
      <c r="AM1146" s="190"/>
      <c r="AN1146" s="191"/>
      <c r="AO1146" s="190"/>
      <c r="AP1146" s="190"/>
      <c r="AQ1146" s="190"/>
      <c r="AR1146" s="190"/>
      <c r="AS1146" s="190"/>
      <c r="AT1146" s="191"/>
      <c r="AU1146" s="190"/>
      <c r="AV1146" s="190"/>
      <c r="AW1146" s="190"/>
      <c r="AX1146" s="190"/>
      <c r="AY1146" s="190"/>
      <c r="AZ1146" s="191"/>
      <c r="BA1146" s="183"/>
      <c r="BB1146" s="183"/>
      <c r="BC1146" s="183"/>
      <c r="BD1146" s="183"/>
      <c r="BE1146" s="183"/>
      <c r="BF1146" s="184"/>
      <c r="BG1146" s="183"/>
      <c r="BH1146" s="183"/>
      <c r="BI1146" s="183"/>
      <c r="BJ1146" s="183"/>
      <c r="BK1146" s="183"/>
      <c r="BL1146" s="184"/>
      <c r="BM1146" s="409"/>
      <c r="BN1146" s="409"/>
    </row>
    <row r="1147" spans="1:66" s="153" customFormat="1" x14ac:dyDescent="0.2">
      <c r="A1147" s="61"/>
      <c r="B1147" s="61"/>
      <c r="C1147" s="61"/>
      <c r="D1147" s="61"/>
      <c r="E1147" s="61"/>
      <c r="F1147" s="61"/>
      <c r="G1147" s="61"/>
      <c r="H1147" s="61"/>
      <c r="I1147" s="61"/>
      <c r="J1147" s="61"/>
      <c r="K1147" s="61"/>
      <c r="L1147" s="61"/>
      <c r="M1147" s="61"/>
      <c r="N1147" s="61"/>
      <c r="O1147" s="61"/>
      <c r="P1147" s="61"/>
      <c r="Q1147" s="61"/>
      <c r="R1147" s="61"/>
      <c r="S1147" s="61"/>
      <c r="T1147" s="35"/>
      <c r="U1147" s="187"/>
      <c r="V1147" s="190"/>
      <c r="W1147" s="190"/>
      <c r="X1147" s="190"/>
      <c r="Y1147" s="190"/>
      <c r="Z1147" s="190"/>
      <c r="AA1147" s="191"/>
      <c r="AB1147" s="190"/>
      <c r="AC1147" s="190"/>
      <c r="AD1147" s="190"/>
      <c r="AE1147" s="190"/>
      <c r="AF1147" s="190"/>
      <c r="AG1147" s="190"/>
      <c r="AH1147" s="191"/>
      <c r="AI1147" s="190"/>
      <c r="AJ1147" s="190"/>
      <c r="AK1147" s="190"/>
      <c r="AL1147" s="190"/>
      <c r="AM1147" s="190"/>
      <c r="AN1147" s="191"/>
      <c r="AO1147" s="190"/>
      <c r="AP1147" s="190"/>
      <c r="AQ1147" s="190"/>
      <c r="AR1147" s="190"/>
      <c r="AS1147" s="190"/>
      <c r="AT1147" s="191"/>
      <c r="AU1147" s="190"/>
      <c r="AV1147" s="190"/>
      <c r="AW1147" s="190"/>
      <c r="AX1147" s="190"/>
      <c r="AY1147" s="190"/>
      <c r="AZ1147" s="191"/>
      <c r="BA1147" s="183"/>
      <c r="BB1147" s="183"/>
      <c r="BC1147" s="183"/>
      <c r="BD1147" s="183"/>
      <c r="BE1147" s="183"/>
      <c r="BF1147" s="184"/>
      <c r="BG1147" s="183"/>
      <c r="BH1147" s="183"/>
      <c r="BI1147" s="183"/>
      <c r="BJ1147" s="183"/>
      <c r="BK1147" s="183"/>
      <c r="BL1147" s="184"/>
      <c r="BM1147" s="409"/>
      <c r="BN1147" s="409"/>
    </row>
    <row r="1148" spans="1:66" s="153" customFormat="1" x14ac:dyDescent="0.2">
      <c r="A1148" s="61"/>
      <c r="B1148" s="61"/>
      <c r="C1148" s="61"/>
      <c r="D1148" s="61"/>
      <c r="E1148" s="61"/>
      <c r="F1148" s="61"/>
      <c r="G1148" s="61"/>
      <c r="H1148" s="61"/>
      <c r="I1148" s="61"/>
      <c r="J1148" s="61"/>
      <c r="K1148" s="61"/>
      <c r="L1148" s="61"/>
      <c r="M1148" s="61"/>
      <c r="N1148" s="61"/>
      <c r="O1148" s="61"/>
      <c r="P1148" s="61"/>
      <c r="Q1148" s="61"/>
      <c r="R1148" s="61"/>
      <c r="S1148" s="61"/>
      <c r="T1148" s="35"/>
      <c r="U1148" s="187"/>
      <c r="V1148" s="190"/>
      <c r="W1148" s="190"/>
      <c r="X1148" s="190"/>
      <c r="Y1148" s="190"/>
      <c r="Z1148" s="190"/>
      <c r="AA1148" s="191"/>
      <c r="AB1148" s="190"/>
      <c r="AC1148" s="190"/>
      <c r="AD1148" s="190"/>
      <c r="AE1148" s="190"/>
      <c r="AF1148" s="190"/>
      <c r="AG1148" s="190"/>
      <c r="AH1148" s="191"/>
      <c r="AI1148" s="190"/>
      <c r="AJ1148" s="190"/>
      <c r="AK1148" s="190"/>
      <c r="AL1148" s="190"/>
      <c r="AM1148" s="190"/>
      <c r="AN1148" s="191"/>
      <c r="AO1148" s="190"/>
      <c r="AP1148" s="190"/>
      <c r="AQ1148" s="190"/>
      <c r="AR1148" s="190"/>
      <c r="AS1148" s="190"/>
      <c r="AT1148" s="191"/>
      <c r="AU1148" s="190"/>
      <c r="AV1148" s="190"/>
      <c r="AW1148" s="190"/>
      <c r="AX1148" s="190"/>
      <c r="AY1148" s="190"/>
      <c r="AZ1148" s="191"/>
      <c r="BA1148" s="183"/>
      <c r="BB1148" s="183"/>
      <c r="BC1148" s="183"/>
      <c r="BD1148" s="183"/>
      <c r="BE1148" s="183"/>
      <c r="BF1148" s="184"/>
      <c r="BG1148" s="183"/>
      <c r="BH1148" s="183"/>
      <c r="BI1148" s="183"/>
      <c r="BJ1148" s="183"/>
      <c r="BK1148" s="183"/>
      <c r="BL1148" s="184"/>
      <c r="BM1148" s="409"/>
      <c r="BN1148" s="409"/>
    </row>
    <row r="1149" spans="1:66" s="153" customFormat="1" x14ac:dyDescent="0.2">
      <c r="A1149" s="61"/>
      <c r="B1149" s="61"/>
      <c r="C1149" s="61"/>
      <c r="D1149" s="61"/>
      <c r="E1149" s="61"/>
      <c r="F1149" s="61"/>
      <c r="G1149" s="61"/>
      <c r="H1149" s="61"/>
      <c r="I1149" s="61"/>
      <c r="J1149" s="61"/>
      <c r="K1149" s="61"/>
      <c r="L1149" s="61"/>
      <c r="M1149" s="61"/>
      <c r="N1149" s="61"/>
      <c r="O1149" s="61"/>
      <c r="P1149" s="61"/>
      <c r="Q1149" s="61"/>
      <c r="R1149" s="61"/>
      <c r="S1149" s="61"/>
      <c r="T1149" s="35"/>
      <c r="U1149" s="187"/>
      <c r="V1149" s="190"/>
      <c r="W1149" s="190"/>
      <c r="X1149" s="190"/>
      <c r="Y1149" s="190"/>
      <c r="Z1149" s="190"/>
      <c r="AA1149" s="191"/>
      <c r="AB1149" s="190"/>
      <c r="AC1149" s="190"/>
      <c r="AD1149" s="190"/>
      <c r="AE1149" s="190"/>
      <c r="AF1149" s="190"/>
      <c r="AG1149" s="190"/>
      <c r="AH1149" s="191"/>
      <c r="AI1149" s="190"/>
      <c r="AJ1149" s="190"/>
      <c r="AK1149" s="190"/>
      <c r="AL1149" s="190"/>
      <c r="AM1149" s="190"/>
      <c r="AN1149" s="191"/>
      <c r="AO1149" s="190"/>
      <c r="AP1149" s="190"/>
      <c r="AQ1149" s="190"/>
      <c r="AR1149" s="190"/>
      <c r="AS1149" s="190"/>
      <c r="AT1149" s="191"/>
      <c r="AU1149" s="190"/>
      <c r="AV1149" s="190"/>
      <c r="AW1149" s="190"/>
      <c r="AX1149" s="190"/>
      <c r="AY1149" s="190"/>
      <c r="AZ1149" s="191"/>
      <c r="BA1149" s="183"/>
      <c r="BB1149" s="183"/>
      <c r="BC1149" s="183"/>
      <c r="BD1149" s="183"/>
      <c r="BE1149" s="183"/>
      <c r="BF1149" s="184"/>
      <c r="BG1149" s="183"/>
      <c r="BH1149" s="183"/>
      <c r="BI1149" s="183"/>
      <c r="BJ1149" s="183"/>
      <c r="BK1149" s="183"/>
      <c r="BL1149" s="184"/>
      <c r="BM1149" s="409"/>
      <c r="BN1149" s="409"/>
    </row>
    <row r="1150" spans="1:66" s="153" customFormat="1" x14ac:dyDescent="0.2">
      <c r="A1150" s="61"/>
      <c r="B1150" s="61"/>
      <c r="C1150" s="61"/>
      <c r="D1150" s="61"/>
      <c r="E1150" s="61"/>
      <c r="F1150" s="61"/>
      <c r="G1150" s="61"/>
      <c r="H1150" s="61"/>
      <c r="I1150" s="61"/>
      <c r="J1150" s="61"/>
      <c r="K1150" s="61"/>
      <c r="L1150" s="61"/>
      <c r="M1150" s="61"/>
      <c r="N1150" s="61"/>
      <c r="O1150" s="61"/>
      <c r="P1150" s="61"/>
      <c r="Q1150" s="61"/>
      <c r="R1150" s="61"/>
      <c r="S1150" s="61"/>
      <c r="T1150" s="35"/>
      <c r="U1150" s="187"/>
      <c r="V1150" s="190"/>
      <c r="W1150" s="190"/>
      <c r="X1150" s="190"/>
      <c r="Y1150" s="190"/>
      <c r="Z1150" s="190"/>
      <c r="AA1150" s="191"/>
      <c r="AB1150" s="190"/>
      <c r="AC1150" s="190"/>
      <c r="AD1150" s="190"/>
      <c r="AE1150" s="190"/>
      <c r="AF1150" s="190"/>
      <c r="AG1150" s="190"/>
      <c r="AH1150" s="191"/>
      <c r="AI1150" s="190"/>
      <c r="AJ1150" s="190"/>
      <c r="AK1150" s="190"/>
      <c r="AL1150" s="190"/>
      <c r="AM1150" s="190"/>
      <c r="AN1150" s="191"/>
      <c r="AO1150" s="190"/>
      <c r="AP1150" s="190"/>
      <c r="AQ1150" s="190"/>
      <c r="AR1150" s="190"/>
      <c r="AS1150" s="190"/>
      <c r="AT1150" s="191"/>
      <c r="AU1150" s="190"/>
      <c r="AV1150" s="190"/>
      <c r="AW1150" s="190"/>
      <c r="AX1150" s="190"/>
      <c r="AY1150" s="190"/>
      <c r="AZ1150" s="191"/>
      <c r="BA1150" s="183"/>
      <c r="BB1150" s="183"/>
      <c r="BC1150" s="183"/>
      <c r="BD1150" s="183"/>
      <c r="BE1150" s="183"/>
      <c r="BF1150" s="184"/>
      <c r="BG1150" s="183"/>
      <c r="BH1150" s="183"/>
      <c r="BI1150" s="183"/>
      <c r="BJ1150" s="183"/>
      <c r="BK1150" s="183"/>
      <c r="BL1150" s="184"/>
      <c r="BM1150" s="409"/>
      <c r="BN1150" s="409"/>
    </row>
    <row r="1151" spans="1:66" s="153" customFormat="1" x14ac:dyDescent="0.2">
      <c r="A1151" s="61"/>
      <c r="B1151" s="61"/>
      <c r="C1151" s="61"/>
      <c r="D1151" s="61"/>
      <c r="E1151" s="61"/>
      <c r="F1151" s="61"/>
      <c r="G1151" s="61"/>
      <c r="H1151" s="61"/>
      <c r="I1151" s="61"/>
      <c r="J1151" s="61"/>
      <c r="K1151" s="61"/>
      <c r="L1151" s="61"/>
      <c r="M1151" s="61"/>
      <c r="N1151" s="61"/>
      <c r="O1151" s="61"/>
      <c r="P1151" s="61"/>
      <c r="Q1151" s="61"/>
      <c r="R1151" s="61"/>
      <c r="S1151" s="61"/>
      <c r="T1151" s="35"/>
      <c r="U1151" s="187"/>
      <c r="V1151" s="190"/>
      <c r="W1151" s="190"/>
      <c r="X1151" s="190"/>
      <c r="Y1151" s="190"/>
      <c r="Z1151" s="190"/>
      <c r="AA1151" s="191"/>
      <c r="AB1151" s="190"/>
      <c r="AC1151" s="190"/>
      <c r="AD1151" s="190"/>
      <c r="AE1151" s="190"/>
      <c r="AF1151" s="190"/>
      <c r="AG1151" s="190"/>
      <c r="AH1151" s="191"/>
      <c r="AI1151" s="190"/>
      <c r="AJ1151" s="190"/>
      <c r="AK1151" s="190"/>
      <c r="AL1151" s="190"/>
      <c r="AM1151" s="190"/>
      <c r="AN1151" s="191"/>
      <c r="AO1151" s="190"/>
      <c r="AP1151" s="190"/>
      <c r="AQ1151" s="190"/>
      <c r="AR1151" s="190"/>
      <c r="AS1151" s="190"/>
      <c r="AT1151" s="191"/>
      <c r="AU1151" s="190"/>
      <c r="AV1151" s="190"/>
      <c r="AW1151" s="190"/>
      <c r="AX1151" s="190"/>
      <c r="AY1151" s="190"/>
      <c r="AZ1151" s="191"/>
      <c r="BA1151" s="183"/>
      <c r="BB1151" s="183"/>
      <c r="BC1151" s="183"/>
      <c r="BD1151" s="183"/>
      <c r="BE1151" s="183"/>
      <c r="BF1151" s="184"/>
      <c r="BG1151" s="183"/>
      <c r="BH1151" s="183"/>
      <c r="BI1151" s="183"/>
      <c r="BJ1151" s="183"/>
      <c r="BK1151" s="183"/>
      <c r="BL1151" s="184"/>
      <c r="BM1151" s="409"/>
      <c r="BN1151" s="409"/>
    </row>
    <row r="1152" spans="1:66" s="153" customFormat="1" x14ac:dyDescent="0.2">
      <c r="A1152" s="61"/>
      <c r="B1152" s="61"/>
      <c r="C1152" s="61"/>
      <c r="D1152" s="61"/>
      <c r="E1152" s="61"/>
      <c r="F1152" s="61"/>
      <c r="G1152" s="61"/>
      <c r="H1152" s="61"/>
      <c r="I1152" s="61"/>
      <c r="J1152" s="61"/>
      <c r="K1152" s="61"/>
      <c r="L1152" s="61"/>
      <c r="M1152" s="61"/>
      <c r="N1152" s="61"/>
      <c r="O1152" s="61"/>
      <c r="P1152" s="61"/>
      <c r="Q1152" s="61"/>
      <c r="R1152" s="61"/>
      <c r="S1152" s="61"/>
      <c r="T1152" s="35"/>
      <c r="U1152" s="187"/>
      <c r="V1152" s="190"/>
      <c r="W1152" s="190"/>
      <c r="X1152" s="190"/>
      <c r="Y1152" s="190"/>
      <c r="Z1152" s="190"/>
      <c r="AA1152" s="191"/>
      <c r="AB1152" s="190"/>
      <c r="AC1152" s="190"/>
      <c r="AD1152" s="190"/>
      <c r="AE1152" s="190"/>
      <c r="AF1152" s="190"/>
      <c r="AG1152" s="190"/>
      <c r="AH1152" s="191"/>
      <c r="AI1152" s="190"/>
      <c r="AJ1152" s="190"/>
      <c r="AK1152" s="190"/>
      <c r="AL1152" s="190"/>
      <c r="AM1152" s="190"/>
      <c r="AN1152" s="191"/>
      <c r="AO1152" s="190"/>
      <c r="AP1152" s="190"/>
      <c r="AQ1152" s="190"/>
      <c r="AR1152" s="190"/>
      <c r="AS1152" s="190"/>
      <c r="AT1152" s="191"/>
      <c r="AU1152" s="190"/>
      <c r="AV1152" s="190"/>
      <c r="AW1152" s="190"/>
      <c r="AX1152" s="190"/>
      <c r="AY1152" s="190"/>
      <c r="AZ1152" s="191"/>
      <c r="BA1152" s="183"/>
      <c r="BB1152" s="183"/>
      <c r="BC1152" s="183"/>
      <c r="BD1152" s="183"/>
      <c r="BE1152" s="183"/>
      <c r="BF1152" s="184"/>
      <c r="BG1152" s="183"/>
      <c r="BH1152" s="183"/>
      <c r="BI1152" s="183"/>
      <c r="BJ1152" s="183"/>
      <c r="BK1152" s="183"/>
      <c r="BL1152" s="184"/>
      <c r="BM1152" s="409"/>
      <c r="BN1152" s="409"/>
    </row>
    <row r="1153" spans="1:66" s="153" customFormat="1" x14ac:dyDescent="0.2">
      <c r="A1153" s="61"/>
      <c r="B1153" s="61"/>
      <c r="C1153" s="61"/>
      <c r="D1153" s="61"/>
      <c r="E1153" s="61"/>
      <c r="F1153" s="61"/>
      <c r="G1153" s="61"/>
      <c r="H1153" s="61"/>
      <c r="I1153" s="61"/>
      <c r="J1153" s="61"/>
      <c r="K1153" s="61"/>
      <c r="L1153" s="61"/>
      <c r="M1153" s="61"/>
      <c r="N1153" s="61"/>
      <c r="O1153" s="61"/>
      <c r="P1153" s="61"/>
      <c r="Q1153" s="61"/>
      <c r="R1153" s="61"/>
      <c r="S1153" s="61"/>
      <c r="T1153" s="35"/>
      <c r="U1153" s="187"/>
      <c r="V1153" s="190"/>
      <c r="W1153" s="190"/>
      <c r="X1153" s="190"/>
      <c r="Y1153" s="190"/>
      <c r="Z1153" s="190"/>
      <c r="AA1153" s="191"/>
      <c r="AB1153" s="190"/>
      <c r="AC1153" s="190"/>
      <c r="AD1153" s="190"/>
      <c r="AE1153" s="190"/>
      <c r="AF1153" s="190"/>
      <c r="AG1153" s="190"/>
      <c r="AH1153" s="191"/>
      <c r="AI1153" s="190"/>
      <c r="AJ1153" s="190"/>
      <c r="AK1153" s="190"/>
      <c r="AL1153" s="190"/>
      <c r="AM1153" s="190"/>
      <c r="AN1153" s="191"/>
      <c r="AO1153" s="190"/>
      <c r="AP1153" s="190"/>
      <c r="AQ1153" s="190"/>
      <c r="AR1153" s="190"/>
      <c r="AS1153" s="190"/>
      <c r="AT1153" s="191"/>
      <c r="AU1153" s="190"/>
      <c r="AV1153" s="190"/>
      <c r="AW1153" s="190"/>
      <c r="AX1153" s="190"/>
      <c r="AY1153" s="190"/>
      <c r="AZ1153" s="191"/>
      <c r="BA1153" s="183"/>
      <c r="BB1153" s="183"/>
      <c r="BC1153" s="183"/>
      <c r="BD1153" s="183"/>
      <c r="BE1153" s="183"/>
      <c r="BF1153" s="184"/>
      <c r="BG1153" s="183"/>
      <c r="BH1153" s="183"/>
      <c r="BI1153" s="183"/>
      <c r="BJ1153" s="183"/>
      <c r="BK1153" s="183"/>
      <c r="BL1153" s="184"/>
      <c r="BM1153" s="409"/>
      <c r="BN1153" s="409"/>
    </row>
    <row r="1154" spans="1:66" s="153" customFormat="1" x14ac:dyDescent="0.2">
      <c r="A1154" s="61"/>
      <c r="B1154" s="61"/>
      <c r="C1154" s="61"/>
      <c r="D1154" s="61"/>
      <c r="E1154" s="61"/>
      <c r="F1154" s="61"/>
      <c r="G1154" s="61"/>
      <c r="H1154" s="61"/>
      <c r="I1154" s="61"/>
      <c r="J1154" s="61"/>
      <c r="K1154" s="61"/>
      <c r="L1154" s="61"/>
      <c r="M1154" s="61"/>
      <c r="N1154" s="61"/>
      <c r="O1154" s="61"/>
      <c r="P1154" s="61"/>
      <c r="Q1154" s="61"/>
      <c r="R1154" s="61"/>
      <c r="S1154" s="61"/>
      <c r="T1154" s="35"/>
      <c r="U1154" s="187"/>
      <c r="V1154" s="190"/>
      <c r="W1154" s="190"/>
      <c r="X1154" s="190"/>
      <c r="Y1154" s="190"/>
      <c r="Z1154" s="190"/>
      <c r="AA1154" s="191"/>
      <c r="AB1154" s="190"/>
      <c r="AC1154" s="190"/>
      <c r="AD1154" s="190"/>
      <c r="AE1154" s="190"/>
      <c r="AF1154" s="190"/>
      <c r="AG1154" s="190"/>
      <c r="AH1154" s="191"/>
      <c r="AI1154" s="190"/>
      <c r="AJ1154" s="190"/>
      <c r="AK1154" s="190"/>
      <c r="AL1154" s="190"/>
      <c r="AM1154" s="190"/>
      <c r="AN1154" s="191"/>
      <c r="AO1154" s="190"/>
      <c r="AP1154" s="190"/>
      <c r="AQ1154" s="190"/>
      <c r="AR1154" s="190"/>
      <c r="AS1154" s="190"/>
      <c r="AT1154" s="191"/>
      <c r="AU1154" s="190"/>
      <c r="AV1154" s="190"/>
      <c r="AW1154" s="190"/>
      <c r="AX1154" s="190"/>
      <c r="AY1154" s="190"/>
      <c r="AZ1154" s="191"/>
      <c r="BA1154" s="183"/>
      <c r="BB1154" s="183"/>
      <c r="BC1154" s="183"/>
      <c r="BD1154" s="183"/>
      <c r="BE1154" s="183"/>
      <c r="BF1154" s="184"/>
      <c r="BG1154" s="183"/>
      <c r="BH1154" s="183"/>
      <c r="BI1154" s="183"/>
      <c r="BJ1154" s="183"/>
      <c r="BK1154" s="183"/>
      <c r="BL1154" s="184"/>
      <c r="BM1154" s="409"/>
      <c r="BN1154" s="409"/>
    </row>
    <row r="1155" spans="1:66" s="153" customFormat="1" x14ac:dyDescent="0.2">
      <c r="A1155" s="61"/>
      <c r="B1155" s="61"/>
      <c r="C1155" s="61"/>
      <c r="D1155" s="61"/>
      <c r="E1155" s="61"/>
      <c r="F1155" s="61"/>
      <c r="G1155" s="61"/>
      <c r="H1155" s="61"/>
      <c r="I1155" s="61"/>
      <c r="J1155" s="61"/>
      <c r="K1155" s="61"/>
      <c r="L1155" s="61"/>
      <c r="M1155" s="61"/>
      <c r="N1155" s="61"/>
      <c r="O1155" s="61"/>
      <c r="P1155" s="61"/>
      <c r="Q1155" s="61"/>
      <c r="R1155" s="61"/>
      <c r="S1155" s="61"/>
      <c r="T1155" s="35"/>
      <c r="U1155" s="187"/>
      <c r="V1155" s="190"/>
      <c r="W1155" s="190"/>
      <c r="X1155" s="190"/>
      <c r="Y1155" s="190"/>
      <c r="Z1155" s="190"/>
      <c r="AA1155" s="191"/>
      <c r="AB1155" s="190"/>
      <c r="AC1155" s="190"/>
      <c r="AD1155" s="190"/>
      <c r="AE1155" s="190"/>
      <c r="AF1155" s="190"/>
      <c r="AG1155" s="190"/>
      <c r="AH1155" s="191"/>
      <c r="AI1155" s="190"/>
      <c r="AJ1155" s="190"/>
      <c r="AK1155" s="190"/>
      <c r="AL1155" s="190"/>
      <c r="AM1155" s="190"/>
      <c r="AN1155" s="191"/>
      <c r="AO1155" s="190"/>
      <c r="AP1155" s="190"/>
      <c r="AQ1155" s="190"/>
      <c r="AR1155" s="190"/>
      <c r="AS1155" s="190"/>
      <c r="AT1155" s="191"/>
      <c r="AU1155" s="190"/>
      <c r="AV1155" s="190"/>
      <c r="AW1155" s="190"/>
      <c r="AX1155" s="190"/>
      <c r="AY1155" s="190"/>
      <c r="AZ1155" s="191"/>
      <c r="BA1155" s="183"/>
      <c r="BB1155" s="183"/>
      <c r="BC1155" s="183"/>
      <c r="BD1155" s="183"/>
      <c r="BE1155" s="183"/>
      <c r="BF1155" s="184"/>
      <c r="BG1155" s="183"/>
      <c r="BH1155" s="183"/>
      <c r="BI1155" s="183"/>
      <c r="BJ1155" s="183"/>
      <c r="BK1155" s="183"/>
      <c r="BL1155" s="184"/>
      <c r="BM1155" s="409"/>
      <c r="BN1155" s="409"/>
    </row>
    <row r="1156" spans="1:66" s="153" customFormat="1" x14ac:dyDescent="0.2">
      <c r="A1156" s="61"/>
      <c r="B1156" s="61"/>
      <c r="C1156" s="61"/>
      <c r="D1156" s="61"/>
      <c r="E1156" s="61"/>
      <c r="F1156" s="61"/>
      <c r="G1156" s="61"/>
      <c r="H1156" s="61"/>
      <c r="I1156" s="61"/>
      <c r="J1156" s="61"/>
      <c r="K1156" s="61"/>
      <c r="L1156" s="61"/>
      <c r="M1156" s="61"/>
      <c r="N1156" s="61"/>
      <c r="O1156" s="61"/>
      <c r="P1156" s="61"/>
      <c r="Q1156" s="61"/>
      <c r="R1156" s="61"/>
      <c r="S1156" s="61"/>
      <c r="T1156" s="35"/>
      <c r="U1156" s="187"/>
      <c r="V1156" s="190"/>
      <c r="W1156" s="190"/>
      <c r="X1156" s="190"/>
      <c r="Y1156" s="190"/>
      <c r="Z1156" s="190"/>
      <c r="AA1156" s="191"/>
      <c r="AB1156" s="190"/>
      <c r="AC1156" s="190"/>
      <c r="AD1156" s="190"/>
      <c r="AE1156" s="190"/>
      <c r="AF1156" s="190"/>
      <c r="AG1156" s="190"/>
      <c r="AH1156" s="191"/>
      <c r="AI1156" s="190"/>
      <c r="AJ1156" s="190"/>
      <c r="AK1156" s="190"/>
      <c r="AL1156" s="190"/>
      <c r="AM1156" s="190"/>
      <c r="AN1156" s="191"/>
      <c r="AO1156" s="190"/>
      <c r="AP1156" s="190"/>
      <c r="AQ1156" s="190"/>
      <c r="AR1156" s="190"/>
      <c r="AS1156" s="190"/>
      <c r="AT1156" s="191"/>
      <c r="AU1156" s="190"/>
      <c r="AV1156" s="190"/>
      <c r="AW1156" s="190"/>
      <c r="AX1156" s="190"/>
      <c r="AY1156" s="190"/>
      <c r="AZ1156" s="191"/>
      <c r="BA1156" s="183"/>
      <c r="BB1156" s="183"/>
      <c r="BC1156" s="183"/>
      <c r="BD1156" s="183"/>
      <c r="BE1156" s="183"/>
      <c r="BF1156" s="184"/>
      <c r="BG1156" s="183"/>
      <c r="BH1156" s="183"/>
      <c r="BI1156" s="183"/>
      <c r="BJ1156" s="183"/>
      <c r="BK1156" s="183"/>
      <c r="BL1156" s="184"/>
      <c r="BM1156" s="409"/>
      <c r="BN1156" s="409"/>
    </row>
    <row r="1157" spans="1:66" s="153" customFormat="1" x14ac:dyDescent="0.2">
      <c r="A1157" s="61"/>
      <c r="B1157" s="61"/>
      <c r="C1157" s="61"/>
      <c r="D1157" s="61"/>
      <c r="E1157" s="61"/>
      <c r="F1157" s="61"/>
      <c r="G1157" s="61"/>
      <c r="H1157" s="61"/>
      <c r="I1157" s="61"/>
      <c r="J1157" s="61"/>
      <c r="K1157" s="61"/>
      <c r="L1157" s="61"/>
      <c r="M1157" s="61"/>
      <c r="N1157" s="61"/>
      <c r="O1157" s="61"/>
      <c r="P1157" s="61"/>
      <c r="Q1157" s="61"/>
      <c r="R1157" s="61"/>
      <c r="S1157" s="61"/>
      <c r="T1157" s="35"/>
      <c r="U1157" s="187"/>
      <c r="V1157" s="190"/>
      <c r="W1157" s="190"/>
      <c r="X1157" s="190"/>
      <c r="Y1157" s="190"/>
      <c r="Z1157" s="190"/>
      <c r="AA1157" s="191"/>
      <c r="AB1157" s="190"/>
      <c r="AC1157" s="190"/>
      <c r="AD1157" s="190"/>
      <c r="AE1157" s="190"/>
      <c r="AF1157" s="190"/>
      <c r="AG1157" s="190"/>
      <c r="AH1157" s="191"/>
      <c r="AI1157" s="190"/>
      <c r="AJ1157" s="190"/>
      <c r="AK1157" s="190"/>
      <c r="AL1157" s="190"/>
      <c r="AM1157" s="190"/>
      <c r="AN1157" s="191"/>
      <c r="AO1157" s="190"/>
      <c r="AP1157" s="190"/>
      <c r="AQ1157" s="190"/>
      <c r="AR1157" s="190"/>
      <c r="AS1157" s="190"/>
      <c r="AT1157" s="191"/>
      <c r="AU1157" s="190"/>
      <c r="AV1157" s="190"/>
      <c r="AW1157" s="190"/>
      <c r="AX1157" s="190"/>
      <c r="AY1157" s="190"/>
      <c r="AZ1157" s="191"/>
      <c r="BA1157" s="183"/>
      <c r="BB1157" s="183"/>
      <c r="BC1157" s="183"/>
      <c r="BD1157" s="183"/>
      <c r="BE1157" s="183"/>
      <c r="BF1157" s="184"/>
      <c r="BG1157" s="183"/>
      <c r="BH1157" s="183"/>
      <c r="BI1157" s="183"/>
      <c r="BJ1157" s="183"/>
      <c r="BK1157" s="183"/>
      <c r="BL1157" s="184"/>
      <c r="BM1157" s="409"/>
      <c r="BN1157" s="409"/>
    </row>
    <row r="1158" spans="1:66" s="153" customFormat="1" x14ac:dyDescent="0.2">
      <c r="A1158" s="61"/>
      <c r="B1158" s="61"/>
      <c r="C1158" s="61"/>
      <c r="D1158" s="61"/>
      <c r="E1158" s="61"/>
      <c r="F1158" s="61"/>
      <c r="G1158" s="61"/>
      <c r="H1158" s="61"/>
      <c r="I1158" s="61"/>
      <c r="J1158" s="61"/>
      <c r="K1158" s="61"/>
      <c r="L1158" s="61"/>
      <c r="M1158" s="61"/>
      <c r="N1158" s="61"/>
      <c r="O1158" s="61"/>
      <c r="P1158" s="61"/>
      <c r="Q1158" s="61"/>
      <c r="R1158" s="61"/>
      <c r="S1158" s="61"/>
      <c r="T1158" s="35"/>
      <c r="U1158" s="187"/>
      <c r="V1158" s="190"/>
      <c r="W1158" s="190"/>
      <c r="X1158" s="190"/>
      <c r="Y1158" s="190"/>
      <c r="Z1158" s="190"/>
      <c r="AA1158" s="191"/>
      <c r="AB1158" s="190"/>
      <c r="AC1158" s="190"/>
      <c r="AD1158" s="190"/>
      <c r="AE1158" s="190"/>
      <c r="AF1158" s="190"/>
      <c r="AG1158" s="190"/>
      <c r="AH1158" s="191"/>
      <c r="AI1158" s="190"/>
      <c r="AJ1158" s="190"/>
      <c r="AK1158" s="190"/>
      <c r="AL1158" s="190"/>
      <c r="AM1158" s="190"/>
      <c r="AN1158" s="191"/>
      <c r="AO1158" s="190"/>
      <c r="AP1158" s="190"/>
      <c r="AQ1158" s="190"/>
      <c r="AR1158" s="190"/>
      <c r="AS1158" s="190"/>
      <c r="AT1158" s="191"/>
      <c r="AU1158" s="190"/>
      <c r="AV1158" s="190"/>
      <c r="AW1158" s="190"/>
      <c r="AX1158" s="190"/>
      <c r="AY1158" s="190"/>
      <c r="AZ1158" s="191"/>
      <c r="BA1158" s="183"/>
      <c r="BB1158" s="183"/>
      <c r="BC1158" s="183"/>
      <c r="BD1158" s="183"/>
      <c r="BE1158" s="183"/>
      <c r="BF1158" s="184"/>
      <c r="BG1158" s="183"/>
      <c r="BH1158" s="183"/>
      <c r="BI1158" s="183"/>
      <c r="BJ1158" s="183"/>
      <c r="BK1158" s="183"/>
      <c r="BL1158" s="184"/>
      <c r="BM1158" s="409"/>
      <c r="BN1158" s="409"/>
    </row>
    <row r="1159" spans="1:66" s="153" customFormat="1" x14ac:dyDescent="0.2">
      <c r="A1159" s="61"/>
      <c r="B1159" s="61"/>
      <c r="C1159" s="61"/>
      <c r="D1159" s="61"/>
      <c r="E1159" s="61"/>
      <c r="F1159" s="61"/>
      <c r="G1159" s="61"/>
      <c r="H1159" s="61"/>
      <c r="I1159" s="61"/>
      <c r="J1159" s="61"/>
      <c r="K1159" s="61"/>
      <c r="L1159" s="61"/>
      <c r="M1159" s="61"/>
      <c r="N1159" s="61"/>
      <c r="O1159" s="61"/>
      <c r="P1159" s="61"/>
      <c r="Q1159" s="61"/>
      <c r="R1159" s="61"/>
      <c r="S1159" s="61"/>
      <c r="T1159" s="35"/>
      <c r="U1159" s="187"/>
      <c r="V1159" s="190"/>
      <c r="W1159" s="190"/>
      <c r="X1159" s="190"/>
      <c r="Y1159" s="190"/>
      <c r="Z1159" s="190"/>
      <c r="AA1159" s="191"/>
      <c r="AB1159" s="190"/>
      <c r="AC1159" s="190"/>
      <c r="AD1159" s="190"/>
      <c r="AE1159" s="190"/>
      <c r="AF1159" s="190"/>
      <c r="AG1159" s="190"/>
      <c r="AH1159" s="191"/>
      <c r="AI1159" s="190"/>
      <c r="AJ1159" s="190"/>
      <c r="AK1159" s="190"/>
      <c r="AL1159" s="190"/>
      <c r="AM1159" s="190"/>
      <c r="AN1159" s="191"/>
      <c r="AO1159" s="190"/>
      <c r="AP1159" s="190"/>
      <c r="AQ1159" s="190"/>
      <c r="AR1159" s="190"/>
      <c r="AS1159" s="190"/>
      <c r="AT1159" s="191"/>
      <c r="AU1159" s="190"/>
      <c r="AV1159" s="190"/>
      <c r="AW1159" s="190"/>
      <c r="AX1159" s="190"/>
      <c r="AY1159" s="190"/>
      <c r="AZ1159" s="191"/>
      <c r="BA1159" s="183"/>
      <c r="BB1159" s="183"/>
      <c r="BC1159" s="183"/>
      <c r="BD1159" s="183"/>
      <c r="BE1159" s="183"/>
      <c r="BF1159" s="184"/>
      <c r="BG1159" s="183"/>
      <c r="BH1159" s="183"/>
      <c r="BI1159" s="183"/>
      <c r="BJ1159" s="183"/>
      <c r="BK1159" s="183"/>
      <c r="BL1159" s="184"/>
      <c r="BM1159" s="409"/>
      <c r="BN1159" s="409"/>
    </row>
  </sheetData>
  <mergeCells count="8">
    <mergeCell ref="AU1:AZ1"/>
    <mergeCell ref="BA1:BF1"/>
    <mergeCell ref="BG1:BL1"/>
    <mergeCell ref="O1:S1"/>
    <mergeCell ref="V1:AA1"/>
    <mergeCell ref="AB1:AH1"/>
    <mergeCell ref="AI1:AN1"/>
    <mergeCell ref="AO1:AT1"/>
  </mergeCells>
  <conditionalFormatting sqref="C295:BL1048576 C99:BL193 C195:BL289 C1:BL97">
    <cfRule type="cellIs" dxfId="38" priority="3" stopIfTrue="1" operator="equal">
      <formula>0</formula>
    </cfRule>
  </conditionalFormatting>
  <conditionalFormatting sqref="BM214:BN1048576 BM72:BN139 BM141:BN208 BM1:BN70">
    <cfRule type="cellIs" dxfId="37" priority="1" stopIfTrue="1" operator="equal">
      <formula>0</formula>
    </cfRule>
  </conditionalFormatting>
  <printOptions horizontalCentered="1"/>
  <pageMargins left="1" right="1" top="1" bottom="1" header="0.5" footer="0.5"/>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AA21"/>
  <sheetViews>
    <sheetView showGridLines="0" workbookViewId="0">
      <selection activeCell="O40" sqref="O40"/>
    </sheetView>
  </sheetViews>
  <sheetFormatPr defaultColWidth="9.140625" defaultRowHeight="15" x14ac:dyDescent="0.25"/>
  <cols>
    <col min="1" max="1" width="20.42578125" style="6" customWidth="1"/>
    <col min="2" max="2" width="0.85546875" style="6" customWidth="1"/>
    <col min="3" max="3" width="7.42578125" style="6" customWidth="1"/>
    <col min="4" max="4" width="0.85546875" style="6" customWidth="1"/>
    <col min="5" max="5" width="7.42578125" style="6" customWidth="1"/>
    <col min="6" max="6" width="0.85546875" style="6" customWidth="1"/>
    <col min="7" max="10" width="7.42578125" style="6" customWidth="1"/>
    <col min="11" max="11" width="0.85546875" style="6" customWidth="1"/>
    <col min="12" max="12" width="7.85546875" style="7" customWidth="1"/>
    <col min="13" max="13" width="2.42578125" style="6" customWidth="1"/>
    <col min="14" max="14" width="7.42578125" style="16" bestFit="1" customWidth="1"/>
    <col min="15" max="15" width="9" style="6" customWidth="1"/>
    <col min="16" max="16" width="9" style="8" customWidth="1"/>
    <col min="17" max="19" width="9" style="9" customWidth="1"/>
    <col min="20" max="27" width="9" style="7" customWidth="1"/>
    <col min="28" max="16384" width="9.140625" style="6"/>
  </cols>
  <sheetData>
    <row r="1" spans="1:23" ht="15" customHeight="1" x14ac:dyDescent="0.25">
      <c r="A1" s="206" t="s">
        <v>252</v>
      </c>
      <c r="B1" s="206"/>
      <c r="C1" s="206"/>
      <c r="D1" s="206"/>
      <c r="E1" s="206"/>
      <c r="F1" s="206"/>
      <c r="G1" s="206"/>
      <c r="H1" s="206"/>
      <c r="I1" s="206"/>
      <c r="J1" s="206"/>
      <c r="K1" s="206"/>
      <c r="L1" s="206"/>
    </row>
    <row r="2" spans="1:23" x14ac:dyDescent="0.25">
      <c r="A2" s="207"/>
      <c r="B2" s="207"/>
      <c r="C2" s="207"/>
      <c r="D2" s="207"/>
      <c r="E2" s="207"/>
      <c r="F2" s="207"/>
      <c r="G2" s="207"/>
      <c r="H2" s="207"/>
      <c r="I2" s="207"/>
      <c r="J2" s="207"/>
      <c r="K2" s="207"/>
      <c r="L2" s="208"/>
    </row>
    <row r="3" spans="1:23" ht="15.75" x14ac:dyDescent="0.25">
      <c r="A3" s="209"/>
      <c r="B3" s="209"/>
      <c r="C3" s="210" t="s">
        <v>7</v>
      </c>
      <c r="D3" s="210"/>
      <c r="E3" s="210" t="s">
        <v>267</v>
      </c>
      <c r="F3" s="210"/>
      <c r="G3" s="557" t="s">
        <v>251</v>
      </c>
      <c r="H3" s="557"/>
      <c r="I3" s="557"/>
      <c r="J3" s="557"/>
      <c r="K3" s="211"/>
      <c r="L3" s="555" t="s">
        <v>323</v>
      </c>
      <c r="O3" s="8"/>
      <c r="P3" s="9"/>
      <c r="T3" s="9"/>
      <c r="U3" s="9"/>
      <c r="V3" s="9"/>
      <c r="W3" s="9"/>
    </row>
    <row r="4" spans="1:23" ht="15.75" x14ac:dyDescent="0.25">
      <c r="A4" s="212" t="s">
        <v>93</v>
      </c>
      <c r="B4" s="212"/>
      <c r="C4" s="213" t="s">
        <v>256</v>
      </c>
      <c r="D4" s="213"/>
      <c r="E4" s="213" t="s">
        <v>268</v>
      </c>
      <c r="F4" s="213"/>
      <c r="G4" s="213" t="s">
        <v>94</v>
      </c>
      <c r="H4" s="213" t="s">
        <v>95</v>
      </c>
      <c r="I4" s="213" t="s">
        <v>96</v>
      </c>
      <c r="J4" s="213" t="s">
        <v>83</v>
      </c>
      <c r="K4" s="213"/>
      <c r="L4" s="556"/>
      <c r="N4" s="17" t="s">
        <v>114</v>
      </c>
      <c r="O4" s="8"/>
      <c r="P4" s="9"/>
      <c r="T4" s="9"/>
      <c r="U4" s="9"/>
      <c r="V4" s="9"/>
      <c r="W4" s="9"/>
    </row>
    <row r="5" spans="1:23" ht="16.5" customHeight="1" x14ac:dyDescent="0.25">
      <c r="A5" s="214" t="s">
        <v>254</v>
      </c>
      <c r="B5" s="215"/>
      <c r="C5" s="216">
        <f>'Tab_Catch Summary'!E293</f>
        <v>672</v>
      </c>
      <c r="D5" s="216"/>
      <c r="E5" s="216">
        <f>'Tab_Catch Summary'!F293</f>
        <v>590</v>
      </c>
      <c r="F5" s="216"/>
      <c r="G5" s="217">
        <f>IFERROR(GETPIVOTDATA("Min of MEF2",OtherPivot!$A$5,"Species",N5),"-")</f>
        <v>50</v>
      </c>
      <c r="H5" s="217">
        <f>IFERROR(GETPIVOTDATA("Max of MEF3",OtherPivot!$A$5,"Species",N5),"-")</f>
        <v>108</v>
      </c>
      <c r="I5" s="217">
        <f>IFERROR(GETPIVOTDATA("Average of MEF4",OtherPivot!$A$5,"Species",N5),"-")</f>
        <v>71.611378205128204</v>
      </c>
      <c r="J5" s="217">
        <f>IFERROR(GETPIVOTDATA("Count of MEF",OtherPivot!$A$5,"Species",N5),0)</f>
        <v>624</v>
      </c>
      <c r="K5" s="216"/>
      <c r="L5" s="217">
        <f>IFERROR(GETPIVOTDATA("Count of Vial_No",OtherPivot!$A$5,"Species",N5),0)</f>
        <v>589</v>
      </c>
      <c r="N5" s="16" t="s">
        <v>2</v>
      </c>
      <c r="O5" s="414">
        <f>E5/550</f>
        <v>1.0727272727272728</v>
      </c>
      <c r="P5" s="9"/>
      <c r="T5" s="9"/>
      <c r="U5" s="9"/>
      <c r="V5" s="9"/>
      <c r="W5" s="9"/>
    </row>
    <row r="6" spans="1:23" ht="16.5" customHeight="1" x14ac:dyDescent="0.25">
      <c r="A6" s="214" t="s">
        <v>255</v>
      </c>
      <c r="B6" s="215"/>
      <c r="C6" s="216">
        <f>'Tab_Catch Summary'!H293</f>
        <v>205</v>
      </c>
      <c r="D6" s="216"/>
      <c r="E6" s="216">
        <f>'Tab_Catch Summary'!I293</f>
        <v>33</v>
      </c>
      <c r="F6" s="216"/>
      <c r="G6" s="217">
        <f>IFERROR(GETPIVOTDATA("Min of MEF2",OtherPivot!$A$5,"Species",N6),"-")</f>
        <v>27</v>
      </c>
      <c r="H6" s="217">
        <f>IFERROR(GETPIVOTDATA("Max of MEF3",OtherPivot!$A$5,"Species",N6),"-")</f>
        <v>49</v>
      </c>
      <c r="I6" s="217">
        <f>IFERROR(GETPIVOTDATA("Average of MEF4",OtherPivot!$A$5,"Species",N6),"-")</f>
        <v>35.884422110552762</v>
      </c>
      <c r="J6" s="217">
        <f>IFERROR(GETPIVOTDATA("Count of MEF",OtherPivot!$A$5,"Species",N6),0)</f>
        <v>199</v>
      </c>
      <c r="K6" s="216"/>
      <c r="L6" s="217">
        <f>IFERROR(GETPIVOTDATA("Count of Vial_No",OtherPivot!$A$5,"Species",N6),0)</f>
        <v>31</v>
      </c>
      <c r="N6" s="16" t="s">
        <v>177</v>
      </c>
      <c r="O6" s="414">
        <f>E6/100</f>
        <v>0.33</v>
      </c>
      <c r="P6" s="9"/>
      <c r="T6" s="9"/>
      <c r="U6" s="9"/>
      <c r="V6" s="9"/>
      <c r="W6" s="9"/>
    </row>
    <row r="7" spans="1:23" ht="16.5" customHeight="1" x14ac:dyDescent="0.25">
      <c r="A7" s="214" t="s">
        <v>111</v>
      </c>
      <c r="B7" s="214"/>
      <c r="C7" s="216">
        <f>'Tab_Catch Summary'!O293</f>
        <v>1469</v>
      </c>
      <c r="D7" s="216"/>
      <c r="E7" s="216">
        <f>'Tab_Catch Summary'!P293</f>
        <v>200</v>
      </c>
      <c r="F7" s="216"/>
      <c r="G7" s="217">
        <f>IFERROR(GETPIVOTDATA("Min of MEF2",OtherPivot!$A$5,"Species",N7),"-")</f>
        <v>45</v>
      </c>
      <c r="H7" s="217">
        <f>IFERROR(GETPIVOTDATA("Max of MEF3",OtherPivot!$A$5,"Species",N7),"-")</f>
        <v>69</v>
      </c>
      <c r="I7" s="217">
        <f>IFERROR(GETPIVOTDATA("Average of MEF4",OtherPivot!$A$5,"Species",N7),"-")</f>
        <v>57.91016333938294</v>
      </c>
      <c r="J7" s="217">
        <f>IFERROR(GETPIVOTDATA("Count of MEF",OtherPivot!$A$5,"Species",N7),0)</f>
        <v>1102</v>
      </c>
      <c r="K7" s="217"/>
      <c r="L7" s="217">
        <f>IFERROR(GETPIVOTDATA("Count of Vial_No",OtherPivot!$A$5,"Species",N7),0)</f>
        <v>194</v>
      </c>
      <c r="N7" s="16" t="s">
        <v>71</v>
      </c>
      <c r="O7" s="414">
        <f>E7/200</f>
        <v>1</v>
      </c>
      <c r="P7" s="9"/>
      <c r="T7" s="9"/>
      <c r="U7" s="9"/>
      <c r="V7" s="9"/>
      <c r="W7" s="9"/>
    </row>
    <row r="8" spans="1:23" ht="16.5" customHeight="1" x14ac:dyDescent="0.25">
      <c r="A8" s="214" t="s">
        <v>112</v>
      </c>
      <c r="B8" s="214"/>
      <c r="C8" s="216">
        <f>'Tab_Catch Summary'!Q293</f>
        <v>334</v>
      </c>
      <c r="D8" s="216"/>
      <c r="E8" s="216">
        <f>'Tab_Catch Summary'!R293</f>
        <v>212</v>
      </c>
      <c r="F8" s="216"/>
      <c r="G8" s="217">
        <f>IFERROR(GETPIVOTDATA("Min of MEF2",OtherPivot!$A$5,"Species",N8),"-")</f>
        <v>33</v>
      </c>
      <c r="H8" s="217">
        <f>IFERROR(GETPIVOTDATA("Max of MEF3",OtherPivot!$A$5,"Species",N8),"-")</f>
        <v>65</v>
      </c>
      <c r="I8" s="217">
        <f>IFERROR(GETPIVOTDATA("Average of MEF4",OtherPivot!$A$5,"Species",N8),"-")</f>
        <v>53.969135802469133</v>
      </c>
      <c r="J8" s="217">
        <f>IFERROR(GETPIVOTDATA("Count of MEF",OtherPivot!$A$5,"Species",N8),0)</f>
        <v>324</v>
      </c>
      <c r="K8" s="217"/>
      <c r="L8" s="217">
        <f>IFERROR(GETPIVOTDATA("Count of Vial_No",OtherPivot!$A$5,"Species",N8),0)</f>
        <v>199</v>
      </c>
      <c r="N8" s="16" t="s">
        <v>72</v>
      </c>
      <c r="O8" s="414">
        <f t="shared" ref="O8:O10" si="0">E8/200</f>
        <v>1.06</v>
      </c>
      <c r="P8" s="9"/>
      <c r="T8" s="9"/>
      <c r="U8" s="9"/>
      <c r="V8" s="9"/>
      <c r="W8" s="9"/>
    </row>
    <row r="9" spans="1:23" ht="16.5" customHeight="1" x14ac:dyDescent="0.25">
      <c r="A9" s="214" t="s">
        <v>110</v>
      </c>
      <c r="B9" s="214"/>
      <c r="C9" s="216">
        <f>'Tab_Catch Summary'!M293</f>
        <v>7472</v>
      </c>
      <c r="D9" s="216"/>
      <c r="E9" s="216">
        <f>'Tab_Catch Summary'!N293</f>
        <v>200</v>
      </c>
      <c r="F9" s="216"/>
      <c r="G9" s="217">
        <f>IFERROR(GETPIVOTDATA("Min of MEF2",OtherPivot!$A$5,"Species",N9),"-")</f>
        <v>32</v>
      </c>
      <c r="H9" s="217">
        <f>IFERROR(GETPIVOTDATA("Max of MEF3",OtherPivot!$A$5,"Species",N9),"-")</f>
        <v>67</v>
      </c>
      <c r="I9" s="217">
        <f>IFERROR(GETPIVOTDATA("Average of MEF4",OtherPivot!$A$5,"Species",N9),"-")</f>
        <v>45.752620545073377</v>
      </c>
      <c r="J9" s="217">
        <f>IFERROR(GETPIVOTDATA("Count of MEF",OtherPivot!$A$5,"Species",N9),0)</f>
        <v>954</v>
      </c>
      <c r="K9" s="217"/>
      <c r="L9" s="217">
        <f>IFERROR(GETPIVOTDATA("Count of Vial_No",OtherPivot!$A$5,"Species",N9),0)</f>
        <v>200</v>
      </c>
      <c r="N9" s="16" t="s">
        <v>70</v>
      </c>
      <c r="O9" s="414">
        <f t="shared" si="0"/>
        <v>1</v>
      </c>
      <c r="P9" s="9"/>
      <c r="T9" s="9"/>
      <c r="U9" s="9"/>
      <c r="V9" s="9"/>
      <c r="W9" s="9"/>
    </row>
    <row r="10" spans="1:23" ht="16.5" customHeight="1" x14ac:dyDescent="0.25">
      <c r="A10" s="214" t="s">
        <v>109</v>
      </c>
      <c r="B10" s="214"/>
      <c r="C10" s="216">
        <f>'Tab_Catch Summary'!K293</f>
        <v>213</v>
      </c>
      <c r="D10" s="216"/>
      <c r="E10" s="216">
        <f>'Tab_Catch Summary'!L293</f>
        <v>200</v>
      </c>
      <c r="F10" s="216"/>
      <c r="G10" s="217">
        <f>IFERROR(GETPIVOTDATA("Min of MEF2",OtherPivot!$A$5,"Species",N10),"-")</f>
        <v>33</v>
      </c>
      <c r="H10" s="217">
        <f>IFERROR(GETPIVOTDATA("Max of MEF3",OtherPivot!$A$5,"Species",N10),"-")</f>
        <v>61</v>
      </c>
      <c r="I10" s="217">
        <f>IFERROR(GETPIVOTDATA("Average of MEF4",OtherPivot!$A$5,"Species",N10),"-")</f>
        <v>49.345622119815665</v>
      </c>
      <c r="J10" s="217">
        <f>IFERROR(GETPIVOTDATA("Count of MEF",OtherPivot!$A$5,"Species",N10),0)</f>
        <v>217</v>
      </c>
      <c r="K10" s="217"/>
      <c r="L10" s="217">
        <f>IFERROR(GETPIVOTDATA("Count of Vial_No",OtherPivot!$A$5,"Species",N10),0)</f>
        <v>198</v>
      </c>
      <c r="N10" s="16" t="s">
        <v>8</v>
      </c>
      <c r="O10" s="414">
        <f t="shared" si="0"/>
        <v>1</v>
      </c>
      <c r="P10" s="9"/>
      <c r="T10" s="9"/>
      <c r="U10" s="9"/>
      <c r="V10" s="9"/>
      <c r="W10" s="9"/>
    </row>
    <row r="11" spans="1:23" ht="16.5" customHeight="1" x14ac:dyDescent="0.25">
      <c r="A11" s="218" t="s">
        <v>21</v>
      </c>
      <c r="B11" s="218"/>
      <c r="C11" s="216">
        <f>IFERROR(GETPIVOTDATA("Sum of AG",OtherPivot!$J$5),0)</f>
        <v>17</v>
      </c>
      <c r="D11" s="216"/>
      <c r="E11" s="216" t="s">
        <v>269</v>
      </c>
      <c r="F11" s="216"/>
      <c r="G11" s="217">
        <f>IFERROR(GETPIVOTDATA("Min of FL2",OtherPivot!$A$5,"Species",N11),"-")</f>
        <v>13</v>
      </c>
      <c r="H11" s="217">
        <f>IFERROR(GETPIVOTDATA("Max of FL3",OtherPivot!$A$5,"Species",N11),"-")</f>
        <v>36</v>
      </c>
      <c r="I11" s="217">
        <f>IFERROR(GETPIVOTDATA("Average of FL4",OtherPivot!$A$5,"Species",N11),"-")</f>
        <v>20.9375</v>
      </c>
      <c r="J11" s="217">
        <f>IFERROR(GETPIVOTDATA("Count of FL",OtherPivot!$A$5,"Species",N11),0)</f>
        <v>16</v>
      </c>
      <c r="K11" s="217"/>
      <c r="L11" s="217" t="s">
        <v>269</v>
      </c>
      <c r="N11" s="16" t="s">
        <v>97</v>
      </c>
      <c r="O11" s="414"/>
      <c r="P11" s="9"/>
      <c r="T11" s="9"/>
      <c r="U11" s="9"/>
      <c r="V11" s="9"/>
      <c r="W11" s="9"/>
    </row>
    <row r="12" spans="1:23" ht="16.5" customHeight="1" x14ac:dyDescent="0.25">
      <c r="A12" s="218" t="s">
        <v>81</v>
      </c>
      <c r="B12" s="218"/>
      <c r="C12" s="216">
        <f>IFERROR(GETPIVOTDATA("Sum of BU",OtherPivot!$J$5),0)</f>
        <v>2</v>
      </c>
      <c r="D12" s="216"/>
      <c r="E12" s="216" t="s">
        <v>269</v>
      </c>
      <c r="F12" s="216"/>
      <c r="G12" s="217">
        <f>IFERROR(GETPIVOTDATA("Min of FL2",OtherPivot!$A$5,"Species",N12),"-")</f>
        <v>15</v>
      </c>
      <c r="H12" s="217">
        <f>IFERROR(GETPIVOTDATA("Max of FL3",OtherPivot!$A$5,"Species",N12),"-")</f>
        <v>15</v>
      </c>
      <c r="I12" s="217">
        <f>IFERROR(GETPIVOTDATA("Average of FL4",OtherPivot!$A$5,"Species",N12),"-")</f>
        <v>15</v>
      </c>
      <c r="J12" s="217">
        <f>IFERROR(GETPIVOTDATA("Count of FL",OtherPivot!$A$5,"Species",N12),0)</f>
        <v>2</v>
      </c>
      <c r="K12" s="217"/>
      <c r="L12" s="217" t="s">
        <v>269</v>
      </c>
      <c r="N12" s="16" t="s">
        <v>195</v>
      </c>
      <c r="O12" s="414"/>
      <c r="P12" s="9"/>
      <c r="T12" s="9"/>
      <c r="U12" s="9"/>
      <c r="V12" s="9"/>
      <c r="W12" s="9"/>
    </row>
    <row r="13" spans="1:23" ht="16.5" customHeight="1" x14ac:dyDescent="0.25">
      <c r="A13" s="219" t="s">
        <v>20</v>
      </c>
      <c r="B13" s="219"/>
      <c r="C13" s="216">
        <f>IFERROR(GETPIVOTDATA("Sum of DV",OtherPivot!$J$5),0)</f>
        <v>8</v>
      </c>
      <c r="D13" s="216"/>
      <c r="E13" s="216" t="s">
        <v>269</v>
      </c>
      <c r="F13" s="216"/>
      <c r="G13" s="217">
        <f>IFERROR(GETPIVOTDATA("Min of FL2",OtherPivot!$A$5,"Species",N13),"-")</f>
        <v>20</v>
      </c>
      <c r="H13" s="217">
        <f>IFERROR(GETPIVOTDATA("Max of FL3",OtherPivot!$A$5,"Species",N13),"-")</f>
        <v>43</v>
      </c>
      <c r="I13" s="217">
        <f>IFERROR(GETPIVOTDATA("Average of FL4",OtherPivot!$A$5,"Species",N13),"-")</f>
        <v>32.4</v>
      </c>
      <c r="J13" s="217">
        <f>IFERROR(GETPIVOTDATA("Count of FL",OtherPivot!$A$5,"Species",N13),0)</f>
        <v>5</v>
      </c>
      <c r="K13" s="217"/>
      <c r="L13" s="217">
        <f>IFERROR(GETPIVOTDATA("Count of Vial_No",OtherPivot!$A$5,"Species","DV"),0)</f>
        <v>6</v>
      </c>
      <c r="N13" s="16" t="s">
        <v>87</v>
      </c>
      <c r="O13" s="414"/>
    </row>
    <row r="14" spans="1:23" ht="16.5" customHeight="1" x14ac:dyDescent="0.25">
      <c r="A14" s="219" t="s">
        <v>19</v>
      </c>
      <c r="B14" s="219"/>
      <c r="C14" s="216">
        <f>IFERROR(GETPIVOTDATA("Sum of LS",OtherPivot!$J$5),0)</f>
        <v>13</v>
      </c>
      <c r="D14" s="216"/>
      <c r="E14" s="216" t="s">
        <v>269</v>
      </c>
      <c r="F14" s="216"/>
      <c r="G14" s="217">
        <f>IFERROR(GETPIVOTDATA("Min of FL2",OtherPivot!$A$5,"Species",N14),"-")</f>
        <v>14</v>
      </c>
      <c r="H14" s="217">
        <f>IFERROR(GETPIVOTDATA("Max of FL3",OtherPivot!$A$5,"Species",N14),"-")</f>
        <v>38</v>
      </c>
      <c r="I14" s="217">
        <f>IFERROR(GETPIVOTDATA("Average of FL4",OtherPivot!$A$5,"Species",N14),"-")</f>
        <v>29.846153846153847</v>
      </c>
      <c r="J14" s="217">
        <f>IFERROR(GETPIVOTDATA("Count of FL",OtherPivot!$A$5,"Species",N14),0)</f>
        <v>13</v>
      </c>
      <c r="K14" s="217"/>
      <c r="L14" s="217" t="s">
        <v>269</v>
      </c>
      <c r="N14" s="16" t="s">
        <v>91</v>
      </c>
      <c r="O14" s="414"/>
    </row>
    <row r="15" spans="1:23" ht="16.5" customHeight="1" x14ac:dyDescent="0.25">
      <c r="A15" s="219" t="s">
        <v>80</v>
      </c>
      <c r="B15" s="219"/>
      <c r="C15" s="216">
        <f>IFERROR(GETPIVOTDATA("Sum of RT",OtherPivot!$J$5),0)</f>
        <v>68</v>
      </c>
      <c r="D15" s="216"/>
      <c r="E15" s="216" t="s">
        <v>269</v>
      </c>
      <c r="F15" s="216"/>
      <c r="G15" s="217">
        <f>IFERROR(GETPIVOTDATA("Min of FL2",OtherPivot!$A$5,"Species",N15),"-")</f>
        <v>16</v>
      </c>
      <c r="H15" s="217">
        <f>IFERROR(GETPIVOTDATA("Max of FL3",OtherPivot!$A$5,"Species",N15),"-")</f>
        <v>53</v>
      </c>
      <c r="I15" s="217">
        <f>IFERROR(GETPIVOTDATA("Average of FL4",OtherPivot!$A$5,"Species",N15),"-")</f>
        <v>27.253968253968253</v>
      </c>
      <c r="J15" s="217">
        <f>IFERROR(GETPIVOTDATA("Count of FL",OtherPivot!$A$5,"Species",N15),0)</f>
        <v>63</v>
      </c>
      <c r="K15" s="217"/>
      <c r="L15" s="217" t="s">
        <v>269</v>
      </c>
      <c r="N15" s="16" t="s">
        <v>75</v>
      </c>
      <c r="O15" s="414"/>
    </row>
    <row r="16" spans="1:23" ht="16.5" customHeight="1" x14ac:dyDescent="0.25">
      <c r="A16" s="219" t="s">
        <v>18</v>
      </c>
      <c r="B16" s="219"/>
      <c r="C16" s="216">
        <f>IFERROR(GETPIVOTDATA("Sum of RW",OtherPivot!$J$5),0)</f>
        <v>67</v>
      </c>
      <c r="D16" s="216"/>
      <c r="E16" s="216" t="s">
        <v>269</v>
      </c>
      <c r="F16" s="216"/>
      <c r="G16" s="217">
        <f>IFERROR(GETPIVOTDATA("Min of FL2",OtherPivot!$A$5,"Species",N16),"-")</f>
        <v>13</v>
      </c>
      <c r="H16" s="217">
        <f>IFERROR(GETPIVOTDATA("Max of FL3",OtherPivot!$A$5,"Species",N16),"-")</f>
        <v>37</v>
      </c>
      <c r="I16" s="217">
        <f>IFERROR(GETPIVOTDATA("Average of FL4",OtherPivot!$A$5,"Species",N16),"-")</f>
        <v>26.176923076923078</v>
      </c>
      <c r="J16" s="217">
        <f>IFERROR(GETPIVOTDATA("Count of FL",OtherPivot!$A$5,"Species",N16),0)</f>
        <v>65</v>
      </c>
      <c r="K16" s="217"/>
      <c r="L16" s="217" t="s">
        <v>269</v>
      </c>
      <c r="N16" s="16" t="s">
        <v>88</v>
      </c>
      <c r="O16" s="414"/>
    </row>
    <row r="17" spans="1:14" ht="16.5" customHeight="1" x14ac:dyDescent="0.25">
      <c r="A17" s="220" t="s">
        <v>86</v>
      </c>
      <c r="B17" s="220"/>
      <c r="C17" s="221">
        <f>IFERROR(GETPIVOTDATA("Sum of HW",OtherPivot!$J$5),0)</f>
        <v>13</v>
      </c>
      <c r="D17" s="221"/>
      <c r="E17" s="221" t="s">
        <v>269</v>
      </c>
      <c r="F17" s="221"/>
      <c r="G17" s="221">
        <f>IFERROR(GETPIVOTDATA("Min of FL2",OtherPivot!$A$5,"Species",N17),"-")</f>
        <v>18</v>
      </c>
      <c r="H17" s="221">
        <f>IFERROR(GETPIVOTDATA("Max of FL3",OtherPivot!$A$5,"Species",N17),"-")</f>
        <v>41</v>
      </c>
      <c r="I17" s="221">
        <f>IFERROR(GETPIVOTDATA("Average of FL4",OtherPivot!$A$5,"Species",N17),"-")</f>
        <v>31</v>
      </c>
      <c r="J17" s="221">
        <f>IFERROR(GETPIVOTDATA("Count of FL",OtherPivot!$A$5,"Species",N17),0)</f>
        <v>11</v>
      </c>
      <c r="K17" s="221"/>
      <c r="L17" s="221">
        <f>IFERROR(GETPIVOTDATA("Count of Vial_No",OtherPivot!$A$5,"Species","HW"),0)</f>
        <v>9</v>
      </c>
      <c r="N17" s="16" t="s">
        <v>90</v>
      </c>
    </row>
    <row r="18" spans="1:14" ht="20.25" customHeight="1" x14ac:dyDescent="0.25">
      <c r="A18" s="222" t="s">
        <v>253</v>
      </c>
      <c r="B18" s="207"/>
      <c r="C18" s="207"/>
      <c r="D18" s="207"/>
      <c r="E18" s="207"/>
      <c r="F18" s="207"/>
      <c r="G18" s="207"/>
      <c r="H18" s="207"/>
      <c r="I18" s="207"/>
      <c r="J18" s="207"/>
      <c r="K18" s="207"/>
      <c r="L18" s="208"/>
    </row>
    <row r="19" spans="1:14" ht="15.75" x14ac:dyDescent="0.25">
      <c r="A19" s="222" t="s">
        <v>322</v>
      </c>
      <c r="B19" s="207"/>
      <c r="C19" s="207"/>
      <c r="D19" s="207"/>
      <c r="E19" s="207"/>
      <c r="F19" s="207"/>
      <c r="G19" s="207"/>
      <c r="H19" s="207"/>
      <c r="I19" s="207"/>
      <c r="J19" s="207"/>
      <c r="K19" s="207"/>
      <c r="L19" s="208"/>
    </row>
    <row r="20" spans="1:14" ht="15.75" customHeight="1" x14ac:dyDescent="0.25">
      <c r="A20" s="558" t="s">
        <v>324</v>
      </c>
      <c r="B20" s="558"/>
      <c r="C20" s="558"/>
      <c r="D20" s="558"/>
      <c r="E20" s="558"/>
      <c r="F20" s="558"/>
      <c r="G20" s="558"/>
      <c r="H20" s="558"/>
      <c r="I20" s="558"/>
      <c r="J20" s="558"/>
      <c r="K20" s="558"/>
      <c r="L20" s="558"/>
    </row>
    <row r="21" spans="1:14" x14ac:dyDescent="0.25">
      <c r="A21" s="558"/>
      <c r="B21" s="558"/>
      <c r="C21" s="558"/>
      <c r="D21" s="558"/>
      <c r="E21" s="558"/>
      <c r="F21" s="558"/>
      <c r="G21" s="558"/>
      <c r="H21" s="558"/>
      <c r="I21" s="558"/>
      <c r="J21" s="558"/>
      <c r="K21" s="558"/>
      <c r="L21" s="558"/>
    </row>
  </sheetData>
  <mergeCells count="3">
    <mergeCell ref="L3:L4"/>
    <mergeCell ref="G3:J3"/>
    <mergeCell ref="A20:L21"/>
  </mergeCells>
  <phoneticPr fontId="0" type="noConversion"/>
  <pageMargins left="1" right="1" top="1" bottom="1"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T71"/>
  <sheetViews>
    <sheetView showGridLines="0" zoomScaleNormal="100" workbookViewId="0">
      <selection activeCell="B36" sqref="B36"/>
    </sheetView>
  </sheetViews>
  <sheetFormatPr defaultColWidth="9.140625" defaultRowHeight="12.75" x14ac:dyDescent="0.2"/>
  <cols>
    <col min="1" max="1" width="4.140625" style="34" customWidth="1"/>
    <col min="2" max="8" width="11.28515625" style="34" customWidth="1"/>
    <col min="9" max="9" width="4.140625" style="34" customWidth="1"/>
    <col min="10" max="16" width="11.42578125" style="34" customWidth="1"/>
    <col min="17" max="16384" width="9.140625" style="34"/>
  </cols>
  <sheetData>
    <row r="1" spans="1:9" ht="12.75" customHeight="1" x14ac:dyDescent="0.2">
      <c r="A1" s="45"/>
      <c r="I1" s="561" t="s">
        <v>180</v>
      </c>
    </row>
    <row r="2" spans="1:9" x14ac:dyDescent="0.2">
      <c r="I2" s="561"/>
    </row>
    <row r="3" spans="1:9" x14ac:dyDescent="0.2">
      <c r="I3" s="561"/>
    </row>
    <row r="4" spans="1:9" x14ac:dyDescent="0.2">
      <c r="I4" s="561"/>
    </row>
    <row r="5" spans="1:9" x14ac:dyDescent="0.2">
      <c r="I5" s="561"/>
    </row>
    <row r="6" spans="1:9" x14ac:dyDescent="0.2">
      <c r="I6" s="561"/>
    </row>
    <row r="7" spans="1:9" x14ac:dyDescent="0.2">
      <c r="I7" s="561"/>
    </row>
    <row r="8" spans="1:9" x14ac:dyDescent="0.2">
      <c r="I8" s="561"/>
    </row>
    <row r="9" spans="1:9" x14ac:dyDescent="0.2">
      <c r="I9" s="561"/>
    </row>
    <row r="10" spans="1:9" x14ac:dyDescent="0.2">
      <c r="I10" s="561"/>
    </row>
    <row r="11" spans="1:9" x14ac:dyDescent="0.2">
      <c r="I11" s="561"/>
    </row>
    <row r="12" spans="1:9" ht="13.5" customHeight="1" x14ac:dyDescent="0.2">
      <c r="I12" s="561"/>
    </row>
    <row r="13" spans="1:9" ht="13.5" customHeight="1" x14ac:dyDescent="0.2">
      <c r="I13" s="561"/>
    </row>
    <row r="14" spans="1:9" ht="13.5" customHeight="1" x14ac:dyDescent="0.2">
      <c r="A14" s="560" t="s">
        <v>796</v>
      </c>
      <c r="B14" s="560"/>
      <c r="C14" s="560"/>
      <c r="D14" s="560"/>
      <c r="E14" s="560"/>
      <c r="F14" s="560"/>
      <c r="G14" s="560"/>
      <c r="H14" s="560"/>
      <c r="I14" s="561"/>
    </row>
    <row r="15" spans="1:9" ht="13.5" customHeight="1" x14ac:dyDescent="0.2">
      <c r="A15" s="560"/>
      <c r="B15" s="560"/>
      <c r="C15" s="560"/>
      <c r="D15" s="560"/>
      <c r="E15" s="560"/>
      <c r="F15" s="560"/>
      <c r="G15" s="560"/>
      <c r="H15" s="560"/>
      <c r="I15" s="561"/>
    </row>
    <row r="16" spans="1:9" ht="13.5" customHeight="1" x14ac:dyDescent="0.2">
      <c r="I16" s="561"/>
    </row>
    <row r="17" spans="1:20" ht="13.5" customHeight="1" x14ac:dyDescent="0.2">
      <c r="I17" s="561"/>
    </row>
    <row r="18" spans="1:20" ht="13.5" customHeight="1" x14ac:dyDescent="0.2">
      <c r="I18" s="561"/>
    </row>
    <row r="19" spans="1:20" ht="13.5" customHeight="1" x14ac:dyDescent="0.2">
      <c r="A19" s="46"/>
      <c r="B19" s="46"/>
      <c r="C19" s="46"/>
      <c r="D19" s="46"/>
      <c r="E19" s="46"/>
      <c r="F19" s="46"/>
      <c r="G19" s="46"/>
      <c r="H19" s="46"/>
      <c r="I19" s="561"/>
    </row>
    <row r="20" spans="1:20" ht="13.5" customHeight="1" x14ac:dyDescent="0.2">
      <c r="I20" s="561"/>
      <c r="T20" s="48"/>
    </row>
    <row r="21" spans="1:20" ht="13.5" customHeight="1" x14ac:dyDescent="0.2">
      <c r="I21" s="561"/>
    </row>
    <row r="22" spans="1:20" ht="13.5" customHeight="1" x14ac:dyDescent="0.2">
      <c r="I22" s="561"/>
      <c r="J22" s="40"/>
      <c r="K22" s="40"/>
      <c r="L22" s="40"/>
      <c r="M22" s="40"/>
      <c r="N22" s="40"/>
      <c r="O22" s="40"/>
      <c r="P22" s="40"/>
    </row>
    <row r="23" spans="1:20" ht="13.5" customHeight="1" x14ac:dyDescent="0.2">
      <c r="I23" s="561"/>
    </row>
    <row r="24" spans="1:20" ht="13.5" customHeight="1" x14ac:dyDescent="0.2">
      <c r="I24" s="561"/>
    </row>
    <row r="25" spans="1:20" ht="13.5" customHeight="1" x14ac:dyDescent="0.2">
      <c r="I25" s="561"/>
    </row>
    <row r="26" spans="1:20" ht="13.5" customHeight="1" x14ac:dyDescent="0.2">
      <c r="A26" s="45"/>
      <c r="I26" s="561"/>
      <c r="J26" s="46"/>
      <c r="K26" s="46"/>
      <c r="L26" s="46"/>
      <c r="M26" s="46"/>
      <c r="N26" s="46"/>
      <c r="O26" s="46"/>
      <c r="P26" s="46"/>
    </row>
    <row r="27" spans="1:20" ht="13.5" customHeight="1" x14ac:dyDescent="0.2">
      <c r="A27" s="45"/>
      <c r="I27" s="561"/>
      <c r="J27" s="46"/>
      <c r="K27" s="46"/>
      <c r="L27" s="46"/>
      <c r="M27" s="46"/>
      <c r="N27" s="46"/>
      <c r="O27" s="46"/>
      <c r="P27" s="46"/>
    </row>
    <row r="28" spans="1:20" ht="13.5" customHeight="1" x14ac:dyDescent="0.2">
      <c r="I28" s="561"/>
    </row>
    <row r="29" spans="1:20" ht="13.5" customHeight="1" x14ac:dyDescent="0.2">
      <c r="I29" s="561"/>
    </row>
    <row r="30" spans="1:20" ht="13.5" customHeight="1" x14ac:dyDescent="0.2">
      <c r="A30" s="45"/>
      <c r="I30" s="561"/>
      <c r="R30" s="48"/>
    </row>
    <row r="31" spans="1:20" ht="13.5" customHeight="1" x14ac:dyDescent="0.2">
      <c r="A31" s="560" t="s">
        <v>329</v>
      </c>
      <c r="B31" s="560"/>
      <c r="C31" s="560"/>
      <c r="D31" s="560"/>
      <c r="E31" s="560"/>
      <c r="F31" s="560"/>
      <c r="G31" s="560"/>
      <c r="H31" s="560"/>
      <c r="I31" s="561"/>
      <c r="R31" s="48"/>
    </row>
    <row r="32" spans="1:20" ht="13.5" customHeight="1" x14ac:dyDescent="0.2">
      <c r="A32" s="560"/>
      <c r="B32" s="560"/>
      <c r="C32" s="560"/>
      <c r="D32" s="560"/>
      <c r="E32" s="560"/>
      <c r="F32" s="560"/>
      <c r="G32" s="560"/>
      <c r="H32" s="560"/>
      <c r="I32" s="561"/>
    </row>
    <row r="33" spans="1:16" ht="13.5" customHeight="1" x14ac:dyDescent="0.2">
      <c r="I33" s="561"/>
    </row>
    <row r="34" spans="1:16" ht="13.5" customHeight="1" x14ac:dyDescent="0.2">
      <c r="I34" s="561"/>
    </row>
    <row r="35" spans="1:16" ht="13.5" customHeight="1" x14ac:dyDescent="0.2">
      <c r="E35" s="152"/>
      <c r="I35" s="561"/>
    </row>
    <row r="36" spans="1:16" ht="13.5" customHeight="1" x14ac:dyDescent="0.2">
      <c r="E36" s="152"/>
      <c r="I36" s="561"/>
    </row>
    <row r="37" spans="1:16" ht="13.5" customHeight="1" x14ac:dyDescent="0.2">
      <c r="I37" s="561"/>
    </row>
    <row r="38" spans="1:16" ht="13.5" customHeight="1" x14ac:dyDescent="0.2">
      <c r="A38" s="45"/>
      <c r="I38" s="561"/>
    </row>
    <row r="39" spans="1:16" ht="13.5" customHeight="1" x14ac:dyDescent="0.2">
      <c r="I39" s="561"/>
    </row>
    <row r="40" spans="1:16" ht="13.5" customHeight="1" x14ac:dyDescent="0.2">
      <c r="I40" s="561"/>
    </row>
    <row r="41" spans="1:16" ht="13.5" customHeight="1" x14ac:dyDescent="0.2">
      <c r="I41" s="561"/>
    </row>
    <row r="42" spans="1:16" ht="13.5" customHeight="1" x14ac:dyDescent="0.2">
      <c r="B42" s="105"/>
      <c r="C42" s="105"/>
      <c r="D42" s="105"/>
      <c r="E42" s="105"/>
      <c r="F42" s="105"/>
      <c r="G42" s="105"/>
      <c r="H42" s="105"/>
      <c r="I42" s="561"/>
    </row>
    <row r="43" spans="1:16" ht="13.5" customHeight="1" x14ac:dyDescent="0.2">
      <c r="B43" s="105"/>
      <c r="C43" s="105"/>
      <c r="D43" s="105"/>
      <c r="E43" s="105"/>
      <c r="F43" s="105"/>
      <c r="G43" s="105"/>
      <c r="H43" s="105"/>
      <c r="I43" s="561"/>
    </row>
    <row r="44" spans="1:16" ht="13.5" customHeight="1" x14ac:dyDescent="0.2">
      <c r="A44" s="40"/>
      <c r="I44" s="45"/>
    </row>
    <row r="45" spans="1:16" ht="13.5" customHeight="1" x14ac:dyDescent="0.2">
      <c r="I45" s="45"/>
    </row>
    <row r="46" spans="1:16" ht="13.5" customHeight="1" x14ac:dyDescent="0.2">
      <c r="I46" s="45"/>
      <c r="J46" s="559" t="s">
        <v>134</v>
      </c>
      <c r="K46" s="559"/>
      <c r="L46" s="559"/>
      <c r="M46" s="559"/>
      <c r="N46" s="559"/>
      <c r="O46" s="559"/>
      <c r="P46" s="559"/>
    </row>
    <row r="47" spans="1:16" ht="13.5" customHeight="1" x14ac:dyDescent="0.2">
      <c r="I47" s="45"/>
    </row>
    <row r="48" spans="1:16" ht="13.5" customHeight="1" x14ac:dyDescent="0.2">
      <c r="I48" s="40" t="s">
        <v>257</v>
      </c>
      <c r="J48" s="40"/>
      <c r="K48" s="40"/>
      <c r="L48" s="40"/>
      <c r="M48" s="40"/>
      <c r="N48" s="40"/>
      <c r="O48" s="40"/>
      <c r="P48" s="40"/>
    </row>
    <row r="49" spans="9:16" ht="13.5" customHeight="1" x14ac:dyDescent="0.2">
      <c r="I49" s="40"/>
      <c r="J49" s="40"/>
      <c r="K49" s="40"/>
      <c r="L49" s="40"/>
      <c r="M49" s="40"/>
      <c r="N49" s="40"/>
      <c r="O49" s="40"/>
      <c r="P49" s="40"/>
    </row>
    <row r="50" spans="9:16" ht="13.5" customHeight="1" x14ac:dyDescent="0.2">
      <c r="I50" s="45"/>
    </row>
    <row r="51" spans="9:16" ht="13.5" customHeight="1" x14ac:dyDescent="0.2">
      <c r="I51" s="45"/>
    </row>
    <row r="52" spans="9:16" ht="13.5" customHeight="1" x14ac:dyDescent="0.2">
      <c r="I52" s="45"/>
    </row>
    <row r="53" spans="9:16" ht="13.5" customHeight="1" x14ac:dyDescent="0.2">
      <c r="I53" s="45"/>
    </row>
    <row r="54" spans="9:16" ht="13.5" customHeight="1" x14ac:dyDescent="0.2">
      <c r="I54" s="45"/>
    </row>
    <row r="55" spans="9:16" ht="13.5" customHeight="1" x14ac:dyDescent="0.2">
      <c r="I55" s="45"/>
    </row>
    <row r="56" spans="9:16" ht="13.5" customHeight="1" x14ac:dyDescent="0.2">
      <c r="I56" s="45"/>
    </row>
    <row r="57" spans="9:16" ht="13.5" customHeight="1" x14ac:dyDescent="0.2"/>
    <row r="58" spans="9:16" ht="13.5" customHeight="1" x14ac:dyDescent="0.2"/>
    <row r="59" spans="9:16" ht="13.5" customHeight="1" x14ac:dyDescent="0.2">
      <c r="I59" s="45"/>
    </row>
    <row r="60" spans="9:16" ht="13.5" customHeight="1" x14ac:dyDescent="0.2"/>
    <row r="61" spans="9:16" ht="13.5" customHeight="1" x14ac:dyDescent="0.2"/>
    <row r="63" spans="9:16" ht="12.75" customHeight="1" x14ac:dyDescent="0.2">
      <c r="J63" s="104"/>
      <c r="K63" s="104"/>
      <c r="L63" s="104"/>
      <c r="M63" s="104"/>
      <c r="N63" s="104"/>
      <c r="O63" s="104"/>
      <c r="P63" s="104"/>
    </row>
    <row r="64" spans="9:16" x14ac:dyDescent="0.2">
      <c r="I64" s="104"/>
      <c r="J64" s="104"/>
      <c r="K64" s="104"/>
      <c r="L64" s="104"/>
      <c r="M64" s="104"/>
      <c r="N64" s="104"/>
      <c r="O64" s="104"/>
      <c r="P64" s="104"/>
    </row>
    <row r="67" spans="9:9" x14ac:dyDescent="0.2">
      <c r="I67" s="45"/>
    </row>
    <row r="70" spans="9:9" x14ac:dyDescent="0.2">
      <c r="I70" s="105"/>
    </row>
    <row r="71" spans="9:9" x14ac:dyDescent="0.2">
      <c r="I71" s="105"/>
    </row>
  </sheetData>
  <mergeCells count="4">
    <mergeCell ref="J46:P46"/>
    <mergeCell ref="A14:H15"/>
    <mergeCell ref="A31:H32"/>
    <mergeCell ref="I1:I43"/>
  </mergeCells>
  <printOptions horizontalCentered="1"/>
  <pageMargins left="0.9" right="0.9" top="0.9" bottom="0.9"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K41"/>
  <sheetViews>
    <sheetView showGridLines="0" zoomScaleNormal="100" workbookViewId="0">
      <selection activeCell="B31" sqref="B31"/>
    </sheetView>
  </sheetViews>
  <sheetFormatPr defaultColWidth="9.140625" defaultRowHeight="12.75" x14ac:dyDescent="0.2"/>
  <cols>
    <col min="1" max="1" width="4.42578125" style="34" customWidth="1"/>
    <col min="2" max="10" width="9.7109375" style="34" customWidth="1"/>
    <col min="11" max="11" width="4.42578125" style="34" customWidth="1"/>
    <col min="12" max="16384" width="9.140625" style="47"/>
  </cols>
  <sheetData>
    <row r="1" spans="1:11" ht="12.75" customHeight="1" x14ac:dyDescent="0.2">
      <c r="A1" s="561" t="s">
        <v>133</v>
      </c>
      <c r="K1" s="561" t="s">
        <v>137</v>
      </c>
    </row>
    <row r="2" spans="1:11" x14ac:dyDescent="0.2">
      <c r="A2" s="561"/>
      <c r="K2" s="561"/>
    </row>
    <row r="3" spans="1:11" x14ac:dyDescent="0.2">
      <c r="A3" s="561"/>
      <c r="K3" s="561"/>
    </row>
    <row r="4" spans="1:11" x14ac:dyDescent="0.2">
      <c r="A4" s="561"/>
      <c r="K4" s="561"/>
    </row>
    <row r="5" spans="1:11" x14ac:dyDescent="0.2">
      <c r="A5" s="561"/>
      <c r="K5" s="561"/>
    </row>
    <row r="6" spans="1:11" x14ac:dyDescent="0.2">
      <c r="A6" s="561"/>
      <c r="K6" s="561"/>
    </row>
    <row r="7" spans="1:11" x14ac:dyDescent="0.2">
      <c r="A7" s="561"/>
      <c r="K7" s="561"/>
    </row>
    <row r="8" spans="1:11" x14ac:dyDescent="0.2">
      <c r="A8" s="561"/>
      <c r="K8" s="561"/>
    </row>
    <row r="9" spans="1:11" x14ac:dyDescent="0.2">
      <c r="A9" s="561"/>
      <c r="K9" s="561"/>
    </row>
    <row r="10" spans="1:11" x14ac:dyDescent="0.2">
      <c r="A10" s="561"/>
      <c r="K10" s="561"/>
    </row>
    <row r="11" spans="1:11" x14ac:dyDescent="0.2">
      <c r="A11" s="561"/>
      <c r="K11" s="561"/>
    </row>
    <row r="12" spans="1:11" x14ac:dyDescent="0.2">
      <c r="A12" s="561"/>
      <c r="K12" s="561"/>
    </row>
    <row r="13" spans="1:11" x14ac:dyDescent="0.2">
      <c r="A13" s="561"/>
      <c r="K13" s="561"/>
    </row>
    <row r="14" spans="1:11" x14ac:dyDescent="0.2">
      <c r="A14" s="561"/>
      <c r="K14" s="561"/>
    </row>
    <row r="15" spans="1:11" x14ac:dyDescent="0.2">
      <c r="A15" s="561"/>
      <c r="K15" s="561"/>
    </row>
    <row r="16" spans="1:11" x14ac:dyDescent="0.2">
      <c r="A16" s="561"/>
      <c r="K16" s="561"/>
    </row>
    <row r="17" spans="1:11" x14ac:dyDescent="0.2">
      <c r="A17" s="561"/>
      <c r="K17" s="561"/>
    </row>
    <row r="18" spans="1:11" x14ac:dyDescent="0.2">
      <c r="A18" s="561"/>
      <c r="K18" s="561"/>
    </row>
    <row r="19" spans="1:11" x14ac:dyDescent="0.2">
      <c r="A19" s="561"/>
      <c r="K19" s="561"/>
    </row>
    <row r="20" spans="1:11" x14ac:dyDescent="0.2">
      <c r="A20" s="561"/>
      <c r="K20" s="561"/>
    </row>
    <row r="21" spans="1:11" x14ac:dyDescent="0.2">
      <c r="A21" s="561"/>
      <c r="K21" s="561"/>
    </row>
    <row r="22" spans="1:11" x14ac:dyDescent="0.2">
      <c r="A22" s="561"/>
      <c r="K22" s="561"/>
    </row>
    <row r="23" spans="1:11" x14ac:dyDescent="0.2">
      <c r="A23" s="45"/>
      <c r="K23" s="45"/>
    </row>
    <row r="24" spans="1:11" x14ac:dyDescent="0.2">
      <c r="A24" s="45"/>
      <c r="K24" s="45"/>
    </row>
    <row r="25" spans="1:11" x14ac:dyDescent="0.2">
      <c r="A25" s="45"/>
      <c r="K25" s="45"/>
    </row>
    <row r="26" spans="1:11" x14ac:dyDescent="0.2">
      <c r="A26" s="45"/>
      <c r="B26" s="559" t="s">
        <v>134</v>
      </c>
      <c r="C26" s="559"/>
      <c r="D26" s="559"/>
      <c r="E26" s="559"/>
      <c r="F26" s="559"/>
      <c r="G26" s="559"/>
      <c r="H26" s="559"/>
      <c r="I26" s="559"/>
      <c r="J26" s="559"/>
      <c r="K26" s="45"/>
    </row>
    <row r="27" spans="1:11" x14ac:dyDescent="0.2">
      <c r="A27" s="45"/>
      <c r="K27" s="45"/>
    </row>
    <row r="28" spans="1:11" ht="3" customHeight="1" x14ac:dyDescent="0.2">
      <c r="A28" s="45"/>
      <c r="K28" s="45"/>
    </row>
    <row r="29" spans="1:11" x14ac:dyDescent="0.2">
      <c r="A29" s="560" t="s">
        <v>270</v>
      </c>
      <c r="B29" s="560"/>
      <c r="C29" s="560"/>
      <c r="D29" s="560"/>
      <c r="E29" s="560"/>
      <c r="F29" s="560"/>
      <c r="G29" s="560"/>
      <c r="H29" s="560"/>
      <c r="I29" s="560"/>
      <c r="J29" s="560"/>
      <c r="K29" s="560"/>
    </row>
    <row r="30" spans="1:11" x14ac:dyDescent="0.2">
      <c r="A30" s="560"/>
      <c r="B30" s="560"/>
      <c r="C30" s="560"/>
      <c r="D30" s="560"/>
      <c r="E30" s="560"/>
      <c r="F30" s="560"/>
      <c r="G30" s="560"/>
      <c r="H30" s="560"/>
      <c r="I30" s="560"/>
      <c r="J30" s="560"/>
      <c r="K30" s="560"/>
    </row>
    <row r="41" spans="7:10" x14ac:dyDescent="0.2">
      <c r="G41" s="48"/>
      <c r="H41" s="48"/>
      <c r="I41" s="48"/>
      <c r="J41" s="48"/>
    </row>
  </sheetData>
  <mergeCells count="4">
    <mergeCell ref="B26:J26"/>
    <mergeCell ref="A29:K30"/>
    <mergeCell ref="K1:K22"/>
    <mergeCell ref="A1:A22"/>
  </mergeCells>
  <pageMargins left="0.5" right="0.5" top="0.75" bottom="0.7"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4"/>
  <sheetViews>
    <sheetView workbookViewId="0">
      <selection activeCell="D19" sqref="D19"/>
    </sheetView>
  </sheetViews>
  <sheetFormatPr defaultRowHeight="12.75" x14ac:dyDescent="0.2"/>
  <cols>
    <col min="1" max="1" width="16.85546875" style="394" bestFit="1" customWidth="1"/>
    <col min="2" max="2" width="13.42578125" bestFit="1" customWidth="1"/>
  </cols>
  <sheetData>
    <row r="1" spans="1:2" x14ac:dyDescent="0.2">
      <c r="A1" s="391" t="s">
        <v>3</v>
      </c>
      <c r="B1" s="15" t="s">
        <v>1000</v>
      </c>
    </row>
    <row r="2" spans="1:2" x14ac:dyDescent="0.2">
      <c r="A2" s="392">
        <v>41796</v>
      </c>
      <c r="B2" s="237">
        <v>9.42</v>
      </c>
    </row>
    <row r="3" spans="1:2" x14ac:dyDescent="0.2">
      <c r="A3" s="392">
        <v>41802</v>
      </c>
      <c r="B3" s="237">
        <v>39.700000000000003</v>
      </c>
    </row>
    <row r="4" spans="1:2" x14ac:dyDescent="0.2">
      <c r="A4" s="393">
        <v>41808</v>
      </c>
      <c r="B4" s="237">
        <v>49.2</v>
      </c>
    </row>
    <row r="5" spans="1:2" x14ac:dyDescent="0.2">
      <c r="A5" s="392">
        <v>41811</v>
      </c>
      <c r="B5" s="237">
        <v>61.8</v>
      </c>
    </row>
    <row r="6" spans="1:2" x14ac:dyDescent="0.2">
      <c r="A6" s="392">
        <v>41813</v>
      </c>
      <c r="B6" s="237">
        <v>46</v>
      </c>
    </row>
    <row r="7" spans="1:2" x14ac:dyDescent="0.2">
      <c r="A7" s="392">
        <v>41818</v>
      </c>
      <c r="B7" s="237">
        <v>86.6</v>
      </c>
    </row>
    <row r="8" spans="1:2" x14ac:dyDescent="0.2">
      <c r="A8" s="392">
        <v>41826</v>
      </c>
      <c r="B8" s="237">
        <v>73.599999999999994</v>
      </c>
    </row>
    <row r="9" spans="1:2" x14ac:dyDescent="0.2">
      <c r="A9" s="392">
        <v>41828</v>
      </c>
      <c r="B9" s="237">
        <v>269.3</v>
      </c>
    </row>
    <row r="10" spans="1:2" x14ac:dyDescent="0.2">
      <c r="A10" s="392">
        <v>41830</v>
      </c>
      <c r="B10" s="390">
        <v>66.3</v>
      </c>
    </row>
    <row r="11" spans="1:2" x14ac:dyDescent="0.2">
      <c r="A11" s="392">
        <v>41838</v>
      </c>
      <c r="B11" s="237">
        <v>78.7</v>
      </c>
    </row>
    <row r="12" spans="1:2" x14ac:dyDescent="0.2">
      <c r="A12" s="392">
        <v>41840</v>
      </c>
      <c r="B12" s="237">
        <v>71.5</v>
      </c>
    </row>
    <row r="13" spans="1:2" x14ac:dyDescent="0.2">
      <c r="A13" s="392">
        <v>41842</v>
      </c>
      <c r="B13" s="237">
        <v>112</v>
      </c>
    </row>
    <row r="14" spans="1:2" x14ac:dyDescent="0.2">
      <c r="A14" s="392">
        <v>41844</v>
      </c>
      <c r="B14" s="237">
        <v>75.400000000000006</v>
      </c>
    </row>
    <row r="15" spans="1:2" x14ac:dyDescent="0.2">
      <c r="A15" s="392">
        <v>41847</v>
      </c>
      <c r="B15" s="237">
        <v>78.099999999999994</v>
      </c>
    </row>
    <row r="16" spans="1:2" x14ac:dyDescent="0.2">
      <c r="A16" s="392">
        <v>41851</v>
      </c>
      <c r="B16" s="237">
        <v>59.6</v>
      </c>
    </row>
    <row r="17" spans="1:2" x14ac:dyDescent="0.2">
      <c r="A17" s="392">
        <v>41853</v>
      </c>
      <c r="B17" s="237">
        <v>92.4</v>
      </c>
    </row>
    <row r="18" spans="1:2" x14ac:dyDescent="0.2">
      <c r="A18" s="392">
        <v>41855</v>
      </c>
      <c r="B18" s="237">
        <v>131</v>
      </c>
    </row>
    <row r="19" spans="1:2" x14ac:dyDescent="0.2">
      <c r="A19" s="392">
        <v>41857</v>
      </c>
      <c r="B19" s="237">
        <v>81.7</v>
      </c>
    </row>
    <row r="20" spans="1:2" x14ac:dyDescent="0.2">
      <c r="A20" s="392">
        <v>41859</v>
      </c>
      <c r="B20" s="237">
        <v>46.6</v>
      </c>
    </row>
    <row r="21" spans="1:2" x14ac:dyDescent="0.2">
      <c r="A21" s="394">
        <v>41861</v>
      </c>
      <c r="B21" s="390">
        <v>77</v>
      </c>
    </row>
    <row r="22" spans="1:2" x14ac:dyDescent="0.2">
      <c r="A22" s="394">
        <v>41863</v>
      </c>
      <c r="B22" s="390">
        <v>89.3</v>
      </c>
    </row>
    <row r="23" spans="1:2" x14ac:dyDescent="0.2">
      <c r="A23" s="394">
        <v>41865</v>
      </c>
      <c r="B23" s="390">
        <v>107</v>
      </c>
    </row>
    <row r="24" spans="1:2" x14ac:dyDescent="0.2">
      <c r="A24" s="394">
        <v>41867</v>
      </c>
      <c r="B24" s="390">
        <v>74.3</v>
      </c>
    </row>
    <row r="25" spans="1:2" x14ac:dyDescent="0.2">
      <c r="A25" s="394">
        <v>41869</v>
      </c>
      <c r="B25" s="390">
        <v>104</v>
      </c>
    </row>
    <row r="26" spans="1:2" x14ac:dyDescent="0.2">
      <c r="A26" s="394">
        <v>41871</v>
      </c>
      <c r="B26" s="390">
        <v>60.4</v>
      </c>
    </row>
    <row r="27" spans="1:2" x14ac:dyDescent="0.2">
      <c r="A27" s="394">
        <v>41873</v>
      </c>
      <c r="B27" s="390">
        <v>63</v>
      </c>
    </row>
    <row r="28" spans="1:2" x14ac:dyDescent="0.2">
      <c r="A28" s="394">
        <v>41875</v>
      </c>
      <c r="B28" s="390">
        <v>86.3</v>
      </c>
    </row>
    <row r="29" spans="1:2" x14ac:dyDescent="0.2">
      <c r="A29" s="394">
        <v>41877</v>
      </c>
      <c r="B29" s="390">
        <v>84.2</v>
      </c>
    </row>
    <row r="30" spans="1:2" x14ac:dyDescent="0.2">
      <c r="A30" s="394">
        <v>41880</v>
      </c>
      <c r="B30" s="390">
        <v>66.099999999999994</v>
      </c>
    </row>
    <row r="31" spans="1:2" x14ac:dyDescent="0.2">
      <c r="A31" s="394">
        <v>41882</v>
      </c>
      <c r="B31" s="390">
        <v>59.6</v>
      </c>
    </row>
    <row r="32" spans="1:2" x14ac:dyDescent="0.2">
      <c r="A32" s="394">
        <v>41884</v>
      </c>
      <c r="B32" s="390">
        <v>29.5</v>
      </c>
    </row>
    <row r="33" spans="1:2" x14ac:dyDescent="0.2">
      <c r="A33" s="394">
        <v>41886</v>
      </c>
      <c r="B33" s="390">
        <v>25.8</v>
      </c>
    </row>
    <row r="34" spans="1:2" x14ac:dyDescent="0.2">
      <c r="A34" s="394">
        <v>41889</v>
      </c>
      <c r="B34" s="390">
        <v>21.1</v>
      </c>
    </row>
  </sheetData>
  <protectedRanges>
    <protectedRange sqref="A2" name="DateLoc"/>
    <protectedRange sqref="B2" name="DateLoc_1"/>
    <protectedRange sqref="A3" name="DateLoc_2"/>
    <protectedRange sqref="B3" name="DateLoc_3"/>
    <protectedRange sqref="A4" name="DateLoc_4"/>
    <protectedRange sqref="B4" name="DateLoc_5"/>
    <protectedRange sqref="A5" name="DateLoc_6"/>
    <protectedRange sqref="B5" name="DateLoc_7"/>
    <protectedRange sqref="A6" name="DateLoc_8"/>
    <protectedRange sqref="B6" name="DateLoc_9"/>
    <protectedRange sqref="A7" name="DateLoc_10"/>
    <protectedRange sqref="B7" name="DateLoc_11"/>
    <protectedRange sqref="A8" name="DateLoc_1_1"/>
    <protectedRange sqref="B8" name="DateLoc_1_2"/>
    <protectedRange sqref="A9" name="DateLoc_12"/>
    <protectedRange sqref="B9" name="DateLoc_13"/>
    <protectedRange sqref="A10" name="DateLoc_14"/>
    <protectedRange sqref="B10" name="DateLoc_15"/>
    <protectedRange sqref="A11" name="DateLoc_16"/>
    <protectedRange sqref="B11" name="DateLoc_17"/>
    <protectedRange sqref="A12" name="DateLoc_18"/>
    <protectedRange sqref="B12" name="DateLoc_19"/>
    <protectedRange sqref="A13" name="DateLoc_20"/>
    <protectedRange sqref="B13" name="DateLoc_21"/>
    <protectedRange sqref="A14" name="DateLoc_22"/>
    <protectedRange sqref="B14" name="DateLoc_23"/>
    <protectedRange sqref="A15" name="DateLoc_24"/>
    <protectedRange sqref="B15" name="DateLoc_25"/>
    <protectedRange sqref="A16" name="DateLoc_26"/>
    <protectedRange sqref="B16" name="DateLoc_27"/>
    <protectedRange sqref="A17" name="DateLoc_28"/>
    <protectedRange sqref="B17" name="DateLoc_29"/>
    <protectedRange sqref="A18" name="DateLoc_30"/>
    <protectedRange sqref="B18" name="DateLoc_31"/>
    <protectedRange sqref="A19" name="DateLoc_32"/>
    <protectedRange sqref="B19" name="DateLoc_33"/>
    <protectedRange sqref="A20" name="DateLoc_34"/>
    <protectedRange sqref="B20" name="DateLoc_35"/>
  </protectedRanges>
  <dataValidations count="2">
    <dataValidation type="date" operator="greaterThan" allowBlank="1" showInputMessage="1" showErrorMessage="1" sqref="A2:A20">
      <formula1>41791</formula1>
    </dataValidation>
    <dataValidation type="decimal" allowBlank="1" showInputMessage="1" showErrorMessage="1" sqref="B2:B20">
      <formula1>-10</formula1>
      <formula2>300</formula2>
    </dataValidation>
  </dataValidations>
  <pageMargins left="0.7" right="0.7" top="0.75" bottom="0.75" header="0.3" footer="0.3"/>
  <pageSetup orientation="portrait" horizontalDpi="200" verticalDpi="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M12"/>
  <sheetViews>
    <sheetView showGridLines="0" workbookViewId="0">
      <selection activeCell="A14" sqref="A14"/>
    </sheetView>
  </sheetViews>
  <sheetFormatPr defaultColWidth="9.140625" defaultRowHeight="12.75" x14ac:dyDescent="0.2"/>
  <cols>
    <col min="1" max="1" width="21.7109375" style="19" customWidth="1"/>
    <col min="2" max="3" width="11.28515625" style="19" customWidth="1"/>
    <col min="4" max="4" width="10.7109375" style="19" bestFit="1" customWidth="1"/>
    <col min="5" max="5" width="9.140625" style="19"/>
    <col min="6" max="6" width="11" style="329" bestFit="1" customWidth="1"/>
    <col min="7" max="7" width="6.28515625" style="19" bestFit="1" customWidth="1"/>
    <col min="8" max="11" width="6.28515625" style="329" customWidth="1"/>
    <col min="12" max="12" width="6" style="329" customWidth="1"/>
    <col min="13" max="13" width="8.5703125" style="329" bestFit="1" customWidth="1"/>
    <col min="14" max="16384" width="9.140625" style="19"/>
  </cols>
  <sheetData>
    <row r="1" spans="1:13" s="21" customFormat="1" x14ac:dyDescent="0.2">
      <c r="A1" s="79" t="s">
        <v>264</v>
      </c>
      <c r="B1" s="75"/>
      <c r="C1" s="75"/>
      <c r="D1" s="61"/>
      <c r="F1" s="332"/>
      <c r="H1" s="332"/>
      <c r="I1" s="332"/>
      <c r="J1" s="332"/>
      <c r="K1" s="332"/>
      <c r="L1" s="332"/>
      <c r="M1" s="332"/>
    </row>
    <row r="2" spans="1:13" s="21" customFormat="1" ht="3" customHeight="1" x14ac:dyDescent="0.2">
      <c r="A2" s="71"/>
      <c r="B2" s="75"/>
      <c r="C2" s="75"/>
      <c r="D2" s="61"/>
      <c r="F2" s="332"/>
      <c r="H2" s="332"/>
      <c r="I2" s="332"/>
      <c r="J2" s="332"/>
      <c r="K2" s="332"/>
      <c r="L2" s="332"/>
      <c r="M2" s="332"/>
    </row>
    <row r="3" spans="1:13" s="21" customFormat="1" ht="15.75" customHeight="1" x14ac:dyDescent="0.2">
      <c r="A3" s="205" t="s">
        <v>136</v>
      </c>
      <c r="B3" s="205" t="s">
        <v>150</v>
      </c>
      <c r="C3" s="205" t="s">
        <v>153</v>
      </c>
      <c r="D3" s="205" t="s">
        <v>178</v>
      </c>
      <c r="F3" s="333" t="s">
        <v>1044</v>
      </c>
      <c r="G3" s="328"/>
      <c r="H3" s="333" t="s">
        <v>150</v>
      </c>
      <c r="I3" s="333" t="s">
        <v>153</v>
      </c>
      <c r="J3" s="333" t="s">
        <v>178</v>
      </c>
      <c r="K3" s="333" t="s">
        <v>7</v>
      </c>
      <c r="L3" s="333" t="s">
        <v>1045</v>
      </c>
      <c r="M3" s="333" t="s">
        <v>1046</v>
      </c>
    </row>
    <row r="4" spans="1:13" ht="15.75" customHeight="1" x14ac:dyDescent="0.2">
      <c r="A4" s="77" t="s">
        <v>265</v>
      </c>
      <c r="B4" s="90">
        <v>41796.579861111109</v>
      </c>
      <c r="C4" s="90">
        <v>41802.453472222223</v>
      </c>
      <c r="D4" s="90">
        <v>41799.711805555555</v>
      </c>
      <c r="F4" s="329" t="s">
        <v>1042</v>
      </c>
      <c r="G4" s="329" t="s">
        <v>1040</v>
      </c>
      <c r="H4" s="335">
        <f>'Tab_Catch Summary'!E98</f>
        <v>273</v>
      </c>
      <c r="I4" s="335">
        <f>'Tab_Catch Summary'!E194</f>
        <v>79</v>
      </c>
      <c r="J4" s="335">
        <f>'Tab_Catch Summary'!E290</f>
        <v>320</v>
      </c>
      <c r="K4" s="329">
        <f>SUM(H4:J4)</f>
        <v>672</v>
      </c>
    </row>
    <row r="5" spans="1:13" ht="15.75" customHeight="1" x14ac:dyDescent="0.2">
      <c r="A5" s="60" t="s">
        <v>266</v>
      </c>
      <c r="B5" s="90">
        <v>41889.729861111111</v>
      </c>
      <c r="C5" s="90">
        <v>41889.729166666664</v>
      </c>
      <c r="D5" s="90">
        <v>41889.730555555558</v>
      </c>
      <c r="G5" s="330" t="s">
        <v>1041</v>
      </c>
      <c r="H5" s="335">
        <f>'Tab_Catch Summary'!F98</f>
        <v>247</v>
      </c>
      <c r="I5" s="335">
        <f>'Tab_Catch Summary'!F194</f>
        <v>75</v>
      </c>
      <c r="J5" s="335">
        <f>'Tab_Catch Summary'!F290</f>
        <v>268</v>
      </c>
      <c r="K5" s="329">
        <f>SUM(H5:J5)</f>
        <v>590</v>
      </c>
      <c r="L5" s="329">
        <v>550</v>
      </c>
      <c r="M5" s="337">
        <f>K5/L5</f>
        <v>1.0727272727272728</v>
      </c>
    </row>
    <row r="6" spans="1:13" x14ac:dyDescent="0.2">
      <c r="A6" s="60" t="s">
        <v>261</v>
      </c>
      <c r="B6" s="78">
        <f>(B5-B4)*24</f>
        <v>2235.6000000000349</v>
      </c>
      <c r="C6" s="78">
        <f>(C5-C4)*24</f>
        <v>2094.6166666665813</v>
      </c>
      <c r="D6" s="78">
        <f t="shared" ref="D6" si="0">(D5-D4)*24</f>
        <v>2160.4500000000698</v>
      </c>
    </row>
    <row r="7" spans="1:13" ht="15.75" customHeight="1" x14ac:dyDescent="0.2">
      <c r="A7" s="69" t="s">
        <v>262</v>
      </c>
      <c r="B7" s="73">
        <f>'Tab_Catch Summary'!$D98</f>
        <v>1370.9166666666665</v>
      </c>
      <c r="C7" s="73">
        <f>'Tab_Catch Summary'!$D194</f>
        <v>1269.7999999999997</v>
      </c>
      <c r="D7" s="73">
        <f>'Tab_Catch Summary'!D290</f>
        <v>1301.6166666666668</v>
      </c>
      <c r="F7" s="329" t="s">
        <v>1043</v>
      </c>
      <c r="G7" s="329" t="s">
        <v>1040</v>
      </c>
      <c r="H7" s="335">
        <f>'Tab_Catch Summary'!H98</f>
        <v>85</v>
      </c>
      <c r="I7" s="335">
        <f>'Tab_Catch Summary'!H194</f>
        <v>18</v>
      </c>
      <c r="J7" s="335">
        <f>'Tab_Catch Summary'!H290</f>
        <v>102</v>
      </c>
      <c r="K7" s="329">
        <f>SUM(H7:J7)</f>
        <v>205</v>
      </c>
      <c r="M7" s="337"/>
    </row>
    <row r="8" spans="1:13" ht="15.75" customHeight="1" x14ac:dyDescent="0.2">
      <c r="A8" s="74" t="s">
        <v>263</v>
      </c>
      <c r="B8" s="76">
        <f>B7/B6*100</f>
        <v>61.322091012106149</v>
      </c>
      <c r="C8" s="76">
        <f t="shared" ref="C8:D8" si="1">C7/C6*100</f>
        <v>60.622070864201952</v>
      </c>
      <c r="D8" s="76">
        <f t="shared" si="1"/>
        <v>60.247479306006838</v>
      </c>
      <c r="F8" s="334"/>
      <c r="G8" s="331" t="s">
        <v>1041</v>
      </c>
      <c r="H8" s="336">
        <f>'Tab_Catch Summary'!I98</f>
        <v>18</v>
      </c>
      <c r="I8" s="336">
        <f>'Tab_Catch Summary'!I194</f>
        <v>2</v>
      </c>
      <c r="J8" s="336">
        <f>'Tab_Catch Summary'!I290</f>
        <v>13</v>
      </c>
      <c r="K8" s="334">
        <f>SUM(H8:J8)</f>
        <v>33</v>
      </c>
      <c r="L8" s="334">
        <v>100</v>
      </c>
      <c r="M8" s="338">
        <f>K8/L8</f>
        <v>0.33</v>
      </c>
    </row>
    <row r="9" spans="1:13" ht="20.25" customHeight="1" x14ac:dyDescent="0.2">
      <c r="A9" s="69" t="s">
        <v>258</v>
      </c>
      <c r="B9" s="75">
        <f>AVERAGE('Tab_Catch Summary'!$D$4:$D$97)</f>
        <v>14.901268115942027</v>
      </c>
      <c r="C9" s="75">
        <f>AVERAGE('Tab_Catch Summary'!$D$100:$D$193)</f>
        <v>14.765116279069764</v>
      </c>
      <c r="D9" s="75">
        <f>AVERAGE('Tab_Catch Summary'!$D$196:$D$289)</f>
        <v>14.791098484848487</v>
      </c>
    </row>
    <row r="10" spans="1:13" ht="15.75" customHeight="1" x14ac:dyDescent="0.2">
      <c r="A10" s="74" t="s">
        <v>259</v>
      </c>
      <c r="B10" s="75">
        <f>MIN('Tab_Catch Summary'!$D$4:$D$97)</f>
        <v>8.3333333333333375</v>
      </c>
      <c r="C10" s="75">
        <f>MIN('Tab_Catch Summary'!$D$100:$D$193)</f>
        <v>8.8000000000000007</v>
      </c>
      <c r="D10" s="75">
        <f>MIN('Tab_Catch Summary'!$D$196:$D$289)</f>
        <v>4.8333333333333375</v>
      </c>
    </row>
    <row r="11" spans="1:13" ht="15.75" customHeight="1" x14ac:dyDescent="0.2">
      <c r="A11" s="20" t="s">
        <v>260</v>
      </c>
      <c r="B11" s="75">
        <f>MAX('Tab_Catch Summary'!$D$4:$D$97)</f>
        <v>24</v>
      </c>
      <c r="C11" s="75">
        <f>MAX('Tab_Catch Summary'!$D$100:$D$193)</f>
        <v>24.000000000000004</v>
      </c>
      <c r="D11" s="75">
        <f>MAX('Tab_Catch Summary'!$D$196:$D$289)</f>
        <v>24</v>
      </c>
    </row>
    <row r="12" spans="1:13" ht="3" customHeight="1" x14ac:dyDescent="0.2">
      <c r="A12" s="224"/>
      <c r="B12" s="224"/>
      <c r="C12" s="224"/>
      <c r="D12" s="224"/>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CatchSummary</vt:lpstr>
      <vt:lpstr>Tag&amp;Biosample</vt:lpstr>
      <vt:lpstr>FWRecaptures</vt:lpstr>
      <vt:lpstr>Tab_Catch Summary</vt:lpstr>
      <vt:lpstr>Tab_Curry Samples</vt:lpstr>
      <vt:lpstr>Figs_CatchTags</vt:lpstr>
      <vt:lpstr>Fig_EffortRPM</vt:lpstr>
      <vt:lpstr>Fig_NTU</vt:lpstr>
      <vt:lpstr>Summary info</vt:lpstr>
      <vt:lpstr>SalmonPivot</vt:lpstr>
      <vt:lpstr>RadioPivot</vt:lpstr>
      <vt:lpstr>OtherPivot</vt:lpstr>
      <vt:lpstr>EffortRPMPivot</vt:lpstr>
      <vt:lpstr>Freq-Chan</vt:lpstr>
      <vt:lpstr>ReleaseSites</vt:lpstr>
      <vt:lpstr>Fig_EffortRPM!Print_Area</vt:lpstr>
      <vt:lpstr>Figs_CatchTags!Print_Area</vt:lpstr>
      <vt:lpstr>'Tab_Catch Summary'!Print_Area</vt:lpstr>
      <vt:lpstr>'Tab_Curry Samples'!Print_Area</vt:lpstr>
      <vt:lpstr>'Tag&amp;Biosample'!Print_Area</vt:lpstr>
      <vt:lpstr>'Tab_Catch Summary'!Print_Titles</vt:lpstr>
    </vt:vector>
  </TitlesOfParts>
  <Company>LGL Limited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Robichaud</dc:creator>
  <cp:lastModifiedBy>J.Smith</cp:lastModifiedBy>
  <cp:lastPrinted>2014-08-01T17:36:22Z</cp:lastPrinted>
  <dcterms:created xsi:type="dcterms:W3CDTF">2006-06-15T01:09:06Z</dcterms:created>
  <dcterms:modified xsi:type="dcterms:W3CDTF">2014-09-16T20:38:54Z</dcterms:modified>
</cp:coreProperties>
</file>